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tables/table1.xml" ContentType="application/vnd.openxmlformats-officedocument.spreadsheetml.table+xml"/>
  <Override PartName="/xl/drawings/drawing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Mz-cw-fs-066\d8394_1\Compartilhado_Secoes\Sustentabilidade\Voluntariado\Ações\01 Ações Corporativas\2022\O Natal da Esperança 2022\"/>
    </mc:Choice>
  </mc:AlternateContent>
  <xr:revisionPtr revIDLastSave="0" documentId="13_ncr:1_{7207F323-E88A-4D0E-A321-65C820D18745}" xr6:coauthVersionLast="47" xr6:coauthVersionMax="47" xr10:uidLastSave="{00000000-0000-0000-0000-000000000000}"/>
  <bookViews>
    <workbookView xWindow="-110" yWindow="-110" windowWidth="19420" windowHeight="10420" firstSheet="5" activeTab="5" xr2:uid="{00000000-000D-0000-FFFF-FFFF00000000}"/>
  </bookViews>
  <sheets>
    <sheet name="ONGs" sheetId="1" state="hidden" r:id="rId1"/>
    <sheet name="Líderes" sheetId="2" state="hidden" r:id="rId2"/>
    <sheet name="Auto Refresh Execution Log" sheetId="3" state="hidden" r:id="rId3"/>
    <sheet name="Relatório OFICIAL ONGs - Operaç" sheetId="4" state="hidden" r:id="rId4"/>
    <sheet name="Relatório OFICIAL Líderes - Ope" sheetId="5" state="hidden" r:id="rId5"/>
    <sheet name="Rede - Gerando Falcões " sheetId="6" r:id="rId6"/>
    <sheet name="Tabela Categorização" sheetId="7" state="hidden" r:id="rId7"/>
    <sheet name="MKT ONGs com nívelamento" sheetId="9" state="hidden" r:id="rId8"/>
    <sheet name="CTG Líder - PROCV" sheetId="10" state="hidden" r:id="rId9"/>
  </sheets>
  <definedNames>
    <definedName name="_xlnm._FilterDatabase" localSheetId="8" hidden="1">'CTG Líder - PROCV'!$A$1:$K$600</definedName>
    <definedName name="_xlnm._FilterDatabase" localSheetId="7" hidden="1">'MKT ONGs com nívelamento'!$A$1:$BY$1000</definedName>
    <definedName name="_xlnm._FilterDatabase" localSheetId="0" hidden="1">ONGs!$A$1:$AT$139</definedName>
    <definedName name="_xlnm._FilterDatabase" localSheetId="4" hidden="1">'Relatório OFICIAL Líderes - Ope'!$A$2:$AV$1000</definedName>
    <definedName name="_xlnm._FilterDatabase" localSheetId="3" hidden="1">'Relatório OFICIAL ONGs - Operaç'!$A$2:$AY$1000</definedName>
    <definedName name="_xlnm._FilterDatabase" localSheetId="6" hidden="1">'Tabela Categorização'!$A$1:$R$576</definedName>
    <definedName name="coeff_d_a6ec0267_7053_42af_974c_4dec6646d2c6">'Relatório OFICIAL ONGs - Operaç'!$A$2:$AW$600</definedName>
    <definedName name="coeff_d_c7a9e320_7149_428d_a18d_37b8aaf80392">'Tabela Categorização'!$A$2:$R$576</definedName>
    <definedName name="coeff_d_c86a1a89_75ea_446c_a600_4982e3733729">'Rede - Gerando Falcões '!$A$1:$G$600</definedName>
    <definedName name="coeff_d_db014ed5_8185_4f91_9b2e_9df198f3dae5">'Relatório OFICIAL Líderes - Ope'!$A$2:$AS$599</definedName>
    <definedName name="coeff_d_f643caa2_8b37_4951_a185_a3a987c10ddd">#REF!</definedName>
    <definedName name="coeff_d_fe4f7083_b2db_45d1_b06d_bbe7a0ec0c41">#REF!</definedName>
    <definedName name="Z_C8FD7328_6386_4FFC_9579_294D625294BF_.wvu.FilterData" localSheetId="5" hidden="1">'Rede - Gerando Falcões '!$A$1:$G$600</definedName>
    <definedName name="Z_C8FD7328_6386_4FFC_9579_294D625294BF_.wvu.FilterData" localSheetId="4" hidden="1">'Relatório OFICIAL Líderes - Ope'!$D$2:$AQ$134</definedName>
    <definedName name="Z_C8FD7328_6386_4FFC_9579_294D625294BF_.wvu.FilterData" localSheetId="6" hidden="1">'Tabela Categorização'!$A$2:$AG$575</definedName>
  </definedNames>
  <calcPr calcId="191029"/>
  <customWorkbookViews>
    <customWorkbookView name="Filtro 1" guid="{C8FD7328-6386-4FFC-9579-294D625294B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00" i="10" l="1"/>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I599" i="10"/>
  <c r="I598" i="10"/>
  <c r="I597" i="10"/>
  <c r="I596" i="10"/>
  <c r="I595" i="10"/>
  <c r="I594" i="10"/>
  <c r="I593" i="10"/>
  <c r="I592" i="10"/>
  <c r="I591" i="10"/>
  <c r="I590" i="10"/>
  <c r="I589" i="10"/>
  <c r="I588" i="10"/>
  <c r="I587" i="10"/>
  <c r="I586" i="10"/>
  <c r="I585" i="10"/>
  <c r="I584" i="10"/>
  <c r="I583" i="10"/>
  <c r="I582" i="10"/>
  <c r="I581" i="10"/>
  <c r="I580" i="10"/>
  <c r="I579" i="10"/>
  <c r="I578" i="10"/>
  <c r="I577" i="10"/>
  <c r="I576" i="10"/>
  <c r="I575" i="10"/>
  <c r="I574" i="10"/>
  <c r="I573" i="10"/>
  <c r="I572" i="10"/>
  <c r="I571" i="10"/>
  <c r="I570" i="10"/>
  <c r="I569" i="10"/>
  <c r="I568" i="10"/>
  <c r="I567" i="10"/>
  <c r="I566" i="10"/>
  <c r="I565" i="10"/>
  <c r="I564" i="10"/>
  <c r="I563" i="10"/>
  <c r="I562" i="10"/>
  <c r="I561" i="10"/>
  <c r="I560" i="10"/>
  <c r="I559" i="10"/>
  <c r="I558" i="10"/>
  <c r="I557" i="10"/>
  <c r="I556" i="10"/>
  <c r="I555" i="10"/>
  <c r="I554" i="10"/>
  <c r="I553" i="10"/>
  <c r="I552" i="10"/>
  <c r="I551" i="10"/>
  <c r="I550" i="10"/>
  <c r="I549" i="10"/>
  <c r="I548" i="10"/>
  <c r="I547" i="10"/>
  <c r="I546" i="10"/>
  <c r="I545" i="10"/>
  <c r="I544" i="10"/>
  <c r="I543" i="10"/>
  <c r="I542" i="10"/>
  <c r="I541" i="10"/>
  <c r="I540" i="10"/>
  <c r="I539" i="10"/>
  <c r="I538" i="10"/>
  <c r="I537" i="10"/>
  <c r="I536" i="10"/>
  <c r="I535" i="10"/>
  <c r="I534" i="10"/>
  <c r="I533" i="10"/>
  <c r="I532" i="10"/>
  <c r="I531" i="10"/>
  <c r="I530" i="10"/>
  <c r="I529" i="10"/>
  <c r="I528" i="10"/>
  <c r="I527" i="10"/>
  <c r="I526" i="10"/>
  <c r="I525" i="10"/>
  <c r="I524" i="10"/>
  <c r="I523" i="10"/>
  <c r="I522" i="10"/>
  <c r="I521" i="10"/>
  <c r="I520" i="10"/>
  <c r="I519" i="10"/>
  <c r="I518" i="10"/>
  <c r="I517" i="10"/>
  <c r="I516" i="10"/>
  <c r="I515" i="10"/>
  <c r="I514" i="10"/>
  <c r="I513" i="10"/>
  <c r="I512" i="10"/>
  <c r="I511" i="10"/>
  <c r="I510" i="10"/>
  <c r="I509" i="10"/>
  <c r="I508" i="10"/>
  <c r="I507" i="10"/>
  <c r="I506" i="10"/>
  <c r="I505" i="10"/>
  <c r="I504" i="10"/>
  <c r="I503" i="10"/>
  <c r="I502" i="10"/>
  <c r="I501" i="10"/>
  <c r="I500" i="10"/>
  <c r="I499" i="10"/>
  <c r="I498" i="10"/>
  <c r="I497" i="10"/>
  <c r="I496" i="10"/>
  <c r="I495" i="10"/>
  <c r="I494" i="10"/>
  <c r="I493" i="10"/>
  <c r="I492" i="10"/>
  <c r="I491" i="10"/>
  <c r="I490" i="10"/>
  <c r="I489" i="10"/>
  <c r="I488" i="10"/>
  <c r="I487" i="10"/>
  <c r="I486" i="10"/>
  <c r="I485" i="10"/>
  <c r="I484" i="10"/>
  <c r="I483" i="10"/>
  <c r="I482" i="10"/>
  <c r="I481" i="10"/>
  <c r="I480" i="10"/>
  <c r="I479" i="10"/>
  <c r="I478" i="10"/>
  <c r="I477" i="10"/>
  <c r="I476" i="10"/>
  <c r="I475" i="10"/>
  <c r="I474" i="10"/>
  <c r="I473" i="10"/>
  <c r="I472" i="10"/>
  <c r="I471" i="10"/>
  <c r="I470" i="10"/>
  <c r="I469" i="10"/>
  <c r="I468" i="10"/>
  <c r="I467" i="10"/>
  <c r="I466" i="10"/>
  <c r="I465" i="10"/>
  <c r="I464" i="10"/>
  <c r="I463" i="10"/>
  <c r="I462" i="10"/>
  <c r="I461" i="10"/>
  <c r="I460" i="10"/>
  <c r="I459" i="10"/>
  <c r="I458" i="10"/>
  <c r="I457" i="10"/>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I407" i="10"/>
  <c r="I406" i="10"/>
  <c r="I405" i="10"/>
  <c r="I404" i="10"/>
  <c r="I403" i="10"/>
  <c r="I402" i="10"/>
  <c r="I401" i="10"/>
  <c r="I400" i="10"/>
  <c r="I399" i="10"/>
  <c r="I398" i="10"/>
  <c r="I397" i="10"/>
  <c r="I396" i="10"/>
  <c r="I395" i="10"/>
  <c r="I394" i="10"/>
  <c r="I393" i="10"/>
  <c r="I392"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I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I167"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11" i="10"/>
  <c r="I10" i="10"/>
  <c r="I9" i="10"/>
  <c r="I8" i="10"/>
  <c r="I7" i="10"/>
  <c r="I6" i="10"/>
  <c r="I5" i="10"/>
  <c r="I4" i="10"/>
  <c r="I3" i="10"/>
  <c r="I2" i="10"/>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F601" i="10"/>
  <c r="E599" i="5"/>
  <c r="B599" i="5"/>
  <c r="E598" i="5"/>
  <c r="B598" i="5"/>
  <c r="E597" i="5"/>
  <c r="B597" i="5"/>
  <c r="E596" i="5"/>
  <c r="B596" i="5"/>
  <c r="E595" i="5"/>
  <c r="B595" i="5"/>
  <c r="E594" i="5"/>
  <c r="B594" i="5"/>
  <c r="E593" i="5"/>
  <c r="B593" i="5"/>
  <c r="E592" i="5"/>
  <c r="B592" i="5"/>
  <c r="E591" i="5"/>
  <c r="B591" i="5"/>
  <c r="E590" i="5"/>
  <c r="B590" i="5"/>
  <c r="E589" i="5"/>
  <c r="B589" i="5"/>
  <c r="E588" i="5"/>
  <c r="B588" i="5"/>
  <c r="E587" i="5"/>
  <c r="B587" i="5"/>
  <c r="E586" i="5"/>
  <c r="B586" i="5"/>
  <c r="E585" i="5"/>
  <c r="B585" i="5"/>
  <c r="E584" i="5"/>
  <c r="B584" i="5"/>
  <c r="E583" i="5"/>
  <c r="B583" i="5"/>
  <c r="E582" i="5"/>
  <c r="B582" i="5"/>
  <c r="E581" i="5"/>
  <c r="B581" i="5"/>
  <c r="E580" i="5"/>
  <c r="B580" i="5"/>
  <c r="E579" i="5"/>
  <c r="B579" i="5"/>
  <c r="E578" i="5"/>
  <c r="B578" i="5"/>
  <c r="E577" i="5"/>
  <c r="B577" i="5"/>
  <c r="E576" i="5"/>
  <c r="B576" i="5"/>
  <c r="E575" i="5"/>
  <c r="B575" i="5"/>
  <c r="E574" i="5"/>
  <c r="B574" i="5"/>
  <c r="E573" i="5"/>
  <c r="B573" i="5"/>
  <c r="E572" i="5"/>
  <c r="B572" i="5"/>
  <c r="E571" i="5"/>
  <c r="B571" i="5"/>
  <c r="E570" i="5"/>
  <c r="B570" i="5"/>
  <c r="E569" i="5"/>
  <c r="B569" i="5"/>
  <c r="E568" i="5"/>
  <c r="B568" i="5"/>
  <c r="E567" i="5"/>
  <c r="B567" i="5"/>
  <c r="E566" i="5"/>
  <c r="B566" i="5"/>
  <c r="E565" i="5"/>
  <c r="B565" i="5"/>
  <c r="E564" i="5"/>
  <c r="B564" i="5"/>
  <c r="E563" i="5"/>
  <c r="B563" i="5"/>
  <c r="E562" i="5"/>
  <c r="B562" i="5"/>
  <c r="E561" i="5"/>
  <c r="B561" i="5"/>
  <c r="E560" i="5"/>
  <c r="B560" i="5"/>
  <c r="E559" i="5"/>
  <c r="B559" i="5"/>
  <c r="E558" i="5"/>
  <c r="B558" i="5"/>
  <c r="E557" i="5"/>
  <c r="B557" i="5"/>
  <c r="E556" i="5"/>
  <c r="B556" i="5"/>
  <c r="E555" i="5"/>
  <c r="B555" i="5"/>
  <c r="E554" i="5"/>
  <c r="B554" i="5"/>
  <c r="E553" i="5"/>
  <c r="B553" i="5"/>
  <c r="E552" i="5"/>
  <c r="B552" i="5"/>
  <c r="E551" i="5"/>
  <c r="B551" i="5"/>
  <c r="E550" i="5"/>
  <c r="B550" i="5"/>
  <c r="E549" i="5"/>
  <c r="B549" i="5"/>
  <c r="E548" i="5"/>
  <c r="B548" i="5"/>
  <c r="E547" i="5"/>
  <c r="B547" i="5"/>
  <c r="E546" i="5"/>
  <c r="B546" i="5"/>
  <c r="E545" i="5"/>
  <c r="B545" i="5"/>
  <c r="E544" i="5"/>
  <c r="B544" i="5"/>
  <c r="E543" i="5"/>
  <c r="B543" i="5"/>
  <c r="E542" i="5"/>
  <c r="B542" i="5"/>
  <c r="E541" i="5"/>
  <c r="B541" i="5"/>
  <c r="E540" i="5"/>
  <c r="B540" i="5"/>
  <c r="E539" i="5"/>
  <c r="B539" i="5"/>
  <c r="E538" i="5"/>
  <c r="B538" i="5"/>
  <c r="E537" i="5"/>
  <c r="B537" i="5"/>
  <c r="E536" i="5"/>
  <c r="B536" i="5"/>
  <c r="E535" i="5"/>
  <c r="B535" i="5"/>
  <c r="E534" i="5"/>
  <c r="B534" i="5"/>
  <c r="E533" i="5"/>
  <c r="B533" i="5"/>
  <c r="E532" i="5"/>
  <c r="B532" i="5"/>
  <c r="E531" i="5"/>
  <c r="B531" i="5"/>
  <c r="E530" i="5"/>
  <c r="B530" i="5"/>
  <c r="E529" i="5"/>
  <c r="B529" i="5"/>
  <c r="E528" i="5"/>
  <c r="B528" i="5"/>
  <c r="E527" i="5"/>
  <c r="B527" i="5"/>
  <c r="E526" i="5"/>
  <c r="B526" i="5"/>
  <c r="E525" i="5"/>
  <c r="B525" i="5"/>
  <c r="E524" i="5"/>
  <c r="B524" i="5"/>
  <c r="E523" i="5"/>
  <c r="B523" i="5"/>
  <c r="E522" i="5"/>
  <c r="B522" i="5"/>
  <c r="E521" i="5"/>
  <c r="B521" i="5"/>
  <c r="E520" i="5"/>
  <c r="B520" i="5"/>
  <c r="E519" i="5"/>
  <c r="B519" i="5"/>
  <c r="E518" i="5"/>
  <c r="B518" i="5"/>
  <c r="E517" i="5"/>
  <c r="B517" i="5"/>
  <c r="E516" i="5"/>
  <c r="B516" i="5"/>
  <c r="E515" i="5"/>
  <c r="B515" i="5"/>
  <c r="E514" i="5"/>
  <c r="B514" i="5"/>
  <c r="E513" i="5"/>
  <c r="B513" i="5"/>
  <c r="E512" i="5"/>
  <c r="B512" i="5"/>
  <c r="E511" i="5"/>
  <c r="B511" i="5"/>
  <c r="E510" i="5"/>
  <c r="B510" i="5"/>
  <c r="E509" i="5"/>
  <c r="B509" i="5"/>
  <c r="E508" i="5"/>
  <c r="B508" i="5"/>
  <c r="E507" i="5"/>
  <c r="B507" i="5"/>
  <c r="E506" i="5"/>
  <c r="B506" i="5"/>
  <c r="E505" i="5"/>
  <c r="B505" i="5"/>
  <c r="E504" i="5"/>
  <c r="B504" i="5"/>
  <c r="E503" i="5"/>
  <c r="B503" i="5"/>
  <c r="E502" i="5"/>
  <c r="B502" i="5"/>
  <c r="E501" i="5"/>
  <c r="B501" i="5"/>
  <c r="E500" i="5"/>
  <c r="B500" i="5"/>
  <c r="E499" i="5"/>
  <c r="B499" i="5"/>
  <c r="E498" i="5"/>
  <c r="B498" i="5"/>
  <c r="E497" i="5"/>
  <c r="B497" i="5"/>
  <c r="E496" i="5"/>
  <c r="B496" i="5"/>
  <c r="E495" i="5"/>
  <c r="B495" i="5"/>
  <c r="E494" i="5"/>
  <c r="B494" i="5"/>
  <c r="E493" i="5"/>
  <c r="B493" i="5"/>
  <c r="E492" i="5"/>
  <c r="B492" i="5"/>
  <c r="E491" i="5"/>
  <c r="B491" i="5"/>
  <c r="E490" i="5"/>
  <c r="B490" i="5"/>
  <c r="E489" i="5"/>
  <c r="B489" i="5"/>
  <c r="E488" i="5"/>
  <c r="B488" i="5"/>
  <c r="E487" i="5"/>
  <c r="B487" i="5"/>
  <c r="E486" i="5"/>
  <c r="B486" i="5"/>
  <c r="E485" i="5"/>
  <c r="B485" i="5"/>
  <c r="E484" i="5"/>
  <c r="B484" i="5"/>
  <c r="E483" i="5"/>
  <c r="B483" i="5"/>
  <c r="E482" i="5"/>
  <c r="B482" i="5"/>
  <c r="E481" i="5"/>
  <c r="B481" i="5"/>
  <c r="E480" i="5"/>
  <c r="B480" i="5"/>
  <c r="E479" i="5"/>
  <c r="B479" i="5"/>
  <c r="E478" i="5"/>
  <c r="B478" i="5"/>
  <c r="E477" i="5"/>
  <c r="B477" i="5"/>
  <c r="E476" i="5"/>
  <c r="B476" i="5"/>
  <c r="E475" i="5"/>
  <c r="B475" i="5"/>
  <c r="E474" i="5"/>
  <c r="B474" i="5"/>
  <c r="E473" i="5"/>
  <c r="B473" i="5"/>
  <c r="E472" i="5"/>
  <c r="B472" i="5"/>
  <c r="E471" i="5"/>
  <c r="B471" i="5"/>
  <c r="E470" i="5"/>
  <c r="B470" i="5"/>
  <c r="E469" i="5"/>
  <c r="B469" i="5"/>
  <c r="E468" i="5"/>
  <c r="B468" i="5"/>
  <c r="E467" i="5"/>
  <c r="B467" i="5"/>
  <c r="E466" i="5"/>
  <c r="B466" i="5"/>
  <c r="E465" i="5"/>
  <c r="B465" i="5"/>
  <c r="E464" i="5"/>
  <c r="B464" i="5"/>
  <c r="E463" i="5"/>
  <c r="B463" i="5"/>
  <c r="E462" i="5"/>
  <c r="B462" i="5"/>
  <c r="E461" i="5"/>
  <c r="B461" i="5"/>
  <c r="E460" i="5"/>
  <c r="B460" i="5"/>
  <c r="E459" i="5"/>
  <c r="B459" i="5"/>
  <c r="E458" i="5"/>
  <c r="B458" i="5"/>
  <c r="E457" i="5"/>
  <c r="B457" i="5"/>
  <c r="E456" i="5"/>
  <c r="B456" i="5"/>
  <c r="E455" i="5"/>
  <c r="B455" i="5"/>
  <c r="E454" i="5"/>
  <c r="B454" i="5"/>
  <c r="E453" i="5"/>
  <c r="B453" i="5"/>
  <c r="E452" i="5"/>
  <c r="B452" i="5"/>
  <c r="E451" i="5"/>
  <c r="B451" i="5"/>
  <c r="E450" i="5"/>
  <c r="B450" i="5"/>
  <c r="E449" i="5"/>
  <c r="B449" i="5"/>
  <c r="E448" i="5"/>
  <c r="B448" i="5"/>
  <c r="E447" i="5"/>
  <c r="B447" i="5"/>
  <c r="E446" i="5"/>
  <c r="B446" i="5"/>
  <c r="E445" i="5"/>
  <c r="B445" i="5"/>
  <c r="E444" i="5"/>
  <c r="B444" i="5"/>
  <c r="E443" i="5"/>
  <c r="B443" i="5"/>
  <c r="E442" i="5"/>
  <c r="B442" i="5"/>
  <c r="E441" i="5"/>
  <c r="B441" i="5"/>
  <c r="E440" i="5"/>
  <c r="B440" i="5"/>
  <c r="E439" i="5"/>
  <c r="B439" i="5"/>
  <c r="E438" i="5"/>
  <c r="B438" i="5"/>
  <c r="E437" i="5"/>
  <c r="B437" i="5"/>
  <c r="E436" i="5"/>
  <c r="B436" i="5"/>
  <c r="E435" i="5"/>
  <c r="B435" i="5"/>
  <c r="E434" i="5"/>
  <c r="B434" i="5"/>
  <c r="E433" i="5"/>
  <c r="B433" i="5"/>
  <c r="E432" i="5"/>
  <c r="B432" i="5"/>
  <c r="E431" i="5"/>
  <c r="B431" i="5"/>
  <c r="E430" i="5"/>
  <c r="B430" i="5"/>
  <c r="E429" i="5"/>
  <c r="B429" i="5"/>
  <c r="E428" i="5"/>
  <c r="B428" i="5"/>
  <c r="E427" i="5"/>
  <c r="B427" i="5"/>
  <c r="E426" i="5"/>
  <c r="B426" i="5"/>
  <c r="E425" i="5"/>
  <c r="B425" i="5"/>
  <c r="E424" i="5"/>
  <c r="B424" i="5"/>
  <c r="E423" i="5"/>
  <c r="B423" i="5"/>
  <c r="E422" i="5"/>
  <c r="B422" i="5"/>
  <c r="E421" i="5"/>
  <c r="B421" i="5"/>
  <c r="E420" i="5"/>
  <c r="B420" i="5"/>
  <c r="E419" i="5"/>
  <c r="B419" i="5"/>
  <c r="E418" i="5"/>
  <c r="B418" i="5"/>
  <c r="E417" i="5"/>
  <c r="B417" i="5"/>
  <c r="E416" i="5"/>
  <c r="B416" i="5"/>
  <c r="E415" i="5"/>
  <c r="B415" i="5"/>
  <c r="E414" i="5"/>
  <c r="B414" i="5"/>
  <c r="E413" i="5"/>
  <c r="B413" i="5"/>
  <c r="E412" i="5"/>
  <c r="B412" i="5"/>
  <c r="E411" i="5"/>
  <c r="B411" i="5"/>
  <c r="E410" i="5"/>
  <c r="B410" i="5"/>
  <c r="E409" i="5"/>
  <c r="B409" i="5"/>
  <c r="E408" i="5"/>
  <c r="B408" i="5"/>
  <c r="E407" i="5"/>
  <c r="B407" i="5"/>
  <c r="E406" i="5"/>
  <c r="B406" i="5"/>
  <c r="E405" i="5"/>
  <c r="B405" i="5"/>
  <c r="E404" i="5"/>
  <c r="B404" i="5"/>
  <c r="E403" i="5"/>
  <c r="B403" i="5"/>
  <c r="E402" i="5"/>
  <c r="B402" i="5"/>
  <c r="E401" i="5"/>
  <c r="B401" i="5"/>
  <c r="E400" i="5"/>
  <c r="B400" i="5"/>
  <c r="E399" i="5"/>
  <c r="B399" i="5"/>
  <c r="E398" i="5"/>
  <c r="B398" i="5"/>
  <c r="E397" i="5"/>
  <c r="B397" i="5"/>
  <c r="E396" i="5"/>
  <c r="B396" i="5"/>
  <c r="E395" i="5"/>
  <c r="B395" i="5"/>
  <c r="E394" i="5"/>
  <c r="B394" i="5"/>
  <c r="E393" i="5"/>
  <c r="B393" i="5"/>
  <c r="E392" i="5"/>
  <c r="B392" i="5"/>
  <c r="E391" i="5"/>
  <c r="B391" i="5"/>
  <c r="E390" i="5"/>
  <c r="B390" i="5"/>
  <c r="E389" i="5"/>
  <c r="B389" i="5"/>
  <c r="E388" i="5"/>
  <c r="B388" i="5"/>
  <c r="E387" i="5"/>
  <c r="B387" i="5"/>
  <c r="E386" i="5"/>
  <c r="B386" i="5"/>
  <c r="E385" i="5"/>
  <c r="B385" i="5"/>
  <c r="E384" i="5"/>
  <c r="B384" i="5"/>
  <c r="E383" i="5"/>
  <c r="B383" i="5"/>
  <c r="E382" i="5"/>
  <c r="B382" i="5"/>
  <c r="E381" i="5"/>
  <c r="B381" i="5"/>
  <c r="E380" i="5"/>
  <c r="B380" i="5"/>
  <c r="E379" i="5"/>
  <c r="B379" i="5"/>
  <c r="E378" i="5"/>
  <c r="B378" i="5"/>
  <c r="E377" i="5"/>
  <c r="B377" i="5"/>
  <c r="E376" i="5"/>
  <c r="B376" i="5"/>
  <c r="E375" i="5"/>
  <c r="B375" i="5"/>
  <c r="E374" i="5"/>
  <c r="B374" i="5"/>
  <c r="E373" i="5"/>
  <c r="B373" i="5"/>
  <c r="E372" i="5"/>
  <c r="B372" i="5"/>
  <c r="E371" i="5"/>
  <c r="B371" i="5"/>
  <c r="E370" i="5"/>
  <c r="B370" i="5"/>
  <c r="E369" i="5"/>
  <c r="B369" i="5"/>
  <c r="E368" i="5"/>
  <c r="B368" i="5"/>
  <c r="E367" i="5"/>
  <c r="B367" i="5"/>
  <c r="E366" i="5"/>
  <c r="B366" i="5"/>
  <c r="E365" i="5"/>
  <c r="B365" i="5"/>
  <c r="E364" i="5"/>
  <c r="B364" i="5"/>
  <c r="E363" i="5"/>
  <c r="B363" i="5"/>
  <c r="E362" i="5"/>
  <c r="B362" i="5"/>
  <c r="E361" i="5"/>
  <c r="B361" i="5"/>
  <c r="E360" i="5"/>
  <c r="B360" i="5"/>
  <c r="E359" i="5"/>
  <c r="B359" i="5"/>
  <c r="E358" i="5"/>
  <c r="B358" i="5"/>
  <c r="E357" i="5"/>
  <c r="B357" i="5"/>
  <c r="E356" i="5"/>
  <c r="B356" i="5"/>
  <c r="E355" i="5"/>
  <c r="B355" i="5"/>
  <c r="E354" i="5"/>
  <c r="B354" i="5"/>
  <c r="E353" i="5"/>
  <c r="B353" i="5"/>
  <c r="E352" i="5"/>
  <c r="B352" i="5"/>
  <c r="E351" i="5"/>
  <c r="B351" i="5"/>
  <c r="E350" i="5"/>
  <c r="B350" i="5"/>
  <c r="E349" i="5"/>
  <c r="B349" i="5"/>
  <c r="E348" i="5"/>
  <c r="B348" i="5"/>
  <c r="E347" i="5"/>
  <c r="B347" i="5"/>
  <c r="E346" i="5"/>
  <c r="B346" i="5"/>
  <c r="E345" i="5"/>
  <c r="B345" i="5"/>
  <c r="E344" i="5"/>
  <c r="B344" i="5"/>
  <c r="E343" i="5"/>
  <c r="B343" i="5"/>
  <c r="E342" i="5"/>
  <c r="B342" i="5"/>
  <c r="E341" i="5"/>
  <c r="B341" i="5"/>
  <c r="E340" i="5"/>
  <c r="B340" i="5"/>
  <c r="E339" i="5"/>
  <c r="B339" i="5"/>
  <c r="E338" i="5"/>
  <c r="B338" i="5"/>
  <c r="E337" i="5"/>
  <c r="B337" i="5"/>
  <c r="E336" i="5"/>
  <c r="B336" i="5"/>
  <c r="E335" i="5"/>
  <c r="B335" i="5"/>
  <c r="E334" i="5"/>
  <c r="B334" i="5"/>
  <c r="E333" i="5"/>
  <c r="B333" i="5"/>
  <c r="E332" i="5"/>
  <c r="B332" i="5"/>
  <c r="E331" i="5"/>
  <c r="B331" i="5"/>
  <c r="E330" i="5"/>
  <c r="B330" i="5"/>
  <c r="E329" i="5"/>
  <c r="B329" i="5"/>
  <c r="E328" i="5"/>
  <c r="B328" i="5"/>
  <c r="E327" i="5"/>
  <c r="B327" i="5"/>
  <c r="E326" i="5"/>
  <c r="B326" i="5"/>
  <c r="E325" i="5"/>
  <c r="B325" i="5"/>
  <c r="E324" i="5"/>
  <c r="B324" i="5"/>
  <c r="E323" i="5"/>
  <c r="B323" i="5"/>
  <c r="E322" i="5"/>
  <c r="B322" i="5"/>
  <c r="E321" i="5"/>
  <c r="B321" i="5"/>
  <c r="E320" i="5"/>
  <c r="B320" i="5"/>
  <c r="E319" i="5"/>
  <c r="B319" i="5"/>
  <c r="E318" i="5"/>
  <c r="B318" i="5"/>
  <c r="E317" i="5"/>
  <c r="B317" i="5"/>
  <c r="E316" i="5"/>
  <c r="B316" i="5"/>
  <c r="E315" i="5"/>
  <c r="B315" i="5"/>
  <c r="E314" i="5"/>
  <c r="B314" i="5"/>
  <c r="E313" i="5"/>
  <c r="B313" i="5"/>
  <c r="E312" i="5"/>
  <c r="B312" i="5"/>
  <c r="E311" i="5"/>
  <c r="B311" i="5"/>
  <c r="E310" i="5"/>
  <c r="B310" i="5"/>
  <c r="E309" i="5"/>
  <c r="B309" i="5"/>
  <c r="E308" i="5"/>
  <c r="B308" i="5"/>
  <c r="E307" i="5"/>
  <c r="B307" i="5"/>
  <c r="E306" i="5"/>
  <c r="B306" i="5"/>
  <c r="E305" i="5"/>
  <c r="B305" i="5"/>
  <c r="E304" i="5"/>
  <c r="B304" i="5"/>
  <c r="E303" i="5"/>
  <c r="B303" i="5"/>
  <c r="E302" i="5"/>
  <c r="B302" i="5"/>
  <c r="E301" i="5"/>
  <c r="B301" i="5"/>
  <c r="E300" i="5"/>
  <c r="B300" i="5"/>
  <c r="E299" i="5"/>
  <c r="B299" i="5"/>
  <c r="E298" i="5"/>
  <c r="B298" i="5"/>
  <c r="E297" i="5"/>
  <c r="B297" i="5"/>
  <c r="E296" i="5"/>
  <c r="B296" i="5"/>
  <c r="E295" i="5"/>
  <c r="B295" i="5"/>
  <c r="E294" i="5"/>
  <c r="B294" i="5"/>
  <c r="E293" i="5"/>
  <c r="B293" i="5"/>
  <c r="E292" i="5"/>
  <c r="B292" i="5"/>
  <c r="E291" i="5"/>
  <c r="B291" i="5"/>
  <c r="E290" i="5"/>
  <c r="B290" i="5"/>
  <c r="E289" i="5"/>
  <c r="B289" i="5"/>
  <c r="E288" i="5"/>
  <c r="B288" i="5"/>
  <c r="E287" i="5"/>
  <c r="B287" i="5"/>
  <c r="E286" i="5"/>
  <c r="B286" i="5"/>
  <c r="E285" i="5"/>
  <c r="B285" i="5"/>
  <c r="E284" i="5"/>
  <c r="B284" i="5"/>
  <c r="E283" i="5"/>
  <c r="B283" i="5"/>
  <c r="E282" i="5"/>
  <c r="B282" i="5"/>
  <c r="E281" i="5"/>
  <c r="B281" i="5"/>
  <c r="E280" i="5"/>
  <c r="B280" i="5"/>
  <c r="E279" i="5"/>
  <c r="B279" i="5"/>
  <c r="E278" i="5"/>
  <c r="B278" i="5"/>
  <c r="E277" i="5"/>
  <c r="B277" i="5"/>
  <c r="E276" i="5"/>
  <c r="B276" i="5"/>
  <c r="E275" i="5"/>
  <c r="B275" i="5"/>
  <c r="E274" i="5"/>
  <c r="B274" i="5"/>
  <c r="E273" i="5"/>
  <c r="B273" i="5"/>
  <c r="E272" i="5"/>
  <c r="B272" i="5"/>
  <c r="E271" i="5"/>
  <c r="B271" i="5"/>
  <c r="E270" i="5"/>
  <c r="B270" i="5"/>
  <c r="E269" i="5"/>
  <c r="B269" i="5"/>
  <c r="E268" i="5"/>
  <c r="B268" i="5"/>
  <c r="E267" i="5"/>
  <c r="B267" i="5"/>
  <c r="E266" i="5"/>
  <c r="B266" i="5"/>
  <c r="E265" i="5"/>
  <c r="B265" i="5"/>
  <c r="E264" i="5"/>
  <c r="B264" i="5"/>
  <c r="E263" i="5"/>
  <c r="B263" i="5"/>
  <c r="E262" i="5"/>
  <c r="B262" i="5"/>
  <c r="E261" i="5"/>
  <c r="B261" i="5"/>
  <c r="E260" i="5"/>
  <c r="B260" i="5"/>
  <c r="E259" i="5"/>
  <c r="B259" i="5"/>
  <c r="E258" i="5"/>
  <c r="B258" i="5"/>
  <c r="E257" i="5"/>
  <c r="B257" i="5"/>
  <c r="E256" i="5"/>
  <c r="B256" i="5"/>
  <c r="E255" i="5"/>
  <c r="B255" i="5"/>
  <c r="E254" i="5"/>
  <c r="B254" i="5"/>
  <c r="E253" i="5"/>
  <c r="B253" i="5"/>
  <c r="E252" i="5"/>
  <c r="B252" i="5"/>
  <c r="E251" i="5"/>
  <c r="B251" i="5"/>
  <c r="E250" i="5"/>
  <c r="B250" i="5"/>
  <c r="E249" i="5"/>
  <c r="B249" i="5"/>
  <c r="E248" i="5"/>
  <c r="B248" i="5"/>
  <c r="E247" i="5"/>
  <c r="B247" i="5"/>
  <c r="E246" i="5"/>
  <c r="B246" i="5"/>
  <c r="E245" i="5"/>
  <c r="B245" i="5"/>
  <c r="E244" i="5"/>
  <c r="B244" i="5"/>
  <c r="E243" i="5"/>
  <c r="B243" i="5"/>
  <c r="E242" i="5"/>
  <c r="B242" i="5"/>
  <c r="E241" i="5"/>
  <c r="B241" i="5"/>
  <c r="E240" i="5"/>
  <c r="B240" i="5"/>
  <c r="E239" i="5"/>
  <c r="B239" i="5"/>
  <c r="E238" i="5"/>
  <c r="B238" i="5"/>
  <c r="E237" i="5"/>
  <c r="B237" i="5"/>
  <c r="E236" i="5"/>
  <c r="B236" i="5"/>
  <c r="E235" i="5"/>
  <c r="B235" i="5"/>
  <c r="E234" i="5"/>
  <c r="B234" i="5"/>
  <c r="E233" i="5"/>
  <c r="B233" i="5"/>
  <c r="E232" i="5"/>
  <c r="B232" i="5"/>
  <c r="E231" i="5"/>
  <c r="B231" i="5"/>
  <c r="E230" i="5"/>
  <c r="B230" i="5"/>
  <c r="E229" i="5"/>
  <c r="B229" i="5"/>
  <c r="E228" i="5"/>
  <c r="B228" i="5"/>
  <c r="E227" i="5"/>
  <c r="B227" i="5"/>
  <c r="E226" i="5"/>
  <c r="B226" i="5"/>
  <c r="E225" i="5"/>
  <c r="B225" i="5"/>
  <c r="E224" i="5"/>
  <c r="B224" i="5"/>
  <c r="E223" i="5"/>
  <c r="B223" i="5"/>
  <c r="E222" i="5"/>
  <c r="B222" i="5"/>
  <c r="E221" i="5"/>
  <c r="B221" i="5"/>
  <c r="E220" i="5"/>
  <c r="B220" i="5"/>
  <c r="E219" i="5"/>
  <c r="B219" i="5"/>
  <c r="E218" i="5"/>
  <c r="B218" i="5"/>
  <c r="E217" i="5"/>
  <c r="B217" i="5"/>
  <c r="E216" i="5"/>
  <c r="B216" i="5"/>
  <c r="E215" i="5"/>
  <c r="B215" i="5"/>
  <c r="E214" i="5"/>
  <c r="B214" i="5"/>
  <c r="E213" i="5"/>
  <c r="B213" i="5"/>
  <c r="E212" i="5"/>
  <c r="B212" i="5"/>
  <c r="E211" i="5"/>
  <c r="B211" i="5"/>
  <c r="E210" i="5"/>
  <c r="B210" i="5"/>
  <c r="E209" i="5"/>
  <c r="B209" i="5"/>
  <c r="E208" i="5"/>
  <c r="B208" i="5"/>
  <c r="E207" i="5"/>
  <c r="B207" i="5"/>
  <c r="E206" i="5"/>
  <c r="B206" i="5"/>
  <c r="E205" i="5"/>
  <c r="B205" i="5"/>
  <c r="E204" i="5"/>
  <c r="B204" i="5"/>
  <c r="E203" i="5"/>
  <c r="B203" i="5"/>
  <c r="E202" i="5"/>
  <c r="B202" i="5"/>
  <c r="E201" i="5"/>
  <c r="B201" i="5"/>
  <c r="E200" i="5"/>
  <c r="B200" i="5"/>
  <c r="E199" i="5"/>
  <c r="B199" i="5"/>
  <c r="E198" i="5"/>
  <c r="B198" i="5"/>
  <c r="E197" i="5"/>
  <c r="B197" i="5"/>
  <c r="E196" i="5"/>
  <c r="B196" i="5"/>
  <c r="E195" i="5"/>
  <c r="B195" i="5"/>
  <c r="E194" i="5"/>
  <c r="B194" i="5"/>
  <c r="E193" i="5"/>
  <c r="B193" i="5"/>
  <c r="E192" i="5"/>
  <c r="B192" i="5"/>
  <c r="E191" i="5"/>
  <c r="B191" i="5"/>
  <c r="E190" i="5"/>
  <c r="B190" i="5"/>
  <c r="E189" i="5"/>
  <c r="B189" i="5"/>
  <c r="E188" i="5"/>
  <c r="B188" i="5"/>
  <c r="E187" i="5"/>
  <c r="B187" i="5"/>
  <c r="E186" i="5"/>
  <c r="B186" i="5"/>
  <c r="E185" i="5"/>
  <c r="B185" i="5"/>
  <c r="E184" i="5"/>
  <c r="B184" i="5"/>
  <c r="E183" i="5"/>
  <c r="B183" i="5"/>
  <c r="E182" i="5"/>
  <c r="B182" i="5"/>
  <c r="E181" i="5"/>
  <c r="B181" i="5"/>
  <c r="E180" i="5"/>
  <c r="B180" i="5"/>
  <c r="E179" i="5"/>
  <c r="B179" i="5"/>
  <c r="E178" i="5"/>
  <c r="B178" i="5"/>
  <c r="E177" i="5"/>
  <c r="B177" i="5"/>
  <c r="E176" i="5"/>
  <c r="B176" i="5"/>
  <c r="E175" i="5"/>
  <c r="B175" i="5"/>
  <c r="E174" i="5"/>
  <c r="B174" i="5"/>
  <c r="E173" i="5"/>
  <c r="B173" i="5"/>
  <c r="E172" i="5"/>
  <c r="B172" i="5"/>
  <c r="E171" i="5"/>
  <c r="B171" i="5"/>
  <c r="E170" i="5"/>
  <c r="B170" i="5"/>
  <c r="E169" i="5"/>
  <c r="B169" i="5"/>
  <c r="E168" i="5"/>
  <c r="B168" i="5"/>
  <c r="E167" i="5"/>
  <c r="B167" i="5"/>
  <c r="E166" i="5"/>
  <c r="B166" i="5"/>
  <c r="E165" i="5"/>
  <c r="B165" i="5"/>
  <c r="E164" i="5"/>
  <c r="B164" i="5"/>
  <c r="E163" i="5"/>
  <c r="B163" i="5"/>
  <c r="E162" i="5"/>
  <c r="B162" i="5"/>
  <c r="E161" i="5"/>
  <c r="B161" i="5"/>
  <c r="E160" i="5"/>
  <c r="B160" i="5"/>
  <c r="E159" i="5"/>
  <c r="B159" i="5"/>
  <c r="E158" i="5"/>
  <c r="B158" i="5"/>
  <c r="E157" i="5"/>
  <c r="B157" i="5"/>
  <c r="E156" i="5"/>
  <c r="B156" i="5"/>
  <c r="E155" i="5"/>
  <c r="B155" i="5"/>
  <c r="E154" i="5"/>
  <c r="B154" i="5"/>
  <c r="E153" i="5"/>
  <c r="B153" i="5"/>
  <c r="E152" i="5"/>
  <c r="B152" i="5"/>
  <c r="E151" i="5"/>
  <c r="B151" i="5"/>
  <c r="E150" i="5"/>
  <c r="B150" i="5"/>
  <c r="E149" i="5"/>
  <c r="B149" i="5"/>
  <c r="E148" i="5"/>
  <c r="B148" i="5"/>
  <c r="E147" i="5"/>
  <c r="B147" i="5"/>
  <c r="E146" i="5"/>
  <c r="B146" i="5"/>
  <c r="E145" i="5"/>
  <c r="B145" i="5"/>
  <c r="E144" i="5"/>
  <c r="B144" i="5"/>
  <c r="E143" i="5"/>
  <c r="B143" i="5"/>
  <c r="E142" i="5"/>
  <c r="B142" i="5"/>
  <c r="E141" i="5"/>
  <c r="B141" i="5"/>
  <c r="E140" i="5"/>
  <c r="B140" i="5"/>
  <c r="E139" i="5"/>
  <c r="B139" i="5"/>
  <c r="E138" i="5"/>
  <c r="B138" i="5"/>
  <c r="E137" i="5"/>
  <c r="B137" i="5"/>
  <c r="E136" i="5"/>
  <c r="B136" i="5"/>
  <c r="E135" i="5"/>
  <c r="B135" i="5"/>
  <c r="E134" i="5"/>
  <c r="B134" i="5"/>
  <c r="E133" i="5"/>
  <c r="B133" i="5"/>
  <c r="E132" i="5"/>
  <c r="B132" i="5"/>
  <c r="E131" i="5"/>
  <c r="B131" i="5"/>
  <c r="E130" i="5"/>
  <c r="B130" i="5"/>
  <c r="E129" i="5"/>
  <c r="B129" i="5"/>
  <c r="E128" i="5"/>
  <c r="B128" i="5"/>
  <c r="E127" i="5"/>
  <c r="B127" i="5"/>
  <c r="E126" i="5"/>
  <c r="B126" i="5"/>
  <c r="E125" i="5"/>
  <c r="B125" i="5"/>
  <c r="E124" i="5"/>
  <c r="B124" i="5"/>
  <c r="E123" i="5"/>
  <c r="B123" i="5"/>
  <c r="E122" i="5"/>
  <c r="B122" i="5"/>
  <c r="E121" i="5"/>
  <c r="B121" i="5"/>
  <c r="E120" i="5"/>
  <c r="B120" i="5"/>
  <c r="E119" i="5"/>
  <c r="B119" i="5"/>
  <c r="E118" i="5"/>
  <c r="B118" i="5"/>
  <c r="E117" i="5"/>
  <c r="B117" i="5"/>
  <c r="E116" i="5"/>
  <c r="B116" i="5"/>
  <c r="E115" i="5"/>
  <c r="B115" i="5"/>
  <c r="E114" i="5"/>
  <c r="B114" i="5"/>
  <c r="E113" i="5"/>
  <c r="B113" i="5"/>
  <c r="E112" i="5"/>
  <c r="B112" i="5"/>
  <c r="E111" i="5"/>
  <c r="B111" i="5"/>
  <c r="E110" i="5"/>
  <c r="B110" i="5"/>
  <c r="E109" i="5"/>
  <c r="B109" i="5"/>
  <c r="E108" i="5"/>
  <c r="B108" i="5"/>
  <c r="E107" i="5"/>
  <c r="B107" i="5"/>
  <c r="E106" i="5"/>
  <c r="B106" i="5"/>
  <c r="E105" i="5"/>
  <c r="B105" i="5"/>
  <c r="E104" i="5"/>
  <c r="B104" i="5"/>
  <c r="E103" i="5"/>
  <c r="B103" i="5"/>
  <c r="E102" i="5"/>
  <c r="B102" i="5"/>
  <c r="E101" i="5"/>
  <c r="B101" i="5"/>
  <c r="E100" i="5"/>
  <c r="B100" i="5"/>
  <c r="E99" i="5"/>
  <c r="B99" i="5"/>
  <c r="E98" i="5"/>
  <c r="B98" i="5"/>
  <c r="E97" i="5"/>
  <c r="B97" i="5"/>
  <c r="E96" i="5"/>
  <c r="B96" i="5"/>
  <c r="E95" i="5"/>
  <c r="B95" i="5"/>
  <c r="E94" i="5"/>
  <c r="B94" i="5"/>
  <c r="E93" i="5"/>
  <c r="B93" i="5"/>
  <c r="E92" i="5"/>
  <c r="B92" i="5"/>
  <c r="E91" i="5"/>
  <c r="B91" i="5"/>
  <c r="E90" i="5"/>
  <c r="B90" i="5"/>
  <c r="E89" i="5"/>
  <c r="B89" i="5"/>
  <c r="E88" i="5"/>
  <c r="B88" i="5"/>
  <c r="E87" i="5"/>
  <c r="B87" i="5"/>
  <c r="E86" i="5"/>
  <c r="B86" i="5"/>
  <c r="E85" i="5"/>
  <c r="B85" i="5"/>
  <c r="E84" i="5"/>
  <c r="B84" i="5"/>
  <c r="E83" i="5"/>
  <c r="B83" i="5"/>
  <c r="E82" i="5"/>
  <c r="B82" i="5"/>
  <c r="E81" i="5"/>
  <c r="B81" i="5"/>
  <c r="E80" i="5"/>
  <c r="B80" i="5"/>
  <c r="E79" i="5"/>
  <c r="B79" i="5"/>
  <c r="E78" i="5"/>
  <c r="B78" i="5"/>
  <c r="E77" i="5"/>
  <c r="B77" i="5"/>
  <c r="E76" i="5"/>
  <c r="B76" i="5"/>
  <c r="E75" i="5"/>
  <c r="B75" i="5"/>
  <c r="E74" i="5"/>
  <c r="B74" i="5"/>
  <c r="E73" i="5"/>
  <c r="B73" i="5"/>
  <c r="E72" i="5"/>
  <c r="B72" i="5"/>
  <c r="E71" i="5"/>
  <c r="B71" i="5"/>
  <c r="E70" i="5"/>
  <c r="B70" i="5"/>
  <c r="E69" i="5"/>
  <c r="B69" i="5"/>
  <c r="E68" i="5"/>
  <c r="B68" i="5"/>
  <c r="E67" i="5"/>
  <c r="B67" i="5"/>
  <c r="E66" i="5"/>
  <c r="B66" i="5"/>
  <c r="E65" i="5"/>
  <c r="B65" i="5"/>
  <c r="E64" i="5"/>
  <c r="B64" i="5"/>
  <c r="E63" i="5"/>
  <c r="B63" i="5"/>
  <c r="E62" i="5"/>
  <c r="B62" i="5"/>
  <c r="E61" i="5"/>
  <c r="B61" i="5"/>
  <c r="E60" i="5"/>
  <c r="B60" i="5"/>
  <c r="E59" i="5"/>
  <c r="B59" i="5"/>
  <c r="E58" i="5"/>
  <c r="B58" i="5"/>
  <c r="E57" i="5"/>
  <c r="B57" i="5"/>
  <c r="E56" i="5"/>
  <c r="B56" i="5"/>
  <c r="E55" i="5"/>
  <c r="B55" i="5"/>
  <c r="E54" i="5"/>
  <c r="B54" i="5"/>
  <c r="E53" i="5"/>
  <c r="B53" i="5"/>
  <c r="E52" i="5"/>
  <c r="B52" i="5"/>
  <c r="E51" i="5"/>
  <c r="B51" i="5"/>
  <c r="E50" i="5"/>
  <c r="B50" i="5"/>
  <c r="E49" i="5"/>
  <c r="B49" i="5"/>
  <c r="E48" i="5"/>
  <c r="B48" i="5"/>
  <c r="E47" i="5"/>
  <c r="B47" i="5"/>
  <c r="E46" i="5"/>
  <c r="B46" i="5"/>
  <c r="E45" i="5"/>
  <c r="B45" i="5"/>
  <c r="E44" i="5"/>
  <c r="B44" i="5"/>
  <c r="E43" i="5"/>
  <c r="B43" i="5"/>
  <c r="E42" i="5"/>
  <c r="B42" i="5"/>
  <c r="E41" i="5"/>
  <c r="B41" i="5"/>
  <c r="E40" i="5"/>
  <c r="B40" i="5"/>
  <c r="E39" i="5"/>
  <c r="B39" i="5"/>
  <c r="E38" i="5"/>
  <c r="B38" i="5"/>
  <c r="E37" i="5"/>
  <c r="B37" i="5"/>
  <c r="E36" i="5"/>
  <c r="B36" i="5"/>
  <c r="E35" i="5"/>
  <c r="B35" i="5"/>
  <c r="E34" i="5"/>
  <c r="B34" i="5"/>
  <c r="E33" i="5"/>
  <c r="B33" i="5"/>
  <c r="E32" i="5"/>
  <c r="B32" i="5"/>
  <c r="E31" i="5"/>
  <c r="B31" i="5"/>
  <c r="E30" i="5"/>
  <c r="B30" i="5"/>
  <c r="E29" i="5"/>
  <c r="B29" i="5"/>
  <c r="E28" i="5"/>
  <c r="B28" i="5"/>
  <c r="E27" i="5"/>
  <c r="B27" i="5"/>
  <c r="E26" i="5"/>
  <c r="B26" i="5"/>
  <c r="E25" i="5"/>
  <c r="B25" i="5"/>
  <c r="E24" i="5"/>
  <c r="B24" i="5"/>
  <c r="E23" i="5"/>
  <c r="B23" i="5"/>
  <c r="E22" i="5"/>
  <c r="B22" i="5"/>
  <c r="E21" i="5"/>
  <c r="B21" i="5"/>
  <c r="E20" i="5"/>
  <c r="B20" i="5"/>
  <c r="E19" i="5"/>
  <c r="B19" i="5"/>
  <c r="E18" i="5"/>
  <c r="B18" i="5"/>
  <c r="E17" i="5"/>
  <c r="B17" i="5"/>
  <c r="E16" i="5"/>
  <c r="B16" i="5"/>
  <c r="E15" i="5"/>
  <c r="B15" i="5"/>
  <c r="E14" i="5"/>
  <c r="B14" i="5"/>
  <c r="E13" i="5"/>
  <c r="B13" i="5"/>
  <c r="E12" i="5"/>
  <c r="B12" i="5"/>
  <c r="E11" i="5"/>
  <c r="B11" i="5"/>
  <c r="E10" i="5"/>
  <c r="B10" i="5"/>
  <c r="E9" i="5"/>
  <c r="B9" i="5"/>
  <c r="E8" i="5"/>
  <c r="B8" i="5"/>
  <c r="E7" i="5"/>
  <c r="B7" i="5"/>
  <c r="E6" i="5"/>
  <c r="B6" i="5"/>
  <c r="E5" i="5"/>
  <c r="B5" i="5"/>
  <c r="E4" i="5"/>
  <c r="B4" i="5"/>
  <c r="E3" i="5"/>
  <c r="B3" i="5"/>
  <c r="C600" i="4"/>
  <c r="B600" i="4"/>
  <c r="C599" i="4"/>
  <c r="B599" i="4"/>
  <c r="C598" i="4"/>
  <c r="B598" i="4"/>
  <c r="C597" i="4"/>
  <c r="B597" i="4"/>
  <c r="C596" i="4"/>
  <c r="B596" i="4"/>
  <c r="C595" i="4"/>
  <c r="B595" i="4"/>
  <c r="C594" i="4"/>
  <c r="B594" i="4"/>
  <c r="C593" i="4"/>
  <c r="B593" i="4"/>
  <c r="C592" i="4"/>
  <c r="B592" i="4"/>
  <c r="C591" i="4"/>
  <c r="B591" i="4"/>
  <c r="C590" i="4"/>
  <c r="B590" i="4"/>
  <c r="C589" i="4"/>
  <c r="B589" i="4"/>
  <c r="C588" i="4"/>
  <c r="B588" i="4"/>
  <c r="C587" i="4"/>
  <c r="B587" i="4"/>
  <c r="C586" i="4"/>
  <c r="B586" i="4"/>
  <c r="C585" i="4"/>
  <c r="B585" i="4"/>
  <c r="C584" i="4"/>
  <c r="B584" i="4"/>
  <c r="C583" i="4"/>
  <c r="B583" i="4"/>
  <c r="C582" i="4"/>
  <c r="B582" i="4"/>
  <c r="C581" i="4"/>
  <c r="B581" i="4"/>
  <c r="C580" i="4"/>
  <c r="B580" i="4"/>
  <c r="C579" i="4"/>
  <c r="B579" i="4"/>
  <c r="C578" i="4"/>
  <c r="B578" i="4"/>
  <c r="C577" i="4"/>
  <c r="B577" i="4"/>
  <c r="C576" i="4"/>
  <c r="B576" i="4"/>
  <c r="C575" i="4"/>
  <c r="B575" i="4"/>
  <c r="C574" i="4"/>
  <c r="B574" i="4"/>
  <c r="C573" i="4"/>
  <c r="B573" i="4"/>
  <c r="C572" i="4"/>
  <c r="B572" i="4"/>
  <c r="C571" i="4"/>
  <c r="B571" i="4"/>
  <c r="C570" i="4"/>
  <c r="B570" i="4"/>
  <c r="C569" i="4"/>
  <c r="B569" i="4"/>
  <c r="C568" i="4"/>
  <c r="B568" i="4"/>
  <c r="C567" i="4"/>
  <c r="B567" i="4"/>
  <c r="C566" i="4"/>
  <c r="B566" i="4"/>
  <c r="C565" i="4"/>
  <c r="B565" i="4"/>
  <c r="C564" i="4"/>
  <c r="B564" i="4"/>
  <c r="C563" i="4"/>
  <c r="B563" i="4"/>
  <c r="C562" i="4"/>
  <c r="B562" i="4"/>
  <c r="C561" i="4"/>
  <c r="B561" i="4"/>
  <c r="C560" i="4"/>
  <c r="B560" i="4"/>
  <c r="C559" i="4"/>
  <c r="B559" i="4"/>
  <c r="C558" i="4"/>
  <c r="B558" i="4"/>
  <c r="C557" i="4"/>
  <c r="B557" i="4"/>
  <c r="C556" i="4"/>
  <c r="B556" i="4"/>
  <c r="C555" i="4"/>
  <c r="B555" i="4"/>
  <c r="C554" i="4"/>
  <c r="B554" i="4"/>
  <c r="C553" i="4"/>
  <c r="B553" i="4"/>
  <c r="C552" i="4"/>
  <c r="B552" i="4"/>
  <c r="C551" i="4"/>
  <c r="B551" i="4"/>
  <c r="C550" i="4"/>
  <c r="B550" i="4"/>
  <c r="C549" i="4"/>
  <c r="B549" i="4"/>
  <c r="C548" i="4"/>
  <c r="B548" i="4"/>
  <c r="C547" i="4"/>
  <c r="B547" i="4"/>
  <c r="C546" i="4"/>
  <c r="B546" i="4"/>
  <c r="C545" i="4"/>
  <c r="B545" i="4"/>
  <c r="C544" i="4"/>
  <c r="B544" i="4"/>
  <c r="C543" i="4"/>
  <c r="B543" i="4"/>
  <c r="C542" i="4"/>
  <c r="B542" i="4"/>
  <c r="C541" i="4"/>
  <c r="B541" i="4"/>
  <c r="C540" i="4"/>
  <c r="B540" i="4"/>
  <c r="C539" i="4"/>
  <c r="B539" i="4"/>
  <c r="C538" i="4"/>
  <c r="B538" i="4"/>
  <c r="C537" i="4"/>
  <c r="B537" i="4"/>
  <c r="C536" i="4"/>
  <c r="B536" i="4"/>
  <c r="C535" i="4"/>
  <c r="B535" i="4"/>
  <c r="C534" i="4"/>
  <c r="B534" i="4"/>
  <c r="C533" i="4"/>
  <c r="B533" i="4"/>
  <c r="C532" i="4"/>
  <c r="B532" i="4"/>
  <c r="C531" i="4"/>
  <c r="B531" i="4"/>
  <c r="C530" i="4"/>
  <c r="B530" i="4"/>
  <c r="C529" i="4"/>
  <c r="B529" i="4"/>
  <c r="C528" i="4"/>
  <c r="B528" i="4"/>
  <c r="C527" i="4"/>
  <c r="B527" i="4"/>
  <c r="C526" i="4"/>
  <c r="B526" i="4"/>
  <c r="C525" i="4"/>
  <c r="B525" i="4"/>
  <c r="C524" i="4"/>
  <c r="B524" i="4"/>
  <c r="C523" i="4"/>
  <c r="B523" i="4"/>
  <c r="C522" i="4"/>
  <c r="B522" i="4"/>
  <c r="C521" i="4"/>
  <c r="B521" i="4"/>
  <c r="C520" i="4"/>
  <c r="B520" i="4"/>
  <c r="C519" i="4"/>
  <c r="B519" i="4"/>
  <c r="C518" i="4"/>
  <c r="B518" i="4"/>
  <c r="C517" i="4"/>
  <c r="B517" i="4"/>
  <c r="C516" i="4"/>
  <c r="B516" i="4"/>
  <c r="C515" i="4"/>
  <c r="B515" i="4"/>
  <c r="C514" i="4"/>
  <c r="B514" i="4"/>
  <c r="C513" i="4"/>
  <c r="B513" i="4"/>
  <c r="C512" i="4"/>
  <c r="B512" i="4"/>
  <c r="C511" i="4"/>
  <c r="B511" i="4"/>
  <c r="C510" i="4"/>
  <c r="B510" i="4"/>
  <c r="C509" i="4"/>
  <c r="B509" i="4"/>
  <c r="C508" i="4"/>
  <c r="B508" i="4"/>
  <c r="C507" i="4"/>
  <c r="B507" i="4"/>
  <c r="C506" i="4"/>
  <c r="B506" i="4"/>
  <c r="C505" i="4"/>
  <c r="B505" i="4"/>
  <c r="C504" i="4"/>
  <c r="B504" i="4"/>
  <c r="C503" i="4"/>
  <c r="B503" i="4"/>
  <c r="C502" i="4"/>
  <c r="B502" i="4"/>
  <c r="C501" i="4"/>
  <c r="B501" i="4"/>
  <c r="C500" i="4"/>
  <c r="B500" i="4"/>
  <c r="C499" i="4"/>
  <c r="B499" i="4"/>
  <c r="C498" i="4"/>
  <c r="B498" i="4"/>
  <c r="C497" i="4"/>
  <c r="B497" i="4"/>
  <c r="C496" i="4"/>
  <c r="B496" i="4"/>
  <c r="C495" i="4"/>
  <c r="B495" i="4"/>
  <c r="C494" i="4"/>
  <c r="B494" i="4"/>
  <c r="C493" i="4"/>
  <c r="B493" i="4"/>
  <c r="C492" i="4"/>
  <c r="B492" i="4"/>
  <c r="C491" i="4"/>
  <c r="B491" i="4"/>
  <c r="C490" i="4"/>
  <c r="B490" i="4"/>
  <c r="C489" i="4"/>
  <c r="B489" i="4"/>
  <c r="C488" i="4"/>
  <c r="B488" i="4"/>
  <c r="C487" i="4"/>
  <c r="B487" i="4"/>
  <c r="C486" i="4"/>
  <c r="B486" i="4"/>
  <c r="C485" i="4"/>
  <c r="B485" i="4"/>
  <c r="C484" i="4"/>
  <c r="B484" i="4"/>
  <c r="C483" i="4"/>
  <c r="B483" i="4"/>
  <c r="C482" i="4"/>
  <c r="B482" i="4"/>
  <c r="C481" i="4"/>
  <c r="B481" i="4"/>
  <c r="C480" i="4"/>
  <c r="B480" i="4"/>
  <c r="C479" i="4"/>
  <c r="B479" i="4"/>
  <c r="C478" i="4"/>
  <c r="B478" i="4"/>
  <c r="C477" i="4"/>
  <c r="B477" i="4"/>
  <c r="C476" i="4"/>
  <c r="B476" i="4"/>
  <c r="C475" i="4"/>
  <c r="B475" i="4"/>
  <c r="C474" i="4"/>
  <c r="B474" i="4"/>
  <c r="C473" i="4"/>
  <c r="B473" i="4"/>
  <c r="C472" i="4"/>
  <c r="B472" i="4"/>
  <c r="C471" i="4"/>
  <c r="B471" i="4"/>
  <c r="C470" i="4"/>
  <c r="B470" i="4"/>
  <c r="C469" i="4"/>
  <c r="B469" i="4"/>
  <c r="C468" i="4"/>
  <c r="B468" i="4"/>
  <c r="C467" i="4"/>
  <c r="B467" i="4"/>
  <c r="C466" i="4"/>
  <c r="B466" i="4"/>
  <c r="C465" i="4"/>
  <c r="B465" i="4"/>
  <c r="C464" i="4"/>
  <c r="B464" i="4"/>
  <c r="C463" i="4"/>
  <c r="B463" i="4"/>
  <c r="C462" i="4"/>
  <c r="B462" i="4"/>
  <c r="C461" i="4"/>
  <c r="B461" i="4"/>
  <c r="C460" i="4"/>
  <c r="B460" i="4"/>
  <c r="C459" i="4"/>
  <c r="B459" i="4"/>
  <c r="C458" i="4"/>
  <c r="B458" i="4"/>
  <c r="C457" i="4"/>
  <c r="B457" i="4"/>
  <c r="C456" i="4"/>
  <c r="B456" i="4"/>
  <c r="C455" i="4"/>
  <c r="B455" i="4"/>
  <c r="C454" i="4"/>
  <c r="B454" i="4"/>
  <c r="C453" i="4"/>
  <c r="B453" i="4"/>
  <c r="C452" i="4"/>
  <c r="B452" i="4"/>
  <c r="C451" i="4"/>
  <c r="B451" i="4"/>
  <c r="C450" i="4"/>
  <c r="B450" i="4"/>
  <c r="C449" i="4"/>
  <c r="B449" i="4"/>
  <c r="C448" i="4"/>
  <c r="B448" i="4"/>
  <c r="C447" i="4"/>
  <c r="B447" i="4"/>
  <c r="C446" i="4"/>
  <c r="B446" i="4"/>
  <c r="C445" i="4"/>
  <c r="B445" i="4"/>
  <c r="C444" i="4"/>
  <c r="B444" i="4"/>
  <c r="C443" i="4"/>
  <c r="B443" i="4"/>
  <c r="C442" i="4"/>
  <c r="B442" i="4"/>
  <c r="C441" i="4"/>
  <c r="B441" i="4"/>
  <c r="C440" i="4"/>
  <c r="B440" i="4"/>
  <c r="C439" i="4"/>
  <c r="B439" i="4"/>
  <c r="C438" i="4"/>
  <c r="B438" i="4"/>
  <c r="C437" i="4"/>
  <c r="B437" i="4"/>
  <c r="C436" i="4"/>
  <c r="B436" i="4"/>
  <c r="C435" i="4"/>
  <c r="B435" i="4"/>
  <c r="C434" i="4"/>
  <c r="B434" i="4"/>
  <c r="C433" i="4"/>
  <c r="B433" i="4"/>
  <c r="C432" i="4"/>
  <c r="B432" i="4"/>
  <c r="C431" i="4"/>
  <c r="B431" i="4"/>
  <c r="C430" i="4"/>
  <c r="B430" i="4"/>
  <c r="C429" i="4"/>
  <c r="B429" i="4"/>
  <c r="C428" i="4"/>
  <c r="B428" i="4"/>
  <c r="C427" i="4"/>
  <c r="B427" i="4"/>
  <c r="C426" i="4"/>
  <c r="B426" i="4"/>
  <c r="C425" i="4"/>
  <c r="B425" i="4"/>
  <c r="C424" i="4"/>
  <c r="B424" i="4"/>
  <c r="C423" i="4"/>
  <c r="B423" i="4"/>
  <c r="C422" i="4"/>
  <c r="B422" i="4"/>
  <c r="C421" i="4"/>
  <c r="B421" i="4"/>
  <c r="C420" i="4"/>
  <c r="B420" i="4"/>
  <c r="C419" i="4"/>
  <c r="B419" i="4"/>
  <c r="C418" i="4"/>
  <c r="B418" i="4"/>
  <c r="C417" i="4"/>
  <c r="B417" i="4"/>
  <c r="C416" i="4"/>
  <c r="B416" i="4"/>
  <c r="C415" i="4"/>
  <c r="B415" i="4"/>
  <c r="C414" i="4"/>
  <c r="B414" i="4"/>
  <c r="C413" i="4"/>
  <c r="B413" i="4"/>
  <c r="C412" i="4"/>
  <c r="B412" i="4"/>
  <c r="C411" i="4"/>
  <c r="B411" i="4"/>
  <c r="C410" i="4"/>
  <c r="B410" i="4"/>
  <c r="C409" i="4"/>
  <c r="B409" i="4"/>
  <c r="C408" i="4"/>
  <c r="B408" i="4"/>
  <c r="C407" i="4"/>
  <c r="B407" i="4"/>
  <c r="C406" i="4"/>
  <c r="B406" i="4"/>
  <c r="C405" i="4"/>
  <c r="B405" i="4"/>
  <c r="C404" i="4"/>
  <c r="B404" i="4"/>
  <c r="C403" i="4"/>
  <c r="B403" i="4"/>
  <c r="C402" i="4"/>
  <c r="B402" i="4"/>
  <c r="C401" i="4"/>
  <c r="B401" i="4"/>
  <c r="C400" i="4"/>
  <c r="B400" i="4"/>
  <c r="C399" i="4"/>
  <c r="B399" i="4"/>
  <c r="C398" i="4"/>
  <c r="B398" i="4"/>
  <c r="C397" i="4"/>
  <c r="B397" i="4"/>
  <c r="C396" i="4"/>
  <c r="B396" i="4"/>
  <c r="C395" i="4"/>
  <c r="B395" i="4"/>
  <c r="C394" i="4"/>
  <c r="B394" i="4"/>
  <c r="C393" i="4"/>
  <c r="B393" i="4"/>
  <c r="C392" i="4"/>
  <c r="B392" i="4"/>
  <c r="C391" i="4"/>
  <c r="B391" i="4"/>
  <c r="C390" i="4"/>
  <c r="B390" i="4"/>
  <c r="C389" i="4"/>
  <c r="B389" i="4"/>
  <c r="C388" i="4"/>
  <c r="B388" i="4"/>
  <c r="C387" i="4"/>
  <c r="B387" i="4"/>
  <c r="C386" i="4"/>
  <c r="B386" i="4"/>
  <c r="C385" i="4"/>
  <c r="B385" i="4"/>
  <c r="C384" i="4"/>
  <c r="B384" i="4"/>
  <c r="C383" i="4"/>
  <c r="B383" i="4"/>
  <c r="C382" i="4"/>
  <c r="B382" i="4"/>
  <c r="C381" i="4"/>
  <c r="B381" i="4"/>
  <c r="C380" i="4"/>
  <c r="B380" i="4"/>
  <c r="C379" i="4"/>
  <c r="B379" i="4"/>
  <c r="C378" i="4"/>
  <c r="B378" i="4"/>
  <c r="C377" i="4"/>
  <c r="B377" i="4"/>
  <c r="C376" i="4"/>
  <c r="B376" i="4"/>
  <c r="C375" i="4"/>
  <c r="B375" i="4"/>
  <c r="C374" i="4"/>
  <c r="B374" i="4"/>
  <c r="C373" i="4"/>
  <c r="B373" i="4"/>
  <c r="C372" i="4"/>
  <c r="B372" i="4"/>
  <c r="C371" i="4"/>
  <c r="B371" i="4"/>
  <c r="C370" i="4"/>
  <c r="B370" i="4"/>
  <c r="C369" i="4"/>
  <c r="B369" i="4"/>
  <c r="C368" i="4"/>
  <c r="B368" i="4"/>
  <c r="C367" i="4"/>
  <c r="B367" i="4"/>
  <c r="C366" i="4"/>
  <c r="B366" i="4"/>
  <c r="C365" i="4"/>
  <c r="B365" i="4"/>
  <c r="C364" i="4"/>
  <c r="B364" i="4"/>
  <c r="C363" i="4"/>
  <c r="B363" i="4"/>
  <c r="C362" i="4"/>
  <c r="B362" i="4"/>
  <c r="C361" i="4"/>
  <c r="B361" i="4"/>
  <c r="C360" i="4"/>
  <c r="B360" i="4"/>
  <c r="C359" i="4"/>
  <c r="B359" i="4"/>
  <c r="C358" i="4"/>
  <c r="B358" i="4"/>
  <c r="C357" i="4"/>
  <c r="B357" i="4"/>
  <c r="C356" i="4"/>
  <c r="B356" i="4"/>
  <c r="C355" i="4"/>
  <c r="B355" i="4"/>
  <c r="C354" i="4"/>
  <c r="B354" i="4"/>
  <c r="C353" i="4"/>
  <c r="B353" i="4"/>
  <c r="C352" i="4"/>
  <c r="B352" i="4"/>
  <c r="C351" i="4"/>
  <c r="B351" i="4"/>
  <c r="C350" i="4"/>
  <c r="B350" i="4"/>
  <c r="C349" i="4"/>
  <c r="B349" i="4"/>
  <c r="C348" i="4"/>
  <c r="B348" i="4"/>
  <c r="C347" i="4"/>
  <c r="B347" i="4"/>
  <c r="C346" i="4"/>
  <c r="B346" i="4"/>
  <c r="C345" i="4"/>
  <c r="B345" i="4"/>
  <c r="C344" i="4"/>
  <c r="B344" i="4"/>
  <c r="C343" i="4"/>
  <c r="B343" i="4"/>
  <c r="C342" i="4"/>
  <c r="B342" i="4"/>
  <c r="C341" i="4"/>
  <c r="B341" i="4"/>
  <c r="C340" i="4"/>
  <c r="B340" i="4"/>
  <c r="C339" i="4"/>
  <c r="B339" i="4"/>
  <c r="C338" i="4"/>
  <c r="B338" i="4"/>
  <c r="C337" i="4"/>
  <c r="B337" i="4"/>
  <c r="C336" i="4"/>
  <c r="B336" i="4"/>
  <c r="C335" i="4"/>
  <c r="B335" i="4"/>
  <c r="C334" i="4"/>
  <c r="B334" i="4"/>
  <c r="C333" i="4"/>
  <c r="B333" i="4"/>
  <c r="C332" i="4"/>
  <c r="B332" i="4"/>
  <c r="C331" i="4"/>
  <c r="B331" i="4"/>
  <c r="C330" i="4"/>
  <c r="B330" i="4"/>
  <c r="C329" i="4"/>
  <c r="B329" i="4"/>
  <c r="C328" i="4"/>
  <c r="B328" i="4"/>
  <c r="C327" i="4"/>
  <c r="B327" i="4"/>
  <c r="C326" i="4"/>
  <c r="B326" i="4"/>
  <c r="C325" i="4"/>
  <c r="B325" i="4"/>
  <c r="C324" i="4"/>
  <c r="B324" i="4"/>
  <c r="C323" i="4"/>
  <c r="B323" i="4"/>
  <c r="C322" i="4"/>
  <c r="B322" i="4"/>
  <c r="C321" i="4"/>
  <c r="B321" i="4"/>
  <c r="C320" i="4"/>
  <c r="B320" i="4"/>
  <c r="C319" i="4"/>
  <c r="B319" i="4"/>
  <c r="C318" i="4"/>
  <c r="B318" i="4"/>
  <c r="C317" i="4"/>
  <c r="B317" i="4"/>
  <c r="C316" i="4"/>
  <c r="B316" i="4"/>
  <c r="C315" i="4"/>
  <c r="B315" i="4"/>
  <c r="C314" i="4"/>
  <c r="B314" i="4"/>
  <c r="C313" i="4"/>
  <c r="B313" i="4"/>
  <c r="C312" i="4"/>
  <c r="B312" i="4"/>
  <c r="C311" i="4"/>
  <c r="B311" i="4"/>
  <c r="C310" i="4"/>
  <c r="B310" i="4"/>
  <c r="C309" i="4"/>
  <c r="B309" i="4"/>
  <c r="C308" i="4"/>
  <c r="B308" i="4"/>
  <c r="C307" i="4"/>
  <c r="B307" i="4"/>
  <c r="C306" i="4"/>
  <c r="B306" i="4"/>
  <c r="C305" i="4"/>
  <c r="B305" i="4"/>
  <c r="C304" i="4"/>
  <c r="B304" i="4"/>
  <c r="C303" i="4"/>
  <c r="B303" i="4"/>
  <c r="C302" i="4"/>
  <c r="B302" i="4"/>
  <c r="C301" i="4"/>
  <c r="B301" i="4"/>
  <c r="C300" i="4"/>
  <c r="B300" i="4"/>
  <c r="C299" i="4"/>
  <c r="B299" i="4"/>
  <c r="C298" i="4"/>
  <c r="B298" i="4"/>
  <c r="C297" i="4"/>
  <c r="B297" i="4"/>
  <c r="C296" i="4"/>
  <c r="B296" i="4"/>
  <c r="C295" i="4"/>
  <c r="B295" i="4"/>
  <c r="C294" i="4"/>
  <c r="B294" i="4"/>
  <c r="C293" i="4"/>
  <c r="B293" i="4"/>
  <c r="C292" i="4"/>
  <c r="B292" i="4"/>
  <c r="C291" i="4"/>
  <c r="B291" i="4"/>
  <c r="C290" i="4"/>
  <c r="B290" i="4"/>
  <c r="C289" i="4"/>
  <c r="B289" i="4"/>
  <c r="C288" i="4"/>
  <c r="B288" i="4"/>
  <c r="C287" i="4"/>
  <c r="B287" i="4"/>
  <c r="C286" i="4"/>
  <c r="B286" i="4"/>
  <c r="C285" i="4"/>
  <c r="B285" i="4"/>
  <c r="C284" i="4"/>
  <c r="B284" i="4"/>
  <c r="C283" i="4"/>
  <c r="B283" i="4"/>
  <c r="C282" i="4"/>
  <c r="B282" i="4"/>
  <c r="C281" i="4"/>
  <c r="B281" i="4"/>
  <c r="C280" i="4"/>
  <c r="B280" i="4"/>
  <c r="C279" i="4"/>
  <c r="B279" i="4"/>
  <c r="C278" i="4"/>
  <c r="B278" i="4"/>
  <c r="C277" i="4"/>
  <c r="B277" i="4"/>
  <c r="C276" i="4"/>
  <c r="B276" i="4"/>
  <c r="C275" i="4"/>
  <c r="B275" i="4"/>
  <c r="C274" i="4"/>
  <c r="B274" i="4"/>
  <c r="C273" i="4"/>
  <c r="B273" i="4"/>
  <c r="C272" i="4"/>
  <c r="B272" i="4"/>
  <c r="C271" i="4"/>
  <c r="B271" i="4"/>
  <c r="C270" i="4"/>
  <c r="B270" i="4"/>
  <c r="C269" i="4"/>
  <c r="B269" i="4"/>
  <c r="C268" i="4"/>
  <c r="B268" i="4"/>
  <c r="C267" i="4"/>
  <c r="B267" i="4"/>
  <c r="C266" i="4"/>
  <c r="B266" i="4"/>
  <c r="C265" i="4"/>
  <c r="B265" i="4"/>
  <c r="C264" i="4"/>
  <c r="B264" i="4"/>
  <c r="C263" i="4"/>
  <c r="B263" i="4"/>
  <c r="C262" i="4"/>
  <c r="B262" i="4"/>
  <c r="C261" i="4"/>
  <c r="B261" i="4"/>
  <c r="C260" i="4"/>
  <c r="B260" i="4"/>
  <c r="C259" i="4"/>
  <c r="B259" i="4"/>
  <c r="C258" i="4"/>
  <c r="B258" i="4"/>
  <c r="C257" i="4"/>
  <c r="B257" i="4"/>
  <c r="C256" i="4"/>
  <c r="B256" i="4"/>
  <c r="C255" i="4"/>
  <c r="B255" i="4"/>
  <c r="C254" i="4"/>
  <c r="B254" i="4"/>
  <c r="C253" i="4"/>
  <c r="B253" i="4"/>
  <c r="C252" i="4"/>
  <c r="B252" i="4"/>
  <c r="C251" i="4"/>
  <c r="B251" i="4"/>
  <c r="C250" i="4"/>
  <c r="B250" i="4"/>
  <c r="C249" i="4"/>
  <c r="B249" i="4"/>
  <c r="C248" i="4"/>
  <c r="B248" i="4"/>
  <c r="C247" i="4"/>
  <c r="B247" i="4"/>
  <c r="C246" i="4"/>
  <c r="B246" i="4"/>
  <c r="C245" i="4"/>
  <c r="B245" i="4"/>
  <c r="C244" i="4"/>
  <c r="B244" i="4"/>
  <c r="C243" i="4"/>
  <c r="B243" i="4"/>
  <c r="C242" i="4"/>
  <c r="B242" i="4"/>
  <c r="C241" i="4"/>
  <c r="B241" i="4"/>
  <c r="C240" i="4"/>
  <c r="B240" i="4"/>
  <c r="C239" i="4"/>
  <c r="B239" i="4"/>
  <c r="C238" i="4"/>
  <c r="B238" i="4"/>
  <c r="C237" i="4"/>
  <c r="B237" i="4"/>
  <c r="C236" i="4"/>
  <c r="B236" i="4"/>
  <c r="C235" i="4"/>
  <c r="B235" i="4"/>
  <c r="C234" i="4"/>
  <c r="B234" i="4"/>
  <c r="C233" i="4"/>
  <c r="B233" i="4"/>
  <c r="C232" i="4"/>
  <c r="B232" i="4"/>
  <c r="C231" i="4"/>
  <c r="B231" i="4"/>
  <c r="C230" i="4"/>
  <c r="B230" i="4"/>
  <c r="C229" i="4"/>
  <c r="B229" i="4"/>
  <c r="C228" i="4"/>
  <c r="B228" i="4"/>
  <c r="C227" i="4"/>
  <c r="B227" i="4"/>
  <c r="C226" i="4"/>
  <c r="B226" i="4"/>
  <c r="C225" i="4"/>
  <c r="B225" i="4"/>
  <c r="C224" i="4"/>
  <c r="B224" i="4"/>
  <c r="C223" i="4"/>
  <c r="B223" i="4"/>
  <c r="C222" i="4"/>
  <c r="B222" i="4"/>
  <c r="C221" i="4"/>
  <c r="B221" i="4"/>
  <c r="C220" i="4"/>
  <c r="B220" i="4"/>
  <c r="C219" i="4"/>
  <c r="B219" i="4"/>
  <c r="C218" i="4"/>
  <c r="B218" i="4"/>
  <c r="C217" i="4"/>
  <c r="B217" i="4"/>
  <c r="C216" i="4"/>
  <c r="B216" i="4"/>
  <c r="C215" i="4"/>
  <c r="B215" i="4"/>
  <c r="C214" i="4"/>
  <c r="B214" i="4"/>
  <c r="C213" i="4"/>
  <c r="B213" i="4"/>
  <c r="C212" i="4"/>
  <c r="B212" i="4"/>
  <c r="C211" i="4"/>
  <c r="B211" i="4"/>
  <c r="C210" i="4"/>
  <c r="B210" i="4"/>
  <c r="C209" i="4"/>
  <c r="B209" i="4"/>
  <c r="C208" i="4"/>
  <c r="B208" i="4"/>
  <c r="C207" i="4"/>
  <c r="B207" i="4"/>
  <c r="C206" i="4"/>
  <c r="B206" i="4"/>
  <c r="C205" i="4"/>
  <c r="B205" i="4"/>
  <c r="C204" i="4"/>
  <c r="B204" i="4"/>
  <c r="C203" i="4"/>
  <c r="B203" i="4"/>
  <c r="C202" i="4"/>
  <c r="B202" i="4"/>
  <c r="C201" i="4"/>
  <c r="B201" i="4"/>
  <c r="C200" i="4"/>
  <c r="B200" i="4"/>
  <c r="C199" i="4"/>
  <c r="B199" i="4"/>
  <c r="C198" i="4"/>
  <c r="B198" i="4"/>
  <c r="C197" i="4"/>
  <c r="B197" i="4"/>
  <c r="C196" i="4"/>
  <c r="B196" i="4"/>
  <c r="C195" i="4"/>
  <c r="B195" i="4"/>
  <c r="C194" i="4"/>
  <c r="B194" i="4"/>
  <c r="C193" i="4"/>
  <c r="B193" i="4"/>
  <c r="C192" i="4"/>
  <c r="B192" i="4"/>
  <c r="C191" i="4"/>
  <c r="B191" i="4"/>
  <c r="C190" i="4"/>
  <c r="B190" i="4"/>
  <c r="C189" i="4"/>
  <c r="B189" i="4"/>
  <c r="C188" i="4"/>
  <c r="B188" i="4"/>
  <c r="C187" i="4"/>
  <c r="B187" i="4"/>
  <c r="C186" i="4"/>
  <c r="B186" i="4"/>
  <c r="C185" i="4"/>
  <c r="B185" i="4"/>
  <c r="C184" i="4"/>
  <c r="B184" i="4"/>
  <c r="C183" i="4"/>
  <c r="B183" i="4"/>
  <c r="C182" i="4"/>
  <c r="B182" i="4"/>
  <c r="C181" i="4"/>
  <c r="B181" i="4"/>
  <c r="C180" i="4"/>
  <c r="B180" i="4"/>
  <c r="C179" i="4"/>
  <c r="B179" i="4"/>
  <c r="C178" i="4"/>
  <c r="B178" i="4"/>
  <c r="C177" i="4"/>
  <c r="B177" i="4"/>
  <c r="C176" i="4"/>
  <c r="B176" i="4"/>
  <c r="C175" i="4"/>
  <c r="B175" i="4"/>
  <c r="C174" i="4"/>
  <c r="B174" i="4"/>
  <c r="C173" i="4"/>
  <c r="B173" i="4"/>
  <c r="C172" i="4"/>
  <c r="B172" i="4"/>
  <c r="C171" i="4"/>
  <c r="B171" i="4"/>
  <c r="C170" i="4"/>
  <c r="B170" i="4"/>
  <c r="C169" i="4"/>
  <c r="B169" i="4"/>
  <c r="C168" i="4"/>
  <c r="B168" i="4"/>
  <c r="C167" i="4"/>
  <c r="B167" i="4"/>
  <c r="C166" i="4"/>
  <c r="B166" i="4"/>
  <c r="C165" i="4"/>
  <c r="B165" i="4"/>
  <c r="C164" i="4"/>
  <c r="B164" i="4"/>
  <c r="C163" i="4"/>
  <c r="B163" i="4"/>
  <c r="C162" i="4"/>
  <c r="B162" i="4"/>
  <c r="C161" i="4"/>
  <c r="B161" i="4"/>
  <c r="C160" i="4"/>
  <c r="B160" i="4"/>
  <c r="C159" i="4"/>
  <c r="B159" i="4"/>
  <c r="C158" i="4"/>
  <c r="B158" i="4"/>
  <c r="C157" i="4"/>
  <c r="B157" i="4"/>
  <c r="C156" i="4"/>
  <c r="B156" i="4"/>
  <c r="C155" i="4"/>
  <c r="B155" i="4"/>
  <c r="C154" i="4"/>
  <c r="B154" i="4"/>
  <c r="C153" i="4"/>
  <c r="B153" i="4"/>
  <c r="C152" i="4"/>
  <c r="B152" i="4"/>
  <c r="C151" i="4"/>
  <c r="B151" i="4"/>
  <c r="C150" i="4"/>
  <c r="B150" i="4"/>
  <c r="C149" i="4"/>
  <c r="B149" i="4"/>
  <c r="C148" i="4"/>
  <c r="B148" i="4"/>
  <c r="C147" i="4"/>
  <c r="B147" i="4"/>
  <c r="C146" i="4"/>
  <c r="B146" i="4"/>
  <c r="C145" i="4"/>
  <c r="B145" i="4"/>
  <c r="C144" i="4"/>
  <c r="B144" i="4"/>
  <c r="C143" i="4"/>
  <c r="B143" i="4"/>
  <c r="C142" i="4"/>
  <c r="B142" i="4"/>
  <c r="C141" i="4"/>
  <c r="B141" i="4"/>
  <c r="C140" i="4"/>
  <c r="B140" i="4"/>
  <c r="C139" i="4"/>
  <c r="B139" i="4"/>
  <c r="C138" i="4"/>
  <c r="B138" i="4"/>
  <c r="C137" i="4"/>
  <c r="B137" i="4"/>
  <c r="C136" i="4"/>
  <c r="B136" i="4"/>
  <c r="C135" i="4"/>
  <c r="B135" i="4"/>
  <c r="C134" i="4"/>
  <c r="B134" i="4"/>
  <c r="C133" i="4"/>
  <c r="B133" i="4"/>
  <c r="C132" i="4"/>
  <c r="B132" i="4"/>
  <c r="C131" i="4"/>
  <c r="B131" i="4"/>
  <c r="C130" i="4"/>
  <c r="B130" i="4"/>
  <c r="C129" i="4"/>
  <c r="B129" i="4"/>
  <c r="C128" i="4"/>
  <c r="B128" i="4"/>
  <c r="C127" i="4"/>
  <c r="B127" i="4"/>
  <c r="C126" i="4"/>
  <c r="B126" i="4"/>
  <c r="C125" i="4"/>
  <c r="B125" i="4"/>
  <c r="C124" i="4"/>
  <c r="B124" i="4"/>
  <c r="C123" i="4"/>
  <c r="B123" i="4"/>
  <c r="C122" i="4"/>
  <c r="B122" i="4"/>
  <c r="C121" i="4"/>
  <c r="B121" i="4"/>
  <c r="C120" i="4"/>
  <c r="B120" i="4"/>
  <c r="C119" i="4"/>
  <c r="B119" i="4"/>
  <c r="C118" i="4"/>
  <c r="B118" i="4"/>
  <c r="C117" i="4"/>
  <c r="B117" i="4"/>
  <c r="C116" i="4"/>
  <c r="B116" i="4"/>
  <c r="C115" i="4"/>
  <c r="B115" i="4"/>
  <c r="C114" i="4"/>
  <c r="B114" i="4"/>
  <c r="C113" i="4"/>
  <c r="B113" i="4"/>
  <c r="C112" i="4"/>
  <c r="B112" i="4"/>
  <c r="C111" i="4"/>
  <c r="B111" i="4"/>
  <c r="C110" i="4"/>
  <c r="B110" i="4"/>
  <c r="C109" i="4"/>
  <c r="B109" i="4"/>
  <c r="C108" i="4"/>
  <c r="B108" i="4"/>
  <c r="C107" i="4"/>
  <c r="B107" i="4"/>
  <c r="C106" i="4"/>
  <c r="B106" i="4"/>
  <c r="C105" i="4"/>
  <c r="B105" i="4"/>
  <c r="C104" i="4"/>
  <c r="B104" i="4"/>
  <c r="C103" i="4"/>
  <c r="B103" i="4"/>
  <c r="C102" i="4"/>
  <c r="B102" i="4"/>
  <c r="C101" i="4"/>
  <c r="B101" i="4"/>
  <c r="C100" i="4"/>
  <c r="B100" i="4"/>
  <c r="C99" i="4"/>
  <c r="B99" i="4"/>
  <c r="C98" i="4"/>
  <c r="B98" i="4"/>
  <c r="C97" i="4"/>
  <c r="B97" i="4"/>
  <c r="C96" i="4"/>
  <c r="B96" i="4"/>
  <c r="C95" i="4"/>
  <c r="B95" i="4"/>
  <c r="C94" i="4"/>
  <c r="B94" i="4"/>
  <c r="C93" i="4"/>
  <c r="B93" i="4"/>
  <c r="C92" i="4"/>
  <c r="B92" i="4"/>
  <c r="C91" i="4"/>
  <c r="B91" i="4"/>
  <c r="C90" i="4"/>
  <c r="B90" i="4"/>
  <c r="C89" i="4"/>
  <c r="B89" i="4"/>
  <c r="C88" i="4"/>
  <c r="B88" i="4"/>
  <c r="C87" i="4"/>
  <c r="B87" i="4"/>
  <c r="C86" i="4"/>
  <c r="B86" i="4"/>
  <c r="C85" i="4"/>
  <c r="B85" i="4"/>
  <c r="C84" i="4"/>
  <c r="B84" i="4"/>
  <c r="C83" i="4"/>
  <c r="B83" i="4"/>
  <c r="C82" i="4"/>
  <c r="B82" i="4"/>
  <c r="C81" i="4"/>
  <c r="B81" i="4"/>
  <c r="C80" i="4"/>
  <c r="B80" i="4"/>
  <c r="C79" i="4"/>
  <c r="B79" i="4"/>
  <c r="C78" i="4"/>
  <c r="B78" i="4"/>
  <c r="C77" i="4"/>
  <c r="B77" i="4"/>
  <c r="C76" i="4"/>
  <c r="B76" i="4"/>
  <c r="C75" i="4"/>
  <c r="B75" i="4"/>
  <c r="C74" i="4"/>
  <c r="B74" i="4"/>
  <c r="C73" i="4"/>
  <c r="B73" i="4"/>
  <c r="C72" i="4"/>
  <c r="B72" i="4"/>
  <c r="C71" i="4"/>
  <c r="B71" i="4"/>
  <c r="C70" i="4"/>
  <c r="B70" i="4"/>
  <c r="C69" i="4"/>
  <c r="B69" i="4"/>
  <c r="C68" i="4"/>
  <c r="B68" i="4"/>
  <c r="C67" i="4"/>
  <c r="B67" i="4"/>
  <c r="C66" i="4"/>
  <c r="B66" i="4"/>
  <c r="C65" i="4"/>
  <c r="B65" i="4"/>
  <c r="C64" i="4"/>
  <c r="B64" i="4"/>
  <c r="C63" i="4"/>
  <c r="B63" i="4"/>
  <c r="C62" i="4"/>
  <c r="B62" i="4"/>
  <c r="C61" i="4"/>
  <c r="B61" i="4"/>
  <c r="C60" i="4"/>
  <c r="B60" i="4"/>
  <c r="C59" i="4"/>
  <c r="B59" i="4"/>
  <c r="C58" i="4"/>
  <c r="B58" i="4"/>
  <c r="C57" i="4"/>
  <c r="B57" i="4"/>
  <c r="C56" i="4"/>
  <c r="B56" i="4"/>
  <c r="C55" i="4"/>
  <c r="B55" i="4"/>
  <c r="C54" i="4"/>
  <c r="B54" i="4"/>
  <c r="C53" i="4"/>
  <c r="B53" i="4"/>
  <c r="C52" i="4"/>
  <c r="B52" i="4"/>
  <c r="C51" i="4"/>
  <c r="B51" i="4"/>
  <c r="C50" i="4"/>
  <c r="B50" i="4"/>
  <c r="C49" i="4"/>
  <c r="B49" i="4"/>
  <c r="C48" i="4"/>
  <c r="B48" i="4"/>
  <c r="C47" i="4"/>
  <c r="B47" i="4"/>
  <c r="C46" i="4"/>
  <c r="B46" i="4"/>
  <c r="C45" i="4"/>
  <c r="B45" i="4"/>
  <c r="C44" i="4"/>
  <c r="B44" i="4"/>
  <c r="C43" i="4"/>
  <c r="B43" i="4"/>
  <c r="C42" i="4"/>
  <c r="B42" i="4"/>
  <c r="C41" i="4"/>
  <c r="B41" i="4"/>
  <c r="C40" i="4"/>
  <c r="B40" i="4"/>
  <c r="C39" i="4"/>
  <c r="B39" i="4"/>
  <c r="C38" i="4"/>
  <c r="B38" i="4"/>
  <c r="C37" i="4"/>
  <c r="B37" i="4"/>
  <c r="C36" i="4"/>
  <c r="B36" i="4"/>
  <c r="C35" i="4"/>
  <c r="B35" i="4"/>
  <c r="C34" i="4"/>
  <c r="B34" i="4"/>
  <c r="C33" i="4"/>
  <c r="B33" i="4"/>
  <c r="C32" i="4"/>
  <c r="B32" i="4"/>
  <c r="C31" i="4"/>
  <c r="B31" i="4"/>
  <c r="C30" i="4"/>
  <c r="B30" i="4"/>
  <c r="C29" i="4"/>
  <c r="B29" i="4"/>
  <c r="C28" i="4"/>
  <c r="B28" i="4"/>
  <c r="C27" i="4"/>
  <c r="B27" i="4"/>
  <c r="C26" i="4"/>
  <c r="B26" i="4"/>
  <c r="C25" i="4"/>
  <c r="B25" i="4"/>
  <c r="C24" i="4"/>
  <c r="B24" i="4"/>
  <c r="C23" i="4"/>
  <c r="B23" i="4"/>
  <c r="C22" i="4"/>
  <c r="B22" i="4"/>
  <c r="C21" i="4"/>
  <c r="B21" i="4"/>
  <c r="C20" i="4"/>
  <c r="B20" i="4"/>
  <c r="C19" i="4"/>
  <c r="B19" i="4"/>
  <c r="C18" i="4"/>
  <c r="B18" i="4"/>
  <c r="C17" i="4"/>
  <c r="B17" i="4"/>
  <c r="C16" i="4"/>
  <c r="B16" i="4"/>
  <c r="C15" i="4"/>
  <c r="B15" i="4"/>
  <c r="C14" i="4"/>
  <c r="B14" i="4"/>
  <c r="C13" i="4"/>
  <c r="B13" i="4"/>
  <c r="C12" i="4"/>
  <c r="B12" i="4"/>
  <c r="C11" i="4"/>
  <c r="B11" i="4"/>
  <c r="C10" i="4"/>
  <c r="B10" i="4"/>
  <c r="C9" i="4"/>
  <c r="B9" i="4"/>
  <c r="C8" i="4"/>
  <c r="B8" i="4"/>
  <c r="C7" i="4"/>
  <c r="B7" i="4"/>
  <c r="C6" i="4"/>
  <c r="B6" i="4"/>
  <c r="C5" i="4"/>
  <c r="B5" i="4"/>
  <c r="C4" i="4"/>
  <c r="B4" i="4"/>
  <c r="C3" i="4"/>
  <c r="B3" i="4"/>
  <c r="C599" i="10"/>
  <c r="E588" i="10"/>
  <c r="C572" i="10"/>
  <c r="A558" i="10"/>
  <c r="D547" i="10"/>
  <c r="B598" i="10"/>
  <c r="E594" i="10"/>
  <c r="A579" i="10"/>
  <c r="D568" i="10"/>
  <c r="B554" i="10"/>
  <c r="E543" i="10"/>
  <c r="C595" i="10"/>
  <c r="D583" i="10"/>
  <c r="B569" i="10"/>
  <c r="E558" i="10"/>
  <c r="C544" i="10"/>
  <c r="C594" i="10"/>
  <c r="A577" i="10"/>
  <c r="D566" i="10"/>
  <c r="B552" i="10"/>
  <c r="E541" i="10"/>
  <c r="E580" i="10"/>
  <c r="C558" i="10"/>
  <c r="B583" i="10"/>
  <c r="B551" i="10"/>
  <c r="E527" i="10"/>
  <c r="C512" i="10"/>
  <c r="A498" i="10"/>
  <c r="D487" i="10"/>
  <c r="D578" i="10"/>
  <c r="D557" i="10"/>
  <c r="C600" i="10"/>
  <c r="C570" i="10"/>
  <c r="C538" i="10"/>
  <c r="E525" i="10"/>
  <c r="C510" i="10"/>
  <c r="A496" i="10"/>
  <c r="D485" i="10"/>
  <c r="B471" i="10"/>
  <c r="D592" i="10"/>
  <c r="E571" i="10"/>
  <c r="A549" i="10"/>
  <c r="D533" i="10"/>
  <c r="A519" i="10"/>
  <c r="D508" i="10"/>
  <c r="B494" i="10"/>
  <c r="E483" i="10"/>
  <c r="E587" i="10"/>
  <c r="C555" i="10"/>
  <c r="C533" i="10"/>
  <c r="E522" i="10"/>
  <c r="C508" i="10"/>
  <c r="A494" i="10"/>
  <c r="D483" i="10"/>
  <c r="B582" i="10"/>
  <c r="D531" i="10"/>
  <c r="D553" i="10"/>
  <c r="D518" i="10"/>
  <c r="D486" i="10"/>
  <c r="E469" i="10"/>
  <c r="E458" i="10"/>
  <c r="C444" i="10"/>
  <c r="A430" i="10"/>
  <c r="D419" i="10"/>
  <c r="D597" i="10"/>
  <c r="B542" i="10"/>
  <c r="B516" i="10"/>
  <c r="B484" i="10"/>
  <c r="D598" i="10"/>
  <c r="A582" i="10"/>
  <c r="D571" i="10"/>
  <c r="B557" i="10"/>
  <c r="E546" i="10"/>
  <c r="C597" i="10"/>
  <c r="A589" i="10"/>
  <c r="B578" i="10"/>
  <c r="E567" i="10"/>
  <c r="C553" i="10"/>
  <c r="A539" i="10"/>
  <c r="D594" i="10"/>
  <c r="E582" i="10"/>
  <c r="C568" i="10"/>
  <c r="A554" i="10"/>
  <c r="D543" i="10"/>
  <c r="D593" i="10"/>
  <c r="B576" i="10"/>
  <c r="E565" i="10"/>
  <c r="C551" i="10"/>
  <c r="A537" i="10"/>
  <c r="B579" i="10"/>
  <c r="E556" i="10"/>
  <c r="A580" i="10"/>
  <c r="A548" i="10"/>
  <c r="A522" i="10"/>
  <c r="D511" i="10"/>
  <c r="B497" i="10"/>
  <c r="E486" i="10"/>
  <c r="A575" i="10"/>
  <c r="D554" i="10"/>
  <c r="E598" i="10"/>
  <c r="C565" i="10"/>
  <c r="C535" i="10"/>
  <c r="A520" i="10"/>
  <c r="D509" i="10"/>
  <c r="B495" i="10"/>
  <c r="E484" i="10"/>
  <c r="C470" i="10"/>
  <c r="E590" i="10"/>
  <c r="E568" i="10"/>
  <c r="E547" i="10"/>
  <c r="E532" i="10"/>
  <c r="B518" i="10"/>
  <c r="E507" i="10"/>
  <c r="C493" i="10"/>
  <c r="A479" i="10"/>
  <c r="A584" i="10"/>
  <c r="A552" i="10"/>
  <c r="D532" i="10"/>
  <c r="A518" i="10"/>
  <c r="D507" i="10"/>
  <c r="B493" i="10"/>
  <c r="E482" i="10"/>
  <c r="B574" i="10"/>
  <c r="E528" i="10"/>
  <c r="C542" i="10"/>
  <c r="C513" i="10"/>
  <c r="D481" i="10"/>
  <c r="D468" i="10"/>
  <c r="A454" i="10"/>
  <c r="D443" i="10"/>
  <c r="B429" i="10"/>
  <c r="E418" i="10"/>
  <c r="C593" i="10"/>
  <c r="A536" i="10"/>
  <c r="A513" i="10"/>
  <c r="C481" i="10"/>
  <c r="E597" i="10"/>
  <c r="B581" i="10"/>
  <c r="E570" i="10"/>
  <c r="C556" i="10"/>
  <c r="A542" i="10"/>
  <c r="D596" i="10"/>
  <c r="B588" i="10"/>
  <c r="C577" i="10"/>
  <c r="A563" i="10"/>
  <c r="D552" i="10"/>
  <c r="B538" i="10"/>
  <c r="E593" i="10"/>
  <c r="A578" i="10"/>
  <c r="D567" i="10"/>
  <c r="B553" i="10"/>
  <c r="E542" i="10"/>
  <c r="E592" i="10"/>
  <c r="C575" i="10"/>
  <c r="A561" i="10"/>
  <c r="D550" i="10"/>
  <c r="B536" i="10"/>
  <c r="C574" i="10"/>
  <c r="B555" i="10"/>
  <c r="B575" i="10"/>
  <c r="B543" i="10"/>
  <c r="B521" i="10"/>
  <c r="E510" i="10"/>
  <c r="C496" i="10"/>
  <c r="D600" i="10"/>
  <c r="D573" i="10"/>
  <c r="A551" i="10"/>
  <c r="B594" i="10"/>
  <c r="C562" i="10"/>
  <c r="D534" i="10"/>
  <c r="B519" i="10"/>
  <c r="E508" i="10"/>
  <c r="C494" i="10"/>
  <c r="A480" i="10"/>
  <c r="D469" i="10"/>
  <c r="B589" i="10"/>
  <c r="A565" i="10"/>
  <c r="E544" i="10"/>
  <c r="A528" i="10"/>
  <c r="C517" i="10"/>
  <c r="A503" i="10"/>
  <c r="D492" i="10"/>
  <c r="B478" i="10"/>
  <c r="C579" i="10"/>
  <c r="C547" i="10"/>
  <c r="E531" i="10"/>
  <c r="B517" i="10"/>
  <c r="E506" i="10"/>
  <c r="C492" i="10"/>
  <c r="A478" i="10"/>
  <c r="B566" i="10"/>
  <c r="A525" i="10"/>
  <c r="B539" i="10"/>
  <c r="D510" i="10"/>
  <c r="C480" i="10"/>
  <c r="E467" i="10"/>
  <c r="B453" i="10"/>
  <c r="E442" i="10"/>
  <c r="C428" i="10"/>
  <c r="A414" i="10"/>
  <c r="D580" i="10"/>
  <c r="A534" i="10"/>
  <c r="B508" i="10"/>
  <c r="B480" i="10"/>
  <c r="D467" i="10"/>
  <c r="B452" i="10"/>
  <c r="E441" i="10"/>
  <c r="C427" i="10"/>
  <c r="A413" i="10"/>
  <c r="B556" i="10"/>
  <c r="E519" i="10"/>
  <c r="D498" i="10"/>
  <c r="E477" i="10"/>
  <c r="C467" i="10"/>
  <c r="A452" i="10"/>
  <c r="D441" i="10"/>
  <c r="B427" i="10"/>
  <c r="E416" i="10"/>
  <c r="C506" i="10"/>
  <c r="A477" i="10"/>
  <c r="B467" i="10"/>
  <c r="E455" i="10"/>
  <c r="C441" i="10"/>
  <c r="A427" i="10"/>
  <c r="D416" i="10"/>
  <c r="D535" i="10"/>
  <c r="E509" i="10"/>
  <c r="E488" i="10"/>
  <c r="C465" i="10"/>
  <c r="A450" i="10"/>
  <c r="D439" i="10"/>
  <c r="B425" i="10"/>
  <c r="E414" i="10"/>
  <c r="D446" i="10"/>
  <c r="E406" i="10"/>
  <c r="B391" i="10"/>
  <c r="E380" i="10"/>
  <c r="C366" i="10"/>
  <c r="A352" i="10"/>
  <c r="E553" i="10"/>
  <c r="D478" i="10"/>
  <c r="B448" i="10"/>
  <c r="E428" i="10"/>
  <c r="C408" i="10"/>
  <c r="D396" i="10"/>
  <c r="B382" i="10"/>
  <c r="E371" i="10"/>
  <c r="B515" i="10"/>
  <c r="B475" i="10"/>
  <c r="A448" i="10"/>
  <c r="D428" i="10"/>
  <c r="B408" i="10"/>
  <c r="C396" i="10"/>
  <c r="A382" i="10"/>
  <c r="D371" i="10"/>
  <c r="B357" i="10"/>
  <c r="D480" i="10"/>
  <c r="D403" i="10"/>
  <c r="A389" i="10"/>
  <c r="D378" i="10"/>
  <c r="B364" i="10"/>
  <c r="C455" i="10"/>
  <c r="C423" i="10"/>
  <c r="A593" i="10"/>
  <c r="C580" i="10"/>
  <c r="A566" i="10"/>
  <c r="D555" i="10"/>
  <c r="B541" i="10"/>
  <c r="E595" i="10"/>
  <c r="C587" i="10"/>
  <c r="D576" i="10"/>
  <c r="B562" i="10"/>
  <c r="E551" i="10"/>
  <c r="C537" i="10"/>
  <c r="A588" i="10"/>
  <c r="B577" i="10"/>
  <c r="E566" i="10"/>
  <c r="C552" i="10"/>
  <c r="A538" i="10"/>
  <c r="A585" i="10"/>
  <c r="D574" i="10"/>
  <c r="B560" i="10"/>
  <c r="E549" i="10"/>
  <c r="E599" i="10"/>
  <c r="E572" i="10"/>
  <c r="C550" i="10"/>
  <c r="A572" i="10"/>
  <c r="A540" i="10"/>
  <c r="C520" i="10"/>
  <c r="A506" i="10"/>
  <c r="D495" i="10"/>
  <c r="A591" i="10"/>
  <c r="D570" i="10"/>
  <c r="D549" i="10"/>
  <c r="C589" i="10"/>
  <c r="C557" i="10"/>
  <c r="E533" i="10"/>
  <c r="C518" i="10"/>
  <c r="A504" i="10"/>
  <c r="D493" i="10"/>
  <c r="B479" i="10"/>
  <c r="E468" i="10"/>
  <c r="E584" i="10"/>
  <c r="E563" i="10"/>
  <c r="A541" i="10"/>
  <c r="B527" i="10"/>
  <c r="D516" i="10"/>
  <c r="B502" i="10"/>
  <c r="E491" i="10"/>
  <c r="C477" i="10"/>
  <c r="A576" i="10"/>
  <c r="A544" i="10"/>
  <c r="A527" i="10"/>
  <c r="C516" i="10"/>
  <c r="A502" i="10"/>
  <c r="D491" i="10"/>
  <c r="B477" i="10"/>
  <c r="B558" i="10"/>
  <c r="E585" i="10"/>
  <c r="E534" i="10"/>
  <c r="C505" i="10"/>
  <c r="B476" i="10"/>
  <c r="A463" i="10"/>
  <c r="C452" i="10"/>
  <c r="A438" i="10"/>
  <c r="B592" i="10"/>
  <c r="D579" i="10"/>
  <c r="B565" i="10"/>
  <c r="E554" i="10"/>
  <c r="C540" i="10"/>
  <c r="A598" i="10"/>
  <c r="C586" i="10"/>
  <c r="E575" i="10"/>
  <c r="C561" i="10"/>
  <c r="A547" i="10"/>
  <c r="D536" i="10"/>
  <c r="A587" i="10"/>
  <c r="C576" i="10"/>
  <c r="A562" i="10"/>
  <c r="D551" i="10"/>
  <c r="B537" i="10"/>
  <c r="B584" i="10"/>
  <c r="E573" i="10"/>
  <c r="C559" i="10"/>
  <c r="A545" i="10"/>
  <c r="C590" i="10"/>
  <c r="A574" i="10"/>
  <c r="D563" i="10"/>
  <c r="B549" i="10"/>
  <c r="E538" i="10"/>
  <c r="C596" i="10"/>
  <c r="D584" i="10"/>
  <c r="B570" i="10"/>
  <c r="E559" i="10"/>
  <c r="C545" i="10"/>
  <c r="A597" i="10"/>
  <c r="B585" i="10"/>
  <c r="E574" i="10"/>
  <c r="C560" i="10"/>
  <c r="A546" i="10"/>
  <c r="A596" i="10"/>
  <c r="D582" i="10"/>
  <c r="B568" i="10"/>
  <c r="E557" i="10"/>
  <c r="C543" i="10"/>
  <c r="B600" i="10"/>
  <c r="D589" i="10"/>
  <c r="B573" i="10"/>
  <c r="E562" i="10"/>
  <c r="C548" i="10"/>
  <c r="A599" i="10"/>
  <c r="D595" i="10"/>
  <c r="E583" i="10"/>
  <c r="C569" i="10"/>
  <c r="A555" i="10"/>
  <c r="D544" i="10"/>
  <c r="B596" i="10"/>
  <c r="C584" i="10"/>
  <c r="A570" i="10"/>
  <c r="D559" i="10"/>
  <c r="B545" i="10"/>
  <c r="B595" i="10"/>
  <c r="E581" i="10"/>
  <c r="C567" i="10"/>
  <c r="A553" i="10"/>
  <c r="D542" i="10"/>
  <c r="C582" i="10"/>
  <c r="B563" i="10"/>
  <c r="C588" i="10"/>
  <c r="A556" i="10"/>
  <c r="D528" i="10"/>
  <c r="B513" i="10"/>
  <c r="E502" i="10"/>
  <c r="C488" i="10"/>
  <c r="D581" i="10"/>
  <c r="A559" i="10"/>
  <c r="D538" i="10"/>
  <c r="C573" i="10"/>
  <c r="C541" i="10"/>
  <c r="D526" i="10"/>
  <c r="B511" i="10"/>
  <c r="E500" i="10"/>
  <c r="C486" i="10"/>
  <c r="A472" i="10"/>
  <c r="A594" i="10"/>
  <c r="A573" i="10"/>
  <c r="E552" i="10"/>
  <c r="C534" i="10"/>
  <c r="E523" i="10"/>
  <c r="C509" i="10"/>
  <c r="A495" i="10"/>
  <c r="D484" i="10"/>
  <c r="D590" i="10"/>
  <c r="A560" i="10"/>
  <c r="B534" i="10"/>
  <c r="D523" i="10"/>
  <c r="B509" i="10"/>
  <c r="E498" i="10"/>
  <c r="C484" i="10"/>
  <c r="A590" i="10"/>
  <c r="A533" i="10"/>
  <c r="D561" i="10"/>
  <c r="C521" i="10"/>
  <c r="C489" i="10"/>
  <c r="E470" i="10"/>
  <c r="D459" i="10"/>
  <c r="B445" i="10"/>
  <c r="E434" i="10"/>
  <c r="C420" i="10"/>
  <c r="A406" i="10"/>
  <c r="E545" i="10"/>
  <c r="A521" i="10"/>
  <c r="A489" i="10"/>
  <c r="D470" i="10"/>
  <c r="D458" i="10"/>
  <c r="B444" i="10"/>
  <c r="E433" i="10"/>
  <c r="C419" i="10"/>
  <c r="B580" i="10"/>
  <c r="B529" i="10"/>
  <c r="D506" i="10"/>
  <c r="A484" i="10"/>
  <c r="B470" i="10"/>
  <c r="C458" i="10"/>
  <c r="A444" i="10"/>
  <c r="D433" i="10"/>
  <c r="B419" i="10"/>
  <c r="C519" i="10"/>
  <c r="C487" i="10"/>
  <c r="A470" i="10"/>
  <c r="B458" i="10"/>
  <c r="E447" i="10"/>
  <c r="C433" i="10"/>
  <c r="A419" i="10"/>
  <c r="E591" i="10"/>
  <c r="E517" i="10"/>
  <c r="E496" i="10"/>
  <c r="A473" i="10"/>
  <c r="C456" i="10"/>
  <c r="A442" i="10"/>
  <c r="D431" i="10"/>
  <c r="B417" i="10"/>
  <c r="C464" i="10"/>
  <c r="E409" i="10"/>
  <c r="D397" i="10"/>
  <c r="B383" i="10"/>
  <c r="E372" i="10"/>
  <c r="C358" i="10"/>
  <c r="A343" i="10"/>
  <c r="D496" i="10"/>
  <c r="B456" i="10"/>
  <c r="E436" i="10"/>
  <c r="C414" i="10"/>
  <c r="A399" i="10"/>
  <c r="D388" i="10"/>
  <c r="B374" i="10"/>
  <c r="B533" i="10"/>
  <c r="E489" i="10"/>
  <c r="A456" i="10"/>
  <c r="D436" i="10"/>
  <c r="B414" i="10"/>
  <c r="E403" i="10"/>
  <c r="C388" i="10"/>
  <c r="A374" i="10"/>
  <c r="D363" i="10"/>
  <c r="A499" i="10"/>
  <c r="B406" i="10"/>
  <c r="C395" i="10"/>
  <c r="A381" i="10"/>
  <c r="D370" i="10"/>
  <c r="E537" i="10"/>
  <c r="E437" i="10"/>
  <c r="C585" i="10"/>
  <c r="E550" i="10"/>
  <c r="D587" i="10"/>
  <c r="A564" i="10"/>
  <c r="B505" i="10"/>
  <c r="A583" i="10"/>
  <c r="C581" i="10"/>
  <c r="D517" i="10"/>
  <c r="B487" i="10"/>
  <c r="E579" i="10"/>
  <c r="C526" i="10"/>
  <c r="E499" i="10"/>
  <c r="A568" i="10"/>
  <c r="D515" i="10"/>
  <c r="B485" i="10"/>
  <c r="D577" i="10"/>
  <c r="E473" i="10"/>
  <c r="A446" i="10"/>
  <c r="B413" i="10"/>
  <c r="C532" i="10"/>
  <c r="A476" i="10"/>
  <c r="B460" i="10"/>
  <c r="C443" i="10"/>
  <c r="D426" i="10"/>
  <c r="D410" i="10"/>
  <c r="A524" i="10"/>
  <c r="E495" i="10"/>
  <c r="C472" i="10"/>
  <c r="D457" i="10"/>
  <c r="E440" i="10"/>
  <c r="E424" i="10"/>
  <c r="C514" i="10"/>
  <c r="C474" i="10"/>
  <c r="E464" i="10"/>
  <c r="A443" i="10"/>
  <c r="B426" i="10"/>
  <c r="B410" i="10"/>
  <c r="B514" i="10"/>
  <c r="E485" i="10"/>
  <c r="A458" i="10"/>
  <c r="B441" i="10"/>
  <c r="C424" i="10"/>
  <c r="D540" i="10"/>
  <c r="D408" i="10"/>
  <c r="C390" i="10"/>
  <c r="C374" i="10"/>
  <c r="D357" i="10"/>
  <c r="C515" i="10"/>
  <c r="D462" i="10"/>
  <c r="B432" i="10"/>
  <c r="C407" i="10"/>
  <c r="B390" i="10"/>
  <c r="C373" i="10"/>
  <c r="B512" i="10"/>
  <c r="C462" i="10"/>
  <c r="A432" i="10"/>
  <c r="B407" i="10"/>
  <c r="A390" i="10"/>
  <c r="B373" i="10"/>
  <c r="E577" i="10"/>
  <c r="A408" i="10"/>
  <c r="D394" i="10"/>
  <c r="E377" i="10"/>
  <c r="E361" i="10"/>
  <c r="C431" i="10"/>
  <c r="C403" i="10"/>
  <c r="E392" i="10"/>
  <c r="C378" i="10"/>
  <c r="A364" i="10"/>
  <c r="A501" i="10"/>
  <c r="C463" i="10"/>
  <c r="B431" i="10"/>
  <c r="C402" i="10"/>
  <c r="E391" i="10"/>
  <c r="C377" i="10"/>
  <c r="A595" i="10"/>
  <c r="B491" i="10"/>
  <c r="A455" i="10"/>
  <c r="A439" i="10"/>
  <c r="A423" i="10"/>
  <c r="A402" i="10"/>
  <c r="D391" i="10"/>
  <c r="B377" i="10"/>
  <c r="B369" i="10"/>
  <c r="E335" i="10"/>
  <c r="B321" i="10"/>
  <c r="E310" i="10"/>
  <c r="B295" i="10"/>
  <c r="E283" i="10"/>
  <c r="A363" i="10"/>
  <c r="E345" i="10"/>
  <c r="C328" i="10"/>
  <c r="E317" i="10"/>
  <c r="B303" i="10"/>
  <c r="E291" i="10"/>
  <c r="B277" i="10"/>
  <c r="D264" i="10"/>
  <c r="C375" i="10"/>
  <c r="E352" i="10"/>
  <c r="E344" i="10"/>
  <c r="E333" i="10"/>
  <c r="B319" i="10"/>
  <c r="D308" i="10"/>
  <c r="A294" i="10"/>
  <c r="C283" i="10"/>
  <c r="A267" i="10"/>
  <c r="D366" i="10"/>
  <c r="D351" i="10"/>
  <c r="D343" i="10"/>
  <c r="E332" i="10"/>
  <c r="C317" i="10"/>
  <c r="E306" i="10"/>
  <c r="B292" i="10"/>
  <c r="D281" i="10"/>
  <c r="D398" i="10"/>
  <c r="B355" i="10"/>
  <c r="B347" i="10"/>
  <c r="E339" i="10"/>
  <c r="C324" i="10"/>
  <c r="A571" i="10"/>
  <c r="E600" i="10"/>
  <c r="B571" i="10"/>
  <c r="B559" i="10"/>
  <c r="C504" i="10"/>
  <c r="A567" i="10"/>
  <c r="C578" i="10"/>
  <c r="E516" i="10"/>
  <c r="C478" i="10"/>
  <c r="E576" i="10"/>
  <c r="D525" i="10"/>
  <c r="A487" i="10"/>
  <c r="C563" i="10"/>
  <c r="E514" i="10"/>
  <c r="C476" i="10"/>
  <c r="D569" i="10"/>
  <c r="E472" i="10"/>
  <c r="B437" i="10"/>
  <c r="C412" i="10"/>
  <c r="D529" i="10"/>
  <c r="D473" i="10"/>
  <c r="C459" i="10"/>
  <c r="D442" i="10"/>
  <c r="E425" i="10"/>
  <c r="D588" i="10"/>
  <c r="D522" i="10"/>
  <c r="A492" i="10"/>
  <c r="C471" i="10"/>
  <c r="E456" i="10"/>
  <c r="A436" i="10"/>
  <c r="A420" i="10"/>
  <c r="C511" i="10"/>
  <c r="B473" i="10"/>
  <c r="A459" i="10"/>
  <c r="B442" i="10"/>
  <c r="C425" i="10"/>
  <c r="D599" i="10"/>
  <c r="E512" i="10"/>
  <c r="B482" i="10"/>
  <c r="B457" i="10"/>
  <c r="C440" i="10"/>
  <c r="D423" i="10"/>
  <c r="A530" i="10"/>
  <c r="D407" i="10"/>
  <c r="D389" i="10"/>
  <c r="D373" i="10"/>
  <c r="E356" i="10"/>
  <c r="D512" i="10"/>
  <c r="E460" i="10"/>
  <c r="C430" i="10"/>
  <c r="C591" i="10"/>
  <c r="D560" i="10"/>
  <c r="C583" i="10"/>
  <c r="C566" i="10"/>
  <c r="A531" i="10"/>
  <c r="D503" i="10"/>
  <c r="D565" i="10"/>
  <c r="C554" i="10"/>
  <c r="A512" i="10"/>
  <c r="D477" i="10"/>
  <c r="E560" i="10"/>
  <c r="E524" i="10"/>
  <c r="B486" i="10"/>
  <c r="C539" i="10"/>
  <c r="A510" i="10"/>
  <c r="D475" i="10"/>
  <c r="B531" i="10"/>
  <c r="E471" i="10"/>
  <c r="C436" i="10"/>
  <c r="D411" i="10"/>
  <c r="A526" i="10"/>
  <c r="D472" i="10"/>
  <c r="E457" i="10"/>
  <c r="A437" i="10"/>
  <c r="A421" i="10"/>
  <c r="B572" i="10"/>
  <c r="A516" i="10"/>
  <c r="D490" i="10"/>
  <c r="B469" i="10"/>
  <c r="B451" i="10"/>
  <c r="B435" i="10"/>
  <c r="C418" i="10"/>
  <c r="C503" i="10"/>
  <c r="B472" i="10"/>
  <c r="C457" i="10"/>
  <c r="D440" i="10"/>
  <c r="D424" i="10"/>
  <c r="B547" i="10"/>
  <c r="B506" i="10"/>
  <c r="E478" i="10"/>
  <c r="D455" i="10"/>
  <c r="E438" i="10"/>
  <c r="E422" i="10"/>
  <c r="E462" i="10"/>
  <c r="E405" i="10"/>
  <c r="E388" i="10"/>
  <c r="A368" i="10"/>
  <c r="B351" i="10"/>
  <c r="A509" i="10"/>
  <c r="C454" i="10"/>
  <c r="B424" i="10"/>
  <c r="D405" i="10"/>
  <c r="E387" i="10"/>
  <c r="A367" i="10"/>
  <c r="B499" i="10"/>
  <c r="B454" i="10"/>
  <c r="A424" i="10"/>
  <c r="C405" i="10"/>
  <c r="D387" i="10"/>
  <c r="E370" i="10"/>
  <c r="A515" i="10"/>
  <c r="B405" i="10"/>
  <c r="B388" i="10"/>
  <c r="B372" i="10"/>
  <c r="D463" i="10"/>
  <c r="E421" i="10"/>
  <c r="D401" i="10"/>
  <c r="B387" i="10"/>
  <c r="E376" i="10"/>
  <c r="C528" i="10"/>
  <c r="D488" i="10"/>
  <c r="B455" i="10"/>
  <c r="B423" i="10"/>
  <c r="D400" i="10"/>
  <c r="B386" i="10"/>
  <c r="E375" i="10"/>
  <c r="B523" i="10"/>
  <c r="D479" i="10"/>
  <c r="E451" i="10"/>
  <c r="E435" i="10"/>
  <c r="E419" i="10"/>
  <c r="C400" i="10"/>
  <c r="A386" i="10"/>
  <c r="D375" i="10"/>
  <c r="E360" i="10"/>
  <c r="B330" i="10"/>
  <c r="D319" i="10"/>
  <c r="A305" i="10"/>
  <c r="D293" i="10"/>
  <c r="B278" i="10"/>
  <c r="A359" i="10"/>
  <c r="B337" i="10"/>
  <c r="D326" i="10"/>
  <c r="B312" i="10"/>
  <c r="D301" i="10"/>
  <c r="A286" i="10"/>
  <c r="D275" i="10"/>
  <c r="D513" i="10"/>
  <c r="D361" i="10"/>
  <c r="E350" i="10"/>
  <c r="E342" i="10"/>
  <c r="A328" i="10"/>
  <c r="D317" i="10"/>
  <c r="A303" i="10"/>
  <c r="C292" i="10"/>
  <c r="E281" i="10"/>
  <c r="B265" i="10"/>
  <c r="B360" i="10"/>
  <c r="C349" i="10"/>
  <c r="D341" i="10"/>
  <c r="B326" i="10"/>
  <c r="E315" i="10"/>
  <c r="B301" i="10"/>
  <c r="C290" i="10"/>
  <c r="A276" i="10"/>
  <c r="D382" i="10"/>
  <c r="B353" i="10"/>
  <c r="B345" i="10"/>
  <c r="B334" i="10"/>
  <c r="E322" i="10"/>
  <c r="C307" i="10"/>
  <c r="E296" i="10"/>
  <c r="B282" i="10"/>
  <c r="E271" i="10"/>
  <c r="A356" i="10"/>
  <c r="A348" i="10"/>
  <c r="C340" i="10"/>
  <c r="E578" i="10"/>
  <c r="B546" i="10"/>
  <c r="A569" i="10"/>
  <c r="E564" i="10"/>
  <c r="B530" i="10"/>
  <c r="E494" i="10"/>
  <c r="D562" i="10"/>
  <c r="C549" i="10"/>
  <c r="B503" i="10"/>
  <c r="E476" i="10"/>
  <c r="A557" i="10"/>
  <c r="E515" i="10"/>
  <c r="C485" i="10"/>
  <c r="C536" i="10"/>
  <c r="B501" i="10"/>
  <c r="E474" i="10"/>
  <c r="E529" i="10"/>
  <c r="A462" i="10"/>
  <c r="D435" i="10"/>
  <c r="E410" i="10"/>
  <c r="C524" i="10"/>
  <c r="D471" i="10"/>
  <c r="A453" i="10"/>
  <c r="B436" i="10"/>
  <c r="B420" i="10"/>
  <c r="B564" i="10"/>
  <c r="D514" i="10"/>
  <c r="E487" i="10"/>
  <c r="B468" i="10"/>
  <c r="C450" i="10"/>
  <c r="C434" i="10"/>
  <c r="D417" i="10"/>
  <c r="C498" i="10"/>
  <c r="A471" i="10"/>
  <c r="D456" i="10"/>
  <c r="E439" i="10"/>
  <c r="E423" i="10"/>
  <c r="E540" i="10"/>
  <c r="E504" i="10"/>
  <c r="B474" i="10"/>
  <c r="E454" i="10"/>
  <c r="A434" i="10"/>
  <c r="A418" i="10"/>
  <c r="D454" i="10"/>
  <c r="A400" i="10"/>
  <c r="A384" i="10"/>
  <c r="B367" i="10"/>
  <c r="C350" i="10"/>
  <c r="C499" i="10"/>
  <c r="E452" i="10"/>
  <c r="C422" i="10"/>
  <c r="E404" i="10"/>
  <c r="A383" i="10"/>
  <c r="B366" i="10"/>
  <c r="B496" i="10"/>
  <c r="D452" i="10"/>
  <c r="B422" i="10"/>
  <c r="D404" i="10"/>
  <c r="E386" i="10"/>
  <c r="A366" i="10"/>
  <c r="D505" i="10"/>
  <c r="C404" i="10"/>
  <c r="C387" i="10"/>
  <c r="C371" i="10"/>
  <c r="E461" i="10"/>
  <c r="C415" i="10"/>
  <c r="E400" i="10"/>
  <c r="C386" i="10"/>
  <c r="A372" i="10"/>
  <c r="C523" i="10"/>
  <c r="A485" i="10"/>
  <c r="D453" i="10"/>
  <c r="D421" i="10"/>
  <c r="E399" i="10"/>
  <c r="C385" i="10"/>
  <c r="A371" i="10"/>
  <c r="B520" i="10"/>
  <c r="A465" i="10"/>
  <c r="A449" i="10"/>
  <c r="A433" i="10"/>
  <c r="A417" i="10"/>
  <c r="D399" i="10"/>
  <c r="B385" i="10"/>
  <c r="E374" i="10"/>
  <c r="C359" i="10"/>
  <c r="C329" i="10"/>
  <c r="E318" i="10"/>
  <c r="B304" i="10"/>
  <c r="E292" i="10"/>
  <c r="C277" i="10"/>
  <c r="E355" i="10"/>
  <c r="C336" i="10"/>
  <c r="E325" i="10"/>
  <c r="C311" i="10"/>
  <c r="E300" i="10"/>
  <c r="B285" i="10"/>
  <c r="E274" i="10"/>
  <c r="A507" i="10"/>
  <c r="C360" i="10"/>
  <c r="E349" i="10"/>
  <c r="E341" i="10"/>
  <c r="B327" i="10"/>
  <c r="E316" i="10"/>
  <c r="B302" i="10"/>
  <c r="D291" i="10"/>
  <c r="A277" i="10"/>
  <c r="C264" i="10"/>
  <c r="C356" i="10"/>
  <c r="C348" i="10"/>
  <c r="E340" i="10"/>
  <c r="C325" i="10"/>
  <c r="A311" i="10"/>
  <c r="C300" i="10"/>
  <c r="D289" i="10"/>
  <c r="B275" i="10"/>
  <c r="D374" i="10"/>
  <c r="C352" i="10"/>
  <c r="C344" i="10"/>
  <c r="C333" i="10"/>
  <c r="A318" i="10"/>
  <c r="D306" i="10"/>
  <c r="C564" i="10"/>
  <c r="E535" i="10"/>
  <c r="D558" i="10"/>
  <c r="E548" i="10"/>
  <c r="C529" i="10"/>
  <c r="A490" i="10"/>
  <c r="D546" i="10"/>
  <c r="C546" i="10"/>
  <c r="C502" i="10"/>
  <c r="A600" i="10"/>
  <c r="E555" i="10"/>
  <c r="A511" i="10"/>
  <c r="D476" i="10"/>
  <c r="A535" i="10"/>
  <c r="C500" i="10"/>
  <c r="B550" i="10"/>
  <c r="E526" i="10"/>
  <c r="B461" i="10"/>
  <c r="D427" i="10"/>
  <c r="D572" i="10"/>
  <c r="A505" i="10"/>
  <c r="C469" i="10"/>
  <c r="C451" i="10"/>
  <c r="C435" i="10"/>
  <c r="D418" i="10"/>
  <c r="B548" i="10"/>
  <c r="E511" i="10"/>
  <c r="D482" i="10"/>
  <c r="D466" i="10"/>
  <c r="D449" i="10"/>
  <c r="E432" i="10"/>
  <c r="A412" i="10"/>
  <c r="C495" i="10"/>
  <c r="A469" i="10"/>
  <c r="A451" i="10"/>
  <c r="A435" i="10"/>
  <c r="B418" i="10"/>
  <c r="C530" i="10"/>
  <c r="E501" i="10"/>
  <c r="A467" i="10"/>
  <c r="B449" i="10"/>
  <c r="B433" i="10"/>
  <c r="C416" i="10"/>
  <c r="D438" i="10"/>
  <c r="B399" i="10"/>
  <c r="C382" i="10"/>
  <c r="D365" i="10"/>
  <c r="D349" i="10"/>
  <c r="A493" i="10"/>
  <c r="C446" i="10"/>
  <c r="E420" i="10"/>
  <c r="B398" i="10"/>
  <c r="C381" i="10"/>
  <c r="C365" i="10"/>
  <c r="B483" i="10"/>
  <c r="B446" i="10"/>
  <c r="D420" i="10"/>
  <c r="A398" i="10"/>
  <c r="B381" i="10"/>
  <c r="B365" i="10"/>
  <c r="D489" i="10"/>
  <c r="E402" i="10"/>
  <c r="D386" i="10"/>
  <c r="E369" i="10"/>
  <c r="E453" i="10"/>
  <c r="E413" i="10"/>
  <c r="A396" i="10"/>
  <c r="D385" i="10"/>
  <c r="B371" i="10"/>
  <c r="D520" i="10"/>
  <c r="A482" i="10"/>
  <c r="B447" i="10"/>
  <c r="B415" i="10"/>
  <c r="A395" i="10"/>
  <c r="D384" i="10"/>
  <c r="B370" i="10"/>
  <c r="E513" i="10"/>
  <c r="B463" i="10"/>
  <c r="A447" i="10"/>
  <c r="A431" i="10"/>
  <c r="A415" i="10"/>
  <c r="E398" i="10"/>
  <c r="C384" i="10"/>
  <c r="B400" i="10"/>
  <c r="A339" i="10"/>
  <c r="D328" i="10"/>
  <c r="A314" i="10"/>
  <c r="C303" i="10"/>
  <c r="A287" i="10"/>
  <c r="D276" i="10"/>
  <c r="E354" i="10"/>
  <c r="D335" i="10"/>
  <c r="A321" i="10"/>
  <c r="D310" i="10"/>
  <c r="A295" i="10"/>
  <c r="C284" i="10"/>
  <c r="A268" i="10"/>
  <c r="E481" i="10"/>
  <c r="D356" i="10"/>
  <c r="D348" i="10"/>
  <c r="A337" i="10"/>
  <c r="C326" i="10"/>
  <c r="A312" i="10"/>
  <c r="C301" i="10"/>
  <c r="D290" i="10"/>
  <c r="B276" i="10"/>
  <c r="D263" i="10"/>
  <c r="C355" i="10"/>
  <c r="C347" i="10"/>
  <c r="A336" i="10"/>
  <c r="D324" i="10"/>
  <c r="A310" i="10"/>
  <c r="D299" i="10"/>
  <c r="E288" i="10"/>
  <c r="C274" i="10"/>
  <c r="B368" i="10"/>
  <c r="C351" i="10"/>
  <c r="C343" i="10"/>
  <c r="D332" i="10"/>
  <c r="B317" i="10"/>
  <c r="E305" i="10"/>
  <c r="A550" i="10"/>
  <c r="A586" i="10"/>
  <c r="B544" i="10"/>
  <c r="B593" i="10"/>
  <c r="D519" i="10"/>
  <c r="B489" i="10"/>
  <c r="A543" i="10"/>
  <c r="A529" i="10"/>
  <c r="D501" i="10"/>
  <c r="C598" i="10"/>
  <c r="E539" i="10"/>
  <c r="B510" i="10"/>
  <c r="E475" i="10"/>
  <c r="B526" i="10"/>
  <c r="D499" i="10"/>
  <c r="B540" i="10"/>
  <c r="D502" i="10"/>
  <c r="C460" i="10"/>
  <c r="E426" i="10"/>
  <c r="D564" i="10"/>
  <c r="B500" i="10"/>
  <c r="C468" i="10"/>
  <c r="D539" i="10"/>
  <c r="D575" i="10"/>
  <c r="A592" i="10"/>
  <c r="D591" i="10"/>
  <c r="E518" i="10"/>
  <c r="E589" i="10"/>
  <c r="D541" i="10"/>
  <c r="B528" i="10"/>
  <c r="E492" i="10"/>
  <c r="E596" i="10"/>
  <c r="E536" i="10"/>
  <c r="C501" i="10"/>
  <c r="C592" i="10"/>
  <c r="C525" i="10"/>
  <c r="E490" i="10"/>
  <c r="D537" i="10"/>
  <c r="C497" i="10"/>
  <c r="D451" i="10"/>
  <c r="A422" i="10"/>
  <c r="D556" i="10"/>
  <c r="A497" i="10"/>
  <c r="E466" i="10"/>
  <c r="E449" i="10"/>
  <c r="A429" i="10"/>
  <c r="B412" i="10"/>
  <c r="B532" i="10"/>
  <c r="E503" i="10"/>
  <c r="D474" i="10"/>
  <c r="A460" i="10"/>
  <c r="B443" i="10"/>
  <c r="C426" i="10"/>
  <c r="D530" i="10"/>
  <c r="C482" i="10"/>
  <c r="C466" i="10"/>
  <c r="C449" i="10"/>
  <c r="D432" i="10"/>
  <c r="E415" i="10"/>
  <c r="B522" i="10"/>
  <c r="E493" i="10"/>
  <c r="D464" i="10"/>
  <c r="D447" i="10"/>
  <c r="E430" i="10"/>
  <c r="A410" i="10"/>
  <c r="D422" i="10"/>
  <c r="E396" i="10"/>
  <c r="A376" i="10"/>
  <c r="A360" i="10"/>
  <c r="B342" i="10"/>
  <c r="C475" i="10"/>
  <c r="B440" i="10"/>
  <c r="E412" i="10"/>
  <c r="E395" i="10"/>
  <c r="E379" i="10"/>
  <c r="B525" i="10"/>
  <c r="A466" i="10"/>
  <c r="A440" i="10"/>
  <c r="D412" i="10"/>
  <c r="D395" i="10"/>
  <c r="D379" i="10"/>
  <c r="E362" i="10"/>
  <c r="A475" i="10"/>
  <c r="A397" i="10"/>
  <c r="B380" i="10"/>
  <c r="C363" i="10"/>
  <c r="E445" i="10"/>
  <c r="A405" i="10"/>
  <c r="C394" i="10"/>
  <c r="A380" i="10"/>
  <c r="D369" i="10"/>
  <c r="C507" i="10"/>
  <c r="A474" i="10"/>
  <c r="B439" i="10"/>
  <c r="A404" i="10"/>
  <c r="C393" i="10"/>
  <c r="A379" i="10"/>
  <c r="D368" i="10"/>
  <c r="B504" i="10"/>
  <c r="E459" i="10"/>
  <c r="E443" i="10"/>
  <c r="E427" i="10"/>
  <c r="E411" i="10"/>
  <c r="B393" i="10"/>
  <c r="E382" i="10"/>
  <c r="B384" i="10"/>
  <c r="C337" i="10"/>
  <c r="E326" i="10"/>
  <c r="C312" i="10"/>
  <c r="E301" i="10"/>
  <c r="C285" i="10"/>
  <c r="E408" i="10"/>
  <c r="E347" i="10"/>
  <c r="A330" i="10"/>
  <c r="C319" i="10"/>
  <c r="E308" i="10"/>
  <c r="C293" i="10"/>
  <c r="E282" i="10"/>
  <c r="C266" i="10"/>
  <c r="C391" i="10"/>
  <c r="D354" i="10"/>
  <c r="D346" i="10"/>
  <c r="C335" i="10"/>
  <c r="E324" i="10"/>
  <c r="C310" i="10"/>
  <c r="E299" i="10"/>
  <c r="A285" i="10"/>
  <c r="D274" i="10"/>
  <c r="E407" i="10"/>
  <c r="C353" i="10"/>
  <c r="C345" i="10"/>
  <c r="C334" i="10"/>
  <c r="A319" i="10"/>
  <c r="C308" i="10"/>
  <c r="E297" i="10"/>
  <c r="B283" i="10"/>
  <c r="E272" i="10"/>
  <c r="E357" i="10"/>
  <c r="B349" i="10"/>
  <c r="C341" i="10"/>
  <c r="A326" i="10"/>
  <c r="D315" i="10"/>
  <c r="B300" i="10"/>
  <c r="C289" i="10"/>
  <c r="A275" i="10"/>
  <c r="C362" i="10"/>
  <c r="B352" i="10"/>
  <c r="A344" i="10"/>
  <c r="B333" i="10"/>
  <c r="B597" i="10"/>
  <c r="B561" i="10"/>
  <c r="B590" i="10"/>
  <c r="B567" i="10"/>
  <c r="A514" i="10"/>
  <c r="E586" i="10"/>
  <c r="D586" i="10"/>
  <c r="C527" i="10"/>
  <c r="A488" i="10"/>
  <c r="A581" i="10"/>
  <c r="B535" i="10"/>
  <c r="D500" i="10"/>
  <c r="C571" i="10"/>
  <c r="D524" i="10"/>
  <c r="A486" i="10"/>
  <c r="D585" i="10"/>
  <c r="D494" i="10"/>
  <c r="E450" i="10"/>
  <c r="B421" i="10"/>
  <c r="D548" i="10"/>
  <c r="B492" i="10"/>
  <c r="A461" i="10"/>
  <c r="A445" i="10"/>
  <c r="B428" i="10"/>
  <c r="C411" i="10"/>
  <c r="E530" i="10"/>
  <c r="A500" i="10"/>
  <c r="C473" i="10"/>
  <c r="B459" i="10"/>
  <c r="C442" i="10"/>
  <c r="D425" i="10"/>
  <c r="C522" i="10"/>
  <c r="A481" i="10"/>
  <c r="D465" i="10"/>
  <c r="D448" i="10"/>
  <c r="E431" i="10"/>
  <c r="A411" i="10"/>
  <c r="E520" i="10"/>
  <c r="B490" i="10"/>
  <c r="E463" i="10"/>
  <c r="E446" i="10"/>
  <c r="A426" i="10"/>
  <c r="B409" i="10"/>
  <c r="D414" i="10"/>
  <c r="A392" i="10"/>
  <c r="B375" i="10"/>
  <c r="B359" i="10"/>
  <c r="B599" i="10"/>
  <c r="B464" i="10"/>
  <c r="C438" i="10"/>
  <c r="D434" i="10"/>
  <c r="A532" i="10"/>
  <c r="B466" i="10"/>
  <c r="E348" i="10"/>
  <c r="C389" i="10"/>
  <c r="A464" i="10"/>
  <c r="B397" i="10"/>
  <c r="D521" i="10"/>
  <c r="C379" i="10"/>
  <c r="C410" i="10"/>
  <c r="D377" i="10"/>
  <c r="B465" i="10"/>
  <c r="B394" i="10"/>
  <c r="C531" i="10"/>
  <c r="A441" i="10"/>
  <c r="A394" i="10"/>
  <c r="B363" i="10"/>
  <c r="D311" i="10"/>
  <c r="E275" i="10"/>
  <c r="C327" i="10"/>
  <c r="D292" i="10"/>
  <c r="C399" i="10"/>
  <c r="E343" i="10"/>
  <c r="C309" i="10"/>
  <c r="C275" i="10"/>
  <c r="D350" i="10"/>
  <c r="B318" i="10"/>
  <c r="A284" i="10"/>
  <c r="B354" i="10"/>
  <c r="B325" i="10"/>
  <c r="C298" i="10"/>
  <c r="C281" i="10"/>
  <c r="C479" i="10"/>
  <c r="A350" i="10"/>
  <c r="D339" i="10"/>
  <c r="C323" i="10"/>
  <c r="A308" i="10"/>
  <c r="C297" i="10"/>
  <c r="A282" i="10"/>
  <c r="D271" i="10"/>
  <c r="A401" i="10"/>
  <c r="A370" i="10"/>
  <c r="D338" i="10"/>
  <c r="B323" i="10"/>
  <c r="E312" i="10"/>
  <c r="C296" i="10"/>
  <c r="A281" i="10"/>
  <c r="B322" i="10"/>
  <c r="C263" i="10"/>
  <c r="D252" i="10"/>
  <c r="B238" i="10"/>
  <c r="E264" i="10"/>
  <c r="B253" i="10"/>
  <c r="E242" i="10"/>
  <c r="C228" i="10"/>
  <c r="A214" i="10"/>
  <c r="C203" i="10"/>
  <c r="E192" i="10"/>
  <c r="C178" i="10"/>
  <c r="E167" i="10"/>
  <c r="B305" i="10"/>
  <c r="B264" i="10"/>
  <c r="B252" i="10"/>
  <c r="E241" i="10"/>
  <c r="C227" i="10"/>
  <c r="A213" i="10"/>
  <c r="C202" i="10"/>
  <c r="E191" i="10"/>
  <c r="C177" i="10"/>
  <c r="D166" i="10"/>
  <c r="B260" i="10"/>
  <c r="E248" i="10"/>
  <c r="C234" i="10"/>
  <c r="A220" i="10"/>
  <c r="C209" i="10"/>
  <c r="A194" i="10"/>
  <c r="D183" i="10"/>
  <c r="B169" i="10"/>
  <c r="A332" i="10"/>
  <c r="A280" i="10"/>
  <c r="A251" i="10"/>
  <c r="D240" i="10"/>
  <c r="D256" i="10"/>
  <c r="B241" i="10"/>
  <c r="E230" i="10"/>
  <c r="C216" i="10"/>
  <c r="A201" i="10"/>
  <c r="D189" i="10"/>
  <c r="B175" i="10"/>
  <c r="A323" i="10"/>
  <c r="A273" i="10"/>
  <c r="E254" i="10"/>
  <c r="B240" i="10"/>
  <c r="E229" i="10"/>
  <c r="C215" i="10"/>
  <c r="A200" i="10"/>
  <c r="D188" i="10"/>
  <c r="B174" i="10"/>
  <c r="A270" i="10"/>
  <c r="D254" i="10"/>
  <c r="A240" i="10"/>
  <c r="D229" i="10"/>
  <c r="B215" i="10"/>
  <c r="E203" i="10"/>
  <c r="B189" i="10"/>
  <c r="E178" i="10"/>
  <c r="C225" i="10"/>
  <c r="C164" i="10"/>
  <c r="C149" i="10"/>
  <c r="A135" i="10"/>
  <c r="B124" i="10"/>
  <c r="E113" i="10"/>
  <c r="C99" i="10"/>
  <c r="A84" i="10"/>
  <c r="B222" i="10"/>
  <c r="C171" i="10"/>
  <c r="B149" i="10"/>
  <c r="E138" i="10"/>
  <c r="B123" i="10"/>
  <c r="E112" i="10"/>
  <c r="C98" i="10"/>
  <c r="A227" i="10"/>
  <c r="B176" i="10"/>
  <c r="D154" i="10"/>
  <c r="B140" i="10"/>
  <c r="E127" i="10"/>
  <c r="C113" i="10"/>
  <c r="D545" i="10"/>
  <c r="A468" i="10"/>
  <c r="C432" i="10"/>
  <c r="E444" i="10"/>
  <c r="A375" i="10"/>
  <c r="D444" i="10"/>
  <c r="B389" i="10"/>
  <c r="A409" i="10"/>
  <c r="A365" i="10"/>
  <c r="D402" i="10"/>
  <c r="E368" i="10"/>
  <c r="D445" i="10"/>
  <c r="A387" i="10"/>
  <c r="E497" i="10"/>
  <c r="C429" i="10"/>
  <c r="E390" i="10"/>
  <c r="D336" i="10"/>
  <c r="D302" i="10"/>
  <c r="D360" i="10"/>
  <c r="D318" i="10"/>
  <c r="D283" i="10"/>
  <c r="E366" i="10"/>
  <c r="D334" i="10"/>
  <c r="D300" i="10"/>
  <c r="A266" i="10"/>
  <c r="D344" i="10"/>
  <c r="B309" i="10"/>
  <c r="E280" i="10"/>
  <c r="B348" i="10"/>
  <c r="C316" i="10"/>
  <c r="A292" i="10"/>
  <c r="E279" i="10"/>
  <c r="E358" i="10"/>
  <c r="A347" i="10"/>
  <c r="A334" i="10"/>
  <c r="E321" i="10"/>
  <c r="C306" i="10"/>
  <c r="E295" i="10"/>
  <c r="C280" i="10"/>
  <c r="D269" i="10"/>
  <c r="A393" i="10"/>
  <c r="B362" i="10"/>
  <c r="A333" i="10"/>
  <c r="D321" i="10"/>
  <c r="B306" i="10"/>
  <c r="E294" i="10"/>
  <c r="C279" i="10"/>
  <c r="A306" i="10"/>
  <c r="D261" i="10"/>
  <c r="A247" i="10"/>
  <c r="D236" i="10"/>
  <c r="B262" i="10"/>
  <c r="D251" i="10"/>
  <c r="B237" i="10"/>
  <c r="E226" i="10"/>
  <c r="C212" i="10"/>
  <c r="E201" i="10"/>
  <c r="B187" i="10"/>
  <c r="E176" i="10"/>
  <c r="C367" i="10"/>
  <c r="E293" i="10"/>
  <c r="A262" i="10"/>
  <c r="D250" i="10"/>
  <c r="B236" i="10"/>
  <c r="E225" i="10"/>
  <c r="C211" i="10"/>
  <c r="E200" i="10"/>
  <c r="B186" i="10"/>
  <c r="E175" i="10"/>
  <c r="C271" i="10"/>
  <c r="D258" i="10"/>
  <c r="B243" i="10"/>
  <c r="E232" i="10"/>
  <c r="C218" i="10"/>
  <c r="E207" i="10"/>
  <c r="C192" i="10"/>
  <c r="A178" i="10"/>
  <c r="C167" i="10"/>
  <c r="D320" i="10"/>
  <c r="A265" i="10"/>
  <c r="C249" i="10"/>
  <c r="E365" i="10"/>
  <c r="A250" i="10"/>
  <c r="D239" i="10"/>
  <c r="B225" i="10"/>
  <c r="E214" i="10"/>
  <c r="C199" i="10"/>
  <c r="A184" i="10"/>
  <c r="D173" i="10"/>
  <c r="A315" i="10"/>
  <c r="C268" i="10"/>
  <c r="A249" i="10"/>
  <c r="D238" i="10"/>
  <c r="B224" i="10"/>
  <c r="E213" i="10"/>
  <c r="C198" i="10"/>
  <c r="A183" i="10"/>
  <c r="D172" i="10"/>
  <c r="D266" i="10"/>
  <c r="E252" i="10"/>
  <c r="C238" i="10"/>
  <c r="A224" i="10"/>
  <c r="D213" i="10"/>
  <c r="B198" i="10"/>
  <c r="D187" i="10"/>
  <c r="B173" i="10"/>
  <c r="A206" i="10"/>
  <c r="B158" i="10"/>
  <c r="E147" i="10"/>
  <c r="B133" i="10"/>
  <c r="D122" i="10"/>
  <c r="B108" i="10"/>
  <c r="A508" i="10"/>
  <c r="B450" i="10"/>
  <c r="D415" i="10"/>
  <c r="B416" i="10"/>
  <c r="D372" i="10"/>
  <c r="B438" i="10"/>
  <c r="C380" i="10"/>
  <c r="A407" i="10"/>
  <c r="D362" i="10"/>
  <c r="B395" i="10"/>
  <c r="E569" i="10"/>
  <c r="D437" i="10"/>
  <c r="E383" i="10"/>
  <c r="B488" i="10"/>
  <c r="A425" i="10"/>
  <c r="D383" i="10"/>
  <c r="A331" i="10"/>
  <c r="A296" i="10"/>
  <c r="E353" i="10"/>
  <c r="A313" i="10"/>
  <c r="A278" i="10"/>
  <c r="D355" i="10"/>
  <c r="A329" i="10"/>
  <c r="E298" i="10"/>
  <c r="E262" i="10"/>
  <c r="D342" i="10"/>
  <c r="D307" i="10"/>
  <c r="D273" i="10"/>
  <c r="B346" i="10"/>
  <c r="E314" i="10"/>
  <c r="A291" i="10"/>
  <c r="B274" i="10"/>
  <c r="C357" i="10"/>
  <c r="A346" i="10"/>
  <c r="C332" i="10"/>
  <c r="A317" i="10"/>
  <c r="D305" i="10"/>
  <c r="A290" i="10"/>
  <c r="D279" i="10"/>
  <c r="E268" i="10"/>
  <c r="E389" i="10"/>
  <c r="E359" i="10"/>
  <c r="B332" i="10"/>
  <c r="E320" i="10"/>
  <c r="C305" i="10"/>
  <c r="A289" i="10"/>
  <c r="D278" i="10"/>
  <c r="E302" i="10"/>
  <c r="E260" i="10"/>
  <c r="B246" i="10"/>
  <c r="E235" i="10"/>
  <c r="C261" i="10"/>
  <c r="E250" i="10"/>
  <c r="C236" i="10"/>
  <c r="A222" i="10"/>
  <c r="D211" i="10"/>
  <c r="A197" i="10"/>
  <c r="C186" i="10"/>
  <c r="A172" i="10"/>
  <c r="A362" i="10"/>
  <c r="D285" i="10"/>
  <c r="B261" i="10"/>
  <c r="E249" i="10"/>
  <c r="C235" i="10"/>
  <c r="A221" i="10"/>
  <c r="C210" i="10"/>
  <c r="A196" i="10"/>
  <c r="C185" i="10"/>
  <c r="A171" i="10"/>
  <c r="A269" i="10"/>
  <c r="E257" i="10"/>
  <c r="C242" i="10"/>
  <c r="A228" i="10"/>
  <c r="D217" i="10"/>
  <c r="A203" i="10"/>
  <c r="D191" i="10"/>
  <c r="B177" i="10"/>
  <c r="C166" i="10"/>
  <c r="D312" i="10"/>
  <c r="A260" i="10"/>
  <c r="D248" i="10"/>
  <c r="E276" i="10"/>
  <c r="B249" i="10"/>
  <c r="E238" i="10"/>
  <c r="C224" i="10"/>
  <c r="A209" i="10"/>
  <c r="D198" i="10"/>
  <c r="B183" i="10"/>
  <c r="E172" i="10"/>
  <c r="E311" i="10"/>
  <c r="E266" i="10"/>
  <c r="B248" i="10"/>
  <c r="E237" i="10"/>
  <c r="C223" i="10"/>
  <c r="A208" i="10"/>
  <c r="D197" i="10"/>
  <c r="B182" i="10"/>
  <c r="E171" i="10"/>
  <c r="D262" i="10"/>
  <c r="A248" i="10"/>
  <c r="D237" i="10"/>
  <c r="B223" i="10"/>
  <c r="E212" i="10"/>
  <c r="C197" i="10"/>
  <c r="E186" i="10"/>
  <c r="C172" i="10"/>
  <c r="A198" i="10"/>
  <c r="C157" i="10"/>
  <c r="A143" i="10"/>
  <c r="C132" i="10"/>
  <c r="E121" i="10"/>
  <c r="C107" i="10"/>
  <c r="B481" i="10"/>
  <c r="B434" i="10"/>
  <c r="D430" i="10"/>
  <c r="D409" i="10"/>
  <c r="D364" i="10"/>
  <c r="B430" i="10"/>
  <c r="E378" i="10"/>
  <c r="E401" i="10"/>
  <c r="A357" i="10"/>
  <c r="D393" i="10"/>
  <c r="A517" i="10"/>
  <c r="D429" i="10"/>
  <c r="B378" i="10"/>
  <c r="C461" i="10"/>
  <c r="C421" i="10"/>
  <c r="A378" i="10"/>
  <c r="D327" i="10"/>
  <c r="C294" i="10"/>
  <c r="E346" i="10"/>
  <c r="D309" i="10"/>
  <c r="C276" i="10"/>
  <c r="D353" i="10"/>
  <c r="D325" i="10"/>
  <c r="B293" i="10"/>
  <c r="C368" i="10"/>
  <c r="B335" i="10"/>
  <c r="A302" i="10"/>
  <c r="B411" i="10"/>
  <c r="C342" i="10"/>
  <c r="A309" i="10"/>
  <c r="B290" i="10"/>
  <c r="C273" i="10"/>
  <c r="A355" i="10"/>
  <c r="A345" i="10"/>
  <c r="D331" i="10"/>
  <c r="B316" i="10"/>
  <c r="E304" i="10"/>
  <c r="B289" i="10"/>
  <c r="E278" i="10"/>
  <c r="E561" i="10"/>
  <c r="A385" i="10"/>
  <c r="D358" i="10"/>
  <c r="C331" i="10"/>
  <c r="A316" i="10"/>
  <c r="D304" i="10"/>
  <c r="B288" i="10"/>
  <c r="E277" i="10"/>
  <c r="D294" i="10"/>
  <c r="A256" i="10"/>
  <c r="C245" i="10"/>
  <c r="B358" i="10"/>
  <c r="D260" i="10"/>
  <c r="A246" i="10"/>
  <c r="D235" i="10"/>
  <c r="B221" i="10"/>
  <c r="D210" i="10"/>
  <c r="B196" i="10"/>
  <c r="D185" i="10"/>
  <c r="B171" i="10"/>
  <c r="D337" i="10"/>
  <c r="D277" i="10"/>
  <c r="C260" i="10"/>
  <c r="A245" i="10"/>
  <c r="D234" i="10"/>
  <c r="B220" i="10"/>
  <c r="D209" i="10"/>
  <c r="A195" i="10"/>
  <c r="D184" i="10"/>
  <c r="B170" i="10"/>
  <c r="C267" i="10"/>
  <c r="A252" i="10"/>
  <c r="D241" i="10"/>
  <c r="B227" i="10"/>
  <c r="E216" i="10"/>
  <c r="B202" i="10"/>
  <c r="E190" i="10"/>
  <c r="C176" i="10"/>
  <c r="D165" i="10"/>
  <c r="C304" i="10"/>
  <c r="B259" i="10"/>
  <c r="E247" i="10"/>
  <c r="D268" i="10"/>
  <c r="C248" i="10"/>
  <c r="A234" i="10"/>
  <c r="D223" i="10"/>
  <c r="B208" i="10"/>
  <c r="E197" i="10"/>
  <c r="C182" i="10"/>
  <c r="A166" i="10"/>
  <c r="D303" i="10"/>
  <c r="A258" i="10"/>
  <c r="C247" i="10"/>
  <c r="A233" i="10"/>
  <c r="D222" i="10"/>
  <c r="B207" i="10"/>
  <c r="E196" i="10"/>
  <c r="C181" i="10"/>
  <c r="A165" i="10"/>
  <c r="E261" i="10"/>
  <c r="B247" i="10"/>
  <c r="E236" i="10"/>
  <c r="C222" i="10"/>
  <c r="A207" i="10"/>
  <c r="D196" i="10"/>
  <c r="A182" i="10"/>
  <c r="D171" i="10"/>
  <c r="D190" i="10"/>
  <c r="D156" i="10"/>
  <c r="B142" i="10"/>
  <c r="C131" i="10"/>
  <c r="A117" i="10"/>
  <c r="D106" i="10"/>
  <c r="E465" i="10"/>
  <c r="C417" i="10"/>
  <c r="C398" i="10"/>
  <c r="D406" i="10"/>
  <c r="E521" i="10"/>
  <c r="A416" i="10"/>
  <c r="C372" i="10"/>
  <c r="B396" i="10"/>
  <c r="C447" i="10"/>
  <c r="A388" i="10"/>
  <c r="D504" i="10"/>
  <c r="D413" i="10"/>
  <c r="D376" i="10"/>
  <c r="A457" i="10"/>
  <c r="C413" i="10"/>
  <c r="C376" i="10"/>
  <c r="A322" i="10"/>
  <c r="B286" i="10"/>
  <c r="A338" i="10"/>
  <c r="A304" i="10"/>
  <c r="B267" i="10"/>
  <c r="E351" i="10"/>
  <c r="A320" i="10"/>
  <c r="E289" i="10"/>
  <c r="C361" i="10"/>
  <c r="D333" i="10"/>
  <c r="D298" i="10"/>
  <c r="D390" i="10"/>
  <c r="D340" i="10"/>
  <c r="B308" i="10"/>
  <c r="D288" i="10"/>
  <c r="D272" i="10"/>
  <c r="A354" i="10"/>
  <c r="B343" i="10"/>
  <c r="E330" i="10"/>
  <c r="C315" i="10"/>
  <c r="A300" i="10"/>
  <c r="C288" i="10"/>
  <c r="A274" i="10"/>
  <c r="A523" i="10"/>
  <c r="E381" i="10"/>
  <c r="A341" i="10"/>
  <c r="D330" i="10"/>
  <c r="B315" i="10"/>
  <c r="E303" i="10"/>
  <c r="C287" i="10"/>
  <c r="E363" i="10"/>
  <c r="C286" i="10"/>
  <c r="B255" i="10"/>
  <c r="D244" i="10"/>
  <c r="A272" i="10"/>
  <c r="E259" i="10"/>
  <c r="B245" i="10"/>
  <c r="E234" i="10"/>
  <c r="C220" i="10"/>
  <c r="E209" i="10"/>
  <c r="C195" i="10"/>
  <c r="E184" i="10"/>
  <c r="C170" i="10"/>
  <c r="D329" i="10"/>
  <c r="B269" i="10"/>
  <c r="D259" i="10"/>
  <c r="B244" i="10"/>
  <c r="E233" i="10"/>
  <c r="C219" i="10"/>
  <c r="E208" i="10"/>
  <c r="B194" i="10"/>
  <c r="E183" i="10"/>
  <c r="C169" i="10"/>
  <c r="D265" i="10"/>
  <c r="B251" i="10"/>
  <c r="E240" i="10"/>
  <c r="C226" i="10"/>
  <c r="A212" i="10"/>
  <c r="C201" i="10"/>
  <c r="A186" i="10"/>
  <c r="D175" i="10"/>
  <c r="E164" i="10"/>
  <c r="B296" i="10"/>
  <c r="C258" i="10"/>
  <c r="A243" i="10"/>
  <c r="A259" i="10"/>
  <c r="D247" i="10"/>
  <c r="B233" i="10"/>
  <c r="E222" i="10"/>
  <c r="C207" i="10"/>
  <c r="A192" i="10"/>
  <c r="D181" i="10"/>
  <c r="B339" i="10"/>
  <c r="C295" i="10"/>
  <c r="B257" i="10"/>
  <c r="D246" i="10"/>
  <c r="B232" i="10"/>
  <c r="E221" i="10"/>
  <c r="C206" i="10"/>
  <c r="A191" i="10"/>
  <c r="D180" i="10"/>
  <c r="B164" i="10"/>
  <c r="A257" i="10"/>
  <c r="C246" i="10"/>
  <c r="A232" i="10"/>
  <c r="D221" i="10"/>
  <c r="B206" i="10"/>
  <c r="E195" i="10"/>
  <c r="B181" i="10"/>
  <c r="E170" i="10"/>
  <c r="D182" i="10"/>
  <c r="E155" i="10"/>
  <c r="C141" i="10"/>
  <c r="D130" i="10"/>
  <c r="B116" i="10"/>
  <c r="E105" i="10"/>
  <c r="C90" i="10"/>
  <c r="E417" i="10"/>
  <c r="E364" i="10"/>
  <c r="C409" i="10"/>
  <c r="A373" i="10"/>
  <c r="E479" i="10"/>
  <c r="C453" i="10"/>
  <c r="B338" i="10"/>
  <c r="B329" i="10"/>
  <c r="D347" i="10"/>
  <c r="E273" i="10"/>
  <c r="C291" i="10"/>
  <c r="A301" i="10"/>
  <c r="A361" i="10"/>
  <c r="B324" i="10"/>
  <c r="D287" i="10"/>
  <c r="E397" i="10"/>
  <c r="A324" i="10"/>
  <c r="D286" i="10"/>
  <c r="C262" i="10"/>
  <c r="E267" i="10"/>
  <c r="A230" i="10"/>
  <c r="D202" i="10"/>
  <c r="E168" i="10"/>
  <c r="E258" i="10"/>
  <c r="D226" i="10"/>
  <c r="D192" i="10"/>
  <c r="A264" i="10"/>
  <c r="D233" i="10"/>
  <c r="E199" i="10"/>
  <c r="A340" i="10"/>
  <c r="B250" i="10"/>
  <c r="A242" i="10"/>
  <c r="D206" i="10"/>
  <c r="C174" i="10"/>
  <c r="D255" i="10"/>
  <c r="A217" i="10"/>
  <c r="E187" i="10"/>
  <c r="C255" i="10"/>
  <c r="E220" i="10"/>
  <c r="C188" i="10"/>
  <c r="B166" i="10"/>
  <c r="E129" i="10"/>
  <c r="D98" i="10"/>
  <c r="C81" i="10"/>
  <c r="D203" i="10"/>
  <c r="D155" i="10"/>
  <c r="C140" i="10"/>
  <c r="A124" i="10"/>
  <c r="A108" i="10"/>
  <c r="E96" i="10"/>
  <c r="C200" i="10"/>
  <c r="E161" i="10"/>
  <c r="D146" i="10"/>
  <c r="C129" i="10"/>
  <c r="B114" i="10"/>
  <c r="A99" i="10"/>
  <c r="C88" i="10"/>
  <c r="D232" i="10"/>
  <c r="A181" i="10"/>
  <c r="B155" i="10"/>
  <c r="E144" i="10"/>
  <c r="C128" i="10"/>
  <c r="A114" i="10"/>
  <c r="D103" i="10"/>
  <c r="A89" i="10"/>
  <c r="D77" i="10"/>
  <c r="D194" i="10"/>
  <c r="D160" i="10"/>
  <c r="B146" i="10"/>
  <c r="E135" i="10"/>
  <c r="C119" i="10"/>
  <c r="A105" i="10"/>
  <c r="C94" i="10"/>
  <c r="A79" i="10"/>
  <c r="E215" i="10"/>
  <c r="A162" i="10"/>
  <c r="D151" i="10"/>
  <c r="B137" i="10"/>
  <c r="D125" i="10"/>
  <c r="B111" i="10"/>
  <c r="E100" i="10"/>
  <c r="B86" i="10"/>
  <c r="C204" i="10"/>
  <c r="E169" i="10"/>
  <c r="B152" i="10"/>
  <c r="E141" i="10"/>
  <c r="A127" i="10"/>
  <c r="D116" i="10"/>
  <c r="B102" i="10"/>
  <c r="E90" i="10"/>
  <c r="D220" i="10"/>
  <c r="A177" i="10"/>
  <c r="A152" i="10"/>
  <c r="D141" i="10"/>
  <c r="E130" i="10"/>
  <c r="C116" i="10"/>
  <c r="A102" i="10"/>
  <c r="D90" i="10"/>
  <c r="A76" i="10"/>
  <c r="C76" i="10"/>
  <c r="D63" i="10"/>
  <c r="B49" i="10"/>
  <c r="E38" i="10"/>
  <c r="C23" i="10"/>
  <c r="A8" i="10"/>
  <c r="BD600" i="9"/>
  <c r="BD599" i="9"/>
  <c r="BH598" i="9"/>
  <c r="BI597" i="9"/>
  <c r="BF596" i="9"/>
  <c r="AW595" i="9"/>
  <c r="A428" i="10"/>
  <c r="C397" i="10"/>
  <c r="E394" i="10"/>
  <c r="E429" i="10"/>
  <c r="B403" i="10"/>
  <c r="C437" i="10"/>
  <c r="B313" i="10"/>
  <c r="C302" i="10"/>
  <c r="B336" i="10"/>
  <c r="D352" i="10"/>
  <c r="B361" i="10"/>
  <c r="D297" i="10"/>
  <c r="A351" i="10"/>
  <c r="D314" i="10"/>
  <c r="B281" i="10"/>
  <c r="E373" i="10"/>
  <c r="C314" i="10"/>
  <c r="B280" i="10"/>
  <c r="C253" i="10"/>
  <c r="A255" i="10"/>
  <c r="D227" i="10"/>
  <c r="D193" i="10"/>
  <c r="C321" i="10"/>
  <c r="C251" i="10"/>
  <c r="E217" i="10"/>
  <c r="A179" i="10"/>
  <c r="C259" i="10"/>
  <c r="E224" i="10"/>
  <c r="B185" i="10"/>
  <c r="E328" i="10"/>
  <c r="C241" i="10"/>
  <c r="C232" i="10"/>
  <c r="B200" i="10"/>
  <c r="E327" i="10"/>
  <c r="E245" i="10"/>
  <c r="D214" i="10"/>
  <c r="A175" i="10"/>
  <c r="D245" i="10"/>
  <c r="C214" i="10"/>
  <c r="D179" i="10"/>
  <c r="A151" i="10"/>
  <c r="C123" i="10"/>
  <c r="A92" i="10"/>
  <c r="E79" i="10"/>
  <c r="C187" i="10"/>
  <c r="A150" i="10"/>
  <c r="A133" i="10"/>
  <c r="D121" i="10"/>
  <c r="C106" i="10"/>
  <c r="B90" i="10"/>
  <c r="E189" i="10"/>
  <c r="B156" i="10"/>
  <c r="A141" i="10"/>
  <c r="A123" i="10"/>
  <c r="E111" i="10"/>
  <c r="C97" i="10"/>
  <c r="E86" i="10"/>
  <c r="D216" i="10"/>
  <c r="C165" i="10"/>
  <c r="D153" i="10"/>
  <c r="B139" i="10"/>
  <c r="E126" i="10"/>
  <c r="C112" i="10"/>
  <c r="A98" i="10"/>
  <c r="C87" i="10"/>
  <c r="A235" i="10"/>
  <c r="D178" i="10"/>
  <c r="A155" i="10"/>
  <c r="D144" i="10"/>
  <c r="B128" i="10"/>
  <c r="E117" i="10"/>
  <c r="C103" i="10"/>
  <c r="E92" i="10"/>
  <c r="C77" i="10"/>
  <c r="D199" i="10"/>
  <c r="C160" i="10"/>
  <c r="A146" i="10"/>
  <c r="D135" i="10"/>
  <c r="A120" i="10"/>
  <c r="D109" i="10"/>
  <c r="A95" i="10"/>
  <c r="D84" i="10"/>
  <c r="E193" i="10"/>
  <c r="A161" i="10"/>
  <c r="D150" i="10"/>
  <c r="B136" i="10"/>
  <c r="C125" i="10"/>
  <c r="A111" i="10"/>
  <c r="D100" i="10"/>
  <c r="B85" i="10"/>
  <c r="B209" i="10"/>
  <c r="D164" i="10"/>
  <c r="C150" i="10"/>
  <c r="A136" i="10"/>
  <c r="B125" i="10"/>
  <c r="E114" i="10"/>
  <c r="C100" i="10"/>
  <c r="A85" i="10"/>
  <c r="B74" i="10"/>
  <c r="E72" i="10"/>
  <c r="A58" i="10"/>
  <c r="D47" i="10"/>
  <c r="B33" i="10"/>
  <c r="E21" i="10"/>
  <c r="C6" i="10"/>
  <c r="AG600" i="9"/>
  <c r="AJ599" i="9"/>
  <c r="AO598" i="9"/>
  <c r="AM597" i="9"/>
  <c r="AM596" i="9"/>
  <c r="AG595" i="9"/>
  <c r="BP593" i="9"/>
  <c r="BL592" i="9"/>
  <c r="BL591" i="9"/>
  <c r="BD590" i="9"/>
  <c r="BI589" i="9"/>
  <c r="BN588" i="9"/>
  <c r="BO587" i="9"/>
  <c r="BD586" i="9"/>
  <c r="AU585" i="9"/>
  <c r="AY584" i="9"/>
  <c r="AO583" i="9"/>
  <c r="AN582" i="9"/>
  <c r="AN581" i="9"/>
  <c r="A78" i="10"/>
  <c r="A65" i="10"/>
  <c r="D54" i="10"/>
  <c r="C490" i="10"/>
  <c r="A391" i="10"/>
  <c r="C364" i="10"/>
  <c r="B404" i="10"/>
  <c r="C401" i="10"/>
  <c r="A403" i="10"/>
  <c r="E309" i="10"/>
  <c r="B294" i="10"/>
  <c r="C318" i="10"/>
  <c r="C346" i="10"/>
  <c r="B356" i="10"/>
  <c r="E287" i="10"/>
  <c r="A349" i="10"/>
  <c r="E313" i="10"/>
  <c r="B273" i="10"/>
  <c r="D367" i="10"/>
  <c r="D313" i="10"/>
  <c r="C338" i="10"/>
  <c r="E251" i="10"/>
  <c r="A254" i="10"/>
  <c r="D219" i="10"/>
  <c r="A188" i="10"/>
  <c r="C313" i="10"/>
  <c r="C243" i="10"/>
  <c r="B212" i="10"/>
  <c r="B178" i="10"/>
  <c r="C250" i="10"/>
  <c r="B219" i="10"/>
  <c r="C184" i="10"/>
  <c r="A288" i="10"/>
  <c r="E239" i="10"/>
  <c r="D231" i="10"/>
  <c r="B191" i="10"/>
  <c r="E319" i="10"/>
  <c r="A241" i="10"/>
  <c r="D205" i="10"/>
  <c r="C173" i="10"/>
  <c r="E244" i="10"/>
  <c r="C205" i="10"/>
  <c r="A174" i="10"/>
  <c r="B150" i="10"/>
  <c r="C115" i="10"/>
  <c r="B91" i="10"/>
  <c r="B230" i="10"/>
  <c r="C179" i="10"/>
  <c r="C148" i="10"/>
  <c r="A132" i="10"/>
  <c r="E120" i="10"/>
  <c r="D105" i="10"/>
  <c r="C89" i="10"/>
  <c r="B184" i="10"/>
  <c r="C155" i="10"/>
  <c r="C139" i="10"/>
  <c r="B122" i="10"/>
  <c r="A107" i="10"/>
  <c r="D96" i="10"/>
  <c r="A81" i="10"/>
  <c r="E210" i="10"/>
  <c r="E163" i="10"/>
  <c r="E152" i="10"/>
  <c r="C138" i="10"/>
  <c r="A122" i="10"/>
  <c r="D111" i="10"/>
  <c r="B97" i="10"/>
  <c r="D86" i="10"/>
  <c r="C229" i="10"/>
  <c r="D170" i="10"/>
  <c r="B154" i="10"/>
  <c r="E143" i="10"/>
  <c r="C127" i="10"/>
  <c r="A113" i="10"/>
  <c r="D102" i="10"/>
  <c r="A88" i="10"/>
  <c r="D76" i="10"/>
  <c r="C191" i="10"/>
  <c r="D159" i="10"/>
  <c r="B145" i="10"/>
  <c r="E134" i="10"/>
  <c r="B119" i="10"/>
  <c r="E108" i="10"/>
  <c r="B94" i="10"/>
  <c r="E83" i="10"/>
  <c r="B188" i="10"/>
  <c r="B160" i="10"/>
  <c r="E149" i="10"/>
  <c r="C135" i="10"/>
  <c r="D124" i="10"/>
  <c r="B110" i="10"/>
  <c r="E99" i="10"/>
  <c r="C84" i="10"/>
  <c r="E206" i="10"/>
  <c r="A160" i="10"/>
  <c r="D149" i="10"/>
  <c r="B135" i="10"/>
  <c r="C124" i="10"/>
  <c r="A110" i="10"/>
  <c r="D99" i="10"/>
  <c r="B84" i="10"/>
  <c r="C73" i="10"/>
  <c r="D71" i="10"/>
  <c r="B57" i="10"/>
  <c r="E46" i="10"/>
  <c r="C32" i="10"/>
  <c r="A16" i="10"/>
  <c r="D5" i="10"/>
  <c r="W600" i="9"/>
  <c r="AB599" i="9"/>
  <c r="AE598" i="9"/>
  <c r="AE597" i="9"/>
  <c r="AC596" i="9"/>
  <c r="V595" i="9"/>
  <c r="BH593" i="9"/>
  <c r="AZ592" i="9"/>
  <c r="BA591" i="9"/>
  <c r="AS590" i="9"/>
  <c r="D527" i="10"/>
  <c r="D380" i="10"/>
  <c r="A358" i="10"/>
  <c r="E384" i="10"/>
  <c r="D392" i="10"/>
  <c r="B401" i="10"/>
  <c r="D284" i="10"/>
  <c r="E290" i="10"/>
  <c r="B311" i="10"/>
  <c r="A327" i="10"/>
  <c r="B350" i="10"/>
  <c r="A283" i="10"/>
  <c r="A342" i="10"/>
  <c r="B307" i="10"/>
  <c r="C272" i="10"/>
  <c r="B340" i="10"/>
  <c r="A307" i="10"/>
  <c r="C330" i="10"/>
  <c r="E243" i="10"/>
  <c r="C252" i="10"/>
  <c r="E218" i="10"/>
  <c r="A180" i="10"/>
  <c r="A297" i="10"/>
  <c r="D242" i="10"/>
  <c r="A204" i="10"/>
  <c r="D176" i="10"/>
  <c r="D249" i="10"/>
  <c r="A211" i="10"/>
  <c r="E182" i="10"/>
  <c r="E284" i="10"/>
  <c r="B258" i="10"/>
  <c r="A226" i="10"/>
  <c r="C190" i="10"/>
  <c r="B287" i="10"/>
  <c r="C239" i="10"/>
  <c r="E204" i="10"/>
  <c r="C163" i="10"/>
  <c r="B239" i="10"/>
  <c r="D204" i="10"/>
  <c r="A164" i="10"/>
  <c r="D148" i="10"/>
  <c r="D114" i="10"/>
  <c r="D89" i="10"/>
  <c r="E227" i="10"/>
  <c r="E162" i="10"/>
  <c r="D147" i="10"/>
  <c r="B131" i="10"/>
  <c r="A116" i="10"/>
  <c r="E104" i="10"/>
  <c r="D88" i="10"/>
  <c r="E181" i="10"/>
  <c r="E153" i="10"/>
  <c r="D138" i="10"/>
  <c r="C121" i="10"/>
  <c r="B106" i="10"/>
  <c r="E95" i="10"/>
  <c r="B80" i="10"/>
  <c r="B205" i="10"/>
  <c r="C162" i="10"/>
  <c r="A148" i="10"/>
  <c r="D137" i="10"/>
  <c r="B121" i="10"/>
  <c r="E110" i="10"/>
  <c r="C96" i="10"/>
  <c r="E85" i="10"/>
  <c r="C221" i="10"/>
  <c r="B165" i="10"/>
  <c r="C153" i="10"/>
  <c r="A139" i="10"/>
  <c r="D126" i="10"/>
  <c r="B112" i="10"/>
  <c r="E101" i="10"/>
  <c r="B87" i="10"/>
  <c r="E231" i="10"/>
  <c r="C183" i="10"/>
  <c r="E158" i="10"/>
  <c r="C144" i="10"/>
  <c r="E133" i="10"/>
  <c r="C118" i="10"/>
  <c r="A104" i="10"/>
  <c r="C93" i="10"/>
  <c r="B234" i="10"/>
  <c r="E185" i="10"/>
  <c r="C159" i="10"/>
  <c r="A145" i="10"/>
  <c r="D134" i="10"/>
  <c r="E123" i="10"/>
  <c r="C109" i="10"/>
  <c r="A94" i="10"/>
  <c r="D83" i="10"/>
  <c r="B201" i="10"/>
  <c r="B159" i="10"/>
  <c r="E148" i="10"/>
  <c r="C134" i="10"/>
  <c r="D123" i="10"/>
  <c r="B109" i="10"/>
  <c r="E98" i="10"/>
  <c r="C83" i="10"/>
  <c r="D72" i="10"/>
  <c r="E70" i="10"/>
  <c r="C56" i="10"/>
  <c r="A42" i="10"/>
  <c r="D31" i="10"/>
  <c r="B15" i="10"/>
  <c r="E4" i="10"/>
  <c r="N600" i="9"/>
  <c r="R599" i="9"/>
  <c r="U598" i="9"/>
  <c r="T597" i="9"/>
  <c r="R596" i="9"/>
  <c r="L595" i="9"/>
  <c r="AW593" i="9"/>
  <c r="AQ592" i="9"/>
  <c r="AQ591" i="9"/>
  <c r="AJ590" i="9"/>
  <c r="B498" i="10"/>
  <c r="E505" i="10"/>
  <c r="A483" i="10"/>
  <c r="B379" i="10"/>
  <c r="C369" i="10"/>
  <c r="C392" i="10"/>
  <c r="A279" i="10"/>
  <c r="C265" i="10"/>
  <c r="E307" i="10"/>
  <c r="E323" i="10"/>
  <c r="A335" i="10"/>
  <c r="D280" i="10"/>
  <c r="B341" i="10"/>
  <c r="A299" i="10"/>
  <c r="D270" i="10"/>
  <c r="C339" i="10"/>
  <c r="A298" i="10"/>
  <c r="B314" i="10"/>
  <c r="A239" i="10"/>
  <c r="C244" i="10"/>
  <c r="B213" i="10"/>
  <c r="B179" i="10"/>
  <c r="D267" i="10"/>
  <c r="A237" i="10"/>
  <c r="B203" i="10"/>
  <c r="D168" i="10"/>
  <c r="A244" i="10"/>
  <c r="B210" i="10"/>
  <c r="E174" i="10"/>
  <c r="A271" i="10"/>
  <c r="C257" i="10"/>
  <c r="A218" i="10"/>
  <c r="E188" i="10"/>
  <c r="B279" i="10"/>
  <c r="C231" i="10"/>
  <c r="B199" i="10"/>
  <c r="D359" i="10"/>
  <c r="B231" i="10"/>
  <c r="A199" i="10"/>
  <c r="C233" i="10"/>
  <c r="D140" i="10"/>
  <c r="A109" i="10"/>
  <c r="E88" i="10"/>
  <c r="E219" i="10"/>
  <c r="A158" i="10"/>
  <c r="E146" i="10"/>
  <c r="C130" i="10"/>
  <c r="B115" i="10"/>
  <c r="A100" i="10"/>
  <c r="E87" i="10"/>
  <c r="E173" i="10"/>
  <c r="A149" i="10"/>
  <c r="E137" i="10"/>
  <c r="D120" i="10"/>
  <c r="C105" i="10"/>
  <c r="E94" i="10"/>
  <c r="C79" i="10"/>
  <c r="E202" i="10"/>
  <c r="D161" i="10"/>
  <c r="B147" i="10"/>
  <c r="E136" i="10"/>
  <c r="C120" i="10"/>
  <c r="A106" i="10"/>
  <c r="D95" i="10"/>
  <c r="A80" i="10"/>
  <c r="C213" i="10"/>
  <c r="D163" i="10"/>
  <c r="D152" i="10"/>
  <c r="B138" i="10"/>
  <c r="E125" i="10"/>
  <c r="C111" i="10"/>
  <c r="A97" i="10"/>
  <c r="C86" i="10"/>
  <c r="B226" i="10"/>
  <c r="C175" i="10"/>
  <c r="A154" i="10"/>
  <c r="D143" i="10"/>
  <c r="A128" i="10"/>
  <c r="D117" i="10"/>
  <c r="B103" i="10"/>
  <c r="D92" i="10"/>
  <c r="A231" i="10"/>
  <c r="B180" i="10"/>
  <c r="D158" i="10"/>
  <c r="B144" i="10"/>
  <c r="D133" i="10"/>
  <c r="A119" i="10"/>
  <c r="D108" i="10"/>
  <c r="B93" i="10"/>
  <c r="E82" i="10"/>
  <c r="E198" i="10"/>
  <c r="C158" i="10"/>
  <c r="A144" i="10"/>
  <c r="C133" i="10"/>
  <c r="E122" i="10"/>
  <c r="C108" i="10"/>
  <c r="A93" i="10"/>
  <c r="D82" i="10"/>
  <c r="E71" i="10"/>
  <c r="A66" i="10"/>
  <c r="D55" i="10"/>
  <c r="B41" i="10"/>
  <c r="E30" i="10"/>
  <c r="C14" i="10"/>
  <c r="D1" i="10"/>
  <c r="E600" i="9"/>
  <c r="J599" i="9"/>
  <c r="K598" i="9"/>
  <c r="J597" i="9"/>
  <c r="J596" i="9"/>
  <c r="A595" i="9"/>
  <c r="AO593" i="9"/>
  <c r="AF592" i="9"/>
  <c r="AE591" i="9"/>
  <c r="AB590" i="9"/>
  <c r="AG589" i="9"/>
  <c r="AI588" i="9"/>
  <c r="AG587" i="9"/>
  <c r="Q586" i="9"/>
  <c r="S585" i="9"/>
  <c r="L584" i="9"/>
  <c r="N583" i="9"/>
  <c r="K582" i="9"/>
  <c r="L581" i="9"/>
  <c r="D73" i="10"/>
  <c r="D62" i="10"/>
  <c r="B48" i="10"/>
  <c r="D381" i="10"/>
  <c r="C370" i="10"/>
  <c r="C320" i="10"/>
  <c r="D282" i="10"/>
  <c r="E270" i="10"/>
  <c r="E286" i="10"/>
  <c r="D295" i="10"/>
  <c r="D243" i="10"/>
  <c r="E166" i="10"/>
  <c r="C193" i="10"/>
  <c r="D208" i="10"/>
  <c r="B242" i="10"/>
  <c r="A176" i="10"/>
  <c r="B190" i="10"/>
  <c r="A216" i="10"/>
  <c r="A134" i="10"/>
  <c r="B214" i="10"/>
  <c r="D139" i="10"/>
  <c r="D97" i="10"/>
  <c r="B148" i="10"/>
  <c r="D112" i="10"/>
  <c r="E77" i="10"/>
  <c r="C146" i="10"/>
  <c r="B113" i="10"/>
  <c r="C78" i="10"/>
  <c r="E151" i="10"/>
  <c r="D118" i="10"/>
  <c r="E84" i="10"/>
  <c r="B153" i="10"/>
  <c r="E124" i="10"/>
  <c r="A87" i="10"/>
  <c r="E157" i="10"/>
  <c r="B126" i="10"/>
  <c r="D91" i="10"/>
  <c r="D157" i="10"/>
  <c r="A126" i="10"/>
  <c r="C91" i="10"/>
  <c r="B65" i="10"/>
  <c r="A34" i="10"/>
  <c r="BL600" i="9"/>
  <c r="B598" i="9"/>
  <c r="AO595" i="9"/>
  <c r="BT592" i="9"/>
  <c r="BM590" i="9"/>
  <c r="N589" i="9"/>
  <c r="BW587" i="9"/>
  <c r="AE586" i="9"/>
  <c r="B585" i="9"/>
  <c r="AW583" i="9"/>
  <c r="U582" i="9"/>
  <c r="BU580" i="9"/>
  <c r="E69" i="10"/>
  <c r="A49" i="10"/>
  <c r="E37" i="10"/>
  <c r="B23" i="10"/>
  <c r="E11" i="10"/>
  <c r="BK600" i="9"/>
  <c r="BM599" i="9"/>
  <c r="BQ598" i="9"/>
  <c r="BP597" i="9"/>
  <c r="BO596" i="9"/>
  <c r="C80" i="10"/>
  <c r="A64" i="10"/>
  <c r="D53" i="10"/>
  <c r="B39" i="10"/>
  <c r="D28" i="10"/>
  <c r="A14" i="10"/>
  <c r="D3" i="10"/>
  <c r="U600" i="9"/>
  <c r="Z599" i="9"/>
  <c r="AC598" i="9"/>
  <c r="AC597" i="9"/>
  <c r="AA596" i="9"/>
  <c r="T595" i="9"/>
  <c r="BF593" i="9"/>
  <c r="AW592" i="9"/>
  <c r="AW591" i="9"/>
  <c r="AQ590" i="9"/>
  <c r="AV589" i="9"/>
  <c r="BA588" i="9"/>
  <c r="AZ587" i="9"/>
  <c r="AP586" i="9"/>
  <c r="AJ585" i="9"/>
  <c r="AL584" i="9"/>
  <c r="AD583" i="9"/>
  <c r="AC582" i="9"/>
  <c r="AC581" i="9"/>
  <c r="AC580" i="9"/>
  <c r="C69" i="10"/>
  <c r="A55" i="10"/>
  <c r="D44" i="10"/>
  <c r="B30" i="10"/>
  <c r="D19" i="10"/>
  <c r="A5" i="10"/>
  <c r="AN600" i="9"/>
  <c r="AP599" i="9"/>
  <c r="AT598" i="9"/>
  <c r="AR597" i="9"/>
  <c r="AR596" i="9"/>
  <c r="AL595" i="9"/>
  <c r="BU593" i="9"/>
  <c r="BQ592" i="9"/>
  <c r="BS591" i="9"/>
  <c r="BI590" i="9"/>
  <c r="BO589" i="9"/>
  <c r="BS588" i="9"/>
  <c r="BT587" i="9"/>
  <c r="BJ586" i="9"/>
  <c r="BD585" i="9"/>
  <c r="BF584" i="9"/>
  <c r="AT583" i="9"/>
  <c r="AS582" i="9"/>
  <c r="AS581" i="9"/>
  <c r="AU580" i="9"/>
  <c r="A74" i="10"/>
  <c r="C60" i="10"/>
  <c r="A46" i="10"/>
  <c r="D35" i="10"/>
  <c r="A21" i="10"/>
  <c r="C10" i="10"/>
  <c r="BH600" i="9"/>
  <c r="BH599" i="9"/>
  <c r="BN598" i="9"/>
  <c r="BM597" i="9"/>
  <c r="BL596" i="9"/>
  <c r="A60" i="10"/>
  <c r="D49" i="10"/>
  <c r="B35" i="10"/>
  <c r="E480" i="10"/>
  <c r="D461" i="10"/>
  <c r="E334" i="10"/>
  <c r="D316" i="10"/>
  <c r="A353" i="10"/>
  <c r="A491" i="10"/>
  <c r="C278" i="10"/>
  <c r="B229" i="10"/>
  <c r="A263" i="10"/>
  <c r="D167" i="10"/>
  <c r="B193" i="10"/>
  <c r="E246" i="10"/>
  <c r="C270" i="10"/>
  <c r="E179" i="10"/>
  <c r="A190" i="10"/>
  <c r="A101" i="10"/>
  <c r="D195" i="10"/>
  <c r="E128" i="10"/>
  <c r="A219" i="10"/>
  <c r="E145" i="10"/>
  <c r="E103" i="10"/>
  <c r="B197" i="10"/>
  <c r="A140" i="10"/>
  <c r="C104" i="10"/>
  <c r="A210" i="10"/>
  <c r="C145" i="10"/>
  <c r="E109" i="10"/>
  <c r="E223" i="10"/>
  <c r="E150" i="10"/>
  <c r="A112" i="10"/>
  <c r="A223" i="10"/>
  <c r="C151" i="10"/>
  <c r="C117" i="10"/>
  <c r="E81" i="10"/>
  <c r="B151" i="10"/>
  <c r="B117" i="10"/>
  <c r="D81" i="10"/>
  <c r="E62" i="10"/>
  <c r="B24" i="10"/>
  <c r="BV599" i="9"/>
  <c r="AU597" i="9"/>
  <c r="AQ594" i="9"/>
  <c r="N592" i="9"/>
  <c r="I590" i="9"/>
  <c r="BV588" i="9"/>
  <c r="AR587" i="9"/>
  <c r="BY585" i="9"/>
  <c r="BJ584" i="9"/>
  <c r="W583" i="9"/>
  <c r="BS581" i="9"/>
  <c r="AZ580" i="9"/>
  <c r="C63" i="10"/>
  <c r="D46" i="10"/>
  <c r="B32" i="10"/>
  <c r="D21" i="10"/>
  <c r="B6" i="10"/>
  <c r="AR600" i="9"/>
  <c r="AR599" i="9"/>
  <c r="AV598" i="9"/>
  <c r="AT597" i="9"/>
  <c r="AT596" i="9"/>
  <c r="B73" i="10"/>
  <c r="C62" i="10"/>
  <c r="A48" i="10"/>
  <c r="D37" i="10"/>
  <c r="A23" i="10"/>
  <c r="C12" i="10"/>
  <c r="B1" i="10"/>
  <c r="C600" i="9"/>
  <c r="H599" i="9"/>
  <c r="I598" i="9"/>
  <c r="G597" i="9"/>
  <c r="H596" i="9"/>
  <c r="BP594" i="9"/>
  <c r="AM593" i="9"/>
  <c r="AD592" i="9"/>
  <c r="AA591" i="9"/>
  <c r="Z590" i="9"/>
  <c r="AE589" i="9"/>
  <c r="AG588" i="9"/>
  <c r="AB587" i="9"/>
  <c r="O586" i="9"/>
  <c r="Q585" i="9"/>
  <c r="I584" i="9"/>
  <c r="L583" i="9"/>
  <c r="I582" i="9"/>
  <c r="D460" i="10"/>
  <c r="E367" i="10"/>
  <c r="B320" i="10"/>
  <c r="A293" i="10"/>
  <c r="E338" i="10"/>
  <c r="A377" i="10"/>
  <c r="B272" i="10"/>
  <c r="A205" i="10"/>
  <c r="A253" i="10"/>
  <c r="E165" i="10"/>
  <c r="A170" i="10"/>
  <c r="C240" i="10"/>
  <c r="C256" i="10"/>
  <c r="B268" i="10"/>
  <c r="C180" i="10"/>
  <c r="B100" i="10"/>
  <c r="B157" i="10"/>
  <c r="C122" i="10"/>
  <c r="C208" i="10"/>
  <c r="A131" i="10"/>
  <c r="B98" i="10"/>
  <c r="A189" i="10"/>
  <c r="A130" i="10"/>
  <c r="E102" i="10"/>
  <c r="A202" i="10"/>
  <c r="C137" i="10"/>
  <c r="B104" i="10"/>
  <c r="B218" i="10"/>
  <c r="E142" i="10"/>
  <c r="C110" i="10"/>
  <c r="A215" i="10"/>
  <c r="C143" i="10"/>
  <c r="E115" i="10"/>
  <c r="D228" i="10"/>
  <c r="B143" i="10"/>
  <c r="D115" i="10"/>
  <c r="E80" i="10"/>
  <c r="E54" i="10"/>
  <c r="D22" i="10"/>
  <c r="BN599" i="9"/>
  <c r="A597" i="9"/>
  <c r="M594" i="9"/>
  <c r="E592" i="9"/>
  <c r="A590" i="9"/>
  <c r="BC588" i="9"/>
  <c r="P587" i="9"/>
  <c r="BQ585" i="9"/>
  <c r="AN584" i="9"/>
  <c r="F583" i="9"/>
  <c r="BI581" i="9"/>
  <c r="B76" i="10"/>
  <c r="E61" i="10"/>
  <c r="E45" i="10"/>
  <c r="C31" i="10"/>
  <c r="E20" i="10"/>
  <c r="C5" i="10"/>
  <c r="AF600" i="9"/>
  <c r="AI599" i="9"/>
  <c r="AN598" i="9"/>
  <c r="AL597" i="9"/>
  <c r="AL596" i="9"/>
  <c r="B72" i="10"/>
  <c r="D61" i="10"/>
  <c r="B47" i="10"/>
  <c r="E36" i="10"/>
  <c r="B22" i="10"/>
  <c r="D11" i="10"/>
  <c r="BR600" i="9"/>
  <c r="BT599" i="9"/>
  <c r="BY598" i="9"/>
  <c r="BY597" i="9"/>
  <c r="BX596" i="9"/>
  <c r="BT595" i="9"/>
  <c r="AW594" i="9"/>
  <c r="W593" i="9"/>
  <c r="U592" i="9"/>
  <c r="L591" i="9"/>
  <c r="O590" i="9"/>
  <c r="U589" i="9"/>
  <c r="W588" i="9"/>
  <c r="N587" i="9"/>
  <c r="G586" i="9"/>
  <c r="I585" i="9"/>
  <c r="BX583" i="9"/>
  <c r="D583" i="9"/>
  <c r="BY581" i="9"/>
  <c r="B581" i="9"/>
  <c r="C74" i="10"/>
  <c r="A63" i="10"/>
  <c r="D52" i="10"/>
  <c r="B38" i="10"/>
  <c r="D27" i="10"/>
  <c r="A13" i="10"/>
  <c r="D2" i="10"/>
  <c r="K600" i="9"/>
  <c r="O599" i="9"/>
  <c r="P598" i="9"/>
  <c r="O597" i="9"/>
  <c r="O596" i="9"/>
  <c r="F595" i="9"/>
  <c r="AT593" i="9"/>
  <c r="AL592" i="9"/>
  <c r="AN591" i="9"/>
  <c r="AG590" i="9"/>
  <c r="AM589" i="9"/>
  <c r="AP588" i="9"/>
  <c r="AO587" i="9"/>
  <c r="AA586" i="9"/>
  <c r="AA585" i="9"/>
  <c r="R584" i="9"/>
  <c r="S583" i="9"/>
  <c r="P582" i="9"/>
  <c r="R581" i="9"/>
  <c r="R580" i="9"/>
  <c r="C68" i="10"/>
  <c r="A54" i="10"/>
  <c r="D43" i="10"/>
  <c r="A29" i="10"/>
  <c r="C18" i="10"/>
  <c r="A4" i="10"/>
  <c r="AC600" i="9"/>
  <c r="AF599" i="9"/>
  <c r="AI598" i="9"/>
  <c r="AI597" i="9"/>
  <c r="A68" i="10"/>
  <c r="D57" i="10"/>
  <c r="B43" i="10"/>
  <c r="D450" i="10"/>
  <c r="C491" i="10"/>
  <c r="D345" i="10"/>
  <c r="A325" i="10"/>
  <c r="B297" i="10"/>
  <c r="C194" i="10"/>
  <c r="A187" i="10"/>
  <c r="D257" i="10"/>
  <c r="E253" i="10"/>
  <c r="E228" i="10"/>
  <c r="B83" i="10"/>
  <c r="D129" i="10"/>
  <c r="D162" i="10"/>
  <c r="A90" i="10"/>
  <c r="C154" i="10"/>
  <c r="E93" i="10"/>
  <c r="A147" i="10"/>
  <c r="D93" i="10"/>
  <c r="A138" i="10"/>
  <c r="E91" i="10"/>
  <c r="A137" i="10"/>
  <c r="A86" i="10"/>
  <c r="D132" i="10"/>
  <c r="A75" i="10"/>
  <c r="D39" i="10"/>
  <c r="B599" i="9"/>
  <c r="BG594" i="9"/>
  <c r="E591" i="9"/>
  <c r="AS588" i="9"/>
  <c r="AR586" i="9"/>
  <c r="A584" i="9"/>
  <c r="B582" i="9"/>
  <c r="C71" i="10"/>
  <c r="A41" i="10"/>
  <c r="A24" i="10"/>
  <c r="E3" i="10"/>
  <c r="BA599" i="9"/>
  <c r="E448" i="10"/>
  <c r="B507" i="10"/>
  <c r="B284" i="10"/>
  <c r="D322" i="10"/>
  <c r="E285" i="10"/>
  <c r="D177" i="10"/>
  <c r="A261" i="10"/>
  <c r="E256" i="10"/>
  <c r="D230" i="10"/>
  <c r="E194" i="10"/>
  <c r="C82" i="10"/>
  <c r="C114" i="10"/>
  <c r="A157" i="10"/>
  <c r="B89" i="10"/>
  <c r="D145" i="10"/>
  <c r="B88" i="10"/>
  <c r="D136" i="10"/>
  <c r="D85" i="10"/>
  <c r="C136" i="10"/>
  <c r="C85" i="10"/>
  <c r="E132" i="10"/>
  <c r="D212" i="10"/>
  <c r="D131" i="10"/>
  <c r="B81" i="10"/>
  <c r="A25" i="10"/>
  <c r="BR598" i="9"/>
  <c r="A594" i="9"/>
  <c r="BU590" i="9"/>
  <c r="AA588" i="9"/>
  <c r="I586" i="9"/>
  <c r="BR583" i="9"/>
  <c r="AV581" i="9"/>
  <c r="D70" i="10"/>
  <c r="B40" i="10"/>
  <c r="C22" i="10"/>
  <c r="C1" i="10"/>
  <c r="AA599" i="9"/>
  <c r="A598" i="9"/>
  <c r="Q596" i="9"/>
  <c r="B63" i="10"/>
  <c r="E44" i="10"/>
  <c r="C21" i="10"/>
  <c r="C4" i="10"/>
  <c r="AZ599" i="9"/>
  <c r="R598" i="9"/>
  <c r="AS596" i="9"/>
  <c r="AO594" i="9"/>
  <c r="BH592" i="9"/>
  <c r="BS590" i="9"/>
  <c r="AN589" i="9"/>
  <c r="BU587" i="9"/>
  <c r="BW585" i="9"/>
  <c r="AV584" i="9"/>
  <c r="BF582" i="9"/>
  <c r="S581" i="9"/>
  <c r="A73" i="10"/>
  <c r="D60" i="10"/>
  <c r="E43" i="10"/>
  <c r="E26" i="10"/>
  <c r="D10" i="10"/>
  <c r="AD600" i="9"/>
  <c r="G599" i="9"/>
  <c r="BN597" i="9"/>
  <c r="AH596" i="9"/>
  <c r="BO594" i="9"/>
  <c r="J593" i="9"/>
  <c r="BI591" i="9"/>
  <c r="W590" i="9"/>
  <c r="K589" i="9"/>
  <c r="BJ587" i="9"/>
  <c r="N586" i="9"/>
  <c r="BX584" i="9"/>
  <c r="AL583" i="9"/>
  <c r="G582" i="9"/>
  <c r="BR580" i="9"/>
  <c r="A70" i="10"/>
  <c r="B53" i="10"/>
  <c r="B37" i="10"/>
  <c r="B20" i="10"/>
  <c r="B3" i="10"/>
  <c r="A600" i="9"/>
  <c r="BC598" i="9"/>
  <c r="AA597" i="9"/>
  <c r="D65" i="10"/>
  <c r="E48" i="10"/>
  <c r="E32" i="10"/>
  <c r="C16" i="10"/>
  <c r="A2" i="10"/>
  <c r="G600" i="9"/>
  <c r="L599" i="9"/>
  <c r="M598" i="9"/>
  <c r="L597" i="9"/>
  <c r="L596" i="9"/>
  <c r="C595" i="9"/>
  <c r="AQ593" i="9"/>
  <c r="AH592" i="9"/>
  <c r="AJ591" i="9"/>
  <c r="AD590" i="9"/>
  <c r="AI589" i="9"/>
  <c r="AM588" i="9"/>
  <c r="AL587" i="9"/>
  <c r="W586" i="9"/>
  <c r="V585" i="9"/>
  <c r="N584" i="9"/>
  <c r="P583" i="9"/>
  <c r="M582" i="9"/>
  <c r="N581" i="9"/>
  <c r="O580" i="9"/>
  <c r="D64" i="10"/>
  <c r="B50" i="10"/>
  <c r="E39" i="10"/>
  <c r="C24" i="10"/>
  <c r="A9" i="10"/>
  <c r="BE600" i="9"/>
  <c r="BE599" i="9"/>
  <c r="BK598" i="9"/>
  <c r="BJ597" i="9"/>
  <c r="BG596" i="9"/>
  <c r="AX595" i="9"/>
  <c r="P594" i="9"/>
  <c r="E593" i="9"/>
  <c r="F592" i="9"/>
  <c r="BV590" i="9"/>
  <c r="B590" i="9"/>
  <c r="G589" i="9"/>
  <c r="I588" i="9"/>
  <c r="BW586" i="9"/>
  <c r="BR585" i="9"/>
  <c r="BS584" i="9"/>
  <c r="BI583" i="9"/>
  <c r="C448" i="10"/>
  <c r="C445" i="10"/>
  <c r="C354" i="10"/>
  <c r="B298" i="10"/>
  <c r="C254" i="10"/>
  <c r="D169" i="10"/>
  <c r="A236" i="10"/>
  <c r="E255" i="10"/>
  <c r="A225" i="10"/>
  <c r="C217" i="10"/>
  <c r="D80" i="10"/>
  <c r="D113" i="10"/>
  <c r="C147" i="10"/>
  <c r="D87" i="10"/>
  <c r="B129" i="10"/>
  <c r="B79" i="10"/>
  <c r="A129" i="10"/>
  <c r="B78" i="10"/>
  <c r="B127" i="10"/>
  <c r="C196" i="10"/>
  <c r="E131" i="10"/>
  <c r="A193" i="10"/>
  <c r="A118" i="10"/>
  <c r="E78" i="10"/>
  <c r="D13" i="10"/>
  <c r="AW598" i="9"/>
  <c r="AA593" i="9"/>
  <c r="Q590" i="9"/>
  <c r="P588" i="9"/>
  <c r="BH585" i="9"/>
  <c r="BH583" i="9"/>
  <c r="AE581" i="9"/>
  <c r="B64" i="10"/>
  <c r="C39" i="10"/>
  <c r="A15" i="10"/>
  <c r="BS600" i="9"/>
  <c r="Q599" i="9"/>
  <c r="BG597" i="9"/>
  <c r="I596" i="9"/>
  <c r="E60" i="10"/>
  <c r="A40" i="10"/>
  <c r="D20" i="10"/>
  <c r="E2" i="10"/>
  <c r="AQ599" i="9"/>
  <c r="BO597" i="9"/>
  <c r="AI596" i="9"/>
  <c r="G594" i="9"/>
  <c r="AM592" i="9"/>
  <c r="BK590" i="9"/>
  <c r="L589" i="9"/>
  <c r="BK587" i="9"/>
  <c r="BO585" i="9"/>
  <c r="W584" i="9"/>
  <c r="AT582" i="9"/>
  <c r="J581" i="9"/>
  <c r="A72" i="10"/>
  <c r="E59" i="10"/>
  <c r="A39" i="10"/>
  <c r="A22" i="10"/>
  <c r="E9" i="10"/>
  <c r="S600" i="9"/>
  <c r="BX598" i="9"/>
  <c r="BC597" i="9"/>
  <c r="Z596" i="9"/>
  <c r="AV594" i="9"/>
  <c r="A593" i="9"/>
  <c r="AV591" i="9"/>
  <c r="N590" i="9"/>
  <c r="C589" i="9"/>
  <c r="AW587" i="9"/>
  <c r="F586" i="9"/>
  <c r="BO584" i="9"/>
  <c r="AC583" i="9"/>
  <c r="BX581" i="9"/>
  <c r="BH580" i="9"/>
  <c r="B69" i="10"/>
  <c r="C52" i="10"/>
  <c r="C36" i="10"/>
  <c r="C19" i="10"/>
  <c r="C2" i="10"/>
  <c r="BR599" i="9"/>
  <c r="AS598" i="9"/>
  <c r="N597" i="9"/>
  <c r="E64" i="10"/>
  <c r="A44" i="10"/>
  <c r="A27" i="10"/>
  <c r="D15" i="10"/>
  <c r="BV600" i="9"/>
  <c r="BX599" i="9"/>
  <c r="D599" i="9"/>
  <c r="D598" i="9"/>
  <c r="C597" i="9"/>
  <c r="C596" i="9"/>
  <c r="BK594" i="9"/>
  <c r="AC593" i="9"/>
  <c r="Z592" i="9"/>
  <c r="P591" i="9"/>
  <c r="S590" i="9"/>
  <c r="AA589" i="9"/>
  <c r="AC588" i="9"/>
  <c r="W587" i="9"/>
  <c r="K586" i="9"/>
  <c r="M585" i="9"/>
  <c r="C584" i="9"/>
  <c r="H583" i="9"/>
  <c r="D582" i="9"/>
  <c r="F581" i="9"/>
  <c r="G580" i="9"/>
  <c r="E63" i="10"/>
  <c r="C49" i="10"/>
  <c r="A35" i="10"/>
  <c r="D23" i="10"/>
  <c r="B8" i="10"/>
  <c r="AT600" i="9"/>
  <c r="AT599" i="9"/>
  <c r="AZ598" i="9"/>
  <c r="AV597" i="9"/>
  <c r="AV596" i="9"/>
  <c r="AP595" i="9"/>
  <c r="B594" i="9"/>
  <c r="BU592" i="9"/>
  <c r="BW591" i="9"/>
  <c r="BN590" i="9"/>
  <c r="BS589" i="9"/>
  <c r="BX588" i="9"/>
  <c r="BX587" i="9"/>
  <c r="BO586" i="9"/>
  <c r="BI585" i="9"/>
  <c r="BK584" i="9"/>
  <c r="AY583" i="9"/>
  <c r="AW582" i="9"/>
  <c r="AW581" i="9"/>
  <c r="BA580" i="9"/>
  <c r="D79" i="10"/>
  <c r="E41" i="10"/>
  <c r="V596" i="9"/>
  <c r="BK592" i="9"/>
  <c r="E590" i="9"/>
  <c r="AM587" i="9"/>
  <c r="AW584" i="9"/>
  <c r="BO581" i="9"/>
  <c r="BI579" i="9"/>
  <c r="BK578" i="9"/>
  <c r="BL577" i="9"/>
  <c r="BK576" i="9"/>
  <c r="BQ575" i="9"/>
  <c r="BV574" i="9"/>
  <c r="D574" i="9"/>
  <c r="C573" i="9"/>
  <c r="BJ571" i="9"/>
  <c r="BN570" i="9"/>
  <c r="C483" i="10"/>
  <c r="B392" i="10"/>
  <c r="C282" i="10"/>
  <c r="D296" i="10"/>
  <c r="C237" i="10"/>
  <c r="E265" i="10"/>
  <c r="B235" i="10"/>
  <c r="B217" i="10"/>
  <c r="B216" i="10"/>
  <c r="D174" i="10"/>
  <c r="E211" i="10"/>
  <c r="B107" i="10"/>
  <c r="B130" i="10"/>
  <c r="D78" i="10"/>
  <c r="D127" i="10"/>
  <c r="E76" i="10"/>
  <c r="A121" i="10"/>
  <c r="D207" i="10"/>
  <c r="C126" i="10"/>
  <c r="E177" i="10"/>
  <c r="B118" i="10"/>
  <c r="A185" i="10"/>
  <c r="D107" i="10"/>
  <c r="E73" i="10"/>
  <c r="E12" i="10"/>
  <c r="BQ597" i="9"/>
  <c r="M593" i="9"/>
  <c r="BR589" i="9"/>
  <c r="H588" i="9"/>
  <c r="AM585" i="9"/>
  <c r="AF583" i="9"/>
  <c r="V581" i="9"/>
  <c r="A57" i="10"/>
  <c r="D38" i="10"/>
  <c r="B14" i="10"/>
  <c r="BA600" i="9"/>
  <c r="I599" i="9"/>
  <c r="AD597" i="9"/>
  <c r="BY595" i="9"/>
  <c r="A56" i="10"/>
  <c r="C38" i="10"/>
  <c r="E19" i="10"/>
  <c r="BJ600" i="9"/>
  <c r="AH599" i="9"/>
  <c r="BD597" i="9"/>
  <c r="P596" i="9"/>
  <c r="BX593" i="9"/>
  <c r="L592" i="9"/>
  <c r="AZ590" i="9"/>
  <c r="D589" i="9"/>
  <c r="AP587" i="9"/>
  <c r="BE585" i="9"/>
  <c r="BP583" i="9"/>
  <c r="AL582" i="9"/>
  <c r="BS580" i="9"/>
  <c r="A71" i="10"/>
  <c r="B54" i="10"/>
  <c r="C37" i="10"/>
  <c r="B21" i="10"/>
  <c r="B4" i="10"/>
  <c r="B600" i="9"/>
  <c r="BO598" i="9"/>
  <c r="AJ597" i="9"/>
  <c r="F596" i="9"/>
  <c r="AN594" i="9"/>
  <c r="BG592" i="9"/>
  <c r="Z591" i="9"/>
  <c r="F590" i="9"/>
  <c r="BK588" i="9"/>
  <c r="AA587" i="9"/>
  <c r="BV585" i="9"/>
  <c r="AU584" i="9"/>
  <c r="K583" i="9"/>
  <c r="BP581" i="9"/>
  <c r="AJ580" i="9"/>
  <c r="D67" i="10"/>
  <c r="D51" i="10"/>
  <c r="E34" i="10"/>
  <c r="D17" i="10"/>
  <c r="BY600" i="9"/>
  <c r="AW599" i="9"/>
  <c r="AA598" i="9"/>
  <c r="E597" i="9"/>
  <c r="B59" i="10"/>
  <c r="C42" i="10"/>
  <c r="B26" i="10"/>
  <c r="E14" i="10"/>
  <c r="BN600" i="9"/>
  <c r="BP599" i="9"/>
  <c r="BT598" i="9"/>
  <c r="BS597" i="9"/>
  <c r="BR596" i="9"/>
  <c r="BO595" i="9"/>
  <c r="AS594" i="9"/>
  <c r="O593" i="9"/>
  <c r="P592" i="9"/>
  <c r="G591" i="9"/>
  <c r="K590" i="9"/>
  <c r="P589" i="9"/>
  <c r="R588" i="9"/>
  <c r="H587" i="9"/>
  <c r="C586" i="9"/>
  <c r="D585" i="9"/>
  <c r="BT583" i="9"/>
  <c r="BY582" i="9"/>
  <c r="BU581" i="9"/>
  <c r="BW580" i="9"/>
  <c r="BX579" i="9"/>
  <c r="A59" i="10"/>
  <c r="D48" i="10"/>
  <c r="B34" i="10"/>
  <c r="E22" i="10"/>
  <c r="C7" i="10"/>
  <c r="AH600" i="9"/>
  <c r="AL599" i="9"/>
  <c r="AP598" i="9"/>
  <c r="AN597" i="9"/>
  <c r="AN596" i="9"/>
  <c r="AH595" i="9"/>
  <c r="BQ593" i="9"/>
  <c r="BM592" i="9"/>
  <c r="BO591" i="9"/>
  <c r="BE590" i="9"/>
  <c r="BJ589" i="9"/>
  <c r="BO588" i="9"/>
  <c r="BP587" i="9"/>
  <c r="BE586" i="9"/>
  <c r="AV585" i="9"/>
  <c r="AZ584" i="9"/>
  <c r="AP583" i="9"/>
  <c r="AO582" i="9"/>
  <c r="AO581" i="9"/>
  <c r="AQ580" i="9"/>
  <c r="A69" i="10"/>
  <c r="A37" i="10"/>
  <c r="BD595" i="9"/>
  <c r="AI592" i="9"/>
  <c r="BH589" i="9"/>
  <c r="A587" i="9"/>
  <c r="O584" i="9"/>
  <c r="AM581" i="9"/>
  <c r="AW579" i="9"/>
  <c r="AZ578" i="9"/>
  <c r="AW577" i="9"/>
  <c r="BA576" i="9"/>
  <c r="BI575" i="9"/>
  <c r="BN574" i="9"/>
  <c r="BS573" i="9"/>
  <c r="BC572" i="9"/>
  <c r="BA571" i="9"/>
  <c r="BF570" i="9"/>
  <c r="C406" i="10"/>
  <c r="B376" i="10"/>
  <c r="E331" i="10"/>
  <c r="D497" i="10"/>
  <c r="C269" i="10"/>
  <c r="A229" i="10"/>
  <c r="D225" i="10"/>
  <c r="D215" i="10"/>
  <c r="C189" i="10"/>
  <c r="A159" i="10"/>
  <c r="C156" i="10"/>
  <c r="B99" i="10"/>
  <c r="D128" i="10"/>
  <c r="D224" i="10"/>
  <c r="D119" i="10"/>
  <c r="D186" i="10"/>
  <c r="B120" i="10"/>
  <c r="A167" i="10"/>
  <c r="E116" i="10"/>
  <c r="B172" i="10"/>
  <c r="E107" i="10"/>
  <c r="A169" i="10"/>
  <c r="E106" i="10"/>
  <c r="C64" i="10"/>
  <c r="B7" i="10"/>
  <c r="BP596" i="9"/>
  <c r="D593" i="9"/>
  <c r="AY589" i="9"/>
  <c r="BD587" i="9"/>
  <c r="AD585" i="9"/>
  <c r="BU582" i="9"/>
  <c r="D581" i="9"/>
  <c r="B56" i="10"/>
  <c r="A33" i="10"/>
  <c r="C13" i="10"/>
  <c r="V600" i="9"/>
  <c r="A599" i="9"/>
  <c r="R597" i="9"/>
  <c r="D74" i="10"/>
  <c r="B55" i="10"/>
  <c r="A32" i="10"/>
  <c r="E18" i="10"/>
  <c r="AZ600" i="9"/>
  <c r="P599" i="9"/>
  <c r="AS597" i="9"/>
  <c r="BK595" i="9"/>
  <c r="BN593" i="9"/>
  <c r="C592" i="9"/>
  <c r="AH590" i="9"/>
  <c r="BT588" i="9"/>
  <c r="D587" i="9"/>
  <c r="AS585" i="9"/>
  <c r="BF583" i="9"/>
  <c r="Q582" i="9"/>
  <c r="BI580" i="9"/>
  <c r="B70" i="10"/>
  <c r="C53" i="10"/>
  <c r="D36" i="10"/>
  <c r="C20" i="10"/>
  <c r="C3" i="10"/>
  <c r="BS599" i="9"/>
  <c r="BD598" i="9"/>
  <c r="AB597" i="9"/>
  <c r="BS595" i="9"/>
  <c r="F594" i="9"/>
  <c r="AV592" i="9"/>
  <c r="J591" i="9"/>
  <c r="BW589" i="9"/>
  <c r="AZ588" i="9"/>
  <c r="M587" i="9"/>
  <c r="BM585" i="9"/>
  <c r="AJ584" i="9"/>
  <c r="C583" i="9"/>
  <c r="BE581" i="9"/>
  <c r="AB580" i="9"/>
  <c r="E66" i="10"/>
  <c r="E50" i="10"/>
  <c r="A30" i="10"/>
  <c r="E16" i="10"/>
  <c r="BP600" i="9"/>
  <c r="AO599" i="9"/>
  <c r="O598" i="9"/>
  <c r="BT596" i="9"/>
  <c r="C58" i="10"/>
  <c r="D41" i="10"/>
  <c r="C25" i="10"/>
  <c r="A10" i="10"/>
  <c r="BF600" i="9"/>
  <c r="BF599" i="9"/>
  <c r="BL598" i="9"/>
  <c r="BK597" i="9"/>
  <c r="BH596" i="9"/>
  <c r="AZ595" i="9"/>
  <c r="R594" i="9"/>
  <c r="F593" i="9"/>
  <c r="G592" i="9"/>
  <c r="BW590" i="9"/>
  <c r="C590" i="9"/>
  <c r="H589" i="9"/>
  <c r="J588" i="9"/>
  <c r="BX586" i="9"/>
  <c r="BS585" i="9"/>
  <c r="BT584" i="9"/>
  <c r="BK583" i="9"/>
  <c r="BO582" i="9"/>
  <c r="BK581" i="9"/>
  <c r="BO580" i="9"/>
  <c r="BO579" i="9"/>
  <c r="B58" i="10"/>
  <c r="E47" i="10"/>
  <c r="C33" i="10"/>
  <c r="A17" i="10"/>
  <c r="D6" i="10"/>
  <c r="Z600" i="9"/>
  <c r="AC599" i="9"/>
  <c r="AF598" i="9"/>
  <c r="AF597" i="9"/>
  <c r="AD596" i="9"/>
  <c r="W595" i="9"/>
  <c r="BI593" i="9"/>
  <c r="BA592" i="9"/>
  <c r="BD591" i="9"/>
  <c r="AT590" i="9"/>
  <c r="AZ589" i="9"/>
  <c r="BD588" i="9"/>
  <c r="BE587" i="9"/>
  <c r="E393" i="10"/>
  <c r="A369" i="10"/>
  <c r="D323" i="10"/>
  <c r="E337" i="10"/>
  <c r="B263" i="10"/>
  <c r="B228" i="10"/>
  <c r="D200" i="10"/>
  <c r="E205" i="10"/>
  <c r="B256" i="10"/>
  <c r="E139" i="10"/>
  <c r="E154" i="10"/>
  <c r="A91" i="10"/>
  <c r="E119" i="10"/>
  <c r="A173" i="10"/>
  <c r="E118" i="10"/>
  <c r="B162" i="10"/>
  <c r="D110" i="10"/>
  <c r="B163" i="10"/>
  <c r="C102" i="10"/>
  <c r="A163" i="10"/>
  <c r="A103" i="10"/>
  <c r="E156" i="10"/>
  <c r="B101" i="10"/>
  <c r="A50" i="10"/>
  <c r="BT600" i="9"/>
  <c r="AU596" i="9"/>
  <c r="W592" i="9"/>
  <c r="AP589" i="9"/>
  <c r="F587" i="9"/>
  <c r="K585" i="9"/>
  <c r="BK582" i="9"/>
  <c r="BK580" i="9"/>
  <c r="C55" i="10"/>
  <c r="D30" i="10"/>
  <c r="D12" i="10"/>
  <c r="M600" i="9"/>
  <c r="BG598" i="9"/>
  <c r="H597" i="9"/>
  <c r="B71" i="10"/>
  <c r="C54" i="10"/>
  <c r="B31" i="10"/>
  <c r="B13" i="10"/>
  <c r="AQ600" i="9"/>
  <c r="BP598" i="9"/>
  <c r="AK597" i="9"/>
  <c r="AU595" i="9"/>
  <c r="AU593" i="9"/>
  <c r="BT591" i="9"/>
  <c r="G590" i="9"/>
  <c r="BL588" i="9"/>
  <c r="BT586" i="9"/>
  <c r="AB585" i="9"/>
  <c r="AU583" i="9"/>
  <c r="BQ581" i="9"/>
  <c r="AV580" i="9"/>
  <c r="D68" i="10"/>
  <c r="E51" i="10"/>
  <c r="E35" i="10"/>
  <c r="D18" i="10"/>
  <c r="A1" i="10"/>
  <c r="BK599" i="9"/>
  <c r="AL598" i="9"/>
  <c r="F597" i="9"/>
  <c r="BG595" i="9"/>
  <c r="BM593" i="9"/>
  <c r="AC592" i="9"/>
  <c r="A591" i="9"/>
  <c r="BF589" i="9"/>
  <c r="AF588" i="9"/>
  <c r="C587" i="9"/>
  <c r="AR585" i="9"/>
  <c r="F584" i="9"/>
  <c r="BR582" i="9"/>
  <c r="AJ581" i="9"/>
  <c r="J580" i="9"/>
  <c r="A62" i="10"/>
  <c r="B45" i="10"/>
  <c r="B28" i="10"/>
  <c r="A12" i="10"/>
  <c r="AW600" i="9"/>
  <c r="W599" i="9"/>
  <c r="F598" i="9"/>
  <c r="A82" i="10"/>
  <c r="E56" i="10"/>
  <c r="E40" i="10"/>
  <c r="D24" i="10"/>
  <c r="B9" i="10"/>
  <c r="AU600" i="9"/>
  <c r="AU599" i="9"/>
  <c r="BA598" i="9"/>
  <c r="AW597" i="9"/>
  <c r="AW596" i="9"/>
  <c r="AQ595" i="9"/>
  <c r="C594" i="9"/>
  <c r="BV592" i="9"/>
  <c r="BX591" i="9"/>
  <c r="BO590" i="9"/>
  <c r="BT589" i="9"/>
  <c r="BY588" i="9"/>
  <c r="A588" i="9"/>
  <c r="BP586" i="9"/>
  <c r="BJ585" i="9"/>
  <c r="BL584" i="9"/>
  <c r="AZ583" i="9"/>
  <c r="AZ582" i="9"/>
  <c r="AZ581" i="9"/>
  <c r="BD580" i="9"/>
  <c r="BG579" i="9"/>
  <c r="C57" i="10"/>
  <c r="A43" i="10"/>
  <c r="D32" i="10"/>
  <c r="B16" i="10"/>
  <c r="E5" i="10"/>
  <c r="O600" i="9"/>
  <c r="S599" i="9"/>
  <c r="V598" i="9"/>
  <c r="U597" i="9"/>
  <c r="T596" i="9"/>
  <c r="M595" i="9"/>
  <c r="AZ593" i="9"/>
  <c r="AR592" i="9"/>
  <c r="AR591" i="9"/>
  <c r="AL590" i="9"/>
  <c r="AQ589" i="9"/>
  <c r="AT588" i="9"/>
  <c r="AS587" i="9"/>
  <c r="AG586" i="9"/>
  <c r="E385" i="10"/>
  <c r="E263" i="10"/>
  <c r="C299" i="10"/>
  <c r="E329" i="10"/>
  <c r="A238" i="10"/>
  <c r="D218" i="10"/>
  <c r="C168" i="10"/>
  <c r="E180" i="10"/>
  <c r="D253" i="10"/>
  <c r="A125" i="10"/>
  <c r="A142" i="10"/>
  <c r="B192" i="10"/>
  <c r="A115" i="10"/>
  <c r="E160" i="10"/>
  <c r="B105" i="10"/>
  <c r="C161" i="10"/>
  <c r="B96" i="10"/>
  <c r="B161" i="10"/>
  <c r="D101" i="10"/>
  <c r="A153" i="10"/>
  <c r="C101" i="10"/>
  <c r="C142" i="10"/>
  <c r="B92" i="10"/>
  <c r="C48" i="10"/>
  <c r="AS600" i="9"/>
  <c r="A596" i="9"/>
  <c r="BV591" i="9"/>
  <c r="W589" i="9"/>
  <c r="BV586" i="9"/>
  <c r="BR584" i="9"/>
  <c r="AV582" i="9"/>
  <c r="E74" i="10"/>
  <c r="E53" i="10"/>
  <c r="E29" i="10"/>
  <c r="A7" i="10"/>
  <c r="D600" i="9"/>
  <c r="AD598" i="9"/>
  <c r="BY596" i="9"/>
  <c r="C70" i="10"/>
  <c r="E52" i="10"/>
  <c r="C30" i="10"/>
  <c r="E10" i="10"/>
  <c r="AE600" i="9"/>
  <c r="BF598" i="9"/>
  <c r="P597" i="9"/>
  <c r="AM595" i="9"/>
  <c r="K593" i="9"/>
  <c r="BJ591" i="9"/>
  <c r="BX589" i="9"/>
  <c r="AQ588" i="9"/>
  <c r="BK586" i="9"/>
  <c r="BY584" i="9"/>
  <c r="AM583" i="9"/>
  <c r="BF581" i="9"/>
  <c r="AL580" i="9"/>
  <c r="E67" i="10"/>
  <c r="A47" i="10"/>
  <c r="A31" i="10"/>
  <c r="E17" i="10"/>
  <c r="BQ600" i="9"/>
  <c r="AY599" i="9"/>
  <c r="AB598" i="9"/>
  <c r="BU596" i="9"/>
  <c r="AT595" i="9"/>
  <c r="BD593" i="9"/>
  <c r="S592" i="9"/>
  <c r="BR590" i="9"/>
  <c r="AU589" i="9"/>
  <c r="V588" i="9"/>
  <c r="BS586" i="9"/>
  <c r="AI585" i="9"/>
  <c r="BW583" i="9"/>
  <c r="BE582" i="9"/>
  <c r="AB581" i="9"/>
  <c r="A83" i="10"/>
  <c r="B61" i="10"/>
  <c r="C44" i="10"/>
  <c r="C27" i="10"/>
  <c r="B11" i="10"/>
  <c r="AM600" i="9"/>
  <c r="N599" i="9"/>
  <c r="BW597" i="9"/>
  <c r="C75" i="10"/>
  <c r="A52" i="10"/>
  <c r="A36" i="10"/>
  <c r="E23" i="10"/>
  <c r="C8" i="10"/>
  <c r="AI600" i="9"/>
  <c r="AM599" i="9"/>
  <c r="AQ598" i="9"/>
  <c r="AO597" i="9"/>
  <c r="AO596" i="9"/>
  <c r="AI595" i="9"/>
  <c r="BR593" i="9"/>
  <c r="BN592" i="9"/>
  <c r="BP591" i="9"/>
  <c r="BF590" i="9"/>
  <c r="BK589" i="9"/>
  <c r="BP588" i="9"/>
  <c r="BQ587" i="9"/>
  <c r="BF586" i="9"/>
  <c r="AW585" i="9"/>
  <c r="BA584" i="9"/>
  <c r="AQ583" i="9"/>
  <c r="AP582" i="9"/>
  <c r="AP581" i="9"/>
  <c r="AR580" i="9"/>
  <c r="A67" i="10"/>
  <c r="D56" i="10"/>
  <c r="B42" i="10"/>
  <c r="E31" i="10"/>
  <c r="C15" i="10"/>
  <c r="E1" i="10"/>
  <c r="F600" i="9"/>
  <c r="K599" i="9"/>
  <c r="L598" i="9"/>
  <c r="K597" i="9"/>
  <c r="K596" i="9"/>
  <c r="B595" i="9"/>
  <c r="AP593" i="9"/>
  <c r="AG592" i="9"/>
  <c r="AG591" i="9"/>
  <c r="AC590" i="9"/>
  <c r="AH589" i="9"/>
  <c r="AL588" i="9"/>
  <c r="AJ587" i="9"/>
  <c r="R586" i="9"/>
  <c r="U585" i="9"/>
  <c r="M584" i="9"/>
  <c r="C439" i="10"/>
  <c r="C230" i="10"/>
  <c r="C95" i="10"/>
  <c r="AS599" i="9"/>
  <c r="C47" i="10"/>
  <c r="D69" i="10"/>
  <c r="L600" i="9"/>
  <c r="B593" i="9"/>
  <c r="AZ586" i="9"/>
  <c r="S580" i="9"/>
  <c r="B12" i="10"/>
  <c r="BM596" i="9"/>
  <c r="AY590" i="9"/>
  <c r="P585" i="9"/>
  <c r="B77" i="10"/>
  <c r="D9" i="10"/>
  <c r="B67" i="10"/>
  <c r="D7" i="10"/>
  <c r="AG597" i="9"/>
  <c r="BD592" i="9"/>
  <c r="BF588" i="9"/>
  <c r="AR584" i="9"/>
  <c r="AG580" i="9"/>
  <c r="A26" i="10"/>
  <c r="C599" i="9"/>
  <c r="BH594" i="9"/>
  <c r="R590" i="9"/>
  <c r="AS586" i="9"/>
  <c r="AB584" i="9"/>
  <c r="BL582" i="9"/>
  <c r="W581" i="9"/>
  <c r="F580" i="9"/>
  <c r="A45" i="10"/>
  <c r="D595" i="9"/>
  <c r="BY590" i="9"/>
  <c r="BL587" i="9"/>
  <c r="AN583" i="9"/>
  <c r="V580" i="9"/>
  <c r="BT578" i="9"/>
  <c r="AF577" i="9"/>
  <c r="P576" i="9"/>
  <c r="E575" i="9"/>
  <c r="AW573" i="9"/>
  <c r="P572" i="9"/>
  <c r="BW570" i="9"/>
  <c r="BK569" i="9"/>
  <c r="BN568" i="9"/>
  <c r="BO567" i="9"/>
  <c r="BD566" i="9"/>
  <c r="AY565" i="9"/>
  <c r="BA564" i="9"/>
  <c r="BJ563" i="9"/>
  <c r="BP562" i="9"/>
  <c r="BL561" i="9"/>
  <c r="BK560" i="9"/>
  <c r="BJ559" i="9"/>
  <c r="AT558" i="9"/>
  <c r="A28" i="10"/>
  <c r="C383" i="10"/>
  <c r="E97" i="10"/>
  <c r="C152" i="10"/>
  <c r="BM595" i="9"/>
  <c r="E28" i="10"/>
  <c r="E68" i="10"/>
  <c r="BL599" i="9"/>
  <c r="BR592" i="9"/>
  <c r="AB586" i="9"/>
  <c r="K580" i="9"/>
  <c r="C11" i="10"/>
  <c r="BB596" i="9"/>
  <c r="AP590" i="9"/>
  <c r="G585" i="9"/>
  <c r="E75" i="10"/>
  <c r="E8" i="10"/>
  <c r="C66" i="10"/>
  <c r="E6" i="10"/>
  <c r="V597" i="9"/>
  <c r="AS592" i="9"/>
  <c r="AU588" i="9"/>
  <c r="AC584" i="9"/>
  <c r="X580" i="9"/>
  <c r="B25" i="10"/>
  <c r="BS598" i="9"/>
  <c r="AR594" i="9"/>
  <c r="J590" i="9"/>
  <c r="J586" i="9"/>
  <c r="B584" i="9"/>
  <c r="AF582" i="9"/>
  <c r="M581" i="9"/>
  <c r="BW579" i="9"/>
  <c r="E33" i="10"/>
  <c r="AM594" i="9"/>
  <c r="BA590" i="9"/>
  <c r="BA586" i="9"/>
  <c r="Q583" i="9"/>
  <c r="E580" i="9"/>
  <c r="AP578" i="9"/>
  <c r="W577" i="9"/>
  <c r="H576" i="9"/>
  <c r="BF574" i="9"/>
  <c r="AO573" i="9"/>
  <c r="C572" i="9"/>
  <c r="AU570" i="9"/>
  <c r="BA569" i="9"/>
  <c r="BD568" i="9"/>
  <c r="BC567" i="9"/>
  <c r="AS566" i="9"/>
  <c r="AN565" i="9"/>
  <c r="AR564" i="9"/>
  <c r="AZ563" i="9"/>
  <c r="BA562" i="9"/>
  <c r="AW561" i="9"/>
  <c r="BA560" i="9"/>
  <c r="AY559" i="9"/>
  <c r="AL558" i="9"/>
  <c r="E24" i="10"/>
  <c r="BA596" i="9"/>
  <c r="H593" i="9"/>
  <c r="AA590" i="9"/>
  <c r="BI587" i="9"/>
  <c r="BU584" i="9"/>
  <c r="J582" i="9"/>
  <c r="BR579" i="9"/>
  <c r="BS578" i="9"/>
  <c r="BU577" i="9"/>
  <c r="BR576" i="9"/>
  <c r="BX575" i="9"/>
  <c r="D575" i="9"/>
  <c r="K574" i="9"/>
  <c r="K573" i="9"/>
  <c r="BR571" i="9"/>
  <c r="BU570" i="9"/>
  <c r="A570" i="9"/>
  <c r="F569" i="9"/>
  <c r="G568" i="9"/>
  <c r="B44" i="10"/>
  <c r="AV595" i="9"/>
  <c r="AB592" i="9"/>
  <c r="BD589" i="9"/>
  <c r="BU586" i="9"/>
  <c r="E584" i="9"/>
  <c r="AH581" i="9"/>
  <c r="AU579" i="9"/>
  <c r="AV578" i="9"/>
  <c r="AU577" i="9"/>
  <c r="AY576" i="9"/>
  <c r="BG575" i="9"/>
  <c r="BL574" i="9"/>
  <c r="BQ573" i="9"/>
  <c r="AX572" i="9"/>
  <c r="AW571" i="9"/>
  <c r="BC570" i="9"/>
  <c r="BI569" i="9"/>
  <c r="BL568" i="9"/>
  <c r="A11" i="10"/>
  <c r="E596" i="9"/>
  <c r="AY592" i="9"/>
  <c r="BV589" i="9"/>
  <c r="X587" i="9"/>
  <c r="AM584" i="9"/>
  <c r="BD581" i="9"/>
  <c r="BD579" i="9"/>
  <c r="BH578" i="9"/>
  <c r="BF577" i="9"/>
  <c r="BH576" i="9"/>
  <c r="BN575" i="9"/>
  <c r="BS574" i="9"/>
  <c r="A574" i="9"/>
  <c r="BP572" i="9"/>
  <c r="BG571" i="9"/>
  <c r="BK570" i="9"/>
  <c r="BP569" i="9"/>
  <c r="BS568" i="9"/>
  <c r="BT567" i="9"/>
  <c r="BM566" i="9"/>
  <c r="BF565" i="9"/>
  <c r="BG564" i="9"/>
  <c r="BO563" i="9"/>
  <c r="BU562" i="9"/>
  <c r="BS561" i="9"/>
  <c r="BP560" i="9"/>
  <c r="BP559" i="9"/>
  <c r="BA558" i="9"/>
  <c r="AZ557" i="9"/>
  <c r="BD556" i="9"/>
  <c r="Q600" i="9"/>
  <c r="BA594" i="9"/>
  <c r="AU591" i="9"/>
  <c r="A589" i="9"/>
  <c r="E269" i="10"/>
  <c r="B141" i="10"/>
  <c r="A96" i="10"/>
  <c r="N591" i="9"/>
  <c r="D4" i="10"/>
  <c r="C46" i="10"/>
  <c r="AU598" i="9"/>
  <c r="AO591" i="9"/>
  <c r="BP584" i="9"/>
  <c r="B62" i="10"/>
  <c r="BI600" i="9"/>
  <c r="AD595" i="9"/>
  <c r="AD589" i="9"/>
  <c r="BO583" i="9"/>
  <c r="D59" i="10"/>
  <c r="R600" i="9"/>
  <c r="B51" i="10"/>
  <c r="AA600" i="9"/>
  <c r="AE596" i="9"/>
  <c r="BE591" i="9"/>
  <c r="BF587" i="9"/>
  <c r="AH583" i="9"/>
  <c r="B66" i="10"/>
  <c r="D14" i="10"/>
  <c r="C598" i="9"/>
  <c r="AB593" i="9"/>
  <c r="Z589" i="9"/>
  <c r="A586" i="9"/>
  <c r="BS583" i="9"/>
  <c r="V582" i="9"/>
  <c r="E581" i="9"/>
  <c r="BN579" i="9"/>
  <c r="BG600" i="9"/>
  <c r="BO593" i="9"/>
  <c r="AE590" i="9"/>
  <c r="X586" i="9"/>
  <c r="BQ582" i="9"/>
  <c r="BS579" i="9"/>
  <c r="AG578" i="9"/>
  <c r="L577" i="9"/>
  <c r="BY575" i="9"/>
  <c r="AU574" i="9"/>
  <c r="AG573" i="9"/>
  <c r="BS571" i="9"/>
  <c r="AM570" i="9"/>
  <c r="AR569" i="9"/>
  <c r="AS568" i="9"/>
  <c r="AR567" i="9"/>
  <c r="AG566" i="9"/>
  <c r="AE565" i="9"/>
  <c r="AJ564" i="9"/>
  <c r="AQ563" i="9"/>
  <c r="AQ562" i="9"/>
  <c r="AO561" i="9"/>
  <c r="AQ560" i="9"/>
  <c r="AP559" i="9"/>
  <c r="AC558" i="9"/>
  <c r="A20" i="10"/>
  <c r="N596" i="9"/>
  <c r="BF592" i="9"/>
  <c r="D590" i="9"/>
  <c r="AE587" i="9"/>
  <c r="AT584" i="9"/>
  <c r="BL581" i="9"/>
  <c r="BH579" i="9"/>
  <c r="BJ578" i="9"/>
  <c r="BK577" i="9"/>
  <c r="BJ576" i="9"/>
  <c r="BP575" i="9"/>
  <c r="BU574" i="9"/>
  <c r="C574" i="9"/>
  <c r="B573" i="9"/>
  <c r="BI571" i="9"/>
  <c r="BM570" i="9"/>
  <c r="BR569" i="9"/>
  <c r="BU568" i="9"/>
  <c r="BX567" i="9"/>
  <c r="B36" i="10"/>
  <c r="AB595" i="9"/>
  <c r="D592" i="9"/>
  <c r="AC589" i="9"/>
  <c r="AU586" i="9"/>
  <c r="BG583" i="9"/>
  <c r="H581" i="9"/>
  <c r="AM579" i="9"/>
  <c r="AN578" i="9"/>
  <c r="AM577" i="9"/>
  <c r="AP576" i="9"/>
  <c r="AV575" i="9"/>
  <c r="BD574" i="9"/>
  <c r="BI573" i="9"/>
  <c r="AP572" i="9"/>
  <c r="AO571" i="9"/>
  <c r="AS570" i="9"/>
  <c r="AY569" i="9"/>
  <c r="AZ568" i="9"/>
  <c r="E7" i="10"/>
  <c r="AS595" i="9"/>
  <c r="AA592" i="9"/>
  <c r="AW589" i="9"/>
  <c r="BR586" i="9"/>
  <c r="D584" i="9"/>
  <c r="AD581" i="9"/>
  <c r="AT579" i="9"/>
  <c r="AU578" i="9"/>
  <c r="AT577" i="9"/>
  <c r="AW576" i="9"/>
  <c r="BF575" i="9"/>
  <c r="BK574" i="9"/>
  <c r="BP573" i="9"/>
  <c r="AW572" i="9"/>
  <c r="AV571" i="9"/>
  <c r="BB570" i="9"/>
  <c r="BH569" i="9"/>
  <c r="BK568" i="9"/>
  <c r="BK567" i="9"/>
  <c r="AZ566" i="9"/>
  <c r="AU565" i="9"/>
  <c r="AW564" i="9"/>
  <c r="BG563" i="9"/>
  <c r="BK562" i="9"/>
  <c r="BF561" i="9"/>
  <c r="BG560" i="9"/>
  <c r="BF559" i="9"/>
  <c r="AQ558" i="9"/>
  <c r="AQ557" i="9"/>
  <c r="AS556" i="9"/>
  <c r="V599" i="9"/>
  <c r="D594" i="9"/>
  <c r="M591" i="9"/>
  <c r="AW588" i="9"/>
  <c r="C322" i="10"/>
  <c r="A168" i="10"/>
  <c r="D142" i="10"/>
  <c r="F589" i="9"/>
  <c r="BU599" i="9"/>
  <c r="D45" i="10"/>
  <c r="AM598" i="9"/>
  <c r="C591" i="9"/>
  <c r="BG584" i="9"/>
  <c r="C61" i="10"/>
  <c r="AY600" i="9"/>
  <c r="R595" i="9"/>
  <c r="S589" i="9"/>
  <c r="BE583" i="9"/>
  <c r="E58" i="10"/>
  <c r="J600" i="9"/>
  <c r="C50" i="10"/>
  <c r="P600" i="9"/>
  <c r="U596" i="9"/>
  <c r="AS591" i="9"/>
  <c r="AT587" i="9"/>
  <c r="Z583" i="9"/>
  <c r="C65" i="10"/>
  <c r="E13" i="10"/>
  <c r="BR597" i="9"/>
  <c r="N593" i="9"/>
  <c r="O589" i="9"/>
  <c r="AN585" i="9"/>
  <c r="AG583" i="9"/>
  <c r="L582" i="9"/>
  <c r="BV580" i="9"/>
  <c r="E65" i="10"/>
  <c r="BG599" i="9"/>
  <c r="AR593" i="9"/>
  <c r="AJ589" i="9"/>
  <c r="BU585" i="9"/>
  <c r="AM582" i="9"/>
  <c r="AO579" i="9"/>
  <c r="X578" i="9"/>
  <c r="B577" i="9"/>
  <c r="AY575" i="9"/>
  <c r="AM574" i="9"/>
  <c r="V573" i="9"/>
  <c r="AQ571" i="9"/>
  <c r="AC570" i="9"/>
  <c r="AI569" i="9"/>
  <c r="AJ568" i="9"/>
  <c r="AJ567" i="9"/>
  <c r="Q566" i="9"/>
  <c r="V565" i="9"/>
  <c r="AB564" i="9"/>
  <c r="AH563" i="9"/>
  <c r="AH562" i="9"/>
  <c r="AF561" i="9"/>
  <c r="AG560" i="9"/>
  <c r="AC559" i="9"/>
  <c r="R558" i="9"/>
  <c r="D16" i="10"/>
  <c r="B204" i="10"/>
  <c r="D104" i="10"/>
  <c r="C92" i="10"/>
  <c r="BM586" i="9"/>
  <c r="T598" i="9"/>
  <c r="D29" i="10"/>
  <c r="BN596" i="9"/>
  <c r="BP589" i="9"/>
  <c r="U583" i="9"/>
  <c r="B46" i="10"/>
  <c r="AG599" i="9"/>
  <c r="AL593" i="9"/>
  <c r="M588" i="9"/>
  <c r="AJ582" i="9"/>
  <c r="E42" i="10"/>
  <c r="F599" i="9"/>
  <c r="C34" i="10"/>
  <c r="AD599" i="9"/>
  <c r="AA595" i="9"/>
  <c r="AU590" i="9"/>
  <c r="AT586" i="9"/>
  <c r="AG582" i="9"/>
  <c r="E55" i="10"/>
  <c r="BU600" i="9"/>
  <c r="B597" i="9"/>
  <c r="X592" i="9"/>
  <c r="AB588" i="9"/>
  <c r="AE585" i="9"/>
  <c r="X583" i="9"/>
  <c r="C582" i="9"/>
  <c r="BL580" i="9"/>
  <c r="A61" i="10"/>
  <c r="BM598" i="9"/>
  <c r="I593" i="9"/>
  <c r="J589" i="9"/>
  <c r="AT585" i="9"/>
  <c r="N582" i="9"/>
  <c r="AE579" i="9"/>
  <c r="O578" i="9"/>
  <c r="BS576" i="9"/>
  <c r="AP575" i="9"/>
  <c r="AD574" i="9"/>
  <c r="L573" i="9"/>
  <c r="AG571" i="9"/>
  <c r="T570" i="9"/>
  <c r="AA569" i="9"/>
  <c r="AB568" i="9"/>
  <c r="AB567" i="9"/>
  <c r="I566" i="9"/>
  <c r="L565" i="9"/>
  <c r="R564" i="9"/>
  <c r="Z563" i="9"/>
  <c r="Z562" i="9"/>
  <c r="W561" i="9"/>
  <c r="V560" i="9"/>
  <c r="O559" i="9"/>
  <c r="J558" i="9"/>
  <c r="D8" i="10"/>
  <c r="AC595" i="9"/>
  <c r="I592" i="9"/>
  <c r="AF589" i="9"/>
  <c r="AV586" i="9"/>
  <c r="BL583" i="9"/>
  <c r="K581" i="9"/>
  <c r="AN579" i="9"/>
  <c r="AO578" i="9"/>
  <c r="AN577" i="9"/>
  <c r="AQ576" i="9"/>
  <c r="AW575" i="9"/>
  <c r="BE574" i="9"/>
  <c r="BJ573" i="9"/>
  <c r="AQ572" i="9"/>
  <c r="AP571" i="9"/>
  <c r="AT570" i="9"/>
  <c r="AZ569" i="9"/>
  <c r="BA568" i="9"/>
  <c r="AZ567" i="9"/>
  <c r="AN599" i="9"/>
  <c r="L594" i="9"/>
  <c r="W591" i="9"/>
  <c r="BG588" i="9"/>
  <c r="BP585" i="9"/>
  <c r="J583" i="9"/>
  <c r="AI580" i="9"/>
  <c r="R579" i="9"/>
  <c r="V578" i="9"/>
  <c r="U577" i="9"/>
  <c r="W576" i="9"/>
  <c r="AE575" i="9"/>
  <c r="AJ574" i="9"/>
  <c r="AM573" i="9"/>
  <c r="W572" i="9"/>
  <c r="V571" i="9"/>
  <c r="AA570" i="9"/>
  <c r="AG569" i="9"/>
  <c r="AH568" i="9"/>
  <c r="AB600" i="9"/>
  <c r="BL594" i="9"/>
  <c r="AZ591" i="9"/>
  <c r="B589" i="9"/>
  <c r="L586" i="9"/>
  <c r="AE583" i="9"/>
  <c r="BF580" i="9"/>
  <c r="AB579" i="9"/>
  <c r="AD578" i="9"/>
  <c r="AC577" i="9"/>
  <c r="AF576" i="9"/>
  <c r="AM575" i="9"/>
  <c r="AR574" i="9"/>
  <c r="AT573" i="9"/>
  <c r="AG572" i="9"/>
  <c r="AD571" i="9"/>
  <c r="AH570" i="9"/>
  <c r="AO569" i="9"/>
  <c r="AP568" i="9"/>
  <c r="AO567" i="9"/>
  <c r="AB566" i="9"/>
  <c r="AB565" i="9"/>
  <c r="AG564" i="9"/>
  <c r="AN563" i="9"/>
  <c r="AN562" i="9"/>
  <c r="AL561" i="9"/>
  <c r="AN560" i="9"/>
  <c r="AM559" i="9"/>
  <c r="Z558" i="9"/>
  <c r="AA557" i="9"/>
  <c r="C67" i="10"/>
  <c r="D201" i="10"/>
  <c r="A156" i="10"/>
  <c r="E140" i="10"/>
  <c r="AA584" i="9"/>
  <c r="J598" i="9"/>
  <c r="E27" i="10"/>
  <c r="BC596" i="9"/>
  <c r="BG589" i="9"/>
  <c r="BS582" i="9"/>
  <c r="C45" i="10"/>
  <c r="X599" i="9"/>
  <c r="R593" i="9"/>
  <c r="D588" i="9"/>
  <c r="AB582" i="9"/>
  <c r="A38" i="10"/>
  <c r="BW598" i="9"/>
  <c r="D33" i="10"/>
  <c r="U599" i="9"/>
  <c r="N595" i="9"/>
  <c r="AM590" i="9"/>
  <c r="AL586" i="9"/>
  <c r="W582" i="9"/>
  <c r="A51" i="10"/>
  <c r="BM600" i="9"/>
  <c r="BQ596" i="9"/>
  <c r="O592" i="9"/>
  <c r="Q588" i="9"/>
  <c r="L585" i="9"/>
  <c r="O583" i="9"/>
  <c r="BT581" i="9"/>
  <c r="AF580" i="9"/>
  <c r="E57" i="10"/>
  <c r="BL597" i="9"/>
  <c r="J592" i="9"/>
  <c r="BM588" i="9"/>
  <c r="W585" i="9"/>
  <c r="O581" i="9"/>
  <c r="U579" i="9"/>
  <c r="G578" i="9"/>
  <c r="AR576" i="9"/>
  <c r="AG575" i="9"/>
  <c r="U574" i="9"/>
  <c r="AR572" i="9"/>
  <c r="X571" i="9"/>
  <c r="K570" i="9"/>
  <c r="P569" i="9"/>
  <c r="P568" i="9"/>
  <c r="O567" i="9"/>
  <c r="BY565" i="9"/>
  <c r="D565" i="9"/>
  <c r="I564" i="9"/>
  <c r="P563" i="9"/>
  <c r="O562" i="9"/>
  <c r="M561" i="9"/>
  <c r="M560" i="9"/>
  <c r="D559" i="9"/>
  <c r="A558" i="9"/>
  <c r="AV600" i="9"/>
  <c r="BX594" i="9"/>
  <c r="BH591" i="9"/>
  <c r="I589" i="9"/>
  <c r="P586" i="9"/>
  <c r="AJ583" i="9"/>
  <c r="BP580" i="9"/>
  <c r="AD579" i="9"/>
  <c r="AF578" i="9"/>
  <c r="AE577" i="9"/>
  <c r="AH576" i="9"/>
  <c r="AO575" i="9"/>
  <c r="AT574" i="9"/>
  <c r="AV573" i="9"/>
  <c r="AI572" i="9"/>
  <c r="AF571" i="9"/>
  <c r="AL570" i="9"/>
  <c r="AQ569" i="9"/>
  <c r="AR568" i="9"/>
  <c r="AQ567" i="9"/>
  <c r="AR598" i="9"/>
  <c r="BK593" i="9"/>
  <c r="BT590" i="9"/>
  <c r="AE588" i="9"/>
  <c r="AP585" i="9"/>
  <c r="BH582" i="9"/>
  <c r="Q580" i="9"/>
  <c r="J579" i="9"/>
  <c r="M578" i="9"/>
  <c r="I577" i="9"/>
  <c r="N576" i="9"/>
  <c r="V575" i="9"/>
  <c r="AB574" i="9"/>
  <c r="AE573" i="9"/>
  <c r="M572" i="9"/>
  <c r="L571" i="9"/>
  <c r="Q570" i="9"/>
  <c r="W569" i="9"/>
  <c r="A77" i="10"/>
  <c r="AE599" i="9"/>
  <c r="E594" i="9"/>
  <c r="R591" i="9"/>
  <c r="BB588" i="9"/>
  <c r="BL585" i="9"/>
  <c r="I583" i="9"/>
  <c r="AH580" i="9"/>
  <c r="Q579" i="9"/>
  <c r="U578" i="9"/>
  <c r="R577" i="9"/>
  <c r="V576" i="9"/>
  <c r="AD575" i="9"/>
  <c r="AI574" i="9"/>
  <c r="AL573" i="9"/>
  <c r="V572" i="9"/>
  <c r="U571" i="9"/>
  <c r="Z570" i="9"/>
  <c r="AF569" i="9"/>
  <c r="AG568" i="9"/>
  <c r="AG567" i="9"/>
  <c r="N566" i="9"/>
  <c r="Q565" i="9"/>
  <c r="Y564" i="9"/>
  <c r="AE563" i="9"/>
  <c r="AE562" i="9"/>
  <c r="AC561" i="9"/>
  <c r="AD560" i="9"/>
  <c r="Z559" i="9"/>
  <c r="O558" i="9"/>
  <c r="P557" i="9"/>
  <c r="C59" i="10"/>
  <c r="AP596" i="9"/>
  <c r="BX592" i="9"/>
  <c r="P590" i="9"/>
  <c r="AV587" i="9"/>
  <c r="E336" i="10"/>
  <c r="D94" i="10"/>
  <c r="E89" i="10"/>
  <c r="AE582" i="9"/>
  <c r="BD596" i="9"/>
  <c r="A6" i="10"/>
  <c r="AE595" i="9"/>
  <c r="N588" i="9"/>
  <c r="AT581" i="9"/>
  <c r="C29" i="10"/>
  <c r="G598" i="9"/>
  <c r="K592" i="9"/>
  <c r="AW586" i="9"/>
  <c r="I581" i="9"/>
  <c r="D26" i="10"/>
  <c r="AZ597" i="9"/>
  <c r="A18" i="10"/>
  <c r="AG598" i="9"/>
  <c r="BJ593" i="9"/>
  <c r="BA589" i="9"/>
  <c r="AO585" i="9"/>
  <c r="AG581" i="9"/>
  <c r="C41" i="10"/>
  <c r="BW599" i="9"/>
  <c r="B596" i="9"/>
  <c r="O591" i="9"/>
  <c r="R587" i="9"/>
  <c r="C585" i="9"/>
  <c r="G583" i="9"/>
  <c r="BJ581" i="9"/>
  <c r="W580" i="9"/>
  <c r="A53" i="10"/>
  <c r="BK596" i="9"/>
  <c r="BK591" i="9"/>
  <c r="AN588" i="9"/>
  <c r="BV584" i="9"/>
  <c r="BQ580" i="9"/>
  <c r="L579" i="9"/>
  <c r="BV577" i="9"/>
  <c r="AI576" i="9"/>
  <c r="X575" i="9"/>
  <c r="L574" i="9"/>
  <c r="AJ572" i="9"/>
  <c r="N571" i="9"/>
  <c r="B570" i="9"/>
  <c r="G569" i="9"/>
  <c r="H568" i="9"/>
  <c r="E567" i="9"/>
  <c r="BQ565" i="9"/>
  <c r="BS564" i="9"/>
  <c r="A564" i="9"/>
  <c r="G563" i="9"/>
  <c r="G562" i="9"/>
  <c r="D561" i="9"/>
  <c r="C560" i="9"/>
  <c r="BS558" i="9"/>
  <c r="BP557" i="9"/>
  <c r="AV599" i="9"/>
  <c r="AL594" i="9"/>
  <c r="AB591" i="9"/>
  <c r="BH588" i="9"/>
  <c r="BT585" i="9"/>
  <c r="M583" i="9"/>
  <c r="AM580" i="9"/>
  <c r="T579" i="9"/>
  <c r="W578" i="9"/>
  <c r="V577" i="9"/>
  <c r="Z576" i="9"/>
  <c r="AF575" i="9"/>
  <c r="AL574" i="9"/>
  <c r="AN573" i="9"/>
  <c r="AA572" i="9"/>
  <c r="W571" i="9"/>
  <c r="AB570" i="9"/>
  <c r="AH569" i="9"/>
  <c r="AI568" i="9"/>
  <c r="B68" i="10"/>
  <c r="AP597" i="9"/>
  <c r="AG593" i="9"/>
  <c r="AV590" i="9"/>
  <c r="F588" i="9"/>
  <c r="O585" i="9"/>
  <c r="AH582" i="9"/>
  <c r="C580" i="9"/>
  <c r="A579" i="9"/>
  <c r="E578" i="9"/>
  <c r="BY576" i="9"/>
  <c r="F576" i="9"/>
  <c r="L575" i="9"/>
  <c r="R574" i="9"/>
  <c r="T573" i="9"/>
  <c r="A572" i="9"/>
  <c r="D571" i="9"/>
  <c r="I570" i="9"/>
  <c r="N569" i="9"/>
  <c r="B27" i="10"/>
  <c r="AH598" i="9"/>
  <c r="BG593" i="9"/>
  <c r="BQ590" i="9"/>
  <c r="AD588" i="9"/>
  <c r="AL585" i="9"/>
  <c r="BD582" i="9"/>
  <c r="P580" i="9"/>
  <c r="I579" i="9"/>
  <c r="L578" i="9"/>
  <c r="G577" i="9"/>
  <c r="M576" i="9"/>
  <c r="U575" i="9"/>
  <c r="AA574" i="9"/>
  <c r="AD573" i="9"/>
  <c r="L572" i="9"/>
  <c r="K571" i="9"/>
  <c r="P570" i="9"/>
  <c r="V569" i="9"/>
  <c r="W568" i="9"/>
  <c r="V567" i="9"/>
  <c r="E566" i="9"/>
  <c r="I565" i="9"/>
  <c r="N564" i="9"/>
  <c r="U563" i="9"/>
  <c r="V562" i="9"/>
  <c r="S561" i="9"/>
  <c r="R560" i="9"/>
  <c r="L559" i="9"/>
  <c r="F558" i="9"/>
  <c r="F557" i="9"/>
  <c r="C51" i="10"/>
  <c r="D596" i="9"/>
  <c r="AU592" i="9"/>
  <c r="BU589" i="9"/>
  <c r="B331" i="10"/>
  <c r="AL581" i="9"/>
  <c r="B17" i="10"/>
  <c r="BN595" i="9"/>
  <c r="AF595" i="9"/>
  <c r="N575" i="9"/>
  <c r="BI565" i="9"/>
  <c r="BG557" i="9"/>
  <c r="AW590" i="9"/>
  <c r="BP582" i="9"/>
  <c r="AW578" i="9"/>
  <c r="G576" i="9"/>
  <c r="AF573" i="9"/>
  <c r="BD570" i="9"/>
  <c r="O568" i="9"/>
  <c r="C593" i="9"/>
  <c r="M586" i="9"/>
  <c r="BF579" i="9"/>
  <c r="BQ576" i="9"/>
  <c r="AS574" i="9"/>
  <c r="BH571" i="9"/>
  <c r="E569" i="9"/>
  <c r="U595" i="9"/>
  <c r="BA587" i="9"/>
  <c r="B580" i="9"/>
  <c r="AL577" i="9"/>
  <c r="B575" i="9"/>
  <c r="BY571" i="9"/>
  <c r="AW569" i="9"/>
  <c r="B567" i="9"/>
  <c r="F564" i="9"/>
  <c r="AT561" i="9"/>
  <c r="BP558" i="9"/>
  <c r="C43" i="10"/>
  <c r="V592" i="9"/>
  <c r="O587" i="9"/>
  <c r="AG584" i="9"/>
  <c r="BA581" i="9"/>
  <c r="BC579" i="9"/>
  <c r="BF578" i="9"/>
  <c r="BE577" i="9"/>
  <c r="BG576" i="9"/>
  <c r="BM575" i="9"/>
  <c r="BR574" i="9"/>
  <c r="BY573" i="9"/>
  <c r="BO572" i="9"/>
  <c r="BF571" i="9"/>
  <c r="BJ570" i="9"/>
  <c r="BO569" i="9"/>
  <c r="BR568" i="9"/>
  <c r="BS567" i="9"/>
  <c r="BL566" i="9"/>
  <c r="BE565" i="9"/>
  <c r="BF564" i="9"/>
  <c r="BN563" i="9"/>
  <c r="BT562" i="9"/>
  <c r="BR561" i="9"/>
  <c r="BO560" i="9"/>
  <c r="BO559" i="9"/>
  <c r="AZ558" i="9"/>
  <c r="AX557" i="9"/>
  <c r="B2" i="10"/>
  <c r="O595" i="9"/>
  <c r="BU591" i="9"/>
  <c r="R589" i="9"/>
  <c r="AM586" i="9"/>
  <c r="AV583" i="9"/>
  <c r="BY580" i="9"/>
  <c r="AH579" i="9"/>
  <c r="AJ578" i="9"/>
  <c r="AI577" i="9"/>
  <c r="AM576" i="9"/>
  <c r="AS575" i="9"/>
  <c r="AY574" i="9"/>
  <c r="BC573" i="9"/>
  <c r="AM572" i="9"/>
  <c r="AL571" i="9"/>
  <c r="AP570" i="9"/>
  <c r="AU569" i="9"/>
  <c r="AV568" i="9"/>
  <c r="AU567" i="9"/>
  <c r="AN566" i="9"/>
  <c r="AH565" i="9"/>
  <c r="AM564" i="9"/>
  <c r="AT563" i="9"/>
  <c r="AT562" i="9"/>
  <c r="AR561" i="9"/>
  <c r="AT560" i="9"/>
  <c r="AS559" i="9"/>
  <c r="AF558" i="9"/>
  <c r="D58" i="10"/>
  <c r="D597" i="9"/>
  <c r="P593" i="9"/>
  <c r="AI590" i="9"/>
  <c r="BS587" i="9"/>
  <c r="E585" i="9"/>
  <c r="R582" i="9"/>
  <c r="BU579" i="9"/>
  <c r="BV578" i="9"/>
  <c r="A578" i="9"/>
  <c r="BU576" i="9"/>
  <c r="B576" i="9"/>
  <c r="G575" i="9"/>
  <c r="N574" i="9"/>
  <c r="N573" i="9"/>
  <c r="BU571" i="9"/>
  <c r="BY570" i="9"/>
  <c r="D570" i="9"/>
  <c r="J569" i="9"/>
  <c r="J568" i="9"/>
  <c r="G567" i="9"/>
  <c r="BS565" i="9"/>
  <c r="BW564" i="9"/>
  <c r="C564" i="9"/>
  <c r="J563" i="9"/>
  <c r="I562" i="9"/>
  <c r="F561" i="9"/>
  <c r="E560" i="9"/>
  <c r="BU558" i="9"/>
  <c r="BR557" i="9"/>
  <c r="BR556" i="9"/>
  <c r="BQ599" i="9"/>
  <c r="AP594" i="9"/>
  <c r="AM591" i="9"/>
  <c r="BQ588" i="9"/>
  <c r="BX585" i="9"/>
  <c r="R583" i="9"/>
  <c r="E159" i="10"/>
  <c r="C28" i="10"/>
  <c r="W598" i="9"/>
  <c r="F591" i="9"/>
  <c r="AL591" i="9"/>
  <c r="BK573" i="9"/>
  <c r="BK564" i="9"/>
  <c r="BB598" i="9"/>
  <c r="BE589" i="9"/>
  <c r="AI582" i="9"/>
  <c r="N578" i="9"/>
  <c r="BH575" i="9"/>
  <c r="U573" i="9"/>
  <c r="R570" i="9"/>
  <c r="BN567" i="9"/>
  <c r="BE592" i="9"/>
  <c r="BQ584" i="9"/>
  <c r="AC579" i="9"/>
  <c r="BI576" i="9"/>
  <c r="J574" i="9"/>
  <c r="AE571" i="9"/>
  <c r="BT568" i="9"/>
  <c r="AE593" i="9"/>
  <c r="AQ586" i="9"/>
  <c r="BP579" i="9"/>
  <c r="BX576" i="9"/>
  <c r="BA574" i="9"/>
  <c r="BP571" i="9"/>
  <c r="M569" i="9"/>
  <c r="AP566" i="9"/>
  <c r="BW563" i="9"/>
  <c r="J561" i="9"/>
  <c r="AH558" i="9"/>
  <c r="C35" i="10"/>
  <c r="BY591" i="9"/>
  <c r="BQ586" i="9"/>
  <c r="BY583" i="9"/>
  <c r="AA581" i="9"/>
  <c r="AS579" i="9"/>
  <c r="AT578" i="9"/>
  <c r="AS577" i="9"/>
  <c r="AV576" i="9"/>
  <c r="BE575" i="9"/>
  <c r="BJ574" i="9"/>
  <c r="BO573" i="9"/>
  <c r="AV572" i="9"/>
  <c r="AU571" i="9"/>
  <c r="BA570" i="9"/>
  <c r="BG569" i="9"/>
  <c r="BH568" i="9"/>
  <c r="BJ567" i="9"/>
  <c r="AW566" i="9"/>
  <c r="AT565" i="9"/>
  <c r="AV564" i="9"/>
  <c r="BF563" i="9"/>
  <c r="BH562" i="9"/>
  <c r="BE561" i="9"/>
  <c r="BF560" i="9"/>
  <c r="BE559" i="9"/>
  <c r="AP558" i="9"/>
  <c r="AP557" i="9"/>
  <c r="I600" i="9"/>
  <c r="AU594" i="9"/>
  <c r="AT591" i="9"/>
  <c r="BU588" i="9"/>
  <c r="E586" i="9"/>
  <c r="AA583" i="9"/>
  <c r="AW580" i="9"/>
  <c r="Z579" i="9"/>
  <c r="AB578" i="9"/>
  <c r="AA577" i="9"/>
  <c r="AD576" i="9"/>
  <c r="AJ575" i="9"/>
  <c r="AP574" i="9"/>
  <c r="AR573" i="9"/>
  <c r="AE572" i="9"/>
  <c r="AB571" i="9"/>
  <c r="AF570" i="9"/>
  <c r="AM569" i="9"/>
  <c r="AN568" i="9"/>
  <c r="AM567" i="9"/>
  <c r="Z566" i="9"/>
  <c r="Z565" i="9"/>
  <c r="AE564" i="9"/>
  <c r="AL563" i="9"/>
  <c r="AL562" i="9"/>
  <c r="AI561" i="9"/>
  <c r="AL560" i="9"/>
  <c r="AJ559" i="9"/>
  <c r="V558" i="9"/>
  <c r="D50" i="10"/>
  <c r="AF596" i="9"/>
  <c r="BP592" i="9"/>
  <c r="L590" i="9"/>
  <c r="AQ587" i="9"/>
  <c r="BE584" i="9"/>
  <c r="BV581" i="9"/>
  <c r="BK579" i="9"/>
  <c r="BM578" i="9"/>
  <c r="BP577" i="9"/>
  <c r="BM576" i="9"/>
  <c r="BS575" i="9"/>
  <c r="BX574" i="9"/>
  <c r="F574" i="9"/>
  <c r="E573" i="9"/>
  <c r="BL571" i="9"/>
  <c r="BP570" i="9"/>
  <c r="BU569" i="9"/>
  <c r="A569" i="9"/>
  <c r="B568" i="9"/>
  <c r="BX566" i="9"/>
  <c r="BK565" i="9"/>
  <c r="BM564" i="9"/>
  <c r="BT563" i="9"/>
  <c r="A563" i="9"/>
  <c r="A562" i="9"/>
  <c r="BW560" i="9"/>
  <c r="BU559" i="9"/>
  <c r="BK558" i="9"/>
  <c r="BJ557" i="9"/>
  <c r="BJ556" i="9"/>
  <c r="BU598" i="9"/>
  <c r="BS593" i="9"/>
  <c r="D591" i="9"/>
  <c r="AO588" i="9"/>
  <c r="AZ585" i="9"/>
  <c r="BT582" i="9"/>
  <c r="C40" i="10"/>
  <c r="BX597" i="9"/>
  <c r="BA593" i="9"/>
  <c r="G587" i="9"/>
  <c r="L588" i="9"/>
  <c r="AB572" i="9"/>
  <c r="BR563" i="9"/>
  <c r="AX597" i="9"/>
  <c r="AH588" i="9"/>
  <c r="AI581" i="9"/>
  <c r="F578" i="9"/>
  <c r="W575" i="9"/>
  <c r="AY572" i="9"/>
  <c r="J570" i="9"/>
  <c r="B60" i="10"/>
  <c r="BF591" i="9"/>
  <c r="AS584" i="9"/>
  <c r="BR578" i="9"/>
  <c r="AG576" i="9"/>
  <c r="B574" i="9"/>
  <c r="BT570" i="9"/>
  <c r="AQ568" i="9"/>
  <c r="BY592" i="9"/>
  <c r="N585" i="9"/>
  <c r="AL579" i="9"/>
  <c r="BP576" i="9"/>
  <c r="Q574" i="9"/>
  <c r="AN571" i="9"/>
  <c r="D569" i="9"/>
  <c r="BV565" i="9"/>
  <c r="AV563" i="9"/>
  <c r="A561" i="9"/>
  <c r="BW557" i="9"/>
  <c r="Z598" i="9"/>
  <c r="BP590" i="9"/>
  <c r="AN586" i="9"/>
  <c r="BA583" i="9"/>
  <c r="C581" i="9"/>
  <c r="AI579" i="9"/>
  <c r="AL578" i="9"/>
  <c r="AJ577" i="9"/>
  <c r="AN576" i="9"/>
  <c r="AT575" i="9"/>
  <c r="AZ574" i="9"/>
  <c r="BD573" i="9"/>
  <c r="AN572" i="9"/>
  <c r="AM571" i="9"/>
  <c r="AQ570" i="9"/>
  <c r="AV569" i="9"/>
  <c r="AW568" i="9"/>
  <c r="AV567" i="9"/>
  <c r="AO566" i="9"/>
  <c r="AI565" i="9"/>
  <c r="AN564" i="9"/>
  <c r="AU563" i="9"/>
  <c r="AU562" i="9"/>
  <c r="AS561" i="9"/>
  <c r="AU560" i="9"/>
  <c r="AT559" i="9"/>
  <c r="AG558" i="9"/>
  <c r="AH557" i="9"/>
  <c r="M599" i="9"/>
  <c r="BY593" i="9"/>
  <c r="I591" i="9"/>
  <c r="AV588" i="9"/>
  <c r="BF585" i="9"/>
  <c r="B583" i="9"/>
  <c r="AD580" i="9"/>
  <c r="O579" i="9"/>
  <c r="R578" i="9"/>
  <c r="O577" i="9"/>
  <c r="S576" i="9"/>
  <c r="AB575" i="9"/>
  <c r="AG574" i="9"/>
  <c r="AJ573" i="9"/>
  <c r="T572" i="9"/>
  <c r="R571" i="9"/>
  <c r="W570" i="9"/>
  <c r="AD569" i="9"/>
  <c r="AE568" i="9"/>
  <c r="AE567" i="9"/>
  <c r="L566" i="9"/>
  <c r="O565" i="9"/>
  <c r="V564" i="9"/>
  <c r="AC563" i="9"/>
  <c r="AC562" i="9"/>
  <c r="AA561" i="9"/>
  <c r="AB560" i="9"/>
  <c r="W559" i="9"/>
  <c r="M558" i="9"/>
  <c r="D42" i="10"/>
  <c r="BP595" i="9"/>
  <c r="AN592" i="9"/>
  <c r="BN589" i="9"/>
  <c r="I587" i="9"/>
  <c r="Z584" i="9"/>
  <c r="AR581" i="9"/>
  <c r="BA579" i="9"/>
  <c r="BD578" i="9"/>
  <c r="BA577" i="9"/>
  <c r="BE576" i="9"/>
  <c r="BK575" i="9"/>
  <c r="BP574" i="9"/>
  <c r="BW573" i="9"/>
  <c r="BL572" i="9"/>
  <c r="BC571" i="9"/>
  <c r="BH570" i="9"/>
  <c r="BM569" i="9"/>
  <c r="BP568" i="9"/>
  <c r="BQ567" i="9"/>
  <c r="BH566" i="9"/>
  <c r="BA565" i="9"/>
  <c r="BD564" i="9"/>
  <c r="BL563" i="9"/>
  <c r="BR562" i="9"/>
  <c r="BP561" i="9"/>
  <c r="BM560" i="9"/>
  <c r="BL559" i="9"/>
  <c r="AV558" i="9"/>
  <c r="AV557" i="9"/>
  <c r="AX556" i="9"/>
  <c r="BT597" i="9"/>
  <c r="AS593" i="9"/>
  <c r="BG590" i="9"/>
  <c r="O588" i="9"/>
  <c r="Z585" i="9"/>
  <c r="AQ582" i="9"/>
  <c r="C72" i="10"/>
  <c r="B592" i="9"/>
  <c r="AR589" i="9"/>
  <c r="AQ584" i="9"/>
  <c r="BN583" i="9"/>
  <c r="F571" i="9"/>
  <c r="BX562" i="9"/>
  <c r="BC595" i="9"/>
  <c r="K588" i="9"/>
  <c r="U580" i="9"/>
  <c r="AV577" i="9"/>
  <c r="M575" i="9"/>
  <c r="O572" i="9"/>
  <c r="BJ569" i="9"/>
  <c r="B52" i="10"/>
  <c r="V590" i="9"/>
  <c r="AI583" i="9"/>
  <c r="BI578" i="9"/>
  <c r="BW575" i="9"/>
  <c r="AU573" i="9"/>
  <c r="BL570" i="9"/>
  <c r="A19" i="10"/>
  <c r="A592" i="9"/>
  <c r="BN584" i="9"/>
  <c r="BY578" i="9"/>
  <c r="AO576" i="9"/>
  <c r="I574" i="9"/>
  <c r="C571" i="9"/>
  <c r="AY568" i="9"/>
  <c r="BN565" i="9"/>
  <c r="M563" i="9"/>
  <c r="AV560" i="9"/>
  <c r="BM557" i="9"/>
  <c r="W597" i="9"/>
  <c r="AO590" i="9"/>
  <c r="H586" i="9"/>
  <c r="AB583" i="9"/>
  <c r="BE580" i="9"/>
  <c r="AA579" i="9"/>
  <c r="AC578" i="9"/>
  <c r="AB577" i="9"/>
  <c r="AE576" i="9"/>
  <c r="AL575" i="9"/>
  <c r="AQ574" i="9"/>
  <c r="AS573" i="9"/>
  <c r="AF572" i="9"/>
  <c r="AC571" i="9"/>
  <c r="AG570" i="9"/>
  <c r="AN569" i="9"/>
  <c r="AO568" i="9"/>
  <c r="AN567" i="9"/>
  <c r="AA566" i="9"/>
  <c r="AA565" i="9"/>
  <c r="AF564" i="9"/>
  <c r="AM563" i="9"/>
  <c r="AM562" i="9"/>
  <c r="AJ561" i="9"/>
  <c r="AM560" i="9"/>
  <c r="AL559" i="9"/>
  <c r="W558" i="9"/>
  <c r="X557" i="9"/>
  <c r="N598" i="9"/>
  <c r="BB593" i="9"/>
  <c r="BL590" i="9"/>
  <c r="U588" i="9"/>
  <c r="AG585" i="9"/>
  <c r="AU582" i="9"/>
  <c r="L580" i="9"/>
  <c r="F579" i="9"/>
  <c r="J578" i="9"/>
  <c r="E577" i="9"/>
  <c r="K576" i="9"/>
  <c r="Q575" i="9"/>
  <c r="X574" i="9"/>
  <c r="AB573" i="9"/>
  <c r="F572" i="9"/>
  <c r="I571" i="9"/>
  <c r="N570" i="9"/>
  <c r="S569" i="9"/>
  <c r="U568" i="9"/>
  <c r="T567" i="9"/>
  <c r="C566" i="9"/>
  <c r="G565" i="9"/>
  <c r="L564" i="9"/>
  <c r="S563" i="9"/>
  <c r="S562" i="9"/>
  <c r="P561" i="9"/>
  <c r="P560" i="9"/>
  <c r="G559" i="9"/>
  <c r="D558" i="9"/>
  <c r="D34" i="10"/>
  <c r="AK595" i="9"/>
  <c r="Q592" i="9"/>
  <c r="AO589" i="9"/>
  <c r="BI586" i="9"/>
  <c r="BU583" i="9"/>
  <c r="U581" i="9"/>
  <c r="AQ579" i="9"/>
  <c r="AR578" i="9"/>
  <c r="AQ577" i="9"/>
  <c r="AT576" i="9"/>
  <c r="BA575" i="9"/>
  <c r="BH574" i="9"/>
  <c r="BM573" i="9"/>
  <c r="AT572" i="9"/>
  <c r="AS571" i="9"/>
  <c r="AW570" i="9"/>
  <c r="BE569" i="9"/>
  <c r="BF568" i="9"/>
  <c r="BG567" i="9"/>
  <c r="AU566" i="9"/>
  <c r="AR565" i="9"/>
  <c r="AT564" i="9"/>
  <c r="BD563" i="9"/>
  <c r="BE562" i="9"/>
  <c r="BA561" i="9"/>
  <c r="BC560" i="9"/>
  <c r="BA559" i="9"/>
  <c r="AN558" i="9"/>
  <c r="AN557" i="9"/>
  <c r="AP556" i="9"/>
  <c r="BS596" i="9"/>
  <c r="L593" i="9"/>
  <c r="AF590" i="9"/>
  <c r="BR587" i="9"/>
  <c r="A585" i="9"/>
  <c r="O582" i="9"/>
  <c r="AB596" i="9"/>
  <c r="AO586" i="9"/>
  <c r="AF585" i="9"/>
  <c r="BV582" i="9"/>
  <c r="AN580" i="9"/>
  <c r="BS569" i="9"/>
  <c r="BV561" i="9"/>
  <c r="BL593" i="9"/>
  <c r="BY586" i="9"/>
  <c r="D580" i="9"/>
  <c r="K577" i="9"/>
  <c r="BM574" i="9"/>
  <c r="B572" i="9"/>
  <c r="Z569" i="9"/>
  <c r="AL600" i="9"/>
  <c r="BY589" i="9"/>
  <c r="F582" i="9"/>
  <c r="AE578" i="9"/>
  <c r="BO575" i="9"/>
  <c r="J573" i="9"/>
  <c r="AI570" i="9"/>
  <c r="E15" i="10"/>
  <c r="AR590" i="9"/>
  <c r="BD583" i="9"/>
  <c r="BQ578" i="9"/>
  <c r="E576" i="9"/>
  <c r="BG573" i="9"/>
  <c r="BS570" i="9"/>
  <c r="M568" i="9"/>
  <c r="AJ565" i="9"/>
  <c r="D563" i="9"/>
  <c r="J560" i="9"/>
  <c r="AI557" i="9"/>
  <c r="AR595" i="9"/>
  <c r="AT589" i="9"/>
  <c r="BK585" i="9"/>
  <c r="E583" i="9"/>
  <c r="AE580" i="9"/>
  <c r="P579" i="9"/>
  <c r="S578" i="9"/>
  <c r="P577" i="9"/>
  <c r="U576" i="9"/>
  <c r="AC575" i="9"/>
  <c r="AH574" i="9"/>
  <c r="AK573" i="9"/>
  <c r="U572" i="9"/>
  <c r="T571" i="9"/>
  <c r="X570" i="9"/>
  <c r="AE569" i="9"/>
  <c r="AF568" i="9"/>
  <c r="AF567" i="9"/>
  <c r="M566" i="9"/>
  <c r="P565" i="9"/>
  <c r="W564" i="9"/>
  <c r="AD563" i="9"/>
  <c r="AD562" i="9"/>
  <c r="AB561" i="9"/>
  <c r="AC560" i="9"/>
  <c r="X559" i="9"/>
  <c r="N558" i="9"/>
  <c r="O557" i="9"/>
  <c r="M597" i="9"/>
  <c r="Q593" i="9"/>
  <c r="AN590" i="9"/>
  <c r="BV587" i="9"/>
  <c r="F585" i="9"/>
  <c r="Z582" i="9"/>
  <c r="BY579" i="9"/>
  <c r="BW578" i="9"/>
  <c r="B578" i="9"/>
  <c r="BV576" i="9"/>
  <c r="C576" i="9"/>
  <c r="H575" i="9"/>
  <c r="O574" i="9"/>
  <c r="O573" i="9"/>
  <c r="BW571" i="9"/>
  <c r="A571" i="9"/>
  <c r="E570" i="9"/>
  <c r="K569" i="9"/>
  <c r="K568" i="9"/>
  <c r="H567" i="9"/>
  <c r="BT565" i="9"/>
  <c r="BX564" i="9"/>
  <c r="D564" i="9"/>
  <c r="K563" i="9"/>
  <c r="J562" i="9"/>
  <c r="G561" i="9"/>
  <c r="F560" i="9"/>
  <c r="BV558" i="9"/>
  <c r="BS557" i="9"/>
  <c r="BX600" i="9"/>
  <c r="K595" i="9"/>
  <c r="BR591" i="9"/>
  <c r="Q589" i="9"/>
  <c r="AC586" i="9"/>
  <c r="AS583" i="9"/>
  <c r="BX580" i="9"/>
  <c r="AG579" i="9"/>
  <c r="AI578" i="9"/>
  <c r="AH577" i="9"/>
  <c r="AL576" i="9"/>
  <c r="AR575" i="9"/>
  <c r="AW574" i="9"/>
  <c r="AZ573" i="9"/>
  <c r="AL572" i="9"/>
  <c r="AI571" i="9"/>
  <c r="AO570" i="9"/>
  <c r="AT569" i="9"/>
  <c r="AU568" i="9"/>
  <c r="AT567" i="9"/>
  <c r="AM566" i="9"/>
  <c r="AG565" i="9"/>
  <c r="AL564" i="9"/>
  <c r="AS563" i="9"/>
  <c r="AS562" i="9"/>
  <c r="AQ561" i="9"/>
  <c r="AS560" i="9"/>
  <c r="AR559" i="9"/>
  <c r="AE558" i="9"/>
  <c r="AF557" i="9"/>
  <c r="D25" i="10"/>
  <c r="W596" i="9"/>
  <c r="BO592" i="9"/>
  <c r="H590" i="9"/>
  <c r="AN587" i="9"/>
  <c r="BD584" i="9"/>
  <c r="BR581" i="9"/>
  <c r="BJ579" i="9"/>
  <c r="BL578" i="9"/>
  <c r="BO577" i="9"/>
  <c r="BL576" i="9"/>
  <c r="BR575" i="9"/>
  <c r="BW574" i="9"/>
  <c r="E574" i="9"/>
  <c r="D573" i="9"/>
  <c r="BK571" i="9"/>
  <c r="BO570" i="9"/>
  <c r="BT569" i="9"/>
  <c r="BY568" i="9"/>
  <c r="A568" i="9"/>
  <c r="BU566" i="9"/>
  <c r="BJ565" i="9"/>
  <c r="BL564" i="9"/>
  <c r="BS563" i="9"/>
  <c r="BY562" i="9"/>
  <c r="BY561" i="9"/>
  <c r="BT560" i="9"/>
  <c r="BT559" i="9"/>
  <c r="BH558" i="9"/>
  <c r="BI557" i="9"/>
  <c r="H564" i="9"/>
  <c r="L560" i="9"/>
  <c r="B565" i="9"/>
  <c r="K561" i="9"/>
  <c r="AE557" i="9"/>
  <c r="H556" i="9"/>
  <c r="N555" i="9"/>
  <c r="AD565" i="9"/>
  <c r="AN561" i="9"/>
  <c r="AR557" i="9"/>
  <c r="R556" i="9"/>
  <c r="W555" i="9"/>
  <c r="BO565" i="9"/>
  <c r="E562" i="9"/>
  <c r="BN557" i="9"/>
  <c r="AD556" i="9"/>
  <c r="AE555" i="9"/>
  <c r="AH554" i="9"/>
  <c r="BQ563" i="9"/>
  <c r="BR559" i="9"/>
  <c r="BX556" i="9"/>
  <c r="BN555" i="9"/>
  <c r="BS554" i="9"/>
  <c r="BV553" i="9"/>
  <c r="BW552" i="9"/>
  <c r="C552" i="9"/>
  <c r="E551" i="9"/>
  <c r="BX549" i="9"/>
  <c r="BU548" i="9"/>
  <c r="BP547" i="9"/>
  <c r="BQ546" i="9"/>
  <c r="BH545" i="9"/>
  <c r="BK544" i="9"/>
  <c r="BM543" i="9"/>
  <c r="BO542" i="9"/>
  <c r="BL541" i="9"/>
  <c r="BN540" i="9"/>
  <c r="BS539" i="9"/>
  <c r="BV538" i="9"/>
  <c r="BR537" i="9"/>
  <c r="B5" i="10"/>
  <c r="A581" i="9"/>
  <c r="X581" i="9"/>
  <c r="AF581" i="9"/>
  <c r="C579" i="9"/>
  <c r="BV568" i="9"/>
  <c r="BS560" i="9"/>
  <c r="AN593" i="9"/>
  <c r="AQ585" i="9"/>
  <c r="AV579" i="9"/>
  <c r="A577" i="9"/>
  <c r="AC574" i="9"/>
  <c r="AZ571" i="9"/>
  <c r="O569" i="9"/>
  <c r="AZ596" i="9"/>
  <c r="E589" i="9"/>
  <c r="BH581" i="9"/>
  <c r="BT577" i="9"/>
  <c r="AN575" i="9"/>
  <c r="A573" i="9"/>
  <c r="BY569" i="9"/>
  <c r="A3" i="10"/>
  <c r="U590" i="9"/>
  <c r="AD582" i="9"/>
  <c r="AM578" i="9"/>
  <c r="BV575" i="9"/>
  <c r="R573" i="9"/>
  <c r="AR570" i="9"/>
  <c r="E568" i="9"/>
  <c r="A565" i="9"/>
  <c r="AV562" i="9"/>
  <c r="BY559" i="9"/>
  <c r="BV556" i="9"/>
  <c r="P595" i="9"/>
  <c r="V589" i="9"/>
  <c r="AH585" i="9"/>
  <c r="BA582" i="9"/>
  <c r="M580" i="9"/>
  <c r="H579" i="9"/>
  <c r="K578" i="9"/>
  <c r="F577" i="9"/>
  <c r="L576" i="9"/>
  <c r="R575" i="9"/>
  <c r="Z574" i="9"/>
  <c r="AC573" i="9"/>
  <c r="H572" i="9"/>
  <c r="J571" i="9"/>
  <c r="O570" i="9"/>
  <c r="U569" i="9"/>
  <c r="V568" i="9"/>
  <c r="U567" i="9"/>
  <c r="D566" i="9"/>
  <c r="H565" i="9"/>
  <c r="M564" i="9"/>
  <c r="T563" i="9"/>
  <c r="U562" i="9"/>
  <c r="R561" i="9"/>
  <c r="Q560" i="9"/>
  <c r="I559" i="9"/>
  <c r="E558" i="9"/>
  <c r="C26" i="10"/>
  <c r="AG596" i="9"/>
  <c r="BS592" i="9"/>
  <c r="M590" i="9"/>
  <c r="AU587" i="9"/>
  <c r="BH584" i="9"/>
  <c r="BW581" i="9"/>
  <c r="BL579" i="9"/>
  <c r="BO578" i="9"/>
  <c r="BQ577" i="9"/>
  <c r="BN576" i="9"/>
  <c r="BT575" i="9"/>
  <c r="BY574" i="9"/>
  <c r="G574" i="9"/>
  <c r="F573" i="9"/>
  <c r="BN571" i="9"/>
  <c r="BQ570" i="9"/>
  <c r="BV569" i="9"/>
  <c r="B569" i="9"/>
  <c r="C568" i="9"/>
  <c r="BY566" i="9"/>
  <c r="BL565" i="9"/>
  <c r="BN564" i="9"/>
  <c r="BU563" i="9"/>
  <c r="B563" i="9"/>
  <c r="B562" i="9"/>
  <c r="BX560" i="9"/>
  <c r="BV559" i="9"/>
  <c r="BL558" i="9"/>
  <c r="BK557" i="9"/>
  <c r="BY599" i="9"/>
  <c r="AT594" i="9"/>
  <c r="AP591" i="9"/>
  <c r="BR588" i="9"/>
  <c r="D586" i="9"/>
  <c r="V583" i="9"/>
  <c r="AT580" i="9"/>
  <c r="W579" i="9"/>
  <c r="AA578" i="9"/>
  <c r="Z577" i="9"/>
  <c r="AC576" i="9"/>
  <c r="AI575" i="9"/>
  <c r="AO574" i="9"/>
  <c r="AQ573" i="9"/>
  <c r="AD572" i="9"/>
  <c r="AA571" i="9"/>
  <c r="AE570" i="9"/>
  <c r="AL569" i="9"/>
  <c r="AM568" i="9"/>
  <c r="AL567" i="9"/>
  <c r="W566" i="9"/>
  <c r="X565" i="9"/>
  <c r="AD564" i="9"/>
  <c r="AJ563" i="9"/>
  <c r="AJ562" i="9"/>
  <c r="AH561" i="9"/>
  <c r="AI560" i="9"/>
  <c r="AG559" i="9"/>
  <c r="U558" i="9"/>
  <c r="V557" i="9"/>
  <c r="C17" i="10"/>
  <c r="BL595" i="9"/>
  <c r="AJ592" i="9"/>
  <c r="BL589" i="9"/>
  <c r="E587" i="9"/>
  <c r="P584" i="9"/>
  <c r="AQ581" i="9"/>
  <c r="AZ579" i="9"/>
  <c r="BA578" i="9"/>
  <c r="AZ577" i="9"/>
  <c r="BD576" i="9"/>
  <c r="BJ575" i="9"/>
  <c r="BO574" i="9"/>
  <c r="BT573" i="9"/>
  <c r="BK572" i="9"/>
  <c r="BB571" i="9"/>
  <c r="BG570" i="9"/>
  <c r="BL569" i="9"/>
  <c r="BO568" i="9"/>
  <c r="BP567" i="9"/>
  <c r="BG566" i="9"/>
  <c r="AZ565" i="9"/>
  <c r="BC564" i="9"/>
  <c r="BK563" i="9"/>
  <c r="BQ562" i="9"/>
  <c r="BO561" i="9"/>
  <c r="BL560" i="9"/>
  <c r="BK559" i="9"/>
  <c r="AU558" i="9"/>
  <c r="BW567" i="9"/>
  <c r="AY563" i="9"/>
  <c r="AW559" i="9"/>
  <c r="AP564" i="9"/>
  <c r="AW560" i="9"/>
  <c r="R557" i="9"/>
  <c r="BY555" i="9"/>
  <c r="E555" i="9"/>
  <c r="BR564" i="9"/>
  <c r="C561" i="9"/>
  <c r="AD557" i="9"/>
  <c r="G556" i="9"/>
  <c r="M555" i="9"/>
  <c r="AC565" i="9"/>
  <c r="AM561" i="9"/>
  <c r="AO557" i="9"/>
  <c r="P556" i="9"/>
  <c r="V555" i="9"/>
  <c r="AI567" i="9"/>
  <c r="AG563" i="9"/>
  <c r="AB559" i="9"/>
  <c r="BK556" i="9"/>
  <c r="BF555" i="9"/>
  <c r="BK554" i="9"/>
  <c r="BL553" i="9"/>
  <c r="BM552" i="9"/>
  <c r="BS551" i="9"/>
  <c r="BS550" i="9"/>
  <c r="BO549" i="9"/>
  <c r="BK548" i="9"/>
  <c r="BH547" i="9"/>
  <c r="BF546" i="9"/>
  <c r="AW545" i="9"/>
  <c r="AY544" i="9"/>
  <c r="BA543" i="9"/>
  <c r="BD542" i="9"/>
  <c r="BA541" i="9"/>
  <c r="BC540" i="9"/>
  <c r="BK539" i="9"/>
  <c r="BL538" i="9"/>
  <c r="BH537" i="9"/>
  <c r="H595" i="9"/>
  <c r="AO577" i="9"/>
  <c r="R585" i="9"/>
  <c r="M571" i="9"/>
  <c r="BJ580" i="9"/>
  <c r="BQ569" i="9"/>
  <c r="D578" i="9"/>
  <c r="AW567" i="9"/>
  <c r="BM556" i="9"/>
  <c r="AA582" i="9"/>
  <c r="BW576" i="9"/>
  <c r="P573" i="9"/>
  <c r="L569" i="9"/>
  <c r="BY564" i="9"/>
  <c r="I561" i="9"/>
  <c r="B18" i="10"/>
  <c r="L587" i="9"/>
  <c r="BE578" i="9"/>
  <c r="BQ574" i="9"/>
  <c r="BI570" i="9"/>
  <c r="BK566" i="9"/>
  <c r="BS562" i="9"/>
  <c r="AW558" i="9"/>
  <c r="H591" i="9"/>
  <c r="AA580" i="9"/>
  <c r="R576" i="9"/>
  <c r="S572" i="9"/>
  <c r="AD568" i="9"/>
  <c r="U564" i="9"/>
  <c r="AA560" i="9"/>
  <c r="C9" i="10"/>
  <c r="BH586" i="9"/>
  <c r="H580" i="9"/>
  <c r="AQ578" i="9"/>
  <c r="X577" i="9"/>
  <c r="I576" i="9"/>
  <c r="BG574" i="9"/>
  <c r="AP573" i="9"/>
  <c r="D572" i="9"/>
  <c r="AV570" i="9"/>
  <c r="AJ569" i="9"/>
  <c r="Q568" i="9"/>
  <c r="AT566" i="9"/>
  <c r="W565" i="9"/>
  <c r="J564" i="9"/>
  <c r="BD562" i="9"/>
  <c r="AG561" i="9"/>
  <c r="N560" i="9"/>
  <c r="AM558" i="9"/>
  <c r="BX565" i="9"/>
  <c r="L561" i="9"/>
  <c r="G564" i="9"/>
  <c r="B559" i="9"/>
  <c r="AF556" i="9"/>
  <c r="BV554" i="9"/>
  <c r="AP563" i="9"/>
  <c r="AB558" i="9"/>
  <c r="BX555" i="9"/>
  <c r="BM554" i="9"/>
  <c r="E563" i="9"/>
  <c r="AC557" i="9"/>
  <c r="BO555" i="9"/>
  <c r="AZ554" i="9"/>
  <c r="BW562" i="9"/>
  <c r="BD557" i="9"/>
  <c r="E556" i="9"/>
  <c r="AY554" i="9"/>
  <c r="AH553" i="9"/>
  <c r="T552" i="9"/>
  <c r="BK550" i="9"/>
  <c r="AI549" i="9"/>
  <c r="I548" i="9"/>
  <c r="AT546" i="9"/>
  <c r="U545" i="9"/>
  <c r="E544" i="9"/>
  <c r="AR542" i="9"/>
  <c r="Z541" i="9"/>
  <c r="K540" i="9"/>
  <c r="AW538" i="9"/>
  <c r="AE537" i="9"/>
  <c r="AD536" i="9"/>
  <c r="AB535" i="9"/>
  <c r="U534" i="9"/>
  <c r="Q533" i="9"/>
  <c r="S532" i="9"/>
  <c r="P531" i="9"/>
  <c r="R530" i="9"/>
  <c r="S529" i="9"/>
  <c r="V528" i="9"/>
  <c r="BG565" i="9"/>
  <c r="BT561" i="9"/>
  <c r="BC566" i="9"/>
  <c r="BO562" i="9"/>
  <c r="AS558" i="9"/>
  <c r="AT556" i="9"/>
  <c r="AS555" i="9"/>
  <c r="AV554" i="9"/>
  <c r="AW553" i="9"/>
  <c r="AX552" i="9"/>
  <c r="BH551" i="9"/>
  <c r="BG550" i="9"/>
  <c r="AZ549" i="9"/>
  <c r="AT548" i="9"/>
  <c r="AU547" i="9"/>
  <c r="AR546" i="9"/>
  <c r="AJ545" i="9"/>
  <c r="AN544" i="9"/>
  <c r="AP543" i="9"/>
  <c r="AP542" i="9"/>
  <c r="AO541" i="9"/>
  <c r="AP540" i="9"/>
  <c r="AY539" i="9"/>
  <c r="AU538" i="9"/>
  <c r="AU537" i="9"/>
  <c r="AT536" i="9"/>
  <c r="AP535" i="9"/>
  <c r="AM534" i="9"/>
  <c r="AG533" i="9"/>
  <c r="AJ532" i="9"/>
  <c r="AH531" i="9"/>
  <c r="AH530" i="9"/>
  <c r="AI529" i="9"/>
  <c r="AL528" i="9"/>
  <c r="BL562" i="9"/>
  <c r="Z555" i="9"/>
  <c r="AZ553" i="9"/>
  <c r="AD552" i="9"/>
  <c r="J551" i="9"/>
  <c r="BA549" i="9"/>
  <c r="U548" i="9"/>
  <c r="BU546" i="9"/>
  <c r="AL545" i="9"/>
  <c r="O544" i="9"/>
  <c r="D557" i="9"/>
  <c r="AL554" i="9"/>
  <c r="L553" i="9"/>
  <c r="BT551" i="9"/>
  <c r="AS550" i="9"/>
  <c r="L549" i="9"/>
  <c r="BI547" i="9"/>
  <c r="AA546" i="9"/>
  <c r="BY544" i="9"/>
  <c r="BD543" i="9"/>
  <c r="AD542" i="9"/>
  <c r="D541" i="9"/>
  <c r="BL539" i="9"/>
  <c r="AI538" i="9"/>
  <c r="F537" i="9"/>
  <c r="BC535" i="9"/>
  <c r="Z534" i="9"/>
  <c r="BV532" i="9"/>
  <c r="AT531" i="9"/>
  <c r="V530" i="9"/>
  <c r="BX528" i="9"/>
  <c r="AZ527" i="9"/>
  <c r="BB526" i="9"/>
  <c r="BA525" i="9"/>
  <c r="BD524" i="9"/>
  <c r="AU523" i="9"/>
  <c r="AU522" i="9"/>
  <c r="AU521" i="9"/>
  <c r="BC520" i="9"/>
  <c r="BH519" i="9"/>
  <c r="BJ518" i="9"/>
  <c r="BF517" i="9"/>
  <c r="AQ556" i="9"/>
  <c r="V554" i="9"/>
  <c r="BY552" i="9"/>
  <c r="BF551" i="9"/>
  <c r="AE550" i="9"/>
  <c r="BY548" i="9"/>
  <c r="AS547" i="9"/>
  <c r="I546" i="9"/>
  <c r="BM544" i="9"/>
  <c r="AN543" i="9"/>
  <c r="O542" i="9"/>
  <c r="BP540" i="9"/>
  <c r="AV539" i="9"/>
  <c r="U538" i="9"/>
  <c r="BR536" i="9"/>
  <c r="AN535" i="9"/>
  <c r="J534" i="9"/>
  <c r="BH532" i="9"/>
  <c r="AF531" i="9"/>
  <c r="I530" i="9"/>
  <c r="BK528" i="9"/>
  <c r="AO527" i="9"/>
  <c r="AQ526" i="9"/>
  <c r="AP525" i="9"/>
  <c r="AR524" i="9"/>
  <c r="AL523" i="9"/>
  <c r="E588" i="9"/>
  <c r="AA576" i="9"/>
  <c r="K584" i="9"/>
  <c r="E571" i="9"/>
  <c r="BQ579" i="9"/>
  <c r="AP569" i="9"/>
  <c r="BS577" i="9"/>
  <c r="K567" i="9"/>
  <c r="AK556" i="9"/>
  <c r="A582" i="9"/>
  <c r="BO576" i="9"/>
  <c r="G573" i="9"/>
  <c r="C569" i="9"/>
  <c r="BO564" i="9"/>
  <c r="BY560" i="9"/>
  <c r="B10" i="10"/>
  <c r="BL586" i="9"/>
  <c r="AS578" i="9"/>
  <c r="BI574" i="9"/>
  <c r="AZ570" i="9"/>
  <c r="AV566" i="9"/>
  <c r="BF562" i="9"/>
  <c r="AO558" i="9"/>
  <c r="BH590" i="9"/>
  <c r="I580" i="9"/>
  <c r="J576" i="9"/>
  <c r="E572" i="9"/>
  <c r="R568" i="9"/>
  <c r="K564" i="9"/>
  <c r="O560" i="9"/>
  <c r="BO600" i="9"/>
  <c r="Z586" i="9"/>
  <c r="BT579" i="9"/>
  <c r="AH578" i="9"/>
  <c r="M577" i="9"/>
  <c r="A576" i="9"/>
  <c r="AV574" i="9"/>
  <c r="AH573" i="9"/>
  <c r="BT571" i="9"/>
  <c r="AN570" i="9"/>
  <c r="AB569" i="9"/>
  <c r="I568" i="9"/>
  <c r="AL566" i="9"/>
  <c r="M565" i="9"/>
  <c r="B564" i="9"/>
  <c r="AR562" i="9"/>
  <c r="X561" i="9"/>
  <c r="D560" i="9"/>
  <c r="AD558" i="9"/>
  <c r="AM565" i="9"/>
  <c r="AZ560" i="9"/>
  <c r="AW563" i="9"/>
  <c r="AI558" i="9"/>
  <c r="T556" i="9"/>
  <c r="BN554" i="9"/>
  <c r="F563" i="9"/>
  <c r="BO557" i="9"/>
  <c r="BP555" i="9"/>
  <c r="AP567" i="9"/>
  <c r="AO562" i="9"/>
  <c r="K557" i="9"/>
  <c r="BG555" i="9"/>
  <c r="AQ554" i="9"/>
  <c r="AG562" i="9"/>
  <c r="AM557" i="9"/>
  <c r="BV555" i="9"/>
  <c r="AP554" i="9"/>
  <c r="Z553" i="9"/>
  <c r="K552" i="9"/>
  <c r="AZ550" i="9"/>
  <c r="AA549" i="9"/>
  <c r="BY547" i="9"/>
  <c r="AL546" i="9"/>
  <c r="K545" i="9"/>
  <c r="BU543" i="9"/>
  <c r="AI542" i="9"/>
  <c r="P541" i="9"/>
  <c r="C540" i="9"/>
  <c r="AO538" i="9"/>
  <c r="U537" i="9"/>
  <c r="U536" i="9"/>
  <c r="R535" i="9"/>
  <c r="K534" i="9"/>
  <c r="I533" i="9"/>
  <c r="I532" i="9"/>
  <c r="G531" i="9"/>
  <c r="J530" i="9"/>
  <c r="K529" i="9"/>
  <c r="L528" i="9"/>
  <c r="R565" i="9"/>
  <c r="AD561" i="9"/>
  <c r="H566" i="9"/>
  <c r="X562" i="9"/>
  <c r="I558" i="9"/>
  <c r="AI556" i="9"/>
  <c r="AJ555" i="9"/>
  <c r="AN554" i="9"/>
  <c r="AO553" i="9"/>
  <c r="AP552" i="9"/>
  <c r="AW551" i="9"/>
  <c r="AV550" i="9"/>
  <c r="AP549" i="9"/>
  <c r="AI548" i="9"/>
  <c r="AM547" i="9"/>
  <c r="AE546" i="9"/>
  <c r="AB545" i="9"/>
  <c r="AE544" i="9"/>
  <c r="AG543" i="9"/>
  <c r="AG542" i="9"/>
  <c r="AF541" i="9"/>
  <c r="AH540" i="9"/>
  <c r="AN539" i="9"/>
  <c r="AM538" i="9"/>
  <c r="AM537" i="9"/>
  <c r="AL536" i="9"/>
  <c r="AH535" i="9"/>
  <c r="AC534" i="9"/>
  <c r="X533" i="9"/>
  <c r="AB532" i="9"/>
  <c r="Z531" i="9"/>
  <c r="Z530" i="9"/>
  <c r="AA529" i="9"/>
  <c r="AC528" i="9"/>
  <c r="BD558" i="9"/>
  <c r="BX554" i="9"/>
  <c r="AM553" i="9"/>
  <c r="S552" i="9"/>
  <c r="BX550" i="9"/>
  <c r="AN549" i="9"/>
  <c r="G548" i="9"/>
  <c r="BI546" i="9"/>
  <c r="Z545" i="9"/>
  <c r="D544" i="9"/>
  <c r="AR556" i="9"/>
  <c r="Z554" i="9"/>
  <c r="A553" i="9"/>
  <c r="BG551" i="9"/>
  <c r="AG550" i="9"/>
  <c r="A549" i="9"/>
  <c r="AT547" i="9"/>
  <c r="L546" i="9"/>
  <c r="BN544" i="9"/>
  <c r="AO543" i="9"/>
  <c r="R542" i="9"/>
  <c r="BQ540" i="9"/>
  <c r="AW539" i="9"/>
  <c r="W538" i="9"/>
  <c r="BS536" i="9"/>
  <c r="AO535" i="9"/>
  <c r="L534" i="9"/>
  <c r="BK532" i="9"/>
  <c r="AG531" i="9"/>
  <c r="K530" i="9"/>
  <c r="BL528" i="9"/>
  <c r="AP527" i="9"/>
  <c r="AR526" i="9"/>
  <c r="AQ525" i="9"/>
  <c r="AS524" i="9"/>
  <c r="AM523" i="9"/>
  <c r="AM522" i="9"/>
  <c r="AM521" i="9"/>
  <c r="AS520" i="9"/>
  <c r="AW519" i="9"/>
  <c r="AV518" i="9"/>
  <c r="AW517" i="9"/>
  <c r="L556" i="9"/>
  <c r="J554" i="9"/>
  <c r="BL552" i="9"/>
  <c r="AS551" i="9"/>
  <c r="P550" i="9"/>
  <c r="BH548" i="9"/>
  <c r="AG547" i="9"/>
  <c r="BU545" i="9"/>
  <c r="AW544" i="9"/>
  <c r="AC543" i="9"/>
  <c r="C542" i="9"/>
  <c r="BA540" i="9"/>
  <c r="AI539" i="9"/>
  <c r="G538" i="9"/>
  <c r="BF536" i="9"/>
  <c r="AD535" i="9"/>
  <c r="BU533" i="9"/>
  <c r="AT532" i="9"/>
  <c r="U531" i="9"/>
  <c r="BU529" i="9"/>
  <c r="AU528" i="9"/>
  <c r="AF527" i="9"/>
  <c r="AG526" i="9"/>
  <c r="AG525" i="9"/>
  <c r="AG524" i="9"/>
  <c r="AB523" i="9"/>
  <c r="AC522" i="9"/>
  <c r="AC521" i="9"/>
  <c r="AH520" i="9"/>
  <c r="AN519" i="9"/>
  <c r="AM518" i="9"/>
  <c r="AN517" i="9"/>
  <c r="BK555" i="9"/>
  <c r="BW553" i="9"/>
  <c r="AU552" i="9"/>
  <c r="AE551" i="9"/>
  <c r="BY549" i="9"/>
  <c r="AQ548" i="9"/>
  <c r="R547" i="9"/>
  <c r="BI545" i="9"/>
  <c r="AJ544" i="9"/>
  <c r="BP556" i="9"/>
  <c r="AF554" i="9"/>
  <c r="I553" i="9"/>
  <c r="BO551" i="9"/>
  <c r="AO550" i="9"/>
  <c r="I549" i="9"/>
  <c r="BC547" i="9"/>
  <c r="R546" i="9"/>
  <c r="BU544" i="9"/>
  <c r="AV543" i="9"/>
  <c r="Z542" i="9"/>
  <c r="A541" i="9"/>
  <c r="BG539" i="9"/>
  <c r="AE538" i="9"/>
  <c r="C537" i="9"/>
  <c r="AV535" i="9"/>
  <c r="T534" i="9"/>
  <c r="BS532" i="9"/>
  <c r="AO531" i="9"/>
  <c r="Q530" i="9"/>
  <c r="BT528" i="9"/>
  <c r="AU527" i="9"/>
  <c r="AW526" i="9"/>
  <c r="AV525" i="9"/>
  <c r="AY524" i="9"/>
  <c r="AR523" i="9"/>
  <c r="AR522" i="9"/>
  <c r="AR521" i="9"/>
  <c r="AZ520" i="9"/>
  <c r="BE519" i="9"/>
  <c r="BD518" i="9"/>
  <c r="BC517" i="9"/>
  <c r="BO516" i="9"/>
  <c r="T560" i="9"/>
  <c r="G555" i="9"/>
  <c r="AR553" i="9"/>
  <c r="W552" i="9"/>
  <c r="B551" i="9"/>
  <c r="AS549" i="9"/>
  <c r="L548" i="9"/>
  <c r="BL546" i="9"/>
  <c r="AE545" i="9"/>
  <c r="H544" i="9"/>
  <c r="E25" i="10"/>
  <c r="BY567" i="9"/>
  <c r="K579" i="9"/>
  <c r="BM568" i="9"/>
  <c r="BH577" i="9"/>
  <c r="AH597" i="9"/>
  <c r="AU575" i="9"/>
  <c r="BP564" i="9"/>
  <c r="BC593" i="9"/>
  <c r="A580" i="9"/>
  <c r="D576" i="9"/>
  <c r="BX571" i="9"/>
  <c r="L568" i="9"/>
  <c r="E564" i="9"/>
  <c r="I560" i="9"/>
  <c r="BQ595" i="9"/>
  <c r="AE584" i="9"/>
  <c r="BD577" i="9"/>
  <c r="BX573" i="9"/>
  <c r="BN569" i="9"/>
  <c r="BD565" i="9"/>
  <c r="BQ561" i="9"/>
  <c r="D75" i="10"/>
  <c r="AR588" i="9"/>
  <c r="N579" i="9"/>
  <c r="AA575" i="9"/>
  <c r="P571" i="9"/>
  <c r="AD567" i="9"/>
  <c r="AB563" i="9"/>
  <c r="R559" i="9"/>
  <c r="AJ595" i="9"/>
  <c r="BQ583" i="9"/>
  <c r="AP579" i="9"/>
  <c r="Z578" i="9"/>
  <c r="C577" i="9"/>
  <c r="AZ575" i="9"/>
  <c r="AN574" i="9"/>
  <c r="W573" i="9"/>
  <c r="AR571" i="9"/>
  <c r="AD570" i="9"/>
  <c r="Q569" i="9"/>
  <c r="BD567" i="9"/>
  <c r="R566" i="9"/>
  <c r="E565" i="9"/>
  <c r="BA563" i="9"/>
  <c r="AI562" i="9"/>
  <c r="N561" i="9"/>
  <c r="AZ559" i="9"/>
  <c r="S558" i="9"/>
  <c r="C565" i="9"/>
  <c r="C559" i="9"/>
  <c r="N563" i="9"/>
  <c r="BX557" i="9"/>
  <c r="BQ555" i="9"/>
  <c r="AX567" i="9"/>
  <c r="AP562" i="9"/>
  <c r="M557" i="9"/>
  <c r="BH555" i="9"/>
  <c r="C567" i="9"/>
  <c r="B561" i="9"/>
  <c r="BY556" i="9"/>
  <c r="AV555" i="9"/>
  <c r="BO566" i="9"/>
  <c r="BU561" i="9"/>
  <c r="AB557" i="9"/>
  <c r="AU555" i="9"/>
  <c r="AG554" i="9"/>
  <c r="O553" i="9"/>
  <c r="BJ551" i="9"/>
  <c r="AP550" i="9"/>
  <c r="O549" i="9"/>
  <c r="AW547" i="9"/>
  <c r="W546" i="9"/>
  <c r="C545" i="9"/>
  <c r="AR543" i="9"/>
  <c r="AA542" i="9"/>
  <c r="G541" i="9"/>
  <c r="BA539" i="9"/>
  <c r="AF538" i="9"/>
  <c r="K537" i="9"/>
  <c r="K536" i="9"/>
  <c r="E535" i="9"/>
  <c r="A534" i="9"/>
  <c r="A533" i="9"/>
  <c r="BY531" i="9"/>
  <c r="BX530" i="9"/>
  <c r="A530" i="9"/>
  <c r="B529" i="9"/>
  <c r="C528" i="9"/>
  <c r="BI564" i="9"/>
  <c r="BQ560" i="9"/>
  <c r="AW565" i="9"/>
  <c r="BK561" i="9"/>
  <c r="AW557" i="9"/>
  <c r="W556" i="9"/>
  <c r="AB555" i="9"/>
  <c r="AE554" i="9"/>
  <c r="AF553" i="9"/>
  <c r="AH552" i="9"/>
  <c r="AO551" i="9"/>
  <c r="AN550" i="9"/>
  <c r="AG549" i="9"/>
  <c r="AA548" i="9"/>
  <c r="AC547" i="9"/>
  <c r="Q546" i="9"/>
  <c r="Q545" i="9"/>
  <c r="U544" i="9"/>
  <c r="W543" i="9"/>
  <c r="X542" i="9"/>
  <c r="W541" i="9"/>
  <c r="Z540" i="9"/>
  <c r="AE539" i="9"/>
  <c r="AD538" i="9"/>
  <c r="AC537" i="9"/>
  <c r="AB536" i="9"/>
  <c r="X535" i="9"/>
  <c r="R534" i="9"/>
  <c r="O533" i="9"/>
  <c r="P532" i="9"/>
  <c r="N531" i="9"/>
  <c r="P530" i="9"/>
  <c r="Q529" i="9"/>
  <c r="R528" i="9"/>
  <c r="AT557" i="9"/>
  <c r="BD554" i="9"/>
  <c r="AB553" i="9"/>
  <c r="G552" i="9"/>
  <c r="BH550" i="9"/>
  <c r="AC549" i="9"/>
  <c r="BT547" i="9"/>
  <c r="AS546" i="9"/>
  <c r="M545" i="9"/>
  <c r="BQ543" i="9"/>
  <c r="N556" i="9"/>
  <c r="K554" i="9"/>
  <c r="BN552" i="9"/>
  <c r="AT551" i="9"/>
  <c r="R550" i="9"/>
  <c r="BL548" i="9"/>
  <c r="AH547" i="9"/>
  <c r="BV545" i="9"/>
  <c r="AZ544" i="9"/>
  <c r="AD543" i="9"/>
  <c r="D542" i="9"/>
  <c r="BD540" i="9"/>
  <c r="AJ539" i="9"/>
  <c r="I538" i="9"/>
  <c r="BH536" i="9"/>
  <c r="AE535" i="9"/>
  <c r="BV533" i="9"/>
  <c r="AV532" i="9"/>
  <c r="V531" i="9"/>
  <c r="BV529" i="9"/>
  <c r="AW528" i="9"/>
  <c r="AG527" i="9"/>
  <c r="AH526" i="9"/>
  <c r="AH525" i="9"/>
  <c r="AJ524" i="9"/>
  <c r="AC523" i="9"/>
  <c r="AD522" i="9"/>
  <c r="AD521" i="9"/>
  <c r="AI520" i="9"/>
  <c r="AO519" i="9"/>
  <c r="AN518" i="9"/>
  <c r="AO517" i="9"/>
  <c r="BM555" i="9"/>
  <c r="BX553" i="9"/>
  <c r="AV552" i="9"/>
  <c r="AG551" i="9"/>
  <c r="A550" i="9"/>
  <c r="AR548" i="9"/>
  <c r="U547" i="9"/>
  <c r="BK545" i="9"/>
  <c r="AL544" i="9"/>
  <c r="O543" i="9"/>
  <c r="BP541" i="9"/>
  <c r="AN540" i="9"/>
  <c r="W539" i="9"/>
  <c r="BT537" i="9"/>
  <c r="AR536" i="9"/>
  <c r="P535" i="9"/>
  <c r="BF533" i="9"/>
  <c r="AH532" i="9"/>
  <c r="F531" i="9"/>
  <c r="BK529" i="9"/>
  <c r="AI528" i="9"/>
  <c r="W527" i="9"/>
  <c r="W526" i="9"/>
  <c r="W525" i="9"/>
  <c r="P524" i="9"/>
  <c r="P523" i="9"/>
  <c r="S522" i="9"/>
  <c r="T521" i="9"/>
  <c r="Z520" i="9"/>
  <c r="AE519" i="9"/>
  <c r="AE518" i="9"/>
  <c r="J565" i="9"/>
  <c r="AL555" i="9"/>
  <c r="BI553" i="9"/>
  <c r="AK552" i="9"/>
  <c r="Q551" i="9"/>
  <c r="BJ549" i="9"/>
  <c r="AD548" i="9"/>
  <c r="F547" i="9"/>
  <c r="AT545" i="9"/>
  <c r="Z544" i="9"/>
  <c r="AH556" i="9"/>
  <c r="R554" i="9"/>
  <c r="BT552" i="9"/>
  <c r="BD551" i="9"/>
  <c r="AB550" i="9"/>
  <c r="BT548" i="9"/>
  <c r="AQ547" i="9"/>
  <c r="E546" i="9"/>
  <c r="BH544" i="9"/>
  <c r="AL543" i="9"/>
  <c r="L542" i="9"/>
  <c r="BM540" i="9"/>
  <c r="AT539" i="9"/>
  <c r="P538" i="9"/>
  <c r="BO536" i="9"/>
  <c r="AL535" i="9"/>
  <c r="E534" i="9"/>
  <c r="BE532" i="9"/>
  <c r="AD531" i="9"/>
  <c r="E530" i="9"/>
  <c r="BH528" i="9"/>
  <c r="AM527" i="9"/>
  <c r="AO526" i="9"/>
  <c r="AN525" i="9"/>
  <c r="AP524" i="9"/>
  <c r="AH523" i="9"/>
  <c r="AI522" i="9"/>
  <c r="AI521" i="9"/>
  <c r="AP520" i="9"/>
  <c r="AT519" i="9"/>
  <c r="AS518" i="9"/>
  <c r="AT517" i="9"/>
  <c r="BF516" i="9"/>
  <c r="BY557" i="9"/>
  <c r="BH554" i="9"/>
  <c r="AE553" i="9"/>
  <c r="L552" i="9"/>
  <c r="BN550" i="9"/>
  <c r="AF549" i="9"/>
  <c r="A548" i="9"/>
  <c r="AW546" i="9"/>
  <c r="P545" i="9"/>
  <c r="BV543" i="9"/>
  <c r="AQ597" i="9"/>
  <c r="BP566" i="9"/>
  <c r="B579" i="9"/>
  <c r="AA568" i="9"/>
  <c r="AD577" i="9"/>
  <c r="AQ596" i="9"/>
  <c r="K575" i="9"/>
  <c r="AO564" i="9"/>
  <c r="Z593" i="9"/>
  <c r="BM579" i="9"/>
  <c r="BU575" i="9"/>
  <c r="BO571" i="9"/>
  <c r="D568" i="9"/>
  <c r="BV563" i="9"/>
  <c r="BX559" i="9"/>
  <c r="AN595" i="9"/>
  <c r="BV583" i="9"/>
  <c r="AR577" i="9"/>
  <c r="BN573" i="9"/>
  <c r="BF569" i="9"/>
  <c r="AS565" i="9"/>
  <c r="BD561" i="9"/>
  <c r="D66" i="10"/>
  <c r="T588" i="9"/>
  <c r="E579" i="9"/>
  <c r="P575" i="9"/>
  <c r="H571" i="9"/>
  <c r="R567" i="9"/>
  <c r="R563" i="9"/>
  <c r="F559" i="9"/>
  <c r="E595" i="9"/>
  <c r="AR583" i="9"/>
  <c r="AF579" i="9"/>
  <c r="P578" i="9"/>
  <c r="BT576" i="9"/>
  <c r="AQ575" i="9"/>
  <c r="AE574" i="9"/>
  <c r="M573" i="9"/>
  <c r="AH571" i="9"/>
  <c r="U570" i="9"/>
  <c r="I569" i="9"/>
  <c r="AS567" i="9"/>
  <c r="J566" i="9"/>
  <c r="BT564" i="9"/>
  <c r="AR563" i="9"/>
  <c r="AA562" i="9"/>
  <c r="E561" i="9"/>
  <c r="AQ559" i="9"/>
  <c r="K558" i="9"/>
  <c r="AQ564" i="9"/>
  <c r="BL567" i="9"/>
  <c r="AW562" i="9"/>
  <c r="AS557" i="9"/>
  <c r="BI555" i="9"/>
  <c r="D567" i="9"/>
  <c r="F562" i="9"/>
  <c r="A557" i="9"/>
  <c r="AW555" i="9"/>
  <c r="AC566" i="9"/>
  <c r="AO560" i="9"/>
  <c r="BL556" i="9"/>
  <c r="AN555" i="9"/>
  <c r="P566" i="9"/>
  <c r="AE561" i="9"/>
  <c r="J557" i="9"/>
  <c r="AM555" i="9"/>
  <c r="W554" i="9"/>
  <c r="F553" i="9"/>
  <c r="AZ551" i="9"/>
  <c r="AF550" i="9"/>
  <c r="F549" i="9"/>
  <c r="AO547" i="9"/>
  <c r="K546" i="9"/>
  <c r="BS544" i="9"/>
  <c r="AI543" i="9"/>
  <c r="P542" i="9"/>
  <c r="BX540" i="9"/>
  <c r="AR539" i="9"/>
  <c r="V538" i="9"/>
  <c r="A537" i="9"/>
  <c r="B536" i="9"/>
  <c r="BS534" i="9"/>
  <c r="BQ533" i="9"/>
  <c r="BQ532" i="9"/>
  <c r="BP531" i="9"/>
  <c r="BP530" i="9"/>
  <c r="BQ529" i="9"/>
  <c r="BR528" i="9"/>
  <c r="BS527" i="9"/>
  <c r="Z564" i="9"/>
  <c r="AE560" i="9"/>
  <c r="K565" i="9"/>
  <c r="V561" i="9"/>
  <c r="AK557" i="9"/>
  <c r="M556" i="9"/>
  <c r="Q555" i="9"/>
  <c r="U554" i="9"/>
  <c r="V553" i="9"/>
  <c r="Z552" i="9"/>
  <c r="AF551" i="9"/>
  <c r="AD550" i="9"/>
  <c r="W549" i="9"/>
  <c r="O548" i="9"/>
  <c r="T547" i="9"/>
  <c r="G546" i="9"/>
  <c r="I545" i="9"/>
  <c r="K544" i="9"/>
  <c r="N543" i="9"/>
  <c r="N542" i="9"/>
  <c r="N541" i="9"/>
  <c r="Q540" i="9"/>
  <c r="V539" i="9"/>
  <c r="R538" i="9"/>
  <c r="R537" i="9"/>
  <c r="R536" i="9"/>
  <c r="O535" i="9"/>
  <c r="I534" i="9"/>
  <c r="G533" i="9"/>
  <c r="F532" i="9"/>
  <c r="E531" i="9"/>
  <c r="G530" i="9"/>
  <c r="I529" i="9"/>
  <c r="J528" i="9"/>
  <c r="E557" i="9"/>
  <c r="AM554" i="9"/>
  <c r="N553" i="9"/>
  <c r="BU551" i="9"/>
  <c r="AT550" i="9"/>
  <c r="N549" i="9"/>
  <c r="BJ547" i="9"/>
  <c r="AB546" i="9"/>
  <c r="B545" i="9"/>
  <c r="BE543" i="9"/>
  <c r="BR555" i="9"/>
  <c r="BY553" i="9"/>
  <c r="AW552" i="9"/>
  <c r="AI551" i="9"/>
  <c r="B550" i="9"/>
  <c r="AS548" i="9"/>
  <c r="W547" i="9"/>
  <c r="BL545" i="9"/>
  <c r="AM544" i="9"/>
  <c r="Q543" i="9"/>
  <c r="BQ541" i="9"/>
  <c r="AO540" i="9"/>
  <c r="Z539" i="9"/>
  <c r="BU537" i="9"/>
  <c r="AS536" i="9"/>
  <c r="S535" i="9"/>
  <c r="BH533" i="9"/>
  <c r="AI532" i="9"/>
  <c r="I531" i="9"/>
  <c r="BL529" i="9"/>
  <c r="AJ528" i="9"/>
  <c r="X527" i="9"/>
  <c r="Z526" i="9"/>
  <c r="Z525" i="9"/>
  <c r="Q524" i="9"/>
  <c r="R523" i="9"/>
  <c r="U522" i="9"/>
  <c r="U521" i="9"/>
  <c r="AA520" i="9"/>
  <c r="AF519" i="9"/>
  <c r="AF518" i="9"/>
  <c r="AV565" i="9"/>
  <c r="AQ555" i="9"/>
  <c r="BK553" i="9"/>
  <c r="AL552" i="9"/>
  <c r="R551" i="9"/>
  <c r="BL549" i="9"/>
  <c r="AE548" i="9"/>
  <c r="H547" i="9"/>
  <c r="AV545" i="9"/>
  <c r="AA544" i="9"/>
  <c r="C543" i="9"/>
  <c r="AZ541" i="9"/>
  <c r="AD540" i="9"/>
  <c r="J539" i="9"/>
  <c r="BG537" i="9"/>
  <c r="AF536" i="9"/>
  <c r="A535" i="9"/>
  <c r="AQ533" i="9"/>
  <c r="V532" i="9"/>
  <c r="BT530" i="9"/>
  <c r="AU529" i="9"/>
  <c r="X528" i="9"/>
  <c r="L527" i="9"/>
  <c r="N526" i="9"/>
  <c r="L525" i="9"/>
  <c r="G524" i="9"/>
  <c r="F523" i="9"/>
  <c r="K522" i="9"/>
  <c r="L521" i="9"/>
  <c r="P520" i="9"/>
  <c r="V519" i="9"/>
  <c r="U518" i="9"/>
  <c r="U561" i="9"/>
  <c r="O555" i="9"/>
  <c r="AT553" i="9"/>
  <c r="Y552" i="9"/>
  <c r="F551" i="9"/>
  <c r="AU549" i="9"/>
  <c r="N548" i="9"/>
  <c r="BR546" i="9"/>
  <c r="AG545" i="9"/>
  <c r="J544" i="9"/>
  <c r="D556" i="9"/>
  <c r="G554" i="9"/>
  <c r="BI552" i="9"/>
  <c r="AP551" i="9"/>
  <c r="L550" i="9"/>
  <c r="BD548" i="9"/>
  <c r="AD547" i="9"/>
  <c r="BS545" i="9"/>
  <c r="AT544" i="9"/>
  <c r="Z543" i="9"/>
  <c r="A542" i="9"/>
  <c r="AV540" i="9"/>
  <c r="AF539" i="9"/>
  <c r="E538" i="9"/>
  <c r="BB536" i="9"/>
  <c r="AA535" i="9"/>
  <c r="BS533" i="9"/>
  <c r="AQ532" i="9"/>
  <c r="O531" i="9"/>
  <c r="BS529" i="9"/>
  <c r="AR528" i="9"/>
  <c r="AD527" i="9"/>
  <c r="AE526" i="9"/>
  <c r="AE525" i="9"/>
  <c r="AB524" i="9"/>
  <c r="Z523" i="9"/>
  <c r="AA522" i="9"/>
  <c r="AA521" i="9"/>
  <c r="AF520" i="9"/>
  <c r="AL519" i="9"/>
  <c r="AK518" i="9"/>
  <c r="AL517" i="9"/>
  <c r="AU516" i="9"/>
  <c r="T557" i="9"/>
  <c r="AS554" i="9"/>
  <c r="R553" i="9"/>
  <c r="BY551" i="9"/>
  <c r="BA550" i="9"/>
  <c r="S549" i="9"/>
  <c r="BM547" i="9"/>
  <c r="AM546" i="9"/>
  <c r="F545" i="9"/>
  <c r="BH543" i="9"/>
  <c r="BG556" i="9"/>
  <c r="AC554" i="9"/>
  <c r="E553" i="9"/>
  <c r="BL551" i="9"/>
  <c r="AL550" i="9"/>
  <c r="E549" i="9"/>
  <c r="D40" i="10"/>
  <c r="BS559" i="9"/>
  <c r="AZ576" i="9"/>
  <c r="M596" i="9"/>
  <c r="C575" i="9"/>
  <c r="AB589" i="9"/>
  <c r="H573" i="9"/>
  <c r="L562" i="9"/>
  <c r="Z588" i="9"/>
  <c r="BX578" i="9"/>
  <c r="I575" i="9"/>
  <c r="B571" i="9"/>
  <c r="J567" i="9"/>
  <c r="L563" i="9"/>
  <c r="BY558" i="9"/>
  <c r="AT592" i="9"/>
  <c r="AU581" i="9"/>
  <c r="BF576" i="9"/>
  <c r="BN572" i="9"/>
  <c r="BQ568" i="9"/>
  <c r="BE564" i="9"/>
  <c r="BN560" i="9"/>
  <c r="E599" i="9"/>
  <c r="BA585" i="9"/>
  <c r="Q578" i="9"/>
  <c r="AF574" i="9"/>
  <c r="V570" i="9"/>
  <c r="K566" i="9"/>
  <c r="AB562" i="9"/>
  <c r="L558" i="9"/>
  <c r="M592" i="9"/>
  <c r="P581" i="9"/>
  <c r="V579" i="9"/>
  <c r="H578" i="9"/>
  <c r="AS576" i="9"/>
  <c r="AH575" i="9"/>
  <c r="V574" i="9"/>
  <c r="AS572" i="9"/>
  <c r="Z571" i="9"/>
  <c r="L570" i="9"/>
  <c r="BE568" i="9"/>
  <c r="AK567" i="9"/>
  <c r="A566" i="9"/>
  <c r="AS564" i="9"/>
  <c r="AI563" i="9"/>
  <c r="P562" i="9"/>
  <c r="BB560" i="9"/>
  <c r="AE559" i="9"/>
  <c r="B558" i="9"/>
  <c r="O563" i="9"/>
  <c r="L567" i="9"/>
  <c r="M562" i="9"/>
  <c r="B557" i="9"/>
  <c r="AY555" i="9"/>
  <c r="AE566" i="9"/>
  <c r="AP560" i="9"/>
  <c r="BN556" i="9"/>
  <c r="AO555" i="9"/>
  <c r="BQ564" i="9"/>
  <c r="A560" i="9"/>
  <c r="AW556" i="9"/>
  <c r="L555" i="9"/>
  <c r="BH565" i="9"/>
  <c r="BR560" i="9"/>
  <c r="AV556" i="9"/>
  <c r="AD555" i="9"/>
  <c r="N554" i="9"/>
  <c r="AZ552" i="9"/>
  <c r="AQ551" i="9"/>
  <c r="V550" i="9"/>
  <c r="AV548" i="9"/>
  <c r="AE547" i="9"/>
  <c r="A546" i="9"/>
  <c r="AP544" i="9"/>
  <c r="AA543" i="9"/>
  <c r="G542" i="9"/>
  <c r="AR540" i="9"/>
  <c r="AG539" i="9"/>
  <c r="L538" i="9"/>
  <c r="BP536" i="9"/>
  <c r="BP535" i="9"/>
  <c r="BH534" i="9"/>
  <c r="BD533" i="9"/>
  <c r="BF532" i="9"/>
  <c r="BE531" i="9"/>
  <c r="BE530" i="9"/>
  <c r="BG529" i="9"/>
  <c r="BI528" i="9"/>
  <c r="Z568" i="9"/>
  <c r="BP563" i="9"/>
  <c r="BQ559" i="9"/>
  <c r="AZ564" i="9"/>
  <c r="BJ560" i="9"/>
  <c r="U557" i="9"/>
  <c r="C556" i="9"/>
  <c r="I555" i="9"/>
  <c r="L554" i="9"/>
  <c r="M553" i="9"/>
  <c r="R552" i="9"/>
  <c r="V551" i="9"/>
  <c r="T550" i="9"/>
  <c r="M549" i="9"/>
  <c r="F548" i="9"/>
  <c r="J547" i="9"/>
  <c r="BX545" i="9"/>
  <c r="A545" i="9"/>
  <c r="C544" i="9"/>
  <c r="E543" i="9"/>
  <c r="E542" i="9"/>
  <c r="E541" i="9"/>
  <c r="I540" i="9"/>
  <c r="L539" i="9"/>
  <c r="J538" i="9"/>
  <c r="I537" i="9"/>
  <c r="I536" i="9"/>
  <c r="C535" i="9"/>
  <c r="BX533" i="9"/>
  <c r="BX532" i="9"/>
  <c r="BV531" i="9"/>
  <c r="BV530" i="9"/>
  <c r="BX529" i="9"/>
  <c r="BY528" i="9"/>
  <c r="A528" i="9"/>
  <c r="AU556" i="9"/>
  <c r="AA554" i="9"/>
  <c r="B553" i="9"/>
  <c r="BI551" i="9"/>
  <c r="AH550" i="9"/>
  <c r="B549" i="9"/>
  <c r="AV547" i="9"/>
  <c r="M546" i="9"/>
  <c r="BO544" i="9"/>
  <c r="F566" i="9"/>
  <c r="AR555" i="9"/>
  <c r="BO553" i="9"/>
  <c r="AM552" i="9"/>
  <c r="U551" i="9"/>
  <c r="BP549" i="9"/>
  <c r="AF548" i="9"/>
  <c r="I547" i="9"/>
  <c r="AY545" i="9"/>
  <c r="AB544" i="9"/>
  <c r="D543" i="9"/>
  <c r="BD541" i="9"/>
  <c r="AE540" i="9"/>
  <c r="K539" i="9"/>
  <c r="BK537" i="9"/>
  <c r="AG536" i="9"/>
  <c r="B535" i="9"/>
  <c r="AS533" i="9"/>
  <c r="W532" i="9"/>
  <c r="BU530" i="9"/>
  <c r="AW529" i="9"/>
  <c r="Z528" i="9"/>
  <c r="M527" i="9"/>
  <c r="O526" i="9"/>
  <c r="M525" i="9"/>
  <c r="I524" i="9"/>
  <c r="I523" i="9"/>
  <c r="L522" i="9"/>
  <c r="M521" i="9"/>
  <c r="Q520" i="9"/>
  <c r="W519" i="9"/>
  <c r="V518" i="9"/>
  <c r="BH561" i="9"/>
  <c r="P555" i="9"/>
  <c r="AU553" i="9"/>
  <c r="AA552" i="9"/>
  <c r="G551" i="9"/>
  <c r="AV549" i="9"/>
  <c r="P548" i="9"/>
  <c r="BS546" i="9"/>
  <c r="AH545" i="9"/>
  <c r="L544" i="9"/>
  <c r="BQ542" i="9"/>
  <c r="AM541" i="9"/>
  <c r="R540" i="9"/>
  <c r="BY538" i="9"/>
  <c r="AS537" i="9"/>
  <c r="T536" i="9"/>
  <c r="BL534" i="9"/>
  <c r="AE533" i="9"/>
  <c r="G532" i="9"/>
  <c r="BH530" i="9"/>
  <c r="AG529" i="9"/>
  <c r="K528" i="9"/>
  <c r="C527" i="9"/>
  <c r="E526" i="9"/>
  <c r="C525" i="9"/>
  <c r="BU523" i="9"/>
  <c r="BO599" i="9"/>
  <c r="BF558" i="9"/>
  <c r="O576" i="9"/>
  <c r="BN594" i="9"/>
  <c r="BT574" i="9"/>
  <c r="C588" i="9"/>
  <c r="AO572" i="9"/>
  <c r="D562" i="9"/>
  <c r="B588" i="9"/>
  <c r="BP578" i="9"/>
  <c r="A575" i="9"/>
  <c r="BR570" i="9"/>
  <c r="A567" i="9"/>
  <c r="C563" i="9"/>
  <c r="BO558" i="9"/>
  <c r="R592" i="9"/>
  <c r="Z581" i="9"/>
  <c r="AU576" i="9"/>
  <c r="AU572" i="9"/>
  <c r="BG568" i="9"/>
  <c r="AU564" i="9"/>
  <c r="BD560" i="9"/>
  <c r="E598" i="9"/>
  <c r="AC585" i="9"/>
  <c r="I578" i="9"/>
  <c r="W574" i="9"/>
  <c r="M570" i="9"/>
  <c r="B566" i="9"/>
  <c r="R562" i="9"/>
  <c r="C558" i="9"/>
  <c r="BQ591" i="9"/>
  <c r="BT580" i="9"/>
  <c r="M579" i="9"/>
  <c r="BY577" i="9"/>
  <c r="AJ576" i="9"/>
  <c r="Z575" i="9"/>
  <c r="M574" i="9"/>
  <c r="AK572" i="9"/>
  <c r="O571" i="9"/>
  <c r="C570" i="9"/>
  <c r="AT568" i="9"/>
  <c r="AC567" i="9"/>
  <c r="BR565" i="9"/>
  <c r="AK564" i="9"/>
  <c r="AA563" i="9"/>
  <c r="H562" i="9"/>
  <c r="AR560" i="9"/>
  <c r="P559" i="9"/>
  <c r="BQ557" i="9"/>
  <c r="AZ562" i="9"/>
  <c r="AQ566" i="9"/>
  <c r="AU561" i="9"/>
  <c r="BO556" i="9"/>
  <c r="AP555" i="9"/>
  <c r="BP565" i="9"/>
  <c r="B560" i="9"/>
  <c r="AZ556" i="9"/>
  <c r="AF555" i="9"/>
  <c r="AH564" i="9"/>
  <c r="AN559" i="9"/>
  <c r="AM556" i="9"/>
  <c r="C555" i="9"/>
  <c r="U565" i="9"/>
  <c r="AF560" i="9"/>
  <c r="AL556" i="9"/>
  <c r="U555" i="9"/>
  <c r="E554" i="9"/>
  <c r="AR552" i="9"/>
  <c r="AH551" i="9"/>
  <c r="I550" i="9"/>
  <c r="AL548" i="9"/>
  <c r="V547" i="9"/>
  <c r="BQ545" i="9"/>
  <c r="AG544" i="9"/>
  <c r="P543" i="9"/>
  <c r="BV541" i="9"/>
  <c r="AJ540" i="9"/>
  <c r="X539" i="9"/>
  <c r="C538" i="9"/>
  <c r="BG536" i="9"/>
  <c r="AZ535" i="9"/>
  <c r="AW534" i="9"/>
  <c r="AR533" i="9"/>
  <c r="AU532" i="9"/>
  <c r="AS531" i="9"/>
  <c r="AS530" i="9"/>
  <c r="AV529" i="9"/>
  <c r="AV528" i="9"/>
  <c r="AH567" i="9"/>
  <c r="AF563" i="9"/>
  <c r="AA559" i="9"/>
  <c r="P564" i="9"/>
  <c r="U560" i="9"/>
  <c r="G557" i="9"/>
  <c r="BT555" i="9"/>
  <c r="BY554" i="9"/>
  <c r="C554" i="9"/>
  <c r="D553" i="9"/>
  <c r="I552" i="9"/>
  <c r="L551" i="9"/>
  <c r="E550" i="9"/>
  <c r="D549" i="9"/>
  <c r="BW547" i="9"/>
  <c r="A547" i="9"/>
  <c r="BO545" i="9"/>
  <c r="BQ544" i="9"/>
  <c r="BS543" i="9"/>
  <c r="BU542" i="9"/>
  <c r="BT541" i="9"/>
  <c r="BT540" i="9"/>
  <c r="A540" i="9"/>
  <c r="D539" i="9"/>
  <c r="A538" i="9"/>
  <c r="BX536" i="9"/>
  <c r="BY535" i="9"/>
  <c r="BQ534" i="9"/>
  <c r="BO533" i="9"/>
  <c r="BO532" i="9"/>
  <c r="BL531" i="9"/>
  <c r="BL530" i="9"/>
  <c r="BO529" i="9"/>
  <c r="BP528" i="9"/>
  <c r="BQ527" i="9"/>
  <c r="U556" i="9"/>
  <c r="M554" i="9"/>
  <c r="BO552" i="9"/>
  <c r="AU551" i="9"/>
  <c r="U550" i="9"/>
  <c r="BO548" i="9"/>
  <c r="AI547" i="9"/>
  <c r="BY545" i="9"/>
  <c r="BA544" i="9"/>
  <c r="W562" i="9"/>
  <c r="R555" i="9"/>
  <c r="AV553" i="9"/>
  <c r="AC552" i="9"/>
  <c r="I551" i="9"/>
  <c r="AW549" i="9"/>
  <c r="R548" i="9"/>
  <c r="BT546" i="9"/>
  <c r="AI545" i="9"/>
  <c r="N544" i="9"/>
  <c r="BR542" i="9"/>
  <c r="AN541" i="9"/>
  <c r="T540" i="9"/>
  <c r="A539" i="9"/>
  <c r="AT537" i="9"/>
  <c r="V536" i="9"/>
  <c r="BN534" i="9"/>
  <c r="AF533" i="9"/>
  <c r="K532" i="9"/>
  <c r="BI530" i="9"/>
  <c r="AH529" i="9"/>
  <c r="M528" i="9"/>
  <c r="D527" i="9"/>
  <c r="F526" i="9"/>
  <c r="D525" i="9"/>
  <c r="BX523" i="9"/>
  <c r="BX522" i="9"/>
  <c r="D522" i="9"/>
  <c r="D521" i="9"/>
  <c r="I520" i="9"/>
  <c r="N519" i="9"/>
  <c r="K518" i="9"/>
  <c r="AJ558" i="9"/>
  <c r="BR554" i="9"/>
  <c r="AJ553" i="9"/>
  <c r="O552" i="9"/>
  <c r="BR550" i="9"/>
  <c r="AL549" i="9"/>
  <c r="D548" i="9"/>
  <c r="BE546" i="9"/>
  <c r="W545" i="9"/>
  <c r="A544" i="9"/>
  <c r="BA542" i="9"/>
  <c r="AB541" i="9"/>
  <c r="G540" i="9"/>
  <c r="BK538" i="9"/>
  <c r="AG537" i="9"/>
  <c r="F536" i="9"/>
  <c r="AV534" i="9"/>
  <c r="S533" i="9"/>
  <c r="BT531" i="9"/>
  <c r="AR530" i="9"/>
  <c r="V529" i="9"/>
  <c r="BX527" i="9"/>
  <c r="BR526" i="9"/>
  <c r="BU525" i="9"/>
  <c r="BS524" i="9"/>
  <c r="BM523" i="9"/>
  <c r="BN522" i="9"/>
  <c r="BR521" i="9"/>
  <c r="BS520" i="9"/>
  <c r="BW519" i="9"/>
  <c r="D519" i="9"/>
  <c r="BX517" i="9"/>
  <c r="AG557" i="9"/>
  <c r="AU554" i="9"/>
  <c r="U553" i="9"/>
  <c r="D552" i="9"/>
  <c r="BC550" i="9"/>
  <c r="V549" i="9"/>
  <c r="BQ547" i="9"/>
  <c r="AO546" i="9"/>
  <c r="H545" i="9"/>
  <c r="AX564" i="9"/>
  <c r="AI555" i="9"/>
  <c r="BH553" i="9"/>
  <c r="AI552" i="9"/>
  <c r="P551" i="9"/>
  <c r="BI549" i="9"/>
  <c r="AB548" i="9"/>
  <c r="E547" i="9"/>
  <c r="AS545" i="9"/>
  <c r="V544" i="9"/>
  <c r="A543" i="9"/>
  <c r="AU541" i="9"/>
  <c r="AA540" i="9"/>
  <c r="H539" i="9"/>
  <c r="BC537" i="9"/>
  <c r="AC536" i="9"/>
  <c r="BU534" i="9"/>
  <c r="AN533" i="9"/>
  <c r="R532" i="9"/>
  <c r="BR530" i="9"/>
  <c r="AR529" i="9"/>
  <c r="U528" i="9"/>
  <c r="J527" i="9"/>
  <c r="L526" i="9"/>
  <c r="J525" i="9"/>
  <c r="E524" i="9"/>
  <c r="D523" i="9"/>
  <c r="I522" i="9"/>
  <c r="J521" i="9"/>
  <c r="N520" i="9"/>
  <c r="S519" i="9"/>
  <c r="R518" i="9"/>
  <c r="V517" i="9"/>
  <c r="AD516" i="9"/>
  <c r="AG556" i="9"/>
  <c r="Q554" i="9"/>
  <c r="N580" i="9"/>
  <c r="AE592" i="9"/>
  <c r="S574" i="9"/>
  <c r="BH587" i="9"/>
  <c r="AH572" i="9"/>
  <c r="E582" i="9"/>
  <c r="H570" i="9"/>
  <c r="AU559" i="9"/>
  <c r="J585" i="9"/>
  <c r="C578" i="9"/>
  <c r="P574" i="9"/>
  <c r="F570" i="9"/>
  <c r="BU565" i="9"/>
  <c r="K562" i="9"/>
  <c r="BT557" i="9"/>
  <c r="BQ589" i="9"/>
  <c r="BB579" i="9"/>
  <c r="BL575" i="9"/>
  <c r="BD571" i="9"/>
  <c r="BR567" i="9"/>
  <c r="BM563" i="9"/>
  <c r="BN559" i="9"/>
  <c r="BT593" i="9"/>
  <c r="A583" i="9"/>
  <c r="N577" i="9"/>
  <c r="AI573" i="9"/>
  <c r="AC569" i="9"/>
  <c r="N565" i="9"/>
  <c r="Z561" i="9"/>
  <c r="L557" i="9"/>
  <c r="AL589" i="9"/>
  <c r="AS580" i="9"/>
  <c r="D579" i="9"/>
  <c r="AP577" i="9"/>
  <c r="AB576" i="9"/>
  <c r="O575" i="9"/>
  <c r="BL573" i="9"/>
  <c r="AC572" i="9"/>
  <c r="G571" i="9"/>
  <c r="BD569" i="9"/>
  <c r="AL568" i="9"/>
  <c r="P567" i="9"/>
  <c r="AQ565" i="9"/>
  <c r="AC564" i="9"/>
  <c r="Q563" i="9"/>
  <c r="AZ561" i="9"/>
  <c r="AH560" i="9"/>
  <c r="E559" i="9"/>
  <c r="M567" i="9"/>
  <c r="N562" i="9"/>
  <c r="BW565" i="9"/>
  <c r="K560" i="9"/>
  <c r="BC556" i="9"/>
  <c r="AG555" i="9"/>
  <c r="AI564" i="9"/>
  <c r="AO559" i="9"/>
  <c r="AN556" i="9"/>
  <c r="D555" i="9"/>
  <c r="BX563" i="9"/>
  <c r="BQ558" i="9"/>
  <c r="F556" i="9"/>
  <c r="BT554" i="9"/>
  <c r="BJ564" i="9"/>
  <c r="BE558" i="9"/>
  <c r="AC556" i="9"/>
  <c r="K555" i="9"/>
  <c r="BA553" i="9"/>
  <c r="AJ552" i="9"/>
  <c r="Z551" i="9"/>
  <c r="BD549" i="9"/>
  <c r="AC548" i="9"/>
  <c r="L547" i="9"/>
  <c r="AM545" i="9"/>
  <c r="W544" i="9"/>
  <c r="G543" i="9"/>
  <c r="AQ541" i="9"/>
  <c r="AB540" i="9"/>
  <c r="N539" i="9"/>
  <c r="AW537" i="9"/>
  <c r="AV536" i="9"/>
  <c r="AR535" i="9"/>
  <c r="AO534" i="9"/>
  <c r="AI533" i="9"/>
  <c r="AM532" i="9"/>
  <c r="AJ531" i="9"/>
  <c r="AJ530" i="9"/>
  <c r="AL529" i="9"/>
  <c r="AN528" i="9"/>
  <c r="BN566" i="9"/>
  <c r="BV562" i="9"/>
  <c r="N568" i="9"/>
  <c r="BI563" i="9"/>
  <c r="BH559" i="9"/>
  <c r="BS556" i="9"/>
  <c r="BL555" i="9"/>
  <c r="BQ554" i="9"/>
  <c r="BT553" i="9"/>
  <c r="BS552" i="9"/>
  <c r="A552" i="9"/>
  <c r="C551" i="9"/>
  <c r="BU549" i="9"/>
  <c r="BS548" i="9"/>
  <c r="BN547" i="9"/>
  <c r="BO546" i="9"/>
  <c r="BF545" i="9"/>
  <c r="BG544" i="9"/>
  <c r="BK543" i="9"/>
  <c r="BK542" i="9"/>
  <c r="BJ541" i="9"/>
  <c r="BL540" i="9"/>
  <c r="BQ539" i="9"/>
  <c r="BT538" i="9"/>
  <c r="BP537" i="9"/>
  <c r="BN536" i="9"/>
  <c r="BN535" i="9"/>
  <c r="BF534" i="9"/>
  <c r="AZ533" i="9"/>
  <c r="BD532" i="9"/>
  <c r="BA531" i="9"/>
  <c r="BA530" i="9"/>
  <c r="BE529" i="9"/>
  <c r="BF528" i="9"/>
  <c r="BF527" i="9"/>
  <c r="BS555" i="9"/>
  <c r="A554" i="9"/>
  <c r="AY552" i="9"/>
  <c r="AJ551" i="9"/>
  <c r="C550" i="9"/>
  <c r="AU548" i="9"/>
  <c r="X547" i="9"/>
  <c r="BM545" i="9"/>
  <c r="AO544" i="9"/>
  <c r="AR558" i="9"/>
  <c r="BW554" i="9"/>
  <c r="AL553" i="9"/>
  <c r="P552" i="9"/>
  <c r="BT550" i="9"/>
  <c r="AM549" i="9"/>
  <c r="E548" i="9"/>
  <c r="BH546" i="9"/>
  <c r="X545" i="9"/>
  <c r="B544" i="9"/>
  <c r="BE542" i="9"/>
  <c r="AC541" i="9"/>
  <c r="H540" i="9"/>
  <c r="BO538" i="9"/>
  <c r="AH537" i="9"/>
  <c r="H536" i="9"/>
  <c r="AZ534" i="9"/>
  <c r="U533" i="9"/>
  <c r="BU531" i="9"/>
  <c r="AT530" i="9"/>
  <c r="W529" i="9"/>
  <c r="BY527" i="9"/>
  <c r="BS526" i="9"/>
  <c r="BV525" i="9"/>
  <c r="BT524" i="9"/>
  <c r="BN523" i="9"/>
  <c r="BO522" i="9"/>
  <c r="BS521" i="9"/>
  <c r="BT520" i="9"/>
  <c r="BX519" i="9"/>
  <c r="E519" i="9"/>
  <c r="BY517" i="9"/>
  <c r="AJ557" i="9"/>
  <c r="AW554" i="9"/>
  <c r="W553" i="9"/>
  <c r="E552" i="9"/>
  <c r="BD550" i="9"/>
  <c r="Z549" i="9"/>
  <c r="BR547" i="9"/>
  <c r="AP546" i="9"/>
  <c r="J545" i="9"/>
  <c r="BO543" i="9"/>
  <c r="AN542" i="9"/>
  <c r="O541" i="9"/>
  <c r="BU539" i="9"/>
  <c r="AS538" i="9"/>
  <c r="T537" i="9"/>
  <c r="BR535" i="9"/>
  <c r="AI534" i="9"/>
  <c r="H533" i="9"/>
  <c r="BH531" i="9"/>
  <c r="AF530" i="9"/>
  <c r="J529" i="9"/>
  <c r="BK527" i="9"/>
  <c r="BJ526" i="9"/>
  <c r="BK525" i="9"/>
  <c r="BK524" i="9"/>
  <c r="BD523" i="9"/>
  <c r="BE522" i="9"/>
  <c r="BF521" i="9"/>
  <c r="BK520" i="9"/>
  <c r="BO519" i="9"/>
  <c r="BR518" i="9"/>
  <c r="BN517" i="9"/>
  <c r="BQ556" i="9"/>
  <c r="AI554" i="9"/>
  <c r="J553" i="9"/>
  <c r="BP551" i="9"/>
  <c r="AQ550" i="9"/>
  <c r="J549" i="9"/>
  <c r="BD547" i="9"/>
  <c r="X546" i="9"/>
  <c r="BV544" i="9"/>
  <c r="BI560" i="9"/>
  <c r="J555" i="9"/>
  <c r="AS553" i="9"/>
  <c r="X552" i="9"/>
  <c r="D551" i="9"/>
  <c r="AT549" i="9"/>
  <c r="M548" i="9"/>
  <c r="BP546" i="9"/>
  <c r="AF545" i="9"/>
  <c r="I544" i="9"/>
  <c r="BL542" i="9"/>
  <c r="AJ541" i="9"/>
  <c r="O540" i="9"/>
  <c r="BU538" i="9"/>
  <c r="AQ537" i="9"/>
  <c r="O536" i="9"/>
  <c r="BG534" i="9"/>
  <c r="AC533" i="9"/>
  <c r="D532" i="9"/>
  <c r="BD530" i="9"/>
  <c r="AE529" i="9"/>
  <c r="G528" i="9"/>
  <c r="A527" i="9"/>
  <c r="C526" i="9"/>
  <c r="A525" i="9"/>
  <c r="BS523" i="9"/>
  <c r="BT522" i="9"/>
  <c r="A522" i="9"/>
  <c r="A521" i="9"/>
  <c r="D520" i="9"/>
  <c r="K519" i="9"/>
  <c r="E518" i="9"/>
  <c r="N517" i="9"/>
  <c r="S516" i="9"/>
  <c r="B556" i="9"/>
  <c r="F554" i="9"/>
  <c r="BG552" i="9"/>
  <c r="AN551" i="9"/>
  <c r="K550" i="9"/>
  <c r="BA548" i="9"/>
  <c r="AB547" i="9"/>
  <c r="BR545" i="9"/>
  <c r="AS544" i="9"/>
  <c r="F568" i="9"/>
  <c r="BA555" i="9"/>
  <c r="BR553" i="9"/>
  <c r="AQ552" i="9"/>
  <c r="AB551" i="9"/>
  <c r="BS549" i="9"/>
  <c r="AJ548" i="9"/>
  <c r="E49" i="10"/>
  <c r="BM584" i="9"/>
  <c r="AR579" i="9"/>
  <c r="D577" i="9"/>
  <c r="BU578" i="9"/>
  <c r="AC568" i="9"/>
  <c r="AR566" i="9"/>
  <c r="AE556" i="9"/>
  <c r="O556" i="9"/>
  <c r="AD545" i="9"/>
  <c r="AJ535" i="9"/>
  <c r="O566" i="9"/>
  <c r="BJ553" i="9"/>
  <c r="AU545" i="9"/>
  <c r="BF537" i="9"/>
  <c r="AT529" i="9"/>
  <c r="AG548" i="9"/>
  <c r="BF550" i="9"/>
  <c r="BV539" i="9"/>
  <c r="L529" i="9"/>
  <c r="BL520" i="9"/>
  <c r="AR550" i="9"/>
  <c r="BJ539" i="9"/>
  <c r="BV528" i="9"/>
  <c r="AL522" i="9"/>
  <c r="BG519" i="9"/>
  <c r="P558" i="9"/>
  <c r="BJ552" i="9"/>
  <c r="BV548" i="9"/>
  <c r="V545" i="9"/>
  <c r="AT554" i="9"/>
  <c r="BO550" i="9"/>
  <c r="P547" i="9"/>
  <c r="BL543" i="9"/>
  <c r="E540" i="9"/>
  <c r="AP536" i="9"/>
  <c r="E533" i="9"/>
  <c r="R529" i="9"/>
  <c r="U526" i="9"/>
  <c r="BB523" i="9"/>
  <c r="BQ520" i="9"/>
  <c r="AC518" i="9"/>
  <c r="O564" i="9"/>
  <c r="BR552" i="9"/>
  <c r="AA550" i="9"/>
  <c r="AP547" i="9"/>
  <c r="BF544" i="9"/>
  <c r="S557" i="9"/>
  <c r="D554" i="9"/>
  <c r="V552" i="9"/>
  <c r="AW550" i="9"/>
  <c r="AZ548" i="9"/>
  <c r="N547" i="9"/>
  <c r="BD545" i="9"/>
  <c r="AF544" i="9"/>
  <c r="BE556" i="9"/>
  <c r="AB554" i="9"/>
  <c r="C553" i="9"/>
  <c r="BK551" i="9"/>
  <c r="AI550" i="9"/>
  <c r="C549" i="9"/>
  <c r="AZ547" i="9"/>
  <c r="N546" i="9"/>
  <c r="BP544" i="9"/>
  <c r="AS543" i="9"/>
  <c r="U542" i="9"/>
  <c r="BS540" i="9"/>
  <c r="BD539" i="9"/>
  <c r="AA538" i="9"/>
  <c r="BU536" i="9"/>
  <c r="AS535" i="9"/>
  <c r="N534" i="9"/>
  <c r="BN532" i="9"/>
  <c r="AL531" i="9"/>
  <c r="M530" i="9"/>
  <c r="BO528" i="9"/>
  <c r="AR527" i="9"/>
  <c r="AT526" i="9"/>
  <c r="AS525" i="9"/>
  <c r="AU524" i="9"/>
  <c r="AO523" i="9"/>
  <c r="AO522" i="9"/>
  <c r="AO521" i="9"/>
  <c r="AU520" i="9"/>
  <c r="AZ519" i="9"/>
  <c r="AX518" i="9"/>
  <c r="AY517" i="9"/>
  <c r="BK516" i="9"/>
  <c r="BF542" i="9"/>
  <c r="J540" i="9"/>
  <c r="AI537" i="9"/>
  <c r="BA534" i="9"/>
  <c r="BX531" i="9"/>
  <c r="X529" i="9"/>
  <c r="BT526" i="9"/>
  <c r="BU524" i="9"/>
  <c r="BP522" i="9"/>
  <c r="BU520" i="9"/>
  <c r="F519" i="9"/>
  <c r="R517" i="9"/>
  <c r="D516" i="9"/>
  <c r="E515" i="9"/>
  <c r="J514" i="9"/>
  <c r="J513" i="9"/>
  <c r="F512" i="9"/>
  <c r="BY510" i="9"/>
  <c r="BY509" i="9"/>
  <c r="B509" i="9"/>
  <c r="F508" i="9"/>
  <c r="E507" i="9"/>
  <c r="L506" i="9"/>
  <c r="N505" i="9"/>
  <c r="P504" i="9"/>
  <c r="M503" i="9"/>
  <c r="R502" i="9"/>
  <c r="L501" i="9"/>
  <c r="H500" i="9"/>
  <c r="I499" i="9"/>
  <c r="F498" i="9"/>
  <c r="B542" i="9"/>
  <c r="AH539" i="9"/>
  <c r="BC536" i="9"/>
  <c r="BT533" i="9"/>
  <c r="R531" i="9"/>
  <c r="AS528" i="9"/>
  <c r="AF526" i="9"/>
  <c r="AE524" i="9"/>
  <c r="AB522" i="9"/>
  <c r="AG520" i="9"/>
  <c r="BX590" i="9"/>
  <c r="BR577" i="9"/>
  <c r="BD575" i="9"/>
  <c r="AA573" i="9"/>
  <c r="AG577" i="9"/>
  <c r="F567" i="9"/>
  <c r="AV561" i="9"/>
  <c r="BU554" i="9"/>
  <c r="B555" i="9"/>
  <c r="M544" i="9"/>
  <c r="AE534" i="9"/>
  <c r="AF562" i="9"/>
  <c r="BK552" i="9"/>
  <c r="AV544" i="9"/>
  <c r="BD536" i="9"/>
  <c r="AT528" i="9"/>
  <c r="K547" i="9"/>
  <c r="AB549" i="9"/>
  <c r="AT538" i="9"/>
  <c r="BL527" i="9"/>
  <c r="BP519" i="9"/>
  <c r="K549" i="9"/>
  <c r="AH538" i="9"/>
  <c r="AW527" i="9"/>
  <c r="C522" i="9"/>
  <c r="AV519" i="9"/>
  <c r="AJ556" i="9"/>
  <c r="N552" i="9"/>
  <c r="BE548" i="9"/>
  <c r="BL544" i="9"/>
  <c r="BU553" i="9"/>
  <c r="BB550" i="9"/>
  <c r="AZ546" i="9"/>
  <c r="L543" i="9"/>
  <c r="BR539" i="9"/>
  <c r="D536" i="9"/>
  <c r="AF532" i="9"/>
  <c r="F529" i="9"/>
  <c r="BS525" i="9"/>
  <c r="N523" i="9"/>
  <c r="BI520" i="9"/>
  <c r="BT517" i="9"/>
  <c r="BI556" i="9"/>
  <c r="AS552" i="9"/>
  <c r="BT549" i="9"/>
  <c r="O547" i="9"/>
  <c r="AH544" i="9"/>
  <c r="X556" i="9"/>
  <c r="BE553" i="9"/>
  <c r="J552" i="9"/>
  <c r="Z550" i="9"/>
  <c r="W548" i="9"/>
  <c r="B547" i="9"/>
  <c r="AQ545" i="9"/>
  <c r="Q544" i="9"/>
  <c r="V556" i="9"/>
  <c r="O554" i="9"/>
  <c r="BP552" i="9"/>
  <c r="AV551" i="9"/>
  <c r="W550" i="9"/>
  <c r="BP548" i="9"/>
  <c r="AL547" i="9"/>
  <c r="B546" i="9"/>
  <c r="BD544" i="9"/>
  <c r="AF543" i="9"/>
  <c r="I542" i="9"/>
  <c r="BF540" i="9"/>
  <c r="AM539" i="9"/>
  <c r="M538" i="9"/>
  <c r="BK536" i="9"/>
  <c r="AG535" i="9"/>
  <c r="B534" i="9"/>
  <c r="AY532" i="9"/>
  <c r="X531" i="9"/>
  <c r="B530" i="9"/>
  <c r="BA528" i="9"/>
  <c r="AI527" i="9"/>
  <c r="AL526" i="9"/>
  <c r="AJ525" i="9"/>
  <c r="AM524" i="9"/>
  <c r="AE523" i="9"/>
  <c r="AF522" i="9"/>
  <c r="AF521" i="9"/>
  <c r="AM520" i="9"/>
  <c r="AQ519" i="9"/>
  <c r="AP518" i="9"/>
  <c r="AQ517" i="9"/>
  <c r="BA516" i="9"/>
  <c r="AE542" i="9"/>
  <c r="BM539" i="9"/>
  <c r="J537" i="9"/>
  <c r="AA534" i="9"/>
  <c r="AU531" i="9"/>
  <c r="A529" i="9"/>
  <c r="BC526" i="9"/>
  <c r="BE524" i="9"/>
  <c r="AV522" i="9"/>
  <c r="BD520" i="9"/>
  <c r="BK518" i="9"/>
  <c r="H517" i="9"/>
  <c r="BT515" i="9"/>
  <c r="BV514" i="9"/>
  <c r="B514" i="9"/>
  <c r="B513" i="9"/>
  <c r="BT511" i="9"/>
  <c r="BO510" i="9"/>
  <c r="BP509" i="9"/>
  <c r="BP508" i="9"/>
  <c r="BW507" i="9"/>
  <c r="BT506" i="9"/>
  <c r="D506" i="9"/>
  <c r="F505" i="9"/>
  <c r="F504" i="9"/>
  <c r="E503" i="9"/>
  <c r="I502" i="9"/>
  <c r="C501" i="9"/>
  <c r="BY499" i="9"/>
  <c r="BX498" i="9"/>
  <c r="BU497" i="9"/>
  <c r="AV541" i="9"/>
  <c r="I539" i="9"/>
  <c r="AE536" i="9"/>
  <c r="AO533" i="9"/>
  <c r="BS530" i="9"/>
  <c r="W528" i="9"/>
  <c r="M526" i="9"/>
  <c r="F524" i="9"/>
  <c r="J522" i="9"/>
  <c r="O520" i="9"/>
  <c r="BR573" i="9"/>
  <c r="H574" i="9"/>
  <c r="AT571" i="9"/>
  <c r="R569" i="9"/>
  <c r="Q576" i="9"/>
  <c r="AF565" i="9"/>
  <c r="AL565" i="9"/>
  <c r="AO563" i="9"/>
  <c r="AQ553" i="9"/>
  <c r="BX542" i="9"/>
  <c r="AA533" i="9"/>
  <c r="AA567" i="9"/>
  <c r="BQ551" i="9"/>
  <c r="AY543" i="9"/>
  <c r="AX535" i="9"/>
  <c r="BA566" i="9"/>
  <c r="AZ545" i="9"/>
  <c r="BS547" i="9"/>
  <c r="V537" i="9"/>
  <c r="BK526" i="9"/>
  <c r="BS518" i="9"/>
  <c r="BG547" i="9"/>
  <c r="E537" i="9"/>
  <c r="BA526" i="9"/>
  <c r="AT521" i="9"/>
  <c r="M519" i="9"/>
  <c r="K556" i="9"/>
  <c r="BE551" i="9"/>
  <c r="C548" i="9"/>
  <c r="AU544" i="9"/>
  <c r="AG553" i="9"/>
  <c r="BV549" i="9"/>
  <c r="AN546" i="9"/>
  <c r="AV542" i="9"/>
  <c r="S539" i="9"/>
  <c r="BO535" i="9"/>
  <c r="BR531" i="9"/>
  <c r="AG528" i="9"/>
  <c r="BI525" i="9"/>
  <c r="BK522" i="9"/>
  <c r="W520" i="9"/>
  <c r="BL517" i="9"/>
  <c r="BE555" i="9"/>
  <c r="AG552" i="9"/>
  <c r="BH549" i="9"/>
  <c r="D547" i="9"/>
  <c r="R544" i="9"/>
  <c r="A556" i="9"/>
  <c r="AP553" i="9"/>
  <c r="BX551" i="9"/>
  <c r="F550" i="9"/>
  <c r="K548" i="9"/>
  <c r="BK546" i="9"/>
  <c r="AC545" i="9"/>
  <c r="G544" i="9"/>
  <c r="BU555" i="9"/>
  <c r="B554" i="9"/>
  <c r="BC552" i="9"/>
  <c r="AL551" i="9"/>
  <c r="D550" i="9"/>
  <c r="AW548" i="9"/>
  <c r="Z547" i="9"/>
  <c r="BN545" i="9"/>
  <c r="AQ544" i="9"/>
  <c r="S543" i="9"/>
  <c r="BS541" i="9"/>
  <c r="AS540" i="9"/>
  <c r="AB539" i="9"/>
  <c r="BY537" i="9"/>
  <c r="AW536" i="9"/>
  <c r="U535" i="9"/>
  <c r="BL533" i="9"/>
  <c r="AN532" i="9"/>
  <c r="K531" i="9"/>
  <c r="BN529" i="9"/>
  <c r="AO528" i="9"/>
  <c r="AA527" i="9"/>
  <c r="AB526" i="9"/>
  <c r="AB525" i="9"/>
  <c r="W524" i="9"/>
  <c r="U523" i="9"/>
  <c r="W522" i="9"/>
  <c r="W521" i="9"/>
  <c r="AC520" i="9"/>
  <c r="AH519" i="9"/>
  <c r="AH518" i="9"/>
  <c r="AI517" i="9"/>
  <c r="AR516" i="9"/>
  <c r="F542" i="9"/>
  <c r="AL539" i="9"/>
  <c r="BJ536" i="9"/>
  <c r="BY533" i="9"/>
  <c r="W531" i="9"/>
  <c r="AZ528" i="9"/>
  <c r="AI526" i="9"/>
  <c r="AL524" i="9"/>
  <c r="AE522" i="9"/>
  <c r="AL520" i="9"/>
  <c r="AO518" i="9"/>
  <c r="BV516" i="9"/>
  <c r="BK515" i="9"/>
  <c r="BN514" i="9"/>
  <c r="BQ513" i="9"/>
  <c r="BQ512" i="9"/>
  <c r="BK511" i="9"/>
  <c r="BG510" i="9"/>
  <c r="BG509" i="9"/>
  <c r="BE508" i="9"/>
  <c r="BO507" i="9"/>
  <c r="BL506" i="9"/>
  <c r="BS505" i="9"/>
  <c r="BU504" i="9"/>
  <c r="BW503" i="9"/>
  <c r="BU502" i="9"/>
  <c r="A502" i="9"/>
  <c r="BQ500" i="9"/>
  <c r="BO499" i="9"/>
  <c r="BP498" i="9"/>
  <c r="Z587" i="9"/>
  <c r="BW569" i="9"/>
  <c r="BI567" i="9"/>
  <c r="F565" i="9"/>
  <c r="F575" i="9"/>
  <c r="T564" i="9"/>
  <c r="AV559" i="9"/>
  <c r="AA558" i="9"/>
  <c r="AB552" i="9"/>
  <c r="AH541" i="9"/>
  <c r="AD532" i="9"/>
  <c r="W563" i="9"/>
  <c r="BQ550" i="9"/>
  <c r="AZ542" i="9"/>
  <c r="AU534" i="9"/>
  <c r="AT555" i="9"/>
  <c r="AC544" i="9"/>
  <c r="AQ546" i="9"/>
  <c r="BS535" i="9"/>
  <c r="BL525" i="9"/>
  <c r="BO517" i="9"/>
  <c r="Z546" i="9"/>
  <c r="AY535" i="9"/>
  <c r="AZ525" i="9"/>
  <c r="AL521" i="9"/>
  <c r="BI518" i="9"/>
  <c r="BP554" i="9"/>
  <c r="AR551" i="9"/>
  <c r="AR547" i="9"/>
  <c r="BY543" i="9"/>
  <c r="S553" i="9"/>
  <c r="AH549" i="9"/>
  <c r="BG545" i="9"/>
  <c r="AL542" i="9"/>
  <c r="BE538" i="9"/>
  <c r="L535" i="9"/>
  <c r="BD531" i="9"/>
  <c r="BU527" i="9"/>
  <c r="U525" i="9"/>
  <c r="BA522" i="9"/>
  <c r="BU519" i="9"/>
  <c r="AD517" i="9"/>
  <c r="AH555" i="9"/>
  <c r="BN551" i="9"/>
  <c r="G549" i="9"/>
  <c r="P546" i="9"/>
  <c r="AU543" i="9"/>
  <c r="AC555" i="9"/>
  <c r="AD553" i="9"/>
  <c r="AY551" i="9"/>
  <c r="BF549" i="9"/>
  <c r="BX547" i="9"/>
  <c r="AV546" i="9"/>
  <c r="O545" i="9"/>
  <c r="W567" i="9"/>
  <c r="AZ555" i="9"/>
  <c r="BQ553" i="9"/>
  <c r="AO552" i="9"/>
  <c r="AA551" i="9"/>
  <c r="BR549" i="9"/>
  <c r="AH548" i="9"/>
  <c r="M547" i="9"/>
  <c r="BA545" i="9"/>
  <c r="AD544" i="9"/>
  <c r="I543" i="9"/>
  <c r="BF541" i="9"/>
  <c r="AG540" i="9"/>
  <c r="O539" i="9"/>
  <c r="BM537" i="9"/>
  <c r="AI536" i="9"/>
  <c r="F535" i="9"/>
  <c r="AU533" i="9"/>
  <c r="AA532" i="9"/>
  <c r="BY530" i="9"/>
  <c r="AZ529" i="9"/>
  <c r="AB528" i="9"/>
  <c r="O527" i="9"/>
  <c r="Q526" i="9"/>
  <c r="O525" i="9"/>
  <c r="K524" i="9"/>
  <c r="K523" i="9"/>
  <c r="N522" i="9"/>
  <c r="O521" i="9"/>
  <c r="T520" i="9"/>
  <c r="Z519" i="9"/>
  <c r="X518" i="9"/>
  <c r="AA517" i="9"/>
  <c r="AI516" i="9"/>
  <c r="BE541" i="9"/>
  <c r="M539" i="9"/>
  <c r="AH536" i="9"/>
  <c r="AT533" i="9"/>
  <c r="BW530" i="9"/>
  <c r="AA528" i="9"/>
  <c r="P526" i="9"/>
  <c r="J524" i="9"/>
  <c r="M522" i="9"/>
  <c r="R520" i="9"/>
  <c r="W518" i="9"/>
  <c r="BJ516" i="9"/>
  <c r="BB515" i="9"/>
  <c r="BF514" i="9"/>
  <c r="BF513" i="9"/>
  <c r="BD512" i="9"/>
  <c r="AW511" i="9"/>
  <c r="AV510" i="9"/>
  <c r="AV509" i="9"/>
  <c r="AT508" i="9"/>
  <c r="BD507" i="9"/>
  <c r="BC506" i="9"/>
  <c r="BJ505" i="9"/>
  <c r="BM504" i="9"/>
  <c r="BM503" i="9"/>
  <c r="BL502" i="9"/>
  <c r="BO501" i="9"/>
  <c r="BH500" i="9"/>
  <c r="BF499" i="9"/>
  <c r="BF498" i="9"/>
  <c r="BN543" i="9"/>
  <c r="B541" i="9"/>
  <c r="AG538" i="9"/>
  <c r="AW535" i="9"/>
  <c r="BT532" i="9"/>
  <c r="S530" i="9"/>
  <c r="AV527" i="9"/>
  <c r="AW525" i="9"/>
  <c r="AS523" i="9"/>
  <c r="AS521" i="9"/>
  <c r="BF519" i="9"/>
  <c r="BD517" i="9"/>
  <c r="AJ516" i="9"/>
  <c r="BY541" i="9"/>
  <c r="AD539" i="9"/>
  <c r="BA536" i="9"/>
  <c r="BR533" i="9"/>
  <c r="M531" i="9"/>
  <c r="AQ528" i="9"/>
  <c r="AD526" i="9"/>
  <c r="AA524" i="9"/>
  <c r="Z522" i="9"/>
  <c r="AE520" i="9"/>
  <c r="AJ518" i="9"/>
  <c r="BS516" i="9"/>
  <c r="BI515" i="9"/>
  <c r="BL514" i="9"/>
  <c r="BO513" i="9"/>
  <c r="BO512" i="9"/>
  <c r="BI511" i="9"/>
  <c r="BD510" i="9"/>
  <c r="BE509" i="9"/>
  <c r="BA508" i="9"/>
  <c r="BK507" i="9"/>
  <c r="BJ506" i="9"/>
  <c r="BQ505" i="9"/>
  <c r="BS504" i="9"/>
  <c r="BS503" i="9"/>
  <c r="BS502" i="9"/>
  <c r="BU501" i="9"/>
  <c r="BO500" i="9"/>
  <c r="BL499" i="9"/>
  <c r="BN498" i="9"/>
  <c r="BF497" i="9"/>
  <c r="AW496" i="9"/>
  <c r="AS541" i="9"/>
  <c r="E539" i="9"/>
  <c r="Z536" i="9"/>
  <c r="AL533" i="9"/>
  <c r="BO530" i="9"/>
  <c r="P528" i="9"/>
  <c r="J526" i="9"/>
  <c r="C524" i="9"/>
  <c r="G522" i="9"/>
  <c r="L520" i="9"/>
  <c r="O518" i="9"/>
  <c r="BG516" i="9"/>
  <c r="R543" i="9"/>
  <c r="AQ540" i="9"/>
  <c r="BX537" i="9"/>
  <c r="T535" i="9"/>
  <c r="AL532" i="9"/>
  <c r="BM529" i="9"/>
  <c r="Z527" i="9"/>
  <c r="AA525" i="9"/>
  <c r="T523" i="9"/>
  <c r="V521" i="9"/>
  <c r="AG519" i="9"/>
  <c r="AH517" i="9"/>
  <c r="R516" i="9"/>
  <c r="U515" i="9"/>
  <c r="Z514" i="9"/>
  <c r="W513" i="9"/>
  <c r="W512" i="9"/>
  <c r="P511" i="9"/>
  <c r="M543" i="9"/>
  <c r="AM540" i="9"/>
  <c r="BS537" i="9"/>
  <c r="M535" i="9"/>
  <c r="AG532" i="9"/>
  <c r="BH529" i="9"/>
  <c r="V527" i="9"/>
  <c r="V525" i="9"/>
  <c r="O523" i="9"/>
  <c r="S521" i="9"/>
  <c r="AD519" i="9"/>
  <c r="AG517" i="9"/>
  <c r="P516" i="9"/>
  <c r="T515" i="9"/>
  <c r="W514" i="9"/>
  <c r="V513" i="9"/>
  <c r="V512" i="9"/>
  <c r="O511" i="9"/>
  <c r="M510" i="9"/>
  <c r="N509" i="9"/>
  <c r="Q508" i="9"/>
  <c r="P507" i="9"/>
  <c r="Y506" i="9"/>
  <c r="AC505" i="9"/>
  <c r="AE504" i="9"/>
  <c r="AB503" i="9"/>
  <c r="AE502" i="9"/>
  <c r="AC501" i="9"/>
  <c r="V500" i="9"/>
  <c r="V499" i="9"/>
  <c r="Q498" i="9"/>
  <c r="K543" i="9"/>
  <c r="AK540" i="9"/>
  <c r="BO537" i="9"/>
  <c r="K535" i="9"/>
  <c r="AE532" i="9"/>
  <c r="BD529" i="9"/>
  <c r="R527" i="9"/>
  <c r="R525" i="9"/>
  <c r="M523" i="9"/>
  <c r="Q521" i="9"/>
  <c r="AB519" i="9"/>
  <c r="AF517" i="9"/>
  <c r="O516" i="9"/>
  <c r="R515" i="9"/>
  <c r="V514" i="9"/>
  <c r="U513" i="9"/>
  <c r="U512" i="9"/>
  <c r="M511" i="9"/>
  <c r="L510" i="9"/>
  <c r="M509" i="9"/>
  <c r="P508" i="9"/>
  <c r="O507" i="9"/>
  <c r="W506" i="9"/>
  <c r="AB505" i="9"/>
  <c r="AD504" i="9"/>
  <c r="AA503" i="9"/>
  <c r="AD502" i="9"/>
  <c r="AB501" i="9"/>
  <c r="U500" i="9"/>
  <c r="U499" i="9"/>
  <c r="P498" i="9"/>
  <c r="D497" i="9"/>
  <c r="BQ571" i="9"/>
  <c r="BM565" i="9"/>
  <c r="BE563" i="9"/>
  <c r="O561" i="9"/>
  <c r="AX573" i="9"/>
  <c r="I563" i="9"/>
  <c r="AO556" i="9"/>
  <c r="BW555" i="9"/>
  <c r="N551" i="9"/>
  <c r="S540" i="9"/>
  <c r="AB531" i="9"/>
  <c r="N559" i="9"/>
  <c r="BK549" i="9"/>
  <c r="AW541" i="9"/>
  <c r="AP533" i="9"/>
  <c r="BP553" i="9"/>
  <c r="AL557" i="9"/>
  <c r="L545" i="9"/>
  <c r="AL534" i="9"/>
  <c r="BL524" i="9"/>
  <c r="BT556" i="9"/>
  <c r="BX544" i="9"/>
  <c r="W534" i="9"/>
  <c r="BA524" i="9"/>
  <c r="C521" i="9"/>
  <c r="AU518" i="9"/>
  <c r="S554" i="9"/>
  <c r="BP550" i="9"/>
  <c r="AF547" i="9"/>
  <c r="G558" i="9"/>
  <c r="AT552" i="9"/>
  <c r="U549" i="9"/>
  <c r="R545" i="9"/>
  <c r="BK541" i="9"/>
  <c r="AQ538" i="9"/>
  <c r="AS534" i="9"/>
  <c r="C531" i="9"/>
  <c r="BI527" i="9"/>
  <c r="BQ524" i="9"/>
  <c r="Q522" i="9"/>
  <c r="BM519" i="9"/>
  <c r="F517" i="9"/>
  <c r="AD554" i="9"/>
  <c r="BA551" i="9"/>
  <c r="BR548" i="9"/>
  <c r="D546" i="9"/>
  <c r="AJ543" i="9"/>
  <c r="F555" i="9"/>
  <c r="Q553" i="9"/>
  <c r="AM551" i="9"/>
  <c r="AQ549" i="9"/>
  <c r="BL547" i="9"/>
  <c r="AG546" i="9"/>
  <c r="E545" i="9"/>
  <c r="V563" i="9"/>
  <c r="AA555" i="9"/>
  <c r="BD553" i="9"/>
  <c r="AE552" i="9"/>
  <c r="K551" i="9"/>
  <c r="BE549" i="9"/>
  <c r="V548" i="9"/>
  <c r="BV546" i="9"/>
  <c r="AN545" i="9"/>
  <c r="P544" i="9"/>
  <c r="BT542" i="9"/>
  <c r="AR541" i="9"/>
  <c r="V540" i="9"/>
  <c r="C539" i="9"/>
  <c r="AZ537" i="9"/>
  <c r="X536" i="9"/>
  <c r="BP534" i="9"/>
  <c r="AJ533" i="9"/>
  <c r="M532" i="9"/>
  <c r="BK530" i="9"/>
  <c r="AM529" i="9"/>
  <c r="O528" i="9"/>
  <c r="F527" i="9"/>
  <c r="I526" i="9"/>
  <c r="F525" i="9"/>
  <c r="A524" i="9"/>
  <c r="A523" i="9"/>
  <c r="F522" i="9"/>
  <c r="F521" i="9"/>
  <c r="K520" i="9"/>
  <c r="P519" i="9"/>
  <c r="M518" i="9"/>
  <c r="S517" i="9"/>
  <c r="AA516" i="9"/>
  <c r="AD541" i="9"/>
  <c r="BP538" i="9"/>
  <c r="J536" i="9"/>
  <c r="V533" i="9"/>
  <c r="AU530" i="9"/>
  <c r="B528" i="9"/>
  <c r="BX525" i="9"/>
  <c r="BO523" i="9"/>
  <c r="BT521" i="9"/>
  <c r="BY519" i="9"/>
  <c r="A518" i="9"/>
  <c r="AW516" i="9"/>
  <c r="AR515" i="9"/>
  <c r="AU514" i="9"/>
  <c r="AS513" i="9"/>
  <c r="AS512" i="9"/>
  <c r="AO511" i="9"/>
  <c r="AN510" i="9"/>
  <c r="AL509" i="9"/>
  <c r="AL508" i="9"/>
  <c r="AR507" i="9"/>
  <c r="AT506" i="9"/>
  <c r="AZ505" i="9"/>
  <c r="BD504" i="9"/>
  <c r="AW503" i="9"/>
  <c r="BD502" i="9"/>
  <c r="BG501" i="9"/>
  <c r="AT500" i="9"/>
  <c r="AU499" i="9"/>
  <c r="AU498" i="9"/>
  <c r="AB543" i="9"/>
  <c r="AW540" i="9"/>
  <c r="F538" i="9"/>
  <c r="AC535" i="9"/>
  <c r="AR532" i="9"/>
  <c r="BT529" i="9"/>
  <c r="AE527" i="9"/>
  <c r="AF525" i="9"/>
  <c r="AA523" i="9"/>
  <c r="AB521" i="9"/>
  <c r="AM519" i="9"/>
  <c r="AM517" i="9"/>
  <c r="W516" i="9"/>
  <c r="AT541" i="9"/>
  <c r="G539" i="9"/>
  <c r="AA536" i="9"/>
  <c r="AM533" i="9"/>
  <c r="BQ530" i="9"/>
  <c r="Q528" i="9"/>
  <c r="K526" i="9"/>
  <c r="D524" i="9"/>
  <c r="H522" i="9"/>
  <c r="M520" i="9"/>
  <c r="P518" i="9"/>
  <c r="BH516" i="9"/>
  <c r="AZ515" i="9"/>
  <c r="BD514" i="9"/>
  <c r="BA513" i="9"/>
  <c r="AZ512" i="9"/>
  <c r="AU511" i="9"/>
  <c r="AT510" i="9"/>
  <c r="AT509" i="9"/>
  <c r="AR508" i="9"/>
  <c r="AZ507" i="9"/>
  <c r="AZ506" i="9"/>
  <c r="BH505" i="9"/>
  <c r="BK504" i="9"/>
  <c r="BK503" i="9"/>
  <c r="BJ502" i="9"/>
  <c r="BM501" i="9"/>
  <c r="BE500" i="9"/>
  <c r="BC499" i="9"/>
  <c r="BD498" i="9"/>
  <c r="AT497" i="9"/>
  <c r="AO496" i="9"/>
  <c r="U541" i="9"/>
  <c r="BA538" i="9"/>
  <c r="A536" i="9"/>
  <c r="M533" i="9"/>
  <c r="AM530" i="9"/>
  <c r="BR527" i="9"/>
  <c r="BQ525" i="9"/>
  <c r="BI523" i="9"/>
  <c r="BL521" i="9"/>
  <c r="BS519" i="9"/>
  <c r="BR517" i="9"/>
  <c r="AS516" i="9"/>
  <c r="BS542" i="9"/>
  <c r="U540" i="9"/>
  <c r="AV537" i="9"/>
  <c r="BO534" i="9"/>
  <c r="L532" i="9"/>
  <c r="AJ529" i="9"/>
  <c r="E527" i="9"/>
  <c r="E525" i="9"/>
  <c r="BY522" i="9"/>
  <c r="E521" i="9"/>
  <c r="O519" i="9"/>
  <c r="X517" i="9"/>
  <c r="H516" i="9"/>
  <c r="K515" i="9"/>
  <c r="N514" i="9"/>
  <c r="N513" i="9"/>
  <c r="M512" i="9"/>
  <c r="D511" i="9"/>
  <c r="BP542" i="9"/>
  <c r="P540" i="9"/>
  <c r="AR537" i="9"/>
  <c r="BK534" i="9"/>
  <c r="E532" i="9"/>
  <c r="AF529" i="9"/>
  <c r="B527" i="9"/>
  <c r="B525" i="9"/>
  <c r="BU522" i="9"/>
  <c r="B521" i="9"/>
  <c r="L519" i="9"/>
  <c r="W517" i="9"/>
  <c r="G516" i="9"/>
  <c r="J515" i="9"/>
  <c r="M514" i="9"/>
  <c r="M513" i="9"/>
  <c r="L512" i="9"/>
  <c r="C511" i="9"/>
  <c r="C510" i="9"/>
  <c r="E509" i="9"/>
  <c r="I508" i="9"/>
  <c r="H507" i="9"/>
  <c r="O506" i="9"/>
  <c r="R505" i="9"/>
  <c r="U504" i="9"/>
  <c r="Q503" i="9"/>
  <c r="V502" i="9"/>
  <c r="O501" i="9"/>
  <c r="L500" i="9"/>
  <c r="L499" i="9"/>
  <c r="I498" i="9"/>
  <c r="BJ542" i="9"/>
  <c r="N540" i="9"/>
  <c r="AP537" i="9"/>
  <c r="BD534" i="9"/>
  <c r="C532" i="9"/>
  <c r="AD529" i="9"/>
  <c r="BY526" i="9"/>
  <c r="BY524" i="9"/>
  <c r="BS522" i="9"/>
  <c r="BY520" i="9"/>
  <c r="J519" i="9"/>
  <c r="U517" i="9"/>
  <c r="F516" i="9"/>
  <c r="I515" i="9"/>
  <c r="L514" i="9"/>
  <c r="L513" i="9"/>
  <c r="K512" i="9"/>
  <c r="B511" i="9"/>
  <c r="B510" i="9"/>
  <c r="D509" i="9"/>
  <c r="H508" i="9"/>
  <c r="G507" i="9"/>
  <c r="N506" i="9"/>
  <c r="P505" i="9"/>
  <c r="T504" i="9"/>
  <c r="P503" i="9"/>
  <c r="U502" i="9"/>
  <c r="N501" i="9"/>
  <c r="K500" i="9"/>
  <c r="K499" i="9"/>
  <c r="H498" i="9"/>
  <c r="G581" i="9"/>
  <c r="C562" i="9"/>
  <c r="BD559" i="9"/>
  <c r="C557" i="9"/>
  <c r="R572" i="9"/>
  <c r="AP561" i="9"/>
  <c r="X555" i="9"/>
  <c r="BL554" i="9"/>
  <c r="AR549" i="9"/>
  <c r="F539" i="9"/>
  <c r="AB530" i="9"/>
  <c r="BH556" i="9"/>
  <c r="BF548" i="9"/>
  <c r="AZ540" i="9"/>
  <c r="AS532" i="9"/>
  <c r="AN552" i="9"/>
  <c r="BA554" i="9"/>
  <c r="BP543" i="9"/>
  <c r="J533" i="9"/>
  <c r="BF523" i="9"/>
  <c r="AJ554" i="9"/>
  <c r="AZ543" i="9"/>
  <c r="BU532" i="9"/>
  <c r="AT523" i="9"/>
  <c r="BB520" i="9"/>
  <c r="H518" i="9"/>
  <c r="I554" i="9"/>
  <c r="AC550" i="9"/>
  <c r="BA546" i="9"/>
  <c r="W557" i="9"/>
  <c r="M552" i="9"/>
  <c r="AN548" i="9"/>
  <c r="G545" i="9"/>
  <c r="X541" i="9"/>
  <c r="BQ537" i="9"/>
  <c r="AG534" i="9"/>
  <c r="AO530" i="9"/>
  <c r="U527" i="9"/>
  <c r="BI524" i="9"/>
  <c r="BP521" i="9"/>
  <c r="AC519" i="9"/>
  <c r="BW516" i="9"/>
  <c r="BS553" i="9"/>
  <c r="AC551" i="9"/>
  <c r="AM548" i="9"/>
  <c r="BE545" i="9"/>
  <c r="BH563" i="9"/>
  <c r="BF554" i="9"/>
  <c r="BQ552" i="9"/>
  <c r="M551" i="9"/>
  <c r="AE549" i="9"/>
  <c r="BA547" i="9"/>
  <c r="O546" i="9"/>
  <c r="BR544" i="9"/>
  <c r="M559" i="9"/>
  <c r="A555" i="9"/>
  <c r="AN553" i="9"/>
  <c r="U552" i="9"/>
  <c r="BY550" i="9"/>
  <c r="AO549" i="9"/>
  <c r="J548" i="9"/>
  <c r="BJ546" i="9"/>
  <c r="AA545" i="9"/>
  <c r="F544" i="9"/>
  <c r="BH542" i="9"/>
  <c r="AE541" i="9"/>
  <c r="L540" i="9"/>
  <c r="BQ538" i="9"/>
  <c r="AL537" i="9"/>
  <c r="L536" i="9"/>
  <c r="BB534" i="9"/>
  <c r="W533" i="9"/>
  <c r="A532" i="9"/>
  <c r="AV530" i="9"/>
  <c r="Z529" i="9"/>
  <c r="D528" i="9"/>
  <c r="BU526" i="9"/>
  <c r="BY525" i="9"/>
  <c r="BV524" i="9"/>
  <c r="BP523" i="9"/>
  <c r="BQ522" i="9"/>
  <c r="BU521" i="9"/>
  <c r="BW520" i="9"/>
  <c r="A520" i="9"/>
  <c r="G519" i="9"/>
  <c r="B518" i="9"/>
  <c r="K517" i="9"/>
  <c r="BT543" i="9"/>
  <c r="F541" i="9"/>
  <c r="AJ538" i="9"/>
  <c r="BD535" i="9"/>
  <c r="BY532" i="9"/>
  <c r="W530" i="9"/>
  <c r="BA527" i="9"/>
  <c r="BD525" i="9"/>
  <c r="AV523" i="9"/>
  <c r="AV521" i="9"/>
  <c r="BI519" i="9"/>
  <c r="BG517" i="9"/>
  <c r="AL516" i="9"/>
  <c r="AH515" i="9"/>
  <c r="AM514" i="9"/>
  <c r="AJ513" i="9"/>
  <c r="AK512" i="9"/>
  <c r="AG511" i="9"/>
  <c r="AD510" i="9"/>
  <c r="AC509" i="9"/>
  <c r="AD508" i="9"/>
  <c r="AG507" i="9"/>
  <c r="AL506" i="9"/>
  <c r="AQ505" i="9"/>
  <c r="AT504" i="9"/>
  <c r="AO503" i="9"/>
  <c r="AS502" i="9"/>
  <c r="AV501" i="9"/>
  <c r="AK500" i="9"/>
  <c r="AM499" i="9"/>
  <c r="AM498" i="9"/>
  <c r="B543" i="9"/>
  <c r="AC540" i="9"/>
  <c r="BD537" i="9"/>
  <c r="BY534" i="9"/>
  <c r="U532" i="9"/>
  <c r="AS529" i="9"/>
  <c r="K527" i="9"/>
  <c r="K525" i="9"/>
  <c r="E523" i="9"/>
  <c r="K521" i="9"/>
  <c r="U519" i="9"/>
  <c r="AB517" i="9"/>
  <c r="L516" i="9"/>
  <c r="V541" i="9"/>
  <c r="BD538" i="9"/>
  <c r="C536" i="9"/>
  <c r="N533" i="9"/>
  <c r="AN530" i="9"/>
  <c r="BT527" i="9"/>
  <c r="BR525" i="9"/>
  <c r="BJ523" i="9"/>
  <c r="BO521" i="9"/>
  <c r="BT519" i="9"/>
  <c r="BS517" i="9"/>
  <c r="AT516" i="9"/>
  <c r="AP515" i="9"/>
  <c r="AS514" i="9"/>
  <c r="AQ513" i="9"/>
  <c r="AQ512" i="9"/>
  <c r="AM511" i="9"/>
  <c r="AL510" i="9"/>
  <c r="AI509" i="9"/>
  <c r="AJ508" i="9"/>
  <c r="AN507" i="9"/>
  <c r="AR506" i="9"/>
  <c r="AW505" i="9"/>
  <c r="BB504" i="9"/>
  <c r="AU503" i="9"/>
  <c r="AZ502" i="9"/>
  <c r="BD501" i="9"/>
  <c r="AQ500" i="9"/>
  <c r="AS499" i="9"/>
  <c r="AS498" i="9"/>
  <c r="AL497" i="9"/>
  <c r="AW543" i="9"/>
  <c r="BW540" i="9"/>
  <c r="AB538" i="9"/>
  <c r="AT535" i="9"/>
  <c r="BP532" i="9"/>
  <c r="N530" i="9"/>
  <c r="AS527" i="9"/>
  <c r="AT525" i="9"/>
  <c r="AP523" i="9"/>
  <c r="AP521" i="9"/>
  <c r="BA519" i="9"/>
  <c r="AZ517" i="9"/>
  <c r="AG516" i="9"/>
  <c r="AQ542" i="9"/>
  <c r="BX539" i="9"/>
  <c r="W537" i="9"/>
  <c r="AN534" i="9"/>
  <c r="BJ531" i="9"/>
  <c r="M529" i="9"/>
  <c r="BL526" i="9"/>
  <c r="BM524" i="9"/>
  <c r="BG522" i="9"/>
  <c r="BM520" i="9"/>
  <c r="BT518" i="9"/>
  <c r="M517" i="9"/>
  <c r="BY515" i="9"/>
  <c r="A515" i="9"/>
  <c r="F514" i="9"/>
  <c r="F513" i="9"/>
  <c r="B512" i="9"/>
  <c r="BS510" i="9"/>
  <c r="AM542" i="9"/>
  <c r="BT539" i="9"/>
  <c r="P537" i="9"/>
  <c r="AH534" i="9"/>
  <c r="BF531" i="9"/>
  <c r="G529" i="9"/>
  <c r="BI526" i="9"/>
  <c r="BJ524" i="9"/>
  <c r="BD522" i="9"/>
  <c r="BJ520" i="9"/>
  <c r="BQ518" i="9"/>
  <c r="L517" i="9"/>
  <c r="BX515" i="9"/>
  <c r="BY514" i="9"/>
  <c r="E514" i="9"/>
  <c r="E513" i="9"/>
  <c r="A512" i="9"/>
  <c r="BR510" i="9"/>
  <c r="BS509" i="9"/>
  <c r="BS508" i="9"/>
  <c r="A508" i="9"/>
  <c r="BY506" i="9"/>
  <c r="G506" i="9"/>
  <c r="I505" i="9"/>
  <c r="K504" i="9"/>
  <c r="H503" i="9"/>
  <c r="L502" i="9"/>
  <c r="F501" i="9"/>
  <c r="C500" i="9"/>
  <c r="B499" i="9"/>
  <c r="A498" i="9"/>
  <c r="AJ542" i="9"/>
  <c r="BP539" i="9"/>
  <c r="N537" i="9"/>
  <c r="AF534" i="9"/>
  <c r="AZ531" i="9"/>
  <c r="E529" i="9"/>
  <c r="BG526" i="9"/>
  <c r="BH524" i="9"/>
  <c r="AZ522" i="9"/>
  <c r="BH520" i="9"/>
  <c r="BO518" i="9"/>
  <c r="J517" i="9"/>
  <c r="BW515" i="9"/>
  <c r="BX514" i="9"/>
  <c r="D514" i="9"/>
  <c r="D513" i="9"/>
  <c r="BY511" i="9"/>
  <c r="BQ510" i="9"/>
  <c r="BR509" i="9"/>
  <c r="BR508" i="9"/>
  <c r="BY507" i="9"/>
  <c r="BX506" i="9"/>
  <c r="F506" i="9"/>
  <c r="H505" i="9"/>
  <c r="J504" i="9"/>
  <c r="G503" i="9"/>
  <c r="K502" i="9"/>
  <c r="E501" i="9"/>
  <c r="B500" i="9"/>
  <c r="A499" i="9"/>
  <c r="BX497" i="9"/>
  <c r="BX569" i="9"/>
  <c r="BL557" i="9"/>
  <c r="AV593" i="9"/>
  <c r="M589" i="9"/>
  <c r="BX570" i="9"/>
  <c r="W560" i="9"/>
  <c r="BY563" i="9"/>
  <c r="AA564" i="9"/>
  <c r="Q548" i="9"/>
  <c r="AO537" i="9"/>
  <c r="AC529" i="9"/>
  <c r="BD555" i="9"/>
  <c r="BF547" i="9"/>
  <c r="BI539" i="9"/>
  <c r="AQ531" i="9"/>
  <c r="W551" i="9"/>
  <c r="AA553" i="9"/>
  <c r="AO542" i="9"/>
  <c r="BI531" i="9"/>
  <c r="BF522" i="9"/>
  <c r="K553" i="9"/>
  <c r="AC542" i="9"/>
  <c r="AR531" i="9"/>
  <c r="BV522" i="9"/>
  <c r="AR520" i="9"/>
  <c r="BE517" i="9"/>
  <c r="AI553" i="9"/>
  <c r="M550" i="9"/>
  <c r="F546" i="9"/>
  <c r="BJ555" i="9"/>
  <c r="B552" i="9"/>
  <c r="B548" i="9"/>
  <c r="AI544" i="9"/>
  <c r="L541" i="9"/>
  <c r="AD537" i="9"/>
  <c r="BA533" i="9"/>
  <c r="AD530" i="9"/>
  <c r="BP526" i="9"/>
  <c r="N524" i="9"/>
  <c r="BD521" i="9"/>
  <c r="B519" i="9"/>
  <c r="AM516" i="9"/>
  <c r="BF553" i="9"/>
  <c r="O551" i="9"/>
  <c r="Z548" i="9"/>
  <c r="AR545" i="9"/>
  <c r="BG559" i="9"/>
  <c r="AR554" i="9"/>
  <c r="BD552" i="9"/>
  <c r="A551" i="9"/>
  <c r="R549" i="9"/>
  <c r="AN547" i="9"/>
  <c r="C546" i="9"/>
  <c r="BE544" i="9"/>
  <c r="AU557" i="9"/>
  <c r="BE554" i="9"/>
  <c r="AC553" i="9"/>
  <c r="H552" i="9"/>
  <c r="BL550" i="9"/>
  <c r="AD549" i="9"/>
  <c r="BU547" i="9"/>
  <c r="AU546" i="9"/>
  <c r="N545" i="9"/>
  <c r="BR543" i="9"/>
  <c r="AS542" i="9"/>
  <c r="S541" i="9"/>
  <c r="BY539" i="9"/>
  <c r="AZ538" i="9"/>
  <c r="Z537" i="9"/>
  <c r="BX535" i="9"/>
  <c r="AP534" i="9"/>
  <c r="L533" i="9"/>
  <c r="BK531" i="9"/>
  <c r="AL530" i="9"/>
  <c r="N529" i="9"/>
  <c r="BP527" i="9"/>
  <c r="BM526" i="9"/>
  <c r="BP525" i="9"/>
  <c r="BN524" i="9"/>
  <c r="BH523" i="9"/>
  <c r="BH522" i="9"/>
  <c r="BK521" i="9"/>
  <c r="BN520" i="9"/>
  <c r="BR519" i="9"/>
  <c r="BX518" i="9"/>
  <c r="BQ517" i="9"/>
  <c r="C517" i="9"/>
  <c r="AE543" i="9"/>
  <c r="BE540" i="9"/>
  <c r="K538" i="9"/>
  <c r="AF535" i="9"/>
  <c r="AW532" i="9"/>
  <c r="BY529" i="9"/>
  <c r="AH527" i="9"/>
  <c r="AI525" i="9"/>
  <c r="AD523" i="9"/>
  <c r="AE521" i="9"/>
  <c r="AP519" i="9"/>
  <c r="AP517" i="9"/>
  <c r="Z516" i="9"/>
  <c r="Z515" i="9"/>
  <c r="AD514" i="9"/>
  <c r="AB513" i="9"/>
  <c r="AC512" i="9"/>
  <c r="V511" i="9"/>
  <c r="T510" i="9"/>
  <c r="S509" i="9"/>
  <c r="V508" i="9"/>
  <c r="W507" i="9"/>
  <c r="AD506" i="9"/>
  <c r="AH505" i="9"/>
  <c r="AL504" i="9"/>
  <c r="AG503" i="9"/>
  <c r="AJ502" i="9"/>
  <c r="AN501" i="9"/>
  <c r="AC500" i="9"/>
  <c r="AC499" i="9"/>
  <c r="AA498" i="9"/>
  <c r="AW542" i="9"/>
  <c r="F540" i="9"/>
  <c r="AF537" i="9"/>
  <c r="AT534" i="9"/>
  <c r="BS531" i="9"/>
  <c r="U529" i="9"/>
  <c r="BQ526" i="9"/>
  <c r="BR524" i="9"/>
  <c r="BL522" i="9"/>
  <c r="BR520" i="9"/>
  <c r="C519" i="9"/>
  <c r="Q517" i="9"/>
  <c r="BG543" i="9"/>
  <c r="BY540" i="9"/>
  <c r="AC538" i="9"/>
  <c r="AU535" i="9"/>
  <c r="BR532" i="9"/>
  <c r="O530" i="9"/>
  <c r="AT527" i="9"/>
  <c r="AU525" i="9"/>
  <c r="AQ523" i="9"/>
  <c r="AQ521" i="9"/>
  <c r="BD519" i="9"/>
  <c r="BA517" i="9"/>
  <c r="AH516" i="9"/>
  <c r="AF515" i="9"/>
  <c r="AJ514" i="9"/>
  <c r="AH513" i="9"/>
  <c r="AI512" i="9"/>
  <c r="AE511" i="9"/>
  <c r="AB510" i="9"/>
  <c r="AA509" i="9"/>
  <c r="AB508" i="9"/>
  <c r="AE507" i="9"/>
  <c r="AJ506" i="9"/>
  <c r="AO505" i="9"/>
  <c r="AR504" i="9"/>
  <c r="AM503" i="9"/>
  <c r="AQ502" i="9"/>
  <c r="AT501" i="9"/>
  <c r="AI500" i="9"/>
  <c r="AI499" i="9"/>
  <c r="AJ498" i="9"/>
  <c r="R497" i="9"/>
  <c r="U543" i="9"/>
  <c r="AT540" i="9"/>
  <c r="B538" i="9"/>
  <c r="V535" i="9"/>
  <c r="AO532" i="9"/>
  <c r="BP529" i="9"/>
  <c r="AB527" i="9"/>
  <c r="AC525" i="9"/>
  <c r="V523" i="9"/>
  <c r="Y521" i="9"/>
  <c r="AI519" i="9"/>
  <c r="AJ517" i="9"/>
  <c r="U516" i="9"/>
  <c r="S542" i="9"/>
  <c r="AZ539" i="9"/>
  <c r="BT536" i="9"/>
  <c r="M534" i="9"/>
  <c r="AI531" i="9"/>
  <c r="BM528" i="9"/>
  <c r="AS526" i="9"/>
  <c r="AT524" i="9"/>
  <c r="AN522" i="9"/>
  <c r="AT520" i="9"/>
  <c r="AW518" i="9"/>
  <c r="B517" i="9"/>
  <c r="BP515" i="9"/>
  <c r="BR514" i="9"/>
  <c r="BU513" i="9"/>
  <c r="BW512" i="9"/>
  <c r="BP511" i="9"/>
  <c r="BK510" i="9"/>
  <c r="M542" i="9"/>
  <c r="AU539" i="9"/>
  <c r="BQ536" i="9"/>
  <c r="F534" i="9"/>
  <c r="AE531" i="9"/>
  <c r="BJ528" i="9"/>
  <c r="AP526" i="9"/>
  <c r="AQ524" i="9"/>
  <c r="AJ522" i="9"/>
  <c r="AQ520" i="9"/>
  <c r="AT518" i="9"/>
  <c r="A517" i="9"/>
  <c r="BO515" i="9"/>
  <c r="BQ514" i="9"/>
  <c r="BT513" i="9"/>
  <c r="BT512" i="9"/>
  <c r="BO511" i="9"/>
  <c r="BJ510" i="9"/>
  <c r="BK509" i="9"/>
  <c r="BK508" i="9"/>
  <c r="BR507" i="9"/>
  <c r="BO506" i="9"/>
  <c r="BV505" i="9"/>
  <c r="A505" i="9"/>
  <c r="A504" i="9"/>
  <c r="BY502" i="9"/>
  <c r="D502" i="9"/>
  <c r="BT500" i="9"/>
  <c r="BR499" i="9"/>
  <c r="BS498" i="9"/>
  <c r="BP497" i="9"/>
  <c r="K542" i="9"/>
  <c r="AS539" i="9"/>
  <c r="BM536" i="9"/>
  <c r="D534" i="9"/>
  <c r="AC531" i="9"/>
  <c r="BE528" i="9"/>
  <c r="AN526" i="9"/>
  <c r="AO524" i="9"/>
  <c r="AH522" i="9"/>
  <c r="AO520" i="9"/>
  <c r="AR518" i="9"/>
  <c r="BY516" i="9"/>
  <c r="BN515" i="9"/>
  <c r="BP514" i="9"/>
  <c r="BS513" i="9"/>
  <c r="BS512" i="9"/>
  <c r="BN511" i="9"/>
  <c r="BI510" i="9"/>
  <c r="BI509" i="9"/>
  <c r="BI508" i="9"/>
  <c r="BQ507" i="9"/>
  <c r="BN506" i="9"/>
  <c r="BU505" i="9"/>
  <c r="BY504" i="9"/>
  <c r="BY503" i="9"/>
  <c r="BX502" i="9"/>
  <c r="C502" i="9"/>
  <c r="BS500" i="9"/>
  <c r="BQ499" i="9"/>
  <c r="BR498" i="9"/>
  <c r="BO497" i="9"/>
  <c r="A559" i="9"/>
  <c r="C547" i="9"/>
  <c r="F552" i="9"/>
  <c r="F520" i="9"/>
  <c r="BX543" i="9"/>
  <c r="BP518" i="9"/>
  <c r="AF552" i="9"/>
  <c r="P553" i="9"/>
  <c r="AF542" i="9"/>
  <c r="AV531" i="9"/>
  <c r="AW522" i="9"/>
  <c r="AF540" i="9"/>
  <c r="N521" i="9"/>
  <c r="K511" i="9"/>
  <c r="V503" i="9"/>
  <c r="AA541" i="9"/>
  <c r="AP530" i="9"/>
  <c r="BQ521" i="9"/>
  <c r="BU516" i="9"/>
  <c r="Y540" i="9"/>
  <c r="BT534" i="9"/>
  <c r="AQ529" i="9"/>
  <c r="I525" i="9"/>
  <c r="I521" i="9"/>
  <c r="Z517" i="9"/>
  <c r="M515" i="9"/>
  <c r="P513" i="9"/>
  <c r="F511" i="9"/>
  <c r="I509" i="9"/>
  <c r="K507" i="9"/>
  <c r="W505" i="9"/>
  <c r="T503" i="9"/>
  <c r="W501" i="9"/>
  <c r="O499" i="9"/>
  <c r="BY496" i="9"/>
  <c r="B540" i="9"/>
  <c r="AQ534" i="9"/>
  <c r="O529" i="9"/>
  <c r="BO524" i="9"/>
  <c r="BO520" i="9"/>
  <c r="O517" i="9"/>
  <c r="AP541" i="9"/>
  <c r="W536" i="9"/>
  <c r="BJ530" i="9"/>
  <c r="H526" i="9"/>
  <c r="E522" i="9"/>
  <c r="L518" i="9"/>
  <c r="AV515" i="9"/>
  <c r="AW513" i="9"/>
  <c r="AS511" i="9"/>
  <c r="AL541" i="9"/>
  <c r="P536" i="9"/>
  <c r="BF530" i="9"/>
  <c r="D526" i="9"/>
  <c r="B522" i="9"/>
  <c r="F518" i="9"/>
  <c r="AU515" i="9"/>
  <c r="AV513" i="9"/>
  <c r="AR511" i="9"/>
  <c r="AQ509" i="9"/>
  <c r="AU507" i="9"/>
  <c r="BE505" i="9"/>
  <c r="BC503" i="9"/>
  <c r="BJ501" i="9"/>
  <c r="AZ499" i="9"/>
  <c r="AQ497" i="9"/>
  <c r="BS538" i="9"/>
  <c r="AB533" i="9"/>
  <c r="F528" i="9"/>
  <c r="BR523" i="9"/>
  <c r="C520" i="9"/>
  <c r="AZ516" i="9"/>
  <c r="AW514" i="9"/>
  <c r="AU512" i="9"/>
  <c r="AP510" i="9"/>
  <c r="AN508" i="9"/>
  <c r="AV506" i="9"/>
  <c r="BG504" i="9"/>
  <c r="BF502" i="9"/>
  <c r="AV500" i="9"/>
  <c r="AW498" i="9"/>
  <c r="BL496" i="9"/>
  <c r="AZ532" i="9"/>
  <c r="AB516" i="9"/>
  <c r="AI513" i="9"/>
  <c r="BC510" i="9"/>
  <c r="AS508" i="9"/>
  <c r="BA506" i="9"/>
  <c r="BL504" i="9"/>
  <c r="BK502" i="9"/>
  <c r="BG500" i="9"/>
  <c r="BE498" i="9"/>
  <c r="BM496" i="9"/>
  <c r="BG495" i="9"/>
  <c r="BF494" i="9"/>
  <c r="BL493" i="9"/>
  <c r="BM492" i="9"/>
  <c r="BH491" i="9"/>
  <c r="BJ490" i="9"/>
  <c r="BH489" i="9"/>
  <c r="BL488" i="9"/>
  <c r="BQ487" i="9"/>
  <c r="BQ486" i="9"/>
  <c r="BO485" i="9"/>
  <c r="AU484" i="9"/>
  <c r="AW483" i="9"/>
  <c r="BH482" i="9"/>
  <c r="BJ481" i="9"/>
  <c r="BL480" i="9"/>
  <c r="BK479" i="9"/>
  <c r="BF478" i="9"/>
  <c r="BL477" i="9"/>
  <c r="BK476" i="9"/>
  <c r="H535" i="9"/>
  <c r="AE517" i="9"/>
  <c r="BH513" i="9"/>
  <c r="BX510" i="9"/>
  <c r="BM508" i="9"/>
  <c r="BQ506" i="9"/>
  <c r="C505" i="9"/>
  <c r="B503" i="9"/>
  <c r="BX500" i="9"/>
  <c r="BU498" i="9"/>
  <c r="BW496" i="9"/>
  <c r="BP495" i="9"/>
  <c r="BP494" i="9"/>
  <c r="BS493" i="9"/>
  <c r="BT492" i="9"/>
  <c r="BS491" i="9"/>
  <c r="BR490" i="9"/>
  <c r="BS489" i="9"/>
  <c r="BS488" i="9"/>
  <c r="AB529" i="9"/>
  <c r="BA515" i="9"/>
  <c r="G513" i="9"/>
  <c r="Z510" i="9"/>
  <c r="Z508" i="9"/>
  <c r="AH506" i="9"/>
  <c r="AP504" i="9"/>
  <c r="AO502" i="9"/>
  <c r="AG500" i="9"/>
  <c r="AG498" i="9"/>
  <c r="AV496" i="9"/>
  <c r="AR495" i="9"/>
  <c r="AS494" i="9"/>
  <c r="BA493" i="9"/>
  <c r="AU492" i="9"/>
  <c r="AS491" i="9"/>
  <c r="AW490" i="9"/>
  <c r="AS489" i="9"/>
  <c r="BO539" i="9"/>
  <c r="BG520" i="9"/>
  <c r="AC514" i="9"/>
  <c r="AT511" i="9"/>
  <c r="U509" i="9"/>
  <c r="Z507" i="9"/>
  <c r="AI505" i="9"/>
  <c r="AH503" i="9"/>
  <c r="AO501" i="9"/>
  <c r="AD499" i="9"/>
  <c r="W497" i="9"/>
  <c r="G496" i="9"/>
  <c r="G495" i="9"/>
  <c r="I494" i="9"/>
  <c r="M493" i="9"/>
  <c r="J492" i="9"/>
  <c r="I491" i="9"/>
  <c r="J490" i="9"/>
  <c r="H489" i="9"/>
  <c r="N488" i="9"/>
  <c r="P487" i="9"/>
  <c r="N486" i="9"/>
  <c r="A485" i="9"/>
  <c r="BW483" i="9"/>
  <c r="D483" i="9"/>
  <c r="H482" i="9"/>
  <c r="J481" i="9"/>
  <c r="K480" i="9"/>
  <c r="F479" i="9"/>
  <c r="K478" i="9"/>
  <c r="J477" i="9"/>
  <c r="M476" i="9"/>
  <c r="BL536" i="9"/>
  <c r="AQ518" i="9"/>
  <c r="A514" i="9"/>
  <c r="R511" i="9"/>
  <c r="A509" i="9"/>
  <c r="D507" i="9"/>
  <c r="M505" i="9"/>
  <c r="L503" i="9"/>
  <c r="K501" i="9"/>
  <c r="F499" i="9"/>
  <c r="E497" i="9"/>
  <c r="BW495" i="9"/>
  <c r="BW494" i="9"/>
  <c r="BY493" i="9"/>
  <c r="C493" i="9"/>
  <c r="BY491" i="9"/>
  <c r="BX490" i="9"/>
  <c r="A490" i="9"/>
  <c r="BX488" i="9"/>
  <c r="E488" i="9"/>
  <c r="F487" i="9"/>
  <c r="D486" i="9"/>
  <c r="BP484" i="9"/>
  <c r="BL483" i="9"/>
  <c r="BT482" i="9"/>
  <c r="BW481" i="9"/>
  <c r="A481" i="9"/>
  <c r="A480" i="9"/>
  <c r="BT478" i="9"/>
  <c r="B478" i="9"/>
  <c r="BY476" i="9"/>
  <c r="AV533" i="9"/>
  <c r="BL516" i="9"/>
  <c r="AR513" i="9"/>
  <c r="BL510" i="9"/>
  <c r="AY508" i="9"/>
  <c r="BI506" i="9"/>
  <c r="BR504" i="9"/>
  <c r="BR502" i="9"/>
  <c r="BN500" i="9"/>
  <c r="BL498" i="9"/>
  <c r="BQ496" i="9"/>
  <c r="BK495" i="9"/>
  <c r="AS589" i="9"/>
  <c r="AN536" i="9"/>
  <c r="Q541" i="9"/>
  <c r="AV517" i="9"/>
  <c r="AL540" i="9"/>
  <c r="J516" i="9"/>
  <c r="BM550" i="9"/>
  <c r="BV551" i="9"/>
  <c r="I541" i="9"/>
  <c r="X530" i="9"/>
  <c r="AW521" i="9"/>
  <c r="BL537" i="9"/>
  <c r="X519" i="9"/>
  <c r="I510" i="9"/>
  <c r="AB502" i="9"/>
  <c r="BH539" i="9"/>
  <c r="BU528" i="9"/>
  <c r="BA520" i="9"/>
  <c r="BI516" i="9"/>
  <c r="D540" i="9"/>
  <c r="AR534" i="9"/>
  <c r="P529" i="9"/>
  <c r="BP524" i="9"/>
  <c r="BP520" i="9"/>
  <c r="P517" i="9"/>
  <c r="C515" i="9"/>
  <c r="H513" i="9"/>
  <c r="BU510" i="9"/>
  <c r="BX508" i="9"/>
  <c r="C507" i="9"/>
  <c r="L505" i="9"/>
  <c r="K503" i="9"/>
  <c r="J501" i="9"/>
  <c r="E499" i="9"/>
  <c r="BP496" i="9"/>
  <c r="BE539" i="9"/>
  <c r="O534" i="9"/>
  <c r="BQ528" i="9"/>
  <c r="AV524" i="9"/>
  <c r="AV520" i="9"/>
  <c r="D517" i="9"/>
  <c r="R541" i="9"/>
  <c r="BT535" i="9"/>
  <c r="AI530" i="9"/>
  <c r="BO525" i="9"/>
  <c r="BJ521" i="9"/>
  <c r="BP517" i="9"/>
  <c r="AN515" i="9"/>
  <c r="AO513" i="9"/>
  <c r="AK511" i="9"/>
  <c r="M541" i="9"/>
  <c r="BQ535" i="9"/>
  <c r="AE530" i="9"/>
  <c r="BJ525" i="9"/>
  <c r="BE521" i="9"/>
  <c r="BM517" i="9"/>
  <c r="AM515" i="9"/>
  <c r="AN513" i="9"/>
  <c r="AJ511" i="9"/>
  <c r="AF509" i="9"/>
  <c r="AJ507" i="9"/>
  <c r="AT505" i="9"/>
  <c r="AR503" i="9"/>
  <c r="BA501" i="9"/>
  <c r="AP499" i="9"/>
  <c r="AC497" i="9"/>
  <c r="AP538" i="9"/>
  <c r="D533" i="9"/>
  <c r="BH527" i="9"/>
  <c r="BA523" i="9"/>
  <c r="BL519" i="9"/>
  <c r="AO516" i="9"/>
  <c r="AO514" i="9"/>
  <c r="AM512" i="9"/>
  <c r="AF510" i="9"/>
  <c r="AF508" i="9"/>
  <c r="AN506" i="9"/>
  <c r="AV504" i="9"/>
  <c r="AU502" i="9"/>
  <c r="AM500" i="9"/>
  <c r="AO498" i="9"/>
  <c r="BC496" i="9"/>
  <c r="C530" i="9"/>
  <c r="BH515" i="9"/>
  <c r="K513" i="9"/>
  <c r="AC510" i="9"/>
  <c r="AC508" i="9"/>
  <c r="AK506" i="9"/>
  <c r="AS504" i="9"/>
  <c r="AR502" i="9"/>
  <c r="AJ500" i="9"/>
  <c r="AL498" i="9"/>
  <c r="BA496" i="9"/>
  <c r="AT495" i="9"/>
  <c r="AU494" i="9"/>
  <c r="BC493" i="9"/>
  <c r="AW492" i="9"/>
  <c r="AU491" i="9"/>
  <c r="AZ490" i="9"/>
  <c r="AU489" i="9"/>
  <c r="BD488" i="9"/>
  <c r="BH487" i="9"/>
  <c r="BF486" i="9"/>
  <c r="BD485" i="9"/>
  <c r="AM484" i="9"/>
  <c r="AO483" i="9"/>
  <c r="AW482" i="9"/>
  <c r="AZ481" i="9"/>
  <c r="BC480" i="9"/>
  <c r="AV479" i="9"/>
  <c r="AW478" i="9"/>
  <c r="AW477" i="9"/>
  <c r="BB476" i="9"/>
  <c r="AC532" i="9"/>
  <c r="N516" i="9"/>
  <c r="AG513" i="9"/>
  <c r="AW510" i="9"/>
  <c r="AQ508" i="9"/>
  <c r="AY506" i="9"/>
  <c r="BJ504" i="9"/>
  <c r="BI502" i="9"/>
  <c r="BC500" i="9"/>
  <c r="BA498" i="9"/>
  <c r="BK496" i="9"/>
  <c r="BD495" i="9"/>
  <c r="BE494" i="9"/>
  <c r="BK493" i="9"/>
  <c r="BL492" i="9"/>
  <c r="BF491" i="9"/>
  <c r="BI490" i="9"/>
  <c r="BF489" i="9"/>
  <c r="BK488" i="9"/>
  <c r="BX526" i="9"/>
  <c r="AA515" i="9"/>
  <c r="BC512" i="9"/>
  <c r="D510" i="9"/>
  <c r="J508" i="9"/>
  <c r="P506" i="9"/>
  <c r="V504" i="9"/>
  <c r="W502" i="9"/>
  <c r="M500" i="9"/>
  <c r="J498" i="9"/>
  <c r="AL496" i="9"/>
  <c r="AJ495" i="9"/>
  <c r="AK494" i="9"/>
  <c r="AQ493" i="9"/>
  <c r="AM492" i="9"/>
  <c r="AJ491" i="9"/>
  <c r="AO490" i="9"/>
  <c r="AJ489" i="9"/>
  <c r="M537" i="9"/>
  <c r="BN518" i="9"/>
  <c r="C514" i="9"/>
  <c r="U511" i="9"/>
  <c r="C509" i="9"/>
  <c r="F507" i="9"/>
  <c r="O505" i="9"/>
  <c r="O503" i="9"/>
  <c r="M501" i="9"/>
  <c r="J499" i="9"/>
  <c r="F497" i="9"/>
  <c r="BX495" i="9"/>
  <c r="BX494" i="9"/>
  <c r="A494" i="9"/>
  <c r="D493" i="9"/>
  <c r="A492" i="9"/>
  <c r="BY490" i="9"/>
  <c r="B490" i="9"/>
  <c r="BY488" i="9"/>
  <c r="F488" i="9"/>
  <c r="H487" i="9"/>
  <c r="E486" i="9"/>
  <c r="BQ484" i="9"/>
  <c r="BM483" i="9"/>
  <c r="BU482" i="9"/>
  <c r="BX481" i="9"/>
  <c r="B481" i="9"/>
  <c r="B480" i="9"/>
  <c r="BW478" i="9"/>
  <c r="C478" i="9"/>
  <c r="A477" i="9"/>
  <c r="D476" i="9"/>
  <c r="C534" i="9"/>
  <c r="BX516" i="9"/>
  <c r="AT513" i="9"/>
  <c r="BN510" i="9"/>
  <c r="BC508" i="9"/>
  <c r="BK506" i="9"/>
  <c r="BT504" i="9"/>
  <c r="BT502" i="9"/>
  <c r="BP500" i="9"/>
  <c r="BO498" i="9"/>
  <c r="BR496" i="9"/>
  <c r="BL495" i="9"/>
  <c r="BM494" i="9"/>
  <c r="BP493" i="9"/>
  <c r="BQ492" i="9"/>
  <c r="BP491" i="9"/>
  <c r="BO490" i="9"/>
  <c r="BP489" i="9"/>
  <c r="BP488" i="9"/>
  <c r="BU487" i="9"/>
  <c r="BU486" i="9"/>
  <c r="BS485" i="9"/>
  <c r="BA484" i="9"/>
  <c r="BC483" i="9"/>
  <c r="BL482" i="9"/>
  <c r="BO481" i="9"/>
  <c r="BP480" i="9"/>
  <c r="BP479" i="9"/>
  <c r="BK478" i="9"/>
  <c r="BR477" i="9"/>
  <c r="BO476" i="9"/>
  <c r="A531" i="9"/>
  <c r="BS515" i="9"/>
  <c r="S513" i="9"/>
  <c r="AM510" i="9"/>
  <c r="AI508" i="9"/>
  <c r="AQ506" i="9"/>
  <c r="BA504" i="9"/>
  <c r="AY502" i="9"/>
  <c r="AP500" i="9"/>
  <c r="AR498" i="9"/>
  <c r="BF496" i="9"/>
  <c r="AW495" i="9"/>
  <c r="AZ494" i="9"/>
  <c r="BG493" i="9"/>
  <c r="BC492" i="9"/>
  <c r="AZ491" i="9"/>
  <c r="BE490" i="9"/>
  <c r="AZ489" i="9"/>
  <c r="BG488" i="9"/>
  <c r="BK487" i="9"/>
  <c r="BJ486" i="9"/>
  <c r="BH485" i="9"/>
  <c r="AP484" i="9"/>
  <c r="AR483" i="9"/>
  <c r="BB482" i="9"/>
  <c r="BE481" i="9"/>
  <c r="BG480" i="9"/>
  <c r="BA479" i="9"/>
  <c r="AZ478" i="9"/>
  <c r="BD477" i="9"/>
  <c r="BQ523" i="9"/>
  <c r="BO514" i="9"/>
  <c r="P512" i="9"/>
  <c r="BA509" i="9"/>
  <c r="BI507" i="9"/>
  <c r="AR582" i="9"/>
  <c r="AE528" i="9"/>
  <c r="AG530" i="9"/>
  <c r="BX552" i="9"/>
  <c r="O537" i="9"/>
  <c r="G553" i="9"/>
  <c r="BQ548" i="9"/>
  <c r="AU550" i="9"/>
  <c r="BN539" i="9"/>
  <c r="C529" i="9"/>
  <c r="BF520" i="9"/>
  <c r="D535" i="9"/>
  <c r="AC517" i="9"/>
  <c r="K509" i="9"/>
  <c r="Z501" i="9"/>
  <c r="BF538" i="9"/>
  <c r="BV527" i="9"/>
  <c r="BV519" i="9"/>
  <c r="AV516" i="9"/>
  <c r="BF539" i="9"/>
  <c r="P534" i="9"/>
  <c r="BS528" i="9"/>
  <c r="AW524" i="9"/>
  <c r="AW520" i="9"/>
  <c r="E517" i="9"/>
  <c r="BT514" i="9"/>
  <c r="BY512" i="9"/>
  <c r="BM510" i="9"/>
  <c r="BN508" i="9"/>
  <c r="BR506" i="9"/>
  <c r="D505" i="9"/>
  <c r="C503" i="9"/>
  <c r="A501" i="9"/>
  <c r="BV498" i="9"/>
  <c r="BH496" i="9"/>
  <c r="AC539" i="9"/>
  <c r="BP533" i="9"/>
  <c r="AP528" i="9"/>
  <c r="Z524" i="9"/>
  <c r="AD520" i="9"/>
  <c r="BR516" i="9"/>
  <c r="BR540" i="9"/>
  <c r="AQ535" i="9"/>
  <c r="L530" i="9"/>
  <c r="AR525" i="9"/>
  <c r="AN521" i="9"/>
  <c r="AX517" i="9"/>
  <c r="AD515" i="9"/>
  <c r="AF513" i="9"/>
  <c r="AC511" i="9"/>
  <c r="BO540" i="9"/>
  <c r="AM535" i="9"/>
  <c r="F530" i="9"/>
  <c r="AO525" i="9"/>
  <c r="AJ521" i="9"/>
  <c r="AU517" i="9"/>
  <c r="AC515" i="9"/>
  <c r="AE513" i="9"/>
  <c r="AB511" i="9"/>
  <c r="W509" i="9"/>
  <c r="AB507" i="9"/>
  <c r="AL505" i="9"/>
  <c r="AJ503" i="9"/>
  <c r="AQ501" i="9"/>
  <c r="AF499" i="9"/>
  <c r="AM543" i="9"/>
  <c r="O538" i="9"/>
  <c r="BA532" i="9"/>
  <c r="AL527" i="9"/>
  <c r="AG523" i="9"/>
  <c r="AS519" i="9"/>
  <c r="AC516" i="9"/>
  <c r="AF514" i="9"/>
  <c r="AE512" i="9"/>
  <c r="V510" i="9"/>
  <c r="X508" i="9"/>
  <c r="AF506" i="9"/>
  <c r="AN504" i="9"/>
  <c r="AM502" i="9"/>
  <c r="AE500" i="9"/>
  <c r="AC498" i="9"/>
  <c r="AS496" i="9"/>
  <c r="AJ527" i="9"/>
  <c r="AG515" i="9"/>
  <c r="BN512" i="9"/>
  <c r="H510" i="9"/>
  <c r="M508" i="9"/>
  <c r="T506" i="9"/>
  <c r="AA504" i="9"/>
  <c r="AA502" i="9"/>
  <c r="P500" i="9"/>
  <c r="M498" i="9"/>
  <c r="AN496" i="9"/>
  <c r="AL495" i="9"/>
  <c r="AM494" i="9"/>
  <c r="AS493" i="9"/>
  <c r="AO492" i="9"/>
  <c r="AM491" i="9"/>
  <c r="AQ490" i="9"/>
  <c r="AM489" i="9"/>
  <c r="AS488" i="9"/>
  <c r="AW487" i="9"/>
  <c r="AT486" i="9"/>
  <c r="AR485" i="9"/>
  <c r="AD484" i="9"/>
  <c r="AG483" i="9"/>
  <c r="AO482" i="9"/>
  <c r="AQ481" i="9"/>
  <c r="AS480" i="9"/>
  <c r="AL479" i="9"/>
  <c r="AO478" i="9"/>
  <c r="AO477" i="9"/>
  <c r="AR476" i="9"/>
  <c r="BA529" i="9"/>
  <c r="BC515" i="9"/>
  <c r="I513" i="9"/>
  <c r="AA510" i="9"/>
  <c r="AA508" i="9"/>
  <c r="AI506" i="9"/>
  <c r="AQ504" i="9"/>
  <c r="AP502" i="9"/>
  <c r="AH500" i="9"/>
  <c r="AI498" i="9"/>
  <c r="AZ496" i="9"/>
  <c r="AS495" i="9"/>
  <c r="AT494" i="9"/>
  <c r="BB493" i="9"/>
  <c r="AV492" i="9"/>
  <c r="AT491" i="9"/>
  <c r="AY490" i="9"/>
  <c r="AT489" i="9"/>
  <c r="BA488" i="9"/>
  <c r="BX524" i="9"/>
  <c r="B515" i="9"/>
  <c r="AD512" i="9"/>
  <c r="BL509" i="9"/>
  <c r="BS507" i="9"/>
  <c r="BY505" i="9"/>
  <c r="B504" i="9"/>
  <c r="E502" i="9"/>
  <c r="BS499" i="9"/>
  <c r="BQ497" i="9"/>
  <c r="AA496" i="9"/>
  <c r="AB495" i="9"/>
  <c r="AC494" i="9"/>
  <c r="AG493" i="9"/>
  <c r="AE492" i="9"/>
  <c r="AB491" i="9"/>
  <c r="AF490" i="9"/>
  <c r="AB489" i="9"/>
  <c r="AD534" i="9"/>
  <c r="I517" i="9"/>
  <c r="AZ513" i="9"/>
  <c r="BP510" i="9"/>
  <c r="BF508" i="9"/>
  <c r="BM506" i="9"/>
  <c r="BX504" i="9"/>
  <c r="BV502" i="9"/>
  <c r="BR500" i="9"/>
  <c r="BQ498" i="9"/>
  <c r="BS496" i="9"/>
  <c r="BN495" i="9"/>
  <c r="BN494" i="9"/>
  <c r="BQ493" i="9"/>
  <c r="BR492" i="9"/>
  <c r="BQ491" i="9"/>
  <c r="BP490" i="9"/>
  <c r="BQ489" i="9"/>
  <c r="BQ488" i="9"/>
  <c r="BW487" i="9"/>
  <c r="BV486" i="9"/>
  <c r="BT485" i="9"/>
  <c r="BD484" i="9"/>
  <c r="BD483" i="9"/>
  <c r="BM482" i="9"/>
  <c r="BP481" i="9"/>
  <c r="BQ480" i="9"/>
  <c r="BQ479" i="9"/>
  <c r="BL478" i="9"/>
  <c r="BS477" i="9"/>
  <c r="BP476" i="9"/>
  <c r="BS475" i="9"/>
  <c r="AA531" i="9"/>
  <c r="BU515" i="9"/>
  <c r="X513" i="9"/>
  <c r="AO510" i="9"/>
  <c r="AK508" i="9"/>
  <c r="AS506" i="9"/>
  <c r="BC504" i="9"/>
  <c r="BA502" i="9"/>
  <c r="AR500" i="9"/>
  <c r="AT498" i="9"/>
  <c r="BG496" i="9"/>
  <c r="AX495" i="9"/>
  <c r="BA494" i="9"/>
  <c r="BH493" i="9"/>
  <c r="BD492" i="9"/>
  <c r="BA491" i="9"/>
  <c r="BF490" i="9"/>
  <c r="BA489" i="9"/>
  <c r="BH488" i="9"/>
  <c r="BL487" i="9"/>
  <c r="BK486" i="9"/>
  <c r="BI485" i="9"/>
  <c r="AQ484" i="9"/>
  <c r="AS483" i="9"/>
  <c r="BC482" i="9"/>
  <c r="BF481" i="9"/>
  <c r="BH480" i="9"/>
  <c r="BD479" i="9"/>
  <c r="BA478" i="9"/>
  <c r="BE477" i="9"/>
  <c r="BG476" i="9"/>
  <c r="AD528" i="9"/>
  <c r="AQ515" i="9"/>
  <c r="BX512" i="9"/>
  <c r="O510" i="9"/>
  <c r="S508" i="9"/>
  <c r="AA506" i="9"/>
  <c r="AG504" i="9"/>
  <c r="AG502" i="9"/>
  <c r="X500" i="9"/>
  <c r="W498" i="9"/>
  <c r="AR496" i="9"/>
  <c r="AO495" i="9"/>
  <c r="AP494" i="9"/>
  <c r="AV493" i="9"/>
  <c r="AR492" i="9"/>
  <c r="AP491" i="9"/>
  <c r="AT490" i="9"/>
  <c r="AP489" i="9"/>
  <c r="AV488" i="9"/>
  <c r="BB487" i="9"/>
  <c r="AW486" i="9"/>
  <c r="AU485" i="9"/>
  <c r="AG484" i="9"/>
  <c r="AJ483" i="9"/>
  <c r="AR482" i="9"/>
  <c r="AT481" i="9"/>
  <c r="AV480" i="9"/>
  <c r="AQ479" i="9"/>
  <c r="AR478" i="9"/>
  <c r="AG541" i="9"/>
  <c r="BV521" i="9"/>
  <c r="AR514" i="9"/>
  <c r="BL511" i="9"/>
  <c r="AG509" i="9"/>
  <c r="AL507" i="9"/>
  <c r="Z580" i="9"/>
  <c r="BG554" i="9"/>
  <c r="BH521" i="9"/>
  <c r="AJ549" i="9"/>
  <c r="P533" i="9"/>
  <c r="AM550" i="9"/>
  <c r="AA547" i="9"/>
  <c r="P549" i="9"/>
  <c r="AL538" i="9"/>
  <c r="BD527" i="9"/>
  <c r="BJ519" i="9"/>
  <c r="Z532" i="9"/>
  <c r="M516" i="9"/>
  <c r="N508" i="9"/>
  <c r="R500" i="9"/>
  <c r="D537" i="9"/>
  <c r="AZ526" i="9"/>
  <c r="BG518" i="9"/>
  <c r="V543" i="9"/>
  <c r="D538" i="9"/>
  <c r="AP532" i="9"/>
  <c r="AC527" i="9"/>
  <c r="W523" i="9"/>
  <c r="AJ519" i="9"/>
  <c r="V516" i="9"/>
  <c r="AB514" i="9"/>
  <c r="AA512" i="9"/>
  <c r="P510" i="9"/>
  <c r="T508" i="9"/>
  <c r="AB506" i="9"/>
  <c r="AH504" i="9"/>
  <c r="AH502" i="9"/>
  <c r="Z500" i="9"/>
  <c r="X498" i="9"/>
  <c r="BV542" i="9"/>
  <c r="BA537" i="9"/>
  <c r="N532" i="9"/>
  <c r="G527" i="9"/>
  <c r="B523" i="9"/>
  <c r="Q519" i="9"/>
  <c r="I516" i="9"/>
  <c r="AA539" i="9"/>
  <c r="BK533" i="9"/>
  <c r="AM528" i="9"/>
  <c r="R524" i="9"/>
  <c r="AB520" i="9"/>
  <c r="BQ516" i="9"/>
  <c r="BJ514" i="9"/>
  <c r="BM512" i="9"/>
  <c r="BB510" i="9"/>
  <c r="U539" i="9"/>
  <c r="BE533" i="9"/>
  <c r="AH528" i="9"/>
  <c r="O524" i="9"/>
  <c r="X520" i="9"/>
  <c r="BP516" i="9"/>
  <c r="BI514" i="9"/>
  <c r="BL512" i="9"/>
  <c r="BA510" i="9"/>
  <c r="AW508" i="9"/>
  <c r="BF506" i="9"/>
  <c r="BP504" i="9"/>
  <c r="BP502" i="9"/>
  <c r="BK500" i="9"/>
  <c r="BI498" i="9"/>
  <c r="BI541" i="9"/>
  <c r="AO536" i="9"/>
  <c r="B531" i="9"/>
  <c r="T526" i="9"/>
  <c r="P522" i="9"/>
  <c r="AB518" i="9"/>
  <c r="BD515" i="9"/>
  <c r="BI513" i="9"/>
  <c r="AZ511" i="9"/>
  <c r="AY509" i="9"/>
  <c r="BF507" i="9"/>
  <c r="BL505" i="9"/>
  <c r="BO503" i="9"/>
  <c r="BQ501" i="9"/>
  <c r="BH499" i="9"/>
  <c r="AZ497" i="9"/>
  <c r="AI496" i="9"/>
  <c r="AL525" i="9"/>
  <c r="F515" i="9"/>
  <c r="AJ512" i="9"/>
  <c r="BO509" i="9"/>
  <c r="BV507" i="9"/>
  <c r="C506" i="9"/>
  <c r="E504" i="9"/>
  <c r="H502" i="9"/>
  <c r="BX499" i="9"/>
  <c r="BT497" i="9"/>
  <c r="AC496" i="9"/>
  <c r="AD495" i="9"/>
  <c r="AE494" i="9"/>
  <c r="AI493" i="9"/>
  <c r="AG492" i="9"/>
  <c r="AD491" i="9"/>
  <c r="AH490" i="9"/>
  <c r="AD489" i="9"/>
  <c r="AJ488" i="9"/>
  <c r="AO487" i="9"/>
  <c r="AL486" i="9"/>
  <c r="AB485" i="9"/>
  <c r="R484" i="9"/>
  <c r="Y483" i="9"/>
  <c r="AE482" i="9"/>
  <c r="AH481" i="9"/>
  <c r="AI480" i="9"/>
  <c r="AC479" i="9"/>
  <c r="AG478" i="9"/>
  <c r="AF477" i="9"/>
  <c r="AH476" i="9"/>
  <c r="P527" i="9"/>
  <c r="AE515" i="9"/>
  <c r="BG512" i="9"/>
  <c r="E510" i="9"/>
  <c r="K508" i="9"/>
  <c r="Q506" i="9"/>
  <c r="W504" i="9"/>
  <c r="X502" i="9"/>
  <c r="N500" i="9"/>
  <c r="K498" i="9"/>
  <c r="AM496" i="9"/>
  <c r="AK495" i="9"/>
  <c r="AL494" i="9"/>
  <c r="AR493" i="9"/>
  <c r="AN492" i="9"/>
  <c r="AL491" i="9"/>
  <c r="AP490" i="9"/>
  <c r="AL489" i="9"/>
  <c r="BI542" i="9"/>
  <c r="BR522" i="9"/>
  <c r="BE514" i="9"/>
  <c r="C512" i="9"/>
  <c r="AR509" i="9"/>
  <c r="AV507" i="9"/>
  <c r="BF505" i="9"/>
  <c r="BD503" i="9"/>
  <c r="BK501" i="9"/>
  <c r="BA499" i="9"/>
  <c r="AS497" i="9"/>
  <c r="P496" i="9"/>
  <c r="R495" i="9"/>
  <c r="T494" i="9"/>
  <c r="X493" i="9"/>
  <c r="U492" i="9"/>
  <c r="R491" i="9"/>
  <c r="V490" i="9"/>
  <c r="R489" i="9"/>
  <c r="AW531" i="9"/>
  <c r="C516" i="9"/>
  <c r="AA513" i="9"/>
  <c r="AS510" i="9"/>
  <c r="AM508" i="9"/>
  <c r="AU506" i="9"/>
  <c r="BF504" i="9"/>
  <c r="BE502" i="9"/>
  <c r="AU500" i="9"/>
  <c r="AV498" i="9"/>
  <c r="BI496" i="9"/>
  <c r="AZ495" i="9"/>
  <c r="BC494" i="9"/>
  <c r="BI493" i="9"/>
  <c r="BG492" i="9"/>
  <c r="BD491" i="9"/>
  <c r="BG490" i="9"/>
  <c r="BD489" i="9"/>
  <c r="BI488" i="9"/>
  <c r="BN487" i="9"/>
  <c r="BL486" i="9"/>
  <c r="BJ485" i="9"/>
  <c r="AR484" i="9"/>
  <c r="AT483" i="9"/>
  <c r="BD482" i="9"/>
  <c r="BG481" i="9"/>
  <c r="BI480" i="9"/>
  <c r="BE479" i="9"/>
  <c r="BC478" i="9"/>
  <c r="BF477" i="9"/>
  <c r="BH476" i="9"/>
  <c r="BF475" i="9"/>
  <c r="BD528" i="9"/>
  <c r="AS515" i="9"/>
  <c r="A513" i="9"/>
  <c r="R510" i="9"/>
  <c r="U508" i="9"/>
  <c r="AC506" i="9"/>
  <c r="AI504" i="9"/>
  <c r="AI502" i="9"/>
  <c r="AB500" i="9"/>
  <c r="Z498" i="9"/>
  <c r="AT496" i="9"/>
  <c r="AP495" i="9"/>
  <c r="AQ494" i="9"/>
  <c r="AW493" i="9"/>
  <c r="AS492" i="9"/>
  <c r="AQ491" i="9"/>
  <c r="AU490" i="9"/>
  <c r="AQ489" i="9"/>
  <c r="AW488" i="9"/>
  <c r="BC487" i="9"/>
  <c r="AZ486" i="9"/>
  <c r="AV485" i="9"/>
  <c r="AH484" i="9"/>
  <c r="AK483" i="9"/>
  <c r="AS482" i="9"/>
  <c r="AU481" i="9"/>
  <c r="AW480" i="9"/>
  <c r="AR479" i="9"/>
  <c r="AS478" i="9"/>
  <c r="AS477" i="9"/>
  <c r="AV476" i="9"/>
  <c r="R526" i="9"/>
  <c r="P515" i="9"/>
  <c r="AR512" i="9"/>
  <c r="BU509" i="9"/>
  <c r="C508" i="9"/>
  <c r="I506" i="9"/>
  <c r="M504" i="9"/>
  <c r="N502" i="9"/>
  <c r="E500" i="9"/>
  <c r="C498" i="9"/>
  <c r="AF496" i="9"/>
  <c r="AG495" i="9"/>
  <c r="AS569" i="9"/>
  <c r="BD546" i="9"/>
  <c r="BR551" i="9"/>
  <c r="BT545" i="9"/>
  <c r="BF529" i="9"/>
  <c r="BB547" i="9"/>
  <c r="BP545" i="9"/>
  <c r="BK547" i="9"/>
  <c r="L537" i="9"/>
  <c r="BD526" i="9"/>
  <c r="BL518" i="9"/>
  <c r="AY529" i="9"/>
  <c r="O515" i="9"/>
  <c r="M507" i="9"/>
  <c r="R499" i="9"/>
  <c r="E536" i="9"/>
  <c r="BT525" i="9"/>
  <c r="AL518" i="9"/>
  <c r="BY542" i="9"/>
  <c r="BB537" i="9"/>
  <c r="O532" i="9"/>
  <c r="I527" i="9"/>
  <c r="C523" i="9"/>
  <c r="R519" i="9"/>
  <c r="K516" i="9"/>
  <c r="P514" i="9"/>
  <c r="O512" i="9"/>
  <c r="F510" i="9"/>
  <c r="L508" i="9"/>
  <c r="R506" i="9"/>
  <c r="Z504" i="9"/>
  <c r="Z502" i="9"/>
  <c r="O500" i="9"/>
  <c r="L498" i="9"/>
  <c r="AT542" i="9"/>
  <c r="AA537" i="9"/>
  <c r="BO531" i="9"/>
  <c r="BN526" i="9"/>
  <c r="BI522" i="9"/>
  <c r="BY518" i="9"/>
  <c r="A516" i="9"/>
  <c r="B539" i="9"/>
  <c r="AH533" i="9"/>
  <c r="N528" i="9"/>
  <c r="BY523" i="9"/>
  <c r="J520" i="9"/>
  <c r="BE516" i="9"/>
  <c r="AZ514" i="9"/>
  <c r="AW512" i="9"/>
  <c r="AR510" i="9"/>
  <c r="BX538" i="9"/>
  <c r="AD533" i="9"/>
  <c r="I528" i="9"/>
  <c r="BT523" i="9"/>
  <c r="E520" i="9"/>
  <c r="BD516" i="9"/>
  <c r="AY514" i="9"/>
  <c r="AV512" i="9"/>
  <c r="AQ510" i="9"/>
  <c r="AO508" i="9"/>
  <c r="AW506" i="9"/>
  <c r="BH504" i="9"/>
  <c r="BG502" i="9"/>
  <c r="AW500" i="9"/>
  <c r="AY498" i="9"/>
  <c r="AI541" i="9"/>
  <c r="N536" i="9"/>
  <c r="AZ530" i="9"/>
  <c r="B526" i="9"/>
  <c r="BY521" i="9"/>
  <c r="D518" i="9"/>
  <c r="AT515" i="9"/>
  <c r="AU513" i="9"/>
  <c r="AQ511" i="9"/>
  <c r="AN509" i="9"/>
  <c r="AT507" i="9"/>
  <c r="BD505" i="9"/>
  <c r="AZ503" i="9"/>
  <c r="BI501" i="9"/>
  <c r="AW499" i="9"/>
  <c r="AP497" i="9"/>
  <c r="AH543" i="9"/>
  <c r="AF523" i="9"/>
  <c r="BK514" i="9"/>
  <c r="H512" i="9"/>
  <c r="AU509" i="9"/>
  <c r="BA507" i="9"/>
  <c r="BI505" i="9"/>
  <c r="BL503" i="9"/>
  <c r="BN501" i="9"/>
  <c r="BD499" i="9"/>
  <c r="AV497" i="9"/>
  <c r="T496" i="9"/>
  <c r="T495" i="9"/>
  <c r="V494" i="9"/>
  <c r="AA493" i="9"/>
  <c r="W492" i="9"/>
  <c r="U491" i="9"/>
  <c r="Z490" i="9"/>
  <c r="U489" i="9"/>
  <c r="AB488" i="9"/>
  <c r="AE487" i="9"/>
  <c r="AC486" i="9"/>
  <c r="N485" i="9"/>
  <c r="I484" i="9"/>
  <c r="O483" i="9"/>
  <c r="U482" i="9"/>
  <c r="Z481" i="9"/>
  <c r="Z480" i="9"/>
  <c r="S479" i="9"/>
  <c r="Y478" i="9"/>
  <c r="W477" i="9"/>
  <c r="Z476" i="9"/>
  <c r="P525" i="9"/>
  <c r="D515" i="9"/>
  <c r="AH512" i="9"/>
  <c r="BM509" i="9"/>
  <c r="BT507" i="9"/>
  <c r="A506" i="9"/>
  <c r="C504" i="9"/>
  <c r="F502" i="9"/>
  <c r="BT499" i="9"/>
  <c r="BR497" i="9"/>
  <c r="AB496" i="9"/>
  <c r="AC495" i="9"/>
  <c r="AD494" i="9"/>
  <c r="AH493" i="9"/>
  <c r="AF492" i="9"/>
  <c r="AC491" i="9"/>
  <c r="AG490" i="9"/>
  <c r="AC489" i="9"/>
  <c r="M540" i="9"/>
  <c r="BX520" i="9"/>
  <c r="AE514" i="9"/>
  <c r="AV511" i="9"/>
  <c r="X509" i="9"/>
  <c r="AC507" i="9"/>
  <c r="AM505" i="9"/>
  <c r="AK503" i="9"/>
  <c r="AR501" i="9"/>
  <c r="AG499" i="9"/>
  <c r="Z497" i="9"/>
  <c r="H496" i="9"/>
  <c r="H495" i="9"/>
  <c r="J494" i="9"/>
  <c r="N493" i="9"/>
  <c r="K492" i="9"/>
  <c r="J491" i="9"/>
  <c r="K490" i="9"/>
  <c r="I489" i="9"/>
  <c r="D529" i="9"/>
  <c r="AW515" i="9"/>
  <c r="C513" i="9"/>
  <c r="U510" i="9"/>
  <c r="W508" i="9"/>
  <c r="AE506" i="9"/>
  <c r="AM504" i="9"/>
  <c r="AL502" i="9"/>
  <c r="AD500" i="9"/>
  <c r="AB498" i="9"/>
  <c r="AU496" i="9"/>
  <c r="AQ495" i="9"/>
  <c r="AR494" i="9"/>
  <c r="AZ493" i="9"/>
  <c r="AT492" i="9"/>
  <c r="AR491" i="9"/>
  <c r="AV490" i="9"/>
  <c r="AR489" i="9"/>
  <c r="AY488" i="9"/>
  <c r="BD487" i="9"/>
  <c r="BA486" i="9"/>
  <c r="AW485" i="9"/>
  <c r="AI484" i="9"/>
  <c r="AL483" i="9"/>
  <c r="AT482" i="9"/>
  <c r="AV481" i="9"/>
  <c r="AZ480" i="9"/>
  <c r="AS479" i="9"/>
  <c r="AT478" i="9"/>
  <c r="AT477" i="9"/>
  <c r="AW476" i="9"/>
  <c r="AT475" i="9"/>
  <c r="AM526" i="9"/>
  <c r="V515" i="9"/>
  <c r="AT512" i="9"/>
  <c r="BX509" i="9"/>
  <c r="E508" i="9"/>
  <c r="K506" i="9"/>
  <c r="O504" i="9"/>
  <c r="P502" i="9"/>
  <c r="G500" i="9"/>
  <c r="E498" i="9"/>
  <c r="AG496" i="9"/>
  <c r="AH495" i="9"/>
  <c r="AI494" i="9"/>
  <c r="AO493" i="9"/>
  <c r="AK492" i="9"/>
  <c r="AH491" i="9"/>
  <c r="AM490" i="9"/>
  <c r="AH489" i="9"/>
  <c r="AO488" i="9"/>
  <c r="AS487" i="9"/>
  <c r="AP486" i="9"/>
  <c r="AL485" i="9"/>
  <c r="Z484" i="9"/>
  <c r="AC483" i="9"/>
  <c r="AI482" i="9"/>
  <c r="AM481" i="9"/>
  <c r="AO480" i="9"/>
  <c r="AG479" i="9"/>
  <c r="AK478" i="9"/>
  <c r="AJ477" i="9"/>
  <c r="AN476" i="9"/>
  <c r="L524" i="9"/>
  <c r="BS514" i="9"/>
  <c r="T512" i="9"/>
  <c r="BD509" i="9"/>
  <c r="BJ507" i="9"/>
  <c r="BP505" i="9"/>
  <c r="BR503" i="9"/>
  <c r="BT501" i="9"/>
  <c r="BK499" i="9"/>
  <c r="BE497" i="9"/>
  <c r="W496" i="9"/>
  <c r="W495" i="9"/>
  <c r="Z494" i="9"/>
  <c r="AD493" i="9"/>
  <c r="AB492" i="9"/>
  <c r="X491" i="9"/>
  <c r="AC490" i="9"/>
  <c r="X489" i="9"/>
  <c r="AE488" i="9"/>
  <c r="AH487" i="9"/>
  <c r="AF486" i="9"/>
  <c r="R485" i="9"/>
  <c r="L484" i="9"/>
  <c r="T483" i="9"/>
  <c r="Z482" i="9"/>
  <c r="AC481" i="9"/>
  <c r="AC480" i="9"/>
  <c r="W479" i="9"/>
  <c r="AB478" i="9"/>
  <c r="M536" i="9"/>
  <c r="C518" i="9"/>
  <c r="BR513" i="9"/>
  <c r="H511" i="9"/>
  <c r="BT508" i="9"/>
  <c r="A507" i="9"/>
  <c r="J505" i="9"/>
  <c r="I503" i="9"/>
  <c r="H501" i="9"/>
  <c r="C499" i="9"/>
  <c r="B497" i="9"/>
  <c r="BS495" i="9"/>
  <c r="BS494" i="9"/>
  <c r="BW493" i="9"/>
  <c r="BT558" i="9"/>
  <c r="BH538" i="9"/>
  <c r="C541" i="9"/>
  <c r="BO554" i="9"/>
  <c r="BH526" i="9"/>
  <c r="BT544" i="9"/>
  <c r="AR544" i="9"/>
  <c r="AC546" i="9"/>
  <c r="BG535" i="9"/>
  <c r="BE525" i="9"/>
  <c r="BI517" i="9"/>
  <c r="N527" i="9"/>
  <c r="S514" i="9"/>
  <c r="U506" i="9"/>
  <c r="N498" i="9"/>
  <c r="V534" i="9"/>
  <c r="AZ524" i="9"/>
  <c r="T518" i="9"/>
  <c r="AU542" i="9"/>
  <c r="AB537" i="9"/>
  <c r="BQ531" i="9"/>
  <c r="BO526" i="9"/>
  <c r="BJ522" i="9"/>
  <c r="A519" i="9"/>
  <c r="B516" i="9"/>
  <c r="H514" i="9"/>
  <c r="D512" i="9"/>
  <c r="BV509" i="9"/>
  <c r="D508" i="9"/>
  <c r="J506" i="9"/>
  <c r="N504" i="9"/>
  <c r="O502" i="9"/>
  <c r="F500" i="9"/>
  <c r="D498" i="9"/>
  <c r="V542" i="9"/>
  <c r="BY536" i="9"/>
  <c r="AM531" i="9"/>
  <c r="AU526" i="9"/>
  <c r="AP522" i="9"/>
  <c r="AZ518" i="9"/>
  <c r="BQ515" i="9"/>
  <c r="AV538" i="9"/>
  <c r="K533" i="9"/>
  <c r="BO527" i="9"/>
  <c r="BG523" i="9"/>
  <c r="BQ519" i="9"/>
  <c r="AQ516" i="9"/>
  <c r="AQ514" i="9"/>
  <c r="AO512" i="9"/>
  <c r="AH510" i="9"/>
  <c r="AR538" i="9"/>
  <c r="F533" i="9"/>
  <c r="BJ527" i="9"/>
  <c r="BC523" i="9"/>
  <c r="BN519" i="9"/>
  <c r="AP516" i="9"/>
  <c r="AP514" i="9"/>
  <c r="AN512" i="9"/>
  <c r="AG510" i="9"/>
  <c r="AG508" i="9"/>
  <c r="AO506" i="9"/>
  <c r="AW504" i="9"/>
  <c r="AV502" i="9"/>
  <c r="AN500" i="9"/>
  <c r="AP498" i="9"/>
  <c r="K541" i="9"/>
  <c r="BL535" i="9"/>
  <c r="AC530" i="9"/>
  <c r="BH525" i="9"/>
  <c r="BA521" i="9"/>
  <c r="BK517" i="9"/>
  <c r="AL515" i="9"/>
  <c r="AM513" i="9"/>
  <c r="AI511" i="9"/>
  <c r="AE509" i="9"/>
  <c r="AI507" i="9"/>
  <c r="AS505" i="9"/>
  <c r="AQ503" i="9"/>
  <c r="AZ501" i="9"/>
  <c r="AO499" i="9"/>
  <c r="AB497" i="9"/>
  <c r="BG540" i="9"/>
  <c r="AG521" i="9"/>
  <c r="AL514" i="9"/>
  <c r="BG511" i="9"/>
  <c r="AB509" i="9"/>
  <c r="AF507" i="9"/>
  <c r="AP505" i="9"/>
  <c r="AN503" i="9"/>
  <c r="AU501" i="9"/>
  <c r="AL499" i="9"/>
  <c r="AE497" i="9"/>
  <c r="J496" i="9"/>
  <c r="K495" i="9"/>
  <c r="L494" i="9"/>
  <c r="P493" i="9"/>
  <c r="M492" i="9"/>
  <c r="L491" i="9"/>
  <c r="M490" i="9"/>
  <c r="K489" i="9"/>
  <c r="R488" i="9"/>
  <c r="U487" i="9"/>
  <c r="R486" i="9"/>
  <c r="D485" i="9"/>
  <c r="A484" i="9"/>
  <c r="G483" i="9"/>
  <c r="K482" i="9"/>
  <c r="M481" i="9"/>
  <c r="N480" i="9"/>
  <c r="J479" i="9"/>
  <c r="N478" i="9"/>
  <c r="M477" i="9"/>
  <c r="J543" i="9"/>
  <c r="L523" i="9"/>
  <c r="BG514" i="9"/>
  <c r="E512" i="9"/>
  <c r="AS509" i="9"/>
  <c r="AW507" i="9"/>
  <c r="BG505" i="9"/>
  <c r="BG503" i="9"/>
  <c r="BL501" i="9"/>
  <c r="BB499" i="9"/>
  <c r="AU497" i="9"/>
  <c r="R496" i="9"/>
  <c r="S495" i="9"/>
  <c r="U494" i="9"/>
  <c r="Z493" i="9"/>
  <c r="V492" i="9"/>
  <c r="S491" i="9"/>
  <c r="W490" i="9"/>
  <c r="S489" i="9"/>
  <c r="AN537" i="9"/>
  <c r="I519" i="9"/>
  <c r="G514" i="9"/>
  <c r="W511" i="9"/>
  <c r="F509" i="9"/>
  <c r="I507" i="9"/>
  <c r="U505" i="9"/>
  <c r="R503" i="9"/>
  <c r="P501" i="9"/>
  <c r="M499" i="9"/>
  <c r="G497" i="9"/>
  <c r="BY495" i="9"/>
  <c r="BY494" i="9"/>
  <c r="B494" i="9"/>
  <c r="E493" i="9"/>
  <c r="B492" i="9"/>
  <c r="A491" i="9"/>
  <c r="C490" i="9"/>
  <c r="A489" i="9"/>
  <c r="BF526" i="9"/>
  <c r="X515" i="9"/>
  <c r="AX512" i="9"/>
  <c r="A510" i="9"/>
  <c r="G508" i="9"/>
  <c r="M506" i="9"/>
  <c r="R504" i="9"/>
  <c r="S502" i="9"/>
  <c r="I500" i="9"/>
  <c r="G498" i="9"/>
  <c r="AH496" i="9"/>
  <c r="AI495" i="9"/>
  <c r="AJ494" i="9"/>
  <c r="AP493" i="9"/>
  <c r="AL492" i="9"/>
  <c r="AI491" i="9"/>
  <c r="AN490" i="9"/>
  <c r="AI489" i="9"/>
  <c r="AP488" i="9"/>
  <c r="AT487" i="9"/>
  <c r="AQ486" i="9"/>
  <c r="AM485" i="9"/>
  <c r="AA484" i="9"/>
  <c r="AD483" i="9"/>
  <c r="AL482" i="9"/>
  <c r="AN481" i="9"/>
  <c r="AP480" i="9"/>
  <c r="AH479" i="9"/>
  <c r="AL478" i="9"/>
  <c r="AL477" i="9"/>
  <c r="AO476" i="9"/>
  <c r="AI475" i="9"/>
  <c r="AN524" i="9"/>
  <c r="BU514" i="9"/>
  <c r="X512" i="9"/>
  <c r="BF509" i="9"/>
  <c r="BL507" i="9"/>
  <c r="BR505" i="9"/>
  <c r="BT503" i="9"/>
  <c r="BY501" i="9"/>
  <c r="BN499" i="9"/>
  <c r="BH497" i="9"/>
  <c r="X496" i="9"/>
  <c r="X495" i="9"/>
  <c r="AA494" i="9"/>
  <c r="AE493" i="9"/>
  <c r="AC492" i="9"/>
  <c r="Z491" i="9"/>
  <c r="AD490" i="9"/>
  <c r="Z489" i="9"/>
  <c r="AF488" i="9"/>
  <c r="AI487" i="9"/>
  <c r="AG486" i="9"/>
  <c r="W485" i="9"/>
  <c r="M484" i="9"/>
  <c r="U483" i="9"/>
  <c r="AA482" i="9"/>
  <c r="AD481" i="9"/>
  <c r="AE480" i="9"/>
  <c r="X479" i="9"/>
  <c r="AC478" i="9"/>
  <c r="AB477" i="9"/>
  <c r="BH541" i="9"/>
  <c r="O522" i="9"/>
  <c r="AT514" i="9"/>
  <c r="BQ511" i="9"/>
  <c r="AH509" i="9"/>
  <c r="AM507" i="9"/>
  <c r="AV505" i="9"/>
  <c r="AT503" i="9"/>
  <c r="BC501" i="9"/>
  <c r="AR499" i="9"/>
  <c r="AN497" i="9"/>
  <c r="M496" i="9"/>
  <c r="O495" i="9"/>
  <c r="O494" i="9"/>
  <c r="U493" i="9"/>
  <c r="R492" i="9"/>
  <c r="O491" i="9"/>
  <c r="P490" i="9"/>
  <c r="N489" i="9"/>
  <c r="V488" i="9"/>
  <c r="Z487" i="9"/>
  <c r="W486" i="9"/>
  <c r="G485" i="9"/>
  <c r="D484" i="9"/>
  <c r="J483" i="9"/>
  <c r="N482" i="9"/>
  <c r="P481" i="9"/>
  <c r="R480" i="9"/>
  <c r="M479" i="9"/>
  <c r="R478" i="9"/>
  <c r="Z533" i="9"/>
  <c r="AY516" i="9"/>
  <c r="AP513" i="9"/>
  <c r="BH510" i="9"/>
  <c r="AX508" i="9"/>
  <c r="BG506" i="9"/>
  <c r="BQ504" i="9"/>
  <c r="BQ502" i="9"/>
  <c r="BL500" i="9"/>
  <c r="BK498" i="9"/>
  <c r="BO496" i="9"/>
  <c r="BJ495" i="9"/>
  <c r="BK494" i="9"/>
  <c r="BR558" i="9"/>
  <c r="BK523" i="9"/>
  <c r="AB534" i="9"/>
  <c r="R513" i="9"/>
  <c r="BL523" i="9"/>
  <c r="AN531" i="9"/>
  <c r="BR515" i="9"/>
  <c r="BU507" i="9"/>
  <c r="BU499" i="9"/>
  <c r="L531" i="9"/>
  <c r="AT543" i="9"/>
  <c r="AN523" i="9"/>
  <c r="AG512" i="9"/>
  <c r="AN527" i="9"/>
  <c r="AG514" i="9"/>
  <c r="AG506" i="9"/>
  <c r="AE498" i="9"/>
  <c r="AM525" i="9"/>
  <c r="AD513" i="9"/>
  <c r="AJ505" i="9"/>
  <c r="M497" i="9"/>
  <c r="AF511" i="9"/>
  <c r="U503" i="9"/>
  <c r="B496" i="9"/>
  <c r="D492" i="9"/>
  <c r="I488" i="9"/>
  <c r="BP483" i="9"/>
  <c r="E480" i="9"/>
  <c r="AI540" i="9"/>
  <c r="Z509" i="9"/>
  <c r="AS501" i="9"/>
  <c r="J495" i="9"/>
  <c r="K491" i="9"/>
  <c r="T517" i="9"/>
  <c r="BP506" i="9"/>
  <c r="BT498" i="9"/>
  <c r="BR493" i="9"/>
  <c r="BR489" i="9"/>
  <c r="AB512" i="9"/>
  <c r="BX503" i="9"/>
  <c r="Z496" i="9"/>
  <c r="AD492" i="9"/>
  <c r="AG488" i="9"/>
  <c r="N484" i="9"/>
  <c r="AF480" i="9"/>
  <c r="AE476" i="9"/>
  <c r="BS511" i="9"/>
  <c r="AV503" i="9"/>
  <c r="N496" i="9"/>
  <c r="S492" i="9"/>
  <c r="W488" i="9"/>
  <c r="E484" i="9"/>
  <c r="T480" i="9"/>
  <c r="P539" i="9"/>
  <c r="P509" i="9"/>
  <c r="AG501" i="9"/>
  <c r="E495" i="9"/>
  <c r="K493" i="9"/>
  <c r="F491" i="9"/>
  <c r="F489" i="9"/>
  <c r="N487" i="9"/>
  <c r="BX484" i="9"/>
  <c r="B483" i="9"/>
  <c r="H481" i="9"/>
  <c r="D479" i="9"/>
  <c r="AW530" i="9"/>
  <c r="Q513" i="9"/>
  <c r="AH508" i="9"/>
  <c r="AU505" i="9"/>
  <c r="AW502" i="9"/>
  <c r="D500" i="9"/>
  <c r="AM497" i="9"/>
  <c r="AV495" i="9"/>
  <c r="AG494" i="9"/>
  <c r="AC493" i="9"/>
  <c r="AA492" i="9"/>
  <c r="W491" i="9"/>
  <c r="AB490" i="9"/>
  <c r="W489" i="9"/>
  <c r="AD488" i="9"/>
  <c r="AG487" i="9"/>
  <c r="AE486" i="9"/>
  <c r="P485" i="9"/>
  <c r="K484" i="9"/>
  <c r="R483" i="9"/>
  <c r="W482" i="9"/>
  <c r="AB481" i="9"/>
  <c r="AB480" i="9"/>
  <c r="V479" i="9"/>
  <c r="AA478" i="9"/>
  <c r="Z477" i="9"/>
  <c r="AB476" i="9"/>
  <c r="V475" i="9"/>
  <c r="AP503" i="9"/>
  <c r="O492" i="9"/>
  <c r="V487" i="9"/>
  <c r="AC484" i="9"/>
  <c r="BQ481" i="9"/>
  <c r="K479" i="9"/>
  <c r="BL476" i="9"/>
  <c r="W475" i="9"/>
  <c r="U474" i="9"/>
  <c r="W473" i="9"/>
  <c r="U472" i="9"/>
  <c r="S471" i="9"/>
  <c r="X470" i="9"/>
  <c r="AD469" i="9"/>
  <c r="AH468" i="9"/>
  <c r="AJ467" i="9"/>
  <c r="AG466" i="9"/>
  <c r="O514" i="9"/>
  <c r="L497" i="9"/>
  <c r="D489" i="9"/>
  <c r="P486" i="9"/>
  <c r="AE483" i="9"/>
  <c r="BM480" i="9"/>
  <c r="M478" i="9"/>
  <c r="N476" i="9"/>
  <c r="BT474" i="9"/>
  <c r="BQ473" i="9"/>
  <c r="BS472" i="9"/>
  <c r="BS471" i="9"/>
  <c r="BQ470" i="9"/>
  <c r="BS469" i="9"/>
  <c r="D469" i="9"/>
  <c r="D468" i="9"/>
  <c r="BY466" i="9"/>
  <c r="F466" i="9"/>
  <c r="BQ508" i="9"/>
  <c r="BR494" i="9"/>
  <c r="O488" i="9"/>
  <c r="AC485" i="9"/>
  <c r="BG482" i="9"/>
  <c r="L480" i="9"/>
  <c r="AM477" i="9"/>
  <c r="BK475" i="9"/>
  <c r="AT474" i="9"/>
  <c r="AV473" i="9"/>
  <c r="AS472" i="9"/>
  <c r="AU471" i="9"/>
  <c r="AW470" i="9"/>
  <c r="AZ469" i="9"/>
  <c r="BJ468" i="9"/>
  <c r="BK467" i="9"/>
  <c r="BG466" i="9"/>
  <c r="C533" i="9"/>
  <c r="BI500" i="9"/>
  <c r="BK490" i="9"/>
  <c r="BO486" i="9"/>
  <c r="BQ483" i="9"/>
  <c r="AG481" i="9"/>
  <c r="BD478" i="9"/>
  <c r="AM476" i="9"/>
  <c r="J475" i="9"/>
  <c r="G474" i="9"/>
  <c r="J473" i="9"/>
  <c r="I472" i="9"/>
  <c r="G471" i="9"/>
  <c r="K470" i="9"/>
  <c r="R469" i="9"/>
  <c r="U468" i="9"/>
  <c r="P467" i="9"/>
  <c r="BJ515" i="9"/>
  <c r="AN498" i="9"/>
  <c r="AV489" i="9"/>
  <c r="AI486" i="9"/>
  <c r="AP483" i="9"/>
  <c r="D481" i="9"/>
  <c r="AE478" i="9"/>
  <c r="U476" i="9"/>
  <c r="A475" i="9"/>
  <c r="BW473" i="9"/>
  <c r="BY472" i="9"/>
  <c r="BX471" i="9"/>
  <c r="BW470" i="9"/>
  <c r="A470" i="9"/>
  <c r="I469" i="9"/>
  <c r="J468" i="9"/>
  <c r="E467" i="9"/>
  <c r="K466" i="9"/>
  <c r="Q465" i="9"/>
  <c r="R464" i="9"/>
  <c r="AA463" i="9"/>
  <c r="P462" i="9"/>
  <c r="O461" i="9"/>
  <c r="N460" i="9"/>
  <c r="Q459" i="9"/>
  <c r="P458" i="9"/>
  <c r="U457" i="9"/>
  <c r="AB456" i="9"/>
  <c r="AC455" i="9"/>
  <c r="AA454" i="9"/>
  <c r="AC453" i="9"/>
  <c r="AF452" i="9"/>
  <c r="AI451" i="9"/>
  <c r="BP512" i="9"/>
  <c r="AP496" i="9"/>
  <c r="BE488" i="9"/>
  <c r="F486" i="9"/>
  <c r="P483" i="9"/>
  <c r="BB480" i="9"/>
  <c r="D478" i="9"/>
  <c r="H476" i="9"/>
  <c r="BP474" i="9"/>
  <c r="BM473" i="9"/>
  <c r="BO472" i="9"/>
  <c r="BO471" i="9"/>
  <c r="BM470" i="9"/>
  <c r="BO469" i="9"/>
  <c r="BY468" i="9"/>
  <c r="BY467" i="9"/>
  <c r="BT466" i="9"/>
  <c r="B466" i="9"/>
  <c r="G465" i="9"/>
  <c r="I464" i="9"/>
  <c r="R463" i="9"/>
  <c r="D462" i="9"/>
  <c r="D461" i="9"/>
  <c r="E460" i="9"/>
  <c r="F459" i="9"/>
  <c r="G458" i="9"/>
  <c r="K457" i="9"/>
  <c r="R456" i="9"/>
  <c r="O455" i="9"/>
  <c r="N454" i="9"/>
  <c r="P453" i="9"/>
  <c r="V452" i="9"/>
  <c r="BQ509" i="9"/>
  <c r="AE495" i="9"/>
  <c r="AA488" i="9"/>
  <c r="AZ485" i="9"/>
  <c r="BQ482" i="9"/>
  <c r="W480" i="9"/>
  <c r="AU477" i="9"/>
  <c r="BR475" i="9"/>
  <c r="AZ474" i="9"/>
  <c r="BB473" i="9"/>
  <c r="AW472" i="9"/>
  <c r="BA471" i="9"/>
  <c r="BC470" i="9"/>
  <c r="BE469" i="9"/>
  <c r="Q558" i="9"/>
  <c r="R521" i="9"/>
  <c r="B533" i="9"/>
  <c r="R512" i="9"/>
  <c r="AS522" i="9"/>
  <c r="BR529" i="9"/>
  <c r="W515" i="9"/>
  <c r="U507" i="9"/>
  <c r="AA499" i="9"/>
  <c r="AN529" i="9"/>
  <c r="BR541" i="9"/>
  <c r="V522" i="9"/>
  <c r="BD511" i="9"/>
  <c r="V526" i="9"/>
  <c r="BJ513" i="9"/>
  <c r="BN505" i="9"/>
  <c r="BA497" i="9"/>
  <c r="M524" i="9"/>
  <c r="BK512" i="9"/>
  <c r="BO504" i="9"/>
  <c r="BT496" i="9"/>
  <c r="A511" i="9"/>
  <c r="D503" i="9"/>
  <c r="BQ495" i="9"/>
  <c r="BT491" i="9"/>
  <c r="A488" i="9"/>
  <c r="BG483" i="9"/>
  <c r="BT479" i="9"/>
  <c r="BN537" i="9"/>
  <c r="G509" i="9"/>
  <c r="R501" i="9"/>
  <c r="A495" i="9"/>
  <c r="B491" i="9"/>
  <c r="E516" i="9"/>
  <c r="AX506" i="9"/>
  <c r="AZ498" i="9"/>
  <c r="BJ493" i="9"/>
  <c r="BE489" i="9"/>
  <c r="BX511" i="9"/>
  <c r="AX503" i="9"/>
  <c r="O496" i="9"/>
  <c r="T492" i="9"/>
  <c r="X488" i="9"/>
  <c r="F484" i="9"/>
  <c r="U480" i="9"/>
  <c r="V476" i="9"/>
  <c r="AP511" i="9"/>
  <c r="AF503" i="9"/>
  <c r="F496" i="9"/>
  <c r="H492" i="9"/>
  <c r="M488" i="9"/>
  <c r="BT483" i="9"/>
  <c r="J480" i="9"/>
  <c r="AM536" i="9"/>
  <c r="BW508" i="9"/>
  <c r="I501" i="9"/>
  <c r="BT494" i="9"/>
  <c r="B493" i="9"/>
  <c r="BV490" i="9"/>
  <c r="BW488" i="9"/>
  <c r="E487" i="9"/>
  <c r="BO484" i="9"/>
  <c r="BS482" i="9"/>
  <c r="BY480" i="9"/>
  <c r="BS478" i="9"/>
  <c r="E528" i="9"/>
  <c r="BR512" i="9"/>
  <c r="R508" i="9"/>
  <c r="AD505" i="9"/>
  <c r="AF502" i="9"/>
  <c r="BJ499" i="9"/>
  <c r="N497" i="9"/>
  <c r="AN495" i="9"/>
  <c r="Y494" i="9"/>
  <c r="T493" i="9"/>
  <c r="P492" i="9"/>
  <c r="N491" i="9"/>
  <c r="O490" i="9"/>
  <c r="M489" i="9"/>
  <c r="U488" i="9"/>
  <c r="W487" i="9"/>
  <c r="V486" i="9"/>
  <c r="F485" i="9"/>
  <c r="C484" i="9"/>
  <c r="I483" i="9"/>
  <c r="M482" i="9"/>
  <c r="O481" i="9"/>
  <c r="P480" i="9"/>
  <c r="L479" i="9"/>
  <c r="P478" i="9"/>
  <c r="O477" i="9"/>
  <c r="R476" i="9"/>
  <c r="J541" i="9"/>
  <c r="AW501" i="9"/>
  <c r="M491" i="9"/>
  <c r="BY486" i="9"/>
  <c r="B484" i="9"/>
  <c r="AP481" i="9"/>
  <c r="BN478" i="9"/>
  <c r="AS476" i="9"/>
  <c r="M475" i="9"/>
  <c r="K474" i="9"/>
  <c r="M473" i="9"/>
  <c r="L472" i="9"/>
  <c r="K471" i="9"/>
  <c r="N470" i="9"/>
  <c r="V469" i="9"/>
  <c r="Z468" i="9"/>
  <c r="X467" i="9"/>
  <c r="X466" i="9"/>
  <c r="AH511" i="9"/>
  <c r="C496" i="9"/>
  <c r="AQ488" i="9"/>
  <c r="BP485" i="9"/>
  <c r="F483" i="9"/>
  <c r="AQ480" i="9"/>
  <c r="BO477" i="9"/>
  <c r="B476" i="9"/>
  <c r="BH474" i="9"/>
  <c r="BH473" i="9"/>
  <c r="BF472" i="9"/>
  <c r="BI471" i="9"/>
  <c r="BI470" i="9"/>
  <c r="BK469" i="9"/>
  <c r="BS468" i="9"/>
  <c r="BT467" i="9"/>
  <c r="BP466" i="9"/>
  <c r="BV465" i="9"/>
  <c r="BW506" i="9"/>
  <c r="BU493" i="9"/>
  <c r="BP487" i="9"/>
  <c r="B485" i="9"/>
  <c r="AF482" i="9"/>
  <c r="BH479" i="9"/>
  <c r="U477" i="9"/>
  <c r="AS475" i="9"/>
  <c r="AL474" i="9"/>
  <c r="AN473" i="9"/>
  <c r="AJ472" i="9"/>
  <c r="AJ471" i="9"/>
  <c r="AO470" i="9"/>
  <c r="AR469" i="9"/>
  <c r="AW468" i="9"/>
  <c r="AZ467" i="9"/>
  <c r="AV466" i="9"/>
  <c r="AN516" i="9"/>
  <c r="BG498" i="9"/>
  <c r="BK489" i="9"/>
  <c r="AJ486" i="9"/>
  <c r="AU483" i="9"/>
  <c r="F481" i="9"/>
  <c r="AF478" i="9"/>
  <c r="W476" i="9"/>
  <c r="B475" i="9"/>
  <c r="BX473" i="9"/>
  <c r="A473" i="9"/>
  <c r="BY471" i="9"/>
  <c r="BX470" i="9"/>
  <c r="B470" i="9"/>
  <c r="J469" i="9"/>
  <c r="K468" i="9"/>
  <c r="F467" i="9"/>
  <c r="O513" i="9"/>
  <c r="BB496" i="9"/>
  <c r="BJ488" i="9"/>
  <c r="G486" i="9"/>
  <c r="W483" i="9"/>
  <c r="BD480" i="9"/>
  <c r="E478" i="9"/>
  <c r="I476" i="9"/>
  <c r="BQ474" i="9"/>
  <c r="BN473" i="9"/>
  <c r="BP472" i="9"/>
  <c r="BP471" i="9"/>
  <c r="BN470" i="9"/>
  <c r="BP469" i="9"/>
  <c r="A469" i="9"/>
  <c r="A468" i="9"/>
  <c r="BU466" i="9"/>
  <c r="C466" i="9"/>
  <c r="I465" i="9"/>
  <c r="J464" i="9"/>
  <c r="S463" i="9"/>
  <c r="E462" i="9"/>
  <c r="E461" i="9"/>
  <c r="F460" i="9"/>
  <c r="I459" i="9"/>
  <c r="H458" i="9"/>
  <c r="L457" i="9"/>
  <c r="T456" i="9"/>
  <c r="P455" i="9"/>
  <c r="O454" i="9"/>
  <c r="Q453" i="9"/>
  <c r="W452" i="9"/>
  <c r="AA451" i="9"/>
  <c r="K510" i="9"/>
  <c r="AM495" i="9"/>
  <c r="AC488" i="9"/>
  <c r="BA485" i="9"/>
  <c r="BV482" i="9"/>
  <c r="AA480" i="9"/>
  <c r="AV477" i="9"/>
  <c r="BT475" i="9"/>
  <c r="BA474" i="9"/>
  <c r="BC473" i="9"/>
  <c r="AZ472" i="9"/>
  <c r="BD471" i="9"/>
  <c r="BD470" i="9"/>
  <c r="BF469" i="9"/>
  <c r="BO468" i="9"/>
  <c r="BP467" i="9"/>
  <c r="BL466" i="9"/>
  <c r="BR465" i="9"/>
  <c r="BX464" i="9"/>
  <c r="BY463" i="9"/>
  <c r="J463" i="9"/>
  <c r="BT461" i="9"/>
  <c r="BS460" i="9"/>
  <c r="BT459" i="9"/>
  <c r="BU458" i="9"/>
  <c r="BX457" i="9"/>
  <c r="B457" i="9"/>
  <c r="J456" i="9"/>
  <c r="F455" i="9"/>
  <c r="C454" i="9"/>
  <c r="H453" i="9"/>
  <c r="M452" i="9"/>
  <c r="BX507" i="9"/>
  <c r="AF494" i="9"/>
  <c r="B488" i="9"/>
  <c r="M485" i="9"/>
  <c r="AU482" i="9"/>
  <c r="BU479" i="9"/>
  <c r="AD477" i="9"/>
  <c r="AZ475" i="9"/>
  <c r="AP474" i="9"/>
  <c r="AR473" i="9"/>
  <c r="AO472" i="9"/>
  <c r="AQ471" i="9"/>
  <c r="AS470" i="9"/>
  <c r="AV469" i="9"/>
  <c r="BE468" i="9"/>
  <c r="BF467" i="9"/>
  <c r="BA466" i="9"/>
  <c r="BI465" i="9"/>
  <c r="BL464" i="9"/>
  <c r="BO463" i="9"/>
  <c r="A463" i="9"/>
  <c r="BJ461" i="9"/>
  <c r="BH460" i="9"/>
  <c r="BK459" i="9"/>
  <c r="BK458" i="9"/>
  <c r="BM457" i="9"/>
  <c r="BP456" i="9"/>
  <c r="A456" i="9"/>
  <c r="AQ530" i="9"/>
  <c r="BC557" i="9"/>
  <c r="BF524" i="9"/>
  <c r="Z505" i="9"/>
  <c r="BW517" i="9"/>
  <c r="AV526" i="9"/>
  <c r="BY513" i="9"/>
  <c r="B506" i="9"/>
  <c r="BS497" i="9"/>
  <c r="AC526" i="9"/>
  <c r="Z538" i="9"/>
  <c r="AY519" i="9"/>
  <c r="AQ543" i="9"/>
  <c r="AI523" i="9"/>
  <c r="AF512" i="9"/>
  <c r="AO504" i="9"/>
  <c r="BK540" i="9"/>
  <c r="AH521" i="9"/>
  <c r="AA511" i="9"/>
  <c r="AI503" i="9"/>
  <c r="N538" i="9"/>
  <c r="J509" i="9"/>
  <c r="X501" i="9"/>
  <c r="B495" i="9"/>
  <c r="C491" i="9"/>
  <c r="K487" i="9"/>
  <c r="BX482" i="9"/>
  <c r="A479" i="9"/>
  <c r="P521" i="9"/>
  <c r="AD507" i="9"/>
  <c r="AH499" i="9"/>
  <c r="K494" i="9"/>
  <c r="L490" i="9"/>
  <c r="BE513" i="9"/>
  <c r="B505" i="9"/>
  <c r="BU496" i="9"/>
  <c r="BS492" i="9"/>
  <c r="BR488" i="9"/>
  <c r="BH509" i="9"/>
  <c r="B502" i="9"/>
  <c r="AA495" i="9"/>
  <c r="AA491" i="9"/>
  <c r="AL487" i="9"/>
  <c r="V483" i="9"/>
  <c r="Z479" i="9"/>
  <c r="J542" i="9"/>
  <c r="AJ509" i="9"/>
  <c r="BF501" i="9"/>
  <c r="P495" i="9"/>
  <c r="P491" i="9"/>
  <c r="AA487" i="9"/>
  <c r="K483" i="9"/>
  <c r="N479" i="9"/>
  <c r="U520" i="9"/>
  <c r="S507" i="9"/>
  <c r="Z499" i="9"/>
  <c r="BL494" i="9"/>
  <c r="BP492" i="9"/>
  <c r="BN490" i="9"/>
  <c r="BO488" i="9"/>
  <c r="BT486" i="9"/>
  <c r="AZ484" i="9"/>
  <c r="BK482" i="9"/>
  <c r="BO480" i="9"/>
  <c r="BJ478" i="9"/>
  <c r="A526" i="9"/>
  <c r="AP512" i="9"/>
  <c r="B508" i="9"/>
  <c r="AZ504" i="9"/>
  <c r="M502" i="9"/>
  <c r="AQ499" i="9"/>
  <c r="BD496" i="9"/>
  <c r="AF495" i="9"/>
  <c r="N494" i="9"/>
  <c r="J493" i="9"/>
  <c r="F492" i="9"/>
  <c r="E491" i="9"/>
  <c r="G490" i="9"/>
  <c r="E489" i="9"/>
  <c r="K488" i="9"/>
  <c r="M487" i="9"/>
  <c r="K486" i="9"/>
  <c r="BV484" i="9"/>
  <c r="BR483" i="9"/>
  <c r="A483" i="9"/>
  <c r="D482" i="9"/>
  <c r="G481" i="9"/>
  <c r="H480" i="9"/>
  <c r="C479" i="9"/>
  <c r="H478" i="9"/>
  <c r="F477" i="9"/>
  <c r="J476" i="9"/>
  <c r="AZ521" i="9"/>
  <c r="AN499" i="9"/>
  <c r="N490" i="9"/>
  <c r="AS486" i="9"/>
  <c r="BE483" i="9"/>
  <c r="N481" i="9"/>
  <c r="AN478" i="9"/>
  <c r="AC476" i="9"/>
  <c r="E475" i="9"/>
  <c r="B474" i="9"/>
  <c r="D473" i="9"/>
  <c r="C472" i="9"/>
  <c r="B471" i="9"/>
  <c r="E470" i="9"/>
  <c r="M469" i="9"/>
  <c r="N468" i="9"/>
  <c r="K467" i="9"/>
  <c r="O466" i="9"/>
  <c r="L509" i="9"/>
  <c r="C495" i="9"/>
  <c r="P488" i="9"/>
  <c r="AN485" i="9"/>
  <c r="BI482" i="9"/>
  <c r="M480" i="9"/>
  <c r="AN477" i="9"/>
  <c r="BL475" i="9"/>
  <c r="AU474" i="9"/>
  <c r="AW473" i="9"/>
  <c r="AT472" i="9"/>
  <c r="AV471" i="9"/>
  <c r="AZ470" i="9"/>
  <c r="BA469" i="9"/>
  <c r="BK468" i="9"/>
  <c r="BL467" i="9"/>
  <c r="BH466" i="9"/>
  <c r="BN465" i="9"/>
  <c r="G505" i="9"/>
  <c r="BY492" i="9"/>
  <c r="AP487" i="9"/>
  <c r="AT484" i="9"/>
  <c r="I482" i="9"/>
  <c r="AD479" i="9"/>
  <c r="B477" i="9"/>
  <c r="AE475" i="9"/>
  <c r="AC474" i="9"/>
  <c r="AD473" i="9"/>
  <c r="AB472" i="9"/>
  <c r="AB471" i="9"/>
  <c r="AE470" i="9"/>
  <c r="AJ469" i="9"/>
  <c r="AO468" i="9"/>
  <c r="AQ467" i="9"/>
  <c r="AN466" i="9"/>
  <c r="AL513" i="9"/>
  <c r="BN496" i="9"/>
  <c r="BM488" i="9"/>
  <c r="J486" i="9"/>
  <c r="X483" i="9"/>
  <c r="BJ480" i="9"/>
  <c r="G478" i="9"/>
  <c r="K476" i="9"/>
  <c r="BR474" i="9"/>
  <c r="BO473" i="9"/>
  <c r="BQ472" i="9"/>
  <c r="BQ471" i="9"/>
  <c r="BO470" i="9"/>
  <c r="BQ469" i="9"/>
  <c r="B469" i="9"/>
  <c r="B468" i="9"/>
  <c r="BV466" i="9"/>
  <c r="AE510" i="9"/>
  <c r="AU495" i="9"/>
  <c r="AH488" i="9"/>
  <c r="BE485" i="9"/>
  <c r="BW482" i="9"/>
  <c r="AG480" i="9"/>
  <c r="AZ477" i="9"/>
  <c r="BU475" i="9"/>
  <c r="BD474" i="9"/>
  <c r="BD473" i="9"/>
  <c r="BA472" i="9"/>
  <c r="BE471" i="9"/>
  <c r="BF470" i="9"/>
  <c r="BG469" i="9"/>
  <c r="BP468" i="9"/>
  <c r="BQ467" i="9"/>
  <c r="BM466" i="9"/>
  <c r="BS465" i="9"/>
  <c r="BY464" i="9"/>
  <c r="A464" i="9"/>
  <c r="K463" i="9"/>
  <c r="BU461" i="9"/>
  <c r="BT460" i="9"/>
  <c r="BU459" i="9"/>
  <c r="BV458" i="9"/>
  <c r="BY457" i="9"/>
  <c r="C457" i="9"/>
  <c r="K456" i="9"/>
  <c r="H455" i="9"/>
  <c r="D454" i="9"/>
  <c r="I453" i="9"/>
  <c r="N452" i="9"/>
  <c r="P451" i="9"/>
  <c r="O508" i="9"/>
  <c r="AN494" i="9"/>
  <c r="G488" i="9"/>
  <c r="O485" i="9"/>
  <c r="AV482" i="9"/>
  <c r="C480" i="9"/>
  <c r="AE477" i="9"/>
  <c r="BD475" i="9"/>
  <c r="AQ474" i="9"/>
  <c r="AS473" i="9"/>
  <c r="AP472" i="9"/>
  <c r="AR471" i="9"/>
  <c r="AT470" i="9"/>
  <c r="AW469" i="9"/>
  <c r="BF468" i="9"/>
  <c r="BG467" i="9"/>
  <c r="BD466" i="9"/>
  <c r="BJ465" i="9"/>
  <c r="BO464" i="9"/>
  <c r="BP463" i="9"/>
  <c r="B463" i="9"/>
  <c r="BK461" i="9"/>
  <c r="BI460" i="9"/>
  <c r="BL459" i="9"/>
  <c r="BL458" i="9"/>
  <c r="BN457" i="9"/>
  <c r="BQ456" i="9"/>
  <c r="B456" i="9"/>
  <c r="BU454" i="9"/>
  <c r="BT453" i="9"/>
  <c r="BY452" i="9"/>
  <c r="C452" i="9"/>
  <c r="E506" i="9"/>
  <c r="AL493" i="9"/>
  <c r="BF487" i="9"/>
  <c r="BK484" i="9"/>
  <c r="T482" i="9"/>
  <c r="AT479" i="9"/>
  <c r="K477" i="9"/>
  <c r="AL475" i="9"/>
  <c r="AG474" i="9"/>
  <c r="AH473" i="9"/>
  <c r="AF472" i="9"/>
  <c r="AF471" i="9"/>
  <c r="AI470" i="9"/>
  <c r="AN469" i="9"/>
  <c r="AS468" i="9"/>
  <c r="AU467" i="9"/>
  <c r="AR466" i="9"/>
  <c r="BQ549" i="9"/>
  <c r="P554" i="9"/>
  <c r="AW523" i="9"/>
  <c r="AB504" i="9"/>
  <c r="G517" i="9"/>
  <c r="AD525" i="9"/>
  <c r="Z513" i="9"/>
  <c r="AF505" i="9"/>
  <c r="H497" i="9"/>
  <c r="G525" i="9"/>
  <c r="AU536" i="9"/>
  <c r="AG518" i="9"/>
  <c r="BO541" i="9"/>
  <c r="R522" i="9"/>
  <c r="BC511" i="9"/>
  <c r="BP503" i="9"/>
  <c r="R539" i="9"/>
  <c r="V520" i="9"/>
  <c r="AZ510" i="9"/>
  <c r="BO502" i="9"/>
  <c r="AI535" i="9"/>
  <c r="BO508" i="9"/>
  <c r="B501" i="9"/>
  <c r="BQ494" i="9"/>
  <c r="BS490" i="9"/>
  <c r="B487" i="9"/>
  <c r="BP482" i="9"/>
  <c r="BP478" i="9"/>
  <c r="AA519" i="9"/>
  <c r="J507" i="9"/>
  <c r="N499" i="9"/>
  <c r="C494" i="9"/>
  <c r="D490" i="9"/>
  <c r="AC513" i="9"/>
  <c r="BI504" i="9"/>
  <c r="BJ496" i="9"/>
  <c r="BK492" i="9"/>
  <c r="AH542" i="9"/>
  <c r="AM509" i="9"/>
  <c r="BH501" i="9"/>
  <c r="Q495" i="9"/>
  <c r="Q491" i="9"/>
  <c r="AB487" i="9"/>
  <c r="L483" i="9"/>
  <c r="O479" i="9"/>
  <c r="AQ539" i="9"/>
  <c r="R509" i="9"/>
  <c r="AM501" i="9"/>
  <c r="F495" i="9"/>
  <c r="G491" i="9"/>
  <c r="O487" i="9"/>
  <c r="C483" i="9"/>
  <c r="E479" i="9"/>
  <c r="AA518" i="9"/>
  <c r="B507" i="9"/>
  <c r="D499" i="9"/>
  <c r="AH494" i="9"/>
  <c r="AJ492" i="9"/>
  <c r="AL490" i="9"/>
  <c r="AN488" i="9"/>
  <c r="AO486" i="9"/>
  <c r="W484" i="9"/>
  <c r="AH482" i="9"/>
  <c r="AN480" i="9"/>
  <c r="AJ478" i="9"/>
  <c r="B520" i="9"/>
  <c r="AL511" i="9"/>
  <c r="R507" i="9"/>
  <c r="AF504" i="9"/>
  <c r="BS501" i="9"/>
  <c r="W499" i="9"/>
  <c r="AQ496" i="9"/>
  <c r="V495" i="9"/>
  <c r="F494" i="9"/>
  <c r="A493" i="9"/>
  <c r="BV491" i="9"/>
  <c r="BU490" i="9"/>
  <c r="BV489" i="9"/>
  <c r="BV488" i="9"/>
  <c r="C488" i="9"/>
  <c r="D487" i="9"/>
  <c r="B486" i="9"/>
  <c r="BL484" i="9"/>
  <c r="BJ483" i="9"/>
  <c r="BR482" i="9"/>
  <c r="BU481" i="9"/>
  <c r="BX480" i="9"/>
  <c r="BV479" i="9"/>
  <c r="BR478" i="9"/>
  <c r="BY477" i="9"/>
  <c r="BU476" i="9"/>
  <c r="A476" i="9"/>
  <c r="AN514" i="9"/>
  <c r="AG497" i="9"/>
  <c r="L489" i="9"/>
  <c r="U486" i="9"/>
  <c r="AF483" i="9"/>
  <c r="BR480" i="9"/>
  <c r="O478" i="9"/>
  <c r="O476" i="9"/>
  <c r="BU474" i="9"/>
  <c r="BR473" i="9"/>
  <c r="BT472" i="9"/>
  <c r="BT471" i="9"/>
  <c r="BR470" i="9"/>
  <c r="BT469" i="9"/>
  <c r="E469" i="9"/>
  <c r="E468" i="9"/>
  <c r="A467" i="9"/>
  <c r="G466" i="9"/>
  <c r="N507" i="9"/>
  <c r="E494" i="9"/>
  <c r="BR487" i="9"/>
  <c r="C485" i="9"/>
  <c r="AM482" i="9"/>
  <c r="BL479" i="9"/>
  <c r="V477" i="9"/>
  <c r="AU475" i="9"/>
  <c r="AM474" i="9"/>
  <c r="AO473" i="9"/>
  <c r="AL472" i="9"/>
  <c r="AL471" i="9"/>
  <c r="AP470" i="9"/>
  <c r="AS469" i="9"/>
  <c r="AZ468" i="9"/>
  <c r="BA467" i="9"/>
  <c r="AW466" i="9"/>
  <c r="BF465" i="9"/>
  <c r="F503" i="9"/>
  <c r="BU491" i="9"/>
  <c r="R487" i="9"/>
  <c r="U484" i="9"/>
  <c r="BI481" i="9"/>
  <c r="G479" i="9"/>
  <c r="BI476" i="9"/>
  <c r="S475" i="9"/>
  <c r="R474" i="9"/>
  <c r="U473" i="9"/>
  <c r="R472" i="9"/>
  <c r="Q471" i="9"/>
  <c r="V470" i="9"/>
  <c r="AB469" i="9"/>
  <c r="AF468" i="9"/>
  <c r="AG467" i="9"/>
  <c r="AE466" i="9"/>
  <c r="BF510" i="9"/>
  <c r="BI495" i="9"/>
  <c r="AI488" i="9"/>
  <c r="BK485" i="9"/>
  <c r="BY482" i="9"/>
  <c r="AH480" i="9"/>
  <c r="BH477" i="9"/>
  <c r="BV475" i="9"/>
  <c r="BE474" i="9"/>
  <c r="BF473" i="9"/>
  <c r="BD472" i="9"/>
  <c r="BF471" i="9"/>
  <c r="BG470" i="9"/>
  <c r="BI469" i="9"/>
  <c r="BQ468" i="9"/>
  <c r="BR467" i="9"/>
  <c r="BN466" i="9"/>
  <c r="AE508" i="9"/>
  <c r="AV494" i="9"/>
  <c r="H488" i="9"/>
  <c r="Z485" i="9"/>
  <c r="AZ482" i="9"/>
  <c r="D480" i="9"/>
  <c r="AG477" i="9"/>
  <c r="BE475" i="9"/>
  <c r="AR474" i="9"/>
  <c r="AT473" i="9"/>
  <c r="AQ472" i="9"/>
  <c r="AS471" i="9"/>
  <c r="AU470" i="9"/>
  <c r="AX469" i="9"/>
  <c r="BH468" i="9"/>
  <c r="BH467" i="9"/>
  <c r="BE466" i="9"/>
  <c r="BK465" i="9"/>
  <c r="BP464" i="9"/>
  <c r="BQ463" i="9"/>
  <c r="C463" i="9"/>
  <c r="BL461" i="9"/>
  <c r="BK460" i="9"/>
  <c r="BM459" i="9"/>
  <c r="BM458" i="9"/>
  <c r="BO457" i="9"/>
  <c r="BR456" i="9"/>
  <c r="C456" i="9"/>
  <c r="BX454" i="9"/>
  <c r="BU453" i="9"/>
  <c r="A453" i="9"/>
  <c r="D452" i="9"/>
  <c r="G451" i="9"/>
  <c r="V506" i="9"/>
  <c r="AT493" i="9"/>
  <c r="BG487" i="9"/>
  <c r="BR484" i="9"/>
  <c r="V482" i="9"/>
  <c r="AU479" i="9"/>
  <c r="L477" i="9"/>
  <c r="AM475" i="9"/>
  <c r="AH474" i="9"/>
  <c r="AI473" i="9"/>
  <c r="AG472" i="9"/>
  <c r="AG471" i="9"/>
  <c r="AL470" i="9"/>
  <c r="AO469" i="9"/>
  <c r="AT468" i="9"/>
  <c r="AV467" i="9"/>
  <c r="AS466" i="9"/>
  <c r="AZ465" i="9"/>
  <c r="BD464" i="9"/>
  <c r="BG463" i="9"/>
  <c r="BQ462" i="9"/>
  <c r="BA461" i="9"/>
  <c r="AY460" i="9"/>
  <c r="BC459" i="9"/>
  <c r="BA458" i="9"/>
  <c r="BF457" i="9"/>
  <c r="BI456" i="9"/>
  <c r="BQ455" i="9"/>
  <c r="BM454" i="9"/>
  <c r="BL453" i="9"/>
  <c r="BP452" i="9"/>
  <c r="BT451" i="9"/>
  <c r="I504" i="9"/>
  <c r="AH492" i="9"/>
  <c r="AD487" i="9"/>
  <c r="AJ484" i="9"/>
  <c r="BT481" i="9"/>
  <c r="R479" i="9"/>
  <c r="BQ476" i="9"/>
  <c r="AA475" i="9"/>
  <c r="W474" i="9"/>
  <c r="Z473" i="9"/>
  <c r="W472" i="9"/>
  <c r="V471" i="9"/>
  <c r="AA470" i="9"/>
  <c r="AF469" i="9"/>
  <c r="AJ468" i="9"/>
  <c r="AM467" i="9"/>
  <c r="AI466" i="9"/>
  <c r="AP465" i="9"/>
  <c r="AQ464" i="9"/>
  <c r="AW463" i="9"/>
  <c r="BA462" i="9"/>
  <c r="AP461" i="9"/>
  <c r="AO460" i="9"/>
  <c r="AR459" i="9"/>
  <c r="AP458" i="9"/>
  <c r="AT457" i="9"/>
  <c r="AX456" i="9"/>
  <c r="BH455" i="9"/>
  <c r="BA454" i="9"/>
  <c r="BA453" i="9"/>
  <c r="BG452" i="9"/>
  <c r="BK451" i="9"/>
  <c r="BL450" i="9"/>
  <c r="AP478" i="9"/>
  <c r="N469" i="9"/>
  <c r="E465" i="9"/>
  <c r="AR463" i="9"/>
  <c r="BO461" i="9"/>
  <c r="R460" i="9"/>
  <c r="AV458" i="9"/>
  <c r="I457" i="9"/>
  <c r="BB455" i="9"/>
  <c r="BW453" i="9"/>
  <c r="AI452" i="9"/>
  <c r="D451" i="9"/>
  <c r="A450" i="9"/>
  <c r="U530" i="9"/>
  <c r="H557" i="9"/>
  <c r="BT516" i="9"/>
  <c r="BK497" i="9"/>
  <c r="W542" i="9"/>
  <c r="AQ522" i="9"/>
  <c r="BR511" i="9"/>
  <c r="D504" i="9"/>
  <c r="BU541" i="9"/>
  <c r="X522" i="9"/>
  <c r="BL532" i="9"/>
  <c r="AF516" i="9"/>
  <c r="Q538" i="9"/>
  <c r="AU519" i="9"/>
  <c r="W510" i="9"/>
  <c r="AN502" i="9"/>
  <c r="AK535" i="9"/>
  <c r="AS517" i="9"/>
  <c r="V509" i="9"/>
  <c r="AP501" i="9"/>
  <c r="AR519" i="9"/>
  <c r="L507" i="9"/>
  <c r="P499" i="9"/>
  <c r="D494" i="9"/>
  <c r="E490" i="9"/>
  <c r="I486" i="9"/>
  <c r="B482" i="9"/>
  <c r="F478" i="9"/>
  <c r="AI514" i="9"/>
  <c r="AN505" i="9"/>
  <c r="AA497" i="9"/>
  <c r="O493" i="9"/>
  <c r="J489" i="9"/>
  <c r="BT510" i="9"/>
  <c r="A503" i="9"/>
  <c r="BO495" i="9"/>
  <c r="BR491" i="9"/>
  <c r="BG524" i="9"/>
  <c r="BP507" i="9"/>
  <c r="BP499" i="9"/>
  <c r="AB494" i="9"/>
  <c r="AE490" i="9"/>
  <c r="AH486" i="9"/>
  <c r="AB482" i="9"/>
  <c r="AD478" i="9"/>
  <c r="AG522" i="9"/>
  <c r="AQ507" i="9"/>
  <c r="AT499" i="9"/>
  <c r="P494" i="9"/>
  <c r="R490" i="9"/>
  <c r="X486" i="9"/>
  <c r="O482" i="9"/>
  <c r="T478" i="9"/>
  <c r="U514" i="9"/>
  <c r="AE505" i="9"/>
  <c r="O497" i="9"/>
  <c r="G494" i="9"/>
  <c r="G492" i="9"/>
  <c r="H490" i="9"/>
  <c r="L488" i="9"/>
  <c r="L486" i="9"/>
  <c r="BS483" i="9"/>
  <c r="E482" i="9"/>
  <c r="I480" i="9"/>
  <c r="I478" i="9"/>
  <c r="BL515" i="9"/>
  <c r="AI510" i="9"/>
  <c r="AP506" i="9"/>
  <c r="L504" i="9"/>
  <c r="BB501" i="9"/>
  <c r="AQ498" i="9"/>
  <c r="AE496" i="9"/>
  <c r="M495" i="9"/>
  <c r="BN493" i="9"/>
  <c r="BO492" i="9"/>
  <c r="BL491" i="9"/>
  <c r="BL490" i="9"/>
  <c r="BL489" i="9"/>
  <c r="BN488" i="9"/>
  <c r="BS487" i="9"/>
  <c r="BS486" i="9"/>
  <c r="BQ485" i="9"/>
  <c r="AW484" i="9"/>
  <c r="AZ483" i="9"/>
  <c r="BJ482" i="9"/>
  <c r="BL481" i="9"/>
  <c r="BN480" i="9"/>
  <c r="BM479" i="9"/>
  <c r="BI478" i="9"/>
  <c r="BP477" i="9"/>
  <c r="BM476" i="9"/>
  <c r="BP475" i="9"/>
  <c r="BJ511" i="9"/>
  <c r="K496" i="9"/>
  <c r="AR488" i="9"/>
  <c r="BU485" i="9"/>
  <c r="H483" i="9"/>
  <c r="AR480" i="9"/>
  <c r="BT477" i="9"/>
  <c r="C476" i="9"/>
  <c r="BK474" i="9"/>
  <c r="BJ473" i="9"/>
  <c r="BH472" i="9"/>
  <c r="BJ471" i="9"/>
  <c r="BJ470" i="9"/>
  <c r="BL469" i="9"/>
  <c r="BT468" i="9"/>
  <c r="BU467" i="9"/>
  <c r="BQ466" i="9"/>
  <c r="BX465" i="9"/>
  <c r="AA505" i="9"/>
  <c r="I493" i="9"/>
  <c r="AU487" i="9"/>
  <c r="AV484" i="9"/>
  <c r="J482" i="9"/>
  <c r="AI479" i="9"/>
  <c r="C477" i="9"/>
  <c r="AG475" i="9"/>
  <c r="AD474" i="9"/>
  <c r="AE473" i="9"/>
  <c r="AC472" i="9"/>
  <c r="AC471" i="9"/>
  <c r="AF470" i="9"/>
  <c r="AK469" i="9"/>
  <c r="AP468" i="9"/>
  <c r="AR467" i="9"/>
  <c r="AO466" i="9"/>
  <c r="BK535" i="9"/>
  <c r="D501" i="9"/>
  <c r="BT490" i="9"/>
  <c r="BP486" i="9"/>
  <c r="BX483" i="9"/>
  <c r="AI481" i="9"/>
  <c r="BE478" i="9"/>
  <c r="AP476" i="9"/>
  <c r="K475" i="9"/>
  <c r="I474" i="9"/>
  <c r="K473" i="9"/>
  <c r="J472" i="9"/>
  <c r="I471" i="9"/>
  <c r="L470" i="9"/>
  <c r="T469" i="9"/>
  <c r="V468" i="9"/>
  <c r="R467" i="9"/>
  <c r="V466" i="9"/>
  <c r="AU508" i="9"/>
  <c r="BG494" i="9"/>
  <c r="J488" i="9"/>
  <c r="AA485" i="9"/>
  <c r="BF482" i="9"/>
  <c r="F480" i="9"/>
  <c r="AI477" i="9"/>
  <c r="BH475" i="9"/>
  <c r="AS474" i="9"/>
  <c r="AU473" i="9"/>
  <c r="AR472" i="9"/>
  <c r="AT471" i="9"/>
  <c r="AV470" i="9"/>
  <c r="AY469" i="9"/>
  <c r="BI468" i="9"/>
  <c r="BI467" i="9"/>
  <c r="BF466" i="9"/>
  <c r="AM506" i="9"/>
  <c r="BD493" i="9"/>
  <c r="BI487" i="9"/>
  <c r="BS484" i="9"/>
  <c r="AC482" i="9"/>
  <c r="AW479" i="9"/>
  <c r="N477" i="9"/>
  <c r="AN475" i="9"/>
  <c r="AI474" i="9"/>
  <c r="AL473" i="9"/>
  <c r="AH472" i="9"/>
  <c r="AH471" i="9"/>
  <c r="AM470" i="9"/>
  <c r="AP469" i="9"/>
  <c r="AU468" i="9"/>
  <c r="AW467" i="9"/>
  <c r="AT466" i="9"/>
  <c r="BA465" i="9"/>
  <c r="BE464" i="9"/>
  <c r="BI463" i="9"/>
  <c r="BR462" i="9"/>
  <c r="BD461" i="9"/>
  <c r="AZ460" i="9"/>
  <c r="BD459" i="9"/>
  <c r="BD458" i="9"/>
  <c r="BG457" i="9"/>
  <c r="BJ456" i="9"/>
  <c r="BR455" i="9"/>
  <c r="BN454" i="9"/>
  <c r="BM453" i="9"/>
  <c r="BQ452" i="9"/>
  <c r="BU451" i="9"/>
  <c r="BX450" i="9"/>
  <c r="AC504" i="9"/>
  <c r="AP492" i="9"/>
  <c r="AF487" i="9"/>
  <c r="AL484" i="9"/>
  <c r="BY481" i="9"/>
  <c r="U479" i="9"/>
  <c r="BR476" i="9"/>
  <c r="AB475" i="9"/>
  <c r="Z474" i="9"/>
  <c r="AA473" i="9"/>
  <c r="X472" i="9"/>
  <c r="W471" i="9"/>
  <c r="AB470" i="9"/>
  <c r="AG469" i="9"/>
  <c r="AL468" i="9"/>
  <c r="AN467" i="9"/>
  <c r="AJ466" i="9"/>
  <c r="AQ465" i="9"/>
  <c r="AR464" i="9"/>
  <c r="AX463" i="9"/>
  <c r="BD462" i="9"/>
  <c r="AQ461" i="9"/>
  <c r="AP460" i="9"/>
  <c r="AS459" i="9"/>
  <c r="AQ458" i="9"/>
  <c r="AU457" i="9"/>
  <c r="AY456" i="9"/>
  <c r="BI455" i="9"/>
  <c r="BB454" i="9"/>
  <c r="BD453" i="9"/>
  <c r="BH452" i="9"/>
  <c r="BL451" i="9"/>
  <c r="J502" i="9"/>
  <c r="AE491" i="9"/>
  <c r="C487" i="9"/>
  <c r="H484" i="9"/>
  <c r="AW481" i="9"/>
  <c r="BQ478" i="9"/>
  <c r="AZ476" i="9"/>
  <c r="O475" i="9"/>
  <c r="M474" i="9"/>
  <c r="O473" i="9"/>
  <c r="N472" i="9"/>
  <c r="M471" i="9"/>
  <c r="P470" i="9"/>
  <c r="AT522" i="9"/>
  <c r="AO554" i="9"/>
  <c r="F543" i="9"/>
  <c r="AB542" i="9"/>
  <c r="AU540" i="9"/>
  <c r="Z521" i="9"/>
  <c r="T511" i="9"/>
  <c r="AE503" i="9"/>
  <c r="W540" i="9"/>
  <c r="G521" i="9"/>
  <c r="J531" i="9"/>
  <c r="BG515" i="9"/>
  <c r="AQ536" i="9"/>
  <c r="AD518" i="9"/>
  <c r="AZ509" i="9"/>
  <c r="BR501" i="9"/>
  <c r="AW533" i="9"/>
  <c r="BN516" i="9"/>
  <c r="AV508" i="9"/>
  <c r="BJ500" i="9"/>
  <c r="AR517" i="9"/>
  <c r="BS506" i="9"/>
  <c r="BW498" i="9"/>
  <c r="BT493" i="9"/>
  <c r="BT489" i="9"/>
  <c r="BX485" i="9"/>
  <c r="BS481" i="9"/>
  <c r="BV477" i="9"/>
  <c r="I514" i="9"/>
  <c r="V505" i="9"/>
  <c r="I497" i="9"/>
  <c r="F493" i="9"/>
  <c r="B489" i="9"/>
  <c r="AU510" i="9"/>
  <c r="BH502" i="9"/>
  <c r="BC495" i="9"/>
  <c r="BE491" i="9"/>
  <c r="AY522" i="9"/>
  <c r="AS507" i="9"/>
  <c r="AV499" i="9"/>
  <c r="R494" i="9"/>
  <c r="U490" i="9"/>
  <c r="Z486" i="9"/>
  <c r="P482" i="9"/>
  <c r="U478" i="9"/>
  <c r="AN520" i="9"/>
  <c r="V507" i="9"/>
  <c r="AB499" i="9"/>
  <c r="H494" i="9"/>
  <c r="I490" i="9"/>
  <c r="M486" i="9"/>
  <c r="F482" i="9"/>
  <c r="J478" i="9"/>
  <c r="BV513" i="9"/>
  <c r="K505" i="9"/>
  <c r="C497" i="9"/>
  <c r="BX493" i="9"/>
  <c r="BX491" i="9"/>
  <c r="BY489" i="9"/>
  <c r="D488" i="9"/>
  <c r="C486" i="9"/>
  <c r="BK483" i="9"/>
  <c r="BV481" i="9"/>
  <c r="BX479" i="9"/>
  <c r="A478" i="9"/>
  <c r="AO515" i="9"/>
  <c r="N510" i="9"/>
  <c r="Z506" i="9"/>
  <c r="BQ503" i="9"/>
  <c r="AE501" i="9"/>
  <c r="R498" i="9"/>
  <c r="V496" i="9"/>
  <c r="D495" i="9"/>
  <c r="BF493" i="9"/>
  <c r="AZ492" i="9"/>
  <c r="AW491" i="9"/>
  <c r="BD490" i="9"/>
  <c r="AW489" i="9"/>
  <c r="BF488" i="9"/>
  <c r="BJ487" i="9"/>
  <c r="BI486" i="9"/>
  <c r="BF485" i="9"/>
  <c r="AO484" i="9"/>
  <c r="AQ483" i="9"/>
  <c r="BA482" i="9"/>
  <c r="BD481" i="9"/>
  <c r="BF480" i="9"/>
  <c r="AZ479" i="9"/>
  <c r="AY478" i="9"/>
  <c r="BA477" i="9"/>
  <c r="BD476" i="9"/>
  <c r="BA475" i="9"/>
  <c r="AD509" i="9"/>
  <c r="L495" i="9"/>
  <c r="S488" i="9"/>
  <c r="AQ485" i="9"/>
  <c r="BN482" i="9"/>
  <c r="O480" i="9"/>
  <c r="AP477" i="9"/>
  <c r="BO475" i="9"/>
  <c r="AV474" i="9"/>
  <c r="AZ473" i="9"/>
  <c r="AU472" i="9"/>
  <c r="AW471" i="9"/>
  <c r="BA470" i="9"/>
  <c r="BC469" i="9"/>
  <c r="BL468" i="9"/>
  <c r="BM467" i="9"/>
  <c r="BI466" i="9"/>
  <c r="BO465" i="9"/>
  <c r="W503" i="9"/>
  <c r="E492" i="9"/>
  <c r="T487" i="9"/>
  <c r="AB484" i="9"/>
  <c r="BK481" i="9"/>
  <c r="I479" i="9"/>
  <c r="BJ476" i="9"/>
  <c r="U475" i="9"/>
  <c r="S474" i="9"/>
  <c r="V473" i="9"/>
  <c r="S472" i="9"/>
  <c r="R471" i="9"/>
  <c r="W470" i="9"/>
  <c r="AC469" i="9"/>
  <c r="AG468" i="9"/>
  <c r="AI467" i="9"/>
  <c r="AF466" i="9"/>
  <c r="BJ517" i="9"/>
  <c r="BY498" i="9"/>
  <c r="BU489" i="9"/>
  <c r="AM486" i="9"/>
  <c r="AV483" i="9"/>
  <c r="K481" i="9"/>
  <c r="AH478" i="9"/>
  <c r="X476" i="9"/>
  <c r="C475" i="9"/>
  <c r="BY473" i="9"/>
  <c r="B473" i="9"/>
  <c r="A472" i="9"/>
  <c r="BY470" i="9"/>
  <c r="C470" i="9"/>
  <c r="K469" i="9"/>
  <c r="L468" i="9"/>
  <c r="G467" i="9"/>
  <c r="M466" i="9"/>
  <c r="BD506" i="9"/>
  <c r="BM493" i="9"/>
  <c r="BO487" i="9"/>
  <c r="BU484" i="9"/>
  <c r="AD482" i="9"/>
  <c r="BF479" i="9"/>
  <c r="P477" i="9"/>
  <c r="AR475" i="9"/>
  <c r="AJ474" i="9"/>
  <c r="AM473" i="9"/>
  <c r="AI472" i="9"/>
  <c r="AI471" i="9"/>
  <c r="AN470" i="9"/>
  <c r="AQ469" i="9"/>
  <c r="AV468" i="9"/>
  <c r="AY467" i="9"/>
  <c r="AU466" i="9"/>
  <c r="AU504" i="9"/>
  <c r="AX492" i="9"/>
  <c r="AM487" i="9"/>
  <c r="AN484" i="9"/>
  <c r="A482" i="9"/>
  <c r="AA479" i="9"/>
  <c r="BT476" i="9"/>
  <c r="AC475" i="9"/>
  <c r="AA474" i="9"/>
  <c r="AB473" i="9"/>
  <c r="Z472" i="9"/>
  <c r="Z471" i="9"/>
  <c r="AC470" i="9"/>
  <c r="AH469" i="9"/>
  <c r="AM468" i="9"/>
  <c r="AO467" i="9"/>
  <c r="AL466" i="9"/>
  <c r="AR465" i="9"/>
  <c r="AS464" i="9"/>
  <c r="AY463" i="9"/>
  <c r="BE462" i="9"/>
  <c r="AR461" i="9"/>
  <c r="AQ460" i="9"/>
  <c r="AT459" i="9"/>
  <c r="AR458" i="9"/>
  <c r="AV457" i="9"/>
  <c r="AZ456" i="9"/>
  <c r="BJ455" i="9"/>
  <c r="BC454" i="9"/>
  <c r="BE453" i="9"/>
  <c r="BI452" i="9"/>
  <c r="BM451" i="9"/>
  <c r="BO450" i="9"/>
  <c r="AC502" i="9"/>
  <c r="AN491" i="9"/>
  <c r="I487" i="9"/>
  <c r="J484" i="9"/>
  <c r="AY481" i="9"/>
  <c r="BX478" i="9"/>
  <c r="BA476" i="9"/>
  <c r="P475" i="9"/>
  <c r="N474" i="9"/>
  <c r="P473" i="9"/>
  <c r="O472" i="9"/>
  <c r="N471" i="9"/>
  <c r="R470" i="9"/>
  <c r="Y469" i="9"/>
  <c r="AC468" i="9"/>
  <c r="AB467" i="9"/>
  <c r="AB466" i="9"/>
  <c r="AH465" i="9"/>
  <c r="AI464" i="9"/>
  <c r="AP463" i="9"/>
  <c r="AR462" i="9"/>
  <c r="AH461" i="9"/>
  <c r="AG460" i="9"/>
  <c r="AI459" i="9"/>
  <c r="AH458" i="9"/>
  <c r="AM457" i="9"/>
  <c r="AQ456" i="9"/>
  <c r="AZ455" i="9"/>
  <c r="AR454" i="9"/>
  <c r="AS453" i="9"/>
  <c r="AW452" i="9"/>
  <c r="BF525" i="9"/>
  <c r="A500" i="9"/>
  <c r="AI490" i="9"/>
  <c r="BD486" i="9"/>
  <c r="BI483" i="9"/>
  <c r="W481" i="9"/>
  <c r="AU478" i="9"/>
  <c r="AF476" i="9"/>
  <c r="G475" i="9"/>
  <c r="D474" i="9"/>
  <c r="F473" i="9"/>
  <c r="E472" i="9"/>
  <c r="D471" i="9"/>
  <c r="H470" i="9"/>
  <c r="O469" i="9"/>
  <c r="P468" i="9"/>
  <c r="M467" i="9"/>
  <c r="Q466" i="9"/>
  <c r="X465" i="9"/>
  <c r="Z464" i="9"/>
  <c r="AG463" i="9"/>
  <c r="AE462" i="9"/>
  <c r="X461" i="9"/>
  <c r="V460" i="9"/>
  <c r="Z459" i="9"/>
  <c r="X458" i="9"/>
  <c r="AB457" i="9"/>
  <c r="AH456" i="9"/>
  <c r="AO455" i="9"/>
  <c r="AD551" i="9"/>
  <c r="D545" i="9"/>
  <c r="N525" i="9"/>
  <c r="R533" i="9"/>
  <c r="B537" i="9"/>
  <c r="BC518" i="9"/>
  <c r="BN509" i="9"/>
  <c r="G502" i="9"/>
  <c r="AZ536" i="9"/>
  <c r="AI518" i="9"/>
  <c r="AQ527" i="9"/>
  <c r="AH514" i="9"/>
  <c r="BG532" i="9"/>
  <c r="AE516" i="9"/>
  <c r="Y508" i="9"/>
  <c r="AF500" i="9"/>
  <c r="D530" i="9"/>
  <c r="AB515" i="9"/>
  <c r="AA507" i="9"/>
  <c r="AE499" i="9"/>
  <c r="K514" i="9"/>
  <c r="X505" i="9"/>
  <c r="J497" i="9"/>
  <c r="H493" i="9"/>
  <c r="C489" i="9"/>
  <c r="BT484" i="9"/>
  <c r="E481" i="9"/>
  <c r="D477" i="9"/>
  <c r="AX511" i="9"/>
  <c r="AL503" i="9"/>
  <c r="I496" i="9"/>
  <c r="L492" i="9"/>
  <c r="BC534" i="9"/>
  <c r="BL508" i="9"/>
  <c r="BW500" i="9"/>
  <c r="BO494" i="9"/>
  <c r="BQ490" i="9"/>
  <c r="BW514" i="9"/>
  <c r="BT505" i="9"/>
  <c r="BL497" i="9"/>
  <c r="AF493" i="9"/>
  <c r="AA489" i="9"/>
  <c r="X485" i="9"/>
  <c r="AE481" i="9"/>
  <c r="AC477" i="9"/>
  <c r="AV514" i="9"/>
  <c r="AY505" i="9"/>
  <c r="AO497" i="9"/>
  <c r="V493" i="9"/>
  <c r="O489" i="9"/>
  <c r="H485" i="9"/>
  <c r="R481" i="9"/>
  <c r="Q477" i="9"/>
  <c r="AN511" i="9"/>
  <c r="AD503" i="9"/>
  <c r="E496" i="9"/>
  <c r="BO493" i="9"/>
  <c r="BO491" i="9"/>
  <c r="BO489" i="9"/>
  <c r="BT487" i="9"/>
  <c r="BR485" i="9"/>
  <c r="BA483" i="9"/>
  <c r="BN481" i="9"/>
  <c r="BO479" i="9"/>
  <c r="BQ477" i="9"/>
  <c r="N515" i="9"/>
  <c r="BT509" i="9"/>
  <c r="H506" i="9"/>
  <c r="AS503" i="9"/>
  <c r="AO500" i="9"/>
  <c r="B498" i="9"/>
  <c r="L496" i="9"/>
  <c r="AW494" i="9"/>
  <c r="AU493" i="9"/>
  <c r="AQ492" i="9"/>
  <c r="AO491" i="9"/>
  <c r="AS490" i="9"/>
  <c r="AO489" i="9"/>
  <c r="AU488" i="9"/>
  <c r="BA487" i="9"/>
  <c r="AV486" i="9"/>
  <c r="AT485" i="9"/>
  <c r="AF484" i="9"/>
  <c r="AI483" i="9"/>
  <c r="AQ482" i="9"/>
  <c r="AS481" i="9"/>
  <c r="AU480" i="9"/>
  <c r="AN479" i="9"/>
  <c r="AQ478" i="9"/>
  <c r="AQ477" i="9"/>
  <c r="AT476" i="9"/>
  <c r="AQ475" i="9"/>
  <c r="AH507" i="9"/>
  <c r="M494" i="9"/>
  <c r="BX487" i="9"/>
  <c r="E485" i="9"/>
  <c r="AN482" i="9"/>
  <c r="BR479" i="9"/>
  <c r="X477" i="9"/>
  <c r="AV475" i="9"/>
  <c r="AN474" i="9"/>
  <c r="AP473" i="9"/>
  <c r="AM472" i="9"/>
  <c r="AM471" i="9"/>
  <c r="AQ470" i="9"/>
  <c r="AT469" i="9"/>
  <c r="BA468" i="9"/>
  <c r="BD467" i="9"/>
  <c r="AY466" i="9"/>
  <c r="AN538" i="9"/>
  <c r="AA501" i="9"/>
  <c r="D491" i="9"/>
  <c r="BR486" i="9"/>
  <c r="BY483" i="9"/>
  <c r="AO481" i="9"/>
  <c r="BG478" i="9"/>
  <c r="AQ476" i="9"/>
  <c r="L475" i="9"/>
  <c r="J474" i="9"/>
  <c r="L473" i="9"/>
  <c r="K472" i="9"/>
  <c r="J471" i="9"/>
  <c r="M470" i="9"/>
  <c r="U469" i="9"/>
  <c r="W468" i="9"/>
  <c r="W467" i="9"/>
  <c r="W466" i="9"/>
  <c r="BP513" i="9"/>
  <c r="A497" i="9"/>
  <c r="BU488" i="9"/>
  <c r="O486" i="9"/>
  <c r="Z483" i="9"/>
  <c r="BK480" i="9"/>
  <c r="L478" i="9"/>
  <c r="L476" i="9"/>
  <c r="BS474" i="9"/>
  <c r="BP473" i="9"/>
  <c r="BR472" i="9"/>
  <c r="BR471" i="9"/>
  <c r="BP470" i="9"/>
  <c r="BR469" i="9"/>
  <c r="C469" i="9"/>
  <c r="C468" i="9"/>
  <c r="BX466" i="9"/>
  <c r="E466" i="9"/>
  <c r="BN504" i="9"/>
  <c r="BN492" i="9"/>
  <c r="AN487" i="9"/>
  <c r="AS484" i="9"/>
  <c r="C482" i="9"/>
  <c r="AB479" i="9"/>
  <c r="BW476" i="9"/>
  <c r="AD475" i="9"/>
  <c r="AB474" i="9"/>
  <c r="AC473" i="9"/>
  <c r="AA472" i="9"/>
  <c r="AA471" i="9"/>
  <c r="AD470" i="9"/>
  <c r="AI469" i="9"/>
  <c r="AN468" i="9"/>
  <c r="AP467" i="9"/>
  <c r="AM466" i="9"/>
  <c r="AT502" i="9"/>
  <c r="AV491" i="9"/>
  <c r="J487" i="9"/>
  <c r="O484" i="9"/>
  <c r="BA481" i="9"/>
  <c r="BY478" i="9"/>
  <c r="BC476" i="9"/>
  <c r="Q475" i="9"/>
  <c r="O474" i="9"/>
  <c r="R473" i="9"/>
  <c r="P472" i="9"/>
  <c r="O471" i="9"/>
  <c r="T470" i="9"/>
  <c r="Z469" i="9"/>
  <c r="AD468" i="9"/>
  <c r="AC467" i="9"/>
  <c r="AC466" i="9"/>
  <c r="AI465" i="9"/>
  <c r="AJ464" i="9"/>
  <c r="AQ463" i="9"/>
  <c r="AS462" i="9"/>
  <c r="AI461" i="9"/>
  <c r="AH460" i="9"/>
  <c r="AL459" i="9"/>
  <c r="AI458" i="9"/>
  <c r="AN457" i="9"/>
  <c r="AR456" i="9"/>
  <c r="BA455" i="9"/>
  <c r="AS454" i="9"/>
  <c r="AT453" i="9"/>
  <c r="AZ452" i="9"/>
  <c r="BA451" i="9"/>
  <c r="BE527" i="9"/>
  <c r="T500" i="9"/>
  <c r="AR490" i="9"/>
  <c r="BE486" i="9"/>
  <c r="BN483" i="9"/>
  <c r="AA481" i="9"/>
  <c r="AV478" i="9"/>
  <c r="AG476" i="9"/>
  <c r="H475" i="9"/>
  <c r="E474" i="9"/>
  <c r="H473" i="9"/>
  <c r="F472" i="9"/>
  <c r="E471" i="9"/>
  <c r="I470" i="9"/>
  <c r="P469" i="9"/>
  <c r="Q468" i="9"/>
  <c r="N467" i="9"/>
  <c r="R466" i="9"/>
  <c r="Z465" i="9"/>
  <c r="AA464" i="9"/>
  <c r="AH463" i="9"/>
  <c r="AG462" i="9"/>
  <c r="Z461" i="9"/>
  <c r="W460" i="9"/>
  <c r="AA459" i="9"/>
  <c r="Z458" i="9"/>
  <c r="AC457" i="9"/>
  <c r="AI456" i="9"/>
  <c r="AP455" i="9"/>
  <c r="AH454" i="9"/>
  <c r="AJ453" i="9"/>
  <c r="AO452" i="9"/>
  <c r="L515" i="9"/>
  <c r="BV497" i="9"/>
  <c r="AE489" i="9"/>
  <c r="AB486" i="9"/>
  <c r="AM483" i="9"/>
  <c r="BU480" i="9"/>
  <c r="W478" i="9"/>
  <c r="Q476" i="9"/>
  <c r="BX474" i="9"/>
  <c r="BT473" i="9"/>
  <c r="BV472" i="9"/>
  <c r="BV471" i="9"/>
  <c r="BT470" i="9"/>
  <c r="BX469" i="9"/>
  <c r="G469" i="9"/>
  <c r="G468" i="9"/>
  <c r="C467" i="9"/>
  <c r="I466" i="9"/>
  <c r="O465" i="9"/>
  <c r="P464" i="9"/>
  <c r="Y463" i="9"/>
  <c r="N462" i="9"/>
  <c r="M461" i="9"/>
  <c r="L460" i="9"/>
  <c r="O459" i="9"/>
  <c r="N458" i="9"/>
  <c r="R457" i="9"/>
  <c r="Z456" i="9"/>
  <c r="AA455" i="9"/>
  <c r="W454" i="9"/>
  <c r="AA453" i="9"/>
  <c r="AD452" i="9"/>
  <c r="AG451" i="9"/>
  <c r="BG499" i="9"/>
  <c r="C474" i="9"/>
  <c r="Z466" i="9"/>
  <c r="AL464" i="9"/>
  <c r="E463" i="9"/>
  <c r="U461" i="9"/>
  <c r="AZ459" i="9"/>
  <c r="E458" i="9"/>
  <c r="AS456" i="9"/>
  <c r="A455" i="9"/>
  <c r="AF453" i="9"/>
  <c r="BQ451" i="9"/>
  <c r="AS450" i="9"/>
  <c r="AU449" i="9"/>
  <c r="BO547" i="9"/>
  <c r="BR534" i="9"/>
  <c r="AF528" i="9"/>
  <c r="BT488" i="9"/>
  <c r="B532" i="9"/>
  <c r="W493" i="9"/>
  <c r="L493" i="9"/>
  <c r="AN493" i="9"/>
  <c r="BR538" i="9"/>
  <c r="AO494" i="9"/>
  <c r="AN486" i="9"/>
  <c r="AI478" i="9"/>
  <c r="L482" i="9"/>
  <c r="AG470" i="9"/>
  <c r="AR486" i="9"/>
  <c r="B472" i="9"/>
  <c r="BR495" i="9"/>
  <c r="BG473" i="9"/>
  <c r="BU465" i="9"/>
  <c r="R475" i="9"/>
  <c r="AE467" i="9"/>
  <c r="AI476" i="9"/>
  <c r="R468" i="9"/>
  <c r="Z460" i="9"/>
  <c r="AP452" i="9"/>
  <c r="Z478" i="9"/>
  <c r="H469" i="9"/>
  <c r="N461" i="9"/>
  <c r="AB453" i="9"/>
  <c r="BX477" i="9"/>
  <c r="X469" i="9"/>
  <c r="BK466" i="9"/>
  <c r="BA464" i="9"/>
  <c r="BP462" i="9"/>
  <c r="AW460" i="9"/>
  <c r="AZ458" i="9"/>
  <c r="BG456" i="9"/>
  <c r="BT454" i="9"/>
  <c r="AR453" i="9"/>
  <c r="U452" i="9"/>
  <c r="E451" i="9"/>
  <c r="AD476" i="9"/>
  <c r="BP465" i="9"/>
  <c r="BS463" i="9"/>
  <c r="AV461" i="9"/>
  <c r="AM459" i="9"/>
  <c r="AO457" i="9"/>
  <c r="AL455" i="9"/>
  <c r="N453" i="9"/>
  <c r="AD451" i="9"/>
  <c r="BP449" i="9"/>
  <c r="BG448" i="9"/>
  <c r="BJ447" i="9"/>
  <c r="BQ446" i="9"/>
  <c r="BY445" i="9"/>
  <c r="G445" i="9"/>
  <c r="J444" i="9"/>
  <c r="M443" i="9"/>
  <c r="P442" i="9"/>
  <c r="R441" i="9"/>
  <c r="L440" i="9"/>
  <c r="Q439" i="9"/>
  <c r="K438" i="9"/>
  <c r="L437" i="9"/>
  <c r="H436" i="9"/>
  <c r="G435" i="9"/>
  <c r="J434" i="9"/>
  <c r="K433" i="9"/>
  <c r="P432" i="9"/>
  <c r="AW497" i="9"/>
  <c r="BS473" i="9"/>
  <c r="U466" i="9"/>
  <c r="AG464" i="9"/>
  <c r="D463" i="9"/>
  <c r="R461" i="9"/>
  <c r="AW459" i="9"/>
  <c r="D458" i="9"/>
  <c r="AO456" i="9"/>
  <c r="BY454" i="9"/>
  <c r="AE453" i="9"/>
  <c r="BP451" i="9"/>
  <c r="AR450" i="9"/>
  <c r="AT449" i="9"/>
  <c r="AU448" i="9"/>
  <c r="AX447" i="9"/>
  <c r="BE446" i="9"/>
  <c r="BN445" i="9"/>
  <c r="BW444" i="9"/>
  <c r="BY443" i="9"/>
  <c r="D443" i="9"/>
  <c r="F442" i="9"/>
  <c r="I441" i="9"/>
  <c r="C440" i="9"/>
  <c r="H439" i="9"/>
  <c r="B438" i="9"/>
  <c r="A437" i="9"/>
  <c r="BX435" i="9"/>
  <c r="BW434" i="9"/>
  <c r="A434" i="9"/>
  <c r="B433" i="9"/>
  <c r="N512" i="9"/>
  <c r="BL474" i="9"/>
  <c r="BR466" i="9"/>
  <c r="AU464" i="9"/>
  <c r="N463" i="9"/>
  <c r="AE461" i="9"/>
  <c r="BJ459" i="9"/>
  <c r="Q458" i="9"/>
  <c r="BC456" i="9"/>
  <c r="K455" i="9"/>
  <c r="AP453" i="9"/>
  <c r="A452" i="9"/>
  <c r="BD450" i="9"/>
  <c r="BC449" i="9"/>
  <c r="BD448" i="9"/>
  <c r="BG447" i="9"/>
  <c r="BO446" i="9"/>
  <c r="BW445" i="9"/>
  <c r="E445" i="9"/>
  <c r="H444" i="9"/>
  <c r="K443" i="9"/>
  <c r="N442" i="9"/>
  <c r="P441" i="9"/>
  <c r="J440" i="9"/>
  <c r="O439" i="9"/>
  <c r="I438" i="9"/>
  <c r="H437" i="9"/>
  <c r="F436" i="9"/>
  <c r="E435" i="9"/>
  <c r="H434" i="9"/>
  <c r="I433" i="9"/>
  <c r="N432" i="9"/>
  <c r="Z488" i="9"/>
  <c r="AV472" i="9"/>
  <c r="BH465" i="9"/>
  <c r="O464" i="9"/>
  <c r="BF462" i="9"/>
  <c r="BV460" i="9"/>
  <c r="AE459" i="9"/>
  <c r="BK457" i="9"/>
  <c r="Y456" i="9"/>
  <c r="BD454" i="9"/>
  <c r="K453" i="9"/>
  <c r="AV451" i="9"/>
  <c r="AG450" i="9"/>
  <c r="AH449" i="9"/>
  <c r="AI448" i="9"/>
  <c r="AN447" i="9"/>
  <c r="AS446" i="9"/>
  <c r="BC445" i="9"/>
  <c r="BM444" i="9"/>
  <c r="BO443" i="9"/>
  <c r="BQ442" i="9"/>
  <c r="BT441" i="9"/>
  <c r="BV440" i="9"/>
  <c r="BQ439" i="9"/>
  <c r="BU438" i="9"/>
  <c r="BN437" i="9"/>
  <c r="BM436" i="9"/>
  <c r="BL435" i="9"/>
  <c r="BK434" i="9"/>
  <c r="BL433" i="9"/>
  <c r="BQ432" i="9"/>
  <c r="W494" i="9"/>
  <c r="AQ473" i="9"/>
  <c r="H466" i="9"/>
  <c r="AD464" i="9"/>
  <c r="BU462" i="9"/>
  <c r="K461" i="9"/>
  <c r="AQ459" i="9"/>
  <c r="A458" i="9"/>
  <c r="AL456" i="9"/>
  <c r="BQ454" i="9"/>
  <c r="W453" i="9"/>
  <c r="BH451" i="9"/>
  <c r="AO450" i="9"/>
  <c r="AQ449" i="9"/>
  <c r="AR448" i="9"/>
  <c r="AU447" i="9"/>
  <c r="AZ446" i="9"/>
  <c r="BK445" i="9"/>
  <c r="BT444" i="9"/>
  <c r="BV443" i="9"/>
  <c r="A443" i="9"/>
  <c r="C442" i="9"/>
  <c r="F441" i="9"/>
  <c r="BY439" i="9"/>
  <c r="D439" i="9"/>
  <c r="BX437" i="9"/>
  <c r="BT436" i="9"/>
  <c r="BS435" i="9"/>
  <c r="BT434" i="9"/>
  <c r="BU433" i="9"/>
  <c r="BX432" i="9"/>
  <c r="D432" i="9"/>
  <c r="E431" i="9"/>
  <c r="A430" i="9"/>
  <c r="D429" i="9"/>
  <c r="G428" i="9"/>
  <c r="G427" i="9"/>
  <c r="H426" i="9"/>
  <c r="L425" i="9"/>
  <c r="K424" i="9"/>
  <c r="I423" i="9"/>
  <c r="M422" i="9"/>
  <c r="L421" i="9"/>
  <c r="O420" i="9"/>
  <c r="B419" i="9"/>
  <c r="B418" i="9"/>
  <c r="BY416" i="9"/>
  <c r="I416" i="9"/>
  <c r="I415" i="9"/>
  <c r="J414" i="9"/>
  <c r="R482" i="9"/>
  <c r="AH470" i="9"/>
  <c r="AB465" i="9"/>
  <c r="BK463" i="9"/>
  <c r="I462" i="9"/>
  <c r="AM460" i="9"/>
  <c r="BS458" i="9"/>
  <c r="AE457" i="9"/>
  <c r="BT455" i="9"/>
  <c r="T454" i="9"/>
  <c r="BD452" i="9"/>
  <c r="U451" i="9"/>
  <c r="L450" i="9"/>
  <c r="L449" i="9"/>
  <c r="N448" i="9"/>
  <c r="V447" i="9"/>
  <c r="AA446" i="9"/>
  <c r="AI445" i="9"/>
  <c r="AP444" i="9"/>
  <c r="AS443" i="9"/>
  <c r="AU442" i="9"/>
  <c r="AZ441" i="9"/>
  <c r="BF543" i="9"/>
  <c r="Y517" i="9"/>
  <c r="BH514" i="9"/>
  <c r="BH484" i="9"/>
  <c r="AP508" i="9"/>
  <c r="P489" i="9"/>
  <c r="G489" i="9"/>
  <c r="AG491" i="9"/>
  <c r="R514" i="9"/>
  <c r="AM493" i="9"/>
  <c r="AE485" i="9"/>
  <c r="AH477" i="9"/>
  <c r="AJ479" i="9"/>
  <c r="AL469" i="9"/>
  <c r="AX483" i="9"/>
  <c r="A471" i="9"/>
  <c r="AL488" i="9"/>
  <c r="BE472" i="9"/>
  <c r="BN502" i="9"/>
  <c r="P474" i="9"/>
  <c r="AA530" i="9"/>
  <c r="I475" i="9"/>
  <c r="O467" i="9"/>
  <c r="AB459" i="9"/>
  <c r="AR451" i="9"/>
  <c r="T476" i="9"/>
  <c r="I468" i="9"/>
  <c r="M460" i="9"/>
  <c r="AE452" i="9"/>
  <c r="F476" i="9"/>
  <c r="BX468" i="9"/>
  <c r="AA466" i="9"/>
  <c r="AH464" i="9"/>
  <c r="AQ462" i="9"/>
  <c r="AF460" i="9"/>
  <c r="AG458" i="9"/>
  <c r="AP456" i="9"/>
  <c r="BL454" i="9"/>
  <c r="AI453" i="9"/>
  <c r="L452" i="9"/>
  <c r="BU450" i="9"/>
  <c r="F475" i="9"/>
  <c r="AV465" i="9"/>
  <c r="BD463" i="9"/>
  <c r="AJ461" i="9"/>
  <c r="U459" i="9"/>
  <c r="X457" i="9"/>
  <c r="M455" i="9"/>
  <c r="C453" i="9"/>
  <c r="Q451" i="9"/>
  <c r="BF449" i="9"/>
  <c r="AV448" i="9"/>
  <c r="AZ447" i="9"/>
  <c r="BF446" i="9"/>
  <c r="BO445" i="9"/>
  <c r="BX444" i="9"/>
  <c r="A444" i="9"/>
  <c r="E443" i="9"/>
  <c r="H442" i="9"/>
  <c r="J441" i="9"/>
  <c r="D440" i="9"/>
  <c r="I439" i="9"/>
  <c r="C438" i="9"/>
  <c r="B437" i="9"/>
  <c r="BY435" i="9"/>
  <c r="BX434" i="9"/>
  <c r="B434" i="9"/>
  <c r="C433" i="9"/>
  <c r="H432" i="9"/>
  <c r="V489" i="9"/>
  <c r="BU472" i="9"/>
  <c r="BM465" i="9"/>
  <c r="U464" i="9"/>
  <c r="BK462" i="9"/>
  <c r="A461" i="9"/>
  <c r="AG459" i="9"/>
  <c r="BP457" i="9"/>
  <c r="AD456" i="9"/>
  <c r="BG454" i="9"/>
  <c r="M453" i="9"/>
  <c r="AZ451" i="9"/>
  <c r="AI450" i="9"/>
  <c r="AL449" i="9"/>
  <c r="AM448" i="9"/>
  <c r="AP447" i="9"/>
  <c r="AU446" i="9"/>
  <c r="BE445" i="9"/>
  <c r="BO444" i="9"/>
  <c r="BQ443" i="9"/>
  <c r="BS442" i="9"/>
  <c r="BV441" i="9"/>
  <c r="A441" i="9"/>
  <c r="BS439" i="9"/>
  <c r="BW438" i="9"/>
  <c r="BP437" i="9"/>
  <c r="BO436" i="9"/>
  <c r="BN435" i="9"/>
  <c r="BO434" i="9"/>
  <c r="BP433" i="9"/>
  <c r="BS432" i="9"/>
  <c r="U496" i="9"/>
  <c r="BK473" i="9"/>
  <c r="P466" i="9"/>
  <c r="AF464" i="9"/>
  <c r="BY462" i="9"/>
  <c r="P461" i="9"/>
  <c r="AV459" i="9"/>
  <c r="C458" i="9"/>
  <c r="AN456" i="9"/>
  <c r="BS454" i="9"/>
  <c r="AD453" i="9"/>
  <c r="BO451" i="9"/>
  <c r="AQ450" i="9"/>
  <c r="AS449" i="9"/>
  <c r="AT448" i="9"/>
  <c r="AW447" i="9"/>
  <c r="BC446" i="9"/>
  <c r="BM445" i="9"/>
  <c r="BV444" i="9"/>
  <c r="BX443" i="9"/>
  <c r="C443" i="9"/>
  <c r="E442" i="9"/>
  <c r="H441" i="9"/>
  <c r="B440" i="9"/>
  <c r="F439" i="9"/>
  <c r="A438" i="9"/>
  <c r="BY436" i="9"/>
  <c r="BW435" i="9"/>
  <c r="BV434" i="9"/>
  <c r="BY433" i="9"/>
  <c r="A433" i="9"/>
  <c r="F432" i="9"/>
  <c r="AS485" i="9"/>
  <c r="AZ471" i="9"/>
  <c r="AS465" i="9"/>
  <c r="C464" i="9"/>
  <c r="AN462" i="9"/>
  <c r="BF460" i="9"/>
  <c r="N459" i="9"/>
  <c r="AW457" i="9"/>
  <c r="M456" i="9"/>
  <c r="AN454" i="9"/>
  <c r="BU452" i="9"/>
  <c r="AL451" i="9"/>
  <c r="X450" i="9"/>
  <c r="Z449" i="9"/>
  <c r="AA448" i="9"/>
  <c r="AF447" i="9"/>
  <c r="AK446" i="9"/>
  <c r="AS445" i="9"/>
  <c r="BB444" i="9"/>
  <c r="BF443" i="9"/>
  <c r="BH442" i="9"/>
  <c r="BL441" i="9"/>
  <c r="BL440" i="9"/>
  <c r="BI439" i="9"/>
  <c r="BL438" i="9"/>
  <c r="BC437" i="9"/>
  <c r="AZ436" i="9"/>
  <c r="AX435" i="9"/>
  <c r="AZ434" i="9"/>
  <c r="BA433" i="9"/>
  <c r="BG432" i="9"/>
  <c r="BY487" i="9"/>
  <c r="AN472" i="9"/>
  <c r="BG465" i="9"/>
  <c r="N464" i="9"/>
  <c r="AZ462" i="9"/>
  <c r="BU460" i="9"/>
  <c r="AD459" i="9"/>
  <c r="BJ457" i="9"/>
  <c r="X456" i="9"/>
  <c r="AZ454" i="9"/>
  <c r="J453" i="9"/>
  <c r="AU451" i="9"/>
  <c r="AF450" i="9"/>
  <c r="AG449" i="9"/>
  <c r="AH448" i="9"/>
  <c r="AM447" i="9"/>
  <c r="AR446" i="9"/>
  <c r="BA445" i="9"/>
  <c r="BL444" i="9"/>
  <c r="BN443" i="9"/>
  <c r="BP442" i="9"/>
  <c r="BS441" i="9"/>
  <c r="BU440" i="9"/>
  <c r="BP439" i="9"/>
  <c r="BT438" i="9"/>
  <c r="BM437" i="9"/>
  <c r="BL436" i="9"/>
  <c r="BK435" i="9"/>
  <c r="BJ434" i="9"/>
  <c r="BK433" i="9"/>
  <c r="BP432" i="9"/>
  <c r="BU431" i="9"/>
  <c r="BU430" i="9"/>
  <c r="BR429" i="9"/>
  <c r="BT428" i="9"/>
  <c r="BV427" i="9"/>
  <c r="BX426" i="9"/>
  <c r="BY425" i="9"/>
  <c r="C425" i="9"/>
  <c r="C424" i="9"/>
  <c r="A423" i="9"/>
  <c r="E422" i="9"/>
  <c r="C421" i="9"/>
  <c r="F420" i="9"/>
  <c r="BQ418" i="9"/>
  <c r="BQ417" i="9"/>
  <c r="BO416" i="9"/>
  <c r="A416" i="9"/>
  <c r="A415" i="9"/>
  <c r="A414" i="9"/>
  <c r="AM479" i="9"/>
  <c r="AM469" i="9"/>
  <c r="L465" i="9"/>
  <c r="AU463" i="9"/>
  <c r="BR461" i="9"/>
  <c r="AA460" i="9"/>
  <c r="BF458" i="9"/>
  <c r="O457" i="9"/>
  <c r="BF455" i="9"/>
  <c r="A454" i="9"/>
  <c r="AQ452" i="9"/>
  <c r="J451" i="9"/>
  <c r="D450" i="9"/>
  <c r="B449" i="9"/>
  <c r="F448" i="9"/>
  <c r="M447" i="9"/>
  <c r="S446" i="9"/>
  <c r="AA445" i="9"/>
  <c r="AF444" i="9"/>
  <c r="AJ443" i="9"/>
  <c r="AM442" i="9"/>
  <c r="AQ441" i="9"/>
  <c r="AJ440" i="9"/>
  <c r="AN439" i="9"/>
  <c r="AO438" i="9"/>
  <c r="AI437" i="9"/>
  <c r="AG436" i="9"/>
  <c r="AF435" i="9"/>
  <c r="AE434" i="9"/>
  <c r="AF433" i="9"/>
  <c r="AL432" i="9"/>
  <c r="AM431" i="9"/>
  <c r="AQ430" i="9"/>
  <c r="AN429" i="9"/>
  <c r="AN428" i="9"/>
  <c r="AQ427" i="9"/>
  <c r="AR426" i="9"/>
  <c r="AV425" i="9"/>
  <c r="AT424" i="9"/>
  <c r="AU423" i="9"/>
  <c r="AW422" i="9"/>
  <c r="AV421" i="9"/>
  <c r="AZ420" i="9"/>
  <c r="AT419" i="9"/>
  <c r="AM418" i="9"/>
  <c r="AK417" i="9"/>
  <c r="AN416" i="9"/>
  <c r="AQ415" i="9"/>
  <c r="P479" i="9"/>
  <c r="AE469" i="9"/>
  <c r="J523" i="9"/>
  <c r="AA526" i="9"/>
  <c r="BE506" i="9"/>
  <c r="BT480" i="9"/>
  <c r="AX500" i="9"/>
  <c r="I485" i="9"/>
  <c r="BY484" i="9"/>
  <c r="AG489" i="9"/>
  <c r="O509" i="9"/>
  <c r="AI492" i="9"/>
  <c r="V484" i="9"/>
  <c r="AL476" i="9"/>
  <c r="E477" i="9"/>
  <c r="AQ468" i="9"/>
  <c r="L481" i="9"/>
  <c r="D470" i="9"/>
  <c r="BL485" i="9"/>
  <c r="BH471" i="9"/>
  <c r="BK491" i="9"/>
  <c r="T473" i="9"/>
  <c r="AL500" i="9"/>
  <c r="F474" i="9"/>
  <c r="S466" i="9"/>
  <c r="AA458" i="9"/>
  <c r="AI515" i="9"/>
  <c r="BY474" i="9"/>
  <c r="D467" i="9"/>
  <c r="P459" i="9"/>
  <c r="AL512" i="9"/>
  <c r="BO474" i="9"/>
  <c r="BN468" i="9"/>
  <c r="A466" i="9"/>
  <c r="G464" i="9"/>
  <c r="C462" i="9"/>
  <c r="D460" i="9"/>
  <c r="F458" i="9"/>
  <c r="Q456" i="9"/>
  <c r="AQ454" i="9"/>
  <c r="O453" i="9"/>
  <c r="B452" i="9"/>
  <c r="BA450" i="9"/>
  <c r="E473" i="9"/>
  <c r="AJ465" i="9"/>
  <c r="AD463" i="9"/>
  <c r="B461" i="9"/>
  <c r="D459" i="9"/>
  <c r="BT456" i="9"/>
  <c r="BH454" i="9"/>
  <c r="BM452" i="9"/>
  <c r="BR450" i="9"/>
  <c r="AM449" i="9"/>
  <c r="AN448" i="9"/>
  <c r="AQ447" i="9"/>
  <c r="AV446" i="9"/>
  <c r="BF445" i="9"/>
  <c r="BP444" i="9"/>
  <c r="BR443" i="9"/>
  <c r="BT442" i="9"/>
  <c r="BX441" i="9"/>
  <c r="B441" i="9"/>
  <c r="BT439" i="9"/>
  <c r="BX438" i="9"/>
  <c r="BQ437" i="9"/>
  <c r="BP436" i="9"/>
  <c r="BO435" i="9"/>
  <c r="BP434" i="9"/>
  <c r="BQ433" i="9"/>
  <c r="BT432" i="9"/>
  <c r="BY431" i="9"/>
  <c r="AA486" i="9"/>
  <c r="BU471" i="9"/>
  <c r="AU465" i="9"/>
  <c r="E464" i="9"/>
  <c r="AP462" i="9"/>
  <c r="BL460" i="9"/>
  <c r="T459" i="9"/>
  <c r="BA457" i="9"/>
  <c r="O456" i="9"/>
  <c r="AP454" i="9"/>
  <c r="B453" i="9"/>
  <c r="AN451" i="9"/>
  <c r="AA450" i="9"/>
  <c r="AB449" i="9"/>
  <c r="AC448" i="9"/>
  <c r="AH447" i="9"/>
  <c r="AM446" i="9"/>
  <c r="AU445" i="9"/>
  <c r="BD444" i="9"/>
  <c r="BH443" i="9"/>
  <c r="BK442" i="9"/>
  <c r="BN441" i="9"/>
  <c r="BP440" i="9"/>
  <c r="BK439" i="9"/>
  <c r="BO438" i="9"/>
  <c r="BG437" i="9"/>
  <c r="BD436" i="9"/>
  <c r="BC435" i="9"/>
  <c r="BD434" i="9"/>
  <c r="BE433" i="9"/>
  <c r="BK432" i="9"/>
  <c r="AT488" i="9"/>
  <c r="BK472" i="9"/>
  <c r="BL465" i="9"/>
  <c r="S464" i="9"/>
  <c r="BH462" i="9"/>
  <c r="BY460" i="9"/>
  <c r="AF459" i="9"/>
  <c r="BL457" i="9"/>
  <c r="AC456" i="9"/>
  <c r="BF454" i="9"/>
  <c r="L453" i="9"/>
  <c r="AW451" i="9"/>
  <c r="AH450" i="9"/>
  <c r="AI449" i="9"/>
  <c r="AL448" i="9"/>
  <c r="AO447" i="9"/>
  <c r="AT446" i="9"/>
  <c r="BD445" i="9"/>
  <c r="BN444" i="9"/>
  <c r="BP443" i="9"/>
  <c r="BR442" i="9"/>
  <c r="BU441" i="9"/>
  <c r="BY440" i="9"/>
  <c r="BR439" i="9"/>
  <c r="BV438" i="9"/>
  <c r="BO437" i="9"/>
  <c r="BN436" i="9"/>
  <c r="BM435" i="9"/>
  <c r="BL434" i="9"/>
  <c r="BO433" i="9"/>
  <c r="BR432" i="9"/>
  <c r="BW431" i="9"/>
  <c r="BO482" i="9"/>
  <c r="BB470" i="9"/>
  <c r="AD465" i="9"/>
  <c r="BM463" i="9"/>
  <c r="M462" i="9"/>
  <c r="AR460" i="9"/>
  <c r="A459" i="9"/>
  <c r="AG457" i="9"/>
  <c r="BX455" i="9"/>
  <c r="V454" i="9"/>
  <c r="BJ452" i="9"/>
  <c r="Z451" i="9"/>
  <c r="N450" i="9"/>
  <c r="N449" i="9"/>
  <c r="P448" i="9"/>
  <c r="X447" i="9"/>
  <c r="AC446" i="9"/>
  <c r="AK445" i="9"/>
  <c r="AR444" i="9"/>
  <c r="AU443" i="9"/>
  <c r="AW442" i="9"/>
  <c r="BD441" i="9"/>
  <c r="AW440" i="9"/>
  <c r="AZ439" i="9"/>
  <c r="BA438" i="9"/>
  <c r="AS437" i="9"/>
  <c r="AQ436" i="9"/>
  <c r="AP435" i="9"/>
  <c r="AP434" i="9"/>
  <c r="AQ433" i="9"/>
  <c r="AV432" i="9"/>
  <c r="L485" i="9"/>
  <c r="AN471" i="9"/>
  <c r="AO465" i="9"/>
  <c r="B464" i="9"/>
  <c r="AM462" i="9"/>
  <c r="BE460" i="9"/>
  <c r="M459" i="9"/>
  <c r="AS457" i="9"/>
  <c r="L456" i="9"/>
  <c r="AM454" i="9"/>
  <c r="BT452" i="9"/>
  <c r="AJ451" i="9"/>
  <c r="W450" i="9"/>
  <c r="W449" i="9"/>
  <c r="Z448" i="9"/>
  <c r="AE447" i="9"/>
  <c r="AJ446" i="9"/>
  <c r="AR445" i="9"/>
  <c r="BA444" i="9"/>
  <c r="BE443" i="9"/>
  <c r="BG442" i="9"/>
  <c r="BK441" i="9"/>
  <c r="BK440" i="9"/>
  <c r="BH439" i="9"/>
  <c r="BK438" i="9"/>
  <c r="AZ437" i="9"/>
  <c r="AX436" i="9"/>
  <c r="AW435" i="9"/>
  <c r="AW434" i="9"/>
  <c r="AZ433" i="9"/>
  <c r="BF432" i="9"/>
  <c r="BK431" i="9"/>
  <c r="BM430" i="9"/>
  <c r="BH429" i="9"/>
  <c r="BK428" i="9"/>
  <c r="BN427" i="9"/>
  <c r="BP426" i="9"/>
  <c r="BP425" i="9"/>
  <c r="BR424" i="9"/>
  <c r="BS423" i="9"/>
  <c r="BQ422" i="9"/>
  <c r="BT421" i="9"/>
  <c r="BR420" i="9"/>
  <c r="BU419" i="9"/>
  <c r="BI418" i="9"/>
  <c r="BG417" i="9"/>
  <c r="BF416" i="9"/>
  <c r="BQ415" i="9"/>
  <c r="BP414" i="9"/>
  <c r="BQ413" i="9"/>
  <c r="G477" i="9"/>
  <c r="AR468" i="9"/>
  <c r="BU464" i="9"/>
  <c r="AJ463" i="9"/>
  <c r="BF461" i="9"/>
  <c r="I460" i="9"/>
  <c r="AN458" i="9"/>
  <c r="BY456" i="9"/>
  <c r="AR455" i="9"/>
  <c r="BO453" i="9"/>
  <c r="AA452" i="9"/>
  <c r="BV450" i="9"/>
  <c r="BS449" i="9"/>
  <c r="BR448" i="9"/>
  <c r="BW447" i="9"/>
  <c r="E447" i="9"/>
  <c r="K446" i="9"/>
  <c r="R445" i="9"/>
  <c r="V444" i="9"/>
  <c r="AB443" i="9"/>
  <c r="AC442" i="9"/>
  <c r="AF441" i="9"/>
  <c r="AB440" i="9"/>
  <c r="AD439" i="9"/>
  <c r="AB438" i="9"/>
  <c r="AA437" i="9"/>
  <c r="W436" i="9"/>
  <c r="U435" i="9"/>
  <c r="V434" i="9"/>
  <c r="W433" i="9"/>
  <c r="AC432" i="9"/>
  <c r="AD431" i="9"/>
  <c r="AG430" i="9"/>
  <c r="AE429" i="9"/>
  <c r="AF428" i="9"/>
  <c r="AH427" i="9"/>
  <c r="AI426" i="9"/>
  <c r="AN425" i="9"/>
  <c r="AL424" i="9"/>
  <c r="AJ423" i="9"/>
  <c r="AO422" i="9"/>
  <c r="AN421" i="9"/>
  <c r="AP531" i="9"/>
  <c r="BK513" i="9"/>
  <c r="BH498" i="9"/>
  <c r="BS476" i="9"/>
  <c r="BD494" i="9"/>
  <c r="U481" i="9"/>
  <c r="I481" i="9"/>
  <c r="AR487" i="9"/>
  <c r="BO505" i="9"/>
  <c r="AF491" i="9"/>
  <c r="AA483" i="9"/>
  <c r="AF475" i="9"/>
  <c r="AH475" i="9"/>
  <c r="AS467" i="9"/>
  <c r="AM478" i="9"/>
  <c r="L469" i="9"/>
  <c r="E483" i="9"/>
  <c r="BH470" i="9"/>
  <c r="L487" i="9"/>
  <c r="Q472" i="9"/>
  <c r="BA490" i="9"/>
  <c r="I473" i="9"/>
  <c r="AA465" i="9"/>
  <c r="AD457" i="9"/>
  <c r="O498" i="9"/>
  <c r="BU473" i="9"/>
  <c r="J466" i="9"/>
  <c r="O458" i="9"/>
  <c r="AD496" i="9"/>
  <c r="BL473" i="9"/>
  <c r="AB468" i="9"/>
  <c r="BQ465" i="9"/>
  <c r="BX463" i="9"/>
  <c r="BS461" i="9"/>
  <c r="BS459" i="9"/>
  <c r="BU457" i="9"/>
  <c r="I456" i="9"/>
  <c r="AG454" i="9"/>
  <c r="G453" i="9"/>
  <c r="BS451" i="9"/>
  <c r="AZ523" i="9"/>
  <c r="D472" i="9"/>
  <c r="U465" i="9"/>
  <c r="P463" i="9"/>
  <c r="BN460" i="9"/>
  <c r="BP458" i="9"/>
  <c r="BE456" i="9"/>
  <c r="AT454" i="9"/>
  <c r="BA452" i="9"/>
  <c r="BF450" i="9"/>
  <c r="AC449" i="9"/>
  <c r="AD448" i="9"/>
  <c r="AI447" i="9"/>
  <c r="AN446" i="9"/>
  <c r="AV445" i="9"/>
  <c r="BF444" i="9"/>
  <c r="BI443" i="9"/>
  <c r="BL442" i="9"/>
  <c r="BO441" i="9"/>
  <c r="BQ440" i="9"/>
  <c r="BL439" i="9"/>
  <c r="BP438" i="9"/>
  <c r="BI437" i="9"/>
  <c r="BG436" i="9"/>
  <c r="BD435" i="9"/>
  <c r="BE434" i="9"/>
  <c r="BF433" i="9"/>
  <c r="BL432" i="9"/>
  <c r="BQ431" i="9"/>
  <c r="AH483" i="9"/>
  <c r="BS470" i="9"/>
  <c r="AF465" i="9"/>
  <c r="BR463" i="9"/>
  <c r="W462" i="9"/>
  <c r="AT460" i="9"/>
  <c r="C459" i="9"/>
  <c r="AI457" i="9"/>
  <c r="D456" i="9"/>
  <c r="AC454" i="9"/>
  <c r="BL452" i="9"/>
  <c r="AC451" i="9"/>
  <c r="P450" i="9"/>
  <c r="P449" i="9"/>
  <c r="T448" i="9"/>
  <c r="Z447" i="9"/>
  <c r="AE446" i="9"/>
  <c r="AM445" i="9"/>
  <c r="AT444" i="9"/>
  <c r="AW443" i="9"/>
  <c r="BA442" i="9"/>
  <c r="BF441" i="9"/>
  <c r="BA440" i="9"/>
  <c r="BB439" i="9"/>
  <c r="BE438" i="9"/>
  <c r="AU437" i="9"/>
  <c r="AS436" i="9"/>
  <c r="AR435" i="9"/>
  <c r="AR434" i="9"/>
  <c r="AS433" i="9"/>
  <c r="AY432" i="9"/>
  <c r="BV485" i="9"/>
  <c r="BK471" i="9"/>
  <c r="AT465" i="9"/>
  <c r="D464" i="9"/>
  <c r="AO462" i="9"/>
  <c r="BG460" i="9"/>
  <c r="R459" i="9"/>
  <c r="AZ457" i="9"/>
  <c r="N456" i="9"/>
  <c r="AO454" i="9"/>
  <c r="BW452" i="9"/>
  <c r="AM451" i="9"/>
  <c r="Z450" i="9"/>
  <c r="AA449" i="9"/>
  <c r="AB448" i="9"/>
  <c r="AG447" i="9"/>
  <c r="AL446" i="9"/>
  <c r="AT445" i="9"/>
  <c r="BC444" i="9"/>
  <c r="BG443" i="9"/>
  <c r="BJ442" i="9"/>
  <c r="BM441" i="9"/>
  <c r="BO440" i="9"/>
  <c r="BJ439" i="9"/>
  <c r="BM438" i="9"/>
  <c r="BD437" i="9"/>
  <c r="BC436" i="9"/>
  <c r="AZ435" i="9"/>
  <c r="BA434" i="9"/>
  <c r="BD433" i="9"/>
  <c r="BH432" i="9"/>
  <c r="BO431" i="9"/>
  <c r="V480" i="9"/>
  <c r="BD469" i="9"/>
  <c r="N465" i="9"/>
  <c r="AZ463" i="9"/>
  <c r="BW461" i="9"/>
  <c r="AC460" i="9"/>
  <c r="BI458" i="9"/>
  <c r="Q457" i="9"/>
  <c r="BK455" i="9"/>
  <c r="F454" i="9"/>
  <c r="AS452" i="9"/>
  <c r="L451" i="9"/>
  <c r="F450" i="9"/>
  <c r="D449" i="9"/>
  <c r="H448" i="9"/>
  <c r="O447" i="9"/>
  <c r="U446" i="9"/>
  <c r="AC445" i="9"/>
  <c r="AH444" i="9"/>
  <c r="AM443" i="9"/>
  <c r="AO442" i="9"/>
  <c r="AS441" i="9"/>
  <c r="AM440" i="9"/>
  <c r="AP439" i="9"/>
  <c r="AQ438" i="9"/>
  <c r="AK437" i="9"/>
  <c r="AI436" i="9"/>
  <c r="AH435" i="9"/>
  <c r="AG434" i="9"/>
  <c r="AH433" i="9"/>
  <c r="AN432" i="9"/>
  <c r="AP482" i="9"/>
  <c r="AR470" i="9"/>
  <c r="AC465" i="9"/>
  <c r="BL463" i="9"/>
  <c r="L462" i="9"/>
  <c r="AN460" i="9"/>
  <c r="BY458" i="9"/>
  <c r="AF457" i="9"/>
  <c r="BU455" i="9"/>
  <c r="U454" i="9"/>
  <c r="BF452" i="9"/>
  <c r="V451" i="9"/>
  <c r="M450" i="9"/>
  <c r="M449" i="9"/>
  <c r="O448" i="9"/>
  <c r="W447" i="9"/>
  <c r="AB446" i="9"/>
  <c r="AJ445" i="9"/>
  <c r="AQ444" i="9"/>
  <c r="AT443" i="9"/>
  <c r="AV442" i="9"/>
  <c r="BA441" i="9"/>
  <c r="AV440" i="9"/>
  <c r="AW439" i="9"/>
  <c r="AZ438" i="9"/>
  <c r="AR437" i="9"/>
  <c r="AP436" i="9"/>
  <c r="AO435" i="9"/>
  <c r="AO434" i="9"/>
  <c r="AP433" i="9"/>
  <c r="AU432" i="9"/>
  <c r="AZ431" i="9"/>
  <c r="BA430" i="9"/>
  <c r="AW429" i="9"/>
  <c r="AW428" i="9"/>
  <c r="BA427" i="9"/>
  <c r="BE426" i="9"/>
  <c r="BH425" i="9"/>
  <c r="BH424" i="9"/>
  <c r="BI423" i="9"/>
  <c r="BI422" i="9"/>
  <c r="BK421" i="9"/>
  <c r="BJ420" i="9"/>
  <c r="BH419" i="9"/>
  <c r="AV418" i="9"/>
  <c r="AT417" i="9"/>
  <c r="AW416" i="9"/>
  <c r="BD415" i="9"/>
  <c r="BD414" i="9"/>
  <c r="BF413" i="9"/>
  <c r="AJ475" i="9"/>
  <c r="AT467" i="9"/>
  <c r="BH464" i="9"/>
  <c r="V463" i="9"/>
  <c r="AN461" i="9"/>
  <c r="BR459" i="9"/>
  <c r="AB458" i="9"/>
  <c r="BL456" i="9"/>
  <c r="W455" i="9"/>
  <c r="AY453" i="9"/>
  <c r="K452" i="9"/>
  <c r="BJ450" i="9"/>
  <c r="BK449" i="9"/>
  <c r="BJ448" i="9"/>
  <c r="BM447" i="9"/>
  <c r="BT446" i="9"/>
  <c r="C446" i="9"/>
  <c r="J445" i="9"/>
  <c r="M444" i="9"/>
  <c r="P443" i="9"/>
  <c r="T442" i="9"/>
  <c r="W441" i="9"/>
  <c r="O440" i="9"/>
  <c r="U439" i="9"/>
  <c r="N438" i="9"/>
  <c r="P437" i="9"/>
  <c r="M436" i="9"/>
  <c r="K435" i="9"/>
  <c r="M434" i="9"/>
  <c r="N433" i="9"/>
  <c r="S432" i="9"/>
  <c r="U431" i="9"/>
  <c r="P430" i="9"/>
  <c r="U429" i="9"/>
  <c r="W428" i="9"/>
  <c r="Z427" i="9"/>
  <c r="AA426" i="9"/>
  <c r="AD425" i="9"/>
  <c r="AC424" i="9"/>
  <c r="AB423" i="9"/>
  <c r="AF422" i="9"/>
  <c r="AF421" i="9"/>
  <c r="AF420" i="9"/>
  <c r="W419" i="9"/>
  <c r="T418" i="9"/>
  <c r="P417" i="9"/>
  <c r="X416" i="9"/>
  <c r="Z415" i="9"/>
  <c r="Z475" i="9"/>
  <c r="AL467" i="9"/>
  <c r="BF464" i="9"/>
  <c r="W535" i="9"/>
  <c r="D531" i="9"/>
  <c r="BL513" i="9"/>
  <c r="AD511" i="9"/>
  <c r="BH490" i="9"/>
  <c r="R477" i="9"/>
  <c r="I477" i="9"/>
  <c r="AG485" i="9"/>
  <c r="AC503" i="9"/>
  <c r="AJ490" i="9"/>
  <c r="AG482" i="9"/>
  <c r="AR505" i="9"/>
  <c r="AE474" i="9"/>
  <c r="AP466" i="9"/>
  <c r="AA476" i="9"/>
  <c r="M468" i="9"/>
  <c r="AL480" i="9"/>
  <c r="BJ469" i="9"/>
  <c r="P484" i="9"/>
  <c r="P471" i="9"/>
  <c r="BH486" i="9"/>
  <c r="G472" i="9"/>
  <c r="AB464" i="9"/>
  <c r="AJ456" i="9"/>
  <c r="AN489" i="9"/>
  <c r="BX472" i="9"/>
  <c r="P465" i="9"/>
  <c r="T457" i="9"/>
  <c r="AZ488" i="9"/>
  <c r="BL472" i="9"/>
  <c r="BX467" i="9"/>
  <c r="AY465" i="9"/>
  <c r="BF463" i="9"/>
  <c r="AZ461" i="9"/>
  <c r="BB459" i="9"/>
  <c r="BD457" i="9"/>
  <c r="BP455" i="9"/>
  <c r="M454" i="9"/>
  <c r="BX452" i="9"/>
  <c r="AY451" i="9"/>
  <c r="AA490" i="9"/>
  <c r="C471" i="9"/>
  <c r="BR464" i="9"/>
  <c r="BL462" i="9"/>
  <c r="AU460" i="9"/>
  <c r="AJ458" i="9"/>
  <c r="AE456" i="9"/>
  <c r="AD454" i="9"/>
  <c r="T452" i="9"/>
  <c r="AJ450" i="9"/>
  <c r="R449" i="9"/>
  <c r="U448" i="9"/>
  <c r="AA447" i="9"/>
  <c r="AF446" i="9"/>
  <c r="AN445" i="9"/>
  <c r="AU444" i="9"/>
  <c r="AY443" i="9"/>
  <c r="BB442" i="9"/>
  <c r="BG441" i="9"/>
  <c r="BD440" i="9"/>
  <c r="BC439" i="9"/>
  <c r="BF438" i="9"/>
  <c r="AV437" i="9"/>
  <c r="AT436" i="9"/>
  <c r="AS435" i="9"/>
  <c r="AS434" i="9"/>
  <c r="AT433" i="9"/>
  <c r="AZ432" i="9"/>
  <c r="BF431" i="9"/>
  <c r="BS480" i="9"/>
  <c r="BW469" i="9"/>
  <c r="S465" i="9"/>
  <c r="BC463" i="9"/>
  <c r="BY461" i="9"/>
  <c r="AE460" i="9"/>
  <c r="BO458" i="9"/>
  <c r="W457" i="9"/>
  <c r="BM455" i="9"/>
  <c r="K454" i="9"/>
  <c r="AU452" i="9"/>
  <c r="O451" i="9"/>
  <c r="H450" i="9"/>
  <c r="F449" i="9"/>
  <c r="J448" i="9"/>
  <c r="Q447" i="9"/>
  <c r="W446" i="9"/>
  <c r="AE445" i="9"/>
  <c r="AL444" i="9"/>
  <c r="AO443" i="9"/>
  <c r="AQ442" i="9"/>
  <c r="AU441" i="9"/>
  <c r="AQ440" i="9"/>
  <c r="AR439" i="9"/>
  <c r="AS438" i="9"/>
  <c r="AM437" i="9"/>
  <c r="AK436" i="9"/>
  <c r="AJ435" i="9"/>
  <c r="AI434" i="9"/>
  <c r="AJ433" i="9"/>
  <c r="AP432" i="9"/>
  <c r="M483" i="9"/>
  <c r="BK470" i="9"/>
  <c r="AE465" i="9"/>
  <c r="BN463" i="9"/>
  <c r="R462" i="9"/>
  <c r="AS460" i="9"/>
  <c r="B459" i="9"/>
  <c r="AH457" i="9"/>
  <c r="BY455" i="9"/>
  <c r="AB454" i="9"/>
  <c r="BK452" i="9"/>
  <c r="AB451" i="9"/>
  <c r="O450" i="9"/>
  <c r="O449" i="9"/>
  <c r="R448" i="9"/>
  <c r="Y447" i="9"/>
  <c r="AD446" i="9"/>
  <c r="AL445" i="9"/>
  <c r="AS444" i="9"/>
  <c r="AV443" i="9"/>
  <c r="AZ442" i="9"/>
  <c r="BE441" i="9"/>
  <c r="AZ440" i="9"/>
  <c r="BA439" i="9"/>
  <c r="BD438" i="9"/>
  <c r="AT437" i="9"/>
  <c r="AR436" i="9"/>
  <c r="AQ435" i="9"/>
  <c r="AQ434" i="9"/>
  <c r="AR433" i="9"/>
  <c r="AW432" i="9"/>
  <c r="BD431" i="9"/>
  <c r="AR477" i="9"/>
  <c r="BM468" i="9"/>
  <c r="B465" i="9"/>
  <c r="AL463" i="9"/>
  <c r="BH461" i="9"/>
  <c r="K460" i="9"/>
  <c r="AS458" i="9"/>
  <c r="E457" i="9"/>
  <c r="AT455" i="9"/>
  <c r="BQ453" i="9"/>
  <c r="AC452" i="9"/>
  <c r="A451" i="9"/>
  <c r="BU449" i="9"/>
  <c r="BT448" i="9"/>
  <c r="BY447" i="9"/>
  <c r="G447" i="9"/>
  <c r="M446" i="9"/>
  <c r="T445" i="9"/>
  <c r="Z444" i="9"/>
  <c r="AD443" i="9"/>
  <c r="AE442" i="9"/>
  <c r="AH441" i="9"/>
  <c r="AD440" i="9"/>
  <c r="AF439" i="9"/>
  <c r="AE438" i="9"/>
  <c r="AC437" i="9"/>
  <c r="AA436" i="9"/>
  <c r="W435" i="9"/>
  <c r="X434" i="9"/>
  <c r="Z433" i="9"/>
  <c r="AE432" i="9"/>
  <c r="BS479" i="9"/>
  <c r="AU469" i="9"/>
  <c r="M465" i="9"/>
  <c r="AV463" i="9"/>
  <c r="BV461" i="9"/>
  <c r="AB460" i="9"/>
  <c r="BH458" i="9"/>
  <c r="P457" i="9"/>
  <c r="BG455" i="9"/>
  <c r="E454" i="9"/>
  <c r="AR452" i="9"/>
  <c r="K451" i="9"/>
  <c r="E450" i="9"/>
  <c r="C449" i="9"/>
  <c r="G448" i="9"/>
  <c r="N447" i="9"/>
  <c r="T446" i="9"/>
  <c r="AB445" i="9"/>
  <c r="AG444" i="9"/>
  <c r="AL443" i="9"/>
  <c r="AN442" i="9"/>
  <c r="AR441" i="9"/>
  <c r="AL440" i="9"/>
  <c r="AO439" i="9"/>
  <c r="AP438" i="9"/>
  <c r="AJ437" i="9"/>
  <c r="AH436" i="9"/>
  <c r="AG435" i="9"/>
  <c r="AF434" i="9"/>
  <c r="AG433" i="9"/>
  <c r="AM432" i="9"/>
  <c r="AN431" i="9"/>
  <c r="AR430" i="9"/>
  <c r="AO429" i="9"/>
  <c r="AO428" i="9"/>
  <c r="AR427" i="9"/>
  <c r="AS426" i="9"/>
  <c r="AW425" i="9"/>
  <c r="AU424" i="9"/>
  <c r="AV423" i="9"/>
  <c r="AY422" i="9"/>
  <c r="AW421" i="9"/>
  <c r="BA420" i="9"/>
  <c r="AU419" i="9"/>
  <c r="AN418" i="9"/>
  <c r="AL417" i="9"/>
  <c r="AO416" i="9"/>
  <c r="AR415" i="9"/>
  <c r="AT414" i="9"/>
  <c r="BK505" i="9"/>
  <c r="AF474" i="9"/>
  <c r="AQ466" i="9"/>
  <c r="AO464" i="9"/>
  <c r="H463" i="9"/>
  <c r="AB461" i="9"/>
  <c r="BG459" i="9"/>
  <c r="K458" i="9"/>
  <c r="AV456" i="9"/>
  <c r="D455" i="9"/>
  <c r="AM453" i="9"/>
  <c r="BW451" i="9"/>
  <c r="AV450" i="9"/>
  <c r="AZ449" i="9"/>
  <c r="BA448" i="9"/>
  <c r="BD447" i="9"/>
  <c r="BL446" i="9"/>
  <c r="BR445" i="9"/>
  <c r="B445" i="9"/>
  <c r="D444" i="9"/>
  <c r="H443" i="9"/>
  <c r="K442" i="9"/>
  <c r="AK517" i="9"/>
  <c r="BF515" i="9"/>
  <c r="E505" i="9"/>
  <c r="S503" i="9"/>
  <c r="BA514" i="9"/>
  <c r="AA514" i="9"/>
  <c r="L511" i="9"/>
  <c r="AB483" i="9"/>
  <c r="W500" i="9"/>
  <c r="AF489" i="9"/>
  <c r="AJ481" i="9"/>
  <c r="R493" i="9"/>
  <c r="AF473" i="9"/>
  <c r="BK519" i="9"/>
  <c r="D475" i="9"/>
  <c r="I467" i="9"/>
  <c r="BK477" i="9"/>
  <c r="BR468" i="9"/>
  <c r="BH481" i="9"/>
  <c r="U470" i="9"/>
  <c r="BO483" i="9"/>
  <c r="F471" i="9"/>
  <c r="AI463" i="9"/>
  <c r="AQ455" i="9"/>
  <c r="AD486" i="9"/>
  <c r="BW471" i="9"/>
  <c r="Q464" i="9"/>
  <c r="AA456" i="9"/>
  <c r="A486" i="9"/>
  <c r="BL471" i="9"/>
  <c r="BO467" i="9"/>
  <c r="AG465" i="9"/>
  <c r="AO463" i="9"/>
  <c r="AG461" i="9"/>
  <c r="AH459" i="9"/>
  <c r="AL457" i="9"/>
  <c r="AW455" i="9"/>
  <c r="B454" i="9"/>
  <c r="BO452" i="9"/>
  <c r="AP451" i="9"/>
  <c r="AU486" i="9"/>
  <c r="F470" i="9"/>
  <c r="AW464" i="9"/>
  <c r="AT462" i="9"/>
  <c r="AI460" i="9"/>
  <c r="U458" i="9"/>
  <c r="P456" i="9"/>
  <c r="L454" i="9"/>
  <c r="F452" i="9"/>
  <c r="AB450" i="9"/>
  <c r="I449" i="9"/>
  <c r="K448" i="9"/>
  <c r="R447" i="9"/>
  <c r="X446" i="9"/>
  <c r="AF445" i="9"/>
  <c r="AM444" i="9"/>
  <c r="AP443" i="9"/>
  <c r="AR442" i="9"/>
  <c r="AV441" i="9"/>
  <c r="AR440" i="9"/>
  <c r="AS439" i="9"/>
  <c r="AT438" i="9"/>
  <c r="AN437" i="9"/>
  <c r="AL436" i="9"/>
  <c r="AK435" i="9"/>
  <c r="AJ434" i="9"/>
  <c r="AL433" i="9"/>
  <c r="AQ432" i="9"/>
  <c r="AT431" i="9"/>
  <c r="V478" i="9"/>
  <c r="F469" i="9"/>
  <c r="D465" i="9"/>
  <c r="AN463" i="9"/>
  <c r="BN461" i="9"/>
  <c r="P460" i="9"/>
  <c r="AU458" i="9"/>
  <c r="H457" i="9"/>
  <c r="AV455" i="9"/>
  <c r="BV453" i="9"/>
  <c r="AH452" i="9"/>
  <c r="C451" i="9"/>
  <c r="BY449" i="9"/>
  <c r="BW448" i="9"/>
  <c r="B448" i="9"/>
  <c r="I447" i="9"/>
  <c r="O446" i="9"/>
  <c r="V445" i="9"/>
  <c r="AB444" i="9"/>
  <c r="AF443" i="9"/>
  <c r="AG442" i="9"/>
  <c r="AJ441" i="9"/>
  <c r="AF440" i="9"/>
  <c r="AH439" i="9"/>
  <c r="AJ438" i="9"/>
  <c r="AE437" i="9"/>
  <c r="AC436" i="9"/>
  <c r="AB435" i="9"/>
  <c r="AA434" i="9"/>
  <c r="AB433" i="9"/>
  <c r="AG432" i="9"/>
  <c r="AT480" i="9"/>
  <c r="BM469" i="9"/>
  <c r="R465" i="9"/>
  <c r="BA463" i="9"/>
  <c r="BX461" i="9"/>
  <c r="AD460" i="9"/>
  <c r="BJ458" i="9"/>
  <c r="V457" i="9"/>
  <c r="BL455" i="9"/>
  <c r="I454" i="9"/>
  <c r="AT452" i="9"/>
  <c r="M451" i="9"/>
  <c r="G450" i="9"/>
  <c r="E449" i="9"/>
  <c r="I448" i="9"/>
  <c r="P447" i="9"/>
  <c r="V446" i="9"/>
  <c r="AD445" i="9"/>
  <c r="AI444" i="9"/>
  <c r="AN443" i="9"/>
  <c r="AP442" i="9"/>
  <c r="AT441" i="9"/>
  <c r="AN440" i="9"/>
  <c r="AQ439" i="9"/>
  <c r="AR438" i="9"/>
  <c r="AL437" i="9"/>
  <c r="AJ436" i="9"/>
  <c r="AI435" i="9"/>
  <c r="AH434" i="9"/>
  <c r="AI433" i="9"/>
  <c r="AO432" i="9"/>
  <c r="AR431" i="9"/>
  <c r="BQ475" i="9"/>
  <c r="BN467" i="9"/>
  <c r="BJ464" i="9"/>
  <c r="X463" i="9"/>
  <c r="AS461" i="9"/>
  <c r="BY459" i="9"/>
  <c r="AD458" i="9"/>
  <c r="BN456" i="9"/>
  <c r="Z455" i="9"/>
  <c r="BF453" i="9"/>
  <c r="P452" i="9"/>
  <c r="BM450" i="9"/>
  <c r="BM449" i="9"/>
  <c r="BL448" i="9"/>
  <c r="BO447" i="9"/>
  <c r="BX446" i="9"/>
  <c r="E446" i="9"/>
  <c r="L445" i="9"/>
  <c r="O444" i="9"/>
  <c r="S443" i="9"/>
  <c r="V442" i="9"/>
  <c r="Z441" i="9"/>
  <c r="R440" i="9"/>
  <c r="W439" i="9"/>
  <c r="P438" i="9"/>
  <c r="S437" i="9"/>
  <c r="P436" i="9"/>
  <c r="M435" i="9"/>
  <c r="O434" i="9"/>
  <c r="P433" i="9"/>
  <c r="V432" i="9"/>
  <c r="AA477" i="9"/>
  <c r="BD468" i="9"/>
  <c r="A465" i="9"/>
  <c r="AK463" i="9"/>
  <c r="BG461" i="9"/>
  <c r="J460" i="9"/>
  <c r="AO458" i="9"/>
  <c r="D457" i="9"/>
  <c r="AS455" i="9"/>
  <c r="BP453" i="9"/>
  <c r="AB452" i="9"/>
  <c r="BY450" i="9"/>
  <c r="BT449" i="9"/>
  <c r="BS448" i="9"/>
  <c r="BX447" i="9"/>
  <c r="F447" i="9"/>
  <c r="L446" i="9"/>
  <c r="S445" i="9"/>
  <c r="W444" i="9"/>
  <c r="AC443" i="9"/>
  <c r="AD442" i="9"/>
  <c r="AG441" i="9"/>
  <c r="AC440" i="9"/>
  <c r="AE439" i="9"/>
  <c r="AC438" i="9"/>
  <c r="AB437" i="9"/>
  <c r="X436" i="9"/>
  <c r="V435" i="9"/>
  <c r="W434" i="9"/>
  <c r="X433" i="9"/>
  <c r="AD432" i="9"/>
  <c r="AE431" i="9"/>
  <c r="AI430" i="9"/>
  <c r="AF429" i="9"/>
  <c r="AG428" i="9"/>
  <c r="AI427" i="9"/>
  <c r="AJ426" i="9"/>
  <c r="AO425" i="9"/>
  <c r="AM424" i="9"/>
  <c r="AL423" i="9"/>
  <c r="AP422" i="9"/>
  <c r="AO421" i="9"/>
  <c r="AQ420" i="9"/>
  <c r="AM419" i="9"/>
  <c r="AF418" i="9"/>
  <c r="AC417" i="9"/>
  <c r="AG416" i="9"/>
  <c r="AI415" i="9"/>
  <c r="AL414" i="9"/>
  <c r="AB493" i="9"/>
  <c r="AG473" i="9"/>
  <c r="D466" i="9"/>
  <c r="AC464" i="9"/>
  <c r="BT462" i="9"/>
  <c r="I461" i="9"/>
  <c r="AP459" i="9"/>
  <c r="BT457" i="9"/>
  <c r="AK456" i="9"/>
  <c r="BP454" i="9"/>
  <c r="V453" i="9"/>
  <c r="BG451" i="9"/>
  <c r="AN450" i="9"/>
  <c r="AP449" i="9"/>
  <c r="AQ448" i="9"/>
  <c r="AT447" i="9"/>
  <c r="AY446" i="9"/>
  <c r="BJ445" i="9"/>
  <c r="BS444" i="9"/>
  <c r="BU443" i="9"/>
  <c r="BY442" i="9"/>
  <c r="B442" i="9"/>
  <c r="E441" i="9"/>
  <c r="BX439" i="9"/>
  <c r="C439" i="9"/>
  <c r="BT437" i="9"/>
  <c r="BS436" i="9"/>
  <c r="BR435" i="9"/>
  <c r="BS434" i="9"/>
  <c r="BT433" i="9"/>
  <c r="BW432" i="9"/>
  <c r="C432" i="9"/>
  <c r="D431" i="9"/>
  <c r="BY429" i="9"/>
  <c r="C429" i="9"/>
  <c r="F428" i="9"/>
  <c r="F427" i="9"/>
  <c r="G426" i="9"/>
  <c r="K425" i="9"/>
  <c r="J424" i="9"/>
  <c r="H423" i="9"/>
  <c r="L422" i="9"/>
  <c r="K421" i="9"/>
  <c r="N420" i="9"/>
  <c r="A419" i="9"/>
  <c r="A418" i="9"/>
  <c r="BX416" i="9"/>
  <c r="H416" i="9"/>
  <c r="X492" i="9"/>
  <c r="X473" i="9"/>
  <c r="Q509" i="9"/>
  <c r="BH507" i="9"/>
  <c r="BX496" i="9"/>
  <c r="A496" i="9"/>
  <c r="BA505" i="9"/>
  <c r="AG505" i="9"/>
  <c r="J503" i="9"/>
  <c r="AL481" i="9"/>
  <c r="BD497" i="9"/>
  <c r="AM488" i="9"/>
  <c r="AM480" i="9"/>
  <c r="AV487" i="9"/>
  <c r="AD472" i="9"/>
  <c r="T499" i="9"/>
  <c r="A474" i="9"/>
  <c r="N466" i="9"/>
  <c r="BY475" i="9"/>
  <c r="BS467" i="9"/>
  <c r="B479" i="9"/>
  <c r="AA469" i="9"/>
  <c r="AF481" i="9"/>
  <c r="J470" i="9"/>
  <c r="AI462" i="9"/>
  <c r="AI454" i="9"/>
  <c r="AN483" i="9"/>
  <c r="BU470" i="9"/>
  <c r="Z463" i="9"/>
  <c r="AB455" i="9"/>
  <c r="N483" i="9"/>
  <c r="BL470" i="9"/>
  <c r="AA467" i="9"/>
  <c r="F465" i="9"/>
  <c r="Q463" i="9"/>
  <c r="C461" i="9"/>
  <c r="E459" i="9"/>
  <c r="J457" i="9"/>
  <c r="N455" i="9"/>
  <c r="BS453" i="9"/>
  <c r="AV452" i="9"/>
  <c r="W451" i="9"/>
  <c r="BF483" i="9"/>
  <c r="O468" i="9"/>
  <c r="V464" i="9"/>
  <c r="Z462" i="9"/>
  <c r="C460" i="9"/>
  <c r="BQ457" i="9"/>
  <c r="E456" i="9"/>
  <c r="BI453" i="9"/>
  <c r="BD451" i="9"/>
  <c r="R450" i="9"/>
  <c r="BX448" i="9"/>
  <c r="C448" i="9"/>
  <c r="J447" i="9"/>
  <c r="P446" i="9"/>
  <c r="W445" i="9"/>
  <c r="AC444" i="9"/>
  <c r="AG443" i="9"/>
  <c r="AH442" i="9"/>
  <c r="AL441" i="9"/>
  <c r="AG440" i="9"/>
  <c r="AI439" i="9"/>
  <c r="AL438" i="9"/>
  <c r="AF437" i="9"/>
  <c r="AD436" i="9"/>
  <c r="AC435" i="9"/>
  <c r="AB434" i="9"/>
  <c r="AC433" i="9"/>
  <c r="AH432" i="9"/>
  <c r="AI431" i="9"/>
  <c r="P476" i="9"/>
  <c r="F468" i="9"/>
  <c r="BQ464" i="9"/>
  <c r="AC463" i="9"/>
  <c r="AU461" i="9"/>
  <c r="B460" i="9"/>
  <c r="AF458" i="9"/>
  <c r="BS456" i="9"/>
  <c r="AG455" i="9"/>
  <c r="BH453" i="9"/>
  <c r="R452" i="9"/>
  <c r="BQ450" i="9"/>
  <c r="BO449" i="9"/>
  <c r="BN448" i="9"/>
  <c r="BQ447" i="9"/>
  <c r="A447" i="9"/>
  <c r="G446" i="9"/>
  <c r="N445" i="9"/>
  <c r="Q444" i="9"/>
  <c r="V443" i="9"/>
  <c r="X442" i="9"/>
  <c r="AB441" i="9"/>
  <c r="V440" i="9"/>
  <c r="Z439" i="9"/>
  <c r="R438" i="9"/>
  <c r="U437" i="9"/>
  <c r="S436" i="9"/>
  <c r="P435" i="9"/>
  <c r="Q434" i="9"/>
  <c r="R433" i="9"/>
  <c r="X432" i="9"/>
  <c r="BU477" i="9"/>
  <c r="BV468" i="9"/>
  <c r="C465" i="9"/>
  <c r="AM463" i="9"/>
  <c r="BI461" i="9"/>
  <c r="O460" i="9"/>
  <c r="AT458" i="9"/>
  <c r="F457" i="9"/>
  <c r="AU455" i="9"/>
  <c r="BR453" i="9"/>
  <c r="AG452" i="9"/>
  <c r="B451" i="9"/>
  <c r="BX449" i="9"/>
  <c r="BU448" i="9"/>
  <c r="A448" i="9"/>
  <c r="H447" i="9"/>
  <c r="N446" i="9"/>
  <c r="U445" i="9"/>
  <c r="AA444" i="9"/>
  <c r="AE443" i="9"/>
  <c r="AF442" i="9"/>
  <c r="AI441" i="9"/>
  <c r="AE440" i="9"/>
  <c r="AG439" i="9"/>
  <c r="AG438" i="9"/>
  <c r="AD437" i="9"/>
  <c r="AB436" i="9"/>
  <c r="AA435" i="9"/>
  <c r="Z434" i="9"/>
  <c r="AA433" i="9"/>
  <c r="AF432" i="9"/>
  <c r="AW509" i="9"/>
  <c r="AW474" i="9"/>
  <c r="BJ466" i="9"/>
  <c r="AT464" i="9"/>
  <c r="M463" i="9"/>
  <c r="AD461" i="9"/>
  <c r="BI459" i="9"/>
  <c r="M458" i="9"/>
  <c r="BA456" i="9"/>
  <c r="J455" i="9"/>
  <c r="AO453" i="9"/>
  <c r="BY451" i="9"/>
  <c r="AZ450" i="9"/>
  <c r="BB449" i="9"/>
  <c r="BC448" i="9"/>
  <c r="BF447" i="9"/>
  <c r="BN446" i="9"/>
  <c r="BT445" i="9"/>
  <c r="D445" i="9"/>
  <c r="F444" i="9"/>
  <c r="J443" i="9"/>
  <c r="M442" i="9"/>
  <c r="O441" i="9"/>
  <c r="I440" i="9"/>
  <c r="N439" i="9"/>
  <c r="H438" i="9"/>
  <c r="G437" i="9"/>
  <c r="E436" i="9"/>
  <c r="D435" i="9"/>
  <c r="G434" i="9"/>
  <c r="H433" i="9"/>
  <c r="M432" i="9"/>
  <c r="AW475" i="9"/>
  <c r="BE467" i="9"/>
  <c r="BI464" i="9"/>
  <c r="W463" i="9"/>
  <c r="AO461" i="9"/>
  <c r="BX459" i="9"/>
  <c r="AC458" i="9"/>
  <c r="BM456" i="9"/>
  <c r="X455" i="9"/>
  <c r="AZ453" i="9"/>
  <c r="O452" i="9"/>
  <c r="BK450" i="9"/>
  <c r="BL449" i="9"/>
  <c r="BK448" i="9"/>
  <c r="BN447" i="9"/>
  <c r="BW446" i="9"/>
  <c r="D446" i="9"/>
  <c r="K445" i="9"/>
  <c r="N444" i="9"/>
  <c r="R443" i="9"/>
  <c r="U442" i="9"/>
  <c r="X441" i="9"/>
  <c r="P440" i="9"/>
  <c r="V439" i="9"/>
  <c r="O438" i="9"/>
  <c r="R437" i="9"/>
  <c r="O436" i="9"/>
  <c r="L435" i="9"/>
  <c r="N434" i="9"/>
  <c r="O433" i="9"/>
  <c r="U432" i="9"/>
  <c r="V431" i="9"/>
  <c r="R430" i="9"/>
  <c r="V429" i="9"/>
  <c r="Y428" i="9"/>
  <c r="AA427" i="9"/>
  <c r="AB426" i="9"/>
  <c r="AE425" i="9"/>
  <c r="AD424" i="9"/>
  <c r="AC423" i="9"/>
  <c r="AG422" i="9"/>
  <c r="AG421" i="9"/>
  <c r="AG420" i="9"/>
  <c r="X419" i="9"/>
  <c r="U418" i="9"/>
  <c r="R417" i="9"/>
  <c r="Y416" i="9"/>
  <c r="AA415" i="9"/>
  <c r="AD414" i="9"/>
  <c r="AZ487" i="9"/>
  <c r="AE472" i="9"/>
  <c r="BE465" i="9"/>
  <c r="M464" i="9"/>
  <c r="AW462" i="9"/>
  <c r="BQ460" i="9"/>
  <c r="AC459" i="9"/>
  <c r="BI457" i="9"/>
  <c r="W456" i="9"/>
  <c r="AW454" i="9"/>
  <c r="F453" i="9"/>
  <c r="AT451" i="9"/>
  <c r="AE450" i="9"/>
  <c r="AF449" i="9"/>
  <c r="AG448" i="9"/>
  <c r="AL447" i="9"/>
  <c r="AQ446" i="9"/>
  <c r="AZ445" i="9"/>
  <c r="BK444" i="9"/>
  <c r="BL443" i="9"/>
  <c r="BO442" i="9"/>
  <c r="BR441" i="9"/>
  <c r="BT440" i="9"/>
  <c r="BO439" i="9"/>
  <c r="BS438" i="9"/>
  <c r="BL437" i="9"/>
  <c r="BK436" i="9"/>
  <c r="BJ435" i="9"/>
  <c r="BI434" i="9"/>
  <c r="BJ433" i="9"/>
  <c r="BO432" i="9"/>
  <c r="BT431" i="9"/>
  <c r="BT430" i="9"/>
  <c r="BQ429" i="9"/>
  <c r="BS428" i="9"/>
  <c r="BU427" i="9"/>
  <c r="BW426" i="9"/>
  <c r="BX425" i="9"/>
  <c r="B425" i="9"/>
  <c r="B424" i="9"/>
  <c r="BY422" i="9"/>
  <c r="D422" i="9"/>
  <c r="B421" i="9"/>
  <c r="E420" i="9"/>
  <c r="BP418" i="9"/>
  <c r="BP417" i="9"/>
  <c r="BN416" i="9"/>
  <c r="BY415" i="9"/>
  <c r="AC487" i="9"/>
  <c r="V472" i="9"/>
  <c r="BD465" i="9"/>
  <c r="L464" i="9"/>
  <c r="AL501" i="9"/>
  <c r="D496" i="9"/>
  <c r="BF474" i="9"/>
  <c r="C481" i="9"/>
  <c r="I463" i="9"/>
  <c r="V481" i="9"/>
  <c r="AO451" i="9"/>
  <c r="W443" i="9"/>
  <c r="R435" i="9"/>
  <c r="O463" i="9"/>
  <c r="BE450" i="9"/>
  <c r="L443" i="9"/>
  <c r="F435" i="9"/>
  <c r="AT461" i="9"/>
  <c r="BN449" i="9"/>
  <c r="W442" i="9"/>
  <c r="P434" i="9"/>
  <c r="L461" i="9"/>
  <c r="AR449" i="9"/>
  <c r="D442" i="9"/>
  <c r="BV433" i="9"/>
  <c r="BH459" i="9"/>
  <c r="BB448" i="9"/>
  <c r="N441" i="9"/>
  <c r="G433" i="9"/>
  <c r="U425" i="9"/>
  <c r="H417" i="9"/>
  <c r="AL462" i="9"/>
  <c r="V450" i="9"/>
  <c r="BF442" i="9"/>
  <c r="L439" i="9"/>
  <c r="AO436" i="9"/>
  <c r="AW433" i="9"/>
  <c r="L431" i="9"/>
  <c r="AV428" i="9"/>
  <c r="BO425" i="9"/>
  <c r="P423" i="9"/>
  <c r="BI420" i="9"/>
  <c r="AU418" i="9"/>
  <c r="AV416" i="9"/>
  <c r="BR481" i="9"/>
  <c r="AM465" i="9"/>
  <c r="AT463" i="9"/>
  <c r="BQ461" i="9"/>
  <c r="U460" i="9"/>
  <c r="BE458" i="9"/>
  <c r="N457" i="9"/>
  <c r="BD455" i="9"/>
  <c r="BY453" i="9"/>
  <c r="AM452" i="9"/>
  <c r="I451" i="9"/>
  <c r="C450" i="9"/>
  <c r="A449" i="9"/>
  <c r="E448" i="9"/>
  <c r="L447" i="9"/>
  <c r="R446" i="9"/>
  <c r="Z445" i="9"/>
  <c r="AE444" i="9"/>
  <c r="AI443" i="9"/>
  <c r="AL442" i="9"/>
  <c r="AN441" i="9"/>
  <c r="AI440" i="9"/>
  <c r="AM439" i="9"/>
  <c r="AN438" i="9"/>
  <c r="AH437" i="9"/>
  <c r="AF436" i="9"/>
  <c r="AE435" i="9"/>
  <c r="AD434" i="9"/>
  <c r="AE433" i="9"/>
  <c r="AJ432" i="9"/>
  <c r="AL431" i="9"/>
  <c r="AP430" i="9"/>
  <c r="AM429" i="9"/>
  <c r="AM428" i="9"/>
  <c r="AP427" i="9"/>
  <c r="AQ426" i="9"/>
  <c r="AU425" i="9"/>
  <c r="AS424" i="9"/>
  <c r="AT423" i="9"/>
  <c r="AV422" i="9"/>
  <c r="AU421" i="9"/>
  <c r="AW420" i="9"/>
  <c r="AS419" i="9"/>
  <c r="AL418" i="9"/>
  <c r="AI417" i="9"/>
  <c r="AM416" i="9"/>
  <c r="AP415" i="9"/>
  <c r="AR414" i="9"/>
  <c r="AR413" i="9"/>
  <c r="I458" i="9"/>
  <c r="BA447" i="9"/>
  <c r="E440" i="9"/>
  <c r="I432" i="9"/>
  <c r="N430" i="9"/>
  <c r="AZ428" i="9"/>
  <c r="J427" i="9"/>
  <c r="AR425" i="9"/>
  <c r="BX423" i="9"/>
  <c r="AD422" i="9"/>
  <c r="BK420" i="9"/>
  <c r="D419" i="9"/>
  <c r="AF417" i="9"/>
  <c r="BU415" i="9"/>
  <c r="AM414" i="9"/>
  <c r="V413" i="9"/>
  <c r="Z412" i="9"/>
  <c r="AB411" i="9"/>
  <c r="AC410" i="9"/>
  <c r="AE409" i="9"/>
  <c r="AD408" i="9"/>
  <c r="AE407" i="9"/>
  <c r="AL406" i="9"/>
  <c r="AO405" i="9"/>
  <c r="AN404" i="9"/>
  <c r="AO403" i="9"/>
  <c r="AN402" i="9"/>
  <c r="AB401" i="9"/>
  <c r="AB400" i="9"/>
  <c r="AB399" i="9"/>
  <c r="AB398" i="9"/>
  <c r="Z397" i="9"/>
  <c r="AA396" i="9"/>
  <c r="AB395" i="9"/>
  <c r="AC394" i="9"/>
  <c r="AA393" i="9"/>
  <c r="R392" i="9"/>
  <c r="S391" i="9"/>
  <c r="W390" i="9"/>
  <c r="W389" i="9"/>
  <c r="V388" i="9"/>
  <c r="AB387" i="9"/>
  <c r="AI386" i="9"/>
  <c r="AB385" i="9"/>
  <c r="Z384" i="9"/>
  <c r="AB383" i="9"/>
  <c r="AB382" i="9"/>
  <c r="R381" i="9"/>
  <c r="BO462" i="9"/>
  <c r="AL450" i="9"/>
  <c r="BU442" i="9"/>
  <c r="BQ434" i="9"/>
  <c r="BP430" i="9"/>
  <c r="P429" i="9"/>
  <c r="AW427" i="9"/>
  <c r="I426" i="9"/>
  <c r="AO424" i="9"/>
  <c r="BT422" i="9"/>
  <c r="AC421" i="9"/>
  <c r="BC419" i="9"/>
  <c r="C418" i="9"/>
  <c r="AI416" i="9"/>
  <c r="BY414" i="9"/>
  <c r="AV413" i="9"/>
  <c r="BA412" i="9"/>
  <c r="AY411" i="9"/>
  <c r="BF410" i="9"/>
  <c r="BG409" i="9"/>
  <c r="BF408" i="9"/>
  <c r="BH407" i="9"/>
  <c r="BK406" i="9"/>
  <c r="BQ405" i="9"/>
  <c r="BR404" i="9"/>
  <c r="BS403" i="9"/>
  <c r="BT402" i="9"/>
  <c r="AY401" i="9"/>
  <c r="BA400" i="9"/>
  <c r="BD399" i="9"/>
  <c r="BC398" i="9"/>
  <c r="BA397" i="9"/>
  <c r="BB396" i="9"/>
  <c r="BC395" i="9"/>
  <c r="BG394" i="9"/>
  <c r="AZ393" i="9"/>
  <c r="AT392" i="9"/>
  <c r="AV391" i="9"/>
  <c r="AZ390" i="9"/>
  <c r="AZ389" i="9"/>
  <c r="AW388" i="9"/>
  <c r="AZ387" i="9"/>
  <c r="BI386" i="9"/>
  <c r="BL385" i="9"/>
  <c r="AZ384" i="9"/>
  <c r="AZ383" i="9"/>
  <c r="BA382" i="9"/>
  <c r="K464" i="9"/>
  <c r="AQ451" i="9"/>
  <c r="BJ443" i="9"/>
  <c r="BG435" i="9"/>
  <c r="B431" i="9"/>
  <c r="AG429" i="9"/>
  <c r="BP427" i="9"/>
  <c r="U426" i="9"/>
  <c r="BA424" i="9"/>
  <c r="F423" i="9"/>
  <c r="AP421" i="9"/>
  <c r="BY419" i="9"/>
  <c r="O418" i="9"/>
  <c r="AS416" i="9"/>
  <c r="J415" i="9"/>
  <c r="BJ413" i="9"/>
  <c r="BI412" i="9"/>
  <c r="BK411" i="9"/>
  <c r="BN410" i="9"/>
  <c r="BN409" i="9"/>
  <c r="BN408" i="9"/>
  <c r="BP407" i="9"/>
  <c r="BR406" i="9"/>
  <c r="B406" i="9"/>
  <c r="B405" i="9"/>
  <c r="B404" i="9"/>
  <c r="C403" i="9"/>
  <c r="BK401" i="9"/>
  <c r="BJ400" i="9"/>
  <c r="BL399" i="9"/>
  <c r="BN398" i="9"/>
  <c r="BK397" i="9"/>
  <c r="BL396" i="9"/>
  <c r="BM395" i="9"/>
  <c r="BO394" i="9"/>
  <c r="BL393" i="9"/>
  <c r="BE392" i="9"/>
  <c r="BF391" i="9"/>
  <c r="BH390" i="9"/>
  <c r="BH389" i="9"/>
  <c r="BK388" i="9"/>
  <c r="BI387" i="9"/>
  <c r="BP386" i="9"/>
  <c r="BY385" i="9"/>
  <c r="BJ384" i="9"/>
  <c r="BL383" i="9"/>
  <c r="BL382" i="9"/>
  <c r="L471" i="9"/>
  <c r="AE454" i="9"/>
  <c r="AO445" i="9"/>
  <c r="AW437" i="9"/>
  <c r="AB431" i="9"/>
  <c r="BI429" i="9"/>
  <c r="R428" i="9"/>
  <c r="AV426" i="9"/>
  <c r="H425" i="9"/>
  <c r="AH423" i="9"/>
  <c r="BW421" i="9"/>
  <c r="AA420" i="9"/>
  <c r="AQ418" i="9"/>
  <c r="BS416" i="9"/>
  <c r="AF415" i="9"/>
  <c r="H414" i="9"/>
  <c r="A413" i="9"/>
  <c r="D412" i="9"/>
  <c r="D411" i="9"/>
  <c r="F410" i="9"/>
  <c r="F409" i="9"/>
  <c r="F408" i="9"/>
  <c r="J407" i="9"/>
  <c r="R406" i="9"/>
  <c r="BI499" i="9"/>
  <c r="AQ487" i="9"/>
  <c r="BO466" i="9"/>
  <c r="BY469" i="9"/>
  <c r="BR460" i="9"/>
  <c r="L467" i="9"/>
  <c r="I450" i="9"/>
  <c r="Z442" i="9"/>
  <c r="R434" i="9"/>
  <c r="AF461" i="9"/>
  <c r="BD449" i="9"/>
  <c r="O442" i="9"/>
  <c r="I434" i="9"/>
  <c r="A460" i="9"/>
  <c r="BM448" i="9"/>
  <c r="AA441" i="9"/>
  <c r="Q433" i="9"/>
  <c r="AU459" i="9"/>
  <c r="AS448" i="9"/>
  <c r="G441" i="9"/>
  <c r="BY432" i="9"/>
  <c r="L458" i="9"/>
  <c r="BE447" i="9"/>
  <c r="H440" i="9"/>
  <c r="L432" i="9"/>
  <c r="S424" i="9"/>
  <c r="Q416" i="9"/>
  <c r="BD460" i="9"/>
  <c r="V449" i="9"/>
  <c r="BJ441" i="9"/>
  <c r="BJ438" i="9"/>
  <c r="C436" i="9"/>
  <c r="AO433" i="9"/>
  <c r="BL430" i="9"/>
  <c r="N428" i="9"/>
  <c r="BG425" i="9"/>
  <c r="BP422" i="9"/>
  <c r="AP420" i="9"/>
  <c r="AE418" i="9"/>
  <c r="AF416" i="9"/>
  <c r="BN476" i="9"/>
  <c r="W465" i="9"/>
  <c r="AF463" i="9"/>
  <c r="BE461" i="9"/>
  <c r="H460" i="9"/>
  <c r="AM458" i="9"/>
  <c r="BX456" i="9"/>
  <c r="AN455" i="9"/>
  <c r="BN453" i="9"/>
  <c r="Z452" i="9"/>
  <c r="BT450" i="9"/>
  <c r="BR449" i="9"/>
  <c r="BQ448" i="9"/>
  <c r="BT447" i="9"/>
  <c r="D447" i="9"/>
  <c r="J446" i="9"/>
  <c r="Q445" i="9"/>
  <c r="U444" i="9"/>
  <c r="AA443" i="9"/>
  <c r="AB442" i="9"/>
  <c r="AE441" i="9"/>
  <c r="AA440" i="9"/>
  <c r="AC439" i="9"/>
  <c r="AA438" i="9"/>
  <c r="X437" i="9"/>
  <c r="V436" i="9"/>
  <c r="T435" i="9"/>
  <c r="U434" i="9"/>
  <c r="V433" i="9"/>
  <c r="AB432" i="9"/>
  <c r="AC431" i="9"/>
  <c r="AE430" i="9"/>
  <c r="AD429" i="9"/>
  <c r="AE428" i="9"/>
  <c r="AG427" i="9"/>
  <c r="AH426" i="9"/>
  <c r="AM425" i="9"/>
  <c r="AJ424" i="9"/>
  <c r="AI423" i="9"/>
  <c r="AN422" i="9"/>
  <c r="AM421" i="9"/>
  <c r="AO420" i="9"/>
  <c r="AG419" i="9"/>
  <c r="AD418" i="9"/>
  <c r="AA417" i="9"/>
  <c r="AE416" i="9"/>
  <c r="AG415" i="9"/>
  <c r="AJ414" i="9"/>
  <c r="BP501" i="9"/>
  <c r="AT456" i="9"/>
  <c r="BI446" i="9"/>
  <c r="J439" i="9"/>
  <c r="BL431" i="9"/>
  <c r="C430" i="9"/>
  <c r="AJ428" i="9"/>
  <c r="BT426" i="9"/>
  <c r="AB425" i="9"/>
  <c r="BJ423" i="9"/>
  <c r="O422" i="9"/>
  <c r="AT420" i="9"/>
  <c r="BM418" i="9"/>
  <c r="N417" i="9"/>
  <c r="BE415" i="9"/>
  <c r="AA414" i="9"/>
  <c r="L413" i="9"/>
  <c r="P412" i="9"/>
  <c r="R411" i="9"/>
  <c r="S410" i="9"/>
  <c r="U409" i="9"/>
  <c r="U408" i="9"/>
  <c r="V407" i="9"/>
  <c r="AD406" i="9"/>
  <c r="AG405" i="9"/>
  <c r="AE404" i="9"/>
  <c r="AF403" i="9"/>
  <c r="W402" i="9"/>
  <c r="P401" i="9"/>
  <c r="R400" i="9"/>
  <c r="P399" i="9"/>
  <c r="R398" i="9"/>
  <c r="O397" i="9"/>
  <c r="P396" i="9"/>
  <c r="R395" i="9"/>
  <c r="O394" i="9"/>
  <c r="M393" i="9"/>
  <c r="I392" i="9"/>
  <c r="K391" i="9"/>
  <c r="N390" i="9"/>
  <c r="N389" i="9"/>
  <c r="L388" i="9"/>
  <c r="S387" i="9"/>
  <c r="AA386" i="9"/>
  <c r="O385" i="9"/>
  <c r="P384" i="9"/>
  <c r="P383" i="9"/>
  <c r="Q382" i="9"/>
  <c r="G381" i="9"/>
  <c r="F461" i="9"/>
  <c r="AN449" i="9"/>
  <c r="BY441" i="9"/>
  <c r="BR433" i="9"/>
  <c r="AW430" i="9"/>
  <c r="E429" i="9"/>
  <c r="AL427" i="9"/>
  <c r="BS425" i="9"/>
  <c r="Z424" i="9"/>
  <c r="BF422" i="9"/>
  <c r="M421" i="9"/>
  <c r="AO419" i="9"/>
  <c r="BK417" i="9"/>
  <c r="U416" i="9"/>
  <c r="BK414" i="9"/>
  <c r="AM413" i="9"/>
  <c r="AQ412" i="9"/>
  <c r="AQ411" i="9"/>
  <c r="AU410" i="9"/>
  <c r="AV409" i="9"/>
  <c r="AU408" i="9"/>
  <c r="AU407" i="9"/>
  <c r="BA406" i="9"/>
  <c r="BI405" i="9"/>
  <c r="BH404" i="9"/>
  <c r="BI403" i="9"/>
  <c r="BH402" i="9"/>
  <c r="AQ401" i="9"/>
  <c r="AR400" i="9"/>
  <c r="AR399" i="9"/>
  <c r="AS398" i="9"/>
  <c r="AQ397" i="9"/>
  <c r="AR396" i="9"/>
  <c r="AS395" i="9"/>
  <c r="AV394" i="9"/>
  <c r="AR393" i="9"/>
  <c r="AI392" i="9"/>
  <c r="AL391" i="9"/>
  <c r="AP390" i="9"/>
  <c r="AP389" i="9"/>
  <c r="AM388" i="9"/>
  <c r="AQ387" i="9"/>
  <c r="AX386" i="9"/>
  <c r="BA385" i="9"/>
  <c r="AP384" i="9"/>
  <c r="AQ383" i="9"/>
  <c r="AR382" i="9"/>
  <c r="AU462" i="9"/>
  <c r="AC450" i="9"/>
  <c r="BM442" i="9"/>
  <c r="BF434" i="9"/>
  <c r="BO430" i="9"/>
  <c r="O429" i="9"/>
  <c r="AV427" i="9"/>
  <c r="E426" i="9"/>
  <c r="AN424" i="9"/>
  <c r="BS422" i="9"/>
  <c r="AB421" i="9"/>
  <c r="BA419" i="9"/>
  <c r="BX417" i="9"/>
  <c r="AH416" i="9"/>
  <c r="BW414" i="9"/>
  <c r="AU413" i="9"/>
  <c r="AZ412" i="9"/>
  <c r="AX411" i="9"/>
  <c r="BE410" i="9"/>
  <c r="BF409" i="9"/>
  <c r="BD408" i="9"/>
  <c r="BF407" i="9"/>
  <c r="BJ406" i="9"/>
  <c r="BP405" i="9"/>
  <c r="BQ404" i="9"/>
  <c r="BR403" i="9"/>
  <c r="BS402" i="9"/>
  <c r="AX401" i="9"/>
  <c r="AZ400" i="9"/>
  <c r="BA399" i="9"/>
  <c r="BB398" i="9"/>
  <c r="AZ397" i="9"/>
  <c r="BA396" i="9"/>
  <c r="BB395" i="9"/>
  <c r="BF394" i="9"/>
  <c r="AY393" i="9"/>
  <c r="AS392" i="9"/>
  <c r="AU391" i="9"/>
  <c r="AW390" i="9"/>
  <c r="AW389" i="9"/>
  <c r="AV388" i="9"/>
  <c r="AX387" i="9"/>
  <c r="BG386" i="9"/>
  <c r="BK385" i="9"/>
  <c r="AW384" i="9"/>
  <c r="AX383" i="9"/>
  <c r="AZ382" i="9"/>
  <c r="AL465" i="9"/>
  <c r="BN452" i="9"/>
  <c r="AV444" i="9"/>
  <c r="AU436" i="9"/>
  <c r="O431" i="9"/>
  <c r="AR429" i="9"/>
  <c r="C428" i="9"/>
  <c r="AG426" i="9"/>
  <c r="BS424" i="9"/>
  <c r="U423" i="9"/>
  <c r="BC421" i="9"/>
  <c r="K420" i="9"/>
  <c r="AC418" i="9"/>
  <c r="BG416" i="9"/>
  <c r="S415" i="9"/>
  <c r="BU413" i="9"/>
  <c r="BP412" i="9"/>
  <c r="BS411" i="9"/>
  <c r="BU410" i="9"/>
  <c r="BU409" i="9"/>
  <c r="BU408" i="9"/>
  <c r="BW407" i="9"/>
  <c r="B407" i="9"/>
  <c r="I406" i="9"/>
  <c r="J405" i="9"/>
  <c r="I404" i="9"/>
  <c r="J403" i="9"/>
  <c r="BS401" i="9"/>
  <c r="BR400" i="9"/>
  <c r="BU399" i="9"/>
  <c r="BU398" i="9"/>
  <c r="BS397" i="9"/>
  <c r="BS396" i="9"/>
  <c r="BT395" i="9"/>
  <c r="BV394" i="9"/>
  <c r="BS393" i="9"/>
  <c r="BO392" i="9"/>
  <c r="BM391" i="9"/>
  <c r="BO390" i="9"/>
  <c r="BQ389" i="9"/>
  <c r="BS388" i="9"/>
  <c r="BP387" i="9"/>
  <c r="BY386" i="9"/>
  <c r="G386" i="9"/>
  <c r="BR384" i="9"/>
  <c r="BT383" i="9"/>
  <c r="BS382" i="9"/>
  <c r="BV381" i="9"/>
  <c r="BJ380" i="9"/>
  <c r="BE463" i="9"/>
  <c r="R451" i="9"/>
  <c r="AQ443" i="9"/>
  <c r="AL435" i="9"/>
  <c r="BY430" i="9"/>
  <c r="AB429" i="9"/>
  <c r="BH427" i="9"/>
  <c r="R426" i="9"/>
  <c r="AW424" i="9"/>
  <c r="D423" i="9"/>
  <c r="AK421" i="9"/>
  <c r="BN419" i="9"/>
  <c r="L418" i="9"/>
  <c r="AQ416" i="9"/>
  <c r="F415" i="9"/>
  <c r="BH413" i="9"/>
  <c r="BG412" i="9"/>
  <c r="BI411" i="9"/>
  <c r="BK410" i="9"/>
  <c r="BL409" i="9"/>
  <c r="BK408" i="9"/>
  <c r="BM407" i="9"/>
  <c r="BP406" i="9"/>
  <c r="BY405" i="9"/>
  <c r="BX404" i="9"/>
  <c r="BY403" i="9"/>
  <c r="A403" i="9"/>
  <c r="BX492" i="9"/>
  <c r="AE479" i="9"/>
  <c r="BF476" i="9"/>
  <c r="O462" i="9"/>
  <c r="BT458" i="9"/>
  <c r="F464" i="9"/>
  <c r="BO448" i="9"/>
  <c r="AC441" i="9"/>
  <c r="S433" i="9"/>
  <c r="BN459" i="9"/>
  <c r="BF448" i="9"/>
  <c r="Q441" i="9"/>
  <c r="J433" i="9"/>
  <c r="AE458" i="9"/>
  <c r="BP447" i="9"/>
  <c r="U440" i="9"/>
  <c r="W432" i="9"/>
  <c r="B458" i="9"/>
  <c r="AV447" i="9"/>
  <c r="A440" i="9"/>
  <c r="BE507" i="9"/>
  <c r="AW456" i="9"/>
  <c r="BM446" i="9"/>
  <c r="M439" i="9"/>
  <c r="M431" i="9"/>
  <c r="R423" i="9"/>
  <c r="Q415" i="9"/>
  <c r="L459" i="9"/>
  <c r="X448" i="9"/>
  <c r="M441" i="9"/>
  <c r="AW438" i="9"/>
  <c r="AV435" i="9"/>
  <c r="F433" i="9"/>
  <c r="AZ430" i="9"/>
  <c r="BL427" i="9"/>
  <c r="T425" i="9"/>
  <c r="BH422" i="9"/>
  <c r="W420" i="9"/>
  <c r="I418" i="9"/>
  <c r="P416" i="9"/>
  <c r="V474" i="9"/>
  <c r="K465" i="9"/>
  <c r="U463" i="9"/>
  <c r="AM461" i="9"/>
  <c r="BQ459" i="9"/>
  <c r="W458" i="9"/>
  <c r="BK456" i="9"/>
  <c r="R455" i="9"/>
  <c r="AW453" i="9"/>
  <c r="J452" i="9"/>
  <c r="BI450" i="9"/>
  <c r="BH449" i="9"/>
  <c r="BI448" i="9"/>
  <c r="BL447" i="9"/>
  <c r="BS446" i="9"/>
  <c r="B446" i="9"/>
  <c r="I445" i="9"/>
  <c r="L444" i="9"/>
  <c r="O443" i="9"/>
  <c r="R442" i="9"/>
  <c r="V441" i="9"/>
  <c r="N440" i="9"/>
  <c r="T439" i="9"/>
  <c r="M438" i="9"/>
  <c r="O437" i="9"/>
  <c r="L436" i="9"/>
  <c r="J435" i="9"/>
  <c r="L434" i="9"/>
  <c r="M433" i="9"/>
  <c r="R432" i="9"/>
  <c r="S431" i="9"/>
  <c r="O430" i="9"/>
  <c r="S429" i="9"/>
  <c r="V428" i="9"/>
  <c r="X427" i="9"/>
  <c r="Z426" i="9"/>
  <c r="AC425" i="9"/>
  <c r="AB424" i="9"/>
  <c r="AA423" i="9"/>
  <c r="AE422" i="9"/>
  <c r="AE421" i="9"/>
  <c r="AE420" i="9"/>
  <c r="R419" i="9"/>
  <c r="S418" i="9"/>
  <c r="O417" i="9"/>
  <c r="W416" i="9"/>
  <c r="X415" i="9"/>
  <c r="AB414" i="9"/>
  <c r="L474" i="9"/>
  <c r="B455" i="9"/>
  <c r="BP445" i="9"/>
  <c r="D438" i="9"/>
  <c r="AH431" i="9"/>
  <c r="BN429" i="9"/>
  <c r="U428" i="9"/>
  <c r="BF426" i="9"/>
  <c r="N425" i="9"/>
  <c r="AQ423" i="9"/>
  <c r="A422" i="9"/>
  <c r="AD420" i="9"/>
  <c r="AW418" i="9"/>
  <c r="B417" i="9"/>
  <c r="AM415" i="9"/>
  <c r="M414" i="9"/>
  <c r="D413" i="9"/>
  <c r="H412" i="9"/>
  <c r="G411" i="9"/>
  <c r="J410" i="9"/>
  <c r="K409" i="9"/>
  <c r="K408" i="9"/>
  <c r="M407" i="9"/>
  <c r="U406" i="9"/>
  <c r="V405" i="9"/>
  <c r="U404" i="9"/>
  <c r="W403" i="9"/>
  <c r="J402" i="9"/>
  <c r="E401" i="9"/>
  <c r="I400" i="9"/>
  <c r="H399" i="9"/>
  <c r="I398" i="9"/>
  <c r="F397" i="9"/>
  <c r="H396" i="9"/>
  <c r="J395" i="9"/>
  <c r="G394" i="9"/>
  <c r="B393" i="9"/>
  <c r="BY391" i="9"/>
  <c r="C391" i="9"/>
  <c r="E390" i="9"/>
  <c r="E389" i="9"/>
  <c r="D388" i="9"/>
  <c r="K387" i="9"/>
  <c r="R386" i="9"/>
  <c r="E385" i="9"/>
  <c r="H384" i="9"/>
  <c r="F383" i="9"/>
  <c r="I382" i="9"/>
  <c r="BX380" i="9"/>
  <c r="AN459" i="9"/>
  <c r="AO448" i="9"/>
  <c r="C441" i="9"/>
  <c r="BU432" i="9"/>
  <c r="AL430" i="9"/>
  <c r="BO428" i="9"/>
  <c r="V427" i="9"/>
  <c r="BD425" i="9"/>
  <c r="L424" i="9"/>
  <c r="AR422" i="9"/>
  <c r="BU420" i="9"/>
  <c r="O419" i="9"/>
  <c r="AQ417" i="9"/>
  <c r="J416" i="9"/>
  <c r="AV414" i="9"/>
  <c r="AD413" i="9"/>
  <c r="AG412" i="9"/>
  <c r="AI411" i="9"/>
  <c r="AJ410" i="9"/>
  <c r="AN409" i="9"/>
  <c r="AM408" i="9"/>
  <c r="AM407" i="9"/>
  <c r="AS406" i="9"/>
  <c r="AV405" i="9"/>
  <c r="AU404" i="9"/>
  <c r="AV403" i="9"/>
  <c r="AU402" i="9"/>
  <c r="AI401" i="9"/>
  <c r="AI400" i="9"/>
  <c r="AI399" i="9"/>
  <c r="AI398" i="9"/>
  <c r="AG397" i="9"/>
  <c r="AH396" i="9"/>
  <c r="AI395" i="9"/>
  <c r="AN394" i="9"/>
  <c r="AI393" i="9"/>
  <c r="AA392" i="9"/>
  <c r="AC391" i="9"/>
  <c r="AF390" i="9"/>
  <c r="AF389" i="9"/>
  <c r="AD388" i="9"/>
  <c r="AI387" i="9"/>
  <c r="AP386" i="9"/>
  <c r="AQ385" i="9"/>
  <c r="AG384" i="9"/>
  <c r="AI383" i="9"/>
  <c r="AI382" i="9"/>
  <c r="BO460" i="9"/>
  <c r="AD449" i="9"/>
  <c r="BP441" i="9"/>
  <c r="BH433" i="9"/>
  <c r="AV430" i="9"/>
  <c r="A429" i="9"/>
  <c r="AJ427" i="9"/>
  <c r="BR425" i="9"/>
  <c r="W424" i="9"/>
  <c r="BE422" i="9"/>
  <c r="H421" i="9"/>
  <c r="AN419" i="9"/>
  <c r="BJ417" i="9"/>
  <c r="T416" i="9"/>
  <c r="BJ414" i="9"/>
  <c r="AL413" i="9"/>
  <c r="AP412" i="9"/>
  <c r="AP411" i="9"/>
  <c r="AT410" i="9"/>
  <c r="AU409" i="9"/>
  <c r="AT408" i="9"/>
  <c r="AT407" i="9"/>
  <c r="AZ406" i="9"/>
  <c r="BH405" i="9"/>
  <c r="BF404" i="9"/>
  <c r="BH403" i="9"/>
  <c r="BF402" i="9"/>
  <c r="AP401" i="9"/>
  <c r="AQ400" i="9"/>
  <c r="AQ399" i="9"/>
  <c r="AR398" i="9"/>
  <c r="AP397" i="9"/>
  <c r="AQ396" i="9"/>
  <c r="AR395" i="9"/>
  <c r="AU394" i="9"/>
  <c r="AQ393" i="9"/>
  <c r="AH392" i="9"/>
  <c r="AJ391" i="9"/>
  <c r="AO390" i="9"/>
  <c r="AO389" i="9"/>
  <c r="AL388" i="9"/>
  <c r="AP387" i="9"/>
  <c r="AW386" i="9"/>
  <c r="AZ385" i="9"/>
  <c r="AO384" i="9"/>
  <c r="AP383" i="9"/>
  <c r="AQ382" i="9"/>
  <c r="BT463" i="9"/>
  <c r="AE451" i="9"/>
  <c r="AZ443" i="9"/>
  <c r="AT435" i="9"/>
  <c r="A431" i="9"/>
  <c r="AC429" i="9"/>
  <c r="BO427" i="9"/>
  <c r="S426" i="9"/>
  <c r="AZ424" i="9"/>
  <c r="E423" i="9"/>
  <c r="AL421" i="9"/>
  <c r="BX419" i="9"/>
  <c r="M418" i="9"/>
  <c r="AR416" i="9"/>
  <c r="H415" i="9"/>
  <c r="BI413" i="9"/>
  <c r="BH412" i="9"/>
  <c r="BJ411" i="9"/>
  <c r="BL410" i="9"/>
  <c r="BM409" i="9"/>
  <c r="BL408" i="9"/>
  <c r="BO407" i="9"/>
  <c r="BQ406" i="9"/>
  <c r="A406" i="9"/>
  <c r="A405" i="9"/>
  <c r="A404" i="9"/>
  <c r="B403" i="9"/>
  <c r="BJ401" i="9"/>
  <c r="BI400" i="9"/>
  <c r="BK399" i="9"/>
  <c r="BL398" i="9"/>
  <c r="BH397" i="9"/>
  <c r="BK396" i="9"/>
  <c r="BL395" i="9"/>
  <c r="BN394" i="9"/>
  <c r="BK393" i="9"/>
  <c r="BD392" i="9"/>
  <c r="BE391" i="9"/>
  <c r="BG390" i="9"/>
  <c r="BG389" i="9"/>
  <c r="BH388" i="9"/>
  <c r="BG387" i="9"/>
  <c r="BO386" i="9"/>
  <c r="BX385" i="9"/>
  <c r="BI384" i="9"/>
  <c r="BK383" i="9"/>
  <c r="BK382" i="9"/>
  <c r="BL381" i="9"/>
  <c r="AZ380" i="9"/>
  <c r="F462" i="9"/>
  <c r="J450" i="9"/>
  <c r="AS442" i="9"/>
  <c r="AL434" i="9"/>
  <c r="BH430" i="9"/>
  <c r="M429" i="9"/>
  <c r="AT427" i="9"/>
  <c r="C426" i="9"/>
  <c r="AH424" i="9"/>
  <c r="BN422" i="9"/>
  <c r="W421" i="9"/>
  <c r="AW419" i="9"/>
  <c r="BT417" i="9"/>
  <c r="AC416" i="9"/>
  <c r="BS414" i="9"/>
  <c r="AS413" i="9"/>
  <c r="AV412" i="9"/>
  <c r="C492" i="9"/>
  <c r="BE484" i="9"/>
  <c r="AE468" i="9"/>
  <c r="Z454" i="9"/>
  <c r="A457" i="9"/>
  <c r="A462" i="9"/>
  <c r="BR447" i="9"/>
  <c r="W440" i="9"/>
  <c r="Z432" i="9"/>
  <c r="R458" i="9"/>
  <c r="BI447" i="9"/>
  <c r="K440" i="9"/>
  <c r="O432" i="9"/>
  <c r="BO456" i="9"/>
  <c r="BY446" i="9"/>
  <c r="X439" i="9"/>
  <c r="U495" i="9"/>
  <c r="AM456" i="9"/>
  <c r="BA446" i="9"/>
  <c r="E439" i="9"/>
  <c r="AO474" i="9"/>
  <c r="I455" i="9"/>
  <c r="BS445" i="9"/>
  <c r="G438" i="9"/>
  <c r="I430" i="9"/>
  <c r="W422" i="9"/>
  <c r="T414" i="9"/>
  <c r="AR457" i="9"/>
  <c r="AD447" i="9"/>
  <c r="BH440" i="9"/>
  <c r="F438" i="9"/>
  <c r="AN435" i="9"/>
  <c r="BE432" i="9"/>
  <c r="H430" i="9"/>
  <c r="AZ427" i="9"/>
  <c r="BQ424" i="9"/>
  <c r="V422" i="9"/>
  <c r="BP419" i="9"/>
  <c r="BD417" i="9"/>
  <c r="BP415" i="9"/>
  <c r="U471" i="9"/>
  <c r="BT464" i="9"/>
  <c r="G463" i="9"/>
  <c r="W461" i="9"/>
  <c r="BF459" i="9"/>
  <c r="J458" i="9"/>
  <c r="AU456" i="9"/>
  <c r="C455" i="9"/>
  <c r="AH453" i="9"/>
  <c r="BV451" i="9"/>
  <c r="AU450" i="9"/>
  <c r="AW449" i="9"/>
  <c r="AZ448" i="9"/>
  <c r="BC447" i="9"/>
  <c r="BK446" i="9"/>
  <c r="BQ445" i="9"/>
  <c r="A445" i="9"/>
  <c r="C444" i="9"/>
  <c r="G443" i="9"/>
  <c r="J442" i="9"/>
  <c r="L441" i="9"/>
  <c r="F440" i="9"/>
  <c r="K439" i="9"/>
  <c r="E438" i="9"/>
  <c r="D437" i="9"/>
  <c r="B436" i="9"/>
  <c r="A435" i="9"/>
  <c r="D434" i="9"/>
  <c r="E433" i="9"/>
  <c r="J432" i="9"/>
  <c r="K431" i="9"/>
  <c r="G430" i="9"/>
  <c r="J429" i="9"/>
  <c r="M428" i="9"/>
  <c r="N427" i="9"/>
  <c r="N426" i="9"/>
  <c r="R425" i="9"/>
  <c r="Q424" i="9"/>
  <c r="O423" i="9"/>
  <c r="U422" i="9"/>
  <c r="T421" i="9"/>
  <c r="V420" i="9"/>
  <c r="I419" i="9"/>
  <c r="H418" i="9"/>
  <c r="F417" i="9"/>
  <c r="O416" i="9"/>
  <c r="O415" i="9"/>
  <c r="R414" i="9"/>
  <c r="AD466" i="9"/>
  <c r="AG453" i="9"/>
  <c r="BY444" i="9"/>
  <c r="C437" i="9"/>
  <c r="R431" i="9"/>
  <c r="AY429" i="9"/>
  <c r="I428" i="9"/>
  <c r="AN426" i="9"/>
  <c r="BV424" i="9"/>
  <c r="Z423" i="9"/>
  <c r="BL421" i="9"/>
  <c r="Q420" i="9"/>
  <c r="AI418" i="9"/>
  <c r="BK416" i="9"/>
  <c r="W415" i="9"/>
  <c r="B414" i="9"/>
  <c r="BS412" i="9"/>
  <c r="BX411" i="9"/>
  <c r="BX410" i="9"/>
  <c r="A410" i="9"/>
  <c r="A409" i="9"/>
  <c r="A408" i="9"/>
  <c r="E407" i="9"/>
  <c r="L406" i="9"/>
  <c r="M405" i="9"/>
  <c r="L404" i="9"/>
  <c r="M403" i="9"/>
  <c r="BY401" i="9"/>
  <c r="BU400" i="9"/>
  <c r="A400" i="9"/>
  <c r="BY398" i="9"/>
  <c r="BY397" i="9"/>
  <c r="BW396" i="9"/>
  <c r="BX395" i="9"/>
  <c r="A395" i="9"/>
  <c r="BX393" i="9"/>
  <c r="BR392" i="9"/>
  <c r="BP391" i="9"/>
  <c r="BR390" i="9"/>
  <c r="BT389" i="9"/>
  <c r="BV388" i="9"/>
  <c r="BS387" i="9"/>
  <c r="C387" i="9"/>
  <c r="J386" i="9"/>
  <c r="BU384" i="9"/>
  <c r="BY383" i="9"/>
  <c r="BV382" i="9"/>
  <c r="A382" i="9"/>
  <c r="BN380" i="9"/>
  <c r="BR457" i="9"/>
  <c r="AR447" i="9"/>
  <c r="BU439" i="9"/>
  <c r="G432" i="9"/>
  <c r="M430" i="9"/>
  <c r="AT428" i="9"/>
  <c r="I427" i="9"/>
  <c r="AQ425" i="9"/>
  <c r="BV423" i="9"/>
  <c r="AC422" i="9"/>
  <c r="BG420" i="9"/>
  <c r="C419" i="9"/>
  <c r="AE417" i="9"/>
  <c r="BT415" i="9"/>
  <c r="AK414" i="9"/>
  <c r="U413" i="9"/>
  <c r="X412" i="9"/>
  <c r="AA411" i="9"/>
  <c r="AB410" i="9"/>
  <c r="AD409" i="9"/>
  <c r="AC408" i="9"/>
  <c r="AD407" i="9"/>
  <c r="AK406" i="9"/>
  <c r="AN405" i="9"/>
  <c r="AM404" i="9"/>
  <c r="AN403" i="9"/>
  <c r="AM402" i="9"/>
  <c r="AA401" i="9"/>
  <c r="AA400" i="9"/>
  <c r="AA399" i="9"/>
  <c r="AA398" i="9"/>
  <c r="W397" i="9"/>
  <c r="Z396" i="9"/>
  <c r="AA395" i="9"/>
  <c r="AB394" i="9"/>
  <c r="W393" i="9"/>
  <c r="P392" i="9"/>
  <c r="R391" i="9"/>
  <c r="V390" i="9"/>
  <c r="V389" i="9"/>
  <c r="U388" i="9"/>
  <c r="AA387" i="9"/>
  <c r="AH386" i="9"/>
  <c r="AA385" i="9"/>
  <c r="X384" i="9"/>
  <c r="AA383" i="9"/>
  <c r="AA382" i="9"/>
  <c r="V459" i="9"/>
  <c r="AE448" i="9"/>
  <c r="BR440" i="9"/>
  <c r="BM432" i="9"/>
  <c r="AJ430" i="9"/>
  <c r="BN428" i="9"/>
  <c r="U427" i="9"/>
  <c r="BC425" i="9"/>
  <c r="H424" i="9"/>
  <c r="AQ422" i="9"/>
  <c r="BT420" i="9"/>
  <c r="N419" i="9"/>
  <c r="AP417" i="9"/>
  <c r="F416" i="9"/>
  <c r="AU414" i="9"/>
  <c r="AC413" i="9"/>
  <c r="AF412" i="9"/>
  <c r="AH411" i="9"/>
  <c r="AI410" i="9"/>
  <c r="AM409" i="9"/>
  <c r="AL408" i="9"/>
  <c r="AL407" i="9"/>
  <c r="AR406" i="9"/>
  <c r="AU405" i="9"/>
  <c r="AT404" i="9"/>
  <c r="AU403" i="9"/>
  <c r="AT402" i="9"/>
  <c r="AH401" i="9"/>
  <c r="AH400" i="9"/>
  <c r="AH399" i="9"/>
  <c r="AH398" i="9"/>
  <c r="AF397" i="9"/>
  <c r="AG396" i="9"/>
  <c r="AH395" i="9"/>
  <c r="AM394" i="9"/>
  <c r="AH393" i="9"/>
  <c r="Z392" i="9"/>
  <c r="AB391" i="9"/>
  <c r="AE390" i="9"/>
  <c r="AE389" i="9"/>
  <c r="AC388" i="9"/>
  <c r="AH387" i="9"/>
  <c r="AO386" i="9"/>
  <c r="AP385" i="9"/>
  <c r="AF384" i="9"/>
  <c r="AH383" i="9"/>
  <c r="AH382" i="9"/>
  <c r="AA462" i="9"/>
  <c r="S450" i="9"/>
  <c r="BC442" i="9"/>
  <c r="AT434" i="9"/>
  <c r="BN430" i="9"/>
  <c r="N429" i="9"/>
  <c r="AU427" i="9"/>
  <c r="D426" i="9"/>
  <c r="AI424" i="9"/>
  <c r="BR422" i="9"/>
  <c r="AA421" i="9"/>
  <c r="AZ419" i="9"/>
  <c r="BV417" i="9"/>
  <c r="AD416" i="9"/>
  <c r="BT414" i="9"/>
  <c r="AT413" i="9"/>
  <c r="AW412" i="9"/>
  <c r="AW411" i="9"/>
  <c r="BD410" i="9"/>
  <c r="BD409" i="9"/>
  <c r="BC408" i="9"/>
  <c r="BE407" i="9"/>
  <c r="BI406" i="9"/>
  <c r="BO405" i="9"/>
  <c r="BP404" i="9"/>
  <c r="BQ403" i="9"/>
  <c r="BR402" i="9"/>
  <c r="AW401" i="9"/>
  <c r="AY400" i="9"/>
  <c r="AZ399" i="9"/>
  <c r="BA398" i="9"/>
  <c r="AW397" i="9"/>
  <c r="AZ396" i="9"/>
  <c r="BA395" i="9"/>
  <c r="BE394" i="9"/>
  <c r="AX393" i="9"/>
  <c r="AR392" i="9"/>
  <c r="AT391" i="9"/>
  <c r="AV390" i="9"/>
  <c r="AV389" i="9"/>
  <c r="AU388" i="9"/>
  <c r="AW387" i="9"/>
  <c r="BF386" i="9"/>
  <c r="BJ385" i="9"/>
  <c r="AV384" i="9"/>
  <c r="AW383" i="9"/>
  <c r="AY382" i="9"/>
  <c r="AZ381" i="9"/>
  <c r="AQ380" i="9"/>
  <c r="AJ460" i="9"/>
  <c r="J449" i="9"/>
  <c r="AW441" i="9"/>
  <c r="AM433" i="9"/>
  <c r="AT430" i="9"/>
  <c r="BX428" i="9"/>
  <c r="AE427" i="9"/>
  <c r="BM425" i="9"/>
  <c r="U424" i="9"/>
  <c r="BA422" i="9"/>
  <c r="F421" i="9"/>
  <c r="AC419" i="9"/>
  <c r="AZ417" i="9"/>
  <c r="R416" i="9"/>
  <c r="BG414" i="9"/>
  <c r="AI413" i="9"/>
  <c r="AN412" i="9"/>
  <c r="AN411" i="9"/>
  <c r="AR410" i="9"/>
  <c r="AS409" i="9"/>
  <c r="AR408" i="9"/>
  <c r="AR407" i="9"/>
  <c r="AX406" i="9"/>
  <c r="BE405" i="9"/>
  <c r="BD404" i="9"/>
  <c r="BE403" i="9"/>
  <c r="BD402" i="9"/>
  <c r="AR497" i="9"/>
  <c r="AD471" i="9"/>
  <c r="AX478" i="9"/>
  <c r="BA480" i="9"/>
  <c r="E455" i="9"/>
  <c r="BO459" i="9"/>
  <c r="B447" i="9"/>
  <c r="AA439" i="9"/>
  <c r="BM514" i="9"/>
  <c r="BD456" i="9"/>
  <c r="BP446" i="9"/>
  <c r="P439" i="9"/>
  <c r="E476" i="9"/>
  <c r="AE455" i="9"/>
  <c r="F446" i="9"/>
  <c r="Q438" i="9"/>
  <c r="BA473" i="9"/>
  <c r="BR454" i="9"/>
  <c r="BL445" i="9"/>
  <c r="BY437" i="9"/>
  <c r="AZ466" i="9"/>
  <c r="AN453" i="9"/>
  <c r="C445" i="9"/>
  <c r="F437" i="9"/>
  <c r="L429" i="9"/>
  <c r="V421" i="9"/>
  <c r="BF484" i="9"/>
  <c r="H456" i="9"/>
  <c r="AI446" i="9"/>
  <c r="AU440" i="9"/>
  <c r="AY437" i="9"/>
  <c r="B435" i="9"/>
  <c r="AT432" i="9"/>
  <c r="BG429" i="9"/>
  <c r="O427" i="9"/>
  <c r="BF424" i="9"/>
  <c r="BS421" i="9"/>
  <c r="BG419" i="9"/>
  <c r="AS417" i="9"/>
  <c r="BA415" i="9"/>
  <c r="Z470" i="9"/>
  <c r="AN464" i="9"/>
  <c r="BS462" i="9"/>
  <c r="G461" i="9"/>
  <c r="AO459" i="9"/>
  <c r="BS457" i="9"/>
  <c r="AG456" i="9"/>
  <c r="BO454" i="9"/>
  <c r="U453" i="9"/>
  <c r="BF451" i="9"/>
  <c r="AM450" i="9"/>
  <c r="AO449" i="9"/>
  <c r="AP448" i="9"/>
  <c r="AS447" i="9"/>
  <c r="AX446" i="9"/>
  <c r="BI445" i="9"/>
  <c r="BR444" i="9"/>
  <c r="BT443" i="9"/>
  <c r="BX442" i="9"/>
  <c r="A442" i="9"/>
  <c r="D441" i="9"/>
  <c r="BW439" i="9"/>
  <c r="B439" i="9"/>
  <c r="BS437" i="9"/>
  <c r="BR436" i="9"/>
  <c r="BQ435" i="9"/>
  <c r="BR434" i="9"/>
  <c r="BS433" i="9"/>
  <c r="BV432" i="9"/>
  <c r="B432" i="9"/>
  <c r="C431" i="9"/>
  <c r="BX429" i="9"/>
  <c r="B429" i="9"/>
  <c r="E428" i="9"/>
  <c r="E427" i="9"/>
  <c r="F426" i="9"/>
  <c r="J425" i="9"/>
  <c r="I424" i="9"/>
  <c r="G423" i="9"/>
  <c r="K422" i="9"/>
  <c r="J421" i="9"/>
  <c r="M420" i="9"/>
  <c r="BY418" i="9"/>
  <c r="BY417" i="9"/>
  <c r="BW416" i="9"/>
  <c r="G416" i="9"/>
  <c r="G415" i="9"/>
  <c r="G414" i="9"/>
  <c r="AM464" i="9"/>
  <c r="BR451" i="9"/>
  <c r="B444" i="9"/>
  <c r="A436" i="9"/>
  <c r="G431" i="9"/>
  <c r="AI429" i="9"/>
  <c r="BR427" i="9"/>
  <c r="W426" i="9"/>
  <c r="BI424" i="9"/>
  <c r="K423" i="9"/>
  <c r="AR421" i="9"/>
  <c r="B420" i="9"/>
  <c r="R418" i="9"/>
  <c r="AX416" i="9"/>
  <c r="L415" i="9"/>
  <c r="BL413" i="9"/>
  <c r="BK412" i="9"/>
  <c r="BM411" i="9"/>
  <c r="BP410" i="9"/>
  <c r="BP409" i="9"/>
  <c r="BP408" i="9"/>
  <c r="BR407" i="9"/>
  <c r="BT406" i="9"/>
  <c r="D406" i="9"/>
  <c r="D405" i="9"/>
  <c r="D404" i="9"/>
  <c r="E403" i="9"/>
  <c r="BN401" i="9"/>
  <c r="BL400" i="9"/>
  <c r="BP399" i="9"/>
  <c r="BP398" i="9"/>
  <c r="BN397" i="9"/>
  <c r="BN396" i="9"/>
  <c r="BO395" i="9"/>
  <c r="BQ394" i="9"/>
  <c r="BN393" i="9"/>
  <c r="BH392" i="9"/>
  <c r="BH391" i="9"/>
  <c r="BJ390" i="9"/>
  <c r="BL389" i="9"/>
  <c r="BM388" i="9"/>
  <c r="BK387" i="9"/>
  <c r="BR386" i="9"/>
  <c r="B386" i="9"/>
  <c r="BL384" i="9"/>
  <c r="BO383" i="9"/>
  <c r="BN382" i="9"/>
  <c r="BQ381" i="9"/>
  <c r="V491" i="9"/>
  <c r="AF456" i="9"/>
  <c r="AW446" i="9"/>
  <c r="A439" i="9"/>
  <c r="BH431" i="9"/>
  <c r="B430" i="9"/>
  <c r="AI428" i="9"/>
  <c r="BS426" i="9"/>
  <c r="AA425" i="9"/>
  <c r="BE423" i="9"/>
  <c r="N422" i="9"/>
  <c r="AS420" i="9"/>
  <c r="BL418" i="9"/>
  <c r="M417" i="9"/>
  <c r="AW415" i="9"/>
  <c r="X414" i="9"/>
  <c r="K413" i="9"/>
  <c r="O412" i="9"/>
  <c r="P411" i="9"/>
  <c r="R410" i="9"/>
  <c r="T409" i="9"/>
  <c r="T408" i="9"/>
  <c r="U407" i="9"/>
  <c r="AC406" i="9"/>
  <c r="AF405" i="9"/>
  <c r="AD404" i="9"/>
  <c r="AE403" i="9"/>
  <c r="R402" i="9"/>
  <c r="O401" i="9"/>
  <c r="P400" i="9"/>
  <c r="O399" i="9"/>
  <c r="P398" i="9"/>
  <c r="N397" i="9"/>
  <c r="O396" i="9"/>
  <c r="Q395" i="9"/>
  <c r="N394" i="9"/>
  <c r="L393" i="9"/>
  <c r="G392" i="9"/>
  <c r="J391" i="9"/>
  <c r="M390" i="9"/>
  <c r="M389" i="9"/>
  <c r="K388" i="9"/>
  <c r="R387" i="9"/>
  <c r="Z386" i="9"/>
  <c r="N385" i="9"/>
  <c r="O384" i="9"/>
  <c r="O383" i="9"/>
  <c r="P382" i="9"/>
  <c r="BC457" i="9"/>
  <c r="AJ447" i="9"/>
  <c r="BM439" i="9"/>
  <c r="E432" i="9"/>
  <c r="L430" i="9"/>
  <c r="AS428" i="9"/>
  <c r="D427" i="9"/>
  <c r="AP425" i="9"/>
  <c r="BU423" i="9"/>
  <c r="AB422" i="9"/>
  <c r="BF420" i="9"/>
  <c r="BX418" i="9"/>
  <c r="AD417" i="9"/>
  <c r="BS415" i="9"/>
  <c r="AI414" i="9"/>
  <c r="S413" i="9"/>
  <c r="W412" i="9"/>
  <c r="X411" i="9"/>
  <c r="AA410" i="9"/>
  <c r="AC409" i="9"/>
  <c r="AB408" i="9"/>
  <c r="AC407" i="9"/>
  <c r="AJ406" i="9"/>
  <c r="AM405" i="9"/>
  <c r="AL404" i="9"/>
  <c r="AM403" i="9"/>
  <c r="AL402" i="9"/>
  <c r="W401" i="9"/>
  <c r="Z400" i="9"/>
  <c r="Z399" i="9"/>
  <c r="Z398" i="9"/>
  <c r="V397" i="9"/>
  <c r="W396" i="9"/>
  <c r="Z395" i="9"/>
  <c r="AA394" i="9"/>
  <c r="V393" i="9"/>
  <c r="O392" i="9"/>
  <c r="Q391" i="9"/>
  <c r="U390" i="9"/>
  <c r="U389" i="9"/>
  <c r="S388" i="9"/>
  <c r="Z387" i="9"/>
  <c r="AG386" i="9"/>
  <c r="Z385" i="9"/>
  <c r="W384" i="9"/>
  <c r="W383" i="9"/>
  <c r="Z382" i="9"/>
  <c r="AV460" i="9"/>
  <c r="T449" i="9"/>
  <c r="BH441" i="9"/>
  <c r="AU433" i="9"/>
  <c r="AU430" i="9"/>
  <c r="BY428" i="9"/>
  <c r="AF427" i="9"/>
  <c r="BQ425" i="9"/>
  <c r="V424" i="9"/>
  <c r="BD422" i="9"/>
  <c r="G421" i="9"/>
  <c r="AE419" i="9"/>
  <c r="BI417" i="9"/>
  <c r="S416" i="9"/>
  <c r="BI414" i="9"/>
  <c r="AJ413" i="9"/>
  <c r="AO412" i="9"/>
  <c r="AO411" i="9"/>
  <c r="AS410" i="9"/>
  <c r="AT409" i="9"/>
  <c r="AS408" i="9"/>
  <c r="AS407" i="9"/>
  <c r="AY406" i="9"/>
  <c r="BG405" i="9"/>
  <c r="P497" i="9"/>
  <c r="F490" i="9"/>
  <c r="Q469" i="9"/>
  <c r="BN469" i="9"/>
  <c r="BK453" i="9"/>
  <c r="BB457" i="9"/>
  <c r="H446" i="9"/>
  <c r="W438" i="9"/>
  <c r="BV474" i="9"/>
  <c r="L455" i="9"/>
  <c r="BX445" i="9"/>
  <c r="J438" i="9"/>
  <c r="BV467" i="9"/>
  <c r="BG453" i="9"/>
  <c r="M445" i="9"/>
  <c r="T437" i="9"/>
  <c r="L466" i="9"/>
  <c r="Z453" i="9"/>
  <c r="BU444" i="9"/>
  <c r="BX436" i="9"/>
  <c r="AP464" i="9"/>
  <c r="BX451" i="9"/>
  <c r="E444" i="9"/>
  <c r="D436" i="9"/>
  <c r="O428" i="9"/>
  <c r="X420" i="9"/>
  <c r="AE471" i="9"/>
  <c r="AL454" i="9"/>
  <c r="AQ445" i="9"/>
  <c r="G440" i="9"/>
  <c r="AQ437" i="9"/>
  <c r="AV434" i="9"/>
  <c r="K432" i="9"/>
  <c r="AV429" i="9"/>
  <c r="BO426" i="9"/>
  <c r="R424" i="9"/>
  <c r="BJ421" i="9"/>
  <c r="AL419" i="9"/>
  <c r="AB417" i="9"/>
  <c r="AH415" i="9"/>
  <c r="AI468" i="9"/>
  <c r="X464" i="9"/>
  <c r="AV462" i="9"/>
  <c r="BP460" i="9"/>
  <c r="W459" i="9"/>
  <c r="BH457" i="9"/>
  <c r="V456" i="9"/>
  <c r="AV454" i="9"/>
  <c r="E453" i="9"/>
  <c r="AS451" i="9"/>
  <c r="AD450" i="9"/>
  <c r="AE449" i="9"/>
  <c r="AF448" i="9"/>
  <c r="AK447" i="9"/>
  <c r="AP446" i="9"/>
  <c r="AX445" i="9"/>
  <c r="BH444" i="9"/>
  <c r="BK443" i="9"/>
  <c r="BN442" i="9"/>
  <c r="BQ441" i="9"/>
  <c r="BS440" i="9"/>
  <c r="BN439" i="9"/>
  <c r="BR438" i="9"/>
  <c r="BK437" i="9"/>
  <c r="BJ436" i="9"/>
  <c r="BI435" i="9"/>
  <c r="BH434" i="9"/>
  <c r="BI433" i="9"/>
  <c r="BN432" i="9"/>
  <c r="BS431" i="9"/>
  <c r="BS430" i="9"/>
  <c r="BP429" i="9"/>
  <c r="BR428" i="9"/>
  <c r="BT427" i="9"/>
  <c r="BV426" i="9"/>
  <c r="BW425" i="9"/>
  <c r="A425" i="9"/>
  <c r="A424" i="9"/>
  <c r="BX422" i="9"/>
  <c r="C422" i="9"/>
  <c r="A421" i="9"/>
  <c r="D420" i="9"/>
  <c r="BO418" i="9"/>
  <c r="BO417" i="9"/>
  <c r="BM416" i="9"/>
  <c r="BX415" i="9"/>
  <c r="BX414" i="9"/>
  <c r="BX413" i="9"/>
  <c r="F463" i="9"/>
  <c r="AT450" i="9"/>
  <c r="F443" i="9"/>
  <c r="BY434" i="9"/>
  <c r="BQ430" i="9"/>
  <c r="R429" i="9"/>
  <c r="BD427" i="9"/>
  <c r="J426" i="9"/>
  <c r="AP424" i="9"/>
  <c r="BU422" i="9"/>
  <c r="AD421" i="9"/>
  <c r="BI419" i="9"/>
  <c r="D418" i="9"/>
  <c r="AJ416" i="9"/>
  <c r="B415" i="9"/>
  <c r="AW413" i="9"/>
  <c r="BB412" i="9"/>
  <c r="AZ411" i="9"/>
  <c r="BG410" i="9"/>
  <c r="BH409" i="9"/>
  <c r="BG408" i="9"/>
  <c r="BI407" i="9"/>
  <c r="BL406" i="9"/>
  <c r="BR405" i="9"/>
  <c r="BS404" i="9"/>
  <c r="BT403" i="9"/>
  <c r="BU402" i="9"/>
  <c r="AZ401" i="9"/>
  <c r="BD400" i="9"/>
  <c r="BE399" i="9"/>
  <c r="BD398" i="9"/>
  <c r="BB397" i="9"/>
  <c r="BC396" i="9"/>
  <c r="BD395" i="9"/>
  <c r="BH394" i="9"/>
  <c r="BC393" i="9"/>
  <c r="AU392" i="9"/>
  <c r="AW391" i="9"/>
  <c r="BA390" i="9"/>
  <c r="BA389" i="9"/>
  <c r="AZ388" i="9"/>
  <c r="BA387" i="9"/>
  <c r="BJ386" i="9"/>
  <c r="BM385" i="9"/>
  <c r="BA384" i="9"/>
  <c r="BC383" i="9"/>
  <c r="BD382" i="9"/>
  <c r="BE381" i="9"/>
  <c r="N473" i="9"/>
  <c r="BK454" i="9"/>
  <c r="BG445" i="9"/>
  <c r="BR437" i="9"/>
  <c r="AG431" i="9"/>
  <c r="BL429" i="9"/>
  <c r="T428" i="9"/>
  <c r="AZ426" i="9"/>
  <c r="M425" i="9"/>
  <c r="AN423" i="9"/>
  <c r="BY421" i="9"/>
  <c r="AC420" i="9"/>
  <c r="AS418" i="9"/>
  <c r="A417" i="9"/>
  <c r="AL415" i="9"/>
  <c r="L414" i="9"/>
  <c r="C413" i="9"/>
  <c r="F412" i="9"/>
  <c r="F411" i="9"/>
  <c r="I410" i="9"/>
  <c r="J409" i="9"/>
  <c r="J408" i="9"/>
  <c r="L407" i="9"/>
  <c r="T406" i="9"/>
  <c r="U405" i="9"/>
  <c r="S404" i="9"/>
  <c r="V403" i="9"/>
  <c r="I402" i="9"/>
  <c r="D401" i="9"/>
  <c r="H400" i="9"/>
  <c r="G399" i="9"/>
  <c r="H398" i="9"/>
  <c r="E397" i="9"/>
  <c r="F396" i="9"/>
  <c r="I395" i="9"/>
  <c r="F394" i="9"/>
  <c r="A393" i="9"/>
  <c r="BX391" i="9"/>
  <c r="B391" i="9"/>
  <c r="D390" i="9"/>
  <c r="D389" i="9"/>
  <c r="C388" i="9"/>
  <c r="J387" i="9"/>
  <c r="Q386" i="9"/>
  <c r="D385" i="9"/>
  <c r="G384" i="9"/>
  <c r="E383" i="9"/>
  <c r="A487" i="9"/>
  <c r="U456" i="9"/>
  <c r="AO446" i="9"/>
  <c r="BQ438" i="9"/>
  <c r="BE431" i="9"/>
  <c r="BW429" i="9"/>
  <c r="AH428" i="9"/>
  <c r="BR426" i="9"/>
  <c r="Z425" i="9"/>
  <c r="BD423" i="9"/>
  <c r="J422" i="9"/>
  <c r="AR420" i="9"/>
  <c r="BK418" i="9"/>
  <c r="L417" i="9"/>
  <c r="AV415" i="9"/>
  <c r="W414" i="9"/>
  <c r="J413" i="9"/>
  <c r="N412" i="9"/>
  <c r="O411" i="9"/>
  <c r="P410" i="9"/>
  <c r="R409" i="9"/>
  <c r="R408" i="9"/>
  <c r="S407" i="9"/>
  <c r="AB406" i="9"/>
  <c r="AE405" i="9"/>
  <c r="AC404" i="9"/>
  <c r="AD403" i="9"/>
  <c r="P402" i="9"/>
  <c r="M401" i="9"/>
  <c r="O400" i="9"/>
  <c r="N399" i="9"/>
  <c r="O398" i="9"/>
  <c r="M397" i="9"/>
  <c r="N396" i="9"/>
  <c r="P395" i="9"/>
  <c r="M394" i="9"/>
  <c r="K393" i="9"/>
  <c r="F392" i="9"/>
  <c r="I391" i="9"/>
  <c r="L390" i="9"/>
  <c r="L389" i="9"/>
  <c r="J388" i="9"/>
  <c r="Q387" i="9"/>
  <c r="Y386" i="9"/>
  <c r="M385" i="9"/>
  <c r="N384" i="9"/>
  <c r="M383" i="9"/>
  <c r="O382" i="9"/>
  <c r="J459" i="9"/>
  <c r="V448" i="9"/>
  <c r="BE440" i="9"/>
  <c r="BA432" i="9"/>
  <c r="AC430" i="9"/>
  <c r="BL428" i="9"/>
  <c r="S427" i="9"/>
  <c r="BB425" i="9"/>
  <c r="G424" i="9"/>
  <c r="AM422" i="9"/>
  <c r="BS420" i="9"/>
  <c r="M419" i="9"/>
  <c r="AO417" i="9"/>
  <c r="E416" i="9"/>
  <c r="AS414" i="9"/>
  <c r="AB413" i="9"/>
  <c r="AE412" i="9"/>
  <c r="AG411" i="9"/>
  <c r="AH410" i="9"/>
  <c r="AL409" i="9"/>
  <c r="AI408" i="9"/>
  <c r="AJ407" i="9"/>
  <c r="AQ406" i="9"/>
  <c r="AT405" i="9"/>
  <c r="AS404" i="9"/>
  <c r="AT403" i="9"/>
  <c r="AS402" i="9"/>
  <c r="AG401" i="9"/>
  <c r="AG400" i="9"/>
  <c r="AG399" i="9"/>
  <c r="AG398" i="9"/>
  <c r="AE397" i="9"/>
  <c r="AF396" i="9"/>
  <c r="AG395" i="9"/>
  <c r="AL394" i="9"/>
  <c r="AG393" i="9"/>
  <c r="X392" i="9"/>
  <c r="AA391" i="9"/>
  <c r="AD390" i="9"/>
  <c r="AD389" i="9"/>
  <c r="AB388" i="9"/>
  <c r="AG387" i="9"/>
  <c r="AN386" i="9"/>
  <c r="AO385" i="9"/>
  <c r="AE384" i="9"/>
  <c r="AG383" i="9"/>
  <c r="AG382" i="9"/>
  <c r="AB381" i="9"/>
  <c r="AA380" i="9"/>
  <c r="Z457" i="9"/>
  <c r="T447" i="9"/>
  <c r="AT439" i="9"/>
  <c r="BX431" i="9"/>
  <c r="J430" i="9"/>
  <c r="AQ428" i="9"/>
  <c r="B427" i="9"/>
  <c r="AI425" i="9"/>
  <c r="BP423" i="9"/>
  <c r="Z422" i="9"/>
  <c r="BC420" i="9"/>
  <c r="BT418" i="9"/>
  <c r="V417" i="9"/>
  <c r="BL415" i="9"/>
  <c r="AG414" i="9"/>
  <c r="P413" i="9"/>
  <c r="U412" i="9"/>
  <c r="V411" i="9"/>
  <c r="X410" i="9"/>
  <c r="AA409" i="9"/>
  <c r="Z408" i="9"/>
  <c r="AA407" i="9"/>
  <c r="AH406" i="9"/>
  <c r="AK405" i="9"/>
  <c r="AI404" i="9"/>
  <c r="AJ403" i="9"/>
  <c r="AE402" i="9"/>
  <c r="BT495" i="9"/>
  <c r="C473" i="9"/>
  <c r="AA461" i="9"/>
  <c r="BS466" i="9"/>
  <c r="AN452" i="9"/>
  <c r="BN455" i="9"/>
  <c r="O445" i="9"/>
  <c r="V437" i="9"/>
  <c r="B467" i="9"/>
  <c r="AQ453" i="9"/>
  <c r="F445" i="9"/>
  <c r="K437" i="9"/>
  <c r="BK464" i="9"/>
  <c r="Q452" i="9"/>
  <c r="P444" i="9"/>
  <c r="R436" i="9"/>
  <c r="AE464" i="9"/>
  <c r="BN451" i="9"/>
  <c r="BW443" i="9"/>
  <c r="BT435" i="9"/>
  <c r="L463" i="9"/>
  <c r="AW450" i="9"/>
  <c r="I443" i="9"/>
  <c r="C435" i="9"/>
  <c r="P427" i="9"/>
  <c r="K419" i="9"/>
  <c r="AN465" i="9"/>
  <c r="BS452" i="9"/>
  <c r="AZ444" i="9"/>
  <c r="BG439" i="9"/>
  <c r="E437" i="9"/>
  <c r="AN434" i="9"/>
  <c r="BJ431" i="9"/>
  <c r="K429" i="9"/>
  <c r="BD426" i="9"/>
  <c r="BR423" i="9"/>
  <c r="U421" i="9"/>
  <c r="J419" i="9"/>
  <c r="G417" i="9"/>
  <c r="BN503" i="9"/>
  <c r="AH466" i="9"/>
  <c r="BV463" i="9"/>
  <c r="AB462" i="9"/>
  <c r="BA460" i="9"/>
  <c r="K459" i="9"/>
  <c r="AQ457" i="9"/>
  <c r="G456" i="9"/>
  <c r="AF454" i="9"/>
  <c r="BR452" i="9"/>
  <c r="AF451" i="9"/>
  <c r="U450" i="9"/>
  <c r="U449" i="9"/>
  <c r="W448" i="9"/>
  <c r="AC447" i="9"/>
  <c r="AH446" i="9"/>
  <c r="AP445" i="9"/>
  <c r="AW444" i="9"/>
  <c r="BA443" i="9"/>
  <c r="BD442" i="9"/>
  <c r="BI441" i="9"/>
  <c r="BF440" i="9"/>
  <c r="BF439" i="9"/>
  <c r="BI438" i="9"/>
  <c r="AX437" i="9"/>
  <c r="AV436" i="9"/>
  <c r="AU435" i="9"/>
  <c r="AU434" i="9"/>
  <c r="AV433" i="9"/>
  <c r="BD432" i="9"/>
  <c r="BI431" i="9"/>
  <c r="BK430" i="9"/>
  <c r="BF429" i="9"/>
  <c r="BF428" i="9"/>
  <c r="BK427" i="9"/>
  <c r="BL426" i="9"/>
  <c r="BN425" i="9"/>
  <c r="BP424" i="9"/>
  <c r="BQ423" i="9"/>
  <c r="BO422" i="9"/>
  <c r="BR421" i="9"/>
  <c r="BP420" i="9"/>
  <c r="BO419" i="9"/>
  <c r="BD418" i="9"/>
  <c r="BC417" i="9"/>
  <c r="BD416" i="9"/>
  <c r="BO415" i="9"/>
  <c r="BN414" i="9"/>
  <c r="BO413" i="9"/>
  <c r="V461" i="9"/>
  <c r="AV449" i="9"/>
  <c r="I442" i="9"/>
  <c r="C434" i="9"/>
  <c r="BD430" i="9"/>
  <c r="F429" i="9"/>
  <c r="AM427" i="9"/>
  <c r="BT425" i="9"/>
  <c r="AA424" i="9"/>
  <c r="BJ422" i="9"/>
  <c r="O421" i="9"/>
  <c r="AP419" i="9"/>
  <c r="BL417" i="9"/>
  <c r="V416" i="9"/>
  <c r="BL414" i="9"/>
  <c r="AN413" i="9"/>
  <c r="AR412" i="9"/>
  <c r="AR411" i="9"/>
  <c r="AV410" i="9"/>
  <c r="AW409" i="9"/>
  <c r="AV408" i="9"/>
  <c r="AV407" i="9"/>
  <c r="BC406" i="9"/>
  <c r="BJ405" i="9"/>
  <c r="BI404" i="9"/>
  <c r="BJ403" i="9"/>
  <c r="BK402" i="9"/>
  <c r="AR401" i="9"/>
  <c r="AS400" i="9"/>
  <c r="AS399" i="9"/>
  <c r="AT398" i="9"/>
  <c r="AR397" i="9"/>
  <c r="AS396" i="9"/>
  <c r="AT395" i="9"/>
  <c r="AW394" i="9"/>
  <c r="AS393" i="9"/>
  <c r="AJ392" i="9"/>
  <c r="AM391" i="9"/>
  <c r="AQ390" i="9"/>
  <c r="AQ389" i="9"/>
  <c r="AN388" i="9"/>
  <c r="AR387" i="9"/>
  <c r="AZ386" i="9"/>
  <c r="BC385" i="9"/>
  <c r="AQ384" i="9"/>
  <c r="AR383" i="9"/>
  <c r="AS382" i="9"/>
  <c r="AS381" i="9"/>
  <c r="BT465" i="9"/>
  <c r="R453" i="9"/>
  <c r="BQ444" i="9"/>
  <c r="BQ436" i="9"/>
  <c r="Q431" i="9"/>
  <c r="AT429" i="9"/>
  <c r="H428" i="9"/>
  <c r="AM426" i="9"/>
  <c r="BU424" i="9"/>
  <c r="W423" i="9"/>
  <c r="BG421" i="9"/>
  <c r="P420" i="9"/>
  <c r="AH418" i="9"/>
  <c r="BJ416" i="9"/>
  <c r="V415" i="9"/>
  <c r="BY413" i="9"/>
  <c r="BR412" i="9"/>
  <c r="BV411" i="9"/>
  <c r="BW410" i="9"/>
  <c r="BY409" i="9"/>
  <c r="BY408" i="9"/>
  <c r="BY407" i="9"/>
  <c r="D407" i="9"/>
  <c r="K406" i="9"/>
  <c r="L405" i="9"/>
  <c r="K404" i="9"/>
  <c r="L403" i="9"/>
  <c r="BX401" i="9"/>
  <c r="BT400" i="9"/>
  <c r="BY399" i="9"/>
  <c r="BX398" i="9"/>
  <c r="BU397" i="9"/>
  <c r="BU396" i="9"/>
  <c r="BW395" i="9"/>
  <c r="BY394" i="9"/>
  <c r="BW393" i="9"/>
  <c r="BQ392" i="9"/>
  <c r="BO391" i="9"/>
  <c r="BQ390" i="9"/>
  <c r="BS389" i="9"/>
  <c r="BU388" i="9"/>
  <c r="BR387" i="9"/>
  <c r="B387" i="9"/>
  <c r="I386" i="9"/>
  <c r="BT384" i="9"/>
  <c r="BX383" i="9"/>
  <c r="BU382" i="9"/>
  <c r="M472" i="9"/>
  <c r="AU454" i="9"/>
  <c r="AW445" i="9"/>
  <c r="BJ437" i="9"/>
  <c r="AF431" i="9"/>
  <c r="BK429" i="9"/>
  <c r="S428" i="9"/>
  <c r="AW426" i="9"/>
  <c r="I425" i="9"/>
  <c r="AM423" i="9"/>
  <c r="BX421" i="9"/>
  <c r="AB420" i="9"/>
  <c r="AR418" i="9"/>
  <c r="BT416" i="9"/>
  <c r="AJ415" i="9"/>
  <c r="K414" i="9"/>
  <c r="B413" i="9"/>
  <c r="E412" i="9"/>
  <c r="E411" i="9"/>
  <c r="G410" i="9"/>
  <c r="I409" i="9"/>
  <c r="I408" i="9"/>
  <c r="K407" i="9"/>
  <c r="S406" i="9"/>
  <c r="T405" i="9"/>
  <c r="R404" i="9"/>
  <c r="U403" i="9"/>
  <c r="G402" i="9"/>
  <c r="C401" i="9"/>
  <c r="G400" i="9"/>
  <c r="F399" i="9"/>
  <c r="F398" i="9"/>
  <c r="D397" i="9"/>
  <c r="E396" i="9"/>
  <c r="H395" i="9"/>
  <c r="E394" i="9"/>
  <c r="BY392" i="9"/>
  <c r="BV391" i="9"/>
  <c r="A391" i="9"/>
  <c r="C390" i="9"/>
  <c r="C389" i="9"/>
  <c r="B388" i="9"/>
  <c r="I387" i="9"/>
  <c r="P386" i="9"/>
  <c r="C385" i="9"/>
  <c r="F384" i="9"/>
  <c r="D383" i="9"/>
  <c r="G382" i="9"/>
  <c r="AP457" i="9"/>
  <c r="AB447" i="9"/>
  <c r="BD439" i="9"/>
  <c r="A432" i="9"/>
  <c r="K430" i="9"/>
  <c r="AR428" i="9"/>
  <c r="C427" i="9"/>
  <c r="AL425" i="9"/>
  <c r="BT423" i="9"/>
  <c r="AA422" i="9"/>
  <c r="BD420" i="9"/>
  <c r="BW418" i="9"/>
  <c r="W417" i="9"/>
  <c r="BR415" i="9"/>
  <c r="AH414" i="9"/>
  <c r="R413" i="9"/>
  <c r="V412" i="9"/>
  <c r="W411" i="9"/>
  <c r="Z410" i="9"/>
  <c r="AB409" i="9"/>
  <c r="AA408" i="9"/>
  <c r="AB407" i="9"/>
  <c r="AI406" i="9"/>
  <c r="AL405" i="9"/>
  <c r="AJ404" i="9"/>
  <c r="AL403" i="9"/>
  <c r="AG402" i="9"/>
  <c r="V401" i="9"/>
  <c r="X400" i="9"/>
  <c r="X399" i="9"/>
  <c r="X398" i="9"/>
  <c r="U397" i="9"/>
  <c r="V396" i="9"/>
  <c r="X395" i="9"/>
  <c r="Z394" i="9"/>
  <c r="U393" i="9"/>
  <c r="N392" i="9"/>
  <c r="P391" i="9"/>
  <c r="T390" i="9"/>
  <c r="T389" i="9"/>
  <c r="R388" i="9"/>
  <c r="Y387" i="9"/>
  <c r="AF386" i="9"/>
  <c r="X385" i="9"/>
  <c r="V384" i="9"/>
  <c r="V383" i="9"/>
  <c r="W382" i="9"/>
  <c r="N381" i="9"/>
  <c r="AR481" i="9"/>
  <c r="BO455" i="9"/>
  <c r="Y446" i="9"/>
  <c r="AU438" i="9"/>
  <c r="AU431" i="9"/>
  <c r="BU429" i="9"/>
  <c r="AC428" i="9"/>
  <c r="BK426" i="9"/>
  <c r="V425" i="9"/>
  <c r="AZ423" i="9"/>
  <c r="H422" i="9"/>
  <c r="AM420" i="9"/>
  <c r="BC418" i="9"/>
  <c r="J417" i="9"/>
  <c r="AT415" i="9"/>
  <c r="U414" i="9"/>
  <c r="H413" i="9"/>
  <c r="L412" i="9"/>
  <c r="L411" i="9"/>
  <c r="N410" i="9"/>
  <c r="O409" i="9"/>
  <c r="O408" i="9"/>
  <c r="Q407" i="9"/>
  <c r="Z406" i="9"/>
  <c r="AC405" i="9"/>
  <c r="AA404" i="9"/>
  <c r="AB403" i="9"/>
  <c r="AF479" i="9"/>
  <c r="AV464" i="9"/>
  <c r="BV462" i="9"/>
  <c r="P426" i="9"/>
  <c r="AW431" i="9"/>
  <c r="BY465" i="9"/>
  <c r="BC452" i="9"/>
  <c r="AO444" i="9"/>
  <c r="AN436" i="9"/>
  <c r="AU428" i="9"/>
  <c r="BH420" i="9"/>
  <c r="BA459" i="9"/>
  <c r="M424" i="9"/>
  <c r="AH412" i="9"/>
  <c r="AV404" i="9"/>
  <c r="AI396" i="9"/>
  <c r="AE388" i="9"/>
  <c r="W464" i="9"/>
  <c r="BD424" i="9"/>
  <c r="BJ412" i="9"/>
  <c r="C405" i="9"/>
  <c r="BM396" i="9"/>
  <c r="BL388" i="9"/>
  <c r="D453" i="9"/>
  <c r="V423" i="9"/>
  <c r="BT411" i="9"/>
  <c r="J404" i="9"/>
  <c r="BU395" i="9"/>
  <c r="BQ387" i="9"/>
  <c r="AG446" i="9"/>
  <c r="I422" i="9"/>
  <c r="M411" i="9"/>
  <c r="BE404" i="9"/>
  <c r="F402" i="9"/>
  <c r="M399" i="9"/>
  <c r="AP396" i="9"/>
  <c r="D394" i="9"/>
  <c r="H391" i="9"/>
  <c r="AJ388" i="9"/>
  <c r="O386" i="9"/>
  <c r="L383" i="9"/>
  <c r="AI380" i="9"/>
  <c r="AN444" i="9"/>
  <c r="BE429" i="9"/>
  <c r="BA425" i="9"/>
  <c r="AZ421" i="9"/>
  <c r="BR416" i="9"/>
  <c r="AA413" i="9"/>
  <c r="C411" i="9"/>
  <c r="E409" i="9"/>
  <c r="I407" i="9"/>
  <c r="R405" i="9"/>
  <c r="R403" i="9"/>
  <c r="AV401" i="9"/>
  <c r="AW400" i="9"/>
  <c r="AW399" i="9"/>
  <c r="AZ398" i="9"/>
  <c r="AV397" i="9"/>
  <c r="AW396" i="9"/>
  <c r="AZ395" i="9"/>
  <c r="BD394" i="9"/>
  <c r="AW393" i="9"/>
  <c r="AQ392" i="9"/>
  <c r="AS391" i="9"/>
  <c r="AU390" i="9"/>
  <c r="AU389" i="9"/>
  <c r="AT388" i="9"/>
  <c r="AV387" i="9"/>
  <c r="BE386" i="9"/>
  <c r="BI385" i="9"/>
  <c r="AU384" i="9"/>
  <c r="AV383" i="9"/>
  <c r="AW382" i="9"/>
  <c r="AW381" i="9"/>
  <c r="AP380" i="9"/>
  <c r="AQ379" i="9"/>
  <c r="AS378" i="9"/>
  <c r="AL377" i="9"/>
  <c r="AP376" i="9"/>
  <c r="AQ375" i="9"/>
  <c r="AY374" i="9"/>
  <c r="AW373" i="9"/>
  <c r="AQ372" i="9"/>
  <c r="AO371" i="9"/>
  <c r="AR370" i="9"/>
  <c r="AW369" i="9"/>
  <c r="AZ368" i="9"/>
  <c r="AT367" i="9"/>
  <c r="AB366" i="9"/>
  <c r="Y365" i="9"/>
  <c r="S460" i="9"/>
  <c r="BY448" i="9"/>
  <c r="AM441" i="9"/>
  <c r="AD433" i="9"/>
  <c r="AS430" i="9"/>
  <c r="BW428" i="9"/>
  <c r="AD427" i="9"/>
  <c r="BL425" i="9"/>
  <c r="P424" i="9"/>
  <c r="AZ422" i="9"/>
  <c r="E421" i="9"/>
  <c r="AB419" i="9"/>
  <c r="AX417" i="9"/>
  <c r="N416" i="9"/>
  <c r="BC414" i="9"/>
  <c r="AH413" i="9"/>
  <c r="AM412" i="9"/>
  <c r="AM411" i="9"/>
  <c r="AQ410" i="9"/>
  <c r="AR409" i="9"/>
  <c r="AQ408" i="9"/>
  <c r="AQ407" i="9"/>
  <c r="AW406" i="9"/>
  <c r="BD405" i="9"/>
  <c r="BA404" i="9"/>
  <c r="BD403" i="9"/>
  <c r="BA402" i="9"/>
  <c r="AM401" i="9"/>
  <c r="AN400" i="9"/>
  <c r="AN399" i="9"/>
  <c r="AO398" i="9"/>
  <c r="AM397" i="9"/>
  <c r="AN396" i="9"/>
  <c r="AO395" i="9"/>
  <c r="AR394" i="9"/>
  <c r="AN393" i="9"/>
  <c r="AE392" i="9"/>
  <c r="AG391" i="9"/>
  <c r="AL390" i="9"/>
  <c r="AL389" i="9"/>
  <c r="AH388" i="9"/>
  <c r="AM387" i="9"/>
  <c r="AT386" i="9"/>
  <c r="AU385" i="9"/>
  <c r="AL384" i="9"/>
  <c r="AM383" i="9"/>
  <c r="AN382" i="9"/>
  <c r="AN381" i="9"/>
  <c r="AG380" i="9"/>
  <c r="AE379" i="9"/>
  <c r="AH378" i="9"/>
  <c r="AC377" i="9"/>
  <c r="AF376" i="9"/>
  <c r="AG375" i="9"/>
  <c r="AO374" i="9"/>
  <c r="AN373" i="9"/>
  <c r="AG372" i="9"/>
  <c r="AF371" i="9"/>
  <c r="AI370" i="9"/>
  <c r="AN369" i="9"/>
  <c r="AW461" i="9"/>
  <c r="BQ449" i="9"/>
  <c r="AA442" i="9"/>
  <c r="S434" i="9"/>
  <c r="BF430" i="9"/>
  <c r="H429" i="9"/>
  <c r="AO427" i="9"/>
  <c r="A426" i="9"/>
  <c r="AF424" i="9"/>
  <c r="BL422" i="9"/>
  <c r="R421" i="9"/>
  <c r="AR419" i="9"/>
  <c r="BR417" i="9"/>
  <c r="AA416" i="9"/>
  <c r="BQ414" i="9"/>
  <c r="AP413" i="9"/>
  <c r="AT412" i="9"/>
  <c r="AT411" i="9"/>
  <c r="AY410" i="9"/>
  <c r="BA409" i="9"/>
  <c r="AZ408" i="9"/>
  <c r="AZ407" i="9"/>
  <c r="BE406" i="9"/>
  <c r="BL405" i="9"/>
  <c r="BK404" i="9"/>
  <c r="BL403" i="9"/>
  <c r="BO402" i="9"/>
  <c r="AT401" i="9"/>
  <c r="AU400" i="9"/>
  <c r="AU399" i="9"/>
  <c r="AV398" i="9"/>
  <c r="AT397" i="9"/>
  <c r="AU396" i="9"/>
  <c r="AV395" i="9"/>
  <c r="AZ394" i="9"/>
  <c r="AU393" i="9"/>
  <c r="AM392" i="9"/>
  <c r="AQ391" i="9"/>
  <c r="AS390" i="9"/>
  <c r="AS389" i="9"/>
  <c r="AR388" i="9"/>
  <c r="AT387" i="9"/>
  <c r="BC386" i="9"/>
  <c r="BG385" i="9"/>
  <c r="AS384" i="9"/>
  <c r="AT383" i="9"/>
  <c r="AU382" i="9"/>
  <c r="AU381" i="9"/>
  <c r="AN380" i="9"/>
  <c r="AM379" i="9"/>
  <c r="AQ378" i="9"/>
  <c r="AJ377" i="9"/>
  <c r="AN376" i="9"/>
  <c r="AO375" i="9"/>
  <c r="AV374" i="9"/>
  <c r="AU373" i="9"/>
  <c r="AO372" i="9"/>
  <c r="AM371" i="9"/>
  <c r="AP370" i="9"/>
  <c r="AU369" i="9"/>
  <c r="AV368" i="9"/>
  <c r="AR367" i="9"/>
  <c r="X366" i="9"/>
  <c r="U365" i="9"/>
  <c r="Z428" i="9"/>
  <c r="AN415" i="9"/>
  <c r="N407" i="9"/>
  <c r="I399" i="9"/>
  <c r="D391" i="9"/>
  <c r="G383" i="9"/>
  <c r="C380" i="9"/>
  <c r="AF378" i="9"/>
  <c r="BJ376" i="9"/>
  <c r="R375" i="9"/>
  <c r="BD373" i="9"/>
  <c r="A372" i="9"/>
  <c r="AG370" i="9"/>
  <c r="BS368" i="9"/>
  <c r="AP367" i="9"/>
  <c r="BT365" i="9"/>
  <c r="BF364" i="9"/>
  <c r="BD363" i="9"/>
  <c r="BC362" i="9"/>
  <c r="BD361" i="9"/>
  <c r="AZ360" i="9"/>
  <c r="AY359" i="9"/>
  <c r="AV358" i="9"/>
  <c r="AV357" i="9"/>
  <c r="AZ356" i="9"/>
  <c r="BC355" i="9"/>
  <c r="BC354" i="9"/>
  <c r="BD353" i="9"/>
  <c r="BM352" i="9"/>
  <c r="BL351" i="9"/>
  <c r="BB350" i="9"/>
  <c r="BD349" i="9"/>
  <c r="BC348" i="9"/>
  <c r="BJ347" i="9"/>
  <c r="BT346" i="9"/>
  <c r="BW345" i="9"/>
  <c r="B345" i="9"/>
  <c r="BL343" i="9"/>
  <c r="BQ342" i="9"/>
  <c r="BW341" i="9"/>
  <c r="A341" i="9"/>
  <c r="F340" i="9"/>
  <c r="A339" i="9"/>
  <c r="BX337" i="9"/>
  <c r="BY336" i="9"/>
  <c r="C336" i="9"/>
  <c r="K335" i="9"/>
  <c r="L334" i="9"/>
  <c r="R333" i="9"/>
  <c r="T332" i="9"/>
  <c r="R331" i="9"/>
  <c r="T330" i="9"/>
  <c r="P329" i="9"/>
  <c r="G328" i="9"/>
  <c r="Z467" i="9"/>
  <c r="BY424" i="9"/>
  <c r="BT412" i="9"/>
  <c r="N405" i="9"/>
  <c r="BX396" i="9"/>
  <c r="BW388" i="9"/>
  <c r="BD381" i="9"/>
  <c r="AS379" i="9"/>
  <c r="BT377" i="9"/>
  <c r="AC376" i="9"/>
  <c r="BN374" i="9"/>
  <c r="O373" i="9"/>
  <c r="AQ371" i="9"/>
  <c r="F370" i="9"/>
  <c r="AS368" i="9"/>
  <c r="K367" i="9"/>
  <c r="AR365" i="9"/>
  <c r="AI364" i="9"/>
  <c r="AJ363" i="9"/>
  <c r="AH362" i="9"/>
  <c r="AI361" i="9"/>
  <c r="AH360" i="9"/>
  <c r="AG359" i="9"/>
  <c r="AC358" i="9"/>
  <c r="AC357" i="9"/>
  <c r="AE356" i="9"/>
  <c r="AH355" i="9"/>
  <c r="AI354" i="9"/>
  <c r="AK353" i="9"/>
  <c r="AS352" i="9"/>
  <c r="AP351" i="9"/>
  <c r="AG350" i="9"/>
  <c r="AG349" i="9"/>
  <c r="AJ348" i="9"/>
  <c r="AQ347" i="9"/>
  <c r="BB346" i="9"/>
  <c r="BE345" i="9"/>
  <c r="BA344" i="9"/>
  <c r="AR343" i="9"/>
  <c r="AW342" i="9"/>
  <c r="BE341" i="9"/>
  <c r="BE340" i="9"/>
  <c r="BK339" i="9"/>
  <c r="BC338" i="9"/>
  <c r="BC337" i="9"/>
  <c r="BF336" i="9"/>
  <c r="BK335" i="9"/>
  <c r="BR334" i="9"/>
  <c r="BR333" i="9"/>
  <c r="BY332" i="9"/>
  <c r="BX331" i="9"/>
  <c r="BU330" i="9"/>
  <c r="A330" i="9"/>
  <c r="BX328" i="9"/>
  <c r="BL327" i="9"/>
  <c r="BO326" i="9"/>
  <c r="BS325" i="9"/>
  <c r="BS324" i="9"/>
  <c r="BT323" i="9"/>
  <c r="BY322" i="9"/>
  <c r="BY321" i="9"/>
  <c r="BS427" i="9"/>
  <c r="M415" i="9"/>
  <c r="BW406" i="9"/>
  <c r="BQ398" i="9"/>
  <c r="BK390" i="9"/>
  <c r="BO382" i="9"/>
  <c r="A380" i="9"/>
  <c r="AD378" i="9"/>
  <c r="BE376" i="9"/>
  <c r="M375" i="9"/>
  <c r="AZ373" i="9"/>
  <c r="BX371" i="9"/>
  <c r="AE370" i="9"/>
  <c r="BP368" i="9"/>
  <c r="AN367" i="9"/>
  <c r="BQ365" i="9"/>
  <c r="BD364" i="9"/>
  <c r="AZ363" i="9"/>
  <c r="BA362" i="9"/>
  <c r="BB361" i="9"/>
  <c r="AW360" i="9"/>
  <c r="AW359" i="9"/>
  <c r="AT358" i="9"/>
  <c r="AT357" i="9"/>
  <c r="AV356" i="9"/>
  <c r="BA355" i="9"/>
  <c r="AX354" i="9"/>
  <c r="BA353" i="9"/>
  <c r="BK352" i="9"/>
  <c r="BJ351" i="9"/>
  <c r="AZ350" i="9"/>
  <c r="AZ349" i="9"/>
  <c r="AZ348" i="9"/>
  <c r="BG347" i="9"/>
  <c r="BR346" i="9"/>
  <c r="BU345" i="9"/>
  <c r="BY344" i="9"/>
  <c r="BJ343" i="9"/>
  <c r="BO342" i="9"/>
  <c r="BU341" i="9"/>
  <c r="BX340" i="9"/>
  <c r="D340" i="9"/>
  <c r="BX338" i="9"/>
  <c r="BT337" i="9"/>
  <c r="BW336" i="9"/>
  <c r="A336" i="9"/>
  <c r="I335" i="9"/>
  <c r="J334" i="9"/>
  <c r="O333" i="9"/>
  <c r="P332" i="9"/>
  <c r="O331" i="9"/>
  <c r="Q330" i="9"/>
  <c r="N329" i="9"/>
  <c r="E328" i="9"/>
  <c r="G327" i="9"/>
  <c r="K326" i="9"/>
  <c r="M325" i="9"/>
  <c r="L324" i="9"/>
  <c r="P323" i="9"/>
  <c r="O322" i="9"/>
  <c r="P321" i="9"/>
  <c r="Q320" i="9"/>
  <c r="R319" i="9"/>
  <c r="X318" i="9"/>
  <c r="K426" i="9"/>
  <c r="AZ413" i="9"/>
  <c r="BS405" i="9"/>
  <c r="BC397" i="9"/>
  <c r="BB389" i="9"/>
  <c r="BY381" i="9"/>
  <c r="BF379" i="9"/>
  <c r="F378" i="9"/>
  <c r="AM376" i="9"/>
  <c r="A375" i="9"/>
  <c r="AG373" i="9"/>
  <c r="BC371" i="9"/>
  <c r="P370" i="9"/>
  <c r="BC368" i="9"/>
  <c r="Y367" i="9"/>
  <c r="AZ365" i="9"/>
  <c r="AR364" i="9"/>
  <c r="AP363" i="9"/>
  <c r="AP362" i="9"/>
  <c r="AQ361" i="9"/>
  <c r="AN360" i="9"/>
  <c r="AN359" i="9"/>
  <c r="AI358" i="9"/>
  <c r="AI357" i="9"/>
  <c r="AM356" i="9"/>
  <c r="AP355" i="9"/>
  <c r="AO354" i="9"/>
  <c r="AQ353" i="9"/>
  <c r="BA352" i="9"/>
  <c r="AV351" i="9"/>
  <c r="AO350" i="9"/>
  <c r="AN349" i="9"/>
  <c r="AP348" i="9"/>
  <c r="AW347" i="9"/>
  <c r="BI346" i="9"/>
  <c r="BK345" i="9"/>
  <c r="BO344" i="9"/>
  <c r="AY343" i="9"/>
  <c r="BF342" i="9"/>
  <c r="BK341" i="9"/>
  <c r="BL340" i="9"/>
  <c r="BR339" i="9"/>
  <c r="BL338" i="9"/>
  <c r="BJ337" i="9"/>
  <c r="BN336" i="9"/>
  <c r="BQ335" i="9"/>
  <c r="BY334" i="9"/>
  <c r="A334" i="9"/>
  <c r="F333" i="9"/>
  <c r="F332" i="9"/>
  <c r="D331" i="9"/>
  <c r="H330" i="9"/>
  <c r="E329" i="9"/>
  <c r="BR327" i="9"/>
  <c r="BG449" i="9"/>
  <c r="BK422" i="9"/>
  <c r="AS411" i="9"/>
  <c r="BK403" i="9"/>
  <c r="AU395" i="9"/>
  <c r="AS387" i="9"/>
  <c r="I381" i="9"/>
  <c r="X379" i="9"/>
  <c r="AV377" i="9"/>
  <c r="J376" i="9"/>
  <c r="AT374" i="9"/>
  <c r="BQ372" i="9"/>
  <c r="X371" i="9"/>
  <c r="BK369" i="9"/>
  <c r="AB368" i="9"/>
  <c r="BL366" i="9"/>
  <c r="AA365" i="9"/>
  <c r="V364" i="9"/>
  <c r="V363" i="9"/>
  <c r="U362" i="9"/>
  <c r="V361" i="9"/>
  <c r="V360" i="9"/>
  <c r="P359" i="9"/>
  <c r="O358" i="9"/>
  <c r="O357" i="9"/>
  <c r="R356" i="9"/>
  <c r="V355" i="9"/>
  <c r="U354" i="9"/>
  <c r="Z353" i="9"/>
  <c r="AF352" i="9"/>
  <c r="R351" i="9"/>
  <c r="Q350" i="9"/>
  <c r="E511" i="9"/>
  <c r="E452" i="9"/>
  <c r="AP450" i="9"/>
  <c r="K418" i="9"/>
  <c r="BG428" i="9"/>
  <c r="BJ463" i="9"/>
  <c r="S451" i="9"/>
  <c r="AR443" i="9"/>
  <c r="AM435" i="9"/>
  <c r="AY427" i="9"/>
  <c r="BD419" i="9"/>
  <c r="AW448" i="9"/>
  <c r="AS422" i="9"/>
  <c r="AJ411" i="9"/>
  <c r="AW403" i="9"/>
  <c r="AL395" i="9"/>
  <c r="AJ387" i="9"/>
  <c r="BE451" i="9"/>
  <c r="J423" i="9"/>
  <c r="BL411" i="9"/>
  <c r="C404" i="9"/>
  <c r="BN395" i="9"/>
  <c r="BJ387" i="9"/>
  <c r="BG444" i="9"/>
  <c r="BD421" i="9"/>
  <c r="BV410" i="9"/>
  <c r="K403" i="9"/>
  <c r="BX394" i="9"/>
  <c r="A387" i="9"/>
  <c r="BH438" i="9"/>
  <c r="AN420" i="9"/>
  <c r="O410" i="9"/>
  <c r="AB404" i="9"/>
  <c r="AO401" i="9"/>
  <c r="E399" i="9"/>
  <c r="M396" i="9"/>
  <c r="AP393" i="9"/>
  <c r="BY390" i="9"/>
  <c r="I388" i="9"/>
  <c r="AW385" i="9"/>
  <c r="C383" i="9"/>
  <c r="O470" i="9"/>
  <c r="AS440" i="9"/>
  <c r="AQ429" i="9"/>
  <c r="F425" i="9"/>
  <c r="BO420" i="9"/>
  <c r="BC416" i="9"/>
  <c r="BY412" i="9"/>
  <c r="BT410" i="9"/>
  <c r="BT408" i="9"/>
  <c r="A407" i="9"/>
  <c r="H405" i="9"/>
  <c r="I403" i="9"/>
  <c r="AN401" i="9"/>
  <c r="AO400" i="9"/>
  <c r="AO399" i="9"/>
  <c r="AP398" i="9"/>
  <c r="AN397" i="9"/>
  <c r="AO396" i="9"/>
  <c r="AP395" i="9"/>
  <c r="AS394" i="9"/>
  <c r="AO393" i="9"/>
  <c r="AF392" i="9"/>
  <c r="AH391" i="9"/>
  <c r="AM390" i="9"/>
  <c r="AM389" i="9"/>
  <c r="AI388" i="9"/>
  <c r="AN387" i="9"/>
  <c r="AU386" i="9"/>
  <c r="AV385" i="9"/>
  <c r="AM384" i="9"/>
  <c r="AN383" i="9"/>
  <c r="AO382" i="9"/>
  <c r="AO381" i="9"/>
  <c r="AH380" i="9"/>
  <c r="AF379" i="9"/>
  <c r="AI378" i="9"/>
  <c r="AD377" i="9"/>
  <c r="AG376" i="9"/>
  <c r="AH375" i="9"/>
  <c r="AP374" i="9"/>
  <c r="AO373" i="9"/>
  <c r="AH372" i="9"/>
  <c r="AG371" i="9"/>
  <c r="AJ370" i="9"/>
  <c r="AO369" i="9"/>
  <c r="AP368" i="9"/>
  <c r="AL367" i="9"/>
  <c r="P366" i="9"/>
  <c r="N365" i="9"/>
  <c r="AW458" i="9"/>
  <c r="D448" i="9"/>
  <c r="AH440" i="9"/>
  <c r="AI432" i="9"/>
  <c r="AA430" i="9"/>
  <c r="BD428" i="9"/>
  <c r="M427" i="9"/>
  <c r="AZ425" i="9"/>
  <c r="E424" i="9"/>
  <c r="AJ422" i="9"/>
  <c r="BN420" i="9"/>
  <c r="H419" i="9"/>
  <c r="AM417" i="9"/>
  <c r="C416" i="9"/>
  <c r="AP414" i="9"/>
  <c r="Z413" i="9"/>
  <c r="AC412" i="9"/>
  <c r="AE411" i="9"/>
  <c r="AF410" i="9"/>
  <c r="AH409" i="9"/>
  <c r="AG408" i="9"/>
  <c r="AH407" i="9"/>
  <c r="AO406" i="9"/>
  <c r="AR405" i="9"/>
  <c r="AQ404" i="9"/>
  <c r="AR403" i="9"/>
  <c r="AQ402" i="9"/>
  <c r="AE401" i="9"/>
  <c r="AE400" i="9"/>
  <c r="AE399" i="9"/>
  <c r="AE398" i="9"/>
  <c r="AC397" i="9"/>
  <c r="AD396" i="9"/>
  <c r="AE395" i="9"/>
  <c r="AI394" i="9"/>
  <c r="AE393" i="9"/>
  <c r="V392" i="9"/>
  <c r="W391" i="9"/>
  <c r="AB390" i="9"/>
  <c r="AB389" i="9"/>
  <c r="Z388" i="9"/>
  <c r="AE387" i="9"/>
  <c r="AL386" i="9"/>
  <c r="AM385" i="9"/>
  <c r="AC384" i="9"/>
  <c r="AE383" i="9"/>
  <c r="AE382" i="9"/>
  <c r="Z381" i="9"/>
  <c r="Y380" i="9"/>
  <c r="V379" i="9"/>
  <c r="V378" i="9"/>
  <c r="R377" i="9"/>
  <c r="W376" i="9"/>
  <c r="X375" i="9"/>
  <c r="AF374" i="9"/>
  <c r="AB373" i="9"/>
  <c r="W372" i="9"/>
  <c r="V371" i="9"/>
  <c r="AA370" i="9"/>
  <c r="AF369" i="9"/>
  <c r="G460" i="9"/>
  <c r="BP448" i="9"/>
  <c r="AD441" i="9"/>
  <c r="U433" i="9"/>
  <c r="AO430" i="9"/>
  <c r="BV428" i="9"/>
  <c r="AC427" i="9"/>
  <c r="BK425" i="9"/>
  <c r="O424" i="9"/>
  <c r="AU422" i="9"/>
  <c r="D421" i="9"/>
  <c r="AA419" i="9"/>
  <c r="AW417" i="9"/>
  <c r="M416" i="9"/>
  <c r="AY414" i="9"/>
  <c r="AG413" i="9"/>
  <c r="AL412" i="9"/>
  <c r="AL411" i="9"/>
  <c r="AN410" i="9"/>
  <c r="AQ409" i="9"/>
  <c r="AP408" i="9"/>
  <c r="AP407" i="9"/>
  <c r="AV406" i="9"/>
  <c r="BC405" i="9"/>
  <c r="AZ404" i="9"/>
  <c r="BA403" i="9"/>
  <c r="AZ402" i="9"/>
  <c r="AL401" i="9"/>
  <c r="AM400" i="9"/>
  <c r="AM399" i="9"/>
  <c r="AN398" i="9"/>
  <c r="AL397" i="9"/>
  <c r="AM396" i="9"/>
  <c r="AN395" i="9"/>
  <c r="AQ394" i="9"/>
  <c r="AM393" i="9"/>
  <c r="AD392" i="9"/>
  <c r="AF391" i="9"/>
  <c r="AI390" i="9"/>
  <c r="AI389" i="9"/>
  <c r="AG388" i="9"/>
  <c r="AL387" i="9"/>
  <c r="AS386" i="9"/>
  <c r="AT385" i="9"/>
  <c r="AJ384" i="9"/>
  <c r="AL383" i="9"/>
  <c r="AM382" i="9"/>
  <c r="AM381" i="9"/>
  <c r="AF380" i="9"/>
  <c r="AD379" i="9"/>
  <c r="AG378" i="9"/>
  <c r="AB377" i="9"/>
  <c r="AE376" i="9"/>
  <c r="AF375" i="9"/>
  <c r="AN374" i="9"/>
  <c r="AM373" i="9"/>
  <c r="AF372" i="9"/>
  <c r="AE371" i="9"/>
  <c r="AH370" i="9"/>
  <c r="AM369" i="9"/>
  <c r="AN368" i="9"/>
  <c r="AJ367" i="9"/>
  <c r="N366" i="9"/>
  <c r="L365" i="9"/>
  <c r="BH426" i="9"/>
  <c r="O414" i="9"/>
  <c r="V406" i="9"/>
  <c r="J398" i="9"/>
  <c r="F390" i="9"/>
  <c r="J382" i="9"/>
  <c r="BP379" i="9"/>
  <c r="M378" i="9"/>
  <c r="AS376" i="9"/>
  <c r="D375" i="9"/>
  <c r="AL373" i="9"/>
  <c r="BL371" i="9"/>
  <c r="V370" i="9"/>
  <c r="BH368" i="9"/>
  <c r="AE367" i="9"/>
  <c r="BE365" i="9"/>
  <c r="AU364" i="9"/>
  <c r="AS363" i="9"/>
  <c r="AS362" i="9"/>
  <c r="AT361" i="9"/>
  <c r="AQ360" i="9"/>
  <c r="AQ359" i="9"/>
  <c r="AN358" i="9"/>
  <c r="AN357" i="9"/>
  <c r="AP356" i="9"/>
  <c r="AS355" i="9"/>
  <c r="AR354" i="9"/>
  <c r="AT353" i="9"/>
  <c r="BD352" i="9"/>
  <c r="BA351" i="9"/>
  <c r="AR350" i="9"/>
  <c r="AS349" i="9"/>
  <c r="AS348" i="9"/>
  <c r="AZ347" i="9"/>
  <c r="BL346" i="9"/>
  <c r="BO345" i="9"/>
  <c r="BR344" i="9"/>
  <c r="BD343" i="9"/>
  <c r="BI342" i="9"/>
  <c r="BO341" i="9"/>
  <c r="BP340" i="9"/>
  <c r="BW339" i="9"/>
  <c r="BP338" i="9"/>
  <c r="BN337" i="9"/>
  <c r="BQ336" i="9"/>
  <c r="BT335" i="9"/>
  <c r="C335" i="9"/>
  <c r="D334" i="9"/>
  <c r="I333" i="9"/>
  <c r="J332" i="9"/>
  <c r="G331" i="9"/>
  <c r="K330" i="9"/>
  <c r="H329" i="9"/>
  <c r="BW327" i="9"/>
  <c r="AV453" i="9"/>
  <c r="AD423" i="9"/>
  <c r="BY411" i="9"/>
  <c r="M404" i="9"/>
  <c r="BY395" i="9"/>
  <c r="BT387" i="9"/>
  <c r="W381" i="9"/>
  <c r="AB379" i="9"/>
  <c r="AZ377" i="9"/>
  <c r="P376" i="9"/>
  <c r="BA374" i="9"/>
  <c r="BX372" i="9"/>
  <c r="AC371" i="9"/>
  <c r="BO369" i="9"/>
  <c r="AG368" i="9"/>
  <c r="A367" i="9"/>
  <c r="AE365" i="9"/>
  <c r="AA364" i="9"/>
  <c r="AB363" i="9"/>
  <c r="Z362" i="9"/>
  <c r="AA361" i="9"/>
  <c r="Z360" i="9"/>
  <c r="U359" i="9"/>
  <c r="T358" i="9"/>
  <c r="T357" i="9"/>
  <c r="V356" i="9"/>
  <c r="Z355" i="9"/>
  <c r="AA354" i="9"/>
  <c r="AC353" i="9"/>
  <c r="AI352" i="9"/>
  <c r="AA351" i="9"/>
  <c r="U350" i="9"/>
  <c r="W349" i="9"/>
  <c r="AB348" i="9"/>
  <c r="AI347" i="9"/>
  <c r="AR346" i="9"/>
  <c r="AT345" i="9"/>
  <c r="AQ344" i="9"/>
  <c r="AI343" i="9"/>
  <c r="AO342" i="9"/>
  <c r="AT341" i="9"/>
  <c r="AU340" i="9"/>
  <c r="AZ339" i="9"/>
  <c r="AS338" i="9"/>
  <c r="AS337" i="9"/>
  <c r="AU336" i="9"/>
  <c r="BA335" i="9"/>
  <c r="BI334" i="9"/>
  <c r="BI333" i="9"/>
  <c r="BO332" i="9"/>
  <c r="BN331" i="9"/>
  <c r="BM330" i="9"/>
  <c r="BP329" i="9"/>
  <c r="BP328" i="9"/>
  <c r="AX327" i="9"/>
  <c r="BG326" i="9"/>
  <c r="BJ325" i="9"/>
  <c r="BK324" i="9"/>
  <c r="BL323" i="9"/>
  <c r="BP322" i="9"/>
  <c r="BN321" i="9"/>
  <c r="AC426" i="9"/>
  <c r="BP413" i="9"/>
  <c r="E406" i="9"/>
  <c r="BO397" i="9"/>
  <c r="BM389" i="9"/>
  <c r="B382" i="9"/>
  <c r="BH379" i="9"/>
  <c r="H378" i="9"/>
  <c r="AQ376" i="9"/>
  <c r="B375" i="9"/>
  <c r="AI373" i="9"/>
  <c r="BD371" i="9"/>
  <c r="Q370" i="9"/>
  <c r="BD368" i="9"/>
  <c r="AA367" i="9"/>
  <c r="BA365" i="9"/>
  <c r="AS364" i="9"/>
  <c r="AQ363" i="9"/>
  <c r="AQ362" i="9"/>
  <c r="AR361" i="9"/>
  <c r="AO360" i="9"/>
  <c r="AO359" i="9"/>
  <c r="AL358" i="9"/>
  <c r="AL357" i="9"/>
  <c r="AN356" i="9"/>
  <c r="AQ355" i="9"/>
  <c r="AP354" i="9"/>
  <c r="AR353" i="9"/>
  <c r="BB352" i="9"/>
  <c r="AW351" i="9"/>
  <c r="AP350" i="9"/>
  <c r="AQ349" i="9"/>
  <c r="AQ348" i="9"/>
  <c r="AX347" i="9"/>
  <c r="BJ346" i="9"/>
  <c r="BL345" i="9"/>
  <c r="BP344" i="9"/>
  <c r="AZ343" i="9"/>
  <c r="BG342" i="9"/>
  <c r="BL341" i="9"/>
  <c r="BN340" i="9"/>
  <c r="BS339" i="9"/>
  <c r="BN338" i="9"/>
  <c r="BK337" i="9"/>
  <c r="BO336" i="9"/>
  <c r="BR335" i="9"/>
  <c r="A335" i="9"/>
  <c r="B334" i="9"/>
  <c r="G333" i="9"/>
  <c r="H332" i="9"/>
  <c r="E331" i="9"/>
  <c r="I330" i="9"/>
  <c r="F329" i="9"/>
  <c r="BS327" i="9"/>
  <c r="BX326" i="9"/>
  <c r="B326" i="9"/>
  <c r="E325" i="9"/>
  <c r="B324" i="9"/>
  <c r="H323" i="9"/>
  <c r="G322" i="9"/>
  <c r="F321" i="9"/>
  <c r="I320" i="9"/>
  <c r="J319" i="9"/>
  <c r="T463" i="9"/>
  <c r="AQ424" i="9"/>
  <c r="BC412" i="9"/>
  <c r="BT404" i="9"/>
  <c r="BD396" i="9"/>
  <c r="BA388" i="9"/>
  <c r="AT381" i="9"/>
  <c r="AL379" i="9"/>
  <c r="BR377" i="9"/>
  <c r="AA376" i="9"/>
  <c r="BL374" i="9"/>
  <c r="H373" i="9"/>
  <c r="AL371" i="9"/>
  <c r="D370" i="9"/>
  <c r="AQ368" i="9"/>
  <c r="I367" i="9"/>
  <c r="AN365" i="9"/>
  <c r="AG364" i="9"/>
  <c r="AH363" i="9"/>
  <c r="AF362" i="9"/>
  <c r="AG361" i="9"/>
  <c r="AF360" i="9"/>
  <c r="AE359" i="9"/>
  <c r="AA358" i="9"/>
  <c r="AA357" i="9"/>
  <c r="AC356" i="9"/>
  <c r="AF355" i="9"/>
  <c r="AG354" i="9"/>
  <c r="AI353" i="9"/>
  <c r="AQ352" i="9"/>
  <c r="AN351" i="9"/>
  <c r="AE350" i="9"/>
  <c r="AE349" i="9"/>
  <c r="AH348" i="9"/>
  <c r="AO347" i="9"/>
  <c r="AZ346" i="9"/>
  <c r="BA345" i="9"/>
  <c r="AW344" i="9"/>
  <c r="AP343" i="9"/>
  <c r="AU342" i="9"/>
  <c r="BA341" i="9"/>
  <c r="BC340" i="9"/>
  <c r="BI339" i="9"/>
  <c r="AY338" i="9"/>
  <c r="BA337" i="9"/>
  <c r="BD336" i="9"/>
  <c r="BI335" i="9"/>
  <c r="BP334" i="9"/>
  <c r="BP333" i="9"/>
  <c r="BU332" i="9"/>
  <c r="BT331" i="9"/>
  <c r="BS330" i="9"/>
  <c r="BV329" i="9"/>
  <c r="BV328" i="9"/>
  <c r="BJ327" i="9"/>
  <c r="Q442" i="9"/>
  <c r="P421" i="9"/>
  <c r="AW410" i="9"/>
  <c r="BL402" i="9"/>
  <c r="AY394" i="9"/>
  <c r="BA386" i="9"/>
  <c r="BK380" i="9"/>
  <c r="I379" i="9"/>
  <c r="AH377" i="9"/>
  <c r="BT375" i="9"/>
  <c r="AH374" i="9"/>
  <c r="BD372" i="9"/>
  <c r="E371" i="9"/>
  <c r="AS369" i="9"/>
  <c r="P368" i="9"/>
  <c r="AT366" i="9"/>
  <c r="M365" i="9"/>
  <c r="L364" i="9"/>
  <c r="L363" i="9"/>
  <c r="L362" i="9"/>
  <c r="M361" i="9"/>
  <c r="L360" i="9"/>
  <c r="D359" i="9"/>
  <c r="F358" i="9"/>
  <c r="F357" i="9"/>
  <c r="I356" i="9"/>
  <c r="L355" i="9"/>
  <c r="K354" i="9"/>
  <c r="Q353" i="9"/>
  <c r="W352" i="9"/>
  <c r="I351" i="9"/>
  <c r="G350" i="9"/>
  <c r="J349" i="9"/>
  <c r="O348" i="9"/>
  <c r="X347" i="9"/>
  <c r="AE346" i="9"/>
  <c r="AF345" i="9"/>
  <c r="W344" i="9"/>
  <c r="W343" i="9"/>
  <c r="AC342" i="9"/>
  <c r="AH341" i="9"/>
  <c r="AJ340" i="9"/>
  <c r="AM339" i="9"/>
  <c r="AH338" i="9"/>
  <c r="AF337" i="9"/>
  <c r="AI336" i="9"/>
  <c r="AO335" i="9"/>
  <c r="AU334" i="9"/>
  <c r="AU333" i="9"/>
  <c r="BB332" i="9"/>
  <c r="AW331" i="9"/>
  <c r="BA330" i="9"/>
  <c r="AW329" i="9"/>
  <c r="AW328" i="9"/>
  <c r="AM327" i="9"/>
  <c r="AS326" i="9"/>
  <c r="AV325" i="9"/>
  <c r="AU324" i="9"/>
  <c r="AZ323" i="9"/>
  <c r="AW322" i="9"/>
  <c r="AW321" i="9"/>
  <c r="AZ320" i="9"/>
  <c r="BA319" i="9"/>
  <c r="BG318" i="9"/>
  <c r="AL453" i="9"/>
  <c r="I444" i="9"/>
  <c r="B443" i="9"/>
  <c r="BW463" i="9"/>
  <c r="O426" i="9"/>
  <c r="G462" i="9"/>
  <c r="K450" i="9"/>
  <c r="AT442" i="9"/>
  <c r="AM434" i="9"/>
  <c r="BA426" i="9"/>
  <c r="AT418" i="9"/>
  <c r="K441" i="9"/>
  <c r="BX420" i="9"/>
  <c r="AL410" i="9"/>
  <c r="AV402" i="9"/>
  <c r="AO394" i="9"/>
  <c r="AQ386" i="9"/>
  <c r="BS443" i="9"/>
  <c r="AQ421" i="9"/>
  <c r="BO410" i="9"/>
  <c r="D403" i="9"/>
  <c r="BP394" i="9"/>
  <c r="BQ386" i="9"/>
  <c r="BI436" i="9"/>
  <c r="L420" i="9"/>
  <c r="BX409" i="9"/>
  <c r="BT401" i="9"/>
  <c r="BT393" i="9"/>
  <c r="H386" i="9"/>
  <c r="BA431" i="9"/>
  <c r="BJ418" i="9"/>
  <c r="P409" i="9"/>
  <c r="Q404" i="9"/>
  <c r="L401" i="9"/>
  <c r="AQ398" i="9"/>
  <c r="D396" i="9"/>
  <c r="H393" i="9"/>
  <c r="AN390" i="9"/>
  <c r="A388" i="9"/>
  <c r="L385" i="9"/>
  <c r="AP382" i="9"/>
  <c r="V465" i="9"/>
  <c r="AO437" i="9"/>
  <c r="BE428" i="9"/>
  <c r="BO424" i="9"/>
  <c r="Z420" i="9"/>
  <c r="D416" i="9"/>
  <c r="BO412" i="9"/>
  <c r="BA410" i="9"/>
  <c r="BB408" i="9"/>
  <c r="BG406" i="9"/>
  <c r="BO404" i="9"/>
  <c r="BQ402" i="9"/>
  <c r="AF401" i="9"/>
  <c r="AF400" i="9"/>
  <c r="AF399" i="9"/>
  <c r="AF398" i="9"/>
  <c r="AD397" i="9"/>
  <c r="AE396" i="9"/>
  <c r="AF395" i="9"/>
  <c r="AJ394" i="9"/>
  <c r="AF393" i="9"/>
  <c r="W392" i="9"/>
  <c r="Z391" i="9"/>
  <c r="AC390" i="9"/>
  <c r="AC389" i="9"/>
  <c r="AA388" i="9"/>
  <c r="AF387" i="9"/>
  <c r="AM386" i="9"/>
  <c r="AN385" i="9"/>
  <c r="AD384" i="9"/>
  <c r="AF383" i="9"/>
  <c r="AF382" i="9"/>
  <c r="AA381" i="9"/>
  <c r="Z380" i="9"/>
  <c r="W379" i="9"/>
  <c r="W378" i="9"/>
  <c r="S377" i="9"/>
  <c r="X376" i="9"/>
  <c r="Z375" i="9"/>
  <c r="AG374" i="9"/>
  <c r="AC373" i="9"/>
  <c r="Z372" i="9"/>
  <c r="W371" i="9"/>
  <c r="AB370" i="9"/>
  <c r="AG369" i="9"/>
  <c r="AF368" i="9"/>
  <c r="AB367" i="9"/>
  <c r="F366" i="9"/>
  <c r="F365" i="9"/>
  <c r="M457" i="9"/>
  <c r="K447" i="9"/>
  <c r="AL439" i="9"/>
  <c r="BV431" i="9"/>
  <c r="F430" i="9"/>
  <c r="AP428" i="9"/>
  <c r="A427" i="9"/>
  <c r="AH425" i="9"/>
  <c r="BO423" i="9"/>
  <c r="S422" i="9"/>
  <c r="BB420" i="9"/>
  <c r="BS418" i="9"/>
  <c r="U417" i="9"/>
  <c r="BK415" i="9"/>
  <c r="AF414" i="9"/>
  <c r="O413" i="9"/>
  <c r="T412" i="9"/>
  <c r="U411" i="9"/>
  <c r="W410" i="9"/>
  <c r="Z409" i="9"/>
  <c r="X408" i="9"/>
  <c r="Z407" i="9"/>
  <c r="AG406" i="9"/>
  <c r="AJ405" i="9"/>
  <c r="AH404" i="9"/>
  <c r="AI403" i="9"/>
  <c r="AB402" i="9"/>
  <c r="T401" i="9"/>
  <c r="V400" i="9"/>
  <c r="V399" i="9"/>
  <c r="V398" i="9"/>
  <c r="R397" i="9"/>
  <c r="T396" i="9"/>
  <c r="V395" i="9"/>
  <c r="W394" i="9"/>
  <c r="R393" i="9"/>
  <c r="L392" i="9"/>
  <c r="N391" i="9"/>
  <c r="Q390" i="9"/>
  <c r="Q389" i="9"/>
  <c r="O388" i="9"/>
  <c r="V387" i="9"/>
  <c r="AD386" i="9"/>
  <c r="R385" i="9"/>
  <c r="S384" i="9"/>
  <c r="T383" i="9"/>
  <c r="U382" i="9"/>
  <c r="L381" i="9"/>
  <c r="N380" i="9"/>
  <c r="M379" i="9"/>
  <c r="J378" i="9"/>
  <c r="G377" i="9"/>
  <c r="N376" i="9"/>
  <c r="O375" i="9"/>
  <c r="V374" i="9"/>
  <c r="M373" i="9"/>
  <c r="L372" i="9"/>
  <c r="L371" i="9"/>
  <c r="S370" i="9"/>
  <c r="T369" i="9"/>
  <c r="AL458" i="9"/>
  <c r="BS447" i="9"/>
  <c r="Z440" i="9"/>
  <c r="AA432" i="9"/>
  <c r="Z430" i="9"/>
  <c r="BC428" i="9"/>
  <c r="L427" i="9"/>
  <c r="AT425" i="9"/>
  <c r="D424" i="9"/>
  <c r="AI422" i="9"/>
  <c r="BM420" i="9"/>
  <c r="F419" i="9"/>
  <c r="AH417" i="9"/>
  <c r="B416" i="9"/>
  <c r="AO414" i="9"/>
  <c r="X413" i="9"/>
  <c r="AB412" i="9"/>
  <c r="AD411" i="9"/>
  <c r="AE410" i="9"/>
  <c r="AG409" i="9"/>
  <c r="AF408" i="9"/>
  <c r="AG407" i="9"/>
  <c r="AN406" i="9"/>
  <c r="AQ405" i="9"/>
  <c r="AP404" i="9"/>
  <c r="AQ403" i="9"/>
  <c r="AP402" i="9"/>
  <c r="AD401" i="9"/>
  <c r="AD400" i="9"/>
  <c r="AD399" i="9"/>
  <c r="AD398" i="9"/>
  <c r="AB397" i="9"/>
  <c r="AC396" i="9"/>
  <c r="AD395" i="9"/>
  <c r="AG394" i="9"/>
  <c r="AD393" i="9"/>
  <c r="U392" i="9"/>
  <c r="V391" i="9"/>
  <c r="AA390" i="9"/>
  <c r="AA389" i="9"/>
  <c r="X388" i="9"/>
  <c r="AD387" i="9"/>
  <c r="AK386" i="9"/>
  <c r="AL385" i="9"/>
  <c r="AB384" i="9"/>
  <c r="AD383" i="9"/>
  <c r="AD382" i="9"/>
  <c r="X381" i="9"/>
  <c r="W380" i="9"/>
  <c r="U379" i="9"/>
  <c r="U378" i="9"/>
  <c r="P377" i="9"/>
  <c r="V376" i="9"/>
  <c r="W375" i="9"/>
  <c r="AE374" i="9"/>
  <c r="AA373" i="9"/>
  <c r="V372" i="9"/>
  <c r="U371" i="9"/>
  <c r="Z370" i="9"/>
  <c r="AE369" i="9"/>
  <c r="AD368" i="9"/>
  <c r="Z367" i="9"/>
  <c r="D366" i="9"/>
  <c r="N475" i="9"/>
  <c r="O425" i="9"/>
  <c r="E413" i="9"/>
  <c r="W405" i="9"/>
  <c r="H397" i="9"/>
  <c r="F389" i="9"/>
  <c r="BF381" i="9"/>
  <c r="AT379" i="9"/>
  <c r="BW377" i="9"/>
  <c r="AD376" i="9"/>
  <c r="BR374" i="9"/>
  <c r="P373" i="9"/>
  <c r="AR371" i="9"/>
  <c r="G370" i="9"/>
  <c r="AT368" i="9"/>
  <c r="O367" i="9"/>
  <c r="AS365" i="9"/>
  <c r="AJ364" i="9"/>
  <c r="AK363" i="9"/>
  <c r="AI362" i="9"/>
  <c r="AL361" i="9"/>
  <c r="AI360" i="9"/>
  <c r="AH359" i="9"/>
  <c r="AD358" i="9"/>
  <c r="AD357" i="9"/>
  <c r="AF356" i="9"/>
  <c r="AI355" i="9"/>
  <c r="AJ354" i="9"/>
  <c r="AL353" i="9"/>
  <c r="AT352" i="9"/>
  <c r="AQ351" i="9"/>
  <c r="AH350" i="9"/>
  <c r="AH349" i="9"/>
  <c r="AK348" i="9"/>
  <c r="AR347" i="9"/>
  <c r="BC346" i="9"/>
  <c r="BF345" i="9"/>
  <c r="BD344" i="9"/>
  <c r="AS343" i="9"/>
  <c r="AY342" i="9"/>
  <c r="BF341" i="9"/>
  <c r="BF340" i="9"/>
  <c r="BL339" i="9"/>
  <c r="BD338" i="9"/>
  <c r="BD337" i="9"/>
  <c r="BG336" i="9"/>
  <c r="BL335" i="9"/>
  <c r="BS334" i="9"/>
  <c r="BS333" i="9"/>
  <c r="A333" i="9"/>
  <c r="A332" i="9"/>
  <c r="BX330" i="9"/>
  <c r="B330" i="9"/>
  <c r="BY328" i="9"/>
  <c r="BM327" i="9"/>
  <c r="H445" i="9"/>
  <c r="BN421" i="9"/>
  <c r="BY410" i="9"/>
  <c r="N403" i="9"/>
  <c r="B395" i="9"/>
  <c r="D387" i="9"/>
  <c r="BT380" i="9"/>
  <c r="O379" i="9"/>
  <c r="AN377" i="9"/>
  <c r="B376" i="9"/>
  <c r="AL374" i="9"/>
  <c r="BG372" i="9"/>
  <c r="O371" i="9"/>
  <c r="AZ369" i="9"/>
  <c r="T368" i="9"/>
  <c r="AY366" i="9"/>
  <c r="Q365" i="9"/>
  <c r="O364" i="9"/>
  <c r="P363" i="9"/>
  <c r="O362" i="9"/>
  <c r="P361" i="9"/>
  <c r="P360" i="9"/>
  <c r="H359" i="9"/>
  <c r="J358" i="9"/>
  <c r="J357" i="9"/>
  <c r="L356" i="9"/>
  <c r="O355" i="9"/>
  <c r="O354" i="9"/>
  <c r="U353" i="9"/>
  <c r="AA352" i="9"/>
  <c r="L351" i="9"/>
  <c r="K350" i="9"/>
  <c r="M349" i="9"/>
  <c r="S348" i="9"/>
  <c r="AA347" i="9"/>
  <c r="AH346" i="9"/>
  <c r="AI345" i="9"/>
  <c r="AA344" i="9"/>
  <c r="AA343" i="9"/>
  <c r="AF342" i="9"/>
  <c r="AL341" i="9"/>
  <c r="AM340" i="9"/>
  <c r="AP339" i="9"/>
  <c r="AK338" i="9"/>
  <c r="AI337" i="9"/>
  <c r="AM336" i="9"/>
  <c r="AR335" i="9"/>
  <c r="AY334" i="9"/>
  <c r="AX333" i="9"/>
  <c r="BF332" i="9"/>
  <c r="BC331" i="9"/>
  <c r="BD330" i="9"/>
  <c r="BD329" i="9"/>
  <c r="BE328" i="9"/>
  <c r="AP327" i="9"/>
  <c r="AV326" i="9"/>
  <c r="AZ325" i="9"/>
  <c r="AX324" i="9"/>
  <c r="BC323" i="9"/>
  <c r="BD322" i="9"/>
  <c r="AZ464" i="9"/>
  <c r="BJ424" i="9"/>
  <c r="BL412" i="9"/>
  <c r="E405" i="9"/>
  <c r="BO396" i="9"/>
  <c r="BO388" i="9"/>
  <c r="BA381" i="9"/>
  <c r="AR379" i="9"/>
  <c r="BS377" i="9"/>
  <c r="AB376" i="9"/>
  <c r="BM374" i="9"/>
  <c r="I373" i="9"/>
  <c r="AP371" i="9"/>
  <c r="E370" i="9"/>
  <c r="AR368" i="9"/>
  <c r="J367" i="9"/>
  <c r="AP365" i="9"/>
  <c r="AH364" i="9"/>
  <c r="AI363" i="9"/>
  <c r="AG362" i="9"/>
  <c r="AH361" i="9"/>
  <c r="AG360" i="9"/>
  <c r="AF359" i="9"/>
  <c r="AB358" i="9"/>
  <c r="AB357" i="9"/>
  <c r="AD356" i="9"/>
  <c r="AG355" i="9"/>
  <c r="AH354" i="9"/>
  <c r="AJ353" i="9"/>
  <c r="AR352" i="9"/>
  <c r="AO351" i="9"/>
  <c r="AF350" i="9"/>
  <c r="AF349" i="9"/>
  <c r="AI348" i="9"/>
  <c r="AP347" i="9"/>
  <c r="BA346" i="9"/>
  <c r="BD345" i="9"/>
  <c r="AZ344" i="9"/>
  <c r="AQ343" i="9"/>
  <c r="AV342" i="9"/>
  <c r="BD341" i="9"/>
  <c r="BD340" i="9"/>
  <c r="BJ339" i="9"/>
  <c r="AZ338" i="9"/>
  <c r="BB337" i="9"/>
  <c r="BE336" i="9"/>
  <c r="BJ335" i="9"/>
  <c r="BQ334" i="9"/>
  <c r="BQ333" i="9"/>
  <c r="BX332" i="9"/>
  <c r="BW331" i="9"/>
  <c r="BT330" i="9"/>
  <c r="BY329" i="9"/>
  <c r="BW328" i="9"/>
  <c r="BK327" i="9"/>
  <c r="BN326" i="9"/>
  <c r="BR325" i="9"/>
  <c r="BR324" i="9"/>
  <c r="BS323" i="9"/>
  <c r="BX322" i="9"/>
  <c r="BX321" i="9"/>
  <c r="BW320" i="9"/>
  <c r="A320" i="9"/>
  <c r="B319" i="9"/>
  <c r="BH450" i="9"/>
  <c r="BV422" i="9"/>
  <c r="BC411" i="9"/>
  <c r="BU403" i="9"/>
  <c r="BF395" i="9"/>
  <c r="BC387" i="9"/>
  <c r="O381" i="9"/>
  <c r="Z379" i="9"/>
  <c r="AW377" i="9"/>
  <c r="K376" i="9"/>
  <c r="AU374" i="9"/>
  <c r="BU372" i="9"/>
  <c r="AA371" i="9"/>
  <c r="BL369" i="9"/>
  <c r="AC368" i="9"/>
  <c r="BO366" i="9"/>
  <c r="AB365" i="9"/>
  <c r="W364" i="9"/>
  <c r="W363" i="9"/>
  <c r="V362" i="9"/>
  <c r="W361" i="9"/>
  <c r="W360" i="9"/>
  <c r="R359" i="9"/>
  <c r="P358" i="9"/>
  <c r="P357" i="9"/>
  <c r="T356" i="9"/>
  <c r="W355" i="9"/>
  <c r="V354" i="9"/>
  <c r="AA353" i="9"/>
  <c r="AG352" i="9"/>
  <c r="W351" i="9"/>
  <c r="R350" i="9"/>
  <c r="U349" i="9"/>
  <c r="Z348" i="9"/>
  <c r="AG347" i="9"/>
  <c r="AP346" i="9"/>
  <c r="AR345" i="9"/>
  <c r="AM344" i="9"/>
  <c r="AG343" i="9"/>
  <c r="AM342" i="9"/>
  <c r="AR341" i="9"/>
  <c r="AS340" i="9"/>
  <c r="AV339" i="9"/>
  <c r="AQ338" i="9"/>
  <c r="AQ337" i="9"/>
  <c r="AS336" i="9"/>
  <c r="AY335" i="9"/>
  <c r="BG334" i="9"/>
  <c r="BF333" i="9"/>
  <c r="BL332" i="9"/>
  <c r="BL331" i="9"/>
  <c r="BK330" i="9"/>
  <c r="BM329" i="9"/>
  <c r="BL328" i="9"/>
  <c r="AV327" i="9"/>
  <c r="K434" i="9"/>
  <c r="AQ419" i="9"/>
  <c r="AZ409" i="9"/>
  <c r="AS401" i="9"/>
  <c r="AT393" i="9"/>
  <c r="BD385" i="9"/>
  <c r="AR380" i="9"/>
  <c r="BR378" i="9"/>
  <c r="T377" i="9"/>
  <c r="BE375" i="9"/>
  <c r="Q374" i="9"/>
  <c r="AM372" i="9"/>
  <c r="BO370" i="9"/>
  <c r="AH369" i="9"/>
  <c r="D368" i="9"/>
  <c r="AJ366" i="9"/>
  <c r="C365" i="9"/>
  <c r="D364" i="9"/>
  <c r="A363" i="9"/>
  <c r="C362" i="9"/>
  <c r="D361" i="9"/>
  <c r="C360" i="9"/>
  <c r="BT358" i="9"/>
  <c r="BU357" i="9"/>
  <c r="BU356" i="9"/>
  <c r="BY355" i="9"/>
  <c r="C355" i="9"/>
  <c r="B354" i="9"/>
  <c r="I353" i="9"/>
  <c r="N352" i="9"/>
  <c r="BY350" i="9"/>
  <c r="BX349" i="9"/>
  <c r="B349" i="9"/>
  <c r="G348" i="9"/>
  <c r="P347" i="9"/>
  <c r="U346" i="9"/>
  <c r="W345" i="9"/>
  <c r="J344" i="9"/>
  <c r="M343" i="9"/>
  <c r="R342" i="9"/>
  <c r="Z341" i="9"/>
  <c r="AB340" i="9"/>
  <c r="BV464" i="9"/>
  <c r="G436" i="9"/>
  <c r="BU434" i="9"/>
  <c r="AH451" i="9"/>
  <c r="BH423" i="9"/>
  <c r="AL460" i="9"/>
  <c r="K449" i="9"/>
  <c r="AY441" i="9"/>
  <c r="AN433" i="9"/>
  <c r="BF425" i="9"/>
  <c r="AR417" i="9"/>
  <c r="D433" i="9"/>
  <c r="P419" i="9"/>
  <c r="AO409" i="9"/>
  <c r="AJ401" i="9"/>
  <c r="AK393" i="9"/>
  <c r="AR385" i="9"/>
  <c r="BP435" i="9"/>
  <c r="A420" i="9"/>
  <c r="BO409" i="9"/>
  <c r="BL401" i="9"/>
  <c r="BM393" i="9"/>
  <c r="A386" i="9"/>
  <c r="P431" i="9"/>
  <c r="AG418" i="9"/>
  <c r="BX408" i="9"/>
  <c r="BS400" i="9"/>
  <c r="BP392" i="9"/>
  <c r="BS384" i="9"/>
  <c r="BV429" i="9"/>
  <c r="K417" i="9"/>
  <c r="P408" i="9"/>
  <c r="BF403" i="9"/>
  <c r="B401" i="9"/>
  <c r="N398" i="9"/>
  <c r="AQ395" i="9"/>
  <c r="BX392" i="9"/>
  <c r="K390" i="9"/>
  <c r="AO387" i="9"/>
  <c r="B385" i="9"/>
  <c r="N382" i="9"/>
  <c r="BQ458" i="9"/>
  <c r="AM436" i="9"/>
  <c r="P428" i="9"/>
  <c r="F424" i="9"/>
  <c r="J420" i="9"/>
  <c r="AE415" i="9"/>
  <c r="AD412" i="9"/>
  <c r="AG410" i="9"/>
  <c r="AH408" i="9"/>
  <c r="AP406" i="9"/>
  <c r="AR404" i="9"/>
  <c r="AR402" i="9"/>
  <c r="U401" i="9"/>
  <c r="W400" i="9"/>
  <c r="W399" i="9"/>
  <c r="W398" i="9"/>
  <c r="T397" i="9"/>
  <c r="U396" i="9"/>
  <c r="W395" i="9"/>
  <c r="X394" i="9"/>
  <c r="T393" i="9"/>
  <c r="M392" i="9"/>
  <c r="O391" i="9"/>
  <c r="R390" i="9"/>
  <c r="R389" i="9"/>
  <c r="P388" i="9"/>
  <c r="W387" i="9"/>
  <c r="AE386" i="9"/>
  <c r="W385" i="9"/>
  <c r="U384" i="9"/>
  <c r="U383" i="9"/>
  <c r="V382" i="9"/>
  <c r="M381" i="9"/>
  <c r="O380" i="9"/>
  <c r="N379" i="9"/>
  <c r="K378" i="9"/>
  <c r="H377" i="9"/>
  <c r="O376" i="9"/>
  <c r="P375" i="9"/>
  <c r="W374" i="9"/>
  <c r="N373" i="9"/>
  <c r="M372" i="9"/>
  <c r="M371" i="9"/>
  <c r="T370" i="9"/>
  <c r="U369" i="9"/>
  <c r="W368" i="9"/>
  <c r="P367" i="9"/>
  <c r="BW365" i="9"/>
  <c r="BO478" i="9"/>
  <c r="BC455" i="9"/>
  <c r="Q446" i="9"/>
  <c r="AM438" i="9"/>
  <c r="AS431" i="9"/>
  <c r="BT429" i="9"/>
  <c r="AB428" i="9"/>
  <c r="BJ426" i="9"/>
  <c r="Q425" i="9"/>
  <c r="AW423" i="9"/>
  <c r="G422" i="9"/>
  <c r="AL420" i="9"/>
  <c r="AZ418" i="9"/>
  <c r="E417" i="9"/>
  <c r="AS415" i="9"/>
  <c r="S414" i="9"/>
  <c r="G413" i="9"/>
  <c r="K412" i="9"/>
  <c r="K411" i="9"/>
  <c r="M410" i="9"/>
  <c r="N409" i="9"/>
  <c r="N408" i="9"/>
  <c r="P407" i="9"/>
  <c r="Y406" i="9"/>
  <c r="AB405" i="9"/>
  <c r="Z404" i="9"/>
  <c r="AA403" i="9"/>
  <c r="M402" i="9"/>
  <c r="J401" i="9"/>
  <c r="L400" i="9"/>
  <c r="K399" i="9"/>
  <c r="L398" i="9"/>
  <c r="J397" i="9"/>
  <c r="K396" i="9"/>
  <c r="M395" i="9"/>
  <c r="J394" i="9"/>
  <c r="E393" i="9"/>
  <c r="C392" i="9"/>
  <c r="F391" i="9"/>
  <c r="I390" i="9"/>
  <c r="I389" i="9"/>
  <c r="G388" i="9"/>
  <c r="N387" i="9"/>
  <c r="V386" i="9"/>
  <c r="J385" i="9"/>
  <c r="K384" i="9"/>
  <c r="J383" i="9"/>
  <c r="L382" i="9"/>
  <c r="B381" i="9"/>
  <c r="F380" i="9"/>
  <c r="E379" i="9"/>
  <c r="A378" i="9"/>
  <c r="BX376" i="9"/>
  <c r="F376" i="9"/>
  <c r="G375" i="9"/>
  <c r="M374" i="9"/>
  <c r="C373" i="9"/>
  <c r="D372" i="9"/>
  <c r="A371" i="9"/>
  <c r="K370" i="9"/>
  <c r="H369" i="9"/>
  <c r="BW456" i="9"/>
  <c r="C447" i="9"/>
  <c r="AB439" i="9"/>
  <c r="BR431" i="9"/>
  <c r="E430" i="9"/>
  <c r="AL428" i="9"/>
  <c r="BY426" i="9"/>
  <c r="AG425" i="9"/>
  <c r="BL423" i="9"/>
  <c r="R422" i="9"/>
  <c r="AV420" i="9"/>
  <c r="BR418" i="9"/>
  <c r="T417" i="9"/>
  <c r="BH415" i="9"/>
  <c r="AE414" i="9"/>
  <c r="N413" i="9"/>
  <c r="R412" i="9"/>
  <c r="T411" i="9"/>
  <c r="V410" i="9"/>
  <c r="W409" i="9"/>
  <c r="W408" i="9"/>
  <c r="X407" i="9"/>
  <c r="AF406" i="9"/>
  <c r="AI405" i="9"/>
  <c r="AG404" i="9"/>
  <c r="AH403" i="9"/>
  <c r="AA402" i="9"/>
  <c r="S401" i="9"/>
  <c r="U400" i="9"/>
  <c r="U399" i="9"/>
  <c r="U398" i="9"/>
  <c r="Q397" i="9"/>
  <c r="R396" i="9"/>
  <c r="U395" i="9"/>
  <c r="R394" i="9"/>
  <c r="P393" i="9"/>
  <c r="K392" i="9"/>
  <c r="M391" i="9"/>
  <c r="P390" i="9"/>
  <c r="P389" i="9"/>
  <c r="N388" i="9"/>
  <c r="U387" i="9"/>
  <c r="AC386" i="9"/>
  <c r="Q385" i="9"/>
  <c r="R384" i="9"/>
  <c r="S383" i="9"/>
  <c r="S382" i="9"/>
  <c r="J381" i="9"/>
  <c r="M380" i="9"/>
  <c r="L379" i="9"/>
  <c r="I378" i="9"/>
  <c r="F377" i="9"/>
  <c r="M376" i="9"/>
  <c r="N375" i="9"/>
  <c r="U374" i="9"/>
  <c r="L373" i="9"/>
  <c r="K372" i="9"/>
  <c r="K371" i="9"/>
  <c r="R370" i="9"/>
  <c r="R369" i="9"/>
  <c r="U368" i="9"/>
  <c r="L367" i="9"/>
  <c r="BS365" i="9"/>
  <c r="Q455" i="9"/>
  <c r="AR423" i="9"/>
  <c r="I412" i="9"/>
  <c r="V404" i="9"/>
  <c r="I396" i="9"/>
  <c r="E388" i="9"/>
  <c r="AE381" i="9"/>
  <c r="AC379" i="9"/>
  <c r="BI377" i="9"/>
  <c r="Q376" i="9"/>
  <c r="BD374" i="9"/>
  <c r="BY372" i="9"/>
  <c r="AD371" i="9"/>
  <c r="BS369" i="9"/>
  <c r="AH368" i="9"/>
  <c r="B367" i="9"/>
  <c r="AH365" i="9"/>
  <c r="AB364" i="9"/>
  <c r="AC363" i="9"/>
  <c r="AA362" i="9"/>
  <c r="AB361" i="9"/>
  <c r="AA360" i="9"/>
  <c r="V359" i="9"/>
  <c r="U358" i="9"/>
  <c r="U357" i="9"/>
  <c r="W356" i="9"/>
  <c r="AA355" i="9"/>
  <c r="AB354" i="9"/>
  <c r="AD353" i="9"/>
  <c r="AL352" i="9"/>
  <c r="AB351" i="9"/>
  <c r="V350" i="9"/>
  <c r="Z349" i="9"/>
  <c r="AC348" i="9"/>
  <c r="AJ347" i="9"/>
  <c r="AS346" i="9"/>
  <c r="AU345" i="9"/>
  <c r="AR344" i="9"/>
  <c r="AJ343" i="9"/>
  <c r="AP342" i="9"/>
  <c r="AU341" i="9"/>
  <c r="AV340" i="9"/>
  <c r="BC339" i="9"/>
  <c r="AT338" i="9"/>
  <c r="AT337" i="9"/>
  <c r="AV336" i="9"/>
  <c r="BD335" i="9"/>
  <c r="BJ334" i="9"/>
  <c r="BJ333" i="9"/>
  <c r="BP332" i="9"/>
  <c r="BO331" i="9"/>
  <c r="BN330" i="9"/>
  <c r="BQ329" i="9"/>
  <c r="BQ328" i="9"/>
  <c r="AY327" i="9"/>
  <c r="M437" i="9"/>
  <c r="R420" i="9"/>
  <c r="B410" i="9"/>
  <c r="A402" i="9"/>
  <c r="BY393" i="9"/>
  <c r="K386" i="9"/>
  <c r="AU380" i="9"/>
  <c r="A379" i="9"/>
  <c r="W377" i="9"/>
  <c r="BI375" i="9"/>
  <c r="Z374" i="9"/>
  <c r="AS372" i="9"/>
  <c r="BV370" i="9"/>
  <c r="AK369" i="9"/>
  <c r="I368" i="9"/>
  <c r="AM366" i="9"/>
  <c r="G365" i="9"/>
  <c r="G364" i="9"/>
  <c r="D363" i="9"/>
  <c r="F362" i="9"/>
  <c r="H361" i="9"/>
  <c r="F360" i="9"/>
  <c r="BX358" i="9"/>
  <c r="A358" i="9"/>
  <c r="A357" i="9"/>
  <c r="C356" i="9"/>
  <c r="F355" i="9"/>
  <c r="E354" i="9"/>
  <c r="L353" i="9"/>
  <c r="Q352" i="9"/>
  <c r="C351" i="9"/>
  <c r="B350" i="9"/>
  <c r="E349" i="9"/>
  <c r="J348" i="9"/>
  <c r="S347" i="9"/>
  <c r="Z346" i="9"/>
  <c r="AA345" i="9"/>
  <c r="M344" i="9"/>
  <c r="P343" i="9"/>
  <c r="V342" i="9"/>
  <c r="AC341" i="9"/>
  <c r="AE340" i="9"/>
  <c r="AH339" i="9"/>
  <c r="AC338" i="9"/>
  <c r="AA337" i="9"/>
  <c r="AD336" i="9"/>
  <c r="AI335" i="9"/>
  <c r="AN334" i="9"/>
  <c r="AP333" i="9"/>
  <c r="AU332" i="9"/>
  <c r="AR331" i="9"/>
  <c r="AT330" i="9"/>
  <c r="AR329" i="9"/>
  <c r="AR328" i="9"/>
  <c r="AH327" i="9"/>
  <c r="AN326" i="9"/>
  <c r="AQ325" i="9"/>
  <c r="AP324" i="9"/>
  <c r="AS323" i="9"/>
  <c r="AR322" i="9"/>
  <c r="I452" i="9"/>
  <c r="L423" i="9"/>
  <c r="BN411" i="9"/>
  <c r="E404" i="9"/>
  <c r="BP395" i="9"/>
  <c r="BL387" i="9"/>
  <c r="P381" i="9"/>
  <c r="AA379" i="9"/>
  <c r="AX377" i="9"/>
  <c r="L376" i="9"/>
  <c r="AZ374" i="9"/>
  <c r="BV372" i="9"/>
  <c r="AB371" i="9"/>
  <c r="BN369" i="9"/>
  <c r="AE368" i="9"/>
  <c r="BP366" i="9"/>
  <c r="AC365" i="9"/>
  <c r="Z364" i="9"/>
  <c r="AA363" i="9"/>
  <c r="W362" i="9"/>
  <c r="Z361" i="9"/>
  <c r="X360" i="9"/>
  <c r="T359" i="9"/>
  <c r="R358" i="9"/>
  <c r="R357" i="9"/>
  <c r="U356" i="9"/>
  <c r="X355" i="9"/>
  <c r="W354" i="9"/>
  <c r="AB353" i="9"/>
  <c r="AH352" i="9"/>
  <c r="Z351" i="9"/>
  <c r="T350" i="9"/>
  <c r="V349" i="9"/>
  <c r="AA348" i="9"/>
  <c r="AH347" i="9"/>
  <c r="AQ346" i="9"/>
  <c r="AS345" i="9"/>
  <c r="AN344" i="9"/>
  <c r="AH343" i="9"/>
  <c r="AN342" i="9"/>
  <c r="AS341" i="9"/>
  <c r="AT340" i="9"/>
  <c r="AW339" i="9"/>
  <c r="AR338" i="9"/>
  <c r="AR337" i="9"/>
  <c r="AT336" i="9"/>
  <c r="AZ335" i="9"/>
  <c r="BH334" i="9"/>
  <c r="BG333" i="9"/>
  <c r="BN332" i="9"/>
  <c r="BM331" i="9"/>
  <c r="BL330" i="9"/>
  <c r="BO329" i="9"/>
  <c r="BO328" i="9"/>
  <c r="AW327" i="9"/>
  <c r="BF326" i="9"/>
  <c r="BI325" i="9"/>
  <c r="BJ324" i="9"/>
  <c r="BK323" i="9"/>
  <c r="BO322" i="9"/>
  <c r="BM321" i="9"/>
  <c r="BO320" i="9"/>
  <c r="BP319" i="9"/>
  <c r="BQ318" i="9"/>
  <c r="N443" i="9"/>
  <c r="AH421" i="9"/>
  <c r="BH410" i="9"/>
  <c r="BV402" i="9"/>
  <c r="BI394" i="9"/>
  <c r="BK386" i="9"/>
  <c r="BL380" i="9"/>
  <c r="J379" i="9"/>
  <c r="AI377" i="9"/>
  <c r="BY375" i="9"/>
  <c r="AI374" i="9"/>
  <c r="BE372" i="9"/>
  <c r="F371" i="9"/>
  <c r="AT369" i="9"/>
  <c r="Q368" i="9"/>
  <c r="AU366" i="9"/>
  <c r="O365" i="9"/>
  <c r="M364" i="9"/>
  <c r="M363" i="9"/>
  <c r="M362" i="9"/>
  <c r="N361" i="9"/>
  <c r="M360" i="9"/>
  <c r="E359" i="9"/>
  <c r="H358" i="9"/>
  <c r="H357" i="9"/>
  <c r="J356" i="9"/>
  <c r="M355" i="9"/>
  <c r="L354" i="9"/>
  <c r="R353" i="9"/>
  <c r="X352" i="9"/>
  <c r="J351" i="9"/>
  <c r="I350" i="9"/>
  <c r="K349" i="9"/>
  <c r="P348" i="9"/>
  <c r="Y347" i="9"/>
  <c r="AF346" i="9"/>
  <c r="AG345" i="9"/>
  <c r="X344" i="9"/>
  <c r="X343" i="9"/>
  <c r="AD342" i="9"/>
  <c r="AI341" i="9"/>
  <c r="AK340" i="9"/>
  <c r="AN339" i="9"/>
  <c r="AI338" i="9"/>
  <c r="AG337" i="9"/>
  <c r="AJ336" i="9"/>
  <c r="AP335" i="9"/>
  <c r="AV334" i="9"/>
  <c r="AV333" i="9"/>
  <c r="BC332" i="9"/>
  <c r="AX331" i="9"/>
  <c r="BB330" i="9"/>
  <c r="AZ329" i="9"/>
  <c r="AZ328" i="9"/>
  <c r="AN327" i="9"/>
  <c r="BE430" i="9"/>
  <c r="BN417" i="9"/>
  <c r="AW408" i="9"/>
  <c r="AT400" i="9"/>
  <c r="AL392" i="9"/>
  <c r="AR384" i="9"/>
  <c r="AB380" i="9"/>
  <c r="BF378" i="9"/>
  <c r="C377" i="9"/>
  <c r="AM375" i="9"/>
  <c r="C374" i="9"/>
  <c r="AA372" i="9"/>
  <c r="BC370" i="9"/>
  <c r="N369" i="9"/>
  <c r="BO367" i="9"/>
  <c r="O366" i="9"/>
  <c r="BS364" i="9"/>
  <c r="BS363" i="9"/>
  <c r="BP362" i="9"/>
  <c r="BQ361" i="9"/>
  <c r="BS360" i="9"/>
  <c r="BQ359" i="9"/>
  <c r="BK358" i="9"/>
  <c r="BM357" i="9"/>
  <c r="BM356" i="9"/>
  <c r="BP355" i="9"/>
  <c r="BR354" i="9"/>
  <c r="BQ353" i="9"/>
  <c r="A353" i="9"/>
  <c r="E352" i="9"/>
  <c r="BP350" i="9"/>
  <c r="BP349" i="9"/>
  <c r="BQ348" i="9"/>
  <c r="BX347" i="9"/>
  <c r="H347" i="9"/>
  <c r="K346" i="9"/>
  <c r="N345" i="9"/>
  <c r="A344" i="9"/>
  <c r="E343" i="9"/>
  <c r="J342" i="9"/>
  <c r="M341" i="9"/>
  <c r="R340" i="9"/>
  <c r="P339" i="9"/>
  <c r="O338" i="9"/>
  <c r="L337" i="9"/>
  <c r="O336" i="9"/>
  <c r="W335" i="9"/>
  <c r="AB334" i="9"/>
  <c r="AE333" i="9"/>
  <c r="AH332" i="9"/>
  <c r="AG331" i="9"/>
  <c r="AG330" i="9"/>
  <c r="AF329" i="9"/>
  <c r="AA328" i="9"/>
  <c r="W327" i="9"/>
  <c r="AA326" i="9"/>
  <c r="AE325" i="9"/>
  <c r="AE324" i="9"/>
  <c r="AF323" i="9"/>
  <c r="AF322" i="9"/>
  <c r="AG321" i="9"/>
  <c r="AG320" i="9"/>
  <c r="AH319" i="9"/>
  <c r="AN318" i="9"/>
  <c r="N451" i="9"/>
  <c r="AB463" i="9"/>
  <c r="AC461" i="9"/>
  <c r="BD443" i="9"/>
  <c r="BQ420" i="9"/>
  <c r="BR458" i="9"/>
  <c r="M448" i="9"/>
  <c r="AT440" i="9"/>
  <c r="AS432" i="9"/>
  <c r="BE424" i="9"/>
  <c r="AU416" i="9"/>
  <c r="AM430" i="9"/>
  <c r="AU417" i="9"/>
  <c r="AN408" i="9"/>
  <c r="AJ400" i="9"/>
  <c r="AB392" i="9"/>
  <c r="AH384" i="9"/>
  <c r="F431" i="9"/>
  <c r="P418" i="9"/>
  <c r="BO408" i="9"/>
  <c r="BK400" i="9"/>
  <c r="BF392" i="9"/>
  <c r="BK384" i="9"/>
  <c r="AS429" i="9"/>
  <c r="BI416" i="9"/>
  <c r="BX407" i="9"/>
  <c r="BV399" i="9"/>
  <c r="BN391" i="9"/>
  <c r="BV383" i="9"/>
  <c r="AD428" i="9"/>
  <c r="AU415" i="9"/>
  <c r="R407" i="9"/>
  <c r="AC403" i="9"/>
  <c r="AP400" i="9"/>
  <c r="E398" i="9"/>
  <c r="O395" i="9"/>
  <c r="AG392" i="9"/>
  <c r="B390" i="9"/>
  <c r="P387" i="9"/>
  <c r="AN384" i="9"/>
  <c r="F382" i="9"/>
  <c r="P454" i="9"/>
  <c r="AR432" i="9"/>
  <c r="B428" i="9"/>
  <c r="AG423" i="9"/>
  <c r="L419" i="9"/>
  <c r="R415" i="9"/>
  <c r="C412" i="9"/>
  <c r="E410" i="9"/>
  <c r="E408" i="9"/>
  <c r="P406" i="9"/>
  <c r="P404" i="9"/>
  <c r="N402" i="9"/>
  <c r="K401" i="9"/>
  <c r="M400" i="9"/>
  <c r="L399" i="9"/>
  <c r="M398" i="9"/>
  <c r="K397" i="9"/>
  <c r="L396" i="9"/>
  <c r="N395" i="9"/>
  <c r="K394" i="9"/>
  <c r="F393" i="9"/>
  <c r="D392" i="9"/>
  <c r="G391" i="9"/>
  <c r="J390" i="9"/>
  <c r="J389" i="9"/>
  <c r="H388" i="9"/>
  <c r="O387" i="9"/>
  <c r="W386" i="9"/>
  <c r="K385" i="9"/>
  <c r="L384" i="9"/>
  <c r="K383" i="9"/>
  <c r="M382" i="9"/>
  <c r="C381" i="9"/>
  <c r="G380" i="9"/>
  <c r="F379" i="9"/>
  <c r="B378" i="9"/>
  <c r="BY376" i="9"/>
  <c r="G376" i="9"/>
  <c r="H375" i="9"/>
  <c r="N374" i="9"/>
  <c r="D373" i="9"/>
  <c r="E372" i="9"/>
  <c r="B371" i="9"/>
  <c r="L370" i="9"/>
  <c r="K369" i="9"/>
  <c r="N368" i="9"/>
  <c r="F367" i="9"/>
  <c r="BL365" i="9"/>
  <c r="W469" i="9"/>
  <c r="BX453" i="9"/>
  <c r="Y445" i="9"/>
  <c r="AG437" i="9"/>
  <c r="Z431" i="9"/>
  <c r="BD429" i="9"/>
  <c r="L428" i="9"/>
  <c r="AT426" i="9"/>
  <c r="E425" i="9"/>
  <c r="AF423" i="9"/>
  <c r="BP421" i="9"/>
  <c r="U420" i="9"/>
  <c r="AO418" i="9"/>
  <c r="BQ416" i="9"/>
  <c r="AD415" i="9"/>
  <c r="E414" i="9"/>
  <c r="BX412" i="9"/>
  <c r="B412" i="9"/>
  <c r="B411" i="9"/>
  <c r="D410" i="9"/>
  <c r="D409" i="9"/>
  <c r="D408" i="9"/>
  <c r="H407" i="9"/>
  <c r="O406" i="9"/>
  <c r="P405" i="9"/>
  <c r="O404" i="9"/>
  <c r="P403" i="9"/>
  <c r="D402" i="9"/>
  <c r="BY400" i="9"/>
  <c r="D400" i="9"/>
  <c r="C399" i="9"/>
  <c r="C398" i="9"/>
  <c r="A397" i="9"/>
  <c r="B396" i="9"/>
  <c r="D395" i="9"/>
  <c r="B394" i="9"/>
  <c r="BU392" i="9"/>
  <c r="BS391" i="9"/>
  <c r="BU390" i="9"/>
  <c r="BY389" i="9"/>
  <c r="BY388" i="9"/>
  <c r="BX387" i="9"/>
  <c r="F387" i="9"/>
  <c r="M386" i="9"/>
  <c r="BY384" i="9"/>
  <c r="C384" i="9"/>
  <c r="A383" i="9"/>
  <c r="D382" i="9"/>
  <c r="BQ380" i="9"/>
  <c r="BV379" i="9"/>
  <c r="BT378" i="9"/>
  <c r="BP377" i="9"/>
  <c r="BP376" i="9"/>
  <c r="BV375" i="9"/>
  <c r="BX374" i="9"/>
  <c r="E374" i="9"/>
  <c r="BS372" i="9"/>
  <c r="BR371" i="9"/>
  <c r="BQ370" i="9"/>
  <c r="B370" i="9"/>
  <c r="AU476" i="9"/>
  <c r="AM455" i="9"/>
  <c r="I446" i="9"/>
  <c r="Z438" i="9"/>
  <c r="AQ431" i="9"/>
  <c r="BS429" i="9"/>
  <c r="AA428" i="9"/>
  <c r="BI426" i="9"/>
  <c r="P425" i="9"/>
  <c r="AS423" i="9"/>
  <c r="F422" i="9"/>
  <c r="AI420" i="9"/>
  <c r="AY418" i="9"/>
  <c r="D417" i="9"/>
  <c r="AO415" i="9"/>
  <c r="P414" i="9"/>
  <c r="F413" i="9"/>
  <c r="J412" i="9"/>
  <c r="J411" i="9"/>
  <c r="L410" i="9"/>
  <c r="M409" i="9"/>
  <c r="M408" i="9"/>
  <c r="O407" i="9"/>
  <c r="W406" i="9"/>
  <c r="X405" i="9"/>
  <c r="W404" i="9"/>
  <c r="Z403" i="9"/>
  <c r="L402" i="9"/>
  <c r="H401" i="9"/>
  <c r="K400" i="9"/>
  <c r="J399" i="9"/>
  <c r="K398" i="9"/>
  <c r="I397" i="9"/>
  <c r="J396" i="9"/>
  <c r="L395" i="9"/>
  <c r="I394" i="9"/>
  <c r="D393" i="9"/>
  <c r="B392" i="9"/>
  <c r="E391" i="9"/>
  <c r="H390" i="9"/>
  <c r="H389" i="9"/>
  <c r="F388" i="9"/>
  <c r="M387" i="9"/>
  <c r="U386" i="9"/>
  <c r="I385" i="9"/>
  <c r="J384" i="9"/>
  <c r="H383" i="9"/>
  <c r="K382" i="9"/>
  <c r="A381" i="9"/>
  <c r="E380" i="9"/>
  <c r="D379" i="9"/>
  <c r="BY377" i="9"/>
  <c r="BW376" i="9"/>
  <c r="E376" i="9"/>
  <c r="F375" i="9"/>
  <c r="L374" i="9"/>
  <c r="B373" i="9"/>
  <c r="C372" i="9"/>
  <c r="BY370" i="9"/>
  <c r="J370" i="9"/>
  <c r="G369" i="9"/>
  <c r="L368" i="9"/>
  <c r="D367" i="9"/>
  <c r="BI365" i="9"/>
  <c r="A446" i="9"/>
  <c r="B422" i="9"/>
  <c r="H411" i="9"/>
  <c r="X403" i="9"/>
  <c r="K395" i="9"/>
  <c r="L387" i="9"/>
  <c r="BW380" i="9"/>
  <c r="P379" i="9"/>
  <c r="AO377" i="9"/>
  <c r="C376" i="9"/>
  <c r="AM374" i="9"/>
  <c r="BL372" i="9"/>
  <c r="P371" i="9"/>
  <c r="BC369" i="9"/>
  <c r="V368" i="9"/>
  <c r="BA366" i="9"/>
  <c r="R365" i="9"/>
  <c r="P364" i="9"/>
  <c r="R363" i="9"/>
  <c r="P362" i="9"/>
  <c r="Q361" i="9"/>
  <c r="R360" i="9"/>
  <c r="K359" i="9"/>
  <c r="K358" i="9"/>
  <c r="K357" i="9"/>
  <c r="M356" i="9"/>
  <c r="P355" i="9"/>
  <c r="P354" i="9"/>
  <c r="V353" i="9"/>
  <c r="AB352" i="9"/>
  <c r="M351" i="9"/>
  <c r="L350" i="9"/>
  <c r="N349" i="9"/>
  <c r="T348" i="9"/>
  <c r="AB347" i="9"/>
  <c r="AI346" i="9"/>
  <c r="AJ345" i="9"/>
  <c r="AB344" i="9"/>
  <c r="AB343" i="9"/>
  <c r="AG342" i="9"/>
  <c r="AM341" i="9"/>
  <c r="AN340" i="9"/>
  <c r="AQ339" i="9"/>
  <c r="AL338" i="9"/>
  <c r="AL337" i="9"/>
  <c r="AN336" i="9"/>
  <c r="AS335" i="9"/>
  <c r="AZ334" i="9"/>
  <c r="AZ333" i="9"/>
  <c r="BG332" i="9"/>
  <c r="BD331" i="9"/>
  <c r="BF330" i="9"/>
  <c r="BE329" i="9"/>
  <c r="BF328" i="9"/>
  <c r="AQ327" i="9"/>
  <c r="W431" i="9"/>
  <c r="AJ418" i="9"/>
  <c r="B409" i="9"/>
  <c r="BV400" i="9"/>
  <c r="BS392" i="9"/>
  <c r="BV384" i="9"/>
  <c r="AE380" i="9"/>
  <c r="BJ378" i="9"/>
  <c r="J377" i="9"/>
  <c r="AS375" i="9"/>
  <c r="I374" i="9"/>
  <c r="AD372" i="9"/>
  <c r="BF370" i="9"/>
  <c r="V369" i="9"/>
  <c r="BT367" i="9"/>
  <c r="T366" i="9"/>
  <c r="BV364" i="9"/>
  <c r="BX363" i="9"/>
  <c r="BS362" i="9"/>
  <c r="BT361" i="9"/>
  <c r="BX360" i="9"/>
  <c r="BT359" i="9"/>
  <c r="BO358" i="9"/>
  <c r="BP357" i="9"/>
  <c r="BP356" i="9"/>
  <c r="BS355" i="9"/>
  <c r="BW354" i="9"/>
  <c r="BT353" i="9"/>
  <c r="D353" i="9"/>
  <c r="I352" i="9"/>
  <c r="BS350" i="9"/>
  <c r="BS349" i="9"/>
  <c r="BT348" i="9"/>
  <c r="B348" i="9"/>
  <c r="K347" i="9"/>
  <c r="N346" i="9"/>
  <c r="Q345" i="9"/>
  <c r="E344" i="9"/>
  <c r="H343" i="9"/>
  <c r="M342" i="9"/>
  <c r="P341" i="9"/>
  <c r="V340" i="9"/>
  <c r="U339" i="9"/>
  <c r="S338" i="9"/>
  <c r="O337" i="9"/>
  <c r="S336" i="9"/>
  <c r="AA335" i="9"/>
  <c r="AE334" i="9"/>
  <c r="AH333" i="9"/>
  <c r="AM332" i="9"/>
  <c r="AJ331" i="9"/>
  <c r="AL330" i="9"/>
  <c r="AI329" i="9"/>
  <c r="AE328" i="9"/>
  <c r="Z327" i="9"/>
  <c r="AD326" i="9"/>
  <c r="AH325" i="9"/>
  <c r="AH324" i="9"/>
  <c r="AI323" i="9"/>
  <c r="AI322" i="9"/>
  <c r="K444" i="9"/>
  <c r="AS421" i="9"/>
  <c r="BQ410" i="9"/>
  <c r="F403" i="9"/>
  <c r="BR394" i="9"/>
  <c r="BS386" i="9"/>
  <c r="BO380" i="9"/>
  <c r="K379" i="9"/>
  <c r="AM377" i="9"/>
  <c r="A376" i="9"/>
  <c r="AJ374" i="9"/>
  <c r="BF372" i="9"/>
  <c r="H371" i="9"/>
  <c r="AX369" i="9"/>
  <c r="R368" i="9"/>
  <c r="AW366" i="9"/>
  <c r="P365" i="9"/>
  <c r="N364" i="9"/>
  <c r="O363" i="9"/>
  <c r="N362" i="9"/>
  <c r="O361" i="9"/>
  <c r="O360" i="9"/>
  <c r="F359" i="9"/>
  <c r="I358" i="9"/>
  <c r="I357" i="9"/>
  <c r="K356" i="9"/>
  <c r="N355" i="9"/>
  <c r="M354" i="9"/>
  <c r="T353" i="9"/>
  <c r="Z352" i="9"/>
  <c r="K351" i="9"/>
  <c r="J350" i="9"/>
  <c r="L349" i="9"/>
  <c r="R348" i="9"/>
  <c r="Z347" i="9"/>
  <c r="AG346" i="9"/>
  <c r="AH345" i="9"/>
  <c r="Z344" i="9"/>
  <c r="Z343" i="9"/>
  <c r="AE342" i="9"/>
  <c r="AJ341" i="9"/>
  <c r="AL340" i="9"/>
  <c r="AO339" i="9"/>
  <c r="AJ338" i="9"/>
  <c r="AH337" i="9"/>
  <c r="AL336" i="9"/>
  <c r="AQ335" i="9"/>
  <c r="AW334" i="9"/>
  <c r="AW333" i="9"/>
  <c r="BD332" i="9"/>
  <c r="AZ331" i="9"/>
  <c r="BC330" i="9"/>
  <c r="BA329" i="9"/>
  <c r="BA328" i="9"/>
  <c r="AO327" i="9"/>
  <c r="AU326" i="9"/>
  <c r="AY325" i="9"/>
  <c r="AW324" i="9"/>
  <c r="BB323" i="9"/>
  <c r="BA322" i="9"/>
  <c r="AZ321" i="9"/>
  <c r="BD320" i="9"/>
  <c r="BF319" i="9"/>
  <c r="BI318" i="9"/>
  <c r="H435" i="9"/>
  <c r="BJ419" i="9"/>
  <c r="BI409" i="9"/>
  <c r="BC401" i="9"/>
  <c r="BD393" i="9"/>
  <c r="BN385" i="9"/>
  <c r="AS380" i="9"/>
  <c r="BX378" i="9"/>
  <c r="U377" i="9"/>
  <c r="BF375" i="9"/>
  <c r="R374" i="9"/>
  <c r="AN372" i="9"/>
  <c r="BS370" i="9"/>
  <c r="AI369" i="9"/>
  <c r="F368" i="9"/>
  <c r="AK366" i="9"/>
  <c r="D365" i="9"/>
  <c r="E364" i="9"/>
  <c r="B363" i="9"/>
  <c r="D362" i="9"/>
  <c r="E361" i="9"/>
  <c r="D360" i="9"/>
  <c r="BU358" i="9"/>
  <c r="BX357" i="9"/>
  <c r="BX356" i="9"/>
  <c r="A356" i="9"/>
  <c r="D355" i="9"/>
  <c r="C354" i="9"/>
  <c r="J353" i="9"/>
  <c r="O352" i="9"/>
  <c r="A351" i="9"/>
  <c r="BY349" i="9"/>
  <c r="C349" i="9"/>
  <c r="H348" i="9"/>
  <c r="Q347" i="9"/>
  <c r="V346" i="9"/>
  <c r="X345" i="9"/>
  <c r="K344" i="9"/>
  <c r="N343" i="9"/>
  <c r="S342" i="9"/>
  <c r="AA341" i="9"/>
  <c r="AC340" i="9"/>
  <c r="AF339" i="9"/>
  <c r="AA338" i="9"/>
  <c r="W337" i="9"/>
  <c r="AB336" i="9"/>
  <c r="AG335" i="9"/>
  <c r="AL334" i="9"/>
  <c r="AN333" i="9"/>
  <c r="AS332" i="9"/>
  <c r="AP331" i="9"/>
  <c r="AR330" i="9"/>
  <c r="AP329" i="9"/>
  <c r="AP328" i="9"/>
  <c r="AF327" i="9"/>
  <c r="G429" i="9"/>
  <c r="Z416" i="9"/>
  <c r="AW407" i="9"/>
  <c r="AT399" i="9"/>
  <c r="AN391" i="9"/>
  <c r="AS383" i="9"/>
  <c r="J380" i="9"/>
  <c r="AO378" i="9"/>
  <c r="BN376" i="9"/>
  <c r="AA375" i="9"/>
  <c r="BP373" i="9"/>
  <c r="H372" i="9"/>
  <c r="AN370" i="9"/>
  <c r="BY368" i="9"/>
  <c r="AV367" i="9"/>
  <c r="B366" i="9"/>
  <c r="BJ364" i="9"/>
  <c r="BK363" i="9"/>
  <c r="BH362" i="9"/>
  <c r="BI361" i="9"/>
  <c r="BK360" i="9"/>
  <c r="BG359" i="9"/>
  <c r="BB358" i="9"/>
  <c r="BB357" i="9"/>
  <c r="BD356" i="9"/>
  <c r="BH355" i="9"/>
  <c r="BJ354" i="9"/>
  <c r="BI353" i="9"/>
  <c r="BQ352" i="9"/>
  <c r="BP351" i="9"/>
  <c r="BG350" i="9"/>
  <c r="AU453" i="9"/>
  <c r="BP450" i="9"/>
  <c r="BA449" i="9"/>
  <c r="AV439" i="9"/>
  <c r="BG418" i="9"/>
  <c r="AA457" i="9"/>
  <c r="U447" i="9"/>
  <c r="AU439" i="9"/>
  <c r="AV431" i="9"/>
  <c r="BF423" i="9"/>
  <c r="AZ415" i="9"/>
  <c r="BP428" i="9"/>
  <c r="K416" i="9"/>
  <c r="AN407" i="9"/>
  <c r="AJ399" i="9"/>
  <c r="AD391" i="9"/>
  <c r="AJ383" i="9"/>
  <c r="AH429" i="9"/>
  <c r="AT416" i="9"/>
  <c r="BQ407" i="9"/>
  <c r="BO399" i="9"/>
  <c r="BG391" i="9"/>
  <c r="BN383" i="9"/>
  <c r="D428" i="9"/>
  <c r="U415" i="9"/>
  <c r="C407" i="9"/>
  <c r="BW398" i="9"/>
  <c r="BP390" i="9"/>
  <c r="BT382" i="9"/>
  <c r="BQ426" i="9"/>
  <c r="V414" i="9"/>
  <c r="AA406" i="9"/>
  <c r="S403" i="9"/>
  <c r="N400" i="9"/>
  <c r="AO397" i="9"/>
  <c r="F395" i="9"/>
  <c r="E392" i="9"/>
  <c r="AN389" i="9"/>
  <c r="H387" i="9"/>
  <c r="M384" i="9"/>
  <c r="AP381" i="9"/>
  <c r="BB452" i="9"/>
  <c r="AA431" i="9"/>
  <c r="R427" i="9"/>
  <c r="S423" i="9"/>
  <c r="AP418" i="9"/>
  <c r="AQ414" i="9"/>
  <c r="BQ411" i="9"/>
  <c r="BT409" i="9"/>
  <c r="BV407" i="9"/>
  <c r="H406" i="9"/>
  <c r="H404" i="9"/>
  <c r="E402" i="9"/>
  <c r="A401" i="9"/>
  <c r="E400" i="9"/>
  <c r="D399" i="9"/>
  <c r="D398" i="9"/>
  <c r="B397" i="9"/>
  <c r="C396" i="9"/>
  <c r="E395" i="9"/>
  <c r="C394" i="9"/>
  <c r="BV392" i="9"/>
  <c r="BT391" i="9"/>
  <c r="BX390" i="9"/>
  <c r="A390" i="9"/>
  <c r="A389" i="9"/>
  <c r="BY387" i="9"/>
  <c r="G387" i="9"/>
  <c r="N386" i="9"/>
  <c r="A385" i="9"/>
  <c r="D384" i="9"/>
  <c r="B383" i="9"/>
  <c r="E382" i="9"/>
  <c r="BR380" i="9"/>
  <c r="BX379" i="9"/>
  <c r="BW378" i="9"/>
  <c r="BQ377" i="9"/>
  <c r="BQ376" i="9"/>
  <c r="BX375" i="9"/>
  <c r="BY374" i="9"/>
  <c r="F374" i="9"/>
  <c r="BT372" i="9"/>
  <c r="BS371" i="9"/>
  <c r="BR370" i="9"/>
  <c r="C370" i="9"/>
  <c r="A369" i="9"/>
  <c r="E368" i="9"/>
  <c r="BN366" i="9"/>
  <c r="AY365" i="9"/>
  <c r="J465" i="9"/>
  <c r="AL452" i="9"/>
  <c r="AD444" i="9"/>
  <c r="AE436" i="9"/>
  <c r="J431" i="9"/>
  <c r="AP429" i="9"/>
  <c r="A428" i="9"/>
  <c r="AE426" i="9"/>
  <c r="BL424" i="9"/>
  <c r="N423" i="9"/>
  <c r="AX421" i="9"/>
  <c r="I420" i="9"/>
  <c r="AA418" i="9"/>
  <c r="BA416" i="9"/>
  <c r="P415" i="9"/>
  <c r="BS413" i="9"/>
  <c r="BN412" i="9"/>
  <c r="BP411" i="9"/>
  <c r="BS410" i="9"/>
  <c r="BS409" i="9"/>
  <c r="BS408" i="9"/>
  <c r="BU407" i="9"/>
  <c r="BY406" i="9"/>
  <c r="G406" i="9"/>
  <c r="G405" i="9"/>
  <c r="G404" i="9"/>
  <c r="H403" i="9"/>
  <c r="BQ401" i="9"/>
  <c r="BP400" i="9"/>
  <c r="BS399" i="9"/>
  <c r="BS398" i="9"/>
  <c r="BQ397" i="9"/>
  <c r="BQ396" i="9"/>
  <c r="BR395" i="9"/>
  <c r="BT394" i="9"/>
  <c r="BQ393" i="9"/>
  <c r="BK392" i="9"/>
  <c r="BK391" i="9"/>
  <c r="BM390" i="9"/>
  <c r="BO389" i="9"/>
  <c r="BQ388" i="9"/>
  <c r="BN387" i="9"/>
  <c r="BW386" i="9"/>
  <c r="E386" i="9"/>
  <c r="BP384" i="9"/>
  <c r="BR383" i="9"/>
  <c r="BQ382" i="9"/>
  <c r="BT381" i="9"/>
  <c r="BG380" i="9"/>
  <c r="BL379" i="9"/>
  <c r="BL378" i="9"/>
  <c r="BD377" i="9"/>
  <c r="BH376" i="9"/>
  <c r="BL375" i="9"/>
  <c r="BP374" i="9"/>
  <c r="BU373" i="9"/>
  <c r="BI372" i="9"/>
  <c r="BJ371" i="9"/>
  <c r="BI370" i="9"/>
  <c r="BQ369" i="9"/>
  <c r="AA468" i="9"/>
  <c r="BJ453" i="9"/>
  <c r="P445" i="9"/>
  <c r="W437" i="9"/>
  <c r="X431" i="9"/>
  <c r="BA429" i="9"/>
  <c r="K428" i="9"/>
  <c r="AP426" i="9"/>
  <c r="D425" i="9"/>
  <c r="AE423" i="9"/>
  <c r="BO421" i="9"/>
  <c r="T420" i="9"/>
  <c r="AK418" i="9"/>
  <c r="BP416" i="9"/>
  <c r="AC415" i="9"/>
  <c r="D414" i="9"/>
  <c r="BU412" i="9"/>
  <c r="A412" i="9"/>
  <c r="A411" i="9"/>
  <c r="C410" i="9"/>
  <c r="C409" i="9"/>
  <c r="C408" i="9"/>
  <c r="G407" i="9"/>
  <c r="N406" i="9"/>
  <c r="O405" i="9"/>
  <c r="N404" i="9"/>
  <c r="O403" i="9"/>
  <c r="C402" i="9"/>
  <c r="BX400" i="9"/>
  <c r="C400" i="9"/>
  <c r="B399" i="9"/>
  <c r="B398" i="9"/>
  <c r="BY396" i="9"/>
  <c r="A396" i="9"/>
  <c r="C395" i="9"/>
  <c r="A394" i="9"/>
  <c r="BT392" i="9"/>
  <c r="BR391" i="9"/>
  <c r="BT390" i="9"/>
  <c r="BX389" i="9"/>
  <c r="BX388" i="9"/>
  <c r="BW387" i="9"/>
  <c r="E387" i="9"/>
  <c r="L386" i="9"/>
  <c r="BX384" i="9"/>
  <c r="B384" i="9"/>
  <c r="BY382" i="9"/>
  <c r="C382" i="9"/>
  <c r="BP380" i="9"/>
  <c r="BU379" i="9"/>
  <c r="BS378" i="9"/>
  <c r="BO377" i="9"/>
  <c r="BO376" i="9"/>
  <c r="BU375" i="9"/>
  <c r="BW374" i="9"/>
  <c r="D374" i="9"/>
  <c r="BR372" i="9"/>
  <c r="BQ371" i="9"/>
  <c r="BP370" i="9"/>
  <c r="A370" i="9"/>
  <c r="BX368" i="9"/>
  <c r="C368" i="9"/>
  <c r="BK366" i="9"/>
  <c r="AW365" i="9"/>
  <c r="L438" i="9"/>
  <c r="AH420" i="9"/>
  <c r="K410" i="9"/>
  <c r="K402" i="9"/>
  <c r="H394" i="9"/>
  <c r="T386" i="9"/>
  <c r="BA380" i="9"/>
  <c r="B379" i="9"/>
  <c r="AA377" i="9"/>
  <c r="BP375" i="9"/>
  <c r="AA374" i="9"/>
  <c r="AT372" i="9"/>
  <c r="BW370" i="9"/>
  <c r="AL369" i="9"/>
  <c r="J368" i="9"/>
  <c r="AO366" i="9"/>
  <c r="H365" i="9"/>
  <c r="H364" i="9"/>
  <c r="E363" i="9"/>
  <c r="H362" i="9"/>
  <c r="I361" i="9"/>
  <c r="G360" i="9"/>
  <c r="BY358" i="9"/>
  <c r="B358" i="9"/>
  <c r="B357" i="9"/>
  <c r="D356" i="9"/>
  <c r="H355" i="9"/>
  <c r="F354" i="9"/>
  <c r="M353" i="9"/>
  <c r="R352" i="9"/>
  <c r="D351" i="9"/>
  <c r="C350" i="9"/>
  <c r="F349" i="9"/>
  <c r="K348" i="9"/>
  <c r="T347" i="9"/>
  <c r="AA346" i="9"/>
  <c r="AB345" i="9"/>
  <c r="N344" i="9"/>
  <c r="R343" i="9"/>
  <c r="W342" i="9"/>
  <c r="AD341" i="9"/>
  <c r="AF340" i="9"/>
  <c r="AI339" i="9"/>
  <c r="AD338" i="9"/>
  <c r="AB337" i="9"/>
  <c r="AE336" i="9"/>
  <c r="AJ335" i="9"/>
  <c r="AQ334" i="9"/>
  <c r="AQ333" i="9"/>
  <c r="AV332" i="9"/>
  <c r="AS331" i="9"/>
  <c r="AU330" i="9"/>
  <c r="AS329" i="9"/>
  <c r="AS328" i="9"/>
  <c r="AI327" i="9"/>
  <c r="AZ429" i="9"/>
  <c r="BL416" i="9"/>
  <c r="B408" i="9"/>
  <c r="B400" i="9"/>
  <c r="BQ391" i="9"/>
  <c r="A384" i="9"/>
  <c r="P380" i="9"/>
  <c r="AU378" i="9"/>
  <c r="BT376" i="9"/>
  <c r="AD375" i="9"/>
  <c r="BS373" i="9"/>
  <c r="N372" i="9"/>
  <c r="AT370" i="9"/>
  <c r="D369" i="9"/>
  <c r="AY367" i="9"/>
  <c r="G366" i="9"/>
  <c r="BN364" i="9"/>
  <c r="BN363" i="9"/>
  <c r="BK362" i="9"/>
  <c r="BL361" i="9"/>
  <c r="BN360" i="9"/>
  <c r="BK359" i="9"/>
  <c r="BF358" i="9"/>
  <c r="BF357" i="9"/>
  <c r="BH356" i="9"/>
  <c r="BK355" i="9"/>
  <c r="BM354" i="9"/>
  <c r="BL353" i="9"/>
  <c r="BT352" i="9"/>
  <c r="BY351" i="9"/>
  <c r="BK350" i="9"/>
  <c r="BK349" i="9"/>
  <c r="BK348" i="9"/>
  <c r="BQ347" i="9"/>
  <c r="C347" i="9"/>
  <c r="E346" i="9"/>
  <c r="I345" i="9"/>
  <c r="BT343" i="9"/>
  <c r="BY342" i="9"/>
  <c r="E342" i="9"/>
  <c r="H341" i="9"/>
  <c r="M340" i="9"/>
  <c r="K339" i="9"/>
  <c r="F338" i="9"/>
  <c r="G337" i="9"/>
  <c r="J336" i="9"/>
  <c r="R335" i="9"/>
  <c r="U334" i="9"/>
  <c r="Z333" i="9"/>
  <c r="AC332" i="9"/>
  <c r="AB331" i="9"/>
  <c r="AB330" i="9"/>
  <c r="AA329" i="9"/>
  <c r="P328" i="9"/>
  <c r="P327" i="9"/>
  <c r="U326" i="9"/>
  <c r="Z325" i="9"/>
  <c r="X324" i="9"/>
  <c r="AA323" i="9"/>
  <c r="AA322" i="9"/>
  <c r="K436" i="9"/>
  <c r="C420" i="9"/>
  <c r="BQ409" i="9"/>
  <c r="BO401" i="9"/>
  <c r="BO393" i="9"/>
  <c r="C386" i="9"/>
  <c r="AT380" i="9"/>
  <c r="BY378" i="9"/>
  <c r="V377" i="9"/>
  <c r="BH375" i="9"/>
  <c r="S374" i="9"/>
  <c r="AR372" i="9"/>
  <c r="BT370" i="9"/>
  <c r="AJ369" i="9"/>
  <c r="H368" i="9"/>
  <c r="AL366" i="9"/>
  <c r="E365" i="9"/>
  <c r="F364" i="9"/>
  <c r="C363" i="9"/>
  <c r="E362" i="9"/>
  <c r="F361" i="9"/>
  <c r="E360" i="9"/>
  <c r="BW358" i="9"/>
  <c r="BY357" i="9"/>
  <c r="BY356" i="9"/>
  <c r="B356" i="9"/>
  <c r="E355" i="9"/>
  <c r="D354" i="9"/>
  <c r="K353" i="9"/>
  <c r="P352" i="9"/>
  <c r="B351" i="9"/>
  <c r="A350" i="9"/>
  <c r="D349" i="9"/>
  <c r="I348" i="9"/>
  <c r="R347" i="9"/>
  <c r="W346" i="9"/>
  <c r="Z345" i="9"/>
  <c r="L344" i="9"/>
  <c r="O343" i="9"/>
  <c r="U342" i="9"/>
  <c r="AB341" i="9"/>
  <c r="AD340" i="9"/>
  <c r="AG339" i="9"/>
  <c r="AB338" i="9"/>
  <c r="Z337" i="9"/>
  <c r="AC336" i="9"/>
  <c r="AH335" i="9"/>
  <c r="AM334" i="9"/>
  <c r="AO333" i="9"/>
  <c r="AT332" i="9"/>
  <c r="AQ331" i="9"/>
  <c r="AS330" i="9"/>
  <c r="AQ329" i="9"/>
  <c r="AQ328" i="9"/>
  <c r="AG327" i="9"/>
  <c r="AM326" i="9"/>
  <c r="AP325" i="9"/>
  <c r="AO324" i="9"/>
  <c r="AR323" i="9"/>
  <c r="AQ322" i="9"/>
  <c r="AQ321" i="9"/>
  <c r="AR320" i="9"/>
  <c r="AS319" i="9"/>
  <c r="AY318" i="9"/>
  <c r="BR430" i="9"/>
  <c r="E418" i="9"/>
  <c r="BH408" i="9"/>
  <c r="BE400" i="9"/>
  <c r="AV392" i="9"/>
  <c r="BD384" i="9"/>
  <c r="AC380" i="9"/>
  <c r="BG378" i="9"/>
  <c r="D377" i="9"/>
  <c r="AN375" i="9"/>
  <c r="G374" i="9"/>
  <c r="AB372" i="9"/>
  <c r="BD370" i="9"/>
  <c r="O369" i="9"/>
  <c r="BP367" i="9"/>
  <c r="R366" i="9"/>
  <c r="BT364" i="9"/>
  <c r="BT363" i="9"/>
  <c r="BQ362" i="9"/>
  <c r="BR361" i="9"/>
  <c r="BT360" i="9"/>
  <c r="BR359" i="9"/>
  <c r="BL358" i="9"/>
  <c r="BN357" i="9"/>
  <c r="BN356" i="9"/>
  <c r="BQ355" i="9"/>
  <c r="BS354" i="9"/>
  <c r="BR353" i="9"/>
  <c r="B353" i="9"/>
  <c r="F352" i="9"/>
  <c r="BQ350" i="9"/>
  <c r="BQ349" i="9"/>
  <c r="BR348" i="9"/>
  <c r="BY347" i="9"/>
  <c r="I347" i="9"/>
  <c r="L346" i="9"/>
  <c r="O345" i="9"/>
  <c r="C344" i="9"/>
  <c r="F343" i="9"/>
  <c r="K342" i="9"/>
  <c r="N341" i="9"/>
  <c r="T340" i="9"/>
  <c r="R339" i="9"/>
  <c r="P338" i="9"/>
  <c r="M337" i="9"/>
  <c r="P336" i="9"/>
  <c r="X335" i="9"/>
  <c r="AC334" i="9"/>
  <c r="AF333" i="9"/>
  <c r="AI332" i="9"/>
  <c r="AH331" i="9"/>
  <c r="AH330" i="9"/>
  <c r="AG329" i="9"/>
  <c r="AB328" i="9"/>
  <c r="X327" i="9"/>
  <c r="AN427" i="9"/>
  <c r="BO414" i="9"/>
  <c r="BD406" i="9"/>
  <c r="AU398" i="9"/>
  <c r="AR390" i="9"/>
  <c r="AT382" i="9"/>
  <c r="BT379" i="9"/>
  <c r="AA378" i="9"/>
  <c r="BA376" i="9"/>
  <c r="K375" i="9"/>
  <c r="AS373" i="9"/>
  <c r="BP371" i="9"/>
  <c r="AC370" i="9"/>
  <c r="BM368" i="9"/>
  <c r="AK367" i="9"/>
  <c r="BO365" i="9"/>
  <c r="AZ364" i="9"/>
  <c r="AW363" i="9"/>
  <c r="AW362" i="9"/>
  <c r="AZ361" i="9"/>
  <c r="AU360" i="9"/>
  <c r="AU359" i="9"/>
  <c r="AR358" i="9"/>
  <c r="AR357" i="9"/>
  <c r="AT356" i="9"/>
  <c r="AW355" i="9"/>
  <c r="AV354" i="9"/>
  <c r="AX353" i="9"/>
  <c r="BI352" i="9"/>
  <c r="BH351" i="9"/>
  <c r="AV350" i="9"/>
  <c r="AW349" i="9"/>
  <c r="AW348" i="9"/>
  <c r="BE347" i="9"/>
  <c r="BP346" i="9"/>
  <c r="BS345" i="9"/>
  <c r="BV344" i="9"/>
  <c r="BH343" i="9"/>
  <c r="BM342" i="9"/>
  <c r="BS341" i="9"/>
  <c r="BT340" i="9"/>
  <c r="B340" i="9"/>
  <c r="BT338" i="9"/>
  <c r="BR337" i="9"/>
  <c r="BU336" i="9"/>
  <c r="BX335" i="9"/>
  <c r="G335" i="9"/>
  <c r="H334" i="9"/>
  <c r="M333" i="9"/>
  <c r="N332" i="9"/>
  <c r="L331" i="9"/>
  <c r="O330" i="9"/>
  <c r="L329" i="9"/>
  <c r="C328" i="9"/>
  <c r="E327" i="9"/>
  <c r="I326" i="9"/>
  <c r="K325" i="9"/>
  <c r="H324" i="9"/>
  <c r="N323" i="9"/>
  <c r="M322" i="9"/>
  <c r="M321" i="9"/>
  <c r="O320" i="9"/>
  <c r="P319" i="9"/>
  <c r="V318" i="9"/>
  <c r="R444" i="9"/>
  <c r="U443" i="9"/>
  <c r="L442" i="9"/>
  <c r="AW436" i="9"/>
  <c r="BE416" i="9"/>
  <c r="BS455" i="9"/>
  <c r="Z446" i="9"/>
  <c r="AV438" i="9"/>
  <c r="AY430" i="9"/>
  <c r="BG422" i="9"/>
  <c r="AZ414" i="9"/>
  <c r="W427" i="9"/>
  <c r="AW414" i="9"/>
  <c r="AT406" i="9"/>
  <c r="AL398" i="9"/>
  <c r="AG390" i="9"/>
  <c r="AJ382" i="9"/>
  <c r="BQ427" i="9"/>
  <c r="K415" i="9"/>
  <c r="BS406" i="9"/>
  <c r="BO398" i="9"/>
  <c r="BI390" i="9"/>
  <c r="BM382" i="9"/>
  <c r="AL426" i="9"/>
  <c r="BV413" i="9"/>
  <c r="J406" i="9"/>
  <c r="BT397" i="9"/>
  <c r="BR389" i="9"/>
  <c r="G484" i="9"/>
  <c r="W425" i="9"/>
  <c r="I413" i="9"/>
  <c r="AD405" i="9"/>
  <c r="BE402" i="9"/>
  <c r="F400" i="9"/>
  <c r="L397" i="9"/>
  <c r="AT394" i="9"/>
  <c r="BU391" i="9"/>
  <c r="K389" i="9"/>
  <c r="AV386" i="9"/>
  <c r="E384" i="9"/>
  <c r="D381" i="9"/>
  <c r="L448" i="9"/>
  <c r="N431" i="9"/>
  <c r="AU426" i="9"/>
  <c r="AL422" i="9"/>
  <c r="AB418" i="9"/>
  <c r="F414" i="9"/>
  <c r="AV411" i="9"/>
  <c r="BC409" i="9"/>
  <c r="BD407" i="9"/>
  <c r="BN405" i="9"/>
  <c r="BP403" i="9"/>
  <c r="BR401" i="9"/>
  <c r="BQ400" i="9"/>
  <c r="BT399" i="9"/>
  <c r="BT398" i="9"/>
  <c r="BR397" i="9"/>
  <c r="BR396" i="9"/>
  <c r="BS395" i="9"/>
  <c r="BU394" i="9"/>
  <c r="BR393" i="9"/>
  <c r="BL392" i="9"/>
  <c r="BL391" i="9"/>
  <c r="BN390" i="9"/>
  <c r="BP389" i="9"/>
  <c r="BR388" i="9"/>
  <c r="BO387" i="9"/>
  <c r="BX386" i="9"/>
  <c r="F386" i="9"/>
  <c r="BQ384" i="9"/>
  <c r="BS383" i="9"/>
  <c r="BR382" i="9"/>
  <c r="BU381" i="9"/>
  <c r="BI380" i="9"/>
  <c r="BO379" i="9"/>
  <c r="BM378" i="9"/>
  <c r="BG377" i="9"/>
  <c r="BI376" i="9"/>
  <c r="BO375" i="9"/>
  <c r="BQ374" i="9"/>
  <c r="BV373" i="9"/>
  <c r="BK372" i="9"/>
  <c r="BK371" i="9"/>
  <c r="BJ370" i="9"/>
  <c r="BR369" i="9"/>
  <c r="BQ368" i="9"/>
  <c r="BS367" i="9"/>
  <c r="AX366" i="9"/>
  <c r="AQ365" i="9"/>
  <c r="AS463" i="9"/>
  <c r="F451" i="9"/>
  <c r="AH443" i="9"/>
  <c r="AD435" i="9"/>
  <c r="BX430" i="9"/>
  <c r="AA429" i="9"/>
  <c r="BG427" i="9"/>
  <c r="M426" i="9"/>
  <c r="AV424" i="9"/>
  <c r="C423" i="9"/>
  <c r="AJ421" i="9"/>
  <c r="BL419" i="9"/>
  <c r="G418" i="9"/>
  <c r="AP416" i="9"/>
  <c r="E415" i="9"/>
  <c r="BE413" i="9"/>
  <c r="BF412" i="9"/>
  <c r="BG411" i="9"/>
  <c r="BJ410" i="9"/>
  <c r="BK409" i="9"/>
  <c r="BJ408" i="9"/>
  <c r="BL407" i="9"/>
  <c r="BO406" i="9"/>
  <c r="BX405" i="9"/>
  <c r="BV404" i="9"/>
  <c r="BX403" i="9"/>
  <c r="BY402" i="9"/>
  <c r="BG401" i="9"/>
  <c r="BG400" i="9"/>
  <c r="BI399" i="9"/>
  <c r="BH398" i="9"/>
  <c r="BF397" i="9"/>
  <c r="BG396" i="9"/>
  <c r="BH395" i="9"/>
  <c r="BK394" i="9"/>
  <c r="BI393" i="9"/>
  <c r="AZ392" i="9"/>
  <c r="BA391" i="9"/>
  <c r="BD390" i="9"/>
  <c r="BD389" i="9"/>
  <c r="BE388" i="9"/>
  <c r="BE387" i="9"/>
  <c r="BM386" i="9"/>
  <c r="BP385" i="9"/>
  <c r="BF384" i="9"/>
  <c r="BI383" i="9"/>
  <c r="BG382" i="9"/>
  <c r="BJ381" i="9"/>
  <c r="AW380" i="9"/>
  <c r="AZ379" i="9"/>
  <c r="BB378" i="9"/>
  <c r="AS377" i="9"/>
  <c r="AW376" i="9"/>
  <c r="AZ375" i="9"/>
  <c r="BH374" i="9"/>
  <c r="BK373" i="9"/>
  <c r="AY372" i="9"/>
  <c r="AV371" i="9"/>
  <c r="AY370" i="9"/>
  <c r="BH369" i="9"/>
  <c r="BS464" i="9"/>
  <c r="X452" i="9"/>
  <c r="T444" i="9"/>
  <c r="U436" i="9"/>
  <c r="I431" i="9"/>
  <c r="AL429" i="9"/>
  <c r="BY427" i="9"/>
  <c r="AD426" i="9"/>
  <c r="BK424" i="9"/>
  <c r="M423" i="9"/>
  <c r="AT421" i="9"/>
  <c r="H420" i="9"/>
  <c r="W418" i="9"/>
  <c r="AZ416" i="9"/>
  <c r="N415" i="9"/>
  <c r="BR413" i="9"/>
  <c r="BM412" i="9"/>
  <c r="BO411" i="9"/>
  <c r="BR410" i="9"/>
  <c r="BR409" i="9"/>
  <c r="BR408" i="9"/>
  <c r="BT407" i="9"/>
  <c r="BX406" i="9"/>
  <c r="F406" i="9"/>
  <c r="F405" i="9"/>
  <c r="F404" i="9"/>
  <c r="G403" i="9"/>
  <c r="BP401" i="9"/>
  <c r="BO400" i="9"/>
  <c r="BR399" i="9"/>
  <c r="BR398" i="9"/>
  <c r="BP397" i="9"/>
  <c r="BP396" i="9"/>
  <c r="BQ395" i="9"/>
  <c r="BS394" i="9"/>
  <c r="BP393" i="9"/>
  <c r="BJ392" i="9"/>
  <c r="BJ391" i="9"/>
  <c r="BL390" i="9"/>
  <c r="BN389" i="9"/>
  <c r="BP388" i="9"/>
  <c r="BM387" i="9"/>
  <c r="BT386" i="9"/>
  <c r="D386" i="9"/>
  <c r="BO384" i="9"/>
  <c r="BQ383" i="9"/>
  <c r="BP382" i="9"/>
  <c r="BS381" i="9"/>
  <c r="BF380" i="9"/>
  <c r="BK379" i="9"/>
  <c r="BK378" i="9"/>
  <c r="BC377" i="9"/>
  <c r="BG376" i="9"/>
  <c r="BK375" i="9"/>
  <c r="BO374" i="9"/>
  <c r="BT373" i="9"/>
  <c r="BH372" i="9"/>
  <c r="BI371" i="9"/>
  <c r="BG370" i="9"/>
  <c r="BP369" i="9"/>
  <c r="BO368" i="9"/>
  <c r="BQ367" i="9"/>
  <c r="AV366" i="9"/>
  <c r="AO365" i="9"/>
  <c r="AJ431" i="9"/>
  <c r="AX418" i="9"/>
  <c r="L409" i="9"/>
  <c r="F401" i="9"/>
  <c r="C393" i="9"/>
  <c r="F385" i="9"/>
  <c r="AJ380" i="9"/>
  <c r="BN378" i="9"/>
  <c r="K377" i="9"/>
  <c r="AT375" i="9"/>
  <c r="J374" i="9"/>
  <c r="AE372" i="9"/>
  <c r="BK370" i="9"/>
  <c r="W369" i="9"/>
  <c r="BW367" i="9"/>
  <c r="U366" i="9"/>
  <c r="BX364" i="9"/>
  <c r="BY363" i="9"/>
  <c r="BT362" i="9"/>
  <c r="BU361" i="9"/>
  <c r="BY360" i="9"/>
  <c r="BX359" i="9"/>
  <c r="BP358" i="9"/>
  <c r="BQ357" i="9"/>
  <c r="BQ356" i="9"/>
  <c r="BT355" i="9"/>
  <c r="BX354" i="9"/>
  <c r="BW353" i="9"/>
  <c r="E353" i="9"/>
  <c r="J352" i="9"/>
  <c r="BT350" i="9"/>
  <c r="BT349" i="9"/>
  <c r="BW348" i="9"/>
  <c r="C348" i="9"/>
  <c r="L347" i="9"/>
  <c r="O346" i="9"/>
  <c r="R345" i="9"/>
  <c r="F344" i="9"/>
  <c r="I343" i="9"/>
  <c r="N342" i="9"/>
  <c r="R341" i="9"/>
  <c r="W340" i="9"/>
  <c r="V339" i="9"/>
  <c r="T338" i="9"/>
  <c r="P337" i="9"/>
  <c r="U336" i="9"/>
  <c r="AB335" i="9"/>
  <c r="AF334" i="9"/>
  <c r="AI333" i="9"/>
  <c r="AN332" i="9"/>
  <c r="AK331" i="9"/>
  <c r="AM330" i="9"/>
  <c r="AJ329" i="9"/>
  <c r="AG328" i="9"/>
  <c r="AA327" i="9"/>
  <c r="J428" i="9"/>
  <c r="AB415" i="9"/>
  <c r="F407" i="9"/>
  <c r="A399" i="9"/>
  <c r="BS390" i="9"/>
  <c r="BX382" i="9"/>
  <c r="B380" i="9"/>
  <c r="AE378" i="9"/>
  <c r="BF376" i="9"/>
  <c r="Q375" i="9"/>
  <c r="BA373" i="9"/>
  <c r="BY371" i="9"/>
  <c r="AF370" i="9"/>
  <c r="BR368" i="9"/>
  <c r="AO367" i="9"/>
  <c r="BR365" i="9"/>
  <c r="BE364" i="9"/>
  <c r="BC363" i="9"/>
  <c r="BB362" i="9"/>
  <c r="BC361" i="9"/>
  <c r="AX360" i="9"/>
  <c r="AX359" i="9"/>
  <c r="AU358" i="9"/>
  <c r="AU357" i="9"/>
  <c r="AW356" i="9"/>
  <c r="BB355" i="9"/>
  <c r="AZ354" i="9"/>
  <c r="BC353" i="9"/>
  <c r="BL352" i="9"/>
  <c r="BK351" i="9"/>
  <c r="BA350" i="9"/>
  <c r="BA349" i="9"/>
  <c r="BA348" i="9"/>
  <c r="BI347" i="9"/>
  <c r="BS346" i="9"/>
  <c r="BV345" i="9"/>
  <c r="A345" i="9"/>
  <c r="BK343" i="9"/>
  <c r="BP342" i="9"/>
  <c r="BV341" i="9"/>
  <c r="BY340" i="9"/>
  <c r="E340" i="9"/>
  <c r="BY338" i="9"/>
  <c r="BU337" i="9"/>
  <c r="BX336" i="9"/>
  <c r="B336" i="9"/>
  <c r="J335" i="9"/>
  <c r="K334" i="9"/>
  <c r="P333" i="9"/>
  <c r="R332" i="9"/>
  <c r="P331" i="9"/>
  <c r="R330" i="9"/>
  <c r="O329" i="9"/>
  <c r="F328" i="9"/>
  <c r="H327" i="9"/>
  <c r="L326" i="9"/>
  <c r="N325" i="9"/>
  <c r="M324" i="9"/>
  <c r="Q323" i="9"/>
  <c r="P322" i="9"/>
  <c r="H431" i="9"/>
  <c r="V418" i="9"/>
  <c r="BQ408" i="9"/>
  <c r="BN400" i="9"/>
  <c r="BI392" i="9"/>
  <c r="BM384" i="9"/>
  <c r="AD380" i="9"/>
  <c r="BI378" i="9"/>
  <c r="E377" i="9"/>
  <c r="AR375" i="9"/>
  <c r="H374" i="9"/>
  <c r="AC372" i="9"/>
  <c r="BE370" i="9"/>
  <c r="P369" i="9"/>
  <c r="BR367" i="9"/>
  <c r="S366" i="9"/>
  <c r="BU364" i="9"/>
  <c r="BW363" i="9"/>
  <c r="BR362" i="9"/>
  <c r="BS361" i="9"/>
  <c r="BW360" i="9"/>
  <c r="BS359" i="9"/>
  <c r="BN358" i="9"/>
  <c r="BO357" i="9"/>
  <c r="BO356" i="9"/>
  <c r="BR355" i="9"/>
  <c r="BT354" i="9"/>
  <c r="BS353" i="9"/>
  <c r="C353" i="9"/>
  <c r="H352" i="9"/>
  <c r="BR350" i="9"/>
  <c r="BR349" i="9"/>
  <c r="BS348" i="9"/>
  <c r="A348" i="9"/>
  <c r="J347" i="9"/>
  <c r="M346" i="9"/>
  <c r="P345" i="9"/>
  <c r="D344" i="9"/>
  <c r="G343" i="9"/>
  <c r="L342" i="9"/>
  <c r="O341" i="9"/>
  <c r="U340" i="9"/>
  <c r="T339" i="9"/>
  <c r="R338" i="9"/>
  <c r="N337" i="9"/>
  <c r="R336" i="9"/>
  <c r="Z335" i="9"/>
  <c r="AD334" i="9"/>
  <c r="AG333" i="9"/>
  <c r="AL332" i="9"/>
  <c r="AI331" i="9"/>
  <c r="AI330" i="9"/>
  <c r="AH329" i="9"/>
  <c r="AC328" i="9"/>
  <c r="Y327" i="9"/>
  <c r="AC326" i="9"/>
  <c r="AG325" i="9"/>
  <c r="AG324" i="9"/>
  <c r="AH323" i="9"/>
  <c r="AH322" i="9"/>
  <c r="AI321" i="9"/>
  <c r="AI320" i="9"/>
  <c r="AJ319" i="9"/>
  <c r="AP318" i="9"/>
  <c r="W429" i="9"/>
  <c r="AK416" i="9"/>
  <c r="BJ407" i="9"/>
  <c r="BF399" i="9"/>
  <c r="AY391" i="9"/>
  <c r="BD383" i="9"/>
  <c r="K380" i="9"/>
  <c r="AP378" i="9"/>
  <c r="BR376" i="9"/>
  <c r="AB375" i="9"/>
  <c r="BQ373" i="9"/>
  <c r="I372" i="9"/>
  <c r="AO370" i="9"/>
  <c r="B369" i="9"/>
  <c r="AW367" i="9"/>
  <c r="C366" i="9"/>
  <c r="BK364" i="9"/>
  <c r="BL363" i="9"/>
  <c r="BI362" i="9"/>
  <c r="BJ361" i="9"/>
  <c r="BL360" i="9"/>
  <c r="BI359" i="9"/>
  <c r="BC358" i="9"/>
  <c r="BC357" i="9"/>
  <c r="BF356" i="9"/>
  <c r="BI355" i="9"/>
  <c r="BK354" i="9"/>
  <c r="BJ353" i="9"/>
  <c r="BR352" i="9"/>
  <c r="BU351" i="9"/>
  <c r="BI350" i="9"/>
  <c r="BI349" i="9"/>
  <c r="BI348" i="9"/>
  <c r="BO347" i="9"/>
  <c r="A347" i="9"/>
  <c r="C346" i="9"/>
  <c r="G345" i="9"/>
  <c r="BR343" i="9"/>
  <c r="BV342" i="9"/>
  <c r="C342" i="9"/>
  <c r="F341" i="9"/>
  <c r="K340" i="9"/>
  <c r="F339" i="9"/>
  <c r="D338" i="9"/>
  <c r="E337" i="9"/>
  <c r="H336" i="9"/>
  <c r="P335" i="9"/>
  <c r="Q334" i="9"/>
  <c r="W333" i="9"/>
  <c r="AA332" i="9"/>
  <c r="X331" i="9"/>
  <c r="Z330" i="9"/>
  <c r="X329" i="9"/>
  <c r="N328" i="9"/>
  <c r="N327" i="9"/>
  <c r="BU425" i="9"/>
  <c r="AO413" i="9"/>
  <c r="BK405" i="9"/>
  <c r="AS397" i="9"/>
  <c r="AR389" i="9"/>
  <c r="BX381" i="9"/>
  <c r="BE379" i="9"/>
  <c r="E378" i="9"/>
  <c r="AL376" i="9"/>
  <c r="BV374" i="9"/>
  <c r="AE373" i="9"/>
  <c r="AZ371" i="9"/>
  <c r="O370" i="9"/>
  <c r="BB368" i="9"/>
  <c r="W367" i="9"/>
  <c r="AX365" i="9"/>
  <c r="AQ364" i="9"/>
  <c r="AO363" i="9"/>
  <c r="AO362" i="9"/>
  <c r="AP361" i="9"/>
  <c r="AM360" i="9"/>
  <c r="AM359" i="9"/>
  <c r="AH358" i="9"/>
  <c r="AH357" i="9"/>
  <c r="AL356" i="9"/>
  <c r="AO355" i="9"/>
  <c r="AN354" i="9"/>
  <c r="AP353" i="9"/>
  <c r="AZ352" i="9"/>
  <c r="AU351" i="9"/>
  <c r="AN350" i="9"/>
  <c r="AM349" i="9"/>
  <c r="AO348" i="9"/>
  <c r="AV347" i="9"/>
  <c r="BH346" i="9"/>
  <c r="BJ345" i="9"/>
  <c r="BL344" i="9"/>
  <c r="AW343" i="9"/>
  <c r="BE342" i="9"/>
  <c r="BJ341" i="9"/>
  <c r="BK340" i="9"/>
  <c r="BQ339" i="9"/>
  <c r="BK338" i="9"/>
  <c r="BI337" i="9"/>
  <c r="BM336" i="9"/>
  <c r="BP335" i="9"/>
  <c r="BX334" i="9"/>
  <c r="BY333" i="9"/>
  <c r="E333" i="9"/>
  <c r="E332" i="9"/>
  <c r="C331" i="9"/>
  <c r="F330" i="9"/>
  <c r="D329" i="9"/>
  <c r="BQ327" i="9"/>
  <c r="BT326" i="9"/>
  <c r="BY325" i="9"/>
  <c r="C325" i="9"/>
  <c r="BY323" i="9"/>
  <c r="E323" i="9"/>
  <c r="E322" i="9"/>
  <c r="D321" i="9"/>
  <c r="G320" i="9"/>
  <c r="H319" i="9"/>
  <c r="BP459" i="9"/>
  <c r="T436" i="9"/>
  <c r="AU429" i="9"/>
  <c r="AJ381" i="9"/>
  <c r="BQ412" i="9"/>
  <c r="O402" i="9"/>
  <c r="BS380" i="9"/>
  <c r="AI409" i="9"/>
  <c r="BG397" i="9"/>
  <c r="BF389" i="9"/>
  <c r="BK381" i="9"/>
  <c r="BL373" i="9"/>
  <c r="AI365" i="9"/>
  <c r="B426" i="9"/>
  <c r="AQ413" i="9"/>
  <c r="BM405" i="9"/>
  <c r="AU397" i="9"/>
  <c r="AT389" i="9"/>
  <c r="AV381" i="9"/>
  <c r="AV373" i="9"/>
  <c r="S435" i="9"/>
  <c r="BK419" i="9"/>
  <c r="BJ409" i="9"/>
  <c r="BD401" i="9"/>
  <c r="BG393" i="9"/>
  <c r="BO385" i="9"/>
  <c r="AR377" i="9"/>
  <c r="BG369" i="9"/>
  <c r="J400" i="9"/>
  <c r="O372" i="9"/>
  <c r="BM361" i="9"/>
  <c r="BM353" i="9"/>
  <c r="F346" i="9"/>
  <c r="G338" i="9"/>
  <c r="AC330" i="9"/>
  <c r="BU389" i="9"/>
  <c r="U370" i="9"/>
  <c r="AP360" i="9"/>
  <c r="BC352" i="9"/>
  <c r="BQ344" i="9"/>
  <c r="BP336" i="9"/>
  <c r="G329" i="9"/>
  <c r="AJ429" i="9"/>
  <c r="BS376" i="9"/>
  <c r="BL364" i="9"/>
  <c r="BG356" i="9"/>
  <c r="BJ348" i="9"/>
  <c r="G341" i="9"/>
  <c r="Y333" i="9"/>
  <c r="W325" i="9"/>
  <c r="BE427" i="9"/>
  <c r="BD376" i="9"/>
  <c r="BA364" i="9"/>
  <c r="AU356" i="9"/>
  <c r="AY348" i="9"/>
  <c r="BW340" i="9"/>
  <c r="N333" i="9"/>
  <c r="AS412" i="9"/>
  <c r="BK374" i="9"/>
  <c r="AG363" i="9"/>
  <c r="AE355" i="9"/>
  <c r="S349" i="9"/>
  <c r="AW346" i="9"/>
  <c r="BQ343" i="9"/>
  <c r="AQ341" i="9"/>
  <c r="E339" i="9"/>
  <c r="D337" i="9"/>
  <c r="O335" i="9"/>
  <c r="V333" i="9"/>
  <c r="W331" i="9"/>
  <c r="W329" i="9"/>
  <c r="M327" i="9"/>
  <c r="U325" i="9"/>
  <c r="W323" i="9"/>
  <c r="W321" i="9"/>
  <c r="Z319" i="9"/>
  <c r="AN430" i="9"/>
  <c r="AV417" i="9"/>
  <c r="AO408" i="9"/>
  <c r="AL400" i="9"/>
  <c r="AC392" i="9"/>
  <c r="AI384" i="9"/>
  <c r="V380" i="9"/>
  <c r="BD378" i="9"/>
  <c r="B377" i="9"/>
  <c r="AL375" i="9"/>
  <c r="B374" i="9"/>
  <c r="U372" i="9"/>
  <c r="BA370" i="9"/>
  <c r="M369" i="9"/>
  <c r="BN367" i="9"/>
  <c r="M366" i="9"/>
  <c r="BR364" i="9"/>
  <c r="BR363" i="9"/>
  <c r="BO362" i="9"/>
  <c r="BP361" i="9"/>
  <c r="BR360" i="9"/>
  <c r="BP359" i="9"/>
  <c r="BJ358" i="9"/>
  <c r="BL357" i="9"/>
  <c r="BL356" i="9"/>
  <c r="BO355" i="9"/>
  <c r="BQ354" i="9"/>
  <c r="BP353" i="9"/>
  <c r="BY352" i="9"/>
  <c r="D352" i="9"/>
  <c r="BO350" i="9"/>
  <c r="BO349" i="9"/>
  <c r="BP348" i="9"/>
  <c r="BW347" i="9"/>
  <c r="G347" i="9"/>
  <c r="J346" i="9"/>
  <c r="M345" i="9"/>
  <c r="BY343" i="9"/>
  <c r="D343" i="9"/>
  <c r="I342" i="9"/>
  <c r="L341" i="9"/>
  <c r="Q340" i="9"/>
  <c r="O339" i="9"/>
  <c r="M338" i="9"/>
  <c r="K337" i="9"/>
  <c r="N336" i="9"/>
  <c r="V335" i="9"/>
  <c r="AA334" i="9"/>
  <c r="AD333" i="9"/>
  <c r="AG332" i="9"/>
  <c r="AF331" i="9"/>
  <c r="AF330" i="9"/>
  <c r="AE329" i="9"/>
  <c r="Z328" i="9"/>
  <c r="V327" i="9"/>
  <c r="Z326" i="9"/>
  <c r="AD325" i="9"/>
  <c r="AD324" i="9"/>
  <c r="AE323" i="9"/>
  <c r="AE322" i="9"/>
  <c r="AF321" i="9"/>
  <c r="AF320" i="9"/>
  <c r="AG319" i="9"/>
  <c r="AM318" i="9"/>
  <c r="AS425" i="9"/>
  <c r="W413" i="9"/>
  <c r="AP405" i="9"/>
  <c r="AA397" i="9"/>
  <c r="Z389" i="9"/>
  <c r="BP381" i="9"/>
  <c r="AV379" i="9"/>
  <c r="C378" i="9"/>
  <c r="AI376" i="9"/>
  <c r="BT374" i="9"/>
  <c r="W373" i="9"/>
  <c r="AT371" i="9"/>
  <c r="M370" i="9"/>
  <c r="AW368" i="9"/>
  <c r="T367" i="9"/>
  <c r="AU365" i="9"/>
  <c r="AM364" i="9"/>
  <c r="AM363" i="9"/>
  <c r="AM362" i="9"/>
  <c r="AN361" i="9"/>
  <c r="AK360" i="9"/>
  <c r="AK359" i="9"/>
  <c r="AF358" i="9"/>
  <c r="AF357" i="9"/>
  <c r="AH356" i="9"/>
  <c r="AM355" i="9"/>
  <c r="AL354" i="9"/>
  <c r="AN353" i="9"/>
  <c r="AV352" i="9"/>
  <c r="AS351" i="9"/>
  <c r="AL350" i="9"/>
  <c r="AJ349" i="9"/>
  <c r="AM348" i="9"/>
  <c r="AT347" i="9"/>
  <c r="BF346" i="9"/>
  <c r="BH345" i="9"/>
  <c r="BH344" i="9"/>
  <c r="AU343" i="9"/>
  <c r="BA342" i="9"/>
  <c r="BH341" i="9"/>
  <c r="BI340" i="9"/>
  <c r="BO339" i="9"/>
  <c r="BI338" i="9"/>
  <c r="BG337" i="9"/>
  <c r="BK336" i="9"/>
  <c r="BN335" i="9"/>
  <c r="BU334" i="9"/>
  <c r="BW333" i="9"/>
  <c r="C333" i="9"/>
  <c r="C332" i="9"/>
  <c r="A331" i="9"/>
  <c r="D330" i="9"/>
  <c r="B329" i="9"/>
  <c r="BO327" i="9"/>
  <c r="BR326" i="9"/>
  <c r="BV325" i="9"/>
  <c r="A325" i="9"/>
  <c r="BW323" i="9"/>
  <c r="C323" i="9"/>
  <c r="C322" i="9"/>
  <c r="B321" i="9"/>
  <c r="E320" i="9"/>
  <c r="F319" i="9"/>
  <c r="BF456" i="9"/>
  <c r="BJ377" i="9"/>
  <c r="AJ365" i="9"/>
  <c r="V357" i="9"/>
  <c r="AA349" i="9"/>
  <c r="AV341" i="9"/>
  <c r="BK333" i="9"/>
  <c r="BD326" i="9"/>
  <c r="E324" i="9"/>
  <c r="AP321" i="9"/>
  <c r="AR319" i="9"/>
  <c r="BY317" i="9"/>
  <c r="BN316" i="9"/>
  <c r="BW315" i="9"/>
  <c r="A315" i="9"/>
  <c r="D314" i="9"/>
  <c r="F313" i="9"/>
  <c r="H312" i="9"/>
  <c r="I311" i="9"/>
  <c r="A310" i="9"/>
  <c r="C309" i="9"/>
  <c r="B308" i="9"/>
  <c r="B307" i="9"/>
  <c r="BR305" i="9"/>
  <c r="BP304" i="9"/>
  <c r="BP303" i="9"/>
  <c r="BS302" i="9"/>
  <c r="A302" i="9"/>
  <c r="BX300" i="9"/>
  <c r="BP299" i="9"/>
  <c r="BF298" i="9"/>
  <c r="AR297" i="9"/>
  <c r="AY296" i="9"/>
  <c r="BC295" i="9"/>
  <c r="AW294" i="9"/>
  <c r="BB293" i="9"/>
  <c r="AV292" i="9"/>
  <c r="AZ291" i="9"/>
  <c r="AV290" i="9"/>
  <c r="AT289" i="9"/>
  <c r="BA288" i="9"/>
  <c r="AV287" i="9"/>
  <c r="BA286" i="9"/>
  <c r="BH285" i="9"/>
  <c r="BK284" i="9"/>
  <c r="BI283" i="9"/>
  <c r="BF282" i="9"/>
  <c r="BF281" i="9"/>
  <c r="BG280" i="9"/>
  <c r="BA279" i="9"/>
  <c r="AW278" i="9"/>
  <c r="AW277" i="9"/>
  <c r="AR276" i="9"/>
  <c r="AA275" i="9"/>
  <c r="AC274" i="9"/>
  <c r="AC273" i="9"/>
  <c r="AG272" i="9"/>
  <c r="AO271" i="9"/>
  <c r="P270" i="9"/>
  <c r="L269" i="9"/>
  <c r="L268" i="9"/>
  <c r="G267" i="9"/>
  <c r="BU265" i="9"/>
  <c r="BY264" i="9"/>
  <c r="S411" i="9"/>
  <c r="AQ374" i="9"/>
  <c r="S363" i="9"/>
  <c r="R355" i="9"/>
  <c r="AC347" i="9"/>
  <c r="AR339" i="9"/>
  <c r="BG331" i="9"/>
  <c r="D326" i="9"/>
  <c r="AG323" i="9"/>
  <c r="A321" i="9"/>
  <c r="E319" i="9"/>
  <c r="BA317" i="9"/>
  <c r="AT316" i="9"/>
  <c r="BA315" i="9"/>
  <c r="BH314" i="9"/>
  <c r="BK313" i="9"/>
  <c r="BL312" i="9"/>
  <c r="BO311" i="9"/>
  <c r="BP310" i="9"/>
  <c r="BF309" i="9"/>
  <c r="BG308" i="9"/>
  <c r="BG307" i="9"/>
  <c r="AW306" i="9"/>
  <c r="AR305" i="9"/>
  <c r="AR304" i="9"/>
  <c r="AV303" i="9"/>
  <c r="AZ302" i="9"/>
  <c r="AZ301" i="9"/>
  <c r="BC300" i="9"/>
  <c r="AR299" i="9"/>
  <c r="AL298" i="9"/>
  <c r="Z297" i="9"/>
  <c r="AD296" i="9"/>
  <c r="AH295" i="9"/>
  <c r="AE294" i="9"/>
  <c r="AG293" i="9"/>
  <c r="AC292" i="9"/>
  <c r="AE291" i="9"/>
  <c r="AC290" i="9"/>
  <c r="AC289" i="9"/>
  <c r="AF288" i="9"/>
  <c r="AD287" i="9"/>
  <c r="AI286" i="9"/>
  <c r="AN285" i="9"/>
  <c r="AM284" i="9"/>
  <c r="AM283" i="9"/>
  <c r="AH282" i="9"/>
  <c r="AL281" i="9"/>
  <c r="AK280" i="9"/>
  <c r="AE279" i="9"/>
  <c r="AE278" i="9"/>
  <c r="AE277" i="9"/>
  <c r="M276" i="9"/>
  <c r="H275" i="9"/>
  <c r="I274" i="9"/>
  <c r="H273" i="9"/>
  <c r="N272" i="9"/>
  <c r="N271" i="9"/>
  <c r="BT269" i="9"/>
  <c r="BS268" i="9"/>
  <c r="BT267" i="9"/>
  <c r="BO266" i="9"/>
  <c r="BC265" i="9"/>
  <c r="BE264" i="9"/>
  <c r="Z402" i="9"/>
  <c r="AU372" i="9"/>
  <c r="I362" i="9"/>
  <c r="G354" i="9"/>
  <c r="AB346" i="9"/>
  <c r="AE338" i="9"/>
  <c r="AV330" i="9"/>
  <c r="BA325" i="9"/>
  <c r="F323" i="9"/>
  <c r="BF320" i="9"/>
  <c r="BK318" i="9"/>
  <c r="AN317" i="9"/>
  <c r="AK316" i="9"/>
  <c r="AP315" i="9"/>
  <c r="AV314" i="9"/>
  <c r="AW313" i="9"/>
  <c r="AZ312" i="9"/>
  <c r="BA311" i="9"/>
  <c r="BD310" i="9"/>
  <c r="AS309" i="9"/>
  <c r="AS308" i="9"/>
  <c r="AT307" i="9"/>
  <c r="AN306" i="9"/>
  <c r="AH305" i="9"/>
  <c r="AH304" i="9"/>
  <c r="AM303" i="9"/>
  <c r="AP302" i="9"/>
  <c r="AO301" i="9"/>
  <c r="AR300" i="9"/>
  <c r="AA299" i="9"/>
  <c r="R298" i="9"/>
  <c r="O297" i="9"/>
  <c r="S296" i="9"/>
  <c r="U295" i="9"/>
  <c r="S294" i="9"/>
  <c r="W293" i="9"/>
  <c r="R292" i="9"/>
  <c r="R291" i="9"/>
  <c r="P290" i="9"/>
  <c r="R289" i="9"/>
  <c r="U288" i="9"/>
  <c r="S287" i="9"/>
  <c r="Z286" i="9"/>
  <c r="AD285" i="9"/>
  <c r="AC284" i="9"/>
  <c r="AC283" i="9"/>
  <c r="W282" i="9"/>
  <c r="AA281" i="9"/>
  <c r="AB280" i="9"/>
  <c r="U279" i="9"/>
  <c r="S278" i="9"/>
  <c r="R277" i="9"/>
  <c r="C276" i="9"/>
  <c r="BU274" i="9"/>
  <c r="BW273" i="9"/>
  <c r="BX272" i="9"/>
  <c r="E272" i="9"/>
  <c r="D271" i="9"/>
  <c r="BK269" i="9"/>
  <c r="BF268" i="9"/>
  <c r="BK267" i="9"/>
  <c r="AZ266" i="9"/>
  <c r="AR265" i="9"/>
  <c r="AT264" i="9"/>
  <c r="O393" i="9"/>
  <c r="BL370" i="9"/>
  <c r="A361" i="9"/>
  <c r="F353" i="9"/>
  <c r="S345" i="9"/>
  <c r="R337" i="9"/>
  <c r="AL329" i="9"/>
  <c r="AA325" i="9"/>
  <c r="AZ322" i="9"/>
  <c r="AJ320" i="9"/>
  <c r="AQ318" i="9"/>
  <c r="AA317" i="9"/>
  <c r="AB316" i="9"/>
  <c r="AF315" i="9"/>
  <c r="AM314" i="9"/>
  <c r="AN313" i="9"/>
  <c r="AO312" i="9"/>
  <c r="AP311" i="9"/>
  <c r="AQ310" i="9"/>
  <c r="AI309" i="9"/>
  <c r="AJ308" i="9"/>
  <c r="AK307" i="9"/>
  <c r="AC306" i="9"/>
  <c r="W305" i="9"/>
  <c r="W304" i="9"/>
  <c r="AB303" i="9"/>
  <c r="AG302" i="9"/>
  <c r="AE301" i="9"/>
  <c r="AE300" i="9"/>
  <c r="L299" i="9"/>
  <c r="F298" i="9"/>
  <c r="F297" i="9"/>
  <c r="J296" i="9"/>
  <c r="I295" i="9"/>
  <c r="I294" i="9"/>
  <c r="L293" i="9"/>
  <c r="H292" i="9"/>
  <c r="I291" i="9"/>
  <c r="F290" i="9"/>
  <c r="G289" i="9"/>
  <c r="K288" i="9"/>
  <c r="I287" i="9"/>
  <c r="O286" i="9"/>
  <c r="R285" i="9"/>
  <c r="P284" i="9"/>
  <c r="O283" i="9"/>
  <c r="K282" i="9"/>
  <c r="O281" i="9"/>
  <c r="O280" i="9"/>
  <c r="J279" i="9"/>
  <c r="I278" i="9"/>
  <c r="I277" i="9"/>
  <c r="BM275" i="9"/>
  <c r="BK274" i="9"/>
  <c r="BL273" i="9"/>
  <c r="BN272" i="9"/>
  <c r="BU271" i="9"/>
  <c r="BP270" i="9"/>
  <c r="AT269" i="9"/>
  <c r="AS268" i="9"/>
  <c r="AZ267" i="9"/>
  <c r="AO266" i="9"/>
  <c r="AG265" i="9"/>
  <c r="AK264" i="9"/>
  <c r="Q384" i="9"/>
  <c r="F369" i="9"/>
  <c r="BN359" i="9"/>
  <c r="B352" i="9"/>
  <c r="BV343" i="9"/>
  <c r="L336" i="9"/>
  <c r="W328" i="9"/>
  <c r="BT324" i="9"/>
  <c r="X322" i="9"/>
  <c r="P320" i="9"/>
  <c r="Z318" i="9"/>
  <c r="K317" i="9"/>
  <c r="S316" i="9"/>
  <c r="V315" i="9"/>
  <c r="AB314" i="9"/>
  <c r="AD313" i="9"/>
  <c r="AE312" i="9"/>
  <c r="AF311" i="9"/>
  <c r="AE310" i="9"/>
  <c r="Z309" i="9"/>
  <c r="AA308" i="9"/>
  <c r="AB307" i="9"/>
  <c r="N306" i="9"/>
  <c r="L305" i="9"/>
  <c r="M304" i="9"/>
  <c r="O435" i="9"/>
  <c r="BI421" i="9"/>
  <c r="V426" i="9"/>
  <c r="K405" i="9"/>
  <c r="AP399" i="9"/>
  <c r="AG445" i="9"/>
  <c r="AI407" i="9"/>
  <c r="BH396" i="9"/>
  <c r="BF388" i="9"/>
  <c r="AX380" i="9"/>
  <c r="AZ372" i="9"/>
  <c r="BP461" i="9"/>
  <c r="AG424" i="9"/>
  <c r="AU412" i="9"/>
  <c r="BL404" i="9"/>
  <c r="AV396" i="9"/>
  <c r="AS388" i="9"/>
  <c r="AO380" i="9"/>
  <c r="AP372" i="9"/>
  <c r="BV430" i="9"/>
  <c r="F418" i="9"/>
  <c r="BI408" i="9"/>
  <c r="BF400" i="9"/>
  <c r="AW392" i="9"/>
  <c r="BE384" i="9"/>
  <c r="AV376" i="9"/>
  <c r="BG368" i="9"/>
  <c r="A392" i="9"/>
  <c r="AU370" i="9"/>
  <c r="BO360" i="9"/>
  <c r="BU352" i="9"/>
  <c r="J345" i="9"/>
  <c r="H337" i="9"/>
  <c r="AB329" i="9"/>
  <c r="H382" i="9"/>
  <c r="BF368" i="9"/>
  <c r="AP359" i="9"/>
  <c r="AZ351" i="9"/>
  <c r="BA343" i="9"/>
  <c r="BS335" i="9"/>
  <c r="BT327" i="9"/>
  <c r="AY416" i="9"/>
  <c r="AC375" i="9"/>
  <c r="BM363" i="9"/>
  <c r="BJ355" i="9"/>
  <c r="BP347" i="9"/>
  <c r="L340" i="9"/>
  <c r="AB332" i="9"/>
  <c r="W324" i="9"/>
  <c r="C415" i="9"/>
  <c r="L375" i="9"/>
  <c r="AX363" i="9"/>
  <c r="AZ355" i="9"/>
  <c r="BF347" i="9"/>
  <c r="C340" i="9"/>
  <c r="O332" i="9"/>
  <c r="BJ404" i="9"/>
  <c r="G373" i="9"/>
  <c r="AE362" i="9"/>
  <c r="AF354" i="9"/>
  <c r="BG348" i="9"/>
  <c r="AO346" i="9"/>
  <c r="AO343" i="9"/>
  <c r="E341" i="9"/>
  <c r="AX338" i="9"/>
  <c r="BA336" i="9"/>
  <c r="BO334" i="9"/>
  <c r="BT332" i="9"/>
  <c r="BR330" i="9"/>
  <c r="BU328" i="9"/>
  <c r="BL326" i="9"/>
  <c r="BP324" i="9"/>
  <c r="BU322" i="9"/>
  <c r="BU320" i="9"/>
  <c r="BY318" i="9"/>
  <c r="BQ428" i="9"/>
  <c r="L416" i="9"/>
  <c r="AO407" i="9"/>
  <c r="AL399" i="9"/>
  <c r="AE391" i="9"/>
  <c r="AK383" i="9"/>
  <c r="I380" i="9"/>
  <c r="AN378" i="9"/>
  <c r="BM376" i="9"/>
  <c r="V375" i="9"/>
  <c r="BO373" i="9"/>
  <c r="G372" i="9"/>
  <c r="AM370" i="9"/>
  <c r="BW368" i="9"/>
  <c r="AU367" i="9"/>
  <c r="A366" i="9"/>
  <c r="BI364" i="9"/>
  <c r="BJ363" i="9"/>
  <c r="BG362" i="9"/>
  <c r="BH361" i="9"/>
  <c r="BG360" i="9"/>
  <c r="BD359" i="9"/>
  <c r="BA358" i="9"/>
  <c r="BA357" i="9"/>
  <c r="BC356" i="9"/>
  <c r="BG355" i="9"/>
  <c r="BI354" i="9"/>
  <c r="BG353" i="9"/>
  <c r="BP352" i="9"/>
  <c r="BO351" i="9"/>
  <c r="BF350" i="9"/>
  <c r="BG349" i="9"/>
  <c r="BF348" i="9"/>
  <c r="BM347" i="9"/>
  <c r="BX346" i="9"/>
  <c r="A346" i="9"/>
  <c r="E345" i="9"/>
  <c r="BP343" i="9"/>
  <c r="BT342" i="9"/>
  <c r="A342" i="9"/>
  <c r="D341" i="9"/>
  <c r="I340" i="9"/>
  <c r="D339" i="9"/>
  <c r="B338" i="9"/>
  <c r="C337" i="9"/>
  <c r="F336" i="9"/>
  <c r="N335" i="9"/>
  <c r="O334" i="9"/>
  <c r="U333" i="9"/>
  <c r="W332" i="9"/>
  <c r="V331" i="9"/>
  <c r="W330" i="9"/>
  <c r="V329" i="9"/>
  <c r="L328" i="9"/>
  <c r="L327" i="9"/>
  <c r="P326" i="9"/>
  <c r="S325" i="9"/>
  <c r="T324" i="9"/>
  <c r="V323" i="9"/>
  <c r="V322" i="9"/>
  <c r="V321" i="9"/>
  <c r="W320" i="9"/>
  <c r="X319" i="9"/>
  <c r="V458" i="9"/>
  <c r="BY423" i="9"/>
  <c r="AA412" i="9"/>
  <c r="AO404" i="9"/>
  <c r="AB396" i="9"/>
  <c r="W388" i="9"/>
  <c r="AL381" i="9"/>
  <c r="AH379" i="9"/>
  <c r="BK377" i="9"/>
  <c r="S376" i="9"/>
  <c r="BF374" i="9"/>
  <c r="E373" i="9"/>
  <c r="AI371" i="9"/>
  <c r="BW369" i="9"/>
  <c r="AL368" i="9"/>
  <c r="E367" i="9"/>
  <c r="AK365" i="9"/>
  <c r="AD364" i="9"/>
  <c r="AE363" i="9"/>
  <c r="AC362" i="9"/>
  <c r="AD361" i="9"/>
  <c r="AC360" i="9"/>
  <c r="AA359" i="9"/>
  <c r="W358" i="9"/>
  <c r="W357" i="9"/>
  <c r="Z356" i="9"/>
  <c r="AC355" i="9"/>
  <c r="AD354" i="9"/>
  <c r="AF353" i="9"/>
  <c r="AN352" i="9"/>
  <c r="AE351" i="9"/>
  <c r="AA350" i="9"/>
  <c r="AB349" i="9"/>
  <c r="AE348" i="9"/>
  <c r="AL347" i="9"/>
  <c r="AU346" i="9"/>
  <c r="AW345" i="9"/>
  <c r="AT344" i="9"/>
  <c r="AM343" i="9"/>
  <c r="AR342" i="9"/>
  <c r="AW341" i="9"/>
  <c r="AX340" i="9"/>
  <c r="BE339" i="9"/>
  <c r="AV338" i="9"/>
  <c r="AV337" i="9"/>
  <c r="AY336" i="9"/>
  <c r="BF335" i="9"/>
  <c r="BL334" i="9"/>
  <c r="BL333" i="9"/>
  <c r="BR332" i="9"/>
  <c r="BQ331" i="9"/>
  <c r="BP330" i="9"/>
  <c r="BS329" i="9"/>
  <c r="BS328" i="9"/>
  <c r="BC327" i="9"/>
  <c r="BJ326" i="9"/>
  <c r="BN325" i="9"/>
  <c r="BN324" i="9"/>
  <c r="BO323" i="9"/>
  <c r="BS322" i="9"/>
  <c r="BQ321" i="9"/>
  <c r="BS320" i="9"/>
  <c r="BT319" i="9"/>
  <c r="BU318" i="9"/>
  <c r="BK423" i="9"/>
  <c r="R376" i="9"/>
  <c r="AC364" i="9"/>
  <c r="X356" i="9"/>
  <c r="AD348" i="9"/>
  <c r="AW340" i="9"/>
  <c r="BQ332" i="9"/>
  <c r="AE326" i="9"/>
  <c r="BJ323" i="9"/>
  <c r="Y321" i="9"/>
  <c r="AA319" i="9"/>
  <c r="BO317" i="9"/>
  <c r="BE316" i="9"/>
  <c r="BO315" i="9"/>
  <c r="BQ314" i="9"/>
  <c r="BU313" i="9"/>
  <c r="BW312" i="9"/>
  <c r="BY311" i="9"/>
  <c r="A311" i="9"/>
  <c r="BR309" i="9"/>
  <c r="BQ308" i="9"/>
  <c r="BQ307" i="9"/>
  <c r="BN306" i="9"/>
  <c r="BE305" i="9"/>
  <c r="BE304" i="9"/>
  <c r="BH303" i="9"/>
  <c r="BK302" i="9"/>
  <c r="BQ301" i="9"/>
  <c r="BN300" i="9"/>
  <c r="BE299" i="9"/>
  <c r="AU298" i="9"/>
  <c r="AI297" i="9"/>
  <c r="AN296" i="9"/>
  <c r="AS295" i="9"/>
  <c r="AO294" i="9"/>
  <c r="AR293" i="9"/>
  <c r="AN292" i="9"/>
  <c r="AQ291" i="9"/>
  <c r="AN290" i="9"/>
  <c r="AL289" i="9"/>
  <c r="AQ288" i="9"/>
  <c r="AN287" i="9"/>
  <c r="AR286" i="9"/>
  <c r="AW285" i="9"/>
  <c r="AZ284" i="9"/>
  <c r="AY283" i="9"/>
  <c r="AT282" i="9"/>
  <c r="AU281" i="9"/>
  <c r="AT280" i="9"/>
  <c r="AQ279" i="9"/>
  <c r="AO278" i="9"/>
  <c r="AO277" i="9"/>
  <c r="AC276" i="9"/>
  <c r="Q275" i="9"/>
  <c r="R274" i="9"/>
  <c r="S273" i="9"/>
  <c r="X272" i="9"/>
  <c r="AB271" i="9"/>
  <c r="G270" i="9"/>
  <c r="C269" i="9"/>
  <c r="D268" i="9"/>
  <c r="BX266" i="9"/>
  <c r="BM265" i="9"/>
  <c r="BO264" i="9"/>
  <c r="AG403" i="9"/>
  <c r="BN372" i="9"/>
  <c r="Q362" i="9"/>
  <c r="R354" i="9"/>
  <c r="AL346" i="9"/>
  <c r="AM338" i="9"/>
  <c r="BG330" i="9"/>
  <c r="BD325" i="9"/>
  <c r="J323" i="9"/>
  <c r="BH320" i="9"/>
  <c r="BL318" i="9"/>
  <c r="AQ317" i="9"/>
  <c r="AL316" i="9"/>
  <c r="AQ315" i="9"/>
  <c r="AW314" i="9"/>
  <c r="AZ313" i="9"/>
  <c r="BA312" i="9"/>
  <c r="BD311" i="9"/>
  <c r="BE310" i="9"/>
  <c r="AT309" i="9"/>
  <c r="AT308" i="9"/>
  <c r="AU307" i="9"/>
  <c r="AO306" i="9"/>
  <c r="AI305" i="9"/>
  <c r="AI304" i="9"/>
  <c r="AN303" i="9"/>
  <c r="AQ302" i="9"/>
  <c r="AP301" i="9"/>
  <c r="AS300" i="9"/>
  <c r="AB299" i="9"/>
  <c r="W298" i="9"/>
  <c r="P297" i="9"/>
  <c r="U296" i="9"/>
  <c r="V295" i="9"/>
  <c r="U294" i="9"/>
  <c r="X293" i="9"/>
  <c r="T292" i="9"/>
  <c r="U291" i="9"/>
  <c r="R290" i="9"/>
  <c r="S289" i="9"/>
  <c r="V288" i="9"/>
  <c r="U287" i="9"/>
  <c r="AA286" i="9"/>
  <c r="AE285" i="9"/>
  <c r="AD284" i="9"/>
  <c r="AD283" i="9"/>
  <c r="Z282" i="9"/>
  <c r="AB281" i="9"/>
  <c r="AC280" i="9"/>
  <c r="V279" i="9"/>
  <c r="U278" i="9"/>
  <c r="U277" i="9"/>
  <c r="D276" i="9"/>
  <c r="BX274" i="9"/>
  <c r="BX273" i="9"/>
  <c r="BY272" i="9"/>
  <c r="F272" i="9"/>
  <c r="E271" i="9"/>
  <c r="BL269" i="9"/>
  <c r="BH268" i="9"/>
  <c r="BL267" i="9"/>
  <c r="BA266" i="9"/>
  <c r="AS265" i="9"/>
  <c r="AU264" i="9"/>
  <c r="P394" i="9"/>
  <c r="BX370" i="9"/>
  <c r="J361" i="9"/>
  <c r="N353" i="9"/>
  <c r="AC345" i="9"/>
  <c r="AC337" i="9"/>
  <c r="AT329" i="9"/>
  <c r="AB325" i="9"/>
  <c r="BE322" i="9"/>
  <c r="AL320" i="9"/>
  <c r="AR318" i="9"/>
  <c r="AB317" i="9"/>
  <c r="AC316" i="9"/>
  <c r="AG315" i="9"/>
  <c r="AN314" i="9"/>
  <c r="AO313" i="9"/>
  <c r="AP312" i="9"/>
  <c r="AQ311" i="9"/>
  <c r="AR310" i="9"/>
  <c r="AJ309" i="9"/>
  <c r="AK308" i="9"/>
  <c r="AL307" i="9"/>
  <c r="AE306" i="9"/>
  <c r="Z305" i="9"/>
  <c r="Z304" i="9"/>
  <c r="AC303" i="9"/>
  <c r="AH302" i="9"/>
  <c r="AF301" i="9"/>
  <c r="AG300" i="9"/>
  <c r="M299" i="9"/>
  <c r="I298" i="9"/>
  <c r="G297" i="9"/>
  <c r="K296" i="9"/>
  <c r="J295" i="9"/>
  <c r="J294" i="9"/>
  <c r="M293" i="9"/>
  <c r="I292" i="9"/>
  <c r="J291" i="9"/>
  <c r="H290" i="9"/>
  <c r="H289" i="9"/>
  <c r="L288" i="9"/>
  <c r="J287" i="9"/>
  <c r="P286" i="9"/>
  <c r="S285" i="9"/>
  <c r="Q284" i="9"/>
  <c r="P283" i="9"/>
  <c r="L282" i="9"/>
  <c r="P281" i="9"/>
  <c r="P280" i="9"/>
  <c r="K279" i="9"/>
  <c r="J278" i="9"/>
  <c r="J277" i="9"/>
  <c r="BN275" i="9"/>
  <c r="BL274" i="9"/>
  <c r="BM273" i="9"/>
  <c r="BO272" i="9"/>
  <c r="BV271" i="9"/>
  <c r="BQ270" i="9"/>
  <c r="AU269" i="9"/>
  <c r="AT268" i="9"/>
  <c r="BA267" i="9"/>
  <c r="AP266" i="9"/>
  <c r="AH265" i="9"/>
  <c r="AL264" i="9"/>
  <c r="P385" i="9"/>
  <c r="X369" i="9"/>
  <c r="BY359" i="9"/>
  <c r="K352" i="9"/>
  <c r="G344" i="9"/>
  <c r="V336" i="9"/>
  <c r="AL328" i="9"/>
  <c r="BX324" i="9"/>
  <c r="AB322" i="9"/>
  <c r="R320" i="9"/>
  <c r="AA318" i="9"/>
  <c r="L317" i="9"/>
  <c r="T316" i="9"/>
  <c r="W315" i="9"/>
  <c r="AC314" i="9"/>
  <c r="AE313" i="9"/>
  <c r="AF312" i="9"/>
  <c r="AG311" i="9"/>
  <c r="AG310" i="9"/>
  <c r="AA309" i="9"/>
  <c r="AB308" i="9"/>
  <c r="AC307" i="9"/>
  <c r="P306" i="9"/>
  <c r="M305" i="9"/>
  <c r="N304" i="9"/>
  <c r="R303" i="9"/>
  <c r="Y302" i="9"/>
  <c r="V301" i="9"/>
  <c r="M300" i="9"/>
  <c r="D299" i="9"/>
  <c r="BV297" i="9"/>
  <c r="BW296" i="9"/>
  <c r="B296" i="9"/>
  <c r="BY294" i="9"/>
  <c r="A294" i="9"/>
  <c r="C293" i="9"/>
  <c r="BX291" i="9"/>
  <c r="BY290" i="9"/>
  <c r="BW289" i="9"/>
  <c r="BX288" i="9"/>
  <c r="A288" i="9"/>
  <c r="A287" i="9"/>
  <c r="G286" i="9"/>
  <c r="J285" i="9"/>
  <c r="G284" i="9"/>
  <c r="E283" i="9"/>
  <c r="C282" i="9"/>
  <c r="F281" i="9"/>
  <c r="E280" i="9"/>
  <c r="A279" i="9"/>
  <c r="A278" i="9"/>
  <c r="BY276" i="9"/>
  <c r="AZ275" i="9"/>
  <c r="BB274" i="9"/>
  <c r="AX273" i="9"/>
  <c r="BF272" i="9"/>
  <c r="BM271" i="9"/>
  <c r="BA270" i="9"/>
  <c r="AL269" i="9"/>
  <c r="AJ268" i="9"/>
  <c r="AQ267" i="9"/>
  <c r="AA266" i="9"/>
  <c r="X265" i="9"/>
  <c r="AC264" i="9"/>
  <c r="T380" i="9"/>
  <c r="BL367" i="9"/>
  <c r="BH358" i="9"/>
  <c r="BM350" i="9"/>
  <c r="B343" i="9"/>
  <c r="T335" i="9"/>
  <c r="T327" i="9"/>
  <c r="AR324" i="9"/>
  <c r="A322" i="9"/>
  <c r="BY319" i="9"/>
  <c r="L318" i="9"/>
  <c r="C317" i="9"/>
  <c r="J316" i="9"/>
  <c r="M315" i="9"/>
  <c r="R314" i="9"/>
  <c r="R313" i="9"/>
  <c r="V312" i="9"/>
  <c r="W311" i="9"/>
  <c r="N310" i="9"/>
  <c r="P309" i="9"/>
  <c r="O308" i="9"/>
  <c r="O307" i="9"/>
  <c r="F306" i="9"/>
  <c r="D305" i="9"/>
  <c r="E304" i="9"/>
  <c r="I303" i="9"/>
  <c r="M302" i="9"/>
  <c r="L301" i="9"/>
  <c r="C300" i="9"/>
  <c r="BR298" i="9"/>
  <c r="BK297" i="9"/>
  <c r="BN296" i="9"/>
  <c r="BP295" i="9"/>
  <c r="BO294" i="9"/>
  <c r="BP293" i="9"/>
  <c r="BN292" i="9"/>
  <c r="BN291" i="9"/>
  <c r="BN290" i="9"/>
  <c r="BL289" i="9"/>
  <c r="BN288" i="9"/>
  <c r="BO287" i="9"/>
  <c r="BO286" i="9"/>
  <c r="BW285" i="9"/>
  <c r="F434" i="9"/>
  <c r="BD413" i="9"/>
  <c r="BK413" i="9"/>
  <c r="BT396" i="9"/>
  <c r="C397" i="9"/>
  <c r="AB430" i="9"/>
  <c r="AS405" i="9"/>
  <c r="BK395" i="9"/>
  <c r="BF387" i="9"/>
  <c r="BA379" i="9"/>
  <c r="AW371" i="9"/>
  <c r="B450" i="9"/>
  <c r="BM422" i="9"/>
  <c r="AU411" i="9"/>
  <c r="BO403" i="9"/>
  <c r="AW395" i="9"/>
  <c r="AU387" i="9"/>
  <c r="AN379" i="9"/>
  <c r="AN371" i="9"/>
  <c r="Z429" i="9"/>
  <c r="AL416" i="9"/>
  <c r="BK407" i="9"/>
  <c r="BH399" i="9"/>
  <c r="AZ391" i="9"/>
  <c r="BG383" i="9"/>
  <c r="AW375" i="9"/>
  <c r="BC367" i="9"/>
  <c r="I384" i="9"/>
  <c r="E369" i="9"/>
  <c r="BL359" i="9"/>
  <c r="A352" i="9"/>
  <c r="BU343" i="9"/>
  <c r="K336" i="9"/>
  <c r="R328" i="9"/>
  <c r="BJ379" i="9"/>
  <c r="AC367" i="9"/>
  <c r="AM358" i="9"/>
  <c r="AQ350" i="9"/>
  <c r="BH342" i="9"/>
  <c r="B335" i="9"/>
  <c r="BY326" i="9"/>
  <c r="BS407" i="9"/>
  <c r="BR373" i="9"/>
  <c r="BJ362" i="9"/>
  <c r="BL354" i="9"/>
  <c r="B347" i="9"/>
  <c r="G339" i="9"/>
  <c r="AA331" i="9"/>
  <c r="Z323" i="9"/>
  <c r="BM406" i="9"/>
  <c r="AT373" i="9"/>
  <c r="AZ362" i="9"/>
  <c r="AW354" i="9"/>
  <c r="BQ346" i="9"/>
  <c r="BW338" i="9"/>
  <c r="M331" i="9"/>
  <c r="AT396" i="9"/>
  <c r="AK371" i="9"/>
  <c r="AF361" i="9"/>
  <c r="AH353" i="9"/>
  <c r="AG348" i="9"/>
  <c r="B346" i="9"/>
  <c r="AF343" i="9"/>
  <c r="BA340" i="9"/>
  <c r="AP338" i="9"/>
  <c r="AR336" i="9"/>
  <c r="BF334" i="9"/>
  <c r="BK332" i="9"/>
  <c r="BJ330" i="9"/>
  <c r="BK328" i="9"/>
  <c r="BC326" i="9"/>
  <c r="BG324" i="9"/>
  <c r="BK322" i="9"/>
  <c r="BK320" i="9"/>
  <c r="BO318" i="9"/>
  <c r="AB427" i="9"/>
  <c r="AX414" i="9"/>
  <c r="AU406" i="9"/>
  <c r="AM398" i="9"/>
  <c r="AH390" i="9"/>
  <c r="AL382" i="9"/>
  <c r="BS379" i="9"/>
  <c r="T378" i="9"/>
  <c r="AZ376" i="9"/>
  <c r="J375" i="9"/>
  <c r="AR373" i="9"/>
  <c r="BO371" i="9"/>
  <c r="Y370" i="9"/>
  <c r="BL368" i="9"/>
  <c r="AI367" i="9"/>
  <c r="BN365" i="9"/>
  <c r="AY364" i="9"/>
  <c r="AV363" i="9"/>
  <c r="AV362" i="9"/>
  <c r="AW361" i="9"/>
  <c r="AT360" i="9"/>
  <c r="AT359" i="9"/>
  <c r="AQ358" i="9"/>
  <c r="AQ357" i="9"/>
  <c r="AS356" i="9"/>
  <c r="AV355" i="9"/>
  <c r="AU354" i="9"/>
  <c r="AW353" i="9"/>
  <c r="BH352" i="9"/>
  <c r="BG351" i="9"/>
  <c r="AU350" i="9"/>
  <c r="AV349" i="9"/>
  <c r="AV348" i="9"/>
  <c r="BD347" i="9"/>
  <c r="BO346" i="9"/>
  <c r="BR345" i="9"/>
  <c r="BU344" i="9"/>
  <c r="BG343" i="9"/>
  <c r="BL342" i="9"/>
  <c r="BR341" i="9"/>
  <c r="BS340" i="9"/>
  <c r="A340" i="9"/>
  <c r="BS338" i="9"/>
  <c r="BQ337" i="9"/>
  <c r="BT336" i="9"/>
  <c r="BW335" i="9"/>
  <c r="F335" i="9"/>
  <c r="G334" i="9"/>
  <c r="L333" i="9"/>
  <c r="M332" i="9"/>
  <c r="K331" i="9"/>
  <c r="N330" i="9"/>
  <c r="K329" i="9"/>
  <c r="A328" i="9"/>
  <c r="D327" i="9"/>
  <c r="H326" i="9"/>
  <c r="J325" i="9"/>
  <c r="G324" i="9"/>
  <c r="M323" i="9"/>
  <c r="L322" i="9"/>
  <c r="L321" i="9"/>
  <c r="N320" i="9"/>
  <c r="O319" i="9"/>
  <c r="BK447" i="9"/>
  <c r="AH422" i="9"/>
  <c r="AC411" i="9"/>
  <c r="AP403" i="9"/>
  <c r="AC395" i="9"/>
  <c r="AC387" i="9"/>
  <c r="E381" i="9"/>
  <c r="R379" i="9"/>
  <c r="AQ377" i="9"/>
  <c r="H376" i="9"/>
  <c r="AR374" i="9"/>
  <c r="BO372" i="9"/>
  <c r="S371" i="9"/>
  <c r="BE369" i="9"/>
  <c r="Z368" i="9"/>
  <c r="BE366" i="9"/>
  <c r="W365" i="9"/>
  <c r="S364" i="9"/>
  <c r="T363" i="9"/>
  <c r="R362" i="9"/>
  <c r="T361" i="9"/>
  <c r="T360" i="9"/>
  <c r="M359" i="9"/>
  <c r="M358" i="9"/>
  <c r="M357" i="9"/>
  <c r="O356" i="9"/>
  <c r="T355" i="9"/>
  <c r="S354" i="9"/>
  <c r="X353" i="9"/>
  <c r="AD352" i="9"/>
  <c r="O351" i="9"/>
  <c r="N350" i="9"/>
  <c r="P349" i="9"/>
  <c r="V348" i="9"/>
  <c r="AD347" i="9"/>
  <c r="AM346" i="9"/>
  <c r="AM345" i="9"/>
  <c r="AG344" i="9"/>
  <c r="AD343" i="9"/>
  <c r="AI342" i="9"/>
  <c r="AO341" i="9"/>
  <c r="AP340" i="9"/>
  <c r="AS339" i="9"/>
  <c r="AN338" i="9"/>
  <c r="AN337" i="9"/>
  <c r="AP336" i="9"/>
  <c r="AU335" i="9"/>
  <c r="BD334" i="9"/>
  <c r="BC333" i="9"/>
  <c r="BI332" i="9"/>
  <c r="BI331" i="9"/>
  <c r="BH330" i="9"/>
  <c r="BH329" i="9"/>
  <c r="BI328" i="9"/>
  <c r="AS327" i="9"/>
  <c r="BA326" i="9"/>
  <c r="BE325" i="9"/>
  <c r="BC324" i="9"/>
  <c r="BG323" i="9"/>
  <c r="BH322" i="9"/>
  <c r="BI321" i="9"/>
  <c r="BI320" i="9"/>
  <c r="BK319" i="9"/>
  <c r="BM318" i="9"/>
  <c r="Q412" i="9"/>
  <c r="BE374" i="9"/>
  <c r="AD363" i="9"/>
  <c r="AB355" i="9"/>
  <c r="AK347" i="9"/>
  <c r="BD339" i="9"/>
  <c r="BP331" i="9"/>
  <c r="E326" i="9"/>
  <c r="AL323" i="9"/>
  <c r="E321" i="9"/>
  <c r="I319" i="9"/>
  <c r="BD317" i="9"/>
  <c r="AU316" i="9"/>
  <c r="BD315" i="9"/>
  <c r="BI314" i="9"/>
  <c r="BL313" i="9"/>
  <c r="BO312" i="9"/>
  <c r="BP311" i="9"/>
  <c r="BQ310" i="9"/>
  <c r="BH309" i="9"/>
  <c r="BI308" i="9"/>
  <c r="BI307" i="9"/>
  <c r="BC306" i="9"/>
  <c r="AS305" i="9"/>
  <c r="AS304" i="9"/>
  <c r="AW303" i="9"/>
  <c r="BA302" i="9"/>
  <c r="BA301" i="9"/>
  <c r="BD300" i="9"/>
  <c r="AS299" i="9"/>
  <c r="AM298" i="9"/>
  <c r="AA297" i="9"/>
  <c r="AE296" i="9"/>
  <c r="AI295" i="9"/>
  <c r="AF294" i="9"/>
  <c r="AH293" i="9"/>
  <c r="AD292" i="9"/>
  <c r="AG291" i="9"/>
  <c r="AD290" i="9"/>
  <c r="AD289" i="9"/>
  <c r="AG288" i="9"/>
  <c r="AE287" i="9"/>
  <c r="AJ286" i="9"/>
  <c r="AO285" i="9"/>
  <c r="AN284" i="9"/>
  <c r="AN283" i="9"/>
  <c r="AI282" i="9"/>
  <c r="AM281" i="9"/>
  <c r="AL280" i="9"/>
  <c r="AF279" i="9"/>
  <c r="AF278" i="9"/>
  <c r="AF277" i="9"/>
  <c r="N276" i="9"/>
  <c r="I275" i="9"/>
  <c r="J274" i="9"/>
  <c r="J273" i="9"/>
  <c r="O272" i="9"/>
  <c r="O271" i="9"/>
  <c r="BW269" i="9"/>
  <c r="BT268" i="9"/>
  <c r="BU267" i="9"/>
  <c r="BP266" i="9"/>
  <c r="BD265" i="9"/>
  <c r="BF264" i="9"/>
  <c r="T395" i="9"/>
  <c r="R371" i="9"/>
  <c r="R361" i="9"/>
  <c r="W353" i="9"/>
  <c r="AL345" i="9"/>
  <c r="AM337" i="9"/>
  <c r="BF329" i="9"/>
  <c r="AF325" i="9"/>
  <c r="BF322" i="9"/>
  <c r="AM320" i="9"/>
  <c r="AS318" i="9"/>
  <c r="AC317" i="9"/>
  <c r="AD316" i="9"/>
  <c r="AH315" i="9"/>
  <c r="AO314" i="9"/>
  <c r="AP313" i="9"/>
  <c r="AQ312" i="9"/>
  <c r="AR311" i="9"/>
  <c r="AS310" i="9"/>
  <c r="AL309" i="9"/>
  <c r="AL308" i="9"/>
  <c r="AM307" i="9"/>
  <c r="AG306" i="9"/>
  <c r="AA305" i="9"/>
  <c r="AA304" i="9"/>
  <c r="AD303" i="9"/>
  <c r="AI302" i="9"/>
  <c r="AG301" i="9"/>
  <c r="AH300" i="9"/>
  <c r="N299" i="9"/>
  <c r="J298" i="9"/>
  <c r="H297" i="9"/>
  <c r="L296" i="9"/>
  <c r="K295" i="9"/>
  <c r="K294" i="9"/>
  <c r="N293" i="9"/>
  <c r="J292" i="9"/>
  <c r="K291" i="9"/>
  <c r="I290" i="9"/>
  <c r="J289" i="9"/>
  <c r="M288" i="9"/>
  <c r="K287" i="9"/>
  <c r="Q286" i="9"/>
  <c r="U285" i="9"/>
  <c r="R284" i="9"/>
  <c r="R283" i="9"/>
  <c r="M282" i="9"/>
  <c r="Q281" i="9"/>
  <c r="R280" i="9"/>
  <c r="L279" i="9"/>
  <c r="K278" i="9"/>
  <c r="K277" i="9"/>
  <c r="BO275" i="9"/>
  <c r="BN274" i="9"/>
  <c r="BN273" i="9"/>
  <c r="BP272" i="9"/>
  <c r="BW271" i="9"/>
  <c r="BR270" i="9"/>
  <c r="AV269" i="9"/>
  <c r="AU268" i="9"/>
  <c r="BD267" i="9"/>
  <c r="AQ266" i="9"/>
  <c r="AI265" i="9"/>
  <c r="AM264" i="9"/>
  <c r="AB386" i="9"/>
  <c r="AP369" i="9"/>
  <c r="H360" i="9"/>
  <c r="T352" i="9"/>
  <c r="O344" i="9"/>
  <c r="AF336" i="9"/>
  <c r="AT328" i="9"/>
  <c r="D325" i="9"/>
  <c r="AC322" i="9"/>
  <c r="S320" i="9"/>
  <c r="AB318" i="9"/>
  <c r="M317" i="9"/>
  <c r="U316" i="9"/>
  <c r="X315" i="9"/>
  <c r="AD314" i="9"/>
  <c r="AF313" i="9"/>
  <c r="AG312" i="9"/>
  <c r="AH311" i="9"/>
  <c r="AI310" i="9"/>
  <c r="AB309" i="9"/>
  <c r="AC308" i="9"/>
  <c r="AD307" i="9"/>
  <c r="R306" i="9"/>
  <c r="N305" i="9"/>
  <c r="O304" i="9"/>
  <c r="T303" i="9"/>
  <c r="Z302" i="9"/>
  <c r="W301" i="9"/>
  <c r="N300" i="9"/>
  <c r="E299" i="9"/>
  <c r="BX297" i="9"/>
  <c r="BX296" i="9"/>
  <c r="C296" i="9"/>
  <c r="A295" i="9"/>
  <c r="B294" i="9"/>
  <c r="D293" i="9"/>
  <c r="BY291" i="9"/>
  <c r="A291" i="9"/>
  <c r="BX289" i="9"/>
  <c r="BY288" i="9"/>
  <c r="B288" i="9"/>
  <c r="B287" i="9"/>
  <c r="H286" i="9"/>
  <c r="K285" i="9"/>
  <c r="H284" i="9"/>
  <c r="F283" i="9"/>
  <c r="D282" i="9"/>
  <c r="H281" i="9"/>
  <c r="F280" i="9"/>
  <c r="B279" i="9"/>
  <c r="B278" i="9"/>
  <c r="A277" i="9"/>
  <c r="BA275" i="9"/>
  <c r="BC274" i="9"/>
  <c r="AZ273" i="9"/>
  <c r="BG272" i="9"/>
  <c r="BN271" i="9"/>
  <c r="BD270" i="9"/>
  <c r="AM269" i="9"/>
  <c r="AL268" i="9"/>
  <c r="AR267" i="9"/>
  <c r="AB266" i="9"/>
  <c r="Z265" i="9"/>
  <c r="AD264" i="9"/>
  <c r="AK380" i="9"/>
  <c r="BX367" i="9"/>
  <c r="BQ358" i="9"/>
  <c r="BV350" i="9"/>
  <c r="J343" i="9"/>
  <c r="AC335" i="9"/>
  <c r="AB327" i="9"/>
  <c r="AV324" i="9"/>
  <c r="B322" i="9"/>
  <c r="B320" i="9"/>
  <c r="M318" i="9"/>
  <c r="D317" i="9"/>
  <c r="K316" i="9"/>
  <c r="N315" i="9"/>
  <c r="T314" i="9"/>
  <c r="U313" i="9"/>
  <c r="W312" i="9"/>
  <c r="X311" i="9"/>
  <c r="O310" i="9"/>
  <c r="Q309" i="9"/>
  <c r="P308" i="9"/>
  <c r="P307" i="9"/>
  <c r="G306" i="9"/>
  <c r="E305" i="9"/>
  <c r="F304" i="9"/>
  <c r="J303" i="9"/>
  <c r="N302" i="9"/>
  <c r="M301" i="9"/>
  <c r="D300" i="9"/>
  <c r="BS298" i="9"/>
  <c r="BL297" i="9"/>
  <c r="BO296" i="9"/>
  <c r="BQ295" i="9"/>
  <c r="BP294" i="9"/>
  <c r="BQ293" i="9"/>
  <c r="BO292" i="9"/>
  <c r="BO291" i="9"/>
  <c r="BO290" i="9"/>
  <c r="BM289" i="9"/>
  <c r="BO288" i="9"/>
  <c r="BP287" i="9"/>
  <c r="BP286" i="9"/>
  <c r="BX285" i="9"/>
  <c r="B285" i="9"/>
  <c r="BX283" i="9"/>
  <c r="BV282" i="9"/>
  <c r="BS281" i="9"/>
  <c r="BW280" i="9"/>
  <c r="BU279" i="9"/>
  <c r="BQ278" i="9"/>
  <c r="BQ277" i="9"/>
  <c r="BJ276" i="9"/>
  <c r="AP275" i="9"/>
  <c r="AR274" i="9"/>
  <c r="AP273" i="9"/>
  <c r="AU272" i="9"/>
  <c r="BE271" i="9"/>
  <c r="AQ270" i="9"/>
  <c r="AD269" i="9"/>
  <c r="AB268" i="9"/>
  <c r="AC267" i="9"/>
  <c r="M266" i="9"/>
  <c r="O265" i="9"/>
  <c r="U264" i="9"/>
  <c r="AW378" i="9"/>
  <c r="K366" i="9"/>
  <c r="BH357" i="9"/>
  <c r="BM349" i="9"/>
  <c r="E434" i="9"/>
  <c r="BI425" i="9"/>
  <c r="C406" i="9"/>
  <c r="BT388" i="9"/>
  <c r="L394" i="9"/>
  <c r="AF426" i="9"/>
  <c r="AS403" i="9"/>
  <c r="BL394" i="9"/>
  <c r="BN386" i="9"/>
  <c r="BC378" i="9"/>
  <c r="AZ370" i="9"/>
  <c r="AI442" i="9"/>
  <c r="S421" i="9"/>
  <c r="AZ410" i="9"/>
  <c r="BP402" i="9"/>
  <c r="BA394" i="9"/>
  <c r="BD386" i="9"/>
  <c r="AR378" i="9"/>
  <c r="AQ370" i="9"/>
  <c r="BF427" i="9"/>
  <c r="D415" i="9"/>
  <c r="BN406" i="9"/>
  <c r="BG398" i="9"/>
  <c r="BC390" i="9"/>
  <c r="BF382" i="9"/>
  <c r="BG374" i="9"/>
  <c r="AN366" i="9"/>
  <c r="R380" i="9"/>
  <c r="BI367" i="9"/>
  <c r="BG358" i="9"/>
  <c r="BL350" i="9"/>
  <c r="A343" i="9"/>
  <c r="S335" i="9"/>
  <c r="R327" i="9"/>
  <c r="L378" i="9"/>
  <c r="BC365" i="9"/>
  <c r="AM357" i="9"/>
  <c r="AR349" i="9"/>
  <c r="BN341" i="9"/>
  <c r="C334" i="9"/>
  <c r="C326" i="9"/>
  <c r="BQ399" i="9"/>
  <c r="J372" i="9"/>
  <c r="BK361" i="9"/>
  <c r="BK353" i="9"/>
  <c r="D346" i="9"/>
  <c r="E338" i="9"/>
  <c r="AA330" i="9"/>
  <c r="Z322" i="9"/>
  <c r="BF398" i="9"/>
  <c r="BT371" i="9"/>
  <c r="BA361" i="9"/>
  <c r="AZ353" i="9"/>
  <c r="BT345" i="9"/>
  <c r="BS337" i="9"/>
  <c r="P330" i="9"/>
  <c r="AQ388" i="9"/>
  <c r="BY369" i="9"/>
  <c r="AE360" i="9"/>
  <c r="AP352" i="9"/>
  <c r="Y348" i="9"/>
  <c r="AZ345" i="9"/>
  <c r="BU342" i="9"/>
  <c r="AR340" i="9"/>
  <c r="X338" i="9"/>
  <c r="AA336" i="9"/>
  <c r="AJ334" i="9"/>
  <c r="AR332" i="9"/>
  <c r="AQ330" i="9"/>
  <c r="AO328" i="9"/>
  <c r="AI326" i="9"/>
  <c r="AM324" i="9"/>
  <c r="AO322" i="9"/>
  <c r="AP320" i="9"/>
  <c r="AV318" i="9"/>
  <c r="BJ425" i="9"/>
  <c r="AF413" i="9"/>
  <c r="AZ405" i="9"/>
  <c r="AI397" i="9"/>
  <c r="AH389" i="9"/>
  <c r="BR381" i="9"/>
  <c r="BD379" i="9"/>
  <c r="D378" i="9"/>
  <c r="AJ376" i="9"/>
  <c r="BU374" i="9"/>
  <c r="Z373" i="9"/>
  <c r="AX371" i="9"/>
  <c r="N370" i="9"/>
  <c r="BA368" i="9"/>
  <c r="U367" i="9"/>
  <c r="AV365" i="9"/>
  <c r="AN364" i="9"/>
  <c r="AN363" i="9"/>
  <c r="AN362" i="9"/>
  <c r="AO361" i="9"/>
  <c r="AL360" i="9"/>
  <c r="AL359" i="9"/>
  <c r="AG358" i="9"/>
  <c r="AG357" i="9"/>
  <c r="AI356" i="9"/>
  <c r="AN355" i="9"/>
  <c r="AM354" i="9"/>
  <c r="AO353" i="9"/>
  <c r="AW352" i="9"/>
  <c r="AT351" i="9"/>
  <c r="AM350" i="9"/>
  <c r="AL349" i="9"/>
  <c r="AN348" i="9"/>
  <c r="AU347" i="9"/>
  <c r="BG346" i="9"/>
  <c r="BI345" i="9"/>
  <c r="BK344" i="9"/>
  <c r="AV343" i="9"/>
  <c r="BD342" i="9"/>
  <c r="BI341" i="9"/>
  <c r="BJ340" i="9"/>
  <c r="BP339" i="9"/>
  <c r="BJ338" i="9"/>
  <c r="BH337" i="9"/>
  <c r="BL336" i="9"/>
  <c r="BO335" i="9"/>
  <c r="BV334" i="9"/>
  <c r="BX333" i="9"/>
  <c r="D333" i="9"/>
  <c r="D332" i="9"/>
  <c r="B331" i="9"/>
  <c r="E330" i="9"/>
  <c r="C329" i="9"/>
  <c r="BP327" i="9"/>
  <c r="BS326" i="9"/>
  <c r="BX325" i="9"/>
  <c r="B325" i="9"/>
  <c r="BX323" i="9"/>
  <c r="D323" i="9"/>
  <c r="D322" i="9"/>
  <c r="C321" i="9"/>
  <c r="F320" i="9"/>
  <c r="G319" i="9"/>
  <c r="M440" i="9"/>
  <c r="BL420" i="9"/>
  <c r="AD410" i="9"/>
  <c r="AO402" i="9"/>
  <c r="AE394" i="9"/>
  <c r="AJ386" i="9"/>
  <c r="BD380" i="9"/>
  <c r="G379" i="9"/>
  <c r="AF377" i="9"/>
  <c r="BR375" i="9"/>
  <c r="AC374" i="9"/>
  <c r="AV372" i="9"/>
  <c r="C371" i="9"/>
  <c r="AQ369" i="9"/>
  <c r="M368" i="9"/>
  <c r="AR366" i="9"/>
  <c r="J365" i="9"/>
  <c r="J364" i="9"/>
  <c r="H363" i="9"/>
  <c r="J362" i="9"/>
  <c r="K361" i="9"/>
  <c r="J360" i="9"/>
  <c r="B359" i="9"/>
  <c r="D358" i="9"/>
  <c r="D357" i="9"/>
  <c r="F356" i="9"/>
  <c r="J355" i="9"/>
  <c r="H354" i="9"/>
  <c r="O353" i="9"/>
  <c r="U352" i="9"/>
  <c r="F351" i="9"/>
  <c r="E350" i="9"/>
  <c r="H349" i="9"/>
  <c r="M348" i="9"/>
  <c r="V347" i="9"/>
  <c r="AC346" i="9"/>
  <c r="AD345" i="9"/>
  <c r="P344" i="9"/>
  <c r="U343" i="9"/>
  <c r="AA342" i="9"/>
  <c r="AF341" i="9"/>
  <c r="AH340" i="9"/>
  <c r="AK339" i="9"/>
  <c r="AF338" i="9"/>
  <c r="AD337" i="9"/>
  <c r="AG336" i="9"/>
  <c r="AM335" i="9"/>
  <c r="AS334" i="9"/>
  <c r="AS333" i="9"/>
  <c r="AZ332" i="9"/>
  <c r="AU331" i="9"/>
  <c r="AW330" i="9"/>
  <c r="AU329" i="9"/>
  <c r="AU328" i="9"/>
  <c r="AK327" i="9"/>
  <c r="AQ326" i="9"/>
  <c r="AT325" i="9"/>
  <c r="AS324" i="9"/>
  <c r="AV323" i="9"/>
  <c r="AU322" i="9"/>
  <c r="AU321" i="9"/>
  <c r="AV320" i="9"/>
  <c r="AW319" i="9"/>
  <c r="BE318" i="9"/>
  <c r="AF404" i="9"/>
  <c r="A373" i="9"/>
  <c r="AB362" i="9"/>
  <c r="AC354" i="9"/>
  <c r="AT346" i="9"/>
  <c r="AU338" i="9"/>
  <c r="BO330" i="9"/>
  <c r="BH325" i="9"/>
  <c r="K323" i="9"/>
  <c r="BL320" i="9"/>
  <c r="BP318" i="9"/>
  <c r="AR317" i="9"/>
  <c r="AM316" i="9"/>
  <c r="AR315" i="9"/>
  <c r="AZ314" i="9"/>
  <c r="BA313" i="9"/>
  <c r="BD312" i="9"/>
  <c r="BE311" i="9"/>
  <c r="BF310" i="9"/>
  <c r="AU309" i="9"/>
  <c r="AU308" i="9"/>
  <c r="AV307" i="9"/>
  <c r="AP306" i="9"/>
  <c r="AJ305" i="9"/>
  <c r="AJ304" i="9"/>
  <c r="AO303" i="9"/>
  <c r="AR302" i="9"/>
  <c r="AQ301" i="9"/>
  <c r="AT300" i="9"/>
  <c r="AE299" i="9"/>
  <c r="X298" i="9"/>
  <c r="R297" i="9"/>
  <c r="V296" i="9"/>
  <c r="W295" i="9"/>
  <c r="V294" i="9"/>
  <c r="Z293" i="9"/>
  <c r="U292" i="9"/>
  <c r="V291" i="9"/>
  <c r="T290" i="9"/>
  <c r="T289" i="9"/>
  <c r="W288" i="9"/>
  <c r="V287" i="9"/>
  <c r="AB286" i="9"/>
  <c r="AF285" i="9"/>
  <c r="AE284" i="9"/>
  <c r="AE283" i="9"/>
  <c r="AA282" i="9"/>
  <c r="AC281" i="9"/>
  <c r="AD280" i="9"/>
  <c r="W279" i="9"/>
  <c r="V278" i="9"/>
  <c r="V277" i="9"/>
  <c r="E276" i="9"/>
  <c r="BY274" i="9"/>
  <c r="BY273" i="9"/>
  <c r="A273" i="9"/>
  <c r="G272" i="9"/>
  <c r="F271" i="9"/>
  <c r="BM269" i="9"/>
  <c r="BK268" i="9"/>
  <c r="BM267" i="9"/>
  <c r="BD266" i="9"/>
  <c r="AT265" i="9"/>
  <c r="AV264" i="9"/>
  <c r="T387" i="9"/>
  <c r="BD369" i="9"/>
  <c r="S360" i="9"/>
  <c r="AC352" i="9"/>
  <c r="AE344" i="9"/>
  <c r="AO336" i="9"/>
  <c r="BH328" i="9"/>
  <c r="G325" i="9"/>
  <c r="AG322" i="9"/>
  <c r="U320" i="9"/>
  <c r="AD318" i="9"/>
  <c r="N317" i="9"/>
  <c r="V316" i="9"/>
  <c r="Z315" i="9"/>
  <c r="AE314" i="9"/>
  <c r="AG313" i="9"/>
  <c r="AH312" i="9"/>
  <c r="AI311" i="9"/>
  <c r="AJ310" i="9"/>
  <c r="AC309" i="9"/>
  <c r="AD308" i="9"/>
  <c r="AE307" i="9"/>
  <c r="S306" i="9"/>
  <c r="O305" i="9"/>
  <c r="P304" i="9"/>
  <c r="U303" i="9"/>
  <c r="AA302" i="9"/>
  <c r="X301" i="9"/>
  <c r="P300" i="9"/>
  <c r="F299" i="9"/>
  <c r="BY297" i="9"/>
  <c r="BY296" i="9"/>
  <c r="D296" i="9"/>
  <c r="B295" i="9"/>
  <c r="C294" i="9"/>
  <c r="E293" i="9"/>
  <c r="A292" i="9"/>
  <c r="C291" i="9"/>
  <c r="BY289" i="9"/>
  <c r="A289" i="9"/>
  <c r="C288" i="9"/>
  <c r="C287" i="9"/>
  <c r="I286" i="9"/>
  <c r="L285" i="9"/>
  <c r="I284" i="9"/>
  <c r="G283" i="9"/>
  <c r="E282" i="9"/>
  <c r="I281" i="9"/>
  <c r="G280" i="9"/>
  <c r="C279" i="9"/>
  <c r="C278" i="9"/>
  <c r="B277" i="9"/>
  <c r="BC275" i="9"/>
  <c r="BD274" i="9"/>
  <c r="BC273" i="9"/>
  <c r="BH272" i="9"/>
  <c r="BO271" i="9"/>
  <c r="BE270" i="9"/>
  <c r="AN269" i="9"/>
  <c r="AM268" i="9"/>
  <c r="AS267" i="9"/>
  <c r="AE266" i="9"/>
  <c r="AA265" i="9"/>
  <c r="AE264" i="9"/>
  <c r="BC380" i="9"/>
  <c r="K368" i="9"/>
  <c r="A359" i="9"/>
  <c r="E351" i="9"/>
  <c r="S343" i="9"/>
  <c r="AL335" i="9"/>
  <c r="AJ327" i="9"/>
  <c r="AY324" i="9"/>
  <c r="F322" i="9"/>
  <c r="C320" i="9"/>
  <c r="N318" i="9"/>
  <c r="E317" i="9"/>
  <c r="L316" i="9"/>
  <c r="O315" i="9"/>
  <c r="U314" i="9"/>
  <c r="V313" i="9"/>
  <c r="X312" i="9"/>
  <c r="Z311" i="9"/>
  <c r="P310" i="9"/>
  <c r="R309" i="9"/>
  <c r="R308" i="9"/>
  <c r="R307" i="9"/>
  <c r="H306" i="9"/>
  <c r="F305" i="9"/>
  <c r="G304" i="9"/>
  <c r="K303" i="9"/>
  <c r="O302" i="9"/>
  <c r="N301" i="9"/>
  <c r="E300" i="9"/>
  <c r="BT298" i="9"/>
  <c r="BO297" i="9"/>
  <c r="BP296" i="9"/>
  <c r="BR295" i="9"/>
  <c r="BQ294" i="9"/>
  <c r="BR293" i="9"/>
  <c r="BP292" i="9"/>
  <c r="BP291" i="9"/>
  <c r="BP290" i="9"/>
  <c r="BN289" i="9"/>
  <c r="BP288" i="9"/>
  <c r="BQ287" i="9"/>
  <c r="BQ286" i="9"/>
  <c r="BY285" i="9"/>
  <c r="C285" i="9"/>
  <c r="BY283" i="9"/>
  <c r="BW282" i="9"/>
  <c r="BT281" i="9"/>
  <c r="BX280" i="9"/>
  <c r="BV279" i="9"/>
  <c r="BR278" i="9"/>
  <c r="BR277" i="9"/>
  <c r="BK276" i="9"/>
  <c r="AQ275" i="9"/>
  <c r="AS274" i="9"/>
  <c r="AQ273" i="9"/>
  <c r="AV272" i="9"/>
  <c r="BF271" i="9"/>
  <c r="AR270" i="9"/>
  <c r="AE269" i="9"/>
  <c r="AC268" i="9"/>
  <c r="AE267" i="9"/>
  <c r="N266" i="9"/>
  <c r="P265" i="9"/>
  <c r="V264" i="9"/>
  <c r="BO378" i="9"/>
  <c r="W366" i="9"/>
  <c r="BR357" i="9"/>
  <c r="BU349" i="9"/>
  <c r="O342" i="9"/>
  <c r="AG334" i="9"/>
  <c r="BQ326" i="9"/>
  <c r="AA324" i="9"/>
  <c r="BC321" i="9"/>
  <c r="BH319" i="9"/>
  <c r="E318" i="9"/>
  <c r="BS316" i="9"/>
  <c r="C316" i="9"/>
  <c r="F315" i="9"/>
  <c r="J314" i="9"/>
  <c r="K313" i="9"/>
  <c r="M312" i="9"/>
  <c r="N311" i="9"/>
  <c r="G310" i="9"/>
  <c r="I309" i="9"/>
  <c r="G308" i="9"/>
  <c r="G307" i="9"/>
  <c r="BX305" i="9"/>
  <c r="BU304" i="9"/>
  <c r="BU303" i="9"/>
  <c r="A303" i="9"/>
  <c r="F302" i="9"/>
  <c r="D301" i="9"/>
  <c r="BU299" i="9"/>
  <c r="BK298" i="9"/>
  <c r="AW297" i="9"/>
  <c r="BF296" i="9"/>
  <c r="BI295" i="9"/>
  <c r="BF294" i="9"/>
  <c r="BH293" i="9"/>
  <c r="BD292" i="9"/>
  <c r="BG291" i="9"/>
  <c r="BC290" i="9"/>
  <c r="AZ289" i="9"/>
  <c r="BG288" i="9"/>
  <c r="BE287" i="9"/>
  <c r="BG286" i="9"/>
  <c r="BP285" i="9"/>
  <c r="BR284" i="9"/>
  <c r="BO283" i="9"/>
  <c r="BL282" i="9"/>
  <c r="BK281" i="9"/>
  <c r="BM280" i="9"/>
  <c r="BK279" i="9"/>
  <c r="BF278" i="9"/>
  <c r="BF277" i="9"/>
  <c r="AW276" i="9"/>
  <c r="AF275" i="9"/>
  <c r="AH274" i="9"/>
  <c r="AH273" i="9"/>
  <c r="AM272" i="9"/>
  <c r="AT271" i="9"/>
  <c r="AB270" i="9"/>
  <c r="S269" i="9"/>
  <c r="Q268" i="9"/>
  <c r="N267" i="9"/>
  <c r="D266" i="9"/>
  <c r="E265" i="9"/>
  <c r="D430" i="9"/>
  <c r="BV376" i="9"/>
  <c r="BP364" i="9"/>
  <c r="BJ356" i="9"/>
  <c r="BN348" i="9"/>
  <c r="J341" i="9"/>
  <c r="AB333" i="9"/>
  <c r="AP326" i="9"/>
  <c r="BU323" i="9"/>
  <c r="AH321" i="9"/>
  <c r="AI319" i="9"/>
  <c r="BS317" i="9"/>
  <c r="BJ316" i="9"/>
  <c r="BS315" i="9"/>
  <c r="BU314" i="9"/>
  <c r="BY313" i="9"/>
  <c r="B313" i="9"/>
  <c r="D312" i="9"/>
  <c r="E311" i="9"/>
  <c r="BV309" i="9"/>
  <c r="BW308" i="9"/>
  <c r="BW307" i="9"/>
  <c r="BR306" i="9"/>
  <c r="BL305" i="9"/>
  <c r="BJ304" i="9"/>
  <c r="BL303" i="9"/>
  <c r="BO302" i="9"/>
  <c r="BU301" i="9"/>
  <c r="BR300" i="9"/>
  <c r="BJ299" i="9"/>
  <c r="BA298" i="9"/>
  <c r="AN297" i="9"/>
  <c r="AT296" i="9"/>
  <c r="AW295" i="9"/>
  <c r="AS294" i="9"/>
  <c r="AV293" i="9"/>
  <c r="AR292" i="9"/>
  <c r="AU291" i="9"/>
  <c r="AR290" i="9"/>
  <c r="AP289" i="9"/>
  <c r="AU288" i="9"/>
  <c r="AR287" i="9"/>
  <c r="AV286" i="9"/>
  <c r="BD285" i="9"/>
  <c r="BF284" i="9"/>
  <c r="BE283" i="9"/>
  <c r="AZ282" i="9"/>
  <c r="BA281" i="9"/>
  <c r="AX280" i="9"/>
  <c r="AU279" i="9"/>
  <c r="AS278" i="9"/>
  <c r="AS277" i="9"/>
  <c r="AN276" i="9"/>
  <c r="V275" i="9"/>
  <c r="AE484" i="9"/>
  <c r="AE413" i="9"/>
  <c r="BL397" i="9"/>
  <c r="F456" i="9"/>
  <c r="AI391" i="9"/>
  <c r="BQ421" i="9"/>
  <c r="BI401" i="9"/>
  <c r="BJ393" i="9"/>
  <c r="BU385" i="9"/>
  <c r="AT377" i="9"/>
  <c r="BI369" i="9"/>
  <c r="AC434" i="9"/>
  <c r="AV419" i="9"/>
  <c r="BB409" i="9"/>
  <c r="AU401" i="9"/>
  <c r="AV393" i="9"/>
  <c r="BH385" i="9"/>
  <c r="AK377" i="9"/>
  <c r="AV369" i="9"/>
  <c r="L426" i="9"/>
  <c r="BA413" i="9"/>
  <c r="BT405" i="9"/>
  <c r="BD397" i="9"/>
  <c r="BC389" i="9"/>
  <c r="BH381" i="9"/>
  <c r="BH373" i="9"/>
  <c r="AG365" i="9"/>
  <c r="AV378" i="9"/>
  <c r="H366" i="9"/>
  <c r="BG357" i="9"/>
  <c r="BL349" i="9"/>
  <c r="F342" i="9"/>
  <c r="V334" i="9"/>
  <c r="AO426" i="9"/>
  <c r="AR376" i="9"/>
  <c r="AT364" i="9"/>
  <c r="AO356" i="9"/>
  <c r="AR348" i="9"/>
  <c r="BO340" i="9"/>
  <c r="H333" i="9"/>
  <c r="F325" i="9"/>
  <c r="BI391" i="9"/>
  <c r="AS370" i="9"/>
  <c r="BM360" i="9"/>
  <c r="BS352" i="9"/>
  <c r="H345" i="9"/>
  <c r="F337" i="9"/>
  <c r="Z329" i="9"/>
  <c r="AA321" i="9"/>
  <c r="BB390" i="9"/>
  <c r="AD370" i="9"/>
  <c r="AV360" i="9"/>
  <c r="BJ352" i="9"/>
  <c r="BX344" i="9"/>
  <c r="BV336" i="9"/>
  <c r="M329" i="9"/>
  <c r="AR381" i="9"/>
  <c r="AO368" i="9"/>
  <c r="AD359" i="9"/>
  <c r="AM351" i="9"/>
  <c r="BN347" i="9"/>
  <c r="AQ345" i="9"/>
  <c r="AT342" i="9"/>
  <c r="J340" i="9"/>
  <c r="C338" i="9"/>
  <c r="G336" i="9"/>
  <c r="P334" i="9"/>
  <c r="Z332" i="9"/>
  <c r="X330" i="9"/>
  <c r="M328" i="9"/>
  <c r="Q326" i="9"/>
  <c r="U324" i="9"/>
  <c r="W322" i="9"/>
  <c r="X320" i="9"/>
  <c r="AE318" i="9"/>
  <c r="N424" i="9"/>
  <c r="AI412" i="9"/>
  <c r="AW404" i="9"/>
  <c r="AL396" i="9"/>
  <c r="AF388" i="9"/>
  <c r="AQ381" i="9"/>
  <c r="AI379" i="9"/>
  <c r="BL377" i="9"/>
  <c r="U376" i="9"/>
  <c r="BJ374" i="9"/>
  <c r="F373" i="9"/>
  <c r="AJ371" i="9"/>
  <c r="BX369" i="9"/>
  <c r="AM368" i="9"/>
  <c r="G367" i="9"/>
  <c r="AL365" i="9"/>
  <c r="AE364" i="9"/>
  <c r="AF363" i="9"/>
  <c r="AD362" i="9"/>
  <c r="AE361" i="9"/>
  <c r="AD360" i="9"/>
  <c r="AC359" i="9"/>
  <c r="X358" i="9"/>
  <c r="X357" i="9"/>
  <c r="AA356" i="9"/>
  <c r="AD355" i="9"/>
  <c r="AE354" i="9"/>
  <c r="AG353" i="9"/>
  <c r="AO352" i="9"/>
  <c r="AL351" i="9"/>
  <c r="AC350" i="9"/>
  <c r="AC349" i="9"/>
  <c r="AF348" i="9"/>
  <c r="AM347" i="9"/>
  <c r="AV346" i="9"/>
  <c r="AY345" i="9"/>
  <c r="AU344" i="9"/>
  <c r="AN343" i="9"/>
  <c r="AS342" i="9"/>
  <c r="AY341" i="9"/>
  <c r="AZ340" i="9"/>
  <c r="BG339" i="9"/>
  <c r="AW338" i="9"/>
  <c r="AW337" i="9"/>
  <c r="AZ336" i="9"/>
  <c r="BG335" i="9"/>
  <c r="BN334" i="9"/>
  <c r="BN333" i="9"/>
  <c r="BS332" i="9"/>
  <c r="BR331" i="9"/>
  <c r="BQ330" i="9"/>
  <c r="BT329" i="9"/>
  <c r="BT328" i="9"/>
  <c r="BD327" i="9"/>
  <c r="BK326" i="9"/>
  <c r="BO325" i="9"/>
  <c r="BO324" i="9"/>
  <c r="BP323" i="9"/>
  <c r="BT322" i="9"/>
  <c r="BR321" i="9"/>
  <c r="BT320" i="9"/>
  <c r="BV319" i="9"/>
  <c r="BV318" i="9"/>
  <c r="Q432" i="9"/>
  <c r="E419" i="9"/>
  <c r="AF409" i="9"/>
  <c r="AC401" i="9"/>
  <c r="AC393" i="9"/>
  <c r="AE385" i="9"/>
  <c r="AL380" i="9"/>
  <c r="BP378" i="9"/>
  <c r="M377" i="9"/>
  <c r="AV375" i="9"/>
  <c r="O374" i="9"/>
  <c r="AJ372" i="9"/>
  <c r="BM370" i="9"/>
  <c r="AC369" i="9"/>
  <c r="A368" i="9"/>
  <c r="AA366" i="9"/>
  <c r="A365" i="9"/>
  <c r="B364" i="9"/>
  <c r="BX362" i="9"/>
  <c r="A362" i="9"/>
  <c r="B361" i="9"/>
  <c r="A360" i="9"/>
  <c r="BR358" i="9"/>
  <c r="BS357" i="9"/>
  <c r="BS356" i="9"/>
  <c r="BW355" i="9"/>
  <c r="A355" i="9"/>
  <c r="BY353" i="9"/>
  <c r="G353" i="9"/>
  <c r="L352" i="9"/>
  <c r="BW350" i="9"/>
  <c r="BV349" i="9"/>
  <c r="BY348" i="9"/>
  <c r="E348" i="9"/>
  <c r="N347" i="9"/>
  <c r="R346" i="9"/>
  <c r="U345" i="9"/>
  <c r="H344" i="9"/>
  <c r="K343" i="9"/>
  <c r="P342" i="9"/>
  <c r="V341" i="9"/>
  <c r="Z340" i="9"/>
  <c r="AC339" i="9"/>
  <c r="V338" i="9"/>
  <c r="T337" i="9"/>
  <c r="W336" i="9"/>
  <c r="AD335" i="9"/>
  <c r="AH334" i="9"/>
  <c r="AK333" i="9"/>
  <c r="AP332" i="9"/>
  <c r="AM331" i="9"/>
  <c r="AO330" i="9"/>
  <c r="AM329" i="9"/>
  <c r="AM328" i="9"/>
  <c r="AC327" i="9"/>
  <c r="AG326" i="9"/>
  <c r="AL325" i="9"/>
  <c r="AK324" i="9"/>
  <c r="AN323" i="9"/>
  <c r="AM322" i="9"/>
  <c r="AM321" i="9"/>
  <c r="AN320" i="9"/>
  <c r="AO319" i="9"/>
  <c r="AT318" i="9"/>
  <c r="Q396" i="9"/>
  <c r="AH371" i="9"/>
  <c r="AC361" i="9"/>
  <c r="AE353" i="9"/>
  <c r="AV345" i="9"/>
  <c r="AU337" i="9"/>
  <c r="BR329" i="9"/>
  <c r="AI325" i="9"/>
  <c r="BL322" i="9"/>
  <c r="AQ320" i="9"/>
  <c r="AW318" i="9"/>
  <c r="AE317" i="9"/>
  <c r="AE316" i="9"/>
  <c r="AI315" i="9"/>
  <c r="AP314" i="9"/>
  <c r="AQ313" i="9"/>
  <c r="AR312" i="9"/>
  <c r="AS311" i="9"/>
  <c r="AT310" i="9"/>
  <c r="AM309" i="9"/>
  <c r="AM308" i="9"/>
  <c r="AN307" i="9"/>
  <c r="AH306" i="9"/>
  <c r="AB305" i="9"/>
  <c r="AB304" i="9"/>
  <c r="AE303" i="9"/>
  <c r="AJ302" i="9"/>
  <c r="AH301" i="9"/>
  <c r="AL300" i="9"/>
  <c r="O299" i="9"/>
  <c r="K298" i="9"/>
  <c r="I297" i="9"/>
  <c r="M296" i="9"/>
  <c r="L295" i="9"/>
  <c r="L294" i="9"/>
  <c r="O293" i="9"/>
  <c r="K292" i="9"/>
  <c r="L291" i="9"/>
  <c r="J290" i="9"/>
  <c r="K289" i="9"/>
  <c r="N288" i="9"/>
  <c r="L287" i="9"/>
  <c r="R286" i="9"/>
  <c r="V285" i="9"/>
  <c r="U284" i="9"/>
  <c r="U283" i="9"/>
  <c r="N282" i="9"/>
  <c r="R281" i="9"/>
  <c r="T280" i="9"/>
  <c r="M279" i="9"/>
  <c r="L278" i="9"/>
  <c r="L277" i="9"/>
  <c r="BP275" i="9"/>
  <c r="BO274" i="9"/>
  <c r="BO273" i="9"/>
  <c r="BQ272" i="9"/>
  <c r="BX271" i="9"/>
  <c r="BS270" i="9"/>
  <c r="AW269" i="9"/>
  <c r="AV268" i="9"/>
  <c r="BE267" i="9"/>
  <c r="AR266" i="9"/>
  <c r="AL265" i="9"/>
  <c r="AN264" i="9"/>
  <c r="BY380" i="9"/>
  <c r="X368" i="9"/>
  <c r="L359" i="9"/>
  <c r="N351" i="9"/>
  <c r="AC343" i="9"/>
  <c r="AT335" i="9"/>
  <c r="AR327" i="9"/>
  <c r="AZ324" i="9"/>
  <c r="I322" i="9"/>
  <c r="D320" i="9"/>
  <c r="O318" i="9"/>
  <c r="F317" i="9"/>
  <c r="M316" i="9"/>
  <c r="P315" i="9"/>
  <c r="V314" i="9"/>
  <c r="W313" i="9"/>
  <c r="Z312" i="9"/>
  <c r="AA311" i="9"/>
  <c r="R310" i="9"/>
  <c r="S309" i="9"/>
  <c r="T308" i="9"/>
  <c r="T307" i="9"/>
  <c r="I306" i="9"/>
  <c r="G305" i="9"/>
  <c r="H304" i="9"/>
  <c r="L303" i="9"/>
  <c r="P302" i="9"/>
  <c r="O301" i="9"/>
  <c r="F300" i="9"/>
  <c r="BU298" i="9"/>
  <c r="BP297" i="9"/>
  <c r="BQ296" i="9"/>
  <c r="BS295" i="9"/>
  <c r="BR294" i="9"/>
  <c r="BS293" i="9"/>
  <c r="BU292" i="9"/>
  <c r="BQ291" i="9"/>
  <c r="BQ290" i="9"/>
  <c r="BO289" i="9"/>
  <c r="BQ288" i="9"/>
  <c r="BR287" i="9"/>
  <c r="BR286" i="9"/>
  <c r="A286" i="9"/>
  <c r="D285" i="9"/>
  <c r="A284" i="9"/>
  <c r="BX282" i="9"/>
  <c r="BU281" i="9"/>
  <c r="BY280" i="9"/>
  <c r="BX279" i="9"/>
  <c r="BS278" i="9"/>
  <c r="BS277" i="9"/>
  <c r="BL276" i="9"/>
  <c r="AR275" i="9"/>
  <c r="AT274" i="9"/>
  <c r="AR273" i="9"/>
  <c r="AW272" i="9"/>
  <c r="BG271" i="9"/>
  <c r="AS270" i="9"/>
  <c r="AF269" i="9"/>
  <c r="AD268" i="9"/>
  <c r="AG267" i="9"/>
  <c r="O266" i="9"/>
  <c r="Q265" i="9"/>
  <c r="W264" i="9"/>
  <c r="C379" i="9"/>
  <c r="AQ366" i="9"/>
  <c r="C358" i="9"/>
  <c r="D350" i="9"/>
  <c r="Z342" i="9"/>
  <c r="AR334" i="9"/>
  <c r="BU326" i="9"/>
  <c r="AB324" i="9"/>
  <c r="BD321" i="9"/>
  <c r="BI319" i="9"/>
  <c r="F318" i="9"/>
  <c r="BT316" i="9"/>
  <c r="D316" i="9"/>
  <c r="G315" i="9"/>
  <c r="K314" i="9"/>
  <c r="L313" i="9"/>
  <c r="N312" i="9"/>
  <c r="O311" i="9"/>
  <c r="H310" i="9"/>
  <c r="J309" i="9"/>
  <c r="H308" i="9"/>
  <c r="H307" i="9"/>
  <c r="BY305" i="9"/>
  <c r="BV304" i="9"/>
  <c r="BX303" i="9"/>
  <c r="B303" i="9"/>
  <c r="G302" i="9"/>
  <c r="E301" i="9"/>
  <c r="BV299" i="9"/>
  <c r="BL298" i="9"/>
  <c r="AZ297" i="9"/>
  <c r="BG296" i="9"/>
  <c r="BJ295" i="9"/>
  <c r="BH294" i="9"/>
  <c r="BI293" i="9"/>
  <c r="BG292" i="9"/>
  <c r="BH291" i="9"/>
  <c r="BD290" i="9"/>
  <c r="BC289" i="9"/>
  <c r="BH288" i="9"/>
  <c r="BF287" i="9"/>
  <c r="BI286" i="9"/>
  <c r="BQ285" i="9"/>
  <c r="BS284" i="9"/>
  <c r="BP283" i="9"/>
  <c r="BO282" i="9"/>
  <c r="BL281" i="9"/>
  <c r="BN280" i="9"/>
  <c r="BL279" i="9"/>
  <c r="BH278" i="9"/>
  <c r="BH277" i="9"/>
  <c r="AZ276" i="9"/>
  <c r="AG275" i="9"/>
  <c r="AI274" i="9"/>
  <c r="AI273" i="9"/>
  <c r="AN272" i="9"/>
  <c r="AU271" i="9"/>
  <c r="AE270" i="9"/>
  <c r="T269" i="9"/>
  <c r="R268" i="9"/>
  <c r="O267" i="9"/>
  <c r="E266" i="9"/>
  <c r="F265" i="9"/>
  <c r="BP431" i="9"/>
  <c r="L377" i="9"/>
  <c r="BY364" i="9"/>
  <c r="BR356" i="9"/>
  <c r="BX348" i="9"/>
  <c r="U341" i="9"/>
  <c r="AJ333" i="9"/>
  <c r="AT326" i="9"/>
  <c r="BV323" i="9"/>
  <c r="AJ321" i="9"/>
  <c r="AL319" i="9"/>
  <c r="BT317" i="9"/>
  <c r="BK316" i="9"/>
  <c r="BT315" i="9"/>
  <c r="BW314" i="9"/>
  <c r="A314" i="9"/>
  <c r="C313" i="9"/>
  <c r="E312" i="9"/>
  <c r="F311" i="9"/>
  <c r="BW309" i="9"/>
  <c r="BX308" i="9"/>
  <c r="BX307" i="9"/>
  <c r="BS306" i="9"/>
  <c r="BO305" i="9"/>
  <c r="BK304" i="9"/>
  <c r="BM303" i="9"/>
  <c r="BP302" i="9"/>
  <c r="BV301" i="9"/>
  <c r="BS300" i="9"/>
  <c r="BK299" i="9"/>
  <c r="BB298" i="9"/>
  <c r="AO297" i="9"/>
  <c r="AU296" i="9"/>
  <c r="AZ295" i="9"/>
  <c r="AT294" i="9"/>
  <c r="AW293" i="9"/>
  <c r="AS292" i="9"/>
  <c r="AV291" i="9"/>
  <c r="AS290" i="9"/>
  <c r="AQ289" i="9"/>
  <c r="AV288" i="9"/>
  <c r="AS287" i="9"/>
  <c r="AW286" i="9"/>
  <c r="BE285" i="9"/>
  <c r="BH284" i="9"/>
  <c r="BF283" i="9"/>
  <c r="BA282" i="9"/>
  <c r="BB281" i="9"/>
  <c r="AZ280" i="9"/>
  <c r="AV279" i="9"/>
  <c r="AT278" i="9"/>
  <c r="AT277" i="9"/>
  <c r="AO276" i="9"/>
  <c r="W275" i="9"/>
  <c r="Z274" i="9"/>
  <c r="X273" i="9"/>
  <c r="AD272" i="9"/>
  <c r="AL271" i="9"/>
  <c r="M270" i="9"/>
  <c r="H269" i="9"/>
  <c r="I268" i="9"/>
  <c r="D267" i="9"/>
  <c r="BR265" i="9"/>
  <c r="BT264" i="9"/>
  <c r="S417" i="9"/>
  <c r="AI375" i="9"/>
  <c r="BP363" i="9"/>
  <c r="BM355" i="9"/>
  <c r="BS347" i="9"/>
  <c r="O340" i="9"/>
  <c r="AE332" i="9"/>
  <c r="R326" i="9"/>
  <c r="AU323" i="9"/>
  <c r="O321" i="9"/>
  <c r="Q319" i="9"/>
  <c r="BI317" i="9"/>
  <c r="AZ316" i="9"/>
  <c r="BI315" i="9"/>
  <c r="BM314" i="9"/>
  <c r="BQ313" i="9"/>
  <c r="BS312" i="9"/>
  <c r="BT311" i="9"/>
  <c r="BU310" i="9"/>
  <c r="BL309" i="9"/>
  <c r="BM308" i="9"/>
  <c r="BM307" i="9"/>
  <c r="BI306" i="9"/>
  <c r="AW305" i="9"/>
  <c r="AW304" i="9"/>
  <c r="BC303" i="9"/>
  <c r="R454" i="9"/>
  <c r="AW405" i="9"/>
  <c r="BK389" i="9"/>
  <c r="BA423" i="9"/>
  <c r="B389" i="9"/>
  <c r="AN417" i="9"/>
  <c r="BH400" i="9"/>
  <c r="BA392" i="9"/>
  <c r="BH384" i="9"/>
  <c r="AY376" i="9"/>
  <c r="BI368" i="9"/>
  <c r="BG430" i="9"/>
  <c r="BS417" i="9"/>
  <c r="BA408" i="9"/>
  <c r="AV400" i="9"/>
  <c r="AN392" i="9"/>
  <c r="AT384" i="9"/>
  <c r="AO376" i="9"/>
  <c r="AE463" i="9"/>
  <c r="AR424" i="9"/>
  <c r="BD412" i="9"/>
  <c r="BU404" i="9"/>
  <c r="BF396" i="9"/>
  <c r="BD388" i="9"/>
  <c r="AV380" i="9"/>
  <c r="AW372" i="9"/>
  <c r="BO429" i="9"/>
  <c r="BU376" i="9"/>
  <c r="BO364" i="9"/>
  <c r="BI356" i="9"/>
  <c r="BL348" i="9"/>
  <c r="I341" i="9"/>
  <c r="AA333" i="9"/>
  <c r="C414" i="9"/>
  <c r="C375" i="9"/>
  <c r="AR363" i="9"/>
  <c r="AR355" i="9"/>
  <c r="AY347" i="9"/>
  <c r="BT339" i="9"/>
  <c r="I332" i="9"/>
  <c r="C324" i="9"/>
  <c r="BP383" i="9"/>
  <c r="C369" i="9"/>
  <c r="BJ359" i="9"/>
  <c r="BX351" i="9"/>
  <c r="BS343" i="9"/>
  <c r="I336" i="9"/>
  <c r="O328" i="9"/>
  <c r="AA320" i="9"/>
  <c r="BE382" i="9"/>
  <c r="BN368" i="9"/>
  <c r="AV359" i="9"/>
  <c r="BI351" i="9"/>
  <c r="BI343" i="9"/>
  <c r="BY335" i="9"/>
  <c r="D328" i="9"/>
  <c r="AJ379" i="9"/>
  <c r="H367" i="9"/>
  <c r="Z358" i="9"/>
  <c r="AD350" i="9"/>
  <c r="AN347" i="9"/>
  <c r="F345" i="9"/>
  <c r="AL342" i="9"/>
  <c r="BH339" i="9"/>
  <c r="AZ337" i="9"/>
  <c r="BH335" i="9"/>
  <c r="BO333" i="9"/>
  <c r="BS331" i="9"/>
  <c r="BU329" i="9"/>
  <c r="BG327" i="9"/>
  <c r="BP325" i="9"/>
  <c r="BQ323" i="9"/>
  <c r="BS321" i="9"/>
  <c r="BX319" i="9"/>
  <c r="BH448" i="9"/>
  <c r="AT422" i="9"/>
  <c r="AK411" i="9"/>
  <c r="AZ403" i="9"/>
  <c r="AM395" i="9"/>
  <c r="AK387" i="9"/>
  <c r="F381" i="9"/>
  <c r="S379" i="9"/>
  <c r="AU377" i="9"/>
  <c r="I376" i="9"/>
  <c r="AS374" i="9"/>
  <c r="BP372" i="9"/>
  <c r="T371" i="9"/>
  <c r="BJ369" i="9"/>
  <c r="AA368" i="9"/>
  <c r="BF366" i="9"/>
  <c r="Z365" i="9"/>
  <c r="U364" i="9"/>
  <c r="U363" i="9"/>
  <c r="T362" i="9"/>
  <c r="U361" i="9"/>
  <c r="U360" i="9"/>
  <c r="O359" i="9"/>
  <c r="N358" i="9"/>
  <c r="N357" i="9"/>
  <c r="P356" i="9"/>
  <c r="U355" i="9"/>
  <c r="T354" i="9"/>
  <c r="Y353" i="9"/>
  <c r="AE352" i="9"/>
  <c r="P351" i="9"/>
  <c r="P350" i="9"/>
  <c r="R349" i="9"/>
  <c r="W348" i="9"/>
  <c r="AE347" i="9"/>
  <c r="AN346" i="9"/>
  <c r="AN345" i="9"/>
  <c r="AJ344" i="9"/>
  <c r="AE343" i="9"/>
  <c r="AJ342" i="9"/>
  <c r="AP341" i="9"/>
  <c r="AQ340" i="9"/>
  <c r="AT339" i="9"/>
  <c r="AO338" i="9"/>
  <c r="AO337" i="9"/>
  <c r="AQ336" i="9"/>
  <c r="AV335" i="9"/>
  <c r="BE334" i="9"/>
  <c r="BD333" i="9"/>
  <c r="BJ332" i="9"/>
  <c r="BJ331" i="9"/>
  <c r="BI330" i="9"/>
  <c r="BK329" i="9"/>
  <c r="BJ328" i="9"/>
  <c r="AT327" i="9"/>
  <c r="BB326" i="9"/>
  <c r="BF325" i="9"/>
  <c r="BD324" i="9"/>
  <c r="BH323" i="9"/>
  <c r="BJ322" i="9"/>
  <c r="BJ321" i="9"/>
  <c r="BJ320" i="9"/>
  <c r="BL319" i="9"/>
  <c r="BN318" i="9"/>
  <c r="W430" i="9"/>
  <c r="AG417" i="9"/>
  <c r="AE408" i="9"/>
  <c r="AC400" i="9"/>
  <c r="S392" i="9"/>
  <c r="AA384" i="9"/>
  <c r="U380" i="9"/>
  <c r="AZ378" i="9"/>
  <c r="A377" i="9"/>
  <c r="AJ375" i="9"/>
  <c r="A374" i="9"/>
  <c r="R372" i="9"/>
  <c r="AW370" i="9"/>
  <c r="L369" i="9"/>
  <c r="BM367" i="9"/>
  <c r="L366" i="9"/>
  <c r="BQ364" i="9"/>
  <c r="BQ363" i="9"/>
  <c r="BN362" i="9"/>
  <c r="BO361" i="9"/>
  <c r="BQ360" i="9"/>
  <c r="BO359" i="9"/>
  <c r="BI358" i="9"/>
  <c r="BK357" i="9"/>
  <c r="BK356" i="9"/>
  <c r="BN355" i="9"/>
  <c r="BP354" i="9"/>
  <c r="BO353" i="9"/>
  <c r="BX352" i="9"/>
  <c r="C352" i="9"/>
  <c r="BN350" i="9"/>
  <c r="BN349" i="9"/>
  <c r="BO348" i="9"/>
  <c r="BT347" i="9"/>
  <c r="F347" i="9"/>
  <c r="I346" i="9"/>
  <c r="L345" i="9"/>
  <c r="BX343" i="9"/>
  <c r="C343" i="9"/>
  <c r="H342" i="9"/>
  <c r="K341" i="9"/>
  <c r="P340" i="9"/>
  <c r="N339" i="9"/>
  <c r="L338" i="9"/>
  <c r="J337" i="9"/>
  <c r="M336" i="9"/>
  <c r="U335" i="9"/>
  <c r="Z334" i="9"/>
  <c r="AC333" i="9"/>
  <c r="AF332" i="9"/>
  <c r="AE331" i="9"/>
  <c r="AE330" i="9"/>
  <c r="AD329" i="9"/>
  <c r="X328" i="9"/>
  <c r="U327" i="9"/>
  <c r="X326" i="9"/>
  <c r="AC325" i="9"/>
  <c r="AC324" i="9"/>
  <c r="AD323" i="9"/>
  <c r="AD322" i="9"/>
  <c r="AE321" i="9"/>
  <c r="AE320" i="9"/>
  <c r="AF319" i="9"/>
  <c r="AL318" i="9"/>
  <c r="M388" i="9"/>
  <c r="BT369" i="9"/>
  <c r="AB360" i="9"/>
  <c r="AM352" i="9"/>
  <c r="AS344" i="9"/>
  <c r="AW336" i="9"/>
  <c r="BR328" i="9"/>
  <c r="H325" i="9"/>
  <c r="AJ322" i="9"/>
  <c r="Z320" i="9"/>
  <c r="AF318" i="9"/>
  <c r="O317" i="9"/>
  <c r="W316" i="9"/>
  <c r="AA315" i="9"/>
  <c r="AF314" i="9"/>
  <c r="AH313" i="9"/>
  <c r="AI312" i="9"/>
  <c r="AJ311" i="9"/>
  <c r="AL310" i="9"/>
  <c r="AD309" i="9"/>
  <c r="AE308" i="9"/>
  <c r="AF307" i="9"/>
  <c r="T306" i="9"/>
  <c r="P305" i="9"/>
  <c r="Q304" i="9"/>
  <c r="V303" i="9"/>
  <c r="AB302" i="9"/>
  <c r="Z301" i="9"/>
  <c r="R300" i="9"/>
  <c r="G299" i="9"/>
  <c r="A298" i="9"/>
  <c r="A297" i="9"/>
  <c r="E296" i="9"/>
  <c r="C295" i="9"/>
  <c r="D294" i="9"/>
  <c r="F293" i="9"/>
  <c r="B292" i="9"/>
  <c r="D291" i="9"/>
  <c r="A290" i="9"/>
  <c r="B289" i="9"/>
  <c r="D288" i="9"/>
  <c r="D287" i="9"/>
  <c r="J286" i="9"/>
  <c r="M285" i="9"/>
  <c r="K284" i="9"/>
  <c r="I283" i="9"/>
  <c r="F282" i="9"/>
  <c r="J281" i="9"/>
  <c r="H280" i="9"/>
  <c r="D279" i="9"/>
  <c r="D278" i="9"/>
  <c r="C277" i="9"/>
  <c r="BD275" i="9"/>
  <c r="BF274" i="9"/>
  <c r="BD273" i="9"/>
  <c r="BI272" i="9"/>
  <c r="BP271" i="9"/>
  <c r="BF270" i="9"/>
  <c r="AO269" i="9"/>
  <c r="AN268" i="9"/>
  <c r="AT267" i="9"/>
  <c r="AG266" i="9"/>
  <c r="AB265" i="9"/>
  <c r="AF264" i="9"/>
  <c r="Q379" i="9"/>
  <c r="BC366" i="9"/>
  <c r="L358" i="9"/>
  <c r="M350" i="9"/>
  <c r="AH342" i="9"/>
  <c r="BA334" i="9"/>
  <c r="A327" i="9"/>
  <c r="AF324" i="9"/>
  <c r="BG321" i="9"/>
  <c r="BJ319" i="9"/>
  <c r="G318" i="9"/>
  <c r="BW316" i="9"/>
  <c r="E316" i="9"/>
  <c r="H315" i="9"/>
  <c r="L314" i="9"/>
  <c r="M313" i="9"/>
  <c r="O312" i="9"/>
  <c r="P311" i="9"/>
  <c r="I310" i="9"/>
  <c r="K309" i="9"/>
  <c r="J308" i="9"/>
  <c r="I307" i="9"/>
  <c r="A306" i="9"/>
  <c r="BX304" i="9"/>
  <c r="BY303" i="9"/>
  <c r="C303" i="9"/>
  <c r="H302" i="9"/>
  <c r="F301" i="9"/>
  <c r="BW299" i="9"/>
  <c r="BM298" i="9"/>
  <c r="BA297" i="9"/>
  <c r="BH296" i="9"/>
  <c r="BK295" i="9"/>
  <c r="BI294" i="9"/>
  <c r="BJ293" i="9"/>
  <c r="BH292" i="9"/>
  <c r="BI291" i="9"/>
  <c r="BF290" i="9"/>
  <c r="BD289" i="9"/>
  <c r="BI288" i="9"/>
  <c r="BH287" i="9"/>
  <c r="BJ286" i="9"/>
  <c r="BR285" i="9"/>
  <c r="BT284" i="9"/>
  <c r="BQ283" i="9"/>
  <c r="BP282" i="9"/>
  <c r="BM281" i="9"/>
  <c r="BO280" i="9"/>
  <c r="BO279" i="9"/>
  <c r="BI278" i="9"/>
  <c r="BJ277" i="9"/>
  <c r="BA276" i="9"/>
  <c r="AH275" i="9"/>
  <c r="AL274" i="9"/>
  <c r="AJ273" i="9"/>
  <c r="AO272" i="9"/>
  <c r="AV271" i="9"/>
  <c r="AG270" i="9"/>
  <c r="U269" i="9"/>
  <c r="S268" i="9"/>
  <c r="P267" i="9"/>
  <c r="F266" i="9"/>
  <c r="I265" i="9"/>
  <c r="R439" i="9"/>
  <c r="AE377" i="9"/>
  <c r="I365" i="9"/>
  <c r="C357" i="9"/>
  <c r="G349" i="9"/>
  <c r="AE341" i="9"/>
  <c r="AR333" i="9"/>
  <c r="AW326" i="9"/>
  <c r="A324" i="9"/>
  <c r="AK321" i="9"/>
  <c r="AM319" i="9"/>
  <c r="BV317" i="9"/>
  <c r="BL316" i="9"/>
  <c r="BU315" i="9"/>
  <c r="BX314" i="9"/>
  <c r="B314" i="9"/>
  <c r="D313" i="9"/>
  <c r="F312" i="9"/>
  <c r="G311" i="9"/>
  <c r="BX309" i="9"/>
  <c r="A309" i="9"/>
  <c r="BY307" i="9"/>
  <c r="BT306" i="9"/>
  <c r="BP305" i="9"/>
  <c r="BL304" i="9"/>
  <c r="BN303" i="9"/>
  <c r="BQ302" i="9"/>
  <c r="BW301" i="9"/>
  <c r="BT300" i="9"/>
  <c r="BL299" i="9"/>
  <c r="BC298" i="9"/>
  <c r="AP297" i="9"/>
  <c r="AV296" i="9"/>
  <c r="BA295" i="9"/>
  <c r="AU294" i="9"/>
  <c r="AZ293" i="9"/>
  <c r="AT292" i="9"/>
  <c r="AW291" i="9"/>
  <c r="AT290" i="9"/>
  <c r="AR289" i="9"/>
  <c r="AW288" i="9"/>
  <c r="AT287" i="9"/>
  <c r="AX286" i="9"/>
  <c r="BF285" i="9"/>
  <c r="BI284" i="9"/>
  <c r="BG283" i="9"/>
  <c r="BD282" i="9"/>
  <c r="BC281" i="9"/>
  <c r="BC280" i="9"/>
  <c r="AW279" i="9"/>
  <c r="AU278" i="9"/>
  <c r="AU277" i="9"/>
  <c r="AP276" i="9"/>
  <c r="X275" i="9"/>
  <c r="AA274" i="9"/>
  <c r="AA273" i="9"/>
  <c r="AE272" i="9"/>
  <c r="AM271" i="9"/>
  <c r="N270" i="9"/>
  <c r="J269" i="9"/>
  <c r="J268" i="9"/>
  <c r="E267" i="9"/>
  <c r="BS265" i="9"/>
  <c r="BW264" i="9"/>
  <c r="BN418" i="9"/>
  <c r="AU375" i="9"/>
  <c r="A364" i="9"/>
  <c r="BU355" i="9"/>
  <c r="D348" i="9"/>
  <c r="Y340" i="9"/>
  <c r="AO332" i="9"/>
  <c r="V326" i="9"/>
  <c r="BA323" i="9"/>
  <c r="R321" i="9"/>
  <c r="S319" i="9"/>
  <c r="BJ317" i="9"/>
  <c r="BA316" i="9"/>
  <c r="BJ315" i="9"/>
  <c r="BN314" i="9"/>
  <c r="BR313" i="9"/>
  <c r="BT312" i="9"/>
  <c r="BU311" i="9"/>
  <c r="BV310" i="9"/>
  <c r="BO309" i="9"/>
  <c r="BN308" i="9"/>
  <c r="BN307" i="9"/>
  <c r="BJ306" i="9"/>
  <c r="AZ305" i="9"/>
  <c r="AZ304" i="9"/>
  <c r="BD303" i="9"/>
  <c r="BG302" i="9"/>
  <c r="BL301" i="9"/>
  <c r="BJ300" i="9"/>
  <c r="AZ299" i="9"/>
  <c r="AR298" i="9"/>
  <c r="AF297" i="9"/>
  <c r="AJ296" i="9"/>
  <c r="AP295" i="9"/>
  <c r="AL294" i="9"/>
  <c r="AO293" i="9"/>
  <c r="AI292" i="9"/>
  <c r="AN291" i="9"/>
  <c r="AI290" i="9"/>
  <c r="AI289" i="9"/>
  <c r="AN288" i="9"/>
  <c r="AJ287" i="9"/>
  <c r="AO286" i="9"/>
  <c r="AT285" i="9"/>
  <c r="AU284" i="9"/>
  <c r="AU283" i="9"/>
  <c r="AQ282" i="9"/>
  <c r="AR281" i="9"/>
  <c r="AQ280" i="9"/>
  <c r="AL279" i="9"/>
  <c r="AL278" i="9"/>
  <c r="AL277" i="9"/>
  <c r="Z276" i="9"/>
  <c r="N275" i="9"/>
  <c r="O274" i="9"/>
  <c r="O273" i="9"/>
  <c r="U272" i="9"/>
  <c r="X271" i="9"/>
  <c r="D270" i="9"/>
  <c r="BY268" i="9"/>
  <c r="A268" i="9"/>
  <c r="BU266" i="9"/>
  <c r="BJ265" i="9"/>
  <c r="BL264" i="9"/>
  <c r="V408" i="9"/>
  <c r="BY373" i="9"/>
  <c r="BM362" i="9"/>
  <c r="BO354" i="9"/>
  <c r="E347" i="9"/>
  <c r="M339" i="9"/>
  <c r="AD331" i="9"/>
  <c r="BT325" i="9"/>
  <c r="X323" i="9"/>
  <c r="BV320" i="9"/>
  <c r="A319" i="9"/>
  <c r="AV317" i="9"/>
  <c r="AQ316" i="9"/>
  <c r="AV315" i="9"/>
  <c r="BD314" i="9"/>
  <c r="BH313" i="9"/>
  <c r="BI312" i="9"/>
  <c r="BJ311" i="9"/>
  <c r="BK310" i="9"/>
  <c r="BA309" i="9"/>
  <c r="AZ308" i="9"/>
  <c r="AZ307" i="9"/>
  <c r="AT306" i="9"/>
  <c r="AO305" i="9"/>
  <c r="AO304" i="9"/>
  <c r="AS303" i="9"/>
  <c r="AV302" i="9"/>
  <c r="AU301" i="9"/>
  <c r="AZ300" i="9"/>
  <c r="AM299" i="9"/>
  <c r="AC298" i="9"/>
  <c r="V297" i="9"/>
  <c r="AA296" i="9"/>
  <c r="AE295" i="9"/>
  <c r="AB294" i="9"/>
  <c r="AD293" i="9"/>
  <c r="Z292" i="9"/>
  <c r="AB291" i="9"/>
  <c r="Z290" i="9"/>
  <c r="X289" i="9"/>
  <c r="AC288" i="9"/>
  <c r="AA287" i="9"/>
  <c r="AF286" i="9"/>
  <c r="AJ285" i="9"/>
  <c r="AH445" i="9"/>
  <c r="AH397" i="9"/>
  <c r="AW465" i="9"/>
  <c r="M412" i="9"/>
  <c r="X386" i="9"/>
  <c r="BT413" i="9"/>
  <c r="BJ399" i="9"/>
  <c r="BD391" i="9"/>
  <c r="BJ383" i="9"/>
  <c r="BA375" i="9"/>
  <c r="BK367" i="9"/>
  <c r="I429" i="9"/>
  <c r="AB416" i="9"/>
  <c r="BA407" i="9"/>
  <c r="AV399" i="9"/>
  <c r="AR391" i="9"/>
  <c r="AU383" i="9"/>
  <c r="AP375" i="9"/>
  <c r="BS450" i="9"/>
  <c r="B423" i="9"/>
  <c r="BD411" i="9"/>
  <c r="BV403" i="9"/>
  <c r="BG395" i="9"/>
  <c r="BD387" i="9"/>
  <c r="AW379" i="9"/>
  <c r="AU371" i="9"/>
  <c r="C417" i="9"/>
  <c r="AE375" i="9"/>
  <c r="BO363" i="9"/>
  <c r="BL355" i="9"/>
  <c r="BR347" i="9"/>
  <c r="N340" i="9"/>
  <c r="AD332" i="9"/>
  <c r="M406" i="9"/>
  <c r="AJ373" i="9"/>
  <c r="AR362" i="9"/>
  <c r="AQ354" i="9"/>
  <c r="BK346" i="9"/>
  <c r="BO338" i="9"/>
  <c r="F331" i="9"/>
  <c r="I323" i="9"/>
  <c r="L380" i="9"/>
  <c r="AX367" i="9"/>
  <c r="BD358" i="9"/>
  <c r="BJ350" i="9"/>
  <c r="BX342" i="9"/>
  <c r="Q335" i="9"/>
  <c r="O327" i="9"/>
  <c r="AB319" i="9"/>
  <c r="BY379" i="9"/>
  <c r="AM367" i="9"/>
  <c r="AS358" i="9"/>
  <c r="AW350" i="9"/>
  <c r="BN342" i="9"/>
  <c r="H335" i="9"/>
  <c r="AL461" i="9"/>
  <c r="BN377" i="9"/>
  <c r="AM365" i="9"/>
  <c r="Z357" i="9"/>
  <c r="BH349" i="9"/>
  <c r="AF347" i="9"/>
  <c r="AV344" i="9"/>
  <c r="B342" i="9"/>
  <c r="AU339" i="9"/>
  <c r="AP337" i="9"/>
  <c r="AW335" i="9"/>
  <c r="BE333" i="9"/>
  <c r="BK331" i="9"/>
  <c r="BL329" i="9"/>
  <c r="AU327" i="9"/>
  <c r="BG325" i="9"/>
  <c r="BI323" i="9"/>
  <c r="BK321" i="9"/>
  <c r="BM319" i="9"/>
  <c r="U441" i="9"/>
  <c r="BY420" i="9"/>
  <c r="AM410" i="9"/>
  <c r="AW402" i="9"/>
  <c r="AP394" i="9"/>
  <c r="AR386" i="9"/>
  <c r="BE380" i="9"/>
  <c r="H379" i="9"/>
  <c r="AG377" i="9"/>
  <c r="BS375" i="9"/>
  <c r="AD374" i="9"/>
  <c r="BA372" i="9"/>
  <c r="D371" i="9"/>
  <c r="AR369" i="9"/>
  <c r="O368" i="9"/>
  <c r="AS366" i="9"/>
  <c r="K365" i="9"/>
  <c r="K364" i="9"/>
  <c r="K363" i="9"/>
  <c r="K362" i="9"/>
  <c r="L361" i="9"/>
  <c r="K360" i="9"/>
  <c r="C359" i="9"/>
  <c r="E358" i="9"/>
  <c r="E357" i="9"/>
  <c r="H356" i="9"/>
  <c r="K355" i="9"/>
  <c r="J354" i="9"/>
  <c r="P353" i="9"/>
  <c r="V352" i="9"/>
  <c r="H351" i="9"/>
  <c r="F350" i="9"/>
  <c r="I349" i="9"/>
  <c r="N348" i="9"/>
  <c r="W347" i="9"/>
  <c r="AD346" i="9"/>
  <c r="AE345" i="9"/>
  <c r="R344" i="9"/>
  <c r="V343" i="9"/>
  <c r="AB342" i="9"/>
  <c r="AG341" i="9"/>
  <c r="AI340" i="9"/>
  <c r="AL339" i="9"/>
  <c r="AG338" i="9"/>
  <c r="AE337" i="9"/>
  <c r="AH336" i="9"/>
  <c r="AN335" i="9"/>
  <c r="AT334" i="9"/>
  <c r="AT333" i="9"/>
  <c r="BA332" i="9"/>
  <c r="AV331" i="9"/>
  <c r="AZ330" i="9"/>
  <c r="AV329" i="9"/>
  <c r="AV328" i="9"/>
  <c r="AL327" i="9"/>
  <c r="AR326" i="9"/>
  <c r="AU325" i="9"/>
  <c r="AT324" i="9"/>
  <c r="AW323" i="9"/>
  <c r="AV322" i="9"/>
  <c r="AV321" i="9"/>
  <c r="AW320" i="9"/>
  <c r="AZ319" i="9"/>
  <c r="BF318" i="9"/>
  <c r="BA428" i="9"/>
  <c r="BV415" i="9"/>
  <c r="AF407" i="9"/>
  <c r="AC399" i="9"/>
  <c r="U391" i="9"/>
  <c r="AC383" i="9"/>
  <c r="H380" i="9"/>
  <c r="AM378" i="9"/>
  <c r="BL376" i="9"/>
  <c r="U375" i="9"/>
  <c r="BF373" i="9"/>
  <c r="F372" i="9"/>
  <c r="AL370" i="9"/>
  <c r="BU368" i="9"/>
  <c r="AS367" i="9"/>
  <c r="BY365" i="9"/>
  <c r="BH364" i="9"/>
  <c r="BI363" i="9"/>
  <c r="BF362" i="9"/>
  <c r="BG361" i="9"/>
  <c r="BD360" i="9"/>
  <c r="BC359" i="9"/>
  <c r="AZ358" i="9"/>
  <c r="AZ357" i="9"/>
  <c r="BB356" i="9"/>
  <c r="BF355" i="9"/>
  <c r="BG354" i="9"/>
  <c r="BF353" i="9"/>
  <c r="BO352" i="9"/>
  <c r="BN351" i="9"/>
  <c r="BD350" i="9"/>
  <c r="BF349" i="9"/>
  <c r="BE348" i="9"/>
  <c r="BL347" i="9"/>
  <c r="BW346" i="9"/>
  <c r="BY345" i="9"/>
  <c r="D345" i="9"/>
  <c r="BO343" i="9"/>
  <c r="BS342" i="9"/>
  <c r="BY341" i="9"/>
  <c r="C341" i="9"/>
  <c r="H340" i="9"/>
  <c r="C339" i="9"/>
  <c r="A338" i="9"/>
  <c r="B337" i="9"/>
  <c r="E336" i="9"/>
  <c r="M335" i="9"/>
  <c r="N334" i="9"/>
  <c r="T333" i="9"/>
  <c r="V332" i="9"/>
  <c r="U331" i="9"/>
  <c r="V330" i="9"/>
  <c r="U329" i="9"/>
  <c r="K328" i="9"/>
  <c r="K327" i="9"/>
  <c r="O326" i="9"/>
  <c r="R325" i="9"/>
  <c r="R324" i="9"/>
  <c r="U323" i="9"/>
  <c r="U322" i="9"/>
  <c r="U321" i="9"/>
  <c r="V320" i="9"/>
  <c r="W319" i="9"/>
  <c r="AC318" i="9"/>
  <c r="AG381" i="9"/>
  <c r="AI368" i="9"/>
  <c r="W359" i="9"/>
  <c r="AC351" i="9"/>
  <c r="AL343" i="9"/>
  <c r="BE335" i="9"/>
  <c r="AZ327" i="9"/>
  <c r="BI324" i="9"/>
  <c r="J322" i="9"/>
  <c r="H320" i="9"/>
  <c r="P318" i="9"/>
  <c r="G317" i="9"/>
  <c r="N316" i="9"/>
  <c r="Q315" i="9"/>
  <c r="W314" i="9"/>
  <c r="Z313" i="9"/>
  <c r="AA312" i="9"/>
  <c r="AB311" i="9"/>
  <c r="W310" i="9"/>
  <c r="U309" i="9"/>
  <c r="U308" i="9"/>
  <c r="U307" i="9"/>
  <c r="J306" i="9"/>
  <c r="H305" i="9"/>
  <c r="I304" i="9"/>
  <c r="M303" i="9"/>
  <c r="R302" i="9"/>
  <c r="P301" i="9"/>
  <c r="G300" i="9"/>
  <c r="BW298" i="9"/>
  <c r="BQ297" i="9"/>
  <c r="BR296" i="9"/>
  <c r="BT295" i="9"/>
  <c r="BS294" i="9"/>
  <c r="BT293" i="9"/>
  <c r="BW292" i="9"/>
  <c r="BR291" i="9"/>
  <c r="BR290" i="9"/>
  <c r="BP289" i="9"/>
  <c r="BR288" i="9"/>
  <c r="BS287" i="9"/>
  <c r="BS286" i="9"/>
  <c r="B286" i="9"/>
  <c r="E285" i="9"/>
  <c r="B284" i="9"/>
  <c r="BY282" i="9"/>
  <c r="BW281" i="9"/>
  <c r="A281" i="9"/>
  <c r="BY279" i="9"/>
  <c r="BT278" i="9"/>
  <c r="BT277" i="9"/>
  <c r="BN276" i="9"/>
  <c r="AS275" i="9"/>
  <c r="AU274" i="9"/>
  <c r="AS273" i="9"/>
  <c r="AY272" i="9"/>
  <c r="BH271" i="9"/>
  <c r="AT270" i="9"/>
  <c r="AG269" i="9"/>
  <c r="AE268" i="9"/>
  <c r="AL267" i="9"/>
  <c r="P266" i="9"/>
  <c r="R265" i="9"/>
  <c r="BR446" i="9"/>
  <c r="AP377" i="9"/>
  <c r="T365" i="9"/>
  <c r="L357" i="9"/>
  <c r="O349" i="9"/>
  <c r="AN341" i="9"/>
  <c r="BA333" i="9"/>
  <c r="AZ326" i="9"/>
  <c r="D324" i="9"/>
  <c r="AL321" i="9"/>
  <c r="AN319" i="9"/>
  <c r="BX317" i="9"/>
  <c r="BM316" i="9"/>
  <c r="BV315" i="9"/>
  <c r="BY314" i="9"/>
  <c r="C314" i="9"/>
  <c r="E313" i="9"/>
  <c r="G312" i="9"/>
  <c r="H311" i="9"/>
  <c r="BY309" i="9"/>
  <c r="B309" i="9"/>
  <c r="A308" i="9"/>
  <c r="A307" i="9"/>
  <c r="BQ305" i="9"/>
  <c r="BO304" i="9"/>
  <c r="BO303" i="9"/>
  <c r="BR302" i="9"/>
  <c r="BX301" i="9"/>
  <c r="BU300" i="9"/>
  <c r="BO299" i="9"/>
  <c r="BD298" i="9"/>
  <c r="AQ297" i="9"/>
  <c r="AW296" i="9"/>
  <c r="BB295" i="9"/>
  <c r="AV294" i="9"/>
  <c r="BA293" i="9"/>
  <c r="AU292" i="9"/>
  <c r="AY291" i="9"/>
  <c r="AU290" i="9"/>
  <c r="AS289" i="9"/>
  <c r="AZ288" i="9"/>
  <c r="AU287" i="9"/>
  <c r="AZ286" i="9"/>
  <c r="BG285" i="9"/>
  <c r="BJ284" i="9"/>
  <c r="BH283" i="9"/>
  <c r="BE282" i="9"/>
  <c r="BD281" i="9"/>
  <c r="BD280" i="9"/>
  <c r="AZ279" i="9"/>
  <c r="AV278" i="9"/>
  <c r="AV277" i="9"/>
  <c r="AQ276" i="9"/>
  <c r="Z275" i="9"/>
  <c r="AB274" i="9"/>
  <c r="AB273" i="9"/>
  <c r="AF272" i="9"/>
  <c r="AN271" i="9"/>
  <c r="O270" i="9"/>
  <c r="K269" i="9"/>
  <c r="K268" i="9"/>
  <c r="F267" i="9"/>
  <c r="BT265" i="9"/>
  <c r="BX264" i="9"/>
  <c r="AU420" i="9"/>
  <c r="BQ375" i="9"/>
  <c r="I364" i="9"/>
  <c r="E356" i="9"/>
  <c r="L348" i="9"/>
  <c r="AG340" i="9"/>
  <c r="AW332" i="9"/>
  <c r="W326" i="9"/>
  <c r="BD323" i="9"/>
  <c r="S321" i="9"/>
  <c r="U319" i="9"/>
  <c r="BK317" i="9"/>
  <c r="BC316" i="9"/>
  <c r="BK315" i="9"/>
  <c r="BO314" i="9"/>
  <c r="BS313" i="9"/>
  <c r="BU312" i="9"/>
  <c r="BV311" i="9"/>
  <c r="BX310" i="9"/>
  <c r="BP309" i="9"/>
  <c r="BO308" i="9"/>
  <c r="BO307" i="9"/>
  <c r="BK306" i="9"/>
  <c r="BA305" i="9"/>
  <c r="BA304" i="9"/>
  <c r="BF303" i="9"/>
  <c r="BI302" i="9"/>
  <c r="BO301" i="9"/>
  <c r="BK300" i="9"/>
  <c r="BA299" i="9"/>
  <c r="AS298" i="9"/>
  <c r="AG297" i="9"/>
  <c r="AL296" i="9"/>
  <c r="AQ295" i="9"/>
  <c r="AM294" i="9"/>
  <c r="AP293" i="9"/>
  <c r="AL292" i="9"/>
  <c r="AO291" i="9"/>
  <c r="AL290" i="9"/>
  <c r="AJ289" i="9"/>
  <c r="AO288" i="9"/>
  <c r="AL287" i="9"/>
  <c r="AP286" i="9"/>
  <c r="AU285" i="9"/>
  <c r="AV284" i="9"/>
  <c r="AV283" i="9"/>
  <c r="AR282" i="9"/>
  <c r="AS281" i="9"/>
  <c r="AR280" i="9"/>
  <c r="AM279" i="9"/>
  <c r="AM278" i="9"/>
  <c r="AM277" i="9"/>
  <c r="AA276" i="9"/>
  <c r="O275" i="9"/>
  <c r="P274" i="9"/>
  <c r="P273" i="9"/>
  <c r="V272" i="9"/>
  <c r="Z271" i="9"/>
  <c r="E270" i="9"/>
  <c r="A269" i="9"/>
  <c r="B268" i="9"/>
  <c r="BV266" i="9"/>
  <c r="BK265" i="9"/>
  <c r="BM264" i="9"/>
  <c r="V409" i="9"/>
  <c r="K374" i="9"/>
  <c r="BU362" i="9"/>
  <c r="BY354" i="9"/>
  <c r="M347" i="9"/>
  <c r="W339" i="9"/>
  <c r="AL331" i="9"/>
  <c r="BU325" i="9"/>
  <c r="AB323" i="9"/>
  <c r="BX320" i="9"/>
  <c r="C319" i="9"/>
  <c r="AW317" i="9"/>
  <c r="AR316" i="9"/>
  <c r="AW315" i="9"/>
  <c r="BF314" i="9"/>
  <c r="BI313" i="9"/>
  <c r="BJ312" i="9"/>
  <c r="BK311" i="9"/>
  <c r="BL310" i="9"/>
  <c r="BD309" i="9"/>
  <c r="BC308" i="9"/>
  <c r="BC307" i="9"/>
  <c r="AU306" i="9"/>
  <c r="AP305" i="9"/>
  <c r="AP304" i="9"/>
  <c r="AT303" i="9"/>
  <c r="AW302" i="9"/>
  <c r="AV301" i="9"/>
  <c r="BA300" i="9"/>
  <c r="AN299" i="9"/>
  <c r="AE298" i="9"/>
  <c r="W297" i="9"/>
  <c r="AB296" i="9"/>
  <c r="AF295" i="9"/>
  <c r="AC294" i="9"/>
  <c r="AE293" i="9"/>
  <c r="AA292" i="9"/>
  <c r="AC291" i="9"/>
  <c r="AA290" i="9"/>
  <c r="AA289" i="9"/>
  <c r="AD288" i="9"/>
  <c r="AB287" i="9"/>
  <c r="AG286" i="9"/>
  <c r="AL285" i="9"/>
  <c r="AJ284" i="9"/>
  <c r="AJ283" i="9"/>
  <c r="AF282" i="9"/>
  <c r="AH281" i="9"/>
  <c r="AI280" i="9"/>
  <c r="AC279" i="9"/>
  <c r="AC278" i="9"/>
  <c r="AC277" i="9"/>
  <c r="K276" i="9"/>
  <c r="E275" i="9"/>
  <c r="E274" i="9"/>
  <c r="F273" i="9"/>
  <c r="L272" i="9"/>
  <c r="L271" i="9"/>
  <c r="BR269" i="9"/>
  <c r="BQ268" i="9"/>
  <c r="BR267" i="9"/>
  <c r="BL266" i="9"/>
  <c r="BA265" i="9"/>
  <c r="BC264" i="9"/>
  <c r="S400" i="9"/>
  <c r="P372" i="9"/>
  <c r="BN361" i="9"/>
  <c r="BN353" i="9"/>
  <c r="H346" i="9"/>
  <c r="H338" i="9"/>
  <c r="AD330" i="9"/>
  <c r="AS325" i="9"/>
  <c r="A323" i="9"/>
  <c r="BA320" i="9"/>
  <c r="BH318" i="9"/>
  <c r="AL317" i="9"/>
  <c r="AI316" i="9"/>
  <c r="AN315" i="9"/>
  <c r="AT314" i="9"/>
  <c r="AU313" i="9"/>
  <c r="AV312" i="9"/>
  <c r="AW311" i="9"/>
  <c r="AZ310" i="9"/>
  <c r="AQ309" i="9"/>
  <c r="AQ308" i="9"/>
  <c r="AR307" i="9"/>
  <c r="AL306" i="9"/>
  <c r="AF305" i="9"/>
  <c r="AF304" i="9"/>
  <c r="AI303" i="9"/>
  <c r="AN302" i="9"/>
  <c r="AM301" i="9"/>
  <c r="AP300" i="9"/>
  <c r="W299" i="9"/>
  <c r="O298" i="9"/>
  <c r="M297" i="9"/>
  <c r="Q296" i="9"/>
  <c r="R295" i="9"/>
  <c r="P294" i="9"/>
  <c r="U293" i="9"/>
  <c r="O292" i="9"/>
  <c r="P291" i="9"/>
  <c r="N290" i="9"/>
  <c r="O289" i="9"/>
  <c r="R288" i="9"/>
  <c r="P287" i="9"/>
  <c r="W286" i="9"/>
  <c r="AB285" i="9"/>
  <c r="AA284" i="9"/>
  <c r="AA283" i="9"/>
  <c r="U282" i="9"/>
  <c r="W281" i="9"/>
  <c r="X280" i="9"/>
  <c r="R279" i="9"/>
  <c r="P278" i="9"/>
  <c r="P277" i="9"/>
  <c r="A276" i="9"/>
  <c r="BS274" i="9"/>
  <c r="AP437" i="9"/>
  <c r="BH382" i="9"/>
  <c r="AV382" i="9"/>
  <c r="BA378" i="9"/>
  <c r="AC331" i="9"/>
  <c r="H322" i="9"/>
  <c r="AG318" i="9"/>
  <c r="Z376" i="9"/>
  <c r="V337" i="9"/>
  <c r="AO321" i="9"/>
  <c r="AM380" i="9"/>
  <c r="B368" i="9"/>
  <c r="BS358" i="9"/>
  <c r="BX350" i="9"/>
  <c r="L343" i="9"/>
  <c r="AE335" i="9"/>
  <c r="AD327" i="9"/>
  <c r="AP319" i="9"/>
  <c r="BR379" i="9"/>
  <c r="AH367" i="9"/>
  <c r="AP358" i="9"/>
  <c r="AT350" i="9"/>
  <c r="BK342" i="9"/>
  <c r="E335" i="9"/>
  <c r="C327" i="9"/>
  <c r="N319" i="9"/>
  <c r="B327" i="9"/>
  <c r="M314" i="9"/>
  <c r="B306" i="9"/>
  <c r="BD297" i="9"/>
  <c r="BG289" i="9"/>
  <c r="BN281" i="9"/>
  <c r="AK273" i="9"/>
  <c r="J265" i="9"/>
  <c r="AB326" i="9"/>
  <c r="BT313" i="9"/>
  <c r="BD305" i="9"/>
  <c r="AH297" i="9"/>
  <c r="AK289" i="9"/>
  <c r="AT281" i="9"/>
  <c r="R273" i="9"/>
  <c r="BN264" i="9"/>
  <c r="A326" i="9"/>
  <c r="BJ313" i="9"/>
  <c r="AQ305" i="9"/>
  <c r="X297" i="9"/>
  <c r="AB289" i="9"/>
  <c r="AI281" i="9"/>
  <c r="G273" i="9"/>
  <c r="BD264" i="9"/>
  <c r="AW325" i="9"/>
  <c r="AV313" i="9"/>
  <c r="AG305" i="9"/>
  <c r="N297" i="9"/>
  <c r="P289" i="9"/>
  <c r="Z281" i="9"/>
  <c r="BV272" i="9"/>
  <c r="AS264" i="9"/>
  <c r="W334" i="9"/>
  <c r="BE319" i="9"/>
  <c r="E315" i="9"/>
  <c r="M311" i="9"/>
  <c r="F307" i="9"/>
  <c r="Q303" i="9"/>
  <c r="U301" i="9"/>
  <c r="C299" i="9"/>
  <c r="BV296" i="9"/>
  <c r="BX294" i="9"/>
  <c r="B293" i="9"/>
  <c r="BX290" i="9"/>
  <c r="BW288" i="9"/>
  <c r="BY286" i="9"/>
  <c r="I285" i="9"/>
  <c r="BN283" i="9"/>
  <c r="AE282" i="9"/>
  <c r="E281" i="9"/>
  <c r="BH279" i="9"/>
  <c r="AB278" i="9"/>
  <c r="BX276" i="9"/>
  <c r="AE275" i="9"/>
  <c r="N274" i="9"/>
  <c r="N273" i="9"/>
  <c r="S272" i="9"/>
  <c r="W271" i="9"/>
  <c r="C270" i="9"/>
  <c r="BX268" i="9"/>
  <c r="BY267" i="9"/>
  <c r="BT266" i="9"/>
  <c r="BI265" i="9"/>
  <c r="BK264" i="9"/>
  <c r="L391" i="9"/>
  <c r="AK370" i="9"/>
  <c r="BC360" i="9"/>
  <c r="BN352" i="9"/>
  <c r="C345" i="9"/>
  <c r="A337" i="9"/>
  <c r="R329" i="9"/>
  <c r="P325" i="9"/>
  <c r="AS322" i="9"/>
  <c r="AD320" i="9"/>
  <c r="AJ318" i="9"/>
  <c r="W317" i="9"/>
  <c r="Z316" i="9"/>
  <c r="AD315" i="9"/>
  <c r="AI314" i="9"/>
  <c r="AL313" i="9"/>
  <c r="AM312" i="9"/>
  <c r="AN311" i="9"/>
  <c r="AO310" i="9"/>
  <c r="AG309" i="9"/>
  <c r="AH308" i="9"/>
  <c r="AI307" i="9"/>
  <c r="X306" i="9"/>
  <c r="U305" i="9"/>
  <c r="U304" i="9"/>
  <c r="Z303" i="9"/>
  <c r="AE302" i="9"/>
  <c r="AC301" i="9"/>
  <c r="W300" i="9"/>
  <c r="J299" i="9"/>
  <c r="D298" i="9"/>
  <c r="D297" i="9"/>
  <c r="H296" i="9"/>
  <c r="F295" i="9"/>
  <c r="G294" i="9"/>
  <c r="J293" i="9"/>
  <c r="E292" i="9"/>
  <c r="G291" i="9"/>
  <c r="D290" i="9"/>
  <c r="E289" i="9"/>
  <c r="I288" i="9"/>
  <c r="G287" i="9"/>
  <c r="M286" i="9"/>
  <c r="P285" i="9"/>
  <c r="N284" i="9"/>
  <c r="M283" i="9"/>
  <c r="I282" i="9"/>
  <c r="M281" i="9"/>
  <c r="L280" i="9"/>
  <c r="G279" i="9"/>
  <c r="G278" i="9"/>
  <c r="F277" i="9"/>
  <c r="BK275" i="9"/>
  <c r="BI274" i="9"/>
  <c r="BJ273" i="9"/>
  <c r="BL272" i="9"/>
  <c r="BS271" i="9"/>
  <c r="BL270" i="9"/>
  <c r="AR269" i="9"/>
  <c r="AQ268" i="9"/>
  <c r="AW267" i="9"/>
  <c r="AM266" i="9"/>
  <c r="AE265" i="9"/>
  <c r="AI264" i="9"/>
  <c r="P378" i="9"/>
  <c r="BF365" i="9"/>
  <c r="AO357" i="9"/>
  <c r="AT349" i="9"/>
  <c r="BP341" i="9"/>
  <c r="E334" i="9"/>
  <c r="BI326" i="9"/>
  <c r="O324" i="9"/>
  <c r="AS321" i="9"/>
  <c r="AU319" i="9"/>
  <c r="B318" i="9"/>
  <c r="BP316" i="9"/>
  <c r="BY315" i="9"/>
  <c r="C315" i="9"/>
  <c r="F314" i="9"/>
  <c r="H313" i="9"/>
  <c r="J312" i="9"/>
  <c r="K311" i="9"/>
  <c r="D310" i="9"/>
  <c r="E309" i="9"/>
  <c r="D308" i="9"/>
  <c r="D307" i="9"/>
  <c r="BT305" i="9"/>
  <c r="BR304" i="9"/>
  <c r="BR303" i="9"/>
  <c r="BW302" i="9"/>
  <c r="C302" i="9"/>
  <c r="A301" i="9"/>
  <c r="BR299" i="9"/>
  <c r="BH298" i="9"/>
  <c r="AT297" i="9"/>
  <c r="BA296" i="9"/>
  <c r="BF295" i="9"/>
  <c r="BA294" i="9"/>
  <c r="BD293" i="9"/>
  <c r="AZ292" i="9"/>
  <c r="BD291" i="9"/>
  <c r="AZ290" i="9"/>
  <c r="AV289" i="9"/>
  <c r="BC288" i="9"/>
  <c r="AZ287" i="9"/>
  <c r="BD286" i="9"/>
  <c r="BL285" i="9"/>
  <c r="BO284" i="9"/>
  <c r="BK283" i="9"/>
  <c r="BI282" i="9"/>
  <c r="BH281" i="9"/>
  <c r="BJ280" i="9"/>
  <c r="BE279" i="9"/>
  <c r="BA278" i="9"/>
  <c r="BA277" i="9"/>
  <c r="AT276" i="9"/>
  <c r="AC275" i="9"/>
  <c r="AE274" i="9"/>
  <c r="AE273" i="9"/>
  <c r="AI272" i="9"/>
  <c r="AQ271" i="9"/>
  <c r="W270" i="9"/>
  <c r="O269" i="9"/>
  <c r="N268" i="9"/>
  <c r="J267" i="9"/>
  <c r="BY265" i="9"/>
  <c r="B265" i="9"/>
  <c r="I264" i="9"/>
  <c r="AF326" i="9"/>
  <c r="BV313" i="9"/>
  <c r="BF305" i="9"/>
  <c r="AJ297" i="9"/>
  <c r="AM289" i="9"/>
  <c r="AV281" i="9"/>
  <c r="T273" i="9"/>
  <c r="BP264" i="9"/>
  <c r="AH263" i="9"/>
  <c r="AQ262" i="9"/>
  <c r="AS261" i="9"/>
  <c r="AW260" i="9"/>
  <c r="AW259" i="9"/>
  <c r="AT258" i="9"/>
  <c r="AH257" i="9"/>
  <c r="AJ256" i="9"/>
  <c r="AF255" i="9"/>
  <c r="R254" i="9"/>
  <c r="R253" i="9"/>
  <c r="P252" i="9"/>
  <c r="R251" i="9"/>
  <c r="U250" i="9"/>
  <c r="U249" i="9"/>
  <c r="S248" i="9"/>
  <c r="X247" i="9"/>
  <c r="AC246" i="9"/>
  <c r="AD245" i="9"/>
  <c r="AE244" i="9"/>
  <c r="AI243" i="9"/>
  <c r="AO242" i="9"/>
  <c r="AR241" i="9"/>
  <c r="AP240" i="9"/>
  <c r="AN239" i="9"/>
  <c r="AI238" i="9"/>
  <c r="AF237" i="9"/>
  <c r="AA236" i="9"/>
  <c r="Z235" i="9"/>
  <c r="AD234" i="9"/>
  <c r="AA233" i="9"/>
  <c r="AC232" i="9"/>
  <c r="AD231" i="9"/>
  <c r="AB230" i="9"/>
  <c r="AE229" i="9"/>
  <c r="AE228" i="9"/>
  <c r="AG227" i="9"/>
  <c r="AH226" i="9"/>
  <c r="AF225" i="9"/>
  <c r="P224" i="9"/>
  <c r="O223" i="9"/>
  <c r="V222" i="9"/>
  <c r="V221" i="9"/>
  <c r="X220" i="9"/>
  <c r="W219" i="9"/>
  <c r="AB218" i="9"/>
  <c r="AB217" i="9"/>
  <c r="AD216" i="9"/>
  <c r="AG215" i="9"/>
  <c r="AH214" i="9"/>
  <c r="AN213" i="9"/>
  <c r="AW212" i="9"/>
  <c r="AW211" i="9"/>
  <c r="AL210" i="9"/>
  <c r="AN209" i="9"/>
  <c r="J326" i="9"/>
  <c r="BM313" i="9"/>
  <c r="AT305" i="9"/>
  <c r="AB297" i="9"/>
  <c r="AE289" i="9"/>
  <c r="AN281" i="9"/>
  <c r="K273" i="9"/>
  <c r="BG264" i="9"/>
  <c r="AG263" i="9"/>
  <c r="AP262" i="9"/>
  <c r="AR261" i="9"/>
  <c r="AV260" i="9"/>
  <c r="AV259" i="9"/>
  <c r="AS258" i="9"/>
  <c r="AG257" i="9"/>
  <c r="AI256" i="9"/>
  <c r="AE255" i="9"/>
  <c r="Q254" i="9"/>
  <c r="Q253" i="9"/>
  <c r="O252" i="9"/>
  <c r="Q251" i="9"/>
  <c r="T250" i="9"/>
  <c r="T249" i="9"/>
  <c r="R248" i="9"/>
  <c r="W247" i="9"/>
  <c r="AB246" i="9"/>
  <c r="AC245" i="9"/>
  <c r="AD244" i="9"/>
  <c r="AH243" i="9"/>
  <c r="AN242" i="9"/>
  <c r="AQ241" i="9"/>
  <c r="AO240" i="9"/>
  <c r="AM239" i="9"/>
  <c r="AH238" i="9"/>
  <c r="AE237" i="9"/>
  <c r="Z236" i="9"/>
  <c r="X235" i="9"/>
  <c r="AC234" i="9"/>
  <c r="BY330" i="9"/>
  <c r="BA314" i="9"/>
  <c r="AQ306" i="9"/>
  <c r="Z298" i="9"/>
  <c r="U290" i="9"/>
  <c r="AB282" i="9"/>
  <c r="A274" i="9"/>
  <c r="AU265" i="9"/>
  <c r="AN263" i="9"/>
  <c r="AW262" i="9"/>
  <c r="AZ261" i="9"/>
  <c r="BF260" i="9"/>
  <c r="BF259" i="9"/>
  <c r="BD258" i="9"/>
  <c r="AQ257" i="9"/>
  <c r="AQ256" i="9"/>
  <c r="AM255" i="9"/>
  <c r="AE254" i="9"/>
  <c r="AA253" i="9"/>
  <c r="W252" i="9"/>
  <c r="AB251" i="9"/>
  <c r="AC250" i="9"/>
  <c r="AC249" i="9"/>
  <c r="AB248" i="9"/>
  <c r="AE247" i="9"/>
  <c r="AI246" i="9"/>
  <c r="AJ245" i="9"/>
  <c r="AL244" i="9"/>
  <c r="AP243" i="9"/>
  <c r="AU242" i="9"/>
  <c r="AZ241" i="9"/>
  <c r="AV240" i="9"/>
  <c r="AT239" i="9"/>
  <c r="AR238" i="9"/>
  <c r="AM237" i="9"/>
  <c r="AH236" i="9"/>
  <c r="AF235" i="9"/>
  <c r="AL234" i="9"/>
  <c r="AG233" i="9"/>
  <c r="AI232" i="9"/>
  <c r="AL231" i="9"/>
  <c r="AH230" i="9"/>
  <c r="AL229" i="9"/>
  <c r="P397" i="9"/>
  <c r="BQ322" i="9"/>
  <c r="AS312" i="9"/>
  <c r="AC304" i="9"/>
  <c r="N296" i="9"/>
  <c r="O288" i="9"/>
  <c r="U280" i="9"/>
  <c r="BY271" i="9"/>
  <c r="P264" i="9"/>
  <c r="W263" i="9"/>
  <c r="AD262" i="9"/>
  <c r="AG261" i="9"/>
  <c r="AL260" i="9"/>
  <c r="AL259" i="9"/>
  <c r="AE258" i="9"/>
  <c r="U257" i="9"/>
  <c r="AG389" i="9"/>
  <c r="BI374" i="9"/>
  <c r="AW374" i="9"/>
  <c r="AX370" i="9"/>
  <c r="A398" i="9"/>
  <c r="AT378" i="9"/>
  <c r="AC378" i="9"/>
  <c r="AF364" i="9"/>
  <c r="AF335" i="9"/>
  <c r="AQ319" i="9"/>
  <c r="BQ378" i="9"/>
  <c r="AC366" i="9"/>
  <c r="BT357" i="9"/>
  <c r="BW349" i="9"/>
  <c r="Q342" i="9"/>
  <c r="AI334" i="9"/>
  <c r="AH326" i="9"/>
  <c r="AU318" i="9"/>
  <c r="R378" i="9"/>
  <c r="BK365" i="9"/>
  <c r="AP357" i="9"/>
  <c r="AU349" i="9"/>
  <c r="BQ341" i="9"/>
  <c r="F334" i="9"/>
  <c r="F326" i="9"/>
  <c r="R318" i="9"/>
  <c r="AI324" i="9"/>
  <c r="N313" i="9"/>
  <c r="BY304" i="9"/>
  <c r="BI296" i="9"/>
  <c r="BJ288" i="9"/>
  <c r="BP280" i="9"/>
  <c r="AP272" i="9"/>
  <c r="P422" i="9"/>
  <c r="BF323" i="9"/>
  <c r="BV312" i="9"/>
  <c r="BD304" i="9"/>
  <c r="AM296" i="9"/>
  <c r="AP288" i="9"/>
  <c r="AS280" i="9"/>
  <c r="W272" i="9"/>
  <c r="U410" i="9"/>
  <c r="AC323" i="9"/>
  <c r="BK312" i="9"/>
  <c r="AQ304" i="9"/>
  <c r="AC296" i="9"/>
  <c r="AE288" i="9"/>
  <c r="AJ280" i="9"/>
  <c r="M272" i="9"/>
  <c r="R401" i="9"/>
  <c r="B323" i="9"/>
  <c r="AW312" i="9"/>
  <c r="AG304" i="9"/>
  <c r="R296" i="9"/>
  <c r="T288" i="9"/>
  <c r="AA280" i="9"/>
  <c r="D272" i="9"/>
  <c r="J392" i="9"/>
  <c r="AC329" i="9"/>
  <c r="AO318" i="9"/>
  <c r="AL314" i="9"/>
  <c r="AP310" i="9"/>
  <c r="AB306" i="9"/>
  <c r="BY302" i="9"/>
  <c r="C301" i="9"/>
  <c r="BJ298" i="9"/>
  <c r="BE296" i="9"/>
  <c r="BE294" i="9"/>
  <c r="BC292" i="9"/>
  <c r="BB290" i="9"/>
  <c r="BF288" i="9"/>
  <c r="BF286" i="9"/>
  <c r="A285" i="9"/>
  <c r="AT283" i="9"/>
  <c r="J282" i="9"/>
  <c r="BT280" i="9"/>
  <c r="AJ279" i="9"/>
  <c r="H278" i="9"/>
  <c r="BI276" i="9"/>
  <c r="M275" i="9"/>
  <c r="D274" i="9"/>
  <c r="E273" i="9"/>
  <c r="K272" i="9"/>
  <c r="K271" i="9"/>
  <c r="BQ269" i="9"/>
  <c r="BP268" i="9"/>
  <c r="BQ267" i="9"/>
  <c r="BK266" i="9"/>
  <c r="AZ265" i="9"/>
  <c r="BA264" i="9"/>
  <c r="R383" i="9"/>
  <c r="BT368" i="9"/>
  <c r="AZ359" i="9"/>
  <c r="BM351" i="9"/>
  <c r="BN343" i="9"/>
  <c r="D336" i="9"/>
  <c r="I328" i="9"/>
  <c r="BQ324" i="9"/>
  <c r="S322" i="9"/>
  <c r="L320" i="9"/>
  <c r="W318" i="9"/>
  <c r="J317" i="9"/>
  <c r="R316" i="9"/>
  <c r="U315" i="9"/>
  <c r="AA314" i="9"/>
  <c r="AC313" i="9"/>
  <c r="AD312" i="9"/>
  <c r="AE311" i="9"/>
  <c r="AB310" i="9"/>
  <c r="X309" i="9"/>
  <c r="X308" i="9"/>
  <c r="AA307" i="9"/>
  <c r="M306" i="9"/>
  <c r="K305" i="9"/>
  <c r="L304" i="9"/>
  <c r="P303" i="9"/>
  <c r="V302" i="9"/>
  <c r="S301" i="9"/>
  <c r="K300" i="9"/>
  <c r="A299" i="9"/>
  <c r="BT297" i="9"/>
  <c r="BU296" i="9"/>
  <c r="BY295" i="9"/>
  <c r="BV294" i="9"/>
  <c r="BX293" i="9"/>
  <c r="A293" i="9"/>
  <c r="BU291" i="9"/>
  <c r="BU290" i="9"/>
  <c r="BS289" i="9"/>
  <c r="BU288" i="9"/>
  <c r="BV287" i="9"/>
  <c r="BX286" i="9"/>
  <c r="E286" i="9"/>
  <c r="H285" i="9"/>
  <c r="E284" i="9"/>
  <c r="C283" i="9"/>
  <c r="A282" i="9"/>
  <c r="D281" i="9"/>
  <c r="C280" i="9"/>
  <c r="BX278" i="9"/>
  <c r="BX277" i="9"/>
  <c r="BU276" i="9"/>
  <c r="AV275" i="9"/>
  <c r="AZ274" i="9"/>
  <c r="AV273" i="9"/>
  <c r="BD272" i="9"/>
  <c r="BK271" i="9"/>
  <c r="AW270" i="9"/>
  <c r="AJ269" i="9"/>
  <c r="AH268" i="9"/>
  <c r="AO267" i="9"/>
  <c r="X266" i="9"/>
  <c r="V265" i="9"/>
  <c r="BU426" i="9"/>
  <c r="AT376" i="9"/>
  <c r="AV364" i="9"/>
  <c r="AQ356" i="9"/>
  <c r="AT348" i="9"/>
  <c r="BQ340" i="9"/>
  <c r="J333" i="9"/>
  <c r="AL326" i="9"/>
  <c r="BN323" i="9"/>
  <c r="AC321" i="9"/>
  <c r="AD319" i="9"/>
  <c r="BQ317" i="9"/>
  <c r="BG316" i="9"/>
  <c r="BQ315" i="9"/>
  <c r="BS314" i="9"/>
  <c r="BW313" i="9"/>
  <c r="BY312" i="9"/>
  <c r="B312" i="9"/>
  <c r="C311" i="9"/>
  <c r="BT309" i="9"/>
  <c r="BS308" i="9"/>
  <c r="BS307" i="9"/>
  <c r="BP306" i="9"/>
  <c r="BH305" i="9"/>
  <c r="BH304" i="9"/>
  <c r="BJ303" i="9"/>
  <c r="BM302" i="9"/>
  <c r="BS301" i="9"/>
  <c r="BP300" i="9"/>
  <c r="BH299" i="9"/>
  <c r="AW298" i="9"/>
  <c r="AL297" i="9"/>
  <c r="AR296" i="9"/>
  <c r="AU295" i="9"/>
  <c r="AQ294" i="9"/>
  <c r="AT293" i="9"/>
  <c r="AP292" i="9"/>
  <c r="AS291" i="9"/>
  <c r="AP290" i="9"/>
  <c r="AN289" i="9"/>
  <c r="AS288" i="9"/>
  <c r="AP287" i="9"/>
  <c r="AT286" i="9"/>
  <c r="AZ285" i="9"/>
  <c r="BD284" i="9"/>
  <c r="BA283" i="9"/>
  <c r="AV282" i="9"/>
  <c r="AW281" i="9"/>
  <c r="AV280" i="9"/>
  <c r="AS279" i="9"/>
  <c r="AQ278" i="9"/>
  <c r="AQ277" i="9"/>
  <c r="AL276" i="9"/>
  <c r="T275" i="9"/>
  <c r="U274" i="9"/>
  <c r="U273" i="9"/>
  <c r="AA272" i="9"/>
  <c r="AG271" i="9"/>
  <c r="I270" i="9"/>
  <c r="E269" i="9"/>
  <c r="F268" i="9"/>
  <c r="A267" i="9"/>
  <c r="BO265" i="9"/>
  <c r="BQ264" i="9"/>
  <c r="AF425" i="9"/>
  <c r="BM323" i="9"/>
  <c r="BX312" i="9"/>
  <c r="BF304" i="9"/>
  <c r="AQ296" i="9"/>
  <c r="AR288" i="9"/>
  <c r="AU280" i="9"/>
  <c r="Z272" i="9"/>
  <c r="X264" i="9"/>
  <c r="Z263" i="9"/>
  <c r="AG262" i="9"/>
  <c r="AJ261" i="9"/>
  <c r="AO260" i="9"/>
  <c r="AO259" i="9"/>
  <c r="AL258" i="9"/>
  <c r="Z257" i="9"/>
  <c r="AB256" i="9"/>
  <c r="V255" i="9"/>
  <c r="H254" i="9"/>
  <c r="J253" i="9"/>
  <c r="G252" i="9"/>
  <c r="J251" i="9"/>
  <c r="K250" i="9"/>
  <c r="L249" i="9"/>
  <c r="K248" i="9"/>
  <c r="O247" i="9"/>
  <c r="P246" i="9"/>
  <c r="U245" i="9"/>
  <c r="U244" i="9"/>
  <c r="AA243" i="9"/>
  <c r="AF242" i="9"/>
  <c r="AH241" i="9"/>
  <c r="AG240" i="9"/>
  <c r="AE239" i="9"/>
  <c r="AA238" i="9"/>
  <c r="V237" i="9"/>
  <c r="P236" i="9"/>
  <c r="O235" i="9"/>
  <c r="T234" i="9"/>
  <c r="P233" i="9"/>
  <c r="R232" i="9"/>
  <c r="T231" i="9"/>
  <c r="R230" i="9"/>
  <c r="V229" i="9"/>
  <c r="U228" i="9"/>
  <c r="X227" i="9"/>
  <c r="Z226" i="9"/>
  <c r="W225" i="9"/>
  <c r="F224" i="9"/>
  <c r="G223" i="9"/>
  <c r="L222" i="9"/>
  <c r="M221" i="9"/>
  <c r="K220" i="9"/>
  <c r="N219" i="9"/>
  <c r="P218" i="9"/>
  <c r="Q217" i="9"/>
  <c r="U216" i="9"/>
  <c r="X215" i="9"/>
  <c r="Z214" i="9"/>
  <c r="AF213" i="9"/>
  <c r="AO212" i="9"/>
  <c r="AO211" i="9"/>
  <c r="AC210" i="9"/>
  <c r="M413" i="9"/>
  <c r="AM323" i="9"/>
  <c r="BP312" i="9"/>
  <c r="AT304" i="9"/>
  <c r="AF296" i="9"/>
  <c r="AH288" i="9"/>
  <c r="AM280" i="9"/>
  <c r="P272" i="9"/>
  <c r="T264" i="9"/>
  <c r="Y263" i="9"/>
  <c r="AF262" i="9"/>
  <c r="AI261" i="9"/>
  <c r="AN260" i="9"/>
  <c r="AN259" i="9"/>
  <c r="AJ258" i="9"/>
  <c r="W257" i="9"/>
  <c r="AA256" i="9"/>
  <c r="U255" i="9"/>
  <c r="G254" i="9"/>
  <c r="I253" i="9"/>
  <c r="F252" i="9"/>
  <c r="I251" i="9"/>
  <c r="J250" i="9"/>
  <c r="K249" i="9"/>
  <c r="J248" i="9"/>
  <c r="N247" i="9"/>
  <c r="O246" i="9"/>
  <c r="R245" i="9"/>
  <c r="S244" i="9"/>
  <c r="Z243" i="9"/>
  <c r="AE242" i="9"/>
  <c r="AG241" i="9"/>
  <c r="AF240" i="9"/>
  <c r="AD239" i="9"/>
  <c r="Z238" i="9"/>
  <c r="U237" i="9"/>
  <c r="O236" i="9"/>
  <c r="N235" i="9"/>
  <c r="R234" i="9"/>
  <c r="BK325" i="9"/>
  <c r="BD313" i="9"/>
  <c r="AL305" i="9"/>
  <c r="S297" i="9"/>
  <c r="U289" i="9"/>
  <c r="AD281" i="9"/>
  <c r="B273" i="9"/>
  <c r="AW264" i="9"/>
  <c r="AF263" i="9"/>
  <c r="AO262" i="9"/>
  <c r="AQ261" i="9"/>
  <c r="AU260" i="9"/>
  <c r="AU259" i="9"/>
  <c r="AR258" i="9"/>
  <c r="AF257" i="9"/>
  <c r="AH256" i="9"/>
  <c r="AD255" i="9"/>
  <c r="P254" i="9"/>
  <c r="P253" i="9"/>
  <c r="N252" i="9"/>
  <c r="P251" i="9"/>
  <c r="R250" i="9"/>
  <c r="R249" i="9"/>
  <c r="Q248" i="9"/>
  <c r="V247" i="9"/>
  <c r="AA246" i="9"/>
  <c r="AB245" i="9"/>
  <c r="AC244" i="9"/>
  <c r="AG243" i="9"/>
  <c r="AM242" i="9"/>
  <c r="AP241" i="9"/>
  <c r="AN240" i="9"/>
  <c r="AL239" i="9"/>
  <c r="AG238" i="9"/>
  <c r="AD237" i="9"/>
  <c r="W236" i="9"/>
  <c r="W235" i="9"/>
  <c r="AB234" i="9"/>
  <c r="W233" i="9"/>
  <c r="AA232" i="9"/>
  <c r="AB231" i="9"/>
  <c r="Z230" i="9"/>
  <c r="AC229" i="9"/>
  <c r="AS371" i="9"/>
  <c r="AS320" i="9"/>
  <c r="AT311" i="9"/>
  <c r="AF303" i="9"/>
  <c r="M295" i="9"/>
  <c r="M287" i="9"/>
  <c r="N279" i="9"/>
  <c r="BT270" i="9"/>
  <c r="G264" i="9"/>
  <c r="O263" i="9"/>
  <c r="U262" i="9"/>
  <c r="W261" i="9"/>
  <c r="AB260" i="9"/>
  <c r="AB259" i="9"/>
  <c r="P258" i="9"/>
  <c r="L257" i="9"/>
  <c r="M256" i="9"/>
  <c r="I255" i="9"/>
  <c r="BS253" i="9"/>
  <c r="BU252" i="9"/>
  <c r="BU251" i="9"/>
  <c r="BX250" i="9"/>
  <c r="BU249" i="9"/>
  <c r="BV248" i="9"/>
  <c r="BY247" i="9"/>
  <c r="B247" i="9"/>
  <c r="D246" i="9"/>
  <c r="H245" i="9"/>
  <c r="I244" i="9"/>
  <c r="M243" i="9"/>
  <c r="Q242" i="9"/>
  <c r="V241" i="9"/>
  <c r="U240" i="9"/>
  <c r="R239" i="9"/>
  <c r="L238" i="9"/>
  <c r="I237" i="9"/>
  <c r="E236" i="9"/>
  <c r="D235" i="9"/>
  <c r="F234" i="9"/>
  <c r="D233" i="9"/>
  <c r="E232" i="9"/>
  <c r="E231" i="9"/>
  <c r="G230" i="9"/>
  <c r="J229" i="9"/>
  <c r="I228" i="9"/>
  <c r="L227" i="9"/>
  <c r="L226" i="9"/>
  <c r="K225" i="9"/>
  <c r="BR223" i="9"/>
  <c r="BS222" i="9"/>
  <c r="A222" i="9"/>
  <c r="B221" i="9"/>
  <c r="BW219" i="9"/>
  <c r="C219" i="9"/>
  <c r="D218" i="9"/>
  <c r="F217" i="9"/>
  <c r="H216" i="9"/>
  <c r="K215" i="9"/>
  <c r="M214" i="9"/>
  <c r="U213" i="9"/>
  <c r="AB212" i="9"/>
  <c r="R211" i="9"/>
  <c r="P210" i="9"/>
  <c r="P209" i="9"/>
  <c r="AJ360" i="9"/>
  <c r="AH318" i="9"/>
  <c r="AM310" i="9"/>
  <c r="AC302" i="9"/>
  <c r="E294" i="9"/>
  <c r="K286" i="9"/>
  <c r="E278" i="9"/>
  <c r="AP269" i="9"/>
  <c r="BW263" i="9"/>
  <c r="F263" i="9"/>
  <c r="K262" i="9"/>
  <c r="K261" i="9"/>
  <c r="P260" i="9"/>
  <c r="O259" i="9"/>
  <c r="E258" i="9"/>
  <c r="C257" i="9"/>
  <c r="D256" i="9"/>
  <c r="BW254" i="9"/>
  <c r="BJ253" i="9"/>
  <c r="BK252" i="9"/>
  <c r="BL251" i="9"/>
  <c r="BL250" i="9"/>
  <c r="BL249" i="9"/>
  <c r="BL248" i="9"/>
  <c r="BN247" i="9"/>
  <c r="BQ246" i="9"/>
  <c r="BR245" i="9"/>
  <c r="BX244" i="9"/>
  <c r="BY243" i="9"/>
  <c r="D243" i="9"/>
  <c r="H242" i="9"/>
  <c r="K241" i="9"/>
  <c r="J240" i="9"/>
  <c r="H239" i="9"/>
  <c r="C238" i="9"/>
  <c r="BY236" i="9"/>
  <c r="BT235" i="9"/>
  <c r="BS234" i="9"/>
  <c r="BU233" i="9"/>
  <c r="BR232" i="9"/>
  <c r="BS231" i="9"/>
  <c r="BT230" i="9"/>
  <c r="BW229" i="9"/>
  <c r="BY228" i="9"/>
  <c r="BY227" i="9"/>
  <c r="B227" i="9"/>
  <c r="A226" i="9"/>
  <c r="A225" i="9"/>
  <c r="BH223" i="9"/>
  <c r="BI222" i="9"/>
  <c r="BQ221" i="9"/>
  <c r="BQ220" i="9"/>
  <c r="BN219" i="9"/>
  <c r="BR218" i="9"/>
  <c r="BT217" i="9"/>
  <c r="BT216" i="9"/>
  <c r="BW215" i="9"/>
  <c r="BY214" i="9"/>
  <c r="C214" i="9"/>
  <c r="L213" i="9"/>
  <c r="P212" i="9"/>
  <c r="H211" i="9"/>
  <c r="G210" i="9"/>
  <c r="AR351" i="9"/>
  <c r="H317" i="9"/>
  <c r="V309" i="9"/>
  <c r="Q301" i="9"/>
  <c r="BX292" i="9"/>
  <c r="F285" i="9"/>
  <c r="BO276" i="9"/>
  <c r="AF268" i="9"/>
  <c r="BL263" i="9"/>
  <c r="BU262" i="9"/>
  <c r="A262" i="9"/>
  <c r="B261" i="9"/>
  <c r="F260" i="9"/>
  <c r="E259" i="9"/>
  <c r="BU257" i="9"/>
  <c r="BS256" i="9"/>
  <c r="BQ255" i="9"/>
  <c r="BL254" i="9"/>
  <c r="AZ253" i="9"/>
  <c r="AU252" i="9"/>
  <c r="BA251" i="9"/>
  <c r="BB250" i="9"/>
  <c r="BB249" i="9"/>
  <c r="AZ248" i="9"/>
  <c r="BT424" i="9"/>
  <c r="AP366" i="9"/>
  <c r="Z443" i="9"/>
  <c r="L408" i="9"/>
  <c r="BG371" i="9"/>
  <c r="E366" i="9"/>
  <c r="BP365" i="9"/>
  <c r="AB356" i="9"/>
  <c r="AM333" i="9"/>
  <c r="L433" i="9"/>
  <c r="O377" i="9"/>
  <c r="B365" i="9"/>
  <c r="BT356" i="9"/>
  <c r="A349" i="9"/>
  <c r="W341" i="9"/>
  <c r="AL333" i="9"/>
  <c r="AM325" i="9"/>
  <c r="K427" i="9"/>
  <c r="AU376" i="9"/>
  <c r="AW364" i="9"/>
  <c r="AR356" i="9"/>
  <c r="AU348" i="9"/>
  <c r="BR340" i="9"/>
  <c r="K333" i="9"/>
  <c r="I325" i="9"/>
  <c r="AG379" i="9"/>
  <c r="BL321" i="9"/>
  <c r="P312" i="9"/>
  <c r="A304" i="9"/>
  <c r="BL295" i="9"/>
  <c r="BI287" i="9"/>
  <c r="BP279" i="9"/>
  <c r="AW271" i="9"/>
  <c r="D376" i="9"/>
  <c r="T321" i="9"/>
  <c r="BX311" i="9"/>
  <c r="BG303" i="9"/>
  <c r="AR295" i="9"/>
  <c r="AM287" i="9"/>
  <c r="AN279" i="9"/>
  <c r="AA271" i="9"/>
  <c r="AB374" i="9"/>
  <c r="BY320" i="9"/>
  <c r="BL311" i="9"/>
  <c r="AU303" i="9"/>
  <c r="AG295" i="9"/>
  <c r="AC287" i="9"/>
  <c r="AD279" i="9"/>
  <c r="M271" i="9"/>
  <c r="AI372" i="9"/>
  <c r="BE320" i="9"/>
  <c r="AZ311" i="9"/>
  <c r="AL303" i="9"/>
  <c r="T295" i="9"/>
  <c r="R287" i="9"/>
  <c r="S279" i="9"/>
  <c r="C271" i="9"/>
  <c r="AV370" i="9"/>
  <c r="BP326" i="9"/>
  <c r="D318" i="9"/>
  <c r="I314" i="9"/>
  <c r="F310" i="9"/>
  <c r="BV305" i="9"/>
  <c r="BF302" i="9"/>
  <c r="BI300" i="9"/>
  <c r="AQ298" i="9"/>
  <c r="AI296" i="9"/>
  <c r="AJ294" i="9"/>
  <c r="AH292" i="9"/>
  <c r="AH290" i="9"/>
  <c r="AM288" i="9"/>
  <c r="AN286" i="9"/>
  <c r="BQ284" i="9"/>
  <c r="AI283" i="9"/>
  <c r="B282" i="9"/>
  <c r="BL280" i="9"/>
  <c r="AB279" i="9"/>
  <c r="BY277" i="9"/>
  <c r="AV276" i="9"/>
  <c r="D275" i="9"/>
  <c r="BS273" i="9"/>
  <c r="BU272" i="9"/>
  <c r="C272" i="9"/>
  <c r="A271" i="9"/>
  <c r="BD269" i="9"/>
  <c r="BD268" i="9"/>
  <c r="BI267" i="9"/>
  <c r="AV266" i="9"/>
  <c r="AP265" i="9"/>
  <c r="AR264" i="9"/>
  <c r="D380" i="9"/>
  <c r="AQ367" i="9"/>
  <c r="AW358" i="9"/>
  <c r="BC350" i="9"/>
  <c r="BR342" i="9"/>
  <c r="L335" i="9"/>
  <c r="J327" i="9"/>
  <c r="AQ324" i="9"/>
  <c r="BT321" i="9"/>
  <c r="BS319" i="9"/>
  <c r="K318" i="9"/>
  <c r="B317" i="9"/>
  <c r="I316" i="9"/>
  <c r="L315" i="9"/>
  <c r="P314" i="9"/>
  <c r="Q313" i="9"/>
  <c r="U312" i="9"/>
  <c r="V311" i="9"/>
  <c r="M310" i="9"/>
  <c r="O309" i="9"/>
  <c r="N308" i="9"/>
  <c r="M307" i="9"/>
  <c r="E306" i="9"/>
  <c r="C305" i="9"/>
  <c r="D304" i="9"/>
  <c r="H303" i="9"/>
  <c r="L302" i="9"/>
  <c r="K301" i="9"/>
  <c r="B300" i="9"/>
  <c r="BQ298" i="9"/>
  <c r="BH297" i="9"/>
  <c r="BL296" i="9"/>
  <c r="BO295" i="9"/>
  <c r="BM294" i="9"/>
  <c r="BO293" i="9"/>
  <c r="BL292" i="9"/>
  <c r="BM291" i="9"/>
  <c r="BL290" i="9"/>
  <c r="BK289" i="9"/>
  <c r="BM288" i="9"/>
  <c r="BL287" i="9"/>
  <c r="BN286" i="9"/>
  <c r="BV285" i="9"/>
  <c r="BY284" i="9"/>
  <c r="BU283" i="9"/>
  <c r="BT282" i="9"/>
  <c r="BQ281" i="9"/>
  <c r="BS280" i="9"/>
  <c r="BS279" i="9"/>
  <c r="BO278" i="9"/>
  <c r="BO277" i="9"/>
  <c r="BH276" i="9"/>
  <c r="AN275" i="9"/>
  <c r="AP274" i="9"/>
  <c r="AN273" i="9"/>
  <c r="AS272" i="9"/>
  <c r="BA271" i="9"/>
  <c r="AO270" i="9"/>
  <c r="AB269" i="9"/>
  <c r="Z268" i="9"/>
  <c r="AA267" i="9"/>
  <c r="K266" i="9"/>
  <c r="M265" i="9"/>
  <c r="AC414" i="9"/>
  <c r="E375" i="9"/>
  <c r="AT363" i="9"/>
  <c r="AT355" i="9"/>
  <c r="BA347" i="9"/>
  <c r="BX339" i="9"/>
  <c r="K332" i="9"/>
  <c r="M326" i="9"/>
  <c r="AQ323" i="9"/>
  <c r="H321" i="9"/>
  <c r="L319" i="9"/>
  <c r="BF317" i="9"/>
  <c r="AW316" i="9"/>
  <c r="BF315" i="9"/>
  <c r="BK314" i="9"/>
  <c r="BO313" i="9"/>
  <c r="BQ312" i="9"/>
  <c r="BR311" i="9"/>
  <c r="BS310" i="9"/>
  <c r="BJ309" i="9"/>
  <c r="BK308" i="9"/>
  <c r="BK307" i="9"/>
  <c r="BG306" i="9"/>
  <c r="AU305" i="9"/>
  <c r="AU304" i="9"/>
  <c r="BA303" i="9"/>
  <c r="BD302" i="9"/>
  <c r="BF301" i="9"/>
  <c r="BG300" i="9"/>
  <c r="AU299" i="9"/>
  <c r="AO298" i="9"/>
  <c r="AC297" i="9"/>
  <c r="AG296" i="9"/>
  <c r="AM295" i="9"/>
  <c r="AH294" i="9"/>
  <c r="AL293" i="9"/>
  <c r="AF292" i="9"/>
  <c r="AJ291" i="9"/>
  <c r="AF290" i="9"/>
  <c r="AF289" i="9"/>
  <c r="AI288" i="9"/>
  <c r="AG287" i="9"/>
  <c r="AL286" i="9"/>
  <c r="AQ285" i="9"/>
  <c r="AR284" i="9"/>
  <c r="AR283" i="9"/>
  <c r="AL282" i="9"/>
  <c r="AO281" i="9"/>
  <c r="AN280" i="9"/>
  <c r="AH279" i="9"/>
  <c r="AH278" i="9"/>
  <c r="AH277" i="9"/>
  <c r="P276" i="9"/>
  <c r="K275" i="9"/>
  <c r="L274" i="9"/>
  <c r="L273" i="9"/>
  <c r="Q272" i="9"/>
  <c r="Q271" i="9"/>
  <c r="BY269" i="9"/>
  <c r="BV268" i="9"/>
  <c r="BW267" i="9"/>
  <c r="BR266" i="9"/>
  <c r="BG265" i="9"/>
  <c r="BI264" i="9"/>
  <c r="AH376" i="9"/>
  <c r="AB321" i="9"/>
  <c r="A312" i="9"/>
  <c r="BI303" i="9"/>
  <c r="AT295" i="9"/>
  <c r="AO287" i="9"/>
  <c r="AR279" i="9"/>
  <c r="AE271" i="9"/>
  <c r="K264" i="9"/>
  <c r="R263" i="9"/>
  <c r="X262" i="9"/>
  <c r="AB261" i="9"/>
  <c r="AE260" i="9"/>
  <c r="AE259" i="9"/>
  <c r="W258" i="9"/>
  <c r="O257" i="9"/>
  <c r="P256" i="9"/>
  <c r="L255" i="9"/>
  <c r="BW253" i="9"/>
  <c r="A253" i="9"/>
  <c r="BX251" i="9"/>
  <c r="B251" i="9"/>
  <c r="A250" i="9"/>
  <c r="A249" i="9"/>
  <c r="C248" i="9"/>
  <c r="E247" i="9"/>
  <c r="G246" i="9"/>
  <c r="K245" i="9"/>
  <c r="L244" i="9"/>
  <c r="P243" i="9"/>
  <c r="V242" i="9"/>
  <c r="Z241" i="9"/>
  <c r="X240" i="9"/>
  <c r="V239" i="9"/>
  <c r="O238" i="9"/>
  <c r="L237" i="9"/>
  <c r="H236" i="9"/>
  <c r="G235" i="9"/>
  <c r="K234" i="9"/>
  <c r="G233" i="9"/>
  <c r="I232" i="9"/>
  <c r="J231" i="9"/>
  <c r="J230" i="9"/>
  <c r="M229" i="9"/>
  <c r="L228" i="9"/>
  <c r="O227" i="9"/>
  <c r="O226" i="9"/>
  <c r="N225" i="9"/>
  <c r="BU223" i="9"/>
  <c r="BX222" i="9"/>
  <c r="D222" i="9"/>
  <c r="E221" i="9"/>
  <c r="A220" i="9"/>
  <c r="F219" i="9"/>
  <c r="G218" i="9"/>
  <c r="I217" i="9"/>
  <c r="K216" i="9"/>
  <c r="N215" i="9"/>
  <c r="P214" i="9"/>
  <c r="X213" i="9"/>
  <c r="AE212" i="9"/>
  <c r="AA211" i="9"/>
  <c r="S210" i="9"/>
  <c r="BS374" i="9"/>
  <c r="G321" i="9"/>
  <c r="BQ311" i="9"/>
  <c r="AZ303" i="9"/>
  <c r="AL295" i="9"/>
  <c r="AF287" i="9"/>
  <c r="AG279" i="9"/>
  <c r="P271" i="9"/>
  <c r="J264" i="9"/>
  <c r="Q263" i="9"/>
  <c r="W262" i="9"/>
  <c r="AA261" i="9"/>
  <c r="AD260" i="9"/>
  <c r="AD259" i="9"/>
  <c r="R258" i="9"/>
  <c r="N257" i="9"/>
  <c r="O256" i="9"/>
  <c r="K255" i="9"/>
  <c r="BU253" i="9"/>
  <c r="BY252" i="9"/>
  <c r="BW251" i="9"/>
  <c r="A251" i="9"/>
  <c r="BY249" i="9"/>
  <c r="BY248" i="9"/>
  <c r="B248" i="9"/>
  <c r="D247" i="9"/>
  <c r="F246" i="9"/>
  <c r="J245" i="9"/>
  <c r="K244" i="9"/>
  <c r="O243" i="9"/>
  <c r="U242" i="9"/>
  <c r="X241" i="9"/>
  <c r="W240" i="9"/>
  <c r="U239" i="9"/>
  <c r="N238" i="9"/>
  <c r="K237" i="9"/>
  <c r="G236" i="9"/>
  <c r="F235" i="9"/>
  <c r="AH405" i="9"/>
  <c r="O323" i="9"/>
  <c r="BE312" i="9"/>
  <c r="AL304" i="9"/>
  <c r="W296" i="9"/>
  <c r="Z288" i="9"/>
  <c r="AE280" i="9"/>
  <c r="H272" i="9"/>
  <c r="R264" i="9"/>
  <c r="X263" i="9"/>
  <c r="AE262" i="9"/>
  <c r="AH261" i="9"/>
  <c r="AM260" i="9"/>
  <c r="AM259" i="9"/>
  <c r="AG258" i="9"/>
  <c r="V257" i="9"/>
  <c r="Z256" i="9"/>
  <c r="R255" i="9"/>
  <c r="F254" i="9"/>
  <c r="H253" i="9"/>
  <c r="E252" i="9"/>
  <c r="H251" i="9"/>
  <c r="I250" i="9"/>
  <c r="I249" i="9"/>
  <c r="I248" i="9"/>
  <c r="M247" i="9"/>
  <c r="N246" i="9"/>
  <c r="Q245" i="9"/>
  <c r="R244" i="9"/>
  <c r="X243" i="9"/>
  <c r="AD242" i="9"/>
  <c r="AF241" i="9"/>
  <c r="AE240" i="9"/>
  <c r="AC239" i="9"/>
  <c r="W238" i="9"/>
  <c r="S237" i="9"/>
  <c r="N236" i="9"/>
  <c r="M235" i="9"/>
  <c r="Q234" i="9"/>
  <c r="N233" i="9"/>
  <c r="O232" i="9"/>
  <c r="P231" i="9"/>
  <c r="P230" i="9"/>
  <c r="S229" i="9"/>
  <c r="AM361" i="9"/>
  <c r="AZ318" i="9"/>
  <c r="AU310" i="9"/>
  <c r="AK302" i="9"/>
  <c r="M294" i="9"/>
  <c r="T286" i="9"/>
  <c r="M278" i="9"/>
  <c r="AX269" i="9"/>
  <c r="BX263" i="9"/>
  <c r="G263" i="9"/>
  <c r="L262" i="9"/>
  <c r="L261" i="9"/>
  <c r="Q260" i="9"/>
  <c r="P259" i="9"/>
  <c r="F258" i="9"/>
  <c r="D257" i="9"/>
  <c r="E256" i="9"/>
  <c r="BX254" i="9"/>
  <c r="BK253" i="9"/>
  <c r="BL252" i="9"/>
  <c r="BM251" i="9"/>
  <c r="BN250" i="9"/>
  <c r="BM249" i="9"/>
  <c r="BM248" i="9"/>
  <c r="BO247" i="9"/>
  <c r="BR246" i="9"/>
  <c r="BS245" i="9"/>
  <c r="BY244" i="9"/>
  <c r="A244" i="9"/>
  <c r="E243" i="9"/>
  <c r="I242" i="9"/>
  <c r="L241" i="9"/>
  <c r="K240" i="9"/>
  <c r="I239" i="9"/>
  <c r="D238" i="9"/>
  <c r="A237" i="9"/>
  <c r="BU235" i="9"/>
  <c r="BT234" i="9"/>
  <c r="BV233" i="9"/>
  <c r="BS232" i="9"/>
  <c r="BT231" i="9"/>
  <c r="BU230" i="9"/>
  <c r="BX229" i="9"/>
  <c r="A229" i="9"/>
  <c r="A228" i="9"/>
  <c r="C227" i="9"/>
  <c r="B226" i="9"/>
  <c r="B225" i="9"/>
  <c r="BI223" i="9"/>
  <c r="BJ222" i="9"/>
  <c r="BR221" i="9"/>
  <c r="BR220" i="9"/>
  <c r="BO219" i="9"/>
  <c r="BS218" i="9"/>
  <c r="BU217" i="9"/>
  <c r="BU216" i="9"/>
  <c r="BX215" i="9"/>
  <c r="A215" i="9"/>
  <c r="D214" i="9"/>
  <c r="M213" i="9"/>
  <c r="Q212" i="9"/>
  <c r="I211" i="9"/>
  <c r="H210" i="9"/>
  <c r="H209" i="9"/>
  <c r="AU352" i="9"/>
  <c r="P317" i="9"/>
  <c r="AE309" i="9"/>
  <c r="AA301" i="9"/>
  <c r="H293" i="9"/>
  <c r="N285" i="9"/>
  <c r="D277" i="9"/>
  <c r="AO268" i="9"/>
  <c r="BM263" i="9"/>
  <c r="BW262" i="9"/>
  <c r="B262" i="9"/>
  <c r="C261" i="9"/>
  <c r="G260" i="9"/>
  <c r="F259" i="9"/>
  <c r="BV257" i="9"/>
  <c r="BT256" i="9"/>
  <c r="BR255" i="9"/>
  <c r="BO254" i="9"/>
  <c r="BA253" i="9"/>
  <c r="AV252" i="9"/>
  <c r="BD251" i="9"/>
  <c r="BC250" i="9"/>
  <c r="BC249" i="9"/>
  <c r="BA248" i="9"/>
  <c r="BF247" i="9"/>
  <c r="BI246" i="9"/>
  <c r="BJ245" i="9"/>
  <c r="BO244" i="9"/>
  <c r="BP243" i="9"/>
  <c r="BT242" i="9"/>
  <c r="BY241" i="9"/>
  <c r="B241" i="9"/>
  <c r="B240" i="9"/>
  <c r="BY238" i="9"/>
  <c r="BR237" i="9"/>
  <c r="BK236" i="9"/>
  <c r="BH235" i="9"/>
  <c r="BK234" i="9"/>
  <c r="BK233" i="9"/>
  <c r="BJ232" i="9"/>
  <c r="BK231" i="9"/>
  <c r="BL230" i="9"/>
  <c r="BO229" i="9"/>
  <c r="BO228" i="9"/>
  <c r="BP227" i="9"/>
  <c r="BQ226" i="9"/>
  <c r="BO225" i="9"/>
  <c r="BL224" i="9"/>
  <c r="AW223" i="9"/>
  <c r="AY222" i="9"/>
  <c r="BF221" i="9"/>
  <c r="BI220" i="9"/>
  <c r="BF219" i="9"/>
  <c r="BH218" i="9"/>
  <c r="BJ217" i="9"/>
  <c r="BK216" i="9"/>
  <c r="BO215" i="9"/>
  <c r="BP214" i="9"/>
  <c r="BR213" i="9"/>
  <c r="D213" i="9"/>
  <c r="H212" i="9"/>
  <c r="BU210" i="9"/>
  <c r="BX209" i="9"/>
  <c r="AT343" i="9"/>
  <c r="O316" i="9"/>
  <c r="V308" i="9"/>
  <c r="I300" i="9"/>
  <c r="S405" i="9"/>
  <c r="AS427" i="9"/>
  <c r="AI421" i="9"/>
  <c r="BX373" i="9"/>
  <c r="AS361" i="9"/>
  <c r="BD357" i="9"/>
  <c r="AS357" i="9"/>
  <c r="AD349" i="9"/>
  <c r="AO331" i="9"/>
  <c r="Z419" i="9"/>
  <c r="BD375" i="9"/>
  <c r="C364" i="9"/>
  <c r="BX355" i="9"/>
  <c r="F348" i="9"/>
  <c r="AA340" i="9"/>
  <c r="AQ332" i="9"/>
  <c r="AL324" i="9"/>
  <c r="AN414" i="9"/>
  <c r="I375" i="9"/>
  <c r="AU363" i="9"/>
  <c r="AU355" i="9"/>
  <c r="BC347" i="9"/>
  <c r="BY339" i="9"/>
  <c r="L332" i="9"/>
  <c r="F324" i="9"/>
  <c r="C367" i="9"/>
  <c r="BO319" i="9"/>
  <c r="R311" i="9"/>
  <c r="D303" i="9"/>
  <c r="BJ294" i="9"/>
  <c r="BK286" i="9"/>
  <c r="BJ278" i="9"/>
  <c r="AL270" i="9"/>
  <c r="R364" i="9"/>
  <c r="V319" i="9"/>
  <c r="BY310" i="9"/>
  <c r="BJ302" i="9"/>
  <c r="AN294" i="9"/>
  <c r="AQ286" i="9"/>
  <c r="AN278" i="9"/>
  <c r="F270" i="9"/>
  <c r="F363" i="9"/>
  <c r="D319" i="9"/>
  <c r="BO310" i="9"/>
  <c r="AX302" i="9"/>
  <c r="AD294" i="9"/>
  <c r="AH286" i="9"/>
  <c r="AD278" i="9"/>
  <c r="BS269" i="9"/>
  <c r="BY361" i="9"/>
  <c r="BJ318" i="9"/>
  <c r="BA310" i="9"/>
  <c r="AO302" i="9"/>
  <c r="R294" i="9"/>
  <c r="Y286" i="9"/>
  <c r="R278" i="9"/>
  <c r="BG269" i="9"/>
  <c r="BP360" i="9"/>
  <c r="V325" i="9"/>
  <c r="Z317" i="9"/>
  <c r="AM313" i="9"/>
  <c r="AH309" i="9"/>
  <c r="V305" i="9"/>
  <c r="AF302" i="9"/>
  <c r="AC300" i="9"/>
  <c r="E298" i="9"/>
  <c r="I296" i="9"/>
  <c r="H294" i="9"/>
  <c r="F292" i="9"/>
  <c r="E290" i="9"/>
  <c r="J288" i="9"/>
  <c r="N286" i="9"/>
  <c r="AT284" i="9"/>
  <c r="N283" i="9"/>
  <c r="BR281" i="9"/>
  <c r="AP280" i="9"/>
  <c r="I279" i="9"/>
  <c r="BP277" i="9"/>
  <c r="W276" i="9"/>
  <c r="BJ274" i="9"/>
  <c r="BK273" i="9"/>
  <c r="BM272" i="9"/>
  <c r="BT271" i="9"/>
  <c r="BO270" i="9"/>
  <c r="AS269" i="9"/>
  <c r="AR268" i="9"/>
  <c r="AY267" i="9"/>
  <c r="AN266" i="9"/>
  <c r="AF265" i="9"/>
  <c r="AJ264" i="9"/>
  <c r="AL378" i="9"/>
  <c r="BX365" i="9"/>
  <c r="AW357" i="9"/>
  <c r="BE349" i="9"/>
  <c r="BX341" i="9"/>
  <c r="M334" i="9"/>
  <c r="BM326" i="9"/>
  <c r="P324" i="9"/>
  <c r="AT321" i="9"/>
  <c r="AV319" i="9"/>
  <c r="C318" i="9"/>
  <c r="BQ316" i="9"/>
  <c r="A316" i="9"/>
  <c r="D315" i="9"/>
  <c r="H314" i="9"/>
  <c r="I313" i="9"/>
  <c r="K312" i="9"/>
  <c r="L311" i="9"/>
  <c r="E310" i="9"/>
  <c r="F309" i="9"/>
  <c r="E308" i="9"/>
  <c r="E307" i="9"/>
  <c r="BU305" i="9"/>
  <c r="BS304" i="9"/>
  <c r="BS303" i="9"/>
  <c r="BX302" i="9"/>
  <c r="D302" i="9"/>
  <c r="B301" i="9"/>
  <c r="BS299" i="9"/>
  <c r="BI298" i="9"/>
  <c r="AU297" i="9"/>
  <c r="BD296" i="9"/>
  <c r="BG295" i="9"/>
  <c r="BD294" i="9"/>
  <c r="BF293" i="9"/>
  <c r="BA292" i="9"/>
  <c r="BE291" i="9"/>
  <c r="BA290" i="9"/>
  <c r="AW289" i="9"/>
  <c r="BD288" i="9"/>
  <c r="BA287" i="9"/>
  <c r="BE286" i="9"/>
  <c r="BN285" i="9"/>
  <c r="BP284" i="9"/>
  <c r="BL283" i="9"/>
  <c r="BJ282" i="9"/>
  <c r="BI281" i="9"/>
  <c r="BK280" i="9"/>
  <c r="BF279" i="9"/>
  <c r="BD278" i="9"/>
  <c r="BD277" i="9"/>
  <c r="AU276" i="9"/>
  <c r="AD275" i="9"/>
  <c r="AF274" i="9"/>
  <c r="AF273" i="9"/>
  <c r="AJ272" i="9"/>
  <c r="AR271" i="9"/>
  <c r="Z270" i="9"/>
  <c r="P269" i="9"/>
  <c r="O268" i="9"/>
  <c r="L267" i="9"/>
  <c r="A266" i="9"/>
  <c r="C265" i="9"/>
  <c r="AE406" i="9"/>
  <c r="AP373" i="9"/>
  <c r="AT362" i="9"/>
  <c r="AS354" i="9"/>
  <c r="BM346" i="9"/>
  <c r="BQ338" i="9"/>
  <c r="H331" i="9"/>
  <c r="BL325" i="9"/>
  <c r="R323" i="9"/>
  <c r="BQ320" i="9"/>
  <c r="BS318" i="9"/>
  <c r="AT317" i="9"/>
  <c r="AO316" i="9"/>
  <c r="AT315" i="9"/>
  <c r="BB314" i="9"/>
  <c r="BE313" i="9"/>
  <c r="BF312" i="9"/>
  <c r="BH311" i="9"/>
  <c r="BI310" i="9"/>
  <c r="AW309" i="9"/>
  <c r="AW308" i="9"/>
  <c r="AX307" i="9"/>
  <c r="AR306" i="9"/>
  <c r="AM305" i="9"/>
  <c r="AM304" i="9"/>
  <c r="AQ303" i="9"/>
  <c r="AT302" i="9"/>
  <c r="AS301" i="9"/>
  <c r="AV300" i="9"/>
  <c r="AJ299" i="9"/>
  <c r="AA298" i="9"/>
  <c r="T297" i="9"/>
  <c r="X296" i="9"/>
  <c r="AC295" i="9"/>
  <c r="Z294" i="9"/>
  <c r="AB293" i="9"/>
  <c r="W292" i="9"/>
  <c r="Z291" i="9"/>
  <c r="V290" i="9"/>
  <c r="V289" i="9"/>
  <c r="AA288" i="9"/>
  <c r="X287" i="9"/>
  <c r="AD286" i="9"/>
  <c r="AH285" i="9"/>
  <c r="AG284" i="9"/>
  <c r="AG283" i="9"/>
  <c r="AC282" i="9"/>
  <c r="AE281" i="9"/>
  <c r="AF280" i="9"/>
  <c r="Z279" i="9"/>
  <c r="Z278" i="9"/>
  <c r="Z277" i="9"/>
  <c r="H276" i="9"/>
  <c r="B275" i="9"/>
  <c r="B274" i="9"/>
  <c r="C273" i="9"/>
  <c r="I272" i="9"/>
  <c r="I271" i="9"/>
  <c r="BO269" i="9"/>
  <c r="BM268" i="9"/>
  <c r="BO267" i="9"/>
  <c r="BF266" i="9"/>
  <c r="AV265" i="9"/>
  <c r="AX264" i="9"/>
  <c r="AL364" i="9"/>
  <c r="AC319" i="9"/>
  <c r="B311" i="9"/>
  <c r="BL302" i="9"/>
  <c r="AP294" i="9"/>
  <c r="AS286" i="9"/>
  <c r="AP278" i="9"/>
  <c r="H270" i="9"/>
  <c r="B264" i="9"/>
  <c r="J263" i="9"/>
  <c r="O262" i="9"/>
  <c r="O261" i="9"/>
  <c r="V260" i="9"/>
  <c r="U259" i="9"/>
  <c r="J258" i="9"/>
  <c r="G257" i="9"/>
  <c r="H256" i="9"/>
  <c r="C255" i="9"/>
  <c r="BN253" i="9"/>
  <c r="BP252" i="9"/>
  <c r="BP251" i="9"/>
  <c r="BQ250" i="9"/>
  <c r="BP249" i="9"/>
  <c r="BQ248" i="9"/>
  <c r="BR247" i="9"/>
  <c r="BU246" i="9"/>
  <c r="BV245" i="9"/>
  <c r="C245" i="9"/>
  <c r="D244" i="9"/>
  <c r="H243" i="9"/>
  <c r="L242" i="9"/>
  <c r="O241" i="9"/>
  <c r="N240" i="9"/>
  <c r="L239" i="9"/>
  <c r="G238" i="9"/>
  <c r="D237" i="9"/>
  <c r="BY235" i="9"/>
  <c r="BX234" i="9"/>
  <c r="A234" i="9"/>
  <c r="BX232" i="9"/>
  <c r="BY231" i="9"/>
  <c r="BY230" i="9"/>
  <c r="B230" i="9"/>
  <c r="D229" i="9"/>
  <c r="D228" i="9"/>
  <c r="F227" i="9"/>
  <c r="E226" i="9"/>
  <c r="E225" i="9"/>
  <c r="BL223" i="9"/>
  <c r="BN222" i="9"/>
  <c r="BU221" i="9"/>
  <c r="BU220" i="9"/>
  <c r="BR219" i="9"/>
  <c r="BV218" i="9"/>
  <c r="BX217" i="9"/>
  <c r="A217" i="9"/>
  <c r="B216" i="9"/>
  <c r="D215" i="9"/>
  <c r="G214" i="9"/>
  <c r="P213" i="9"/>
  <c r="U212" i="9"/>
  <c r="L211" i="9"/>
  <c r="K210" i="9"/>
  <c r="AL363" i="9"/>
  <c r="K319" i="9"/>
  <c r="BR310" i="9"/>
  <c r="BC302" i="9"/>
  <c r="AG294" i="9"/>
  <c r="AK286" i="9"/>
  <c r="AG278" i="9"/>
  <c r="BX269" i="9"/>
  <c r="A264" i="9"/>
  <c r="I263" i="9"/>
  <c r="N262" i="9"/>
  <c r="N261" i="9"/>
  <c r="U260" i="9"/>
  <c r="T259" i="9"/>
  <c r="I258" i="9"/>
  <c r="F257" i="9"/>
  <c r="G256" i="9"/>
  <c r="B255" i="9"/>
  <c r="BM253" i="9"/>
  <c r="BO252" i="9"/>
  <c r="BO251" i="9"/>
  <c r="BP250" i="9"/>
  <c r="BO249" i="9"/>
  <c r="BP248" i="9"/>
  <c r="BQ247" i="9"/>
  <c r="BT246" i="9"/>
  <c r="BU245" i="9"/>
  <c r="B245" i="9"/>
  <c r="C244" i="9"/>
  <c r="G243" i="9"/>
  <c r="K242" i="9"/>
  <c r="N241" i="9"/>
  <c r="M240" i="9"/>
  <c r="K239" i="9"/>
  <c r="F238" i="9"/>
  <c r="C237" i="9"/>
  <c r="BX235" i="9"/>
  <c r="BW234" i="9"/>
  <c r="R373" i="9"/>
  <c r="BP320" i="9"/>
  <c r="BF311" i="9"/>
  <c r="AP303" i="9"/>
  <c r="AA295" i="9"/>
  <c r="W287" i="9"/>
  <c r="X279" i="9"/>
  <c r="G271" i="9"/>
  <c r="H264" i="9"/>
  <c r="P263" i="9"/>
  <c r="V262" i="9"/>
  <c r="Z261" i="9"/>
  <c r="AC260" i="9"/>
  <c r="AC259" i="9"/>
  <c r="Q258" i="9"/>
  <c r="M257" i="9"/>
  <c r="N256" i="9"/>
  <c r="J255" i="9"/>
  <c r="BT253" i="9"/>
  <c r="BV252" i="9"/>
  <c r="BV251" i="9"/>
  <c r="BY250" i="9"/>
  <c r="BX249" i="9"/>
  <c r="BX248" i="9"/>
  <c r="A248" i="9"/>
  <c r="C247" i="9"/>
  <c r="E246" i="9"/>
  <c r="I245" i="9"/>
  <c r="J244" i="9"/>
  <c r="N243" i="9"/>
  <c r="R242" i="9"/>
  <c r="W241" i="9"/>
  <c r="V240" i="9"/>
  <c r="S239" i="9"/>
  <c r="M238" i="9"/>
  <c r="J237" i="9"/>
  <c r="F236" i="9"/>
  <c r="E235" i="9"/>
  <c r="I234" i="9"/>
  <c r="E233" i="9"/>
  <c r="F232" i="9"/>
  <c r="F231" i="9"/>
  <c r="H230" i="9"/>
  <c r="K229" i="9"/>
  <c r="AM353" i="9"/>
  <c r="AG317" i="9"/>
  <c r="AN309" i="9"/>
  <c r="AI301" i="9"/>
  <c r="P293" i="9"/>
  <c r="W285" i="9"/>
  <c r="M277" i="9"/>
  <c r="AW268" i="9"/>
  <c r="BN263" i="9"/>
  <c r="BX262" i="9"/>
  <c r="C262" i="9"/>
  <c r="D261" i="9"/>
  <c r="I260" i="9"/>
  <c r="H259" i="9"/>
  <c r="BW257" i="9"/>
  <c r="BU256" i="9"/>
  <c r="BS255" i="9"/>
  <c r="BP254" i="9"/>
  <c r="BB253" i="9"/>
  <c r="AW252" i="9"/>
  <c r="BE251" i="9"/>
  <c r="BD250" i="9"/>
  <c r="BD249" i="9"/>
  <c r="BD248" i="9"/>
  <c r="BG247" i="9"/>
  <c r="BJ246" i="9"/>
  <c r="BK245" i="9"/>
  <c r="BP244" i="9"/>
  <c r="BQ243" i="9"/>
  <c r="BU242" i="9"/>
  <c r="A242" i="9"/>
  <c r="C241" i="9"/>
  <c r="C240" i="9"/>
  <c r="A239" i="9"/>
  <c r="BS237" i="9"/>
  <c r="BN236" i="9"/>
  <c r="BK235" i="9"/>
  <c r="BL234" i="9"/>
  <c r="BL233" i="9"/>
  <c r="BK232" i="9"/>
  <c r="BL231" i="9"/>
  <c r="BM230" i="9"/>
  <c r="BP229" i="9"/>
  <c r="BP228" i="9"/>
  <c r="BQ227" i="9"/>
  <c r="BR226" i="9"/>
  <c r="BP225" i="9"/>
  <c r="BM224" i="9"/>
  <c r="AZ223" i="9"/>
  <c r="AZ222" i="9"/>
  <c r="BH221" i="9"/>
  <c r="BJ220" i="9"/>
  <c r="BG219" i="9"/>
  <c r="BK218" i="9"/>
  <c r="BK217" i="9"/>
  <c r="BL216" i="9"/>
  <c r="BP215" i="9"/>
  <c r="BQ214" i="9"/>
  <c r="BS213" i="9"/>
  <c r="E213" i="9"/>
  <c r="I212" i="9"/>
  <c r="BV210" i="9"/>
  <c r="BY209" i="9"/>
  <c r="BY208" i="9"/>
  <c r="BE344" i="9"/>
  <c r="X316" i="9"/>
  <c r="AF308" i="9"/>
  <c r="T300" i="9"/>
  <c r="C292" i="9"/>
  <c r="L284" i="9"/>
  <c r="BG275" i="9"/>
  <c r="AU267" i="9"/>
  <c r="BD263" i="9"/>
  <c r="BN262" i="9"/>
  <c r="BS261" i="9"/>
  <c r="BT260" i="9"/>
  <c r="BX259" i="9"/>
  <c r="BV258" i="9"/>
  <c r="BL257" i="9"/>
  <c r="BJ256" i="9"/>
  <c r="BH255" i="9"/>
  <c r="AZ254" i="9"/>
  <c r="AQ253" i="9"/>
  <c r="AN252" i="9"/>
  <c r="AS251" i="9"/>
  <c r="AS250" i="9"/>
  <c r="AS249" i="9"/>
  <c r="AQ248" i="9"/>
  <c r="AU247" i="9"/>
  <c r="AY246" i="9"/>
  <c r="AZ245" i="9"/>
  <c r="BD244" i="9"/>
  <c r="BG243" i="9"/>
  <c r="BL242" i="9"/>
  <c r="BO241" i="9"/>
  <c r="BR240" i="9"/>
  <c r="BQ239" i="9"/>
  <c r="BO238" i="9"/>
  <c r="BE237" i="9"/>
  <c r="AW236" i="9"/>
  <c r="AU235" i="9"/>
  <c r="BB234" i="9"/>
  <c r="AZ233" i="9"/>
  <c r="BA232" i="9"/>
  <c r="BB231" i="9"/>
  <c r="AZ230" i="9"/>
  <c r="BD229" i="9"/>
  <c r="BD228" i="9"/>
  <c r="BF227" i="9"/>
  <c r="BG226" i="9"/>
  <c r="BD225" i="9"/>
  <c r="AY224" i="9"/>
  <c r="AO223" i="9"/>
  <c r="AQ222" i="9"/>
  <c r="AT221" i="9"/>
  <c r="AY220" i="9"/>
  <c r="AU219" i="9"/>
  <c r="AW218" i="9"/>
  <c r="AW217" i="9"/>
  <c r="BB216" i="9"/>
  <c r="BG215" i="9"/>
  <c r="BF214" i="9"/>
  <c r="BJ213" i="9"/>
  <c r="BT212" i="9"/>
  <c r="BX211" i="9"/>
  <c r="BK210" i="9"/>
  <c r="BO209" i="9"/>
  <c r="BM335" i="9"/>
  <c r="R315" i="9"/>
  <c r="V307" i="9"/>
  <c r="BX298" i="9"/>
  <c r="BS290" i="9"/>
  <c r="A283" i="9"/>
  <c r="AV274" i="9"/>
  <c r="R266" i="9"/>
  <c r="AO383" i="9"/>
  <c r="BR414" i="9"/>
  <c r="BI410" i="9"/>
  <c r="BL362" i="9"/>
  <c r="AS353" i="9"/>
  <c r="BJ349" i="9"/>
  <c r="AY349" i="9"/>
  <c r="BY346" i="9"/>
  <c r="AO329" i="9"/>
  <c r="AP409" i="9"/>
  <c r="P374" i="9"/>
  <c r="BY362" i="9"/>
  <c r="B355" i="9"/>
  <c r="O347" i="9"/>
  <c r="AD339" i="9"/>
  <c r="AN331" i="9"/>
  <c r="AO323" i="9"/>
  <c r="AM406" i="9"/>
  <c r="AQ373" i="9"/>
  <c r="AU362" i="9"/>
  <c r="AT354" i="9"/>
  <c r="BN346" i="9"/>
  <c r="BR338" i="9"/>
  <c r="J331" i="9"/>
  <c r="L323" i="9"/>
  <c r="V358" i="9"/>
  <c r="H318" i="9"/>
  <c r="J310" i="9"/>
  <c r="I302" i="9"/>
  <c r="BK293" i="9"/>
  <c r="BS285" i="9"/>
  <c r="BK277" i="9"/>
  <c r="V269" i="9"/>
  <c r="N356" i="9"/>
  <c r="BL317" i="9"/>
  <c r="BQ309" i="9"/>
  <c r="BP301" i="9"/>
  <c r="AQ293" i="9"/>
  <c r="AV285" i="9"/>
  <c r="AN277" i="9"/>
  <c r="B269" i="9"/>
  <c r="I355" i="9"/>
  <c r="AZ317" i="9"/>
  <c r="BE309" i="9"/>
  <c r="AW301" i="9"/>
  <c r="AF293" i="9"/>
  <c r="AM285" i="9"/>
  <c r="AD277" i="9"/>
  <c r="BR268" i="9"/>
  <c r="BX353" i="9"/>
  <c r="AM317" i="9"/>
  <c r="AR309" i="9"/>
  <c r="AN301" i="9"/>
  <c r="V293" i="9"/>
  <c r="AC285" i="9"/>
  <c r="Q277" i="9"/>
  <c r="BE268" i="9"/>
  <c r="BW352" i="9"/>
  <c r="V324" i="9"/>
  <c r="BR316" i="9"/>
  <c r="J313" i="9"/>
  <c r="G309" i="9"/>
  <c r="BT304" i="9"/>
  <c r="W302" i="9"/>
  <c r="L300" i="9"/>
  <c r="BU297" i="9"/>
  <c r="A296" i="9"/>
  <c r="BY293" i="9"/>
  <c r="BV291" i="9"/>
  <c r="BT289" i="9"/>
  <c r="BY287" i="9"/>
  <c r="F286" i="9"/>
  <c r="AI284" i="9"/>
  <c r="D283" i="9"/>
  <c r="BJ281" i="9"/>
  <c r="AH280" i="9"/>
  <c r="BY278" i="9"/>
  <c r="BE277" i="9"/>
  <c r="J276" i="9"/>
  <c r="BA274" i="9"/>
  <c r="AW273" i="9"/>
  <c r="BE272" i="9"/>
  <c r="BL271" i="9"/>
  <c r="AZ270" i="9"/>
  <c r="AK269" i="9"/>
  <c r="AI268" i="9"/>
  <c r="AP267" i="9"/>
  <c r="Z266" i="9"/>
  <c r="W265" i="9"/>
  <c r="AK428" i="9"/>
  <c r="BK376" i="9"/>
  <c r="BG364" i="9"/>
  <c r="BA356" i="9"/>
  <c r="BD348" i="9"/>
  <c r="B341" i="9"/>
  <c r="S333" i="9"/>
  <c r="AO326" i="9"/>
  <c r="BR323" i="9"/>
  <c r="AD321" i="9"/>
  <c r="AE319" i="9"/>
  <c r="BR317" i="9"/>
  <c r="BI316" i="9"/>
  <c r="BR315" i="9"/>
  <c r="BT314" i="9"/>
  <c r="BX313" i="9"/>
  <c r="A313" i="9"/>
  <c r="C312" i="9"/>
  <c r="D311" i="9"/>
  <c r="BU309" i="9"/>
  <c r="BT308" i="9"/>
  <c r="BT307" i="9"/>
  <c r="BQ306" i="9"/>
  <c r="BK305" i="9"/>
  <c r="BI304" i="9"/>
  <c r="BK303" i="9"/>
  <c r="BN302" i="9"/>
  <c r="BT301" i="9"/>
  <c r="BQ300" i="9"/>
  <c r="BI299" i="9"/>
  <c r="AZ298" i="9"/>
  <c r="AM297" i="9"/>
  <c r="AS296" i="9"/>
  <c r="AV295" i="9"/>
  <c r="AR294" i="9"/>
  <c r="AU293" i="9"/>
  <c r="AQ292" i="9"/>
  <c r="AT291" i="9"/>
  <c r="AQ290" i="9"/>
  <c r="AO289" i="9"/>
  <c r="AT288" i="9"/>
  <c r="AQ287" i="9"/>
  <c r="AU286" i="9"/>
  <c r="BA285" i="9"/>
  <c r="BE284" i="9"/>
  <c r="BD283" i="9"/>
  <c r="AW282" i="9"/>
  <c r="AZ281" i="9"/>
  <c r="AW280" i="9"/>
  <c r="AT279" i="9"/>
  <c r="AR278" i="9"/>
  <c r="AR277" i="9"/>
  <c r="AM276" i="9"/>
  <c r="U275" i="9"/>
  <c r="V274" i="9"/>
  <c r="V273" i="9"/>
  <c r="AB272" i="9"/>
  <c r="AI271" i="9"/>
  <c r="J270" i="9"/>
  <c r="F269" i="9"/>
  <c r="G268" i="9"/>
  <c r="B267" i="9"/>
  <c r="BP265" i="9"/>
  <c r="BR264" i="9"/>
  <c r="T398" i="9"/>
  <c r="BM371" i="9"/>
  <c r="AU361" i="9"/>
  <c r="AU353" i="9"/>
  <c r="BP345" i="9"/>
  <c r="BO337" i="9"/>
  <c r="L330" i="9"/>
  <c r="AO325" i="9"/>
  <c r="BR322" i="9"/>
  <c r="AT320" i="9"/>
  <c r="BA318" i="9"/>
  <c r="AI317" i="9"/>
  <c r="AG316" i="9"/>
  <c r="AL315" i="9"/>
  <c r="AR314" i="9"/>
  <c r="AS313" i="9"/>
  <c r="AT312" i="9"/>
  <c r="AU311" i="9"/>
  <c r="AV310" i="9"/>
  <c r="AO309" i="9"/>
  <c r="AO308" i="9"/>
  <c r="AP307" i="9"/>
  <c r="AJ306" i="9"/>
  <c r="AD305" i="9"/>
  <c r="AD304" i="9"/>
  <c r="AG303" i="9"/>
  <c r="AL302" i="9"/>
  <c r="AJ301" i="9"/>
  <c r="AN300" i="9"/>
  <c r="Q299" i="9"/>
  <c r="M298" i="9"/>
  <c r="K297" i="9"/>
  <c r="O296" i="9"/>
  <c r="N295" i="9"/>
  <c r="N294" i="9"/>
  <c r="R293" i="9"/>
  <c r="M292" i="9"/>
  <c r="N291" i="9"/>
  <c r="L290" i="9"/>
  <c r="M289" i="9"/>
  <c r="P288" i="9"/>
  <c r="N287" i="9"/>
  <c r="U286" i="9"/>
  <c r="Z285" i="9"/>
  <c r="W284" i="9"/>
  <c r="W283" i="9"/>
  <c r="P282" i="9"/>
  <c r="U281" i="9"/>
  <c r="V280" i="9"/>
  <c r="O279" i="9"/>
  <c r="N278" i="9"/>
  <c r="N277" i="9"/>
  <c r="BX275" i="9"/>
  <c r="BQ274" i="9"/>
  <c r="BQ273" i="9"/>
  <c r="BS272" i="9"/>
  <c r="A272" i="9"/>
  <c r="BU270" i="9"/>
  <c r="AZ269" i="9"/>
  <c r="AZ268" i="9"/>
  <c r="BG267" i="9"/>
  <c r="AT266" i="9"/>
  <c r="AN265" i="9"/>
  <c r="AP264" i="9"/>
  <c r="AG356" i="9"/>
  <c r="BP317" i="9"/>
  <c r="BS309" i="9"/>
  <c r="BR301" i="9"/>
  <c r="AS293" i="9"/>
  <c r="AY285" i="9"/>
  <c r="AP277" i="9"/>
  <c r="D269" i="9"/>
  <c r="BQ263" i="9"/>
  <c r="B263" i="9"/>
  <c r="F262" i="9"/>
  <c r="G261" i="9"/>
  <c r="L260" i="9"/>
  <c r="K259" i="9"/>
  <c r="A258" i="9"/>
  <c r="BX256" i="9"/>
  <c r="BV255" i="9"/>
  <c r="BS254" i="9"/>
  <c r="BF253" i="9"/>
  <c r="BD252" i="9"/>
  <c r="BH251" i="9"/>
  <c r="BH250" i="9"/>
  <c r="BH249" i="9"/>
  <c r="BH248" i="9"/>
  <c r="BJ247" i="9"/>
  <c r="BM246" i="9"/>
  <c r="BN245" i="9"/>
  <c r="BS244" i="9"/>
  <c r="BT243" i="9"/>
  <c r="BY242" i="9"/>
  <c r="D242" i="9"/>
  <c r="F241" i="9"/>
  <c r="F240" i="9"/>
  <c r="D239" i="9"/>
  <c r="BV237" i="9"/>
  <c r="BQ236" i="9"/>
  <c r="BP235" i="9"/>
  <c r="BO234" i="9"/>
  <c r="BQ233" i="9"/>
  <c r="BN232" i="9"/>
  <c r="BO231" i="9"/>
  <c r="BP230" i="9"/>
  <c r="BS229" i="9"/>
  <c r="BS228" i="9"/>
  <c r="BT227" i="9"/>
  <c r="BU226" i="9"/>
  <c r="BS225" i="9"/>
  <c r="BP224" i="9"/>
  <c r="BC223" i="9"/>
  <c r="BD222" i="9"/>
  <c r="BK221" i="9"/>
  <c r="BM220" i="9"/>
  <c r="BJ219" i="9"/>
  <c r="BN218" i="9"/>
  <c r="BP217" i="9"/>
  <c r="BP216" i="9"/>
  <c r="BS215" i="9"/>
  <c r="BT214" i="9"/>
  <c r="BX213" i="9"/>
  <c r="H213" i="9"/>
  <c r="L212" i="9"/>
  <c r="D211" i="9"/>
  <c r="C210" i="9"/>
  <c r="AL355" i="9"/>
  <c r="BE317" i="9"/>
  <c r="BI309" i="9"/>
  <c r="BE301" i="9"/>
  <c r="AI293" i="9"/>
  <c r="AP285" i="9"/>
  <c r="AG277" i="9"/>
  <c r="BU268" i="9"/>
  <c r="BP263" i="9"/>
  <c r="A263" i="9"/>
  <c r="E262" i="9"/>
  <c r="F261" i="9"/>
  <c r="K260" i="9"/>
  <c r="J259" i="9"/>
  <c r="BY257" i="9"/>
  <c r="BW256" i="9"/>
  <c r="BU255" i="9"/>
  <c r="BR254" i="9"/>
  <c r="BD253" i="9"/>
  <c r="BA252" i="9"/>
  <c r="BG251" i="9"/>
  <c r="BG250" i="9"/>
  <c r="BG249" i="9"/>
  <c r="BF248" i="9"/>
  <c r="BI247" i="9"/>
  <c r="BL246" i="9"/>
  <c r="BM245" i="9"/>
  <c r="BR244" i="9"/>
  <c r="BS243" i="9"/>
  <c r="BX242" i="9"/>
  <c r="C242" i="9"/>
  <c r="E241" i="9"/>
  <c r="E240" i="9"/>
  <c r="C239" i="9"/>
  <c r="BU237" i="9"/>
  <c r="BP236" i="9"/>
  <c r="BO235" i="9"/>
  <c r="BN234" i="9"/>
  <c r="AL362" i="9"/>
  <c r="BR318" i="9"/>
  <c r="BH310" i="9"/>
  <c r="AS302" i="9"/>
  <c r="W294" i="9"/>
  <c r="AC286" i="9"/>
  <c r="W278" i="9"/>
  <c r="BN269" i="9"/>
  <c r="BY263" i="9"/>
  <c r="H263" i="9"/>
  <c r="M262" i="9"/>
  <c r="M261" i="9"/>
  <c r="R260" i="9"/>
  <c r="R259" i="9"/>
  <c r="G258" i="9"/>
  <c r="E257" i="9"/>
  <c r="F256" i="9"/>
  <c r="A255" i="9"/>
  <c r="BL253" i="9"/>
  <c r="BM252" i="9"/>
  <c r="BN251" i="9"/>
  <c r="BO250" i="9"/>
  <c r="BN249" i="9"/>
  <c r="BO248" i="9"/>
  <c r="BP247" i="9"/>
  <c r="BS246" i="9"/>
  <c r="BT245" i="9"/>
  <c r="A245" i="9"/>
  <c r="B244" i="9"/>
  <c r="F243" i="9"/>
  <c r="J242" i="9"/>
  <c r="M241" i="9"/>
  <c r="L240" i="9"/>
  <c r="J239" i="9"/>
  <c r="E238" i="9"/>
  <c r="B237" i="9"/>
  <c r="BV235" i="9"/>
  <c r="BU234" i="9"/>
  <c r="BX233" i="9"/>
  <c r="BT232" i="9"/>
  <c r="BU231" i="9"/>
  <c r="BV230" i="9"/>
  <c r="BY229" i="9"/>
  <c r="B229" i="9"/>
  <c r="BG345" i="9"/>
  <c r="AF316" i="9"/>
  <c r="AN308" i="9"/>
  <c r="AM300" i="9"/>
  <c r="L292" i="9"/>
  <c r="V284" i="9"/>
  <c r="BU275" i="9"/>
  <c r="BF267" i="9"/>
  <c r="BE263" i="9"/>
  <c r="BO262" i="9"/>
  <c r="BT261" i="9"/>
  <c r="BU260" i="9"/>
  <c r="BY259" i="9"/>
  <c r="BX258" i="9"/>
  <c r="BO257" i="9"/>
  <c r="BK256" i="9"/>
  <c r="BI255" i="9"/>
  <c r="BA254" i="9"/>
  <c r="AR253" i="9"/>
  <c r="AO252" i="9"/>
  <c r="AT251" i="9"/>
  <c r="AT250" i="9"/>
  <c r="AT249" i="9"/>
  <c r="AR248" i="9"/>
  <c r="AV247" i="9"/>
  <c r="AZ246" i="9"/>
  <c r="BA245" i="9"/>
  <c r="BE244" i="9"/>
  <c r="BH243" i="9"/>
  <c r="BM242" i="9"/>
  <c r="BP241" i="9"/>
  <c r="BS240" i="9"/>
  <c r="BR239" i="9"/>
  <c r="BP238" i="9"/>
  <c r="BF237" i="9"/>
  <c r="AZ236" i="9"/>
  <c r="AV235" i="9"/>
  <c r="BC234" i="9"/>
  <c r="BA233" i="9"/>
  <c r="BB232" i="9"/>
  <c r="BC231" i="9"/>
  <c r="BA230" i="9"/>
  <c r="BE229" i="9"/>
  <c r="BE228" i="9"/>
  <c r="BH227" i="9"/>
  <c r="BH226" i="9"/>
  <c r="BF225" i="9"/>
  <c r="AZ224" i="9"/>
  <c r="AP223" i="9"/>
  <c r="AR222" i="9"/>
  <c r="AU221" i="9"/>
  <c r="AZ220" i="9"/>
  <c r="AV219" i="9"/>
  <c r="AY218" i="9"/>
  <c r="AZ217" i="9"/>
  <c r="BC216" i="9"/>
  <c r="BH215" i="9"/>
  <c r="BG214" i="9"/>
  <c r="BK213" i="9"/>
  <c r="BU212" i="9"/>
  <c r="BY211" i="9"/>
  <c r="BL210" i="9"/>
  <c r="BP209" i="9"/>
  <c r="BP208" i="9"/>
  <c r="BH336" i="9"/>
  <c r="AB315" i="9"/>
  <c r="AG307" i="9"/>
  <c r="H299" i="9"/>
  <c r="E291" i="9"/>
  <c r="K283" i="9"/>
  <c r="BG274" i="9"/>
  <c r="AJ266" i="9"/>
  <c r="AT263" i="9"/>
  <c r="BF262" i="9"/>
  <c r="BH261" i="9"/>
  <c r="BL260" i="9"/>
  <c r="BO259" i="9"/>
  <c r="BM258" i="9"/>
  <c r="AW257" i="9"/>
  <c r="AW256" i="9"/>
  <c r="AU255" i="9"/>
  <c r="AP254" i="9"/>
  <c r="AG253" i="9"/>
  <c r="AE252" i="9"/>
  <c r="AH251" i="9"/>
  <c r="AI250" i="9"/>
  <c r="AI249" i="9"/>
  <c r="AH248" i="9"/>
  <c r="AM247" i="9"/>
  <c r="AP246" i="9"/>
  <c r="AQ245" i="9"/>
  <c r="AR244" i="9"/>
  <c r="AV243" i="9"/>
  <c r="BD242" i="9"/>
  <c r="BG241" i="9"/>
  <c r="BF240" i="9"/>
  <c r="BD239" i="9"/>
  <c r="AF411" i="9"/>
  <c r="BF406" i="9"/>
  <c r="BX402" i="9"/>
  <c r="BN354" i="9"/>
  <c r="BN345" i="9"/>
  <c r="D342" i="9"/>
  <c r="BT341" i="9"/>
  <c r="AL344" i="9"/>
  <c r="AE327" i="9"/>
  <c r="AK401" i="9"/>
  <c r="AL372" i="9"/>
  <c r="B362" i="9"/>
  <c r="A354" i="9"/>
  <c r="T346" i="9"/>
  <c r="W338" i="9"/>
  <c r="AP330" i="9"/>
  <c r="AN322" i="9"/>
  <c r="AC398" i="9"/>
  <c r="BN371" i="9"/>
  <c r="AV361" i="9"/>
  <c r="AV353" i="9"/>
  <c r="BQ345" i="9"/>
  <c r="BP337" i="9"/>
  <c r="M330" i="9"/>
  <c r="K322" i="9"/>
  <c r="W350" i="9"/>
  <c r="BX316" i="9"/>
  <c r="L309" i="9"/>
  <c r="G301" i="9"/>
  <c r="BI292" i="9"/>
  <c r="BU284" i="9"/>
  <c r="BC276" i="9"/>
  <c r="U268" i="9"/>
  <c r="U348" i="9"/>
  <c r="BD316" i="9"/>
  <c r="BP308" i="9"/>
  <c r="BL300" i="9"/>
  <c r="AM292" i="9"/>
  <c r="AW284" i="9"/>
  <c r="AB276" i="9"/>
  <c r="C268" i="9"/>
  <c r="U347" i="9"/>
  <c r="AS316" i="9"/>
  <c r="BD308" i="9"/>
  <c r="BB300" i="9"/>
  <c r="AB292" i="9"/>
  <c r="AL284" i="9"/>
  <c r="L276" i="9"/>
  <c r="BS267" i="9"/>
  <c r="P346" i="9"/>
  <c r="AJ316" i="9"/>
  <c r="AR308" i="9"/>
  <c r="AQ300" i="9"/>
  <c r="P292" i="9"/>
  <c r="AB284" i="9"/>
  <c r="B276" i="9"/>
  <c r="BJ267" i="9"/>
  <c r="K345" i="9"/>
  <c r="AT322" i="9"/>
  <c r="AA316" i="9"/>
  <c r="AN312" i="9"/>
  <c r="AI308" i="9"/>
  <c r="V304" i="9"/>
  <c r="E302" i="9"/>
  <c r="BT299" i="9"/>
  <c r="AV297" i="9"/>
  <c r="BH295" i="9"/>
  <c r="BG293" i="9"/>
  <c r="BF291" i="9"/>
  <c r="AX289" i="9"/>
  <c r="BD287" i="9"/>
  <c r="BO285" i="9"/>
  <c r="O284" i="9"/>
  <c r="BU282" i="9"/>
  <c r="AQ281" i="9"/>
  <c r="M280" i="9"/>
  <c r="BP278" i="9"/>
  <c r="AJ277" i="9"/>
  <c r="BL275" i="9"/>
  <c r="AQ274" i="9"/>
  <c r="AO273" i="9"/>
  <c r="AT272" i="9"/>
  <c r="BD271" i="9"/>
  <c r="AP270" i="9"/>
  <c r="AC269" i="9"/>
  <c r="AA268" i="9"/>
  <c r="AB267" i="9"/>
  <c r="L266" i="9"/>
  <c r="N265" i="9"/>
  <c r="BF415" i="9"/>
  <c r="S375" i="9"/>
  <c r="BG363" i="9"/>
  <c r="BD355" i="9"/>
  <c r="BK347" i="9"/>
  <c r="G340" i="9"/>
  <c r="U332" i="9"/>
  <c r="N326" i="9"/>
  <c r="AT323" i="9"/>
  <c r="J321" i="9"/>
  <c r="M319" i="9"/>
  <c r="BH317" i="9"/>
  <c r="AX316" i="9"/>
  <c r="BH315" i="9"/>
  <c r="BL314" i="9"/>
  <c r="BP313" i="9"/>
  <c r="BR312" i="9"/>
  <c r="BS311" i="9"/>
  <c r="BT310" i="9"/>
  <c r="BK309" i="9"/>
  <c r="BL308" i="9"/>
  <c r="BL307" i="9"/>
  <c r="BH306" i="9"/>
  <c r="AV305" i="9"/>
  <c r="AV304" i="9"/>
  <c r="BB303" i="9"/>
  <c r="BE302" i="9"/>
  <c r="BH301" i="9"/>
  <c r="BH300" i="9"/>
  <c r="AV299" i="9"/>
  <c r="AP298" i="9"/>
  <c r="AD297" i="9"/>
  <c r="AH296" i="9"/>
  <c r="AN295" i="9"/>
  <c r="AI294" i="9"/>
  <c r="AM293" i="9"/>
  <c r="AG292" i="9"/>
  <c r="AL291" i="9"/>
  <c r="AG290" i="9"/>
  <c r="AG289" i="9"/>
  <c r="AL288" i="9"/>
  <c r="AH287" i="9"/>
  <c r="AM286" i="9"/>
  <c r="AR285" i="9"/>
  <c r="AS284" i="9"/>
  <c r="AS283" i="9"/>
  <c r="AM282" i="9"/>
  <c r="AP281" i="9"/>
  <c r="AO280" i="9"/>
  <c r="AI279" i="9"/>
  <c r="AI278" i="9"/>
  <c r="AI277" i="9"/>
  <c r="R276" i="9"/>
  <c r="L275" i="9"/>
  <c r="M274" i="9"/>
  <c r="M273" i="9"/>
  <c r="R272" i="9"/>
  <c r="R271" i="9"/>
  <c r="A270" i="9"/>
  <c r="BW268" i="9"/>
  <c r="BX267" i="9"/>
  <c r="BS266" i="9"/>
  <c r="BH265" i="9"/>
  <c r="BJ264" i="9"/>
  <c r="O390" i="9"/>
  <c r="W370" i="9"/>
  <c r="AR360" i="9"/>
  <c r="BF352" i="9"/>
  <c r="BS344" i="9"/>
  <c r="BR336" i="9"/>
  <c r="I329" i="9"/>
  <c r="O325" i="9"/>
  <c r="AP322" i="9"/>
  <c r="AC320" i="9"/>
  <c r="AI318" i="9"/>
  <c r="R317" i="9"/>
  <c r="Y316" i="9"/>
  <c r="AC315" i="9"/>
  <c r="AH314" i="9"/>
  <c r="AJ313" i="9"/>
  <c r="AL312" i="9"/>
  <c r="AM311" i="9"/>
  <c r="AN310" i="9"/>
  <c r="AF309" i="9"/>
  <c r="AG308" i="9"/>
  <c r="AH307" i="9"/>
  <c r="W306" i="9"/>
  <c r="S305" i="9"/>
  <c r="S304" i="9"/>
  <c r="X303" i="9"/>
  <c r="AD302" i="9"/>
  <c r="AB301" i="9"/>
  <c r="U300" i="9"/>
  <c r="I299" i="9"/>
  <c r="C298" i="9"/>
  <c r="C297" i="9"/>
  <c r="G296" i="9"/>
  <c r="E295" i="9"/>
  <c r="F294" i="9"/>
  <c r="I293" i="9"/>
  <c r="D292" i="9"/>
  <c r="F291" i="9"/>
  <c r="C290" i="9"/>
  <c r="D289" i="9"/>
  <c r="F288" i="9"/>
  <c r="F287" i="9"/>
  <c r="L286" i="9"/>
  <c r="O285" i="9"/>
  <c r="M284" i="9"/>
  <c r="L283" i="9"/>
  <c r="H282" i="9"/>
  <c r="L281" i="9"/>
  <c r="K280" i="9"/>
  <c r="F279" i="9"/>
  <c r="F278" i="9"/>
  <c r="E277" i="9"/>
  <c r="BH275" i="9"/>
  <c r="BH274" i="9"/>
  <c r="BI273" i="9"/>
  <c r="BK272" i="9"/>
  <c r="BR271" i="9"/>
  <c r="BK270" i="9"/>
  <c r="AQ269" i="9"/>
  <c r="AP268" i="9"/>
  <c r="AV267" i="9"/>
  <c r="AL266" i="9"/>
  <c r="AD265" i="9"/>
  <c r="AH264" i="9"/>
  <c r="AL348" i="9"/>
  <c r="BF316" i="9"/>
  <c r="BR308" i="9"/>
  <c r="BO300" i="9"/>
  <c r="AO292" i="9"/>
  <c r="BA284" i="9"/>
  <c r="AE276" i="9"/>
  <c r="E268" i="9"/>
  <c r="BI263" i="9"/>
  <c r="BR262" i="9"/>
  <c r="BW261" i="9"/>
  <c r="BX260" i="9"/>
  <c r="C260" i="9"/>
  <c r="B259" i="9"/>
  <c r="BR257" i="9"/>
  <c r="BP256" i="9"/>
  <c r="BL255" i="9"/>
  <c r="BF254" i="9"/>
  <c r="AU253" i="9"/>
  <c r="AR252" i="9"/>
  <c r="AW251" i="9"/>
  <c r="AW250" i="9"/>
  <c r="AW249" i="9"/>
  <c r="AU248" i="9"/>
  <c r="BA247" i="9"/>
  <c r="BE246" i="9"/>
  <c r="BF245" i="9"/>
  <c r="BI244" i="9"/>
  <c r="BK243" i="9"/>
  <c r="BP242" i="9"/>
  <c r="BS241" i="9"/>
  <c r="BV240" i="9"/>
  <c r="BU239" i="9"/>
  <c r="BS238" i="9"/>
  <c r="BL237" i="9"/>
  <c r="BD236" i="9"/>
  <c r="BA235" i="9"/>
  <c r="BG234" i="9"/>
  <c r="BF233" i="9"/>
  <c r="BF232" i="9"/>
  <c r="BG231" i="9"/>
  <c r="BF230" i="9"/>
  <c r="BI229" i="9"/>
  <c r="BI228" i="9"/>
  <c r="BK227" i="9"/>
  <c r="BL226" i="9"/>
  <c r="BJ225" i="9"/>
  <c r="BC224" i="9"/>
  <c r="AS223" i="9"/>
  <c r="AU222" i="9"/>
  <c r="AZ221" i="9"/>
  <c r="BE220" i="9"/>
  <c r="AZ219" i="9"/>
  <c r="BD218" i="9"/>
  <c r="BE217" i="9"/>
  <c r="BG216" i="9"/>
  <c r="BK215" i="9"/>
  <c r="BL214" i="9"/>
  <c r="BN213" i="9"/>
  <c r="BY212" i="9"/>
  <c r="C212" i="9"/>
  <c r="BQ210" i="9"/>
  <c r="BS209" i="9"/>
  <c r="AS347" i="9"/>
  <c r="AV316" i="9"/>
  <c r="BJ308" i="9"/>
  <c r="BF300" i="9"/>
  <c r="AE292" i="9"/>
  <c r="AQ284" i="9"/>
  <c r="O276" i="9"/>
  <c r="BV267" i="9"/>
  <c r="BG263" i="9"/>
  <c r="BQ262" i="9"/>
  <c r="BV261" i="9"/>
  <c r="BW260" i="9"/>
  <c r="B260" i="9"/>
  <c r="A259" i="9"/>
  <c r="BQ257" i="9"/>
  <c r="BO256" i="9"/>
  <c r="BK255" i="9"/>
  <c r="BE254" i="9"/>
  <c r="AT253" i="9"/>
  <c r="AQ252" i="9"/>
  <c r="AV251" i="9"/>
  <c r="AV250" i="9"/>
  <c r="AV249" i="9"/>
  <c r="AT248" i="9"/>
  <c r="AZ247" i="9"/>
  <c r="BD246" i="9"/>
  <c r="BE245" i="9"/>
  <c r="BH244" i="9"/>
  <c r="BJ243" i="9"/>
  <c r="BO242" i="9"/>
  <c r="BR241" i="9"/>
  <c r="BU240" i="9"/>
  <c r="BT239" i="9"/>
  <c r="BR238" i="9"/>
  <c r="BK237" i="9"/>
  <c r="BB236" i="9"/>
  <c r="AZ235" i="9"/>
  <c r="BF234" i="9"/>
  <c r="AK354" i="9"/>
  <c r="AS317" i="9"/>
  <c r="AV309" i="9"/>
  <c r="AR301" i="9"/>
  <c r="AA293" i="9"/>
  <c r="AG285" i="9"/>
  <c r="W277" i="9"/>
  <c r="BL268" i="9"/>
  <c r="BO263" i="9"/>
  <c r="BY262" i="9"/>
  <c r="D262" i="9"/>
  <c r="E261" i="9"/>
  <c r="J260" i="9"/>
  <c r="I259" i="9"/>
  <c r="BX257" i="9"/>
  <c r="BV256" i="9"/>
  <c r="BT255" i="9"/>
  <c r="BQ254" i="9"/>
  <c r="BC253" i="9"/>
  <c r="AZ252" i="9"/>
  <c r="BF251" i="9"/>
  <c r="BF250" i="9"/>
  <c r="BF249" i="9"/>
  <c r="BE248" i="9"/>
  <c r="BH247" i="9"/>
  <c r="BK246" i="9"/>
  <c r="BL245" i="9"/>
  <c r="BQ244" i="9"/>
  <c r="BR243" i="9"/>
  <c r="BV242" i="9"/>
  <c r="B242" i="9"/>
  <c r="D241" i="9"/>
  <c r="D240" i="9"/>
  <c r="B239" i="9"/>
  <c r="BT237" i="9"/>
  <c r="BO236" i="9"/>
  <c r="BL235" i="9"/>
  <c r="BM234" i="9"/>
  <c r="BO233" i="9"/>
  <c r="BL232" i="9"/>
  <c r="BM231" i="9"/>
  <c r="BN230" i="9"/>
  <c r="BQ229" i="9"/>
  <c r="BQ228" i="9"/>
  <c r="BF337" i="9"/>
  <c r="AJ315" i="9"/>
  <c r="AO307" i="9"/>
  <c r="P299" i="9"/>
  <c r="M291" i="9"/>
  <c r="V283" i="9"/>
  <c r="BP274" i="9"/>
  <c r="AS266" i="9"/>
  <c r="AU263" i="9"/>
  <c r="BG262" i="9"/>
  <c r="BK261" i="9"/>
  <c r="BM260" i="9"/>
  <c r="BP259" i="9"/>
  <c r="BO258" i="9"/>
  <c r="AZ257" i="9"/>
  <c r="AZ256" i="9"/>
  <c r="AV255" i="9"/>
  <c r="AQ254" i="9"/>
  <c r="AH253" i="9"/>
  <c r="AF252" i="9"/>
  <c r="AI251" i="9"/>
  <c r="AL250" i="9"/>
  <c r="AL249" i="9"/>
  <c r="AI248" i="9"/>
  <c r="AN247" i="9"/>
  <c r="AQ246" i="9"/>
  <c r="AR245" i="9"/>
  <c r="AS244" i="9"/>
  <c r="AW243" i="9"/>
  <c r="BE242" i="9"/>
  <c r="BH241" i="9"/>
  <c r="BH240" i="9"/>
  <c r="BE239" i="9"/>
  <c r="BA238" i="9"/>
  <c r="AT237" i="9"/>
  <c r="AP236" i="9"/>
  <c r="AN235" i="9"/>
  <c r="AS234" i="9"/>
  <c r="AQ233" i="9"/>
  <c r="AR232" i="9"/>
  <c r="AS231" i="9"/>
  <c r="AR230" i="9"/>
  <c r="AS229" i="9"/>
  <c r="AS228" i="9"/>
  <c r="AU227" i="9"/>
  <c r="AW226" i="9"/>
  <c r="AU225" i="9"/>
  <c r="AQ224" i="9"/>
  <c r="AF223" i="9"/>
  <c r="AJ222" i="9"/>
  <c r="AJ221" i="9"/>
  <c r="AQ220" i="9"/>
  <c r="AL219" i="9"/>
  <c r="AP218" i="9"/>
  <c r="AP217" i="9"/>
  <c r="AS216" i="9"/>
  <c r="AW215" i="9"/>
  <c r="AV214" i="9"/>
  <c r="BA213" i="9"/>
  <c r="BM212" i="9"/>
  <c r="BQ211" i="9"/>
  <c r="BA210" i="9"/>
  <c r="BE209" i="9"/>
  <c r="BH208" i="9"/>
  <c r="A329" i="9"/>
  <c r="AG314" i="9"/>
  <c r="U306" i="9"/>
  <c r="B298" i="9"/>
  <c r="B290" i="9"/>
  <c r="G282" i="9"/>
  <c r="BG273" i="9"/>
  <c r="AC265" i="9"/>
  <c r="AL263" i="9"/>
  <c r="AU262" i="9"/>
  <c r="AW261" i="9"/>
  <c r="BD260" i="9"/>
  <c r="BC259" i="9"/>
  <c r="AZ258" i="9"/>
  <c r="AM257" i="9"/>
  <c r="AO256" i="9"/>
  <c r="AJ255" i="9"/>
  <c r="AB254" i="9"/>
  <c r="W253" i="9"/>
  <c r="U252" i="9"/>
  <c r="Z251" i="9"/>
  <c r="AA250" i="9"/>
  <c r="AA249" i="9"/>
  <c r="Z248" i="9"/>
  <c r="AC247" i="9"/>
  <c r="AG246" i="9"/>
  <c r="AH245" i="9"/>
  <c r="AI244" i="9"/>
  <c r="AN243" i="9"/>
  <c r="AS242" i="9"/>
  <c r="AV241" i="9"/>
  <c r="AT240" i="9"/>
  <c r="AR239" i="9"/>
  <c r="AN238" i="9"/>
  <c r="AJ237" i="9"/>
  <c r="AF236" i="9"/>
  <c r="AD235" i="9"/>
  <c r="AH234" i="9"/>
  <c r="AE233" i="9"/>
  <c r="AG232" i="9"/>
  <c r="AH231" i="9"/>
  <c r="AF230" i="9"/>
  <c r="AI229" i="9"/>
  <c r="AI228" i="9"/>
  <c r="AL227" i="9"/>
  <c r="AN226" i="9"/>
  <c r="AL225" i="9"/>
  <c r="AA224" i="9"/>
  <c r="U223" i="9"/>
  <c r="AA222" i="9"/>
  <c r="AA221" i="9"/>
  <c r="AC220" i="9"/>
  <c r="AB219" i="9"/>
  <c r="AF218" i="9"/>
  <c r="AF217" i="9"/>
  <c r="AH216" i="9"/>
  <c r="AL215" i="9"/>
  <c r="AM214" i="9"/>
  <c r="AR213" i="9"/>
  <c r="BC212" i="9"/>
  <c r="BE211" i="9"/>
  <c r="AP210" i="9"/>
  <c r="AR209" i="9"/>
  <c r="BL324" i="9"/>
  <c r="AA313" i="9"/>
  <c r="I305" i="9"/>
  <c r="BS296" i="9"/>
  <c r="BS288" i="9"/>
  <c r="B281" i="9"/>
  <c r="AZ272" i="9"/>
  <c r="AB264" i="9"/>
  <c r="AC263" i="9"/>
  <c r="AL262" i="9"/>
  <c r="AN261" i="9"/>
  <c r="AR260" i="9"/>
  <c r="AR259" i="9"/>
  <c r="AO258" i="9"/>
  <c r="AC257" i="9"/>
  <c r="AE256" i="9"/>
  <c r="AA255" i="9"/>
  <c r="M254" i="9"/>
  <c r="M253" i="9"/>
  <c r="K252" i="9"/>
  <c r="M251" i="9"/>
  <c r="N250" i="9"/>
  <c r="BK398" i="9"/>
  <c r="AW398" i="9"/>
  <c r="BJ394" i="9"/>
  <c r="D347" i="9"/>
  <c r="BL337" i="9"/>
  <c r="R334" i="9"/>
  <c r="I334" i="9"/>
  <c r="AZ341" i="9"/>
  <c r="AN325" i="9"/>
  <c r="AL393" i="9"/>
  <c r="BN370" i="9"/>
  <c r="C361" i="9"/>
  <c r="H353" i="9"/>
  <c r="V345" i="9"/>
  <c r="U337" i="9"/>
  <c r="AN329" i="9"/>
  <c r="AN321" i="9"/>
  <c r="Z390" i="9"/>
  <c r="X370" i="9"/>
  <c r="AS360" i="9"/>
  <c r="BG352" i="9"/>
  <c r="BT344" i="9"/>
  <c r="BS336" i="9"/>
  <c r="J329" i="9"/>
  <c r="K321" i="9"/>
  <c r="AQ342" i="9"/>
  <c r="F316" i="9"/>
  <c r="K308" i="9"/>
  <c r="BX299" i="9"/>
  <c r="BJ291" i="9"/>
  <c r="BR283" i="9"/>
  <c r="AI275" i="9"/>
  <c r="R267" i="9"/>
  <c r="AO340" i="9"/>
  <c r="BL315" i="9"/>
  <c r="BP307" i="9"/>
  <c r="BD299" i="9"/>
  <c r="AP291" i="9"/>
  <c r="AW283" i="9"/>
  <c r="P275" i="9"/>
  <c r="BW266" i="9"/>
  <c r="AJ339" i="9"/>
  <c r="AZ315" i="9"/>
  <c r="BD307" i="9"/>
  <c r="AQ299" i="9"/>
  <c r="AD291" i="9"/>
  <c r="AL283" i="9"/>
  <c r="F275" i="9"/>
  <c r="BM266" i="9"/>
  <c r="U338" i="9"/>
  <c r="AO315" i="9"/>
  <c r="AS307" i="9"/>
  <c r="Z299" i="9"/>
  <c r="Q291" i="9"/>
  <c r="AB283" i="9"/>
  <c r="BT274" i="9"/>
  <c r="AW266" i="9"/>
  <c r="G342" i="9"/>
  <c r="AX321" i="9"/>
  <c r="B316" i="9"/>
  <c r="L312" i="9"/>
  <c r="F308" i="9"/>
  <c r="BT303" i="9"/>
  <c r="BK301" i="9"/>
  <c r="AW299" i="9"/>
  <c r="AE297" i="9"/>
  <c r="AO295" i="9"/>
  <c r="AN293" i="9"/>
  <c r="AM291" i="9"/>
  <c r="AH289" i="9"/>
  <c r="AI287" i="9"/>
  <c r="AS285" i="9"/>
  <c r="F284" i="9"/>
  <c r="BK282" i="9"/>
  <c r="AG281" i="9"/>
  <c r="D280" i="9"/>
  <c r="BE278" i="9"/>
  <c r="AB277" i="9"/>
  <c r="AW275" i="9"/>
  <c r="AG274" i="9"/>
  <c r="AG273" i="9"/>
  <c r="AL272" i="9"/>
  <c r="AS271" i="9"/>
  <c r="AA270" i="9"/>
  <c r="R269" i="9"/>
  <c r="P268" i="9"/>
  <c r="M267" i="9"/>
  <c r="C266" i="9"/>
  <c r="D265" i="9"/>
  <c r="W407" i="9"/>
  <c r="BE373" i="9"/>
  <c r="BD362" i="9"/>
  <c r="BD354" i="9"/>
  <c r="BU346" i="9"/>
  <c r="B339" i="9"/>
  <c r="T331" i="9"/>
  <c r="BQ325" i="9"/>
  <c r="T323" i="9"/>
  <c r="BR320" i="9"/>
  <c r="BT318" i="9"/>
  <c r="AU317" i="9"/>
  <c r="AP316" i="9"/>
  <c r="AU315" i="9"/>
  <c r="BC314" i="9"/>
  <c r="BF313" i="9"/>
  <c r="BH312" i="9"/>
  <c r="BI311" i="9"/>
  <c r="BJ310" i="9"/>
  <c r="AZ309" i="9"/>
  <c r="AX308" i="9"/>
  <c r="AY307" i="9"/>
  <c r="AS306" i="9"/>
  <c r="AN305" i="9"/>
  <c r="AN304" i="9"/>
  <c r="AR303" i="9"/>
  <c r="AU302" i="9"/>
  <c r="AT301" i="9"/>
  <c r="AW300" i="9"/>
  <c r="AL299" i="9"/>
  <c r="AB298" i="9"/>
  <c r="U297" i="9"/>
  <c r="Z296" i="9"/>
  <c r="AD295" i="9"/>
  <c r="AA294" i="9"/>
  <c r="AC293" i="9"/>
  <c r="X292" i="9"/>
  <c r="AA291" i="9"/>
  <c r="W290" i="9"/>
  <c r="W289" i="9"/>
  <c r="AB288" i="9"/>
  <c r="Z287" i="9"/>
  <c r="AE286" i="9"/>
  <c r="AI285" i="9"/>
  <c r="AH284" i="9"/>
  <c r="AH283" i="9"/>
  <c r="AD282" i="9"/>
  <c r="AF281" i="9"/>
  <c r="AG280" i="9"/>
  <c r="AA279" i="9"/>
  <c r="AA278" i="9"/>
  <c r="AA277" i="9"/>
  <c r="I276" i="9"/>
  <c r="C275" i="9"/>
  <c r="C274" i="9"/>
  <c r="D273" i="9"/>
  <c r="J272" i="9"/>
  <c r="J271" i="9"/>
  <c r="BP269" i="9"/>
  <c r="BO268" i="9"/>
  <c r="BP267" i="9"/>
  <c r="BH266" i="9"/>
  <c r="AW265" i="9"/>
  <c r="AZ264" i="9"/>
  <c r="R382" i="9"/>
  <c r="BJ368" i="9"/>
  <c r="AR359" i="9"/>
  <c r="BC351" i="9"/>
  <c r="BE343" i="9"/>
  <c r="BU335" i="9"/>
  <c r="BX327" i="9"/>
  <c r="BM324" i="9"/>
  <c r="R322" i="9"/>
  <c r="K320" i="9"/>
  <c r="U318" i="9"/>
  <c r="I317" i="9"/>
  <c r="P316" i="9"/>
  <c r="S315" i="9"/>
  <c r="Z314" i="9"/>
  <c r="AB313" i="9"/>
  <c r="AC312" i="9"/>
  <c r="AD311" i="9"/>
  <c r="AA310" i="9"/>
  <c r="W309" i="9"/>
  <c r="W308" i="9"/>
  <c r="W307" i="9"/>
  <c r="L306" i="9"/>
  <c r="J305" i="9"/>
  <c r="K304" i="9"/>
  <c r="O303" i="9"/>
  <c r="U302" i="9"/>
  <c r="R301" i="9"/>
  <c r="J300" i="9"/>
  <c r="BY298" i="9"/>
  <c r="BS297" i="9"/>
  <c r="BT296" i="9"/>
  <c r="BX295" i="9"/>
  <c r="BU294" i="9"/>
  <c r="BW293" i="9"/>
  <c r="BY292" i="9"/>
  <c r="BT291" i="9"/>
  <c r="BT290" i="9"/>
  <c r="BR289" i="9"/>
  <c r="BT288" i="9"/>
  <c r="BU287" i="9"/>
  <c r="BW286" i="9"/>
  <c r="D286" i="9"/>
  <c r="G285" i="9"/>
  <c r="D284" i="9"/>
  <c r="B283" i="9"/>
  <c r="BY281" i="9"/>
  <c r="C281" i="9"/>
  <c r="B280" i="9"/>
  <c r="BV278" i="9"/>
  <c r="BV277" i="9"/>
  <c r="BP276" i="9"/>
  <c r="AU275" i="9"/>
  <c r="AW274" i="9"/>
  <c r="AU273" i="9"/>
  <c r="BA272" i="9"/>
  <c r="BJ271" i="9"/>
  <c r="AV270" i="9"/>
  <c r="AI269" i="9"/>
  <c r="AG268" i="9"/>
  <c r="AN267" i="9"/>
  <c r="W266" i="9"/>
  <c r="U265" i="9"/>
  <c r="Z264" i="9"/>
  <c r="BG340" i="9"/>
  <c r="BP315" i="9"/>
  <c r="BR307" i="9"/>
  <c r="BF299" i="9"/>
  <c r="AR291" i="9"/>
  <c r="AZ283" i="9"/>
  <c r="R275" i="9"/>
  <c r="BY266" i="9"/>
  <c r="AX263" i="9"/>
  <c r="BJ262" i="9"/>
  <c r="BO261" i="9"/>
  <c r="BP260" i="9"/>
  <c r="BS259" i="9"/>
  <c r="BR258" i="9"/>
  <c r="BE257" i="9"/>
  <c r="BE256" i="9"/>
  <c r="BA255" i="9"/>
  <c r="AT254" i="9"/>
  <c r="AM253" i="9"/>
  <c r="AI252" i="9"/>
  <c r="AM251" i="9"/>
  <c r="AO250" i="9"/>
  <c r="AO249" i="9"/>
  <c r="AM248" i="9"/>
  <c r="AQ247" i="9"/>
  <c r="AT246" i="9"/>
  <c r="AU245" i="9"/>
  <c r="AV244" i="9"/>
  <c r="BA243" i="9"/>
  <c r="BH242" i="9"/>
  <c r="BK241" i="9"/>
  <c r="BM240" i="9"/>
  <c r="BK239" i="9"/>
  <c r="BF238" i="9"/>
  <c r="AW237" i="9"/>
  <c r="AS236" i="9"/>
  <c r="AQ235" i="9"/>
  <c r="AV234" i="9"/>
  <c r="AT233" i="9"/>
  <c r="AU232" i="9"/>
  <c r="AV231" i="9"/>
  <c r="AU230" i="9"/>
  <c r="AV229" i="9"/>
  <c r="AV228" i="9"/>
  <c r="AZ227" i="9"/>
  <c r="BB226" i="9"/>
  <c r="AZ225" i="9"/>
  <c r="AT224" i="9"/>
  <c r="AI223" i="9"/>
  <c r="AM222" i="9"/>
  <c r="AN221" i="9"/>
  <c r="AT220" i="9"/>
  <c r="AQ219" i="9"/>
  <c r="AS218" i="9"/>
  <c r="AS217" i="9"/>
  <c r="AV216" i="9"/>
  <c r="BA215" i="9"/>
  <c r="AZ214" i="9"/>
  <c r="BE213" i="9"/>
  <c r="BP212" i="9"/>
  <c r="BT211" i="9"/>
  <c r="BF210" i="9"/>
  <c r="BI209" i="9"/>
  <c r="BN339" i="9"/>
  <c r="BE315" i="9"/>
  <c r="BJ307" i="9"/>
  <c r="AT299" i="9"/>
  <c r="AI291" i="9"/>
  <c r="AQ283" i="9"/>
  <c r="J275" i="9"/>
  <c r="BQ266" i="9"/>
  <c r="AW263" i="9"/>
  <c r="BI262" i="9"/>
  <c r="BN261" i="9"/>
  <c r="BO260" i="9"/>
  <c r="BR259" i="9"/>
  <c r="BQ258" i="9"/>
  <c r="BD257" i="9"/>
  <c r="BD256" i="9"/>
  <c r="AZ255" i="9"/>
  <c r="AS254" i="9"/>
  <c r="AL253" i="9"/>
  <c r="AH252" i="9"/>
  <c r="AL251" i="9"/>
  <c r="AN250" i="9"/>
  <c r="AN249" i="9"/>
  <c r="AL248" i="9"/>
  <c r="AP247" i="9"/>
  <c r="AS246" i="9"/>
  <c r="AT245" i="9"/>
  <c r="AU244" i="9"/>
  <c r="AZ243" i="9"/>
  <c r="BG242" i="9"/>
  <c r="BJ241" i="9"/>
  <c r="BL240" i="9"/>
  <c r="BH239" i="9"/>
  <c r="BE238" i="9"/>
  <c r="AV237" i="9"/>
  <c r="AR236" i="9"/>
  <c r="AP235" i="9"/>
  <c r="AU234" i="9"/>
  <c r="BD346" i="9"/>
  <c r="AN316" i="9"/>
  <c r="AV308" i="9"/>
  <c r="AU300" i="9"/>
  <c r="V292" i="9"/>
  <c r="AF284" i="9"/>
  <c r="F276" i="9"/>
  <c r="BN267" i="9"/>
  <c r="BF263" i="9"/>
  <c r="BP262" i="9"/>
  <c r="BU261" i="9"/>
  <c r="BV260" i="9"/>
  <c r="A260" i="9"/>
  <c r="BY258" i="9"/>
  <c r="BP257" i="9"/>
  <c r="BL256" i="9"/>
  <c r="BJ255" i="9"/>
  <c r="BD254" i="9"/>
  <c r="AS253" i="9"/>
  <c r="AP252" i="9"/>
  <c r="AU251" i="9"/>
  <c r="AU250" i="9"/>
  <c r="AU249" i="9"/>
  <c r="AS248" i="9"/>
  <c r="AW247" i="9"/>
  <c r="BA246" i="9"/>
  <c r="BD245" i="9"/>
  <c r="BF244" i="9"/>
  <c r="BI243" i="9"/>
  <c r="BN242" i="9"/>
  <c r="BQ241" i="9"/>
  <c r="BT240" i="9"/>
  <c r="BS239" i="9"/>
  <c r="BQ238" i="9"/>
  <c r="BH237" i="9"/>
  <c r="BA236" i="9"/>
  <c r="AW235" i="9"/>
  <c r="BD234" i="9"/>
  <c r="BD233" i="9"/>
  <c r="BC232" i="9"/>
  <c r="BD231" i="9"/>
  <c r="BD230" i="9"/>
  <c r="BF229" i="9"/>
  <c r="BF228" i="9"/>
  <c r="C330" i="9"/>
  <c r="AQ314" i="9"/>
  <c r="AI306" i="9"/>
  <c r="L298" i="9"/>
  <c r="K290" i="9"/>
  <c r="O282" i="9"/>
  <c r="BP273" i="9"/>
  <c r="AM265" i="9"/>
  <c r="AM263" i="9"/>
  <c r="AV262" i="9"/>
  <c r="AY261" i="9"/>
  <c r="BE260" i="9"/>
  <c r="BD259" i="9"/>
  <c r="BA258" i="9"/>
  <c r="AN257" i="9"/>
  <c r="AP256" i="9"/>
  <c r="AL255" i="9"/>
  <c r="AC254" i="9"/>
  <c r="Z253" i="9"/>
  <c r="V252" i="9"/>
  <c r="AA251" i="9"/>
  <c r="AB250" i="9"/>
  <c r="AB249" i="9"/>
  <c r="AA248" i="9"/>
  <c r="AD247" i="9"/>
  <c r="AH246" i="9"/>
  <c r="AI245" i="9"/>
  <c r="AJ244" i="9"/>
  <c r="AO243" i="9"/>
  <c r="AT242" i="9"/>
  <c r="AW241" i="9"/>
  <c r="AU240" i="9"/>
  <c r="AS239" i="9"/>
  <c r="AQ238" i="9"/>
  <c r="AL237" i="9"/>
  <c r="AG236" i="9"/>
  <c r="AE235" i="9"/>
  <c r="AI234" i="9"/>
  <c r="AF233" i="9"/>
  <c r="AH232" i="9"/>
  <c r="AI231" i="9"/>
  <c r="AG230" i="9"/>
  <c r="AJ229" i="9"/>
  <c r="AJ228" i="9"/>
  <c r="AM227" i="9"/>
  <c r="AO226" i="9"/>
  <c r="AM225" i="9"/>
  <c r="AC224" i="9"/>
  <c r="V223" i="9"/>
  <c r="AB222" i="9"/>
  <c r="AB221" i="9"/>
  <c r="AE220" i="9"/>
  <c r="AC219" i="9"/>
  <c r="AG218" i="9"/>
  <c r="AG217" i="9"/>
  <c r="AI216" i="9"/>
  <c r="AM215" i="9"/>
  <c r="AN214" i="9"/>
  <c r="AS213" i="9"/>
  <c r="BD212" i="9"/>
  <c r="BF211" i="9"/>
  <c r="AQ210" i="9"/>
  <c r="AS209" i="9"/>
  <c r="AW208" i="9"/>
  <c r="L325" i="9"/>
  <c r="AI313" i="9"/>
  <c r="R305" i="9"/>
  <c r="B297" i="9"/>
  <c r="C289" i="9"/>
  <c r="K281" i="9"/>
  <c r="BJ272" i="9"/>
  <c r="AG264" i="9"/>
  <c r="AD263" i="9"/>
  <c r="AM262" i="9"/>
  <c r="AO261" i="9"/>
  <c r="AS260" i="9"/>
  <c r="AS259" i="9"/>
  <c r="AP258" i="9"/>
  <c r="AD257" i="9"/>
  <c r="AF256" i="9"/>
  <c r="AB255" i="9"/>
  <c r="N254" i="9"/>
  <c r="N253" i="9"/>
  <c r="L252" i="9"/>
  <c r="N251" i="9"/>
  <c r="O250" i="9"/>
  <c r="P249" i="9"/>
  <c r="O248" i="9"/>
  <c r="T247" i="9"/>
  <c r="W246" i="9"/>
  <c r="Z245" i="9"/>
  <c r="AA244" i="9"/>
  <c r="AE243" i="9"/>
  <c r="AJ242" i="9"/>
  <c r="AN241" i="9"/>
  <c r="AL240" i="9"/>
  <c r="AI239" i="9"/>
  <c r="AE238" i="9"/>
  <c r="AB237" i="9"/>
  <c r="U236" i="9"/>
  <c r="U235" i="9"/>
  <c r="Z234" i="9"/>
  <c r="U233" i="9"/>
  <c r="W232" i="9"/>
  <c r="Z231" i="9"/>
  <c r="W230" i="9"/>
  <c r="AA229" i="9"/>
  <c r="AA228" i="9"/>
  <c r="AC227" i="9"/>
  <c r="AD226" i="9"/>
  <c r="AB225" i="9"/>
  <c r="L224" i="9"/>
  <c r="K223" i="9"/>
  <c r="P222" i="9"/>
  <c r="Q221" i="9"/>
  <c r="O220" i="9"/>
  <c r="R219" i="9"/>
  <c r="V218" i="9"/>
  <c r="V217" i="9"/>
  <c r="Z216" i="9"/>
  <c r="AC215" i="9"/>
  <c r="AD214" i="9"/>
  <c r="AJ213" i="9"/>
  <c r="AS212" i="9"/>
  <c r="AS211" i="9"/>
  <c r="AG210" i="9"/>
  <c r="BO381" i="9"/>
  <c r="N322" i="9"/>
  <c r="AB312" i="9"/>
  <c r="J304" i="9"/>
  <c r="BU295" i="9"/>
  <c r="BT287" i="9"/>
  <c r="A280" i="9"/>
  <c r="BI271" i="9"/>
  <c r="N264" i="9"/>
  <c r="BF390" i="9"/>
  <c r="AP323" i="9"/>
  <c r="AO320" i="9"/>
  <c r="M320" i="9"/>
  <c r="G266" i="9"/>
  <c r="BL265" i="9"/>
  <c r="BB265" i="9"/>
  <c r="AQ265" i="9"/>
  <c r="K299" i="9"/>
  <c r="BV283" i="9"/>
  <c r="W273" i="9"/>
  <c r="BS264" i="9"/>
  <c r="AR325" i="9"/>
  <c r="AT313" i="9"/>
  <c r="AE305" i="9"/>
  <c r="L297" i="9"/>
  <c r="N289" i="9"/>
  <c r="V281" i="9"/>
  <c r="BT272" i="9"/>
  <c r="AQ264" i="9"/>
  <c r="AN324" i="9"/>
  <c r="P313" i="9"/>
  <c r="B305" i="9"/>
  <c r="BK296" i="9"/>
  <c r="BL288" i="9"/>
  <c r="BR280" i="9"/>
  <c r="AR272" i="9"/>
  <c r="Q264" i="9"/>
  <c r="BN265" i="9"/>
  <c r="AS256" i="9"/>
  <c r="AD248" i="9"/>
  <c r="AZ240" i="9"/>
  <c r="AM232" i="9"/>
  <c r="AL224" i="9"/>
  <c r="AN216" i="9"/>
  <c r="B332" i="9"/>
  <c r="AO263" i="9"/>
  <c r="AN255" i="9"/>
  <c r="AF247" i="9"/>
  <c r="AU239" i="9"/>
  <c r="AW307" i="9"/>
  <c r="BL261" i="9"/>
  <c r="AI253" i="9"/>
  <c r="AS245" i="9"/>
  <c r="AU237" i="9"/>
  <c r="AT229" i="9"/>
  <c r="BR272" i="9"/>
  <c r="AE257" i="9"/>
  <c r="F253" i="9"/>
  <c r="F249" i="9"/>
  <c r="P245" i="9"/>
  <c r="AE241" i="9"/>
  <c r="R237" i="9"/>
  <c r="M233" i="9"/>
  <c r="R229" i="9"/>
  <c r="T225" i="9"/>
  <c r="J221" i="9"/>
  <c r="N217" i="9"/>
  <c r="AC213" i="9"/>
  <c r="AB209" i="9"/>
  <c r="W303" i="9"/>
  <c r="BH270" i="9"/>
  <c r="V261" i="9"/>
  <c r="K257" i="9"/>
  <c r="BT252" i="9"/>
  <c r="BU248" i="9"/>
  <c r="G245" i="9"/>
  <c r="U241" i="9"/>
  <c r="AS237" i="9"/>
  <c r="C235" i="9"/>
  <c r="M232" i="9"/>
  <c r="AR229" i="9"/>
  <c r="K227" i="9"/>
  <c r="B224" i="9"/>
  <c r="AI221" i="9"/>
  <c r="B219" i="9"/>
  <c r="O216" i="9"/>
  <c r="AZ213" i="9"/>
  <c r="P211" i="9"/>
  <c r="J320" i="9"/>
  <c r="BR297" i="9"/>
  <c r="BX281" i="9"/>
  <c r="T265" i="9"/>
  <c r="E263" i="9"/>
  <c r="BG261" i="9"/>
  <c r="AH260" i="9"/>
  <c r="N259" i="9"/>
  <c r="AV257" i="9"/>
  <c r="U256" i="9"/>
  <c r="BV254" i="9"/>
  <c r="AF253" i="9"/>
  <c r="B252" i="9"/>
  <c r="BK250" i="9"/>
  <c r="AH249" i="9"/>
  <c r="W248" i="9"/>
  <c r="AB247" i="9"/>
  <c r="AF246" i="9"/>
  <c r="AG245" i="9"/>
  <c r="AH244" i="9"/>
  <c r="AM243" i="9"/>
  <c r="AR242" i="9"/>
  <c r="AU241" i="9"/>
  <c r="AS240" i="9"/>
  <c r="AQ239" i="9"/>
  <c r="AM238" i="9"/>
  <c r="AI237" i="9"/>
  <c r="AE236" i="9"/>
  <c r="AC235" i="9"/>
  <c r="AG234" i="9"/>
  <c r="AD233" i="9"/>
  <c r="AF232" i="9"/>
  <c r="AG231" i="9"/>
  <c r="AE230" i="9"/>
  <c r="AH229" i="9"/>
  <c r="AH228" i="9"/>
  <c r="AJ324" i="9"/>
  <c r="O313" i="9"/>
  <c r="A305" i="9"/>
  <c r="BJ296" i="9"/>
  <c r="BK288" i="9"/>
  <c r="BQ280" i="9"/>
  <c r="AQ272" i="9"/>
  <c r="AA264" i="9"/>
  <c r="AB263" i="9"/>
  <c r="AI262" i="9"/>
  <c r="AM261" i="9"/>
  <c r="AQ260" i="9"/>
  <c r="AQ259" i="9"/>
  <c r="AN258" i="9"/>
  <c r="AB257" i="9"/>
  <c r="AD256" i="9"/>
  <c r="Z255" i="9"/>
  <c r="L254" i="9"/>
  <c r="L253" i="9"/>
  <c r="J252" i="9"/>
  <c r="L251" i="9"/>
  <c r="M250" i="9"/>
  <c r="N249" i="9"/>
  <c r="M248" i="9"/>
  <c r="Q247" i="9"/>
  <c r="U246" i="9"/>
  <c r="W245" i="9"/>
  <c r="W244" i="9"/>
  <c r="AC243" i="9"/>
  <c r="AH242" i="9"/>
  <c r="AL241" i="9"/>
  <c r="AI240" i="9"/>
  <c r="AG239" i="9"/>
  <c r="AC238" i="9"/>
  <c r="Z237" i="9"/>
  <c r="R236" i="9"/>
  <c r="Q235" i="9"/>
  <c r="V234" i="9"/>
  <c r="BX377" i="9"/>
  <c r="AR321" i="9"/>
  <c r="I312" i="9"/>
  <c r="BQ303" i="9"/>
  <c r="BD295" i="9"/>
  <c r="AW287" i="9"/>
  <c r="BD279" i="9"/>
  <c r="AP271" i="9"/>
  <c r="L264" i="9"/>
  <c r="S263" i="9"/>
  <c r="Z262" i="9"/>
  <c r="AC261" i="9"/>
  <c r="AF260" i="9"/>
  <c r="AF259" i="9"/>
  <c r="X258" i="9"/>
  <c r="P257" i="9"/>
  <c r="R256" i="9"/>
  <c r="M255" i="9"/>
  <c r="BY253" i="9"/>
  <c r="B253" i="9"/>
  <c r="BY251" i="9"/>
  <c r="C251" i="9"/>
  <c r="B250" i="9"/>
  <c r="B249" i="9"/>
  <c r="D248" i="9"/>
  <c r="F247" i="9"/>
  <c r="I246" i="9"/>
  <c r="L245" i="9"/>
  <c r="M244" i="9"/>
  <c r="R243" i="9"/>
  <c r="W242" i="9"/>
  <c r="AA241" i="9"/>
  <c r="Z240" i="9"/>
  <c r="W239" i="9"/>
  <c r="P238" i="9"/>
  <c r="M237" i="9"/>
  <c r="I236" i="9"/>
  <c r="H235" i="9"/>
  <c r="L234" i="9"/>
  <c r="I233" i="9"/>
  <c r="J232" i="9"/>
  <c r="K231" i="9"/>
  <c r="K230" i="9"/>
  <c r="N229" i="9"/>
  <c r="M228" i="9"/>
  <c r="P227" i="9"/>
  <c r="P226" i="9"/>
  <c r="O225" i="9"/>
  <c r="BX223" i="9"/>
  <c r="BY222" i="9"/>
  <c r="E222" i="9"/>
  <c r="F221" i="9"/>
  <c r="B220" i="9"/>
  <c r="G219" i="9"/>
  <c r="I218" i="9"/>
  <c r="J217" i="9"/>
  <c r="L216" i="9"/>
  <c r="O215" i="9"/>
  <c r="Q214" i="9"/>
  <c r="Y213" i="9"/>
  <c r="AF212" i="9"/>
  <c r="AB211" i="9"/>
  <c r="U210" i="9"/>
  <c r="J234" i="9"/>
  <c r="BH229" i="9"/>
  <c r="M227" i="9"/>
  <c r="L225" i="9"/>
  <c r="BT222" i="9"/>
  <c r="C221" i="9"/>
  <c r="D219" i="9"/>
  <c r="G217" i="9"/>
  <c r="L215" i="9"/>
  <c r="V213" i="9"/>
  <c r="W211" i="9"/>
  <c r="Z209" i="9"/>
  <c r="W208" i="9"/>
  <c r="AA207" i="9"/>
  <c r="Z206" i="9"/>
  <c r="AC205" i="9"/>
  <c r="AC204" i="9"/>
  <c r="AB203" i="9"/>
  <c r="AB202" i="9"/>
  <c r="AE201" i="9"/>
  <c r="AJ200" i="9"/>
  <c r="AN199" i="9"/>
  <c r="AP198" i="9"/>
  <c r="AF197" i="9"/>
  <c r="AG196" i="9"/>
  <c r="AB195" i="9"/>
  <c r="W194" i="9"/>
  <c r="X193" i="9"/>
  <c r="AC192" i="9"/>
  <c r="Z191" i="9"/>
  <c r="W190" i="9"/>
  <c r="AB189" i="9"/>
  <c r="AF188" i="9"/>
  <c r="AF187" i="9"/>
  <c r="AI186" i="9"/>
  <c r="AG185" i="9"/>
  <c r="AH184" i="9"/>
  <c r="AL183" i="9"/>
  <c r="AP182" i="9"/>
  <c r="AM181" i="9"/>
  <c r="AC180" i="9"/>
  <c r="AG179" i="9"/>
  <c r="AF178" i="9"/>
  <c r="AH177" i="9"/>
  <c r="AE176" i="9"/>
  <c r="AC175" i="9"/>
  <c r="V174" i="9"/>
  <c r="V173" i="9"/>
  <c r="V172" i="9"/>
  <c r="U171" i="9"/>
  <c r="V170" i="9"/>
  <c r="V169" i="9"/>
  <c r="M168" i="9"/>
  <c r="BT166" i="9"/>
  <c r="BT165" i="9"/>
  <c r="A165" i="9"/>
  <c r="D164" i="9"/>
  <c r="I163" i="9"/>
  <c r="C162" i="9"/>
  <c r="BX160" i="9"/>
  <c r="BY159" i="9"/>
  <c r="BV158" i="9"/>
  <c r="BN157" i="9"/>
  <c r="BT156" i="9"/>
  <c r="K232" i="9"/>
  <c r="Z228" i="9"/>
  <c r="AC226" i="9"/>
  <c r="J224" i="9"/>
  <c r="O222" i="9"/>
  <c r="N220" i="9"/>
  <c r="U218" i="9"/>
  <c r="X216" i="9"/>
  <c r="AC214" i="9"/>
  <c r="AR212" i="9"/>
  <c r="AF210" i="9"/>
  <c r="BR208" i="9"/>
  <c r="BR207" i="9"/>
  <c r="BU206" i="9"/>
  <c r="BV205" i="9"/>
  <c r="BY204" i="9"/>
  <c r="A204" i="9"/>
  <c r="BX202" i="9"/>
  <c r="BY201" i="9"/>
  <c r="C201" i="9"/>
  <c r="H200" i="9"/>
  <c r="J199" i="9"/>
  <c r="E198" i="9"/>
  <c r="C197" i="9"/>
  <c r="D196" i="9"/>
  <c r="BQ194" i="9"/>
  <c r="BQ193" i="9"/>
  <c r="BU192" i="9"/>
  <c r="B192" i="9"/>
  <c r="BT190" i="9"/>
  <c r="BT189" i="9"/>
  <c r="BX188" i="9"/>
  <c r="C188" i="9"/>
  <c r="C187" i="9"/>
  <c r="H186" i="9"/>
  <c r="D185" i="9"/>
  <c r="D184" i="9"/>
  <c r="L183" i="9"/>
  <c r="N182" i="9"/>
  <c r="BU180" i="9"/>
  <c r="A180" i="9"/>
  <c r="C179" i="9"/>
  <c r="C178" i="9"/>
  <c r="E177" i="9"/>
  <c r="BU175" i="9"/>
  <c r="BU174" i="9"/>
  <c r="BR173" i="9"/>
  <c r="BS172" i="9"/>
  <c r="BR171" i="9"/>
  <c r="BS170" i="9"/>
  <c r="BP233" i="9"/>
  <c r="AU229" i="9"/>
  <c r="I227" i="9"/>
  <c r="H225" i="9"/>
  <c r="BP222" i="9"/>
  <c r="BX220" i="9"/>
  <c r="BY218" i="9"/>
  <c r="C217" i="9"/>
  <c r="F215" i="9"/>
  <c r="R213" i="9"/>
  <c r="N211" i="9"/>
  <c r="V209" i="9"/>
  <c r="U208" i="9"/>
  <c r="Y207" i="9"/>
  <c r="W206" i="9"/>
  <c r="AA205" i="9"/>
  <c r="AA204" i="9"/>
  <c r="Z203" i="9"/>
  <c r="Z202" i="9"/>
  <c r="AC201" i="9"/>
  <c r="AH200" i="9"/>
  <c r="AL199" i="9"/>
  <c r="AN198" i="9"/>
  <c r="AD197" i="9"/>
  <c r="AE196" i="9"/>
  <c r="Z195" i="9"/>
  <c r="U194" i="9"/>
  <c r="V193" i="9"/>
  <c r="AA192" i="9"/>
  <c r="W191" i="9"/>
  <c r="U190" i="9"/>
  <c r="Z189" i="9"/>
  <c r="AD188" i="9"/>
  <c r="AD187" i="9"/>
  <c r="AG186" i="9"/>
  <c r="AE185" i="9"/>
  <c r="AF184" i="9"/>
  <c r="AJ183" i="9"/>
  <c r="AN182" i="9"/>
  <c r="AE181" i="9"/>
  <c r="AA180" i="9"/>
  <c r="AE179" i="9"/>
  <c r="AD178" i="9"/>
  <c r="AF177" i="9"/>
  <c r="AB176" i="9"/>
  <c r="AA175" i="9"/>
  <c r="S174" i="9"/>
  <c r="T173" i="9"/>
  <c r="S172" i="9"/>
  <c r="R171" i="9"/>
  <c r="T170" i="9"/>
  <c r="T169" i="9"/>
  <c r="BE233" i="9"/>
  <c r="AP229" i="9"/>
  <c r="E227" i="9"/>
  <c r="D225" i="9"/>
  <c r="BL222" i="9"/>
  <c r="BT220" i="9"/>
  <c r="BU218" i="9"/>
  <c r="BY216" i="9"/>
  <c r="C215" i="9"/>
  <c r="O213" i="9"/>
  <c r="K211" i="9"/>
  <c r="U209" i="9"/>
  <c r="R208" i="9"/>
  <c r="W207" i="9"/>
  <c r="V206" i="9"/>
  <c r="Z205" i="9"/>
  <c r="Z204" i="9"/>
  <c r="X203" i="9"/>
  <c r="W202" i="9"/>
  <c r="AB201" i="9"/>
  <c r="AG200" i="9"/>
  <c r="AI199" i="9"/>
  <c r="AM198" i="9"/>
  <c r="AC197" i="9"/>
  <c r="AD196" i="9"/>
  <c r="W195" i="9"/>
  <c r="T194" i="9"/>
  <c r="U193" i="9"/>
  <c r="Z192" i="9"/>
  <c r="R191" i="9"/>
  <c r="S190" i="9"/>
  <c r="X189" i="9"/>
  <c r="AC188" i="9"/>
  <c r="AC187" i="9"/>
  <c r="AF186" i="9"/>
  <c r="AD185" i="9"/>
  <c r="AE184" i="9"/>
  <c r="AI183" i="9"/>
  <c r="AM182" i="9"/>
  <c r="AB181" i="9"/>
  <c r="Z180" i="9"/>
  <c r="AD179" i="9"/>
  <c r="AC178" i="9"/>
  <c r="AE177" i="9"/>
  <c r="AA176" i="9"/>
  <c r="Z175" i="9"/>
  <c r="R174" i="9"/>
  <c r="R173" i="9"/>
  <c r="R172" i="9"/>
  <c r="Q171" i="9"/>
  <c r="R170" i="9"/>
  <c r="R169" i="9"/>
  <c r="H168" i="9"/>
  <c r="BQ166" i="9"/>
  <c r="BQ165" i="9"/>
  <c r="BW164" i="9"/>
  <c r="A164" i="9"/>
  <c r="E163" i="9"/>
  <c r="BY161" i="9"/>
  <c r="BT160" i="9"/>
  <c r="BS159" i="9"/>
  <c r="BS158" i="9"/>
  <c r="BJ157" i="9"/>
  <c r="BU232" i="9"/>
  <c r="C229" i="9"/>
  <c r="BJ226" i="9"/>
  <c r="BA224" i="9"/>
  <c r="AS222" i="9"/>
  <c r="BA220" i="9"/>
  <c r="AZ218" i="9"/>
  <c r="BD216" i="9"/>
  <c r="BH214" i="9"/>
  <c r="BW212" i="9"/>
  <c r="BO210" i="9"/>
  <c r="I209" i="9"/>
  <c r="H208" i="9"/>
  <c r="L207" i="9"/>
  <c r="J206" i="9"/>
  <c r="M205" i="9"/>
  <c r="N204" i="9"/>
  <c r="M203" i="9"/>
  <c r="M202" i="9"/>
  <c r="P201" i="9"/>
  <c r="W200" i="9"/>
  <c r="Z199" i="9"/>
  <c r="W198" i="9"/>
  <c r="P197" i="9"/>
  <c r="Q196" i="9"/>
  <c r="I195" i="9"/>
  <c r="F194" i="9"/>
  <c r="K193" i="9"/>
  <c r="O192" i="9"/>
  <c r="I191" i="9"/>
  <c r="I190" i="9"/>
  <c r="M189" i="9"/>
  <c r="P188" i="9"/>
  <c r="R187" i="9"/>
  <c r="V186" i="9"/>
  <c r="T185" i="9"/>
  <c r="U184" i="9"/>
  <c r="Z183" i="9"/>
  <c r="AC182" i="9"/>
  <c r="L181" i="9"/>
  <c r="O180" i="9"/>
  <c r="R179" i="9"/>
  <c r="Q178" i="9"/>
  <c r="U177" i="9"/>
  <c r="L176" i="9"/>
  <c r="M175" i="9"/>
  <c r="H174" i="9"/>
  <c r="I173" i="9"/>
  <c r="I172" i="9"/>
  <c r="H171" i="9"/>
  <c r="AT390" i="9"/>
  <c r="AS385" i="9"/>
  <c r="AC382" i="9"/>
  <c r="BK334" i="9"/>
  <c r="BH332" i="9"/>
  <c r="AT331" i="9"/>
  <c r="AN330" i="9"/>
  <c r="I337" i="9"/>
  <c r="E297" i="9"/>
  <c r="AN282" i="9"/>
  <c r="AC272" i="9"/>
  <c r="R399" i="9"/>
  <c r="BV322" i="9"/>
  <c r="AU312" i="9"/>
  <c r="AE304" i="9"/>
  <c r="P296" i="9"/>
  <c r="Q288" i="9"/>
  <c r="W280" i="9"/>
  <c r="B272" i="9"/>
  <c r="BQ379" i="9"/>
  <c r="BP321" i="9"/>
  <c r="R312" i="9"/>
  <c r="C304" i="9"/>
  <c r="BN295" i="9"/>
  <c r="BK287" i="9"/>
  <c r="BR279" i="9"/>
  <c r="AZ271" i="9"/>
  <c r="B333" i="9"/>
  <c r="AP263" i="9"/>
  <c r="AQ255" i="9"/>
  <c r="AG247" i="9"/>
  <c r="AV239" i="9"/>
  <c r="AN231" i="9"/>
  <c r="AA223" i="9"/>
  <c r="AR215" i="9"/>
  <c r="BJ314" i="9"/>
  <c r="AZ262" i="9"/>
  <c r="AG254" i="9"/>
  <c r="AJ246" i="9"/>
  <c r="AS238" i="9"/>
  <c r="AG299" i="9"/>
  <c r="BN260" i="9"/>
  <c r="AG252" i="9"/>
  <c r="AT244" i="9"/>
  <c r="AQ236" i="9"/>
  <c r="AT228" i="9"/>
  <c r="AO264" i="9"/>
  <c r="AG256" i="9"/>
  <c r="M252" i="9"/>
  <c r="P248" i="9"/>
  <c r="AB244" i="9"/>
  <c r="AM240" i="9"/>
  <c r="V236" i="9"/>
  <c r="Z232" i="9"/>
  <c r="AB228" i="9"/>
  <c r="M224" i="9"/>
  <c r="P220" i="9"/>
  <c r="AA216" i="9"/>
  <c r="AT212" i="9"/>
  <c r="O389" i="9"/>
  <c r="F296" i="9"/>
  <c r="O264" i="9"/>
  <c r="AI260" i="9"/>
  <c r="V256" i="9"/>
  <c r="C252" i="9"/>
  <c r="G248" i="9"/>
  <c r="P244" i="9"/>
  <c r="AC240" i="9"/>
  <c r="P237" i="9"/>
  <c r="AR234" i="9"/>
  <c r="D232" i="9"/>
  <c r="Q229" i="9"/>
  <c r="AV226" i="9"/>
  <c r="BQ223" i="9"/>
  <c r="I221" i="9"/>
  <c r="AO218" i="9"/>
  <c r="F216" i="9"/>
  <c r="AB213" i="9"/>
  <c r="AZ210" i="9"/>
  <c r="Q318" i="9"/>
  <c r="BT294" i="9"/>
  <c r="BU278" i="9"/>
  <c r="E264" i="9"/>
  <c r="BM262" i="9"/>
  <c r="AV261" i="9"/>
  <c r="Z260" i="9"/>
  <c r="BU258" i="9"/>
  <c r="AL257" i="9"/>
  <c r="K256" i="9"/>
  <c r="AW254" i="9"/>
  <c r="V253" i="9"/>
  <c r="BS251" i="9"/>
  <c r="AR250" i="9"/>
  <c r="Z249" i="9"/>
  <c r="N248" i="9"/>
  <c r="R247" i="9"/>
  <c r="V246" i="9"/>
  <c r="X245" i="9"/>
  <c r="Z244" i="9"/>
  <c r="AD243" i="9"/>
  <c r="AI242" i="9"/>
  <c r="AM241" i="9"/>
  <c r="AJ240" i="9"/>
  <c r="AH239" i="9"/>
  <c r="AD238" i="9"/>
  <c r="AA237" i="9"/>
  <c r="S236" i="9"/>
  <c r="R235" i="9"/>
  <c r="W234" i="9"/>
  <c r="S233" i="9"/>
  <c r="V232" i="9"/>
  <c r="W231" i="9"/>
  <c r="V230" i="9"/>
  <c r="Z229" i="9"/>
  <c r="AU379" i="9"/>
  <c r="BO321" i="9"/>
  <c r="Q312" i="9"/>
  <c r="B304" i="9"/>
  <c r="BM295" i="9"/>
  <c r="BJ287" i="9"/>
  <c r="BQ279" i="9"/>
  <c r="AY271" i="9"/>
  <c r="M264" i="9"/>
  <c r="T263" i="9"/>
  <c r="AA262" i="9"/>
  <c r="AD261" i="9"/>
  <c r="AG260" i="9"/>
  <c r="AG259" i="9"/>
  <c r="Z258" i="9"/>
  <c r="Q257" i="9"/>
  <c r="S256" i="9"/>
  <c r="N255" i="9"/>
  <c r="A254" i="9"/>
  <c r="C253" i="9"/>
  <c r="A252" i="9"/>
  <c r="D251" i="9"/>
  <c r="C250" i="9"/>
  <c r="C249" i="9"/>
  <c r="E248" i="9"/>
  <c r="I247" i="9"/>
  <c r="J246" i="9"/>
  <c r="M245" i="9"/>
  <c r="N244" i="9"/>
  <c r="S243" i="9"/>
  <c r="Z242" i="9"/>
  <c r="AB241" i="9"/>
  <c r="AA240" i="9"/>
  <c r="X239" i="9"/>
  <c r="R238" i="9"/>
  <c r="N237" i="9"/>
  <c r="J236" i="9"/>
  <c r="I235" i="9"/>
  <c r="M234" i="9"/>
  <c r="AT365" i="9"/>
  <c r="AT319" i="9"/>
  <c r="J311" i="9"/>
  <c r="BT302" i="9"/>
  <c r="AZ294" i="9"/>
  <c r="BC286" i="9"/>
  <c r="AZ278" i="9"/>
  <c r="R270" i="9"/>
  <c r="C264" i="9"/>
  <c r="K263" i="9"/>
  <c r="P262" i="9"/>
  <c r="P261" i="9"/>
  <c r="W260" i="9"/>
  <c r="V259" i="9"/>
  <c r="L258" i="9"/>
  <c r="H257" i="9"/>
  <c r="I256" i="9"/>
  <c r="D255" i="9"/>
  <c r="BO253" i="9"/>
  <c r="BQ252" i="9"/>
  <c r="BQ251" i="9"/>
  <c r="BR250" i="9"/>
  <c r="BQ249" i="9"/>
  <c r="BR248" i="9"/>
  <c r="BS247" i="9"/>
  <c r="BV246" i="9"/>
  <c r="BY245" i="9"/>
  <c r="D245" i="9"/>
  <c r="E244" i="9"/>
  <c r="I243" i="9"/>
  <c r="M242" i="9"/>
  <c r="P241" i="9"/>
  <c r="O240" i="9"/>
  <c r="M239" i="9"/>
  <c r="H238" i="9"/>
  <c r="E237" i="9"/>
  <c r="A236" i="9"/>
  <c r="BY234" i="9"/>
  <c r="B234" i="9"/>
  <c r="BY232" i="9"/>
  <c r="A232" i="9"/>
  <c r="A231" i="9"/>
  <c r="C230" i="9"/>
  <c r="E229" i="9"/>
  <c r="E228" i="9"/>
  <c r="G227" i="9"/>
  <c r="F226" i="9"/>
  <c r="F225" i="9"/>
  <c r="BN223" i="9"/>
  <c r="BO222" i="9"/>
  <c r="BV221" i="9"/>
  <c r="BV220" i="9"/>
  <c r="BS219" i="9"/>
  <c r="BX218" i="9"/>
  <c r="BY217" i="9"/>
  <c r="B217" i="9"/>
  <c r="C216" i="9"/>
  <c r="E215" i="9"/>
  <c r="I214" i="9"/>
  <c r="Q213" i="9"/>
  <c r="V212" i="9"/>
  <c r="M211" i="9"/>
  <c r="L210" i="9"/>
  <c r="O233" i="9"/>
  <c r="U229" i="9"/>
  <c r="BS226" i="9"/>
  <c r="BN224" i="9"/>
  <c r="BA222" i="9"/>
  <c r="BK220" i="9"/>
  <c r="BL218" i="9"/>
  <c r="BN216" i="9"/>
  <c r="BR214" i="9"/>
  <c r="F213" i="9"/>
  <c r="A211" i="9"/>
  <c r="M209" i="9"/>
  <c r="L208" i="9"/>
  <c r="P207" i="9"/>
  <c r="N206" i="9"/>
  <c r="R205" i="9"/>
  <c r="T204" i="9"/>
  <c r="Q203" i="9"/>
  <c r="Q202" i="9"/>
  <c r="V201" i="9"/>
  <c r="AB200" i="9"/>
  <c r="AD199" i="9"/>
  <c r="AB198" i="9"/>
  <c r="V197" i="9"/>
  <c r="W196" i="9"/>
  <c r="M195" i="9"/>
  <c r="M194" i="9"/>
  <c r="O193" i="9"/>
  <c r="S192" i="9"/>
  <c r="M191" i="9"/>
  <c r="M190" i="9"/>
  <c r="R189" i="9"/>
  <c r="V188" i="9"/>
  <c r="W187" i="9"/>
  <c r="AA186" i="9"/>
  <c r="X185" i="9"/>
  <c r="Z184" i="9"/>
  <c r="AD183" i="9"/>
  <c r="AG182" i="9"/>
  <c r="P181" i="9"/>
  <c r="T180" i="9"/>
  <c r="W179" i="9"/>
  <c r="V178" i="9"/>
  <c r="Z177" i="9"/>
  <c r="P176" i="9"/>
  <c r="R175" i="9"/>
  <c r="L174" i="9"/>
  <c r="M173" i="9"/>
  <c r="M172" i="9"/>
  <c r="L171" i="9"/>
  <c r="L170" i="9"/>
  <c r="M169" i="9"/>
  <c r="C168" i="9"/>
  <c r="BK166" i="9"/>
  <c r="BK165" i="9"/>
  <c r="BQ164" i="9"/>
  <c r="BT163" i="9"/>
  <c r="BY162" i="9"/>
  <c r="BQ161" i="9"/>
  <c r="BO160" i="9"/>
  <c r="BN159" i="9"/>
  <c r="BM158" i="9"/>
  <c r="BD157" i="9"/>
  <c r="BL156" i="9"/>
  <c r="AZ231" i="9"/>
  <c r="G228" i="9"/>
  <c r="J226" i="9"/>
  <c r="BP223" i="9"/>
  <c r="BX221" i="9"/>
  <c r="BU219" i="9"/>
  <c r="B218" i="9"/>
  <c r="E216" i="9"/>
  <c r="K214" i="9"/>
  <c r="Z212" i="9"/>
  <c r="N210" i="9"/>
  <c r="BI208" i="9"/>
  <c r="BI207" i="9"/>
  <c r="BK206" i="9"/>
  <c r="BN205" i="9"/>
  <c r="BO204" i="9"/>
  <c r="BQ203" i="9"/>
  <c r="BO202" i="9"/>
  <c r="BP201" i="9"/>
  <c r="BR200" i="9"/>
  <c r="BY199" i="9"/>
  <c r="BY198" i="9"/>
  <c r="BU197" i="9"/>
  <c r="BR196" i="9"/>
  <c r="BT195" i="9"/>
  <c r="BI194" i="9"/>
  <c r="BI193" i="9"/>
  <c r="BM192" i="9"/>
  <c r="BP191" i="9"/>
  <c r="BL190" i="9"/>
  <c r="BK189" i="9"/>
  <c r="BP188" i="9"/>
  <c r="BS187" i="9"/>
  <c r="BS186" i="9"/>
  <c r="BX185" i="9"/>
  <c r="BS184" i="9"/>
  <c r="BS183" i="9"/>
  <c r="D183" i="9"/>
  <c r="F182" i="9"/>
  <c r="BM180" i="9"/>
  <c r="BQ179" i="9"/>
  <c r="BR178" i="9"/>
  <c r="BS177" i="9"/>
  <c r="BU176" i="9"/>
  <c r="BM175" i="9"/>
  <c r="BK174" i="9"/>
  <c r="BH173" i="9"/>
  <c r="BI172" i="9"/>
  <c r="BH171" i="9"/>
  <c r="BH170" i="9"/>
  <c r="F233" i="9"/>
  <c r="L229" i="9"/>
  <c r="BO226" i="9"/>
  <c r="BG224" i="9"/>
  <c r="AW222" i="9"/>
  <c r="BG220" i="9"/>
  <c r="BF218" i="9"/>
  <c r="BI216" i="9"/>
  <c r="BN214" i="9"/>
  <c r="B213" i="9"/>
  <c r="BS210" i="9"/>
  <c r="K209" i="9"/>
  <c r="J208" i="9"/>
  <c r="N207" i="9"/>
  <c r="L206" i="9"/>
  <c r="O205" i="9"/>
  <c r="P204" i="9"/>
  <c r="O203" i="9"/>
  <c r="O202" i="9"/>
  <c r="T201" i="9"/>
  <c r="Z200" i="9"/>
  <c r="AB199" i="9"/>
  <c r="Z198" i="9"/>
  <c r="R197" i="9"/>
  <c r="U196" i="9"/>
  <c r="K195" i="9"/>
  <c r="K194" i="9"/>
  <c r="M193" i="9"/>
  <c r="Q192" i="9"/>
  <c r="K191" i="9"/>
  <c r="K190" i="9"/>
  <c r="O189" i="9"/>
  <c r="S188" i="9"/>
  <c r="U187" i="9"/>
  <c r="X186" i="9"/>
  <c r="V185" i="9"/>
  <c r="W184" i="9"/>
  <c r="AB183" i="9"/>
  <c r="AE182" i="9"/>
  <c r="N181" i="9"/>
  <c r="Q180" i="9"/>
  <c r="U179" i="9"/>
  <c r="T178" i="9"/>
  <c r="W177" i="9"/>
  <c r="N176" i="9"/>
  <c r="O175" i="9"/>
  <c r="J174" i="9"/>
  <c r="K173" i="9"/>
  <c r="K172" i="9"/>
  <c r="J171" i="9"/>
  <c r="J170" i="9"/>
  <c r="K169" i="9"/>
  <c r="A233" i="9"/>
  <c r="F229" i="9"/>
  <c r="BK226" i="9"/>
  <c r="BB224" i="9"/>
  <c r="AT222" i="9"/>
  <c r="BD220" i="9"/>
  <c r="BA218" i="9"/>
  <c r="BF216" i="9"/>
  <c r="BK214" i="9"/>
  <c r="BX212" i="9"/>
  <c r="BP210" i="9"/>
  <c r="J209" i="9"/>
  <c r="I208" i="9"/>
  <c r="M207" i="9"/>
  <c r="K206" i="9"/>
  <c r="N205" i="9"/>
  <c r="O204" i="9"/>
  <c r="N203" i="9"/>
  <c r="N202" i="9"/>
  <c r="R201" i="9"/>
  <c r="Y200" i="9"/>
  <c r="AA199" i="9"/>
  <c r="X198" i="9"/>
  <c r="Q197" i="9"/>
  <c r="R196" i="9"/>
  <c r="J195" i="9"/>
  <c r="H194" i="9"/>
  <c r="L193" i="9"/>
  <c r="P192" i="9"/>
  <c r="J191" i="9"/>
  <c r="J190" i="9"/>
  <c r="N189" i="9"/>
  <c r="R188" i="9"/>
  <c r="S187" i="9"/>
  <c r="W186" i="9"/>
  <c r="U185" i="9"/>
  <c r="V184" i="9"/>
  <c r="AA183" i="9"/>
  <c r="AD182" i="9"/>
  <c r="M181" i="9"/>
  <c r="P180" i="9"/>
  <c r="S179" i="9"/>
  <c r="R178" i="9"/>
  <c r="V177" i="9"/>
  <c r="M176" i="9"/>
  <c r="N175" i="9"/>
  <c r="I174" i="9"/>
  <c r="J173" i="9"/>
  <c r="J172" i="9"/>
  <c r="I171" i="9"/>
  <c r="I170" i="9"/>
  <c r="J169" i="9"/>
  <c r="BX167" i="9"/>
  <c r="BE166" i="9"/>
  <c r="BG165" i="9"/>
  <c r="BN164" i="9"/>
  <c r="BQ163" i="9"/>
  <c r="BT162" i="9"/>
  <c r="BN161" i="9"/>
  <c r="BK160" i="9"/>
  <c r="BJ159" i="9"/>
  <c r="BJ158" i="9"/>
  <c r="AZ157" i="9"/>
  <c r="AL232" i="9"/>
  <c r="AM228" i="9"/>
  <c r="AP226" i="9"/>
  <c r="AE224" i="9"/>
  <c r="AC222" i="9"/>
  <c r="AG220" i="9"/>
  <c r="AH218" i="9"/>
  <c r="AL216" i="9"/>
  <c r="AO214" i="9"/>
  <c r="BF212" i="9"/>
  <c r="AR210" i="9"/>
  <c r="BX208" i="9"/>
  <c r="BY207" i="9"/>
  <c r="D207" i="9"/>
  <c r="B206" i="9"/>
  <c r="E205" i="9"/>
  <c r="F204" i="9"/>
  <c r="D203" i="9"/>
  <c r="E202" i="9"/>
  <c r="H201" i="9"/>
  <c r="M200" i="9"/>
  <c r="O199" i="9"/>
  <c r="K198" i="9"/>
  <c r="H197" i="9"/>
  <c r="I196" i="9"/>
  <c r="BX194" i="9"/>
  <c r="BW193" i="9"/>
  <c r="A193" i="9"/>
  <c r="G192" i="9"/>
  <c r="A191" i="9"/>
  <c r="BY189" i="9"/>
  <c r="D189" i="9"/>
  <c r="H188" i="9"/>
  <c r="I187" i="9"/>
  <c r="M186" i="9"/>
  <c r="K185" i="9"/>
  <c r="K184" i="9"/>
  <c r="Q183" i="9"/>
  <c r="S182" i="9"/>
  <c r="C181" i="9"/>
  <c r="F180" i="9"/>
  <c r="I179" i="9"/>
  <c r="I178" i="9"/>
  <c r="K177" i="9"/>
  <c r="B176" i="9"/>
  <c r="C175" i="9"/>
  <c r="BY173" i="9"/>
  <c r="BX172" i="9"/>
  <c r="BY171" i="9"/>
  <c r="BY170" i="9"/>
  <c r="BU169" i="9"/>
  <c r="BY168" i="9"/>
  <c r="BL167" i="9"/>
  <c r="AR166" i="9"/>
  <c r="AT165" i="9"/>
  <c r="BD164" i="9"/>
  <c r="BH163" i="9"/>
  <c r="BK162" i="9"/>
  <c r="AZ161" i="9"/>
  <c r="AW160" i="9"/>
  <c r="AV159" i="9"/>
  <c r="AV158" i="9"/>
  <c r="AQ157" i="9"/>
  <c r="AF231" i="9"/>
  <c r="BX227" i="9"/>
  <c r="BY225" i="9"/>
  <c r="BG223" i="9"/>
  <c r="BL386" i="9"/>
  <c r="AD369" i="9"/>
  <c r="BK368" i="9"/>
  <c r="I315" i="9"/>
  <c r="BP314" i="9"/>
  <c r="BG314" i="9"/>
  <c r="AU314" i="9"/>
  <c r="AH320" i="9"/>
  <c r="G295" i="9"/>
  <c r="N281" i="9"/>
  <c r="AJ271" i="9"/>
  <c r="B372" i="9"/>
  <c r="AU320" i="9"/>
  <c r="AV311" i="9"/>
  <c r="AH303" i="9"/>
  <c r="P295" i="9"/>
  <c r="O287" i="9"/>
  <c r="P279" i="9"/>
  <c r="BV270" i="9"/>
  <c r="AG367" i="9"/>
  <c r="BR319" i="9"/>
  <c r="U311" i="9"/>
  <c r="F303" i="9"/>
  <c r="BL294" i="9"/>
  <c r="BM286" i="9"/>
  <c r="BL278" i="9"/>
  <c r="AN270" i="9"/>
  <c r="BR314" i="9"/>
  <c r="BA262" i="9"/>
  <c r="AL254" i="9"/>
  <c r="AL246" i="9"/>
  <c r="AT238" i="9"/>
  <c r="AJ230" i="9"/>
  <c r="AE222" i="9"/>
  <c r="AQ214" i="9"/>
  <c r="BE306" i="9"/>
  <c r="BA261" i="9"/>
  <c r="AB253" i="9"/>
  <c r="AL245" i="9"/>
  <c r="AN237" i="9"/>
  <c r="W291" i="9"/>
  <c r="BQ259" i="9"/>
  <c r="AJ251" i="9"/>
  <c r="AY243" i="9"/>
  <c r="AO235" i="9"/>
  <c r="AJ325" i="9"/>
  <c r="AE263" i="9"/>
  <c r="W256" i="9"/>
  <c r="D252" i="9"/>
  <c r="H248" i="9"/>
  <c r="Q244" i="9"/>
  <c r="AD240" i="9"/>
  <c r="M236" i="9"/>
  <c r="N232" i="9"/>
  <c r="Q228" i="9"/>
  <c r="C224" i="9"/>
  <c r="F220" i="9"/>
  <c r="P216" i="9"/>
  <c r="AL212" i="9"/>
  <c r="H370" i="9"/>
  <c r="D295" i="9"/>
  <c r="F264" i="9"/>
  <c r="AA260" i="9"/>
  <c r="L256" i="9"/>
  <c r="BT251" i="9"/>
  <c r="BX247" i="9"/>
  <c r="H244" i="9"/>
  <c r="R240" i="9"/>
  <c r="H237" i="9"/>
  <c r="O234" i="9"/>
  <c r="AR231" i="9"/>
  <c r="I229" i="9"/>
  <c r="U226" i="9"/>
  <c r="AE223" i="9"/>
  <c r="A221" i="9"/>
  <c r="L218" i="9"/>
  <c r="AV215" i="9"/>
  <c r="T213" i="9"/>
  <c r="X210" i="9"/>
  <c r="X314" i="9"/>
  <c r="BU293" i="9"/>
  <c r="BU277" i="9"/>
  <c r="BT263" i="9"/>
  <c r="BD262" i="9"/>
  <c r="AE261" i="9"/>
  <c r="O260" i="9"/>
  <c r="BL258" i="9"/>
  <c r="R257" i="9"/>
  <c r="C256" i="9"/>
  <c r="AO254" i="9"/>
  <c r="D253" i="9"/>
  <c r="BK251" i="9"/>
  <c r="AH250" i="9"/>
  <c r="O249" i="9"/>
  <c r="F248" i="9"/>
  <c r="J247" i="9"/>
  <c r="K246" i="9"/>
  <c r="N245" i="9"/>
  <c r="O244" i="9"/>
  <c r="U243" i="9"/>
  <c r="AA242" i="9"/>
  <c r="AC241" i="9"/>
  <c r="AB240" i="9"/>
  <c r="Z239" i="9"/>
  <c r="S238" i="9"/>
  <c r="O237" i="9"/>
  <c r="K236" i="9"/>
  <c r="J235" i="9"/>
  <c r="N234" i="9"/>
  <c r="K233" i="9"/>
  <c r="L232" i="9"/>
  <c r="M231" i="9"/>
  <c r="M230" i="9"/>
  <c r="P229" i="9"/>
  <c r="R367" i="9"/>
  <c r="BQ319" i="9"/>
  <c r="S311" i="9"/>
  <c r="E303" i="9"/>
  <c r="BK294" i="9"/>
  <c r="BL286" i="9"/>
  <c r="BK278" i="9"/>
  <c r="AM270" i="9"/>
  <c r="D264" i="9"/>
  <c r="L263" i="9"/>
  <c r="Q262" i="9"/>
  <c r="R261" i="9"/>
  <c r="X260" i="9"/>
  <c r="W259" i="9"/>
  <c r="M258" i="9"/>
  <c r="I257" i="9"/>
  <c r="J256" i="9"/>
  <c r="E255" i="9"/>
  <c r="BP253" i="9"/>
  <c r="BR252" i="9"/>
  <c r="BR251" i="9"/>
  <c r="BS250" i="9"/>
  <c r="BR249" i="9"/>
  <c r="BS248" i="9"/>
  <c r="BT247" i="9"/>
  <c r="BX246" i="9"/>
  <c r="A246" i="9"/>
  <c r="E245" i="9"/>
  <c r="F244" i="9"/>
  <c r="J243" i="9"/>
  <c r="N242" i="9"/>
  <c r="R241" i="9"/>
  <c r="P240" i="9"/>
  <c r="N239" i="9"/>
  <c r="I238" i="9"/>
  <c r="F237" i="9"/>
  <c r="B236" i="9"/>
  <c r="A235" i="9"/>
  <c r="C234" i="9"/>
  <c r="AE357" i="9"/>
  <c r="A318" i="9"/>
  <c r="C310" i="9"/>
  <c r="B302" i="9"/>
  <c r="BC293" i="9"/>
  <c r="BK285" i="9"/>
  <c r="AZ277" i="9"/>
  <c r="M269" i="9"/>
  <c r="BR263" i="9"/>
  <c r="C263" i="9"/>
  <c r="H262" i="9"/>
  <c r="H261" i="9"/>
  <c r="M260" i="9"/>
  <c r="L259" i="9"/>
  <c r="B258" i="9"/>
  <c r="BY256" i="9"/>
  <c r="A256" i="9"/>
  <c r="BT254" i="9"/>
  <c r="BG253" i="9"/>
  <c r="BE252" i="9"/>
  <c r="BI251" i="9"/>
  <c r="BI250" i="9"/>
  <c r="BI249" i="9"/>
  <c r="BI248" i="9"/>
  <c r="BK247" i="9"/>
  <c r="BN246" i="9"/>
  <c r="BO245" i="9"/>
  <c r="BT244" i="9"/>
  <c r="BU243" i="9"/>
  <c r="A243" i="9"/>
  <c r="E242" i="9"/>
  <c r="H241" i="9"/>
  <c r="G240" i="9"/>
  <c r="E239" i="9"/>
  <c r="BY237" i="9"/>
  <c r="BR236" i="9"/>
  <c r="BQ235" i="9"/>
  <c r="BP234" i="9"/>
  <c r="BR233" i="9"/>
  <c r="BO232" i="9"/>
  <c r="BP231" i="9"/>
  <c r="BQ230" i="9"/>
  <c r="BT229" i="9"/>
  <c r="BT228" i="9"/>
  <c r="BU227" i="9"/>
  <c r="BX226" i="9"/>
  <c r="BT225" i="9"/>
  <c r="BQ224" i="9"/>
  <c r="BD223" i="9"/>
  <c r="BE222" i="9"/>
  <c r="BL221" i="9"/>
  <c r="BN220" i="9"/>
  <c r="BK219" i="9"/>
  <c r="BO218" i="9"/>
  <c r="BQ217" i="9"/>
  <c r="BQ216" i="9"/>
  <c r="BT215" i="9"/>
  <c r="BU214" i="9"/>
  <c r="BY213" i="9"/>
  <c r="I213" i="9"/>
  <c r="M212" i="9"/>
  <c r="E211" i="9"/>
  <c r="D210" i="9"/>
  <c r="BD232" i="9"/>
  <c r="BH228" i="9"/>
  <c r="AZ226" i="9"/>
  <c r="AR224" i="9"/>
  <c r="AK222" i="9"/>
  <c r="AR220" i="9"/>
  <c r="AQ218" i="9"/>
  <c r="AT216" i="9"/>
  <c r="AW214" i="9"/>
  <c r="BN212" i="9"/>
  <c r="BD210" i="9"/>
  <c r="D209" i="9"/>
  <c r="D208" i="9"/>
  <c r="H207" i="9"/>
  <c r="F206" i="9"/>
  <c r="I205" i="9"/>
  <c r="J204" i="9"/>
  <c r="I203" i="9"/>
  <c r="I202" i="9"/>
  <c r="L201" i="9"/>
  <c r="R200" i="9"/>
  <c r="T199" i="9"/>
  <c r="O198" i="9"/>
  <c r="L197" i="9"/>
  <c r="M196" i="9"/>
  <c r="D195" i="9"/>
  <c r="B194" i="9"/>
  <c r="E193" i="9"/>
  <c r="K192" i="9"/>
  <c r="E191" i="9"/>
  <c r="D190" i="9"/>
  <c r="I189" i="9"/>
  <c r="L188" i="9"/>
  <c r="M187" i="9"/>
  <c r="Q186" i="9"/>
  <c r="O185" i="9"/>
  <c r="O184" i="9"/>
  <c r="V183" i="9"/>
  <c r="X182" i="9"/>
  <c r="H181" i="9"/>
  <c r="K180" i="9"/>
  <c r="M179" i="9"/>
  <c r="M178" i="9"/>
  <c r="O177" i="9"/>
  <c r="F176" i="9"/>
  <c r="I175" i="9"/>
  <c r="D174" i="9"/>
  <c r="C173" i="9"/>
  <c r="D172" i="9"/>
  <c r="D171" i="9"/>
  <c r="B170" i="9"/>
  <c r="D169" i="9"/>
  <c r="BR167" i="9"/>
  <c r="AV166" i="9"/>
  <c r="AX165" i="9"/>
  <c r="BI164" i="9"/>
  <c r="BL163" i="9"/>
  <c r="BO162" i="9"/>
  <c r="BI161" i="9"/>
  <c r="BD160" i="9"/>
  <c r="AZ159" i="9"/>
  <c r="BD158" i="9"/>
  <c r="AU157" i="9"/>
  <c r="BC156" i="9"/>
  <c r="L231" i="9"/>
  <c r="BO227" i="9"/>
  <c r="BN225" i="9"/>
  <c r="AV223" i="9"/>
  <c r="BE221" i="9"/>
  <c r="BE219" i="9"/>
  <c r="BI217" i="9"/>
  <c r="BN215" i="9"/>
  <c r="BQ213" i="9"/>
  <c r="F212" i="9"/>
  <c r="BV209" i="9"/>
  <c r="AV208" i="9"/>
  <c r="AX207" i="9"/>
  <c r="AZ206" i="9"/>
  <c r="BF205" i="9"/>
  <c r="BA204" i="9"/>
  <c r="BD203" i="9"/>
  <c r="BD202" i="9"/>
  <c r="BG201" i="9"/>
  <c r="BJ200" i="9"/>
  <c r="BO199" i="9"/>
  <c r="BP198" i="9"/>
  <c r="BK197" i="9"/>
  <c r="BH196" i="9"/>
  <c r="BJ195" i="9"/>
  <c r="AV194" i="9"/>
  <c r="AZ193" i="9"/>
  <c r="BD192" i="9"/>
  <c r="BE191" i="9"/>
  <c r="AZ190" i="9"/>
  <c r="BA189" i="9"/>
  <c r="BG188" i="9"/>
  <c r="BI187" i="9"/>
  <c r="BK186" i="9"/>
  <c r="BK185" i="9"/>
  <c r="BJ184" i="9"/>
  <c r="BK183" i="9"/>
  <c r="BU182" i="9"/>
  <c r="BP181" i="9"/>
  <c r="BD180" i="9"/>
  <c r="BH179" i="9"/>
  <c r="BH178" i="9"/>
  <c r="BJ177" i="9"/>
  <c r="BL176" i="9"/>
  <c r="BD175" i="9"/>
  <c r="AV174" i="9"/>
  <c r="AW173" i="9"/>
  <c r="AV172" i="9"/>
  <c r="AU171" i="9"/>
  <c r="AW170" i="9"/>
  <c r="AT232" i="9"/>
  <c r="AU228" i="9"/>
  <c r="AT226" i="9"/>
  <c r="AN224" i="9"/>
  <c r="AG222" i="9"/>
  <c r="AN220" i="9"/>
  <c r="AM218" i="9"/>
  <c r="AP216" i="9"/>
  <c r="AS214" i="9"/>
  <c r="BJ212" i="9"/>
  <c r="AV210" i="9"/>
  <c r="B209" i="9"/>
  <c r="B208" i="9"/>
  <c r="F207" i="9"/>
  <c r="D206" i="9"/>
  <c r="G205" i="9"/>
  <c r="H204" i="9"/>
  <c r="F203" i="9"/>
  <c r="G202" i="9"/>
  <c r="J201" i="9"/>
  <c r="O200" i="9"/>
  <c r="Q199" i="9"/>
  <c r="M198" i="9"/>
  <c r="J197" i="9"/>
  <c r="K196" i="9"/>
  <c r="A195" i="9"/>
  <c r="BY193" i="9"/>
  <c r="C193" i="9"/>
  <c r="I192" i="9"/>
  <c r="C191" i="9"/>
  <c r="B190" i="9"/>
  <c r="F189" i="9"/>
  <c r="J188" i="9"/>
  <c r="K187" i="9"/>
  <c r="O186" i="9"/>
  <c r="M185" i="9"/>
  <c r="M184" i="9"/>
  <c r="T183" i="9"/>
  <c r="V182" i="9"/>
  <c r="E181" i="9"/>
  <c r="I180" i="9"/>
  <c r="K179" i="9"/>
  <c r="K178" i="9"/>
  <c r="M177" i="9"/>
  <c r="D176" i="9"/>
  <c r="E175" i="9"/>
  <c r="B174" i="9"/>
  <c r="A173" i="9"/>
  <c r="B172" i="9"/>
  <c r="B171" i="9"/>
  <c r="BY169" i="9"/>
  <c r="B169" i="9"/>
  <c r="AO232" i="9"/>
  <c r="AP228" i="9"/>
  <c r="AQ226" i="9"/>
  <c r="AG224" i="9"/>
  <c r="AD222" i="9"/>
  <c r="AI220" i="9"/>
  <c r="AI218" i="9"/>
  <c r="AM216" i="9"/>
  <c r="AP214" i="9"/>
  <c r="BG212" i="9"/>
  <c r="AS210" i="9"/>
  <c r="A209" i="9"/>
  <c r="A208" i="9"/>
  <c r="E207" i="9"/>
  <c r="C206" i="9"/>
  <c r="F205" i="9"/>
  <c r="G204" i="9"/>
  <c r="E203" i="9"/>
  <c r="F202" i="9"/>
  <c r="I201" i="9"/>
  <c r="N200" i="9"/>
  <c r="P199" i="9"/>
  <c r="L198" i="9"/>
  <c r="I197" i="9"/>
  <c r="J196" i="9"/>
  <c r="BY194" i="9"/>
  <c r="BX193" i="9"/>
  <c r="B193" i="9"/>
  <c r="H192" i="9"/>
  <c r="B191" i="9"/>
  <c r="A190" i="9"/>
  <c r="E189" i="9"/>
  <c r="I188" i="9"/>
  <c r="J187" i="9"/>
  <c r="N186" i="9"/>
  <c r="L185" i="9"/>
  <c r="L184" i="9"/>
  <c r="R183" i="9"/>
  <c r="U182" i="9"/>
  <c r="D181" i="9"/>
  <c r="H180" i="9"/>
  <c r="J179" i="9"/>
  <c r="J178" i="9"/>
  <c r="L177" i="9"/>
  <c r="C176" i="9"/>
  <c r="D175" i="9"/>
  <c r="A174" i="9"/>
  <c r="BY172" i="9"/>
  <c r="A172" i="9"/>
  <c r="A171" i="9"/>
  <c r="BX169" i="9"/>
  <c r="A169" i="9"/>
  <c r="BO167" i="9"/>
  <c r="AS166" i="9"/>
  <c r="AU165" i="9"/>
  <c r="BF164" i="9"/>
  <c r="BI163" i="9"/>
  <c r="BL162" i="9"/>
  <c r="BC161" i="9"/>
  <c r="AY160" i="9"/>
  <c r="AW159" i="9"/>
  <c r="AW158" i="9"/>
  <c r="AR157" i="9"/>
  <c r="BX231" i="9"/>
  <c r="R228" i="9"/>
  <c r="W226" i="9"/>
  <c r="D224" i="9"/>
  <c r="J222" i="9"/>
  <c r="G220" i="9"/>
  <c r="N218" i="9"/>
  <c r="R216" i="9"/>
  <c r="W214" i="9"/>
  <c r="AM212" i="9"/>
  <c r="AA210" i="9"/>
  <c r="BN208" i="9"/>
  <c r="BO207" i="9"/>
  <c r="BR206" i="9"/>
  <c r="BS205" i="9"/>
  <c r="BT204" i="9"/>
  <c r="BV203" i="9"/>
  <c r="BT202" i="9"/>
  <c r="BU201" i="9"/>
  <c r="BY200" i="9"/>
  <c r="E200" i="9"/>
  <c r="E199" i="9"/>
  <c r="B198" i="9"/>
  <c r="BY196" i="9"/>
  <c r="A196" i="9"/>
  <c r="BN194" i="9"/>
  <c r="BN193" i="9"/>
  <c r="BR192" i="9"/>
  <c r="BU191" i="9"/>
  <c r="BQ190" i="9"/>
  <c r="BQ189" i="9"/>
  <c r="BU188" i="9"/>
  <c r="BY187" i="9"/>
  <c r="BY186" i="9"/>
  <c r="D186" i="9"/>
  <c r="L339" i="9"/>
  <c r="B360" i="9"/>
  <c r="AS359" i="9"/>
  <c r="J307" i="9"/>
  <c r="BL306" i="9"/>
  <c r="AV306" i="9"/>
  <c r="AM306" i="9"/>
  <c r="AE315" i="9"/>
  <c r="K293" i="9"/>
  <c r="BT279" i="9"/>
  <c r="L270" i="9"/>
  <c r="BF361" i="9"/>
  <c r="BD318" i="9"/>
  <c r="AW310" i="9"/>
  <c r="AM302" i="9"/>
  <c r="O294" i="9"/>
  <c r="V286" i="9"/>
  <c r="O278" i="9"/>
  <c r="BC269" i="9"/>
  <c r="AO358" i="9"/>
  <c r="J318" i="9"/>
  <c r="L310" i="9"/>
  <c r="K302" i="9"/>
  <c r="BN293" i="9"/>
  <c r="BU285" i="9"/>
  <c r="BM277" i="9"/>
  <c r="AA269" i="9"/>
  <c r="BO306" i="9"/>
  <c r="BD261" i="9"/>
  <c r="AC253" i="9"/>
  <c r="AM245" i="9"/>
  <c r="AO237" i="9"/>
  <c r="AN229" i="9"/>
  <c r="AE221" i="9"/>
  <c r="AV213" i="9"/>
  <c r="AN298" i="9"/>
  <c r="BG260" i="9"/>
  <c r="Z252" i="9"/>
  <c r="AM244" i="9"/>
  <c r="AI236" i="9"/>
  <c r="AF283" i="9"/>
  <c r="BP258" i="9"/>
  <c r="AM250" i="9"/>
  <c r="BF242" i="9"/>
  <c r="AT234" i="9"/>
  <c r="AR313" i="9"/>
  <c r="AN262" i="9"/>
  <c r="AC255" i="9"/>
  <c r="O251" i="9"/>
  <c r="U247" i="9"/>
  <c r="AF243" i="9"/>
  <c r="AJ239" i="9"/>
  <c r="V235" i="9"/>
  <c r="AA231" i="9"/>
  <c r="AD227" i="9"/>
  <c r="L223" i="9"/>
  <c r="S219" i="9"/>
  <c r="AD215" i="9"/>
  <c r="AT211" i="9"/>
  <c r="AL322" i="9"/>
  <c r="E288" i="9"/>
  <c r="V263" i="9"/>
  <c r="AI259" i="9"/>
  <c r="P255" i="9"/>
  <c r="F251" i="9"/>
  <c r="K247" i="9"/>
  <c r="V243" i="9"/>
  <c r="AA239" i="9"/>
  <c r="AO236" i="9"/>
  <c r="E234" i="9"/>
  <c r="N231" i="9"/>
  <c r="AR228" i="9"/>
  <c r="K226" i="9"/>
  <c r="C223" i="9"/>
  <c r="AP220" i="9"/>
  <c r="C218" i="9"/>
  <c r="R215" i="9"/>
  <c r="BL212" i="9"/>
  <c r="O210" i="9"/>
  <c r="AC311" i="9"/>
  <c r="BS291" i="9"/>
  <c r="AT275" i="9"/>
  <c r="BC263" i="9"/>
  <c r="AT262" i="9"/>
  <c r="U261" i="9"/>
  <c r="BV259" i="9"/>
  <c r="AW258" i="9"/>
  <c r="J257" i="9"/>
  <c r="BF255" i="9"/>
  <c r="AA254" i="9"/>
  <c r="BS252" i="9"/>
  <c r="AR251" i="9"/>
  <c r="Z250" i="9"/>
  <c r="D249" i="9"/>
  <c r="BU247" i="9"/>
  <c r="BY246" i="9"/>
  <c r="B246" i="9"/>
  <c r="F245" i="9"/>
  <c r="G244" i="9"/>
  <c r="K243" i="9"/>
  <c r="O242" i="9"/>
  <c r="T241" i="9"/>
  <c r="Q240" i="9"/>
  <c r="O239" i="9"/>
  <c r="J238" i="9"/>
  <c r="G237" i="9"/>
  <c r="C236" i="9"/>
  <c r="B235" i="9"/>
  <c r="D234" i="9"/>
  <c r="B233" i="9"/>
  <c r="C232" i="9"/>
  <c r="C231" i="9"/>
  <c r="E230" i="9"/>
  <c r="G229" i="9"/>
  <c r="AE358" i="9"/>
  <c r="I318" i="9"/>
  <c r="K310" i="9"/>
  <c r="J302" i="9"/>
  <c r="BL293" i="9"/>
  <c r="BT285" i="9"/>
  <c r="BL277" i="9"/>
  <c r="W269" i="9"/>
  <c r="BS263" i="9"/>
  <c r="D263" i="9"/>
  <c r="I262" i="9"/>
  <c r="I261" i="9"/>
  <c r="N260" i="9"/>
  <c r="M259" i="9"/>
  <c r="C258" i="9"/>
  <c r="A257" i="9"/>
  <c r="B256" i="9"/>
  <c r="BU254" i="9"/>
  <c r="BH253" i="9"/>
  <c r="BF252" i="9"/>
  <c r="BJ251" i="9"/>
  <c r="BJ250" i="9"/>
  <c r="BJ249" i="9"/>
  <c r="BJ248" i="9"/>
  <c r="BL247" i="9"/>
  <c r="BO246" i="9"/>
  <c r="BP245" i="9"/>
  <c r="BU244" i="9"/>
  <c r="BV243" i="9"/>
  <c r="B243" i="9"/>
  <c r="F242" i="9"/>
  <c r="I241" i="9"/>
  <c r="H240" i="9"/>
  <c r="F239" i="9"/>
  <c r="A238" i="9"/>
  <c r="BS236" i="9"/>
  <c r="BR235" i="9"/>
  <c r="BQ234" i="9"/>
  <c r="BS233" i="9"/>
  <c r="AI349" i="9"/>
  <c r="BO316" i="9"/>
  <c r="D309" i="9"/>
  <c r="BY300" i="9"/>
  <c r="AW292" i="9"/>
  <c r="BL284" i="9"/>
  <c r="AS276" i="9"/>
  <c r="M268" i="9"/>
  <c r="BJ263" i="9"/>
  <c r="BS262" i="9"/>
  <c r="BX261" i="9"/>
  <c r="BY260" i="9"/>
  <c r="D260" i="9"/>
  <c r="C259" i="9"/>
  <c r="BS257" i="9"/>
  <c r="BQ256" i="9"/>
  <c r="BO255" i="9"/>
  <c r="BH254" i="9"/>
  <c r="AV253" i="9"/>
  <c r="AS252" i="9"/>
  <c r="AY251" i="9"/>
  <c r="AZ250" i="9"/>
  <c r="AZ249" i="9"/>
  <c r="AV248" i="9"/>
  <c r="BB247" i="9"/>
  <c r="BF246" i="9"/>
  <c r="BG245" i="9"/>
  <c r="BJ244" i="9"/>
  <c r="BL243" i="9"/>
  <c r="BQ242" i="9"/>
  <c r="BT241" i="9"/>
  <c r="BX240" i="9"/>
  <c r="BV239" i="9"/>
  <c r="BT238" i="9"/>
  <c r="BO237" i="9"/>
  <c r="BE236" i="9"/>
  <c r="BD235" i="9"/>
  <c r="BH234" i="9"/>
  <c r="BH233" i="9"/>
  <c r="BG232" i="9"/>
  <c r="BH231" i="9"/>
  <c r="BG230" i="9"/>
  <c r="BJ229" i="9"/>
  <c r="BJ228" i="9"/>
  <c r="BL227" i="9"/>
  <c r="BN226" i="9"/>
  <c r="BK225" i="9"/>
  <c r="BE224" i="9"/>
  <c r="AT223" i="9"/>
  <c r="AV222" i="9"/>
  <c r="BA221" i="9"/>
  <c r="BF220" i="9"/>
  <c r="BA219" i="9"/>
  <c r="BE218" i="9"/>
  <c r="BF217" i="9"/>
  <c r="BH216" i="9"/>
  <c r="BL215" i="9"/>
  <c r="BM214" i="9"/>
  <c r="BO213" i="9"/>
  <c r="A213" i="9"/>
  <c r="D212" i="9"/>
  <c r="BR210" i="9"/>
  <c r="BT209" i="9"/>
  <c r="P232" i="9"/>
  <c r="AC228" i="9"/>
  <c r="AF226" i="9"/>
  <c r="N224" i="9"/>
  <c r="T222" i="9"/>
  <c r="R220" i="9"/>
  <c r="Z218" i="9"/>
  <c r="AB216" i="9"/>
  <c r="AF214" i="9"/>
  <c r="AU212" i="9"/>
  <c r="AI210" i="9"/>
  <c r="BS208" i="9"/>
  <c r="BS207" i="9"/>
  <c r="BV206" i="9"/>
  <c r="BW205" i="9"/>
  <c r="A205" i="9"/>
  <c r="B204" i="9"/>
  <c r="BY202" i="9"/>
  <c r="A202" i="9"/>
  <c r="D201" i="9"/>
  <c r="I200" i="9"/>
  <c r="K199" i="9"/>
  <c r="F198" i="9"/>
  <c r="D197" i="9"/>
  <c r="E196" i="9"/>
  <c r="BR194" i="9"/>
  <c r="BR193" i="9"/>
  <c r="BV192" i="9"/>
  <c r="C192" i="9"/>
  <c r="BU190" i="9"/>
  <c r="BU189" i="9"/>
  <c r="BY188" i="9"/>
  <c r="D188" i="9"/>
  <c r="D187" i="9"/>
  <c r="I186" i="9"/>
  <c r="E185" i="9"/>
  <c r="E184" i="9"/>
  <c r="M183" i="9"/>
  <c r="O182" i="9"/>
  <c r="BX180" i="9"/>
  <c r="B180" i="9"/>
  <c r="D179" i="9"/>
  <c r="D178" i="9"/>
  <c r="F177" i="9"/>
  <c r="BW175" i="9"/>
  <c r="BV174" i="9"/>
  <c r="BS173" i="9"/>
  <c r="BT172" i="9"/>
  <c r="BS171" i="9"/>
  <c r="BT170" i="9"/>
  <c r="BQ169" i="9"/>
  <c r="BT168" i="9"/>
  <c r="BE167" i="9"/>
  <c r="AN166" i="9"/>
  <c r="AP165" i="9"/>
  <c r="AZ164" i="9"/>
  <c r="BC163" i="9"/>
  <c r="BG162" i="9"/>
  <c r="AU161" i="9"/>
  <c r="AS160" i="9"/>
  <c r="AR159" i="9"/>
  <c r="AR158" i="9"/>
  <c r="AM157" i="9"/>
  <c r="AT156" i="9"/>
  <c r="AW230" i="9"/>
  <c r="AS227" i="9"/>
  <c r="AS225" i="9"/>
  <c r="AD223" i="9"/>
  <c r="AH221" i="9"/>
  <c r="AI219" i="9"/>
  <c r="AN217" i="9"/>
  <c r="AU215" i="9"/>
  <c r="AY213" i="9"/>
  <c r="BO211" i="9"/>
  <c r="BA209" i="9"/>
  <c r="AN208" i="9"/>
  <c r="AP207" i="9"/>
  <c r="AP206" i="9"/>
  <c r="AU205" i="9"/>
  <c r="AR204" i="9"/>
  <c r="AR203" i="9"/>
  <c r="AR202" i="9"/>
  <c r="AV201" i="9"/>
  <c r="AZ200" i="9"/>
  <c r="BF199" i="9"/>
  <c r="BH198" i="9"/>
  <c r="AV197" i="9"/>
  <c r="AW196" i="9"/>
  <c r="AW195" i="9"/>
  <c r="AN194" i="9"/>
  <c r="AP193" i="9"/>
  <c r="AS192" i="9"/>
  <c r="AS191" i="9"/>
  <c r="AQ190" i="9"/>
  <c r="AR189" i="9"/>
  <c r="AV188" i="9"/>
  <c r="AV187" i="9"/>
  <c r="BB186" i="9"/>
  <c r="AZ185" i="9"/>
  <c r="BA184" i="9"/>
  <c r="BA183" i="9"/>
  <c r="BK182" i="9"/>
  <c r="BG181" i="9"/>
  <c r="AT180" i="9"/>
  <c r="AW179" i="9"/>
  <c r="AW178" i="9"/>
  <c r="BA177" i="9"/>
  <c r="BA176" i="9"/>
  <c r="AT175" i="9"/>
  <c r="AN174" i="9"/>
  <c r="AO173" i="9"/>
  <c r="AN172" i="9"/>
  <c r="AM171" i="9"/>
  <c r="AO170" i="9"/>
  <c r="H232" i="9"/>
  <c r="W228" i="9"/>
  <c r="AB226" i="9"/>
  <c r="I224" i="9"/>
  <c r="N222" i="9"/>
  <c r="M220" i="9"/>
  <c r="S218" i="9"/>
  <c r="W216" i="9"/>
  <c r="AB214" i="9"/>
  <c r="AQ212" i="9"/>
  <c r="AE210" i="9"/>
  <c r="BQ208" i="9"/>
  <c r="BQ207" i="9"/>
  <c r="BT206" i="9"/>
  <c r="BU205" i="9"/>
  <c r="BX204" i="9"/>
  <c r="BY203" i="9"/>
  <c r="BV202" i="9"/>
  <c r="BX201" i="9"/>
  <c r="B201" i="9"/>
  <c r="G200" i="9"/>
  <c r="I199" i="9"/>
  <c r="D198" i="9"/>
  <c r="B197" i="9"/>
  <c r="C196" i="9"/>
  <c r="BP194" i="9"/>
  <c r="BP193" i="9"/>
  <c r="BT192" i="9"/>
  <c r="A192" i="9"/>
  <c r="BS190" i="9"/>
  <c r="BS189" i="9"/>
  <c r="BW188" i="9"/>
  <c r="B188" i="9"/>
  <c r="B187" i="9"/>
  <c r="F186" i="9"/>
  <c r="C185" i="9"/>
  <c r="C184" i="9"/>
  <c r="K183" i="9"/>
  <c r="M182" i="9"/>
  <c r="BT180" i="9"/>
  <c r="BY179" i="9"/>
  <c r="B179" i="9"/>
  <c r="B178" i="9"/>
  <c r="D177" i="9"/>
  <c r="BT175" i="9"/>
  <c r="BT174" i="9"/>
  <c r="BQ173" i="9"/>
  <c r="BR172" i="9"/>
  <c r="BQ171" i="9"/>
  <c r="BR170" i="9"/>
  <c r="BO169" i="9"/>
  <c r="BR168" i="9"/>
  <c r="B232" i="9"/>
  <c r="S228" i="9"/>
  <c r="X226" i="9"/>
  <c r="E224" i="9"/>
  <c r="K222" i="9"/>
  <c r="I220" i="9"/>
  <c r="O218" i="9"/>
  <c r="T216" i="9"/>
  <c r="X214" i="9"/>
  <c r="AN212" i="9"/>
  <c r="AB210" i="9"/>
  <c r="BO208" i="9"/>
  <c r="BP207" i="9"/>
  <c r="BS206" i="9"/>
  <c r="BT205" i="9"/>
  <c r="BW204" i="9"/>
  <c r="BX203" i="9"/>
  <c r="BU202" i="9"/>
  <c r="BW201" i="9"/>
  <c r="A201" i="9"/>
  <c r="F200" i="9"/>
  <c r="F199" i="9"/>
  <c r="C198" i="9"/>
  <c r="A197" i="9"/>
  <c r="B196" i="9"/>
  <c r="BO194" i="9"/>
  <c r="BO193" i="9"/>
  <c r="BS192" i="9"/>
  <c r="BV191" i="9"/>
  <c r="BR190" i="9"/>
  <c r="BR189" i="9"/>
  <c r="BV188" i="9"/>
  <c r="A188" i="9"/>
  <c r="A187" i="9"/>
  <c r="E186" i="9"/>
  <c r="B185" i="9"/>
  <c r="B184" i="9"/>
  <c r="J183" i="9"/>
  <c r="L182" i="9"/>
  <c r="BS180" i="9"/>
  <c r="BX179" i="9"/>
  <c r="A179" i="9"/>
  <c r="A178" i="9"/>
  <c r="C177" i="9"/>
  <c r="BS175" i="9"/>
  <c r="BS174" i="9"/>
  <c r="BP173" i="9"/>
  <c r="BQ172" i="9"/>
  <c r="BP171" i="9"/>
  <c r="BQ170" i="9"/>
  <c r="BN169" i="9"/>
  <c r="BQ168" i="9"/>
  <c r="AZ167" i="9"/>
  <c r="AJ166" i="9"/>
  <c r="AM165" i="9"/>
  <c r="AU164" i="9"/>
  <c r="AZ163" i="9"/>
  <c r="BC162" i="9"/>
  <c r="AR161" i="9"/>
  <c r="AP160" i="9"/>
  <c r="AO159" i="9"/>
  <c r="AM158" i="9"/>
  <c r="AJ157" i="9"/>
  <c r="AM231" i="9"/>
  <c r="B228" i="9"/>
  <c r="C226" i="9"/>
  <c r="BJ223" i="9"/>
  <c r="BS221" i="9"/>
  <c r="BP219" i="9"/>
  <c r="BV217" i="9"/>
  <c r="BY215" i="9"/>
  <c r="E214" i="9"/>
  <c r="R212" i="9"/>
  <c r="I210" i="9"/>
  <c r="BE208" i="9"/>
  <c r="BE207" i="9"/>
  <c r="BH206" i="9"/>
  <c r="BK205" i="9"/>
  <c r="BK204" i="9"/>
  <c r="BL203" i="9"/>
  <c r="BJ202" i="9"/>
  <c r="BL201" i="9"/>
  <c r="BO200" i="9"/>
  <c r="BT199" i="9"/>
  <c r="BU198" i="9"/>
  <c r="BR197" i="9"/>
  <c r="BO196" i="9"/>
  <c r="BQ195" i="9"/>
  <c r="BC194" i="9"/>
  <c r="BF193" i="9"/>
  <c r="BI192" i="9"/>
  <c r="BK191" i="9"/>
  <c r="BG190" i="9"/>
  <c r="BH189" i="9"/>
  <c r="BL188" i="9"/>
  <c r="BP187" i="9"/>
  <c r="BP186" i="9"/>
  <c r="BP185" i="9"/>
  <c r="BP184" i="9"/>
  <c r="BP183" i="9"/>
  <c r="A183" i="9"/>
  <c r="C182" i="9"/>
  <c r="BJ180" i="9"/>
  <c r="BN179" i="9"/>
  <c r="BO178" i="9"/>
  <c r="BP177" i="9"/>
  <c r="BR176" i="9"/>
  <c r="BJ175" i="9"/>
  <c r="BE174" i="9"/>
  <c r="BD173" i="9"/>
  <c r="BE172" i="9"/>
  <c r="BD171" i="9"/>
  <c r="BD170" i="9"/>
  <c r="BD169" i="9"/>
  <c r="BE168" i="9"/>
  <c r="AO167" i="9"/>
  <c r="AA166" i="9"/>
  <c r="AD165" i="9"/>
  <c r="AL164" i="9"/>
  <c r="AO163" i="9"/>
  <c r="AR162" i="9"/>
  <c r="AI161" i="9"/>
  <c r="AF160" i="9"/>
  <c r="AF159" i="9"/>
  <c r="X158" i="9"/>
  <c r="AA157" i="9"/>
  <c r="AD230" i="9"/>
  <c r="AJ227" i="9"/>
  <c r="AI225" i="9"/>
  <c r="T223" i="9"/>
  <c r="J330" i="9"/>
  <c r="M352" i="9"/>
  <c r="BD351" i="9"/>
  <c r="BN298" i="9"/>
  <c r="AT298" i="9"/>
  <c r="AG298" i="9"/>
  <c r="P298" i="9"/>
  <c r="AO311" i="9"/>
  <c r="H291" i="9"/>
  <c r="AJ278" i="9"/>
  <c r="G269" i="9"/>
  <c r="BE353" i="9"/>
  <c r="AJ317" i="9"/>
  <c r="AP309" i="9"/>
  <c r="AL301" i="9"/>
  <c r="T293" i="9"/>
  <c r="AA285" i="9"/>
  <c r="O277" i="9"/>
  <c r="BA268" i="9"/>
  <c r="AS350" i="9"/>
  <c r="A317" i="9"/>
  <c r="N309" i="9"/>
  <c r="J301" i="9"/>
  <c r="BK292" i="9"/>
  <c r="BX284" i="9"/>
  <c r="BG276" i="9"/>
  <c r="W268" i="9"/>
  <c r="AV298" i="9"/>
  <c r="BH260" i="9"/>
  <c r="AA252" i="9"/>
  <c r="AN244" i="9"/>
  <c r="AJ236" i="9"/>
  <c r="AN228" i="9"/>
  <c r="AL220" i="9"/>
  <c r="BH212" i="9"/>
  <c r="AE290" i="9"/>
  <c r="BG259" i="9"/>
  <c r="AC251" i="9"/>
  <c r="AQ243" i="9"/>
  <c r="AG235" i="9"/>
  <c r="A275" i="9"/>
  <c r="BA257" i="9"/>
  <c r="AM249" i="9"/>
  <c r="BI241" i="9"/>
  <c r="AR233" i="9"/>
  <c r="AC305" i="9"/>
  <c r="AP261" i="9"/>
  <c r="Q255" i="9"/>
  <c r="G251" i="9"/>
  <c r="L247" i="9"/>
  <c r="W243" i="9"/>
  <c r="AB239" i="9"/>
  <c r="L235" i="9"/>
  <c r="O231" i="9"/>
  <c r="U227" i="9"/>
  <c r="D223" i="9"/>
  <c r="K219" i="9"/>
  <c r="U215" i="9"/>
  <c r="AL211" i="9"/>
  <c r="AB320" i="9"/>
  <c r="E287" i="9"/>
  <c r="N263" i="9"/>
  <c r="AA259" i="9"/>
  <c r="G255" i="9"/>
  <c r="BU250" i="9"/>
  <c r="A247" i="9"/>
  <c r="L243" i="9"/>
  <c r="P239" i="9"/>
  <c r="L236" i="9"/>
  <c r="AN233" i="9"/>
  <c r="D231" i="9"/>
  <c r="P228" i="9"/>
  <c r="AT225" i="9"/>
  <c r="BR222" i="9"/>
  <c r="E220" i="9"/>
  <c r="AO217" i="9"/>
  <c r="I215" i="9"/>
  <c r="AI212" i="9"/>
  <c r="BD209" i="9"/>
  <c r="Z310" i="9"/>
  <c r="BQ289" i="9"/>
  <c r="AT273" i="9"/>
  <c r="AS263" i="9"/>
  <c r="AB262" i="9"/>
  <c r="J261" i="9"/>
  <c r="BN259" i="9"/>
  <c r="AA258" i="9"/>
  <c r="B257" i="9"/>
  <c r="AT255" i="9"/>
  <c r="C254" i="9"/>
  <c r="BH252" i="9"/>
  <c r="AG251" i="9"/>
  <c r="D250" i="9"/>
  <c r="BT248" i="9"/>
  <c r="BM247" i="9"/>
  <c r="BP246" i="9"/>
  <c r="BQ245" i="9"/>
  <c r="BV244" i="9"/>
  <c r="BX243" i="9"/>
  <c r="C243" i="9"/>
  <c r="G242" i="9"/>
  <c r="J241" i="9"/>
  <c r="I240" i="9"/>
  <c r="G239" i="9"/>
  <c r="B238" i="9"/>
  <c r="BT236" i="9"/>
  <c r="BS235" i="9"/>
  <c r="BR234" i="9"/>
  <c r="BT233" i="9"/>
  <c r="BQ232" i="9"/>
  <c r="BR231" i="9"/>
  <c r="BS230" i="9"/>
  <c r="BV229" i="9"/>
  <c r="BV228" i="9"/>
  <c r="AI350" i="9"/>
  <c r="BY316" i="9"/>
  <c r="M309" i="9"/>
  <c r="I301" i="9"/>
  <c r="BJ292" i="9"/>
  <c r="BV284" i="9"/>
  <c r="BD276" i="9"/>
  <c r="V268" i="9"/>
  <c r="BK263" i="9"/>
  <c r="BT262" i="9"/>
  <c r="BY261" i="9"/>
  <c r="A261" i="9"/>
  <c r="E260" i="9"/>
  <c r="D259" i="9"/>
  <c r="BT257" i="9"/>
  <c r="BR256" i="9"/>
  <c r="BP255" i="9"/>
  <c r="BK254" i="9"/>
  <c r="AW253" i="9"/>
  <c r="AT252" i="9"/>
  <c r="AZ251" i="9"/>
  <c r="BA250" i="9"/>
  <c r="BA249" i="9"/>
  <c r="AW248" i="9"/>
  <c r="BC247" i="9"/>
  <c r="BG246" i="9"/>
  <c r="BH245" i="9"/>
  <c r="BK244" i="9"/>
  <c r="BN243" i="9"/>
  <c r="BR242" i="9"/>
  <c r="BU241" i="9"/>
  <c r="BY240" i="9"/>
  <c r="BY239" i="9"/>
  <c r="BU238" i="9"/>
  <c r="BP237" i="9"/>
  <c r="BF236" i="9"/>
  <c r="BE235" i="9"/>
  <c r="BI234" i="9"/>
  <c r="BI233" i="9"/>
  <c r="BG341" i="9"/>
  <c r="BX315" i="9"/>
  <c r="C308" i="9"/>
  <c r="BQ299" i="9"/>
  <c r="BA291" i="9"/>
  <c r="BJ283" i="9"/>
  <c r="AB275" i="9"/>
  <c r="I267" i="9"/>
  <c r="AZ263" i="9"/>
  <c r="BK262" i="9"/>
  <c r="BP261" i="9"/>
  <c r="BQ260" i="9"/>
  <c r="BT259" i="9"/>
  <c r="BS258" i="9"/>
  <c r="BF257" i="9"/>
  <c r="BF256" i="9"/>
  <c r="BD255" i="9"/>
  <c r="AU254" i="9"/>
  <c r="AN253" i="9"/>
  <c r="AJ252" i="9"/>
  <c r="AN251" i="9"/>
  <c r="AP250" i="9"/>
  <c r="AP249" i="9"/>
  <c r="AN248" i="9"/>
  <c r="AR247" i="9"/>
  <c r="AU246" i="9"/>
  <c r="AV245" i="9"/>
  <c r="AW244" i="9"/>
  <c r="BD243" i="9"/>
  <c r="BI242" i="9"/>
  <c r="BL241" i="9"/>
  <c r="BO240" i="9"/>
  <c r="BL239" i="9"/>
  <c r="BH238" i="9"/>
  <c r="AZ237" i="9"/>
  <c r="AT236" i="9"/>
  <c r="AR235" i="9"/>
  <c r="AW234" i="9"/>
  <c r="AU233" i="9"/>
  <c r="AV232" i="9"/>
  <c r="AW231" i="9"/>
  <c r="AV230" i="9"/>
  <c r="AW229" i="9"/>
  <c r="AW228" i="9"/>
  <c r="BA227" i="9"/>
  <c r="BC226" i="9"/>
  <c r="BA225" i="9"/>
  <c r="AU224" i="9"/>
  <c r="AL223" i="9"/>
  <c r="AN222" i="9"/>
  <c r="AQ221" i="9"/>
  <c r="AU220" i="9"/>
  <c r="AR219" i="9"/>
  <c r="AT218" i="9"/>
  <c r="AT217" i="9"/>
  <c r="AW216" i="9"/>
  <c r="BD215" i="9"/>
  <c r="BA214" i="9"/>
  <c r="BF213" i="9"/>
  <c r="BQ212" i="9"/>
  <c r="BU211" i="9"/>
  <c r="BH210" i="9"/>
  <c r="BJ209" i="9"/>
  <c r="BF231" i="9"/>
  <c r="J228" i="9"/>
  <c r="M226" i="9"/>
  <c r="BS223" i="9"/>
  <c r="B222" i="9"/>
  <c r="BX219" i="9"/>
  <c r="E218" i="9"/>
  <c r="I216" i="9"/>
  <c r="N214" i="9"/>
  <c r="AC212" i="9"/>
  <c r="Q210" i="9"/>
  <c r="BJ208" i="9"/>
  <c r="BJ207" i="9"/>
  <c r="BL206" i="9"/>
  <c r="BO205" i="9"/>
  <c r="BP204" i="9"/>
  <c r="BR203" i="9"/>
  <c r="BP202" i="9"/>
  <c r="BQ201" i="9"/>
  <c r="BS200" i="9"/>
  <c r="A200" i="9"/>
  <c r="A199" i="9"/>
  <c r="BV197" i="9"/>
  <c r="BS196" i="9"/>
  <c r="BU195" i="9"/>
  <c r="BJ194" i="9"/>
  <c r="BJ193" i="9"/>
  <c r="BN192" i="9"/>
  <c r="BQ191" i="9"/>
  <c r="BM190" i="9"/>
  <c r="BL189" i="9"/>
  <c r="BQ188" i="9"/>
  <c r="BT187" i="9"/>
  <c r="BT186" i="9"/>
  <c r="BY185" i="9"/>
  <c r="BT184" i="9"/>
  <c r="BT183" i="9"/>
  <c r="E183" i="9"/>
  <c r="G182" i="9"/>
  <c r="BN180" i="9"/>
  <c r="BR179" i="9"/>
  <c r="BS178" i="9"/>
  <c r="BT177" i="9"/>
  <c r="BV176" i="9"/>
  <c r="BN175" i="9"/>
  <c r="BL174" i="9"/>
  <c r="BK173" i="9"/>
  <c r="BJ172" i="9"/>
  <c r="BI171" i="9"/>
  <c r="BK170" i="9"/>
  <c r="BI169" i="9"/>
  <c r="BJ168" i="9"/>
  <c r="AS167" i="9"/>
  <c r="AE166" i="9"/>
  <c r="AH165" i="9"/>
  <c r="AP164" i="9"/>
  <c r="AS163" i="9"/>
  <c r="AV162" i="9"/>
  <c r="AM161" i="9"/>
  <c r="AJ160" i="9"/>
  <c r="AJ159" i="9"/>
  <c r="AC158" i="9"/>
  <c r="AE157" i="9"/>
  <c r="AL156" i="9"/>
  <c r="L230" i="9"/>
  <c r="AB227" i="9"/>
  <c r="AA225" i="9"/>
  <c r="J223" i="9"/>
  <c r="P221" i="9"/>
  <c r="Q219" i="9"/>
  <c r="U217" i="9"/>
  <c r="AB215" i="9"/>
  <c r="AI213" i="9"/>
  <c r="AR211" i="9"/>
  <c r="AI209" i="9"/>
  <c r="AE208" i="9"/>
  <c r="AH207" i="9"/>
  <c r="AG206" i="9"/>
  <c r="AJ205" i="9"/>
  <c r="AJ204" i="9"/>
  <c r="AI203" i="9"/>
  <c r="AI202" i="9"/>
  <c r="AN201" i="9"/>
  <c r="AQ200" i="9"/>
  <c r="AU199" i="9"/>
  <c r="AW198" i="9"/>
  <c r="AN197" i="9"/>
  <c r="AO196" i="9"/>
  <c r="AO195" i="9"/>
  <c r="AF194" i="9"/>
  <c r="AF193" i="9"/>
  <c r="AJ192" i="9"/>
  <c r="AJ191" i="9"/>
  <c r="AF190" i="9"/>
  <c r="AI189" i="9"/>
  <c r="AN188" i="9"/>
  <c r="AN187" i="9"/>
  <c r="AR186" i="9"/>
  <c r="AP185" i="9"/>
  <c r="AQ184" i="9"/>
  <c r="AS183" i="9"/>
  <c r="AW182" i="9"/>
  <c r="AT181" i="9"/>
  <c r="AL180" i="9"/>
  <c r="AO179" i="9"/>
  <c r="AO178" i="9"/>
  <c r="AQ177" i="9"/>
  <c r="AQ176" i="9"/>
  <c r="AL175" i="9"/>
  <c r="AE174" i="9"/>
  <c r="AE173" i="9"/>
  <c r="AE172" i="9"/>
  <c r="AD171" i="9"/>
  <c r="AE170" i="9"/>
  <c r="AU231" i="9"/>
  <c r="F228" i="9"/>
  <c r="I226" i="9"/>
  <c r="BO223" i="9"/>
  <c r="BW221" i="9"/>
  <c r="BT219" i="9"/>
  <c r="A218" i="9"/>
  <c r="D216" i="9"/>
  <c r="J214" i="9"/>
  <c r="W212" i="9"/>
  <c r="M210" i="9"/>
  <c r="BG208" i="9"/>
  <c r="BG207" i="9"/>
  <c r="BJ206" i="9"/>
  <c r="BM205" i="9"/>
  <c r="BN204" i="9"/>
  <c r="BP203" i="9"/>
  <c r="BL202" i="9"/>
  <c r="BO201" i="9"/>
  <c r="BQ200" i="9"/>
  <c r="BX199" i="9"/>
  <c r="BX198" i="9"/>
  <c r="BT197" i="9"/>
  <c r="BQ196" i="9"/>
  <c r="BS195" i="9"/>
  <c r="BG194" i="9"/>
  <c r="BH193" i="9"/>
  <c r="BL192" i="9"/>
  <c r="BO191" i="9"/>
  <c r="BK190" i="9"/>
  <c r="BJ189" i="9"/>
  <c r="BO188" i="9"/>
  <c r="BR187" i="9"/>
  <c r="BR186" i="9"/>
  <c r="BW185" i="9"/>
  <c r="BR184" i="9"/>
  <c r="BR183" i="9"/>
  <c r="C183" i="9"/>
  <c r="E182" i="9"/>
  <c r="BL180" i="9"/>
  <c r="BP179" i="9"/>
  <c r="BQ178" i="9"/>
  <c r="BR177" i="9"/>
  <c r="BT176" i="9"/>
  <c r="BL175" i="9"/>
  <c r="BH174" i="9"/>
  <c r="BG173" i="9"/>
  <c r="BH172" i="9"/>
  <c r="BF171" i="9"/>
  <c r="BG170" i="9"/>
  <c r="BG169" i="9"/>
  <c r="BH168" i="9"/>
  <c r="AP231" i="9"/>
  <c r="C228" i="9"/>
  <c r="D226" i="9"/>
  <c r="BK223" i="9"/>
  <c r="BT221" i="9"/>
  <c r="BQ219" i="9"/>
  <c r="BW217" i="9"/>
  <c r="A216" i="9"/>
  <c r="F214" i="9"/>
  <c r="T212" i="9"/>
  <c r="J210" i="9"/>
  <c r="BF208" i="9"/>
  <c r="BF207" i="9"/>
  <c r="BI206" i="9"/>
  <c r="BL205" i="9"/>
  <c r="BL204" i="9"/>
  <c r="BO203" i="9"/>
  <c r="BK202" i="9"/>
  <c r="BN201" i="9"/>
  <c r="BP200" i="9"/>
  <c r="BU199" i="9"/>
  <c r="BW198" i="9"/>
  <c r="BS197" i="9"/>
  <c r="BP196" i="9"/>
  <c r="BR195" i="9"/>
  <c r="BD194" i="9"/>
  <c r="BG193" i="9"/>
  <c r="BK192" i="9"/>
  <c r="BL191" i="9"/>
  <c r="BH190" i="9"/>
  <c r="BI189" i="9"/>
  <c r="BN188" i="9"/>
  <c r="BQ187" i="9"/>
  <c r="BQ186" i="9"/>
  <c r="BU185" i="9"/>
  <c r="BQ184" i="9"/>
  <c r="BQ183" i="9"/>
  <c r="B183" i="9"/>
  <c r="D182" i="9"/>
  <c r="BK180" i="9"/>
  <c r="BO179" i="9"/>
  <c r="BP178" i="9"/>
  <c r="BQ177" i="9"/>
  <c r="BS176" i="9"/>
  <c r="BK175" i="9"/>
  <c r="BF174" i="9"/>
  <c r="BF173" i="9"/>
  <c r="BF172" i="9"/>
  <c r="BE171" i="9"/>
  <c r="BF170" i="9"/>
  <c r="BF169" i="9"/>
  <c r="BF168" i="9"/>
  <c r="AP167" i="9"/>
  <c r="AB166" i="9"/>
  <c r="AE165" i="9"/>
  <c r="AM164" i="9"/>
  <c r="AP163" i="9"/>
  <c r="AS162" i="9"/>
  <c r="AJ161" i="9"/>
  <c r="AG160" i="9"/>
  <c r="AG159" i="9"/>
  <c r="Z158" i="9"/>
  <c r="AB157" i="9"/>
  <c r="BX230" i="9"/>
  <c r="BI227" i="9"/>
  <c r="BG225" i="9"/>
  <c r="AQ223" i="9"/>
  <c r="AV221" i="9"/>
  <c r="AW219" i="9"/>
  <c r="BA217" i="9"/>
  <c r="BI215" i="9"/>
  <c r="BL213" i="9"/>
  <c r="A212" i="9"/>
  <c r="BQ209" i="9"/>
  <c r="AS208" i="9"/>
  <c r="AU207" i="9"/>
  <c r="AU206" i="9"/>
  <c r="BA205" i="9"/>
  <c r="AW204" i="9"/>
  <c r="AW203" i="9"/>
  <c r="AW202" i="9"/>
  <c r="BC201" i="9"/>
  <c r="BF200" i="9"/>
  <c r="BL199" i="9"/>
  <c r="BM198" i="9"/>
  <c r="BE197" i="9"/>
  <c r="BE196" i="9"/>
  <c r="BF195" i="9"/>
  <c r="AS194" i="9"/>
  <c r="AU193" i="9"/>
  <c r="AY192" i="9"/>
  <c r="AZ191" i="9"/>
  <c r="AV190" i="9"/>
  <c r="AW189" i="9"/>
  <c r="BD188" i="9"/>
  <c r="BE187" i="9"/>
  <c r="BH186" i="9"/>
  <c r="BH185" i="9"/>
  <c r="BG184" i="9"/>
  <c r="BG183" i="9"/>
  <c r="BR182" i="9"/>
  <c r="BL181" i="9"/>
  <c r="BA180" i="9"/>
  <c r="BE179" i="9"/>
  <c r="BD178" i="9"/>
  <c r="BG177" i="9"/>
  <c r="BI176" i="9"/>
  <c r="BA175" i="9"/>
  <c r="AS174" i="9"/>
  <c r="AT173" i="9"/>
  <c r="AS172" i="9"/>
  <c r="AR171" i="9"/>
  <c r="T326" i="9"/>
  <c r="I344" i="9"/>
  <c r="BF343" i="9"/>
  <c r="BG290" i="9"/>
  <c r="AM290" i="9"/>
  <c r="AB290" i="9"/>
  <c r="O290" i="9"/>
  <c r="AJ307" i="9"/>
  <c r="F289" i="9"/>
  <c r="G277" i="9"/>
  <c r="H268" i="9"/>
  <c r="BX345" i="9"/>
  <c r="AH316" i="9"/>
  <c r="AP308" i="9"/>
  <c r="AO300" i="9"/>
  <c r="N292" i="9"/>
  <c r="Z284" i="9"/>
  <c r="BY275" i="9"/>
  <c r="BH267" i="9"/>
  <c r="BJ342" i="9"/>
  <c r="H316" i="9"/>
  <c r="M308" i="9"/>
  <c r="A300" i="9"/>
  <c r="BL291" i="9"/>
  <c r="BT283" i="9"/>
  <c r="AM275" i="9"/>
  <c r="Z267" i="9"/>
  <c r="AO290" i="9"/>
  <c r="BH259" i="9"/>
  <c r="AD251" i="9"/>
  <c r="AR243" i="9"/>
  <c r="AH235" i="9"/>
  <c r="AP227" i="9"/>
  <c r="AF219" i="9"/>
  <c r="BJ211" i="9"/>
  <c r="AJ282" i="9"/>
  <c r="BE258" i="9"/>
  <c r="AD250" i="9"/>
  <c r="AV242" i="9"/>
  <c r="AM234" i="9"/>
  <c r="BE266" i="9"/>
  <c r="BA256" i="9"/>
  <c r="AJ248" i="9"/>
  <c r="BK240" i="9"/>
  <c r="AS232" i="9"/>
  <c r="J297" i="9"/>
  <c r="AT260" i="9"/>
  <c r="O254" i="9"/>
  <c r="P250" i="9"/>
  <c r="Z246" i="9"/>
  <c r="AL242" i="9"/>
  <c r="AF238" i="9"/>
  <c r="AA234" i="9"/>
  <c r="X230" i="9"/>
  <c r="AE226" i="9"/>
  <c r="R222" i="9"/>
  <c r="W218" i="9"/>
  <c r="AE214" i="9"/>
  <c r="AH210" i="9"/>
  <c r="AJ312" i="9"/>
  <c r="J280" i="9"/>
  <c r="AC262" i="9"/>
  <c r="AB258" i="9"/>
  <c r="D254" i="9"/>
  <c r="E250" i="9"/>
  <c r="L246" i="9"/>
  <c r="AB242" i="9"/>
  <c r="AZ238" i="9"/>
  <c r="D236" i="9"/>
  <c r="L233" i="9"/>
  <c r="AQ230" i="9"/>
  <c r="H228" i="9"/>
  <c r="R225" i="9"/>
  <c r="AI222" i="9"/>
  <c r="BV219" i="9"/>
  <c r="M217" i="9"/>
  <c r="AU214" i="9"/>
  <c r="AA212" i="9"/>
  <c r="AU368" i="9"/>
  <c r="K306" i="9"/>
  <c r="BT286" i="9"/>
  <c r="AU270" i="9"/>
  <c r="AK263" i="9"/>
  <c r="R262" i="9"/>
  <c r="BS260" i="9"/>
  <c r="BB259" i="9"/>
  <c r="N258" i="9"/>
  <c r="BI256" i="9"/>
  <c r="AI255" i="9"/>
  <c r="BQ253" i="9"/>
  <c r="AM252" i="9"/>
  <c r="W251" i="9"/>
  <c r="BS249" i="9"/>
  <c r="BK248" i="9"/>
  <c r="BD247" i="9"/>
  <c r="BH246" i="9"/>
  <c r="BI245" i="9"/>
  <c r="BL244" i="9"/>
  <c r="BO243" i="9"/>
  <c r="BS242" i="9"/>
  <c r="BX241" i="9"/>
  <c r="A241" i="9"/>
  <c r="A240" i="9"/>
  <c r="BV238" i="9"/>
  <c r="BQ237" i="9"/>
  <c r="BG236" i="9"/>
  <c r="BF235" i="9"/>
  <c r="BJ234" i="9"/>
  <c r="BJ233" i="9"/>
  <c r="BI232" i="9"/>
  <c r="BJ231" i="9"/>
  <c r="BK230" i="9"/>
  <c r="BL229" i="9"/>
  <c r="BL228" i="9"/>
  <c r="AZ342" i="9"/>
  <c r="G316" i="9"/>
  <c r="L308" i="9"/>
  <c r="BY299" i="9"/>
  <c r="BK291" i="9"/>
  <c r="BS283" i="9"/>
  <c r="AL275" i="9"/>
  <c r="W267" i="9"/>
  <c r="BA263" i="9"/>
  <c r="BL262" i="9"/>
  <c r="BQ261" i="9"/>
  <c r="BR260" i="9"/>
  <c r="BU259" i="9"/>
  <c r="BT258" i="9"/>
  <c r="BH257" i="9"/>
  <c r="BH256" i="9"/>
  <c r="BE255" i="9"/>
  <c r="AV254" i="9"/>
  <c r="AO253" i="9"/>
  <c r="AL252" i="9"/>
  <c r="AQ251" i="9"/>
  <c r="AQ250" i="9"/>
  <c r="AQ249" i="9"/>
  <c r="AO248" i="9"/>
  <c r="AS247" i="9"/>
  <c r="AV246" i="9"/>
  <c r="AW245" i="9"/>
  <c r="AZ244" i="9"/>
  <c r="BE243" i="9"/>
  <c r="BJ242" i="9"/>
  <c r="BM241" i="9"/>
  <c r="BP240" i="9"/>
  <c r="BO239" i="9"/>
  <c r="BK238" i="9"/>
  <c r="BA237" i="9"/>
  <c r="AU236" i="9"/>
  <c r="AS235" i="9"/>
  <c r="AZ234" i="9"/>
  <c r="AV233" i="9"/>
  <c r="BT333" i="9"/>
  <c r="B315" i="9"/>
  <c r="C307" i="9"/>
  <c r="BG298" i="9"/>
  <c r="AW290" i="9"/>
  <c r="BH282" i="9"/>
  <c r="AD274" i="9"/>
  <c r="BX265" i="9"/>
  <c r="AQ263" i="9"/>
  <c r="BB262" i="9"/>
  <c r="BE261" i="9"/>
  <c r="BI260" i="9"/>
  <c r="BK259" i="9"/>
  <c r="BH258" i="9"/>
  <c r="AT257" i="9"/>
  <c r="AT256" i="9"/>
  <c r="AR255" i="9"/>
  <c r="AM254" i="9"/>
  <c r="AD253" i="9"/>
  <c r="AB252" i="9"/>
  <c r="AE251" i="9"/>
  <c r="AF250" i="9"/>
  <c r="AF249" i="9"/>
  <c r="AE248" i="9"/>
  <c r="AH247" i="9"/>
  <c r="AM246" i="9"/>
  <c r="AN245" i="9"/>
  <c r="AO244" i="9"/>
  <c r="AS243" i="9"/>
  <c r="AY242" i="9"/>
  <c r="BC241" i="9"/>
  <c r="BA240" i="9"/>
  <c r="AW239" i="9"/>
  <c r="AU238" i="9"/>
  <c r="AP237" i="9"/>
  <c r="AL236" i="9"/>
  <c r="AI235" i="9"/>
  <c r="AO234" i="9"/>
  <c r="AJ233" i="9"/>
  <c r="AN232" i="9"/>
  <c r="AO231" i="9"/>
  <c r="AL230" i="9"/>
  <c r="AO229" i="9"/>
  <c r="AO228" i="9"/>
  <c r="AQ227" i="9"/>
  <c r="AS226" i="9"/>
  <c r="AQ225" i="9"/>
  <c r="AM224" i="9"/>
  <c r="AB223" i="9"/>
  <c r="AF222" i="9"/>
  <c r="AF221" i="9"/>
  <c r="AM220" i="9"/>
  <c r="AG219" i="9"/>
  <c r="AL218" i="9"/>
  <c r="AL217" i="9"/>
  <c r="AO216" i="9"/>
  <c r="AS215" i="9"/>
  <c r="AR214" i="9"/>
  <c r="AW213" i="9"/>
  <c r="BI212" i="9"/>
  <c r="BK211" i="9"/>
  <c r="AU210" i="9"/>
  <c r="AW209" i="9"/>
  <c r="R231" i="9"/>
  <c r="BR227" i="9"/>
  <c r="BQ225" i="9"/>
  <c r="BA223" i="9"/>
  <c r="BI221" i="9"/>
  <c r="BH219" i="9"/>
  <c r="BL217" i="9"/>
  <c r="BQ215" i="9"/>
  <c r="BT213" i="9"/>
  <c r="J212" i="9"/>
  <c r="A210" i="9"/>
  <c r="AY208" i="9"/>
  <c r="AZ207" i="9"/>
  <c r="BA206" i="9"/>
  <c r="BG205" i="9"/>
  <c r="BC204" i="9"/>
  <c r="BE203" i="9"/>
  <c r="BE202" i="9"/>
  <c r="BH201" i="9"/>
  <c r="BK200" i="9"/>
  <c r="BP199" i="9"/>
  <c r="BQ198" i="9"/>
  <c r="BL197" i="9"/>
  <c r="BK196" i="9"/>
  <c r="BK195" i="9"/>
  <c r="AW194" i="9"/>
  <c r="BA193" i="9"/>
  <c r="BE192" i="9"/>
  <c r="BF191" i="9"/>
  <c r="BA190" i="9"/>
  <c r="BD189" i="9"/>
  <c r="BH188" i="9"/>
  <c r="BJ187" i="9"/>
  <c r="BL186" i="9"/>
  <c r="BL185" i="9"/>
  <c r="BK184" i="9"/>
  <c r="BL183" i="9"/>
  <c r="BV182" i="9"/>
  <c r="BU181" i="9"/>
  <c r="BF180" i="9"/>
  <c r="BI179" i="9"/>
  <c r="BK178" i="9"/>
  <c r="BK177" i="9"/>
  <c r="BM176" i="9"/>
  <c r="BF175" i="9"/>
  <c r="AW174" i="9"/>
  <c r="AZ173" i="9"/>
  <c r="AW172" i="9"/>
  <c r="AV171" i="9"/>
  <c r="AZ170" i="9"/>
  <c r="AZ169" i="9"/>
  <c r="AW168" i="9"/>
  <c r="AG167" i="9"/>
  <c r="V166" i="9"/>
  <c r="Z165" i="9"/>
  <c r="AF164" i="9"/>
  <c r="AI163" i="9"/>
  <c r="AN162" i="9"/>
  <c r="AE161" i="9"/>
  <c r="AB160" i="9"/>
  <c r="AB159" i="9"/>
  <c r="P158" i="9"/>
  <c r="W157" i="9"/>
  <c r="BY233" i="9"/>
  <c r="AZ229" i="9"/>
  <c r="J227" i="9"/>
  <c r="I225" i="9"/>
  <c r="BQ222" i="9"/>
  <c r="BY220" i="9"/>
  <c r="A219" i="9"/>
  <c r="D217" i="9"/>
  <c r="G215" i="9"/>
  <c r="S213" i="9"/>
  <c r="O211" i="9"/>
  <c r="W209" i="9"/>
  <c r="V208" i="9"/>
  <c r="Z207" i="9"/>
  <c r="X206" i="9"/>
  <c r="AB205" i="9"/>
  <c r="AB204" i="9"/>
  <c r="AA203" i="9"/>
  <c r="AA202" i="9"/>
  <c r="AD201" i="9"/>
  <c r="AI200" i="9"/>
  <c r="AM199" i="9"/>
  <c r="AO198" i="9"/>
  <c r="AE197" i="9"/>
  <c r="AF196" i="9"/>
  <c r="AA195" i="9"/>
  <c r="V194" i="9"/>
  <c r="W193" i="9"/>
  <c r="AB192" i="9"/>
  <c r="X191" i="9"/>
  <c r="V190" i="9"/>
  <c r="AA189" i="9"/>
  <c r="AE188" i="9"/>
  <c r="AE187" i="9"/>
  <c r="AH186" i="9"/>
  <c r="AF185" i="9"/>
  <c r="AG184" i="9"/>
  <c r="AK183" i="9"/>
  <c r="AO182" i="9"/>
  <c r="AL181" i="9"/>
  <c r="AB180" i="9"/>
  <c r="AF179" i="9"/>
  <c r="AE178" i="9"/>
  <c r="AG177" i="9"/>
  <c r="AC176" i="9"/>
  <c r="AB175" i="9"/>
  <c r="U174" i="9"/>
  <c r="U173" i="9"/>
  <c r="U172" i="9"/>
  <c r="S171" i="9"/>
  <c r="U170" i="9"/>
  <c r="I231" i="9"/>
  <c r="BM227" i="9"/>
  <c r="BL225" i="9"/>
  <c r="AU223" i="9"/>
  <c r="BD221" i="9"/>
  <c r="BD219" i="9"/>
  <c r="BH217" i="9"/>
  <c r="BM215" i="9"/>
  <c r="BP213" i="9"/>
  <c r="E212" i="9"/>
  <c r="BU209" i="9"/>
  <c r="AU208" i="9"/>
  <c r="AW207" i="9"/>
  <c r="AW206" i="9"/>
  <c r="BE205" i="9"/>
  <c r="AZ204" i="9"/>
  <c r="BA203" i="9"/>
  <c r="BA202" i="9"/>
  <c r="BF201" i="9"/>
  <c r="BI200" i="9"/>
  <c r="BN199" i="9"/>
  <c r="BO198" i="9"/>
  <c r="BH197" i="9"/>
  <c r="BG196" i="9"/>
  <c r="BI195" i="9"/>
  <c r="AU194" i="9"/>
  <c r="AW193" i="9"/>
  <c r="BA192" i="9"/>
  <c r="BD191" i="9"/>
  <c r="AY190" i="9"/>
  <c r="AZ189" i="9"/>
  <c r="BF188" i="9"/>
  <c r="BH187" i="9"/>
  <c r="BJ186" i="9"/>
  <c r="BJ185" i="9"/>
  <c r="BI184" i="9"/>
  <c r="BJ183" i="9"/>
  <c r="BT182" i="9"/>
  <c r="BO181" i="9"/>
  <c r="BC180" i="9"/>
  <c r="BG179" i="9"/>
  <c r="BG178" i="9"/>
  <c r="BI177" i="9"/>
  <c r="BK176" i="9"/>
  <c r="BC175" i="9"/>
  <c r="AU174" i="9"/>
  <c r="AV173" i="9"/>
  <c r="AU172" i="9"/>
  <c r="AT171" i="9"/>
  <c r="AV170" i="9"/>
  <c r="AV169" i="9"/>
  <c r="AU168" i="9"/>
  <c r="B231" i="9"/>
  <c r="BJ227" i="9"/>
  <c r="BI225" i="9"/>
  <c r="AR223" i="9"/>
  <c r="AW221" i="9"/>
  <c r="AY219" i="9"/>
  <c r="BD217" i="9"/>
  <c r="BJ215" i="9"/>
  <c r="BM213" i="9"/>
  <c r="B212" i="9"/>
  <c r="BR209" i="9"/>
  <c r="AT208" i="9"/>
  <c r="AV207" i="9"/>
  <c r="AV206" i="9"/>
  <c r="BD205" i="9"/>
  <c r="AX204" i="9"/>
  <c r="AZ203" i="9"/>
  <c r="AZ202" i="9"/>
  <c r="BD201" i="9"/>
  <c r="BG200" i="9"/>
  <c r="BM199" i="9"/>
  <c r="BN198" i="9"/>
  <c r="BF197" i="9"/>
  <c r="BF196" i="9"/>
  <c r="BH195" i="9"/>
  <c r="AT194" i="9"/>
  <c r="AV193" i="9"/>
  <c r="AZ192" i="9"/>
  <c r="BA191" i="9"/>
  <c r="AW190" i="9"/>
  <c r="AY189" i="9"/>
  <c r="BE188" i="9"/>
  <c r="BF187" i="9"/>
  <c r="BI186" i="9"/>
  <c r="BI185" i="9"/>
  <c r="BH184" i="9"/>
  <c r="BI183" i="9"/>
  <c r="BS182" i="9"/>
  <c r="BN181" i="9"/>
  <c r="BB180" i="9"/>
  <c r="BF179" i="9"/>
  <c r="BF178" i="9"/>
  <c r="BH177" i="9"/>
  <c r="BJ176" i="9"/>
  <c r="BB175" i="9"/>
  <c r="AT174" i="9"/>
  <c r="AU173" i="9"/>
  <c r="AT172" i="9"/>
  <c r="AS171" i="9"/>
  <c r="AU170" i="9"/>
  <c r="AU169" i="9"/>
  <c r="AT168" i="9"/>
  <c r="AA167" i="9"/>
  <c r="R166" i="9"/>
  <c r="W165" i="9"/>
  <c r="AC164" i="9"/>
  <c r="AF163" i="9"/>
  <c r="AG162" i="9"/>
  <c r="AB161" i="9"/>
  <c r="X160" i="9"/>
  <c r="W159" i="9"/>
  <c r="M158" i="9"/>
  <c r="T157" i="9"/>
  <c r="AI230" i="9"/>
  <c r="AN227" i="9"/>
  <c r="AN225" i="9"/>
  <c r="W223" i="9"/>
  <c r="AC221" i="9"/>
  <c r="AD219" i="9"/>
  <c r="AH217" i="9"/>
  <c r="AN215" i="9"/>
  <c r="AT213" i="9"/>
  <c r="BH211" i="9"/>
  <c r="AT209" i="9"/>
  <c r="AJ208" i="9"/>
  <c r="AM207" i="9"/>
  <c r="AM206" i="9"/>
  <c r="AR205" i="9"/>
  <c r="AO204" i="9"/>
  <c r="AO203" i="9"/>
  <c r="AO202" i="9"/>
  <c r="AS201" i="9"/>
  <c r="AV200" i="9"/>
  <c r="BB199" i="9"/>
  <c r="BD198" i="9"/>
  <c r="AS197" i="9"/>
  <c r="AT196" i="9"/>
  <c r="AT195" i="9"/>
  <c r="AK194" i="9"/>
  <c r="AM193" i="9"/>
  <c r="AP192" i="9"/>
  <c r="AP191" i="9"/>
  <c r="AL190" i="9"/>
  <c r="AO189" i="9"/>
  <c r="AS188" i="9"/>
  <c r="AS187" i="9"/>
  <c r="AW186" i="9"/>
  <c r="AU185" i="9"/>
  <c r="AV184" i="9"/>
  <c r="AX183" i="9"/>
  <c r="BH182" i="9"/>
  <c r="BA181" i="9"/>
  <c r="AQ180" i="9"/>
  <c r="AT179" i="9"/>
  <c r="AT178" i="9"/>
  <c r="AV177" i="9"/>
  <c r="AV176" i="9"/>
  <c r="AQ175" i="9"/>
  <c r="AJ174" i="9"/>
  <c r="AL173" i="9"/>
  <c r="AJ172" i="9"/>
  <c r="AI171" i="9"/>
  <c r="AL170" i="9"/>
  <c r="AL169" i="9"/>
  <c r="AJ168" i="9"/>
  <c r="L167" i="9"/>
  <c r="I166" i="9"/>
  <c r="M165" i="9"/>
  <c r="R164" i="9"/>
  <c r="V163" i="9"/>
  <c r="P162" i="9"/>
  <c r="O161" i="9"/>
  <c r="L160" i="9"/>
  <c r="AE424" i="9"/>
  <c r="Z336" i="9"/>
  <c r="BV335" i="9"/>
  <c r="BQ282" i="9"/>
  <c r="AS282" i="9"/>
  <c r="AG282" i="9"/>
  <c r="V282" i="9"/>
  <c r="AA303" i="9"/>
  <c r="H287" i="9"/>
  <c r="AO275" i="9"/>
  <c r="C267" i="9"/>
  <c r="BY337" i="9"/>
  <c r="AM315" i="9"/>
  <c r="AQ307" i="9"/>
  <c r="R299" i="9"/>
  <c r="O291" i="9"/>
  <c r="Z283" i="9"/>
  <c r="BR274" i="9"/>
  <c r="AU266" i="9"/>
  <c r="D335" i="9"/>
  <c r="K315" i="9"/>
  <c r="L307" i="9"/>
  <c r="BP298" i="9"/>
  <c r="BK290" i="9"/>
  <c r="BS282" i="9"/>
  <c r="AO274" i="9"/>
  <c r="J266" i="9"/>
  <c r="AU282" i="9"/>
  <c r="BF258" i="9"/>
  <c r="AE250" i="9"/>
  <c r="AW242" i="9"/>
  <c r="AN234" i="9"/>
  <c r="AR226" i="9"/>
  <c r="AJ218" i="9"/>
  <c r="AT210" i="9"/>
  <c r="K274" i="9"/>
  <c r="AR257" i="9"/>
  <c r="AD249" i="9"/>
  <c r="BA241" i="9"/>
  <c r="BG338" i="9"/>
  <c r="AV263" i="9"/>
  <c r="AW255" i="9"/>
  <c r="AO247" i="9"/>
  <c r="BF239" i="9"/>
  <c r="AT231" i="9"/>
  <c r="L289" i="9"/>
  <c r="AT259" i="9"/>
  <c r="E254" i="9"/>
  <c r="F250" i="9"/>
  <c r="M246" i="9"/>
  <c r="AC242" i="9"/>
  <c r="V238" i="9"/>
  <c r="P234" i="9"/>
  <c r="O230" i="9"/>
  <c r="V226" i="9"/>
  <c r="I222" i="9"/>
  <c r="M218" i="9"/>
  <c r="V214" i="9"/>
  <c r="Z210" i="9"/>
  <c r="AL311" i="9"/>
  <c r="E279" i="9"/>
  <c r="T262" i="9"/>
  <c r="O258" i="9"/>
  <c r="BR253" i="9"/>
  <c r="BT249" i="9"/>
  <c r="C246" i="9"/>
  <c r="P242" i="9"/>
  <c r="U238" i="9"/>
  <c r="AM235" i="9"/>
  <c r="C233" i="9"/>
  <c r="N230" i="9"/>
  <c r="AT227" i="9"/>
  <c r="J225" i="9"/>
  <c r="H222" i="9"/>
  <c r="AJ219" i="9"/>
  <c r="E217" i="9"/>
  <c r="U214" i="9"/>
  <c r="BP211" i="9"/>
  <c r="AI359" i="9"/>
  <c r="N303" i="9"/>
  <c r="C286" i="9"/>
  <c r="AH269" i="9"/>
  <c r="U263" i="9"/>
  <c r="J262" i="9"/>
  <c r="BK260" i="9"/>
  <c r="AH259" i="9"/>
  <c r="D258" i="9"/>
  <c r="AV256" i="9"/>
  <c r="O255" i="9"/>
  <c r="BI253" i="9"/>
  <c r="AD252" i="9"/>
  <c r="E251" i="9"/>
  <c r="BK249" i="9"/>
  <c r="AP248" i="9"/>
  <c r="AT247" i="9"/>
  <c r="AW246" i="9"/>
  <c r="AY245" i="9"/>
  <c r="BA244" i="9"/>
  <c r="BF243" i="9"/>
  <c r="BK242" i="9"/>
  <c r="BN241" i="9"/>
  <c r="BQ240" i="9"/>
  <c r="BP239" i="9"/>
  <c r="BL238" i="9"/>
  <c r="BD237" i="9"/>
  <c r="AV236" i="9"/>
  <c r="AT235" i="9"/>
  <c r="BA234" i="9"/>
  <c r="AW233" i="9"/>
  <c r="AZ232" i="9"/>
  <c r="BA231" i="9"/>
  <c r="AY230" i="9"/>
  <c r="BA229" i="9"/>
  <c r="BA228" i="9"/>
  <c r="BT334" i="9"/>
  <c r="J315" i="9"/>
  <c r="K307" i="9"/>
  <c r="BO298" i="9"/>
  <c r="BH290" i="9"/>
  <c r="BR282" i="9"/>
  <c r="AN274" i="9"/>
  <c r="I266" i="9"/>
  <c r="AR263" i="9"/>
  <c r="BC262" i="9"/>
  <c r="BF261" i="9"/>
  <c r="BJ260" i="9"/>
  <c r="BL259" i="9"/>
  <c r="BK258" i="9"/>
  <c r="AU257" i="9"/>
  <c r="AU256" i="9"/>
  <c r="AS255" i="9"/>
  <c r="AN254" i="9"/>
  <c r="AE253" i="9"/>
  <c r="AC252" i="9"/>
  <c r="AF251" i="9"/>
  <c r="AG250" i="9"/>
  <c r="AG249" i="9"/>
  <c r="AF248" i="9"/>
  <c r="AI247" i="9"/>
  <c r="AN246" i="9"/>
  <c r="AO245" i="9"/>
  <c r="AP244" i="9"/>
  <c r="AT243" i="9"/>
  <c r="AZ242" i="9"/>
  <c r="BD241" i="9"/>
  <c r="BD240" i="9"/>
  <c r="AZ239" i="9"/>
  <c r="AV238" i="9"/>
  <c r="AQ237" i="9"/>
  <c r="AM236" i="9"/>
  <c r="AJ235" i="9"/>
  <c r="AP234" i="9"/>
  <c r="AL233" i="9"/>
  <c r="BH326" i="9"/>
  <c r="E314" i="9"/>
  <c r="BS305" i="9"/>
  <c r="AS297" i="9"/>
  <c r="AU289" i="9"/>
  <c r="BG281" i="9"/>
  <c r="AD273" i="9"/>
  <c r="A265" i="9"/>
  <c r="AI263" i="9"/>
  <c r="AR262" i="9"/>
  <c r="AT261" i="9"/>
  <c r="AY260" i="9"/>
  <c r="AZ259" i="9"/>
  <c r="AU258" i="9"/>
  <c r="AI257" i="9"/>
  <c r="AL256" i="9"/>
  <c r="AG255" i="9"/>
  <c r="W254" i="9"/>
  <c r="T253" i="9"/>
  <c r="Q252" i="9"/>
  <c r="U251" i="9"/>
  <c r="V250" i="9"/>
  <c r="V249" i="9"/>
  <c r="U248" i="9"/>
  <c r="Z247" i="9"/>
  <c r="AD246" i="9"/>
  <c r="AE245" i="9"/>
  <c r="AF244" i="9"/>
  <c r="AJ243" i="9"/>
  <c r="AP242" i="9"/>
  <c r="AS241" i="9"/>
  <c r="AQ240" i="9"/>
  <c r="AO239" i="9"/>
  <c r="AJ238" i="9"/>
  <c r="AG237" i="9"/>
  <c r="AC236" i="9"/>
  <c r="AA235" i="9"/>
  <c r="AE234" i="9"/>
  <c r="AB233" i="9"/>
  <c r="AD232" i="9"/>
  <c r="AE231" i="9"/>
  <c r="AC230" i="9"/>
  <c r="AF229" i="9"/>
  <c r="AF228" i="9"/>
  <c r="AH227" i="9"/>
  <c r="AI226" i="9"/>
  <c r="AG225" i="9"/>
  <c r="R224" i="9"/>
  <c r="P223" i="9"/>
  <c r="W222" i="9"/>
  <c r="W221" i="9"/>
  <c r="Z220" i="9"/>
  <c r="X219" i="9"/>
  <c r="AC218" i="9"/>
  <c r="AC217" i="9"/>
  <c r="AE216" i="9"/>
  <c r="AH215" i="9"/>
  <c r="AI214" i="9"/>
  <c r="AO213" i="9"/>
  <c r="AZ212" i="9"/>
  <c r="AZ211" i="9"/>
  <c r="AM210" i="9"/>
  <c r="AO209" i="9"/>
  <c r="BE230" i="9"/>
  <c r="AV227" i="9"/>
  <c r="AV225" i="9"/>
  <c r="AG223" i="9"/>
  <c r="AL221" i="9"/>
  <c r="AM219" i="9"/>
  <c r="AQ217" i="9"/>
  <c r="AY215" i="9"/>
  <c r="BC213" i="9"/>
  <c r="BR211" i="9"/>
  <c r="BF209" i="9"/>
  <c r="AO208" i="9"/>
  <c r="AQ207" i="9"/>
  <c r="AQ206" i="9"/>
  <c r="AV205" i="9"/>
  <c r="AS204" i="9"/>
  <c r="AS203" i="9"/>
  <c r="AS202" i="9"/>
  <c r="AW201" i="9"/>
  <c r="BA200" i="9"/>
  <c r="BG199" i="9"/>
  <c r="BI198" i="9"/>
  <c r="AW197" i="9"/>
  <c r="AY196" i="9"/>
  <c r="AZ195" i="9"/>
  <c r="AO194" i="9"/>
  <c r="AQ193" i="9"/>
  <c r="AT192" i="9"/>
  <c r="AT191" i="9"/>
  <c r="AR190" i="9"/>
  <c r="AS189" i="9"/>
  <c r="AW188" i="9"/>
  <c r="AW187" i="9"/>
  <c r="BC186" i="9"/>
  <c r="BA185" i="9"/>
  <c r="BB184" i="9"/>
  <c r="BC183" i="9"/>
  <c r="BL182" i="9"/>
  <c r="BH181" i="9"/>
  <c r="AU180" i="9"/>
  <c r="AY179" i="9"/>
  <c r="AZ178" i="9"/>
  <c r="BB177" i="9"/>
  <c r="BD176" i="9"/>
  <c r="AU175" i="9"/>
  <c r="AO174" i="9"/>
  <c r="AP173" i="9"/>
  <c r="AO172" i="9"/>
  <c r="AN171" i="9"/>
  <c r="AP170" i="9"/>
  <c r="AP169" i="9"/>
  <c r="AO168" i="9"/>
  <c r="P167" i="9"/>
  <c r="M166" i="9"/>
  <c r="R165" i="9"/>
  <c r="W164" i="9"/>
  <c r="AA163" i="9"/>
  <c r="Z162" i="9"/>
  <c r="U161" i="9"/>
  <c r="P160" i="9"/>
  <c r="R159" i="9"/>
  <c r="G158" i="9"/>
  <c r="M157" i="9"/>
  <c r="J233" i="9"/>
  <c r="O229" i="9"/>
  <c r="BP226" i="9"/>
  <c r="BK224" i="9"/>
  <c r="AX222" i="9"/>
  <c r="BH220" i="9"/>
  <c r="BG218" i="9"/>
  <c r="BJ216" i="9"/>
  <c r="BO214" i="9"/>
  <c r="C213" i="9"/>
  <c r="BT210" i="9"/>
  <c r="L209" i="9"/>
  <c r="K208" i="9"/>
  <c r="O207" i="9"/>
  <c r="M206" i="9"/>
  <c r="P205" i="9"/>
  <c r="R204" i="9"/>
  <c r="P203" i="9"/>
  <c r="P202" i="9"/>
  <c r="U201" i="9"/>
  <c r="AA200" i="9"/>
  <c r="AC199" i="9"/>
  <c r="AA198" i="9"/>
  <c r="U197" i="9"/>
  <c r="V196" i="9"/>
  <c r="L195" i="9"/>
  <c r="L194" i="9"/>
  <c r="N193" i="9"/>
  <c r="R192" i="9"/>
  <c r="L191" i="9"/>
  <c r="L190" i="9"/>
  <c r="P189" i="9"/>
  <c r="U188" i="9"/>
  <c r="V187" i="9"/>
  <c r="Z186" i="9"/>
  <c r="W185" i="9"/>
  <c r="X184" i="9"/>
  <c r="AC183" i="9"/>
  <c r="AF182" i="9"/>
  <c r="O181" i="9"/>
  <c r="R180" i="9"/>
  <c r="V179" i="9"/>
  <c r="U178" i="9"/>
  <c r="X177" i="9"/>
  <c r="O176" i="9"/>
  <c r="P175" i="9"/>
  <c r="K174" i="9"/>
  <c r="L173" i="9"/>
  <c r="L172" i="9"/>
  <c r="K171" i="9"/>
  <c r="K170" i="9"/>
  <c r="AT230" i="9"/>
  <c r="AR227" i="9"/>
  <c r="AR225" i="9"/>
  <c r="AC223" i="9"/>
  <c r="AG221" i="9"/>
  <c r="AH219" i="9"/>
  <c r="AM217" i="9"/>
  <c r="AT215" i="9"/>
  <c r="AX213" i="9"/>
  <c r="BL211" i="9"/>
  <c r="AZ209" i="9"/>
  <c r="AM208" i="9"/>
  <c r="AO207" i="9"/>
  <c r="AO206" i="9"/>
  <c r="AT205" i="9"/>
  <c r="AQ204" i="9"/>
  <c r="AQ203" i="9"/>
  <c r="AQ202" i="9"/>
  <c r="AU201" i="9"/>
  <c r="AX200" i="9"/>
  <c r="BD199" i="9"/>
  <c r="BG198" i="9"/>
  <c r="AU197" i="9"/>
  <c r="AV196" i="9"/>
  <c r="AV195" i="9"/>
  <c r="AM194" i="9"/>
  <c r="AO193" i="9"/>
  <c r="AR192" i="9"/>
  <c r="AR191" i="9"/>
  <c r="AN190" i="9"/>
  <c r="AQ189" i="9"/>
  <c r="AU188" i="9"/>
  <c r="AU187" i="9"/>
  <c r="BA186" i="9"/>
  <c r="AW185" i="9"/>
  <c r="AZ184" i="9"/>
  <c r="AZ183" i="9"/>
  <c r="BJ182" i="9"/>
  <c r="BD181" i="9"/>
  <c r="AS180" i="9"/>
  <c r="AV179" i="9"/>
  <c r="AV178" i="9"/>
  <c r="AZ177" i="9"/>
  <c r="AZ176" i="9"/>
  <c r="AS175" i="9"/>
  <c r="AM174" i="9"/>
  <c r="AN173" i="9"/>
  <c r="AM172" i="9"/>
  <c r="AL171" i="9"/>
  <c r="AN170" i="9"/>
  <c r="AN169" i="9"/>
  <c r="AM168" i="9"/>
  <c r="AM230" i="9"/>
  <c r="AO227" i="9"/>
  <c r="AO225" i="9"/>
  <c r="Z223" i="9"/>
  <c r="AD221" i="9"/>
  <c r="AE219" i="9"/>
  <c r="AI217" i="9"/>
  <c r="AQ215" i="9"/>
  <c r="AU213" i="9"/>
  <c r="BI211" i="9"/>
  <c r="AU209" i="9"/>
  <c r="AL208" i="9"/>
  <c r="AN207" i="9"/>
  <c r="AN206" i="9"/>
  <c r="AS205" i="9"/>
  <c r="AP204" i="9"/>
  <c r="AP203" i="9"/>
  <c r="AP202" i="9"/>
  <c r="AT201" i="9"/>
  <c r="AW200" i="9"/>
  <c r="BC199" i="9"/>
  <c r="BF198" i="9"/>
  <c r="AT197" i="9"/>
  <c r="AU196" i="9"/>
  <c r="AU195" i="9"/>
  <c r="AL194" i="9"/>
  <c r="AN193" i="9"/>
  <c r="AQ192" i="9"/>
  <c r="AQ191" i="9"/>
  <c r="AM190" i="9"/>
  <c r="AP189" i="9"/>
  <c r="AT188" i="9"/>
  <c r="AT187" i="9"/>
  <c r="AZ186" i="9"/>
  <c r="AV185" i="9"/>
  <c r="AW184" i="9"/>
  <c r="AY183" i="9"/>
  <c r="BI182" i="9"/>
  <c r="BC181" i="9"/>
  <c r="AR180" i="9"/>
  <c r="AU179" i="9"/>
  <c r="AU178" i="9"/>
  <c r="AW177" i="9"/>
  <c r="AW176" i="9"/>
  <c r="AR175" i="9"/>
  <c r="AL174" i="9"/>
  <c r="AM173" i="9"/>
  <c r="AL172" i="9"/>
  <c r="AJ171" i="9"/>
  <c r="AM170" i="9"/>
  <c r="AM169" i="9"/>
  <c r="AL168" i="9"/>
  <c r="M167" i="9"/>
  <c r="J166" i="9"/>
  <c r="N165" i="9"/>
  <c r="T164" i="9"/>
  <c r="W163" i="9"/>
  <c r="Q162" i="9"/>
  <c r="P161" i="9"/>
  <c r="M160" i="9"/>
  <c r="M159" i="9"/>
  <c r="D158" i="9"/>
  <c r="J157" i="9"/>
  <c r="A230" i="9"/>
  <c r="V227" i="9"/>
  <c r="U225" i="9"/>
  <c r="E223" i="9"/>
  <c r="K221" i="9"/>
  <c r="L219" i="9"/>
  <c r="O217" i="9"/>
  <c r="V215" i="9"/>
  <c r="AD213" i="9"/>
  <c r="AM211" i="9"/>
  <c r="AE209" i="9"/>
  <c r="AB208" i="9"/>
  <c r="AE207" i="9"/>
  <c r="AD206" i="9"/>
  <c r="AG205" i="9"/>
  <c r="AG204" i="9"/>
  <c r="AF203" i="9"/>
  <c r="AF202" i="9"/>
  <c r="AI201" i="9"/>
  <c r="AN200" i="9"/>
  <c r="AR199" i="9"/>
  <c r="AT198" i="9"/>
  <c r="AJ197" i="9"/>
  <c r="AL196" i="9"/>
  <c r="AL195" i="9"/>
  <c r="AC194" i="9"/>
  <c r="AC193" i="9"/>
  <c r="AG192" i="9"/>
  <c r="AE191" i="9"/>
  <c r="AC190" i="9"/>
  <c r="AF189" i="9"/>
  <c r="AJ188" i="9"/>
  <c r="AJ187" i="9"/>
  <c r="AO186" i="9"/>
  <c r="AM185" i="9"/>
  <c r="AN184" i="9"/>
  <c r="AP183" i="9"/>
  <c r="AT182" i="9"/>
  <c r="AQ181" i="9"/>
  <c r="AG180" i="9"/>
  <c r="AL179" i="9"/>
  <c r="AL178" i="9"/>
  <c r="AN177" i="9"/>
  <c r="AN176" i="9"/>
  <c r="AG175" i="9"/>
  <c r="AB174" i="9"/>
  <c r="AB173" i="9"/>
  <c r="AB172" i="9"/>
  <c r="AA171" i="9"/>
  <c r="AB170" i="9"/>
  <c r="AB169" i="9"/>
  <c r="R168" i="9"/>
  <c r="BY166" i="9"/>
  <c r="A166" i="9"/>
  <c r="E165" i="9"/>
  <c r="I164" i="9"/>
  <c r="M163" i="9"/>
  <c r="H162" i="9"/>
  <c r="C161" i="9"/>
  <c r="D160" i="9"/>
  <c r="A159" i="9"/>
  <c r="BR157" i="9"/>
  <c r="BP232" i="9"/>
  <c r="BU228" i="9"/>
  <c r="BF226" i="9"/>
  <c r="AW224" i="9"/>
  <c r="AE339" i="9"/>
  <c r="Q285" i="9"/>
  <c r="R282" i="9"/>
  <c r="BP281" i="9"/>
  <c r="AP225" i="9"/>
  <c r="BH262" i="9"/>
  <c r="Q249" i="9"/>
  <c r="W217" i="9"/>
  <c r="E249" i="9"/>
  <c r="AP224" i="9"/>
  <c r="C284" i="9"/>
  <c r="F255" i="9"/>
  <c r="AP245" i="9"/>
  <c r="AR237" i="9"/>
  <c r="AQ229" i="9"/>
  <c r="AL273" i="9"/>
  <c r="AJ257" i="9"/>
  <c r="W249" i="9"/>
  <c r="AT241" i="9"/>
  <c r="AC233" i="9"/>
  <c r="Y264" i="9"/>
  <c r="AC256" i="9"/>
  <c r="L248" i="9"/>
  <c r="AH240" i="9"/>
  <c r="T232" i="9"/>
  <c r="H224" i="9"/>
  <c r="V216" i="9"/>
  <c r="Q230" i="9"/>
  <c r="AL213" i="9"/>
  <c r="AJ203" i="9"/>
  <c r="AP195" i="9"/>
  <c r="AO187" i="9"/>
  <c r="AP179" i="9"/>
  <c r="AE171" i="9"/>
  <c r="Q163" i="9"/>
  <c r="AZ228" i="9"/>
  <c r="BK212" i="9"/>
  <c r="G203" i="9"/>
  <c r="C195" i="9"/>
  <c r="L187" i="9"/>
  <c r="L179" i="9"/>
  <c r="C171" i="9"/>
  <c r="S217" i="9"/>
  <c r="AI205" i="9"/>
  <c r="AM197" i="9"/>
  <c r="AH189" i="9"/>
  <c r="AS181" i="9"/>
  <c r="AD173" i="9"/>
  <c r="V225" i="9"/>
  <c r="AG209" i="9"/>
  <c r="AL201" i="9"/>
  <c r="AD193" i="9"/>
  <c r="AN185" i="9"/>
  <c r="AO177" i="9"/>
  <c r="AC169" i="9"/>
  <c r="D161" i="9"/>
  <c r="BK222" i="9"/>
  <c r="P208" i="9"/>
  <c r="AF200" i="9"/>
  <c r="X192" i="9"/>
  <c r="A185" i="9"/>
  <c r="BR180" i="9"/>
  <c r="B177" i="9"/>
  <c r="BP172" i="9"/>
  <c r="BM169" i="9"/>
  <c r="AW167" i="9"/>
  <c r="AL165" i="9"/>
  <c r="AW163" i="9"/>
  <c r="AQ161" i="9"/>
  <c r="AN159" i="9"/>
  <c r="BI157" i="9"/>
  <c r="BU229" i="9"/>
  <c r="T226" i="9"/>
  <c r="BG222" i="9"/>
  <c r="BP220" i="9"/>
  <c r="BQ218" i="9"/>
  <c r="BS216" i="9"/>
  <c r="BX214" i="9"/>
  <c r="K213" i="9"/>
  <c r="G211" i="9"/>
  <c r="R209" i="9"/>
  <c r="O208" i="9"/>
  <c r="U207" i="9"/>
  <c r="R206" i="9"/>
  <c r="V205" i="9"/>
  <c r="W204" i="9"/>
  <c r="V203" i="9"/>
  <c r="U202" i="9"/>
  <c r="Z201" i="9"/>
  <c r="AE200" i="9"/>
  <c r="AG199" i="9"/>
  <c r="AG198" i="9"/>
  <c r="AA197" i="9"/>
  <c r="AB196" i="9"/>
  <c r="P195" i="9"/>
  <c r="R194" i="9"/>
  <c r="R193" i="9"/>
  <c r="W192" i="9"/>
  <c r="P191" i="9"/>
  <c r="P190" i="9"/>
  <c r="V189" i="9"/>
  <c r="AA188" i="9"/>
  <c r="AA187" i="9"/>
  <c r="AD186" i="9"/>
  <c r="AB185" i="9"/>
  <c r="AC184" i="9"/>
  <c r="AG183" i="9"/>
  <c r="AJ182" i="9"/>
  <c r="Z181" i="9"/>
  <c r="W180" i="9"/>
  <c r="AB179" i="9"/>
  <c r="AA178" i="9"/>
  <c r="AC177" i="9"/>
  <c r="X176" i="9"/>
  <c r="V175" i="9"/>
  <c r="O174" i="9"/>
  <c r="P173" i="9"/>
  <c r="P172" i="9"/>
  <c r="O171" i="9"/>
  <c r="BN231" i="9"/>
  <c r="N228" i="9"/>
  <c r="R226" i="9"/>
  <c r="BY223" i="9"/>
  <c r="F222" i="9"/>
  <c r="C220" i="9"/>
  <c r="J218" i="9"/>
  <c r="M216" i="9"/>
  <c r="R214" i="9"/>
  <c r="AG212" i="9"/>
  <c r="V210" i="9"/>
  <c r="BL208" i="9"/>
  <c r="BL207" i="9"/>
  <c r="BP206" i="9"/>
  <c r="BQ205" i="9"/>
  <c r="BR204" i="9"/>
  <c r="BT203" i="9"/>
  <c r="BR202" i="9"/>
  <c r="BS201" i="9"/>
  <c r="BW200" i="9"/>
  <c r="C200" i="9"/>
  <c r="C199" i="9"/>
  <c r="BY197" i="9"/>
  <c r="BU196" i="9"/>
  <c r="BX195" i="9"/>
  <c r="BL194" i="9"/>
  <c r="BL193" i="9"/>
  <c r="BP192" i="9"/>
  <c r="BS191" i="9"/>
  <c r="BO190" i="9"/>
  <c r="BO189" i="9"/>
  <c r="BS188" i="9"/>
  <c r="BV187" i="9"/>
  <c r="BW186" i="9"/>
  <c r="B186" i="9"/>
  <c r="BX184" i="9"/>
  <c r="BX183" i="9"/>
  <c r="G183" i="9"/>
  <c r="I182" i="9"/>
  <c r="BP180" i="9"/>
  <c r="BT179" i="9"/>
  <c r="BU178" i="9"/>
  <c r="BV177" i="9"/>
  <c r="BY176" i="9"/>
  <c r="BP175" i="9"/>
  <c r="BP174" i="9"/>
  <c r="BM173" i="9"/>
  <c r="BL172" i="9"/>
  <c r="BK171" i="9"/>
  <c r="BN170" i="9"/>
  <c r="R233" i="9"/>
  <c r="X229" i="9"/>
  <c r="BT226" i="9"/>
  <c r="BO224" i="9"/>
  <c r="BC222" i="9"/>
  <c r="BL220" i="9"/>
  <c r="BM218" i="9"/>
  <c r="BO216" i="9"/>
  <c r="BS214" i="9"/>
  <c r="G213" i="9"/>
  <c r="C211" i="9"/>
  <c r="N209" i="9"/>
  <c r="M208" i="9"/>
  <c r="R207" i="9"/>
  <c r="O206" i="9"/>
  <c r="S205" i="9"/>
  <c r="U204" i="9"/>
  <c r="R203" i="9"/>
  <c r="R202" i="9"/>
  <c r="W201" i="9"/>
  <c r="AC200" i="9"/>
  <c r="AE199" i="9"/>
  <c r="AC198" i="9"/>
  <c r="W197" i="9"/>
  <c r="Z196" i="9"/>
  <c r="N195" i="9"/>
  <c r="O194" i="9"/>
  <c r="P193" i="9"/>
  <c r="U192" i="9"/>
  <c r="N191" i="9"/>
  <c r="N190" i="9"/>
  <c r="S189" i="9"/>
  <c r="W188" i="9"/>
  <c r="X187" i="9"/>
  <c r="AB186" i="9"/>
  <c r="Z185" i="9"/>
  <c r="AA184" i="9"/>
  <c r="AE183" i="9"/>
  <c r="AH182" i="9"/>
  <c r="R181" i="9"/>
  <c r="U180" i="9"/>
  <c r="Z179" i="9"/>
  <c r="W178" i="9"/>
  <c r="AA177" i="9"/>
  <c r="R176" i="9"/>
  <c r="T175" i="9"/>
  <c r="M174" i="9"/>
  <c r="N173" i="9"/>
  <c r="N172" i="9"/>
  <c r="M171" i="9"/>
  <c r="M170" i="9"/>
  <c r="N169" i="9"/>
  <c r="D168" i="9"/>
  <c r="BL166" i="9"/>
  <c r="BL165" i="9"/>
  <c r="BR164" i="9"/>
  <c r="BU163" i="9"/>
  <c r="A163" i="9"/>
  <c r="BR161" i="9"/>
  <c r="BP160" i="9"/>
  <c r="BO159" i="9"/>
  <c r="BO158" i="9"/>
  <c r="BE157" i="9"/>
  <c r="BM156" i="9"/>
  <c r="BK169" i="9"/>
  <c r="G167" i="9"/>
  <c r="K165" i="9"/>
  <c r="T163" i="9"/>
  <c r="L161" i="9"/>
  <c r="H159" i="9"/>
  <c r="H157" i="9"/>
  <c r="BX155" i="9"/>
  <c r="B155" i="9"/>
  <c r="H154" i="9"/>
  <c r="K153" i="9"/>
  <c r="N152" i="9"/>
  <c r="M151" i="9"/>
  <c r="I150" i="9"/>
  <c r="J149" i="9"/>
  <c r="BD167" i="9"/>
  <c r="AO165" i="9"/>
  <c r="BB163" i="9"/>
  <c r="AT161" i="9"/>
  <c r="AQ159" i="9"/>
  <c r="AL157" i="9"/>
  <c r="O156" i="9"/>
  <c r="R155" i="9"/>
  <c r="X154" i="9"/>
  <c r="AB153" i="9"/>
  <c r="AE152" i="9"/>
  <c r="AG151" i="9"/>
  <c r="AI150" i="9"/>
  <c r="AB149" i="9"/>
  <c r="AC148" i="9"/>
  <c r="AC147" i="9"/>
  <c r="AA146" i="9"/>
  <c r="AD145" i="9"/>
  <c r="AG144" i="9"/>
  <c r="AI143" i="9"/>
  <c r="AP142" i="9"/>
  <c r="AN141" i="9"/>
  <c r="AP140" i="9"/>
  <c r="AS139" i="9"/>
  <c r="AV138" i="9"/>
  <c r="BD137" i="9"/>
  <c r="BC136" i="9"/>
  <c r="BA135" i="9"/>
  <c r="AZ134" i="9"/>
  <c r="AU133" i="9"/>
  <c r="AT132" i="9"/>
  <c r="AF131" i="9"/>
  <c r="AE130" i="9"/>
  <c r="AG129" i="9"/>
  <c r="AM128" i="9"/>
  <c r="AT127" i="9"/>
  <c r="AO126" i="9"/>
  <c r="AR125" i="9"/>
  <c r="AN124" i="9"/>
  <c r="AL123" i="9"/>
  <c r="AO122" i="9"/>
  <c r="AU121" i="9"/>
  <c r="AT120" i="9"/>
  <c r="AV119" i="9"/>
  <c r="AV118" i="9"/>
  <c r="AU117" i="9"/>
  <c r="BA116" i="9"/>
  <c r="BA115" i="9"/>
  <c r="AZ114" i="9"/>
  <c r="AZ113" i="9"/>
  <c r="BI112" i="9"/>
  <c r="BK111" i="9"/>
  <c r="BH110" i="9"/>
  <c r="BD109" i="9"/>
  <c r="AS108" i="9"/>
  <c r="AZ107" i="9"/>
  <c r="BB106" i="9"/>
  <c r="BD105" i="9"/>
  <c r="BM104" i="9"/>
  <c r="BL103" i="9"/>
  <c r="BY167" i="9"/>
  <c r="BI165" i="9"/>
  <c r="BR163" i="9"/>
  <c r="BO161" i="9"/>
  <c r="BK159" i="9"/>
  <c r="BA157" i="9"/>
  <c r="Z156" i="9"/>
  <c r="AC155" i="9"/>
  <c r="AF154" i="9"/>
  <c r="AI153" i="9"/>
  <c r="AM152" i="9"/>
  <c r="AN151" i="9"/>
  <c r="AQ150" i="9"/>
  <c r="AI149" i="9"/>
  <c r="AJ148" i="9"/>
  <c r="AL147" i="9"/>
  <c r="AH146" i="9"/>
  <c r="AL145" i="9"/>
  <c r="AO144" i="9"/>
  <c r="AR143" i="9"/>
  <c r="AW142" i="9"/>
  <c r="AU141" i="9"/>
  <c r="AW140" i="9"/>
  <c r="BB139" i="9"/>
  <c r="BD138" i="9"/>
  <c r="BL137" i="9"/>
  <c r="BN136" i="9"/>
  <c r="BI135" i="9"/>
  <c r="BI134" i="9"/>
  <c r="BF133" i="9"/>
  <c r="BE132" i="9"/>
  <c r="AN131" i="9"/>
  <c r="AM130" i="9"/>
  <c r="AO129" i="9"/>
  <c r="AT128" i="9"/>
  <c r="BB127" i="9"/>
  <c r="AV126" i="9"/>
  <c r="BA125" i="9"/>
  <c r="AU124" i="9"/>
  <c r="AU123" i="9"/>
  <c r="AV122" i="9"/>
  <c r="BD121" i="9"/>
  <c r="BC120" i="9"/>
  <c r="BF119" i="9"/>
  <c r="BG118" i="9"/>
  <c r="BF117" i="9"/>
  <c r="BJ116" i="9"/>
  <c r="BO115" i="9"/>
  <c r="BL114" i="9"/>
  <c r="BI113" i="9"/>
  <c r="BQ112" i="9"/>
  <c r="BS111" i="9"/>
  <c r="BS110" i="9"/>
  <c r="BM109" i="9"/>
  <c r="BD108" i="9"/>
  <c r="BH107" i="9"/>
  <c r="BK106" i="9"/>
  <c r="BL105" i="9"/>
  <c r="BT104" i="9"/>
  <c r="BT103" i="9"/>
  <c r="BR102" i="9"/>
  <c r="BU101" i="9"/>
  <c r="A101" i="9"/>
  <c r="F100" i="9"/>
  <c r="AV167" i="9"/>
  <c r="AK165" i="9"/>
  <c r="AV163" i="9"/>
  <c r="AP161" i="9"/>
  <c r="AM159" i="9"/>
  <c r="AH157" i="9"/>
  <c r="M156" i="9"/>
  <c r="O155" i="9"/>
  <c r="V154" i="9"/>
  <c r="Z153" i="9"/>
  <c r="AC152" i="9"/>
  <c r="AE151" i="9"/>
  <c r="AE150" i="9"/>
  <c r="Z149" i="9"/>
  <c r="AA148" i="9"/>
  <c r="AA147" i="9"/>
  <c r="V146" i="9"/>
  <c r="AB145" i="9"/>
  <c r="AE144" i="9"/>
  <c r="AG143" i="9"/>
  <c r="AN142" i="9"/>
  <c r="AL141" i="9"/>
  <c r="AN140" i="9"/>
  <c r="AQ139" i="9"/>
  <c r="AT138" i="9"/>
  <c r="BB137" i="9"/>
  <c r="AX136" i="9"/>
  <c r="AW135" i="9"/>
  <c r="AS134" i="9"/>
  <c r="AS133" i="9"/>
  <c r="AR132" i="9"/>
  <c r="AD131" i="9"/>
  <c r="AC130" i="9"/>
  <c r="AE129" i="9"/>
  <c r="AK128" i="9"/>
  <c r="AR127" i="9"/>
  <c r="AM126" i="9"/>
  <c r="AP125" i="9"/>
  <c r="AL124" i="9"/>
  <c r="AI123" i="9"/>
  <c r="AM122" i="9"/>
  <c r="AS121" i="9"/>
  <c r="AR120" i="9"/>
  <c r="AT119" i="9"/>
  <c r="AT118" i="9"/>
  <c r="AS117" i="9"/>
  <c r="AY116" i="9"/>
  <c r="AW115" i="9"/>
  <c r="AV114" i="9"/>
  <c r="AW113" i="9"/>
  <c r="BG112" i="9"/>
  <c r="BI111" i="9"/>
  <c r="BE110" i="9"/>
  <c r="BA109" i="9"/>
  <c r="AQ108" i="9"/>
  <c r="AV107" i="9"/>
  <c r="AZ106" i="9"/>
  <c r="BA105" i="9"/>
  <c r="BK104" i="9"/>
  <c r="BJ103" i="9"/>
  <c r="BI102" i="9"/>
  <c r="BL101" i="9"/>
  <c r="BO100" i="9"/>
  <c r="BX168" i="9"/>
  <c r="AG166" i="9"/>
  <c r="AR164" i="9"/>
  <c r="AZ162" i="9"/>
  <c r="AM160" i="9"/>
  <c r="AG158" i="9"/>
  <c r="BA156" i="9"/>
  <c r="BA155" i="9"/>
  <c r="BF154" i="9"/>
  <c r="BK153" i="9"/>
  <c r="BP152" i="9"/>
  <c r="BQ151" i="9"/>
  <c r="BP150" i="9"/>
  <c r="BL149" i="9"/>
  <c r="BK148" i="9"/>
  <c r="BK147" i="9"/>
  <c r="BK146" i="9"/>
  <c r="BK145" i="9"/>
  <c r="BO144" i="9"/>
  <c r="BP143" i="9"/>
  <c r="BW142" i="9"/>
  <c r="BY141" i="9"/>
  <c r="D141" i="9"/>
  <c r="C140" i="9"/>
  <c r="D139" i="9"/>
  <c r="K138" i="9"/>
  <c r="O137" i="9"/>
  <c r="L136" i="9"/>
  <c r="J135" i="9"/>
  <c r="I134" i="9"/>
  <c r="E133" i="9"/>
  <c r="BS131" i="9"/>
  <c r="BP130" i="9"/>
  <c r="BR129" i="9"/>
  <c r="BS128" i="9"/>
  <c r="C128" i="9"/>
  <c r="A127" i="9"/>
  <c r="A126" i="9"/>
  <c r="D125" i="9"/>
  <c r="BU123" i="9"/>
  <c r="BW122" i="9"/>
  <c r="D122" i="9"/>
  <c r="F121" i="9"/>
  <c r="D120" i="9"/>
  <c r="G119" i="9"/>
  <c r="H118" i="9"/>
  <c r="G117" i="9"/>
  <c r="N116" i="9"/>
  <c r="L115" i="9"/>
  <c r="H114" i="9"/>
  <c r="P113" i="9"/>
  <c r="R112" i="9"/>
  <c r="U111" i="9"/>
  <c r="P110" i="9"/>
  <c r="E109" i="9"/>
  <c r="F108" i="9"/>
  <c r="K107" i="9"/>
  <c r="L106" i="9"/>
  <c r="T105" i="9"/>
  <c r="W104" i="9"/>
  <c r="U169" i="9"/>
  <c r="AU166" i="9"/>
  <c r="BH164" i="9"/>
  <c r="BN162" i="9"/>
  <c r="BA160" i="9"/>
  <c r="BA158" i="9"/>
  <c r="BN156" i="9"/>
  <c r="BJ155" i="9"/>
  <c r="AN328" i="9"/>
  <c r="W274" i="9"/>
  <c r="BR273" i="9"/>
  <c r="AM273" i="9"/>
  <c r="AJ217" i="9"/>
  <c r="AR254" i="9"/>
  <c r="AA245" i="9"/>
  <c r="AK213" i="9"/>
  <c r="O245" i="9"/>
  <c r="BY221" i="9"/>
  <c r="AM267" i="9"/>
  <c r="AP253" i="9"/>
  <c r="AQ244" i="9"/>
  <c r="AN236" i="9"/>
  <c r="AQ228" i="9"/>
  <c r="K265" i="9"/>
  <c r="AM256" i="9"/>
  <c r="V248" i="9"/>
  <c r="AR240" i="9"/>
  <c r="K324" i="9"/>
  <c r="AA263" i="9"/>
  <c r="W255" i="9"/>
  <c r="P247" i="9"/>
  <c r="AF239" i="9"/>
  <c r="U231" i="9"/>
  <c r="H223" i="9"/>
  <c r="Z215" i="9"/>
  <c r="AE227" i="9"/>
  <c r="AU211" i="9"/>
  <c r="AJ202" i="9"/>
  <c r="AG194" i="9"/>
  <c r="AS186" i="9"/>
  <c r="AP178" i="9"/>
  <c r="AF170" i="9"/>
  <c r="L162" i="9"/>
  <c r="AU226" i="9"/>
  <c r="AW210" i="9"/>
  <c r="H202" i="9"/>
  <c r="A194" i="9"/>
  <c r="P186" i="9"/>
  <c r="L178" i="9"/>
  <c r="A170" i="9"/>
  <c r="AA215" i="9"/>
  <c r="AI204" i="9"/>
  <c r="AN196" i="9"/>
  <c r="AM188" i="9"/>
  <c r="AI180" i="9"/>
  <c r="AD172" i="9"/>
  <c r="F223" i="9"/>
  <c r="AC208" i="9"/>
  <c r="AO200" i="9"/>
  <c r="AH192" i="9"/>
  <c r="AO184" i="9"/>
  <c r="AO176" i="9"/>
  <c r="W168" i="9"/>
  <c r="E160" i="9"/>
  <c r="BS220" i="9"/>
  <c r="V207" i="9"/>
  <c r="AH199" i="9"/>
  <c r="Q191" i="9"/>
  <c r="AD184" i="9"/>
  <c r="X180" i="9"/>
  <c r="Z176" i="9"/>
  <c r="Q172" i="9"/>
  <c r="AT169" i="9"/>
  <c r="Z167" i="9"/>
  <c r="V165" i="9"/>
  <c r="AE163" i="9"/>
  <c r="AA161" i="9"/>
  <c r="V159" i="9"/>
  <c r="AY157" i="9"/>
  <c r="AG229" i="9"/>
  <c r="BC225" i="9"/>
  <c r="AP222" i="9"/>
  <c r="AW220" i="9"/>
  <c r="AV218" i="9"/>
  <c r="BA216" i="9"/>
  <c r="BE214" i="9"/>
  <c r="BS212" i="9"/>
  <c r="BJ210" i="9"/>
  <c r="G209" i="9"/>
  <c r="G208" i="9"/>
  <c r="K207" i="9"/>
  <c r="I206" i="9"/>
  <c r="L205" i="9"/>
  <c r="M204" i="9"/>
  <c r="L203" i="9"/>
  <c r="L202" i="9"/>
  <c r="O201" i="9"/>
  <c r="V200" i="9"/>
  <c r="W199" i="9"/>
  <c r="R198" i="9"/>
  <c r="O197" i="9"/>
  <c r="P196" i="9"/>
  <c r="G195" i="9"/>
  <c r="E194" i="9"/>
  <c r="J193" i="9"/>
  <c r="N192" i="9"/>
  <c r="H191" i="9"/>
  <c r="G190" i="9"/>
  <c r="L189" i="9"/>
  <c r="O188" i="9"/>
  <c r="P187" i="9"/>
  <c r="U186" i="9"/>
  <c r="R185" i="9"/>
  <c r="T184" i="9"/>
  <c r="Y183" i="9"/>
  <c r="AB182" i="9"/>
  <c r="K181" i="9"/>
  <c r="N180" i="9"/>
  <c r="P179" i="9"/>
  <c r="P178" i="9"/>
  <c r="T177" i="9"/>
  <c r="I176" i="9"/>
  <c r="L175" i="9"/>
  <c r="G174" i="9"/>
  <c r="F173" i="9"/>
  <c r="G172" i="9"/>
  <c r="G171" i="9"/>
  <c r="AC231" i="9"/>
  <c r="BV227" i="9"/>
  <c r="BX225" i="9"/>
  <c r="BF223" i="9"/>
  <c r="BO221" i="9"/>
  <c r="BL219" i="9"/>
  <c r="BR217" i="9"/>
  <c r="BU215" i="9"/>
  <c r="A214" i="9"/>
  <c r="N212" i="9"/>
  <c r="E210" i="9"/>
  <c r="BA208" i="9"/>
  <c r="BC207" i="9"/>
  <c r="BE206" i="9"/>
  <c r="BI205" i="9"/>
  <c r="BF204" i="9"/>
  <c r="BH203" i="9"/>
  <c r="BH202" i="9"/>
  <c r="BJ201" i="9"/>
  <c r="BM200" i="9"/>
  <c r="BR199" i="9"/>
  <c r="BS198" i="9"/>
  <c r="BP197" i="9"/>
  <c r="BM196" i="9"/>
  <c r="BO195" i="9"/>
  <c r="AY194" i="9"/>
  <c r="BC193" i="9"/>
  <c r="BG192" i="9"/>
  <c r="BI191" i="9"/>
  <c r="BE190" i="9"/>
  <c r="BF189" i="9"/>
  <c r="BJ188" i="9"/>
  <c r="BL187" i="9"/>
  <c r="BN186" i="9"/>
  <c r="BN185" i="9"/>
  <c r="BN184" i="9"/>
  <c r="BN183" i="9"/>
  <c r="BX182" i="9"/>
  <c r="A182" i="9"/>
  <c r="BH180" i="9"/>
  <c r="BK179" i="9"/>
  <c r="BM178" i="9"/>
  <c r="BN177" i="9"/>
  <c r="BP176" i="9"/>
  <c r="BH175" i="9"/>
  <c r="BA174" i="9"/>
  <c r="BB173" i="9"/>
  <c r="BA172" i="9"/>
  <c r="AZ171" i="9"/>
  <c r="BB170" i="9"/>
  <c r="BH232" i="9"/>
  <c r="BK228" i="9"/>
  <c r="BA226" i="9"/>
  <c r="AS224" i="9"/>
  <c r="AL222" i="9"/>
  <c r="AS220" i="9"/>
  <c r="AR218" i="9"/>
  <c r="AU216" i="9"/>
  <c r="AY214" i="9"/>
  <c r="BO212" i="9"/>
  <c r="BE210" i="9"/>
  <c r="E209" i="9"/>
  <c r="E208" i="9"/>
  <c r="I207" i="9"/>
  <c r="G206" i="9"/>
  <c r="J205" i="9"/>
  <c r="K204" i="9"/>
  <c r="J203" i="9"/>
  <c r="J202" i="9"/>
  <c r="M201" i="9"/>
  <c r="T200" i="9"/>
  <c r="U199" i="9"/>
  <c r="P198" i="9"/>
  <c r="M197" i="9"/>
  <c r="N196" i="9"/>
  <c r="E195" i="9"/>
  <c r="C194" i="9"/>
  <c r="F193" i="9"/>
  <c r="L192" i="9"/>
  <c r="F191" i="9"/>
  <c r="E190" i="9"/>
  <c r="J189" i="9"/>
  <c r="M188" i="9"/>
  <c r="N187" i="9"/>
  <c r="R186" i="9"/>
  <c r="P185" i="9"/>
  <c r="P184" i="9"/>
  <c r="W183" i="9"/>
  <c r="Z182" i="9"/>
  <c r="I181" i="9"/>
  <c r="L180" i="9"/>
  <c r="N179" i="9"/>
  <c r="N178" i="9"/>
  <c r="P177" i="9"/>
  <c r="G176" i="9"/>
  <c r="J175" i="9"/>
  <c r="E174" i="9"/>
  <c r="D173" i="9"/>
  <c r="E172" i="9"/>
  <c r="E171" i="9"/>
  <c r="C170" i="9"/>
  <c r="E169" i="9"/>
  <c r="BS167" i="9"/>
  <c r="AW166" i="9"/>
  <c r="AY165" i="9"/>
  <c r="BJ164" i="9"/>
  <c r="BM163" i="9"/>
  <c r="BP162" i="9"/>
  <c r="BJ161" i="9"/>
  <c r="BE160" i="9"/>
  <c r="BC159" i="9"/>
  <c r="BE158" i="9"/>
  <c r="AV157" i="9"/>
  <c r="BD156" i="9"/>
  <c r="AI169" i="9"/>
  <c r="BM166" i="9"/>
  <c r="BS164" i="9"/>
  <c r="B163" i="9"/>
  <c r="BQ160" i="9"/>
  <c r="BP158" i="9"/>
  <c r="BS156" i="9"/>
  <c r="BP155" i="9"/>
  <c r="BR154" i="9"/>
  <c r="BY153" i="9"/>
  <c r="C153" i="9"/>
  <c r="F152" i="9"/>
  <c r="D151" i="9"/>
  <c r="A150" i="9"/>
  <c r="AI170" i="9"/>
  <c r="AE167" i="9"/>
  <c r="Y165" i="9"/>
  <c r="AH163" i="9"/>
  <c r="AD161" i="9"/>
  <c r="AA159" i="9"/>
  <c r="V157" i="9"/>
  <c r="F156" i="9"/>
  <c r="I155" i="9"/>
  <c r="O154" i="9"/>
  <c r="R153" i="9"/>
  <c r="V152" i="9"/>
  <c r="V151" i="9"/>
  <c r="W150" i="9"/>
  <c r="R149" i="9"/>
  <c r="R148" i="9"/>
  <c r="T147" i="9"/>
  <c r="N146" i="9"/>
  <c r="S145" i="9"/>
  <c r="V144" i="9"/>
  <c r="AA143" i="9"/>
  <c r="AF142" i="9"/>
  <c r="AF141" i="9"/>
  <c r="AG140" i="9"/>
  <c r="AI139" i="9"/>
  <c r="AN138" i="9"/>
  <c r="AT137" i="9"/>
  <c r="AR136" i="9"/>
  <c r="AQ135" i="9"/>
  <c r="AM134" i="9"/>
  <c r="AJ133" i="9"/>
  <c r="AI132" i="9"/>
  <c r="V131" i="9"/>
  <c r="V130" i="9"/>
  <c r="X129" i="9"/>
  <c r="AE128" i="9"/>
  <c r="AL127" i="9"/>
  <c r="AF126" i="9"/>
  <c r="AH125" i="9"/>
  <c r="AF124" i="9"/>
  <c r="AC123" i="9"/>
  <c r="AG122" i="9"/>
  <c r="AM121" i="9"/>
  <c r="AL120" i="9"/>
  <c r="AN119" i="9"/>
  <c r="AN118" i="9"/>
  <c r="AM117" i="9"/>
  <c r="AR116" i="9"/>
  <c r="AQ115" i="9"/>
  <c r="AN114" i="9"/>
  <c r="AQ113" i="9"/>
  <c r="AZ112" i="9"/>
  <c r="AZ111" i="9"/>
  <c r="AU110" i="9"/>
  <c r="AS109" i="9"/>
  <c r="AJ108" i="9"/>
  <c r="AP107" i="9"/>
  <c r="AR106" i="9"/>
  <c r="AU105" i="9"/>
  <c r="BD104" i="9"/>
  <c r="AY103" i="9"/>
  <c r="BA167" i="9"/>
  <c r="AN165" i="9"/>
  <c r="BA163" i="9"/>
  <c r="AS161" i="9"/>
  <c r="AP159" i="9"/>
  <c r="AK157" i="9"/>
  <c r="N156" i="9"/>
  <c r="P155" i="9"/>
  <c r="W154" i="9"/>
  <c r="AA153" i="9"/>
  <c r="AD152" i="9"/>
  <c r="AF151" i="9"/>
  <c r="AG150" i="9"/>
  <c r="AA149" i="9"/>
  <c r="AB148" i="9"/>
  <c r="AB147" i="9"/>
  <c r="W146" i="9"/>
  <c r="AC145" i="9"/>
  <c r="AF144" i="9"/>
  <c r="AH143" i="9"/>
  <c r="AO142" i="9"/>
  <c r="AM141" i="9"/>
  <c r="AO140" i="9"/>
  <c r="AR139" i="9"/>
  <c r="AU138" i="9"/>
  <c r="BC137" i="9"/>
  <c r="AZ136" i="9"/>
  <c r="AZ135" i="9"/>
  <c r="AX134" i="9"/>
  <c r="AT133" i="9"/>
  <c r="AS132" i="9"/>
  <c r="AE131" i="9"/>
  <c r="AD130" i="9"/>
  <c r="AF129" i="9"/>
  <c r="AL128" i="9"/>
  <c r="AS127" i="9"/>
  <c r="AN126" i="9"/>
  <c r="AQ125" i="9"/>
  <c r="AM124" i="9"/>
  <c r="AJ123" i="9"/>
  <c r="AN122" i="9"/>
  <c r="AT121" i="9"/>
  <c r="AS120" i="9"/>
  <c r="AU119" i="9"/>
  <c r="AU118" i="9"/>
  <c r="AT117" i="9"/>
  <c r="AZ116" i="9"/>
  <c r="AZ115" i="9"/>
  <c r="AW114" i="9"/>
  <c r="AX113" i="9"/>
  <c r="BH112" i="9"/>
  <c r="BJ111" i="9"/>
  <c r="BF110" i="9"/>
  <c r="BC109" i="9"/>
  <c r="AR108" i="9"/>
  <c r="AW107" i="9"/>
  <c r="BA106" i="9"/>
  <c r="BC105" i="9"/>
  <c r="BL104" i="9"/>
  <c r="BK103" i="9"/>
  <c r="BJ102" i="9"/>
  <c r="BM101" i="9"/>
  <c r="BP100" i="9"/>
  <c r="O170" i="9"/>
  <c r="X167" i="9"/>
  <c r="U165" i="9"/>
  <c r="AD163" i="9"/>
  <c r="X161" i="9"/>
  <c r="U159" i="9"/>
  <c r="P157" i="9"/>
  <c r="D156" i="9"/>
  <c r="G155" i="9"/>
  <c r="M154" i="9"/>
  <c r="P153" i="9"/>
  <c r="S152" i="9"/>
  <c r="T151" i="9"/>
  <c r="P150" i="9"/>
  <c r="O149" i="9"/>
  <c r="O148" i="9"/>
  <c r="P147" i="9"/>
  <c r="L146" i="9"/>
  <c r="Q145" i="9"/>
  <c r="R144" i="9"/>
  <c r="X143" i="9"/>
  <c r="AD142" i="9"/>
  <c r="AD141" i="9"/>
  <c r="AE140" i="9"/>
  <c r="AG139" i="9"/>
  <c r="AL138" i="9"/>
  <c r="AR137" i="9"/>
  <c r="AP136" i="9"/>
  <c r="AO135" i="9"/>
  <c r="AK134" i="9"/>
  <c r="AH133" i="9"/>
  <c r="AE132" i="9"/>
  <c r="R131" i="9"/>
  <c r="S130" i="9"/>
  <c r="V129" i="9"/>
  <c r="AC128" i="9"/>
  <c r="AH127" i="9"/>
  <c r="AD126" i="9"/>
  <c r="AF125" i="9"/>
  <c r="AD124" i="9"/>
  <c r="AA123" i="9"/>
  <c r="AE122" i="9"/>
  <c r="AI121" i="9"/>
  <c r="AJ120" i="9"/>
  <c r="AL119" i="9"/>
  <c r="AL118" i="9"/>
  <c r="AJ117" i="9"/>
  <c r="AP116" i="9"/>
  <c r="AO115" i="9"/>
  <c r="AL114" i="9"/>
  <c r="AO113" i="9"/>
  <c r="AV112" i="9"/>
  <c r="AV111" i="9"/>
  <c r="AS110" i="9"/>
  <c r="AQ109" i="9"/>
  <c r="AH108" i="9"/>
  <c r="AN107" i="9"/>
  <c r="AP106" i="9"/>
  <c r="AS105" i="9"/>
  <c r="BB104" i="9"/>
  <c r="AW103" i="9"/>
  <c r="AZ102" i="9"/>
  <c r="BA101" i="9"/>
  <c r="BD100" i="9"/>
  <c r="AV168" i="9"/>
  <c r="O166" i="9"/>
  <c r="Z164" i="9"/>
  <c r="AB162" i="9"/>
  <c r="U160" i="9"/>
  <c r="I158" i="9"/>
  <c r="AQ156" i="9"/>
  <c r="AR155" i="9"/>
  <c r="AU154" i="9"/>
  <c r="AZ153" i="9"/>
  <c r="BE152" i="9"/>
  <c r="BG151" i="9"/>
  <c r="BH150" i="9"/>
  <c r="BA149" i="9"/>
  <c r="AX148" i="9"/>
  <c r="BB147" i="9"/>
  <c r="AZ146" i="9"/>
  <c r="BA145" i="9"/>
  <c r="BF144" i="9"/>
  <c r="BG143" i="9"/>
  <c r="BN142" i="9"/>
  <c r="BO141" i="9"/>
  <c r="BT140" i="9"/>
  <c r="BS139" i="9"/>
  <c r="BS138" i="9"/>
  <c r="C138" i="9"/>
  <c r="F137" i="9"/>
  <c r="A136" i="9"/>
  <c r="A135" i="9"/>
  <c r="BY133" i="9"/>
  <c r="BU132" i="9"/>
  <c r="BF131" i="9"/>
  <c r="BE130" i="9"/>
  <c r="BH129" i="9"/>
  <c r="BJ128" i="9"/>
  <c r="BR127" i="9"/>
  <c r="BQ126" i="9"/>
  <c r="BP125" i="9"/>
  <c r="BP124" i="9"/>
  <c r="BL123" i="9"/>
  <c r="BL122" i="9"/>
  <c r="BU121" i="9"/>
  <c r="BW120" i="9"/>
  <c r="BT119" i="9"/>
  <c r="BX118" i="9"/>
  <c r="BV117" i="9"/>
  <c r="BX116" i="9"/>
  <c r="F116" i="9"/>
  <c r="D115" i="9"/>
  <c r="BY113" i="9"/>
  <c r="H113" i="9"/>
  <c r="I112" i="9"/>
  <c r="J111" i="9"/>
  <c r="H110" i="9"/>
  <c r="BU108" i="9"/>
  <c r="BW107" i="9"/>
  <c r="B107" i="9"/>
  <c r="C106" i="9"/>
  <c r="J105" i="9"/>
  <c r="M104" i="9"/>
  <c r="BV168" i="9"/>
  <c r="AD166" i="9"/>
  <c r="AO164" i="9"/>
  <c r="AU162" i="9"/>
  <c r="AI160" i="9"/>
  <c r="AB158" i="9"/>
  <c r="AZ156" i="9"/>
  <c r="AZ155" i="9"/>
  <c r="BY327" i="9"/>
  <c r="BQ265" i="9"/>
  <c r="AO265" i="9"/>
  <c r="L265" i="9"/>
  <c r="AV209" i="9"/>
  <c r="AR246" i="9"/>
  <c r="AO241" i="9"/>
  <c r="AJ209" i="9"/>
  <c r="AD241" i="9"/>
  <c r="J219" i="9"/>
  <c r="M263" i="9"/>
  <c r="S252" i="9"/>
  <c r="AU243" i="9"/>
  <c r="AL235" i="9"/>
  <c r="F327" i="9"/>
  <c r="AJ263" i="9"/>
  <c r="AH255" i="9"/>
  <c r="AA247" i="9"/>
  <c r="AP239" i="9"/>
  <c r="G313" i="9"/>
  <c r="AH262" i="9"/>
  <c r="I254" i="9"/>
  <c r="R246" i="9"/>
  <c r="AB238" i="9"/>
  <c r="S230" i="9"/>
  <c r="M222" i="9"/>
  <c r="AA214" i="9"/>
  <c r="AD225" i="9"/>
  <c r="AL209" i="9"/>
  <c r="AO201" i="9"/>
  <c r="AG193" i="9"/>
  <c r="AQ185" i="9"/>
  <c r="AR177" i="9"/>
  <c r="AF169" i="9"/>
  <c r="H161" i="9"/>
  <c r="AO224" i="9"/>
  <c r="C209" i="9"/>
  <c r="K201" i="9"/>
  <c r="D193" i="9"/>
  <c r="N185" i="9"/>
  <c r="N177" i="9"/>
  <c r="I230" i="9"/>
  <c r="AH213" i="9"/>
  <c r="AH203" i="9"/>
  <c r="AN195" i="9"/>
  <c r="AM187" i="9"/>
  <c r="AN179" i="9"/>
  <c r="AC171" i="9"/>
  <c r="L221" i="9"/>
  <c r="AF207" i="9"/>
  <c r="AS199" i="9"/>
  <c r="AG191" i="9"/>
  <c r="AQ183" i="9"/>
  <c r="AH175" i="9"/>
  <c r="A167" i="9"/>
  <c r="B159" i="9"/>
  <c r="BT218" i="9"/>
  <c r="U206" i="9"/>
  <c r="AL198" i="9"/>
  <c r="R190" i="9"/>
  <c r="A184" i="9"/>
  <c r="BV179" i="9"/>
  <c r="BR175" i="9"/>
  <c r="BO171" i="9"/>
  <c r="Q169" i="9"/>
  <c r="BP166" i="9"/>
  <c r="BU164" i="9"/>
  <c r="D163" i="9"/>
  <c r="BS160" i="9"/>
  <c r="L159" i="9"/>
  <c r="AI157" i="9"/>
  <c r="AL228" i="9"/>
  <c r="Q225" i="9"/>
  <c r="Z222" i="9"/>
  <c r="AB220" i="9"/>
  <c r="AE218" i="9"/>
  <c r="AG216" i="9"/>
  <c r="AL214" i="9"/>
  <c r="BB212" i="9"/>
  <c r="AO210" i="9"/>
  <c r="BV208" i="9"/>
  <c r="BX207" i="9"/>
  <c r="C207" i="9"/>
  <c r="A206" i="9"/>
  <c r="D205" i="9"/>
  <c r="E204" i="9"/>
  <c r="C203" i="9"/>
  <c r="D202" i="9"/>
  <c r="G201" i="9"/>
  <c r="L200" i="9"/>
  <c r="N199" i="9"/>
  <c r="J198" i="9"/>
  <c r="G197" i="9"/>
  <c r="H196" i="9"/>
  <c r="BW194" i="9"/>
  <c r="BU193" i="9"/>
  <c r="BY192" i="9"/>
  <c r="F192" i="9"/>
  <c r="BY190" i="9"/>
  <c r="BX189" i="9"/>
  <c r="C189" i="9"/>
  <c r="G188" i="9"/>
  <c r="G187" i="9"/>
  <c r="L186" i="9"/>
  <c r="J185" i="9"/>
  <c r="J184" i="9"/>
  <c r="P183" i="9"/>
  <c r="R182" i="9"/>
  <c r="B181" i="9"/>
  <c r="E180" i="9"/>
  <c r="G179" i="9"/>
  <c r="G178" i="9"/>
  <c r="J177" i="9"/>
  <c r="A176" i="9"/>
  <c r="B175" i="9"/>
  <c r="BX173" i="9"/>
  <c r="BW172" i="9"/>
  <c r="BX171" i="9"/>
  <c r="BX170" i="9"/>
  <c r="BO230" i="9"/>
  <c r="BD227" i="9"/>
  <c r="BB225" i="9"/>
  <c r="AM223" i="9"/>
  <c r="AR221" i="9"/>
  <c r="AS219" i="9"/>
  <c r="AU217" i="9"/>
  <c r="BE215" i="9"/>
  <c r="BG213" i="9"/>
  <c r="BV211" i="9"/>
  <c r="BK209" i="9"/>
  <c r="AQ208" i="9"/>
  <c r="AS207" i="9"/>
  <c r="AS206" i="9"/>
  <c r="AY205" i="9"/>
  <c r="AU204" i="9"/>
  <c r="AU203" i="9"/>
  <c r="AU202" i="9"/>
  <c r="BA201" i="9"/>
  <c r="BD200" i="9"/>
  <c r="BJ199" i="9"/>
  <c r="BK198" i="9"/>
  <c r="BA197" i="9"/>
  <c r="BA196" i="9"/>
  <c r="BD195" i="9"/>
  <c r="AQ194" i="9"/>
  <c r="AS193" i="9"/>
  <c r="AV192" i="9"/>
  <c r="AV191" i="9"/>
  <c r="AT190" i="9"/>
  <c r="AU189" i="9"/>
  <c r="AZ188" i="9"/>
  <c r="BA187" i="9"/>
  <c r="BF186" i="9"/>
  <c r="BD185" i="9"/>
  <c r="BD184" i="9"/>
  <c r="BE183" i="9"/>
  <c r="BP182" i="9"/>
  <c r="BJ181" i="9"/>
  <c r="AW180" i="9"/>
  <c r="BA179" i="9"/>
  <c r="BB178" i="9"/>
  <c r="BD177" i="9"/>
  <c r="BF176" i="9"/>
  <c r="AW175" i="9"/>
  <c r="AQ174" i="9"/>
  <c r="AR173" i="9"/>
  <c r="AQ172" i="9"/>
  <c r="AP171" i="9"/>
  <c r="AR170" i="9"/>
  <c r="U232" i="9"/>
  <c r="AD228" i="9"/>
  <c r="AG226" i="9"/>
  <c r="O224" i="9"/>
  <c r="U222" i="9"/>
  <c r="W220" i="9"/>
  <c r="AA218" i="9"/>
  <c r="AC216" i="9"/>
  <c r="AG214" i="9"/>
  <c r="AV212" i="9"/>
  <c r="AJ210" i="9"/>
  <c r="BT208" i="9"/>
  <c r="BT207" i="9"/>
  <c r="A207" i="9"/>
  <c r="BX205" i="9"/>
  <c r="B205" i="9"/>
  <c r="C204" i="9"/>
  <c r="A203" i="9"/>
  <c r="B202" i="9"/>
  <c r="E201" i="9"/>
  <c r="J200" i="9"/>
  <c r="L199" i="9"/>
  <c r="H198" i="9"/>
  <c r="E197" i="9"/>
  <c r="F196" i="9"/>
  <c r="BS194" i="9"/>
  <c r="BS193" i="9"/>
  <c r="BW192" i="9"/>
  <c r="D192" i="9"/>
  <c r="BV190" i="9"/>
  <c r="BV189" i="9"/>
  <c r="A189" i="9"/>
  <c r="E188" i="9"/>
  <c r="E187" i="9"/>
  <c r="J186" i="9"/>
  <c r="F185" i="9"/>
  <c r="F184" i="9"/>
  <c r="N183" i="9"/>
  <c r="P182" i="9"/>
  <c r="BY180" i="9"/>
  <c r="C180" i="9"/>
  <c r="E179" i="9"/>
  <c r="E178" i="9"/>
  <c r="H177" i="9"/>
  <c r="BX175" i="9"/>
  <c r="BY174" i="9"/>
  <c r="BT173" i="9"/>
  <c r="BU172" i="9"/>
  <c r="BT171" i="9"/>
  <c r="BU170" i="9"/>
  <c r="BR169" i="9"/>
  <c r="BU168" i="9"/>
  <c r="BF167" i="9"/>
  <c r="AO166" i="9"/>
  <c r="AQ165" i="9"/>
  <c r="BA164" i="9"/>
  <c r="BD163" i="9"/>
  <c r="BH162" i="9"/>
  <c r="AV161" i="9"/>
  <c r="AT160" i="9"/>
  <c r="AS159" i="9"/>
  <c r="AS158" i="9"/>
  <c r="AN157" i="9"/>
  <c r="AU156" i="9"/>
  <c r="L169" i="9"/>
  <c r="AP166" i="9"/>
  <c r="BB164" i="9"/>
  <c r="BI162" i="9"/>
  <c r="AU160" i="9"/>
  <c r="AT158" i="9"/>
  <c r="BI156" i="9"/>
  <c r="BG155" i="9"/>
  <c r="BJ154" i="9"/>
  <c r="BQ153" i="9"/>
  <c r="BT152" i="9"/>
  <c r="BW151" i="9"/>
  <c r="BT150" i="9"/>
  <c r="BP149" i="9"/>
  <c r="BH169" i="9"/>
  <c r="D167" i="9"/>
  <c r="H165" i="9"/>
  <c r="P163" i="9"/>
  <c r="F161" i="9"/>
  <c r="D159" i="9"/>
  <c r="G157" i="9"/>
  <c r="BW155" i="9"/>
  <c r="A155" i="9"/>
  <c r="G154" i="9"/>
  <c r="J153" i="9"/>
  <c r="M152" i="9"/>
  <c r="L151" i="9"/>
  <c r="H150" i="9"/>
  <c r="I149" i="9"/>
  <c r="G148" i="9"/>
  <c r="J147" i="9"/>
  <c r="E146" i="9"/>
  <c r="K145" i="9"/>
  <c r="L144" i="9"/>
  <c r="Q143" i="9"/>
  <c r="V142" i="9"/>
  <c r="W141" i="9"/>
  <c r="X140" i="9"/>
  <c r="AA139" i="9"/>
  <c r="AF138" i="9"/>
  <c r="AL137" i="9"/>
  <c r="AJ136" i="9"/>
  <c r="AG135" i="9"/>
  <c r="AC134" i="9"/>
  <c r="AB133" i="9"/>
  <c r="R132" i="9"/>
  <c r="L131" i="9"/>
  <c r="M130" i="9"/>
  <c r="O129" i="9"/>
  <c r="W128" i="9"/>
  <c r="AA127" i="9"/>
  <c r="W126" i="9"/>
  <c r="Z125" i="9"/>
  <c r="U124" i="9"/>
  <c r="R123" i="9"/>
  <c r="Y122" i="9"/>
  <c r="AC121" i="9"/>
  <c r="AD120" i="9"/>
  <c r="AE119" i="9"/>
  <c r="AE118" i="9"/>
  <c r="AD117" i="9"/>
  <c r="AI116" i="9"/>
  <c r="AH115" i="9"/>
  <c r="AE114" i="9"/>
  <c r="AI113" i="9"/>
  <c r="AP112" i="9"/>
  <c r="AP111" i="9"/>
  <c r="AM110" i="9"/>
  <c r="AG109" i="9"/>
  <c r="AB108" i="9"/>
  <c r="AF107" i="9"/>
  <c r="AH106" i="9"/>
  <c r="AM105" i="9"/>
  <c r="AT104" i="9"/>
  <c r="AA170" i="9"/>
  <c r="AB167" i="9"/>
  <c r="X165" i="9"/>
  <c r="AG163" i="9"/>
  <c r="AC161" i="9"/>
  <c r="X159" i="9"/>
  <c r="U157" i="9"/>
  <c r="E156" i="9"/>
  <c r="H155" i="9"/>
  <c r="N154" i="9"/>
  <c r="Q153" i="9"/>
  <c r="U152" i="9"/>
  <c r="U151" i="9"/>
  <c r="R150" i="9"/>
  <c r="P149" i="9"/>
  <c r="P148" i="9"/>
  <c r="R147" i="9"/>
  <c r="M146" i="9"/>
  <c r="R145" i="9"/>
  <c r="U144" i="9"/>
  <c r="Z143" i="9"/>
  <c r="AE142" i="9"/>
  <c r="AE141" i="9"/>
  <c r="AF140" i="9"/>
  <c r="AH139" i="9"/>
  <c r="AM138" i="9"/>
  <c r="AS137" i="9"/>
  <c r="AQ136" i="9"/>
  <c r="AP135" i="9"/>
  <c r="AL134" i="9"/>
  <c r="AI133" i="9"/>
  <c r="AG132" i="9"/>
  <c r="U131" i="9"/>
  <c r="U130" i="9"/>
  <c r="W129" i="9"/>
  <c r="AD128" i="9"/>
  <c r="AI127" i="9"/>
  <c r="AE126" i="9"/>
  <c r="AG125" i="9"/>
  <c r="AE124" i="9"/>
  <c r="AB123" i="9"/>
  <c r="AF122" i="9"/>
  <c r="AL121" i="9"/>
  <c r="AK120" i="9"/>
  <c r="AM119" i="9"/>
  <c r="AM118" i="9"/>
  <c r="AL117" i="9"/>
  <c r="AQ116" i="9"/>
  <c r="AP115" i="9"/>
  <c r="AM114" i="9"/>
  <c r="AP113" i="9"/>
  <c r="AW112" i="9"/>
  <c r="AW111" i="9"/>
  <c r="AT110" i="9"/>
  <c r="AR109" i="9"/>
  <c r="AI108" i="9"/>
  <c r="AO107" i="9"/>
  <c r="AQ106" i="9"/>
  <c r="AT105" i="9"/>
  <c r="BC104" i="9"/>
  <c r="AX103" i="9"/>
  <c r="BA102" i="9"/>
  <c r="BD101" i="9"/>
  <c r="BG100" i="9"/>
  <c r="BB169" i="9"/>
  <c r="BX166" i="9"/>
  <c r="D165" i="9"/>
  <c r="L163" i="9"/>
  <c r="B161" i="9"/>
  <c r="BY158" i="9"/>
  <c r="C157" i="9"/>
  <c r="BU155" i="9"/>
  <c r="BX154" i="9"/>
  <c r="E154" i="9"/>
  <c r="H153" i="9"/>
  <c r="K152" i="9"/>
  <c r="I151" i="9"/>
  <c r="F150" i="9"/>
  <c r="F149" i="9"/>
  <c r="E148" i="9"/>
  <c r="H147" i="9"/>
  <c r="C146" i="9"/>
  <c r="I145" i="9"/>
  <c r="J144" i="9"/>
  <c r="O143" i="9"/>
  <c r="T142" i="9"/>
  <c r="U141" i="9"/>
  <c r="V140" i="9"/>
  <c r="X139" i="9"/>
  <c r="AD138" i="9"/>
  <c r="AH137" i="9"/>
  <c r="AH136" i="9"/>
  <c r="AE135" i="9"/>
  <c r="AA134" i="9"/>
  <c r="Z133" i="9"/>
  <c r="O132" i="9"/>
  <c r="J131" i="9"/>
  <c r="K130" i="9"/>
  <c r="M129" i="9"/>
  <c r="U128" i="9"/>
  <c r="V127" i="9"/>
  <c r="U126" i="9"/>
  <c r="W125" i="9"/>
  <c r="R124" i="9"/>
  <c r="O123" i="9"/>
  <c r="W122" i="9"/>
  <c r="AA121" i="9"/>
  <c r="AB120" i="9"/>
  <c r="AC119" i="9"/>
  <c r="AC118" i="9"/>
  <c r="AB117" i="9"/>
  <c r="AG116" i="9"/>
  <c r="AF115" i="9"/>
  <c r="AC114" i="9"/>
  <c r="AG113" i="9"/>
  <c r="AN112" i="9"/>
  <c r="AN111" i="9"/>
  <c r="AJ110" i="9"/>
  <c r="AC109" i="9"/>
  <c r="Z108" i="9"/>
  <c r="AD107" i="9"/>
  <c r="AF106" i="9"/>
  <c r="AK105" i="9"/>
  <c r="AR104" i="9"/>
  <c r="AO103" i="9"/>
  <c r="AP102" i="9"/>
  <c r="AR101" i="9"/>
  <c r="AT100" i="9"/>
  <c r="O168" i="9"/>
  <c r="BX165" i="9"/>
  <c r="F164" i="9"/>
  <c r="E162" i="9"/>
  <c r="B160" i="9"/>
  <c r="BP157" i="9"/>
  <c r="AG156" i="9"/>
  <c r="AI155" i="9"/>
  <c r="AM154" i="9"/>
  <c r="AP153" i="9"/>
  <c r="AS152" i="9"/>
  <c r="AT151" i="9"/>
  <c r="AW150" i="9"/>
  <c r="AQ149" i="9"/>
  <c r="AP148" i="9"/>
  <c r="AR147" i="9"/>
  <c r="AP146" i="9"/>
  <c r="AR145" i="9"/>
  <c r="AU144" i="9"/>
  <c r="AX143" i="9"/>
  <c r="BF142" i="9"/>
  <c r="BD141" i="9"/>
  <c r="BH140" i="9"/>
  <c r="BK139" i="9"/>
  <c r="BK138" i="9"/>
  <c r="BR137" i="9"/>
  <c r="BT136" i="9"/>
  <c r="BO135" i="9"/>
  <c r="BP134" i="9"/>
  <c r="BP133" i="9"/>
  <c r="BL132" i="9"/>
  <c r="AT131" i="9"/>
  <c r="AS130" i="9"/>
  <c r="AU129" i="9"/>
  <c r="AZ128" i="9"/>
  <c r="BI127" i="9"/>
  <c r="BF126" i="9"/>
  <c r="BH125" i="9"/>
  <c r="BD124" i="9"/>
  <c r="BD123" i="9"/>
  <c r="BC122" i="9"/>
  <c r="BM121" i="9"/>
  <c r="BL120" i="9"/>
  <c r="BL119" i="9"/>
  <c r="BO118" i="9"/>
  <c r="BM117" i="9"/>
  <c r="BP116" i="9"/>
  <c r="BU115" i="9"/>
  <c r="BT114" i="9"/>
  <c r="BO113" i="9"/>
  <c r="BY112" i="9"/>
  <c r="BY111" i="9"/>
  <c r="B111" i="9"/>
  <c r="BY109" i="9"/>
  <c r="BK108" i="9"/>
  <c r="BO107" i="9"/>
  <c r="BQ106" i="9"/>
  <c r="BR105" i="9"/>
  <c r="B105" i="9"/>
  <c r="D104" i="9"/>
  <c r="AR168" i="9"/>
  <c r="L166" i="9"/>
  <c r="V164" i="9"/>
  <c r="W162" i="9"/>
  <c r="O160" i="9"/>
  <c r="F158" i="9"/>
  <c r="AP156" i="9"/>
  <c r="AQ155" i="9"/>
  <c r="AT154" i="9"/>
  <c r="AW153" i="9"/>
  <c r="BD152" i="9"/>
  <c r="BD151" i="9"/>
  <c r="AM274" i="9"/>
  <c r="U330" i="9"/>
  <c r="I327" i="9"/>
  <c r="T274" i="9"/>
  <c r="BF265" i="9"/>
  <c r="BD238" i="9"/>
  <c r="AC237" i="9"/>
  <c r="R304" i="9"/>
  <c r="K238" i="9"/>
  <c r="AR216" i="9"/>
  <c r="BR261" i="9"/>
  <c r="BT250" i="9"/>
  <c r="BA242" i="9"/>
  <c r="AQ234" i="9"/>
  <c r="N314" i="9"/>
  <c r="AS262" i="9"/>
  <c r="Z254" i="9"/>
  <c r="AE246" i="9"/>
  <c r="AL238" i="9"/>
  <c r="BQ304" i="9"/>
  <c r="AL261" i="9"/>
  <c r="K253" i="9"/>
  <c r="V245" i="9"/>
  <c r="W237" i="9"/>
  <c r="W229" i="9"/>
  <c r="N221" i="9"/>
  <c r="AG213" i="9"/>
  <c r="M223" i="9"/>
  <c r="AF208" i="9"/>
  <c r="AR200" i="9"/>
  <c r="AL192" i="9"/>
  <c r="AR184" i="9"/>
  <c r="AR176" i="9"/>
  <c r="AB168" i="9"/>
  <c r="H160" i="9"/>
  <c r="AH222" i="9"/>
  <c r="C208" i="9"/>
  <c r="P200" i="9"/>
  <c r="J192" i="9"/>
  <c r="N184" i="9"/>
  <c r="E176" i="9"/>
  <c r="AA227" i="9"/>
  <c r="AQ211" i="9"/>
  <c r="AH202" i="9"/>
  <c r="AE194" i="9"/>
  <c r="AQ186" i="9"/>
  <c r="AN178" i="9"/>
  <c r="AD170" i="9"/>
  <c r="M219" i="9"/>
  <c r="AE206" i="9"/>
  <c r="AU198" i="9"/>
  <c r="AD190" i="9"/>
  <c r="AU182" i="9"/>
  <c r="AC174" i="9"/>
  <c r="B166" i="9"/>
  <c r="BS157" i="9"/>
  <c r="BX216" i="9"/>
  <c r="W205" i="9"/>
  <c r="AB197" i="9"/>
  <c r="W189" i="9"/>
  <c r="AH183" i="9"/>
  <c r="AC179" i="9"/>
  <c r="W175" i="9"/>
  <c r="P171" i="9"/>
  <c r="I169" i="9"/>
  <c r="BD166" i="9"/>
  <c r="BM164" i="9"/>
  <c r="BS162" i="9"/>
  <c r="BH160" i="9"/>
  <c r="BR158" i="9"/>
  <c r="R157" i="9"/>
  <c r="O228" i="9"/>
  <c r="BT224" i="9"/>
  <c r="G222" i="9"/>
  <c r="D220" i="9"/>
  <c r="K218" i="9"/>
  <c r="N216" i="9"/>
  <c r="S214" i="9"/>
  <c r="AH212" i="9"/>
  <c r="W210" i="9"/>
  <c r="BM208" i="9"/>
  <c r="BN207" i="9"/>
  <c r="BQ206" i="9"/>
  <c r="BR205" i="9"/>
  <c r="BS204" i="9"/>
  <c r="BU203" i="9"/>
  <c r="BS202" i="9"/>
  <c r="BT201" i="9"/>
  <c r="BX200" i="9"/>
  <c r="D200" i="9"/>
  <c r="D199" i="9"/>
  <c r="A198" i="9"/>
  <c r="BV196" i="9"/>
  <c r="BY195" i="9"/>
  <c r="BM194" i="9"/>
  <c r="BM193" i="9"/>
  <c r="BQ192" i="9"/>
  <c r="BT191" i="9"/>
  <c r="BP190" i="9"/>
  <c r="BP189" i="9"/>
  <c r="BT188" i="9"/>
  <c r="BX187" i="9"/>
  <c r="BX186" i="9"/>
  <c r="C186" i="9"/>
  <c r="BY184" i="9"/>
  <c r="BY183" i="9"/>
  <c r="H183" i="9"/>
  <c r="J182" i="9"/>
  <c r="BQ180" i="9"/>
  <c r="BU179" i="9"/>
  <c r="BX178" i="9"/>
  <c r="BX177" i="9"/>
  <c r="A177" i="9"/>
  <c r="BQ175" i="9"/>
  <c r="BQ174" i="9"/>
  <c r="BN173" i="9"/>
  <c r="BO172" i="9"/>
  <c r="BL171" i="9"/>
  <c r="BO170" i="9"/>
  <c r="AA230" i="9"/>
  <c r="AI227" i="9"/>
  <c r="AH225" i="9"/>
  <c r="R223" i="9"/>
  <c r="X221" i="9"/>
  <c r="Z219" i="9"/>
  <c r="AD217" i="9"/>
  <c r="AI215" i="9"/>
  <c r="AP213" i="9"/>
  <c r="BA211" i="9"/>
  <c r="AP209" i="9"/>
  <c r="AH208" i="9"/>
  <c r="AK207" i="9"/>
  <c r="AJ206" i="9"/>
  <c r="AN205" i="9"/>
  <c r="AM204" i="9"/>
  <c r="AM203" i="9"/>
  <c r="AM202" i="9"/>
  <c r="AQ201" i="9"/>
  <c r="AT200" i="9"/>
  <c r="AZ199" i="9"/>
  <c r="BB198" i="9"/>
  <c r="AQ197" i="9"/>
  <c r="AR196" i="9"/>
  <c r="AR195" i="9"/>
  <c r="AI194" i="9"/>
  <c r="AI193" i="9"/>
  <c r="AN192" i="9"/>
  <c r="AN191" i="9"/>
  <c r="AI190" i="9"/>
  <c r="AM189" i="9"/>
  <c r="AQ188" i="9"/>
  <c r="AQ187" i="9"/>
  <c r="AU186" i="9"/>
  <c r="AS185" i="9"/>
  <c r="AT184" i="9"/>
  <c r="AV183" i="9"/>
  <c r="BE182" i="9"/>
  <c r="AW181" i="9"/>
  <c r="AO180" i="9"/>
  <c r="AR179" i="9"/>
  <c r="AR178" i="9"/>
  <c r="AT177" i="9"/>
  <c r="AT176" i="9"/>
  <c r="AO175" i="9"/>
  <c r="AH174" i="9"/>
  <c r="AH173" i="9"/>
  <c r="AH172" i="9"/>
  <c r="AG171" i="9"/>
  <c r="AH170" i="9"/>
  <c r="BI231" i="9"/>
  <c r="K228" i="9"/>
  <c r="N226" i="9"/>
  <c r="BT223" i="9"/>
  <c r="C222" i="9"/>
  <c r="BY219" i="9"/>
  <c r="F218" i="9"/>
  <c r="J216" i="9"/>
  <c r="O214" i="9"/>
  <c r="AD212" i="9"/>
  <c r="R210" i="9"/>
  <c r="BK208" i="9"/>
  <c r="BK207" i="9"/>
  <c r="BO206" i="9"/>
  <c r="BP205" i="9"/>
  <c r="BQ204" i="9"/>
  <c r="BS203" i="9"/>
  <c r="BQ202" i="9"/>
  <c r="BR201" i="9"/>
  <c r="BT200" i="9"/>
  <c r="B200" i="9"/>
  <c r="B199" i="9"/>
  <c r="BX197" i="9"/>
  <c r="BT196" i="9"/>
  <c r="BV195" i="9"/>
  <c r="BK194" i="9"/>
  <c r="BK193" i="9"/>
  <c r="BO192" i="9"/>
  <c r="BR191" i="9"/>
  <c r="BN190" i="9"/>
  <c r="BN189" i="9"/>
  <c r="BR188" i="9"/>
  <c r="BU187" i="9"/>
  <c r="BU186" i="9"/>
  <c r="A186" i="9"/>
  <c r="BU184" i="9"/>
  <c r="BW183" i="9"/>
  <c r="F183" i="9"/>
  <c r="H182" i="9"/>
  <c r="BO180" i="9"/>
  <c r="BS179" i="9"/>
  <c r="BT178" i="9"/>
  <c r="BU177" i="9"/>
  <c r="BX176" i="9"/>
  <c r="BO175" i="9"/>
  <c r="BO174" i="9"/>
  <c r="BL173" i="9"/>
  <c r="BK172" i="9"/>
  <c r="BJ171" i="9"/>
  <c r="BL170" i="9"/>
  <c r="BJ169" i="9"/>
  <c r="BK168" i="9"/>
  <c r="AT167" i="9"/>
  <c r="AF166" i="9"/>
  <c r="AI165" i="9"/>
  <c r="AQ164" i="9"/>
  <c r="AT163" i="9"/>
  <c r="AW162" i="9"/>
  <c r="AN161" i="9"/>
  <c r="AL160" i="9"/>
  <c r="AK159" i="9"/>
  <c r="AE158" i="9"/>
  <c r="AF157" i="9"/>
  <c r="AM156" i="9"/>
  <c r="BL168" i="9"/>
  <c r="X166" i="9"/>
  <c r="AH164" i="9"/>
  <c r="AP162" i="9"/>
  <c r="AD160" i="9"/>
  <c r="R158" i="9"/>
  <c r="AW156" i="9"/>
  <c r="AV155" i="9"/>
  <c r="AZ154" i="9"/>
  <c r="BF153" i="9"/>
  <c r="BJ152" i="9"/>
  <c r="BL151" i="9"/>
  <c r="BL150" i="9"/>
  <c r="BF149" i="9"/>
  <c r="AH169" i="9"/>
  <c r="BH166" i="9"/>
  <c r="BP164" i="9"/>
  <c r="BX162" i="9"/>
  <c r="BN160" i="9"/>
  <c r="BL158" i="9"/>
  <c r="BR156" i="9"/>
  <c r="BO155" i="9"/>
  <c r="BQ154" i="9"/>
  <c r="BX153" i="9"/>
  <c r="B153" i="9"/>
  <c r="E152" i="9"/>
  <c r="C151" i="9"/>
  <c r="BY149" i="9"/>
  <c r="BY148" i="9"/>
  <c r="BX147" i="9"/>
  <c r="A147" i="9"/>
  <c r="BV145" i="9"/>
  <c r="C145" i="9"/>
  <c r="D144" i="9"/>
  <c r="I143" i="9"/>
  <c r="L142" i="9"/>
  <c r="O141" i="9"/>
  <c r="N140" i="9"/>
  <c r="P139" i="9"/>
  <c r="W138" i="9"/>
  <c r="AB137" i="9"/>
  <c r="AB136" i="9"/>
  <c r="W135" i="9"/>
  <c r="T134" i="9"/>
  <c r="P133" i="9"/>
  <c r="H132" i="9"/>
  <c r="D131" i="9"/>
  <c r="E130" i="9"/>
  <c r="G129" i="9"/>
  <c r="N128" i="9"/>
  <c r="L127" i="9"/>
  <c r="M126" i="9"/>
  <c r="P125" i="9"/>
  <c r="H124" i="9"/>
  <c r="I123" i="9"/>
  <c r="O122" i="9"/>
  <c r="R121" i="9"/>
  <c r="S120" i="9"/>
  <c r="U119" i="9"/>
  <c r="U118" i="9"/>
  <c r="U117" i="9"/>
  <c r="AA116" i="9"/>
  <c r="Z115" i="9"/>
  <c r="U114" i="9"/>
  <c r="AA113" i="9"/>
  <c r="AF112" i="9"/>
  <c r="AG111" i="9"/>
  <c r="AD110" i="9"/>
  <c r="Q109" i="9"/>
  <c r="R108" i="9"/>
  <c r="W107" i="9"/>
  <c r="Z106" i="9"/>
  <c r="AE105" i="9"/>
  <c r="AL104" i="9"/>
  <c r="BC169" i="9"/>
  <c r="C167" i="9"/>
  <c r="G165" i="9"/>
  <c r="O163" i="9"/>
  <c r="E161" i="9"/>
  <c r="C159" i="9"/>
  <c r="D157" i="9"/>
  <c r="BV155" i="9"/>
  <c r="BY154" i="9"/>
  <c r="F154" i="9"/>
  <c r="I153" i="9"/>
  <c r="L152" i="9"/>
  <c r="K151" i="9"/>
  <c r="G150" i="9"/>
  <c r="H149" i="9"/>
  <c r="F148" i="9"/>
  <c r="I147" i="9"/>
  <c r="D146" i="9"/>
  <c r="J145" i="9"/>
  <c r="K144" i="9"/>
  <c r="P143" i="9"/>
  <c r="U142" i="9"/>
  <c r="V141" i="9"/>
  <c r="W140" i="9"/>
  <c r="Z139" i="9"/>
  <c r="AE138" i="9"/>
  <c r="AI137" i="9"/>
  <c r="AI136" i="9"/>
  <c r="AF135" i="9"/>
  <c r="AB134" i="9"/>
  <c r="AA133" i="9"/>
  <c r="P132" i="9"/>
  <c r="K131" i="9"/>
  <c r="L130" i="9"/>
  <c r="N129" i="9"/>
  <c r="V128" i="9"/>
  <c r="W127" i="9"/>
  <c r="V126" i="9"/>
  <c r="X125" i="9"/>
  <c r="T124" i="9"/>
  <c r="P123" i="9"/>
  <c r="X122" i="9"/>
  <c r="AB121" i="9"/>
  <c r="AC120" i="9"/>
  <c r="AD119" i="9"/>
  <c r="AD118" i="9"/>
  <c r="AC117" i="9"/>
  <c r="AH116" i="9"/>
  <c r="AG115" i="9"/>
  <c r="AD114" i="9"/>
  <c r="AH113" i="9"/>
  <c r="AO112" i="9"/>
  <c r="AO111" i="9"/>
  <c r="AL110" i="9"/>
  <c r="AE109" i="9"/>
  <c r="AA108" i="9"/>
  <c r="AE107" i="9"/>
  <c r="AG106" i="9"/>
  <c r="AL105" i="9"/>
  <c r="AS104" i="9"/>
  <c r="AP103" i="9"/>
  <c r="AQ102" i="9"/>
  <c r="AS101" i="9"/>
  <c r="AU100" i="9"/>
  <c r="AA169" i="9"/>
  <c r="BA166" i="9"/>
  <c r="BL164" i="9"/>
  <c r="BR162" i="9"/>
  <c r="BG160" i="9"/>
  <c r="BH158" i="9"/>
  <c r="BP156" i="9"/>
  <c r="BL155" i="9"/>
  <c r="BO154" i="9"/>
  <c r="BV153" i="9"/>
  <c r="BY152" i="9"/>
  <c r="C152" i="9"/>
  <c r="A151" i="9"/>
  <c r="BU149" i="9"/>
  <c r="BW148" i="9"/>
  <c r="BU147" i="9"/>
  <c r="BT146" i="9"/>
  <c r="BT145" i="9"/>
  <c r="A145" i="9"/>
  <c r="B144" i="9"/>
  <c r="G143" i="9"/>
  <c r="J142" i="9"/>
  <c r="M141" i="9"/>
  <c r="L140" i="9"/>
  <c r="N139" i="9"/>
  <c r="U138" i="9"/>
  <c r="Z137" i="9"/>
  <c r="X136" i="9"/>
  <c r="U135" i="9"/>
  <c r="R134" i="9"/>
  <c r="N133" i="9"/>
  <c r="F132" i="9"/>
  <c r="B131" i="9"/>
  <c r="C130" i="9"/>
  <c r="E129" i="9"/>
  <c r="L128" i="9"/>
  <c r="J127" i="9"/>
  <c r="K126" i="9"/>
  <c r="N125" i="9"/>
  <c r="F124" i="9"/>
  <c r="G123" i="9"/>
  <c r="M122" i="9"/>
  <c r="P121" i="9"/>
  <c r="P120" i="9"/>
  <c r="P119" i="9"/>
  <c r="R118" i="9"/>
  <c r="Q117" i="9"/>
  <c r="X116" i="9"/>
  <c r="V115" i="9"/>
  <c r="R114" i="9"/>
  <c r="Y113" i="9"/>
  <c r="AD112" i="9"/>
  <c r="AE111" i="9"/>
  <c r="AB110" i="9"/>
  <c r="O109" i="9"/>
  <c r="O108" i="9"/>
  <c r="U107" i="9"/>
  <c r="V106" i="9"/>
  <c r="AC105" i="9"/>
  <c r="AH104" i="9"/>
  <c r="AG103" i="9"/>
  <c r="AF102" i="9"/>
  <c r="AI101" i="9"/>
  <c r="AL100" i="9"/>
  <c r="BT167" i="9"/>
  <c r="AZ165" i="9"/>
  <c r="BN163" i="9"/>
  <c r="BK161" i="9"/>
  <c r="BD159" i="9"/>
  <c r="AW157" i="9"/>
  <c r="W156" i="9"/>
  <c r="AA155" i="9"/>
  <c r="AD154" i="9"/>
  <c r="AG153" i="9"/>
  <c r="AJ152" i="9"/>
  <c r="AL151" i="9"/>
  <c r="AO150" i="9"/>
  <c r="AG149" i="9"/>
  <c r="AH148" i="9"/>
  <c r="AH147" i="9"/>
  <c r="AF146" i="9"/>
  <c r="AI145" i="9"/>
  <c r="AM144" i="9"/>
  <c r="AP143" i="9"/>
  <c r="AU142" i="9"/>
  <c r="AS141" i="9"/>
  <c r="AU140" i="9"/>
  <c r="AZ139" i="9"/>
  <c r="BA138" i="9"/>
  <c r="BJ137" i="9"/>
  <c r="BK136" i="9"/>
  <c r="BG135" i="9"/>
  <c r="BF134" i="9"/>
  <c r="BD133" i="9"/>
  <c r="BA132" i="9"/>
  <c r="AL131" i="9"/>
  <c r="AJ130" i="9"/>
  <c r="AM129" i="9"/>
  <c r="AR128" i="9"/>
  <c r="AZ127" i="9"/>
  <c r="AT126" i="9"/>
  <c r="AW125" i="9"/>
  <c r="AS124" i="9"/>
  <c r="AS123" i="9"/>
  <c r="AT122" i="9"/>
  <c r="BB121" i="9"/>
  <c r="AY120" i="9"/>
  <c r="BD119" i="9"/>
  <c r="BE118" i="9"/>
  <c r="BD117" i="9"/>
  <c r="BH116" i="9"/>
  <c r="BK115" i="9"/>
  <c r="BH114" i="9"/>
  <c r="BF113" i="9"/>
  <c r="BO112" i="9"/>
  <c r="BQ111" i="9"/>
  <c r="BQ110" i="9"/>
  <c r="BK109" i="9"/>
  <c r="AZ108" i="9"/>
  <c r="BF107" i="9"/>
  <c r="BI106" i="9"/>
  <c r="BJ105" i="9"/>
  <c r="BR104" i="9"/>
  <c r="BR103" i="9"/>
  <c r="L168" i="9"/>
  <c r="BS165" i="9"/>
  <c r="C164" i="9"/>
  <c r="B162" i="9"/>
  <c r="BX159" i="9"/>
  <c r="BL157" i="9"/>
  <c r="AF156" i="9"/>
  <c r="AH155" i="9"/>
  <c r="AL154" i="9"/>
  <c r="AO153" i="9"/>
  <c r="AR152" i="9"/>
  <c r="AS151" i="9"/>
  <c r="AV150" i="9"/>
  <c r="AP149" i="9"/>
  <c r="AO148" i="9"/>
  <c r="AQ147" i="9"/>
  <c r="AO146" i="9"/>
  <c r="AQ145" i="9"/>
  <c r="AT144" i="9"/>
  <c r="AW143" i="9"/>
  <c r="BD142" i="9"/>
  <c r="BC141" i="9"/>
  <c r="BF140" i="9"/>
  <c r="BH139" i="9"/>
  <c r="BJ138" i="9"/>
  <c r="BQ137" i="9"/>
  <c r="BS136" i="9"/>
  <c r="BN135" i="9"/>
  <c r="BO134" i="9"/>
  <c r="BO133" i="9"/>
  <c r="BK132" i="9"/>
  <c r="AS131" i="9"/>
  <c r="AR130" i="9"/>
  <c r="Q274" i="9"/>
  <c r="AS314" i="9"/>
  <c r="O314" i="9"/>
  <c r="AS257" i="9"/>
  <c r="AR256" i="9"/>
  <c r="AS230" i="9"/>
  <c r="V233" i="9"/>
  <c r="BQ271" i="9"/>
  <c r="K235" i="9"/>
  <c r="L214" i="9"/>
  <c r="BA260" i="9"/>
  <c r="AR249" i="9"/>
  <c r="BF241" i="9"/>
  <c r="AM233" i="9"/>
  <c r="C306" i="9"/>
  <c r="AU261" i="9"/>
  <c r="U253" i="9"/>
  <c r="AF245" i="9"/>
  <c r="AH237" i="9"/>
  <c r="AZ296" i="9"/>
  <c r="AP260" i="9"/>
  <c r="I252" i="9"/>
  <c r="V244" i="9"/>
  <c r="Q236" i="9"/>
  <c r="V228" i="9"/>
  <c r="L220" i="9"/>
  <c r="AP212" i="9"/>
  <c r="S221" i="9"/>
  <c r="AI207" i="9"/>
  <c r="AV199" i="9"/>
  <c r="AL191" i="9"/>
  <c r="AT183" i="9"/>
  <c r="AM175" i="9"/>
  <c r="E167" i="9"/>
  <c r="E159" i="9"/>
  <c r="AO220" i="9"/>
  <c r="G207" i="9"/>
  <c r="R199" i="9"/>
  <c r="D191" i="9"/>
  <c r="U183" i="9"/>
  <c r="F175" i="9"/>
  <c r="Z225" i="9"/>
  <c r="AH209" i="9"/>
  <c r="AM201" i="9"/>
  <c r="AE193" i="9"/>
  <c r="AO185" i="9"/>
  <c r="AP177" i="9"/>
  <c r="AD169" i="9"/>
  <c r="P217" i="9"/>
  <c r="AH205" i="9"/>
  <c r="AL197" i="9"/>
  <c r="AG189" i="9"/>
  <c r="AR181" i="9"/>
  <c r="AC173" i="9"/>
  <c r="F165" i="9"/>
  <c r="AS233" i="9"/>
  <c r="B215" i="9"/>
  <c r="Y204" i="9"/>
  <c r="AC196" i="9"/>
  <c r="AB188" i="9"/>
  <c r="I183" i="9"/>
  <c r="BY178" i="9"/>
  <c r="BR174" i="9"/>
  <c r="BP170" i="9"/>
  <c r="BP168" i="9"/>
  <c r="AI166" i="9"/>
  <c r="AT164" i="9"/>
  <c r="BB162" i="9"/>
  <c r="AO160" i="9"/>
  <c r="BI158" i="9"/>
  <c r="AH233" i="9"/>
  <c r="BE227" i="9"/>
  <c r="X224" i="9"/>
  <c r="BP221" i="9"/>
  <c r="BM219" i="9"/>
  <c r="BS217" i="9"/>
  <c r="BV215" i="9"/>
  <c r="B214" i="9"/>
  <c r="O212" i="9"/>
  <c r="F210" i="9"/>
  <c r="BD208" i="9"/>
  <c r="BD207" i="9"/>
  <c r="BF206" i="9"/>
  <c r="BJ205" i="9"/>
  <c r="BI204" i="9"/>
  <c r="BK203" i="9"/>
  <c r="BI202" i="9"/>
  <c r="BK201" i="9"/>
  <c r="BN200" i="9"/>
  <c r="BS199" i="9"/>
  <c r="BT198" i="9"/>
  <c r="BQ197" i="9"/>
  <c r="BN196" i="9"/>
  <c r="BP195" i="9"/>
  <c r="AZ194" i="9"/>
  <c r="BD193" i="9"/>
  <c r="BH192" i="9"/>
  <c r="BJ191" i="9"/>
  <c r="BF190" i="9"/>
  <c r="BG189" i="9"/>
  <c r="BK188" i="9"/>
  <c r="BO187" i="9"/>
  <c r="BO186" i="9"/>
  <c r="BO185" i="9"/>
  <c r="BO184" i="9"/>
  <c r="BO183" i="9"/>
  <c r="BY182" i="9"/>
  <c r="B182" i="9"/>
  <c r="BI180" i="9"/>
  <c r="BL179" i="9"/>
  <c r="BN178" i="9"/>
  <c r="BO177" i="9"/>
  <c r="BQ176" i="9"/>
  <c r="BI175" i="9"/>
  <c r="BD174" i="9"/>
  <c r="BC173" i="9"/>
  <c r="BD172" i="9"/>
  <c r="BA171" i="9"/>
  <c r="BC170" i="9"/>
  <c r="BR229" i="9"/>
  <c r="Q227" i="9"/>
  <c r="P225" i="9"/>
  <c r="A223" i="9"/>
  <c r="G221" i="9"/>
  <c r="H219" i="9"/>
  <c r="K217" i="9"/>
  <c r="P215" i="9"/>
  <c r="Z213" i="9"/>
  <c r="AE211" i="9"/>
  <c r="AC209" i="9"/>
  <c r="Z208" i="9"/>
  <c r="AC207" i="9"/>
  <c r="AB206" i="9"/>
  <c r="AE205" i="9"/>
  <c r="AE204" i="9"/>
  <c r="AD203" i="9"/>
  <c r="AD202" i="9"/>
  <c r="AG201" i="9"/>
  <c r="AL200" i="9"/>
  <c r="AP199" i="9"/>
  <c r="AR198" i="9"/>
  <c r="AH197" i="9"/>
  <c r="AI196" i="9"/>
  <c r="AE195" i="9"/>
  <c r="AA194" i="9"/>
  <c r="AA193" i="9"/>
  <c r="AE192" i="9"/>
  <c r="AB191" i="9"/>
  <c r="AA190" i="9"/>
  <c r="AD189" i="9"/>
  <c r="AH188" i="9"/>
  <c r="AH187" i="9"/>
  <c r="AM186" i="9"/>
  <c r="AI185" i="9"/>
  <c r="AL184" i="9"/>
  <c r="AN183" i="9"/>
  <c r="AR182" i="9"/>
  <c r="AO181" i="9"/>
  <c r="AE180" i="9"/>
  <c r="AI179" i="9"/>
  <c r="AH178" i="9"/>
  <c r="AL177" i="9"/>
  <c r="AL176" i="9"/>
  <c r="AE175" i="9"/>
  <c r="Z174" i="9"/>
  <c r="Z173" i="9"/>
  <c r="Z172" i="9"/>
  <c r="W171" i="9"/>
  <c r="Z170" i="9"/>
  <c r="V231" i="9"/>
  <c r="BS227" i="9"/>
  <c r="BR225" i="9"/>
  <c r="BB223" i="9"/>
  <c r="BJ221" i="9"/>
  <c r="BI219" i="9"/>
  <c r="BO217" i="9"/>
  <c r="BR215" i="9"/>
  <c r="BW213" i="9"/>
  <c r="K212" i="9"/>
  <c r="B210" i="9"/>
  <c r="AZ208" i="9"/>
  <c r="BA207" i="9"/>
  <c r="BD206" i="9"/>
  <c r="BH205" i="9"/>
  <c r="BE204" i="9"/>
  <c r="BF203" i="9"/>
  <c r="BF202" i="9"/>
  <c r="BI201" i="9"/>
  <c r="BL200" i="9"/>
  <c r="BQ199" i="9"/>
  <c r="BR198" i="9"/>
  <c r="BO197" i="9"/>
  <c r="BL196" i="9"/>
  <c r="BL195" i="9"/>
  <c r="AX194" i="9"/>
  <c r="BB193" i="9"/>
  <c r="BF192" i="9"/>
  <c r="BH191" i="9"/>
  <c r="BD190" i="9"/>
  <c r="BE189" i="9"/>
  <c r="BI188" i="9"/>
  <c r="BK187" i="9"/>
  <c r="BM186" i="9"/>
  <c r="BM185" i="9"/>
  <c r="BL184" i="9"/>
  <c r="BM183" i="9"/>
  <c r="BW182" i="9"/>
  <c r="BY181" i="9"/>
  <c r="BG180" i="9"/>
  <c r="BJ179" i="9"/>
  <c r="BL178" i="9"/>
  <c r="BL177" i="9"/>
  <c r="BO176" i="9"/>
  <c r="BG175" i="9"/>
  <c r="AZ174" i="9"/>
  <c r="BA173" i="9"/>
  <c r="AZ172" i="9"/>
  <c r="AW171" i="9"/>
  <c r="BA170" i="9"/>
  <c r="BA169" i="9"/>
  <c r="AZ168" i="9"/>
  <c r="AL167" i="9"/>
  <c r="W166" i="9"/>
  <c r="AA165" i="9"/>
  <c r="AG164" i="9"/>
  <c r="AL163" i="9"/>
  <c r="AO162" i="9"/>
  <c r="AF161" i="9"/>
  <c r="AC160" i="9"/>
  <c r="AC159" i="9"/>
  <c r="Q158" i="9"/>
  <c r="X157" i="9"/>
  <c r="AE156" i="9"/>
  <c r="AI168" i="9"/>
  <c r="G166" i="9"/>
  <c r="O164" i="9"/>
  <c r="N162" i="9"/>
  <c r="J160" i="9"/>
  <c r="A158" i="9"/>
  <c r="AK156" i="9"/>
  <c r="AN155" i="9"/>
  <c r="AQ154" i="9"/>
  <c r="AT153" i="9"/>
  <c r="AW152" i="9"/>
  <c r="AX151" i="9"/>
  <c r="BD150" i="9"/>
  <c r="AU149" i="9"/>
  <c r="H169" i="9"/>
  <c r="AM166" i="9"/>
  <c r="AW164" i="9"/>
  <c r="BF162" i="9"/>
  <c r="AR160" i="9"/>
  <c r="AQ158" i="9"/>
  <c r="BG156" i="9"/>
  <c r="BF155" i="9"/>
  <c r="BI154" i="9"/>
  <c r="BP153" i="9"/>
  <c r="BS152" i="9"/>
  <c r="BT151" i="9"/>
  <c r="BS150" i="9"/>
  <c r="BO149" i="9"/>
  <c r="BO148" i="9"/>
  <c r="BO147" i="9"/>
  <c r="BN146" i="9"/>
  <c r="BN145" i="9"/>
  <c r="BR144" i="9"/>
  <c r="BS143" i="9"/>
  <c r="A143" i="9"/>
  <c r="C142" i="9"/>
  <c r="G141" i="9"/>
  <c r="F140" i="9"/>
  <c r="H139" i="9"/>
  <c r="N138" i="9"/>
  <c r="R137" i="9"/>
  <c r="P136" i="9"/>
  <c r="M135" i="9"/>
  <c r="L134" i="9"/>
  <c r="H133" i="9"/>
  <c r="BV131" i="9"/>
  <c r="BS130" i="9"/>
  <c r="BU129" i="9"/>
  <c r="BX128" i="9"/>
  <c r="F128" i="9"/>
  <c r="D127" i="9"/>
  <c r="D126" i="9"/>
  <c r="H125" i="9"/>
  <c r="BY123" i="9"/>
  <c r="A123" i="9"/>
  <c r="G122" i="9"/>
  <c r="J121" i="9"/>
  <c r="G120" i="9"/>
  <c r="J119" i="9"/>
  <c r="K118" i="9"/>
  <c r="K117" i="9"/>
  <c r="Q116" i="9"/>
  <c r="O115" i="9"/>
  <c r="K114" i="9"/>
  <c r="S113" i="9"/>
  <c r="V112" i="9"/>
  <c r="X111" i="9"/>
  <c r="S110" i="9"/>
  <c r="I109" i="9"/>
  <c r="I108" i="9"/>
  <c r="N107" i="9"/>
  <c r="O106" i="9"/>
  <c r="W105" i="9"/>
  <c r="AB104" i="9"/>
  <c r="AE169" i="9"/>
  <c r="BF166" i="9"/>
  <c r="BO164" i="9"/>
  <c r="BU162" i="9"/>
  <c r="BL160" i="9"/>
  <c r="BK158" i="9"/>
  <c r="BQ156" i="9"/>
  <c r="BN155" i="9"/>
  <c r="BP154" i="9"/>
  <c r="BW153" i="9"/>
  <c r="A153" i="9"/>
  <c r="D152" i="9"/>
  <c r="B151" i="9"/>
  <c r="BX149" i="9"/>
  <c r="BX148" i="9"/>
  <c r="BW147" i="9"/>
  <c r="BY146" i="9"/>
  <c r="BU145" i="9"/>
  <c r="B145" i="9"/>
  <c r="C144" i="9"/>
  <c r="H143" i="9"/>
  <c r="K142" i="9"/>
  <c r="N141" i="9"/>
  <c r="M140" i="9"/>
  <c r="O139" i="9"/>
  <c r="V138" i="9"/>
  <c r="AA137" i="9"/>
  <c r="AA136" i="9"/>
  <c r="V135" i="9"/>
  <c r="S134" i="9"/>
  <c r="O133" i="9"/>
  <c r="G132" i="9"/>
  <c r="C131" i="9"/>
  <c r="D130" i="9"/>
  <c r="F129" i="9"/>
  <c r="M128" i="9"/>
  <c r="K127" i="9"/>
  <c r="L126" i="9"/>
  <c r="O125" i="9"/>
  <c r="G124" i="9"/>
  <c r="H123" i="9"/>
  <c r="N122" i="9"/>
  <c r="Q121" i="9"/>
  <c r="R120" i="9"/>
  <c r="R119" i="9"/>
  <c r="S118" i="9"/>
  <c r="R117" i="9"/>
  <c r="Z116" i="9"/>
  <c r="W115" i="9"/>
  <c r="S114" i="9"/>
  <c r="Z113" i="9"/>
  <c r="AE112" i="9"/>
  <c r="AF111" i="9"/>
  <c r="AC110" i="9"/>
  <c r="P109" i="9"/>
  <c r="P108" i="9"/>
  <c r="V107" i="9"/>
  <c r="W106" i="9"/>
  <c r="AD105" i="9"/>
  <c r="AI104" i="9"/>
  <c r="AH103" i="9"/>
  <c r="AG102" i="9"/>
  <c r="AJ101" i="9"/>
  <c r="AM100" i="9"/>
  <c r="C169" i="9"/>
  <c r="AH166" i="9"/>
  <c r="AS164" i="9"/>
  <c r="BA162" i="9"/>
  <c r="AN160" i="9"/>
  <c r="AJ158" i="9"/>
  <c r="BE156" i="9"/>
  <c r="BD155" i="9"/>
  <c r="BG154" i="9"/>
  <c r="BL153" i="9"/>
  <c r="BQ152" i="9"/>
  <c r="BR151" i="9"/>
  <c r="BQ150" i="9"/>
  <c r="BM149" i="9"/>
  <c r="BL148" i="9"/>
  <c r="BL147" i="9"/>
  <c r="BL146" i="9"/>
  <c r="BL145" i="9"/>
  <c r="BP144" i="9"/>
  <c r="BQ143" i="9"/>
  <c r="BX142" i="9"/>
  <c r="A142" i="9"/>
  <c r="E141" i="9"/>
  <c r="D140" i="9"/>
  <c r="E139" i="9"/>
  <c r="L138" i="9"/>
  <c r="P137" i="9"/>
  <c r="M136" i="9"/>
  <c r="K135" i="9"/>
  <c r="J134" i="9"/>
  <c r="F133" i="9"/>
  <c r="BT131" i="9"/>
  <c r="BQ130" i="9"/>
  <c r="BS129" i="9"/>
  <c r="BT128" i="9"/>
  <c r="D128" i="9"/>
  <c r="B127" i="9"/>
  <c r="B126" i="9"/>
  <c r="E125" i="9"/>
  <c r="BV123" i="9"/>
  <c r="BX122" i="9"/>
  <c r="E122" i="9"/>
  <c r="H121" i="9"/>
  <c r="E120" i="9"/>
  <c r="H119" i="9"/>
  <c r="I118" i="9"/>
  <c r="I117" i="9"/>
  <c r="O116" i="9"/>
  <c r="M115" i="9"/>
  <c r="I114" i="9"/>
  <c r="Q113" i="9"/>
  <c r="T112" i="9"/>
  <c r="V111" i="9"/>
  <c r="Q110" i="9"/>
  <c r="F109" i="9"/>
  <c r="G108" i="9"/>
  <c r="L107" i="9"/>
  <c r="M106" i="9"/>
  <c r="U105" i="9"/>
  <c r="Z104" i="9"/>
  <c r="V103" i="9"/>
  <c r="V102" i="9"/>
  <c r="AA101" i="9"/>
  <c r="AD100" i="9"/>
  <c r="AU167" i="9"/>
  <c r="AJ165" i="9"/>
  <c r="AU163" i="9"/>
  <c r="AO161" i="9"/>
  <c r="AL159" i="9"/>
  <c r="AG157" i="9"/>
  <c r="K156" i="9"/>
  <c r="N155" i="9"/>
  <c r="U154" i="9"/>
  <c r="X153" i="9"/>
  <c r="AB152" i="9"/>
  <c r="AD151" i="9"/>
  <c r="AC150" i="9"/>
  <c r="X149" i="9"/>
  <c r="W148" i="9"/>
  <c r="Z147" i="9"/>
  <c r="U146" i="9"/>
  <c r="AA145" i="9"/>
  <c r="AD144" i="9"/>
  <c r="AF143" i="9"/>
  <c r="AM142" i="9"/>
  <c r="AK141" i="9"/>
  <c r="AM140" i="9"/>
  <c r="AP139" i="9"/>
  <c r="AS138" i="9"/>
  <c r="BA137" i="9"/>
  <c r="AW136" i="9"/>
  <c r="AV135" i="9"/>
  <c r="AR134" i="9"/>
  <c r="AR133" i="9"/>
  <c r="AQ132" i="9"/>
  <c r="AC131" i="9"/>
  <c r="AB130" i="9"/>
  <c r="AD129" i="9"/>
  <c r="AJ128" i="9"/>
  <c r="AQ127" i="9"/>
  <c r="AL126" i="9"/>
  <c r="AO125" i="9"/>
  <c r="AK124" i="9"/>
  <c r="AH123" i="9"/>
  <c r="AL122" i="9"/>
  <c r="AR121" i="9"/>
  <c r="AQ120" i="9"/>
  <c r="AS119" i="9"/>
  <c r="AS118" i="9"/>
  <c r="AR117" i="9"/>
  <c r="AW116" i="9"/>
  <c r="AV115" i="9"/>
  <c r="AU114" i="9"/>
  <c r="AV113" i="9"/>
  <c r="BF112" i="9"/>
  <c r="BH111" i="9"/>
  <c r="BD110" i="9"/>
  <c r="AZ109" i="9"/>
  <c r="AP108" i="9"/>
  <c r="AU107" i="9"/>
  <c r="AW106" i="9"/>
  <c r="AZ105" i="9"/>
  <c r="BJ104" i="9"/>
  <c r="BI103" i="9"/>
  <c r="BQ167" i="9"/>
  <c r="AW165" i="9"/>
  <c r="BK163" i="9"/>
  <c r="BG161" i="9"/>
  <c r="AY159" i="9"/>
  <c r="AT157" i="9"/>
  <c r="U156" i="9"/>
  <c r="Z155" i="9"/>
  <c r="AC154" i="9"/>
  <c r="AF153" i="9"/>
  <c r="AI152" i="9"/>
  <c r="AK151" i="9"/>
  <c r="AN150" i="9"/>
  <c r="AF149" i="9"/>
  <c r="AG148" i="9"/>
  <c r="AG147" i="9"/>
  <c r="F274" i="9"/>
  <c r="AK306" i="9"/>
  <c r="D306" i="9"/>
  <c r="AE249" i="9"/>
  <c r="AC248" i="9"/>
  <c r="T281" i="9"/>
  <c r="AB229" i="9"/>
  <c r="AF261" i="9"/>
  <c r="AQ232" i="9"/>
  <c r="AJ211" i="9"/>
  <c r="Z259" i="9"/>
  <c r="AG248" i="9"/>
  <c r="BE240" i="9"/>
  <c r="AP232" i="9"/>
  <c r="BE297" i="9"/>
  <c r="AZ260" i="9"/>
  <c r="R252" i="9"/>
  <c r="AG244" i="9"/>
  <c r="AD236" i="9"/>
  <c r="BB288" i="9"/>
  <c r="AP259" i="9"/>
  <c r="K251" i="9"/>
  <c r="AB243" i="9"/>
  <c r="P235" i="9"/>
  <c r="Z227" i="9"/>
  <c r="O219" i="9"/>
  <c r="AP211" i="9"/>
  <c r="U219" i="9"/>
  <c r="AH206" i="9"/>
  <c r="AZ198" i="9"/>
  <c r="AG190" i="9"/>
  <c r="AZ182" i="9"/>
  <c r="AF174" i="9"/>
  <c r="E166" i="9"/>
  <c r="BX157" i="9"/>
  <c r="AN218" i="9"/>
  <c r="E206" i="9"/>
  <c r="N198" i="9"/>
  <c r="C190" i="9"/>
  <c r="W182" i="9"/>
  <c r="C174" i="9"/>
  <c r="I223" i="9"/>
  <c r="AD208" i="9"/>
  <c r="AP200" i="9"/>
  <c r="AI192" i="9"/>
  <c r="AP184" i="9"/>
  <c r="AP176" i="9"/>
  <c r="Z168" i="9"/>
  <c r="W215" i="9"/>
  <c r="AH204" i="9"/>
  <c r="AM196" i="9"/>
  <c r="AL188" i="9"/>
  <c r="AH180" i="9"/>
  <c r="AC172" i="9"/>
  <c r="J164" i="9"/>
  <c r="AM229" i="9"/>
  <c r="N213" i="9"/>
  <c r="W203" i="9"/>
  <c r="R195" i="9"/>
  <c r="AB187" i="9"/>
  <c r="AL182" i="9"/>
  <c r="AB178" i="9"/>
  <c r="P174" i="9"/>
  <c r="AT170" i="9"/>
  <c r="AS168" i="9"/>
  <c r="Q166" i="9"/>
  <c r="AB164" i="9"/>
  <c r="AE162" i="9"/>
  <c r="W160" i="9"/>
  <c r="AL158" i="9"/>
  <c r="AE232" i="9"/>
  <c r="R227" i="9"/>
  <c r="A224" i="9"/>
  <c r="AS221" i="9"/>
  <c r="AT219" i="9"/>
  <c r="AV217" i="9"/>
  <c r="BF215" i="9"/>
  <c r="BI213" i="9"/>
  <c r="BW211" i="9"/>
  <c r="BL209" i="9"/>
  <c r="AR208" i="9"/>
  <c r="AT207" i="9"/>
  <c r="AT206" i="9"/>
  <c r="AZ205" i="9"/>
  <c r="AV204" i="9"/>
  <c r="AV203" i="9"/>
  <c r="AV202" i="9"/>
  <c r="BB201" i="9"/>
  <c r="BE200" i="9"/>
  <c r="BK199" i="9"/>
  <c r="BL198" i="9"/>
  <c r="BD197" i="9"/>
  <c r="BD196" i="9"/>
  <c r="BE195" i="9"/>
  <c r="AR194" i="9"/>
  <c r="AT193" i="9"/>
  <c r="AW192" i="9"/>
  <c r="AW191" i="9"/>
  <c r="AU190" i="9"/>
  <c r="AV189" i="9"/>
  <c r="BA188" i="9"/>
  <c r="BD187" i="9"/>
  <c r="BG186" i="9"/>
  <c r="BG185" i="9"/>
  <c r="BF184" i="9"/>
  <c r="BF183" i="9"/>
  <c r="BQ182" i="9"/>
  <c r="BK181" i="9"/>
  <c r="AZ180" i="9"/>
  <c r="BD179" i="9"/>
  <c r="BC178" i="9"/>
  <c r="BF177" i="9"/>
  <c r="BH176" i="9"/>
  <c r="AZ175" i="9"/>
  <c r="AR174" i="9"/>
  <c r="AS173" i="9"/>
  <c r="AR172" i="9"/>
  <c r="AQ171" i="9"/>
  <c r="Z233" i="9"/>
  <c r="AD229" i="9"/>
  <c r="BY226" i="9"/>
  <c r="BR224" i="9"/>
  <c r="BF222" i="9"/>
  <c r="BO220" i="9"/>
  <c r="BP218" i="9"/>
  <c r="BR216" i="9"/>
  <c r="BV214" i="9"/>
  <c r="J213" i="9"/>
  <c r="F211" i="9"/>
  <c r="O209" i="9"/>
  <c r="N208" i="9"/>
  <c r="T207" i="9"/>
  <c r="P206" i="9"/>
  <c r="U205" i="9"/>
  <c r="V204" i="9"/>
  <c r="U203" i="9"/>
  <c r="S202" i="9"/>
  <c r="X201" i="9"/>
  <c r="AD200" i="9"/>
  <c r="AF199" i="9"/>
  <c r="AE198" i="9"/>
  <c r="Z197" i="9"/>
  <c r="AA196" i="9"/>
  <c r="O195" i="9"/>
  <c r="P194" i="9"/>
  <c r="Q193" i="9"/>
  <c r="V192" i="9"/>
  <c r="O191" i="9"/>
  <c r="O190" i="9"/>
  <c r="U189" i="9"/>
  <c r="Z188" i="9"/>
  <c r="Z187" i="9"/>
  <c r="AC186" i="9"/>
  <c r="AA185" i="9"/>
  <c r="AB184" i="9"/>
  <c r="AF183" i="9"/>
  <c r="AI182" i="9"/>
  <c r="W181" i="9"/>
  <c r="V180" i="9"/>
  <c r="AA179" i="9"/>
  <c r="Z178" i="9"/>
  <c r="AB177" i="9"/>
  <c r="W176" i="9"/>
  <c r="U175" i="9"/>
  <c r="N174" i="9"/>
  <c r="O173" i="9"/>
  <c r="O172" i="9"/>
  <c r="N171" i="9"/>
  <c r="N170" i="9"/>
  <c r="BH230" i="9"/>
  <c r="AW227" i="9"/>
  <c r="AW225" i="9"/>
  <c r="AH223" i="9"/>
  <c r="AM221" i="9"/>
  <c r="AN219" i="9"/>
  <c r="AR217" i="9"/>
  <c r="AZ215" i="9"/>
  <c r="BD213" i="9"/>
  <c r="BS211" i="9"/>
  <c r="BH209" i="9"/>
  <c r="AP208" i="9"/>
  <c r="AR207" i="9"/>
  <c r="AR206" i="9"/>
  <c r="AW205" i="9"/>
  <c r="AT204" i="9"/>
  <c r="AT203" i="9"/>
  <c r="AT202" i="9"/>
  <c r="AZ201" i="9"/>
  <c r="BC200" i="9"/>
  <c r="BH199" i="9"/>
  <c r="BJ198" i="9"/>
  <c r="AZ197" i="9"/>
  <c r="AZ196" i="9"/>
  <c r="BA195" i="9"/>
  <c r="AP194" i="9"/>
  <c r="AR193" i="9"/>
  <c r="AU192" i="9"/>
  <c r="AU191" i="9"/>
  <c r="AS190" i="9"/>
  <c r="AT189" i="9"/>
  <c r="AY188" i="9"/>
  <c r="AZ187" i="9"/>
  <c r="BD186" i="9"/>
  <c r="BC185" i="9"/>
  <c r="BC184" i="9"/>
  <c r="BD183" i="9"/>
  <c r="BO182" i="9"/>
  <c r="BI181" i="9"/>
  <c r="AV180" i="9"/>
  <c r="AZ179" i="9"/>
  <c r="BA178" i="9"/>
  <c r="BC177" i="9"/>
  <c r="BE176" i="9"/>
  <c r="AV175" i="9"/>
  <c r="AP174" i="9"/>
  <c r="AQ173" i="9"/>
  <c r="AP172" i="9"/>
  <c r="AO171" i="9"/>
  <c r="AQ170" i="9"/>
  <c r="AQ169" i="9"/>
  <c r="AP168" i="9"/>
  <c r="R167" i="9"/>
  <c r="N166" i="9"/>
  <c r="S165" i="9"/>
  <c r="X164" i="9"/>
  <c r="AB163" i="9"/>
  <c r="AA162" i="9"/>
  <c r="V161" i="9"/>
  <c r="R160" i="9"/>
  <c r="S159" i="9"/>
  <c r="H158" i="9"/>
  <c r="N157" i="9"/>
  <c r="V156" i="9"/>
  <c r="E168" i="9"/>
  <c r="BN165" i="9"/>
  <c r="BW163" i="9"/>
  <c r="BS161" i="9"/>
  <c r="BP159" i="9"/>
  <c r="BF157" i="9"/>
  <c r="AB156" i="9"/>
  <c r="AE155" i="9"/>
  <c r="AH154" i="9"/>
  <c r="AL153" i="9"/>
  <c r="AO152" i="9"/>
  <c r="AP151" i="9"/>
  <c r="AS150" i="9"/>
  <c r="AM149" i="9"/>
  <c r="BI168" i="9"/>
  <c r="U166" i="9"/>
  <c r="AE164" i="9"/>
  <c r="AM162" i="9"/>
  <c r="AA160" i="9"/>
  <c r="O158" i="9"/>
  <c r="AV156" i="9"/>
  <c r="AU155" i="9"/>
  <c r="AY154" i="9"/>
  <c r="BE153" i="9"/>
  <c r="BI152" i="9"/>
  <c r="BK151" i="9"/>
  <c r="BK150" i="9"/>
  <c r="BD149" i="9"/>
  <c r="BC148" i="9"/>
  <c r="BF147" i="9"/>
  <c r="BC146" i="9"/>
  <c r="BF145" i="9"/>
  <c r="BJ144" i="9"/>
  <c r="BK143" i="9"/>
  <c r="BQ142" i="9"/>
  <c r="BR141" i="9"/>
  <c r="BX140" i="9"/>
  <c r="BW139" i="9"/>
  <c r="BX138" i="9"/>
  <c r="F138" i="9"/>
  <c r="J137" i="9"/>
  <c r="D136" i="9"/>
  <c r="D135" i="9"/>
  <c r="D134" i="9"/>
  <c r="BY132" i="9"/>
  <c r="BL131" i="9"/>
  <c r="BI130" i="9"/>
  <c r="BK129" i="9"/>
  <c r="BN128" i="9"/>
  <c r="BW127" i="9"/>
  <c r="BT126" i="9"/>
  <c r="BS125" i="9"/>
  <c r="BS124" i="9"/>
  <c r="BP123" i="9"/>
  <c r="BP122" i="9"/>
  <c r="BX121" i="9"/>
  <c r="A121" i="9"/>
  <c r="BX119" i="9"/>
  <c r="B119" i="9"/>
  <c r="C118" i="9"/>
  <c r="B117" i="9"/>
  <c r="I116" i="9"/>
  <c r="G115" i="9"/>
  <c r="C114" i="9"/>
  <c r="K113" i="9"/>
  <c r="L112" i="9"/>
  <c r="N111" i="9"/>
  <c r="K110" i="9"/>
  <c r="BY108" i="9"/>
  <c r="A108" i="9"/>
  <c r="E107" i="9"/>
  <c r="F106" i="9"/>
  <c r="M105" i="9"/>
  <c r="P104" i="9"/>
  <c r="F169" i="9"/>
  <c r="AL166" i="9"/>
  <c r="AV164" i="9"/>
  <c r="BD162" i="9"/>
  <c r="AQ160" i="9"/>
  <c r="AN158" i="9"/>
  <c r="BF156" i="9"/>
  <c r="BE155" i="9"/>
  <c r="BH154" i="9"/>
  <c r="BO153" i="9"/>
  <c r="BR152" i="9"/>
  <c r="BS151" i="9"/>
  <c r="BR150" i="9"/>
  <c r="BN149" i="9"/>
  <c r="BN148" i="9"/>
  <c r="BN147" i="9"/>
  <c r="BM146" i="9"/>
  <c r="BM145" i="9"/>
  <c r="BQ144" i="9"/>
  <c r="BR143" i="9"/>
  <c r="BY142" i="9"/>
  <c r="B142" i="9"/>
  <c r="F141" i="9"/>
  <c r="E140" i="9"/>
  <c r="F139" i="9"/>
  <c r="M138" i="9"/>
  <c r="Q137" i="9"/>
  <c r="O136" i="9"/>
  <c r="L135" i="9"/>
  <c r="K134" i="9"/>
  <c r="G133" i="9"/>
  <c r="BU131" i="9"/>
  <c r="BR130" i="9"/>
  <c r="BT129" i="9"/>
  <c r="BW128" i="9"/>
  <c r="E128" i="9"/>
  <c r="C127" i="9"/>
  <c r="C126" i="9"/>
  <c r="F125" i="9"/>
  <c r="BX123" i="9"/>
  <c r="BY122" i="9"/>
  <c r="F122" i="9"/>
  <c r="I121" i="9"/>
  <c r="F120" i="9"/>
  <c r="I119" i="9"/>
  <c r="J118" i="9"/>
  <c r="J117" i="9"/>
  <c r="P116" i="9"/>
  <c r="N115" i="9"/>
  <c r="J114" i="9"/>
  <c r="R113" i="9"/>
  <c r="U112" i="9"/>
  <c r="W111" i="9"/>
  <c r="R110" i="9"/>
  <c r="H109" i="9"/>
  <c r="H108" i="9"/>
  <c r="M107" i="9"/>
  <c r="N106" i="9"/>
  <c r="V105" i="9"/>
  <c r="AA104" i="9"/>
  <c r="W103" i="9"/>
  <c r="W102" i="9"/>
  <c r="AB101" i="9"/>
  <c r="AE100" i="9"/>
  <c r="BA168" i="9"/>
  <c r="P166" i="9"/>
  <c r="AA164" i="9"/>
  <c r="AC162" i="9"/>
  <c r="V160" i="9"/>
  <c r="J158" i="9"/>
  <c r="AR156" i="9"/>
  <c r="AS155" i="9"/>
  <c r="AV154" i="9"/>
  <c r="BA153" i="9"/>
  <c r="BF152" i="9"/>
  <c r="BI151" i="9"/>
  <c r="BI150" i="9"/>
  <c r="BB149" i="9"/>
  <c r="AY148" i="9"/>
  <c r="BC147" i="9"/>
  <c r="BA146" i="9"/>
  <c r="BD145" i="9"/>
  <c r="BG144" i="9"/>
  <c r="BI143" i="9"/>
  <c r="BO142" i="9"/>
  <c r="BP141" i="9"/>
  <c r="BU140" i="9"/>
  <c r="BT139" i="9"/>
  <c r="BT138" i="9"/>
  <c r="D138" i="9"/>
  <c r="H137" i="9"/>
  <c r="B136" i="9"/>
  <c r="B135" i="9"/>
  <c r="A134" i="9"/>
  <c r="BV132" i="9"/>
  <c r="BH131" i="9"/>
  <c r="BF130" i="9"/>
  <c r="BI129" i="9"/>
  <c r="BK128" i="9"/>
  <c r="BS127" i="9"/>
  <c r="BR126" i="9"/>
  <c r="BQ125" i="9"/>
  <c r="BQ124" i="9"/>
  <c r="BN123" i="9"/>
  <c r="BN122" i="9"/>
  <c r="BV121" i="9"/>
  <c r="BX120" i="9"/>
  <c r="BU119" i="9"/>
  <c r="BY118" i="9"/>
  <c r="A118" i="9"/>
  <c r="BY116" i="9"/>
  <c r="G116" i="9"/>
  <c r="E115" i="9"/>
  <c r="A114" i="9"/>
  <c r="I113" i="9"/>
  <c r="J112" i="9"/>
  <c r="K111" i="9"/>
  <c r="I110" i="9"/>
  <c r="BV108" i="9"/>
  <c r="BX107" i="9"/>
  <c r="C107" i="9"/>
  <c r="D106" i="9"/>
  <c r="K105" i="9"/>
  <c r="N104" i="9"/>
  <c r="K103" i="9"/>
  <c r="M102" i="9"/>
  <c r="P101" i="9"/>
  <c r="E170" i="9"/>
  <c r="W167" i="9"/>
  <c r="T165" i="9"/>
  <c r="AC163" i="9"/>
  <c r="W161" i="9"/>
  <c r="T159" i="9"/>
  <c r="O157" i="9"/>
  <c r="C156" i="9"/>
  <c r="F155" i="9"/>
  <c r="L154" i="9"/>
  <c r="O153" i="9"/>
  <c r="R152" i="9"/>
  <c r="S151" i="9"/>
  <c r="O150" i="9"/>
  <c r="N149" i="9"/>
  <c r="M148" i="9"/>
  <c r="O147" i="9"/>
  <c r="K146" i="9"/>
  <c r="P145" i="9"/>
  <c r="Q144" i="9"/>
  <c r="W143" i="9"/>
  <c r="AC142" i="9"/>
  <c r="AC141" i="9"/>
  <c r="AD140" i="9"/>
  <c r="AF139" i="9"/>
  <c r="AK138" i="9"/>
  <c r="AQ137" i="9"/>
  <c r="AO136" i="9"/>
  <c r="AN135" i="9"/>
  <c r="AJ134" i="9"/>
  <c r="AG133" i="9"/>
  <c r="AC132" i="9"/>
  <c r="Q131" i="9"/>
  <c r="R130" i="9"/>
  <c r="U129" i="9"/>
  <c r="AB128" i="9"/>
  <c r="AG127" i="9"/>
  <c r="AC126" i="9"/>
  <c r="AE125" i="9"/>
  <c r="AC124" i="9"/>
  <c r="Z123" i="9"/>
  <c r="AD122" i="9"/>
  <c r="AH121" i="9"/>
  <c r="AI120" i="9"/>
  <c r="AJ119" i="9"/>
  <c r="AJ118" i="9"/>
  <c r="AI117" i="9"/>
  <c r="AO116" i="9"/>
  <c r="AN115" i="9"/>
  <c r="AJ114" i="9"/>
  <c r="AN113" i="9"/>
  <c r="AU112" i="9"/>
  <c r="AU111" i="9"/>
  <c r="AR110" i="9"/>
  <c r="AP109" i="9"/>
  <c r="AG108" i="9"/>
  <c r="AM107" i="9"/>
  <c r="AO106" i="9"/>
  <c r="AR105" i="9"/>
  <c r="BA104" i="9"/>
  <c r="AV103" i="9"/>
  <c r="AR167" i="9"/>
  <c r="AG165" i="9"/>
  <c r="AR163" i="9"/>
  <c r="AL161" i="9"/>
  <c r="AI159" i="9"/>
  <c r="AD157" i="9"/>
  <c r="J156" i="9"/>
  <c r="M155" i="9"/>
  <c r="S154" i="9"/>
  <c r="W153" i="9"/>
  <c r="AA152" i="9"/>
  <c r="AC151" i="9"/>
  <c r="AB150" i="9"/>
  <c r="W149" i="9"/>
  <c r="V148" i="9"/>
  <c r="X147" i="9"/>
  <c r="BT273" i="9"/>
  <c r="N298" i="9"/>
  <c r="BF297" i="9"/>
  <c r="BB241" i="9"/>
  <c r="AW240" i="9"/>
  <c r="AQ258" i="9"/>
  <c r="AC225" i="9"/>
  <c r="S257" i="9"/>
  <c r="F230" i="9"/>
  <c r="BN327" i="9"/>
  <c r="BK257" i="9"/>
  <c r="AL247" i="9"/>
  <c r="BA239" i="9"/>
  <c r="AQ231" i="9"/>
  <c r="BI289" i="9"/>
  <c r="BA259" i="9"/>
  <c r="V251" i="9"/>
  <c r="AL243" i="9"/>
  <c r="AB235" i="9"/>
  <c r="BI280" i="9"/>
  <c r="AM258" i="9"/>
  <c r="L250" i="9"/>
  <c r="AG242" i="9"/>
  <c r="U234" i="9"/>
  <c r="AA226" i="9"/>
  <c r="R218" i="9"/>
  <c r="AD210" i="9"/>
  <c r="Z217" i="9"/>
  <c r="AL205" i="9"/>
  <c r="AO197" i="9"/>
  <c r="AJ189" i="9"/>
  <c r="AU181" i="9"/>
  <c r="AF173" i="9"/>
  <c r="I165" i="9"/>
  <c r="E157" i="9"/>
  <c r="AQ216" i="9"/>
  <c r="H205" i="9"/>
  <c r="K197" i="9"/>
  <c r="G189" i="9"/>
  <c r="F181" i="9"/>
  <c r="B173" i="9"/>
  <c r="O221" i="9"/>
  <c r="AG207" i="9"/>
  <c r="AT199" i="9"/>
  <c r="AI191" i="9"/>
  <c r="AR183" i="9"/>
  <c r="AI175" i="9"/>
  <c r="D230" i="9"/>
  <c r="AE213" i="9"/>
  <c r="AG203" i="9"/>
  <c r="AM195" i="9"/>
  <c r="AL187" i="9"/>
  <c r="AM179" i="9"/>
  <c r="AB171" i="9"/>
  <c r="N163" i="9"/>
  <c r="D227" i="9"/>
  <c r="J211" i="9"/>
  <c r="V202" i="9"/>
  <c r="S194" i="9"/>
  <c r="AE186" i="9"/>
  <c r="K182" i="9"/>
  <c r="BY177" i="9"/>
  <c r="BO173" i="9"/>
  <c r="P170" i="9"/>
  <c r="G168" i="9"/>
  <c r="BP165" i="9"/>
  <c r="BY163" i="9"/>
  <c r="BX161" i="9"/>
  <c r="BR159" i="9"/>
  <c r="L158" i="9"/>
  <c r="BQ231" i="9"/>
  <c r="A227" i="9"/>
  <c r="AN223" i="9"/>
  <c r="Z221" i="9"/>
  <c r="AA219" i="9"/>
  <c r="AE217" i="9"/>
  <c r="AJ215" i="9"/>
  <c r="AQ213" i="9"/>
  <c r="BD211" i="9"/>
  <c r="AQ209" i="9"/>
  <c r="AI208" i="9"/>
  <c r="AL207" i="9"/>
  <c r="AL206" i="9"/>
  <c r="AQ205" i="9"/>
  <c r="AN204" i="9"/>
  <c r="AN203" i="9"/>
  <c r="AN202" i="9"/>
  <c r="AR201" i="9"/>
  <c r="AU200" i="9"/>
  <c r="BA199" i="9"/>
  <c r="BC198" i="9"/>
  <c r="AR197" i="9"/>
  <c r="AS196" i="9"/>
  <c r="AS195" i="9"/>
  <c r="AJ194" i="9"/>
  <c r="AL193" i="9"/>
  <c r="AO192" i="9"/>
  <c r="AO191" i="9"/>
  <c r="AJ190" i="9"/>
  <c r="AN189" i="9"/>
  <c r="AR188" i="9"/>
  <c r="AR187" i="9"/>
  <c r="AV186" i="9"/>
  <c r="AT185" i="9"/>
  <c r="AU184" i="9"/>
  <c r="AW183" i="9"/>
  <c r="BF182" i="9"/>
  <c r="AZ181" i="9"/>
  <c r="AP180" i="9"/>
  <c r="AS179" i="9"/>
  <c r="AS178" i="9"/>
  <c r="AU177" i="9"/>
  <c r="AU176" i="9"/>
  <c r="AP175" i="9"/>
  <c r="AI174" i="9"/>
  <c r="AI173" i="9"/>
  <c r="AI172" i="9"/>
  <c r="AH171" i="9"/>
  <c r="BM232" i="9"/>
  <c r="BR228" i="9"/>
  <c r="BD226" i="9"/>
  <c r="AV224" i="9"/>
  <c r="AO222" i="9"/>
  <c r="AV220" i="9"/>
  <c r="AU218" i="9"/>
  <c r="AZ216" i="9"/>
  <c r="BD214" i="9"/>
  <c r="BR212" i="9"/>
  <c r="BI210" i="9"/>
  <c r="F209" i="9"/>
  <c r="F208" i="9"/>
  <c r="J207" i="9"/>
  <c r="H206" i="9"/>
  <c r="K205" i="9"/>
  <c r="L204" i="9"/>
  <c r="K203" i="9"/>
  <c r="K202" i="9"/>
  <c r="N201" i="9"/>
  <c r="U200" i="9"/>
  <c r="V199" i="9"/>
  <c r="Q198" i="9"/>
  <c r="N197" i="9"/>
  <c r="O196" i="9"/>
  <c r="F195" i="9"/>
  <c r="D194" i="9"/>
  <c r="I193" i="9"/>
  <c r="M192" i="9"/>
  <c r="G191" i="9"/>
  <c r="F190" i="9"/>
  <c r="K189" i="9"/>
  <c r="N188" i="9"/>
  <c r="O187" i="9"/>
  <c r="T186" i="9"/>
  <c r="Q185" i="9"/>
  <c r="R184" i="9"/>
  <c r="X183" i="9"/>
  <c r="AA182" i="9"/>
  <c r="J181" i="9"/>
  <c r="M180" i="9"/>
  <c r="O179" i="9"/>
  <c r="O178" i="9"/>
  <c r="R177" i="9"/>
  <c r="H176" i="9"/>
  <c r="K175" i="9"/>
  <c r="F174" i="9"/>
  <c r="E173" i="9"/>
  <c r="F172" i="9"/>
  <c r="F171" i="9"/>
  <c r="D170" i="9"/>
  <c r="U230" i="9"/>
  <c r="AF227" i="9"/>
  <c r="AE225" i="9"/>
  <c r="N223" i="9"/>
  <c r="U221" i="9"/>
  <c r="V219" i="9"/>
  <c r="AA217" i="9"/>
  <c r="AF215" i="9"/>
  <c r="AM213" i="9"/>
  <c r="AV211" i="9"/>
  <c r="AM209" i="9"/>
  <c r="AG208" i="9"/>
  <c r="AJ207" i="9"/>
  <c r="AI206" i="9"/>
  <c r="AM205" i="9"/>
  <c r="AL204" i="9"/>
  <c r="AL203" i="9"/>
  <c r="AL202" i="9"/>
  <c r="AP201" i="9"/>
  <c r="AS200" i="9"/>
  <c r="AW199" i="9"/>
  <c r="BA198" i="9"/>
  <c r="AP197" i="9"/>
  <c r="AQ196" i="9"/>
  <c r="AQ195" i="9"/>
  <c r="AH194" i="9"/>
  <c r="AH193" i="9"/>
  <c r="AM192" i="9"/>
  <c r="AM191" i="9"/>
  <c r="AH190" i="9"/>
  <c r="AL189" i="9"/>
  <c r="AP188" i="9"/>
  <c r="AP187" i="9"/>
  <c r="AT186" i="9"/>
  <c r="AR185" i="9"/>
  <c r="AS184" i="9"/>
  <c r="AU183" i="9"/>
  <c r="BA182" i="9"/>
  <c r="AV181" i="9"/>
  <c r="AN180" i="9"/>
  <c r="AQ179" i="9"/>
  <c r="AQ178" i="9"/>
  <c r="AS177" i="9"/>
  <c r="AS176" i="9"/>
  <c r="AN175" i="9"/>
  <c r="AG174" i="9"/>
  <c r="AG173" i="9"/>
  <c r="AG172" i="9"/>
  <c r="AF171" i="9"/>
  <c r="AG170" i="9"/>
  <c r="AG169" i="9"/>
  <c r="AE168" i="9"/>
  <c r="F167" i="9"/>
  <c r="F166" i="9"/>
  <c r="J165" i="9"/>
  <c r="N164" i="9"/>
  <c r="R163" i="9"/>
  <c r="M162" i="9"/>
  <c r="K161" i="9"/>
  <c r="I160" i="9"/>
  <c r="F159" i="9"/>
  <c r="BY157" i="9"/>
  <c r="F157" i="9"/>
  <c r="L156" i="9"/>
  <c r="BH167" i="9"/>
  <c r="AR165" i="9"/>
  <c r="BF163" i="9"/>
  <c r="AW161" i="9"/>
  <c r="AT159" i="9"/>
  <c r="AO157" i="9"/>
  <c r="P156" i="9"/>
  <c r="U155" i="9"/>
  <c r="Z154" i="9"/>
  <c r="AC153" i="9"/>
  <c r="AF152" i="9"/>
  <c r="AH151" i="9"/>
  <c r="AJ150" i="9"/>
  <c r="AC149" i="9"/>
  <c r="AG168" i="9"/>
  <c r="D166" i="9"/>
  <c r="L164" i="9"/>
  <c r="K162" i="9"/>
  <c r="G160" i="9"/>
  <c r="BW157" i="9"/>
  <c r="AJ156" i="9"/>
  <c r="AM155" i="9"/>
  <c r="AP154" i="9"/>
  <c r="AS153" i="9"/>
  <c r="AV152" i="9"/>
  <c r="AW151" i="9"/>
  <c r="BA150" i="9"/>
  <c r="AT149" i="9"/>
  <c r="AS148" i="9"/>
  <c r="AU147" i="9"/>
  <c r="AS146" i="9"/>
  <c r="AU145" i="9"/>
  <c r="AZ144" i="9"/>
  <c r="BB143" i="9"/>
  <c r="BI142" i="9"/>
  <c r="BJ141" i="9"/>
  <c r="BO140" i="9"/>
  <c r="BN139" i="9"/>
  <c r="BN138" i="9"/>
  <c r="BU137" i="9"/>
  <c r="A137" i="9"/>
  <c r="BS135" i="9"/>
  <c r="BS134" i="9"/>
  <c r="BS133" i="9"/>
  <c r="BP132" i="9"/>
  <c r="AW131" i="9"/>
  <c r="AV130" i="9"/>
  <c r="AZ129" i="9"/>
  <c r="BD128" i="9"/>
  <c r="BL127" i="9"/>
  <c r="BJ126" i="9"/>
  <c r="BK125" i="9"/>
  <c r="BJ124" i="9"/>
  <c r="BG123" i="9"/>
  <c r="BF122" i="9"/>
  <c r="BP121" i="9"/>
  <c r="BP120" i="9"/>
  <c r="BO119" i="9"/>
  <c r="BR118" i="9"/>
  <c r="BQ117" i="9"/>
  <c r="BS116" i="9"/>
  <c r="A116" i="9"/>
  <c r="BX114" i="9"/>
  <c r="BR113" i="9"/>
  <c r="C113" i="9"/>
  <c r="C112" i="9"/>
  <c r="E111" i="9"/>
  <c r="C110" i="9"/>
  <c r="BP108" i="9"/>
  <c r="BR107" i="9"/>
  <c r="BT106" i="9"/>
  <c r="BW105" i="9"/>
  <c r="E105" i="9"/>
  <c r="H104" i="9"/>
  <c r="BD168" i="9"/>
  <c r="S166" i="9"/>
  <c r="AD164" i="9"/>
  <c r="AL162" i="9"/>
  <c r="Z160" i="9"/>
  <c r="N158" i="9"/>
  <c r="AS156" i="9"/>
  <c r="AT155" i="9"/>
  <c r="AW154" i="9"/>
  <c r="BD153" i="9"/>
  <c r="BH152" i="9"/>
  <c r="BJ151" i="9"/>
  <c r="BJ150" i="9"/>
  <c r="BC149" i="9"/>
  <c r="AZ148" i="9"/>
  <c r="BD147" i="9"/>
  <c r="BB146" i="9"/>
  <c r="BE145" i="9"/>
  <c r="BI144" i="9"/>
  <c r="BJ143" i="9"/>
  <c r="BP142" i="9"/>
  <c r="BQ141" i="9"/>
  <c r="BV140" i="9"/>
  <c r="BU139" i="9"/>
  <c r="BW138" i="9"/>
  <c r="E138" i="9"/>
  <c r="I137" i="9"/>
  <c r="C136" i="9"/>
  <c r="C135" i="9"/>
  <c r="C134" i="9"/>
  <c r="BX132" i="9"/>
  <c r="BK131" i="9"/>
  <c r="BH130" i="9"/>
  <c r="BJ129" i="9"/>
  <c r="BL128" i="9"/>
  <c r="BT127" i="9"/>
  <c r="BS126" i="9"/>
  <c r="BR125" i="9"/>
  <c r="BR124" i="9"/>
  <c r="BO123" i="9"/>
  <c r="BO122" i="9"/>
  <c r="BW121" i="9"/>
  <c r="BY120" i="9"/>
  <c r="BV119" i="9"/>
  <c r="A119" i="9"/>
  <c r="B118" i="9"/>
  <c r="A117" i="9"/>
  <c r="H116" i="9"/>
  <c r="F115" i="9"/>
  <c r="B114" i="9"/>
  <c r="J113" i="9"/>
  <c r="K112" i="9"/>
  <c r="L111" i="9"/>
  <c r="J110" i="9"/>
  <c r="BX108" i="9"/>
  <c r="BY107" i="9"/>
  <c r="D107" i="9"/>
  <c r="E106" i="9"/>
  <c r="L105" i="9"/>
  <c r="O104" i="9"/>
  <c r="L103" i="9"/>
  <c r="N102" i="9"/>
  <c r="Q101" i="9"/>
  <c r="V100" i="9"/>
  <c r="P168" i="9"/>
  <c r="BY165" i="9"/>
  <c r="H164" i="9"/>
  <c r="F162" i="9"/>
  <c r="C160" i="9"/>
  <c r="BQ157" i="9"/>
  <c r="AH156" i="9"/>
  <c r="AJ155" i="9"/>
  <c r="AN154" i="9"/>
  <c r="AQ153" i="9"/>
  <c r="AT152" i="9"/>
  <c r="AU151" i="9"/>
  <c r="AY150" i="9"/>
  <c r="AR149" i="9"/>
  <c r="AQ148" i="9"/>
  <c r="AS147" i="9"/>
  <c r="AQ146" i="9"/>
  <c r="AS145" i="9"/>
  <c r="AV144" i="9"/>
  <c r="AZ143" i="9"/>
  <c r="BG142" i="9"/>
  <c r="BG141" i="9"/>
  <c r="BK140" i="9"/>
  <c r="BL139" i="9"/>
  <c r="BL138" i="9"/>
  <c r="BS137" i="9"/>
  <c r="BX136" i="9"/>
  <c r="BP135" i="9"/>
  <c r="BQ134" i="9"/>
  <c r="BQ133" i="9"/>
  <c r="BM132" i="9"/>
  <c r="AU131" i="9"/>
  <c r="AT130" i="9"/>
  <c r="AV129" i="9"/>
  <c r="BA128" i="9"/>
  <c r="BJ127" i="9"/>
  <c r="BH126" i="9"/>
  <c r="BI125" i="9"/>
  <c r="BG124" i="9"/>
  <c r="BE123" i="9"/>
  <c r="BD122" i="9"/>
  <c r="BN121" i="9"/>
  <c r="BN120" i="9"/>
  <c r="BM119" i="9"/>
  <c r="BP118" i="9"/>
  <c r="BO117" i="9"/>
  <c r="BQ116" i="9"/>
  <c r="BV115" i="9"/>
  <c r="BU114" i="9"/>
  <c r="BP113" i="9"/>
  <c r="A113" i="9"/>
  <c r="A112" i="9"/>
  <c r="C111" i="9"/>
  <c r="A110" i="9"/>
  <c r="BL108" i="9"/>
  <c r="BP107" i="9"/>
  <c r="BR106" i="9"/>
  <c r="BS105" i="9"/>
  <c r="C105" i="9"/>
  <c r="E104" i="9"/>
  <c r="BY102" i="9"/>
  <c r="D102" i="9"/>
  <c r="H101" i="9"/>
  <c r="AW169" i="9"/>
  <c r="BV166" i="9"/>
  <c r="C165" i="9"/>
  <c r="K163" i="9"/>
  <c r="A161" i="9"/>
  <c r="BX158" i="9"/>
  <c r="B157" i="9"/>
  <c r="BT155" i="9"/>
  <c r="BV154" i="9"/>
  <c r="D154" i="9"/>
  <c r="G153" i="9"/>
  <c r="J152" i="9"/>
  <c r="H151" i="9"/>
  <c r="E150" i="9"/>
  <c r="E149" i="9"/>
  <c r="D148" i="9"/>
  <c r="F147" i="9"/>
  <c r="B146" i="9"/>
  <c r="H145" i="9"/>
  <c r="I144" i="9"/>
  <c r="N143" i="9"/>
  <c r="R142" i="9"/>
  <c r="T141" i="9"/>
  <c r="U140" i="9"/>
  <c r="W139" i="9"/>
  <c r="AC138" i="9"/>
  <c r="AG137" i="9"/>
  <c r="AG136" i="9"/>
  <c r="AD135" i="9"/>
  <c r="Z134" i="9"/>
  <c r="W133" i="9"/>
  <c r="N132" i="9"/>
  <c r="I131" i="9"/>
  <c r="J130" i="9"/>
  <c r="L129" i="9"/>
  <c r="T128" i="9"/>
  <c r="U127" i="9"/>
  <c r="S126" i="9"/>
  <c r="V125" i="9"/>
  <c r="P124" i="9"/>
  <c r="N123" i="9"/>
  <c r="V122" i="9"/>
  <c r="Z121" i="9"/>
  <c r="AA120" i="9"/>
  <c r="AB119" i="9"/>
  <c r="AB118" i="9"/>
  <c r="AA117" i="9"/>
  <c r="AF116" i="9"/>
  <c r="AE115" i="9"/>
  <c r="AB114" i="9"/>
  <c r="AF113" i="9"/>
  <c r="AM112" i="9"/>
  <c r="AM111" i="9"/>
  <c r="AI110" i="9"/>
  <c r="AB109" i="9"/>
  <c r="X108" i="9"/>
  <c r="AC107" i="9"/>
  <c r="AE106" i="9"/>
  <c r="AJ105" i="9"/>
  <c r="AQ104" i="9"/>
  <c r="BT169" i="9"/>
  <c r="O167" i="9"/>
  <c r="P165" i="9"/>
  <c r="Z163" i="9"/>
  <c r="T161" i="9"/>
  <c r="P159" i="9"/>
  <c r="L157" i="9"/>
  <c r="B156" i="9"/>
  <c r="E155" i="9"/>
  <c r="K154" i="9"/>
  <c r="N153" i="9"/>
  <c r="Q152" i="9"/>
  <c r="R151" i="9"/>
  <c r="N150" i="9"/>
  <c r="M149" i="9"/>
  <c r="L148" i="9"/>
  <c r="N147" i="9"/>
  <c r="J146" i="9"/>
  <c r="O145" i="9"/>
  <c r="P144" i="9"/>
  <c r="V143" i="9"/>
  <c r="AB142" i="9"/>
  <c r="AB141" i="9"/>
  <c r="AC140" i="9"/>
  <c r="AE139" i="9"/>
  <c r="AJ138" i="9"/>
  <c r="AP137" i="9"/>
  <c r="AN136" i="9"/>
  <c r="AM135" i="9"/>
  <c r="AI134" i="9"/>
  <c r="AF133" i="9"/>
  <c r="AB132" i="9"/>
  <c r="AD301" i="9"/>
  <c r="S227" i="9"/>
  <c r="W250" i="9"/>
  <c r="X225" i="9"/>
  <c r="AF172" i="9"/>
  <c r="C172" i="9"/>
  <c r="AN211" i="9"/>
  <c r="S209" i="9"/>
  <c r="BV167" i="9"/>
  <c r="B223" i="9"/>
  <c r="AA208" i="9"/>
  <c r="AM200" i="9"/>
  <c r="AF192" i="9"/>
  <c r="AM184" i="9"/>
  <c r="AM176" i="9"/>
  <c r="AL226" i="9"/>
  <c r="AN210" i="9"/>
  <c r="C202" i="9"/>
  <c r="BT193" i="9"/>
  <c r="K186" i="9"/>
  <c r="F178" i="9"/>
  <c r="BS169" i="9"/>
  <c r="M215" i="9"/>
  <c r="AD204" i="9"/>
  <c r="AH196" i="9"/>
  <c r="AG188" i="9"/>
  <c r="AD180" i="9"/>
  <c r="W172" i="9"/>
  <c r="E164" i="9"/>
  <c r="AS170" i="9"/>
  <c r="J155" i="9"/>
  <c r="BJ165" i="9"/>
  <c r="AJ153" i="9"/>
  <c r="AM145" i="9"/>
  <c r="BM137" i="9"/>
  <c r="AP129" i="9"/>
  <c r="BF121" i="9"/>
  <c r="BJ113" i="9"/>
  <c r="BM105" i="9"/>
  <c r="BT157" i="9"/>
  <c r="AS149" i="9"/>
  <c r="BI141" i="9"/>
  <c r="BR133" i="9"/>
  <c r="BJ125" i="9"/>
  <c r="BP117" i="9"/>
  <c r="B110" i="9"/>
  <c r="E102" i="9"/>
  <c r="AX157" i="9"/>
  <c r="AH149" i="9"/>
  <c r="AT141" i="9"/>
  <c r="BE133" i="9"/>
  <c r="AZ125" i="9"/>
  <c r="BE117" i="9"/>
  <c r="BL109" i="9"/>
  <c r="BT101" i="9"/>
  <c r="BO156" i="9"/>
  <c r="BT148" i="9"/>
  <c r="L141" i="9"/>
  <c r="M133" i="9"/>
  <c r="M125" i="9"/>
  <c r="P117" i="9"/>
  <c r="N109" i="9"/>
  <c r="BY164" i="9"/>
  <c r="BE154" i="9"/>
  <c r="A152" i="9"/>
  <c r="BK149" i="9"/>
  <c r="BJ147" i="9"/>
  <c r="A146" i="9"/>
  <c r="BN144" i="9"/>
  <c r="AO143" i="9"/>
  <c r="P142" i="9"/>
  <c r="C141" i="9"/>
  <c r="AW139" i="9"/>
  <c r="AB138" i="9"/>
  <c r="N137" i="9"/>
  <c r="BF135" i="9"/>
  <c r="Y134" i="9"/>
  <c r="D133" i="9"/>
  <c r="AJ131" i="9"/>
  <c r="AA130" i="9"/>
  <c r="AC129" i="9"/>
  <c r="AI128" i="9"/>
  <c r="AP127" i="9"/>
  <c r="AJ126" i="9"/>
  <c r="AN125" i="9"/>
  <c r="AJ124" i="9"/>
  <c r="AG123" i="9"/>
  <c r="AK122" i="9"/>
  <c r="AQ121" i="9"/>
  <c r="AP120" i="9"/>
  <c r="AR119" i="9"/>
  <c r="AR118" i="9"/>
  <c r="AQ117" i="9"/>
  <c r="AV116" i="9"/>
  <c r="AU115" i="9"/>
  <c r="AT114" i="9"/>
  <c r="AU113" i="9"/>
  <c r="BD112" i="9"/>
  <c r="BF111" i="9"/>
  <c r="BA110" i="9"/>
  <c r="AW109" i="9"/>
  <c r="AO108" i="9"/>
  <c r="AT107" i="9"/>
  <c r="AV106" i="9"/>
  <c r="AY105" i="9"/>
  <c r="BI104" i="9"/>
  <c r="BG103" i="9"/>
  <c r="I168" i="9"/>
  <c r="BR165" i="9"/>
  <c r="B164" i="9"/>
  <c r="A162" i="9"/>
  <c r="BT159" i="9"/>
  <c r="BK157" i="9"/>
  <c r="AD156" i="9"/>
  <c r="AG155" i="9"/>
  <c r="AJ154" i="9"/>
  <c r="AN153" i="9"/>
  <c r="AQ152" i="9"/>
  <c r="AR151" i="9"/>
  <c r="AU150" i="9"/>
  <c r="AO149" i="9"/>
  <c r="AN148" i="9"/>
  <c r="AP147" i="9"/>
  <c r="AN146" i="9"/>
  <c r="AP145" i="9"/>
  <c r="AS144" i="9"/>
  <c r="AV143" i="9"/>
  <c r="BC142" i="9"/>
  <c r="AZ141" i="9"/>
  <c r="BE140" i="9"/>
  <c r="BG139" i="9"/>
  <c r="BI138" i="9"/>
  <c r="BP137" i="9"/>
  <c r="BR136" i="9"/>
  <c r="BM135" i="9"/>
  <c r="BN134" i="9"/>
  <c r="BL133" i="9"/>
  <c r="F168" i="9"/>
  <c r="BO165" i="9"/>
  <c r="BX163" i="9"/>
  <c r="BT161" i="9"/>
  <c r="BQ159" i="9"/>
  <c r="BG157" i="9"/>
  <c r="AC156" i="9"/>
  <c r="AF155" i="9"/>
  <c r="AI154" i="9"/>
  <c r="AM153" i="9"/>
  <c r="AP152" i="9"/>
  <c r="AQ151" i="9"/>
  <c r="AT150" i="9"/>
  <c r="AN149" i="9"/>
  <c r="AM148" i="9"/>
  <c r="AO147" i="9"/>
  <c r="AM146" i="9"/>
  <c r="AO145" i="9"/>
  <c r="AR144" i="9"/>
  <c r="AU143" i="9"/>
  <c r="BB142" i="9"/>
  <c r="AX141" i="9"/>
  <c r="BD140" i="9"/>
  <c r="BF139" i="9"/>
  <c r="BG138" i="9"/>
  <c r="BO137" i="9"/>
  <c r="BQ136" i="9"/>
  <c r="BL135" i="9"/>
  <c r="BL134" i="9"/>
  <c r="BK133" i="9"/>
  <c r="BI132" i="9"/>
  <c r="AQ131" i="9"/>
  <c r="AP130" i="9"/>
  <c r="AR129" i="9"/>
  <c r="AW128" i="9"/>
  <c r="BE127" i="9"/>
  <c r="BA126" i="9"/>
  <c r="BD125" i="9"/>
  <c r="AX124" i="9"/>
  <c r="AY123" i="9"/>
  <c r="AY122" i="9"/>
  <c r="BH121" i="9"/>
  <c r="BI120" i="9"/>
  <c r="BI119" i="9"/>
  <c r="BK118" i="9"/>
  <c r="BJ117" i="9"/>
  <c r="BM116" i="9"/>
  <c r="BR115" i="9"/>
  <c r="BQ114" i="9"/>
  <c r="BL113" i="9"/>
  <c r="BT112" i="9"/>
  <c r="BV111" i="9"/>
  <c r="BV110" i="9"/>
  <c r="BP109" i="9"/>
  <c r="BH108" i="9"/>
  <c r="BK107" i="9"/>
  <c r="BN106" i="9"/>
  <c r="BO105" i="9"/>
  <c r="BX104" i="9"/>
  <c r="A104" i="9"/>
  <c r="BU102" i="9"/>
  <c r="BY101" i="9"/>
  <c r="D101" i="9"/>
  <c r="I100" i="9"/>
  <c r="BW145" i="9"/>
  <c r="Y138" i="9"/>
  <c r="AZ131" i="9"/>
  <c r="BN127" i="9"/>
  <c r="BH123" i="9"/>
  <c r="BP119" i="9"/>
  <c r="B116" i="9"/>
  <c r="D112" i="9"/>
  <c r="BS107" i="9"/>
  <c r="I104" i="9"/>
  <c r="L102" i="9"/>
  <c r="AV100" i="9"/>
  <c r="AI99" i="9"/>
  <c r="AI98" i="9"/>
  <c r="AJ97" i="9"/>
  <c r="AO96" i="9"/>
  <c r="AL95" i="9"/>
  <c r="AA94" i="9"/>
  <c r="K93" i="9"/>
  <c r="L92" i="9"/>
  <c r="O91" i="9"/>
  <c r="N90" i="9"/>
  <c r="Q89" i="9"/>
  <c r="U88" i="9"/>
  <c r="U87" i="9"/>
  <c r="U86" i="9"/>
  <c r="O85" i="9"/>
  <c r="U84" i="9"/>
  <c r="AA83" i="9"/>
  <c r="O82" i="9"/>
  <c r="P81" i="9"/>
  <c r="X80" i="9"/>
  <c r="AA79" i="9"/>
  <c r="S78" i="9"/>
  <c r="W77" i="9"/>
  <c r="X76" i="9"/>
  <c r="G75" i="9"/>
  <c r="F74" i="9"/>
  <c r="D73" i="9"/>
  <c r="H72" i="9"/>
  <c r="J71" i="9"/>
  <c r="J70" i="9"/>
  <c r="Q69" i="9"/>
  <c r="U68" i="9"/>
  <c r="V67" i="9"/>
  <c r="Z66" i="9"/>
  <c r="AA65" i="9"/>
  <c r="AC64" i="9"/>
  <c r="AD63" i="9"/>
  <c r="AK62" i="9"/>
  <c r="AL61" i="9"/>
  <c r="AI60" i="9"/>
  <c r="AO59" i="9"/>
  <c r="AS58" i="9"/>
  <c r="AU57" i="9"/>
  <c r="AV56" i="9"/>
  <c r="AI55" i="9"/>
  <c r="AF54" i="9"/>
  <c r="AE53" i="9"/>
  <c r="AB52" i="9"/>
  <c r="Z51" i="9"/>
  <c r="Z50" i="9"/>
  <c r="V49" i="9"/>
  <c r="W48" i="9"/>
  <c r="BS144" i="9"/>
  <c r="T137" i="9"/>
  <c r="G131" i="9"/>
  <c r="R127" i="9"/>
  <c r="L123" i="9"/>
  <c r="Z119" i="9"/>
  <c r="AC115" i="9"/>
  <c r="AJ111" i="9"/>
  <c r="AA107" i="9"/>
  <c r="AQ103" i="9"/>
  <c r="BV101" i="9"/>
  <c r="AG100" i="9"/>
  <c r="W99" i="9"/>
  <c r="Z98" i="9"/>
  <c r="AA97" i="9"/>
  <c r="AE96" i="9"/>
  <c r="R95" i="9"/>
  <c r="M94" i="9"/>
  <c r="A93" i="9"/>
  <c r="B92" i="9"/>
  <c r="F91" i="9"/>
  <c r="E90" i="9"/>
  <c r="H89" i="9"/>
  <c r="I88" i="9"/>
  <c r="K87" i="9"/>
  <c r="H86" i="9"/>
  <c r="F85" i="9"/>
  <c r="J84" i="9"/>
  <c r="O83" i="9"/>
  <c r="F82" i="9"/>
  <c r="G81" i="9"/>
  <c r="M80" i="9"/>
  <c r="N79" i="9"/>
  <c r="I78" i="9"/>
  <c r="N77" i="9"/>
  <c r="M76" i="9"/>
  <c r="BU74" i="9"/>
  <c r="BT73" i="9"/>
  <c r="BR72" i="9"/>
  <c r="BX71" i="9"/>
  <c r="BY70" i="9"/>
  <c r="A70" i="9"/>
  <c r="H69" i="9"/>
  <c r="K68" i="9"/>
  <c r="L67" i="9"/>
  <c r="O66" i="9"/>
  <c r="N65" i="9"/>
  <c r="R64" i="9"/>
  <c r="S63" i="9"/>
  <c r="AB62" i="9"/>
  <c r="AC61" i="9"/>
  <c r="Z60" i="9"/>
  <c r="AF59" i="9"/>
  <c r="AJ58" i="9"/>
  <c r="AL57" i="9"/>
  <c r="AM56" i="9"/>
  <c r="X55" i="9"/>
  <c r="BS141" i="9"/>
  <c r="E134" i="9"/>
  <c r="AQ129" i="9"/>
  <c r="BC125" i="9"/>
  <c r="BG121" i="9"/>
  <c r="BI117" i="9"/>
  <c r="BK113" i="9"/>
  <c r="BO109" i="9"/>
  <c r="BN105" i="9"/>
  <c r="BP102" i="9"/>
  <c r="AC101" i="9"/>
  <c r="BW99" i="9"/>
  <c r="BS98" i="9"/>
  <c r="BV97" i="9"/>
  <c r="BY96" i="9"/>
  <c r="A96" i="9"/>
  <c r="BK94" i="9"/>
  <c r="BC93" i="9"/>
  <c r="AS92" i="9"/>
  <c r="AZ91" i="9"/>
  <c r="AW90" i="9"/>
  <c r="AZ89" i="9"/>
  <c r="BE88" i="9"/>
  <c r="BE87" i="9"/>
  <c r="BG86" i="9"/>
  <c r="AW85" i="9"/>
  <c r="BF84" i="9"/>
  <c r="BI83" i="9"/>
  <c r="BK82" i="9"/>
  <c r="AV81" i="9"/>
  <c r="BD80" i="9"/>
  <c r="BJ79" i="9"/>
  <c r="BF78" i="9"/>
  <c r="BD77" i="9"/>
  <c r="BL76" i="9"/>
  <c r="BE75" i="9"/>
  <c r="AO74" i="9"/>
  <c r="AL73" i="9"/>
  <c r="AP72" i="9"/>
  <c r="AT71" i="9"/>
  <c r="AR70" i="9"/>
  <c r="AV69" i="9"/>
  <c r="BD68" i="9"/>
  <c r="BG67" i="9"/>
  <c r="BH66" i="9"/>
  <c r="BL65" i="9"/>
  <c r="BL64" i="9"/>
  <c r="BP63" i="9"/>
  <c r="BQ62" i="9"/>
  <c r="BY61" i="9"/>
  <c r="BU60" i="9"/>
  <c r="BX59" i="9"/>
  <c r="E59" i="9"/>
  <c r="F58" i="9"/>
  <c r="AV145" i="9"/>
  <c r="BX137" i="9"/>
  <c r="AI131" i="9"/>
  <c r="AW127" i="9"/>
  <c r="AQ123" i="9"/>
  <c r="AZ119" i="9"/>
  <c r="BF115" i="9"/>
  <c r="BO111" i="9"/>
  <c r="BC107" i="9"/>
  <c r="BP103" i="9"/>
  <c r="H102" i="9"/>
  <c r="AQ100" i="9"/>
  <c r="AF99" i="9"/>
  <c r="AF98" i="9"/>
  <c r="AG97" i="9"/>
  <c r="AL96" i="9"/>
  <c r="AG95" i="9"/>
  <c r="V94" i="9"/>
  <c r="H93" i="9"/>
  <c r="I92" i="9"/>
  <c r="L91" i="9"/>
  <c r="K90" i="9"/>
  <c r="N89" i="9"/>
  <c r="O88" i="9"/>
  <c r="Q87" i="9"/>
  <c r="P86" i="9"/>
  <c r="L85" i="9"/>
  <c r="P84" i="9"/>
  <c r="V83" i="9"/>
  <c r="L82" i="9"/>
  <c r="M81" i="9"/>
  <c r="U80" i="9"/>
  <c r="V79" i="9"/>
  <c r="O78" i="9"/>
  <c r="T77" i="9"/>
  <c r="U76" i="9"/>
  <c r="D75" i="9"/>
  <c r="C74" i="9"/>
  <c r="A73" i="9"/>
  <c r="E72" i="9"/>
  <c r="F71" i="9"/>
  <c r="G70" i="9"/>
  <c r="N69" i="9"/>
  <c r="Q68" i="9"/>
  <c r="R67" i="9"/>
  <c r="V66" i="9"/>
  <c r="V65" i="9"/>
  <c r="Z64" i="9"/>
  <c r="AA63" i="9"/>
  <c r="AH62" i="9"/>
  <c r="AI61" i="9"/>
  <c r="AF60" i="9"/>
  <c r="AL59" i="9"/>
  <c r="AP58" i="9"/>
  <c r="AR57" i="9"/>
  <c r="AN147" i="9"/>
  <c r="BD139" i="9"/>
  <c r="AU132" i="9"/>
  <c r="AN128" i="9"/>
  <c r="AO124" i="9"/>
  <c r="AU120" i="9"/>
  <c r="BD116" i="9"/>
  <c r="BJ112" i="9"/>
  <c r="AT108" i="9"/>
  <c r="BN104" i="9"/>
  <c r="AI102" i="9"/>
  <c r="BT100" i="9"/>
  <c r="AV99" i="9"/>
  <c r="AV98" i="9"/>
  <c r="AW97" i="9"/>
  <c r="BC96" i="9"/>
  <c r="AZ95" i="9"/>
  <c r="AM94" i="9"/>
  <c r="AC93" i="9"/>
  <c r="Z92" i="9"/>
  <c r="AD91" i="9"/>
  <c r="AD90" i="9"/>
  <c r="AE89" i="9"/>
  <c r="AH88" i="9"/>
  <c r="AH87" i="9"/>
  <c r="AK86" i="9"/>
  <c r="AD85" i="9"/>
  <c r="AH84" i="9"/>
  <c r="AN83" i="9"/>
  <c r="AL82" i="9"/>
  <c r="AD81" i="9"/>
  <c r="AJ80" i="9"/>
  <c r="AO79" i="9"/>
  <c r="AG78" i="9"/>
  <c r="AI77" i="9"/>
  <c r="AL76" i="9"/>
  <c r="AC75" i="9"/>
  <c r="U74" i="9"/>
  <c r="P73" i="9"/>
  <c r="V72" i="9"/>
  <c r="W71" i="9"/>
  <c r="X70" i="9"/>
  <c r="AD69" i="9"/>
  <c r="AH68" i="9"/>
  <c r="AL67" i="9"/>
  <c r="AM66" i="9"/>
  <c r="AO65" i="9"/>
  <c r="AQ64" i="9"/>
  <c r="AQ63" i="9"/>
  <c r="AW62" i="9"/>
  <c r="AX61" i="9"/>
  <c r="AY60" i="9"/>
  <c r="BC59" i="9"/>
  <c r="BJ58" i="9"/>
  <c r="BJ57" i="9"/>
  <c r="BP56" i="9"/>
  <c r="AU55" i="9"/>
  <c r="AS54" i="9"/>
  <c r="AQ53" i="9"/>
  <c r="AN52" i="9"/>
  <c r="AN51" i="9"/>
  <c r="AM50" i="9"/>
  <c r="AJ49" i="9"/>
  <c r="AL48" i="9"/>
  <c r="AN47" i="9"/>
  <c r="AO141" i="9"/>
  <c r="AV133" i="9"/>
  <c r="AB129" i="9"/>
  <c r="AM125" i="9"/>
  <c r="AP121" i="9"/>
  <c r="AP117" i="9"/>
  <c r="AT113" i="9"/>
  <c r="AV109" i="9"/>
  <c r="AX105" i="9"/>
  <c r="BL102" i="9"/>
  <c r="V101" i="9"/>
  <c r="BR99" i="9"/>
  <c r="BP98" i="9"/>
  <c r="BS97" i="9"/>
  <c r="BT96" i="9"/>
  <c r="M290" i="9"/>
  <c r="T302" i="9"/>
  <c r="AQ242" i="9"/>
  <c r="R217" i="9"/>
  <c r="M164" i="9"/>
  <c r="P219" i="9"/>
  <c r="AG202" i="9"/>
  <c r="AA201" i="9"/>
  <c r="BD165" i="9"/>
  <c r="H221" i="9"/>
  <c r="AD207" i="9"/>
  <c r="AQ199" i="9"/>
  <c r="AC191" i="9"/>
  <c r="AO183" i="9"/>
  <c r="AF175" i="9"/>
  <c r="W224" i="9"/>
  <c r="BU208" i="9"/>
  <c r="F201" i="9"/>
  <c r="BX192" i="9"/>
  <c r="I185" i="9"/>
  <c r="I177" i="9"/>
  <c r="BK229" i="9"/>
  <c r="W213" i="9"/>
  <c r="AC203" i="9"/>
  <c r="AC195" i="9"/>
  <c r="AG187" i="9"/>
  <c r="AH179" i="9"/>
  <c r="V171" i="9"/>
  <c r="J163" i="9"/>
  <c r="AM167" i="9"/>
  <c r="P154" i="9"/>
  <c r="BS163" i="9"/>
  <c r="AN152" i="9"/>
  <c r="AP144" i="9"/>
  <c r="BO136" i="9"/>
  <c r="AU128" i="9"/>
  <c r="BD120" i="9"/>
  <c r="BR112" i="9"/>
  <c r="BU104" i="9"/>
  <c r="AI156" i="9"/>
  <c r="AR148" i="9"/>
  <c r="BL140" i="9"/>
  <c r="BO132" i="9"/>
  <c r="BI124" i="9"/>
  <c r="BR116" i="9"/>
  <c r="BO108" i="9"/>
  <c r="I101" i="9"/>
  <c r="Y156" i="9"/>
  <c r="AI148" i="9"/>
  <c r="AV140" i="9"/>
  <c r="BD132" i="9"/>
  <c r="AT124" i="9"/>
  <c r="BI116" i="9"/>
  <c r="BA108" i="9"/>
  <c r="BY100" i="9"/>
  <c r="BK155" i="9"/>
  <c r="BT147" i="9"/>
  <c r="K140" i="9"/>
  <c r="E132" i="9"/>
  <c r="E124" i="9"/>
  <c r="W116" i="9"/>
  <c r="N108" i="9"/>
  <c r="H163" i="9"/>
  <c r="C154" i="9"/>
  <c r="BP151" i="9"/>
  <c r="AZ149" i="9"/>
  <c r="BA147" i="9"/>
  <c r="BR145" i="9"/>
  <c r="BE144" i="9"/>
  <c r="AE143" i="9"/>
  <c r="H142" i="9"/>
  <c r="BS140" i="9"/>
  <c r="AO139" i="9"/>
  <c r="S138" i="9"/>
  <c r="E137" i="9"/>
  <c r="AU135" i="9"/>
  <c r="P134" i="9"/>
  <c r="BT132" i="9"/>
  <c r="AB131" i="9"/>
  <c r="Q130" i="9"/>
  <c r="S129" i="9"/>
  <c r="AA128" i="9"/>
  <c r="AF127" i="9"/>
  <c r="AB126" i="9"/>
  <c r="AD125" i="9"/>
  <c r="AB124" i="9"/>
  <c r="W123" i="9"/>
  <c r="AC122" i="9"/>
  <c r="AG121" i="9"/>
  <c r="AH120" i="9"/>
  <c r="AI119" i="9"/>
  <c r="AI118" i="9"/>
  <c r="AH117" i="9"/>
  <c r="AN116" i="9"/>
  <c r="AM115" i="9"/>
  <c r="AI114" i="9"/>
  <c r="AM113" i="9"/>
  <c r="AT112" i="9"/>
  <c r="AT111" i="9"/>
  <c r="AQ110" i="9"/>
  <c r="AO109" i="9"/>
  <c r="AF108" i="9"/>
  <c r="AL107" i="9"/>
  <c r="AN106" i="9"/>
  <c r="AQ105" i="9"/>
  <c r="AZ104" i="9"/>
  <c r="AU103" i="9"/>
  <c r="BP167" i="9"/>
  <c r="AV165" i="9"/>
  <c r="BJ163" i="9"/>
  <c r="BD161" i="9"/>
  <c r="AX159" i="9"/>
  <c r="AS157" i="9"/>
  <c r="T156" i="9"/>
  <c r="W155" i="9"/>
  <c r="AB154" i="9"/>
  <c r="AE153" i="9"/>
  <c r="AH152" i="9"/>
  <c r="AJ151" i="9"/>
  <c r="AM150" i="9"/>
  <c r="AE149" i="9"/>
  <c r="AF148" i="9"/>
  <c r="AF147" i="9"/>
  <c r="AD146" i="9"/>
  <c r="AG145" i="9"/>
  <c r="AJ144" i="9"/>
  <c r="AN143" i="9"/>
  <c r="AS142" i="9"/>
  <c r="AQ141" i="9"/>
  <c r="AS140" i="9"/>
  <c r="AV139" i="9"/>
  <c r="AY138" i="9"/>
  <c r="BH137" i="9"/>
  <c r="BI136" i="9"/>
  <c r="BD135" i="9"/>
  <c r="BD134" i="9"/>
  <c r="AZ133" i="9"/>
  <c r="BK167" i="9"/>
  <c r="AS165" i="9"/>
  <c r="BG163" i="9"/>
  <c r="AX161" i="9"/>
  <c r="AU159" i="9"/>
  <c r="AP157" i="9"/>
  <c r="R156" i="9"/>
  <c r="V155" i="9"/>
  <c r="AA154" i="9"/>
  <c r="AD153" i="9"/>
  <c r="AG152" i="9"/>
  <c r="AI151" i="9"/>
  <c r="AL150" i="9"/>
  <c r="AD149" i="9"/>
  <c r="AE148" i="9"/>
  <c r="AE147" i="9"/>
  <c r="AC146" i="9"/>
  <c r="AF145" i="9"/>
  <c r="AI144" i="9"/>
  <c r="AM143" i="9"/>
  <c r="AR142" i="9"/>
  <c r="AP141" i="9"/>
  <c r="AR140" i="9"/>
  <c r="AU139" i="9"/>
  <c r="AX138" i="9"/>
  <c r="BG137" i="9"/>
  <c r="BG136" i="9"/>
  <c r="BC135" i="9"/>
  <c r="BC134" i="9"/>
  <c r="AW133" i="9"/>
  <c r="AV132" i="9"/>
  <c r="AH131" i="9"/>
  <c r="AG130" i="9"/>
  <c r="AI129" i="9"/>
  <c r="AO128" i="9"/>
  <c r="AV127" i="9"/>
  <c r="AQ126" i="9"/>
  <c r="AT125" i="9"/>
  <c r="AP124" i="9"/>
  <c r="AN123" i="9"/>
  <c r="AQ122" i="9"/>
  <c r="AW121" i="9"/>
  <c r="AV120" i="9"/>
  <c r="AY119" i="9"/>
  <c r="AZ118" i="9"/>
  <c r="AW117" i="9"/>
  <c r="BE116" i="9"/>
  <c r="BE115" i="9"/>
  <c r="BD114" i="9"/>
  <c r="BC113" i="9"/>
  <c r="BK112" i="9"/>
  <c r="BN111" i="9"/>
  <c r="BL110" i="9"/>
  <c r="BH109" i="9"/>
  <c r="AU108" i="9"/>
  <c r="BB107" i="9"/>
  <c r="BD106" i="9"/>
  <c r="BF105" i="9"/>
  <c r="BO104" i="9"/>
  <c r="BO103" i="9"/>
  <c r="BM102" i="9"/>
  <c r="BP101" i="9"/>
  <c r="BS100" i="9"/>
  <c r="A100" i="9"/>
  <c r="D145" i="9"/>
  <c r="AC137" i="9"/>
  <c r="M131" i="9"/>
  <c r="AC127" i="9"/>
  <c r="S123" i="9"/>
  <c r="AF119" i="9"/>
  <c r="AI115" i="9"/>
  <c r="AQ111" i="9"/>
  <c r="AG107" i="9"/>
  <c r="AR103" i="9"/>
  <c r="BX101" i="9"/>
  <c r="AI100" i="9"/>
  <c r="AA99" i="9"/>
  <c r="AA98" i="9"/>
  <c r="AB97" i="9"/>
  <c r="AG96" i="9"/>
  <c r="W95" i="9"/>
  <c r="O94" i="9"/>
  <c r="B93" i="9"/>
  <c r="C92" i="9"/>
  <c r="G91" i="9"/>
  <c r="F90" i="9"/>
  <c r="I89" i="9"/>
  <c r="J88" i="9"/>
  <c r="L87" i="9"/>
  <c r="K86" i="9"/>
  <c r="G85" i="9"/>
  <c r="K84" i="9"/>
  <c r="P83" i="9"/>
  <c r="G82" i="9"/>
  <c r="H81" i="9"/>
  <c r="N80" i="9"/>
  <c r="O79" i="9"/>
  <c r="J78" i="9"/>
  <c r="O77" i="9"/>
  <c r="O76" i="9"/>
  <c r="BV74" i="9"/>
  <c r="BU73" i="9"/>
  <c r="BS72" i="9"/>
  <c r="BY71" i="9"/>
  <c r="A71" i="9"/>
  <c r="B70" i="9"/>
  <c r="I69" i="9"/>
  <c r="L68" i="9"/>
  <c r="M67" i="9"/>
  <c r="P66" i="9"/>
  <c r="O65" i="9"/>
  <c r="T64" i="9"/>
  <c r="U63" i="9"/>
  <c r="AC62" i="9"/>
  <c r="AD61" i="9"/>
  <c r="AA60" i="9"/>
  <c r="AG59" i="9"/>
  <c r="AK58" i="9"/>
  <c r="AM57" i="9"/>
  <c r="AN56" i="9"/>
  <c r="AA55" i="9"/>
  <c r="W54" i="9"/>
  <c r="T53" i="9"/>
  <c r="P52" i="9"/>
  <c r="O51" i="9"/>
  <c r="N50" i="9"/>
  <c r="L49" i="9"/>
  <c r="L48" i="9"/>
  <c r="BT143" i="9"/>
  <c r="R136" i="9"/>
  <c r="AQ130" i="9"/>
  <c r="BD126" i="9"/>
  <c r="AZ122" i="9"/>
  <c r="BL118" i="9"/>
  <c r="BR114" i="9"/>
  <c r="BY110" i="9"/>
  <c r="BO106" i="9"/>
  <c r="AB103" i="9"/>
  <c r="BH101" i="9"/>
  <c r="T100" i="9"/>
  <c r="M99" i="9"/>
  <c r="Q98" i="9"/>
  <c r="Q97" i="9"/>
  <c r="T96" i="9"/>
  <c r="G95" i="9"/>
  <c r="B94" i="9"/>
  <c r="BQ92" i="9"/>
  <c r="BR91" i="9"/>
  <c r="BU90" i="9"/>
  <c r="BV89" i="9"/>
  <c r="BY88" i="9"/>
  <c r="A88" i="9"/>
  <c r="B87" i="9"/>
  <c r="BY85" i="9"/>
  <c r="BW84" i="9"/>
  <c r="B84" i="9"/>
  <c r="G83" i="9"/>
  <c r="BT81" i="9"/>
  <c r="BX80" i="9"/>
  <c r="E80" i="9"/>
  <c r="E79" i="9"/>
  <c r="A78" i="9"/>
  <c r="F77" i="9"/>
  <c r="B76" i="9"/>
  <c r="BK74" i="9"/>
  <c r="BH73" i="9"/>
  <c r="BJ72" i="9"/>
  <c r="BN71" i="9"/>
  <c r="BP70" i="9"/>
  <c r="BP69" i="9"/>
  <c r="BY68" i="9"/>
  <c r="B68" i="9"/>
  <c r="C67" i="9"/>
  <c r="G66" i="9"/>
  <c r="D65" i="9"/>
  <c r="J64" i="9"/>
  <c r="K63" i="9"/>
  <c r="R62" i="9"/>
  <c r="S61" i="9"/>
  <c r="P60" i="9"/>
  <c r="W59" i="9"/>
  <c r="AB58" i="9"/>
  <c r="AD57" i="9"/>
  <c r="AE56" i="9"/>
  <c r="BD148" i="9"/>
  <c r="BY140" i="9"/>
  <c r="R133" i="9"/>
  <c r="H129" i="9"/>
  <c r="Q125" i="9"/>
  <c r="T121" i="9"/>
  <c r="V117" i="9"/>
  <c r="AB113" i="9"/>
  <c r="R109" i="9"/>
  <c r="AF105" i="9"/>
  <c r="BC102" i="9"/>
  <c r="M101" i="9"/>
  <c r="BL99" i="9"/>
  <c r="BK98" i="9"/>
  <c r="BL97" i="9"/>
  <c r="BO96" i="9"/>
  <c r="BO95" i="9"/>
  <c r="AW94" i="9"/>
  <c r="AS93" i="9"/>
  <c r="AJ92" i="9"/>
  <c r="AP91" i="9"/>
  <c r="AO90" i="9"/>
  <c r="AP89" i="9"/>
  <c r="AS88" i="9"/>
  <c r="AS87" i="9"/>
  <c r="AU86" i="9"/>
  <c r="AO85" i="9"/>
  <c r="AU84" i="9"/>
  <c r="AY83" i="9"/>
  <c r="AV82" i="9"/>
  <c r="AN81" i="9"/>
  <c r="AT80" i="9"/>
  <c r="BA79" i="9"/>
  <c r="AT78" i="9"/>
  <c r="AS77" i="9"/>
  <c r="AV76" i="9"/>
  <c r="AS75" i="9"/>
  <c r="AF74" i="9"/>
  <c r="AC73" i="9"/>
  <c r="AG72" i="9"/>
  <c r="AL71" i="9"/>
  <c r="AI70" i="9"/>
  <c r="AN69" i="9"/>
  <c r="AT68" i="9"/>
  <c r="AV67" i="9"/>
  <c r="AW66" i="9"/>
  <c r="BA65" i="9"/>
  <c r="BC64" i="9"/>
  <c r="BE63" i="9"/>
  <c r="BI62" i="9"/>
  <c r="BN61" i="9"/>
  <c r="BM60" i="9"/>
  <c r="BN59" i="9"/>
  <c r="BT58" i="9"/>
  <c r="BW57" i="9"/>
  <c r="BA144" i="9"/>
  <c r="B137" i="9"/>
  <c r="BV130" i="9"/>
  <c r="G127" i="9"/>
  <c r="D123" i="9"/>
  <c r="M119" i="9"/>
  <c r="R115" i="9"/>
  <c r="AB111" i="9"/>
  <c r="Q107" i="9"/>
  <c r="AL103" i="9"/>
  <c r="BR101" i="9"/>
  <c r="AC100" i="9"/>
  <c r="U99" i="9"/>
  <c r="W98" i="9"/>
  <c r="X97" i="9"/>
  <c r="AB96" i="9"/>
  <c r="O95" i="9"/>
  <c r="K94" i="9"/>
  <c r="BX92" i="9"/>
  <c r="BY91" i="9"/>
  <c r="D91" i="9"/>
  <c r="C90" i="9"/>
  <c r="F89" i="9"/>
  <c r="G88" i="9"/>
  <c r="I87" i="9"/>
  <c r="F86" i="9"/>
  <c r="D85" i="9"/>
  <c r="H84" i="9"/>
  <c r="M83" i="9"/>
  <c r="D82" i="9"/>
  <c r="E81" i="9"/>
  <c r="K80" i="9"/>
  <c r="L79" i="9"/>
  <c r="G78" i="9"/>
  <c r="L77" i="9"/>
  <c r="K76" i="9"/>
  <c r="BS74" i="9"/>
  <c r="BR73" i="9"/>
  <c r="BP72" i="9"/>
  <c r="BV71" i="9"/>
  <c r="BV70" i="9"/>
  <c r="BX69" i="9"/>
  <c r="F69" i="9"/>
  <c r="I68" i="9"/>
  <c r="J67" i="9"/>
  <c r="M66" i="9"/>
  <c r="L65" i="9"/>
  <c r="P64" i="9"/>
  <c r="Q63" i="9"/>
  <c r="Z62" i="9"/>
  <c r="AA61" i="9"/>
  <c r="W60" i="9"/>
  <c r="AD59" i="9"/>
  <c r="AH58" i="9"/>
  <c r="AJ57" i="9"/>
  <c r="AL146" i="9"/>
  <c r="BF138" i="9"/>
  <c r="BX131" i="9"/>
  <c r="G128" i="9"/>
  <c r="A124" i="9"/>
  <c r="H120" i="9"/>
  <c r="R116" i="9"/>
  <c r="W112" i="9"/>
  <c r="J108" i="9"/>
  <c r="AC104" i="9"/>
  <c r="T102" i="9"/>
  <c r="BC100" i="9"/>
  <c r="AM99" i="9"/>
  <c r="AN98" i="9"/>
  <c r="AO97" i="9"/>
  <c r="AS96" i="9"/>
  <c r="AP95" i="9"/>
  <c r="AE94" i="9"/>
  <c r="O93" i="9"/>
  <c r="P92" i="9"/>
  <c r="T91" i="9"/>
  <c r="S90" i="9"/>
  <c r="V89" i="9"/>
  <c r="Z88" i="9"/>
  <c r="Z87" i="9"/>
  <c r="AB86" i="9"/>
  <c r="U85" i="9"/>
  <c r="Z84" i="9"/>
  <c r="AE83" i="9"/>
  <c r="X82" i="9"/>
  <c r="U81" i="9"/>
  <c r="AB80" i="9"/>
  <c r="AE79" i="9"/>
  <c r="X78" i="9"/>
  <c r="AA77" i="9"/>
  <c r="AD76" i="9"/>
  <c r="N75" i="9"/>
  <c r="J74" i="9"/>
  <c r="H73" i="9"/>
  <c r="L72" i="9"/>
  <c r="N71" i="9"/>
  <c r="N70" i="9"/>
  <c r="U69" i="9"/>
  <c r="Z68" i="9"/>
  <c r="AB67" i="9"/>
  <c r="AD66" i="9"/>
  <c r="AE65" i="9"/>
  <c r="AG64" i="9"/>
  <c r="AH63" i="9"/>
  <c r="AO62" i="9"/>
  <c r="AP61" i="9"/>
  <c r="AN60" i="9"/>
  <c r="AS59" i="9"/>
  <c r="AW58" i="9"/>
  <c r="AZ57" i="9"/>
  <c r="BC56" i="9"/>
  <c r="AM55" i="9"/>
  <c r="AJ54" i="9"/>
  <c r="AI53" i="9"/>
  <c r="AF52" i="9"/>
  <c r="AD51" i="9"/>
  <c r="AD50" i="9"/>
  <c r="AB49" i="9"/>
  <c r="AC48" i="9"/>
  <c r="AD148" i="9"/>
  <c r="AQ140" i="9"/>
  <c r="C133" i="9"/>
  <c r="BQ128" i="9"/>
  <c r="B125" i="9"/>
  <c r="D121" i="9"/>
  <c r="E117" i="9"/>
  <c r="N113" i="9"/>
  <c r="C109" i="9"/>
  <c r="P105" i="9"/>
  <c r="AV102" i="9"/>
  <c r="G101" i="9"/>
  <c r="BI99" i="9"/>
  <c r="BF98" i="9"/>
  <c r="BI97" i="9"/>
  <c r="BK96" i="9"/>
  <c r="BJ289" i="9"/>
  <c r="AN256" i="9"/>
  <c r="AF234" i="9"/>
  <c r="AF209" i="9"/>
  <c r="AW232" i="9"/>
  <c r="AF206" i="9"/>
  <c r="AD194" i="9"/>
  <c r="T193" i="9"/>
  <c r="BP163" i="9"/>
  <c r="I219" i="9"/>
  <c r="AC206" i="9"/>
  <c r="AS198" i="9"/>
  <c r="AB190" i="9"/>
  <c r="AS182" i="9"/>
  <c r="AA174" i="9"/>
  <c r="Y222" i="9"/>
  <c r="BW207" i="9"/>
  <c r="K200" i="9"/>
  <c r="E192" i="9"/>
  <c r="I184" i="9"/>
  <c r="BY175" i="9"/>
  <c r="N227" i="9"/>
  <c r="Z211" i="9"/>
  <c r="AC202" i="9"/>
  <c r="X194" i="9"/>
  <c r="AL186" i="9"/>
  <c r="AG178" i="9"/>
  <c r="W170" i="9"/>
  <c r="D162" i="9"/>
  <c r="AB165" i="9"/>
  <c r="S153" i="9"/>
  <c r="BP161" i="9"/>
  <c r="AO151" i="9"/>
  <c r="AS143" i="9"/>
  <c r="BJ135" i="9"/>
  <c r="BC127" i="9"/>
  <c r="BG119" i="9"/>
  <c r="BT111" i="9"/>
  <c r="BX103" i="9"/>
  <c r="AL155" i="9"/>
  <c r="AT147" i="9"/>
  <c r="BM139" i="9"/>
  <c r="AV131" i="9"/>
  <c r="BF123" i="9"/>
  <c r="BY115" i="9"/>
  <c r="BQ107" i="9"/>
  <c r="N100" i="9"/>
  <c r="AB155" i="9"/>
  <c r="AI147" i="9"/>
  <c r="BA139" i="9"/>
  <c r="AM131" i="9"/>
  <c r="AT123" i="9"/>
  <c r="BL115" i="9"/>
  <c r="BG107" i="9"/>
  <c r="Z169" i="9"/>
  <c r="BN154" i="9"/>
  <c r="BS146" i="9"/>
  <c r="M139" i="9"/>
  <c r="A131" i="9"/>
  <c r="F123" i="9"/>
  <c r="U115" i="9"/>
  <c r="T107" i="9"/>
  <c r="BV160" i="9"/>
  <c r="BT153" i="9"/>
  <c r="G151" i="9"/>
  <c r="D149" i="9"/>
  <c r="E147" i="9"/>
  <c r="BJ145" i="9"/>
  <c r="AL144" i="9"/>
  <c r="M143" i="9"/>
  <c r="BX141" i="9"/>
  <c r="AT140" i="9"/>
  <c r="V139" i="9"/>
  <c r="J138" i="9"/>
  <c r="BJ136" i="9"/>
  <c r="AC135" i="9"/>
  <c r="H134" i="9"/>
  <c r="AZ132" i="9"/>
  <c r="P131" i="9"/>
  <c r="I130" i="9"/>
  <c r="K129" i="9"/>
  <c r="S128" i="9"/>
  <c r="T127" i="9"/>
  <c r="R126" i="9"/>
  <c r="U125" i="9"/>
  <c r="O124" i="9"/>
  <c r="M123" i="9"/>
  <c r="U122" i="9"/>
  <c r="W121" i="9"/>
  <c r="W120" i="9"/>
  <c r="AA119" i="9"/>
  <c r="AA118" i="9"/>
  <c r="Z117" i="9"/>
  <c r="AE116" i="9"/>
  <c r="AD115" i="9"/>
  <c r="AA114" i="9"/>
  <c r="AE113" i="9"/>
  <c r="AL112" i="9"/>
  <c r="AL111" i="9"/>
  <c r="AH110" i="9"/>
  <c r="AA109" i="9"/>
  <c r="W108" i="9"/>
  <c r="AB107" i="9"/>
  <c r="AD106" i="9"/>
  <c r="AI105" i="9"/>
  <c r="AP104" i="9"/>
  <c r="AM103" i="9"/>
  <c r="AQ167" i="9"/>
  <c r="AF165" i="9"/>
  <c r="AQ163" i="9"/>
  <c r="AK161" i="9"/>
  <c r="AH159" i="9"/>
  <c r="AC157" i="9"/>
  <c r="I156" i="9"/>
  <c r="L155" i="9"/>
  <c r="R154" i="9"/>
  <c r="V153" i="9"/>
  <c r="Z152" i="9"/>
  <c r="AB151" i="9"/>
  <c r="AA150" i="9"/>
  <c r="V149" i="9"/>
  <c r="U148" i="9"/>
  <c r="W147" i="9"/>
  <c r="R146" i="9"/>
  <c r="W145" i="9"/>
  <c r="AA144" i="9"/>
  <c r="AD143" i="9"/>
  <c r="AI142" i="9"/>
  <c r="AI141" i="9"/>
  <c r="AJ140" i="9"/>
  <c r="AN139" i="9"/>
  <c r="AQ138" i="9"/>
  <c r="AW137" i="9"/>
  <c r="AU136" i="9"/>
  <c r="AT135" i="9"/>
  <c r="AP134" i="9"/>
  <c r="AN133" i="9"/>
  <c r="AN167" i="9"/>
  <c r="AC165" i="9"/>
  <c r="AN163" i="9"/>
  <c r="AH161" i="9"/>
  <c r="AE159" i="9"/>
  <c r="Z157" i="9"/>
  <c r="H156" i="9"/>
  <c r="K155" i="9"/>
  <c r="Q154" i="9"/>
  <c r="U153" i="9"/>
  <c r="X152" i="9"/>
  <c r="AA151" i="9"/>
  <c r="Z150" i="9"/>
  <c r="U149" i="9"/>
  <c r="T148" i="9"/>
  <c r="V147" i="9"/>
  <c r="P146" i="9"/>
  <c r="V145" i="9"/>
  <c r="Z144" i="9"/>
  <c r="AC143" i="9"/>
  <c r="AH142" i="9"/>
  <c r="AH141" i="9"/>
  <c r="AI140" i="9"/>
  <c r="AM139" i="9"/>
  <c r="AP138" i="9"/>
  <c r="AV137" i="9"/>
  <c r="AT136" i="9"/>
  <c r="AS135" i="9"/>
  <c r="AO134" i="9"/>
  <c r="AM133" i="9"/>
  <c r="AL132" i="9"/>
  <c r="Z131" i="9"/>
  <c r="X130" i="9"/>
  <c r="AA129" i="9"/>
  <c r="AG128" i="9"/>
  <c r="AN127" i="9"/>
  <c r="AH126" i="9"/>
  <c r="AL125" i="9"/>
  <c r="AH124" i="9"/>
  <c r="AE123" i="9"/>
  <c r="AI122" i="9"/>
  <c r="AO121" i="9"/>
  <c r="AN120" i="9"/>
  <c r="AP119" i="9"/>
  <c r="AP118" i="9"/>
  <c r="AO117" i="9"/>
  <c r="AT116" i="9"/>
  <c r="AS115" i="9"/>
  <c r="AR114" i="9"/>
  <c r="AS113" i="9"/>
  <c r="BB112" i="9"/>
  <c r="BD111" i="9"/>
  <c r="AW110" i="9"/>
  <c r="AU109" i="9"/>
  <c r="AM108" i="9"/>
  <c r="AR107" i="9"/>
  <c r="AT106" i="9"/>
  <c r="AW105" i="9"/>
  <c r="BG104" i="9"/>
  <c r="BC103" i="9"/>
  <c r="BD102" i="9"/>
  <c r="BG101" i="9"/>
  <c r="BK100" i="9"/>
  <c r="BP99" i="9"/>
  <c r="E144" i="9"/>
  <c r="AC136" i="9"/>
  <c r="AW130" i="9"/>
  <c r="BK126" i="9"/>
  <c r="BG122" i="9"/>
  <c r="BS118" i="9"/>
  <c r="BY114" i="9"/>
  <c r="F111" i="9"/>
  <c r="BU106" i="9"/>
  <c r="AD103" i="9"/>
  <c r="BI101" i="9"/>
  <c r="U100" i="9"/>
  <c r="O99" i="9"/>
  <c r="R98" i="9"/>
  <c r="R97" i="9"/>
  <c r="U96" i="9"/>
  <c r="I95" i="9"/>
  <c r="C94" i="9"/>
  <c r="BR92" i="9"/>
  <c r="BS91" i="9"/>
  <c r="BV90" i="9"/>
  <c r="BW89" i="9"/>
  <c r="A89" i="9"/>
  <c r="B88" i="9"/>
  <c r="C87" i="9"/>
  <c r="A86" i="9"/>
  <c r="BX84" i="9"/>
  <c r="C84" i="9"/>
  <c r="H83" i="9"/>
  <c r="BW81" i="9"/>
  <c r="BY80" i="9"/>
  <c r="F80" i="9"/>
  <c r="F79" i="9"/>
  <c r="B78" i="9"/>
  <c r="G77" i="9"/>
  <c r="C76" i="9"/>
  <c r="BL74" i="9"/>
  <c r="BK73" i="9"/>
  <c r="BK72" i="9"/>
  <c r="BO71" i="9"/>
  <c r="BQ70" i="9"/>
  <c r="BQ69" i="9"/>
  <c r="A69" i="9"/>
  <c r="C68" i="9"/>
  <c r="D67" i="9"/>
  <c r="H66" i="9"/>
  <c r="E65" i="9"/>
  <c r="K64" i="9"/>
  <c r="L63" i="9"/>
  <c r="T62" i="9"/>
  <c r="T61" i="9"/>
  <c r="Q60" i="9"/>
  <c r="Y59" i="9"/>
  <c r="AC58" i="9"/>
  <c r="AE57" i="9"/>
  <c r="AF56" i="9"/>
  <c r="P55" i="9"/>
  <c r="L54" i="9"/>
  <c r="J53" i="9"/>
  <c r="E52" i="9"/>
  <c r="F51" i="9"/>
  <c r="F50" i="9"/>
  <c r="C49" i="9"/>
  <c r="D48" i="9"/>
  <c r="B143" i="9"/>
  <c r="N135" i="9"/>
  <c r="H130" i="9"/>
  <c r="P126" i="9"/>
  <c r="T122" i="9"/>
  <c r="Z118" i="9"/>
  <c r="Z114" i="9"/>
  <c r="AG110" i="9"/>
  <c r="AC106" i="9"/>
  <c r="F103" i="9"/>
  <c r="AQ101" i="9"/>
  <c r="J100" i="9"/>
  <c r="D99" i="9"/>
  <c r="I98" i="9"/>
  <c r="I97" i="9"/>
  <c r="J96" i="9"/>
  <c r="BW94" i="9"/>
  <c r="BO93" i="9"/>
  <c r="BF92" i="9"/>
  <c r="BJ91" i="9"/>
  <c r="BK90" i="9"/>
  <c r="BL89" i="9"/>
  <c r="BP88" i="9"/>
  <c r="BQ87" i="9"/>
  <c r="BQ86" i="9"/>
  <c r="BO85" i="9"/>
  <c r="BO84" i="9"/>
  <c r="BR83" i="9"/>
  <c r="BV82" i="9"/>
  <c r="BK81" i="9"/>
  <c r="BN80" i="9"/>
  <c r="BS79" i="9"/>
  <c r="BT78" i="9"/>
  <c r="BP77" i="9"/>
  <c r="BW76" i="9"/>
  <c r="BQ75" i="9"/>
  <c r="AZ74" i="9"/>
  <c r="AU73" i="9"/>
  <c r="AZ72" i="9"/>
  <c r="BF71" i="9"/>
  <c r="BE70" i="9"/>
  <c r="BF69" i="9"/>
  <c r="BO68" i="9"/>
  <c r="BR67" i="9"/>
  <c r="BS66" i="9"/>
  <c r="BX65" i="9"/>
  <c r="BU64" i="9"/>
  <c r="A64" i="9"/>
  <c r="C63" i="9"/>
  <c r="I62" i="9"/>
  <c r="F61" i="9"/>
  <c r="H60" i="9"/>
  <c r="N59" i="9"/>
  <c r="R58" i="9"/>
  <c r="U57" i="9"/>
  <c r="T56" i="9"/>
  <c r="BG147" i="9"/>
  <c r="BX139" i="9"/>
  <c r="BH132" i="9"/>
  <c r="AV128" i="9"/>
  <c r="AW124" i="9"/>
  <c r="BG120" i="9"/>
  <c r="BL116" i="9"/>
  <c r="BS112" i="9"/>
  <c r="BF108" i="9"/>
  <c r="BW104" i="9"/>
  <c r="AN102" i="9"/>
  <c r="BX100" i="9"/>
  <c r="AX99" i="9"/>
  <c r="AY98" i="9"/>
  <c r="BA97" i="9"/>
  <c r="BE96" i="9"/>
  <c r="BD95" i="9"/>
  <c r="AO94" i="9"/>
  <c r="AG93" i="9"/>
  <c r="AB92" i="9"/>
  <c r="AF91" i="9"/>
  <c r="AF90" i="9"/>
  <c r="AG89" i="9"/>
  <c r="AJ88" i="9"/>
  <c r="AJ87" i="9"/>
  <c r="AM86" i="9"/>
  <c r="AF85" i="9"/>
  <c r="AJ84" i="9"/>
  <c r="AP83" i="9"/>
  <c r="AN82" i="9"/>
  <c r="AF81" i="9"/>
  <c r="AL80" i="9"/>
  <c r="AQ79" i="9"/>
  <c r="AI78" i="9"/>
  <c r="AK77" i="9"/>
  <c r="AN76" i="9"/>
  <c r="AG75" i="9"/>
  <c r="W74" i="9"/>
  <c r="R73" i="9"/>
  <c r="X72" i="9"/>
  <c r="AB71" i="9"/>
  <c r="AA70" i="9"/>
  <c r="AF69" i="9"/>
  <c r="AL68" i="9"/>
  <c r="AN67" i="9"/>
  <c r="AO66" i="9"/>
  <c r="AQ65" i="9"/>
  <c r="AS64" i="9"/>
  <c r="AS63" i="9"/>
  <c r="AY62" i="9"/>
  <c r="BC61" i="9"/>
  <c r="BA60" i="9"/>
  <c r="BE59" i="9"/>
  <c r="BL58" i="9"/>
  <c r="BL57" i="9"/>
  <c r="BC143" i="9"/>
  <c r="BT135" i="9"/>
  <c r="AH130" i="9"/>
  <c r="AR126" i="9"/>
  <c r="AR122" i="9"/>
  <c r="BA118" i="9"/>
  <c r="BE114" i="9"/>
  <c r="BO110" i="9"/>
  <c r="BF106" i="9"/>
  <c r="U103" i="9"/>
  <c r="BE101" i="9"/>
  <c r="R100" i="9"/>
  <c r="K99" i="9"/>
  <c r="O98" i="9"/>
  <c r="O97" i="9"/>
  <c r="P96" i="9"/>
  <c r="E95" i="9"/>
  <c r="BV93" i="9"/>
  <c r="BO92" i="9"/>
  <c r="BP91" i="9"/>
  <c r="BS90" i="9"/>
  <c r="BT89" i="9"/>
  <c r="BV88" i="9"/>
  <c r="BX87" i="9"/>
  <c r="BY86" i="9"/>
  <c r="BU85" i="9"/>
  <c r="BU84" i="9"/>
  <c r="BY83" i="9"/>
  <c r="E83" i="9"/>
  <c r="BR81" i="9"/>
  <c r="BT80" i="9"/>
  <c r="C80" i="9"/>
  <c r="C79" i="9"/>
  <c r="BX77" i="9"/>
  <c r="D77" i="9"/>
  <c r="BY75" i="9"/>
  <c r="BI74" i="9"/>
  <c r="BE73" i="9"/>
  <c r="BH72" i="9"/>
  <c r="BL71" i="9"/>
  <c r="BL70" i="9"/>
  <c r="BN69" i="9"/>
  <c r="BU68" i="9"/>
  <c r="BY67" i="9"/>
  <c r="A67" i="9"/>
  <c r="E66" i="9"/>
  <c r="B65" i="9"/>
  <c r="H64" i="9"/>
  <c r="I63" i="9"/>
  <c r="O62" i="9"/>
  <c r="P61" i="9"/>
  <c r="N60" i="9"/>
  <c r="U59" i="9"/>
  <c r="X58" i="9"/>
  <c r="AB57" i="9"/>
  <c r="AN145" i="9"/>
  <c r="BN137" i="9"/>
  <c r="AG131" i="9"/>
  <c r="AU127" i="9"/>
  <c r="AM123" i="9"/>
  <c r="AW119" i="9"/>
  <c r="BD115" i="9"/>
  <c r="BL111" i="9"/>
  <c r="BA107" i="9"/>
  <c r="BN103" i="9"/>
  <c r="F102" i="9"/>
  <c r="AO100" i="9"/>
  <c r="AE99" i="9"/>
  <c r="AE98" i="9"/>
  <c r="AF97" i="9"/>
  <c r="AK96" i="9"/>
  <c r="AE95" i="9"/>
  <c r="U94" i="9"/>
  <c r="F93" i="9"/>
  <c r="G92" i="9"/>
  <c r="K91" i="9"/>
  <c r="J90" i="9"/>
  <c r="M89" i="9"/>
  <c r="N88" i="9"/>
  <c r="P87" i="9"/>
  <c r="O86" i="9"/>
  <c r="K85" i="9"/>
  <c r="O84" i="9"/>
  <c r="U83" i="9"/>
  <c r="K82" i="9"/>
  <c r="L81" i="9"/>
  <c r="T80" i="9"/>
  <c r="U79" i="9"/>
  <c r="N78" i="9"/>
  <c r="S77" i="9"/>
  <c r="T76" i="9"/>
  <c r="C75" i="9"/>
  <c r="B74" i="9"/>
  <c r="BY72" i="9"/>
  <c r="D72" i="9"/>
  <c r="E71" i="9"/>
  <c r="F70" i="9"/>
  <c r="M69" i="9"/>
  <c r="P68" i="9"/>
  <c r="Q67" i="9"/>
  <c r="U66" i="9"/>
  <c r="U65" i="9"/>
  <c r="X64" i="9"/>
  <c r="Z63" i="9"/>
  <c r="AG62" i="9"/>
  <c r="AH61" i="9"/>
  <c r="AE60" i="9"/>
  <c r="AK59" i="9"/>
  <c r="AO58" i="9"/>
  <c r="AQ57" i="9"/>
  <c r="AR56" i="9"/>
  <c r="AE55" i="9"/>
  <c r="AB54" i="9"/>
  <c r="AA53" i="9"/>
  <c r="U52" i="9"/>
  <c r="U51" i="9"/>
  <c r="S50" i="9"/>
  <c r="P49" i="9"/>
  <c r="P48" i="9"/>
  <c r="AD147" i="9"/>
  <c r="AT139" i="9"/>
  <c r="AM132" i="9"/>
  <c r="AH128" i="9"/>
  <c r="AI124" i="9"/>
  <c r="AO120" i="9"/>
  <c r="AU116" i="9"/>
  <c r="BC112" i="9"/>
  <c r="AN108" i="9"/>
  <c r="BH104" i="9"/>
  <c r="AH102" i="9"/>
  <c r="BR100" i="9"/>
  <c r="AT99" i="9"/>
  <c r="AU98" i="9"/>
  <c r="AV97" i="9"/>
  <c r="BA96" i="9"/>
  <c r="AI233" i="9"/>
  <c r="AO246" i="9"/>
  <c r="AH272" i="9"/>
  <c r="AE215" i="9"/>
  <c r="AT214" i="9"/>
  <c r="AV198" i="9"/>
  <c r="AP186" i="9"/>
  <c r="AC185" i="9"/>
  <c r="BM161" i="9"/>
  <c r="L217" i="9"/>
  <c r="AF205" i="9"/>
  <c r="AI197" i="9"/>
  <c r="AE189" i="9"/>
  <c r="AP181" i="9"/>
  <c r="AA173" i="9"/>
  <c r="AA220" i="9"/>
  <c r="B207" i="9"/>
  <c r="M199" i="9"/>
  <c r="BX190" i="9"/>
  <c r="O183" i="9"/>
  <c r="A175" i="9"/>
  <c r="M225" i="9"/>
  <c r="AA209" i="9"/>
  <c r="AF201" i="9"/>
  <c r="Z193" i="9"/>
  <c r="AH185" i="9"/>
  <c r="AI177" i="9"/>
  <c r="W169" i="9"/>
  <c r="BY160" i="9"/>
  <c r="AM163" i="9"/>
  <c r="W152" i="9"/>
  <c r="BL159" i="9"/>
  <c r="AR150" i="9"/>
  <c r="AZ142" i="9"/>
  <c r="BJ134" i="9"/>
  <c r="AW126" i="9"/>
  <c r="BH118" i="9"/>
  <c r="BT110" i="9"/>
  <c r="AA168" i="9"/>
  <c r="AO154" i="9"/>
  <c r="AR146" i="9"/>
  <c r="BM138" i="9"/>
  <c r="AU130" i="9"/>
  <c r="BE122" i="9"/>
  <c r="BV114" i="9"/>
  <c r="BS106" i="9"/>
  <c r="BU167" i="9"/>
  <c r="AE154" i="9"/>
  <c r="AG146" i="9"/>
  <c r="BC138" i="9"/>
  <c r="AL130" i="9"/>
  <c r="AU122" i="9"/>
  <c r="BK114" i="9"/>
  <c r="BJ106" i="9"/>
  <c r="AZ166" i="9"/>
  <c r="BU153" i="9"/>
  <c r="BS145" i="9"/>
  <c r="T138" i="9"/>
  <c r="B130" i="9"/>
  <c r="L122" i="9"/>
  <c r="P114" i="9"/>
  <c r="U106" i="9"/>
  <c r="BU158" i="9"/>
  <c r="BJ153" i="9"/>
  <c r="BX150" i="9"/>
  <c r="BS148" i="9"/>
  <c r="BR146" i="9"/>
  <c r="AZ145" i="9"/>
  <c r="AC144" i="9"/>
  <c r="E143" i="9"/>
  <c r="BN141" i="9"/>
  <c r="AL140" i="9"/>
  <c r="L139" i="9"/>
  <c r="B138" i="9"/>
  <c r="AV136" i="9"/>
  <c r="R135" i="9"/>
  <c r="BX133" i="9"/>
  <c r="AN132" i="9"/>
  <c r="H131" i="9"/>
  <c r="A130" i="9"/>
  <c r="C129" i="9"/>
  <c r="J128" i="9"/>
  <c r="H127" i="9"/>
  <c r="H126" i="9"/>
  <c r="L125" i="9"/>
  <c r="D124" i="9"/>
  <c r="E123" i="9"/>
  <c r="K122" i="9"/>
  <c r="N121" i="9"/>
  <c r="M120" i="9"/>
  <c r="N119" i="9"/>
  <c r="O118" i="9"/>
  <c r="O117" i="9"/>
  <c r="V116" i="9"/>
  <c r="S115" i="9"/>
  <c r="O114" i="9"/>
  <c r="W113" i="9"/>
  <c r="AB112" i="9"/>
  <c r="AC111" i="9"/>
  <c r="Z110" i="9"/>
  <c r="M109" i="9"/>
  <c r="M108" i="9"/>
  <c r="R107" i="9"/>
  <c r="T106" i="9"/>
  <c r="AA105" i="9"/>
  <c r="AF104" i="9"/>
  <c r="BP169" i="9"/>
  <c r="N167" i="9"/>
  <c r="O165" i="9"/>
  <c r="X163" i="9"/>
  <c r="R161" i="9"/>
  <c r="O159" i="9"/>
  <c r="K157" i="9"/>
  <c r="A156" i="9"/>
  <c r="D155" i="9"/>
  <c r="J154" i="9"/>
  <c r="M153" i="9"/>
  <c r="P152" i="9"/>
  <c r="P151" i="9"/>
  <c r="M150" i="9"/>
  <c r="L149" i="9"/>
  <c r="K148" i="9"/>
  <c r="M147" i="9"/>
  <c r="I146" i="9"/>
  <c r="N145" i="9"/>
  <c r="O144" i="9"/>
  <c r="U143" i="9"/>
  <c r="AA142" i="9"/>
  <c r="AA141" i="9"/>
  <c r="AB140" i="9"/>
  <c r="AD139" i="9"/>
  <c r="AI138" i="9"/>
  <c r="AO137" i="9"/>
  <c r="AM136" i="9"/>
  <c r="AL135" i="9"/>
  <c r="AH134" i="9"/>
  <c r="BL169" i="9"/>
  <c r="I167" i="9"/>
  <c r="L165" i="9"/>
  <c r="U163" i="9"/>
  <c r="M161" i="9"/>
  <c r="K159" i="9"/>
  <c r="I157" i="9"/>
  <c r="BY155" i="9"/>
  <c r="C155" i="9"/>
  <c r="I154" i="9"/>
  <c r="L153" i="9"/>
  <c r="O152" i="9"/>
  <c r="O151" i="9"/>
  <c r="L150" i="9"/>
  <c r="K149" i="9"/>
  <c r="J148" i="9"/>
  <c r="L147" i="9"/>
  <c r="H146" i="9"/>
  <c r="M145" i="9"/>
  <c r="N144" i="9"/>
  <c r="T143" i="9"/>
  <c r="Z142" i="9"/>
  <c r="Z141" i="9"/>
  <c r="AA140" i="9"/>
  <c r="AC139" i="9"/>
  <c r="AH138" i="9"/>
  <c r="AN137" i="9"/>
  <c r="AL136" i="9"/>
  <c r="AI135" i="9"/>
  <c r="AG134" i="9"/>
  <c r="AD133" i="9"/>
  <c r="Z132" i="9"/>
  <c r="N131" i="9"/>
  <c r="O130" i="9"/>
  <c r="Q129" i="9"/>
  <c r="Y128" i="9"/>
  <c r="AD127" i="9"/>
  <c r="Z126" i="9"/>
  <c r="AB125" i="9"/>
  <c r="W124" i="9"/>
  <c r="U123" i="9"/>
  <c r="AA122" i="9"/>
  <c r="AE121" i="9"/>
  <c r="AF120" i="9"/>
  <c r="AG119" i="9"/>
  <c r="AG118" i="9"/>
  <c r="AF117" i="9"/>
  <c r="AL116" i="9"/>
  <c r="AJ115" i="9"/>
  <c r="AG114" i="9"/>
  <c r="AK113" i="9"/>
  <c r="AR112" i="9"/>
  <c r="AR111" i="9"/>
  <c r="AO110" i="9"/>
  <c r="AM109" i="9"/>
  <c r="AD108" i="9"/>
  <c r="AH107" i="9"/>
  <c r="AL106" i="9"/>
  <c r="AO105" i="9"/>
  <c r="AV104" i="9"/>
  <c r="AS103" i="9"/>
  <c r="AT102" i="9"/>
  <c r="AV101" i="9"/>
  <c r="AX100" i="9"/>
  <c r="BG99" i="9"/>
  <c r="J143" i="9"/>
  <c r="Z135" i="9"/>
  <c r="N130" i="9"/>
  <c r="X126" i="9"/>
  <c r="Z122" i="9"/>
  <c r="AF118" i="9"/>
  <c r="AF114" i="9"/>
  <c r="AN110" i="9"/>
  <c r="AI106" i="9"/>
  <c r="H103" i="9"/>
  <c r="AT101" i="9"/>
  <c r="K100" i="9"/>
  <c r="E99" i="9"/>
  <c r="J98" i="9"/>
  <c r="J97" i="9"/>
  <c r="K96" i="9"/>
  <c r="BX94" i="9"/>
  <c r="BP93" i="9"/>
  <c r="BH92" i="9"/>
  <c r="BK91" i="9"/>
  <c r="BL90" i="9"/>
  <c r="BO89" i="9"/>
  <c r="BQ88" i="9"/>
  <c r="BR87" i="9"/>
  <c r="BR86" i="9"/>
  <c r="BP85" i="9"/>
  <c r="BP84" i="9"/>
  <c r="BS83" i="9"/>
  <c r="BX82" i="9"/>
  <c r="BL81" i="9"/>
  <c r="BO80" i="9"/>
  <c r="BT79" i="9"/>
  <c r="BU78" i="9"/>
  <c r="BQ77" i="9"/>
  <c r="BX76" i="9"/>
  <c r="BR75" i="9"/>
  <c r="BA74" i="9"/>
  <c r="AV73" i="9"/>
  <c r="BA72" i="9"/>
  <c r="BG71" i="9"/>
  <c r="BF70" i="9"/>
  <c r="BG69" i="9"/>
  <c r="BP68" i="9"/>
  <c r="BS67" i="9"/>
  <c r="BT66" i="9"/>
  <c r="BY65" i="9"/>
  <c r="BV64" i="9"/>
  <c r="B64" i="9"/>
  <c r="D63" i="9"/>
  <c r="J62" i="9"/>
  <c r="H61" i="9"/>
  <c r="I60" i="9"/>
  <c r="O59" i="9"/>
  <c r="S58" i="9"/>
  <c r="V57" i="9"/>
  <c r="U56" i="9"/>
  <c r="C55" i="9"/>
  <c r="D54" i="9"/>
  <c r="A53" i="9"/>
  <c r="BU51" i="9"/>
  <c r="BV50" i="9"/>
  <c r="BV49" i="9"/>
  <c r="BS48" i="9"/>
  <c r="BT47" i="9"/>
  <c r="D142" i="9"/>
  <c r="M134" i="9"/>
  <c r="AS129" i="9"/>
  <c r="BF125" i="9"/>
  <c r="BK121" i="9"/>
  <c r="BK117" i="9"/>
  <c r="BM113" i="9"/>
  <c r="BU109" i="9"/>
  <c r="BP105" i="9"/>
  <c r="BS102" i="9"/>
  <c r="AD101" i="9"/>
  <c r="BX99" i="9"/>
  <c r="BT98" i="9"/>
  <c r="BY97" i="9"/>
  <c r="A97" i="9"/>
  <c r="B96" i="9"/>
  <c r="BL94" i="9"/>
  <c r="BD93" i="9"/>
  <c r="AT92" i="9"/>
  <c r="BA91" i="9"/>
  <c r="AZ90" i="9"/>
  <c r="BA89" i="9"/>
  <c r="BF88" i="9"/>
  <c r="BF87" i="9"/>
  <c r="BI86" i="9"/>
  <c r="AZ85" i="9"/>
  <c r="BG84" i="9"/>
  <c r="BJ83" i="9"/>
  <c r="BL82" i="9"/>
  <c r="AW81" i="9"/>
  <c r="BE80" i="9"/>
  <c r="BK79" i="9"/>
  <c r="BH78" i="9"/>
  <c r="BE77" i="9"/>
  <c r="BN76" i="9"/>
  <c r="BF75" i="9"/>
  <c r="AP74" i="9"/>
  <c r="AM73" i="9"/>
  <c r="AQ72" i="9"/>
  <c r="AU71" i="9"/>
  <c r="AS70" i="9"/>
  <c r="AW69" i="9"/>
  <c r="BF68" i="9"/>
  <c r="BH67" i="9"/>
  <c r="BK66" i="9"/>
  <c r="BN65" i="9"/>
  <c r="BM64" i="9"/>
  <c r="BQ63" i="9"/>
  <c r="BR62" i="9"/>
  <c r="A62" i="9"/>
  <c r="BV60" i="9"/>
  <c r="BY59" i="9"/>
  <c r="F59" i="9"/>
  <c r="G58" i="9"/>
  <c r="M57" i="9"/>
  <c r="J56" i="9"/>
  <c r="BD146" i="9"/>
  <c r="BY138" i="9"/>
  <c r="I132" i="9"/>
  <c r="O128" i="9"/>
  <c r="L124" i="9"/>
  <c r="T120" i="9"/>
  <c r="AB116" i="9"/>
  <c r="AG112" i="9"/>
  <c r="S108" i="9"/>
  <c r="AM104" i="9"/>
  <c r="Z102" i="9"/>
  <c r="BJ100" i="9"/>
  <c r="AO99" i="9"/>
  <c r="AP98" i="9"/>
  <c r="AQ97" i="9"/>
  <c r="AU96" i="9"/>
  <c r="AR95" i="9"/>
  <c r="AG94" i="9"/>
  <c r="R93" i="9"/>
  <c r="R92" i="9"/>
  <c r="V91" i="9"/>
  <c r="V90" i="9"/>
  <c r="X89" i="9"/>
  <c r="AB88" i="9"/>
  <c r="AB87" i="9"/>
  <c r="AD86" i="9"/>
  <c r="W85" i="9"/>
  <c r="AB84" i="9"/>
  <c r="AG83" i="9"/>
  <c r="AA82" i="9"/>
  <c r="W81" i="9"/>
  <c r="AD80" i="9"/>
  <c r="AG79" i="9"/>
  <c r="AA78" i="9"/>
  <c r="AC77" i="9"/>
  <c r="AF76" i="9"/>
  <c r="P75" i="9"/>
  <c r="L74" i="9"/>
  <c r="J73" i="9"/>
  <c r="N72" i="9"/>
  <c r="P71" i="9"/>
  <c r="P70" i="9"/>
  <c r="W69" i="9"/>
  <c r="AB68" i="9"/>
  <c r="AD67" i="9"/>
  <c r="AF66" i="9"/>
  <c r="AG65" i="9"/>
  <c r="AI64" i="9"/>
  <c r="AJ63" i="9"/>
  <c r="AQ62" i="9"/>
  <c r="AR61" i="9"/>
  <c r="AR60" i="9"/>
  <c r="AU59" i="9"/>
  <c r="AY58" i="9"/>
  <c r="BC57" i="9"/>
  <c r="BJ142" i="9"/>
  <c r="BT134" i="9"/>
  <c r="BY129" i="9"/>
  <c r="G126" i="9"/>
  <c r="J122" i="9"/>
  <c r="N118" i="9"/>
  <c r="N114" i="9"/>
  <c r="W110" i="9"/>
  <c r="R106" i="9"/>
  <c r="C103" i="9"/>
  <c r="AO101" i="9"/>
  <c r="G100" i="9"/>
  <c r="B99" i="9"/>
  <c r="F98" i="9"/>
  <c r="G97" i="9"/>
  <c r="H96" i="9"/>
  <c r="BS94" i="9"/>
  <c r="BL93" i="9"/>
  <c r="BD92" i="9"/>
  <c r="BH91" i="9"/>
  <c r="BI90" i="9"/>
  <c r="BJ89" i="9"/>
  <c r="BN88" i="9"/>
  <c r="BO87" i="9"/>
  <c r="BO86" i="9"/>
  <c r="BK85" i="9"/>
  <c r="BM84" i="9"/>
  <c r="BP83" i="9"/>
  <c r="BT82" i="9"/>
  <c r="BI81" i="9"/>
  <c r="BL80" i="9"/>
  <c r="BQ79" i="9"/>
  <c r="BR78" i="9"/>
  <c r="BN77" i="9"/>
  <c r="BT76" i="9"/>
  <c r="BO75" i="9"/>
  <c r="AV74" i="9"/>
  <c r="AS73" i="9"/>
  <c r="AW72" i="9"/>
  <c r="BC71" i="9"/>
  <c r="BA70" i="9"/>
  <c r="BD69" i="9"/>
  <c r="BL68" i="9"/>
  <c r="BP67" i="9"/>
  <c r="BQ66" i="9"/>
  <c r="BT65" i="9"/>
  <c r="BS64" i="9"/>
  <c r="BX63" i="9"/>
  <c r="A63" i="9"/>
  <c r="G62" i="9"/>
  <c r="D61" i="9"/>
  <c r="F60" i="9"/>
  <c r="L59" i="9"/>
  <c r="O58" i="9"/>
  <c r="S57" i="9"/>
  <c r="AQ144" i="9"/>
  <c r="BP136" i="9"/>
  <c r="BT130" i="9"/>
  <c r="E127" i="9"/>
  <c r="B123" i="9"/>
  <c r="K119" i="9"/>
  <c r="P115" i="9"/>
  <c r="Z111" i="9"/>
  <c r="O107" i="9"/>
  <c r="AJ103" i="9"/>
  <c r="BQ101" i="9"/>
  <c r="AB100" i="9"/>
  <c r="T99" i="9"/>
  <c r="V98" i="9"/>
  <c r="W97" i="9"/>
  <c r="AA96" i="9"/>
  <c r="N95" i="9"/>
  <c r="H94" i="9"/>
  <c r="BV92" i="9"/>
  <c r="BX91" i="9"/>
  <c r="C91" i="9"/>
  <c r="B90" i="9"/>
  <c r="E89" i="9"/>
  <c r="F88" i="9"/>
  <c r="G87" i="9"/>
  <c r="E86" i="9"/>
  <c r="C85" i="9"/>
  <c r="G84" i="9"/>
  <c r="L83" i="9"/>
  <c r="C82" i="9"/>
  <c r="D81" i="9"/>
  <c r="J80" i="9"/>
  <c r="K79" i="9"/>
  <c r="F78" i="9"/>
  <c r="K77" i="9"/>
  <c r="H76" i="9"/>
  <c r="BR74" i="9"/>
  <c r="BQ73" i="9"/>
  <c r="BO72" i="9"/>
  <c r="BT71" i="9"/>
  <c r="BU70" i="9"/>
  <c r="BW69" i="9"/>
  <c r="E69" i="9"/>
  <c r="H68" i="9"/>
  <c r="I67" i="9"/>
  <c r="L66" i="9"/>
  <c r="K65" i="9"/>
  <c r="O64" i="9"/>
  <c r="P63" i="9"/>
  <c r="Y62" i="9"/>
  <c r="X61" i="9"/>
  <c r="V60" i="9"/>
  <c r="AC59" i="9"/>
  <c r="AG58" i="9"/>
  <c r="AI57" i="9"/>
  <c r="AJ56" i="9"/>
  <c r="U55" i="9"/>
  <c r="P54" i="9"/>
  <c r="O53" i="9"/>
  <c r="K52" i="9"/>
  <c r="K51" i="9"/>
  <c r="J50" i="9"/>
  <c r="G49" i="9"/>
  <c r="H48" i="9"/>
  <c r="AB146" i="9"/>
  <c r="AW138" i="9"/>
  <c r="BQ131" i="9"/>
  <c r="A128" i="9"/>
  <c r="BS123" i="9"/>
  <c r="B120" i="9"/>
  <c r="L116" i="9"/>
  <c r="O112" i="9"/>
  <c r="D108" i="9"/>
  <c r="U104" i="9"/>
  <c r="R102" i="9"/>
  <c r="AZ100" i="9"/>
  <c r="AL99" i="9"/>
  <c r="AM98" i="9"/>
  <c r="AN97" i="9"/>
  <c r="AR96" i="9"/>
  <c r="AO95" i="9"/>
  <c r="AD94" i="9"/>
  <c r="N93" i="9"/>
  <c r="O92" i="9"/>
  <c r="R91" i="9"/>
  <c r="R90" i="9"/>
  <c r="U89" i="9"/>
  <c r="X88" i="9"/>
  <c r="X87" i="9"/>
  <c r="X86" i="9"/>
  <c r="S85" i="9"/>
  <c r="X84" i="9"/>
  <c r="AD83" i="9"/>
  <c r="W82" i="9"/>
  <c r="T81" i="9"/>
  <c r="AA80" i="9"/>
  <c r="AD79" i="9"/>
  <c r="W78" i="9"/>
  <c r="Z77" i="9"/>
  <c r="AC76" i="9"/>
  <c r="M75" i="9"/>
  <c r="I74" i="9"/>
  <c r="G73" i="9"/>
  <c r="K72" i="9"/>
  <c r="M71" i="9"/>
  <c r="M70" i="9"/>
  <c r="T69" i="9"/>
  <c r="X68" i="9"/>
  <c r="AA67" i="9"/>
  <c r="AC66" i="9"/>
  <c r="AD65" i="9"/>
  <c r="AF64" i="9"/>
  <c r="AG63" i="9"/>
  <c r="AN62" i="9"/>
  <c r="AO61" i="9"/>
  <c r="AS315" i="9"/>
  <c r="AW238" i="9"/>
  <c r="AA257" i="9"/>
  <c r="AK204" i="9"/>
  <c r="I204" i="9"/>
  <c r="AE190" i="9"/>
  <c r="AM178" i="9"/>
  <c r="AA181" i="9"/>
  <c r="BI159" i="9"/>
  <c r="Q215" i="9"/>
  <c r="AF204" i="9"/>
  <c r="AJ196" i="9"/>
  <c r="AI188" i="9"/>
  <c r="AF180" i="9"/>
  <c r="AA172" i="9"/>
  <c r="AD218" i="9"/>
  <c r="BY205" i="9"/>
  <c r="I198" i="9"/>
  <c r="BW189" i="9"/>
  <c r="Q182" i="9"/>
  <c r="BU173" i="9"/>
  <c r="BW222" i="9"/>
  <c r="X208" i="9"/>
  <c r="AK200" i="9"/>
  <c r="AD192" i="9"/>
  <c r="AI184" i="9"/>
  <c r="AG176" i="9"/>
  <c r="N168" i="9"/>
  <c r="A160" i="9"/>
  <c r="AG161" i="9"/>
  <c r="W151" i="9"/>
  <c r="BC157" i="9"/>
  <c r="AL149" i="9"/>
  <c r="AV141" i="9"/>
  <c r="BH133" i="9"/>
  <c r="BB125" i="9"/>
  <c r="BH117" i="9"/>
  <c r="BN109" i="9"/>
  <c r="C166" i="9"/>
  <c r="AR153" i="9"/>
  <c r="AT145" i="9"/>
  <c r="BT137" i="9"/>
  <c r="AW129" i="9"/>
  <c r="BO121" i="9"/>
  <c r="BQ113" i="9"/>
  <c r="BT105" i="9"/>
  <c r="BC165" i="9"/>
  <c r="AH153" i="9"/>
  <c r="AJ145" i="9"/>
  <c r="BK137" i="9"/>
  <c r="AN129" i="9"/>
  <c r="BC121" i="9"/>
  <c r="BG113" i="9"/>
  <c r="BK105" i="9"/>
  <c r="BK164" i="9"/>
  <c r="BX152" i="9"/>
  <c r="BY144" i="9"/>
  <c r="X137" i="9"/>
  <c r="D129" i="9"/>
  <c r="O121" i="9"/>
  <c r="X113" i="9"/>
  <c r="AB105" i="9"/>
  <c r="A157" i="9"/>
  <c r="F153" i="9"/>
  <c r="BO150" i="9"/>
  <c r="BJ148" i="9"/>
  <c r="BH146" i="9"/>
  <c r="AH145" i="9"/>
  <c r="H144" i="9"/>
  <c r="BU142" i="9"/>
  <c r="AR141" i="9"/>
  <c r="S140" i="9"/>
  <c r="C139" i="9"/>
  <c r="BI137" i="9"/>
  <c r="AF136" i="9"/>
  <c r="I135" i="9"/>
  <c r="BA133" i="9"/>
  <c r="M132" i="9"/>
  <c r="BY130" i="9"/>
  <c r="BQ129" i="9"/>
  <c r="BR128" i="9"/>
  <c r="B128" i="9"/>
  <c r="BY126" i="9"/>
  <c r="BY125" i="9"/>
  <c r="C125" i="9"/>
  <c r="BT123" i="9"/>
  <c r="BT122" i="9"/>
  <c r="C122" i="9"/>
  <c r="E121" i="9"/>
  <c r="C120" i="9"/>
  <c r="F119" i="9"/>
  <c r="G118" i="9"/>
  <c r="F117" i="9"/>
  <c r="M116" i="9"/>
  <c r="K115" i="9"/>
  <c r="G114" i="9"/>
  <c r="O113" i="9"/>
  <c r="P112" i="9"/>
  <c r="R111" i="9"/>
  <c r="O110" i="9"/>
  <c r="D109" i="9"/>
  <c r="E108" i="9"/>
  <c r="J107" i="9"/>
  <c r="K106" i="9"/>
  <c r="R105" i="9"/>
  <c r="V104" i="9"/>
  <c r="AR169" i="9"/>
  <c r="BR166" i="9"/>
  <c r="BX164" i="9"/>
  <c r="F163" i="9"/>
  <c r="BU160" i="9"/>
  <c r="BT158" i="9"/>
  <c r="BY156" i="9"/>
  <c r="BR155" i="9"/>
  <c r="BT154" i="9"/>
  <c r="B154" i="9"/>
  <c r="E153" i="9"/>
  <c r="H152" i="9"/>
  <c r="F151" i="9"/>
  <c r="C150" i="9"/>
  <c r="C149" i="9"/>
  <c r="B148" i="9"/>
  <c r="D147" i="9"/>
  <c r="BY145" i="9"/>
  <c r="F145" i="9"/>
  <c r="G144" i="9"/>
  <c r="L143" i="9"/>
  <c r="O142" i="9"/>
  <c r="R141" i="9"/>
  <c r="R140" i="9"/>
  <c r="U139" i="9"/>
  <c r="AA138" i="9"/>
  <c r="AE137" i="9"/>
  <c r="AE136" i="9"/>
  <c r="AB135" i="9"/>
  <c r="X134" i="9"/>
  <c r="AO169" i="9"/>
  <c r="BO166" i="9"/>
  <c r="BT164" i="9"/>
  <c r="C163" i="9"/>
  <c r="BR160" i="9"/>
  <c r="BQ158" i="9"/>
  <c r="BX156" i="9"/>
  <c r="BQ155" i="9"/>
  <c r="BS154" i="9"/>
  <c r="A154" i="9"/>
  <c r="D153" i="9"/>
  <c r="G152" i="9"/>
  <c r="E151" i="9"/>
  <c r="B150" i="9"/>
  <c r="B149" i="9"/>
  <c r="A148" i="9"/>
  <c r="C147" i="9"/>
  <c r="BX145" i="9"/>
  <c r="E145" i="9"/>
  <c r="F144" i="9"/>
  <c r="K143" i="9"/>
  <c r="N142" i="9"/>
  <c r="Q141" i="9"/>
  <c r="P140" i="9"/>
  <c r="T139" i="9"/>
  <c r="Z138" i="9"/>
  <c r="AD137" i="9"/>
  <c r="AD136" i="9"/>
  <c r="AA135" i="9"/>
  <c r="W134" i="9"/>
  <c r="S133" i="9"/>
  <c r="J132" i="9"/>
  <c r="F131" i="9"/>
  <c r="G130" i="9"/>
  <c r="I129" i="9"/>
  <c r="P128" i="9"/>
  <c r="P127" i="9"/>
  <c r="O126" i="9"/>
  <c r="R125" i="9"/>
  <c r="M124" i="9"/>
  <c r="K123" i="9"/>
  <c r="R122" i="9"/>
  <c r="U121" i="9"/>
  <c r="U120" i="9"/>
  <c r="W119" i="9"/>
  <c r="W118" i="9"/>
  <c r="W117" i="9"/>
  <c r="AC116" i="9"/>
  <c r="AB115" i="9"/>
  <c r="W114" i="9"/>
  <c r="AC113" i="9"/>
  <c r="AH112" i="9"/>
  <c r="AI111" i="9"/>
  <c r="AF110" i="9"/>
  <c r="W109" i="9"/>
  <c r="U108" i="9"/>
  <c r="Z107" i="9"/>
  <c r="AB106" i="9"/>
  <c r="AG105" i="9"/>
  <c r="AN104" i="9"/>
  <c r="AK103" i="9"/>
  <c r="AL102" i="9"/>
  <c r="AN101" i="9"/>
  <c r="AP100" i="9"/>
  <c r="AU99" i="9"/>
  <c r="M142" i="9"/>
  <c r="U134" i="9"/>
  <c r="BA129" i="9"/>
  <c r="BL125" i="9"/>
  <c r="BQ121" i="9"/>
  <c r="BR117" i="9"/>
  <c r="BS113" i="9"/>
  <c r="D110" i="9"/>
  <c r="BX105" i="9"/>
  <c r="BT102" i="9"/>
  <c r="AF101" i="9"/>
  <c r="BY99" i="9"/>
  <c r="BU98" i="9"/>
  <c r="A98" i="9"/>
  <c r="B97" i="9"/>
  <c r="C96" i="9"/>
  <c r="BN94" i="9"/>
  <c r="BE93" i="9"/>
  <c r="AU92" i="9"/>
  <c r="BB91" i="9"/>
  <c r="BA90" i="9"/>
  <c r="BD89" i="9"/>
  <c r="BG88" i="9"/>
  <c r="BH87" i="9"/>
  <c r="BJ86" i="9"/>
  <c r="BA85" i="9"/>
  <c r="BH84" i="9"/>
  <c r="BK83" i="9"/>
  <c r="BO82" i="9"/>
  <c r="AX81" i="9"/>
  <c r="BF80" i="9"/>
  <c r="BL79" i="9"/>
  <c r="BK78" i="9"/>
  <c r="BF77" i="9"/>
  <c r="BO76" i="9"/>
  <c r="BH75" i="9"/>
  <c r="AQ74" i="9"/>
  <c r="AN73" i="9"/>
  <c r="AR72" i="9"/>
  <c r="AV71" i="9"/>
  <c r="AT70" i="9"/>
  <c r="AX69" i="9"/>
  <c r="BG68" i="9"/>
  <c r="BK67" i="9"/>
  <c r="BL66" i="9"/>
  <c r="BO65" i="9"/>
  <c r="BN64" i="9"/>
  <c r="BR63" i="9"/>
  <c r="BS62" i="9"/>
  <c r="B62" i="9"/>
  <c r="BX60" i="9"/>
  <c r="A60" i="9"/>
  <c r="G59" i="9"/>
  <c r="H58" i="9"/>
  <c r="N57" i="9"/>
  <c r="K56" i="9"/>
  <c r="BS54" i="9"/>
  <c r="BR53" i="9"/>
  <c r="BP52" i="9"/>
  <c r="BL51" i="9"/>
  <c r="BL50" i="9"/>
  <c r="BL49" i="9"/>
  <c r="BJ48" i="9"/>
  <c r="BP148" i="9"/>
  <c r="H141" i="9"/>
  <c r="U133" i="9"/>
  <c r="J129" i="9"/>
  <c r="T125" i="9"/>
  <c r="V121" i="9"/>
  <c r="X117" i="9"/>
  <c r="AD113" i="9"/>
  <c r="Z109" i="9"/>
  <c r="AH105" i="9"/>
  <c r="BF102" i="9"/>
  <c r="N101" i="9"/>
  <c r="BM99" i="9"/>
  <c r="BL98" i="9"/>
  <c r="BO97" i="9"/>
  <c r="BP96" i="9"/>
  <c r="BP95" i="9"/>
  <c r="AX94" i="9"/>
  <c r="AT93" i="9"/>
  <c r="AL92" i="9"/>
  <c r="AQ91" i="9"/>
  <c r="AP90" i="9"/>
  <c r="AQ89" i="9"/>
  <c r="AT88" i="9"/>
  <c r="AT87" i="9"/>
  <c r="AV86" i="9"/>
  <c r="AP85" i="9"/>
  <c r="AV84" i="9"/>
  <c r="AZ83" i="9"/>
  <c r="AW82" i="9"/>
  <c r="AO81" i="9"/>
  <c r="AU80" i="9"/>
  <c r="BB79" i="9"/>
  <c r="AU78" i="9"/>
  <c r="AT77" i="9"/>
  <c r="AW76" i="9"/>
  <c r="AT75" i="9"/>
  <c r="AG74" i="9"/>
  <c r="AD73" i="9"/>
  <c r="AH72" i="9"/>
  <c r="AM71" i="9"/>
  <c r="AJ70" i="9"/>
  <c r="AO69" i="9"/>
  <c r="AU68" i="9"/>
  <c r="AW67" i="9"/>
  <c r="AY66" i="9"/>
  <c r="BB65" i="9"/>
  <c r="BD64" i="9"/>
  <c r="BF63" i="9"/>
  <c r="BJ62" i="9"/>
  <c r="BO61" i="9"/>
  <c r="BN60" i="9"/>
  <c r="BO59" i="9"/>
  <c r="BW58" i="9"/>
  <c r="BX57" i="9"/>
  <c r="E57" i="9"/>
  <c r="A56" i="9"/>
  <c r="BG145" i="9"/>
  <c r="G138" i="9"/>
  <c r="AP131" i="9"/>
  <c r="BD127" i="9"/>
  <c r="AW123" i="9"/>
  <c r="BH119" i="9"/>
  <c r="BQ115" i="9"/>
  <c r="BU111" i="9"/>
  <c r="BJ107" i="9"/>
  <c r="BY103" i="9"/>
  <c r="J102" i="9"/>
  <c r="AR100" i="9"/>
  <c r="AG99" i="9"/>
  <c r="AG98" i="9"/>
  <c r="AH97" i="9"/>
  <c r="AM96" i="9"/>
  <c r="AI95" i="9"/>
  <c r="W94" i="9"/>
  <c r="I93" i="9"/>
  <c r="J92" i="9"/>
  <c r="M91" i="9"/>
  <c r="L90" i="9"/>
  <c r="O89" i="9"/>
  <c r="P88" i="9"/>
  <c r="R87" i="9"/>
  <c r="R86" i="9"/>
  <c r="M85" i="9"/>
  <c r="R84" i="9"/>
  <c r="W83" i="9"/>
  <c r="M82" i="9"/>
  <c r="N81" i="9"/>
  <c r="V80" i="9"/>
  <c r="W79" i="9"/>
  <c r="P78" i="9"/>
  <c r="U77" i="9"/>
  <c r="V76" i="9"/>
  <c r="E75" i="9"/>
  <c r="D74" i="9"/>
  <c r="B73" i="9"/>
  <c r="F72" i="9"/>
  <c r="H71" i="9"/>
  <c r="H70" i="9"/>
  <c r="O69" i="9"/>
  <c r="R68" i="9"/>
  <c r="T67" i="9"/>
  <c r="W66" i="9"/>
  <c r="W65" i="9"/>
  <c r="AA64" i="9"/>
  <c r="AB63" i="9"/>
  <c r="AI62" i="9"/>
  <c r="AJ61" i="9"/>
  <c r="AG60" i="9"/>
  <c r="AM59" i="9"/>
  <c r="AQ58" i="9"/>
  <c r="AS57" i="9"/>
  <c r="BK141" i="9"/>
  <c r="BT133" i="9"/>
  <c r="AJ129" i="9"/>
  <c r="AU125" i="9"/>
  <c r="AZ121" i="9"/>
  <c r="AZ117" i="9"/>
  <c r="BD113" i="9"/>
  <c r="BI109" i="9"/>
  <c r="BG105" i="9"/>
  <c r="BO102" i="9"/>
  <c r="Z101" i="9"/>
  <c r="BT99" i="9"/>
  <c r="BR98" i="9"/>
  <c r="BU97" i="9"/>
  <c r="BX96" i="9"/>
  <c r="BV95" i="9"/>
  <c r="BJ94" i="9"/>
  <c r="BB93" i="9"/>
  <c r="AR92" i="9"/>
  <c r="AW91" i="9"/>
  <c r="AV90" i="9"/>
  <c r="AW89" i="9"/>
  <c r="BD88" i="9"/>
  <c r="BD87" i="9"/>
  <c r="BE86" i="9"/>
  <c r="AV85" i="9"/>
  <c r="BE84" i="9"/>
  <c r="BH83" i="9"/>
  <c r="BH82" i="9"/>
  <c r="AU81" i="9"/>
  <c r="BC80" i="9"/>
  <c r="BI79" i="9"/>
  <c r="BE78" i="9"/>
  <c r="BC77" i="9"/>
  <c r="BK76" i="9"/>
  <c r="BD75" i="9"/>
  <c r="AN74" i="9"/>
  <c r="AJ73" i="9"/>
  <c r="AO72" i="9"/>
  <c r="AS71" i="9"/>
  <c r="AQ70" i="9"/>
  <c r="AU69" i="9"/>
  <c r="BC68" i="9"/>
  <c r="BF67" i="9"/>
  <c r="BG66" i="9"/>
  <c r="BK65" i="9"/>
  <c r="BK64" i="9"/>
  <c r="BO63" i="9"/>
  <c r="BP62" i="9"/>
  <c r="BX61" i="9"/>
  <c r="BT60" i="9"/>
  <c r="BW59" i="9"/>
  <c r="D59" i="9"/>
  <c r="E58" i="9"/>
  <c r="K57" i="9"/>
  <c r="AT143" i="9"/>
  <c r="BK135" i="9"/>
  <c r="AF130" i="9"/>
  <c r="AP126" i="9"/>
  <c r="AP122" i="9"/>
  <c r="AW118" i="9"/>
  <c r="BA114" i="9"/>
  <c r="BK110" i="9"/>
  <c r="BC106" i="9"/>
  <c r="T103" i="9"/>
  <c r="AZ101" i="9"/>
  <c r="P100" i="9"/>
  <c r="J99" i="9"/>
  <c r="N98" i="9"/>
  <c r="N97" i="9"/>
  <c r="O96" i="9"/>
  <c r="D95" i="9"/>
  <c r="BU93" i="9"/>
  <c r="BL92" i="9"/>
  <c r="BO91" i="9"/>
  <c r="BR90" i="9"/>
  <c r="BS89" i="9"/>
  <c r="BU88" i="9"/>
  <c r="BV87" i="9"/>
  <c r="BX86" i="9"/>
  <c r="BT85" i="9"/>
  <c r="BT84" i="9"/>
  <c r="BX83" i="9"/>
  <c r="D83" i="9"/>
  <c r="BQ81" i="9"/>
  <c r="BS80" i="9"/>
  <c r="B80" i="9"/>
  <c r="B79" i="9"/>
  <c r="BW77" i="9"/>
  <c r="C77" i="9"/>
  <c r="BV75" i="9"/>
  <c r="BH74" i="9"/>
  <c r="BD73" i="9"/>
  <c r="BG72" i="9"/>
  <c r="BK71" i="9"/>
  <c r="BK70" i="9"/>
  <c r="BL69" i="9"/>
  <c r="BT68" i="9"/>
  <c r="BX67" i="9"/>
  <c r="BY66" i="9"/>
  <c r="D66" i="9"/>
  <c r="A65" i="9"/>
  <c r="F64" i="9"/>
  <c r="H63" i="9"/>
  <c r="N62" i="9"/>
  <c r="O61" i="9"/>
  <c r="M60" i="9"/>
  <c r="T59" i="9"/>
  <c r="W58" i="9"/>
  <c r="AA57" i="9"/>
  <c r="AB56" i="9"/>
  <c r="H55" i="9"/>
  <c r="H54" i="9"/>
  <c r="E53" i="9"/>
  <c r="A52" i="9"/>
  <c r="B51" i="9"/>
  <c r="B50" i="9"/>
  <c r="BX48" i="9"/>
  <c r="BY47" i="9"/>
  <c r="AE145" i="9"/>
  <c r="BF137" i="9"/>
  <c r="AA131" i="9"/>
  <c r="AO127" i="9"/>
  <c r="AF123" i="9"/>
  <c r="AQ119" i="9"/>
  <c r="AT115" i="9"/>
  <c r="BE111" i="9"/>
  <c r="AS107" i="9"/>
  <c r="BD103" i="9"/>
  <c r="C102" i="9"/>
  <c r="O253" i="9"/>
  <c r="AN230" i="9"/>
  <c r="M249" i="9"/>
  <c r="AP196" i="9"/>
  <c r="L196" i="9"/>
  <c r="AV182" i="9"/>
  <c r="AC170" i="9"/>
  <c r="AD177" i="9"/>
  <c r="C158" i="9"/>
  <c r="AA213" i="9"/>
  <c r="AE203" i="9"/>
  <c r="AG195" i="9"/>
  <c r="AI187" i="9"/>
  <c r="AJ179" i="9"/>
  <c r="Z171" i="9"/>
  <c r="AF216" i="9"/>
  <c r="C205" i="9"/>
  <c r="F197" i="9"/>
  <c r="B189" i="9"/>
  <c r="A181" i="9"/>
  <c r="BV172" i="9"/>
  <c r="D221" i="9"/>
  <c r="AB207" i="9"/>
  <c r="AO199" i="9"/>
  <c r="AA191" i="9"/>
  <c r="AM183" i="9"/>
  <c r="AD175" i="9"/>
  <c r="BU166" i="9"/>
  <c r="BW158" i="9"/>
  <c r="AD159" i="9"/>
  <c r="X150" i="9"/>
  <c r="AA156" i="9"/>
  <c r="AK148" i="9"/>
  <c r="AZ140" i="9"/>
  <c r="BF132" i="9"/>
  <c r="AV124" i="9"/>
  <c r="BK116" i="9"/>
  <c r="BE108" i="9"/>
  <c r="K164" i="9"/>
  <c r="AU152" i="9"/>
  <c r="AW144" i="9"/>
  <c r="BY136" i="9"/>
  <c r="BC128" i="9"/>
  <c r="BO120" i="9"/>
  <c r="B113" i="9"/>
  <c r="D105" i="9"/>
  <c r="BO163" i="9"/>
  <c r="AL152" i="9"/>
  <c r="AN144" i="9"/>
  <c r="BL136" i="9"/>
  <c r="AS128" i="9"/>
  <c r="AZ120" i="9"/>
  <c r="BP112" i="9"/>
  <c r="BS104" i="9"/>
  <c r="BQ162" i="9"/>
  <c r="B152" i="9"/>
  <c r="A144" i="9"/>
  <c r="W136" i="9"/>
  <c r="K128" i="9"/>
  <c r="O120" i="9"/>
  <c r="AC112" i="9"/>
  <c r="AG104" i="9"/>
  <c r="BS155" i="9"/>
  <c r="BW152" i="9"/>
  <c r="BG150" i="9"/>
  <c r="AW148" i="9"/>
  <c r="AW146" i="9"/>
  <c r="Z145" i="9"/>
  <c r="BY143" i="9"/>
  <c r="BM142" i="9"/>
  <c r="AJ141" i="9"/>
  <c r="J140" i="9"/>
  <c r="BR138" i="9"/>
  <c r="AZ137" i="9"/>
  <c r="V136" i="9"/>
  <c r="BY134" i="9"/>
  <c r="AQ133" i="9"/>
  <c r="D132" i="9"/>
  <c r="BO130" i="9"/>
  <c r="BF129" i="9"/>
  <c r="BI128" i="9"/>
  <c r="BQ127" i="9"/>
  <c r="BP126" i="9"/>
  <c r="BO125" i="9"/>
  <c r="BO124" i="9"/>
  <c r="BK123" i="9"/>
  <c r="BK122" i="9"/>
  <c r="BT121" i="9"/>
  <c r="BT120" i="9"/>
  <c r="BS119" i="9"/>
  <c r="BV118" i="9"/>
  <c r="BU117" i="9"/>
  <c r="BW116" i="9"/>
  <c r="E116" i="9"/>
  <c r="C115" i="9"/>
  <c r="BX113" i="9"/>
  <c r="G113" i="9"/>
  <c r="H112" i="9"/>
  <c r="I111" i="9"/>
  <c r="G110" i="9"/>
  <c r="BT108" i="9"/>
  <c r="BV107" i="9"/>
  <c r="A107" i="9"/>
  <c r="B106" i="9"/>
  <c r="I105" i="9"/>
  <c r="L104" i="9"/>
  <c r="P169" i="9"/>
  <c r="AT166" i="9"/>
  <c r="BG164" i="9"/>
  <c r="BM162" i="9"/>
  <c r="AZ160" i="9"/>
  <c r="AZ158" i="9"/>
  <c r="BK156" i="9"/>
  <c r="BI155" i="9"/>
  <c r="BL154" i="9"/>
  <c r="BS153" i="9"/>
  <c r="BV152" i="9"/>
  <c r="BY151" i="9"/>
  <c r="BV150" i="9"/>
  <c r="BR149" i="9"/>
  <c r="BR148" i="9"/>
  <c r="BR147" i="9"/>
  <c r="BQ146" i="9"/>
  <c r="BQ145" i="9"/>
  <c r="BW144" i="9"/>
  <c r="BX143" i="9"/>
  <c r="D143" i="9"/>
  <c r="F142" i="9"/>
  <c r="J141" i="9"/>
  <c r="I140" i="9"/>
  <c r="K139" i="9"/>
  <c r="R138" i="9"/>
  <c r="V137" i="9"/>
  <c r="U136" i="9"/>
  <c r="P135" i="9"/>
  <c r="O134" i="9"/>
  <c r="O169" i="9"/>
  <c r="AQ166" i="9"/>
  <c r="BC164" i="9"/>
  <c r="BJ162" i="9"/>
  <c r="AV160" i="9"/>
  <c r="AU158" i="9"/>
  <c r="BJ156" i="9"/>
  <c r="BH155" i="9"/>
  <c r="BK154" i="9"/>
  <c r="BR153" i="9"/>
  <c r="BU152" i="9"/>
  <c r="BX151" i="9"/>
  <c r="BU150" i="9"/>
  <c r="BQ149" i="9"/>
  <c r="BQ148" i="9"/>
  <c r="BQ147" i="9"/>
  <c r="BP146" i="9"/>
  <c r="BP145" i="9"/>
  <c r="BT144" i="9"/>
  <c r="BW143" i="9"/>
  <c r="C143" i="9"/>
  <c r="E142" i="9"/>
  <c r="I141" i="9"/>
  <c r="H140" i="9"/>
  <c r="J139" i="9"/>
  <c r="P138" i="9"/>
  <c r="U137" i="9"/>
  <c r="T136" i="9"/>
  <c r="O135" i="9"/>
  <c r="N134" i="9"/>
  <c r="J133" i="9"/>
  <c r="A132" i="9"/>
  <c r="BU130" i="9"/>
  <c r="BW129" i="9"/>
  <c r="A129" i="9"/>
  <c r="H128" i="9"/>
  <c r="F127" i="9"/>
  <c r="F126" i="9"/>
  <c r="J125" i="9"/>
  <c r="B124" i="9"/>
  <c r="C123" i="9"/>
  <c r="I122" i="9"/>
  <c r="L121" i="9"/>
  <c r="K120" i="9"/>
  <c r="L119" i="9"/>
  <c r="M118" i="9"/>
  <c r="M117" i="9"/>
  <c r="S116" i="9"/>
  <c r="Q115" i="9"/>
  <c r="M114" i="9"/>
  <c r="U113" i="9"/>
  <c r="Z112" i="9"/>
  <c r="AA111" i="9"/>
  <c r="V110" i="9"/>
  <c r="K109" i="9"/>
  <c r="K108" i="9"/>
  <c r="P107" i="9"/>
  <c r="Q106" i="9"/>
  <c r="Y105" i="9"/>
  <c r="AD104" i="9"/>
  <c r="AC103" i="9"/>
  <c r="AB102" i="9"/>
  <c r="AE101" i="9"/>
  <c r="AH100" i="9"/>
  <c r="A149" i="9"/>
  <c r="P141" i="9"/>
  <c r="AC133" i="9"/>
  <c r="P129" i="9"/>
  <c r="AA125" i="9"/>
  <c r="AD121" i="9"/>
  <c r="AE117" i="9"/>
  <c r="AJ113" i="9"/>
  <c r="AL109" i="9"/>
  <c r="AN105" i="9"/>
  <c r="BG102" i="9"/>
  <c r="O101" i="9"/>
  <c r="BN99" i="9"/>
  <c r="BM98" i="9"/>
  <c r="BP97" i="9"/>
  <c r="BQ96" i="9"/>
  <c r="BQ95" i="9"/>
  <c r="AZ94" i="9"/>
  <c r="AU93" i="9"/>
  <c r="AM92" i="9"/>
  <c r="AR91" i="9"/>
  <c r="AQ90" i="9"/>
  <c r="AR89" i="9"/>
  <c r="AU88" i="9"/>
  <c r="AU87" i="9"/>
  <c r="AW86" i="9"/>
  <c r="AQ85" i="9"/>
  <c r="AW84" i="9"/>
  <c r="BA83" i="9"/>
  <c r="AZ82" i="9"/>
  <c r="AP81" i="9"/>
  <c r="AV80" i="9"/>
  <c r="BC79" i="9"/>
  <c r="AV78" i="9"/>
  <c r="AU77" i="9"/>
  <c r="AX76" i="9"/>
  <c r="AU75" i="9"/>
  <c r="AH74" i="9"/>
  <c r="AE73" i="9"/>
  <c r="AI72" i="9"/>
  <c r="AN71" i="9"/>
  <c r="AL70" i="9"/>
  <c r="AP69" i="9"/>
  <c r="AV68" i="9"/>
  <c r="AZ67" i="9"/>
  <c r="AZ66" i="9"/>
  <c r="BC65" i="9"/>
  <c r="BF64" i="9"/>
  <c r="BH63" i="9"/>
  <c r="BK62" i="9"/>
  <c r="BP61" i="9"/>
  <c r="BO60" i="9"/>
  <c r="BP59" i="9"/>
  <c r="BX58" i="9"/>
  <c r="BY57" i="9"/>
  <c r="F57" i="9"/>
  <c r="B56" i="9"/>
  <c r="BH54" i="9"/>
  <c r="BJ53" i="9"/>
  <c r="BC52" i="9"/>
  <c r="BB51" i="9"/>
  <c r="BA50" i="9"/>
  <c r="BA49" i="9"/>
  <c r="AZ48" i="9"/>
  <c r="BP147" i="9"/>
  <c r="G140" i="9"/>
  <c r="BJ132" i="9"/>
  <c r="AX128" i="9"/>
  <c r="AZ124" i="9"/>
  <c r="BJ120" i="9"/>
  <c r="BN116" i="9"/>
  <c r="BU112" i="9"/>
  <c r="BI108" i="9"/>
  <c r="BY104" i="9"/>
  <c r="AO102" i="9"/>
  <c r="B101" i="9"/>
  <c r="AZ99" i="9"/>
  <c r="AZ98" i="9"/>
  <c r="BD97" i="9"/>
  <c r="BF96" i="9"/>
  <c r="BE95" i="9"/>
  <c r="AP94" i="9"/>
  <c r="AL93" i="9"/>
  <c r="AC92" i="9"/>
  <c r="AG91" i="9"/>
  <c r="AG90" i="9"/>
  <c r="AH89" i="9"/>
  <c r="AL88" i="9"/>
  <c r="AL87" i="9"/>
  <c r="AN86" i="9"/>
  <c r="AG85" i="9"/>
  <c r="AL84" i="9"/>
  <c r="AQ83" i="9"/>
  <c r="AO82" i="9"/>
  <c r="AG81" i="9"/>
  <c r="AM80" i="9"/>
  <c r="AR79" i="9"/>
  <c r="AJ78" i="9"/>
  <c r="AL77" i="9"/>
  <c r="AO76" i="9"/>
  <c r="AL75" i="9"/>
  <c r="X74" i="9"/>
  <c r="U73" i="9"/>
  <c r="Z72" i="9"/>
  <c r="AC71" i="9"/>
  <c r="AB70" i="9"/>
  <c r="AG69" i="9"/>
  <c r="AM68" i="9"/>
  <c r="AO67" i="9"/>
  <c r="AP66" i="9"/>
  <c r="AR65" i="9"/>
  <c r="AT64" i="9"/>
  <c r="AT63" i="9"/>
  <c r="AZ62" i="9"/>
  <c r="BD61" i="9"/>
  <c r="BD60" i="9"/>
  <c r="BF59" i="9"/>
  <c r="BM58" i="9"/>
  <c r="BN57" i="9"/>
  <c r="BS56" i="9"/>
  <c r="AX55" i="9"/>
  <c r="BK144" i="9"/>
  <c r="K137" i="9"/>
  <c r="E131" i="9"/>
  <c r="M127" i="9"/>
  <c r="J123" i="9"/>
  <c r="V119" i="9"/>
  <c r="AA115" i="9"/>
  <c r="AH111" i="9"/>
  <c r="X107" i="9"/>
  <c r="AN103" i="9"/>
  <c r="BS101" i="9"/>
  <c r="AF100" i="9"/>
  <c r="V99" i="9"/>
  <c r="X98" i="9"/>
  <c r="Z97" i="9"/>
  <c r="AC96" i="9"/>
  <c r="P95" i="9"/>
  <c r="L94" i="9"/>
  <c r="BY92" i="9"/>
  <c r="A92" i="9"/>
  <c r="E91" i="9"/>
  <c r="D90" i="9"/>
  <c r="G89" i="9"/>
  <c r="H88" i="9"/>
  <c r="J87" i="9"/>
  <c r="G86" i="9"/>
  <c r="E85" i="9"/>
  <c r="I84" i="9"/>
  <c r="N83" i="9"/>
  <c r="E82" i="9"/>
  <c r="F81" i="9"/>
  <c r="L80" i="9"/>
  <c r="M79" i="9"/>
  <c r="H78" i="9"/>
  <c r="M77" i="9"/>
  <c r="L76" i="9"/>
  <c r="BT74" i="9"/>
  <c r="BS73" i="9"/>
  <c r="BQ72" i="9"/>
  <c r="BW71" i="9"/>
  <c r="BX70" i="9"/>
  <c r="BY69" i="9"/>
  <c r="G69" i="9"/>
  <c r="J68" i="9"/>
  <c r="K67" i="9"/>
  <c r="N66" i="9"/>
  <c r="M65" i="9"/>
  <c r="Q64" i="9"/>
  <c r="R63" i="9"/>
  <c r="AA62" i="9"/>
  <c r="AB61" i="9"/>
  <c r="X60" i="9"/>
  <c r="AE59" i="9"/>
  <c r="AI58" i="9"/>
  <c r="AT148" i="9"/>
  <c r="BP140" i="9"/>
  <c r="K133" i="9"/>
  <c r="B129" i="9"/>
  <c r="K125" i="9"/>
  <c r="M121" i="9"/>
  <c r="N117" i="9"/>
  <c r="V113" i="9"/>
  <c r="L109" i="9"/>
  <c r="Z105" i="9"/>
  <c r="BB102" i="9"/>
  <c r="K101" i="9"/>
  <c r="BK99" i="9"/>
  <c r="BH98" i="9"/>
  <c r="BK97" i="9"/>
  <c r="BN96" i="9"/>
  <c r="BL95" i="9"/>
  <c r="AV94" i="9"/>
  <c r="AR93" i="9"/>
  <c r="AI92" i="9"/>
  <c r="AO91" i="9"/>
  <c r="AN90" i="9"/>
  <c r="AO89" i="9"/>
  <c r="AR88" i="9"/>
  <c r="AR87" i="9"/>
  <c r="AT86" i="9"/>
  <c r="AN85" i="9"/>
  <c r="AT84" i="9"/>
  <c r="AW83" i="9"/>
  <c r="AU82" i="9"/>
  <c r="AM81" i="9"/>
  <c r="AS80" i="9"/>
  <c r="AZ79" i="9"/>
  <c r="AS78" i="9"/>
  <c r="AR77" i="9"/>
  <c r="AU76" i="9"/>
  <c r="AR75" i="9"/>
  <c r="AE74" i="9"/>
  <c r="AB73" i="9"/>
  <c r="AF72" i="9"/>
  <c r="AI71" i="9"/>
  <c r="AH70" i="9"/>
  <c r="AM69" i="9"/>
  <c r="AS68" i="9"/>
  <c r="AU67" i="9"/>
  <c r="AV66" i="9"/>
  <c r="AZ65" i="9"/>
  <c r="BB64" i="9"/>
  <c r="BD63" i="9"/>
  <c r="BG62" i="9"/>
  <c r="BM61" i="9"/>
  <c r="BL60" i="9"/>
  <c r="BM59" i="9"/>
  <c r="BS58" i="9"/>
  <c r="BT57" i="9"/>
  <c r="C57" i="9"/>
  <c r="BA142" i="9"/>
  <c r="BK134" i="9"/>
  <c r="BV129" i="9"/>
  <c r="E126" i="9"/>
  <c r="H122" i="9"/>
  <c r="L118" i="9"/>
  <c r="L114" i="9"/>
  <c r="U110" i="9"/>
  <c r="P106" i="9"/>
  <c r="B103" i="9"/>
  <c r="AM101" i="9"/>
  <c r="E100" i="9"/>
  <c r="A99" i="9"/>
  <c r="E98" i="9"/>
  <c r="F97" i="9"/>
  <c r="G96" i="9"/>
  <c r="BR94" i="9"/>
  <c r="BK93" i="9"/>
  <c r="BA92" i="9"/>
  <c r="BG91" i="9"/>
  <c r="BH90" i="9"/>
  <c r="BI89" i="9"/>
  <c r="BL88" i="9"/>
  <c r="BL87" i="9"/>
  <c r="BN86" i="9"/>
  <c r="BH85" i="9"/>
  <c r="BL84" i="9"/>
  <c r="BO83" i="9"/>
  <c r="BS82" i="9"/>
  <c r="BG81" i="9"/>
  <c r="BK80" i="9"/>
  <c r="BP79" i="9"/>
  <c r="BQ78" i="9"/>
  <c r="BM77" i="9"/>
  <c r="BS76" i="9"/>
  <c r="BL75" i="9"/>
  <c r="AU74" i="9"/>
  <c r="AR73" i="9"/>
  <c r="AV72" i="9"/>
  <c r="BB71" i="9"/>
  <c r="AZ70" i="9"/>
  <c r="BC69" i="9"/>
  <c r="BK68" i="9"/>
  <c r="BO67" i="9"/>
  <c r="BP66" i="9"/>
  <c r="BS65" i="9"/>
  <c r="BR64" i="9"/>
  <c r="BV63" i="9"/>
  <c r="BY62" i="9"/>
  <c r="F62" i="9"/>
  <c r="C61" i="9"/>
  <c r="E60" i="9"/>
  <c r="K59" i="9"/>
  <c r="M58" i="9"/>
  <c r="R57" i="9"/>
  <c r="P56" i="9"/>
  <c r="BX54" i="9"/>
  <c r="BY53" i="9"/>
  <c r="BT52" i="9"/>
  <c r="BQ51" i="9"/>
  <c r="BR50" i="9"/>
  <c r="BR49" i="9"/>
  <c r="BO48" i="9"/>
  <c r="BP47" i="9"/>
  <c r="AH144" i="9"/>
  <c r="BD136" i="9"/>
  <c r="BL130" i="9"/>
  <c r="BX126" i="9"/>
  <c r="BS122" i="9"/>
  <c r="E119" i="9"/>
  <c r="J115" i="9"/>
  <c r="Q111" i="9"/>
  <c r="I107" i="9"/>
  <c r="AI103" i="9"/>
  <c r="BO101" i="9"/>
  <c r="AA100" i="9"/>
  <c r="S99" i="9"/>
  <c r="U98" i="9"/>
  <c r="V97" i="9"/>
  <c r="Z96" i="9"/>
  <c r="M95" i="9"/>
  <c r="F94" i="9"/>
  <c r="BU92" i="9"/>
  <c r="BW91" i="9"/>
  <c r="R221" i="9"/>
  <c r="BO281" i="9"/>
  <c r="AI241" i="9"/>
  <c r="AO188" i="9"/>
  <c r="K188" i="9"/>
  <c r="AD174" i="9"/>
  <c r="I162" i="9"/>
  <c r="Q173" i="9"/>
  <c r="BR230" i="9"/>
  <c r="AG211" i="9"/>
  <c r="AE202" i="9"/>
  <c r="AB194" i="9"/>
  <c r="AN186" i="9"/>
  <c r="AI178" i="9"/>
  <c r="AB232" i="9"/>
  <c r="AJ214" i="9"/>
  <c r="D204" i="9"/>
  <c r="G196" i="9"/>
  <c r="F188" i="9"/>
  <c r="D180" i="9"/>
  <c r="BV171" i="9"/>
  <c r="E219" i="9"/>
  <c r="AA206" i="9"/>
  <c r="AQ198" i="9"/>
  <c r="Z190" i="9"/>
  <c r="AQ182" i="9"/>
  <c r="W174" i="9"/>
  <c r="BW165" i="9"/>
  <c r="BO157" i="9"/>
  <c r="Y157" i="9"/>
  <c r="T149" i="9"/>
  <c r="AD155" i="9"/>
  <c r="AM147" i="9"/>
  <c r="BC139" i="9"/>
  <c r="AO131" i="9"/>
  <c r="AV123" i="9"/>
  <c r="BP115" i="9"/>
  <c r="BI107" i="9"/>
  <c r="J162" i="9"/>
  <c r="AV151" i="9"/>
  <c r="BA143" i="9"/>
  <c r="BQ135" i="9"/>
  <c r="BK127" i="9"/>
  <c r="BN119" i="9"/>
  <c r="B112" i="9"/>
  <c r="F104" i="9"/>
  <c r="BL161" i="9"/>
  <c r="AM151" i="9"/>
  <c r="AQ143" i="9"/>
  <c r="BH135" i="9"/>
  <c r="BA127" i="9"/>
  <c r="BE119" i="9"/>
  <c r="BR111" i="9"/>
  <c r="BS103" i="9"/>
  <c r="BF160" i="9"/>
  <c r="BY150" i="9"/>
  <c r="F143" i="9"/>
  <c r="T135" i="9"/>
  <c r="I127" i="9"/>
  <c r="O119" i="9"/>
  <c r="AD111" i="9"/>
  <c r="AS169" i="9"/>
  <c r="BU154" i="9"/>
  <c r="BO152" i="9"/>
  <c r="D150" i="9"/>
  <c r="C148" i="9"/>
  <c r="AE146" i="9"/>
  <c r="G145" i="9"/>
  <c r="BO143" i="9"/>
  <c r="AT142" i="9"/>
  <c r="S141" i="9"/>
  <c r="B140" i="9"/>
  <c r="AZ138" i="9"/>
  <c r="AF137" i="9"/>
  <c r="K136" i="9"/>
  <c r="BE134" i="9"/>
  <c r="V133" i="9"/>
  <c r="BR131" i="9"/>
  <c r="BD130" i="9"/>
  <c r="AT129" i="9"/>
  <c r="AY128" i="9"/>
  <c r="BG127" i="9"/>
  <c r="BE126" i="9"/>
  <c r="BG125" i="9"/>
  <c r="BC124" i="9"/>
  <c r="BA123" i="9"/>
  <c r="BA122" i="9"/>
  <c r="BL121" i="9"/>
  <c r="BK120" i="9"/>
  <c r="BK119" i="9"/>
  <c r="BN118" i="9"/>
  <c r="BL117" i="9"/>
  <c r="BO116" i="9"/>
  <c r="BT115" i="9"/>
  <c r="BS114" i="9"/>
  <c r="BN113" i="9"/>
  <c r="BX112" i="9"/>
  <c r="BX111" i="9"/>
  <c r="A111" i="9"/>
  <c r="BX109" i="9"/>
  <c r="BJ108" i="9"/>
  <c r="BN107" i="9"/>
  <c r="BP106" i="9"/>
  <c r="BQ105" i="9"/>
  <c r="A105" i="9"/>
  <c r="C104" i="9"/>
  <c r="BS168" i="9"/>
  <c r="AC166" i="9"/>
  <c r="AN164" i="9"/>
  <c r="AT162" i="9"/>
  <c r="AH160" i="9"/>
  <c r="AA158" i="9"/>
  <c r="AY156" i="9"/>
  <c r="AY155" i="9"/>
  <c r="BD154" i="9"/>
  <c r="BI153" i="9"/>
  <c r="BL152" i="9"/>
  <c r="BO151" i="9"/>
  <c r="BN150" i="9"/>
  <c r="BH149" i="9"/>
  <c r="BI148" i="9"/>
  <c r="BI147" i="9"/>
  <c r="BG146" i="9"/>
  <c r="BI145" i="9"/>
  <c r="BM144" i="9"/>
  <c r="BN143" i="9"/>
  <c r="BT142" i="9"/>
  <c r="BW141" i="9"/>
  <c r="B141" i="9"/>
  <c r="A140" i="9"/>
  <c r="B139" i="9"/>
  <c r="I138" i="9"/>
  <c r="M137" i="9"/>
  <c r="H136" i="9"/>
  <c r="H135" i="9"/>
  <c r="G134" i="9"/>
  <c r="BO168" i="9"/>
  <c r="Z166" i="9"/>
  <c r="AI164" i="9"/>
  <c r="AQ162" i="9"/>
  <c r="AE160" i="9"/>
  <c r="W158" i="9"/>
  <c r="AX156" i="9"/>
  <c r="AW155" i="9"/>
  <c r="BA154" i="9"/>
  <c r="BH153" i="9"/>
  <c r="BK152" i="9"/>
  <c r="BN151" i="9"/>
  <c r="BM150" i="9"/>
  <c r="BG149" i="9"/>
  <c r="BG148" i="9"/>
  <c r="BH147" i="9"/>
  <c r="BF146" i="9"/>
  <c r="BH145" i="9"/>
  <c r="BL144" i="9"/>
  <c r="BM143" i="9"/>
  <c r="BS142" i="9"/>
  <c r="BT141" i="9"/>
  <c r="A141" i="9"/>
  <c r="BY139" i="9"/>
  <c r="A139" i="9"/>
  <c r="H138" i="9"/>
  <c r="L137" i="9"/>
  <c r="F136" i="9"/>
  <c r="F135" i="9"/>
  <c r="F134" i="9"/>
  <c r="B133" i="9"/>
  <c r="BP131" i="9"/>
  <c r="BK130" i="9"/>
  <c r="BO129" i="9"/>
  <c r="BP128" i="9"/>
  <c r="BY127" i="9"/>
  <c r="BV126" i="9"/>
  <c r="BU125" i="9"/>
  <c r="A125" i="9"/>
  <c r="BR123" i="9"/>
  <c r="BR122" i="9"/>
  <c r="A122" i="9"/>
  <c r="C121" i="9"/>
  <c r="A120" i="9"/>
  <c r="D119" i="9"/>
  <c r="E118" i="9"/>
  <c r="D117" i="9"/>
  <c r="K116" i="9"/>
  <c r="I115" i="9"/>
  <c r="E114" i="9"/>
  <c r="M113" i="9"/>
  <c r="N112" i="9"/>
  <c r="P111" i="9"/>
  <c r="M110" i="9"/>
  <c r="B109" i="9"/>
  <c r="C108" i="9"/>
  <c r="H107" i="9"/>
  <c r="I106" i="9"/>
  <c r="O105" i="9"/>
  <c r="T104" i="9"/>
  <c r="P103" i="9"/>
  <c r="Q102" i="9"/>
  <c r="U101" i="9"/>
  <c r="Z100" i="9"/>
  <c r="BY147" i="9"/>
  <c r="O140" i="9"/>
  <c r="BQ132" i="9"/>
  <c r="BE128" i="9"/>
  <c r="BK124" i="9"/>
  <c r="BQ120" i="9"/>
  <c r="BT116" i="9"/>
  <c r="D113" i="9"/>
  <c r="BQ108" i="9"/>
  <c r="F105" i="9"/>
  <c r="AR102" i="9"/>
  <c r="C101" i="9"/>
  <c r="BC99" i="9"/>
  <c r="BA98" i="9"/>
  <c r="BE97" i="9"/>
  <c r="BG96" i="9"/>
  <c r="BF95" i="9"/>
  <c r="AQ94" i="9"/>
  <c r="AM93" i="9"/>
  <c r="AD92" i="9"/>
  <c r="AH91" i="9"/>
  <c r="AH90" i="9"/>
  <c r="AI89" i="9"/>
  <c r="AM88" i="9"/>
  <c r="AM87" i="9"/>
  <c r="AO86" i="9"/>
  <c r="AH85" i="9"/>
  <c r="AM84" i="9"/>
  <c r="AR83" i="9"/>
  <c r="AP82" i="9"/>
  <c r="AH81" i="9"/>
  <c r="AN80" i="9"/>
  <c r="AS79" i="9"/>
  <c r="AL78" i="9"/>
  <c r="AM77" i="9"/>
  <c r="AP76" i="9"/>
  <c r="AM75" i="9"/>
  <c r="Z74" i="9"/>
  <c r="V73" i="9"/>
  <c r="AA72" i="9"/>
  <c r="AD71" i="9"/>
  <c r="AC70" i="9"/>
  <c r="AH69" i="9"/>
  <c r="AN68" i="9"/>
  <c r="AP67" i="9"/>
  <c r="AQ66" i="9"/>
  <c r="AS65" i="9"/>
  <c r="AU64" i="9"/>
  <c r="AU63" i="9"/>
  <c r="BA62" i="9"/>
  <c r="BG61" i="9"/>
  <c r="BE60" i="9"/>
  <c r="BG59" i="9"/>
  <c r="BN58" i="9"/>
  <c r="BO57" i="9"/>
  <c r="BT56" i="9"/>
  <c r="AY55" i="9"/>
  <c r="AW54" i="9"/>
  <c r="AU53" i="9"/>
  <c r="AR52" i="9"/>
  <c r="AR51" i="9"/>
  <c r="AQ50" i="9"/>
  <c r="AQ49" i="9"/>
  <c r="AP48" i="9"/>
  <c r="BO146" i="9"/>
  <c r="I139" i="9"/>
  <c r="L132" i="9"/>
  <c r="R128" i="9"/>
  <c r="N124" i="9"/>
  <c r="V120" i="9"/>
  <c r="AD116" i="9"/>
  <c r="AI112" i="9"/>
  <c r="V108" i="9"/>
  <c r="AO104" i="9"/>
  <c r="AA102" i="9"/>
  <c r="BL100" i="9"/>
  <c r="AP99" i="9"/>
  <c r="AQ98" i="9"/>
  <c r="AR97" i="9"/>
  <c r="AV96" i="9"/>
  <c r="AS95" i="9"/>
  <c r="AH94" i="9"/>
  <c r="T93" i="9"/>
  <c r="S92" i="9"/>
  <c r="W91" i="9"/>
  <c r="W90" i="9"/>
  <c r="Z89" i="9"/>
  <c r="AC88" i="9"/>
  <c r="AC87" i="9"/>
  <c r="AE86" i="9"/>
  <c r="X85" i="9"/>
  <c r="AC84" i="9"/>
  <c r="AH83" i="9"/>
  <c r="AB82" i="9"/>
  <c r="Y81" i="9"/>
  <c r="AE80" i="9"/>
  <c r="AH79" i="9"/>
  <c r="AB78" i="9"/>
  <c r="AD77" i="9"/>
  <c r="AG76" i="9"/>
  <c r="R75" i="9"/>
  <c r="M74" i="9"/>
  <c r="K73" i="9"/>
  <c r="O72" i="9"/>
  <c r="Q71" i="9"/>
  <c r="R70" i="9"/>
  <c r="Y69" i="9"/>
  <c r="AC68" i="9"/>
  <c r="AE67" i="9"/>
  <c r="AG66" i="9"/>
  <c r="AH65" i="9"/>
  <c r="AL64" i="9"/>
  <c r="AL63" i="9"/>
  <c r="AR62" i="9"/>
  <c r="AS61" i="9"/>
  <c r="AS60" i="9"/>
  <c r="AV59" i="9"/>
  <c r="AZ58" i="9"/>
  <c r="BD57" i="9"/>
  <c r="BK56" i="9"/>
  <c r="AP55" i="9"/>
  <c r="BL143" i="9"/>
  <c r="E136" i="9"/>
  <c r="AO130" i="9"/>
  <c r="AZ126" i="9"/>
  <c r="AX122" i="9"/>
  <c r="BI118" i="9"/>
  <c r="BP114" i="9"/>
  <c r="BU110" i="9"/>
  <c r="BM106" i="9"/>
  <c r="AA103" i="9"/>
  <c r="BF101" i="9"/>
  <c r="S100" i="9"/>
  <c r="L99" i="9"/>
  <c r="P98" i="9"/>
  <c r="P97" i="9"/>
  <c r="R96" i="9"/>
  <c r="F95" i="9"/>
  <c r="A94" i="9"/>
  <c r="BP92" i="9"/>
  <c r="BQ91" i="9"/>
  <c r="BT90" i="9"/>
  <c r="BU89" i="9"/>
  <c r="BX88" i="9"/>
  <c r="BY87" i="9"/>
  <c r="A87" i="9"/>
  <c r="BV85" i="9"/>
  <c r="BV84" i="9"/>
  <c r="A84" i="9"/>
  <c r="F83" i="9"/>
  <c r="BS81" i="9"/>
  <c r="BW80" i="9"/>
  <c r="D80" i="9"/>
  <c r="D79" i="9"/>
  <c r="BY77" i="9"/>
  <c r="E77" i="9"/>
  <c r="A76" i="9"/>
  <c r="BJ74" i="9"/>
  <c r="BF73" i="9"/>
  <c r="BI72" i="9"/>
  <c r="BM71" i="9"/>
  <c r="BO70" i="9"/>
  <c r="BO69" i="9"/>
  <c r="BX68" i="9"/>
  <c r="A68" i="9"/>
  <c r="B67" i="9"/>
  <c r="F66" i="9"/>
  <c r="C65" i="9"/>
  <c r="I64" i="9"/>
  <c r="J63" i="9"/>
  <c r="P62" i="9"/>
  <c r="R61" i="9"/>
  <c r="O60" i="9"/>
  <c r="V59" i="9"/>
  <c r="AA58" i="9"/>
  <c r="AV147" i="9"/>
  <c r="BO139" i="9"/>
  <c r="AW132" i="9"/>
  <c r="AP128" i="9"/>
  <c r="AQ124" i="9"/>
  <c r="AW120" i="9"/>
  <c r="BF116" i="9"/>
  <c r="BL112" i="9"/>
  <c r="AV108" i="9"/>
  <c r="BP104" i="9"/>
  <c r="AM102" i="9"/>
  <c r="BW100" i="9"/>
  <c r="AW99" i="9"/>
  <c r="AW98" i="9"/>
  <c r="AZ97" i="9"/>
  <c r="BD96" i="9"/>
  <c r="BA95" i="9"/>
  <c r="AN94" i="9"/>
  <c r="AE93" i="9"/>
  <c r="AA92" i="9"/>
  <c r="AE91" i="9"/>
  <c r="AE90" i="9"/>
  <c r="AF89" i="9"/>
  <c r="AI88" i="9"/>
  <c r="AI87" i="9"/>
  <c r="AL86" i="9"/>
  <c r="AE85" i="9"/>
  <c r="AI84" i="9"/>
  <c r="AO83" i="9"/>
  <c r="AM82" i="9"/>
  <c r="AE81" i="9"/>
  <c r="AK80" i="9"/>
  <c r="AP79" i="9"/>
  <c r="AH78" i="9"/>
  <c r="AJ77" i="9"/>
  <c r="AM76" i="9"/>
  <c r="AE75" i="9"/>
  <c r="V74" i="9"/>
  <c r="Q73" i="9"/>
  <c r="W72" i="9"/>
  <c r="AA71" i="9"/>
  <c r="Z70" i="9"/>
  <c r="AE69" i="9"/>
  <c r="AI68" i="9"/>
  <c r="AM67" i="9"/>
  <c r="AN66" i="9"/>
  <c r="AP65" i="9"/>
  <c r="AR64" i="9"/>
  <c r="AR63" i="9"/>
  <c r="AX62" i="9"/>
  <c r="AZ61" i="9"/>
  <c r="AZ60" i="9"/>
  <c r="BD59" i="9"/>
  <c r="BK58" i="9"/>
  <c r="BK57" i="9"/>
  <c r="BQ56" i="9"/>
  <c r="AW141" i="9"/>
  <c r="BJ133" i="9"/>
  <c r="AH129" i="9"/>
  <c r="AS125" i="9"/>
  <c r="AV121" i="9"/>
  <c r="AV117" i="9"/>
  <c r="BA113" i="9"/>
  <c r="BG109" i="9"/>
  <c r="BE105" i="9"/>
  <c r="BN102" i="9"/>
  <c r="W101" i="9"/>
  <c r="BS99" i="9"/>
  <c r="BQ98" i="9"/>
  <c r="BT97" i="9"/>
  <c r="BW96" i="9"/>
  <c r="BU95" i="9"/>
  <c r="BI94" i="9"/>
  <c r="BA93" i="9"/>
  <c r="AQ92" i="9"/>
  <c r="AV91" i="9"/>
  <c r="AU90" i="9"/>
  <c r="AV89" i="9"/>
  <c r="BA88" i="9"/>
  <c r="BA87" i="9"/>
  <c r="BD86" i="9"/>
  <c r="AU85" i="9"/>
  <c r="BD84" i="9"/>
  <c r="BG83" i="9"/>
  <c r="BF82" i="9"/>
  <c r="AT81" i="9"/>
  <c r="BA80" i="9"/>
  <c r="BH79" i="9"/>
  <c r="BD78" i="9"/>
  <c r="BA77" i="9"/>
  <c r="BG76" i="9"/>
  <c r="BA75" i="9"/>
  <c r="AM74" i="9"/>
  <c r="AI73" i="9"/>
  <c r="AN72" i="9"/>
  <c r="AR71" i="9"/>
  <c r="AP70" i="9"/>
  <c r="AT69" i="9"/>
  <c r="BB68" i="9"/>
  <c r="BD67" i="9"/>
  <c r="BF66" i="9"/>
  <c r="BH65" i="9"/>
  <c r="BJ64" i="9"/>
  <c r="BL63" i="9"/>
  <c r="BO62" i="9"/>
  <c r="BT61" i="9"/>
  <c r="BS60" i="9"/>
  <c r="BT59" i="9"/>
  <c r="C59" i="9"/>
  <c r="D58" i="9"/>
  <c r="J57" i="9"/>
  <c r="F56" i="9"/>
  <c r="BO54" i="9"/>
  <c r="BN53" i="9"/>
  <c r="BL52" i="9"/>
  <c r="BG51" i="9"/>
  <c r="BH50" i="9"/>
  <c r="BH49" i="9"/>
  <c r="BF48" i="9"/>
  <c r="BG47" i="9"/>
  <c r="AL143" i="9"/>
  <c r="BB135" i="9"/>
  <c r="Z130" i="9"/>
  <c r="AI126" i="9"/>
  <c r="AJ122" i="9"/>
  <c r="AQ118" i="9"/>
  <c r="AS114" i="9"/>
  <c r="AZ110" i="9"/>
  <c r="AU106" i="9"/>
  <c r="R103" i="9"/>
  <c r="AY101" i="9"/>
  <c r="O100" i="9"/>
  <c r="H99" i="9"/>
  <c r="M98" i="9"/>
  <c r="M97" i="9"/>
  <c r="N96" i="9"/>
  <c r="C95" i="9"/>
  <c r="BT93" i="9"/>
  <c r="BK92" i="9"/>
  <c r="BN91" i="9"/>
  <c r="BQ90" i="9"/>
  <c r="BR89" i="9"/>
  <c r="BT88" i="9"/>
  <c r="BU87" i="9"/>
  <c r="BV86" i="9"/>
  <c r="BS85" i="9"/>
  <c r="BS84" i="9"/>
  <c r="BV83" i="9"/>
  <c r="C83" i="9"/>
  <c r="BP81" i="9"/>
  <c r="BR80" i="9"/>
  <c r="A80" i="9"/>
  <c r="A79" i="9"/>
  <c r="BT77" i="9"/>
  <c r="B77" i="9"/>
  <c r="BU75" i="9"/>
  <c r="BF74" i="9"/>
  <c r="BA73" i="9"/>
  <c r="BF72" i="9"/>
  <c r="BJ71" i="9"/>
  <c r="BJ70" i="9"/>
  <c r="BK69" i="9"/>
  <c r="BS68" i="9"/>
  <c r="BW67" i="9"/>
  <c r="BX66" i="9"/>
  <c r="C66" i="9"/>
  <c r="BY64" i="9"/>
  <c r="E64" i="9"/>
  <c r="G63" i="9"/>
  <c r="M62" i="9"/>
  <c r="E253" i="9"/>
  <c r="AM226" i="9"/>
  <c r="B203" i="9"/>
  <c r="AC189" i="9"/>
  <c r="AI146" i="9"/>
  <c r="BH142" i="9"/>
  <c r="AV142" i="9"/>
  <c r="I142" i="9"/>
  <c r="BS149" i="9"/>
  <c r="AR138" i="9"/>
  <c r="AQ128" i="9"/>
  <c r="AX120" i="9"/>
  <c r="BN112" i="9"/>
  <c r="BQ104" i="9"/>
  <c r="AO156" i="9"/>
  <c r="AV148" i="9"/>
  <c r="BR140" i="9"/>
  <c r="AN168" i="9"/>
  <c r="AR154" i="9"/>
  <c r="AU146" i="9"/>
  <c r="BP138" i="9"/>
  <c r="AZ130" i="9"/>
  <c r="BI122" i="9"/>
  <c r="A115" i="9"/>
  <c r="BX106" i="9"/>
  <c r="B147" i="9"/>
  <c r="AC108" i="9"/>
  <c r="AT95" i="9"/>
  <c r="AD87" i="9"/>
  <c r="AI79" i="9"/>
  <c r="R71" i="9"/>
  <c r="AM63" i="9"/>
  <c r="AQ55" i="9"/>
  <c r="BO145" i="9"/>
  <c r="BL107" i="9"/>
  <c r="AJ95" i="9"/>
  <c r="S87" i="9"/>
  <c r="Z79" i="9"/>
  <c r="I71" i="9"/>
  <c r="AC63" i="9"/>
  <c r="AH55" i="9"/>
  <c r="AE110" i="9"/>
  <c r="I96" i="9"/>
  <c r="BP87" i="9"/>
  <c r="BR79" i="9"/>
  <c r="BD71" i="9"/>
  <c r="BY63" i="9"/>
  <c r="BO138" i="9"/>
  <c r="AE104" i="9"/>
  <c r="AF94" i="9"/>
  <c r="AC86" i="9"/>
  <c r="Z78" i="9"/>
  <c r="O70" i="9"/>
  <c r="AP62" i="9"/>
  <c r="I133" i="9"/>
  <c r="AW102" i="9"/>
  <c r="AQ93" i="9"/>
  <c r="AM85" i="9"/>
  <c r="AQ77" i="9"/>
  <c r="AL69" i="9"/>
  <c r="BL61" i="9"/>
  <c r="AZ53" i="9"/>
  <c r="BA134" i="9"/>
  <c r="BX102" i="9"/>
  <c r="AE97" i="9"/>
  <c r="BQ94" i="9"/>
  <c r="AB93" i="9"/>
  <c r="AU91" i="9"/>
  <c r="AC90" i="9"/>
  <c r="D89" i="9"/>
  <c r="AZ87" i="9"/>
  <c r="AJ86" i="9"/>
  <c r="B85" i="9"/>
  <c r="BF83" i="9"/>
  <c r="AJ82" i="9"/>
  <c r="C81" i="9"/>
  <c r="BG79" i="9"/>
  <c r="AF78" i="9"/>
  <c r="J77" i="9"/>
  <c r="AZ75" i="9"/>
  <c r="R74" i="9"/>
  <c r="BN72" i="9"/>
  <c r="AQ71" i="9"/>
  <c r="W70" i="9"/>
  <c r="D69" i="9"/>
  <c r="BC67" i="9"/>
  <c r="AL66" i="9"/>
  <c r="J65" i="9"/>
  <c r="BK63" i="9"/>
  <c r="AV62" i="9"/>
  <c r="W61" i="9"/>
  <c r="U60" i="9"/>
  <c r="AB59" i="9"/>
  <c r="AF58" i="9"/>
  <c r="AH57" i="9"/>
  <c r="AI56" i="9"/>
  <c r="T55" i="9"/>
  <c r="O54" i="9"/>
  <c r="M53" i="9"/>
  <c r="H52" i="9"/>
  <c r="J51" i="9"/>
  <c r="I50" i="9"/>
  <c r="F49" i="9"/>
  <c r="G48" i="9"/>
  <c r="AG142" i="9"/>
  <c r="AN134" i="9"/>
  <c r="BL129" i="9"/>
  <c r="BT125" i="9"/>
  <c r="BY121" i="9"/>
  <c r="D118" i="9"/>
  <c r="D114" i="9"/>
  <c r="L110" i="9"/>
  <c r="H106" i="9"/>
  <c r="BW102" i="9"/>
  <c r="AH101" i="9"/>
  <c r="C100" i="9"/>
  <c r="BX98" i="9"/>
  <c r="C98" i="9"/>
  <c r="D97" i="9"/>
  <c r="E96" i="9"/>
  <c r="BP94" i="9"/>
  <c r="BI93" i="9"/>
  <c r="AW92" i="9"/>
  <c r="BD91" i="9"/>
  <c r="BE90" i="9"/>
  <c r="BF89" i="9"/>
  <c r="BI88" i="9"/>
  <c r="BJ87" i="9"/>
  <c r="BL86" i="9"/>
  <c r="BE85" i="9"/>
  <c r="BJ84" i="9"/>
  <c r="BM83" i="9"/>
  <c r="BQ82" i="9"/>
  <c r="BC81" i="9"/>
  <c r="BI80" i="9"/>
  <c r="BN79" i="9"/>
  <c r="BO78" i="9"/>
  <c r="BK77" i="9"/>
  <c r="BQ76" i="9"/>
  <c r="BJ75" i="9"/>
  <c r="AS74" i="9"/>
  <c r="AP73" i="9"/>
  <c r="AT72" i="9"/>
  <c r="AZ71" i="9"/>
  <c r="AV70" i="9"/>
  <c r="AZ69" i="9"/>
  <c r="BI68" i="9"/>
  <c r="BM67" i="9"/>
  <c r="BN66" i="9"/>
  <c r="BQ65" i="9"/>
  <c r="BP64" i="9"/>
  <c r="BT63" i="9"/>
  <c r="BW62" i="9"/>
  <c r="D62" i="9"/>
  <c r="A61" i="9"/>
  <c r="C60" i="9"/>
  <c r="I59" i="9"/>
  <c r="K58" i="9"/>
  <c r="P57" i="9"/>
  <c r="M56" i="9"/>
  <c r="H148" i="9"/>
  <c r="Z140" i="9"/>
  <c r="BS132" i="9"/>
  <c r="BG128" i="9"/>
  <c r="BN124" i="9"/>
  <c r="BS120" i="9"/>
  <c r="BV116" i="9"/>
  <c r="F113" i="9"/>
  <c r="BS108" i="9"/>
  <c r="H105" i="9"/>
  <c r="AS102" i="9"/>
  <c r="E101" i="9"/>
  <c r="BD99" i="9"/>
  <c r="BD98" i="9"/>
  <c r="BF97" i="9"/>
  <c r="BI96" i="9"/>
  <c r="BH95" i="9"/>
  <c r="AR94" i="9"/>
  <c r="AN93" i="9"/>
  <c r="AE92" i="9"/>
  <c r="AI91" i="9"/>
  <c r="AI90" i="9"/>
  <c r="AJ89" i="9"/>
  <c r="AN88" i="9"/>
  <c r="AN87" i="9"/>
  <c r="AP86" i="9"/>
  <c r="AI85" i="9"/>
  <c r="AN84" i="9"/>
  <c r="AS83" i="9"/>
  <c r="AQ82" i="9"/>
  <c r="AI81" i="9"/>
  <c r="AO80" i="9"/>
  <c r="AT79" i="9"/>
  <c r="AM78" i="9"/>
  <c r="AN77" i="9"/>
  <c r="AQ76" i="9"/>
  <c r="AN75" i="9"/>
  <c r="AA74" i="9"/>
  <c r="W73" i="9"/>
  <c r="AB72" i="9"/>
  <c r="AE71" i="9"/>
  <c r="AD70" i="9"/>
  <c r="AI69" i="9"/>
  <c r="AO68" i="9"/>
  <c r="AQ67" i="9"/>
  <c r="AR66" i="9"/>
  <c r="AT65" i="9"/>
  <c r="AV64" i="9"/>
  <c r="AV63" i="9"/>
  <c r="BC62" i="9"/>
  <c r="BI61" i="9"/>
  <c r="BF60" i="9"/>
  <c r="BI59" i="9"/>
  <c r="BO58" i="9"/>
  <c r="BP57" i="9"/>
  <c r="BX56" i="9"/>
  <c r="BC55" i="9"/>
  <c r="AY54" i="9"/>
  <c r="AV53" i="9"/>
  <c r="AS52" i="9"/>
  <c r="AS51" i="9"/>
  <c r="AR50" i="9"/>
  <c r="AR49" i="9"/>
  <c r="AQ48" i="9"/>
  <c r="H56" i="9"/>
  <c r="AK53" i="9"/>
  <c r="AF51" i="9"/>
  <c r="AD49" i="9"/>
  <c r="AU47" i="9"/>
  <c r="AQ46" i="9"/>
  <c r="AS45" i="9"/>
  <c r="AW44" i="9"/>
  <c r="AY43" i="9"/>
  <c r="BJ42" i="9"/>
  <c r="BL41" i="9"/>
  <c r="BW40" i="9"/>
  <c r="E40" i="9"/>
  <c r="D39" i="9"/>
  <c r="H38" i="9"/>
  <c r="I37" i="9"/>
  <c r="L36" i="9"/>
  <c r="L35" i="9"/>
  <c r="K34" i="9"/>
  <c r="K33" i="9"/>
  <c r="K32" i="9"/>
  <c r="J31" i="9"/>
  <c r="H30" i="9"/>
  <c r="BW28" i="9"/>
  <c r="A28" i="9"/>
  <c r="E27" i="9"/>
  <c r="E26" i="9"/>
  <c r="K25" i="9"/>
  <c r="P24" i="9"/>
  <c r="U23" i="9"/>
  <c r="W22" i="9"/>
  <c r="AA21" i="9"/>
  <c r="AB20" i="9"/>
  <c r="M19" i="9"/>
  <c r="Q18" i="9"/>
  <c r="L17" i="9"/>
  <c r="I16" i="9"/>
  <c r="J15" i="9"/>
  <c r="N14" i="9"/>
  <c r="S13" i="9"/>
  <c r="X12" i="9"/>
  <c r="R11" i="9"/>
  <c r="T10" i="9"/>
  <c r="I9" i="9"/>
  <c r="F8" i="9"/>
  <c r="I7" i="9"/>
  <c r="M6" i="9"/>
  <c r="S5" i="9"/>
  <c r="X4" i="9"/>
  <c r="S3" i="9"/>
  <c r="V2" i="9"/>
  <c r="AG1" i="9"/>
  <c r="AF55" i="9"/>
  <c r="P53" i="9"/>
  <c r="L51" i="9"/>
  <c r="H49" i="9"/>
  <c r="AI47" i="9"/>
  <c r="AE46" i="9"/>
  <c r="AH45" i="9"/>
  <c r="AN44" i="9"/>
  <c r="AP43" i="9"/>
  <c r="AV42" i="9"/>
  <c r="BA41" i="9"/>
  <c r="BL40" i="9"/>
  <c r="BT39" i="9"/>
  <c r="BS38" i="9"/>
  <c r="BX37" i="9"/>
  <c r="BX36" i="9"/>
  <c r="C36" i="9"/>
  <c r="B35" i="9"/>
  <c r="A34" i="9"/>
  <c r="A33" i="9"/>
  <c r="BV31" i="9"/>
  <c r="A31" i="9"/>
  <c r="BV29" i="9"/>
  <c r="BL28" i="9"/>
  <c r="BP27" i="9"/>
  <c r="BT26" i="9"/>
  <c r="BS25" i="9"/>
  <c r="B25" i="9"/>
  <c r="G24" i="9"/>
  <c r="J23" i="9"/>
  <c r="L22" i="9"/>
  <c r="O21" i="9"/>
  <c r="M20" i="9"/>
  <c r="D19" i="9"/>
  <c r="H18" i="9"/>
  <c r="A17" i="9"/>
  <c r="BX15" i="9"/>
  <c r="BY14" i="9"/>
  <c r="D14" i="9"/>
  <c r="I13" i="9"/>
  <c r="N12" i="9"/>
  <c r="G11" i="9"/>
  <c r="J10" i="9"/>
  <c r="BY8" i="9"/>
  <c r="BT7" i="9"/>
  <c r="BX6" i="9"/>
  <c r="D6" i="9"/>
  <c r="J5" i="9"/>
  <c r="M4" i="9"/>
  <c r="I3" i="9"/>
  <c r="K2" i="9"/>
  <c r="X1" i="9"/>
  <c r="BU54" i="9"/>
  <c r="BR52" i="9"/>
  <c r="BP50" i="9"/>
  <c r="BL48" i="9"/>
  <c r="Z47" i="9"/>
  <c r="U46" i="9"/>
  <c r="X45" i="9"/>
  <c r="AC44" i="9"/>
  <c r="AG43" i="9"/>
  <c r="AM42" i="9"/>
  <c r="AR41" i="9"/>
  <c r="BA40" i="9"/>
  <c r="BH39" i="9"/>
  <c r="BJ38" i="9"/>
  <c r="BM37" i="9"/>
  <c r="BO36" i="9"/>
  <c r="BP35" i="9"/>
  <c r="BP34" i="9"/>
  <c r="BP33" i="9"/>
  <c r="BP32" i="9"/>
  <c r="BL31" i="9"/>
  <c r="BP30" i="9"/>
  <c r="BK29" i="9"/>
  <c r="BB28" i="9"/>
  <c r="BG27" i="9"/>
  <c r="BI26" i="9"/>
  <c r="BJ25" i="9"/>
  <c r="BP24" i="9"/>
  <c r="BV23" i="9"/>
  <c r="A23" i="9"/>
  <c r="B22" i="9"/>
  <c r="F21" i="9"/>
  <c r="B20" i="9"/>
  <c r="BR18" i="9"/>
  <c r="BU17" i="9"/>
  <c r="BO16" i="9"/>
  <c r="BN15" i="9"/>
  <c r="BO14" i="9"/>
  <c r="BS13" i="9"/>
  <c r="BY12" i="9"/>
  <c r="D12" i="9"/>
  <c r="BU10" i="9"/>
  <c r="BV9" i="9"/>
  <c r="BO8" i="9"/>
  <c r="BK7" i="9"/>
  <c r="BO6" i="9"/>
  <c r="BR5" i="9"/>
  <c r="A5" i="9"/>
  <c r="C4" i="9"/>
  <c r="BY2" i="9"/>
  <c r="B2" i="9"/>
  <c r="O1" i="9"/>
  <c r="AV54" i="9"/>
  <c r="AQ52" i="9"/>
  <c r="AP50" i="9"/>
  <c r="AO48" i="9"/>
  <c r="N47" i="9"/>
  <c r="J46" i="9"/>
  <c r="M45" i="9"/>
  <c r="Q44" i="9"/>
  <c r="X43" i="9"/>
  <c r="AC42" i="9"/>
  <c r="AI41" i="9"/>
  <c r="AQ40" i="9"/>
  <c r="AV39" i="9"/>
  <c r="AY38" i="9"/>
  <c r="BA37" i="9"/>
  <c r="BE36" i="9"/>
  <c r="BF35" i="9"/>
  <c r="BC34" i="9"/>
  <c r="AY33" i="9"/>
  <c r="BD32" i="9"/>
  <c r="BA31" i="9"/>
  <c r="AZ30" i="9"/>
  <c r="AW29" i="9"/>
  <c r="AQ28" i="9"/>
  <c r="AU27" i="9"/>
  <c r="AU26" i="9"/>
  <c r="AX25" i="9"/>
  <c r="BF24" i="9"/>
  <c r="BL23" i="9"/>
  <c r="BO22" i="9"/>
  <c r="BQ21" i="9"/>
  <c r="BT20" i="9"/>
  <c r="BP19" i="9"/>
  <c r="BI18" i="9"/>
  <c r="BL17" i="9"/>
  <c r="BC16" i="9"/>
  <c r="BC15" i="9"/>
  <c r="BF14" i="9"/>
  <c r="BJ13" i="9"/>
  <c r="BO12" i="9"/>
  <c r="BT11" i="9"/>
  <c r="BL10" i="9"/>
  <c r="BK9" i="9"/>
  <c r="AW8" i="9"/>
  <c r="BA7" i="9"/>
  <c r="BE6" i="9"/>
  <c r="BI5" i="9"/>
  <c r="BP4" i="9"/>
  <c r="BR3" i="9"/>
  <c r="BO2" i="9"/>
  <c r="BR1" i="9"/>
  <c r="F1" i="9"/>
  <c r="J54" i="9"/>
  <c r="C52" i="9"/>
  <c r="D50" i="9"/>
  <c r="B48" i="9"/>
  <c r="BT46" i="9"/>
  <c r="BP45" i="9"/>
  <c r="BT44" i="9"/>
  <c r="BX43" i="9"/>
  <c r="F43" i="9"/>
  <c r="I42" i="9"/>
  <c r="R41" i="9"/>
  <c r="Z40" i="9"/>
  <c r="AB39" i="9"/>
  <c r="AF38" i="9"/>
  <c r="AF37" i="9"/>
  <c r="AJ36" i="9"/>
  <c r="AL35" i="9"/>
  <c r="AH34" i="9"/>
  <c r="AH33" i="9"/>
  <c r="AJ32" i="9"/>
  <c r="AH31" i="9"/>
  <c r="AF30" i="9"/>
  <c r="AA29" i="9"/>
  <c r="W28" i="9"/>
  <c r="AB27" i="9"/>
  <c r="AC26" i="9"/>
  <c r="AG25" i="9"/>
  <c r="AM24" i="9"/>
  <c r="AR23" i="9"/>
  <c r="AT22" i="9"/>
  <c r="AW21" i="9"/>
  <c r="AV20" i="9"/>
  <c r="AP19" i="9"/>
  <c r="AO18" i="9"/>
  <c r="AR17" i="9"/>
  <c r="AH16" i="9"/>
  <c r="AH15" i="9"/>
  <c r="AL14" i="9"/>
  <c r="AP13" i="9"/>
  <c r="AU12" i="9"/>
  <c r="AY11" i="9"/>
  <c r="AR10" i="9"/>
  <c r="AO9" i="9"/>
  <c r="AE8" i="9"/>
  <c r="AF7" i="9"/>
  <c r="AJ6" i="9"/>
  <c r="AM5" i="9"/>
  <c r="AU4" i="9"/>
  <c r="AR3" i="9"/>
  <c r="AT2" i="9"/>
  <c r="BA1" i="9"/>
  <c r="AC56" i="9"/>
  <c r="AR53" i="9"/>
  <c r="AO51" i="9"/>
  <c r="AL49" i="9"/>
  <c r="BA47" i="9"/>
  <c r="AT46" i="9"/>
  <c r="AV45" i="9"/>
  <c r="BB44" i="9"/>
  <c r="BC43" i="9"/>
  <c r="BM42" i="9"/>
  <c r="BO41" i="9"/>
  <c r="A41" i="9"/>
  <c r="H40" i="9"/>
  <c r="G39" i="9"/>
  <c r="K38" i="9"/>
  <c r="L37" i="9"/>
  <c r="O36" i="9"/>
  <c r="O35" i="9"/>
  <c r="N34" i="9"/>
  <c r="N33" i="9"/>
  <c r="O32" i="9"/>
  <c r="M31" i="9"/>
  <c r="K30" i="9"/>
  <c r="A29" i="9"/>
  <c r="D28" i="9"/>
  <c r="I27" i="9"/>
  <c r="H26" i="9"/>
  <c r="N25" i="9"/>
  <c r="U24" i="9"/>
  <c r="Z23" i="9"/>
  <c r="AA22" i="9"/>
  <c r="AD21" i="9"/>
  <c r="AE20" i="9"/>
  <c r="P19" i="9"/>
  <c r="U18" i="9"/>
  <c r="O17" i="9"/>
  <c r="L16" i="9"/>
  <c r="M15" i="9"/>
  <c r="Q14" i="9"/>
  <c r="W13" i="9"/>
  <c r="AB12" i="9"/>
  <c r="AA11" i="9"/>
  <c r="W10" i="9"/>
  <c r="L9" i="9"/>
  <c r="I8" i="9"/>
  <c r="L7" i="9"/>
  <c r="P6" i="9"/>
  <c r="V5" i="9"/>
  <c r="AB4" i="9"/>
  <c r="W3" i="9"/>
  <c r="AA2" i="9"/>
  <c r="AJ1" i="9"/>
  <c r="L55" i="9"/>
  <c r="C53" i="9"/>
  <c r="BY50" i="9"/>
  <c r="BU48" i="9"/>
  <c r="AD47" i="9"/>
  <c r="Z46" i="9"/>
  <c r="AC45" i="9"/>
  <c r="AG44" i="9"/>
  <c r="AK43" i="9"/>
  <c r="AQ42" i="9"/>
  <c r="AV41" i="9"/>
  <c r="BF40" i="9"/>
  <c r="BO39" i="9"/>
  <c r="BN38" i="9"/>
  <c r="BQ37" i="9"/>
  <c r="BS36" i="9"/>
  <c r="BT35" i="9"/>
  <c r="BT34" i="9"/>
  <c r="BT33" i="9"/>
  <c r="BT32" i="9"/>
  <c r="BQ31" i="9"/>
  <c r="BT30" i="9"/>
  <c r="BQ29" i="9"/>
  <c r="BG28" i="9"/>
  <c r="BK27" i="9"/>
  <c r="BO26" i="9"/>
  <c r="BN25" i="9"/>
  <c r="BT24" i="9"/>
  <c r="B24" i="9"/>
  <c r="E23" i="9"/>
  <c r="F22" i="9"/>
  <c r="J21" i="9"/>
  <c r="F20" i="9"/>
  <c r="BW18" i="9"/>
  <c r="B18" i="9"/>
  <c r="BS16" i="9"/>
  <c r="BR15" i="9"/>
  <c r="BS14" i="9"/>
  <c r="BX13" i="9"/>
  <c r="D13" i="9"/>
  <c r="I12" i="9"/>
  <c r="B11" i="9"/>
  <c r="C10" i="9"/>
  <c r="BS8" i="9"/>
  <c r="BO7" i="9"/>
  <c r="BS6" i="9"/>
  <c r="BX5" i="9"/>
  <c r="E5" i="9"/>
  <c r="H4" i="9"/>
  <c r="D3" i="9"/>
  <c r="F2" i="9"/>
  <c r="S1" i="9"/>
  <c r="BG54" i="9"/>
  <c r="AZ52" i="9"/>
  <c r="AZ50" i="9"/>
  <c r="AW48" i="9"/>
  <c r="T47" i="9"/>
  <c r="N46" i="9"/>
  <c r="R45" i="9"/>
  <c r="V44" i="9"/>
  <c r="AB43" i="9"/>
  <c r="AG42" i="9"/>
  <c r="AM41" i="9"/>
  <c r="AU40" i="9"/>
  <c r="BA39" i="9"/>
  <c r="BE38" i="9"/>
  <c r="BF37" i="9"/>
  <c r="BI36" i="9"/>
  <c r="BJ35" i="9"/>
  <c r="BH34" i="9"/>
  <c r="BG33" i="9"/>
  <c r="BK32" i="9"/>
  <c r="BG31" i="9"/>
  <c r="BF30" i="9"/>
  <c r="BE29" i="9"/>
  <c r="AU28" i="9"/>
  <c r="BA27" i="9"/>
  <c r="BA26" i="9"/>
  <c r="BD25" i="9"/>
  <c r="BK24" i="9"/>
  <c r="BQ23" i="9"/>
  <c r="BS22" i="9"/>
  <c r="BU21" i="9"/>
  <c r="A21" i="9"/>
  <c r="BT19" i="9"/>
  <c r="BM18" i="9"/>
  <c r="BP17" i="9"/>
  <c r="BH16" i="9"/>
  <c r="BH15" i="9"/>
  <c r="AV258" i="9"/>
  <c r="AD209" i="9"/>
  <c r="BT194" i="9"/>
  <c r="AN181" i="9"/>
  <c r="BE138" i="9"/>
  <c r="BR134" i="9"/>
  <c r="BG134" i="9"/>
  <c r="Q134" i="9"/>
  <c r="BS147" i="9"/>
  <c r="W137" i="9"/>
  <c r="AY127" i="9"/>
  <c r="BA119" i="9"/>
  <c r="BP111" i="9"/>
  <c r="BQ103" i="9"/>
  <c r="AP155" i="9"/>
  <c r="AZ147" i="9"/>
  <c r="BQ139" i="9"/>
  <c r="H166" i="9"/>
  <c r="AU153" i="9"/>
  <c r="AW145" i="9"/>
  <c r="BY137" i="9"/>
  <c r="BD129" i="9"/>
  <c r="BR121" i="9"/>
  <c r="BT113" i="9"/>
  <c r="BY105" i="9"/>
  <c r="R139" i="9"/>
  <c r="AU104" i="9"/>
  <c r="AI94" i="9"/>
  <c r="AF86" i="9"/>
  <c r="AC78" i="9"/>
  <c r="S70" i="9"/>
  <c r="AS62" i="9"/>
  <c r="AO54" i="9"/>
  <c r="O138" i="9"/>
  <c r="B104" i="9"/>
  <c r="X94" i="9"/>
  <c r="T86" i="9"/>
  <c r="R78" i="9"/>
  <c r="I70" i="9"/>
  <c r="AJ62" i="9"/>
  <c r="BR142" i="9"/>
  <c r="AA106" i="9"/>
  <c r="BT94" i="9"/>
  <c r="BP86" i="9"/>
  <c r="BS78" i="9"/>
  <c r="BD70" i="9"/>
  <c r="B63" i="9"/>
  <c r="C132" i="9"/>
  <c r="U102" i="9"/>
  <c r="P93" i="9"/>
  <c r="V85" i="9"/>
  <c r="AB77" i="9"/>
  <c r="V69" i="9"/>
  <c r="AQ61" i="9"/>
  <c r="BY128" i="9"/>
  <c r="J101" i="9"/>
  <c r="AH92" i="9"/>
  <c r="AS84" i="9"/>
  <c r="AT76" i="9"/>
  <c r="AR68" i="9"/>
  <c r="BK60" i="9"/>
  <c r="AV52" i="9"/>
  <c r="BP129" i="9"/>
  <c r="AL101" i="9"/>
  <c r="E97" i="9"/>
  <c r="BG94" i="9"/>
  <c r="E93" i="9"/>
  <c r="AM91" i="9"/>
  <c r="I90" i="9"/>
  <c r="BK88" i="9"/>
  <c r="AP87" i="9"/>
  <c r="N86" i="9"/>
  <c r="BK84" i="9"/>
  <c r="AU83" i="9"/>
  <c r="J82" i="9"/>
  <c r="BJ80" i="9"/>
  <c r="AV79" i="9"/>
  <c r="M78" i="9"/>
  <c r="BR76" i="9"/>
  <c r="AP75" i="9"/>
  <c r="A74" i="9"/>
  <c r="AU72" i="9"/>
  <c r="AG71" i="9"/>
  <c r="E70" i="9"/>
  <c r="BJ68" i="9"/>
  <c r="AS67" i="9"/>
  <c r="S66" i="9"/>
  <c r="BQ64" i="9"/>
  <c r="AZ63" i="9"/>
  <c r="AF62" i="9"/>
  <c r="M61" i="9"/>
  <c r="L60" i="9"/>
  <c r="R59" i="9"/>
  <c r="V58" i="9"/>
  <c r="Z57" i="9"/>
  <c r="AA56" i="9"/>
  <c r="F55" i="9"/>
  <c r="G54" i="9"/>
  <c r="D53" i="9"/>
  <c r="BY51" i="9"/>
  <c r="A51" i="9"/>
  <c r="A50" i="9"/>
  <c r="BV48" i="9"/>
  <c r="BX47" i="9"/>
  <c r="AG141" i="9"/>
  <c r="AL133" i="9"/>
  <c r="Z129" i="9"/>
  <c r="AI125" i="9"/>
  <c r="AN121" i="9"/>
  <c r="AN117" i="9"/>
  <c r="AR113" i="9"/>
  <c r="AT109" i="9"/>
  <c r="AV105" i="9"/>
  <c r="BK102" i="9"/>
  <c r="S101" i="9"/>
  <c r="BQ99" i="9"/>
  <c r="BO98" i="9"/>
  <c r="BR97" i="9"/>
  <c r="BS96" i="9"/>
  <c r="BS95" i="9"/>
  <c r="BD94" i="9"/>
  <c r="AW93" i="9"/>
  <c r="AO92" i="9"/>
  <c r="AT91" i="9"/>
  <c r="AS90" i="9"/>
  <c r="AT89" i="9"/>
  <c r="AW88" i="9"/>
  <c r="AW87" i="9"/>
  <c r="AZ86" i="9"/>
  <c r="AS85" i="9"/>
  <c r="AZ84" i="9"/>
  <c r="BE83" i="9"/>
  <c r="BD82" i="9"/>
  <c r="AR81" i="9"/>
  <c r="AX80" i="9"/>
  <c r="BF79" i="9"/>
  <c r="AZ78" i="9"/>
  <c r="AW77" i="9"/>
  <c r="BC76" i="9"/>
  <c r="AW75" i="9"/>
  <c r="AJ74" i="9"/>
  <c r="AG73" i="9"/>
  <c r="AL72" i="9"/>
  <c r="AP71" i="9"/>
  <c r="AN70" i="9"/>
  <c r="AR69" i="9"/>
  <c r="AZ68" i="9"/>
  <c r="BB67" i="9"/>
  <c r="BD66" i="9"/>
  <c r="BF65" i="9"/>
  <c r="BH64" i="9"/>
  <c r="BJ63" i="9"/>
  <c r="BM62" i="9"/>
  <c r="BR61" i="9"/>
  <c r="BQ60" i="9"/>
  <c r="BR59" i="9"/>
  <c r="A59" i="9"/>
  <c r="B58" i="9"/>
  <c r="H57" i="9"/>
  <c r="D56" i="9"/>
  <c r="K147" i="9"/>
  <c r="AB139" i="9"/>
  <c r="AA132" i="9"/>
  <c r="Z128" i="9"/>
  <c r="AA124" i="9"/>
  <c r="AG120" i="9"/>
  <c r="AM116" i="9"/>
  <c r="AS112" i="9"/>
  <c r="AE108" i="9"/>
  <c r="AW104" i="9"/>
  <c r="AD102" i="9"/>
  <c r="BN100" i="9"/>
  <c r="AR99" i="9"/>
  <c r="AS98" i="9"/>
  <c r="AT97" i="9"/>
  <c r="AX96" i="9"/>
  <c r="AU95" i="9"/>
  <c r="AJ94" i="9"/>
  <c r="Z93" i="9"/>
  <c r="V92" i="9"/>
  <c r="AA91" i="9"/>
  <c r="AA90" i="9"/>
  <c r="AB89" i="9"/>
  <c r="AE88" i="9"/>
  <c r="AE87" i="9"/>
  <c r="AG86" i="9"/>
  <c r="AA85" i="9"/>
  <c r="AE84" i="9"/>
  <c r="AJ83" i="9"/>
  <c r="AE82" i="9"/>
  <c r="AA81" i="9"/>
  <c r="AG80" i="9"/>
  <c r="AL79" i="9"/>
  <c r="AD78" i="9"/>
  <c r="AF77" i="9"/>
  <c r="AI76" i="9"/>
  <c r="Z75" i="9"/>
  <c r="O74" i="9"/>
  <c r="M73" i="9"/>
  <c r="Q72" i="9"/>
  <c r="T71" i="9"/>
  <c r="U70" i="9"/>
  <c r="AA69" i="9"/>
  <c r="AE68" i="9"/>
  <c r="AG67" i="9"/>
  <c r="AI66" i="9"/>
  <c r="AL65" i="9"/>
  <c r="AN64" i="9"/>
  <c r="AN63" i="9"/>
  <c r="AT62" i="9"/>
  <c r="AU61" i="9"/>
  <c r="AU60" i="9"/>
  <c r="AX59" i="9"/>
  <c r="BD58" i="9"/>
  <c r="BF57" i="9"/>
  <c r="BM56" i="9"/>
  <c r="AR55" i="9"/>
  <c r="AP54" i="9"/>
  <c r="AN53" i="9"/>
  <c r="AK52" i="9"/>
  <c r="AI51" i="9"/>
  <c r="AI50" i="9"/>
  <c r="AG49" i="9"/>
  <c r="AH48" i="9"/>
  <c r="AG55" i="9"/>
  <c r="R53" i="9"/>
  <c r="M51" i="9"/>
  <c r="I49" i="9"/>
  <c r="AL47" i="9"/>
  <c r="AF46" i="9"/>
  <c r="AI45" i="9"/>
  <c r="AO44" i="9"/>
  <c r="AQ43" i="9"/>
  <c r="AW42" i="9"/>
  <c r="BC41" i="9"/>
  <c r="BM40" i="9"/>
  <c r="BU39" i="9"/>
  <c r="BT38" i="9"/>
  <c r="BY37" i="9"/>
  <c r="BY36" i="9"/>
  <c r="D36" i="9"/>
  <c r="C35" i="9"/>
  <c r="B34" i="9"/>
  <c r="B33" i="9"/>
  <c r="BY31" i="9"/>
  <c r="B31" i="9"/>
  <c r="BY29" i="9"/>
  <c r="BN28" i="9"/>
  <c r="BQ27" i="9"/>
  <c r="BU26" i="9"/>
  <c r="BT25" i="9"/>
  <c r="C25" i="9"/>
  <c r="H24" i="9"/>
  <c r="K23" i="9"/>
  <c r="M22" i="9"/>
  <c r="P21" i="9"/>
  <c r="O20" i="9"/>
  <c r="E19" i="9"/>
  <c r="I18" i="9"/>
  <c r="B17" i="9"/>
  <c r="BY15" i="9"/>
  <c r="A15" i="9"/>
  <c r="E14" i="9"/>
  <c r="J13" i="9"/>
  <c r="O12" i="9"/>
  <c r="I11" i="9"/>
  <c r="K10" i="9"/>
  <c r="A9" i="9"/>
  <c r="BU7" i="9"/>
  <c r="BY6" i="9"/>
  <c r="E6" i="9"/>
  <c r="K5" i="9"/>
  <c r="N4" i="9"/>
  <c r="J3" i="9"/>
  <c r="L2" i="9"/>
  <c r="Y1" i="9"/>
  <c r="BY54" i="9"/>
  <c r="BW52" i="9"/>
  <c r="BS50" i="9"/>
  <c r="BP48" i="9"/>
  <c r="AA47" i="9"/>
  <c r="V46" i="9"/>
  <c r="Z45" i="9"/>
  <c r="AD44" i="9"/>
  <c r="AH43" i="9"/>
  <c r="AN42" i="9"/>
  <c r="AS41" i="9"/>
  <c r="BC40" i="9"/>
  <c r="BK39" i="9"/>
  <c r="BK38" i="9"/>
  <c r="BN37" i="9"/>
  <c r="BP36" i="9"/>
  <c r="BQ35" i="9"/>
  <c r="BQ34" i="9"/>
  <c r="BQ33" i="9"/>
  <c r="BQ32" i="9"/>
  <c r="BN31" i="9"/>
  <c r="BQ30" i="9"/>
  <c r="BL29" i="9"/>
  <c r="BC28" i="9"/>
  <c r="BH27" i="9"/>
  <c r="BJ26" i="9"/>
  <c r="BK25" i="9"/>
  <c r="BQ24" i="9"/>
  <c r="BX23" i="9"/>
  <c r="B23" i="9"/>
  <c r="C22" i="9"/>
  <c r="G21" i="9"/>
  <c r="C20" i="9"/>
  <c r="BS18" i="9"/>
  <c r="BX17" i="9"/>
  <c r="BP16" i="9"/>
  <c r="BO15" i="9"/>
  <c r="BP14" i="9"/>
  <c r="BT13" i="9"/>
  <c r="A13" i="9"/>
  <c r="E12" i="9"/>
  <c r="BX10" i="9"/>
  <c r="BX9" i="9"/>
  <c r="BP8" i="9"/>
  <c r="BL7" i="9"/>
  <c r="BP6" i="9"/>
  <c r="BS5" i="9"/>
  <c r="B5" i="9"/>
  <c r="D4" i="9"/>
  <c r="A3" i="9"/>
  <c r="C2" i="9"/>
  <c r="P1" i="9"/>
  <c r="AZ54" i="9"/>
  <c r="AT52" i="9"/>
  <c r="AS50" i="9"/>
  <c r="AR48" i="9"/>
  <c r="O47" i="9"/>
  <c r="K46" i="9"/>
  <c r="N45" i="9"/>
  <c r="R44" i="9"/>
  <c r="Y43" i="9"/>
  <c r="AD42" i="9"/>
  <c r="AJ41" i="9"/>
  <c r="AR40" i="9"/>
  <c r="AW39" i="9"/>
  <c r="AZ38" i="9"/>
  <c r="BB37" i="9"/>
  <c r="BF36" i="9"/>
  <c r="BG35" i="9"/>
  <c r="BD34" i="9"/>
  <c r="AZ33" i="9"/>
  <c r="BG32" i="9"/>
  <c r="BD31" i="9"/>
  <c r="BA30" i="9"/>
  <c r="AZ29" i="9"/>
  <c r="AR28" i="9"/>
  <c r="AV27" i="9"/>
  <c r="AV26" i="9"/>
  <c r="AZ25" i="9"/>
  <c r="BG24" i="9"/>
  <c r="BN23" i="9"/>
  <c r="BP22" i="9"/>
  <c r="BR21" i="9"/>
  <c r="BW20" i="9"/>
  <c r="BQ19" i="9"/>
  <c r="BJ18" i="9"/>
  <c r="BM17" i="9"/>
  <c r="BD16" i="9"/>
  <c r="BD15" i="9"/>
  <c r="BG14" i="9"/>
  <c r="BK13" i="9"/>
  <c r="BP12" i="9"/>
  <c r="BU11" i="9"/>
  <c r="BM10" i="9"/>
  <c r="BL9" i="9"/>
  <c r="AZ8" i="9"/>
  <c r="BB7" i="9"/>
  <c r="BF6" i="9"/>
  <c r="BJ5" i="9"/>
  <c r="BQ4" i="9"/>
  <c r="BS3" i="9"/>
  <c r="BP2" i="9"/>
  <c r="BS1" i="9"/>
  <c r="G1" i="9"/>
  <c r="AE54" i="9"/>
  <c r="AA52" i="9"/>
  <c r="W50" i="9"/>
  <c r="V48" i="9"/>
  <c r="E47" i="9"/>
  <c r="B46" i="9"/>
  <c r="E45" i="9"/>
  <c r="I44" i="9"/>
  <c r="O43" i="9"/>
  <c r="S42" i="9"/>
  <c r="AA41" i="9"/>
  <c r="AI40" i="9"/>
  <c r="AL39" i="9"/>
  <c r="AP38" i="9"/>
  <c r="AQ37" i="9"/>
  <c r="AT36" i="9"/>
  <c r="AU35" i="9"/>
  <c r="AS34" i="9"/>
  <c r="AQ33" i="9"/>
  <c r="AS32" i="9"/>
  <c r="AR31" i="9"/>
  <c r="AP30" i="9"/>
  <c r="AO29" i="9"/>
  <c r="AG28" i="9"/>
  <c r="AM27" i="9"/>
  <c r="AM26" i="9"/>
  <c r="AP25" i="9"/>
  <c r="AV24" i="9"/>
  <c r="BD23" i="9"/>
  <c r="BF22" i="9"/>
  <c r="BI21" i="9"/>
  <c r="BL20" i="9"/>
  <c r="BA19" i="9"/>
  <c r="AZ18" i="9"/>
  <c r="BC17" i="9"/>
  <c r="AS16" i="9"/>
  <c r="AS15" i="9"/>
  <c r="AU14" i="9"/>
  <c r="AZ13" i="9"/>
  <c r="BG12" i="9"/>
  <c r="BL11" i="9"/>
  <c r="BC10" i="9"/>
  <c r="AZ9" i="9"/>
  <c r="AO8" i="9"/>
  <c r="AQ7" i="9"/>
  <c r="AT6" i="9"/>
  <c r="AV5" i="9"/>
  <c r="BG4" i="9"/>
  <c r="BE3" i="9"/>
  <c r="BF2" i="9"/>
  <c r="BJ1" i="9"/>
  <c r="D57" i="9"/>
  <c r="BP53" i="9"/>
  <c r="BJ51" i="9"/>
  <c r="BJ49" i="9"/>
  <c r="BL47" i="9"/>
  <c r="BH46" i="9"/>
  <c r="BH45" i="9"/>
  <c r="BL44" i="9"/>
  <c r="BN43" i="9"/>
  <c r="BW42" i="9"/>
  <c r="A42" i="9"/>
  <c r="J41" i="9"/>
  <c r="R40" i="9"/>
  <c r="P39" i="9"/>
  <c r="V38" i="9"/>
  <c r="V37" i="9"/>
  <c r="AB36" i="9"/>
  <c r="AB35" i="9"/>
  <c r="Z34" i="9"/>
  <c r="X33" i="9"/>
  <c r="AB32" i="9"/>
  <c r="Z31" i="9"/>
  <c r="V30" i="9"/>
  <c r="L29" i="9"/>
  <c r="N28" i="9"/>
  <c r="R27" i="9"/>
  <c r="R26" i="9"/>
  <c r="Y25" i="9"/>
  <c r="AE24" i="9"/>
  <c r="AI23" i="9"/>
  <c r="AL22" i="9"/>
  <c r="AO21" i="9"/>
  <c r="AN20" i="9"/>
  <c r="AE19" i="9"/>
  <c r="AE18" i="9"/>
  <c r="AE17" i="9"/>
  <c r="V16" i="9"/>
  <c r="Z15" i="9"/>
  <c r="AB14" i="9"/>
  <c r="AG13" i="9"/>
  <c r="AM12" i="9"/>
  <c r="AP11" i="9"/>
  <c r="AH10" i="9"/>
  <c r="AA9" i="9"/>
  <c r="U8" i="9"/>
  <c r="V7" i="9"/>
  <c r="AB6" i="9"/>
  <c r="AE5" i="9"/>
  <c r="AM4" i="9"/>
  <c r="AG3" i="9"/>
  <c r="AL2" i="9"/>
  <c r="AS1" i="9"/>
  <c r="AV55" i="9"/>
  <c r="AB53" i="9"/>
  <c r="V51" i="9"/>
  <c r="R49" i="9"/>
  <c r="AP47" i="9"/>
  <c r="AI46" i="9"/>
  <c r="AN45" i="9"/>
  <c r="AR44" i="9"/>
  <c r="AT43" i="9"/>
  <c r="BD42" i="9"/>
  <c r="BF41" i="9"/>
  <c r="BP40" i="9"/>
  <c r="BY39" i="9"/>
  <c r="BX38" i="9"/>
  <c r="C38" i="9"/>
  <c r="C37" i="9"/>
  <c r="G36" i="9"/>
  <c r="F35" i="9"/>
  <c r="E34" i="9"/>
  <c r="E33" i="9"/>
  <c r="C32" i="9"/>
  <c r="E31" i="9"/>
  <c r="C30" i="9"/>
  <c r="BQ28" i="9"/>
  <c r="BT27" i="9"/>
  <c r="BY26" i="9"/>
  <c r="BY25" i="9"/>
  <c r="F25" i="9"/>
  <c r="K24" i="9"/>
  <c r="N23" i="9"/>
  <c r="P22" i="9"/>
  <c r="T21" i="9"/>
  <c r="T20" i="9"/>
  <c r="H19" i="9"/>
  <c r="L18" i="9"/>
  <c r="E17" i="9"/>
  <c r="C16" i="9"/>
  <c r="D15" i="9"/>
  <c r="I14" i="9"/>
  <c r="M13" i="9"/>
  <c r="R12" i="9"/>
  <c r="L11" i="9"/>
  <c r="N10" i="9"/>
  <c r="D9" i="9"/>
  <c r="A8" i="9"/>
  <c r="C7" i="9"/>
  <c r="H6" i="9"/>
  <c r="N5" i="9"/>
  <c r="R4" i="9"/>
  <c r="M3" i="9"/>
  <c r="O2" i="9"/>
  <c r="AB1" i="9"/>
  <c r="BL54" i="9"/>
  <c r="BG52" i="9"/>
  <c r="BE50" i="9"/>
  <c r="BD48" i="9"/>
  <c r="U47" i="9"/>
  <c r="O46" i="9"/>
  <c r="T45" i="9"/>
  <c r="W44" i="9"/>
  <c r="AC43" i="9"/>
  <c r="AH42" i="9"/>
  <c r="AN41" i="9"/>
  <c r="AV40" i="9"/>
  <c r="BD39" i="9"/>
  <c r="BF38" i="9"/>
  <c r="BG37" i="9"/>
  <c r="BJ36" i="9"/>
  <c r="BK35" i="9"/>
  <c r="BK34" i="9"/>
  <c r="BK33" i="9"/>
  <c r="BL32" i="9"/>
  <c r="BH31" i="9"/>
  <c r="BH30" i="9"/>
  <c r="BF29" i="9"/>
  <c r="AV28" i="9"/>
  <c r="BB27" i="9"/>
  <c r="BD26" i="9"/>
  <c r="BE25" i="9"/>
  <c r="BL24" i="9"/>
  <c r="BR23" i="9"/>
  <c r="BT22" i="9"/>
  <c r="BW21" i="9"/>
  <c r="B21" i="9"/>
  <c r="BU19" i="9"/>
  <c r="BN18" i="9"/>
  <c r="BQ17" i="9"/>
  <c r="BK16" i="9"/>
  <c r="BJ15" i="9"/>
  <c r="BK14" i="9"/>
  <c r="BO13" i="9"/>
  <c r="BT12" i="9"/>
  <c r="BY11" i="9"/>
  <c r="BQ10" i="9"/>
  <c r="BR9" i="9"/>
  <c r="BF8" i="9"/>
  <c r="BG7" i="9"/>
  <c r="BJ6" i="9"/>
  <c r="BN5" i="9"/>
  <c r="BU4" i="9"/>
  <c r="BX3" i="9"/>
  <c r="BT2" i="9"/>
  <c r="BW1" i="9"/>
  <c r="K1" i="9"/>
  <c r="AN54" i="9"/>
  <c r="AI52" i="9"/>
  <c r="AG50" i="9"/>
  <c r="AF48" i="9"/>
  <c r="J47" i="9"/>
  <c r="F46" i="9"/>
  <c r="I45" i="9"/>
  <c r="M44" i="9"/>
  <c r="T43" i="9"/>
  <c r="X42" i="9"/>
  <c r="AE41" i="9"/>
  <c r="AM40" i="9"/>
  <c r="AR39" i="9"/>
  <c r="AT38" i="9"/>
  <c r="AU37" i="9"/>
  <c r="AY36" i="9"/>
  <c r="BA35" i="9"/>
  <c r="AW34" i="9"/>
  <c r="AU33" i="9"/>
  <c r="AW32" i="9"/>
  <c r="AV31" i="9"/>
  <c r="AT30" i="9"/>
  <c r="AS29" i="9"/>
  <c r="AM28" i="9"/>
  <c r="AQ27" i="9"/>
  <c r="AQ26" i="9"/>
  <c r="AT25" i="9"/>
  <c r="BA24" i="9"/>
  <c r="BH23" i="9"/>
  <c r="BJ22" i="9"/>
  <c r="BM21" i="9"/>
  <c r="BP20" i="9"/>
  <c r="BH19" i="9"/>
  <c r="BD18" i="9"/>
  <c r="Q233" i="9"/>
  <c r="AH201" i="9"/>
  <c r="F187" i="9"/>
  <c r="W173" i="9"/>
  <c r="AN130" i="9"/>
  <c r="BI126" i="9"/>
  <c r="AU126" i="9"/>
  <c r="I126" i="9"/>
  <c r="T146" i="9"/>
  <c r="BY135" i="9"/>
  <c r="AS126" i="9"/>
  <c r="BD118" i="9"/>
  <c r="BP110" i="9"/>
  <c r="AQ168" i="9"/>
  <c r="AS154" i="9"/>
  <c r="AV146" i="9"/>
  <c r="BQ138" i="9"/>
  <c r="P164" i="9"/>
  <c r="AZ152" i="9"/>
  <c r="BB144" i="9"/>
  <c r="C137" i="9"/>
  <c r="BF128" i="9"/>
  <c r="BR120" i="9"/>
  <c r="E113" i="9"/>
  <c r="G105" i="9"/>
  <c r="W132" i="9"/>
  <c r="AC102" i="9"/>
  <c r="W93" i="9"/>
  <c r="Z85" i="9"/>
  <c r="AE77" i="9"/>
  <c r="Z69" i="9"/>
  <c r="AT61" i="9"/>
  <c r="AM53" i="9"/>
  <c r="AR131" i="9"/>
  <c r="K102" i="9"/>
  <c r="J93" i="9"/>
  <c r="N85" i="9"/>
  <c r="V77" i="9"/>
  <c r="P69" i="9"/>
  <c r="AK61" i="9"/>
  <c r="E135" i="9"/>
  <c r="E103" i="9"/>
  <c r="BN93" i="9"/>
  <c r="BL85" i="9"/>
  <c r="BO77" i="9"/>
  <c r="BE69" i="9"/>
  <c r="H62" i="9"/>
  <c r="I128" i="9"/>
  <c r="BI100" i="9"/>
  <c r="Q92" i="9"/>
  <c r="AA84" i="9"/>
  <c r="AE76" i="9"/>
  <c r="AA68" i="9"/>
  <c r="AQ60" i="9"/>
  <c r="I125" i="9"/>
  <c r="BJ99" i="9"/>
  <c r="AN91" i="9"/>
  <c r="AV83" i="9"/>
  <c r="AQ75" i="9"/>
  <c r="AT67" i="9"/>
  <c r="BL59" i="9"/>
  <c r="AV51" i="9"/>
  <c r="BX125" i="9"/>
  <c r="AN100" i="9"/>
  <c r="AJ96" i="9"/>
  <c r="AT94" i="9"/>
  <c r="AZ92" i="9"/>
  <c r="AC91" i="9"/>
  <c r="A90" i="9"/>
  <c r="AZ88" i="9"/>
  <c r="AG87" i="9"/>
  <c r="D86" i="9"/>
  <c r="BA84" i="9"/>
  <c r="AM83" i="9"/>
  <c r="A82" i="9"/>
  <c r="AZ80" i="9"/>
  <c r="AN79" i="9"/>
  <c r="E78" i="9"/>
  <c r="BD76" i="9"/>
  <c r="AB75" i="9"/>
  <c r="BP73" i="9"/>
  <c r="AM72" i="9"/>
  <c r="V71" i="9"/>
  <c r="BT69" i="9"/>
  <c r="BA68" i="9"/>
  <c r="AI67" i="9"/>
  <c r="K66" i="9"/>
  <c r="BI64" i="9"/>
  <c r="AP63" i="9"/>
  <c r="W62" i="9"/>
  <c r="B61" i="9"/>
  <c r="D60" i="9"/>
  <c r="J59" i="9"/>
  <c r="L58" i="9"/>
  <c r="Q57" i="9"/>
  <c r="O56" i="9"/>
  <c r="BV54" i="9"/>
  <c r="BX53" i="9"/>
  <c r="BS52" i="9"/>
  <c r="BP51" i="9"/>
  <c r="BQ50" i="9"/>
  <c r="BQ49" i="9"/>
  <c r="BN48" i="9"/>
  <c r="S148" i="9"/>
  <c r="AH140" i="9"/>
  <c r="A133" i="9"/>
  <c r="BO128" i="9"/>
  <c r="BT124" i="9"/>
  <c r="B121" i="9"/>
  <c r="C117" i="9"/>
  <c r="L113" i="9"/>
  <c r="A109" i="9"/>
  <c r="N105" i="9"/>
  <c r="AU102" i="9"/>
  <c r="F101" i="9"/>
  <c r="BE99" i="9"/>
  <c r="BE98" i="9"/>
  <c r="BH97" i="9"/>
  <c r="BJ96" i="9"/>
  <c r="BI95" i="9"/>
  <c r="AS94" i="9"/>
  <c r="AO93" i="9"/>
  <c r="AF92" i="9"/>
  <c r="AL91" i="9"/>
  <c r="AJ90" i="9"/>
  <c r="AL89" i="9"/>
  <c r="AO88" i="9"/>
  <c r="AO87" i="9"/>
  <c r="AQ86" i="9"/>
  <c r="AJ85" i="9"/>
  <c r="AQ84" i="9"/>
  <c r="AT83" i="9"/>
  <c r="AR82" i="9"/>
  <c r="AJ81" i="9"/>
  <c r="AP80" i="9"/>
  <c r="AU79" i="9"/>
  <c r="AN78" i="9"/>
  <c r="AO77" i="9"/>
  <c r="AR76" i="9"/>
  <c r="AO75" i="9"/>
  <c r="AB74" i="9"/>
  <c r="X73" i="9"/>
  <c r="AC72" i="9"/>
  <c r="AF71" i="9"/>
  <c r="AE70" i="9"/>
  <c r="AJ69" i="9"/>
  <c r="AP68" i="9"/>
  <c r="AR67" i="9"/>
  <c r="AS66" i="9"/>
  <c r="AU65" i="9"/>
  <c r="AW64" i="9"/>
  <c r="AW63" i="9"/>
  <c r="BD62" i="9"/>
  <c r="BJ61" i="9"/>
  <c r="BG60" i="9"/>
  <c r="BJ59" i="9"/>
  <c r="BP58" i="9"/>
  <c r="BQ57" i="9"/>
  <c r="BY56" i="9"/>
  <c r="BK55" i="9"/>
  <c r="F146" i="9"/>
  <c r="AG138" i="9"/>
  <c r="BD131" i="9"/>
  <c r="BP127" i="9"/>
  <c r="BJ123" i="9"/>
  <c r="BR119" i="9"/>
  <c r="D116" i="9"/>
  <c r="F112" i="9"/>
  <c r="BU107" i="9"/>
  <c r="K104" i="9"/>
  <c r="O102" i="9"/>
  <c r="AW100" i="9"/>
  <c r="AJ99" i="9"/>
  <c r="AJ98" i="9"/>
  <c r="AL97" i="9"/>
  <c r="AP96" i="9"/>
  <c r="AM95" i="9"/>
  <c r="AB94" i="9"/>
  <c r="L93" i="9"/>
  <c r="M92" i="9"/>
  <c r="P91" i="9"/>
  <c r="O90" i="9"/>
  <c r="R89" i="9"/>
  <c r="V88" i="9"/>
  <c r="V87" i="9"/>
  <c r="V86" i="9"/>
  <c r="P85" i="9"/>
  <c r="V84" i="9"/>
  <c r="AB83" i="9"/>
  <c r="P82" i="9"/>
  <c r="R81" i="9"/>
  <c r="Y80" i="9"/>
  <c r="AB79" i="9"/>
  <c r="U78" i="9"/>
  <c r="X77" i="9"/>
  <c r="AA76" i="9"/>
  <c r="I75" i="9"/>
  <c r="G74" i="9"/>
  <c r="E73" i="9"/>
  <c r="I72" i="9"/>
  <c r="K71" i="9"/>
  <c r="K70" i="9"/>
  <c r="R69" i="9"/>
  <c r="V68" i="9"/>
  <c r="W67" i="9"/>
  <c r="AA66" i="9"/>
  <c r="AB65" i="9"/>
  <c r="AD64" i="9"/>
  <c r="AE63" i="9"/>
  <c r="AL62" i="9"/>
  <c r="AM61" i="9"/>
  <c r="AJ60" i="9"/>
  <c r="AP59" i="9"/>
  <c r="AT58" i="9"/>
  <c r="AV57" i="9"/>
  <c r="AW56" i="9"/>
  <c r="AJ55" i="9"/>
  <c r="AG54" i="9"/>
  <c r="AF53" i="9"/>
  <c r="AC52" i="9"/>
  <c r="AA51" i="9"/>
  <c r="AA50" i="9"/>
  <c r="W49" i="9"/>
  <c r="Z48" i="9"/>
  <c r="A55" i="9"/>
  <c r="BX52" i="9"/>
  <c r="BT50" i="9"/>
  <c r="BQ48" i="9"/>
  <c r="AB47" i="9"/>
  <c r="W46" i="9"/>
  <c r="AA45" i="9"/>
  <c r="AE44" i="9"/>
  <c r="AI43" i="9"/>
  <c r="AO42" i="9"/>
  <c r="AT41" i="9"/>
  <c r="BD40" i="9"/>
  <c r="BL39" i="9"/>
  <c r="BL38" i="9"/>
  <c r="BO37" i="9"/>
  <c r="BQ36" i="9"/>
  <c r="BR35" i="9"/>
  <c r="BR34" i="9"/>
  <c r="BR33" i="9"/>
  <c r="BR32" i="9"/>
  <c r="BO31" i="9"/>
  <c r="BR30" i="9"/>
  <c r="BO29" i="9"/>
  <c r="BD28" i="9"/>
  <c r="BI27" i="9"/>
  <c r="BK26" i="9"/>
  <c r="BL25" i="9"/>
  <c r="BR24" i="9"/>
  <c r="BY23" i="9"/>
  <c r="C23" i="9"/>
  <c r="D22" i="9"/>
  <c r="H21" i="9"/>
  <c r="D20" i="9"/>
  <c r="BT18" i="9"/>
  <c r="BY17" i="9"/>
  <c r="BQ16" i="9"/>
  <c r="BP15" i="9"/>
  <c r="BQ14" i="9"/>
  <c r="BU13" i="9"/>
  <c r="B13" i="9"/>
  <c r="F12" i="9"/>
  <c r="BY10" i="9"/>
  <c r="A10" i="9"/>
  <c r="BQ8" i="9"/>
  <c r="BM7" i="9"/>
  <c r="BQ6" i="9"/>
  <c r="BT5" i="9"/>
  <c r="C5" i="9"/>
  <c r="E4" i="9"/>
  <c r="B3" i="9"/>
  <c r="D2" i="9"/>
  <c r="Q1" i="9"/>
  <c r="BE54" i="9"/>
  <c r="AW52" i="9"/>
  <c r="AV50" i="9"/>
  <c r="AU48" i="9"/>
  <c r="P47" i="9"/>
  <c r="L46" i="9"/>
  <c r="O45" i="9"/>
  <c r="T44" i="9"/>
  <c r="Z43" i="9"/>
  <c r="AE42" i="9"/>
  <c r="AK41" i="9"/>
  <c r="AS40" i="9"/>
  <c r="AY39" i="9"/>
  <c r="BA38" i="9"/>
  <c r="BC37" i="9"/>
  <c r="BG36" i="9"/>
  <c r="BH35" i="9"/>
  <c r="BF34" i="9"/>
  <c r="BC33" i="9"/>
  <c r="BI32" i="9"/>
  <c r="BE31" i="9"/>
  <c r="BD30" i="9"/>
  <c r="BA29" i="9"/>
  <c r="AS28" i="9"/>
  <c r="AW27" i="9"/>
  <c r="AW26" i="9"/>
  <c r="BA25" i="9"/>
  <c r="BI24" i="9"/>
  <c r="BO23" i="9"/>
  <c r="BQ22" i="9"/>
  <c r="BS21" i="9"/>
  <c r="BX20" i="9"/>
  <c r="BR19" i="9"/>
  <c r="BK18" i="9"/>
  <c r="BN17" i="9"/>
  <c r="BF16" i="9"/>
  <c r="BF15" i="9"/>
  <c r="BH14" i="9"/>
  <c r="BL13" i="9"/>
  <c r="BQ12" i="9"/>
  <c r="BV11" i="9"/>
  <c r="BN10" i="9"/>
  <c r="BO9" i="9"/>
  <c r="BA8" i="9"/>
  <c r="BC7" i="9"/>
  <c r="BG6" i="9"/>
  <c r="BK5" i="9"/>
  <c r="BR4" i="9"/>
  <c r="BT3" i="9"/>
  <c r="BQ2" i="9"/>
  <c r="BT1" i="9"/>
  <c r="H1" i="9"/>
  <c r="AH54" i="9"/>
  <c r="AD52" i="9"/>
  <c r="AB50" i="9"/>
  <c r="AA48" i="9"/>
  <c r="F47" i="9"/>
  <c r="C46" i="9"/>
  <c r="F45" i="9"/>
  <c r="J44" i="9"/>
  <c r="P43" i="9"/>
  <c r="U42" i="9"/>
  <c r="AB41" i="9"/>
  <c r="AJ40" i="9"/>
  <c r="AM39" i="9"/>
  <c r="AQ38" i="9"/>
  <c r="AR37" i="9"/>
  <c r="AU36" i="9"/>
  <c r="AV35" i="9"/>
  <c r="AT34" i="9"/>
  <c r="AR33" i="9"/>
  <c r="AT32" i="9"/>
  <c r="AS31" i="9"/>
  <c r="AQ30" i="9"/>
  <c r="AP29" i="9"/>
  <c r="AH28" i="9"/>
  <c r="AN27" i="9"/>
  <c r="AN26" i="9"/>
  <c r="AQ25" i="9"/>
  <c r="AW24" i="9"/>
  <c r="BE23" i="9"/>
  <c r="BG22" i="9"/>
  <c r="BJ21" i="9"/>
  <c r="BM20" i="9"/>
  <c r="BD19" i="9"/>
  <c r="BA18" i="9"/>
  <c r="BD17" i="9"/>
  <c r="AT16" i="9"/>
  <c r="AT15" i="9"/>
  <c r="AV14" i="9"/>
  <c r="BA13" i="9"/>
  <c r="BH12" i="9"/>
  <c r="BM11" i="9"/>
  <c r="BD10" i="9"/>
  <c r="BA9" i="9"/>
  <c r="AP8" i="9"/>
  <c r="AR7" i="9"/>
  <c r="AU6" i="9"/>
  <c r="AW5" i="9"/>
  <c r="BH4" i="9"/>
  <c r="BF3" i="9"/>
  <c r="BG2" i="9"/>
  <c r="BK1" i="9"/>
  <c r="A1" i="4"/>
  <c r="K54" i="9"/>
  <c r="D52" i="9"/>
  <c r="E50" i="9"/>
  <c r="C48" i="9"/>
  <c r="BU46" i="9"/>
  <c r="BQ45" i="9"/>
  <c r="BU44" i="9"/>
  <c r="BY43" i="9"/>
  <c r="G43" i="9"/>
  <c r="J42" i="9"/>
  <c r="S41" i="9"/>
  <c r="AA40" i="9"/>
  <c r="AC39" i="9"/>
  <c r="AG38" i="9"/>
  <c r="AG37" i="9"/>
  <c r="AL36" i="9"/>
  <c r="AM35" i="9"/>
  <c r="AI34" i="9"/>
  <c r="AI33" i="9"/>
  <c r="AK32" i="9"/>
  <c r="AI31" i="9"/>
  <c r="AG30" i="9"/>
  <c r="AB29" i="9"/>
  <c r="X28" i="9"/>
  <c r="AC27" i="9"/>
  <c r="AD26" i="9"/>
  <c r="AH25" i="9"/>
  <c r="AN24" i="9"/>
  <c r="AS23" i="9"/>
  <c r="AU22" i="9"/>
  <c r="AZ21" i="9"/>
  <c r="AW20" i="9"/>
  <c r="AQ19" i="9"/>
  <c r="AP18" i="9"/>
  <c r="AS17" i="9"/>
  <c r="AI16" i="9"/>
  <c r="AI15" i="9"/>
  <c r="AM14" i="9"/>
  <c r="AQ13" i="9"/>
  <c r="AV12" i="9"/>
  <c r="AZ11" i="9"/>
  <c r="AS10" i="9"/>
  <c r="AP9" i="9"/>
  <c r="AF8" i="9"/>
  <c r="AG7" i="9"/>
  <c r="AL6" i="9"/>
  <c r="AN5" i="9"/>
  <c r="AV4" i="9"/>
  <c r="AS3" i="9"/>
  <c r="AU2" i="9"/>
  <c r="BB1" i="9"/>
  <c r="AD56" i="9"/>
  <c r="AS53" i="9"/>
  <c r="AP51" i="9"/>
  <c r="AM49" i="9"/>
  <c r="BB47" i="9"/>
  <c r="AU46" i="9"/>
  <c r="AW45" i="9"/>
  <c r="BC44" i="9"/>
  <c r="BD43" i="9"/>
  <c r="BO42" i="9"/>
  <c r="BP41" i="9"/>
  <c r="B41" i="9"/>
  <c r="I40" i="9"/>
  <c r="H39" i="9"/>
  <c r="L38" i="9"/>
  <c r="M37" i="9"/>
  <c r="P36" i="9"/>
  <c r="P35" i="9"/>
  <c r="O34" i="9"/>
  <c r="O33" i="9"/>
  <c r="P32" i="9"/>
  <c r="N31" i="9"/>
  <c r="L30" i="9"/>
  <c r="C29" i="9"/>
  <c r="E28" i="9"/>
  <c r="J27" i="9"/>
  <c r="I26" i="9"/>
  <c r="O25" i="9"/>
  <c r="V24" i="9"/>
  <c r="AA23" i="9"/>
  <c r="AB22" i="9"/>
  <c r="AE21" i="9"/>
  <c r="AF20" i="9"/>
  <c r="Q19" i="9"/>
  <c r="V18" i="9"/>
  <c r="P17" i="9"/>
  <c r="M16" i="9"/>
  <c r="N15" i="9"/>
  <c r="R14" i="9"/>
  <c r="X13" i="9"/>
  <c r="AC12" i="9"/>
  <c r="AB11" i="9"/>
  <c r="Z10" i="9"/>
  <c r="M9" i="9"/>
  <c r="J8" i="9"/>
  <c r="M7" i="9"/>
  <c r="Q6" i="9"/>
  <c r="W5" i="9"/>
  <c r="AC4" i="9"/>
  <c r="X3" i="9"/>
  <c r="AB2" i="9"/>
  <c r="AK1" i="9"/>
  <c r="M55" i="9"/>
  <c r="F53" i="9"/>
  <c r="C51" i="9"/>
  <c r="BY48" i="9"/>
  <c r="AE47" i="9"/>
  <c r="AA46" i="9"/>
  <c r="AD45" i="9"/>
  <c r="AH44" i="9"/>
  <c r="AL43" i="9"/>
  <c r="AR42" i="9"/>
  <c r="AW41" i="9"/>
  <c r="BG40" i="9"/>
  <c r="BP39" i="9"/>
  <c r="BO38" i="9"/>
  <c r="BR37" i="9"/>
  <c r="BT36" i="9"/>
  <c r="BU35" i="9"/>
  <c r="BU34" i="9"/>
  <c r="BV33" i="9"/>
  <c r="BV32" i="9"/>
  <c r="BR31" i="9"/>
  <c r="BU30" i="9"/>
  <c r="BR29" i="9"/>
  <c r="BH28" i="9"/>
  <c r="BL27" i="9"/>
  <c r="BP26" i="9"/>
  <c r="BO25" i="9"/>
  <c r="BW24" i="9"/>
  <c r="AM180" i="9"/>
  <c r="AB193" i="9"/>
  <c r="F179" i="9"/>
  <c r="B165" i="9"/>
  <c r="AW122" i="9"/>
  <c r="BQ118" i="9"/>
  <c r="BF118" i="9"/>
  <c r="P118" i="9"/>
  <c r="BX144" i="9"/>
  <c r="AQ134" i="9"/>
  <c r="AV125" i="9"/>
  <c r="BA117" i="9"/>
  <c r="BJ109" i="9"/>
  <c r="K166" i="9"/>
  <c r="AV153" i="9"/>
  <c r="AY145" i="9"/>
  <c r="A138" i="9"/>
  <c r="O162" i="9"/>
  <c r="AZ151" i="9"/>
  <c r="BD143" i="9"/>
  <c r="BU135" i="9"/>
  <c r="BO127" i="9"/>
  <c r="BQ119" i="9"/>
  <c r="E112" i="9"/>
  <c r="J104" i="9"/>
  <c r="X128" i="9"/>
  <c r="BM100" i="9"/>
  <c r="U92" i="9"/>
  <c r="AD84" i="9"/>
  <c r="AH76" i="9"/>
  <c r="AD68" i="9"/>
  <c r="AT60" i="9"/>
  <c r="AJ52" i="9"/>
  <c r="BF127" i="9"/>
  <c r="AS100" i="9"/>
  <c r="K92" i="9"/>
  <c r="S84" i="9"/>
  <c r="W76" i="9"/>
  <c r="T68" i="9"/>
  <c r="AH60" i="9"/>
  <c r="F130" i="9"/>
  <c r="AP101" i="9"/>
  <c r="BE92" i="9"/>
  <c r="BN84" i="9"/>
  <c r="BV76" i="9"/>
  <c r="BN68" i="9"/>
  <c r="E61" i="9"/>
  <c r="C124" i="9"/>
  <c r="AN99" i="9"/>
  <c r="U91" i="9"/>
  <c r="AF83" i="9"/>
  <c r="O75" i="9"/>
  <c r="AC67" i="9"/>
  <c r="AT59" i="9"/>
  <c r="K121" i="9"/>
  <c r="BG98" i="9"/>
  <c r="AM90" i="9"/>
  <c r="AT82" i="9"/>
  <c r="AD74" i="9"/>
  <c r="AU66" i="9"/>
  <c r="BR58" i="9"/>
  <c r="AU50" i="9"/>
  <c r="B122" i="9"/>
  <c r="D100" i="9"/>
  <c r="F96" i="9"/>
  <c r="AL94" i="9"/>
  <c r="AP92" i="9"/>
  <c r="J91" i="9"/>
  <c r="BH89" i="9"/>
  <c r="AP88" i="9"/>
  <c r="O87" i="9"/>
  <c r="BF85" i="9"/>
  <c r="AR84" i="9"/>
  <c r="S83" i="9"/>
  <c r="BD81" i="9"/>
  <c r="AQ80" i="9"/>
  <c r="T79" i="9"/>
  <c r="BL77" i="9"/>
  <c r="AS76" i="9"/>
  <c r="A75" i="9"/>
  <c r="AQ73" i="9"/>
  <c r="AD72" i="9"/>
  <c r="D71" i="9"/>
  <c r="BA69" i="9"/>
  <c r="AQ68" i="9"/>
  <c r="P67" i="9"/>
  <c r="BR65" i="9"/>
  <c r="AZ64" i="9"/>
  <c r="X63" i="9"/>
  <c r="E62" i="9"/>
  <c r="BR60" i="9"/>
  <c r="BS59" i="9"/>
  <c r="B59" i="9"/>
  <c r="C58" i="9"/>
  <c r="I57" i="9"/>
  <c r="E56" i="9"/>
  <c r="BN54" i="9"/>
  <c r="BM53" i="9"/>
  <c r="BK52" i="9"/>
  <c r="BF51" i="9"/>
  <c r="BF50" i="9"/>
  <c r="BF49" i="9"/>
  <c r="BE48" i="9"/>
  <c r="U147" i="9"/>
  <c r="AL139" i="9"/>
  <c r="AJ132" i="9"/>
  <c r="AF128" i="9"/>
  <c r="AG124" i="9"/>
  <c r="AM120" i="9"/>
  <c r="AS116" i="9"/>
  <c r="BA112" i="9"/>
  <c r="AL108" i="9"/>
  <c r="BF104" i="9"/>
  <c r="AE102" i="9"/>
  <c r="BQ100" i="9"/>
  <c r="AS99" i="9"/>
  <c r="AT98" i="9"/>
  <c r="AU97" i="9"/>
  <c r="AZ96" i="9"/>
  <c r="AV95" i="9"/>
  <c r="AK94" i="9"/>
  <c r="AA93" i="9"/>
  <c r="W92" i="9"/>
  <c r="AB91" i="9"/>
  <c r="AB90" i="9"/>
  <c r="AC89" i="9"/>
  <c r="AF88" i="9"/>
  <c r="AF87" i="9"/>
  <c r="AH86" i="9"/>
  <c r="AB85" i="9"/>
  <c r="AF84" i="9"/>
  <c r="AL83" i="9"/>
  <c r="AG82" i="9"/>
  <c r="AB81" i="9"/>
  <c r="AH80" i="9"/>
  <c r="AM79" i="9"/>
  <c r="AE78" i="9"/>
  <c r="AG77" i="9"/>
  <c r="AJ76" i="9"/>
  <c r="AA75" i="9"/>
  <c r="P74" i="9"/>
  <c r="N73" i="9"/>
  <c r="R72" i="9"/>
  <c r="U71" i="9"/>
  <c r="V70" i="9"/>
  <c r="AB69" i="9"/>
  <c r="AF68" i="9"/>
  <c r="AH67" i="9"/>
  <c r="AJ66" i="9"/>
  <c r="AM65" i="9"/>
  <c r="AO64" i="9"/>
  <c r="AO63" i="9"/>
  <c r="AU62" i="9"/>
  <c r="AV61" i="9"/>
  <c r="AV60" i="9"/>
  <c r="AZ59" i="9"/>
  <c r="BG58" i="9"/>
  <c r="BG57" i="9"/>
  <c r="BN56" i="9"/>
  <c r="AS55" i="9"/>
  <c r="L145" i="9"/>
  <c r="AM137" i="9"/>
  <c r="O131" i="9"/>
  <c r="AE127" i="9"/>
  <c r="V123" i="9"/>
  <c r="AH119" i="9"/>
  <c r="AL115" i="9"/>
  <c r="AS111" i="9"/>
  <c r="AI107" i="9"/>
  <c r="AT103" i="9"/>
  <c r="A102" i="9"/>
  <c r="AJ100" i="9"/>
  <c r="AB99" i="9"/>
  <c r="AB98" i="9"/>
  <c r="AC97" i="9"/>
  <c r="AH96" i="9"/>
  <c r="Z95" i="9"/>
  <c r="P94" i="9"/>
  <c r="C93" i="9"/>
  <c r="D92" i="9"/>
  <c r="H91" i="9"/>
  <c r="G90" i="9"/>
  <c r="J89" i="9"/>
  <c r="K88" i="9"/>
  <c r="M87" i="9"/>
  <c r="L86" i="9"/>
  <c r="H85" i="9"/>
  <c r="L84" i="9"/>
  <c r="Q83" i="9"/>
  <c r="H82" i="9"/>
  <c r="I81" i="9"/>
  <c r="O80" i="9"/>
  <c r="P79" i="9"/>
  <c r="K78" i="9"/>
  <c r="P77" i="9"/>
  <c r="P76" i="9"/>
  <c r="BX74" i="9"/>
  <c r="BV73" i="9"/>
  <c r="BT72" i="9"/>
  <c r="A72" i="9"/>
  <c r="B71" i="9"/>
  <c r="C70" i="9"/>
  <c r="J69" i="9"/>
  <c r="M68" i="9"/>
  <c r="N67" i="9"/>
  <c r="Q66" i="9"/>
  <c r="P65" i="9"/>
  <c r="U64" i="9"/>
  <c r="V63" i="9"/>
  <c r="AD62" i="9"/>
  <c r="AE61" i="9"/>
  <c r="AB60" i="9"/>
  <c r="AH59" i="9"/>
  <c r="AL58" i="9"/>
  <c r="AN57" i="9"/>
  <c r="AO56" i="9"/>
  <c r="AB55" i="9"/>
  <c r="X54" i="9"/>
  <c r="U53" i="9"/>
  <c r="R52" i="9"/>
  <c r="P51" i="9"/>
  <c r="O50" i="9"/>
  <c r="M49" i="9"/>
  <c r="M48" i="9"/>
  <c r="BF54" i="9"/>
  <c r="AX52" i="9"/>
  <c r="AW50" i="9"/>
  <c r="AV48" i="9"/>
  <c r="R47" i="9"/>
  <c r="M46" i="9"/>
  <c r="P45" i="9"/>
  <c r="U44" i="9"/>
  <c r="AA43" i="9"/>
  <c r="AF42" i="9"/>
  <c r="AL41" i="9"/>
  <c r="AT40" i="9"/>
  <c r="AZ39" i="9"/>
  <c r="BD38" i="9"/>
  <c r="BD37" i="9"/>
  <c r="BH36" i="9"/>
  <c r="BI35" i="9"/>
  <c r="BG34" i="9"/>
  <c r="BD33" i="9"/>
  <c r="BJ32" i="9"/>
  <c r="BF31" i="9"/>
  <c r="BE30" i="9"/>
  <c r="BD29" i="9"/>
  <c r="AT28" i="9"/>
  <c r="AZ27" i="9"/>
  <c r="AZ26" i="9"/>
  <c r="BC25" i="9"/>
  <c r="BJ24" i="9"/>
  <c r="BP23" i="9"/>
  <c r="BR22" i="9"/>
  <c r="BT21" i="9"/>
  <c r="BY20" i="9"/>
  <c r="BS19" i="9"/>
  <c r="BL18" i="9"/>
  <c r="BO17" i="9"/>
  <c r="BG16" i="9"/>
  <c r="BG15" i="9"/>
  <c r="BI14" i="9"/>
  <c r="BM13" i="9"/>
  <c r="BR12" i="9"/>
  <c r="BW11" i="9"/>
  <c r="BO10" i="9"/>
  <c r="BP9" i="9"/>
  <c r="BD8" i="9"/>
  <c r="BD7" i="9"/>
  <c r="BH6" i="9"/>
  <c r="BL5" i="9"/>
  <c r="BS4" i="9"/>
  <c r="BU3" i="9"/>
  <c r="BR2" i="9"/>
  <c r="BU1" i="9"/>
  <c r="I1" i="9"/>
  <c r="AL54" i="9"/>
  <c r="AG52" i="9"/>
  <c r="AE50" i="9"/>
  <c r="AD48" i="9"/>
  <c r="H47" i="9"/>
  <c r="D46" i="9"/>
  <c r="G45" i="9"/>
  <c r="K44" i="9"/>
  <c r="Q43" i="9"/>
  <c r="V42" i="9"/>
  <c r="AC41" i="9"/>
  <c r="AK40" i="9"/>
  <c r="AN39" i="9"/>
  <c r="AR38" i="9"/>
  <c r="AS37" i="9"/>
  <c r="AV36" i="9"/>
  <c r="AW35" i="9"/>
  <c r="AU34" i="9"/>
  <c r="AS33" i="9"/>
  <c r="AU32" i="9"/>
  <c r="AT31" i="9"/>
  <c r="AR30" i="9"/>
  <c r="AQ29" i="9"/>
  <c r="AI28" i="9"/>
  <c r="AO27" i="9"/>
  <c r="AO26" i="9"/>
  <c r="AR25" i="9"/>
  <c r="AX24" i="9"/>
  <c r="BF23" i="9"/>
  <c r="BH22" i="9"/>
  <c r="BK21" i="9"/>
  <c r="BN20" i="9"/>
  <c r="BE19" i="9"/>
  <c r="BB18" i="9"/>
  <c r="BF17" i="9"/>
  <c r="AU16" i="9"/>
  <c r="AU15" i="9"/>
  <c r="AW14" i="9"/>
  <c r="BD13" i="9"/>
  <c r="BI12" i="9"/>
  <c r="BN11" i="9"/>
  <c r="BF10" i="9"/>
  <c r="BD9" i="9"/>
  <c r="AQ8" i="9"/>
  <c r="AS7" i="9"/>
  <c r="AV6" i="9"/>
  <c r="AX5" i="9"/>
  <c r="BI4" i="9"/>
  <c r="BH3" i="9"/>
  <c r="BH2" i="9"/>
  <c r="BL1" i="9"/>
  <c r="A1" i="5"/>
  <c r="N54" i="9"/>
  <c r="G52" i="9"/>
  <c r="H50" i="9"/>
  <c r="F48" i="9"/>
  <c r="BV46" i="9"/>
  <c r="BR45" i="9"/>
  <c r="BW44" i="9"/>
  <c r="A44" i="9"/>
  <c r="H43" i="9"/>
  <c r="K42" i="9"/>
  <c r="T41" i="9"/>
  <c r="AB40" i="9"/>
  <c r="AD39" i="9"/>
  <c r="AH38" i="9"/>
  <c r="AH37" i="9"/>
  <c r="AM36" i="9"/>
  <c r="AN35" i="9"/>
  <c r="AL34" i="9"/>
  <c r="AJ33" i="9"/>
  <c r="AL32" i="9"/>
  <c r="AJ31" i="9"/>
  <c r="AH30" i="9"/>
  <c r="AC29" i="9"/>
  <c r="Z28" i="9"/>
  <c r="AD27" i="9"/>
  <c r="AE26" i="9"/>
  <c r="AI25" i="9"/>
  <c r="AO24" i="9"/>
  <c r="AT23" i="9"/>
  <c r="AV22" i="9"/>
  <c r="BA21" i="9"/>
  <c r="AX20" i="9"/>
  <c r="AR19" i="9"/>
  <c r="AQ18" i="9"/>
  <c r="AT17" i="9"/>
  <c r="AL16" i="9"/>
  <c r="AL15" i="9"/>
  <c r="AN14" i="9"/>
  <c r="AR13" i="9"/>
  <c r="AW12" i="9"/>
  <c r="BA11" i="9"/>
  <c r="AT10" i="9"/>
  <c r="AQ9" i="9"/>
  <c r="AG8" i="9"/>
  <c r="AH7" i="9"/>
  <c r="AM6" i="9"/>
  <c r="AO5" i="9"/>
  <c r="AW4" i="9"/>
  <c r="AT3" i="9"/>
  <c r="AV2" i="9"/>
  <c r="BC1" i="9"/>
  <c r="L57" i="9"/>
  <c r="BQ53" i="9"/>
  <c r="BK51" i="9"/>
  <c r="BK49" i="9"/>
  <c r="BN47" i="9"/>
  <c r="BK46" i="9"/>
  <c r="BI45" i="9"/>
  <c r="BM44" i="9"/>
  <c r="BO43" i="9"/>
  <c r="BX42" i="9"/>
  <c r="B42" i="9"/>
  <c r="K41" i="9"/>
  <c r="S40" i="9"/>
  <c r="R39" i="9"/>
  <c r="W38" i="9"/>
  <c r="W37" i="9"/>
  <c r="AC36" i="9"/>
  <c r="AC35" i="9"/>
  <c r="AA34" i="9"/>
  <c r="AA33" i="9"/>
  <c r="AC32" i="9"/>
  <c r="AA31" i="9"/>
  <c r="W30" i="9"/>
  <c r="M29" i="9"/>
  <c r="O28" i="9"/>
  <c r="T27" i="9"/>
  <c r="U26" i="9"/>
  <c r="Z25" i="9"/>
  <c r="AF24" i="9"/>
  <c r="AJ23" i="9"/>
  <c r="AM22" i="9"/>
  <c r="AP21" i="9"/>
  <c r="AO20" i="9"/>
  <c r="AG19" i="9"/>
  <c r="AF18" i="9"/>
  <c r="AG17" i="9"/>
  <c r="W16" i="9"/>
  <c r="AA15" i="9"/>
  <c r="AC14" i="9"/>
  <c r="AH13" i="9"/>
  <c r="AN12" i="9"/>
  <c r="AQ11" i="9"/>
  <c r="AI10" i="9"/>
  <c r="AB9" i="9"/>
  <c r="V8" i="9"/>
  <c r="W7" i="9"/>
  <c r="AC6" i="9"/>
  <c r="AF5" i="9"/>
  <c r="AN4" i="9"/>
  <c r="AH3" i="9"/>
  <c r="AM2" i="9"/>
  <c r="AT1" i="9"/>
  <c r="AW55" i="9"/>
  <c r="AC53" i="9"/>
  <c r="W51" i="9"/>
  <c r="S49" i="9"/>
  <c r="AQ47" i="9"/>
  <c r="AJ46" i="9"/>
  <c r="AO45" i="9"/>
  <c r="AS44" i="9"/>
  <c r="AU43" i="9"/>
  <c r="BE42" i="9"/>
  <c r="BG41" i="9"/>
  <c r="BQ40" i="9"/>
  <c r="A40" i="9"/>
  <c r="BY38" i="9"/>
  <c r="D38" i="9"/>
  <c r="D37" i="9"/>
  <c r="H36" i="9"/>
  <c r="H35" i="9"/>
  <c r="F34" i="9"/>
  <c r="F33" i="9"/>
  <c r="D32" i="9"/>
  <c r="F31" i="9"/>
  <c r="D30" i="9"/>
  <c r="BR28" i="9"/>
  <c r="BU27" i="9"/>
  <c r="A27" i="9"/>
  <c r="A26" i="9"/>
  <c r="G25" i="9"/>
  <c r="L24" i="9"/>
  <c r="O23" i="9"/>
  <c r="R22" i="9"/>
  <c r="U21" i="9"/>
  <c r="U20" i="9"/>
  <c r="I19" i="9"/>
  <c r="M18" i="9"/>
  <c r="F17" i="9"/>
  <c r="D16" i="9"/>
  <c r="E15" i="9"/>
  <c r="J14" i="9"/>
  <c r="N13" i="9"/>
  <c r="T12" i="9"/>
  <c r="M11" i="9"/>
  <c r="O10" i="9"/>
  <c r="E9" i="9"/>
  <c r="B8" i="9"/>
  <c r="D7" i="9"/>
  <c r="I6" i="9"/>
  <c r="O5" i="9"/>
  <c r="T4" i="9"/>
  <c r="N3" i="9"/>
  <c r="P2" i="9"/>
  <c r="AC1" i="9"/>
  <c r="BP54" i="9"/>
  <c r="BM52" i="9"/>
  <c r="BI50" i="9"/>
  <c r="BG48" i="9"/>
  <c r="V47" i="9"/>
  <c r="P46" i="9"/>
  <c r="U45" i="9"/>
  <c r="Z44" i="9"/>
  <c r="AD43" i="9"/>
  <c r="AI42" i="9"/>
  <c r="AO41" i="9"/>
  <c r="AW40" i="9"/>
  <c r="BE39" i="9"/>
  <c r="BG38" i="9"/>
  <c r="BH37" i="9"/>
  <c r="BK36" i="9"/>
  <c r="BL35" i="9"/>
  <c r="BL34" i="9"/>
  <c r="BL33" i="9"/>
  <c r="BM32" i="9"/>
  <c r="BI31" i="9"/>
  <c r="J180" i="9"/>
  <c r="AL185" i="9"/>
  <c r="BW170" i="9"/>
  <c r="BW156" i="9"/>
  <c r="BO114" i="9"/>
  <c r="D111" i="9"/>
  <c r="BR110" i="9"/>
  <c r="AA110" i="9"/>
  <c r="BF143" i="9"/>
  <c r="L133" i="9"/>
  <c r="AR124" i="9"/>
  <c r="BG116" i="9"/>
  <c r="AW108" i="9"/>
  <c r="U164" i="9"/>
  <c r="BA152" i="9"/>
  <c r="BD144" i="9"/>
  <c r="D137" i="9"/>
  <c r="K160" i="9"/>
  <c r="BE150" i="9"/>
  <c r="BK142" i="9"/>
  <c r="BW134" i="9"/>
  <c r="BL126" i="9"/>
  <c r="BT118" i="9"/>
  <c r="G111" i="9"/>
  <c r="D103" i="9"/>
  <c r="V124" i="9"/>
  <c r="AQ99" i="9"/>
  <c r="Z91" i="9"/>
  <c r="AI83" i="9"/>
  <c r="W75" i="9"/>
  <c r="AF67" i="9"/>
  <c r="AW59" i="9"/>
  <c r="AH51" i="9"/>
  <c r="AZ123" i="9"/>
  <c r="AH99" i="9"/>
  <c r="N91" i="9"/>
  <c r="Z83" i="9"/>
  <c r="F75" i="9"/>
  <c r="U67" i="9"/>
  <c r="AN59" i="9"/>
  <c r="N126" i="9"/>
  <c r="H100" i="9"/>
  <c r="BI91" i="9"/>
  <c r="BQ83" i="9"/>
  <c r="BP75" i="9"/>
  <c r="BQ67" i="9"/>
  <c r="G60" i="9"/>
  <c r="L120" i="9"/>
  <c r="AO98" i="9"/>
  <c r="U90" i="9"/>
  <c r="Z82" i="9"/>
  <c r="K74" i="9"/>
  <c r="AE66" i="9"/>
  <c r="AX58" i="9"/>
  <c r="L117" i="9"/>
  <c r="BJ97" i="9"/>
  <c r="AN89" i="9"/>
  <c r="AL81" i="9"/>
  <c r="AA73" i="9"/>
  <c r="AW65" i="9"/>
  <c r="BS57" i="9"/>
  <c r="AU49" i="9"/>
  <c r="F118" i="9"/>
  <c r="AD99" i="9"/>
  <c r="BT95" i="9"/>
  <c r="T94" i="9"/>
  <c r="AG92" i="9"/>
  <c r="B91" i="9"/>
  <c r="AU89" i="9"/>
  <c r="AG88" i="9"/>
  <c r="F87" i="9"/>
  <c r="AT85" i="9"/>
  <c r="AG84" i="9"/>
  <c r="K83" i="9"/>
  <c r="AS81" i="9"/>
  <c r="AI80" i="9"/>
  <c r="J79" i="9"/>
  <c r="AZ77" i="9"/>
  <c r="AK76" i="9"/>
  <c r="BQ74" i="9"/>
  <c r="AH73" i="9"/>
  <c r="U72" i="9"/>
  <c r="BT70" i="9"/>
  <c r="AS69" i="9"/>
  <c r="AG68" i="9"/>
  <c r="H67" i="9"/>
  <c r="BG65" i="9"/>
  <c r="AP64" i="9"/>
  <c r="O63" i="9"/>
  <c r="BS61" i="9"/>
  <c r="BH60" i="9"/>
  <c r="BK59" i="9"/>
  <c r="BQ58" i="9"/>
  <c r="BR57" i="9"/>
  <c r="A57" i="9"/>
  <c r="BL55" i="9"/>
  <c r="BA54" i="9"/>
  <c r="AX53" i="9"/>
  <c r="AU52" i="9"/>
  <c r="AU51" i="9"/>
  <c r="AT50" i="9"/>
  <c r="AT49" i="9"/>
  <c r="AS48" i="9"/>
  <c r="O146" i="9"/>
  <c r="AO138" i="9"/>
  <c r="BO131" i="9"/>
  <c r="BX127" i="9"/>
  <c r="BQ123" i="9"/>
  <c r="BY119" i="9"/>
  <c r="J116" i="9"/>
  <c r="M112" i="9"/>
  <c r="B108" i="9"/>
  <c r="R104" i="9"/>
  <c r="P102" i="9"/>
  <c r="AY100" i="9"/>
  <c r="AK99" i="9"/>
  <c r="AL98" i="9"/>
  <c r="AM97" i="9"/>
  <c r="AQ96" i="9"/>
  <c r="AN95" i="9"/>
  <c r="AC94" i="9"/>
  <c r="M93" i="9"/>
  <c r="N92" i="9"/>
  <c r="Q91" i="9"/>
  <c r="P90" i="9"/>
  <c r="S89" i="9"/>
  <c r="W88" i="9"/>
  <c r="W87" i="9"/>
  <c r="W86" i="9"/>
  <c r="R85" i="9"/>
  <c r="W84" i="9"/>
  <c r="AC83" i="9"/>
  <c r="R82" i="9"/>
  <c r="S81" i="9"/>
  <c r="Z80" i="9"/>
  <c r="AC79" i="9"/>
  <c r="V78" i="9"/>
  <c r="Y77" i="9"/>
  <c r="AB76" i="9"/>
  <c r="L75" i="9"/>
  <c r="H74" i="9"/>
  <c r="F73" i="9"/>
  <c r="J72" i="9"/>
  <c r="L71" i="9"/>
  <c r="L70" i="9"/>
  <c r="S69" i="9"/>
  <c r="W68" i="9"/>
  <c r="Z67" i="9"/>
  <c r="AB66" i="9"/>
  <c r="AC65" i="9"/>
  <c r="AE64" i="9"/>
  <c r="AF63" i="9"/>
  <c r="AM62" i="9"/>
  <c r="AN61" i="9"/>
  <c r="AL60" i="9"/>
  <c r="AQ59" i="9"/>
  <c r="AU58" i="9"/>
  <c r="AW57" i="9"/>
  <c r="AX56" i="9"/>
  <c r="AK55" i="9"/>
  <c r="M144" i="9"/>
  <c r="AK136" i="9"/>
  <c r="BA130" i="9"/>
  <c r="BO126" i="9"/>
  <c r="BJ122" i="9"/>
  <c r="BU118" i="9"/>
  <c r="B115" i="9"/>
  <c r="H111" i="9"/>
  <c r="BY106" i="9"/>
  <c r="AE103" i="9"/>
  <c r="BK101" i="9"/>
  <c r="W100" i="9"/>
  <c r="P99" i="9"/>
  <c r="S98" i="9"/>
  <c r="S97" i="9"/>
  <c r="W96" i="9"/>
  <c r="J95" i="9"/>
  <c r="D94" i="9"/>
  <c r="BS92" i="9"/>
  <c r="BT91" i="9"/>
  <c r="BY90" i="9"/>
  <c r="BX89" i="9"/>
  <c r="B89" i="9"/>
  <c r="C88" i="9"/>
  <c r="D87" i="9"/>
  <c r="B86" i="9"/>
  <c r="BY84" i="9"/>
  <c r="D84" i="9"/>
  <c r="I83" i="9"/>
  <c r="BX81" i="9"/>
  <c r="A81" i="9"/>
  <c r="G80" i="9"/>
  <c r="H79" i="9"/>
  <c r="C78" i="9"/>
  <c r="H77" i="9"/>
  <c r="D76" i="9"/>
  <c r="BO74" i="9"/>
  <c r="BL73" i="9"/>
  <c r="BL72" i="9"/>
  <c r="BP71" i="9"/>
  <c r="BR70" i="9"/>
  <c r="BR69" i="9"/>
  <c r="B69" i="9"/>
  <c r="D68" i="9"/>
  <c r="E67" i="9"/>
  <c r="I66" i="9"/>
  <c r="F65" i="9"/>
  <c r="L64" i="9"/>
  <c r="M63" i="9"/>
  <c r="U62" i="9"/>
  <c r="U61" i="9"/>
  <c r="R60" i="9"/>
  <c r="Z59" i="9"/>
  <c r="AD58" i="9"/>
  <c r="AF57" i="9"/>
  <c r="AG56" i="9"/>
  <c r="R55" i="9"/>
  <c r="M54" i="9"/>
  <c r="K53" i="9"/>
  <c r="F52" i="9"/>
  <c r="H51" i="9"/>
  <c r="G50" i="9"/>
  <c r="D49" i="9"/>
  <c r="E48" i="9"/>
  <c r="AM54" i="9"/>
  <c r="AH52" i="9"/>
  <c r="AF50" i="9"/>
  <c r="AE48" i="9"/>
  <c r="I47" i="9"/>
  <c r="E46" i="9"/>
  <c r="H45" i="9"/>
  <c r="L44" i="9"/>
  <c r="R43" i="9"/>
  <c r="W42" i="9"/>
  <c r="AD41" i="9"/>
  <c r="AL40" i="9"/>
  <c r="AQ39" i="9"/>
  <c r="AS38" i="9"/>
  <c r="AT37" i="9"/>
  <c r="AW36" i="9"/>
  <c r="AZ35" i="9"/>
  <c r="AV34" i="9"/>
  <c r="AT33" i="9"/>
  <c r="AV32" i="9"/>
  <c r="AU31" i="9"/>
  <c r="AS30" i="9"/>
  <c r="AR29" i="9"/>
  <c r="AL28" i="9"/>
  <c r="AP27" i="9"/>
  <c r="AP26" i="9"/>
  <c r="AS25" i="9"/>
  <c r="AZ24" i="9"/>
  <c r="BG23" i="9"/>
  <c r="BI22" i="9"/>
  <c r="BL21" i="9"/>
  <c r="BO20" i="9"/>
  <c r="BF19" i="9"/>
  <c r="BC18" i="9"/>
  <c r="BG17" i="9"/>
  <c r="AV16" i="9"/>
  <c r="AV15" i="9"/>
  <c r="AZ14" i="9"/>
  <c r="BE13" i="9"/>
  <c r="BJ12" i="9"/>
  <c r="BO11" i="9"/>
  <c r="BG10" i="9"/>
  <c r="BE9" i="9"/>
  <c r="AR8" i="9"/>
  <c r="AT7" i="9"/>
  <c r="AW6" i="9"/>
  <c r="AY5" i="9"/>
  <c r="BJ4" i="9"/>
  <c r="BK3" i="9"/>
  <c r="BI2" i="9"/>
  <c r="BM1" i="9"/>
  <c r="A1" i="9"/>
  <c r="R54" i="9"/>
  <c r="L52" i="9"/>
  <c r="K50" i="9"/>
  <c r="I48" i="9"/>
  <c r="BX46" i="9"/>
  <c r="BS45" i="9"/>
  <c r="BX44" i="9"/>
  <c r="B44" i="9"/>
  <c r="I43" i="9"/>
  <c r="L42" i="9"/>
  <c r="U41" i="9"/>
  <c r="AC40" i="9"/>
  <c r="AE39" i="9"/>
  <c r="AI38" i="9"/>
  <c r="AI37" i="9"/>
  <c r="AN36" i="9"/>
  <c r="AO35" i="9"/>
  <c r="AM34" i="9"/>
  <c r="AK33" i="9"/>
  <c r="AM32" i="9"/>
  <c r="AL31" i="9"/>
  <c r="AI30" i="9"/>
  <c r="AE29" i="9"/>
  <c r="AA28" i="9"/>
  <c r="AE27" i="9"/>
  <c r="AF26" i="9"/>
  <c r="AJ25" i="9"/>
  <c r="AP24" i="9"/>
  <c r="AU23" i="9"/>
  <c r="AW22" i="9"/>
  <c r="BB21" i="9"/>
  <c r="AY20" i="9"/>
  <c r="AS19" i="9"/>
  <c r="AR18" i="9"/>
  <c r="AU17" i="9"/>
  <c r="AM16" i="9"/>
  <c r="AM15" i="9"/>
  <c r="AO14" i="9"/>
  <c r="AS13" i="9"/>
  <c r="AZ12" i="9"/>
  <c r="BD11" i="9"/>
  <c r="AU10" i="9"/>
  <c r="AR9" i="9"/>
  <c r="AH8" i="9"/>
  <c r="AI7" i="9"/>
  <c r="AN6" i="9"/>
  <c r="AP5" i="9"/>
  <c r="AZ4" i="9"/>
  <c r="AU3" i="9"/>
  <c r="AW2" i="9"/>
  <c r="BD1" i="9"/>
  <c r="T57" i="9"/>
  <c r="BT53" i="9"/>
  <c r="BO51" i="9"/>
  <c r="BP49" i="9"/>
  <c r="BO47" i="9"/>
  <c r="BL46" i="9"/>
  <c r="BJ45" i="9"/>
  <c r="BN44" i="9"/>
  <c r="BP43" i="9"/>
  <c r="BY42" i="9"/>
  <c r="C42" i="9"/>
  <c r="L41" i="9"/>
  <c r="T40" i="9"/>
  <c r="S39" i="9"/>
  <c r="Z38" i="9"/>
  <c r="Z37" i="9"/>
  <c r="AD36" i="9"/>
  <c r="AD35" i="9"/>
  <c r="AB34" i="9"/>
  <c r="AB33" i="9"/>
  <c r="AD32" i="9"/>
  <c r="AB31" i="9"/>
  <c r="Z30" i="9"/>
  <c r="N29" i="9"/>
  <c r="P28" i="9"/>
  <c r="U27" i="9"/>
  <c r="V26" i="9"/>
  <c r="AA25" i="9"/>
  <c r="AG24" i="9"/>
  <c r="AL23" i="9"/>
  <c r="AN22" i="9"/>
  <c r="AQ21" i="9"/>
  <c r="AP20" i="9"/>
  <c r="AI19" i="9"/>
  <c r="AG18" i="9"/>
  <c r="AL17" i="9"/>
  <c r="AA16" i="9"/>
  <c r="AB15" i="9"/>
  <c r="AD14" i="9"/>
  <c r="AI13" i="9"/>
  <c r="AO12" i="9"/>
  <c r="AR11" i="9"/>
  <c r="AL10" i="9"/>
  <c r="AC9" i="9"/>
  <c r="W8" i="9"/>
  <c r="Z7" i="9"/>
  <c r="AD6" i="9"/>
  <c r="AG5" i="9"/>
  <c r="AO4" i="9"/>
  <c r="AI3" i="9"/>
  <c r="AN2" i="9"/>
  <c r="AU1" i="9"/>
  <c r="AK56" i="9"/>
  <c r="AT53" i="9"/>
  <c r="AQ51" i="9"/>
  <c r="AN49" i="9"/>
  <c r="BC47" i="9"/>
  <c r="AV46" i="9"/>
  <c r="AZ45" i="9"/>
  <c r="BD44" i="9"/>
  <c r="BE43" i="9"/>
  <c r="BP42" i="9"/>
  <c r="BQ41" i="9"/>
  <c r="C41" i="9"/>
  <c r="J40" i="9"/>
  <c r="I39" i="9"/>
  <c r="M38" i="9"/>
  <c r="N37" i="9"/>
  <c r="R36" i="9"/>
  <c r="R35" i="9"/>
  <c r="P34" i="9"/>
  <c r="P33" i="9"/>
  <c r="R32" i="9"/>
  <c r="O31" i="9"/>
  <c r="M30" i="9"/>
  <c r="D29" i="9"/>
  <c r="F28" i="9"/>
  <c r="K27" i="9"/>
  <c r="J26" i="9"/>
  <c r="P25" i="9"/>
  <c r="W24" i="9"/>
  <c r="AB23" i="9"/>
  <c r="AC22" i="9"/>
  <c r="AF21" i="9"/>
  <c r="AG20" i="9"/>
  <c r="R19" i="9"/>
  <c r="W18" i="9"/>
  <c r="Q17" i="9"/>
  <c r="N16" i="9"/>
  <c r="O15" i="9"/>
  <c r="T14" i="9"/>
  <c r="Z13" i="9"/>
  <c r="AD12" i="9"/>
  <c r="AE11" i="9"/>
  <c r="AA10" i="9"/>
  <c r="N9" i="9"/>
  <c r="K8" i="9"/>
  <c r="N7" i="9"/>
  <c r="R6" i="9"/>
  <c r="X5" i="9"/>
  <c r="AD4" i="9"/>
  <c r="Z3" i="9"/>
  <c r="AC2" i="9"/>
  <c r="AL1" i="9"/>
  <c r="O55" i="9"/>
  <c r="G53" i="9"/>
  <c r="D51" i="9"/>
  <c r="A49" i="9"/>
  <c r="AF47" i="9"/>
  <c r="AB46" i="9"/>
  <c r="AE45" i="9"/>
  <c r="AI44" i="9"/>
  <c r="AM43" i="9"/>
  <c r="AS42" i="9"/>
  <c r="AX41" i="9"/>
  <c r="BI40" i="9"/>
  <c r="BQ39" i="9"/>
  <c r="BP38" i="9"/>
  <c r="BS37" i="9"/>
  <c r="BU36" i="9"/>
  <c r="BY35" i="9"/>
  <c r="BX34" i="9"/>
  <c r="BW33" i="9"/>
  <c r="BW32" i="9"/>
  <c r="BS31" i="9"/>
  <c r="BV30" i="9"/>
  <c r="BS29" i="9"/>
  <c r="BI28" i="9"/>
  <c r="BM27" i="9"/>
  <c r="BQ26" i="9"/>
  <c r="BP25" i="9"/>
  <c r="BX24" i="9"/>
  <c r="D24" i="9"/>
  <c r="G23" i="9"/>
  <c r="I22" i="9"/>
  <c r="L21" i="9"/>
  <c r="H20" i="9"/>
  <c r="BY18" i="9"/>
  <c r="D18" i="9"/>
  <c r="BW16" i="9"/>
  <c r="BT15" i="9"/>
  <c r="BU14" i="9"/>
  <c r="A14" i="9"/>
  <c r="F13" i="9"/>
  <c r="K12" i="9"/>
  <c r="D11" i="9"/>
  <c r="E10" i="9"/>
  <c r="BU8" i="9"/>
  <c r="BQ7" i="9"/>
  <c r="BU6" i="9"/>
  <c r="A6" i="9"/>
  <c r="G5" i="9"/>
  <c r="J4" i="9"/>
  <c r="F3" i="9"/>
  <c r="H2" i="9"/>
  <c r="U1" i="9"/>
  <c r="AT54" i="9"/>
  <c r="AO52" i="9"/>
  <c r="AN50" i="9"/>
  <c r="AM48" i="9"/>
  <c r="L47" i="9"/>
  <c r="H46" i="9"/>
  <c r="K45" i="9"/>
  <c r="O44" i="9"/>
  <c r="V43" i="9"/>
  <c r="AA42" i="9"/>
  <c r="AG41" i="9"/>
  <c r="AO40" i="9"/>
  <c r="AT39" i="9"/>
  <c r="AV38" i="9"/>
  <c r="AW37" i="9"/>
  <c r="BA36" i="9"/>
  <c r="BC35" i="9"/>
  <c r="BA34" i="9"/>
  <c r="AW33" i="9"/>
  <c r="AZ32" i="9"/>
  <c r="AY31" i="9"/>
  <c r="AV30" i="9"/>
  <c r="AU29" i="9"/>
  <c r="AO28" i="9"/>
  <c r="AS27" i="9"/>
  <c r="AS26" i="9"/>
  <c r="AV25" i="9"/>
  <c r="BD24" i="9"/>
  <c r="BJ23" i="9"/>
  <c r="BL22" i="9"/>
  <c r="BO21" i="9"/>
  <c r="BR20" i="9"/>
  <c r="BL19" i="9"/>
  <c r="BG18" i="9"/>
  <c r="BJ17" i="9"/>
  <c r="BA16" i="9"/>
  <c r="BA15" i="9"/>
  <c r="BC14" i="9"/>
  <c r="BH13" i="9"/>
  <c r="BM12" i="9"/>
  <c r="BR11" i="9"/>
  <c r="BJ10" i="9"/>
  <c r="BI9" i="9"/>
  <c r="AU8" i="9"/>
  <c r="AW7" i="9"/>
  <c r="BA6" i="9"/>
  <c r="BD5" i="9"/>
  <c r="BN4" i="9"/>
  <c r="BP3" i="9"/>
  <c r="BL2" i="9"/>
  <c r="BP1" i="9"/>
  <c r="D1" i="9"/>
  <c r="F54" i="9"/>
  <c r="BX51" i="9"/>
  <c r="BY49" i="9"/>
  <c r="BW47" i="9"/>
  <c r="BR46" i="9"/>
  <c r="BN45" i="9"/>
  <c r="BR44" i="9"/>
  <c r="BT43" i="9"/>
  <c r="D43" i="9"/>
  <c r="G42" i="9"/>
  <c r="P41" i="9"/>
  <c r="X40" i="9"/>
  <c r="Z39" i="9"/>
  <c r="AD38" i="9"/>
  <c r="AD37" i="9"/>
  <c r="AH36" i="9"/>
  <c r="AH35" i="9"/>
  <c r="AF34" i="9"/>
  <c r="AF33" i="9"/>
  <c r="AH32" i="9"/>
  <c r="AF31" i="9"/>
  <c r="AD30" i="9"/>
  <c r="W29" i="9"/>
  <c r="U28" i="9"/>
  <c r="Z27" i="9"/>
  <c r="AA26" i="9"/>
  <c r="AE25" i="9"/>
  <c r="AK24" i="9"/>
  <c r="AP23" i="9"/>
  <c r="AR22" i="9"/>
  <c r="AU21" i="9"/>
  <c r="AT20" i="9"/>
  <c r="AN19" i="9"/>
  <c r="AM18" i="9"/>
  <c r="AP17" i="9"/>
  <c r="AF16" i="9"/>
  <c r="AF15" i="9"/>
  <c r="AH14" i="9"/>
  <c r="AN13" i="9"/>
  <c r="AS12" i="9"/>
  <c r="AV11" i="9"/>
  <c r="AP10" i="9"/>
  <c r="AM9" i="9"/>
  <c r="AC8" i="9"/>
  <c r="AD7" i="9"/>
  <c r="AH6" i="9"/>
  <c r="AK5" i="9"/>
  <c r="AS4" i="9"/>
  <c r="AN3" i="9"/>
  <c r="AR2" i="9"/>
  <c r="AY1" i="9"/>
  <c r="BD56" i="9"/>
  <c r="BG53" i="9"/>
  <c r="BA51" i="9"/>
  <c r="AZ49" i="9"/>
  <c r="BI47" i="9"/>
  <c r="BD46" i="9"/>
  <c r="BD45" i="9"/>
  <c r="BI44" i="9"/>
  <c r="BJ43" i="9"/>
  <c r="BT42" i="9"/>
  <c r="BW41" i="9"/>
  <c r="G41" i="9"/>
  <c r="N40" i="9"/>
  <c r="M39" i="9"/>
  <c r="Q38" i="9"/>
  <c r="R37" i="9"/>
  <c r="W36" i="9"/>
  <c r="W35" i="9"/>
  <c r="V34" i="9"/>
  <c r="U33" i="9"/>
  <c r="W32" i="9"/>
  <c r="V31" i="9"/>
  <c r="R30" i="9"/>
  <c r="H29" i="9"/>
  <c r="K28" i="9"/>
  <c r="O27" i="9"/>
  <c r="N26" i="9"/>
  <c r="V25" i="9"/>
  <c r="AB24" i="9"/>
  <c r="AF23" i="9"/>
  <c r="AG22" i="9"/>
  <c r="AL21" i="9"/>
  <c r="AK20" i="9"/>
  <c r="AA19" i="9"/>
  <c r="AB18" i="9"/>
  <c r="AA17" i="9"/>
  <c r="R16" i="9"/>
  <c r="U15" i="9"/>
  <c r="X14" i="9"/>
  <c r="AD13" i="9"/>
  <c r="AH12" i="9"/>
  <c r="AM11" i="9"/>
  <c r="AE10" i="9"/>
  <c r="W9" i="9"/>
  <c r="O8" i="9"/>
  <c r="R7" i="9"/>
  <c r="W6" i="9"/>
  <c r="AB5" i="9"/>
  <c r="AH4" i="9"/>
  <c r="AD3" i="9"/>
  <c r="AG2" i="9"/>
  <c r="AP1" i="9"/>
  <c r="W227" i="9"/>
  <c r="AM177" i="9"/>
  <c r="H217" i="9"/>
  <c r="G156" i="9"/>
  <c r="BL106" i="9"/>
  <c r="A103" i="9"/>
  <c r="BQ102" i="9"/>
  <c r="BS166" i="9"/>
  <c r="AL142" i="9"/>
  <c r="BE131" i="9"/>
  <c r="AR123" i="9"/>
  <c r="BH115" i="9"/>
  <c r="BD107" i="9"/>
  <c r="R162" i="9"/>
  <c r="BC151" i="9"/>
  <c r="BE143" i="9"/>
  <c r="BX135" i="9"/>
  <c r="B158" i="9"/>
  <c r="AV149" i="9"/>
  <c r="BL141" i="9"/>
  <c r="BU133" i="9"/>
  <c r="BM125" i="9"/>
  <c r="BS117" i="9"/>
  <c r="E110" i="9"/>
  <c r="I102" i="9"/>
  <c r="AE120" i="9"/>
  <c r="AR98" i="9"/>
  <c r="Z90" i="9"/>
  <c r="AC82" i="9"/>
  <c r="N74" i="9"/>
  <c r="AH66" i="9"/>
  <c r="BC58" i="9"/>
  <c r="AH50" i="9"/>
  <c r="BJ119" i="9"/>
  <c r="AH98" i="9"/>
  <c r="M90" i="9"/>
  <c r="N82" i="9"/>
  <c r="E74" i="9"/>
  <c r="X66" i="9"/>
  <c r="AR58" i="9"/>
  <c r="P122" i="9"/>
  <c r="C99" i="9"/>
  <c r="BJ90" i="9"/>
  <c r="BU82" i="9"/>
  <c r="AW74" i="9"/>
  <c r="BR66" i="9"/>
  <c r="M59" i="9"/>
  <c r="U116" i="9"/>
  <c r="AP97" i="9"/>
  <c r="W89" i="9"/>
  <c r="V81" i="9"/>
  <c r="I73" i="9"/>
  <c r="AF65" i="9"/>
  <c r="BA57" i="9"/>
  <c r="T113" i="9"/>
  <c r="BL96" i="9"/>
  <c r="AQ88" i="9"/>
  <c r="AR80" i="9"/>
  <c r="AE72" i="9"/>
  <c r="BA64" i="9"/>
  <c r="B57" i="9"/>
  <c r="AT48" i="9"/>
  <c r="F114" i="9"/>
  <c r="BY98" i="9"/>
  <c r="BJ95" i="9"/>
  <c r="BJ93" i="9"/>
  <c r="X92" i="9"/>
  <c r="BF90" i="9"/>
  <c r="AM89" i="9"/>
  <c r="M88" i="9"/>
  <c r="BM86" i="9"/>
  <c r="AL85" i="9"/>
  <c r="N84" i="9"/>
  <c r="BR82" i="9"/>
  <c r="AK81" i="9"/>
  <c r="R80" i="9"/>
  <c r="BP78" i="9"/>
  <c r="AP77" i="9"/>
  <c r="S76" i="9"/>
  <c r="AT74" i="9"/>
  <c r="Z73" i="9"/>
  <c r="C72" i="9"/>
  <c r="AW70" i="9"/>
  <c r="AK69" i="9"/>
  <c r="O68" i="9"/>
  <c r="BO66" i="9"/>
  <c r="AV65" i="9"/>
  <c r="W64" i="9"/>
  <c r="BX62" i="9"/>
  <c r="BK61" i="9"/>
  <c r="AW60" i="9"/>
  <c r="BA59" i="9"/>
  <c r="BI58" i="9"/>
  <c r="BI57" i="9"/>
  <c r="BO56" i="9"/>
  <c r="AT55" i="9"/>
  <c r="AR54" i="9"/>
  <c r="AP53" i="9"/>
  <c r="AM52" i="9"/>
  <c r="AM51" i="9"/>
  <c r="AL50" i="9"/>
  <c r="AI49" i="9"/>
  <c r="AJ48" i="9"/>
  <c r="U145" i="9"/>
  <c r="AU137" i="9"/>
  <c r="W131" i="9"/>
  <c r="AM127" i="9"/>
  <c r="AD123" i="9"/>
  <c r="AO119" i="9"/>
  <c r="AR115" i="9"/>
  <c r="BA111" i="9"/>
  <c r="AQ107" i="9"/>
  <c r="AZ103" i="9"/>
  <c r="B102" i="9"/>
  <c r="AK100" i="9"/>
  <c r="AC99" i="9"/>
  <c r="AC98" i="9"/>
  <c r="AD97" i="9"/>
  <c r="AI96" i="9"/>
  <c r="AA95" i="9"/>
  <c r="R94" i="9"/>
  <c r="D93" i="9"/>
  <c r="E92" i="9"/>
  <c r="I91" i="9"/>
  <c r="H90" i="9"/>
  <c r="K89" i="9"/>
  <c r="L88" i="9"/>
  <c r="N87" i="9"/>
  <c r="M86" i="9"/>
  <c r="I85" i="9"/>
  <c r="M84" i="9"/>
  <c r="R83" i="9"/>
  <c r="I82" i="9"/>
  <c r="J81" i="9"/>
  <c r="P80" i="9"/>
  <c r="R79" i="9"/>
  <c r="L78" i="9"/>
  <c r="Q77" i="9"/>
  <c r="R76" i="9"/>
  <c r="BY74" i="9"/>
  <c r="BY73" i="9"/>
  <c r="BU72" i="9"/>
  <c r="B72" i="9"/>
  <c r="C71" i="9"/>
  <c r="D70" i="9"/>
  <c r="K69" i="9"/>
  <c r="N68" i="9"/>
  <c r="O67" i="9"/>
  <c r="R66" i="9"/>
  <c r="R65" i="9"/>
  <c r="V64" i="9"/>
  <c r="W63" i="9"/>
  <c r="AE62" i="9"/>
  <c r="AF61" i="9"/>
  <c r="AC60" i="9"/>
  <c r="AI59" i="9"/>
  <c r="AM58" i="9"/>
  <c r="AO57" i="9"/>
  <c r="AP56" i="9"/>
  <c r="AC55" i="9"/>
  <c r="R143" i="9"/>
  <c r="AH135" i="9"/>
  <c r="P130" i="9"/>
  <c r="AA126" i="9"/>
  <c r="AB122" i="9"/>
  <c r="AH118" i="9"/>
  <c r="AH114" i="9"/>
  <c r="AP110" i="9"/>
  <c r="AM106" i="9"/>
  <c r="M103" i="9"/>
  <c r="AU101" i="9"/>
  <c r="L100" i="9"/>
  <c r="F99" i="9"/>
  <c r="K98" i="9"/>
  <c r="K97" i="9"/>
  <c r="L96" i="9"/>
  <c r="BY94" i="9"/>
  <c r="BQ93" i="9"/>
  <c r="BI92" i="9"/>
  <c r="BL91" i="9"/>
  <c r="BO90" i="9"/>
  <c r="BP89" i="9"/>
  <c r="BR88" i="9"/>
  <c r="BS87" i="9"/>
  <c r="BS86" i="9"/>
  <c r="BQ85" i="9"/>
  <c r="BQ84" i="9"/>
  <c r="BT83" i="9"/>
  <c r="A83" i="9"/>
  <c r="BN81" i="9"/>
  <c r="BP80" i="9"/>
  <c r="BU79" i="9"/>
  <c r="BV78" i="9"/>
  <c r="BR77" i="9"/>
  <c r="BY76" i="9"/>
  <c r="BS75" i="9"/>
  <c r="BD74" i="9"/>
  <c r="AW73" i="9"/>
  <c r="BD72" i="9"/>
  <c r="BH71" i="9"/>
  <c r="BH70" i="9"/>
  <c r="BI69" i="9"/>
  <c r="BQ68" i="9"/>
  <c r="BT67" i="9"/>
  <c r="BU66" i="9"/>
  <c r="A66" i="9"/>
  <c r="BW64" i="9"/>
  <c r="C64" i="9"/>
  <c r="E63" i="9"/>
  <c r="K62" i="9"/>
  <c r="K61" i="9"/>
  <c r="J60" i="9"/>
  <c r="P59" i="9"/>
  <c r="T58" i="9"/>
  <c r="W57" i="9"/>
  <c r="V56" i="9"/>
  <c r="D55" i="9"/>
  <c r="E54" i="9"/>
  <c r="B53" i="9"/>
  <c r="BW51" i="9"/>
  <c r="BX50" i="9"/>
  <c r="BW49" i="9"/>
  <c r="BT48" i="9"/>
  <c r="BU47" i="9"/>
  <c r="U54" i="9"/>
  <c r="M52" i="9"/>
  <c r="L50" i="9"/>
  <c r="J48" i="9"/>
  <c r="BY46" i="9"/>
  <c r="BT45" i="9"/>
  <c r="BY44" i="9"/>
  <c r="C44" i="9"/>
  <c r="J43" i="9"/>
  <c r="M42" i="9"/>
  <c r="V41" i="9"/>
  <c r="AD40" i="9"/>
  <c r="AF39" i="9"/>
  <c r="AJ38" i="9"/>
  <c r="AL37" i="9"/>
  <c r="AO36" i="9"/>
  <c r="AP35" i="9"/>
  <c r="AN34" i="9"/>
  <c r="AL33" i="9"/>
  <c r="AN32" i="9"/>
  <c r="AM31" i="9"/>
  <c r="AJ30" i="9"/>
  <c r="AG29" i="9"/>
  <c r="AB28" i="9"/>
  <c r="AF27" i="9"/>
  <c r="AG26" i="9"/>
  <c r="AK25" i="9"/>
  <c r="AQ24" i="9"/>
  <c r="AV23" i="9"/>
  <c r="AZ22" i="9"/>
  <c r="BC21" i="9"/>
  <c r="AZ20" i="9"/>
  <c r="AT19" i="9"/>
  <c r="AS18" i="9"/>
  <c r="AV17" i="9"/>
  <c r="AN16" i="9"/>
  <c r="AN15" i="9"/>
  <c r="AP14" i="9"/>
  <c r="AT13" i="9"/>
  <c r="BA12" i="9"/>
  <c r="BE11" i="9"/>
  <c r="AV10" i="9"/>
  <c r="AS9" i="9"/>
  <c r="AI8" i="9"/>
  <c r="AL7" i="9"/>
  <c r="AO6" i="9"/>
  <c r="AQ5" i="9"/>
  <c r="BA4" i="9"/>
  <c r="AV3" i="9"/>
  <c r="AZ2" i="9"/>
  <c r="BE1" i="9"/>
  <c r="AC57" i="9"/>
  <c r="A54" i="9"/>
  <c r="BR51" i="9"/>
  <c r="BS49" i="9"/>
  <c r="BQ47" i="9"/>
  <c r="BO46" i="9"/>
  <c r="BK45" i="9"/>
  <c r="BO44" i="9"/>
  <c r="BQ43" i="9"/>
  <c r="A43" i="9"/>
  <c r="D42" i="9"/>
  <c r="M41" i="9"/>
  <c r="U40" i="9"/>
  <c r="U39" i="9"/>
  <c r="AA38" i="9"/>
  <c r="AA37" i="9"/>
  <c r="AE36" i="9"/>
  <c r="AE35" i="9"/>
  <c r="AC34" i="9"/>
  <c r="AC33" i="9"/>
  <c r="AE32" i="9"/>
  <c r="AC31" i="9"/>
  <c r="AA30" i="9"/>
  <c r="O29" i="9"/>
  <c r="Q28" i="9"/>
  <c r="V27" i="9"/>
  <c r="W26" i="9"/>
  <c r="AB25" i="9"/>
  <c r="AH24" i="9"/>
  <c r="AM23" i="9"/>
  <c r="AO22" i="9"/>
  <c r="AR21" i="9"/>
  <c r="AQ20" i="9"/>
  <c r="AJ19" i="9"/>
  <c r="AH18" i="9"/>
  <c r="AM17" i="9"/>
  <c r="AC16" i="9"/>
  <c r="AC15" i="9"/>
  <c r="AE14" i="9"/>
  <c r="AJ13" i="9"/>
  <c r="AP12" i="9"/>
  <c r="AS11" i="9"/>
  <c r="AM10" i="9"/>
  <c r="AE9" i="9"/>
  <c r="Z8" i="9"/>
  <c r="AA7" i="9"/>
  <c r="AE6" i="9"/>
  <c r="AH5" i="9"/>
  <c r="AP4" i="9"/>
  <c r="AJ3" i="9"/>
  <c r="AO2" i="9"/>
  <c r="AV1" i="9"/>
  <c r="AL56" i="9"/>
  <c r="AW53" i="9"/>
  <c r="AT51" i="9"/>
  <c r="AS49" i="9"/>
  <c r="BD47" i="9"/>
  <c r="AW46" i="9"/>
  <c r="BA45" i="9"/>
  <c r="BF44" i="9"/>
  <c r="BF43" i="9"/>
  <c r="BQ42" i="9"/>
  <c r="BR41" i="9"/>
  <c r="D41" i="9"/>
  <c r="K40" i="9"/>
  <c r="J39" i="9"/>
  <c r="N38" i="9"/>
  <c r="O37" i="9"/>
  <c r="S36" i="9"/>
  <c r="T35" i="9"/>
  <c r="R34" i="9"/>
  <c r="R33" i="9"/>
  <c r="T32" i="9"/>
  <c r="P31" i="9"/>
  <c r="N30" i="9"/>
  <c r="E29" i="9"/>
  <c r="H28" i="9"/>
  <c r="L27" i="9"/>
  <c r="K26" i="9"/>
  <c r="R25" i="9"/>
  <c r="Y24" i="9"/>
  <c r="AC23" i="9"/>
  <c r="AD22" i="9"/>
  <c r="AG21" i="9"/>
  <c r="AH20" i="9"/>
  <c r="W19" i="9"/>
  <c r="X18" i="9"/>
  <c r="R17" i="9"/>
  <c r="O16" i="9"/>
  <c r="P15" i="9"/>
  <c r="U14" i="9"/>
  <c r="AA13" i="9"/>
  <c r="AE12" i="9"/>
  <c r="AG11" i="9"/>
  <c r="AB10" i="9"/>
  <c r="O9" i="9"/>
  <c r="L8" i="9"/>
  <c r="O7" i="9"/>
  <c r="S6" i="9"/>
  <c r="Y5" i="9"/>
  <c r="AE4" i="9"/>
  <c r="AA3" i="9"/>
  <c r="AD2" i="9"/>
  <c r="AM1" i="9"/>
  <c r="BO55" i="9"/>
  <c r="AD53" i="9"/>
  <c r="X51" i="9"/>
  <c r="U49" i="9"/>
  <c r="AR47" i="9"/>
  <c r="AL46" i="9"/>
  <c r="AP45" i="9"/>
  <c r="AT44" i="9"/>
  <c r="AV43" i="9"/>
  <c r="BF42" i="9"/>
  <c r="BI41" i="9"/>
  <c r="BR40" i="9"/>
  <c r="B40" i="9"/>
  <c r="A39" i="9"/>
  <c r="E38" i="9"/>
  <c r="E37" i="9"/>
  <c r="I36" i="9"/>
  <c r="I35" i="9"/>
  <c r="H34" i="9"/>
  <c r="G33" i="9"/>
  <c r="E32" i="9"/>
  <c r="G31" i="9"/>
  <c r="E30" i="9"/>
  <c r="BS28" i="9"/>
  <c r="BW27" i="9"/>
  <c r="B27" i="9"/>
  <c r="B26" i="9"/>
  <c r="H25" i="9"/>
  <c r="M24" i="9"/>
  <c r="P23" i="9"/>
  <c r="T22" i="9"/>
  <c r="V21" i="9"/>
  <c r="V20" i="9"/>
  <c r="J19" i="9"/>
  <c r="N18" i="9"/>
  <c r="I17" i="9"/>
  <c r="E16" i="9"/>
  <c r="F15" i="9"/>
  <c r="K14" i="9"/>
  <c r="O13" i="9"/>
  <c r="U12" i="9"/>
  <c r="N11" i="9"/>
  <c r="P10" i="9"/>
  <c r="F9" i="9"/>
  <c r="C8" i="9"/>
  <c r="E7" i="9"/>
  <c r="J6" i="9"/>
  <c r="P5" i="9"/>
  <c r="U4" i="9"/>
  <c r="O3" i="9"/>
  <c r="R2" i="9"/>
  <c r="AD1" i="9"/>
  <c r="BQ54" i="9"/>
  <c r="BN52" i="9"/>
  <c r="BJ50" i="9"/>
  <c r="BH48" i="9"/>
  <c r="W47" i="9"/>
  <c r="R46" i="9"/>
  <c r="V45" i="9"/>
  <c r="AA44" i="9"/>
  <c r="AE43" i="9"/>
  <c r="AJ42" i="9"/>
  <c r="AP41" i="9"/>
  <c r="AX40" i="9"/>
  <c r="BF39" i="9"/>
  <c r="BH38" i="9"/>
  <c r="BK37" i="9"/>
  <c r="BL36" i="9"/>
  <c r="BN35" i="9"/>
  <c r="BN34" i="9"/>
  <c r="BN33" i="9"/>
  <c r="BN32" i="9"/>
  <c r="BJ31" i="9"/>
  <c r="BL30" i="9"/>
  <c r="BI29" i="9"/>
  <c r="AZ28" i="9"/>
  <c r="BD27" i="9"/>
  <c r="BF26" i="9"/>
  <c r="BG25" i="9"/>
  <c r="BN24" i="9"/>
  <c r="BT23" i="9"/>
  <c r="BX22" i="9"/>
  <c r="BY21" i="9"/>
  <c r="D21" i="9"/>
  <c r="BY19" i="9"/>
  <c r="BP18" i="9"/>
  <c r="BS17" i="9"/>
  <c r="BM16" i="9"/>
  <c r="BL15" i="9"/>
  <c r="BM14" i="9"/>
  <c r="BQ13" i="9"/>
  <c r="BW12" i="9"/>
  <c r="B12" i="9"/>
  <c r="BS10" i="9"/>
  <c r="BT9" i="9"/>
  <c r="BK8" i="9"/>
  <c r="BI7" i="9"/>
  <c r="BL6" i="9"/>
  <c r="BP5" i="9"/>
  <c r="BX4" i="9"/>
  <c r="A4" i="9"/>
  <c r="BW2" i="9"/>
  <c r="BY1" i="9"/>
  <c r="M1" i="9"/>
  <c r="AC54" i="9"/>
  <c r="V52" i="9"/>
  <c r="U50" i="9"/>
  <c r="R48" i="9"/>
  <c r="C47" i="9"/>
  <c r="BY45" i="9"/>
  <c r="C45" i="9"/>
  <c r="F44" i="9"/>
  <c r="M43" i="9"/>
  <c r="P42" i="9"/>
  <c r="Y41" i="9"/>
  <c r="AG40" i="9"/>
  <c r="AI39" i="9"/>
  <c r="AN38" i="9"/>
  <c r="AO37" i="9"/>
  <c r="AR36" i="9"/>
  <c r="AS35" i="9"/>
  <c r="AQ34" i="9"/>
  <c r="AO33" i="9"/>
  <c r="AQ32" i="9"/>
  <c r="AP31" i="9"/>
  <c r="AN30" i="9"/>
  <c r="AM29" i="9"/>
  <c r="AE28" i="9"/>
  <c r="AI27" i="9"/>
  <c r="AJ26" i="9"/>
  <c r="AN25" i="9"/>
  <c r="AT24" i="9"/>
  <c r="AZ23" i="9"/>
  <c r="BC22" i="9"/>
  <c r="BG21" i="9"/>
  <c r="BG20" i="9"/>
  <c r="AW19" i="9"/>
  <c r="AV18" i="9"/>
  <c r="BA17" i="9"/>
  <c r="AQ16" i="9"/>
  <c r="AQ15" i="9"/>
  <c r="AS14" i="9"/>
  <c r="AW13" i="9"/>
  <c r="BD12" i="9"/>
  <c r="BH11" i="9"/>
  <c r="BA10" i="9"/>
  <c r="AV9" i="9"/>
  <c r="AM8" i="9"/>
  <c r="AO7" i="9"/>
  <c r="AR6" i="9"/>
  <c r="AT5" i="9"/>
  <c r="BD4" i="9"/>
  <c r="BA3" i="9"/>
  <c r="BC2" i="9"/>
  <c r="BH1" i="9"/>
  <c r="BG56" i="9"/>
  <c r="BL53" i="9"/>
  <c r="BD51" i="9"/>
  <c r="BE49" i="9"/>
  <c r="BJ47" i="9"/>
  <c r="BE46" i="9"/>
  <c r="BF45" i="9"/>
  <c r="BJ44" i="9"/>
  <c r="BK43" i="9"/>
  <c r="BU42" i="9"/>
  <c r="BX41" i="9"/>
  <c r="H41" i="9"/>
  <c r="O40" i="9"/>
  <c r="N39" i="9"/>
  <c r="R38" i="9"/>
  <c r="T37" i="9"/>
  <c r="Z36" i="9"/>
  <c r="Z35" i="9"/>
  <c r="W34" i="9"/>
  <c r="V33" i="9"/>
  <c r="X32" i="9"/>
  <c r="W31" i="9"/>
  <c r="S30" i="9"/>
  <c r="I29" i="9"/>
  <c r="L28" i="9"/>
  <c r="P27" i="9"/>
  <c r="O26" i="9"/>
  <c r="W25" i="9"/>
  <c r="AC24" i="9"/>
  <c r="AG23" i="9"/>
  <c r="AH22" i="9"/>
  <c r="C225" i="9"/>
  <c r="AG228" i="9"/>
  <c r="AD205" i="9"/>
  <c r="A168" i="9"/>
  <c r="F160" i="9"/>
  <c r="BG159" i="9"/>
  <c r="BF158" i="9"/>
  <c r="BM154" i="9"/>
  <c r="K141" i="9"/>
  <c r="AI130" i="9"/>
  <c r="AS122" i="9"/>
  <c r="BF114" i="9"/>
  <c r="BG106" i="9"/>
  <c r="N160" i="9"/>
  <c r="BF150" i="9"/>
  <c r="BL142" i="9"/>
  <c r="BX134" i="9"/>
  <c r="AN156" i="9"/>
  <c r="AU148" i="9"/>
  <c r="BQ140" i="9"/>
  <c r="BR132" i="9"/>
  <c r="BL124" i="9"/>
  <c r="BU116" i="9"/>
  <c r="BR108" i="9"/>
  <c r="L101" i="9"/>
  <c r="AJ116" i="9"/>
  <c r="AS97" i="9"/>
  <c r="AA89" i="9"/>
  <c r="Z81" i="9"/>
  <c r="L73" i="9"/>
  <c r="AI65" i="9"/>
  <c r="BE57" i="9"/>
  <c r="AF49" i="9"/>
  <c r="BS115" i="9"/>
  <c r="AI97" i="9"/>
  <c r="P89" i="9"/>
  <c r="O81" i="9"/>
  <c r="C73" i="9"/>
  <c r="Z65" i="9"/>
  <c r="AT57" i="9"/>
  <c r="V118" i="9"/>
  <c r="G98" i="9"/>
  <c r="BK89" i="9"/>
  <c r="BJ81" i="9"/>
  <c r="AT73" i="9"/>
  <c r="BU65" i="9"/>
  <c r="P58" i="9"/>
  <c r="AA112" i="9"/>
  <c r="AT96" i="9"/>
  <c r="AA88" i="9"/>
  <c r="AC80" i="9"/>
  <c r="M72" i="9"/>
  <c r="AH64" i="9"/>
  <c r="AL148" i="9"/>
  <c r="J109" i="9"/>
  <c r="BK95" i="9"/>
  <c r="AQ87" i="9"/>
  <c r="AW79" i="9"/>
  <c r="AH71" i="9"/>
  <c r="BA63" i="9"/>
  <c r="BN55" i="9"/>
  <c r="AV47" i="9"/>
  <c r="N110" i="9"/>
  <c r="AD98" i="9"/>
  <c r="AW95" i="9"/>
  <c r="AZ93" i="9"/>
  <c r="F92" i="9"/>
  <c r="AT90" i="9"/>
  <c r="AD89" i="9"/>
  <c r="E88" i="9"/>
  <c r="BC86" i="9"/>
  <c r="AC85" i="9"/>
  <c r="F84" i="9"/>
  <c r="BE82" i="9"/>
  <c r="AC81" i="9"/>
  <c r="I80" i="9"/>
  <c r="BA78" i="9"/>
  <c r="AH77" i="9"/>
  <c r="F76" i="9"/>
  <c r="AL74" i="9"/>
  <c r="O73" i="9"/>
  <c r="BS71" i="9"/>
  <c r="AO70" i="9"/>
  <c r="AC69" i="9"/>
  <c r="F68" i="9"/>
  <c r="BE66" i="9"/>
  <c r="AN65" i="9"/>
  <c r="N64" i="9"/>
  <c r="BN62" i="9"/>
  <c r="AW61" i="9"/>
  <c r="AM60" i="9"/>
  <c r="AR59" i="9"/>
  <c r="AV58" i="9"/>
  <c r="AX57" i="9"/>
  <c r="AZ56" i="9"/>
  <c r="AL55" i="9"/>
  <c r="AI54" i="9"/>
  <c r="AH53" i="9"/>
  <c r="AE52" i="9"/>
  <c r="AC51" i="9"/>
  <c r="AC50" i="9"/>
  <c r="AA49" i="9"/>
  <c r="AB48" i="9"/>
  <c r="W144" i="9"/>
  <c r="AS136" i="9"/>
  <c r="BJ130" i="9"/>
  <c r="BU126" i="9"/>
  <c r="BQ122" i="9"/>
  <c r="C119" i="9"/>
  <c r="H115" i="9"/>
  <c r="O111" i="9"/>
  <c r="F107" i="9"/>
  <c r="AF103" i="9"/>
  <c r="BN101" i="9"/>
  <c r="Y100" i="9"/>
  <c r="R99" i="9"/>
  <c r="T98" i="9"/>
  <c r="U97" i="9"/>
  <c r="Y96" i="9"/>
  <c r="L95" i="9"/>
  <c r="E94" i="9"/>
  <c r="BT92" i="9"/>
  <c r="BU91" i="9"/>
  <c r="A91" i="9"/>
  <c r="BY89" i="9"/>
  <c r="C89" i="9"/>
  <c r="D88" i="9"/>
  <c r="E87" i="9"/>
  <c r="C86" i="9"/>
  <c r="A85" i="9"/>
  <c r="E84" i="9"/>
  <c r="J83" i="9"/>
  <c r="BY81" i="9"/>
  <c r="B81" i="9"/>
  <c r="H80" i="9"/>
  <c r="I79" i="9"/>
  <c r="D78" i="9"/>
  <c r="I77" i="9"/>
  <c r="E76" i="9"/>
  <c r="BP74" i="9"/>
  <c r="BO73" i="9"/>
  <c r="BM72" i="9"/>
  <c r="BQ71" i="9"/>
  <c r="BS70" i="9"/>
  <c r="BS69" i="9"/>
  <c r="C69" i="9"/>
  <c r="E68" i="9"/>
  <c r="F67" i="9"/>
  <c r="J66" i="9"/>
  <c r="I65" i="9"/>
  <c r="M64" i="9"/>
  <c r="N63" i="9"/>
  <c r="V62" i="9"/>
  <c r="V61" i="9"/>
  <c r="S60" i="9"/>
  <c r="AA59" i="9"/>
  <c r="AE58" i="9"/>
  <c r="AG57" i="9"/>
  <c r="AH56" i="9"/>
  <c r="S55" i="9"/>
  <c r="W142" i="9"/>
  <c r="AE134" i="9"/>
  <c r="BE129" i="9"/>
  <c r="BN125" i="9"/>
  <c r="BS121" i="9"/>
  <c r="BT117" i="9"/>
  <c r="BW113" i="9"/>
  <c r="F110" i="9"/>
  <c r="A106" i="9"/>
  <c r="BV102" i="9"/>
  <c r="AG101" i="9"/>
  <c r="B100" i="9"/>
  <c r="BV98" i="9"/>
  <c r="B98" i="9"/>
  <c r="C97" i="9"/>
  <c r="D96" i="9"/>
  <c r="BO94" i="9"/>
  <c r="BG93" i="9"/>
  <c r="AV92" i="9"/>
  <c r="BC91" i="9"/>
  <c r="BD90" i="9"/>
  <c r="BE89" i="9"/>
  <c r="BH88" i="9"/>
  <c r="BI87" i="9"/>
  <c r="BK86" i="9"/>
  <c r="BD85" i="9"/>
  <c r="BI84" i="9"/>
  <c r="BL83" i="9"/>
  <c r="BP82" i="9"/>
  <c r="AZ81" i="9"/>
  <c r="BG80" i="9"/>
  <c r="BM79" i="9"/>
  <c r="BL78" i="9"/>
  <c r="BG77" i="9"/>
  <c r="BP76" i="9"/>
  <c r="BI75" i="9"/>
  <c r="AR74" i="9"/>
  <c r="AO73" i="9"/>
  <c r="AS72" i="9"/>
  <c r="AW71" i="9"/>
  <c r="AU70" i="9"/>
  <c r="AY69" i="9"/>
  <c r="BH68" i="9"/>
  <c r="BL67" i="9"/>
  <c r="BM66" i="9"/>
  <c r="BP65" i="9"/>
  <c r="BO64" i="9"/>
  <c r="BS63" i="9"/>
  <c r="BT62" i="9"/>
  <c r="C62" i="9"/>
  <c r="BY60" i="9"/>
  <c r="B60" i="9"/>
  <c r="H59" i="9"/>
  <c r="J58" i="9"/>
  <c r="O57" i="9"/>
  <c r="L56" i="9"/>
  <c r="BT54" i="9"/>
  <c r="BS53" i="9"/>
  <c r="BQ52" i="9"/>
  <c r="BN51" i="9"/>
  <c r="BO50" i="9"/>
  <c r="BO49" i="9"/>
  <c r="BK48" i="9"/>
  <c r="AK57" i="9"/>
  <c r="B54" i="9"/>
  <c r="BS51" i="9"/>
  <c r="BT49" i="9"/>
  <c r="BR47" i="9"/>
  <c r="BP46" i="9"/>
  <c r="BL45" i="9"/>
  <c r="BP44" i="9"/>
  <c r="BR43" i="9"/>
  <c r="B43" i="9"/>
  <c r="E42" i="9"/>
  <c r="N41" i="9"/>
  <c r="V40" i="9"/>
  <c r="V39" i="9"/>
  <c r="AB38" i="9"/>
  <c r="AB37" i="9"/>
  <c r="AF36" i="9"/>
  <c r="AF35" i="9"/>
  <c r="AD34" i="9"/>
  <c r="AD33" i="9"/>
  <c r="AF32" i="9"/>
  <c r="AD31" i="9"/>
  <c r="AB30" i="9"/>
  <c r="P29" i="9"/>
  <c r="R28" i="9"/>
  <c r="W27" i="9"/>
  <c r="X26" i="9"/>
  <c r="AC25" i="9"/>
  <c r="AI24" i="9"/>
  <c r="AN23" i="9"/>
  <c r="AP22" i="9"/>
  <c r="AS21" i="9"/>
  <c r="AR20" i="9"/>
  <c r="AL19" i="9"/>
  <c r="AI18" i="9"/>
  <c r="AN17" i="9"/>
  <c r="AD16" i="9"/>
  <c r="AD15" i="9"/>
  <c r="AF14" i="9"/>
  <c r="AL13" i="9"/>
  <c r="AQ12" i="9"/>
  <c r="AT11" i="9"/>
  <c r="AN10" i="9"/>
  <c r="AG9" i="9"/>
  <c r="AA8" i="9"/>
  <c r="AB7" i="9"/>
  <c r="AF6" i="9"/>
  <c r="AI5" i="9"/>
  <c r="AQ4" i="9"/>
  <c r="AL3" i="9"/>
  <c r="AP2" i="9"/>
  <c r="AW1" i="9"/>
  <c r="AS56" i="9"/>
  <c r="BC53" i="9"/>
  <c r="AW51" i="9"/>
  <c r="AV49" i="9"/>
  <c r="BF47" i="9"/>
  <c r="AZ46" i="9"/>
  <c r="BB45" i="9"/>
  <c r="BG44" i="9"/>
  <c r="BG43" i="9"/>
  <c r="BR42" i="9"/>
  <c r="BS41" i="9"/>
  <c r="E41" i="9"/>
  <c r="L40" i="9"/>
  <c r="K39" i="9"/>
  <c r="O38" i="9"/>
  <c r="P37" i="9"/>
  <c r="U36" i="9"/>
  <c r="U35" i="9"/>
  <c r="T34" i="9"/>
  <c r="S33" i="9"/>
  <c r="U32" i="9"/>
  <c r="R31" i="9"/>
  <c r="O30" i="9"/>
  <c r="F29" i="9"/>
  <c r="I28" i="9"/>
  <c r="M27" i="9"/>
  <c r="L26" i="9"/>
  <c r="T25" i="9"/>
  <c r="Z24" i="9"/>
  <c r="AD23" i="9"/>
  <c r="AE22" i="9"/>
  <c r="AH21" i="9"/>
  <c r="AI20" i="9"/>
  <c r="X19" i="9"/>
  <c r="Z18" i="9"/>
  <c r="W17" i="9"/>
  <c r="P16" i="9"/>
  <c r="R15" i="9"/>
  <c r="V14" i="9"/>
  <c r="AB13" i="9"/>
  <c r="AF12" i="9"/>
  <c r="AJ11" i="9"/>
  <c r="AC10" i="9"/>
  <c r="P9" i="9"/>
  <c r="M8" i="9"/>
  <c r="P7" i="9"/>
  <c r="U6" i="9"/>
  <c r="Z5" i="9"/>
  <c r="AF4" i="9"/>
  <c r="AB3" i="9"/>
  <c r="AE2" i="9"/>
  <c r="AN1" i="9"/>
  <c r="BP55" i="9"/>
  <c r="AG53" i="9"/>
  <c r="AB51" i="9"/>
  <c r="Z49" i="9"/>
  <c r="AS47" i="9"/>
  <c r="AM46" i="9"/>
  <c r="AQ45" i="9"/>
  <c r="AU44" i="9"/>
  <c r="AW43" i="9"/>
  <c r="BH42" i="9"/>
  <c r="BJ41" i="9"/>
  <c r="BS40" i="9"/>
  <c r="C40" i="9"/>
  <c r="B39" i="9"/>
  <c r="F38" i="9"/>
  <c r="F37" i="9"/>
  <c r="J36" i="9"/>
  <c r="J35" i="9"/>
  <c r="I34" i="9"/>
  <c r="H33" i="9"/>
  <c r="F32" i="9"/>
  <c r="H31" i="9"/>
  <c r="F30" i="9"/>
  <c r="BT28" i="9"/>
  <c r="BX27" i="9"/>
  <c r="C27" i="9"/>
  <c r="C26" i="9"/>
  <c r="I25" i="9"/>
  <c r="N24" i="9"/>
  <c r="R23" i="9"/>
  <c r="U22" i="9"/>
  <c r="W21" i="9"/>
  <c r="W20" i="9"/>
  <c r="K19" i="9"/>
  <c r="O18" i="9"/>
  <c r="J17" i="9"/>
  <c r="F16" i="9"/>
  <c r="H15" i="9"/>
  <c r="L14" i="9"/>
  <c r="P13" i="9"/>
  <c r="V12" i="9"/>
  <c r="O11" i="9"/>
  <c r="Q10" i="9"/>
  <c r="G9" i="9"/>
  <c r="D8" i="9"/>
  <c r="F7" i="9"/>
  <c r="K6" i="9"/>
  <c r="Q5" i="9"/>
  <c r="V4" i="9"/>
  <c r="P3" i="9"/>
  <c r="T2" i="9"/>
  <c r="AE1" i="9"/>
  <c r="V55" i="9"/>
  <c r="H53" i="9"/>
  <c r="E51" i="9"/>
  <c r="B49" i="9"/>
  <c r="AG47" i="9"/>
  <c r="AC46" i="9"/>
  <c r="AF45" i="9"/>
  <c r="AL44" i="9"/>
  <c r="AN43" i="9"/>
  <c r="AT42" i="9"/>
  <c r="AY41" i="9"/>
  <c r="BJ40" i="9"/>
  <c r="BR39" i="9"/>
  <c r="BQ38" i="9"/>
  <c r="BT37" i="9"/>
  <c r="BV36" i="9"/>
  <c r="A36" i="9"/>
  <c r="BY34" i="9"/>
  <c r="BX33" i="9"/>
  <c r="BX32" i="9"/>
  <c r="BT31" i="9"/>
  <c r="BX30" i="9"/>
  <c r="BT29" i="9"/>
  <c r="BJ28" i="9"/>
  <c r="BN27" i="9"/>
  <c r="BR26" i="9"/>
  <c r="BQ25" i="9"/>
  <c r="BY24" i="9"/>
  <c r="E24" i="9"/>
  <c r="H23" i="9"/>
  <c r="J22" i="9"/>
  <c r="M21" i="9"/>
  <c r="K20" i="9"/>
  <c r="A19" i="9"/>
  <c r="E18" i="9"/>
  <c r="BX16" i="9"/>
  <c r="BU15" i="9"/>
  <c r="BW14" i="9"/>
  <c r="B14" i="9"/>
  <c r="G13" i="9"/>
  <c r="L12" i="9"/>
  <c r="E11" i="9"/>
  <c r="F10" i="9"/>
  <c r="BV8" i="9"/>
  <c r="BR7" i="9"/>
  <c r="BV6" i="9"/>
  <c r="B6" i="9"/>
  <c r="H5" i="9"/>
  <c r="K4" i="9"/>
  <c r="G3" i="9"/>
  <c r="I2" i="9"/>
  <c r="V1" i="9"/>
  <c r="AU54" i="9"/>
  <c r="AP52" i="9"/>
  <c r="AO50" i="9"/>
  <c r="AN48" i="9"/>
  <c r="M47" i="9"/>
  <c r="I46" i="9"/>
  <c r="L45" i="9"/>
  <c r="P44" i="9"/>
  <c r="W43" i="9"/>
  <c r="AB42" i="9"/>
  <c r="AH41" i="9"/>
  <c r="AP40" i="9"/>
  <c r="AU39" i="9"/>
  <c r="AW38" i="9"/>
  <c r="AZ37" i="9"/>
  <c r="BD36" i="9"/>
  <c r="BD35" i="9"/>
  <c r="BB34" i="9"/>
  <c r="AX33" i="9"/>
  <c r="BC32" i="9"/>
  <c r="AZ31" i="9"/>
  <c r="AW30" i="9"/>
  <c r="AV29" i="9"/>
  <c r="AP28" i="9"/>
  <c r="AT27" i="9"/>
  <c r="AT26" i="9"/>
  <c r="AW25" i="9"/>
  <c r="BE24" i="9"/>
  <c r="BK23" i="9"/>
  <c r="BN22" i="9"/>
  <c r="BP21" i="9"/>
  <c r="BS20" i="9"/>
  <c r="BO19" i="9"/>
  <c r="BH18" i="9"/>
  <c r="BK17" i="9"/>
  <c r="BB16" i="9"/>
  <c r="BB15" i="9"/>
  <c r="BD14" i="9"/>
  <c r="BI13" i="9"/>
  <c r="BN12" i="9"/>
  <c r="BS11" i="9"/>
  <c r="BK10" i="9"/>
  <c r="BJ9" i="9"/>
  <c r="AV8" i="9"/>
  <c r="AZ7" i="9"/>
  <c r="BD6" i="9"/>
  <c r="BG5" i="9"/>
  <c r="BO4" i="9"/>
  <c r="BQ3" i="9"/>
  <c r="BN2" i="9"/>
  <c r="BQ1" i="9"/>
  <c r="E1" i="9"/>
  <c r="I54" i="9"/>
  <c r="B52" i="9"/>
  <c r="C50" i="9"/>
  <c r="A48" i="9"/>
  <c r="BS46" i="9"/>
  <c r="BO45" i="9"/>
  <c r="BS44" i="9"/>
  <c r="BW43" i="9"/>
  <c r="E43" i="9"/>
  <c r="H42" i="9"/>
  <c r="Q41" i="9"/>
  <c r="Y40" i="9"/>
  <c r="AA39" i="9"/>
  <c r="AE38" i="9"/>
  <c r="AE37" i="9"/>
  <c r="AI36" i="9"/>
  <c r="AI35" i="9"/>
  <c r="AG34" i="9"/>
  <c r="AG33" i="9"/>
  <c r="AI32" i="9"/>
  <c r="AG31" i="9"/>
  <c r="AE30" i="9"/>
  <c r="Z29" i="9"/>
  <c r="V28" i="9"/>
  <c r="AA27" i="9"/>
  <c r="AB26" i="9"/>
  <c r="AF25" i="9"/>
  <c r="AL24" i="9"/>
  <c r="AQ23" i="9"/>
  <c r="AS22" i="9"/>
  <c r="AV21" i="9"/>
  <c r="AU20" i="9"/>
  <c r="AO19" i="9"/>
  <c r="AN18" i="9"/>
  <c r="AQ17" i="9"/>
  <c r="AG16" i="9"/>
  <c r="AG15" i="9"/>
  <c r="AI14" i="9"/>
  <c r="AO13" i="9"/>
  <c r="AT12" i="9"/>
  <c r="AW11" i="9"/>
  <c r="AQ10" i="9"/>
  <c r="AN9" i="9"/>
  <c r="AD8" i="9"/>
  <c r="AE7" i="9"/>
  <c r="AI6" i="9"/>
  <c r="AL5" i="9"/>
  <c r="AT4" i="9"/>
  <c r="AQ3" i="9"/>
  <c r="AS2" i="9"/>
  <c r="AZ1" i="9"/>
  <c r="S56" i="9"/>
  <c r="AO53" i="9"/>
  <c r="AL51" i="9"/>
  <c r="AH49" i="9"/>
  <c r="AZ47" i="9"/>
  <c r="AS46" i="9"/>
  <c r="AU45" i="9"/>
  <c r="BA44" i="9"/>
  <c r="BA43" i="9"/>
  <c r="BL42" i="9"/>
  <c r="BN41" i="9"/>
  <c r="BY40" i="9"/>
  <c r="G40" i="9"/>
  <c r="F39" i="9"/>
  <c r="J38" i="9"/>
  <c r="K37" i="9"/>
  <c r="N36" i="9"/>
  <c r="N35" i="9"/>
  <c r="M34" i="9"/>
  <c r="M33" i="9"/>
  <c r="M32" i="9"/>
  <c r="L31" i="9"/>
  <c r="J30" i="9"/>
  <c r="BY28" i="9"/>
  <c r="C28" i="9"/>
  <c r="H27" i="9"/>
  <c r="G26" i="9"/>
  <c r="M25" i="9"/>
  <c r="T24" i="9"/>
  <c r="W23" i="9"/>
  <c r="Z22" i="9"/>
  <c r="AC21" i="9"/>
  <c r="AD20" i="9"/>
  <c r="O19" i="9"/>
  <c r="T18" i="9"/>
  <c r="N17" i="9"/>
  <c r="K16" i="9"/>
  <c r="L15" i="9"/>
  <c r="P14" i="9"/>
  <c r="V13" i="9"/>
  <c r="AA12" i="9"/>
  <c r="Z11" i="9"/>
  <c r="V10" i="9"/>
  <c r="K9" i="9"/>
  <c r="H8" i="9"/>
  <c r="K7" i="9"/>
  <c r="O6" i="9"/>
  <c r="U5" i="9"/>
  <c r="AA4" i="9"/>
  <c r="V3" i="9"/>
  <c r="Z2" i="9"/>
  <c r="AI1" i="9"/>
  <c r="AN55" i="9"/>
  <c r="S53" i="9"/>
  <c r="N51" i="9"/>
  <c r="K49" i="9"/>
  <c r="AM47" i="9"/>
  <c r="AG46" i="9"/>
  <c r="AL45" i="9"/>
  <c r="AP44" i="9"/>
  <c r="AR43" i="9"/>
  <c r="AZ42" i="9"/>
  <c r="BD41" i="9"/>
  <c r="BN40" i="9"/>
  <c r="BV39" i="9"/>
  <c r="BU38" i="9"/>
  <c r="A38" i="9"/>
  <c r="A37" i="9"/>
  <c r="E36" i="9"/>
  <c r="D35" i="9"/>
  <c r="C34" i="9"/>
  <c r="C33" i="9"/>
  <c r="A32" i="9"/>
  <c r="C31" i="9"/>
  <c r="A30" i="9"/>
  <c r="BO28" i="9"/>
  <c r="BR27" i="9"/>
  <c r="BV26" i="9"/>
  <c r="BW25" i="9"/>
  <c r="D25" i="9"/>
  <c r="I24" i="9"/>
  <c r="L23" i="9"/>
  <c r="N22" i="9"/>
  <c r="Q21" i="9"/>
  <c r="P20" i="9"/>
  <c r="F19" i="9"/>
  <c r="J18" i="9"/>
  <c r="C17" i="9"/>
  <c r="A16" i="9"/>
  <c r="B15" i="9"/>
  <c r="F14" i="9"/>
  <c r="K13" i="9"/>
  <c r="P12" i="9"/>
  <c r="J11" i="9"/>
  <c r="L10" i="9"/>
  <c r="B9" i="9"/>
  <c r="BX7" i="9"/>
  <c r="A7" i="9"/>
  <c r="F6" i="9"/>
  <c r="L5" i="9"/>
  <c r="O4" i="9"/>
  <c r="K3" i="9"/>
  <c r="M2" i="9"/>
  <c r="Z1" i="9"/>
  <c r="F170" i="9"/>
  <c r="BR139" i="9"/>
  <c r="BV133" i="9"/>
  <c r="Q100" i="9"/>
  <c r="AG48" i="9"/>
  <c r="V114" i="9"/>
  <c r="AQ95" i="9"/>
  <c r="AS86" i="9"/>
  <c r="AB95" i="9"/>
  <c r="BN83" i="9"/>
  <c r="BV72" i="9"/>
  <c r="BE62" i="9"/>
  <c r="AA54" i="9"/>
  <c r="AR135" i="9"/>
  <c r="O103" i="9"/>
  <c r="BS93" i="9"/>
  <c r="BR85" i="9"/>
  <c r="BS77" i="9"/>
  <c r="BJ69" i="9"/>
  <c r="L62" i="9"/>
  <c r="Y141" i="9"/>
  <c r="AP105" i="9"/>
  <c r="BC94" i="9"/>
  <c r="AX86" i="9"/>
  <c r="AW78" i="9"/>
  <c r="AM70" i="9"/>
  <c r="BL62" i="9"/>
  <c r="BK54" i="9"/>
  <c r="BD53" i="9"/>
  <c r="BS42" i="9"/>
  <c r="V35" i="9"/>
  <c r="N27" i="9"/>
  <c r="Z19" i="9"/>
  <c r="AL11" i="9"/>
  <c r="AC3" i="9"/>
  <c r="AN46" i="9"/>
  <c r="C39" i="9"/>
  <c r="I31" i="9"/>
  <c r="T23" i="9"/>
  <c r="I15" i="9"/>
  <c r="H7" i="9"/>
  <c r="L53" i="9"/>
  <c r="AU42" i="9"/>
  <c r="A35" i="9"/>
  <c r="BS26" i="9"/>
  <c r="C19" i="9"/>
  <c r="F11" i="9"/>
  <c r="H3" i="9"/>
  <c r="S46" i="9"/>
  <c r="BI38" i="9"/>
  <c r="BO30" i="9"/>
  <c r="BY22" i="9"/>
  <c r="BN14" i="9"/>
  <c r="BN6" i="9"/>
  <c r="W52" i="9"/>
  <c r="R42" i="9"/>
  <c r="AR34" i="9"/>
  <c r="AL26" i="9"/>
  <c r="AW18" i="9"/>
  <c r="BB10" i="9"/>
  <c r="BD2" i="9"/>
  <c r="BG45" i="9"/>
  <c r="U38" i="9"/>
  <c r="BK30" i="9"/>
  <c r="BE26" i="9"/>
  <c r="AH23" i="9"/>
  <c r="C21" i="9"/>
  <c r="C18" i="9"/>
  <c r="W15" i="9"/>
  <c r="BU12" i="9"/>
  <c r="D10" i="9"/>
  <c r="U7" i="9"/>
  <c r="BW4" i="9"/>
  <c r="G2" i="9"/>
  <c r="V53" i="9"/>
  <c r="N48" i="9"/>
  <c r="J45" i="9"/>
  <c r="BA42" i="9"/>
  <c r="AF40" i="9"/>
  <c r="AV37" i="9"/>
  <c r="E35" i="9"/>
  <c r="AP32" i="9"/>
  <c r="AT29" i="9"/>
  <c r="BX26" i="9"/>
  <c r="AS24" i="9"/>
  <c r="BN21" i="9"/>
  <c r="BK19" i="9"/>
  <c r="BI17" i="9"/>
  <c r="AZ15" i="9"/>
  <c r="BG13" i="9"/>
  <c r="BQ11" i="9"/>
  <c r="BH9" i="9"/>
  <c r="AV7" i="9"/>
  <c r="BC5" i="9"/>
  <c r="BO3" i="9"/>
  <c r="BO1" i="9"/>
  <c r="V54" i="9"/>
  <c r="M50" i="9"/>
  <c r="A47" i="9"/>
  <c r="A45" i="9"/>
  <c r="K43" i="9"/>
  <c r="W41" i="9"/>
  <c r="AG39" i="9"/>
  <c r="AM37" i="9"/>
  <c r="AQ35" i="9"/>
  <c r="AM33" i="9"/>
  <c r="AN31" i="9"/>
  <c r="AJ29" i="9"/>
  <c r="AG27" i="9"/>
  <c r="AL25" i="9"/>
  <c r="AW23" i="9"/>
  <c r="BD21" i="9"/>
  <c r="AU19" i="9"/>
  <c r="BH17" i="9"/>
  <c r="J16" i="9"/>
  <c r="BA14" i="9"/>
  <c r="AM13" i="9"/>
  <c r="H12" i="9"/>
  <c r="BH10" i="9"/>
  <c r="AL9" i="9"/>
  <c r="AY6" i="9"/>
  <c r="BJ2" i="9"/>
  <c r="BV3" i="9"/>
  <c r="AH1" i="9"/>
  <c r="BA212" i="9"/>
  <c r="AL129" i="9"/>
  <c r="AO155" i="9"/>
  <c r="AQ112" i="9"/>
  <c r="BW111" i="9"/>
  <c r="H97" i="9"/>
  <c r="AA87" i="9"/>
  <c r="AR78" i="9"/>
  <c r="AP93" i="9"/>
  <c r="AS82" i="9"/>
  <c r="BA71" i="9"/>
  <c r="AG61" i="9"/>
  <c r="W53" i="9"/>
  <c r="W130" i="9"/>
  <c r="AW101" i="9"/>
  <c r="BJ92" i="9"/>
  <c r="BR84" i="9"/>
  <c r="A77" i="9"/>
  <c r="BR68" i="9"/>
  <c r="L61" i="9"/>
  <c r="AE133" i="9"/>
  <c r="BH102" i="9"/>
  <c r="AV93" i="9"/>
  <c r="AR85" i="9"/>
  <c r="AV77" i="9"/>
  <c r="AQ69" i="9"/>
  <c r="BQ61" i="9"/>
  <c r="BK53" i="9"/>
  <c r="AZ51" i="9"/>
  <c r="BT41" i="9"/>
  <c r="U34" i="9"/>
  <c r="M26" i="9"/>
  <c r="AA18" i="9"/>
  <c r="AD10" i="9"/>
  <c r="AF2" i="9"/>
  <c r="AR45" i="9"/>
  <c r="G38" i="9"/>
  <c r="G30" i="9"/>
  <c r="V22" i="9"/>
  <c r="M14" i="9"/>
  <c r="L6" i="9"/>
  <c r="I51" i="9"/>
  <c r="AZ41" i="9"/>
  <c r="BY33" i="9"/>
  <c r="BR25" i="9"/>
  <c r="F18" i="9"/>
  <c r="I10" i="9"/>
  <c r="J2" i="9"/>
  <c r="W45" i="9"/>
  <c r="BL37" i="9"/>
  <c r="BJ29" i="9"/>
  <c r="A22" i="9"/>
  <c r="BR13" i="9"/>
  <c r="BQ5" i="9"/>
  <c r="V50" i="9"/>
  <c r="Z41" i="9"/>
  <c r="AP33" i="9"/>
  <c r="AO25" i="9"/>
  <c r="BB17" i="9"/>
  <c r="AW9" i="9"/>
  <c r="BI1" i="9"/>
  <c r="BK44" i="9"/>
  <c r="U37" i="9"/>
  <c r="U30" i="9"/>
  <c r="P26" i="9"/>
  <c r="F23" i="9"/>
  <c r="AM20" i="9"/>
  <c r="BR17" i="9"/>
  <c r="BT14" i="9"/>
  <c r="AL12" i="9"/>
  <c r="BS9" i="9"/>
  <c r="BT6" i="9"/>
  <c r="AL4" i="9"/>
  <c r="BX1" i="9"/>
  <c r="AL52" i="9"/>
  <c r="AO47" i="9"/>
  <c r="B45" i="9"/>
  <c r="Z42" i="9"/>
  <c r="BX39" i="9"/>
  <c r="AN37" i="9"/>
  <c r="AZ34" i="9"/>
  <c r="B32" i="9"/>
  <c r="AL29" i="9"/>
  <c r="AR26" i="9"/>
  <c r="J24" i="9"/>
  <c r="BF21" i="9"/>
  <c r="AV19" i="9"/>
  <c r="AZ17" i="9"/>
  <c r="AP15" i="9"/>
  <c r="AV13" i="9"/>
  <c r="BG11" i="9"/>
  <c r="AU9" i="9"/>
  <c r="AN7" i="9"/>
  <c r="AS5" i="9"/>
  <c r="AZ3" i="9"/>
  <c r="BG1" i="9"/>
  <c r="C54" i="9"/>
  <c r="BU49" i="9"/>
  <c r="BQ46" i="9"/>
  <c r="BQ44" i="9"/>
  <c r="C43" i="9"/>
  <c r="O41" i="9"/>
  <c r="W39" i="9"/>
  <c r="AC37" i="9"/>
  <c r="AG35" i="9"/>
  <c r="AE33" i="9"/>
  <c r="AE31" i="9"/>
  <c r="R29" i="9"/>
  <c r="X27" i="9"/>
  <c r="AD25" i="9"/>
  <c r="AO23" i="9"/>
  <c r="AT21" i="9"/>
  <c r="AM19" i="9"/>
  <c r="AW17" i="9"/>
  <c r="BQ15" i="9"/>
  <c r="AQ14" i="9"/>
  <c r="U13" i="9"/>
  <c r="BX11" i="9"/>
  <c r="AW10" i="9"/>
  <c r="J9" i="9"/>
  <c r="AP6" i="9"/>
  <c r="T5" i="9"/>
  <c r="AG197" i="9"/>
  <c r="BA121" i="9"/>
  <c r="AW147" i="9"/>
  <c r="AW96" i="9"/>
  <c r="AN96" i="9"/>
  <c r="BO88" i="9"/>
  <c r="AF79" i="9"/>
  <c r="AG70" i="9"/>
  <c r="BF91" i="9"/>
  <c r="K81" i="9"/>
  <c r="AF70" i="9"/>
  <c r="AD60" i="9"/>
  <c r="T52" i="9"/>
  <c r="AG126" i="9"/>
  <c r="M100" i="9"/>
  <c r="BM91" i="9"/>
  <c r="BU83" i="9"/>
  <c r="BT75" i="9"/>
  <c r="BU67" i="9"/>
  <c r="K60" i="9"/>
  <c r="R129" i="9"/>
  <c r="R101" i="9"/>
  <c r="AN92" i="9"/>
  <c r="AY84" i="9"/>
  <c r="AZ76" i="9"/>
  <c r="AW68" i="9"/>
  <c r="BP60" i="9"/>
  <c r="BD52" i="9"/>
  <c r="AW49" i="9"/>
  <c r="F41" i="9"/>
  <c r="T33" i="9"/>
  <c r="U25" i="9"/>
  <c r="Z17" i="9"/>
  <c r="R9" i="9"/>
  <c r="AO1" i="9"/>
  <c r="AV44" i="9"/>
  <c r="H37" i="9"/>
  <c r="BU28" i="9"/>
  <c r="Z21" i="9"/>
  <c r="R13" i="9"/>
  <c r="R5" i="9"/>
  <c r="E49" i="9"/>
  <c r="BK40" i="9"/>
  <c r="BY32" i="9"/>
  <c r="A25" i="9"/>
  <c r="BY16" i="9"/>
  <c r="BX8" i="9"/>
  <c r="W1" i="9"/>
  <c r="AB44" i="9"/>
  <c r="BN36" i="9"/>
  <c r="BA28" i="9"/>
  <c r="E21" i="9"/>
  <c r="BX12" i="9"/>
  <c r="BY4" i="9"/>
  <c r="U48" i="9"/>
  <c r="AH40" i="9"/>
  <c r="AR32" i="9"/>
  <c r="AU24" i="9"/>
  <c r="AR16" i="9"/>
  <c r="AN8" i="9"/>
  <c r="BR56" i="9"/>
  <c r="BL43" i="9"/>
  <c r="AA36" i="9"/>
  <c r="BH29" i="9"/>
  <c r="BF25" i="9"/>
  <c r="BU22" i="9"/>
  <c r="G20" i="9"/>
  <c r="AC17" i="9"/>
  <c r="BL14" i="9"/>
  <c r="J12" i="9"/>
  <c r="Z9" i="9"/>
  <c r="BK6" i="9"/>
  <c r="I4" i="9"/>
  <c r="AR1" i="9"/>
  <c r="S52" i="9"/>
  <c r="K47" i="9"/>
  <c r="AQ44" i="9"/>
  <c r="O42" i="9"/>
  <c r="AS39" i="9"/>
  <c r="B37" i="9"/>
  <c r="AP34" i="9"/>
  <c r="AW31" i="9"/>
  <c r="BP28" i="9"/>
  <c r="AI26" i="9"/>
  <c r="BI23" i="9"/>
  <c r="AM21" i="9"/>
  <c r="AB19" i="9"/>
  <c r="AB17" i="9"/>
  <c r="V15" i="9"/>
  <c r="AE13" i="9"/>
  <c r="AN11" i="9"/>
  <c r="X9" i="9"/>
  <c r="T7" i="9"/>
  <c r="AC5" i="9"/>
  <c r="AE3" i="9"/>
  <c r="AQ1" i="9"/>
  <c r="AL53" i="9"/>
  <c r="AE49" i="9"/>
  <c r="AR46" i="9"/>
  <c r="AZ44" i="9"/>
  <c r="BK42" i="9"/>
  <c r="BX40" i="9"/>
  <c r="E39" i="9"/>
  <c r="J37" i="9"/>
  <c r="M35" i="9"/>
  <c r="L33" i="9"/>
  <c r="K31" i="9"/>
  <c r="BX28" i="9"/>
  <c r="F27" i="9"/>
  <c r="L25" i="9"/>
  <c r="V23" i="9"/>
  <c r="AB21" i="9"/>
  <c r="N19" i="9"/>
  <c r="AO17" i="9"/>
  <c r="AW15" i="9"/>
  <c r="AG14" i="9"/>
  <c r="C13" i="9"/>
  <c r="BP11" i="9"/>
  <c r="AO10" i="9"/>
  <c r="BR8" i="9"/>
  <c r="AU7" i="9"/>
  <c r="AG6" i="9"/>
  <c r="D5" i="9"/>
  <c r="BL3" i="9"/>
  <c r="AQ2" i="9"/>
  <c r="R1" i="9"/>
  <c r="BT4" i="9"/>
  <c r="W2" i="9"/>
  <c r="AG154" i="9"/>
  <c r="BE113" i="9"/>
  <c r="BP139" i="9"/>
  <c r="AD88" i="9"/>
  <c r="R88" i="9"/>
  <c r="BM80" i="9"/>
  <c r="O71" i="9"/>
  <c r="BF62" i="9"/>
  <c r="AL90" i="9"/>
  <c r="BO79" i="9"/>
  <c r="L69" i="9"/>
  <c r="AJ59" i="9"/>
  <c r="T51" i="9"/>
  <c r="AH122" i="9"/>
  <c r="G99" i="9"/>
  <c r="BP90" i="9"/>
  <c r="B83" i="9"/>
  <c r="BE74" i="9"/>
  <c r="BV66" i="9"/>
  <c r="Q59" i="9"/>
  <c r="AC125" i="9"/>
  <c r="BO99" i="9"/>
  <c r="AS91" i="9"/>
  <c r="BD83" i="9"/>
  <c r="AV75" i="9"/>
  <c r="BA67" i="9"/>
  <c r="BQ59" i="9"/>
  <c r="BC51" i="9"/>
  <c r="BH47" i="9"/>
  <c r="M40" i="9"/>
  <c r="V32" i="9"/>
  <c r="AA24" i="9"/>
  <c r="Q16" i="9"/>
  <c r="N8" i="9"/>
  <c r="G56" i="9"/>
  <c r="AX43" i="9"/>
  <c r="K36" i="9"/>
  <c r="BY27" i="9"/>
  <c r="AA20" i="9"/>
  <c r="W12" i="9"/>
  <c r="W4" i="9"/>
  <c r="AH47" i="9"/>
  <c r="BS39" i="9"/>
  <c r="BU31" i="9"/>
  <c r="F24" i="9"/>
  <c r="BW15" i="9"/>
  <c r="BS7" i="9"/>
  <c r="BR54" i="9"/>
  <c r="AF43" i="9"/>
  <c r="BO35" i="9"/>
  <c r="BF27" i="9"/>
  <c r="A20" i="9"/>
  <c r="C12" i="9"/>
  <c r="B4" i="9"/>
  <c r="D47" i="9"/>
  <c r="AJ39" i="9"/>
  <c r="AQ31" i="9"/>
  <c r="BA23" i="9"/>
  <c r="AR15" i="9"/>
  <c r="AP7" i="9"/>
  <c r="BO53" i="9"/>
  <c r="BV42" i="9"/>
  <c r="AA35" i="9"/>
  <c r="J29" i="9"/>
  <c r="X25" i="9"/>
  <c r="AI22" i="9"/>
  <c r="BV19" i="9"/>
  <c r="BT16" i="9"/>
  <c r="AA14" i="9"/>
  <c r="A12" i="9"/>
  <c r="BT8" i="9"/>
  <c r="AA6" i="9"/>
  <c r="BY3" i="9"/>
  <c r="T1" i="9"/>
  <c r="R51" i="9"/>
  <c r="B47" i="9"/>
  <c r="N44" i="9"/>
  <c r="BE41" i="9"/>
  <c r="AH39" i="9"/>
  <c r="AZ36" i="9"/>
  <c r="D34" i="9"/>
  <c r="AO31" i="9"/>
  <c r="AN28" i="9"/>
  <c r="BX25" i="9"/>
  <c r="AY23" i="9"/>
  <c r="R21" i="9"/>
  <c r="G19" i="9"/>
  <c r="D17" i="9"/>
  <c r="C15" i="9"/>
  <c r="L13" i="9"/>
  <c r="K11" i="9"/>
  <c r="C9" i="9"/>
  <c r="B7" i="9"/>
  <c r="M5" i="9"/>
  <c r="L3" i="9"/>
  <c r="AA1" i="9"/>
  <c r="BY52" i="9"/>
  <c r="BR48" i="9"/>
  <c r="X46" i="9"/>
  <c r="AF44" i="9"/>
  <c r="AP42" i="9"/>
  <c r="BE40" i="9"/>
  <c r="BM38" i="9"/>
  <c r="BR36" i="9"/>
  <c r="BS34" i="9"/>
  <c r="BS32" i="9"/>
  <c r="BS30" i="9"/>
  <c r="BF28" i="9"/>
  <c r="BL26" i="9"/>
  <c r="BS24" i="9"/>
  <c r="D23" i="9"/>
  <c r="I21" i="9"/>
  <c r="BU18" i="9"/>
  <c r="M17" i="9"/>
  <c r="AO15" i="9"/>
  <c r="O14" i="9"/>
  <c r="BS12" i="9"/>
  <c r="BF11" i="9"/>
  <c r="U10" i="9"/>
  <c r="BE8" i="9"/>
  <c r="AM7" i="9"/>
  <c r="N6" i="9"/>
  <c r="AW3" i="9"/>
  <c r="J1" i="9"/>
  <c r="AZ150" i="9"/>
  <c r="BI105" i="9"/>
  <c r="BA131" i="9"/>
  <c r="AF80" i="9"/>
  <c r="W80" i="9"/>
  <c r="AY72" i="9"/>
  <c r="AI63" i="9"/>
  <c r="BD54" i="9"/>
  <c r="L89" i="9"/>
  <c r="AQ78" i="9"/>
  <c r="BN67" i="9"/>
  <c r="AN58" i="9"/>
  <c r="R50" i="9"/>
  <c r="AO118" i="9"/>
  <c r="L98" i="9"/>
  <c r="BQ89" i="9"/>
  <c r="BO81" i="9"/>
  <c r="AZ73" i="9"/>
  <c r="B66" i="9"/>
  <c r="U58" i="9"/>
  <c r="AF121" i="9"/>
  <c r="BN98" i="9"/>
  <c r="AR90" i="9"/>
  <c r="BA82" i="9"/>
  <c r="AI74" i="9"/>
  <c r="BA66" i="9"/>
  <c r="BY58" i="9"/>
  <c r="BD50" i="9"/>
  <c r="BA46" i="9"/>
  <c r="L39" i="9"/>
  <c r="U31" i="9"/>
  <c r="AE23" i="9"/>
  <c r="T15" i="9"/>
  <c r="Q7" i="9"/>
  <c r="AJ53" i="9"/>
  <c r="BI42" i="9"/>
  <c r="K35" i="9"/>
  <c r="D27" i="9"/>
  <c r="L19" i="9"/>
  <c r="P11" i="9"/>
  <c r="R3" i="9"/>
  <c r="AD46" i="9"/>
  <c r="BR38" i="9"/>
  <c r="BY30" i="9"/>
  <c r="I23" i="9"/>
  <c r="BX14" i="9"/>
  <c r="BW6" i="9"/>
  <c r="BO52" i="9"/>
  <c r="AL42" i="9"/>
  <c r="BO34" i="9"/>
  <c r="BH26" i="9"/>
  <c r="BQ18" i="9"/>
  <c r="BT10" i="9"/>
  <c r="BX2" i="9"/>
  <c r="A46" i="9"/>
  <c r="AO38" i="9"/>
  <c r="AO30" i="9"/>
  <c r="BD22" i="9"/>
  <c r="AT14" i="9"/>
  <c r="AS6" i="9"/>
  <c r="BI51" i="9"/>
  <c r="BY41" i="9"/>
  <c r="X34" i="9"/>
  <c r="AW28" i="9"/>
  <c r="BM24" i="9"/>
  <c r="H22" i="9"/>
  <c r="AC19" i="9"/>
  <c r="BL16" i="9"/>
  <c r="BY13" i="9"/>
  <c r="AO11" i="9"/>
  <c r="BH8" i="9"/>
  <c r="BY5" i="9"/>
  <c r="AF3" i="9"/>
  <c r="L1" i="9"/>
  <c r="AJ50" i="9"/>
  <c r="AH46" i="9"/>
  <c r="E44" i="9"/>
  <c r="AF41" i="9"/>
  <c r="BV38" i="9"/>
  <c r="AQ36" i="9"/>
  <c r="AV33" i="9"/>
  <c r="D31" i="9"/>
  <c r="AD28" i="9"/>
  <c r="AU25" i="9"/>
  <c r="M23" i="9"/>
  <c r="BQ20" i="9"/>
  <c r="BF18" i="9"/>
  <c r="AZ16" i="9"/>
  <c r="BB14" i="9"/>
  <c r="BL12" i="9"/>
  <c r="BI10" i="9"/>
  <c r="AT8" i="9"/>
  <c r="AZ6" i="9"/>
  <c r="BL4" i="9"/>
  <c r="BK2" i="9"/>
  <c r="C1" i="9"/>
  <c r="O52" i="9"/>
  <c r="K48" i="9"/>
  <c r="BU45" i="9"/>
  <c r="D44" i="9"/>
  <c r="N42" i="9"/>
  <c r="AE40" i="9"/>
  <c r="AL38" i="9"/>
  <c r="AP36" i="9"/>
  <c r="AO34" i="9"/>
  <c r="AO32" i="9"/>
  <c r="AL30" i="9"/>
  <c r="AC28" i="9"/>
  <c r="AH26" i="9"/>
  <c r="AR24" i="9"/>
  <c r="BA22" i="9"/>
  <c r="BC20" i="9"/>
  <c r="AT18" i="9"/>
  <c r="BR16" i="9"/>
  <c r="AE15" i="9"/>
  <c r="BV13" i="9"/>
  <c r="BK12" i="9"/>
  <c r="AU11" i="9"/>
  <c r="B10" i="9"/>
  <c r="AS8" i="9"/>
  <c r="AC7" i="9"/>
  <c r="BV5" i="9"/>
  <c r="BK4" i="9"/>
  <c r="AM3" i="9"/>
  <c r="E2" i="9"/>
  <c r="B1" i="9"/>
  <c r="BH21" i="9"/>
  <c r="W33" i="9"/>
  <c r="AD24" i="9"/>
  <c r="BX18" i="9"/>
  <c r="BP13" i="9"/>
  <c r="C11" i="9"/>
  <c r="R8" i="9"/>
  <c r="E3" i="9"/>
  <c r="AO55" i="9"/>
  <c r="P50" i="9"/>
  <c r="G46" i="9"/>
  <c r="X41" i="9"/>
  <c r="AU38" i="9"/>
  <c r="F36" i="9"/>
  <c r="AN33" i="9"/>
  <c r="AU30" i="9"/>
  <c r="AM25" i="9"/>
  <c r="BK22" i="9"/>
  <c r="BD20" i="9"/>
  <c r="AU18" i="9"/>
  <c r="AP16" i="9"/>
  <c r="AR14" i="9"/>
  <c r="BC12" i="9"/>
  <c r="AL8" i="9"/>
  <c r="AQ6" i="9"/>
  <c r="BC4" i="9"/>
  <c r="BB2" i="9"/>
  <c r="AP150" i="9"/>
  <c r="E158" i="9"/>
  <c r="BI123" i="9"/>
  <c r="P72" i="9"/>
  <c r="G72" i="9"/>
  <c r="BT64" i="9"/>
  <c r="BA140" i="9"/>
  <c r="AQ142" i="9"/>
  <c r="BK87" i="9"/>
  <c r="R77" i="9"/>
  <c r="AT66" i="9"/>
  <c r="AP57" i="9"/>
  <c r="O49" i="9"/>
  <c r="AQ114" i="9"/>
  <c r="L97" i="9"/>
  <c r="BS88" i="9"/>
  <c r="BQ80" i="9"/>
  <c r="BE72" i="9"/>
  <c r="BX64" i="9"/>
  <c r="Y57" i="9"/>
  <c r="AG117" i="9"/>
  <c r="BQ97" i="9"/>
  <c r="AS89" i="9"/>
  <c r="AQ81" i="9"/>
  <c r="AF73" i="9"/>
  <c r="BD65" i="9"/>
  <c r="A58" i="9"/>
  <c r="BD49" i="9"/>
  <c r="BC45" i="9"/>
  <c r="P38" i="9"/>
  <c r="P30" i="9"/>
  <c r="AF22" i="9"/>
  <c r="W14" i="9"/>
  <c r="V6" i="9"/>
  <c r="AE51" i="9"/>
  <c r="BK41" i="9"/>
  <c r="J34" i="9"/>
  <c r="D26" i="9"/>
  <c r="P18" i="9"/>
  <c r="R10" i="9"/>
  <c r="U2" i="9"/>
  <c r="AG45" i="9"/>
  <c r="BU37" i="9"/>
  <c r="BU29" i="9"/>
  <c r="K22" i="9"/>
  <c r="C14" i="9"/>
  <c r="C6" i="9"/>
  <c r="BK50" i="9"/>
  <c r="AQ41" i="9"/>
  <c r="BO33" i="9"/>
  <c r="BI25" i="9"/>
  <c r="BT17" i="9"/>
  <c r="BU9" i="9"/>
  <c r="A2" i="9"/>
  <c r="D45" i="9"/>
  <c r="AP37" i="9"/>
  <c r="AN29" i="9"/>
  <c r="AY13" i="9"/>
  <c r="AU5" i="9"/>
  <c r="BI49" i="9"/>
  <c r="I41" i="9"/>
  <c r="M28" i="9"/>
  <c r="BX21" i="9"/>
  <c r="U16" i="9"/>
  <c r="BO5" i="9"/>
  <c r="AS43" i="9"/>
  <c r="BS27" i="9"/>
  <c r="AZ10" i="9"/>
  <c r="BT51" i="9"/>
  <c r="BS47" i="9"/>
  <c r="BM45" i="9"/>
  <c r="BS43" i="9"/>
  <c r="F42" i="9"/>
  <c r="W40" i="9"/>
  <c r="AC38" i="9"/>
  <c r="AG36" i="9"/>
  <c r="AE34" i="9"/>
  <c r="AG32" i="9"/>
  <c r="AC30" i="9"/>
  <c r="T28" i="9"/>
  <c r="Z26" i="9"/>
  <c r="AJ24" i="9"/>
  <c r="AQ22" i="9"/>
  <c r="AS20" i="9"/>
  <c r="AL18" i="9"/>
  <c r="AW16" i="9"/>
  <c r="K15" i="9"/>
  <c r="BN13" i="9"/>
  <c r="BB12" i="9"/>
  <c r="W11" i="9"/>
  <c r="BQ9" i="9"/>
  <c r="AJ8" i="9"/>
  <c r="J7" i="9"/>
  <c r="BM5" i="9"/>
  <c r="BB4" i="9"/>
  <c r="U3" i="9"/>
  <c r="BV1" i="9"/>
  <c r="A1" i="7"/>
  <c r="BT149" i="9"/>
  <c r="AW149" i="9"/>
  <c r="C116" i="9"/>
  <c r="AM64" i="9"/>
  <c r="AB64" i="9"/>
  <c r="AT146" i="9"/>
  <c r="X105" i="9"/>
  <c r="J106" i="9"/>
  <c r="AR86" i="9"/>
  <c r="BK75" i="9"/>
  <c r="T65" i="9"/>
  <c r="AQ56" i="9"/>
  <c r="O48" i="9"/>
  <c r="AV110" i="9"/>
  <c r="M96" i="9"/>
  <c r="BT87" i="9"/>
  <c r="BY79" i="9"/>
  <c r="BI71" i="9"/>
  <c r="D64" i="9"/>
  <c r="W56" i="9"/>
  <c r="AL113" i="9"/>
  <c r="BR96" i="9"/>
  <c r="AV88" i="9"/>
  <c r="AW80" i="9"/>
  <c r="AJ72" i="9"/>
  <c r="BG64" i="9"/>
  <c r="G57" i="9"/>
  <c r="BA48" i="9"/>
  <c r="BH44" i="9"/>
  <c r="Q37" i="9"/>
  <c r="G29" i="9"/>
  <c r="AI21" i="9"/>
  <c r="AC13" i="9"/>
  <c r="AA5" i="9"/>
  <c r="AC49" i="9"/>
  <c r="BT40" i="9"/>
  <c r="J33" i="9"/>
  <c r="J25" i="9"/>
  <c r="K17" i="9"/>
  <c r="H9" i="9"/>
  <c r="AF1" i="9"/>
  <c r="AM44" i="9"/>
  <c r="BW36" i="9"/>
  <c r="BK28" i="9"/>
  <c r="N21" i="9"/>
  <c r="H13" i="9"/>
  <c r="I5" i="9"/>
  <c r="BI48" i="9"/>
  <c r="AZ40" i="9"/>
  <c r="BO32" i="9"/>
  <c r="BO24" i="9"/>
  <c r="BN16" i="9"/>
  <c r="BL8" i="9"/>
  <c r="N1" i="9"/>
  <c r="H44" i="9"/>
  <c r="AS36" i="9"/>
  <c r="AF28" i="9"/>
  <c r="BK20" i="9"/>
  <c r="BF12" i="9"/>
  <c r="BF4" i="9"/>
  <c r="BK47" i="9"/>
  <c r="P40" i="9"/>
  <c r="AA32" i="9"/>
  <c r="BC27" i="9"/>
  <c r="C24" i="9"/>
  <c r="AN21" i="9"/>
  <c r="BO18" i="9"/>
  <c r="BS15" i="9"/>
  <c r="AF13" i="9"/>
  <c r="BR10" i="9"/>
  <c r="BP7" i="9"/>
  <c r="AD5" i="9"/>
  <c r="BU2" i="9"/>
  <c r="AQ54" i="9"/>
  <c r="N49" i="9"/>
  <c r="BX45" i="9"/>
  <c r="U43" i="9"/>
  <c r="BO40" i="9"/>
  <c r="AM38" i="9"/>
  <c r="BB35" i="9"/>
  <c r="D33" i="9"/>
  <c r="AM30" i="9"/>
  <c r="AR27" i="9"/>
  <c r="E25" i="9"/>
  <c r="BB22" i="9"/>
  <c r="AL20" i="9"/>
  <c r="AC18" i="9"/>
  <c r="T16" i="9"/>
  <c r="Z14" i="9"/>
  <c r="AI12" i="9"/>
  <c r="AF10" i="9"/>
  <c r="P8" i="9"/>
  <c r="Z6" i="9"/>
  <c r="AI4" i="9"/>
  <c r="AH2" i="9"/>
  <c r="R56" i="9"/>
  <c r="AG51" i="9"/>
  <c r="AW47" i="9"/>
  <c r="AT45" i="9"/>
  <c r="AZ43" i="9"/>
  <c r="BM41" i="9"/>
  <c r="F40" i="9"/>
  <c r="I38" i="9"/>
  <c r="M36" i="9"/>
  <c r="L34" i="9"/>
  <c r="L32" i="9"/>
  <c r="I30" i="9"/>
  <c r="B28" i="9"/>
  <c r="F26" i="9"/>
  <c r="R24" i="9"/>
  <c r="X22" i="9"/>
  <c r="AC20" i="9"/>
  <c r="R18" i="9"/>
  <c r="AO16" i="9"/>
  <c r="BR14" i="9"/>
  <c r="BF13" i="9"/>
  <c r="AR12" i="9"/>
  <c r="A11" i="9"/>
  <c r="BF9" i="9"/>
  <c r="AB8" i="9"/>
  <c r="BR6" i="9"/>
  <c r="AZ5" i="9"/>
  <c r="AR4" i="9"/>
  <c r="C3" i="9"/>
  <c r="BN1" i="9"/>
  <c r="I152" i="9"/>
  <c r="BM141" i="9"/>
  <c r="BT107" i="9"/>
  <c r="BL56" i="9"/>
  <c r="AU56" i="9"/>
  <c r="L108" i="9"/>
  <c r="AU94" i="9"/>
  <c r="D98" i="9"/>
  <c r="J85" i="9"/>
  <c r="AC74" i="9"/>
  <c r="BU63" i="9"/>
  <c r="AD55" i="9"/>
  <c r="AB143" i="9"/>
  <c r="AS106" i="9"/>
  <c r="A95" i="9"/>
  <c r="BT86" i="9"/>
  <c r="BY78" i="9"/>
  <c r="BI70" i="9"/>
  <c r="F63" i="9"/>
  <c r="E55" i="9"/>
  <c r="AN109" i="9"/>
  <c r="BR95" i="9"/>
  <c r="AV87" i="9"/>
  <c r="BD79" i="9"/>
  <c r="AO71" i="9"/>
  <c r="BI63" i="9"/>
  <c r="C56" i="9"/>
  <c r="AT56" i="9"/>
  <c r="BI43" i="9"/>
  <c r="V36" i="9"/>
  <c r="J28" i="9"/>
  <c r="AJ20" i="9"/>
  <c r="AG12" i="9"/>
  <c r="AG4" i="9"/>
  <c r="AT47" i="9"/>
  <c r="D40" i="9"/>
  <c r="H32" i="9"/>
  <c r="O24" i="9"/>
  <c r="H16" i="9"/>
  <c r="E8" i="9"/>
  <c r="W55" i="9"/>
  <c r="AO43" i="9"/>
  <c r="B36" i="9"/>
  <c r="BO27" i="9"/>
  <c r="L20" i="9"/>
  <c r="M12" i="9"/>
  <c r="L4" i="9"/>
  <c r="X47" i="9"/>
  <c r="BG39" i="9"/>
  <c r="BK31" i="9"/>
  <c r="BU23" i="9"/>
  <c r="BM15" i="9"/>
  <c r="BJ7" i="9"/>
  <c r="AD54" i="9"/>
  <c r="N43" i="9"/>
  <c r="AT35" i="9"/>
  <c r="AL27" i="9"/>
  <c r="AZ19" i="9"/>
  <c r="BK11" i="9"/>
  <c r="BD3" i="9"/>
  <c r="BF46" i="9"/>
  <c r="O39" i="9"/>
  <c r="X31" i="9"/>
  <c r="Q27" i="9"/>
  <c r="BS23" i="9"/>
  <c r="K21" i="9"/>
  <c r="AD18" i="9"/>
  <c r="BK15" i="9"/>
  <c r="E13" i="9"/>
  <c r="AG10" i="9"/>
  <c r="BH7" i="9"/>
  <c r="F5" i="9"/>
  <c r="AI2" i="9"/>
  <c r="Z54" i="9"/>
  <c r="AI48" i="9"/>
  <c r="AM45" i="9"/>
  <c r="L43" i="9"/>
  <c r="AN40" i="9"/>
  <c r="B38" i="9"/>
  <c r="AR35" i="9"/>
  <c r="AX32" i="9"/>
  <c r="B30" i="9"/>
  <c r="AH27" i="9"/>
  <c r="BC24" i="9"/>
  <c r="O22" i="9"/>
  <c r="R20" i="9"/>
  <c r="K18" i="9"/>
  <c r="B16" i="9"/>
  <c r="H14" i="9"/>
  <c r="Q12" i="9"/>
  <c r="M10" i="9"/>
  <c r="BY7" i="9"/>
  <c r="G6" i="9"/>
  <c r="P4" i="9"/>
  <c r="N2" i="9"/>
  <c r="B55" i="9"/>
  <c r="BU50" i="9"/>
  <c r="AC47" i="9"/>
  <c r="AB45" i="9"/>
  <c r="AJ43" i="9"/>
  <c r="AU41" i="9"/>
  <c r="BN39" i="9"/>
  <c r="BP37" i="9"/>
  <c r="BS35" i="9"/>
  <c r="BS33" i="9"/>
  <c r="BP31" i="9"/>
  <c r="BP29" i="9"/>
  <c r="BJ27" i="9"/>
  <c r="BM25" i="9"/>
  <c r="A24" i="9"/>
  <c r="E22" i="9"/>
  <c r="E20" i="9"/>
  <c r="A18" i="9"/>
  <c r="AE16" i="9"/>
  <c r="BJ14" i="9"/>
  <c r="AU13" i="9"/>
  <c r="Z12" i="9"/>
  <c r="BP10" i="9"/>
  <c r="AT9" i="9"/>
  <c r="G8" i="9"/>
  <c r="BI6" i="9"/>
  <c r="AR5" i="9"/>
  <c r="Z4" i="9"/>
  <c r="BS2" i="9"/>
  <c r="BF1" i="9"/>
  <c r="BN7" i="9"/>
  <c r="AJ5" i="9"/>
  <c r="F4" i="9"/>
  <c r="AX1" i="9"/>
  <c r="BF7" i="9"/>
  <c r="BA2" i="9"/>
  <c r="G1000" i="10" l="1"/>
  <c r="G971" i="10"/>
  <c r="G939" i="10"/>
  <c r="G907" i="10"/>
  <c r="G875" i="10"/>
  <c r="G843" i="10"/>
  <c r="G811" i="10"/>
  <c r="G779" i="10"/>
  <c r="G747" i="10"/>
  <c r="G715" i="10"/>
  <c r="G683" i="10"/>
  <c r="G990" i="10"/>
  <c r="G958" i="10"/>
  <c r="G993" i="10"/>
  <c r="G961" i="10"/>
  <c r="G929" i="10"/>
  <c r="G897" i="10"/>
  <c r="G865" i="10"/>
  <c r="G833" i="10"/>
  <c r="G801" i="10"/>
  <c r="G769" i="10"/>
  <c r="G737" i="10"/>
  <c r="G705" i="10"/>
  <c r="G673" i="10"/>
  <c r="G892" i="10"/>
  <c r="G764" i="10"/>
  <c r="G838" i="10"/>
  <c r="G710" i="10"/>
  <c r="G896" i="10"/>
  <c r="G768" i="10"/>
  <c r="G653" i="10"/>
  <c r="G621" i="10"/>
  <c r="G922" i="10"/>
  <c r="G794" i="10"/>
  <c r="G868" i="10"/>
  <c r="G740" i="10"/>
  <c r="G648" i="10"/>
  <c r="G616" i="10"/>
  <c r="G894" i="10"/>
  <c r="G766" i="10"/>
  <c r="G956" i="10"/>
  <c r="G808" i="10"/>
  <c r="G680" i="10"/>
  <c r="G635" i="10"/>
  <c r="G603" i="10"/>
  <c r="G850" i="10"/>
  <c r="G722" i="10"/>
  <c r="G730" i="10"/>
  <c r="G684" i="10"/>
  <c r="G642" i="10"/>
  <c r="G999" i="10"/>
  <c r="G967" i="10"/>
  <c r="G935" i="10"/>
  <c r="G903" i="10"/>
  <c r="G871" i="10"/>
  <c r="G839" i="10"/>
  <c r="G807" i="10"/>
  <c r="G775" i="10"/>
  <c r="G743" i="10"/>
  <c r="G711" i="10"/>
  <c r="G679" i="10"/>
  <c r="G986" i="10"/>
  <c r="G954" i="10"/>
  <c r="G989" i="10"/>
  <c r="G957" i="10"/>
  <c r="G925" i="10"/>
  <c r="G893" i="10"/>
  <c r="G861" i="10"/>
  <c r="G829" i="10"/>
  <c r="G797" i="10"/>
  <c r="G765" i="10"/>
  <c r="G733" i="10"/>
  <c r="G701" i="10"/>
  <c r="G669" i="10"/>
  <c r="G876" i="10"/>
  <c r="G992" i="10"/>
  <c r="G822" i="10"/>
  <c r="G694" i="10"/>
  <c r="G880" i="10"/>
  <c r="G752" i="10"/>
  <c r="G649" i="10"/>
  <c r="G617" i="10"/>
  <c r="G906" i="10"/>
  <c r="G778" i="10"/>
  <c r="G852" i="10"/>
  <c r="G724" i="10"/>
  <c r="G644" i="10"/>
  <c r="G612" i="10"/>
  <c r="G878" i="10"/>
  <c r="G750" i="10"/>
  <c r="G920" i="10"/>
  <c r="G792" i="10"/>
  <c r="G664" i="10"/>
  <c r="G631" i="10"/>
  <c r="G968" i="10"/>
  <c r="G834" i="10"/>
  <c r="G706" i="10"/>
  <c r="G700" i="10"/>
  <c r="G650" i="10"/>
  <c r="G610" i="10"/>
  <c r="G995" i="10"/>
  <c r="G963" i="10"/>
  <c r="G931" i="10"/>
  <c r="G899" i="10"/>
  <c r="G867" i="10"/>
  <c r="G835" i="10"/>
  <c r="G803" i="10"/>
  <c r="G771" i="10"/>
  <c r="G739" i="10"/>
  <c r="G707" i="10"/>
  <c r="G675" i="10"/>
  <c r="G982" i="10"/>
  <c r="G950" i="10"/>
  <c r="G985" i="10"/>
  <c r="G953" i="10"/>
  <c r="G921" i="10"/>
  <c r="G889" i="10"/>
  <c r="G857" i="10"/>
  <c r="G825" i="10"/>
  <c r="G793" i="10"/>
  <c r="G761" i="10"/>
  <c r="G729" i="10"/>
  <c r="G697" i="10"/>
  <c r="G665" i="10"/>
  <c r="G860" i="10"/>
  <c r="G960" i="10"/>
  <c r="G806" i="10"/>
  <c r="G678" i="10"/>
  <c r="G864" i="10"/>
  <c r="G736" i="10"/>
  <c r="G645" i="10"/>
  <c r="G613" i="10"/>
  <c r="G890" i="10"/>
  <c r="G996" i="10"/>
  <c r="G836" i="10"/>
  <c r="G708" i="10"/>
  <c r="G640" i="10"/>
  <c r="G608" i="10"/>
  <c r="G862" i="10"/>
  <c r="G734" i="10"/>
  <c r="G904" i="10"/>
  <c r="G776" i="10"/>
  <c r="G659" i="10"/>
  <c r="G627" i="10"/>
  <c r="G936" i="10"/>
  <c r="G818" i="10"/>
  <c r="G690" i="10"/>
  <c r="G658" i="10"/>
  <c r="G618" i="10"/>
  <c r="G634" i="10"/>
  <c r="G991" i="10"/>
  <c r="G959" i="10"/>
  <c r="G927" i="10"/>
  <c r="G895" i="10"/>
  <c r="G863" i="10"/>
  <c r="G831" i="10"/>
  <c r="G799" i="10"/>
  <c r="G767" i="10"/>
  <c r="G735" i="10"/>
  <c r="G703" i="10"/>
  <c r="G671" i="10"/>
  <c r="G978" i="10"/>
  <c r="G946" i="10"/>
  <c r="G981" i="10"/>
  <c r="G949" i="10"/>
  <c r="G917" i="10"/>
  <c r="G885" i="10"/>
  <c r="G853" i="10"/>
  <c r="G821" i="10"/>
  <c r="G789" i="10"/>
  <c r="G757" i="10"/>
  <c r="G725" i="10"/>
  <c r="G693" i="10"/>
  <c r="G661" i="10"/>
  <c r="G844" i="10"/>
  <c r="G918" i="10"/>
  <c r="G790" i="10"/>
  <c r="G662" i="10"/>
  <c r="G848" i="10"/>
  <c r="G720" i="10"/>
  <c r="G641" i="10"/>
  <c r="G609" i="10"/>
  <c r="G874" i="10"/>
  <c r="G964" i="10"/>
  <c r="G820" i="10"/>
  <c r="G692" i="10"/>
  <c r="G636" i="10"/>
  <c r="G604" i="10"/>
  <c r="G846" i="10"/>
  <c r="G718" i="10"/>
  <c r="G888" i="10"/>
  <c r="G760" i="10"/>
  <c r="G655" i="10"/>
  <c r="G623" i="10"/>
  <c r="G930" i="10"/>
  <c r="G802" i="10"/>
  <c r="G674" i="10"/>
  <c r="G626" i="10"/>
  <c r="G762" i="10"/>
  <c r="G602" i="10"/>
  <c r="G987" i="10"/>
  <c r="G955" i="10"/>
  <c r="G923" i="10"/>
  <c r="G891" i="10"/>
  <c r="G859" i="10"/>
  <c r="G827" i="10"/>
  <c r="G795" i="10"/>
  <c r="G763" i="10"/>
  <c r="G731" i="10"/>
  <c r="G699" i="10"/>
  <c r="G667" i="10"/>
  <c r="G974" i="10"/>
  <c r="G942" i="10"/>
  <c r="G977" i="10"/>
  <c r="G945" i="10"/>
  <c r="G913" i="10"/>
  <c r="G881" i="10"/>
  <c r="G849" i="10"/>
  <c r="G817" i="10"/>
  <c r="G785" i="10"/>
  <c r="G753" i="10"/>
  <c r="G721" i="10"/>
  <c r="G689" i="10"/>
  <c r="G980" i="10"/>
  <c r="G828" i="10"/>
  <c r="G902" i="10"/>
  <c r="G774" i="10"/>
  <c r="G972" i="10"/>
  <c r="G832" i="10"/>
  <c r="G704" i="10"/>
  <c r="G637" i="10"/>
  <c r="G605" i="10"/>
  <c r="G858" i="10"/>
  <c r="G932" i="10"/>
  <c r="G804" i="10"/>
  <c r="G676" i="10"/>
  <c r="G632" i="10"/>
  <c r="G976" i="10"/>
  <c r="G830" i="10"/>
  <c r="G702" i="10"/>
  <c r="G872" i="10"/>
  <c r="G744" i="10"/>
  <c r="G651" i="10"/>
  <c r="G619" i="10"/>
  <c r="G914" i="10"/>
  <c r="G786" i="10"/>
  <c r="G746" i="10"/>
  <c r="G714" i="10"/>
  <c r="G698" i="10"/>
  <c r="G716" i="10"/>
  <c r="G983" i="10"/>
  <c r="G951" i="10"/>
  <c r="G919" i="10"/>
  <c r="G887" i="10"/>
  <c r="G855" i="10"/>
  <c r="G823" i="10"/>
  <c r="G791" i="10"/>
  <c r="G759" i="10"/>
  <c r="G727" i="10"/>
  <c r="G695" i="10"/>
  <c r="G663" i="10"/>
  <c r="G970" i="10"/>
  <c r="G938" i="10"/>
  <c r="G973" i="10"/>
  <c r="G941" i="10"/>
  <c r="G909" i="10"/>
  <c r="G877" i="10"/>
  <c r="G845" i="10"/>
  <c r="G813" i="10"/>
  <c r="G781" i="10"/>
  <c r="G749" i="10"/>
  <c r="G717" i="10"/>
  <c r="G685" i="10"/>
  <c r="G948" i="10"/>
  <c r="G812" i="10"/>
  <c r="G886" i="10"/>
  <c r="G758" i="10"/>
  <c r="G940" i="10"/>
  <c r="G816" i="10"/>
  <c r="G688" i="10"/>
  <c r="G633" i="10"/>
  <c r="G601" i="10"/>
  <c r="G842" i="10"/>
  <c r="G916" i="10"/>
  <c r="G788" i="10"/>
  <c r="G660" i="10"/>
  <c r="G628" i="10"/>
  <c r="G944" i="10"/>
  <c r="G814" i="10"/>
  <c r="G686" i="10"/>
  <c r="G856" i="10"/>
  <c r="G728" i="10"/>
  <c r="G647" i="10"/>
  <c r="G615" i="10"/>
  <c r="G898" i="10"/>
  <c r="G770" i="10"/>
  <c r="G682" i="10"/>
  <c r="G638" i="10"/>
  <c r="G630" i="10"/>
  <c r="G646" i="10"/>
  <c r="G979" i="10"/>
  <c r="G947" i="10"/>
  <c r="G915" i="10"/>
  <c r="G883" i="10"/>
  <c r="G851" i="10"/>
  <c r="G819" i="10"/>
  <c r="G787" i="10"/>
  <c r="G755" i="10"/>
  <c r="G723" i="10"/>
  <c r="G691" i="10"/>
  <c r="G998" i="10"/>
  <c r="G966" i="10"/>
  <c r="G934" i="10"/>
  <c r="G969" i="10"/>
  <c r="G937" i="10"/>
  <c r="G905" i="10"/>
  <c r="G873" i="10"/>
  <c r="G841" i="10"/>
  <c r="G809" i="10"/>
  <c r="G777" i="10"/>
  <c r="G745" i="10"/>
  <c r="G713" i="10"/>
  <c r="G681" i="10"/>
  <c r="G924" i="10"/>
  <c r="G796" i="10"/>
  <c r="G870" i="10"/>
  <c r="G742" i="10"/>
  <c r="G928" i="10"/>
  <c r="G800" i="10"/>
  <c r="G672" i="10"/>
  <c r="G629" i="10"/>
  <c r="G984" i="10"/>
  <c r="G826" i="10"/>
  <c r="G900" i="10"/>
  <c r="G772" i="10"/>
  <c r="G656" i="10"/>
  <c r="G624" i="10"/>
  <c r="G926" i="10"/>
  <c r="G798" i="10"/>
  <c r="G670" i="10"/>
  <c r="G840" i="10"/>
  <c r="G712" i="10"/>
  <c r="G643" i="10"/>
  <c r="G611" i="10"/>
  <c r="G882" i="10"/>
  <c r="G754" i="10"/>
  <c r="G654" i="10"/>
  <c r="G606" i="10"/>
  <c r="G732" i="10"/>
  <c r="G614" i="10"/>
  <c r="G975" i="10"/>
  <c r="G943" i="10"/>
  <c r="G911" i="10"/>
  <c r="G879" i="10"/>
  <c r="G847" i="10"/>
  <c r="G815" i="10"/>
  <c r="G783" i="10"/>
  <c r="G751" i="10"/>
  <c r="G719" i="10"/>
  <c r="G687" i="10"/>
  <c r="G994" i="10"/>
  <c r="G962" i="10"/>
  <c r="G997" i="10"/>
  <c r="G965" i="10"/>
  <c r="G933" i="10"/>
  <c r="G901" i="10"/>
  <c r="G869" i="10"/>
  <c r="G837" i="10"/>
  <c r="G805" i="10"/>
  <c r="G773" i="10"/>
  <c r="G741" i="10"/>
  <c r="G709" i="10"/>
  <c r="G677" i="10"/>
  <c r="G908" i="10"/>
  <c r="G780" i="10"/>
  <c r="G854" i="10"/>
  <c r="G726" i="10"/>
  <c r="G912" i="10"/>
  <c r="G784" i="10"/>
  <c r="G657" i="10"/>
  <c r="G625" i="10"/>
  <c r="G952" i="10"/>
  <c r="G810" i="10"/>
  <c r="G884" i="10"/>
  <c r="G756" i="10"/>
  <c r="G652" i="10"/>
  <c r="G620" i="10"/>
  <c r="G910" i="10"/>
  <c r="G782" i="10"/>
  <c r="G988" i="10"/>
  <c r="G824" i="10"/>
  <c r="G696" i="10"/>
  <c r="G639" i="10"/>
  <c r="G607" i="10"/>
  <c r="G866" i="10"/>
  <c r="G738" i="10"/>
  <c r="G622" i="10"/>
  <c r="G748" i="10"/>
  <c r="G668" i="10"/>
  <c r="G666" i="10"/>
  <c r="F3" i="10"/>
  <c r="G3" i="10"/>
  <c r="H3" i="10" s="1"/>
  <c r="G19" i="10"/>
  <c r="H19" i="10" s="1"/>
  <c r="F19" i="10"/>
  <c r="F53" i="10"/>
  <c r="G53" i="10"/>
  <c r="H53" i="10" s="1"/>
  <c r="G18" i="10"/>
  <c r="H18" i="10" s="1"/>
  <c r="F18" i="10"/>
  <c r="G6" i="10"/>
  <c r="H6" i="10" s="1"/>
  <c r="F6" i="10"/>
  <c r="G77" i="10"/>
  <c r="H77" i="10" s="1"/>
  <c r="F77" i="10"/>
  <c r="G51" i="10"/>
  <c r="H51" i="10" s="1"/>
  <c r="F51" i="10"/>
  <c r="G38" i="10"/>
  <c r="H38" i="10" s="1"/>
  <c r="F38" i="10"/>
  <c r="G156" i="10"/>
  <c r="H156" i="10" s="1"/>
  <c r="F156" i="10"/>
  <c r="F61" i="10"/>
  <c r="G61" i="10"/>
  <c r="H61" i="10" s="1"/>
  <c r="G168" i="10"/>
  <c r="H168" i="10" s="1"/>
  <c r="F168" i="10"/>
  <c r="F20" i="10"/>
  <c r="G20" i="10"/>
  <c r="H20" i="10" s="1"/>
  <c r="F96" i="10"/>
  <c r="G96" i="10"/>
  <c r="H96" i="10" s="1"/>
  <c r="F11" i="10"/>
  <c r="G11" i="10"/>
  <c r="H11" i="10" s="1"/>
  <c r="F28" i="10"/>
  <c r="G28" i="10"/>
  <c r="H28" i="10" s="1"/>
  <c r="F45" i="10"/>
  <c r="G45" i="10"/>
  <c r="H45" i="10" s="1"/>
  <c r="G26" i="10"/>
  <c r="H26" i="10" s="1"/>
  <c r="F26" i="10"/>
  <c r="G67" i="10"/>
  <c r="H67" i="10" s="1"/>
  <c r="F67" i="10"/>
  <c r="G36" i="10"/>
  <c r="H36" i="10" s="1"/>
  <c r="F36" i="10"/>
  <c r="G52" i="10"/>
  <c r="H52" i="10" s="1"/>
  <c r="F52" i="10"/>
  <c r="G83" i="10"/>
  <c r="H83" i="10" s="1"/>
  <c r="F83" i="10"/>
  <c r="F31" i="10"/>
  <c r="G31" i="10"/>
  <c r="H31" i="10" s="1"/>
  <c r="F47" i="10"/>
  <c r="G47" i="10"/>
  <c r="H47" i="10" s="1"/>
  <c r="G7" i="10"/>
  <c r="H7" i="10" s="1"/>
  <c r="F7" i="10"/>
  <c r="G153" i="10"/>
  <c r="H153" i="10" s="1"/>
  <c r="F153" i="10"/>
  <c r="G115" i="10"/>
  <c r="H115" i="10" s="1"/>
  <c r="F115" i="10"/>
  <c r="G142" i="10"/>
  <c r="H142" i="10" s="1"/>
  <c r="F142" i="10"/>
  <c r="G125" i="10"/>
  <c r="H125" i="10" s="1"/>
  <c r="F125" i="10"/>
  <c r="G238" i="10"/>
  <c r="H238" i="10" s="1"/>
  <c r="F238" i="10"/>
  <c r="G43" i="10"/>
  <c r="H43" i="10" s="1"/>
  <c r="F43" i="10"/>
  <c r="G82" i="10"/>
  <c r="H82" i="10" s="1"/>
  <c r="F82" i="10"/>
  <c r="G12" i="10"/>
  <c r="H12" i="10" s="1"/>
  <c r="F12" i="10"/>
  <c r="G62" i="10"/>
  <c r="H62" i="10" s="1"/>
  <c r="F62" i="10"/>
  <c r="G50" i="10"/>
  <c r="H50" i="10" s="1"/>
  <c r="F50" i="10"/>
  <c r="G103" i="10"/>
  <c r="H103" i="10" s="1"/>
  <c r="F103" i="10"/>
  <c r="G163" i="10"/>
  <c r="H163" i="10" s="1"/>
  <c r="F163" i="10"/>
  <c r="G173" i="10"/>
  <c r="H173" i="10" s="1"/>
  <c r="F173" i="10"/>
  <c r="G91" i="10"/>
  <c r="H91" i="10" s="1"/>
  <c r="F91" i="10"/>
  <c r="G369" i="10"/>
  <c r="H369" i="10" s="1"/>
  <c r="F369" i="10"/>
  <c r="G17" i="10"/>
  <c r="H17" i="10" s="1"/>
  <c r="F17" i="10"/>
  <c r="G10" i="10"/>
  <c r="H10" i="10" s="1"/>
  <c r="F10" i="10"/>
  <c r="G30" i="10"/>
  <c r="H30" i="10" s="1"/>
  <c r="F30" i="10"/>
  <c r="G32" i="10"/>
  <c r="H32" i="10" s="1"/>
  <c r="F32" i="10"/>
  <c r="G33" i="10"/>
  <c r="H33" i="10" s="1"/>
  <c r="F33" i="10"/>
  <c r="G169" i="10"/>
  <c r="H169" i="10" s="1"/>
  <c r="F169" i="10"/>
  <c r="G167" i="10"/>
  <c r="H167" i="10" s="1"/>
  <c r="F167" i="10"/>
  <c r="G159" i="10"/>
  <c r="H159" i="10" s="1"/>
  <c r="F159" i="10"/>
  <c r="F229" i="10"/>
  <c r="G229" i="10"/>
  <c r="H229" i="10" s="1"/>
  <c r="F37" i="10"/>
  <c r="G37" i="10"/>
  <c r="H37" i="10" s="1"/>
  <c r="F69" i="10"/>
  <c r="G69" i="10"/>
  <c r="H69" i="10" s="1"/>
  <c r="G59" i="10"/>
  <c r="H59" i="10" s="1"/>
  <c r="F59" i="10"/>
  <c r="G71" i="10"/>
  <c r="H71" i="10" s="1"/>
  <c r="F71" i="10"/>
  <c r="G56" i="10"/>
  <c r="H56" i="10" s="1"/>
  <c r="F56" i="10"/>
  <c r="G57" i="10"/>
  <c r="H57" i="10" s="1"/>
  <c r="F57" i="10"/>
  <c r="G185" i="10"/>
  <c r="H185" i="10" s="1"/>
  <c r="F185" i="10"/>
  <c r="G121" i="10"/>
  <c r="H121" i="10" s="1"/>
  <c r="F121" i="10"/>
  <c r="G35" i="10"/>
  <c r="H35" i="10" s="1"/>
  <c r="F35" i="10"/>
  <c r="G27" i="10"/>
  <c r="H27" i="10" s="1"/>
  <c r="F27" i="10"/>
  <c r="G44" i="10"/>
  <c r="H44" i="10" s="1"/>
  <c r="F44" i="10"/>
  <c r="F22" i="10"/>
  <c r="G22" i="10"/>
  <c r="H22" i="10" s="1"/>
  <c r="F39" i="10"/>
  <c r="G39" i="10"/>
  <c r="H39" i="10" s="1"/>
  <c r="G72" i="10"/>
  <c r="H72" i="10" s="1"/>
  <c r="F72" i="10"/>
  <c r="G40" i="10"/>
  <c r="H40" i="10" s="1"/>
  <c r="F40" i="10"/>
  <c r="G15" i="10"/>
  <c r="H15" i="10" s="1"/>
  <c r="F15" i="10"/>
  <c r="G118" i="10"/>
  <c r="H118" i="10" s="1"/>
  <c r="F118" i="10"/>
  <c r="G193" i="10"/>
  <c r="H193" i="10" s="1"/>
  <c r="F193" i="10"/>
  <c r="G129" i="10"/>
  <c r="H129" i="10" s="1"/>
  <c r="F129" i="10"/>
  <c r="F225" i="10"/>
  <c r="G225" i="10"/>
  <c r="H225" i="10" s="1"/>
  <c r="G236" i="10"/>
  <c r="H236" i="10" s="1"/>
  <c r="F236" i="10"/>
  <c r="G9" i="10"/>
  <c r="H9" i="10" s="1"/>
  <c r="F9" i="10"/>
  <c r="G2" i="10"/>
  <c r="H2" i="10" s="1"/>
  <c r="F2" i="10"/>
  <c r="G70" i="10"/>
  <c r="H70" i="10" s="1"/>
  <c r="F70" i="10"/>
  <c r="G73" i="10"/>
  <c r="H73" i="10" s="1"/>
  <c r="F73" i="10"/>
  <c r="G25" i="10"/>
  <c r="H25" i="10" s="1"/>
  <c r="F25" i="10"/>
  <c r="G157" i="10"/>
  <c r="H157" i="10" s="1"/>
  <c r="F157" i="10"/>
  <c r="G261" i="10"/>
  <c r="H261" i="10" s="1"/>
  <c r="F261" i="10"/>
  <c r="G24" i="10"/>
  <c r="H24" i="10" s="1"/>
  <c r="F24" i="10"/>
  <c r="G41" i="10"/>
  <c r="H41" i="10" s="1"/>
  <c r="F41" i="10"/>
  <c r="G75" i="10"/>
  <c r="H75" i="10" s="1"/>
  <c r="F75" i="10"/>
  <c r="G86" i="10"/>
  <c r="H86" i="10" s="1"/>
  <c r="F86" i="10"/>
  <c r="G137" i="10"/>
  <c r="H137" i="10" s="1"/>
  <c r="F137" i="10"/>
  <c r="F138" i="10"/>
  <c r="G138" i="10"/>
  <c r="H138" i="10" s="1"/>
  <c r="G147" i="10"/>
  <c r="H147" i="10" s="1"/>
  <c r="F147" i="10"/>
  <c r="G90" i="10"/>
  <c r="H90" i="10" s="1"/>
  <c r="F90" i="10"/>
  <c r="F187" i="10"/>
  <c r="G187" i="10"/>
  <c r="H187" i="10" s="1"/>
  <c r="F325" i="10"/>
  <c r="G325" i="10"/>
  <c r="H325" i="10" s="1"/>
  <c r="G68" i="10"/>
  <c r="H68" i="10" s="1"/>
  <c r="F68" i="10"/>
  <c r="G4" i="10"/>
  <c r="H4" i="10" s="1"/>
  <c r="F4" i="10"/>
  <c r="F29" i="10"/>
  <c r="G29" i="10"/>
  <c r="H29" i="10" s="1"/>
  <c r="G54" i="10"/>
  <c r="H54" i="10" s="1"/>
  <c r="F54" i="10"/>
  <c r="F13" i="10"/>
  <c r="G13" i="10"/>
  <c r="H13" i="10" s="1"/>
  <c r="F63" i="10"/>
  <c r="G63" i="10"/>
  <c r="H63" i="10" s="1"/>
  <c r="G215" i="10"/>
  <c r="H215" i="10" s="1"/>
  <c r="F215" i="10"/>
  <c r="G202" i="10"/>
  <c r="H202" i="10" s="1"/>
  <c r="F202" i="10"/>
  <c r="G130" i="10"/>
  <c r="H130" i="10" s="1"/>
  <c r="F130" i="10"/>
  <c r="G189" i="10"/>
  <c r="H189" i="10" s="1"/>
  <c r="F189" i="10"/>
  <c r="G131" i="10"/>
  <c r="H131" i="10" s="1"/>
  <c r="F131" i="10"/>
  <c r="G170" i="10"/>
  <c r="H170" i="10" s="1"/>
  <c r="F170" i="10"/>
  <c r="G253" i="10"/>
  <c r="H253" i="10" s="1"/>
  <c r="F253" i="10"/>
  <c r="G205" i="10"/>
  <c r="H205" i="10" s="1"/>
  <c r="F205" i="10"/>
  <c r="G377" i="10"/>
  <c r="H377" i="10" s="1"/>
  <c r="F377" i="10"/>
  <c r="G293" i="10"/>
  <c r="H293" i="10" s="1"/>
  <c r="F293" i="10"/>
  <c r="G23" i="10"/>
  <c r="H23" i="10" s="1"/>
  <c r="F23" i="10"/>
  <c r="G48" i="10"/>
  <c r="H48" i="10" s="1"/>
  <c r="F48" i="10"/>
  <c r="G223" i="10"/>
  <c r="H223" i="10" s="1"/>
  <c r="F223" i="10"/>
  <c r="F112" i="10"/>
  <c r="G112" i="10"/>
  <c r="H112" i="10" s="1"/>
  <c r="G210" i="10"/>
  <c r="H210" i="10" s="1"/>
  <c r="F210" i="10"/>
  <c r="G140" i="10"/>
  <c r="H140" i="10" s="1"/>
  <c r="F140" i="10"/>
  <c r="G219" i="10"/>
  <c r="H219" i="10" s="1"/>
  <c r="F219" i="10"/>
  <c r="G101" i="10"/>
  <c r="H101" i="10" s="1"/>
  <c r="F101" i="10"/>
  <c r="G190" i="10"/>
  <c r="H190" i="10" s="1"/>
  <c r="F190" i="10"/>
  <c r="G263" i="10"/>
  <c r="H263" i="10" s="1"/>
  <c r="F263" i="10"/>
  <c r="F491" i="10"/>
  <c r="G491" i="10"/>
  <c r="H491" i="10" s="1"/>
  <c r="F353" i="10"/>
  <c r="G353" i="10"/>
  <c r="H353" i="10" s="1"/>
  <c r="G60" i="10"/>
  <c r="H60" i="10" s="1"/>
  <c r="F60" i="10"/>
  <c r="G21" i="10"/>
  <c r="H21" i="10" s="1"/>
  <c r="F21" i="10"/>
  <c r="G46" i="10"/>
  <c r="H46" i="10" s="1"/>
  <c r="F46" i="10"/>
  <c r="G74" i="10"/>
  <c r="H74" i="10" s="1"/>
  <c r="F74" i="10"/>
  <c r="F5" i="10"/>
  <c r="G5" i="10"/>
  <c r="H5" i="10" s="1"/>
  <c r="F55" i="10"/>
  <c r="G55" i="10"/>
  <c r="H55" i="10" s="1"/>
  <c r="G14" i="10"/>
  <c r="H14" i="10" s="1"/>
  <c r="F14" i="10"/>
  <c r="G64" i="10"/>
  <c r="H64" i="10" s="1"/>
  <c r="F64" i="10"/>
  <c r="G49" i="10"/>
  <c r="H49" i="10" s="1"/>
  <c r="F49" i="10"/>
  <c r="G34" i="10"/>
  <c r="H34" i="10" s="1"/>
  <c r="F34" i="10"/>
  <c r="G126" i="10"/>
  <c r="H126" i="10" s="1"/>
  <c r="F126" i="10"/>
  <c r="F87" i="10"/>
  <c r="G87" i="10"/>
  <c r="H87" i="10" s="1"/>
  <c r="G134" i="10"/>
  <c r="H134" i="10" s="1"/>
  <c r="F134" i="10"/>
  <c r="G216" i="10"/>
  <c r="H216" i="10" s="1"/>
  <c r="F216" i="10"/>
  <c r="G176" i="10"/>
  <c r="H176" i="10" s="1"/>
  <c r="F176" i="10"/>
  <c r="G66" i="10"/>
  <c r="H66" i="10" s="1"/>
  <c r="F66" i="10"/>
  <c r="G93" i="10"/>
  <c r="H93" i="10" s="1"/>
  <c r="F93" i="10"/>
  <c r="G144" i="10"/>
  <c r="H144" i="10" s="1"/>
  <c r="F144" i="10"/>
  <c r="G119" i="10"/>
  <c r="H119" i="10" s="1"/>
  <c r="F119" i="10"/>
  <c r="G231" i="10"/>
  <c r="H231" i="10" s="1"/>
  <c r="F231" i="10"/>
  <c r="F128" i="10"/>
  <c r="G128" i="10"/>
  <c r="H128" i="10" s="1"/>
  <c r="F154" i="10"/>
  <c r="G154" i="10"/>
  <c r="H154" i="10" s="1"/>
  <c r="G97" i="10"/>
  <c r="H97" i="10" s="1"/>
  <c r="F97" i="10"/>
  <c r="G80" i="10"/>
  <c r="H80" i="10" s="1"/>
  <c r="F80" i="10"/>
  <c r="G106" i="10"/>
  <c r="H106" i="10" s="1"/>
  <c r="F106" i="10"/>
  <c r="G149" i="10"/>
  <c r="H149" i="10" s="1"/>
  <c r="F149" i="10"/>
  <c r="G100" i="10"/>
  <c r="H100" i="10" s="1"/>
  <c r="F100" i="10"/>
  <c r="G158" i="10"/>
  <c r="H158" i="10" s="1"/>
  <c r="F158" i="10"/>
  <c r="G109" i="10"/>
  <c r="H109" i="10" s="1"/>
  <c r="F109" i="10"/>
  <c r="G199" i="10"/>
  <c r="H199" i="10" s="1"/>
  <c r="F199" i="10"/>
  <c r="G218" i="10"/>
  <c r="H218" i="10" s="1"/>
  <c r="F218" i="10"/>
  <c r="G271" i="10"/>
  <c r="H271" i="10" s="1"/>
  <c r="F271" i="10"/>
  <c r="G244" i="10"/>
  <c r="H244" i="10" s="1"/>
  <c r="F244" i="10"/>
  <c r="G237" i="10"/>
  <c r="H237" i="10" s="1"/>
  <c r="F237" i="10"/>
  <c r="G239" i="10"/>
  <c r="H239" i="10" s="1"/>
  <c r="F239" i="10"/>
  <c r="G298" i="10"/>
  <c r="H298" i="10" s="1"/>
  <c r="F298" i="10"/>
  <c r="G299" i="10"/>
  <c r="H299" i="10" s="1"/>
  <c r="F299" i="10"/>
  <c r="G335" i="10"/>
  <c r="H335" i="10" s="1"/>
  <c r="F335" i="10"/>
  <c r="G279" i="10"/>
  <c r="H279" i="10" s="1"/>
  <c r="F279" i="10"/>
  <c r="F483" i="10"/>
  <c r="G483" i="10"/>
  <c r="H483" i="10" s="1"/>
  <c r="G42" i="10"/>
  <c r="H42" i="10" s="1"/>
  <c r="F42" i="10"/>
  <c r="G94" i="10"/>
  <c r="H94" i="10" s="1"/>
  <c r="F94" i="10"/>
  <c r="G145" i="10"/>
  <c r="H145" i="10" s="1"/>
  <c r="F145" i="10"/>
  <c r="F104" i="10"/>
  <c r="G104" i="10"/>
  <c r="H104" i="10" s="1"/>
  <c r="G139" i="10"/>
  <c r="H139" i="10" s="1"/>
  <c r="F139" i="10"/>
  <c r="G148" i="10"/>
  <c r="H148" i="10" s="1"/>
  <c r="F148" i="10"/>
  <c r="G116" i="10"/>
  <c r="H116" i="10" s="1"/>
  <c r="F116" i="10"/>
  <c r="G164" i="10"/>
  <c r="H164" i="10" s="1"/>
  <c r="F164" i="10"/>
  <c r="G226" i="10"/>
  <c r="H226" i="10" s="1"/>
  <c r="F226" i="10"/>
  <c r="G211" i="10"/>
  <c r="H211" i="10" s="1"/>
  <c r="F211" i="10"/>
  <c r="F204" i="10"/>
  <c r="G204" i="10"/>
  <c r="H204" i="10" s="1"/>
  <c r="G297" i="10"/>
  <c r="H297" i="10" s="1"/>
  <c r="F297" i="10"/>
  <c r="G180" i="10"/>
  <c r="H180" i="10" s="1"/>
  <c r="F180" i="10"/>
  <c r="G307" i="10"/>
  <c r="H307" i="10" s="1"/>
  <c r="F307" i="10"/>
  <c r="G342" i="10"/>
  <c r="H342" i="10" s="1"/>
  <c r="F342" i="10"/>
  <c r="G283" i="10"/>
  <c r="H283" i="10" s="1"/>
  <c r="F283" i="10"/>
  <c r="G327" i="10"/>
  <c r="H327" i="10" s="1"/>
  <c r="F327" i="10"/>
  <c r="G358" i="10"/>
  <c r="H358" i="10" s="1"/>
  <c r="F358" i="10"/>
  <c r="G16" i="10"/>
  <c r="H16" i="10" s="1"/>
  <c r="F16" i="10"/>
  <c r="G110" i="10"/>
  <c r="H110" i="10" s="1"/>
  <c r="F110" i="10"/>
  <c r="G160" i="10"/>
  <c r="H160" i="10" s="1"/>
  <c r="F160" i="10"/>
  <c r="G88" i="10"/>
  <c r="H88" i="10" s="1"/>
  <c r="F88" i="10"/>
  <c r="G113" i="10"/>
  <c r="H113" i="10" s="1"/>
  <c r="F113" i="10"/>
  <c r="G122" i="10"/>
  <c r="H122" i="10" s="1"/>
  <c r="F122" i="10"/>
  <c r="G81" i="10"/>
  <c r="H81" i="10" s="1"/>
  <c r="F81" i="10"/>
  <c r="G107" i="10"/>
  <c r="H107" i="10" s="1"/>
  <c r="F107" i="10"/>
  <c r="G132" i="10"/>
  <c r="H132" i="10" s="1"/>
  <c r="F132" i="10"/>
  <c r="G174" i="10"/>
  <c r="H174" i="10" s="1"/>
  <c r="F174" i="10"/>
  <c r="G241" i="10"/>
  <c r="H241" i="10" s="1"/>
  <c r="F241" i="10"/>
  <c r="G288" i="10"/>
  <c r="H288" i="10" s="1"/>
  <c r="F288" i="10"/>
  <c r="G188" i="10"/>
  <c r="H188" i="10" s="1"/>
  <c r="F188" i="10"/>
  <c r="G254" i="10"/>
  <c r="H254" i="10" s="1"/>
  <c r="F254" i="10"/>
  <c r="G349" i="10"/>
  <c r="H349" i="10" s="1"/>
  <c r="F349" i="10"/>
  <c r="G403" i="10"/>
  <c r="H403" i="10" s="1"/>
  <c r="F403" i="10"/>
  <c r="G391" i="10"/>
  <c r="H391" i="10" s="1"/>
  <c r="F391" i="10"/>
  <c r="G65" i="10"/>
  <c r="H65" i="10" s="1"/>
  <c r="F65" i="10"/>
  <c r="F78" i="10"/>
  <c r="G78" i="10"/>
  <c r="H78" i="10" s="1"/>
  <c r="G58" i="10"/>
  <c r="H58" i="10" s="1"/>
  <c r="F58" i="10"/>
  <c r="G85" i="10"/>
  <c r="H85" i="10" s="1"/>
  <c r="F85" i="10"/>
  <c r="G136" i="10"/>
  <c r="H136" i="10" s="1"/>
  <c r="F136" i="10"/>
  <c r="G111" i="10"/>
  <c r="H111" i="10" s="1"/>
  <c r="F111" i="10"/>
  <c r="G161" i="10"/>
  <c r="H161" i="10" s="1"/>
  <c r="F161" i="10"/>
  <c r="G95" i="10"/>
  <c r="H95" i="10" s="1"/>
  <c r="F95" i="10"/>
  <c r="F120" i="10"/>
  <c r="G120" i="10"/>
  <c r="H120" i="10" s="1"/>
  <c r="F146" i="10"/>
  <c r="G146" i="10"/>
  <c r="H146" i="10" s="1"/>
  <c r="G155" i="10"/>
  <c r="H155" i="10" s="1"/>
  <c r="F155" i="10"/>
  <c r="G235" i="10"/>
  <c r="H235" i="10" s="1"/>
  <c r="F235" i="10"/>
  <c r="G98" i="10"/>
  <c r="H98" i="10" s="1"/>
  <c r="F98" i="10"/>
  <c r="G123" i="10"/>
  <c r="H123" i="10" s="1"/>
  <c r="F123" i="10"/>
  <c r="G141" i="10"/>
  <c r="H141" i="10" s="1"/>
  <c r="F141" i="10"/>
  <c r="G133" i="10"/>
  <c r="H133" i="10" s="1"/>
  <c r="F133" i="10"/>
  <c r="G150" i="10"/>
  <c r="H150" i="10" s="1"/>
  <c r="F150" i="10"/>
  <c r="G92" i="10"/>
  <c r="H92" i="10" s="1"/>
  <c r="F92" i="10"/>
  <c r="G151" i="10"/>
  <c r="H151" i="10" s="1"/>
  <c r="F151" i="10"/>
  <c r="F175" i="10"/>
  <c r="G175" i="10"/>
  <c r="H175" i="10" s="1"/>
  <c r="F179" i="10"/>
  <c r="G179" i="10"/>
  <c r="H179" i="10" s="1"/>
  <c r="G255" i="10"/>
  <c r="H255" i="10" s="1"/>
  <c r="F255" i="10"/>
  <c r="G351" i="10"/>
  <c r="H351" i="10" s="1"/>
  <c r="F351" i="10"/>
  <c r="F428" i="10"/>
  <c r="G428" i="10"/>
  <c r="H428" i="10" s="1"/>
  <c r="G8" i="10"/>
  <c r="H8" i="10" s="1"/>
  <c r="F8" i="10"/>
  <c r="F76" i="10"/>
  <c r="G76" i="10"/>
  <c r="H76" i="10" s="1"/>
  <c r="G102" i="10"/>
  <c r="H102" i="10" s="1"/>
  <c r="F102" i="10"/>
  <c r="G152" i="10"/>
  <c r="H152" i="10" s="1"/>
  <c r="F152" i="10"/>
  <c r="G177" i="10"/>
  <c r="H177" i="10" s="1"/>
  <c r="F177" i="10"/>
  <c r="G127" i="10"/>
  <c r="H127" i="10" s="1"/>
  <c r="F127" i="10"/>
  <c r="G162" i="10"/>
  <c r="H162" i="10" s="1"/>
  <c r="F162" i="10"/>
  <c r="F79" i="10"/>
  <c r="G79" i="10"/>
  <c r="H79" i="10" s="1"/>
  <c r="G105" i="10"/>
  <c r="H105" i="10" s="1"/>
  <c r="F105" i="10"/>
  <c r="G89" i="10"/>
  <c r="H89" i="10" s="1"/>
  <c r="F89" i="10"/>
  <c r="G114" i="10"/>
  <c r="H114" i="10" s="1"/>
  <c r="F114" i="10"/>
  <c r="G181" i="10"/>
  <c r="H181" i="10" s="1"/>
  <c r="F181" i="10"/>
  <c r="G99" i="10"/>
  <c r="H99" i="10" s="1"/>
  <c r="F99" i="10"/>
  <c r="G108" i="10"/>
  <c r="H108" i="10" s="1"/>
  <c r="F108" i="10"/>
  <c r="G124" i="10"/>
  <c r="H124" i="10" s="1"/>
  <c r="F124" i="10"/>
  <c r="F217" i="10"/>
  <c r="G217" i="10"/>
  <c r="H217" i="10" s="1"/>
  <c r="F242" i="10"/>
  <c r="G242" i="10"/>
  <c r="H242" i="10" s="1"/>
  <c r="G340" i="10"/>
  <c r="H340" i="10" s="1"/>
  <c r="F340" i="10"/>
  <c r="F264" i="10"/>
  <c r="G264" i="10"/>
  <c r="H264" i="10" s="1"/>
  <c r="G230" i="10"/>
  <c r="H230" i="10" s="1"/>
  <c r="F230" i="10"/>
  <c r="G324" i="10"/>
  <c r="H324" i="10" s="1"/>
  <c r="F324" i="10"/>
  <c r="F361" i="10"/>
  <c r="G361" i="10"/>
  <c r="H361" i="10" s="1"/>
  <c r="G301" i="10"/>
  <c r="H301" i="10" s="1"/>
  <c r="F301" i="10"/>
  <c r="G373" i="10"/>
  <c r="H373" i="10" s="1"/>
  <c r="F373" i="10"/>
  <c r="G232" i="10"/>
  <c r="H232" i="10" s="1"/>
  <c r="F232" i="10"/>
  <c r="G257" i="10"/>
  <c r="H257" i="10" s="1"/>
  <c r="F257" i="10"/>
  <c r="F191" i="10"/>
  <c r="G191" i="10"/>
  <c r="H191" i="10" s="1"/>
  <c r="G192" i="10"/>
  <c r="H192" i="10" s="1"/>
  <c r="F192" i="10"/>
  <c r="F259" i="10"/>
  <c r="G259" i="10"/>
  <c r="H259" i="10" s="1"/>
  <c r="G243" i="10"/>
  <c r="H243" i="10" s="1"/>
  <c r="F243" i="10"/>
  <c r="G186" i="10"/>
  <c r="H186" i="10" s="1"/>
  <c r="F186" i="10"/>
  <c r="G212" i="10"/>
  <c r="H212" i="10" s="1"/>
  <c r="F212" i="10"/>
  <c r="G272" i="10"/>
  <c r="H272" i="10" s="1"/>
  <c r="F272" i="10"/>
  <c r="G341" i="10"/>
  <c r="H341" i="10" s="1"/>
  <c r="F341" i="10"/>
  <c r="F523" i="10"/>
  <c r="G523" i="10"/>
  <c r="H523" i="10" s="1"/>
  <c r="F274" i="10"/>
  <c r="G274" i="10"/>
  <c r="H274" i="10" s="1"/>
  <c r="F300" i="10"/>
  <c r="G300" i="10"/>
  <c r="H300" i="10" s="1"/>
  <c r="G354" i="10"/>
  <c r="H354" i="10" s="1"/>
  <c r="F354" i="10"/>
  <c r="G320" i="10"/>
  <c r="H320" i="10" s="1"/>
  <c r="F320" i="10"/>
  <c r="G304" i="10"/>
  <c r="H304" i="10" s="1"/>
  <c r="F304" i="10"/>
  <c r="G338" i="10"/>
  <c r="H338" i="10" s="1"/>
  <c r="F338" i="10"/>
  <c r="G322" i="10"/>
  <c r="H322" i="10" s="1"/>
  <c r="F322" i="10"/>
  <c r="F457" i="10"/>
  <c r="G457" i="10"/>
  <c r="H457" i="10" s="1"/>
  <c r="G388" i="10"/>
  <c r="H388" i="10" s="1"/>
  <c r="F388" i="10"/>
  <c r="G416" i="10"/>
  <c r="H416" i="10" s="1"/>
  <c r="F416" i="10"/>
  <c r="G117" i="10"/>
  <c r="H117" i="10" s="1"/>
  <c r="F117" i="10"/>
  <c r="G182" i="10"/>
  <c r="H182" i="10" s="1"/>
  <c r="F182" i="10"/>
  <c r="G207" i="10"/>
  <c r="H207" i="10" s="1"/>
  <c r="F207" i="10"/>
  <c r="F165" i="10"/>
  <c r="G165" i="10"/>
  <c r="H165" i="10" s="1"/>
  <c r="G233" i="10"/>
  <c r="H233" i="10" s="1"/>
  <c r="F233" i="10"/>
  <c r="G258" i="10"/>
  <c r="H258" i="10" s="1"/>
  <c r="F258" i="10"/>
  <c r="G166" i="10"/>
  <c r="H166" i="10" s="1"/>
  <c r="F166" i="10"/>
  <c r="F234" i="10"/>
  <c r="G234" i="10"/>
  <c r="H234" i="10" s="1"/>
  <c r="G252" i="10"/>
  <c r="H252" i="10" s="1"/>
  <c r="F252" i="10"/>
  <c r="G195" i="10"/>
  <c r="H195" i="10" s="1"/>
  <c r="F195" i="10"/>
  <c r="G245" i="10"/>
  <c r="H245" i="10" s="1"/>
  <c r="F245" i="10"/>
  <c r="G246" i="10"/>
  <c r="H246" i="10" s="1"/>
  <c r="F246" i="10"/>
  <c r="G256" i="10"/>
  <c r="H256" i="10" s="1"/>
  <c r="F256" i="10"/>
  <c r="G316" i="10"/>
  <c r="H316" i="10" s="1"/>
  <c r="F316" i="10"/>
  <c r="G385" i="10"/>
  <c r="H385" i="10" s="1"/>
  <c r="F385" i="10"/>
  <c r="F345" i="10"/>
  <c r="G345" i="10"/>
  <c r="H345" i="10" s="1"/>
  <c r="F355" i="10"/>
  <c r="G355" i="10"/>
  <c r="H355" i="10" s="1"/>
  <c r="G309" i="10"/>
  <c r="H309" i="10" s="1"/>
  <c r="F309" i="10"/>
  <c r="G302" i="10"/>
  <c r="H302" i="10" s="1"/>
  <c r="F302" i="10"/>
  <c r="G378" i="10"/>
  <c r="H378" i="10" s="1"/>
  <c r="F378" i="10"/>
  <c r="F517" i="10"/>
  <c r="G517" i="10"/>
  <c r="H517" i="10" s="1"/>
  <c r="G357" i="10"/>
  <c r="H357" i="10" s="1"/>
  <c r="F357" i="10"/>
  <c r="G143" i="10"/>
  <c r="H143" i="10" s="1"/>
  <c r="F143" i="10"/>
  <c r="G198" i="10"/>
  <c r="H198" i="10" s="1"/>
  <c r="F198" i="10"/>
  <c r="G248" i="10"/>
  <c r="H248" i="10" s="1"/>
  <c r="F248" i="10"/>
  <c r="F208" i="10"/>
  <c r="G208" i="10"/>
  <c r="H208" i="10" s="1"/>
  <c r="G209" i="10"/>
  <c r="H209" i="10" s="1"/>
  <c r="F209" i="10"/>
  <c r="G260" i="10"/>
  <c r="H260" i="10" s="1"/>
  <c r="F260" i="10"/>
  <c r="G203" i="10"/>
  <c r="H203" i="10" s="1"/>
  <c r="F203" i="10"/>
  <c r="G228" i="10"/>
  <c r="H228" i="10" s="1"/>
  <c r="F228" i="10"/>
  <c r="G269" i="10"/>
  <c r="H269" i="10" s="1"/>
  <c r="F269" i="10"/>
  <c r="F171" i="10"/>
  <c r="G171" i="10"/>
  <c r="H171" i="10" s="1"/>
  <c r="F196" i="10"/>
  <c r="G196" i="10"/>
  <c r="H196" i="10" s="1"/>
  <c r="F221" i="10"/>
  <c r="G221" i="10"/>
  <c r="H221" i="10" s="1"/>
  <c r="G362" i="10"/>
  <c r="H362" i="10" s="1"/>
  <c r="F362" i="10"/>
  <c r="G172" i="10"/>
  <c r="H172" i="10" s="1"/>
  <c r="F172" i="10"/>
  <c r="G197" i="10"/>
  <c r="H197" i="10" s="1"/>
  <c r="F197" i="10"/>
  <c r="G222" i="10"/>
  <c r="H222" i="10" s="1"/>
  <c r="F222" i="10"/>
  <c r="G289" i="10"/>
  <c r="H289" i="10" s="1"/>
  <c r="F289" i="10"/>
  <c r="F290" i="10"/>
  <c r="G290" i="10"/>
  <c r="H290" i="10" s="1"/>
  <c r="F317" i="10"/>
  <c r="G317" i="10"/>
  <c r="H317" i="10" s="1"/>
  <c r="G346" i="10"/>
  <c r="H346" i="10" s="1"/>
  <c r="F346" i="10"/>
  <c r="F291" i="10"/>
  <c r="G291" i="10"/>
  <c r="H291" i="10" s="1"/>
  <c r="G329" i="10"/>
  <c r="H329" i="10" s="1"/>
  <c r="F329" i="10"/>
  <c r="G278" i="10"/>
  <c r="H278" i="10" s="1"/>
  <c r="F278" i="10"/>
  <c r="G313" i="10"/>
  <c r="H313" i="10" s="1"/>
  <c r="F313" i="10"/>
  <c r="G296" i="10"/>
  <c r="H296" i="10" s="1"/>
  <c r="F296" i="10"/>
  <c r="G331" i="10"/>
  <c r="H331" i="10" s="1"/>
  <c r="F331" i="10"/>
  <c r="F425" i="10"/>
  <c r="G425" i="10"/>
  <c r="H425" i="10" s="1"/>
  <c r="G407" i="10"/>
  <c r="H407" i="10" s="1"/>
  <c r="F407" i="10"/>
  <c r="F508" i="10"/>
  <c r="G508" i="10"/>
  <c r="H508" i="10" s="1"/>
  <c r="G206" i="10"/>
  <c r="H206" i="10" s="1"/>
  <c r="F206" i="10"/>
  <c r="G224" i="10"/>
  <c r="H224" i="10" s="1"/>
  <c r="F224" i="10"/>
  <c r="F183" i="10"/>
  <c r="G183" i="10"/>
  <c r="H183" i="10" s="1"/>
  <c r="G249" i="10"/>
  <c r="H249" i="10" s="1"/>
  <c r="F249" i="10"/>
  <c r="G315" i="10"/>
  <c r="H315" i="10" s="1"/>
  <c r="F315" i="10"/>
  <c r="G184" i="10"/>
  <c r="H184" i="10" s="1"/>
  <c r="F184" i="10"/>
  <c r="F250" i="10"/>
  <c r="G250" i="10"/>
  <c r="H250" i="10" s="1"/>
  <c r="G265" i="10"/>
  <c r="H265" i="10" s="1"/>
  <c r="F265" i="10"/>
  <c r="G178" i="10"/>
  <c r="H178" i="10" s="1"/>
  <c r="F178" i="10"/>
  <c r="G262" i="10"/>
  <c r="H262" i="10" s="1"/>
  <c r="F262" i="10"/>
  <c r="G247" i="10"/>
  <c r="H247" i="10" s="1"/>
  <c r="F247" i="10"/>
  <c r="G306" i="10"/>
  <c r="H306" i="10" s="1"/>
  <c r="F306" i="10"/>
  <c r="G333" i="10"/>
  <c r="H333" i="10" s="1"/>
  <c r="F333" i="10"/>
  <c r="G393" i="10"/>
  <c r="H393" i="10" s="1"/>
  <c r="F393" i="10"/>
  <c r="F334" i="10"/>
  <c r="G334" i="10"/>
  <c r="H334" i="10" s="1"/>
  <c r="F347" i="10"/>
  <c r="G347" i="10"/>
  <c r="H347" i="10" s="1"/>
  <c r="G292" i="10"/>
  <c r="H292" i="10" s="1"/>
  <c r="F292" i="10"/>
  <c r="G266" i="10"/>
  <c r="H266" i="10" s="1"/>
  <c r="F266" i="10"/>
  <c r="F387" i="10"/>
  <c r="G387" i="10"/>
  <c r="H387" i="10" s="1"/>
  <c r="G365" i="10"/>
  <c r="H365" i="10" s="1"/>
  <c r="F365" i="10"/>
  <c r="F409" i="10"/>
  <c r="G409" i="10"/>
  <c r="H409" i="10" s="1"/>
  <c r="G375" i="10"/>
  <c r="H375" i="10" s="1"/>
  <c r="F375" i="10"/>
  <c r="G468" i="10"/>
  <c r="H468" i="10" s="1"/>
  <c r="F468" i="10"/>
  <c r="G227" i="10"/>
  <c r="H227" i="10" s="1"/>
  <c r="F227" i="10"/>
  <c r="G84" i="10"/>
  <c r="H84" i="10" s="1"/>
  <c r="F84" i="10"/>
  <c r="G135" i="10"/>
  <c r="H135" i="10" s="1"/>
  <c r="F135" i="10"/>
  <c r="G240" i="10"/>
  <c r="H240" i="10" s="1"/>
  <c r="F240" i="10"/>
  <c r="G270" i="10"/>
  <c r="H270" i="10" s="1"/>
  <c r="F270" i="10"/>
  <c r="F200" i="10"/>
  <c r="G200" i="10"/>
  <c r="H200" i="10" s="1"/>
  <c r="G273" i="10"/>
  <c r="H273" i="10" s="1"/>
  <c r="F273" i="10"/>
  <c r="G323" i="10"/>
  <c r="H323" i="10" s="1"/>
  <c r="F323" i="10"/>
  <c r="G201" i="10"/>
  <c r="H201" i="10" s="1"/>
  <c r="F201" i="10"/>
  <c r="G251" i="10"/>
  <c r="H251" i="10" s="1"/>
  <c r="F251" i="10"/>
  <c r="G280" i="10"/>
  <c r="H280" i="10" s="1"/>
  <c r="F280" i="10"/>
  <c r="G332" i="10"/>
  <c r="H332" i="10" s="1"/>
  <c r="F332" i="10"/>
  <c r="G194" i="10"/>
  <c r="H194" i="10" s="1"/>
  <c r="F194" i="10"/>
  <c r="G220" i="10"/>
  <c r="H220" i="10" s="1"/>
  <c r="F220" i="10"/>
  <c r="F213" i="10"/>
  <c r="G213" i="10"/>
  <c r="H213" i="10" s="1"/>
  <c r="G214" i="10"/>
  <c r="H214" i="10" s="1"/>
  <c r="F214" i="10"/>
  <c r="G281" i="10"/>
  <c r="H281" i="10" s="1"/>
  <c r="F281" i="10"/>
  <c r="G370" i="10"/>
  <c r="H370" i="10" s="1"/>
  <c r="F370" i="10"/>
  <c r="G401" i="10"/>
  <c r="H401" i="10" s="1"/>
  <c r="F401" i="10"/>
  <c r="F282" i="10"/>
  <c r="G282" i="10"/>
  <c r="H282" i="10" s="1"/>
  <c r="F308" i="10"/>
  <c r="G308" i="10"/>
  <c r="H308" i="10" s="1"/>
  <c r="G350" i="10"/>
  <c r="H350" i="10" s="1"/>
  <c r="F350" i="10"/>
  <c r="G284" i="10"/>
  <c r="H284" i="10" s="1"/>
  <c r="F284" i="10"/>
  <c r="G394" i="10"/>
  <c r="H394" i="10" s="1"/>
  <c r="F394" i="10"/>
  <c r="F441" i="10"/>
  <c r="G441" i="10"/>
  <c r="H441" i="10" s="1"/>
  <c r="G464" i="10"/>
  <c r="H464" i="10" s="1"/>
  <c r="F464" i="10"/>
  <c r="F532" i="10"/>
  <c r="G532" i="10"/>
  <c r="H532" i="10" s="1"/>
  <c r="G392" i="10"/>
  <c r="H392" i="10" s="1"/>
  <c r="F392" i="10"/>
  <c r="G426" i="10"/>
  <c r="H426" i="10" s="1"/>
  <c r="F426" i="10"/>
  <c r="F411" i="10"/>
  <c r="G411" i="10"/>
  <c r="H411" i="10" s="1"/>
  <c r="F481" i="10"/>
  <c r="G481" i="10"/>
  <c r="H481" i="10" s="1"/>
  <c r="G500" i="10"/>
  <c r="H500" i="10" s="1"/>
  <c r="F500" i="10"/>
  <c r="F445" i="10"/>
  <c r="G445" i="10"/>
  <c r="H445" i="10" s="1"/>
  <c r="G461" i="10"/>
  <c r="H461" i="10" s="1"/>
  <c r="F461" i="10"/>
  <c r="G486" i="10"/>
  <c r="H486" i="10" s="1"/>
  <c r="F486" i="10"/>
  <c r="G581" i="10"/>
  <c r="H581" i="10" s="1"/>
  <c r="F581" i="10"/>
  <c r="G488" i="10"/>
  <c r="H488" i="10" s="1"/>
  <c r="F488" i="10"/>
  <c r="G514" i="10"/>
  <c r="H514" i="10" s="1"/>
  <c r="F514" i="10"/>
  <c r="G344" i="10"/>
  <c r="H344" i="10" s="1"/>
  <c r="F344" i="10"/>
  <c r="F275" i="10"/>
  <c r="G275" i="10"/>
  <c r="H275" i="10" s="1"/>
  <c r="G326" i="10"/>
  <c r="H326" i="10" s="1"/>
  <c r="F326" i="10"/>
  <c r="G319" i="10"/>
  <c r="H319" i="10" s="1"/>
  <c r="F319" i="10"/>
  <c r="G285" i="10"/>
  <c r="H285" i="10" s="1"/>
  <c r="F285" i="10"/>
  <c r="G330" i="10"/>
  <c r="H330" i="10" s="1"/>
  <c r="F330" i="10"/>
  <c r="F379" i="10"/>
  <c r="G379" i="10"/>
  <c r="H379" i="10" s="1"/>
  <c r="F404" i="10"/>
  <c r="G404" i="10"/>
  <c r="H404" i="10" s="1"/>
  <c r="G474" i="10"/>
  <c r="H474" i="10" s="1"/>
  <c r="F474" i="10"/>
  <c r="G380" i="10"/>
  <c r="H380" i="10" s="1"/>
  <c r="F380" i="10"/>
  <c r="G405" i="10"/>
  <c r="H405" i="10" s="1"/>
  <c r="F405" i="10"/>
  <c r="G397" i="10"/>
  <c r="H397" i="10" s="1"/>
  <c r="F397" i="10"/>
  <c r="F475" i="10"/>
  <c r="G475" i="10"/>
  <c r="H475" i="10" s="1"/>
  <c r="G440" i="10"/>
  <c r="H440" i="10" s="1"/>
  <c r="F440" i="10"/>
  <c r="F466" i="10"/>
  <c r="G466" i="10"/>
  <c r="H466" i="10" s="1"/>
  <c r="G360" i="10"/>
  <c r="H360" i="10" s="1"/>
  <c r="F360" i="10"/>
  <c r="G376" i="10"/>
  <c r="H376" i="10" s="1"/>
  <c r="F376" i="10"/>
  <c r="G410" i="10"/>
  <c r="H410" i="10" s="1"/>
  <c r="F410" i="10"/>
  <c r="F460" i="10"/>
  <c r="G460" i="10"/>
  <c r="H460" i="10" s="1"/>
  <c r="G429" i="10"/>
  <c r="H429" i="10" s="1"/>
  <c r="F429" i="10"/>
  <c r="G497" i="10"/>
  <c r="H497" i="10" s="1"/>
  <c r="F497" i="10"/>
  <c r="G422" i="10"/>
  <c r="H422" i="10" s="1"/>
  <c r="F422" i="10"/>
  <c r="G592" i="10"/>
  <c r="H592" i="10" s="1"/>
  <c r="F592" i="10"/>
  <c r="F529" i="10"/>
  <c r="G529" i="10"/>
  <c r="H529" i="10" s="1"/>
  <c r="F543" i="10"/>
  <c r="G543" i="10"/>
  <c r="H543" i="10" s="1"/>
  <c r="F586" i="10"/>
  <c r="G586" i="10"/>
  <c r="H586" i="10" s="1"/>
  <c r="F550" i="10"/>
  <c r="G550" i="10"/>
  <c r="H550" i="10" s="1"/>
  <c r="G310" i="10"/>
  <c r="H310" i="10" s="1"/>
  <c r="F310" i="10"/>
  <c r="G336" i="10"/>
  <c r="H336" i="10" s="1"/>
  <c r="F336" i="10"/>
  <c r="G312" i="10"/>
  <c r="H312" i="10" s="1"/>
  <c r="F312" i="10"/>
  <c r="G337" i="10"/>
  <c r="H337" i="10" s="1"/>
  <c r="F337" i="10"/>
  <c r="G268" i="10"/>
  <c r="H268" i="10" s="1"/>
  <c r="F268" i="10"/>
  <c r="G295" i="10"/>
  <c r="H295" i="10" s="1"/>
  <c r="F295" i="10"/>
  <c r="G321" i="10"/>
  <c r="H321" i="10" s="1"/>
  <c r="F321" i="10"/>
  <c r="G287" i="10"/>
  <c r="H287" i="10" s="1"/>
  <c r="F287" i="10"/>
  <c r="G314" i="10"/>
  <c r="H314" i="10" s="1"/>
  <c r="F314" i="10"/>
  <c r="G339" i="10"/>
  <c r="H339" i="10" s="1"/>
  <c r="F339" i="10"/>
  <c r="G415" i="10"/>
  <c r="H415" i="10" s="1"/>
  <c r="F415" i="10"/>
  <c r="G431" i="10"/>
  <c r="H431" i="10" s="1"/>
  <c r="F431" i="10"/>
  <c r="G447" i="10"/>
  <c r="H447" i="10" s="1"/>
  <c r="F447" i="10"/>
  <c r="F395" i="10"/>
  <c r="G395" i="10"/>
  <c r="H395" i="10" s="1"/>
  <c r="G482" i="10"/>
  <c r="H482" i="10" s="1"/>
  <c r="F482" i="10"/>
  <c r="G396" i="10"/>
  <c r="H396" i="10" s="1"/>
  <c r="F396" i="10"/>
  <c r="G398" i="10"/>
  <c r="H398" i="10" s="1"/>
  <c r="F398" i="10"/>
  <c r="F493" i="10"/>
  <c r="G493" i="10"/>
  <c r="H493" i="10" s="1"/>
  <c r="G467" i="10"/>
  <c r="H467" i="10" s="1"/>
  <c r="F467" i="10"/>
  <c r="G435" i="10"/>
  <c r="H435" i="10" s="1"/>
  <c r="F435" i="10"/>
  <c r="G451" i="10"/>
  <c r="H451" i="10" s="1"/>
  <c r="F451" i="10"/>
  <c r="F469" i="10"/>
  <c r="G469" i="10"/>
  <c r="H469" i="10" s="1"/>
  <c r="G412" i="10"/>
  <c r="H412" i="10" s="1"/>
  <c r="F412" i="10"/>
  <c r="G505" i="10"/>
  <c r="H505" i="10" s="1"/>
  <c r="F505" i="10"/>
  <c r="F535" i="10"/>
  <c r="G535" i="10"/>
  <c r="H535" i="10" s="1"/>
  <c r="G511" i="10"/>
  <c r="H511" i="10" s="1"/>
  <c r="F511" i="10"/>
  <c r="G600" i="10"/>
  <c r="H600" i="10" s="1"/>
  <c r="F600" i="10"/>
  <c r="G490" i="10"/>
  <c r="H490" i="10" s="1"/>
  <c r="F490" i="10"/>
  <c r="G318" i="10"/>
  <c r="H318" i="10" s="1"/>
  <c r="F318" i="10"/>
  <c r="G311" i="10"/>
  <c r="H311" i="10" s="1"/>
  <c r="F311" i="10"/>
  <c r="G277" i="10"/>
  <c r="H277" i="10" s="1"/>
  <c r="F277" i="10"/>
  <c r="F507" i="10"/>
  <c r="G507" i="10"/>
  <c r="H507" i="10" s="1"/>
  <c r="F417" i="10"/>
  <c r="G417" i="10"/>
  <c r="H417" i="10" s="1"/>
  <c r="F433" i="10"/>
  <c r="G433" i="10"/>
  <c r="H433" i="10" s="1"/>
  <c r="F449" i="10"/>
  <c r="G449" i="10"/>
  <c r="H449" i="10" s="1"/>
  <c r="G465" i="10"/>
  <c r="H465" i="10" s="1"/>
  <c r="F465" i="10"/>
  <c r="F371" i="10"/>
  <c r="G371" i="10"/>
  <c r="H371" i="10" s="1"/>
  <c r="F485" i="10"/>
  <c r="G485" i="10"/>
  <c r="H485" i="10" s="1"/>
  <c r="G372" i="10"/>
  <c r="H372" i="10" s="1"/>
  <c r="F372" i="10"/>
  <c r="G366" i="10"/>
  <c r="H366" i="10" s="1"/>
  <c r="F366" i="10"/>
  <c r="G383" i="10"/>
  <c r="H383" i="10" s="1"/>
  <c r="F383" i="10"/>
  <c r="G384" i="10"/>
  <c r="H384" i="10" s="1"/>
  <c r="F384" i="10"/>
  <c r="G400" i="10"/>
  <c r="H400" i="10" s="1"/>
  <c r="F400" i="10"/>
  <c r="G418" i="10"/>
  <c r="H418" i="10" s="1"/>
  <c r="F418" i="10"/>
  <c r="G434" i="10"/>
  <c r="H434" i="10" s="1"/>
  <c r="F434" i="10"/>
  <c r="G471" i="10"/>
  <c r="H471" i="10" s="1"/>
  <c r="F471" i="10"/>
  <c r="G453" i="10"/>
  <c r="H453" i="10" s="1"/>
  <c r="F453" i="10"/>
  <c r="G462" i="10"/>
  <c r="H462" i="10" s="1"/>
  <c r="F462" i="10"/>
  <c r="G557" i="10"/>
  <c r="H557" i="10" s="1"/>
  <c r="F557" i="10"/>
  <c r="F569" i="10"/>
  <c r="G569" i="10"/>
  <c r="H569" i="10" s="1"/>
  <c r="G348" i="10"/>
  <c r="H348" i="10" s="1"/>
  <c r="F348" i="10"/>
  <c r="G356" i="10"/>
  <c r="H356" i="10" s="1"/>
  <c r="F356" i="10"/>
  <c r="G276" i="10"/>
  <c r="H276" i="10" s="1"/>
  <c r="F276" i="10"/>
  <c r="G303" i="10"/>
  <c r="H303" i="10" s="1"/>
  <c r="F303" i="10"/>
  <c r="G328" i="10"/>
  <c r="H328" i="10" s="1"/>
  <c r="F328" i="10"/>
  <c r="G286" i="10"/>
  <c r="H286" i="10" s="1"/>
  <c r="F286" i="10"/>
  <c r="G359" i="10"/>
  <c r="H359" i="10" s="1"/>
  <c r="F359" i="10"/>
  <c r="G305" i="10"/>
  <c r="H305" i="10" s="1"/>
  <c r="F305" i="10"/>
  <c r="G386" i="10"/>
  <c r="H386" i="10" s="1"/>
  <c r="F386" i="10"/>
  <c r="F515" i="10"/>
  <c r="G515" i="10"/>
  <c r="H515" i="10" s="1"/>
  <c r="G424" i="10"/>
  <c r="H424" i="10" s="1"/>
  <c r="F424" i="10"/>
  <c r="G367" i="10"/>
  <c r="H367" i="10" s="1"/>
  <c r="F367" i="10"/>
  <c r="F509" i="10"/>
  <c r="G509" i="10"/>
  <c r="H509" i="10" s="1"/>
  <c r="G368" i="10"/>
  <c r="H368" i="10" s="1"/>
  <c r="F368" i="10"/>
  <c r="G516" i="10"/>
  <c r="H516" i="10" s="1"/>
  <c r="F516" i="10"/>
  <c r="F421" i="10"/>
  <c r="G421" i="10"/>
  <c r="H421" i="10" s="1"/>
  <c r="G437" i="10"/>
  <c r="H437" i="10" s="1"/>
  <c r="F437" i="10"/>
  <c r="F526" i="10"/>
  <c r="G526" i="10"/>
  <c r="H526" i="10" s="1"/>
  <c r="F510" i="10"/>
  <c r="G510" i="10"/>
  <c r="H510" i="10" s="1"/>
  <c r="F512" i="10"/>
  <c r="G512" i="10"/>
  <c r="H512" i="10" s="1"/>
  <c r="G531" i="10"/>
  <c r="H531" i="10" s="1"/>
  <c r="F531" i="10"/>
  <c r="G530" i="10"/>
  <c r="H530" i="10" s="1"/>
  <c r="F530" i="10"/>
  <c r="G459" i="10"/>
  <c r="H459" i="10" s="1"/>
  <c r="F459" i="10"/>
  <c r="G420" i="10"/>
  <c r="H420" i="10" s="1"/>
  <c r="F420" i="10"/>
  <c r="G436" i="10"/>
  <c r="H436" i="10" s="1"/>
  <c r="F436" i="10"/>
  <c r="G492" i="10"/>
  <c r="H492" i="10" s="1"/>
  <c r="F492" i="10"/>
  <c r="G487" i="10"/>
  <c r="H487" i="10" s="1"/>
  <c r="F487" i="10"/>
  <c r="F567" i="10"/>
  <c r="G567" i="10"/>
  <c r="H567" i="10" s="1"/>
  <c r="G571" i="10"/>
  <c r="H571" i="10" s="1"/>
  <c r="F571" i="10"/>
  <c r="G267" i="10"/>
  <c r="H267" i="10" s="1"/>
  <c r="F267" i="10"/>
  <c r="G294" i="10"/>
  <c r="H294" i="10" s="1"/>
  <c r="F294" i="10"/>
  <c r="F363" i="10"/>
  <c r="G363" i="10"/>
  <c r="H363" i="10" s="1"/>
  <c r="G402" i="10"/>
  <c r="H402" i="10" s="1"/>
  <c r="F402" i="10"/>
  <c r="G423" i="10"/>
  <c r="H423" i="10" s="1"/>
  <c r="F423" i="10"/>
  <c r="G439" i="10"/>
  <c r="H439" i="10" s="1"/>
  <c r="F439" i="10"/>
  <c r="G455" i="10"/>
  <c r="H455" i="10" s="1"/>
  <c r="F455" i="10"/>
  <c r="G595" i="10"/>
  <c r="H595" i="10" s="1"/>
  <c r="F595" i="10"/>
  <c r="F501" i="10"/>
  <c r="G501" i="10"/>
  <c r="H501" i="10" s="1"/>
  <c r="G364" i="10"/>
  <c r="H364" i="10" s="1"/>
  <c r="F364" i="10"/>
  <c r="G408" i="10"/>
  <c r="H408" i="10" s="1"/>
  <c r="F408" i="10"/>
  <c r="G390" i="10"/>
  <c r="H390" i="10" s="1"/>
  <c r="F390" i="10"/>
  <c r="G432" i="10"/>
  <c r="H432" i="10" s="1"/>
  <c r="F432" i="10"/>
  <c r="G458" i="10"/>
  <c r="H458" i="10" s="1"/>
  <c r="F458" i="10"/>
  <c r="F443" i="10"/>
  <c r="G443" i="10"/>
  <c r="H443" i="10" s="1"/>
  <c r="F524" i="10"/>
  <c r="G524" i="10"/>
  <c r="H524" i="10" s="1"/>
  <c r="G476" i="10"/>
  <c r="H476" i="10" s="1"/>
  <c r="F476" i="10"/>
  <c r="G446" i="10"/>
  <c r="H446" i="10" s="1"/>
  <c r="F446" i="10"/>
  <c r="G568" i="10"/>
  <c r="H568" i="10" s="1"/>
  <c r="F568" i="10"/>
  <c r="F583" i="10"/>
  <c r="G583" i="10"/>
  <c r="H583" i="10" s="1"/>
  <c r="G564" i="10"/>
  <c r="H564" i="10" s="1"/>
  <c r="F564" i="10"/>
  <c r="G381" i="10"/>
  <c r="H381" i="10" s="1"/>
  <c r="F381" i="10"/>
  <c r="F499" i="10"/>
  <c r="G499" i="10"/>
  <c r="H499" i="10" s="1"/>
  <c r="G374" i="10"/>
  <c r="H374" i="10" s="1"/>
  <c r="F374" i="10"/>
  <c r="G456" i="10"/>
  <c r="H456" i="10" s="1"/>
  <c r="F456" i="10"/>
  <c r="G399" i="10"/>
  <c r="H399" i="10" s="1"/>
  <c r="F399" i="10"/>
  <c r="G343" i="10"/>
  <c r="H343" i="10" s="1"/>
  <c r="F343" i="10"/>
  <c r="G442" i="10"/>
  <c r="H442" i="10" s="1"/>
  <c r="F442" i="10"/>
  <c r="G473" i="10"/>
  <c r="H473" i="10" s="1"/>
  <c r="F473" i="10"/>
  <c r="G419" i="10"/>
  <c r="H419" i="10" s="1"/>
  <c r="F419" i="10"/>
  <c r="G470" i="10"/>
  <c r="H470" i="10" s="1"/>
  <c r="F470" i="10"/>
  <c r="G444" i="10"/>
  <c r="H444" i="10" s="1"/>
  <c r="F444" i="10"/>
  <c r="G484" i="10"/>
  <c r="H484" i="10" s="1"/>
  <c r="F484" i="10"/>
  <c r="F489" i="10"/>
  <c r="G489" i="10"/>
  <c r="H489" i="10" s="1"/>
  <c r="F521" i="10"/>
  <c r="G521" i="10"/>
  <c r="H521" i="10" s="1"/>
  <c r="F406" i="10"/>
  <c r="G406" i="10"/>
  <c r="H406" i="10" s="1"/>
  <c r="G533" i="10"/>
  <c r="H533" i="10" s="1"/>
  <c r="F533" i="10"/>
  <c r="G590" i="10"/>
  <c r="H590" i="10" s="1"/>
  <c r="F590" i="10"/>
  <c r="G560" i="10"/>
  <c r="H560" i="10" s="1"/>
  <c r="F560" i="10"/>
  <c r="G495" i="10"/>
  <c r="H495" i="10" s="1"/>
  <c r="F495" i="10"/>
  <c r="G573" i="10"/>
  <c r="H573" i="10" s="1"/>
  <c r="F573" i="10"/>
  <c r="F594" i="10"/>
  <c r="G594" i="10"/>
  <c r="H594" i="10" s="1"/>
  <c r="G472" i="10"/>
  <c r="H472" i="10" s="1"/>
  <c r="F472" i="10"/>
  <c r="G559" i="10"/>
  <c r="H559" i="10" s="1"/>
  <c r="F559" i="10"/>
  <c r="G556" i="10"/>
  <c r="H556" i="10" s="1"/>
  <c r="F556" i="10"/>
  <c r="F553" i="10"/>
  <c r="G553" i="10"/>
  <c r="H553" i="10" s="1"/>
  <c r="F570" i="10"/>
  <c r="G570" i="10"/>
  <c r="H570" i="10" s="1"/>
  <c r="G555" i="10"/>
  <c r="H555" i="10" s="1"/>
  <c r="F555" i="10"/>
  <c r="G599" i="10"/>
  <c r="H599" i="10" s="1"/>
  <c r="F599" i="10"/>
  <c r="F596" i="10"/>
  <c r="G596" i="10"/>
  <c r="H596" i="10" s="1"/>
  <c r="F546" i="10"/>
  <c r="G546" i="10"/>
  <c r="H546" i="10" s="1"/>
  <c r="G597" i="10"/>
  <c r="H597" i="10" s="1"/>
  <c r="F597" i="10"/>
  <c r="F574" i="10"/>
  <c r="G574" i="10"/>
  <c r="H574" i="10" s="1"/>
  <c r="F545" i="10"/>
  <c r="G545" i="10"/>
  <c r="H545" i="10" s="1"/>
  <c r="F562" i="10"/>
  <c r="G562" i="10"/>
  <c r="H562" i="10" s="1"/>
  <c r="G587" i="10"/>
  <c r="H587" i="10" s="1"/>
  <c r="F587" i="10"/>
  <c r="F547" i="10"/>
  <c r="G547" i="10"/>
  <c r="H547" i="10" s="1"/>
  <c r="G598" i="10"/>
  <c r="H598" i="10" s="1"/>
  <c r="F598" i="10"/>
  <c r="F438" i="10"/>
  <c r="G438" i="10"/>
  <c r="H438" i="10" s="1"/>
  <c r="F463" i="10"/>
  <c r="G463" i="10"/>
  <c r="H463" i="10" s="1"/>
  <c r="G502" i="10"/>
  <c r="H502" i="10" s="1"/>
  <c r="F502" i="10"/>
  <c r="G527" i="10"/>
  <c r="H527" i="10" s="1"/>
  <c r="F527" i="10"/>
  <c r="F544" i="10"/>
  <c r="G544" i="10"/>
  <c r="H544" i="10" s="1"/>
  <c r="F576" i="10"/>
  <c r="G576" i="10"/>
  <c r="H576" i="10" s="1"/>
  <c r="G541" i="10"/>
  <c r="H541" i="10" s="1"/>
  <c r="F541" i="10"/>
  <c r="G504" i="10"/>
  <c r="H504" i="10" s="1"/>
  <c r="F504" i="10"/>
  <c r="G591" i="10"/>
  <c r="H591" i="10" s="1"/>
  <c r="F591" i="10"/>
  <c r="G506" i="10"/>
  <c r="H506" i="10" s="1"/>
  <c r="F506" i="10"/>
  <c r="G540" i="10"/>
  <c r="H540" i="10" s="1"/>
  <c r="F540" i="10"/>
  <c r="G572" i="10"/>
  <c r="H572" i="10" s="1"/>
  <c r="F572" i="10"/>
  <c r="F585" i="10"/>
  <c r="G585" i="10"/>
  <c r="H585" i="10" s="1"/>
  <c r="F538" i="10"/>
  <c r="G538" i="10"/>
  <c r="H538" i="10" s="1"/>
  <c r="G588" i="10"/>
  <c r="H588" i="10" s="1"/>
  <c r="F588" i="10"/>
  <c r="F566" i="10"/>
  <c r="G566" i="10"/>
  <c r="H566" i="10" s="1"/>
  <c r="F593" i="10"/>
  <c r="G593" i="10"/>
  <c r="H593" i="10" s="1"/>
  <c r="G389" i="10"/>
  <c r="H389" i="10" s="1"/>
  <c r="F389" i="10"/>
  <c r="G382" i="10"/>
  <c r="H382" i="10" s="1"/>
  <c r="F382" i="10"/>
  <c r="G448" i="10"/>
  <c r="H448" i="10" s="1"/>
  <c r="F448" i="10"/>
  <c r="G352" i="10"/>
  <c r="H352" i="10" s="1"/>
  <c r="F352" i="10"/>
  <c r="G450" i="10"/>
  <c r="H450" i="10" s="1"/>
  <c r="F450" i="10"/>
  <c r="G427" i="10"/>
  <c r="H427" i="10" s="1"/>
  <c r="F427" i="10"/>
  <c r="G477" i="10"/>
  <c r="H477" i="10" s="1"/>
  <c r="F477" i="10"/>
  <c r="G452" i="10"/>
  <c r="H452" i="10" s="1"/>
  <c r="F452" i="10"/>
  <c r="G413" i="10"/>
  <c r="H413" i="10" s="1"/>
  <c r="F413" i="10"/>
  <c r="F534" i="10"/>
  <c r="G534" i="10"/>
  <c r="H534" i="10" s="1"/>
  <c r="G414" i="10"/>
  <c r="H414" i="10" s="1"/>
  <c r="F414" i="10"/>
  <c r="G525" i="10"/>
  <c r="H525" i="10" s="1"/>
  <c r="F525" i="10"/>
  <c r="G478" i="10"/>
  <c r="H478" i="10" s="1"/>
  <c r="F478" i="10"/>
  <c r="G503" i="10"/>
  <c r="H503" i="10" s="1"/>
  <c r="F503" i="10"/>
  <c r="G528" i="10"/>
  <c r="H528" i="10" s="1"/>
  <c r="F528" i="10"/>
  <c r="G565" i="10"/>
  <c r="H565" i="10" s="1"/>
  <c r="F565" i="10"/>
  <c r="G480" i="10"/>
  <c r="H480" i="10" s="1"/>
  <c r="F480" i="10"/>
  <c r="G551" i="10"/>
  <c r="H551" i="10" s="1"/>
  <c r="F551" i="10"/>
  <c r="F561" i="10"/>
  <c r="G561" i="10"/>
  <c r="H561" i="10" s="1"/>
  <c r="F578" i="10"/>
  <c r="G578" i="10"/>
  <c r="H578" i="10" s="1"/>
  <c r="G563" i="10"/>
  <c r="H563" i="10" s="1"/>
  <c r="F563" i="10"/>
  <c r="F542" i="10"/>
  <c r="G542" i="10"/>
  <c r="H542" i="10" s="1"/>
  <c r="G513" i="10"/>
  <c r="H513" i="10" s="1"/>
  <c r="F513" i="10"/>
  <c r="G536" i="10"/>
  <c r="H536" i="10" s="1"/>
  <c r="F536" i="10"/>
  <c r="G454" i="10"/>
  <c r="H454" i="10" s="1"/>
  <c r="F454" i="10"/>
  <c r="G518" i="10"/>
  <c r="H518" i="10" s="1"/>
  <c r="F518" i="10"/>
  <c r="G552" i="10"/>
  <c r="H552" i="10" s="1"/>
  <c r="F552" i="10"/>
  <c r="G584" i="10"/>
  <c r="H584" i="10" s="1"/>
  <c r="F584" i="10"/>
  <c r="G479" i="10"/>
  <c r="H479" i="10" s="1"/>
  <c r="F479" i="10"/>
  <c r="G520" i="10"/>
  <c r="H520" i="10" s="1"/>
  <c r="F520" i="10"/>
  <c r="G575" i="10"/>
  <c r="H575" i="10" s="1"/>
  <c r="F575" i="10"/>
  <c r="G522" i="10"/>
  <c r="H522" i="10" s="1"/>
  <c r="F522" i="10"/>
  <c r="G548" i="10"/>
  <c r="H548" i="10" s="1"/>
  <c r="F548" i="10"/>
  <c r="G580" i="10"/>
  <c r="H580" i="10" s="1"/>
  <c r="F580" i="10"/>
  <c r="F537" i="10"/>
  <c r="G537" i="10"/>
  <c r="H537" i="10" s="1"/>
  <c r="F554" i="10"/>
  <c r="G554" i="10"/>
  <c r="H554" i="10" s="1"/>
  <c r="G539" i="10"/>
  <c r="H539" i="10" s="1"/>
  <c r="F539" i="10"/>
  <c r="G589" i="10"/>
  <c r="H589" i="10" s="1"/>
  <c r="F589" i="10"/>
  <c r="F582" i="10"/>
  <c r="G582" i="10"/>
  <c r="H582" i="10" s="1"/>
  <c r="G430" i="10"/>
  <c r="H430" i="10" s="1"/>
  <c r="F430" i="10"/>
  <c r="G494" i="10"/>
  <c r="H494" i="10" s="1"/>
  <c r="F494" i="10"/>
  <c r="G519" i="10"/>
  <c r="H519" i="10" s="1"/>
  <c r="F519" i="10"/>
  <c r="G549" i="10"/>
  <c r="H549" i="10" s="1"/>
  <c r="F549" i="10"/>
  <c r="G496" i="10"/>
  <c r="H496" i="10" s="1"/>
  <c r="F496" i="10"/>
  <c r="G498" i="10"/>
  <c r="H498" i="10" s="1"/>
  <c r="F498" i="10"/>
  <c r="F577" i="10"/>
  <c r="G577" i="10"/>
  <c r="H577" i="10" s="1"/>
  <c r="G579" i="10"/>
  <c r="H579" i="10" s="1"/>
  <c r="F579" i="10"/>
  <c r="F558" i="10"/>
  <c r="G558" i="10"/>
  <c r="H558"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0"/>
            <color rgb="FF000000"/>
            <rFont val="Arial"/>
            <family val="2"/>
            <scheme val="minor"/>
          </rPr>
          <t>Salesforce Report Data
Report: Relatório OFICIAL ONGs - Operações
Field: Account.Tipo_de_Programa__c</t>
        </r>
      </text>
    </comment>
    <comment ref="B1" authorId="0" shapeId="0" xr:uid="{00000000-0006-0000-0000-000002000000}">
      <text>
        <r>
          <rPr>
            <sz val="10"/>
            <color rgb="FF000000"/>
            <rFont val="Arial"/>
            <family val="2"/>
            <scheme val="minor"/>
          </rPr>
          <t>Salesforce Report Data
Report: Relatório OFICIAL ONGs - Operações
Field: ACCOUNT_ID</t>
        </r>
      </text>
    </comment>
    <comment ref="C1" authorId="0" shapeId="0" xr:uid="{00000000-0006-0000-0000-000003000000}">
      <text>
        <r>
          <rPr>
            <sz val="10"/>
            <color rgb="FF000000"/>
            <rFont val="Arial"/>
            <family val="2"/>
            <scheme val="minor"/>
          </rPr>
          <t>Salesforce Report Data
Report: Relatório OFICIAL ONGs - Operações
Field: ACCOUNT.NAME</t>
        </r>
      </text>
    </comment>
    <comment ref="D1" authorId="0" shapeId="0" xr:uid="{00000000-0006-0000-0000-000004000000}">
      <text>
        <r>
          <rPr>
            <sz val="10"/>
            <color rgb="FF000000"/>
            <rFont val="Arial"/>
            <family val="2"/>
            <scheme val="minor"/>
          </rPr>
          <t>Salesforce Report Data
Report: Relatório OFICIAL ONGs - Operações
Field: Account.Nome_Fantasia__c</t>
        </r>
      </text>
    </comment>
    <comment ref="E1" authorId="0" shapeId="0" xr:uid="{00000000-0006-0000-0000-000005000000}">
      <text>
        <r>
          <rPr>
            <sz val="10"/>
            <color rgb="FF000000"/>
            <rFont val="Arial"/>
            <family val="2"/>
            <scheme val="minor"/>
          </rPr>
          <t>Salesforce Report Data
Report: Relatório OFICIAL ONGs - Operações
Field: Account.CNPJ_CPF__c</t>
        </r>
      </text>
    </comment>
    <comment ref="F1" authorId="0" shapeId="0" xr:uid="{00000000-0006-0000-0000-000006000000}">
      <text>
        <r>
          <rPr>
            <sz val="10"/>
            <color rgb="FF000000"/>
            <rFont val="Arial"/>
            <family val="2"/>
            <scheme val="minor"/>
          </rPr>
          <t>Salesforce Report Data
Report: Relatório OFICIAL ONGs - Operações
Field: Account.Representante_legal__c</t>
        </r>
      </text>
    </comment>
    <comment ref="G1" authorId="0" shapeId="0" xr:uid="{00000000-0006-0000-0000-000007000000}">
      <text>
        <r>
          <rPr>
            <sz val="10"/>
            <color rgb="FF000000"/>
            <rFont val="Arial"/>
            <family val="2"/>
            <scheme val="minor"/>
          </rPr>
          <t>Salesforce Report Data
Report: Relatório OFICIAL ONGs - Operações
Field: Account.E_mail_ONG__c</t>
        </r>
      </text>
    </comment>
    <comment ref="H1" authorId="0" shapeId="0" xr:uid="{00000000-0006-0000-0000-000008000000}">
      <text>
        <r>
          <rPr>
            <sz val="10"/>
            <color rgb="FF000000"/>
            <rFont val="Arial"/>
            <family val="2"/>
            <scheme val="minor"/>
          </rPr>
          <t>Salesforce Report Data
Report: Relatório OFICIAL ONGs - Operações
Field: PHONE1</t>
        </r>
      </text>
    </comment>
    <comment ref="I1" authorId="0" shapeId="0" xr:uid="{00000000-0006-0000-0000-000009000000}">
      <text>
        <r>
          <rPr>
            <sz val="10"/>
            <color rgb="FF000000"/>
            <rFont val="Arial"/>
            <family val="2"/>
            <scheme val="minor"/>
          </rPr>
          <t>Salesforce Report Data
Report: Relatório OFICIAL ONGs - Operações
Field: ADDRESS2_STATE</t>
        </r>
      </text>
    </comment>
    <comment ref="J1" authorId="0" shapeId="0" xr:uid="{00000000-0006-0000-0000-00000A000000}">
      <text>
        <r>
          <rPr>
            <sz val="10"/>
            <color rgb="FF000000"/>
            <rFont val="Arial"/>
            <family val="2"/>
            <scheme val="minor"/>
          </rPr>
          <t>Salesforce Report Data
Report: Relatório OFICIAL ONGs - Operações
Field: ADDRESS2_STREET</t>
        </r>
      </text>
    </comment>
    <comment ref="K1" authorId="0" shapeId="0" xr:uid="{00000000-0006-0000-0000-00000B000000}">
      <text>
        <r>
          <rPr>
            <sz val="10"/>
            <color rgb="FF000000"/>
            <rFont val="Arial"/>
            <family val="2"/>
            <scheme val="minor"/>
          </rPr>
          <t>Salesforce Report Data
Report: Relatório OFICIAL ONGs - Operações
Field: Account.Bairro_de_entrega__c</t>
        </r>
      </text>
    </comment>
    <comment ref="L1" authorId="0" shapeId="0" xr:uid="{00000000-0006-0000-0000-00000C000000}">
      <text>
        <r>
          <rPr>
            <sz val="10"/>
            <color rgb="FF000000"/>
            <rFont val="Arial"/>
            <family val="2"/>
            <scheme val="minor"/>
          </rPr>
          <t>Salesforce Report Data
Report: Relatório OFICIAL ONGs - Operações
Field: ACCOUNT_NUMBER</t>
        </r>
      </text>
    </comment>
    <comment ref="M1" authorId="0" shapeId="0" xr:uid="{00000000-0006-0000-0000-00000D000000}">
      <text>
        <r>
          <rPr>
            <sz val="10"/>
            <color rgb="FF000000"/>
            <rFont val="Arial"/>
            <family val="2"/>
            <scheme val="minor"/>
          </rPr>
          <t>Salesforce Report Data
Report: Relatório OFICIAL ONGs - Operações
Field: ADDRESS2_CITY</t>
        </r>
      </text>
    </comment>
    <comment ref="N1" authorId="0" shapeId="0" xr:uid="{00000000-0006-0000-0000-00000E000000}">
      <text>
        <r>
          <rPr>
            <sz val="10"/>
            <color rgb="FF000000"/>
            <rFont val="Arial"/>
            <family val="2"/>
            <scheme val="minor"/>
          </rPr>
          <t>Salesforce Report Data
Report: Relatório OFICIAL ONGs - Operações
Field: Account.Complemento_de_entrega__c</t>
        </r>
      </text>
    </comment>
    <comment ref="O1" authorId="0" shapeId="0" xr:uid="{00000000-0006-0000-0000-00000F000000}">
      <text>
        <r>
          <rPr>
            <sz val="10"/>
            <color rgb="FF000000"/>
            <rFont val="Arial"/>
            <family val="2"/>
            <scheme val="minor"/>
          </rPr>
          <t>Salesforce Report Data
Report: Relatório OFICIAL ONGs - Operações
Field: ADDRESS2_ZIP</t>
        </r>
      </text>
    </comment>
    <comment ref="P1" authorId="0" shapeId="0" xr:uid="{00000000-0006-0000-0000-000010000000}">
      <text>
        <r>
          <rPr>
            <sz val="10"/>
            <color rgb="FF000000"/>
            <rFont val="Arial"/>
            <family val="2"/>
            <scheme val="minor"/>
          </rPr>
          <t>Salesforce Report Data
Report: Relatório OFICIAL ONGs - Operações
Field: Account.Atividades_em_outro_espa_os_informe__c</t>
        </r>
      </text>
    </comment>
    <comment ref="Q1" authorId="0" shapeId="0" xr:uid="{00000000-0006-0000-0000-000011000000}">
      <text>
        <r>
          <rPr>
            <sz val="10"/>
            <color rgb="FF000000"/>
            <rFont val="Arial"/>
            <family val="2"/>
            <scheme val="minor"/>
          </rPr>
          <t>Salesforce Report Data
Report: Relatório OFICIAL ONGs - Operações
Field: Account.rea_de_atua_o_priorit_ria__c</t>
        </r>
      </text>
    </comment>
    <comment ref="R1" authorId="0" shapeId="0" xr:uid="{00000000-0006-0000-0000-000012000000}">
      <text>
        <r>
          <rPr>
            <sz val="10"/>
            <color rgb="FF000000"/>
            <rFont val="Arial"/>
            <family val="2"/>
            <scheme val="minor"/>
          </rPr>
          <t>Salesforce Report Data
Report: Relatório OFICIAL ONGs - Operações
Field: Account.Faixa_et_ria_do_p_blico_alvo__c</t>
        </r>
      </text>
    </comment>
    <comment ref="S1" authorId="0" shapeId="0" xr:uid="{00000000-0006-0000-0000-000013000000}">
      <text>
        <r>
          <rPr>
            <sz val="10"/>
            <color rgb="FF000000"/>
            <rFont val="Arial"/>
            <family val="2"/>
            <scheme val="minor"/>
          </rPr>
          <t>Salesforce Report Data
Report: Relatório OFICIAL ONGs - Operações
Field: Account.a_es_espec_ficas_para_os_p_blicos_alvos__c</t>
        </r>
      </text>
    </comment>
    <comment ref="T1" authorId="0" shapeId="0" xr:uid="{00000000-0006-0000-0000-000014000000}">
      <text>
        <r>
          <rPr>
            <sz val="10"/>
            <color rgb="FF000000"/>
            <rFont val="Arial"/>
            <family val="2"/>
            <scheme val="minor"/>
          </rPr>
          <t>Salesforce Report Data
Report: Relatório OFICIAL ONGs - Operações
Field: Account.N_mero_de_com__c</t>
        </r>
      </text>
    </comment>
    <comment ref="U1" authorId="0" shapeId="0" xr:uid="{00000000-0006-0000-0000-000015000000}">
      <text>
        <r>
          <rPr>
            <sz val="10"/>
            <color rgb="FF000000"/>
            <rFont val="Arial"/>
            <family val="2"/>
            <scheme val="minor"/>
          </rPr>
          <t>Salesforce Report Data
Report: Relatório OFICIAL ONGs - Operações
Field: Account.Nome_das_comunidades_atendidas__c</t>
        </r>
      </text>
    </comment>
    <comment ref="V1" authorId="0" shapeId="0" xr:uid="{00000000-0006-0000-0000-000016000000}">
      <text>
        <r>
          <rPr>
            <sz val="10"/>
            <color rgb="FF000000"/>
            <rFont val="Arial"/>
            <family val="2"/>
            <scheme val="minor"/>
          </rPr>
          <t>Salesforce Report Data
Report: Relatório OFICIAL ONGs - Operações
Field: Account.Observa_es_do_p_blico_atendido__c</t>
        </r>
      </text>
    </comment>
    <comment ref="W1" authorId="0" shapeId="0" xr:uid="{00000000-0006-0000-0000-000017000000}">
      <text>
        <r>
          <rPr>
            <sz val="10"/>
            <color rgb="FF000000"/>
            <rFont val="Arial"/>
            <family val="2"/>
            <scheme val="minor"/>
          </rPr>
          <t>Salesforce Report Data
Report: Relatório OFICIAL ONGs - Operações
Field: Account.N_mero_de_Matriculados_ano_anterior__c</t>
        </r>
      </text>
    </comment>
    <comment ref="X1" authorId="0" shapeId="0" xr:uid="{00000000-0006-0000-0000-000018000000}">
      <text>
        <r>
          <rPr>
            <sz val="10"/>
            <color rgb="FF000000"/>
            <rFont val="Arial"/>
            <family val="2"/>
            <scheme val="minor"/>
          </rPr>
          <t>Salesforce Report Data
Report: Relatório OFICIAL ONGs - Operações
Field: Account.Pessoas_impactadas_em_a_es_comunit_rias__c</t>
        </r>
      </text>
    </comment>
    <comment ref="Y1" authorId="0" shapeId="0" xr:uid="{00000000-0006-0000-0000-000019000000}">
      <text>
        <r>
          <rPr>
            <sz val="10"/>
            <color rgb="FF000000"/>
            <rFont val="Arial"/>
            <family val="2"/>
            <scheme val="minor"/>
          </rPr>
          <t>Salesforce Report Data
Report: Relatório OFICIAL ONGs - Operações
Field: Account.Data_de_Funda_o__c</t>
        </r>
      </text>
    </comment>
    <comment ref="Z1" authorId="0" shapeId="0" xr:uid="{00000000-0006-0000-0000-00001A000000}">
      <text>
        <r>
          <rPr>
            <sz val="10"/>
            <color rgb="FF000000"/>
            <rFont val="Arial"/>
            <family val="2"/>
            <scheme val="minor"/>
          </rPr>
          <t>Salesforce Report Data
Report: Relatório OFICIAL ONGs - Operações
Field: Account.Possui_Estatuto_Social_em_cart_rio__c</t>
        </r>
      </text>
    </comment>
    <comment ref="AA1" authorId="0" shapeId="0" xr:uid="{00000000-0006-0000-0000-00001B000000}">
      <text>
        <r>
          <rPr>
            <sz val="10"/>
            <color rgb="FF000000"/>
            <rFont val="Arial"/>
            <family val="2"/>
            <scheme val="minor"/>
          </rPr>
          <t>Salesforce Report Data
Report: Relatório OFICIAL ONGs - Operações
Field: Account.N_colaboradores_CLT__c</t>
        </r>
      </text>
    </comment>
    <comment ref="AB1" authorId="0" shapeId="0" xr:uid="{00000000-0006-0000-0000-00001C000000}">
      <text>
        <r>
          <rPr>
            <sz val="10"/>
            <color rgb="FF000000"/>
            <rFont val="Arial"/>
            <family val="2"/>
            <scheme val="minor"/>
          </rPr>
          <t>Salesforce Report Data
Report: Relatório OFICIAL ONGs - Operações
Field: Account.N_Volunt_rios_ativos__c</t>
        </r>
      </text>
    </comment>
    <comment ref="AC1" authorId="0" shapeId="0" xr:uid="{00000000-0006-0000-0000-00001D000000}">
      <text>
        <r>
          <rPr>
            <sz val="10"/>
            <color rgb="FF000000"/>
            <rFont val="Arial"/>
            <family val="2"/>
            <scheme val="minor"/>
          </rPr>
          <t>Salesforce Report Data
Report: Relatório OFICIAL ONGs - Operações
Field: Account.Quantas_fontes_de_financiamento__c</t>
        </r>
      </text>
    </comment>
    <comment ref="AD1" authorId="0" shapeId="0" xr:uid="{00000000-0006-0000-0000-00001E000000}">
      <text>
        <r>
          <rPr>
            <sz val="10"/>
            <color rgb="FF000000"/>
            <rFont val="Arial"/>
            <family val="2"/>
            <scheme val="minor"/>
          </rPr>
          <t>Salesforce Report Data
Report: Relatório OFICIAL ONGs - Operações
Field: Account.Principais_fontes_de_financiamento__c</t>
        </r>
      </text>
    </comment>
    <comment ref="AE1" authorId="0" shapeId="0" xr:uid="{00000000-0006-0000-0000-00001F000000}">
      <text>
        <r>
          <rPr>
            <sz val="10"/>
            <color rgb="FF000000"/>
            <rFont val="Arial"/>
            <family val="2"/>
            <scheme val="minor"/>
          </rPr>
          <t>Salesforce Report Data
Report: Relatório OFICIAL ONGs - Operações
Field: Account.Qual_a_participa_o_de_cada_frente_s__c</t>
        </r>
      </text>
    </comment>
    <comment ref="AF1" authorId="0" shapeId="0" xr:uid="{00000000-0006-0000-0000-000020000000}">
      <text>
        <r>
          <rPr>
            <sz val="10"/>
            <color rgb="FF000000"/>
            <rFont val="Arial"/>
            <family val="2"/>
            <scheme val="minor"/>
          </rPr>
          <t>Salesforce Report Data
Report: Relatório OFICIAL ONGs - Operações
Field: Account.Valor_bruto_arrecadado__c</t>
        </r>
      </text>
    </comment>
    <comment ref="AG1" authorId="0" shapeId="0" xr:uid="{00000000-0006-0000-0000-000021000000}">
      <text>
        <r>
          <rPr>
            <sz val="10"/>
            <color rgb="FF000000"/>
            <rFont val="Arial"/>
            <family val="2"/>
            <scheme val="minor"/>
          </rPr>
          <t>Salesforce Report Data
Report: Relatório OFICIAL ONGs - Operações
Field: Account.Realiza_auditoria_independente__c</t>
        </r>
      </text>
    </comment>
    <comment ref="AH1" authorId="0" shapeId="0" xr:uid="{00000000-0006-0000-0000-000022000000}">
      <text>
        <r>
          <rPr>
            <sz val="10"/>
            <color rgb="FF000000"/>
            <rFont val="Arial"/>
            <family val="2"/>
            <scheme val="minor"/>
          </rPr>
          <t>Salesforce Report Data
Report: Relatório OFICIAL ONGs - Operações
Field: Account.Utiliza_o_App_GE_para_aulas_online__c</t>
        </r>
      </text>
    </comment>
    <comment ref="AI1" authorId="0" shapeId="0" xr:uid="{00000000-0006-0000-0000-000023000000}">
      <text>
        <r>
          <rPr>
            <sz val="10"/>
            <color rgb="FF000000"/>
            <rFont val="Arial"/>
            <family val="2"/>
            <scheme val="minor"/>
          </rPr>
          <t>Salesforce Report Data
Report: Relatório OFICIAL ONGs - Operações
Field: URL</t>
        </r>
      </text>
    </comment>
    <comment ref="AJ1" authorId="0" shapeId="0" xr:uid="{00000000-0006-0000-0000-000024000000}">
      <text>
        <r>
          <rPr>
            <sz val="10"/>
            <color rgb="FF000000"/>
            <rFont val="Arial"/>
            <family val="2"/>
            <scheme val="minor"/>
          </rPr>
          <t>Salesforce Report Data
Report: Relatório OFICIAL ONGs - Operações
Field: Account.Link_Instagram__c</t>
        </r>
      </text>
    </comment>
    <comment ref="AK1" authorId="0" shapeId="0" xr:uid="{00000000-0006-0000-0000-000025000000}">
      <text>
        <r>
          <rPr>
            <sz val="10"/>
            <color rgb="FF000000"/>
            <rFont val="Arial"/>
            <family val="2"/>
            <scheme val="minor"/>
          </rPr>
          <t>Salesforce Report Data
Report: Relatório OFICIAL ONGs - Operações
Field: Account.Link_Facebook__c</t>
        </r>
      </text>
    </comment>
    <comment ref="AL1" authorId="0" shapeId="0" xr:uid="{00000000-0006-0000-0000-000026000000}">
      <text>
        <r>
          <rPr>
            <sz val="10"/>
            <color rgb="FF000000"/>
            <rFont val="Arial"/>
            <family val="2"/>
            <scheme val="minor"/>
          </rPr>
          <t>Salesforce Report Data
Report: Relatório OFICIAL ONGs - Operações
Field: Account.Link_Youtube__c</t>
        </r>
      </text>
    </comment>
    <comment ref="AM1" authorId="0" shapeId="0" xr:uid="{00000000-0006-0000-0000-000027000000}">
      <text>
        <r>
          <rPr>
            <sz val="10"/>
            <color rgb="FF000000"/>
            <rFont val="Arial"/>
            <family val="2"/>
            <scheme val="minor"/>
          </rPr>
          <t>Salesforce Report Data
Report: Relatório OFICIAL ONGs - Operações
Field: Account.Redes_sociais__c</t>
        </r>
      </text>
    </comment>
    <comment ref="AN1" authorId="0" shapeId="0" xr:uid="{00000000-0006-0000-0000-000028000000}">
      <text>
        <r>
          <rPr>
            <sz val="10"/>
            <color rgb="FF000000"/>
            <rFont val="Arial"/>
            <family val="2"/>
            <scheme val="minor"/>
          </rPr>
          <t>Salesforce Report Data
Report: Relatório OFICIAL ONGs - Operações
Field: Account.Link_Arquivo_Oficinas_por_P_blico_alvo__c</t>
        </r>
      </text>
    </comment>
    <comment ref="AO1" authorId="0" shapeId="0" xr:uid="{00000000-0006-0000-0000-000029000000}">
      <text>
        <r>
          <rPr>
            <sz val="10"/>
            <color rgb="FF000000"/>
            <rFont val="Arial"/>
            <family val="2"/>
            <scheme val="minor"/>
          </rPr>
          <t>Salesforce Report Data
Report: Relatório OFICIAL ONGs - Operações
Field: Account.Link_Estatuto_Social__c</t>
        </r>
      </text>
    </comment>
    <comment ref="AP1" authorId="0" shapeId="0" xr:uid="{00000000-0006-0000-0000-00002A000000}">
      <text>
        <r>
          <rPr>
            <sz val="10"/>
            <color rgb="FF000000"/>
            <rFont val="Arial"/>
            <family val="2"/>
            <scheme val="minor"/>
          </rPr>
          <t>Salesforce Report Data
Report: Relatório OFICIAL ONGs - Operações
Field: Account.Link_Arquivo_CNPJ__c</t>
        </r>
      </text>
    </comment>
    <comment ref="AQ1" authorId="0" shapeId="0" xr:uid="{00000000-0006-0000-0000-00002B000000}">
      <text>
        <r>
          <rPr>
            <sz val="10"/>
            <color rgb="FF000000"/>
            <rFont val="Arial"/>
            <family val="2"/>
            <scheme val="minor"/>
          </rPr>
          <t>Salesforce Report Data
Report: Relatório OFICIAL ONGs - Operações
Field: Account.Link_Apresenta_o_instuticuional__c</t>
        </r>
      </text>
    </comment>
    <comment ref="AR1" authorId="0" shapeId="0" xr:uid="{00000000-0006-0000-0000-00002C000000}">
      <text>
        <r>
          <rPr>
            <sz val="10"/>
            <color rgb="FF000000"/>
            <rFont val="Arial"/>
            <family val="2"/>
            <scheme val="minor"/>
          </rPr>
          <t>Salesforce Report Data
Report: Relatório OFICIAL ONGs - Operações
Field: Account.Link_Arquivo_logo_ONG__c</t>
        </r>
      </text>
    </comment>
    <comment ref="AS1" authorId="0" shapeId="0" xr:uid="{00000000-0006-0000-0000-00002D000000}">
      <text>
        <r>
          <rPr>
            <sz val="10"/>
            <color rgb="FF000000"/>
            <rFont val="Arial"/>
            <family val="2"/>
            <scheme val="minor"/>
          </rPr>
          <t>Salesforce Report Data
Report: Relatório OFICIAL ONGs - Operações
Field: Account.Link_Balan_o_Patrimonial__c</t>
        </r>
      </text>
    </comment>
    <comment ref="AT1" authorId="0" shapeId="0" xr:uid="{00000000-0006-0000-0000-00002E000000}">
      <text>
        <r>
          <rPr>
            <sz val="10"/>
            <color rgb="FF000000"/>
            <rFont val="Arial"/>
            <family val="2"/>
            <scheme val="minor"/>
          </rPr>
          <t>Salesforce Report Data
Report: Relatório OFICIAL ONGs - Operações
Field: Account.Link_Relat_rio_de_Presta_o_de_contas__c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100-000001000000}">
      <text>
        <r>
          <rPr>
            <sz val="10"/>
            <color rgb="FF000000"/>
            <rFont val="Arial"/>
            <family val="2"/>
            <scheme val="minor"/>
          </rPr>
          <t>Salesforce Report Data
Report: Relatório OFICIAL Líderes - Operações
Field: Account.Tipo_de_Programa__c</t>
        </r>
      </text>
    </comment>
    <comment ref="B1" authorId="0" shapeId="0" xr:uid="{00000000-0006-0000-0100-000002000000}">
      <text>
        <r>
          <rPr>
            <sz val="10"/>
            <color rgb="FF000000"/>
            <rFont val="Arial"/>
            <family val="2"/>
            <scheme val="minor"/>
          </rPr>
          <t>Salesforce Report Data
Report: Relatório OFICIAL Líderes - Operações
Field: CONTACT_ID</t>
        </r>
      </text>
    </comment>
    <comment ref="C1" authorId="0" shapeId="0" xr:uid="{00000000-0006-0000-0100-000003000000}">
      <text>
        <r>
          <rPr>
            <sz val="10"/>
            <color rgb="FF000000"/>
            <rFont val="Arial"/>
            <family val="2"/>
            <scheme val="minor"/>
          </rPr>
          <t>Salesforce Report Data
Report: Relatório OFICIAL Líderes - Operações
Field: FIRST_NAME</t>
        </r>
      </text>
    </comment>
    <comment ref="D1" authorId="0" shapeId="0" xr:uid="{00000000-0006-0000-0100-000004000000}">
      <text>
        <r>
          <rPr>
            <sz val="10"/>
            <color rgb="FF000000"/>
            <rFont val="Arial"/>
            <family val="2"/>
            <scheme val="minor"/>
          </rPr>
          <t>Salesforce Report Data
Report: Relatório OFICIAL Líderes - Operações
Field: LAST_NAME</t>
        </r>
      </text>
    </comment>
    <comment ref="E1" authorId="0" shapeId="0" xr:uid="{00000000-0006-0000-0100-000005000000}">
      <text>
        <r>
          <rPr>
            <sz val="10"/>
            <color rgb="FF000000"/>
            <rFont val="Arial"/>
            <family val="2"/>
            <scheme val="minor"/>
          </rPr>
          <t>Salesforce Report Data
Report: Relatório OFICIAL Líderes - Operações
Field: Contact.Status_Lider__c</t>
        </r>
      </text>
    </comment>
    <comment ref="F1" authorId="0" shapeId="0" xr:uid="{00000000-0006-0000-0100-000006000000}">
      <text>
        <r>
          <rPr>
            <sz val="10"/>
            <color rgb="FF000000"/>
            <rFont val="Arial"/>
            <family val="2"/>
            <scheme val="minor"/>
          </rPr>
          <t>Salesforce Report Data
Report: Relatório OFICIAL Líderes - Operações
Field: Contact.Semestre_Falcons__c</t>
        </r>
      </text>
    </comment>
    <comment ref="G1" authorId="0" shapeId="0" xr:uid="{00000000-0006-0000-0100-000007000000}">
      <text>
        <r>
          <rPr>
            <sz val="10"/>
            <color rgb="FF000000"/>
            <rFont val="Arial"/>
            <family val="2"/>
            <scheme val="minor"/>
          </rPr>
          <t>Salesforce Report Data
Report: Relatório OFICIAL Líderes - Operações
Field: EMAIL</t>
        </r>
      </text>
    </comment>
    <comment ref="H1" authorId="0" shapeId="0" xr:uid="{00000000-0006-0000-0100-000008000000}">
      <text>
        <r>
          <rPr>
            <sz val="10"/>
            <color rgb="FF000000"/>
            <rFont val="Arial"/>
            <family val="2"/>
            <scheme val="minor"/>
          </rPr>
          <t>Salesforce Report Data
Report: Relatório OFICIAL Líderes - Operações
Field: PHONE3</t>
        </r>
      </text>
    </comment>
    <comment ref="I1" authorId="0" shapeId="0" xr:uid="{00000000-0006-0000-0100-000009000000}">
      <text>
        <r>
          <rPr>
            <sz val="10"/>
            <color rgb="FF000000"/>
            <rFont val="Arial"/>
            <family val="2"/>
            <scheme val="minor"/>
          </rPr>
          <t>Salesforce Report Data
Report: Relatório OFICIAL Líderes - Operações
Field: BIRTHDATE</t>
        </r>
      </text>
    </comment>
    <comment ref="J1" authorId="0" shapeId="0" xr:uid="{00000000-0006-0000-0100-00000A000000}">
      <text>
        <r>
          <rPr>
            <sz val="10"/>
            <color rgb="FF000000"/>
            <rFont val="Arial"/>
            <family val="2"/>
            <scheme val="minor"/>
          </rPr>
          <t>Salesforce Report Data
Report: Relatório OFICIAL Líderes - Operações
Field: Contact.Idade__c</t>
        </r>
      </text>
    </comment>
    <comment ref="K1" authorId="0" shapeId="0" xr:uid="{00000000-0006-0000-0100-00000B000000}">
      <text>
        <r>
          <rPr>
            <sz val="10"/>
            <color rgb="FF000000"/>
            <rFont val="Arial"/>
            <family val="2"/>
            <scheme val="minor"/>
          </rPr>
          <t>Salesforce Report Data
Report: Relatório OFICIAL Líderes - Operações
Field: Contact.RG__c</t>
        </r>
      </text>
    </comment>
    <comment ref="L1" authorId="0" shapeId="0" xr:uid="{00000000-0006-0000-0100-00000C000000}">
      <text>
        <r>
          <rPr>
            <sz val="10"/>
            <color rgb="FF000000"/>
            <rFont val="Arial"/>
            <family val="2"/>
            <scheme val="minor"/>
          </rPr>
          <t>Salesforce Report Data
Report: Relatório OFICIAL Líderes - Operações
Field: Contact.CPF__c</t>
        </r>
      </text>
    </comment>
    <comment ref="M1" authorId="0" shapeId="0" xr:uid="{00000000-0006-0000-0100-00000D000000}">
      <text>
        <r>
          <rPr>
            <sz val="10"/>
            <color rgb="FF000000"/>
            <rFont val="Arial"/>
            <family val="2"/>
            <scheme val="minor"/>
          </rPr>
          <t>Salesforce Report Data
Report: Relatório OFICIAL Líderes - Operações
Field: Contact.rea_de_Forma_o__c</t>
        </r>
      </text>
    </comment>
    <comment ref="N1" authorId="0" shapeId="0" xr:uid="{00000000-0006-0000-0100-00000E000000}">
      <text>
        <r>
          <rPr>
            <sz val="10"/>
            <color rgb="FF000000"/>
            <rFont val="Arial"/>
            <family val="2"/>
            <scheme val="minor"/>
          </rPr>
          <t>Salesforce Report Data
Report: Relatório OFICIAL Líderes - Operações
Field: TITLE</t>
        </r>
      </text>
    </comment>
    <comment ref="O1" authorId="0" shapeId="0" xr:uid="{00000000-0006-0000-0100-00000F000000}">
      <text>
        <r>
          <rPr>
            <sz val="10"/>
            <color rgb="FF000000"/>
            <rFont val="Arial"/>
            <family val="2"/>
            <scheme val="minor"/>
          </rPr>
          <t>Salesforce Report Data
Report: Relatório OFICIAL Líderes - Operações
Field: Contact.Tamanho_da_camiseta__c</t>
        </r>
      </text>
    </comment>
    <comment ref="P1" authorId="0" shapeId="0" xr:uid="{00000000-0006-0000-0100-000010000000}">
      <text>
        <r>
          <rPr>
            <sz val="10"/>
            <color rgb="FF000000"/>
            <rFont val="Arial"/>
            <family val="2"/>
            <scheme val="minor"/>
          </rPr>
          <t>Salesforce Report Data
Report: Relatório OFICIAL Líderes - Operações
Field: Contact.Qual_raca_etnia__c</t>
        </r>
      </text>
    </comment>
    <comment ref="Q1" authorId="0" shapeId="0" xr:uid="{00000000-0006-0000-0100-000011000000}">
      <text>
        <r>
          <rPr>
            <sz val="10"/>
            <color rgb="FF000000"/>
            <rFont val="Arial"/>
            <family val="2"/>
            <scheme val="minor"/>
          </rPr>
          <t>Salesforce Report Data
Report: Relatório OFICIAL Líderes - Operações
Field: Contact.Qual_o_seu_g_nero__c</t>
        </r>
      </text>
    </comment>
    <comment ref="R1" authorId="0" shapeId="0" xr:uid="{00000000-0006-0000-0100-000012000000}">
      <text>
        <r>
          <rPr>
            <sz val="10"/>
            <color rgb="FF000000"/>
            <rFont val="Arial"/>
            <family val="2"/>
            <scheme val="minor"/>
          </rPr>
          <t>Salesforce Report Data
Report: Relatório OFICIAL Líderes - Operações
Field: Contact.Trabalha_em_tempo_integral_na_ONG__c</t>
        </r>
      </text>
    </comment>
    <comment ref="S1" authorId="0" shapeId="0" xr:uid="{00000000-0006-0000-0100-000013000000}">
      <text>
        <r>
          <rPr>
            <sz val="10"/>
            <color rgb="FF000000"/>
            <rFont val="Arial"/>
            <family val="2"/>
            <scheme val="minor"/>
          </rPr>
          <t>Salesforce Report Data
Report: Relatório OFICIAL Líderes - Operações
Field: Contact.Mini_Biografia__c</t>
        </r>
      </text>
    </comment>
    <comment ref="T1" authorId="0" shapeId="0" xr:uid="{00000000-0006-0000-0100-000014000000}">
      <text>
        <r>
          <rPr>
            <sz val="10"/>
            <color rgb="FF000000"/>
            <rFont val="Arial"/>
            <family val="2"/>
            <scheme val="minor"/>
          </rPr>
          <t>Salesforce Report Data
Report: Relatório OFICIAL Líderes - Operações
Field: Contact.Sexo_Biol_gico__c</t>
        </r>
      </text>
    </comment>
    <comment ref="U1" authorId="0" shapeId="0" xr:uid="{00000000-0006-0000-0100-000015000000}">
      <text>
        <r>
          <rPr>
            <sz val="10"/>
            <color rgb="FF000000"/>
            <rFont val="Arial"/>
            <family val="2"/>
            <scheme val="minor"/>
          </rPr>
          <t>Salesforce Report Data
Report: Relatório OFICIAL Líderes - Operações
Field: Contact.Orienta_o_Sexual__c</t>
        </r>
      </text>
    </comment>
    <comment ref="V1" authorId="0" shapeId="0" xr:uid="{00000000-0006-0000-0100-000016000000}">
      <text>
        <r>
          <rPr>
            <sz val="10"/>
            <color rgb="FF000000"/>
            <rFont val="Arial"/>
            <family val="2"/>
            <scheme val="minor"/>
          </rPr>
          <t>Salesforce Report Data
Report: Relatório OFICIAL Líderes - Operações
Field: Contact.Escolaridade__c</t>
        </r>
      </text>
    </comment>
    <comment ref="W1" authorId="0" shapeId="0" xr:uid="{00000000-0006-0000-0100-000017000000}">
      <text>
        <r>
          <rPr>
            <sz val="10"/>
            <color rgb="FF000000"/>
            <rFont val="Arial"/>
            <family val="2"/>
            <scheme val="minor"/>
          </rPr>
          <t>Salesforce Report Data
Report: Relatório OFICIAL Líderes - Operações
Field: Contact.Tipo_de_institui_o_de_ensino_b_sico__c</t>
        </r>
      </text>
    </comment>
    <comment ref="X1" authorId="0" shapeId="0" xr:uid="{00000000-0006-0000-0100-000018000000}">
      <text>
        <r>
          <rPr>
            <sz val="10"/>
            <color rgb="FF000000"/>
            <rFont val="Arial"/>
            <family val="2"/>
            <scheme val="minor"/>
          </rPr>
          <t>Salesforce Report Data
Report: Relatório OFICIAL Líderes - Operações
Field: Contact.N_vel_de_ensino_superior__c</t>
        </r>
      </text>
    </comment>
    <comment ref="Y1" authorId="0" shapeId="0" xr:uid="{00000000-0006-0000-0100-000019000000}">
      <text>
        <r>
          <rPr>
            <sz val="10"/>
            <color rgb="FF000000"/>
            <rFont val="Arial"/>
            <family val="2"/>
            <scheme val="minor"/>
          </rPr>
          <t>Salesforce Report Data
Report: Relatório OFICIAL Líderes - Operações
Field: Contact.Tipo_de_institui_o_de_ensino_superior__c</t>
        </r>
      </text>
    </comment>
    <comment ref="Z1" authorId="0" shapeId="0" xr:uid="{00000000-0006-0000-0100-00001A000000}">
      <text>
        <r>
          <rPr>
            <sz val="10"/>
            <color rgb="FF000000"/>
            <rFont val="Arial"/>
            <family val="2"/>
            <scheme val="minor"/>
          </rPr>
          <t>Salesforce Report Data
Report: Relatório OFICIAL Líderes - Operações
Field: ADDRESS2_STREET</t>
        </r>
      </text>
    </comment>
    <comment ref="AA1" authorId="0" shapeId="0" xr:uid="{00000000-0006-0000-0100-00001B000000}">
      <text>
        <r>
          <rPr>
            <sz val="10"/>
            <color rgb="FF000000"/>
            <rFont val="Arial"/>
            <family val="2"/>
            <scheme val="minor"/>
          </rPr>
          <t>Salesforce Report Data
Report: Relatório OFICIAL Líderes - Operações
Field: Contact.N_mero_da_resid_ncia__c</t>
        </r>
      </text>
    </comment>
    <comment ref="AB1" authorId="0" shapeId="0" xr:uid="{00000000-0006-0000-0100-00001C000000}">
      <text>
        <r>
          <rPr>
            <sz val="10"/>
            <color rgb="FF000000"/>
            <rFont val="Arial"/>
            <family val="2"/>
            <scheme val="minor"/>
          </rPr>
          <t>Salesforce Report Data
Report: Relatório OFICIAL Líderes - Operações
Field: Contact.Complemento_de_correspond_ncia__c</t>
        </r>
      </text>
    </comment>
    <comment ref="AC1" authorId="0" shapeId="0" xr:uid="{00000000-0006-0000-0100-00001D000000}">
      <text>
        <r>
          <rPr>
            <sz val="10"/>
            <color rgb="FF000000"/>
            <rFont val="Arial"/>
            <family val="2"/>
            <scheme val="minor"/>
          </rPr>
          <t>Salesforce Report Data
Report: Relatório OFICIAL Líderes - Operações
Field: ADDRESS2_CITY</t>
        </r>
      </text>
    </comment>
    <comment ref="AD1" authorId="0" shapeId="0" xr:uid="{00000000-0006-0000-0100-00001E000000}">
      <text>
        <r>
          <rPr>
            <sz val="10"/>
            <color rgb="FF000000"/>
            <rFont val="Arial"/>
            <family val="2"/>
            <scheme val="minor"/>
          </rPr>
          <t>Salesforce Report Data
Report: Relatório OFICIAL Líderes - Operações
Field: ADDRESS2_ZIP</t>
        </r>
      </text>
    </comment>
    <comment ref="AE1" authorId="0" shapeId="0" xr:uid="{00000000-0006-0000-0100-00001F000000}">
      <text>
        <r>
          <rPr>
            <sz val="10"/>
            <color rgb="FF000000"/>
            <rFont val="Arial"/>
            <family val="2"/>
            <scheme val="minor"/>
          </rPr>
          <t>Salesforce Report Data
Report: Relatório OFICIAL Líderes - Operações
Field: ADDRESS2_STATE</t>
        </r>
      </text>
    </comment>
    <comment ref="AF1" authorId="0" shapeId="0" xr:uid="{00000000-0006-0000-0100-000020000000}">
      <text>
        <r>
          <rPr>
            <sz val="10"/>
            <color rgb="FF000000"/>
            <rFont val="Arial"/>
            <family val="2"/>
            <scheme val="minor"/>
          </rPr>
          <t>Salesforce Report Data
Report: Relatório OFICIAL Líderes - Operações
Field: Contact.Valor_bruto_da_Renda__c</t>
        </r>
      </text>
    </comment>
    <comment ref="AG1" authorId="0" shapeId="0" xr:uid="{00000000-0006-0000-0100-000021000000}">
      <text>
        <r>
          <rPr>
            <sz val="10"/>
            <color rgb="FF000000"/>
            <rFont val="Arial"/>
            <family val="2"/>
            <scheme val="minor"/>
          </rPr>
          <t>Salesforce Report Data
Report: Relatório OFICIAL Líderes - Operações
Field: Contact.Condi_o_de_emprego_dos_membros_familia__c</t>
        </r>
      </text>
    </comment>
    <comment ref="AH1" authorId="0" shapeId="0" xr:uid="{00000000-0006-0000-0100-000022000000}">
      <text>
        <r>
          <rPr>
            <sz val="10"/>
            <color rgb="FF000000"/>
            <rFont val="Arial"/>
            <family val="2"/>
            <scheme val="minor"/>
          </rPr>
          <t>Salesforce Report Data
Report: Relatório OFICIAL Líderes - Operações
Field: Contact.Condi_es_de_moradia__c</t>
        </r>
      </text>
    </comment>
    <comment ref="AI1" authorId="0" shapeId="0" xr:uid="{00000000-0006-0000-0100-000023000000}">
      <text>
        <r>
          <rPr>
            <sz val="10"/>
            <color rgb="FF000000"/>
            <rFont val="Arial"/>
            <family val="2"/>
            <scheme val="minor"/>
          </rPr>
          <t>Salesforce Report Data
Report: Relatório OFICIAL Líderes - Operações
Field: Contact.Quantas_pessoas_dependem_dessa_renda__c</t>
        </r>
      </text>
    </comment>
    <comment ref="AJ1" authorId="0" shapeId="0" xr:uid="{00000000-0006-0000-0100-000024000000}">
      <text>
        <r>
          <rPr>
            <sz val="10"/>
            <color rgb="FF000000"/>
            <rFont val="Arial"/>
            <family val="2"/>
            <scheme val="minor"/>
          </rPr>
          <t>Salesforce Report Data
Report: Relatório OFICIAL Líderes - Operações
Field: Contact.Voc_tem_alguma_defici_ncia__c</t>
        </r>
      </text>
    </comment>
    <comment ref="AK1" authorId="0" shapeId="0" xr:uid="{00000000-0006-0000-0100-000025000000}">
      <text>
        <r>
          <rPr>
            <sz val="10"/>
            <color rgb="FF000000"/>
            <rFont val="Arial"/>
            <family val="2"/>
            <scheme val="minor"/>
          </rPr>
          <t>Salesforce Report Data
Report: Relatório OFICIAL Líderes - Operações
Field: Contact.Voc_possui_alguma_restri_o_alimentar__c</t>
        </r>
      </text>
    </comment>
    <comment ref="AL1" authorId="0" shapeId="0" xr:uid="{00000000-0006-0000-0100-000026000000}">
      <text>
        <r>
          <rPr>
            <sz val="10"/>
            <color rgb="FF000000"/>
            <rFont val="Arial"/>
            <family val="2"/>
            <scheme val="minor"/>
          </rPr>
          <t>Salesforce Report Data
Report: Relatório OFICIAL Líderes - Operações
Field: Contact.Link_linkedin_lider__c</t>
        </r>
      </text>
    </comment>
    <comment ref="AM1" authorId="0" shapeId="0" xr:uid="{00000000-0006-0000-0100-000027000000}">
      <text>
        <r>
          <rPr>
            <sz val="10"/>
            <color rgb="FF000000"/>
            <rFont val="Arial"/>
            <family val="2"/>
            <scheme val="minor"/>
          </rPr>
          <t>Salesforce Report Data
Report: Relatório OFICIAL Líderes - Operações
Field: Contact.Link_Instagram_l_der__c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300-000001000000}">
      <text>
        <r>
          <rPr>
            <sz val="10"/>
            <color rgb="FF000000"/>
            <rFont val="Arial"/>
            <family val="2"/>
            <scheme val="minor"/>
          </rPr>
          <t>The creator of this import ({import_user_email}) needs to upgrade to a Pro plan to allow others to refresh their data imports.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400-000001000000}">
      <text>
        <r>
          <rPr>
            <sz val="10"/>
            <color rgb="FF000000"/>
            <rFont val="Arial"/>
            <family val="2"/>
            <scheme val="minor"/>
          </rPr>
          <t>The creator of this import ({import_user_email}) needs to upgrade to a Pro plan to allow others to refresh their data imports.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I1" authorId="0" shapeId="0" xr:uid="{00000000-0006-0000-0800-000001000000}">
      <text>
        <r>
          <rPr>
            <sz val="10"/>
            <color rgb="FF000000"/>
            <rFont val="Arial"/>
            <family val="2"/>
            <scheme val="minor"/>
          </rPr>
          <t>Coefficient writeback result</t>
        </r>
      </text>
    </comment>
    <comment ref="J1" authorId="0" shapeId="0" xr:uid="{00000000-0006-0000-0800-000002000000}">
      <text>
        <r>
          <rPr>
            <sz val="10"/>
            <color rgb="FF000000"/>
            <rFont val="Arial"/>
            <family val="2"/>
            <scheme val="minor"/>
          </rPr>
          <t>Coefficient writeback result</t>
        </r>
      </text>
    </comment>
    <comment ref="K1" authorId="0" shapeId="0" xr:uid="{00000000-0006-0000-0800-000003000000}">
      <text>
        <r>
          <rPr>
            <sz val="10"/>
            <color rgb="FF000000"/>
            <rFont val="Arial"/>
            <family val="2"/>
            <scheme val="minor"/>
          </rPr>
          <t>Coefficient writeback result</t>
        </r>
      </text>
    </comment>
  </commentList>
</comments>
</file>

<file path=xl/sharedStrings.xml><?xml version="1.0" encoding="utf-8"?>
<sst xmlns="http://schemas.openxmlformats.org/spreadsheetml/2006/main" count="47043" uniqueCount="18720">
  <si>
    <t>Tipo de Programa</t>
  </si>
  <si>
    <t>ID da conta</t>
  </si>
  <si>
    <t>Nome da conta</t>
  </si>
  <si>
    <t>Nome Fantasia</t>
  </si>
  <si>
    <t>CNPJ/CPF</t>
  </si>
  <si>
    <t>Representante legal</t>
  </si>
  <si>
    <t>E-mail ONG</t>
  </si>
  <si>
    <t>Telefone</t>
  </si>
  <si>
    <t>Estado/Província de entrega</t>
  </si>
  <si>
    <t>Rua de entrega</t>
  </si>
  <si>
    <t>Bairro de entrega</t>
  </si>
  <si>
    <t>Número da conta</t>
  </si>
  <si>
    <t>Cidade de entrega</t>
  </si>
  <si>
    <t>Complemento de entrega</t>
  </si>
  <si>
    <t>CEP de entrega</t>
  </si>
  <si>
    <t>Atividades em outro espaços, informe</t>
  </si>
  <si>
    <t>Área de atuação prioritária</t>
  </si>
  <si>
    <t>Faixa etária do público-alvo (BNCC/ECA)</t>
  </si>
  <si>
    <t>Ações específicas para os públicos alvos</t>
  </si>
  <si>
    <t>Número de comunidades atendidas</t>
  </si>
  <si>
    <t>Nome das comunidades atendidas</t>
  </si>
  <si>
    <t>Observações do público atendido</t>
  </si>
  <si>
    <t>Número de Matriculados ano anterior</t>
  </si>
  <si>
    <t>Nº Pessoas impactadas em ações comunit</t>
  </si>
  <si>
    <t>Data de Fundação</t>
  </si>
  <si>
    <t>Possui  Estatuto Social em cartório?</t>
  </si>
  <si>
    <t>Nº colaboradores CLT ou MEI</t>
  </si>
  <si>
    <t>Nº Voluntários ativos</t>
  </si>
  <si>
    <t>Quantas fontes de financiamento</t>
  </si>
  <si>
    <t>Principais fontes de financiamento</t>
  </si>
  <si>
    <t>Participação de cada frente %</t>
  </si>
  <si>
    <t>Valor bruto arrecadado</t>
  </si>
  <si>
    <t>Realiza auditoria independente?</t>
  </si>
  <si>
    <t>Utiliza o App GE para aulas online?</t>
  </si>
  <si>
    <t>Site da Web</t>
  </si>
  <si>
    <t>Link Instagram</t>
  </si>
  <si>
    <t>Link Facebook</t>
  </si>
  <si>
    <t>Link Youtube</t>
  </si>
  <si>
    <t>Redes sociais</t>
  </si>
  <si>
    <t>Link: Arquivo Oficinas por Público-alvo</t>
  </si>
  <si>
    <t>Link: Estatuto Social</t>
  </si>
  <si>
    <t>Link: Arquivo CNPJ</t>
  </si>
  <si>
    <t>Link: Apresentação instuticuional</t>
  </si>
  <si>
    <t>Link: Arquivo logo ONG</t>
  </si>
  <si>
    <t>Link: Balanço Patrimonial</t>
  </si>
  <si>
    <t>Link: Relatório de Prestação de contas</t>
  </si>
  <si>
    <t>Fellow</t>
  </si>
  <si>
    <t>0014X00002PUOZA</t>
  </si>
  <si>
    <t>Instituto Girassol de Desenvolvimento Social</t>
  </si>
  <si>
    <t>Girassol</t>
  </si>
  <si>
    <t>07.888.521/0001-76</t>
  </si>
  <si>
    <t>AL</t>
  </si>
  <si>
    <t>Rua Major José Tenório,190</t>
  </si>
  <si>
    <t>Padre Cicero</t>
  </si>
  <si>
    <t>Boca da Mata</t>
  </si>
  <si>
    <t>57680-000</t>
  </si>
  <si>
    <t>["Esporte","Educação","Cultura"]</t>
  </si>
  <si>
    <t>["Crianças (6 a 12 anos)","Adolescentes (12 aos 18 anos)","Adultos","Jovens (18 aos 24 anos)"]</t>
  </si>
  <si>
    <t>Nosso público prioritário são crianças e adolescentes em situação de risco/vulnerabilidade social;</t>
  </si>
  <si>
    <t>["Plataforma doação online  Pessoa Física","Projetos Específicos com Empresas","Outra opção"]</t>
  </si>
  <si>
    <t>96,8% Projetos Empresas, Penas peculiar indicadas pelo Poder Judiciário 1,2%, comunidade local 0,5%, 1,5% prefeitura</t>
  </si>
  <si>
    <t>Vamos iniciar esse ano</t>
  </si>
  <si>
    <t>Sim</t>
  </si>
  <si>
    <t>&lt;a href="javascript:openPopupFocus%28%27http%3A%2F%2Figds.org.br%2C%20o%20mesmo%20estar%20em%20manuten%C3%A7%C3%A3o%27%2C%20%27_blank%27%2C%20620%2C%20430%2C%20%27width%3D620%2Cheight%3D430%2Cresizable%3Dyes%2Ctoolbar%3Dyes%2Cstatus%3Dyes%2Cscrollbars%3Dyes%2Cmenubar%3Dyes%2Cdirectories%3Dyes%2Clocation%3Dyes%2Cdependant%3Dno%27%2C%20false%2C%20true%29%3B" title="http://igds.org.br, o mesmo estar em manutenção (Nova janela)"&gt;http://igds.org.br, o mesmo estar em manutenção&lt;/a&gt;</t>
  </si>
  <si>
    <t>&lt;a href="javascript:openPopupFocus%28%27http%3A%2F%2F%2527%40instituto_girassol%27%2C%20%27_blank%27%2C%20620%2C%20430%2C%20%27width%3D620%2Cheight%3D430%2Cresizable%3Dyes%2Ctoolbar%3Dyes%2Cstatus%3Dyes%2Cscrollbars%3Dyes%2Cmenubar%3Dyes%2Cdirectories%3Dyes%2Clocation%3Dyes%2Cdependant%3Dno%27%2C%20false%2C%20true%29%3B" title="http://'@instituto_girassol (Nova janela)"&gt;http://'@instituto_girassol&lt;/a&gt;</t>
  </si>
  <si>
    <t>&lt;a href="javascript:openPopupFocus%28%27https%3A%2F%2Fwww.facebook.com%2Finstitutogirassoldedesenvolvimentosocial%27%2C%20%27_blank%27%2C%20620%2C%20430%2C%20%27width%3D620%2Cheight%3D430%2Cresizable%3Dyes%2Ctoolbar%3Dyes%2Cstatus%3Dyes%2Cscrollbars%3Dyes%2Cmenubar%3Dyes%2Cdirectories%3Dyes%2Clocation%3Dyes%2Cdependant%3Dno%27%2C%20false%2C%20true%29%3B" title="https://www.facebook.com/institutogirassoldedesenvolvimentosocial (Nova janela)"&gt;https://www.facebook.com/institutogirassoldedesenvolvimentosocial&lt;/a&gt;</t>
  </si>
  <si>
    <t>0014X00002PUOUa</t>
  </si>
  <si>
    <t>ASSOCIAÇÃO DO MORRO PARA O RINGUE</t>
  </si>
  <si>
    <t>MORRO PARA O RINGUE</t>
  </si>
  <si>
    <t>39.698.455/0001-68</t>
  </si>
  <si>
    <t>RJ</t>
  </si>
  <si>
    <t>Rua São Luiz Gonzaga 1612</t>
  </si>
  <si>
    <t>Benfica</t>
  </si>
  <si>
    <t>Rio de Janeiro</t>
  </si>
  <si>
    <t>["Esporte","Educação"]</t>
  </si>
  <si>
    <t>["Crianças (6 a 12 anos)","Adolescentes (12 aos 18 anos)"]</t>
  </si>
  <si>
    <t>Atendemos algumas crianças especiais intelectuais</t>
  </si>
  <si>
    <t>[]</t>
  </si>
  <si>
    <t>&lt;a href="javascript:openPopupFocus%28%27https%3A%2F%2Fwww.instagram.com%2Fp%2FCKVHTFcDqNA%2F%3Figshid%3D1lf3r1c2nl3sg%27%2C%20%27_blank%27%2C%20620%2C%20430%2C%20%27width%3D620%2Cheight%3D430%2Cresizable%3Dyes%2Ctoolbar%3Dyes%2Cstatus%3Dyes%2Cscrollbars%3Dyes%2Cmenubar%3Dyes%2Cdirectories%3Dyes%2Clocation%3Dyes%2Cdependant%3Dno%27%2C%20false%2C%20true%29%3B" title="https://www.instagram.com/p/CKVHTFcDqNA/?igshid=1lf3r1c2nl3sg (Nova janela)"&gt;https://www.instagram.com/p/CKVHTFcDqNA/?igshid=1lf3r1c2nl3sg&lt;/a&gt;</t>
  </si>
  <si>
    <t>0014X00002PUOTv</t>
  </si>
  <si>
    <t>Instituto Árvore da Vida</t>
  </si>
  <si>
    <t>Árvore da Vida</t>
  </si>
  <si>
    <t>28.995.182/0001-05</t>
  </si>
  <si>
    <t>Bianca Aragão Esteves</t>
  </si>
  <si>
    <t>MG</t>
  </si>
  <si>
    <t>Rua, Duque de Caxias 956</t>
  </si>
  <si>
    <t>Jardim Teresópolis</t>
  </si>
  <si>
    <t>Betim</t>
  </si>
  <si>
    <t>Salas da Igreja São José - Rua Duque de Caxias, bairro Jardim Teresópolis.</t>
  </si>
  <si>
    <t>["Educação","Cultura","Qualificação Profissional"]</t>
  </si>
  <si>
    <t>["Crianças pequenas (4 anos a 5 anos e 11 meses)","Adolescentes (12 aos 18 anos)","Adultos","Jovens (18 aos 24 anos)"]</t>
  </si>
  <si>
    <t>Moradores da favela</t>
  </si>
  <si>
    <t>["Lei de Incentivo","Projetos Específicos com Empresas"]</t>
  </si>
  <si>
    <t>Projetos Empresas 76% ; Projetos incentivados 24%</t>
  </si>
  <si>
    <t>&lt;a href="javascript:openPopupFocus%28%27http%3A%2F%2FN%C3%A3o%20possui%27%2C%20%27_blank%27%2C%20620%2C%20430%2C%20%27width%3D620%2Cheight%3D430%2Cresizable%3Dyes%2Ctoolbar%3Dyes%2Cstatus%3Dyes%2Cscrollbars%3Dyes%2Cmenubar%3Dyes%2Cdirectories%3Dyes%2Clocation%3Dyes%2Cdependant%3Dno%27%2C%20false%2C%20true%29%3B" title="http://Não possui (Nova janela)"&gt;http://Não possui&lt;/a&gt;</t>
  </si>
  <si>
    <t>&lt;a href="javascript:openPopupFocus%28%27https%3A%2F%2Fwww.instagram.com%2Finstitutoarvoredavida%2F%20%20%20%20%20%3B%27%2C%20%27_blank%27%2C%20620%2C%20430%2C%20%27width%3D620%2Cheight%3D430%2Cresizable%3Dyes%2Ctoolbar%3Dyes%2Cstatus%3Dyes%2Cscrollbars%3Dyes%2Cmenubar%3Dyes%2Cdirectories%3Dyes%2Clocation%3Dyes%2Cdependant%3Dno%27%2C%20false%2C%20true%29%3B" title="https://www.instagram.com/institutoarvoredavida/     ; (Nova janela)"&gt;https://www.instagram.com/institutoarvoredavida/     ;&lt;/a&gt;</t>
  </si>
  <si>
    <t>&lt;a href="javascript:openPopupFocus%28%27https%3A%2F%2Fwww.facebook.com%2Finstitutoarvoredavidabetim%27%2C%20%27_blank%27%2C%20620%2C%20430%2C%20%27width%3D620%2Cheight%3D430%2Cresizable%3Dyes%2Ctoolbar%3Dyes%2Cstatus%3Dyes%2Cscrollbars%3Dyes%2Cmenubar%3Dyes%2Cdirectories%3Dyes%2Clocation%3Dyes%2Cdependant%3Dno%27%2C%20false%2C%20true%29%3B" title="https://www.facebook.com/institutoarvoredavidabetim (Nova janela)"&gt;https://www.facebook.com/institutoarvoredavidabetim&lt;/a&gt;</t>
  </si>
  <si>
    <t>0014X00002PUOaD</t>
  </si>
  <si>
    <t>Instituto de Desenvolvimento Pessoal e Social Os Sonhadores</t>
  </si>
  <si>
    <t>Os sonhadores</t>
  </si>
  <si>
    <t>17997433941</t>
  </si>
  <si>
    <t>SP</t>
  </si>
  <si>
    <t>Rua João Batista Lacerda, 345</t>
  </si>
  <si>
    <t>Jardim Barbosa</t>
  </si>
  <si>
    <t>Fernandópolis</t>
  </si>
  <si>
    <t>["Esporte","Assistência Social","Cultura"]</t>
  </si>
  <si>
    <t>["Negócio Social","Convênio Público","Eventos/Ações para captação"]</t>
  </si>
  <si>
    <t>Negocio Social: 10% Convenio Público: 20% Eventos/Ações: 10%</t>
  </si>
  <si>
    <t>&lt;a href="javascript:openPopupFocus%28%27http%3A%2F%2Fossonhadores.org%2F%27%2C%20%27_blank%27%2C%20620%2C%20430%2C%20%27width%3D620%2Cheight%3D430%2Cresizable%3Dyes%2Ctoolbar%3Dyes%2Cstatus%3Dyes%2Cscrollbars%3Dyes%2Cmenubar%3Dyes%2Cdirectories%3Dyes%2Clocation%3Dyes%2Cdependant%3Dno%27%2C%20false%2C%20true%29%3B" title="http://ossonhadores.org/ (Nova janela)"&gt;http://ossonhadores.org/&lt;/a&gt;</t>
  </si>
  <si>
    <t>0014X00002PUOY7</t>
  </si>
  <si>
    <t>Projeto Vidançar</t>
  </si>
  <si>
    <t>Vidançar</t>
  </si>
  <si>
    <t>27.579.482/0001-32</t>
  </si>
  <si>
    <t>Avenida Itaóca, 1975</t>
  </si>
  <si>
    <t>Complexo do Alemão</t>
  </si>
  <si>
    <t>["Esporte","Educação","Assistência Social","Cultura","Qualificação Profissional","Empreendedorismo"]</t>
  </si>
  <si>
    <t>["Crianças (6 a 12 anos)","Crianças pequenas (4 anos a 5 anos e 11 meses)","Adolescentes (12 aos 18 anos)","Jovens (18 aos 24 anos)"]</t>
  </si>
  <si>
    <t>Atendemos o público de forma online com as aulas pelo aplicativo Zoom e Google Meets, e de forma presencial na comunidade do Complexo do Alemão.</t>
  </si>
  <si>
    <t>["Plataforma doação online  Pessoa Física"]</t>
  </si>
  <si>
    <t>100% pessoas físicas</t>
  </si>
  <si>
    <t>Não</t>
  </si>
  <si>
    <t>&lt;a href="javascript:openPopupFocus%28%27http%3A%2F%2FInstagram%20%40projetovidancar%2C%27%2C%20%27_blank%27%2C%20620%2C%20430%2C%20%27width%3D620%2Cheight%3D430%2Cresizable%3Dyes%2Ctoolbar%3Dyes%2Cstatus%3Dyes%2Cscrollbars%3Dyes%2Cmenubar%3Dyes%2Cdirectories%3Dyes%2Clocation%3Dyes%2Cdependant%3Dno%27%2C%20false%2C%20true%29%3B" title="http://Instagram @projetovidancar, (Nova janela)"&gt;http://Instagram @projetovidancar,&lt;/a&gt;</t>
  </si>
  <si>
    <t>0014X00002PUObk</t>
  </si>
  <si>
    <t>Salum - Associação Cristã de Desenvolvimento Social - Juntos Somos Mais</t>
  </si>
  <si>
    <t>Juntos Somos Mais</t>
  </si>
  <si>
    <t>27.267.085/0001-25</t>
  </si>
  <si>
    <t>Avenida Professor José Maria Alkmin, 484</t>
  </si>
  <si>
    <t>Jardim Ester</t>
  </si>
  <si>
    <t>São Paulo</t>
  </si>
  <si>
    <t>Filial - Vale do Jequitinhonha</t>
  </si>
  <si>
    <t>["Crianças (6 a 12 anos)","Adolescentes (12 aos 18 anos)","Jovens (18 aos 24 anos)"]</t>
  </si>
  <si>
    <t>Quilombolas ;Moradores de favelas ;</t>
  </si>
  <si>
    <t>["Eventos/Ações para captação","Projetos Específicos com Empresas"]</t>
  </si>
  <si>
    <t>Eventos / Ações para Captação 30% e Pessoas Físicas 70%</t>
  </si>
  <si>
    <t>&lt;a href="javascript:openPopupFocus%28%27http%3A%2F%2Fongsalum.com%2Fhome%27%2C%20%27_blank%27%2C%20620%2C%20430%2C%20%27width%3D620%2Cheight%3D430%2Cresizable%3Dyes%2Ctoolbar%3Dyes%2Cstatus%3Dyes%2Cscrollbars%3Dyes%2Cmenubar%3Dyes%2Cdirectories%3Dyes%2Clocation%3Dyes%2Cdependant%3Dno%27%2C%20false%2C%20true%29%3B" title="http://ongsalum.com/home (Nova janela)"&gt;http://ongsalum.com/home&lt;/a&gt;</t>
  </si>
  <si>
    <t>&lt;a href="javascript:openPopupFocus%28%27https%3A%2F%2Fwww.instagram.com%2Fp%2FCKjLvsiBuQQ%2F%3Figshid%3D1ww243q38ov30%27%2C%20%27_blank%27%2C%20620%2C%20430%2C%20%27width%3D620%2Cheight%3D430%2Cresizable%3Dyes%2Ctoolbar%3Dyes%2Cstatus%3Dyes%2Cscrollbars%3Dyes%2Cmenubar%3Dyes%2Cdirectories%3Dyes%2Clocation%3Dyes%2Cdependant%3Dno%27%2C%20false%2C%20true%29%3B" title="https://www.instagram.com/p/CKjLvsiBuQQ/?igshid=1ww243q38ov30 (Nova janela)"&gt;https://www.instagram.com/p/CKjLvsiBuQQ/?igshid=1ww243q38ov30&lt;/a&gt;</t>
  </si>
  <si>
    <t>&lt;a href="javascript:openPopupFocus%28%27https%3A%2F%2Fwww.facebook.com%2Ftribossalum%2Fphotos%2Fa.1863786950324111%2F3636590986377023%2F%3Ftype%3D3%27%2C%20%27_blank%27%2C%20620%2C%20430%2C%20%27width%3D620%2Cheight%3D430%2Cresizable%3Dyes%2Ctoolbar%3Dyes%2Cstatus%3Dyes%2Cscrollbars%3Dyes%2Cmenubar%3Dyes%2Cdirectories%3Dyes%2Clocation%3Dyes%2Cdependant%3Dno%27%2C%20false%2C%20true%29%3B" title="https://www.facebook.com/tribossalum/photos/a.1863786950324111/3636590986377023/?type=3 (Nova janela)"&gt;https://www.facebook.com/tribossalum/photos/a.1863786950324111/3636590986377023/?type=3&lt;/a&gt;</t>
  </si>
  <si>
    <t>0014X00002PUOdW</t>
  </si>
  <si>
    <t>PALAVRAS ENCANTADAS</t>
  </si>
  <si>
    <t>26.406.261/0001-08</t>
  </si>
  <si>
    <t>Francisco de Assis Balbino Sobrinho</t>
  </si>
  <si>
    <t>(32)8800-7547</t>
  </si>
  <si>
    <t>José Neto, 1</t>
  </si>
  <si>
    <t>Morro Nossa Senhora da Conceição</t>
  </si>
  <si>
    <t>Além Paraíba</t>
  </si>
  <si>
    <t>36660-000</t>
  </si>
  <si>
    <t>["Crianças (6 a 12 anos)","Crianças pequenas (4 anos a 5 anos e 11 meses)","Adolescentes (12 aos 18 anos)","Adultos","Jovens (18 aos 24 anos)"]</t>
  </si>
  <si>
    <t>População de baixa renda, pessoas em situações de vulnerabilidade social. Crianças e jovens com potencial incrível para aprender</t>
  </si>
  <si>
    <t>["Editais"]</t>
  </si>
  <si>
    <t>&lt;a href="javascript:openPopupFocus%28%27http%3A%2F%2Fwww.palavrasnecantada.org.br%27%2C%20%27_blank%27%2C%20620%2C%20430%2C%20%27width%3D620%2Cheight%3D430%2Cresizable%3Dyes%2Ctoolbar%3Dyes%2Cstatus%3Dyes%2Cscrollbars%3Dyes%2Cmenubar%3Dyes%2Cdirectories%3Dyes%2Clocation%3Dyes%2Cdependant%3Dno%27%2C%20false%2C%20true%29%3B" title="http://www.palavrasnecantada.org.br (Nova janela)"&gt;http://www.palavrasnecantada.org.br&lt;/a&gt;</t>
  </si>
  <si>
    <t>&lt;a href="javascript:openPopupFocus%28%27http%3A%2F%2FInstagram.com%2Ftpalavrasencantadas%27%2C%20%27_blank%27%2C%20620%2C%20430%2C%20%27width%3D620%2Cheight%3D430%2Cresizable%3Dyes%2Ctoolbar%3Dyes%2Cstatus%3Dyes%2Cscrollbars%3Dyes%2Cmenubar%3Dyes%2Cdirectories%3Dyes%2Clocation%3Dyes%2Cdependant%3Dno%27%2C%20false%2C%20true%29%3B" title="http://Instagram.com/tpalavrasencantadas (Nova janela)"&gt;http://Instagram.com/tpalavrasencantadas&lt;/a&gt;</t>
  </si>
  <si>
    <t>&lt;a href="javascript:openPopupFocus%28%27https%3A%2F%2Fm.youtube.com%2Fchannel%2FUCX6RaPO0kZ-6ApmIFeKyQVw%27%2C%20%27_blank%27%2C%20620%2C%20430%2C%20%27width%3D620%2Cheight%3D430%2Cresizable%3Dyes%2Ctoolbar%3Dyes%2Cstatus%3Dyes%2Cscrollbars%3Dyes%2Cmenubar%3Dyes%2Cdirectories%3Dyes%2Clocation%3Dyes%2Cdependant%3Dno%27%2C%20false%2C%20true%29%3B" title="https://m.youtube.com/channel/UCX6RaPO0kZ-6ApmIFeKyQVw (Nova janela)"&gt;https://m.youtube.com/channel/UCX6RaPO0kZ-6ApmIFeKyQVw&lt;/a&gt;</t>
  </si>
  <si>
    <t>Acelerada</t>
  </si>
  <si>
    <t>0014P00003AN2GK</t>
  </si>
  <si>
    <t>Instituto Resgatando Vidas para Vida</t>
  </si>
  <si>
    <t>RESGATANDO VIDAS</t>
  </si>
  <si>
    <t>31.986.278/0001-03</t>
  </si>
  <si>
    <t>aron.ramos@institutoresgatandovidas.org.br</t>
  </si>
  <si>
    <t>(11) 3774-5981</t>
  </si>
  <si>
    <t>Rua Augusto Gil</t>
  </si>
  <si>
    <t>Rua Augusto Gil  220 Vila Dionísia  02670-070</t>
  </si>
  <si>
    <t>["Crianças (6 a 12 anos)","Adolescentes (12 aos 18 anos)","Adultos","Jovens (18 aos 24 anos)","Idosos (60 anos ou mais)"]</t>
  </si>
  <si>
    <t>Moradores de favelas ,Pessoas em situação de rua,</t>
  </si>
  <si>
    <t>Favela da Mazzalli Sucupira Flamengo e Jow</t>
  </si>
  <si>
    <t>Empresas 70%  Site e ações 15% Negócio Social 15%</t>
  </si>
  <si>
    <t>&lt;a href="javascript:openPopupFocus%28%27https%3A%2F%2Fwww.institutoresgatandovidas.org.br%2F%27%2C%20%27_blank%27%2C%20620%2C%20430%2C%20%27width%3D620%2Cheight%3D430%2Cresizable%3Dyes%2Ctoolbar%3Dyes%2Cstatus%3Dyes%2Cscrollbars%3Dyes%2Cmenubar%3Dyes%2Cdirectories%3Dyes%2Clocation%3Dyes%2Cdependant%3Dno%27%2C%20false%2C%20true%29%3B" title="https://www.institutoresgatandovidas.org.br/ (Nova janela)"&gt;https://www.institutoresgatandovidas.org.br/&lt;/a&gt;</t>
  </si>
  <si>
    <t>&lt;a href="javascript:openPopupFocus%28%27https%3A%2F%2Fwww.instagram.com%2Finstitutoresgatandovidas%2F%27%2C%20%27_blank%27%2C%20620%2C%20430%2C%20%27width%3D620%2Cheight%3D430%2Cresizable%3Dyes%2Ctoolbar%3Dyes%2Cstatus%3Dyes%2Cscrollbars%3Dyes%2Cmenubar%3Dyes%2Cdirectories%3Dyes%2Clocation%3Dyes%2Cdependant%3Dno%27%2C%20false%2C%20true%29%3B" title="https://www.instagram.com/institutoresgatandovidas/ (Nova janela)"&gt;https://www.instagram.com/institutoresgatandovidas/&lt;/a&gt;</t>
  </si>
  <si>
    <t>&lt;a href="javascript:openPopupFocus%28%27https%3A%2F%2Fwww.facebook.com%2Finstitutoresgatandovidas%27%2C%20%27_blank%27%2C%20620%2C%20430%2C%20%27width%3D620%2Cheight%3D430%2Cresizable%3Dyes%2Ctoolbar%3Dyes%2Cstatus%3Dyes%2Cscrollbars%3Dyes%2Cmenubar%3Dyes%2Cdirectories%3Dyes%2Clocation%3Dyes%2Cdependant%3Dno%27%2C%20false%2C%20true%29%3B" title="https://www.facebook.com/institutoresgatandovidas (Nova janela)"&gt;https://www.facebook.com/institutoresgatandovidas&lt;/a&gt;</t>
  </si>
  <si>
    <t>&lt;a href="javascript:openPopupFocus%28%27https%3A%2F%2Fwww.youtube.com%2Fchannel%2FUCJqTtJKo4ImGcCS3rtX1Jjw%27%2C%20%27_blank%27%2C%20620%2C%20430%2C%20%27width%3D620%2Cheight%3D430%2Cresizable%3Dyes%2Ctoolbar%3Dyes%2Cstatus%3Dyes%2Cscrollbars%3Dyes%2Cmenubar%3Dyes%2Cdirectories%3Dyes%2Clocation%3Dyes%2Cdependant%3Dno%27%2C%20false%2C%20true%29%3B" title="https://www.youtube.com/channel/UCJqTtJKo4ImGcCS3rtX1Jjw (Nova janela)"&gt;https://www.youtube.com/channel/UCJqTtJKo4ImGcCS3rtX1Jjw&lt;/a&gt;</t>
  </si>
  <si>
    <t>@Institutoresgatandovidas</t>
  </si>
  <si>
    <t>0014P00003AN2GL</t>
  </si>
  <si>
    <t>Associação Cultural Arautos do Gueto</t>
  </si>
  <si>
    <t>ARAUTOS DO GUETO</t>
  </si>
  <si>
    <t>04.027.134/0001-57</t>
  </si>
  <si>
    <t>dodopercu@hotmail.com</t>
  </si>
  <si>
    <t>(31) 99379-7383</t>
  </si>
  <si>
    <t>Rua França</t>
  </si>
  <si>
    <t>Belo Horizonte</t>
  </si>
  <si>
    <t>Rua Oscar Trompowsky 1372 Grajaú  cep 30440000 vila São Jorge</t>
  </si>
  <si>
    <t>["Esporte","Cultura","Qualificação Profissional"]</t>
  </si>
  <si>
    <t>Moradores de favelas ,</t>
  </si>
  <si>
    <t>Morro das Pedras 
Vila Ventosa</t>
  </si>
  <si>
    <t>100% lei de incentivo</t>
  </si>
  <si>
    <t>Nossas aulas estão no Instagram fechado para alunos.</t>
  </si>
  <si>
    <t>&lt;a href="javascript:openPopupFocus%28%27https%3A%2F%2Farautosdogueto.com.br%2F%27%2C%20%27_blank%27%2C%20620%2C%20430%2C%20%27width%3D620%2Cheight%3D430%2Cresizable%3Dyes%2Ctoolbar%3Dyes%2Cstatus%3Dyes%2Cscrollbars%3Dyes%2Cmenubar%3Dyes%2Cdirectories%3Dyes%2Clocation%3Dyes%2Cdependant%3Dno%27%2C%20false%2C%20true%29%3B" title="https://arautosdogueto.com.br/ (Nova janela)"&gt;https://arautosdogueto.com.br/&lt;/a&gt;</t>
  </si>
  <si>
    <t>&lt;a href="javascript:openPopupFocus%28%27https%3A%2F%2Finstagram.com%2Farautosdogueto%3Futm_medium%3Dcopy_link%27%2C%20%27_blank%27%2C%20620%2C%20430%2C%20%27width%3D620%2Cheight%3D430%2Cresizable%3Dyes%2Ctoolbar%3Dyes%2Cstatus%3Dyes%2Cscrollbars%3Dyes%2Cmenubar%3Dyes%2Cdirectories%3Dyes%2Clocation%3Dyes%2Cdependant%3Dno%27%2C%20false%2C%20true%29%3B" title="https://instagram.com/arautosdogueto?utm_medium=copy_link (Nova janela)"&gt;https://instagram.com/arautosdogueto?utm_medium=copy_link&lt;/a&gt;</t>
  </si>
  <si>
    <t>&lt;a href="javascript:openPopupFocus%28%27https%3A%2F%2Fm.facebook.com%2Fgrupoculturalarautosdogueto%2F%27%2C%20%27_blank%27%2C%20620%2C%20430%2C%20%27width%3D620%2Cheight%3D430%2Cresizable%3Dyes%2Ctoolbar%3Dyes%2Cstatus%3Dyes%2Cscrollbars%3Dyes%2Cmenubar%3Dyes%2Cdirectories%3Dyes%2Clocation%3Dyes%2Cdependant%3Dno%27%2C%20false%2C%20true%29%3B" title="https://m.facebook.com/grupoculturalarautosdogueto/ (Nova janela)"&gt;https://m.facebook.com/grupoculturalarautosdogueto/&lt;/a&gt;</t>
  </si>
  <si>
    <t>&lt;a href="javascript:openPopupFocus%28%27https%3A%2F%2Fyoutube.com%2Fchannel%2FUCO4ifmuW-418nOrOwGqX3eg%27%2C%20%27_blank%27%2C%20620%2C%20430%2C%20%27width%3D620%2Cheight%3D430%2Cresizable%3Dyes%2Ctoolbar%3Dyes%2Cstatus%3Dyes%2Cscrollbars%3Dyes%2Cmenubar%3Dyes%2Cdirectories%3Dyes%2Clocation%3Dyes%2Cdependant%3Dno%27%2C%20false%2C%20true%29%3B" title="https://youtube.com/channel/UCO4ifmuW-418nOrOwGqX3eg (Nova janela)"&gt;https://youtube.com/channel/UCO4ifmuW-418nOrOwGqX3eg&lt;/a&gt;</t>
  </si>
  <si>
    <t>https://instagram.com/arautosdogueto?igshid=be3ahhsdp4nn</t>
  </si>
  <si>
    <t>0014P00003AN2GI</t>
  </si>
  <si>
    <t>Associação Brasileira Feminina de Bodyboarding</t>
  </si>
  <si>
    <t>MOTIVAR</t>
  </si>
  <si>
    <t>14.666.963/0001-33</t>
  </si>
  <si>
    <t>diretoramotivar@gmail.com</t>
  </si>
  <si>
    <t>(84) 2226-3985</t>
  </si>
  <si>
    <t>RN</t>
  </si>
  <si>
    <t>Rua santa Bárbara</t>
  </si>
  <si>
    <t>NATAL</t>
  </si>
  <si>
    <t>...</t>
  </si>
  <si>
    <t>["Esporte","Educação","Cultura","Qualificação Profissional","Empreendedorismo"]</t>
  </si>
  <si>
    <t>Vila de Ponta Negra (extensão atividades pontuais em outra favela "Morro de Mãe Luiza).</t>
  </si>
  <si>
    <t>75% PJ-- 1717%PF--726% OnLine</t>
  </si>
  <si>
    <t>&lt;a href="javascript:openPopupFocus%28%27http%3A%2F%2Fwww.projetomotivar.com.br%27%2C%20%27_blank%27%2C%20620%2C%20430%2C%20%27width%3D620%2Cheight%3D430%2Cresizable%3Dyes%2Ctoolbar%3Dyes%2Cstatus%3Dyes%2Cscrollbars%3Dyes%2Cmenubar%3Dyes%2Cdirectories%3Dyes%2Clocation%3Dyes%2Cdependant%3Dno%27%2C%20false%2C%20true%29%3B" title="http://www.projetomotivar.com.br (Nova janela)"&gt;http://www.projetomotivar.com.br&lt;/a&gt;</t>
  </si>
  <si>
    <t>&lt;a href="javascript:openPopupFocus%28%27https%3A%2F%2Fwww.instagram.com%2Fprojetomotivar%2F%27%2C%20%27_blank%27%2C%20620%2C%20430%2C%20%27width%3D620%2Cheight%3D430%2Cresizable%3Dyes%2Ctoolbar%3Dyes%2Cstatus%3Dyes%2Cscrollbars%3Dyes%2Cmenubar%3Dyes%2Cdirectories%3Dyes%2Clocation%3Dyes%2Cdependant%3Dno%27%2C%20false%2C%20true%29%3B" title="https://www.instagram.com/projetomotivar/ (Nova janela)"&gt;https://www.instagram.com/projetomotivar/&lt;/a&gt;</t>
  </si>
  <si>
    <t>&lt;a href="javascript:openPopupFocus%28%27https%3A%2F%2Fwww.facebook.com%2Fprojetomotivar%27%2C%20%27_blank%27%2C%20620%2C%20430%2C%20%27width%3D620%2Cheight%3D430%2Cresizable%3Dyes%2Ctoolbar%3Dyes%2Cstatus%3Dyes%2Cscrollbars%3Dyes%2Cmenubar%3Dyes%2Cdirectories%3Dyes%2Clocation%3Dyes%2Cdependant%3Dno%27%2C%20false%2C%20true%29%3B" title="https://www.facebook.com/projetomotivar (Nova janela)"&gt;https://www.facebook.com/projetomotivar&lt;/a&gt;</t>
  </si>
  <si>
    <t>&lt;a href="javascript:openPopupFocus%28%27https%3A%2F%2Fwww.youtube.com%2Fc%2FProjetoMotivar%27%2C%20%27_blank%27%2C%20620%2C%20430%2C%20%27width%3D620%2Cheight%3D430%2Cresizable%3Dyes%2Ctoolbar%3Dyes%2Cstatus%3Dyes%2Cscrollbars%3Dyes%2Cmenubar%3Dyes%2Cdirectories%3Dyes%2Clocation%3Dyes%2Cdependant%3Dno%27%2C%20false%2C%20true%29%3B" title="https://www.youtube.com/c/ProjetoMotivar (Nova janela)"&gt;https://www.youtube.com/c/ProjetoMotivar&lt;/a&gt;</t>
  </si>
  <si>
    <t>@projetomotivar</t>
  </si>
  <si>
    <t>0014P00003AN2GJ</t>
  </si>
  <si>
    <t>Associação Esportiva Cultural e e Educacional Abraço Campeão</t>
  </si>
  <si>
    <t>ABRAÇO CAMPEÃO</t>
  </si>
  <si>
    <t>21.218.528/0001-50</t>
  </si>
  <si>
    <t>abracocampeao@gmail.com</t>
  </si>
  <si>
    <t>(21) 2564-1493</t>
  </si>
  <si>
    <t>estrada pau ferro</t>
  </si>
  <si>
    <t>R. Ardiria 119 - Olaria Rio de Janeiro - RJ 21071-030 ( konteiner )</t>
  </si>
  <si>
    <t>["Esporte","Educação","Assistência Social","Cultura","Qualificação Profissional","Empreendedorismo","Saúde"]</t>
  </si>
  <si>
    <t>["Crianças (6 a 12 anos)","Crianças pequenas (4 anos a 5 anos e 11 meses)","Adolescentes (12 aos 18 anos)","Adultos","Jovens (18 aos 24 anos)","Idosos (60 anos ou mais)"]</t>
  </si>
  <si>
    <t>Moradores de favelas ,População LGBTI,Afrodescententes ,Povos indígenas ,Quilombolas ,Pessoas em situação de rua,Dependentes químicos ,</t>
  </si>
  <si>
    <t>complexo do Alemão complexo da penha</t>
  </si>
  <si>
    <t>Doações On Line: 10% Negocios sociais : 0 Convenio publico : 0 projetos e empresas 90%</t>
  </si>
  <si>
    <t>&lt;a href="javascript:openPopupFocus%28%27https%3A%2F%2Fabracocampeao.org%2F%27%2C%20%27_blank%27%2C%20620%2C%20430%2C%20%27width%3D620%2Cheight%3D430%2Cresizable%3Dyes%2Ctoolbar%3Dyes%2Cstatus%3Dyes%2Cscrollbars%3Dyes%2Cmenubar%3Dyes%2Cdirectories%3Dyes%2Clocation%3Dyes%2Cdependant%3Dno%27%2C%20false%2C%20true%29%3B" title="https://abracocampeao.org/ (Nova janela)"&gt;https://abracocampeao.org/&lt;/a&gt;</t>
  </si>
  <si>
    <t>&lt;a href="javascript:openPopupFocus%28%27https%3A%2F%2Fwww.facebook.com%2Fabracocampeao%27%2C%20%27_blank%27%2C%20620%2C%20430%2C%20%27width%3D620%2Cheight%3D430%2Cresizable%3Dyes%2Ctoolbar%3Dyes%2Cstatus%3Dyes%2Cscrollbars%3Dyes%2Cmenubar%3Dyes%2Cdirectories%3Dyes%2Clocation%3Dyes%2Cdependant%3Dno%27%2C%20false%2C%20true%29%3B" title="https://www.facebook.com/abracocampeao (Nova janela)"&gt;https://www.facebook.com/abracocampeao&lt;/a&gt;</t>
  </si>
  <si>
    <t>&lt;a href="javascript:openPopupFocus%28%27https%3A%2F%2Fwww.youtube.com%2Fchannel%2FUC31VXN_OyUxsC29hLLfVpMQ%27%2C%20%27_blank%27%2C%20620%2C%20430%2C%20%27width%3D620%2Cheight%3D430%2Cresizable%3Dyes%2Ctoolbar%3Dyes%2Cstatus%3Dyes%2Cscrollbars%3Dyes%2Cmenubar%3Dyes%2Cdirectories%3Dyes%2Clocation%3Dyes%2Cdependant%3Dno%27%2C%20false%2C%20true%29%3B" title="https://www.youtube.com/channel/UC31VXN_OyUxsC29hLLfVpMQ (Nova janela)"&gt;https://www.youtube.com/channel/UC31VXN_OyUxsC29hLLfVpMQ&lt;/a&gt;</t>
  </si>
  <si>
    <t>https://www.instagram.com/?hl=pt     https://www.facebook.com/abracocampeao</t>
  </si>
  <si>
    <t>0014P00003AN2GP</t>
  </si>
  <si>
    <t>Instituto Mandaver</t>
  </si>
  <si>
    <t>MANDAVER</t>
  </si>
  <si>
    <t>30.587.116/0001-30</t>
  </si>
  <si>
    <t>financeiro@mandaver.org</t>
  </si>
  <si>
    <t> </t>
  </si>
  <si>
    <t>AVENIDA MONTE CASTELO</t>
  </si>
  <si>
    <t>Maceió</t>
  </si>
  <si>
    <t>AVENIDA MONTE CASTELO363
RUA BELO HORIZONTE S/N</t>
  </si>
  <si>
    <t>FAVELAS: MUNDAU SURURU DE CAPOTE PEIXE BREJAL TORRE MUVUCA QD12 FAVELINHA RUA DOS CAJUEIROS</t>
  </si>
  <si>
    <t>Doação online  2002% - Projetos Empresas 5407% - GF 2591%</t>
  </si>
  <si>
    <t>&lt;a href="javascript:openPopupFocus%28%27https%3A%2F%2Fwww.mandaver.org.br%2F%27%2C%20%27_blank%27%2C%20620%2C%20430%2C%20%27width%3D620%2Cheight%3D430%2Cresizable%3Dyes%2Ctoolbar%3Dyes%2Cstatus%3Dyes%2Cscrollbars%3Dyes%2Cmenubar%3Dyes%2Cdirectories%3Dyes%2Clocation%3Dyes%2Cdependant%3Dno%27%2C%20false%2C%20true%29%3B" title="https://www.mandaver.org.br/ (Nova janela)"&gt;https://www.mandaver.org.br/&lt;/a&gt;</t>
  </si>
  <si>
    <t>&lt;a href="javascript:openPopupFocus%28%27https%3A%2F%2Finstagram.com%2Fmandaverorg%3Futm_medium%3Dcopy_link%27%2C%20%27_blank%27%2C%20620%2C%20430%2C%20%27width%3D620%2Cheight%3D430%2Cresizable%3Dyes%2Ctoolbar%3Dyes%2Cstatus%3Dyes%2Cscrollbars%3Dyes%2Cmenubar%3Dyes%2Cdirectories%3Dyes%2Clocation%3Dyes%2Cdependant%3Dno%27%2C%20false%2C%20true%29%3B" title="https://instagram.com/mandaverorg?utm_medium=copy_link (Nova janela)"&gt;https://instagram.com/mandaverorg?utm_medium=copy_link&lt;/a&gt;</t>
  </si>
  <si>
    <t>&lt;a href="javascript:openPopupFocus%28%27https%3A%2F%2Fm.facebook.com%2Fmandaverorg%2F%3Flocale2%3Dpt_BR%27%2C%20%27_blank%27%2C%20620%2C%20430%2C%20%27width%3D620%2Cheight%3D430%2Cresizable%3Dyes%2Ctoolbar%3Dyes%2Cstatus%3Dyes%2Cscrollbars%3Dyes%2Cmenubar%3Dyes%2Cdirectories%3Dyes%2Clocation%3Dyes%2Cdependant%3Dno%27%2C%20false%2C%20true%29%3B" title="https://m.facebook.com/mandaverorg/?locale2=pt_BR (Nova janela)"&gt;https://m.facebook.com/mandaverorg/?locale2=pt_BR&lt;/a&gt;</t>
  </si>
  <si>
    <t>&lt;a href="javascript:openPopupFocus%28%27https%3A%2F%2Fyoutube.com%2Fchannel%2FUClKAx-joeTrcrxQFRxh3EIw%27%2C%20%27_blank%27%2C%20620%2C%20430%2C%20%27width%3D620%2Cheight%3D430%2Cresizable%3Dyes%2Ctoolbar%3Dyes%2Cstatus%3Dyes%2Cscrollbars%3Dyes%2Cmenubar%3Dyes%2Cdirectories%3Dyes%2Clocation%3Dyes%2Cdependant%3Dno%27%2C%20false%2C%20true%29%3B" title="https://youtube.com/channel/UClKAx-joeTrcrxQFRxh3EIw (Nova janela)"&gt;https://youtube.com/channel/UClKAx-joeTrcrxQFRxh3EIw&lt;/a&gt;</t>
  </si>
  <si>
    <t>@MANDAVERORG / INSTITUTOMANDAVER</t>
  </si>
  <si>
    <t>0014P00003AN2GM</t>
  </si>
  <si>
    <t>Instituto Cores do Mará</t>
  </si>
  <si>
    <t>CORES DO MARÁ</t>
  </si>
  <si>
    <t>31.256.011/0001-60</t>
  </si>
  <si>
    <t>duci@coresdomara.org.br</t>
  </si>
  <si>
    <t>(98) 98124-6226</t>
  </si>
  <si>
    <t>MA</t>
  </si>
  <si>
    <t>Rua Tarquinio Lopes</t>
  </si>
  <si>
    <t>São Luís</t>
  </si>
  <si>
    <t>Rua da Companhia nr 01 Anil. Iema Rio Anil.</t>
  </si>
  <si>
    <t>["Educação"]</t>
  </si>
  <si>
    <t>Pão de Açúcar e Alto do Pinho</t>
  </si>
  <si>
    <t>Projetos específicos com empresas 60% 30% Ações de captação 10% plataforma de doação on-line.</t>
  </si>
  <si>
    <t>Estamos aguardando o acesso personalizado para que possamos subir as atividades do nosso público alvo.</t>
  </si>
  <si>
    <t>&lt;a href="javascript:openPopupFocus%28%27https%3A%2F%2Fwww.coresdomara.org.br%27%2C%20%27_blank%27%2C%20620%2C%20430%2C%20%27width%3D620%2Cheight%3D430%2Cresizable%3Dyes%2Ctoolbar%3Dyes%2Cstatus%3Dyes%2Cscrollbars%3Dyes%2Cmenubar%3Dyes%2Cdirectories%3Dyes%2Clocation%3Dyes%2Cdependant%3Dno%27%2C%20false%2C%20true%29%3B" title="https://www.coresdomara.org.br (Nova janela)"&gt;https://www.coresdomara.org.br&lt;/a&gt;</t>
  </si>
  <si>
    <t>&lt;a href="javascript:openPopupFocus%28%27https%3A%2F%2Finstagram.com%2Fcoresdomara%3Futm_medium%3Dcopy_link%27%2C%20%27_blank%27%2C%20620%2C%20430%2C%20%27width%3D620%2Cheight%3D430%2Cresizable%3Dyes%2Ctoolbar%3Dyes%2Cstatus%3Dyes%2Cscrollbars%3Dyes%2Cmenubar%3Dyes%2Cdirectories%3Dyes%2Clocation%3Dyes%2Cdependant%3Dno%27%2C%20false%2C%20true%29%3B" title="https://instagram.com/coresdomara?utm_medium=copy_link (Nova janela)"&gt;https://instagram.com/coresdomara?utm_medium=copy_link&lt;/a&gt;</t>
  </si>
  <si>
    <t>&lt;a href="javascript:openPopupFocus%28%27https%3A%2F%2Fwww.facebook.com%2Fcoresdomara%27%2C%20%27_blank%27%2C%20620%2C%20430%2C%20%27width%3D620%2Cheight%3D430%2Cresizable%3Dyes%2Ctoolbar%3Dyes%2Cstatus%3Dyes%2Cscrollbars%3Dyes%2Cmenubar%3Dyes%2Cdirectories%3Dyes%2Clocation%3Dyes%2Cdependant%3Dno%27%2C%20false%2C%20true%29%3B" title="https://www.facebook.com/coresdomara (Nova janela)"&gt;https://www.facebook.com/coresdomara&lt;/a&gt;</t>
  </si>
  <si>
    <t>&lt;a href="javascript:openPopupFocus%28%27https%3A%2F%2Fm.youtube.com%2Fwatch%3Fv%3DdC8daHSWEbE%27%2C%20%27_blank%27%2C%20620%2C%20430%2C%20%27width%3D620%2Cheight%3D430%2Cresizable%3Dyes%2Ctoolbar%3Dyes%2Cstatus%3Dyes%2Cscrollbars%3Dyes%2Cmenubar%3Dyes%2Cdirectories%3Dyes%2Clocation%3Dyes%2Cdependant%3Dno%27%2C%20false%2C%20true%29%3B" title="https://m.youtube.com/watch?v=dC8daHSWEbE (Nova janela)"&gt;https://m.youtube.com/watch?v=dC8daHSWEbE&lt;/a&gt;</t>
  </si>
  <si>
    <t>https://www.instagram.com/p/CJo8BC3pwOA/?igshid=1c3fpf13uoo6o</t>
  </si>
  <si>
    <t>0014P00003AN2GN</t>
  </si>
  <si>
    <t>Instituto de Capacitação e Ação Social O Grito</t>
  </si>
  <si>
    <t>O GRITO</t>
  </si>
  <si>
    <t>28.790.664/0001-10</t>
  </si>
  <si>
    <t>leomartins@institutoogrito.org</t>
  </si>
  <si>
    <t>(31) 98663-1203</t>
  </si>
  <si>
    <t>Rua Serro</t>
  </si>
  <si>
    <t>Contagem</t>
  </si>
  <si>
    <t>Jd. Alvorada Soares Rosimeire Verônica Luana e Bom Jesus.</t>
  </si>
  <si>
    <t>Estamos em uma região limítrofe e atendemos as três cidades.</t>
  </si>
  <si>
    <t>Média de 20% cada</t>
  </si>
  <si>
    <t>&lt;a href="javascript:openPopupFocus%28%27https%3A%2F%2Fwww.institutoogrito.org%2F%27%2C%20%27_blank%27%2C%20620%2C%20430%2C%20%27width%3D620%2Cheight%3D430%2Cresizable%3Dyes%2Ctoolbar%3Dyes%2Cstatus%3Dyes%2Cscrollbars%3Dyes%2Cmenubar%3Dyes%2Cdirectories%3Dyes%2Clocation%3Dyes%2Cdependant%3Dno%27%2C%20false%2C%20true%29%3B" title="https://www.institutoogrito.org/ (Nova janela)"&gt;https://www.institutoogrito.org/&lt;/a&gt;</t>
  </si>
  <si>
    <t>&lt;a href="javascript:openPopupFocus%28%27https%3A%2F%2Finstagram.com%2Finstitutoogrito%3Futm_medium%3Dcopy_link%27%2C%20%27_blank%27%2C%20620%2C%20430%2C%20%27width%3D620%2Cheight%3D430%2Cresizable%3Dyes%2Ctoolbar%3Dyes%2Cstatus%3Dyes%2Cscrollbars%3Dyes%2Cmenubar%3Dyes%2Cdirectories%3Dyes%2Clocation%3Dyes%2Cdependant%3Dno%27%2C%20false%2C%20true%29%3B" title="https://instagram.com/institutoogrito?utm_medium=copy_link (Nova janela)"&gt;https://instagram.com/institutoogrito?utm_medium=copy_link&lt;/a&gt;</t>
  </si>
  <si>
    <t>&lt;a href="javascript:openPopupFocus%28%27https%3A%2F%2Fyoutu.be%2F4ZgiIXJSEts%27%2C%20%27_blank%27%2C%20620%2C%20430%2C%20%27width%3D620%2Cheight%3D430%2Cresizable%3Dyes%2Ctoolbar%3Dyes%2Cstatus%3Dyes%2Cscrollbars%3Dyes%2Cmenubar%3Dyes%2Cdirectories%3Dyes%2Clocation%3Dyes%2Cdependant%3Dno%27%2C%20false%2C%20true%29%3B" title="https://youtu.be/4ZgiIXJSEts (Nova janela)"&gt;https://youtu.be/4ZgiIXJSEts&lt;/a&gt;</t>
  </si>
  <si>
    <t>https://instagram.com/institutoogrito?igshid=j83jr414qkcu  https://m.facebook.com/Institutoogrito/  https://youtube.com/channel/UC1R1BLBHQyCWqZS9nGca25g</t>
  </si>
  <si>
    <t>0014P00003AN2GO</t>
  </si>
  <si>
    <t>Sociedade Espírita Trabalho e Esperança</t>
  </si>
  <si>
    <t>SETE</t>
  </si>
  <si>
    <t>02.846.496/0001-44</t>
  </si>
  <si>
    <t>rafaelmarcelinooliveira@gmail.com</t>
  </si>
  <si>
    <t>(62) 3258-9298</t>
  </si>
  <si>
    <t>GO</t>
  </si>
  <si>
    <t>Rua São Vicente esq. com Av. José Barbosa Reis</t>
  </si>
  <si>
    <t>Goiânia</t>
  </si>
  <si>
    <t>["Esporte","Educação","Assistência Social","Qualificação Profissional","Empreendedorismo"]</t>
  </si>
  <si>
    <t>Moradores de favelas ,Mulheres ,</t>
  </si>
  <si>
    <t>- Madre Germana II,
- Madre Germana I,
- Residencial Jardim dos Ipês,
- Rio Dourado,
- Jardim São Conrado,
- Quinta da Boa Vista,
- Jardim Dom Bosco,
- Vila Delfiori,
- Vila Romana,
- Jardim Alto Paraiso,
- Jardim Maranata.</t>
  </si>
  <si>
    <t>Não sabemos precisar esperando o DRE da Contabilidade.</t>
  </si>
  <si>
    <t>&lt;a href="javascript:openPopupFocus%28%27https%3A%2F%2Fwww.sete.org.br%27%2C%20%27_blank%27%2C%20620%2C%20430%2C%20%27width%3D620%2Cheight%3D430%2Cresizable%3Dyes%2Ctoolbar%3Dyes%2Cstatus%3Dyes%2Cscrollbars%3Dyes%2Cmenubar%3Dyes%2Cdirectories%3Dyes%2Clocation%3Dyes%2Cdependant%3Dno%27%2C%20false%2C%20true%29%3B" title="https://www.sete.org.br (Nova janela)"&gt;https://www.sete.org.br&lt;/a&gt;</t>
  </si>
  <si>
    <t>&lt;a href="javascript:openPopupFocus%28%27https%3A%2F%2Fwww.instagram.com%2Fseteorg%2F%27%2C%20%27_blank%27%2C%20620%2C%20430%2C%20%27width%3D620%2Cheight%3D430%2Cresizable%3Dyes%2Ctoolbar%3Dyes%2Cstatus%3Dyes%2Cscrollbars%3Dyes%2Cmenubar%3Dyes%2Cdirectories%3Dyes%2Clocation%3Dyes%2Cdependant%3Dno%27%2C%20false%2C%20true%29%3B" title="https://www.instagram.com/seteorg/ (Nova janela)"&gt;https://www.instagram.com/seteorg/&lt;/a&gt;</t>
  </si>
  <si>
    <t>&lt;a href="javascript:openPopupFocus%28%27https%3A%2F%2Fwww.facebook.com%2Fsete.org%27%2C%20%27_blank%27%2C%20620%2C%20430%2C%20%27width%3D620%2Cheight%3D430%2Cresizable%3Dyes%2Ctoolbar%3Dyes%2Cstatus%3Dyes%2Cscrollbars%3Dyes%2Cmenubar%3Dyes%2Cdirectories%3Dyes%2Clocation%3Dyes%2Cdependant%3Dno%27%2C%20false%2C%20true%29%3B" title="https://www.facebook.com/sete.org (Nova janela)"&gt;https://www.facebook.com/sete.org&lt;/a&gt;</t>
  </si>
  <si>
    <t>&lt;a href="javascript:openPopupFocus%28%27https%3A%2F%2Fwww.youtube.com%2Fchannel%2FUCP9dXmia3ctsqB6ven4kUmg%27%2C%20%27_blank%27%2C%20620%2C%20430%2C%20%27width%3D620%2Cheight%3D430%2Cresizable%3Dyes%2Ctoolbar%3Dyes%2Cstatus%3Dyes%2Cscrollbars%3Dyes%2Cmenubar%3Dyes%2Cdirectories%3Dyes%2Clocation%3Dyes%2Cdependant%3Dno%27%2C%20false%2C%20true%29%3B" title="https://www.youtube.com/channel/UCP9dXmia3ctsqB6ven4kUmg (Nova janela)"&gt;https://www.youtube.com/channel/UCP9dXmia3ctsqB6ven4kUmg&lt;/a&gt;</t>
  </si>
  <si>
    <t>https://www.instagram.com/seteorg/ https://www.facebook.com/sete.org https://www.youtube.com/channel/UCP9dXmia3ctsqB6ven4kUmg https://www.linkedin.com/company/sociedade-trabalho-e-esperan%C3%A7a/?viewAsMember=true</t>
  </si>
  <si>
    <t>0014P00003AN76y</t>
  </si>
  <si>
    <t>ASSOCIACAO APRENDER CULTURA</t>
  </si>
  <si>
    <t>41.273.288/0001-55</t>
  </si>
  <si>
    <t>ES</t>
  </si>
  <si>
    <t>Avenida Nossa Senhora da Penha</t>
  </si>
  <si>
    <t>Cariacica</t>
  </si>
  <si>
    <t>29152-571</t>
  </si>
  <si>
    <t>["Crianças (6 a 12 anos)","Crianças pequenas (4 anos a 5 anos e 11 meses)","Adolescentes (12 aos 18 anos)"]</t>
  </si>
  <si>
    <t>Moradores de favelas ;</t>
  </si>
  <si>
    <t>Flexal 1 e 2, Nova Canaã, Vila Petrônio, Vila Prudêncio, Bairro Modelo, Retiro Saudoso, Bairro Aparecida, Porto Novo e Santa Rosa</t>
  </si>
  <si>
    <t>Editais 20% ; Doação online 30% ; Projetos com empresas 50%</t>
  </si>
  <si>
    <t>Iniciamos a utilização, mas inda não foi priorizada como deveria.</t>
  </si>
  <si>
    <t>&lt;a href="javascript:openPopupFocus%28%27http%3A%2F%2Finstitutoaprendercultura.wordpress.com%27%2C%20%27_blank%27%2C%20620%2C%20430%2C%20%27width%3D620%2Cheight%3D430%2Cresizable%3Dyes%2Ctoolbar%3Dyes%2Cstatus%3Dyes%2Cscrollbars%3Dyes%2Cmenubar%3Dyes%2Cdirectories%3Dyes%2Clocation%3Dyes%2Cdependant%3Dno%27%2C%20false%2C%20true%29%3B" title="http://institutoaprendercultura.wordpress.com (Nova janela)"&gt;http://institutoaprendercultura.wordpress.com&lt;/a&gt;</t>
  </si>
  <si>
    <t>&lt;a href="javascript:openPopupFocus%28%27https%3A%2F%2Fwww.instagram.com%2Faprendercultura%2F%27%2C%20%27_blank%27%2C%20620%2C%20430%2C%20%27width%3D620%2Cheight%3D430%2Cresizable%3Dyes%2Ctoolbar%3Dyes%2Cstatus%3Dyes%2Cscrollbars%3Dyes%2Cmenubar%3Dyes%2Cdirectories%3Dyes%2Clocation%3Dyes%2Cdependant%3Dno%27%2C%20false%2C%20true%29%3B" title="https://www.instagram.com/aprendercultura/ (Nova janela)"&gt;https://www.instagram.com/aprendercultura/&lt;/a&gt;</t>
  </si>
  <si>
    <t>&lt;a href="javascript:openPopupFocus%28%27https%3A%2F%2Fwww.facebook.com%2FAprenderCultura%2F%27%2C%20%27_blank%27%2C%20620%2C%20430%2C%20%27width%3D620%2Cheight%3D430%2Cresizable%3Dyes%2Ctoolbar%3Dyes%2Cstatus%3Dyes%2Cscrollbars%3Dyes%2Cmenubar%3Dyes%2Cdirectories%3Dyes%2Clocation%3Dyes%2Cdependant%3Dno%27%2C%20false%2C%20true%29%3B" title="https://www.facebook.com/AprenderCultura/ (Nova janela)"&gt;https://www.facebook.com/AprenderCultura/&lt;/a&gt;</t>
  </si>
  <si>
    <t>0014P00003AN2et</t>
  </si>
  <si>
    <t>Associação Um Chute para o futuro</t>
  </si>
  <si>
    <t>22.440.900/0001-92</t>
  </si>
  <si>
    <t>PR</t>
  </si>
  <si>
    <t>Rua Veiga número</t>
  </si>
  <si>
    <t>Somente no Chute para o futuro</t>
  </si>
  <si>
    <t>Crianças  e adolescentes com vulnerabilidade social ,</t>
  </si>
  <si>
    <t>Jardim irmã Porto Belo Califórnia Jardim ItaipuCidade Nova que são comunidades</t>
  </si>
  <si>
    <t>Não obrigado</t>
  </si>
  <si>
    <t>Convênio Público 70% Projeto Empresarial 10% Doação  online 5% Editais 50%</t>
  </si>
  <si>
    <t>&lt;a href="javascript:openPopupFocus%28%27http%3A%2F%2Fwww.umchuteparaofuturo.org.br%27%2C%20%27_blank%27%2C%20620%2C%20430%2C%20%27width%3D620%2Cheight%3D430%2Cresizable%3Dyes%2Ctoolbar%3Dyes%2Cstatus%3Dyes%2Cscrollbars%3Dyes%2Cmenubar%3Dyes%2Cdirectories%3Dyes%2Clocation%3Dyes%2Cdependant%3Dno%27%2C%20false%2C%20true%29%3B" title="http://www.umchuteparaofuturo.org.br (Nova janela)"&gt;http://www.umchuteparaofuturo.org.br&lt;/a&gt;</t>
  </si>
  <si>
    <t>https://www.facebook.com/UmChuteParaOFuturo/</t>
  </si>
  <si>
    <t>0014P00003AN2h4</t>
  </si>
  <si>
    <t>Associação Meninos da Aracy</t>
  </si>
  <si>
    <t>09.048.763/0001-87</t>
  </si>
  <si>
    <t>Rua Três</t>
  </si>
  <si>
    <t>Itirapina</t>
  </si>
  <si>
    <t>No momento não temos atividades em outros espaços.</t>
  </si>
  <si>
    <t>["Educação","Assistência Social","Cultura"]</t>
  </si>
  <si>
    <t>Afrodescententes ,Moradores de ocupações e áreas irregulares.,</t>
  </si>
  <si>
    <t>Jd. Nova Itirapina, Barroca, Campo do Imã, Substação, Colônia da Fepasa.</t>
  </si>
  <si>
    <t>Negócio Social: 146%,    Convênio Municipal: 3750%,     Edital Instituto EPTV: 1366%,      Doações  PF: 253%,      Doações PJ: 1775%,     Eventos: 084%,         Edital Proac SP: 1366%</t>
  </si>
  <si>
    <t>&lt;a href="javascript:openPopupFocus%28%27https%3A%2F%2Fwww.meninosdaaracy.org.br%27%2C%20%27_blank%27%2C%20620%2C%20430%2C%20%27width%3D620%2Cheight%3D430%2Cresizable%3Dyes%2Ctoolbar%3Dyes%2Cstatus%3Dyes%2Cscrollbars%3Dyes%2Cmenubar%3Dyes%2Cdirectories%3Dyes%2Clocation%3Dyes%2Cdependant%3Dno%27%2C%20false%2C%20true%29%3B" title="https://www.meninosdaaracy.org.br (Nova janela)"&gt;https://www.meninosdaaracy.org.br&lt;/a&gt;</t>
  </si>
  <si>
    <t>https://www.instagram.com/meninosdaaracy/ https://www.facebook.com/meninosdaaracy/ https://www.linkedin.com/company/35701623/</t>
  </si>
  <si>
    <t>0014P00003AN2h5</t>
  </si>
  <si>
    <t>Incanto - Instituto de Cultura Arte e Novas Tecnologias</t>
  </si>
  <si>
    <t>INCANTO</t>
  </si>
  <si>
    <t>33.282.678/0001-63</t>
  </si>
  <si>
    <t>camila@institutoincanto.org.br</t>
  </si>
  <si>
    <t>(41) 99223-5118</t>
  </si>
  <si>
    <t>Rua Prof. Ulisses Vieira</t>
  </si>
  <si>
    <t>Curitiba</t>
  </si>
  <si>
    <t>Rua Astholpho Nogueira 83 - Santa Quitéria - Concessão de Uso de Espaço para os Cursos de Qualificação Profissional
Atendimento ás Ong's parceiras do Incanto nos próprios locais delas</t>
  </si>
  <si>
    <t>Portelinha Jardim Santos Andrade - Principais
Ong's Parceiras: Vila Torres Ferrovila Vila Uberlândia Guarituba Pequena Terra Santa Vila Pompéia Bela Vista Ulisses Guimarães São Martinho Trindade Rosário de Belém Moradias Cajuru e Jardim Acrópole.</t>
  </si>
  <si>
    <t>O trabalho na Portelinha e no Jardim Santos Andrade mais de perto começou em 2020 com a chegada do Centro Cultural Incanto antes eram apenas Ong's parceiras mas com a consolidação do espaço próprio no território o trabalho começou a se aprofundar mais.</t>
  </si>
  <si>
    <t>28% Doação Online / 30% Projetos Empresas / 2% Negócio Social / 30% Convênio Público / 10% Eventos Ações</t>
  </si>
  <si>
    <t>&lt;a href="javascript:openPopupFocus%28%27https%3A%2F%2Fwww.institutoincanto.org.br%27%2C%20%27_blank%27%2C%20620%2C%20430%2C%20%27width%3D620%2Cheight%3D430%2Cresizable%3Dyes%2Ctoolbar%3Dyes%2Cstatus%3Dyes%2Cscrollbars%3Dyes%2Cmenubar%3Dyes%2Cdirectories%3Dyes%2Clocation%3Dyes%2Cdependant%3Dno%27%2C%20false%2C%20true%29%3B" title="https://www.institutoincanto.org.br (Nova janela)"&gt;https://www.institutoincanto.org.br&lt;/a&gt;</t>
  </si>
  <si>
    <t>&lt;a href="javascript:openPopupFocus%28%27https%3A%2F%2Fwww.instagram.com%2Finstitutoincanto%2F%27%2C%20%27_blank%27%2C%20620%2C%20430%2C%20%27width%3D620%2Cheight%3D430%2Cresizable%3Dyes%2Ctoolbar%3Dyes%2Cstatus%3Dyes%2Cscrollbars%3Dyes%2Cmenubar%3Dyes%2Cdirectories%3Dyes%2Clocation%3Dyes%2Cdependant%3Dno%27%2C%20false%2C%20true%29%3B" title="https://www.instagram.com/institutoincanto/ (Nova janela)"&gt;https://www.instagram.com/institutoincanto/&lt;/a&gt;</t>
  </si>
  <si>
    <t>&lt;a href="javascript:openPopupFocus%28%27https%3A%2F%2Fwww.facebook.com%2Finstitutoincanto%2F%27%2C%20%27_blank%27%2C%20620%2C%20430%2C%20%27width%3D620%2Cheight%3D430%2Cresizable%3Dyes%2Ctoolbar%3Dyes%2Cstatus%3Dyes%2Cscrollbars%3Dyes%2Cmenubar%3Dyes%2Cdirectories%3Dyes%2Clocation%3Dyes%2Cdependant%3Dno%27%2C%20false%2C%20true%29%3B" title="https://www.facebook.com/institutoincanto/ (Nova janela)"&gt;https://www.facebook.com/institutoincanto/&lt;/a&gt;</t>
  </si>
  <si>
    <t>&lt;a href="javascript:openPopupFocus%28%27https%3A%2F%2Fwww.youtube.com%2Fc%2FInstitutoIncanto%27%2C%20%27_blank%27%2C%20620%2C%20430%2C%20%27width%3D620%2Cheight%3D430%2Cresizable%3Dyes%2Ctoolbar%3Dyes%2Cstatus%3Dyes%2Cscrollbars%3Dyes%2Cmenubar%3Dyes%2Cdirectories%3Dyes%2Clocation%3Dyes%2Cdependant%3Dno%27%2C%20false%2C%20true%29%3B" title="https://www.youtube.com/c/InstitutoIncanto (Nova janela)"&gt;https://www.youtube.com/c/InstitutoIncanto&lt;/a&gt;</t>
  </si>
  <si>
    <t>@institutoincanto</t>
  </si>
  <si>
    <t>0014P00003AN2h6</t>
  </si>
  <si>
    <t>Associação Sementes do Vale</t>
  </si>
  <si>
    <t>SEMENTES DO VALE</t>
  </si>
  <si>
    <t>24.507.372/0001-77</t>
  </si>
  <si>
    <t>thiagooterovale@gmail.com</t>
  </si>
  <si>
    <t>(38) 99730-0050</t>
  </si>
  <si>
    <t>Rua Belo Horizonte</t>
  </si>
  <si>
    <t>Ninheira</t>
  </si>
  <si>
    <t>Os cursos de Qual. Profissionais voltados para áreas rurais ocorrem em propriedades privadas de agricultores e/ou empresas que cedem o espaço gratuitamente para realização dos cursos específicos de acordo com a cultura a ser explorada/objeto do curso.</t>
  </si>
  <si>
    <t>["Esporte","Educação","Cultura","Qualificação Profissional"]</t>
  </si>
  <si>
    <t>Comunidades Tradicionais - Sertanejos,</t>
  </si>
  <si>
    <t>Comunidades Bandinha Bananeira Cabaças e Nogueira</t>
  </si>
  <si>
    <t>Doações 60% / Ações de Captação 40%</t>
  </si>
  <si>
    <t>&lt;a href="javascript:openPopupFocus%28%27https%3A%2F%2Fwww.sementesdovale.org%27%2C%20%27_blank%27%2C%20620%2C%20430%2C%20%27width%3D620%2Cheight%3D430%2Cresizable%3Dyes%2Ctoolbar%3Dyes%2Cstatus%3Dyes%2Cscrollbars%3Dyes%2Cmenubar%3Dyes%2Cdirectories%3Dyes%2Clocation%3Dyes%2Cdependant%3Dno%27%2C%20false%2C%20true%29%3B" title="https://www.sementesdovale.org (Nova janela)"&gt;https://www.sementesdovale.org&lt;/a&gt;</t>
  </si>
  <si>
    <t>&lt;a href="javascript:openPopupFocus%28%27https%3A%2F%2Fwww.instagram.com%2Fsementesdovale%2F%27%2C%20%27_blank%27%2C%20620%2C%20430%2C%20%27width%3D620%2Cheight%3D430%2Cresizable%3Dyes%2Ctoolbar%3Dyes%2Cstatus%3Dyes%2Cscrollbars%3Dyes%2Cmenubar%3Dyes%2Cdirectories%3Dyes%2Clocation%3Dyes%2Cdependant%3Dno%27%2C%20false%2C%20true%29%3B" title="https://www.instagram.com/sementesdovale/ (Nova janela)"&gt;https://www.instagram.com/sementesdovale/&lt;/a&gt;</t>
  </si>
  <si>
    <t>&lt;a href="javascript:openPopupFocus%28%27https%3A%2F%2Fwww.facebook.com%2FSementesDoVale%2F%27%2C%20%27_blank%27%2C%20620%2C%20430%2C%20%27width%3D620%2Cheight%3D430%2Cresizable%3Dyes%2Ctoolbar%3Dyes%2Cstatus%3Dyes%2Cscrollbars%3Dyes%2Cmenubar%3Dyes%2Cdirectories%3Dyes%2Clocation%3Dyes%2Cdependant%3Dno%27%2C%20false%2C%20true%29%3B" title="https://www.facebook.com/SementesDoVale/ (Nova janela)"&gt;https://www.facebook.com/SementesDoVale/&lt;/a&gt;</t>
  </si>
  <si>
    <t>www.facebook.com/SementesdoVale</t>
  </si>
  <si>
    <t>0014P00003AN2h7</t>
  </si>
  <si>
    <t>ABC do Glória</t>
  </si>
  <si>
    <t>38.820.240/0001-05</t>
  </si>
  <si>
    <t>Rua Frei Tito</t>
  </si>
  <si>
    <t>Uberlândia</t>
  </si>
  <si>
    <t>Rua José Bonifácio 120 - Tabajaras - 38400-292 (administrativo)</t>
  </si>
  <si>
    <t>Moradores de favelas ,Afrodescententes ,</t>
  </si>
  <si>
    <t>Bairro Élisson Prieto (antigo assentamento Glória) bairro em processo de regularização fundiária.</t>
  </si>
  <si>
    <t>Doações (PF) 58%, Ações para captação (DriveDoce e Natal) 23%, Premiação (Young Enough Ambition) 18%, Outros 1%</t>
  </si>
  <si>
    <t>&lt;a href="javascript:openPopupFocus%28%27https%3A%2F%2Fabcdogloria.org%20-%20Em%20desenvolvimento.%27%2C%20%27_blank%27%2C%20620%2C%20430%2C%20%27width%3D620%2Cheight%3D430%2Cresizable%3Dyes%2Ctoolbar%3Dyes%2Cstatus%3Dyes%2Cscrollbars%3Dyes%2Cmenubar%3Dyes%2Cdirectories%3Dyes%2Clocation%3Dyes%2Cdependant%3Dno%27%2C%20false%2C%20true%29%3B" title="https://abcdogloria.org - Em desenvolvimento. (Nova janela)"&gt;https://abcdogloria.org - Em desenvolvimento.&lt;/a&gt;</t>
  </si>
  <si>
    <t>https://www.instagram.com/abcdogloria/ // https://www.facebook.com/abcdogloria</t>
  </si>
  <si>
    <t>0014P00003AN6yV</t>
  </si>
  <si>
    <t>Projeto Amor e Esperança/ Associação Construindo a Cidadania</t>
  </si>
  <si>
    <t>13. 733.692/0001-00</t>
  </si>
  <si>
    <t>PE</t>
  </si>
  <si>
    <t>Rua Arapoema Bairro  Brejo do Beberibe</t>
  </si>
  <si>
    <t>Recife</t>
  </si>
  <si>
    <t>["Esporte","Assistência Social","Cultura","Qualificação Profissional","Empreendedorismo"]</t>
  </si>
  <si>
    <t>Moradores de favelas ;Pessoas em situação de rua;Quilombolas ;Dependentes químicos ;Pessoas com deficiência intelectual;</t>
  </si>
  <si>
    <t>Nas cidades Paulista e Mirandiba (sertão de Pernanbuco)  e nas comunidades " favelas" de Santo Amaro, Aritana, Boa Vista, Vila da Paixão, Vila do Tetra e Vila Canaã.</t>
  </si>
  <si>
    <t>tUDO QUE FAZEMOS É COM AJUDA UNICA E EXCLUSIVA DE TRABALHO VOLUNTÁRIO E DOAÇÕES 250
'</t>
  </si>
  <si>
    <t>aS COMUNIDADES NÃO TEM ACESSO A INTERNET</t>
  </si>
  <si>
    <t>&lt;a href="javascript:openPopupFocus%28%27https%3A%2F%2Famoreesperancaproj.wixsite.com%2Fwebsite-1%27%2C%20%27_blank%27%2C%20620%2C%20430%2C%20%27width%3D620%2Cheight%3D430%2Cresizable%3Dyes%2Ctoolbar%3Dyes%2Cstatus%3Dyes%2Cscrollbars%3Dyes%2Cmenubar%3Dyes%2Cdirectories%3Dyes%2Clocation%3Dyes%2Cdependant%3Dno%27%2C%20false%2C%20true%29%3B" title="https://amoreesperancaproj.wixsite.com/website-1 (Nova janela)"&gt;https://amoreesperancaproj.wixsite.com/website-1&lt;/a&gt;</t>
  </si>
  <si>
    <t>https://www.instagram.com/p/CIybvsnBl5U/?igshid=krp78ly677yt   /   https://www.facebook.com/658262760891032/posts/3780370952013515/?app=fbl</t>
  </si>
  <si>
    <t>0014P00003AN72D</t>
  </si>
  <si>
    <t>Associação EMAÚS</t>
  </si>
  <si>
    <t>07.686.471/0001-44</t>
  </si>
  <si>
    <t>Estrada Furuyama
&lt;br&gt;Bairro :  Rio Abaixo</t>
  </si>
  <si>
    <t>Suzano</t>
  </si>
  <si>
    <t>08694-101</t>
  </si>
  <si>
    <t>["Esporte","Educação","Assistência Social","Cultura","Qualificação Profissional"]</t>
  </si>
  <si>
    <t>Pessoas em situação de rua;Dependentes químicos ;Moradores de favelas ;</t>
  </si>
  <si>
    <t>Bairro Jardim Gardênia Azul 3</t>
  </si>
  <si>
    <t>600 pessoas</t>
  </si>
  <si>
    <t>&lt;a href="javascript:openPopupFocus%28%27http%3A%2F%2Fwww.institutoemaus.org.br%27%2C%20%27_blank%27%2C%20620%2C%20430%2C%20%27width%3D620%2Cheight%3D430%2Cresizable%3Dyes%2Ctoolbar%3Dyes%2Cstatus%3Dyes%2Cscrollbars%3Dyes%2Cmenubar%3Dyes%2Cdirectories%3Dyes%2Clocation%3Dyes%2Cdependant%3Dno%27%2C%20false%2C%20true%29%3B" title="http://www.institutoemaus.org.br (Nova janela)"&gt;http://www.institutoemaus.org.br&lt;/a&gt;</t>
  </si>
  <si>
    <t>https://facebook.com/427825447255450/posts/3657667217604574/</t>
  </si>
  <si>
    <t>0014P00003AN2Fj</t>
  </si>
  <si>
    <t>Instituto Ascendendo Mentes</t>
  </si>
  <si>
    <t>ASCENDENDO MENTES</t>
  </si>
  <si>
    <t>39.974.512/0001-94</t>
  </si>
  <si>
    <t>rdcnina@gmail.com</t>
  </si>
  <si>
    <t>(51) 9620-6480</t>
  </si>
  <si>
    <t>RS</t>
  </si>
  <si>
    <t>Rua General Jonathas Borges Fortes</t>
  </si>
  <si>
    <t>Porto Alegre</t>
  </si>
  <si>
    <t>["Educação","Assistência Social","Cultura","Empreendedorismo","educação socioemocional educação Financeira"]</t>
  </si>
  <si>
    <t>["Adolescentes (12 aos 18 anos)","Adultos","Jovens (18 aos 24 anos)","Mulheres de todas as faixas etárias"]</t>
  </si>
  <si>
    <t>Moradores de favelas ,Afrodescententes ,empoderamento  feminino,</t>
  </si>
  <si>
    <t>Morro da Policia Vila Maria da conceição Cascata Glorinha Dona Veva Sta Clara</t>
  </si>
  <si>
    <t>40% Negocio Social -  Eventos/ações -30%  -Plataforma 10% - Projetos específicos - 20%</t>
  </si>
  <si>
    <t>&lt;a href="javascript:openPopupFocus%28%27https%3A%2F%2Fwww.ascendendomentes.org.br%2F%27%2C%20%27_blank%27%2C%20620%2C%20430%2C%20%27width%3D620%2Cheight%3D430%2Cresizable%3Dyes%2Ctoolbar%3Dyes%2Cstatus%3Dyes%2Cscrollbars%3Dyes%2Cmenubar%3Dyes%2Cdirectories%3Dyes%2Clocation%3Dyes%2Cdependant%3Dno%27%2C%20false%2C%20true%29%3B" title="https://www.ascendendomentes.org.br/ (Nova janela)"&gt;https://www.ascendendomentes.org.br/&lt;/a&gt;</t>
  </si>
  <si>
    <t>&lt;a href="javascript:openPopupFocus%28%27https%3A%2F%2Fwww.instagram.com%2Fascendendomentes%2F%27%2C%20%27_blank%27%2C%20620%2C%20430%2C%20%27width%3D620%2Cheight%3D430%2Cresizable%3Dyes%2Ctoolbar%3Dyes%2Cstatus%3Dyes%2Cscrollbars%3Dyes%2Cmenubar%3Dyes%2Cdirectories%3Dyes%2Clocation%3Dyes%2Cdependant%3Dno%27%2C%20false%2C%20true%29%3B" title="https://www.instagram.com/ascendendomentes/ (Nova janela)"&gt;https://www.instagram.com/ascendendomentes/&lt;/a&gt;</t>
  </si>
  <si>
    <t>Instagram - @ascendendomentes Facebook - Instituto Ascendendo Mentes</t>
  </si>
  <si>
    <t>Unidade Própria</t>
  </si>
  <si>
    <t>0014P00003MjR9o</t>
  </si>
  <si>
    <t>INSTITUTO GERANDO FALCOES</t>
  </si>
  <si>
    <t>GERANDO FALCOES</t>
  </si>
  <si>
    <t>18.463.148/0001-28</t>
  </si>
  <si>
    <t>Carlos Eduardo Brito Lira</t>
  </si>
  <si>
    <t>gerandofalcoes@gerandofalcoes.com</t>
  </si>
  <si>
    <t>(11)7745-9862</t>
  </si>
  <si>
    <t>Rua Niteroi</t>
  </si>
  <si>
    <t>Cid Kemel</t>
  </si>
  <si>
    <t>["Cultura"]</t>
  </si>
  <si>
    <t>["Crianças (6 a 12 anos)"]</t>
  </si>
  <si>
    <t>Moradores de favelas</t>
  </si>
  <si>
    <t>Cidade de Deus Itaprata Boca do Sapo Beverlly hills e Ceringueira</t>
  </si>
  <si>
    <t>["Lei de Incentivo"]</t>
  </si>
  <si>
    <t>100% Convenios</t>
  </si>
  <si>
    <t>&lt;a href="javascript:openPopupFocus%28%27https%3A%2F%2Fgerandofalcoes.com%2F%27%2C%20%27_blank%27%2C%20620%2C%20430%2C%20%27width%3D620%2Cheight%3D430%2Cresizable%3Dyes%2Ctoolbar%3Dyes%2Cstatus%3Dyes%2Cscrollbars%3Dyes%2Cmenubar%3Dyes%2Cdirectories%3Dyes%2Clocation%3Dyes%2Cdependant%3Dno%27%2C%20false%2C%20true%29%3B" title="https://gerandofalcoes.com/ (Nova janela)"&gt;https://gerandofalcoes.com/&lt;/a&gt;</t>
  </si>
  <si>
    <t>&lt;a href="javascript:openPopupFocus%28%27https%3A%2F%2Fwww.instagram.com%2Fgerandofalcoes%2F%27%2C%20%27_blank%27%2C%20620%2C%20430%2C%20%27width%3D620%2Cheight%3D430%2Cresizable%3Dyes%2Ctoolbar%3Dyes%2Cstatus%3Dyes%2Cscrollbars%3Dyes%2Cmenubar%3Dyes%2Cdirectories%3Dyes%2Clocation%3Dyes%2Cdependant%3Dno%27%2C%20false%2C%20true%29%3B" title="https://www.instagram.com/gerandofalcoes/ (Nova janela)"&gt;https://www.instagram.com/gerandofalcoes/&lt;/a&gt;</t>
  </si>
  <si>
    <t>&lt;a href="javascript:openPopupFocus%28%27https%3A%2F%2Fwww.facebook.com%2Fsearch%2Ftop%3Fq%3Dgerando%2520falc%25C3%25B5es%27%2C%20%27_blank%27%2C%20620%2C%20430%2C%20%27width%3D620%2Cheight%3D430%2Cresizable%3Dyes%2Ctoolbar%3Dyes%2Cstatus%3Dyes%2Cscrollbars%3Dyes%2Cmenubar%3Dyes%2Cdirectories%3Dyes%2Clocation%3Dyes%2Cdependant%3Dno%27%2C%20false%2C%20true%29%3B" title="https://www.facebook.com/search/top?q=gerando%20falc%C3%B5es (Nova janela)"&gt;https://www.facebook.com/search/top?q=gerando%20falc%C3%B5es&lt;/a&gt;</t>
  </si>
  <si>
    <t>&lt;a href="javascript:openPopupFocus%28%27https%3A%2F%2Fwww.youtube.com%2Fresults%3Fsearch_query%3Dgerando%2Bfalc%25C3%25B5es%27%2C%20%27_blank%27%2C%20620%2C%20430%2C%20%27width%3D620%2Cheight%3D430%2Cresizable%3Dyes%2Ctoolbar%3Dyes%2Cstatus%3Dyes%2Cscrollbars%3Dyes%2Cmenubar%3Dyes%2Cdirectories%3Dyes%2Clocation%3Dyes%2Cdependant%3Dno%27%2C%20false%2C%20true%29%3B" title="https://www.youtube.com/results?search_query=gerando+falc%C3%B5es (Nova janela)"&gt;https://www.youtube.com/results?search_query=gerando+falc%C3%B5es&lt;/a&gt;</t>
  </si>
  <si>
    <t>&lt;a href="javascript:openPopupFocus%28%27https%3A%2F%2Fdrive.google.com%2Fopen%3Fid%3D1SFDziNFzSvaqnqBf4B6mgZQrjqkn8eL6%27%2C%20%27_blank%27%2C%20620%2C%20430%2C%20%27width%3D620%2Cheight%3D430%2Cresizable%3Dyes%2Ctoolbar%3Dyes%2Cstatus%3Dyes%2Cscrollbars%3Dyes%2Cmenubar%3Dyes%2Cdirectories%3Dyes%2Clocation%3Dyes%2Cdependant%3Dno%27%2C%20false%2C%20true%29%3B" title="https://drive.google.com/open?id=1SFDziNFzSvaqnqBf4B6mgZQrjqkn8eL6 (Nova janela)"&gt;https://drive.google.com/open?id=1SFDziNFzSvaqnqBf4B6mgZQrjqkn8eL6&lt;/a&gt;</t>
  </si>
  <si>
    <t>0014P00003MjNTI</t>
  </si>
  <si>
    <t>Gerando Falcões - Unidade Poá</t>
  </si>
  <si>
    <t>18463148/0001-28</t>
  </si>
  <si>
    <t>Rua Niterói</t>
  </si>
  <si>
    <t>Poá</t>
  </si>
  <si>
    <t>08554-030</t>
  </si>
  <si>
    <t>Escola Manuel  e Bortolozzo</t>
  </si>
  <si>
    <t>["Esporte","Educação","Assistência Social","Cultura","Qualificação Profissional","Empreendedorismo","Cidadania","Cidadania e empregabilidade","Sustentabilidade e Agroecologia"]</t>
  </si>
  <si>
    <t>Tubulação, Miray alto e Baixo, Beira Rio, Favelas das Torres</t>
  </si>
  <si>
    <t>Moradores de favelas e periferia urbana</t>
  </si>
  <si>
    <t>&lt;a href="javascript:openPopupFocus%28%27http%3A%2F%2Fwww.gerandofalcoes.com%27%2C%20%27_blank%27%2C%20620%2C%20430%2C%20%27width%3D620%2Cheight%3D430%2Cresizable%3Dyes%2Ctoolbar%3Dyes%2Cstatus%3Dyes%2Cscrollbars%3Dyes%2Cmenubar%3Dyes%2Cdirectories%3Dyes%2Clocation%3Dyes%2Cdependant%3Dno%27%2C%20false%2C%20true%29%3B" title="http://www.gerandofalcoes.com (Nova janela)"&gt;http://www.gerandofalcoes.com&lt;/a&gt;</t>
  </si>
  <si>
    <t>0014P00003MjOsq</t>
  </si>
  <si>
    <t>INSTITUTO GERANDO FALCÕES</t>
  </si>
  <si>
    <t>GERANDO FALCÕES</t>
  </si>
  <si>
    <t>contatogf@gerandofalcoes.com</t>
  </si>
  <si>
    <t>(11)3426-9800</t>
  </si>
  <si>
    <t>AV Niteroi</t>
  </si>
  <si>
    <t>Cidade Kemel</t>
  </si>
  <si>
    <t>Moradores de favelas. População LGBTQ+. Afrodescendentes. Egressos. Imigrantes</t>
  </si>
  <si>
    <t>VILA MALUF PQ MARIA HELENA MIGUEL BADRA E JD. EUROPA.</t>
  </si>
  <si>
    <t>&lt;a href="javascript:openPopupFocus%28%27https%3A%2F%2Fwww.facebook.com%2FGerandoFalcoes%27%2C%20%27_blank%27%2C%20620%2C%20430%2C%20%27width%3D620%2Cheight%3D430%2Cresizable%3Dyes%2Ctoolbar%3Dyes%2Cstatus%3Dyes%2Cscrollbars%3Dyes%2Cmenubar%3Dyes%2Cdirectories%3Dyes%2Clocation%3Dyes%2Cdependant%3Dno%27%2C%20false%2C%20true%29%3B" title="https://www.facebook.com/GerandoFalcoes (Nova janela)"&gt;https://www.facebook.com/GerandoFalcoes&lt;/a&gt;</t>
  </si>
  <si>
    <t>&lt;a href="javascript:openPopupFocus%28%27https%3A%2F%2Fwww.youtube.com%2Fuser%2Fgerandofalcoes%27%2C%20%27_blank%27%2C%20620%2C%20430%2C%20%27width%3D620%2Cheight%3D430%2Cresizable%3Dyes%2Ctoolbar%3Dyes%2Cstatus%3Dyes%2Cscrollbars%3Dyes%2Cmenubar%3Dyes%2Cdirectories%3Dyes%2Clocation%3Dyes%2Cdependant%3Dno%27%2C%20false%2C%20true%29%3B" title="https://www.youtube.com/user/gerandofalcoes (Nova janela)"&gt;https://www.youtube.com/user/gerandofalcoes&lt;/a&gt;</t>
  </si>
  <si>
    <t>&lt;a href="javascript:openPopupFocus%28%27https%3A%2F%2Fdrive.google.com%2Fopen%3Fid%3D10XnS_y1lTnlpSVkq0u2-07qMUnlxBuRw%27%2C%20%27_blank%27%2C%20620%2C%20430%2C%20%27width%3D620%2Cheight%3D430%2Cresizable%3Dyes%2Ctoolbar%3Dyes%2Cstatus%3Dyes%2Cscrollbars%3Dyes%2Cmenubar%3Dyes%2Cdirectories%3Dyes%2Clocation%3Dyes%2Cdependant%3Dno%27%2C%20false%2C%20true%29%3B" title="https://drive.google.com/open?id=10XnS_y1lTnlpSVkq0u2-07qMUnlxBuRw (Nova janela)"&gt;https://drive.google.com/open?id=10XnS_y1lTnlpSVkq0u2-07qMUnlxBuRw&lt;/a&gt;</t>
  </si>
  <si>
    <t>0014P00003ERUfs</t>
  </si>
  <si>
    <t>Instituto Katiana Pena</t>
  </si>
  <si>
    <t>KATIANA PENA</t>
  </si>
  <si>
    <t>73.304.859/0001-68</t>
  </si>
  <si>
    <t>katiana.lider@gmail.com</t>
  </si>
  <si>
    <t>(85) 99277-9793</t>
  </si>
  <si>
    <t>CE</t>
  </si>
  <si>
    <t>Rua Mirtes Cordeiro</t>
  </si>
  <si>
    <t>Fortaleza</t>
  </si>
  <si>
    <t>60540-605</t>
  </si>
  <si>
    <t>Praça santa cecilia, escola caic,  espaços de terreno aberto alugado pelo ikp.</t>
  </si>
  <si>
    <t>["Esporte","Educação","Assistência Social","Cultura","Empreendedorismo"]</t>
  </si>
  <si>
    <t>Alto da paz, Chafariz, Leonel Brizola, Conjunto palmares, Sao francisco e Rua do canal."</t>
  </si>
  <si>
    <t>&lt;a href="javascript:openPopupFocus%28%27https%3A%2F%2Fwww.institutokp.com%2F%27%2C%20%27_blank%27%2C%20620%2C%20430%2C%20%27width%3D620%2Cheight%3D430%2Cresizable%3Dyes%2Ctoolbar%3Dyes%2Cstatus%3Dyes%2Cscrollbars%3Dyes%2Cmenubar%3Dyes%2Cdirectories%3Dyes%2Clocation%3Dyes%2Cdependant%3Dno%27%2C%20false%2C%20true%29%3B" title="https://www.institutokp.com/ (Nova janela)"&gt;https://www.institutokp.com/&lt;/a&gt;</t>
  </si>
  <si>
    <t>&lt;a href="javascript:openPopupFocus%28%27https%3A%2F%2Fwww.instagram.com%2Finstitutokp%2F%3Fhl%3Dpt-br%27%2C%20%27_blank%27%2C%20620%2C%20430%2C%20%27width%3D620%2Cheight%3D430%2Cresizable%3Dyes%2Ctoolbar%3Dyes%2Cstatus%3Dyes%2Cscrollbars%3Dyes%2Cmenubar%3Dyes%2Cdirectories%3Dyes%2Clocation%3Dyes%2Cdependant%3Dno%27%2C%20false%2C%20true%29%3B" title="https://www.instagram.com/institutokp/?hl=pt-br (Nova janela)"&gt;https://www.instagram.com/institutokp/?hl=pt-br&lt;/a&gt;</t>
  </si>
  <si>
    <t>&lt;a href="javascript:openPopupFocus%28%27https%3A%2F%2Fwww.facebook.com%2Fcompanhiade.dkatianapena%2F%27%2C%20%27_blank%27%2C%20620%2C%20430%2C%20%27width%3D620%2Cheight%3D430%2Cresizable%3Dyes%2Ctoolbar%3Dyes%2Cstatus%3Dyes%2Cscrollbars%3Dyes%2Cmenubar%3Dyes%2Cdirectories%3Dyes%2Clocation%3Dyes%2Cdependant%3Dno%27%2C%20false%2C%20true%29%3B" title="https://www.facebook.com/companhiade.dkatianapena/ (Nova janela)"&gt;https://www.facebook.com/companhiade.dkatianapena/&lt;/a&gt;</t>
  </si>
  <si>
    <t>&lt;a href="javascript:openPopupFocus%28%27https%3A%2F%2Fwww.youtube.com%2Fchannel%2FUCVCwtTGXR8-BBLxeI3m_GMw%27%2C%20%27_blank%27%2C%20620%2C%20430%2C%20%27width%3D620%2Cheight%3D430%2Cresizable%3Dyes%2Ctoolbar%3Dyes%2Cstatus%3Dyes%2Cscrollbars%3Dyes%2Cmenubar%3Dyes%2Cdirectories%3Dyes%2Clocation%3Dyes%2Cdependant%3Dno%27%2C%20false%2C%20true%29%3B" title="https://www.youtube.com/channel/UCVCwtTGXR8-BBLxeI3m_GMw (Nova janela)"&gt;https://www.youtube.com/channel/UCVCwtTGXR8-BBLxeI3m_GMw&lt;/a&gt;</t>
  </si>
  <si>
    <t>https://www.instagram.com/institutokp/   https://www.facebook.com/companhiade.dkatianapena</t>
  </si>
  <si>
    <t>0014P00003ERavo</t>
  </si>
  <si>
    <t>Projeto Viela</t>
  </si>
  <si>
    <t>PROJETO VIELA</t>
  </si>
  <si>
    <t>27.956.250/0001-56</t>
  </si>
  <si>
    <t>projeto.viela@gmail.com</t>
  </si>
  <si>
    <t>(11) 98342-9394</t>
  </si>
  <si>
    <t>Rua Macedônio Fernandes</t>
  </si>
  <si>
    <t>Travessa 266</t>
  </si>
  <si>
    <t>05818-340</t>
  </si>
  <si>
    <t>Rua Felipe de Veras, sem numero. Observação: acontece em uma escola ( Vianello Gregório).</t>
  </si>
  <si>
    <t>["Esporte","Educação","Qualificação Profissional"]</t>
  </si>
  <si>
    <t>Jardim Leni, São Francisco e jardim Ibirapuera.</t>
  </si>
  <si>
    <t>Atualmente estamos fazendo em outras comunidade, com os lideres locais.</t>
  </si>
  <si>
    <t>100% pessoa física</t>
  </si>
  <si>
    <t>&lt;a href="javascript:openPopupFocus%28%27http%3A%2F%2Fviela.org.br%2F%27%2C%20%27_blank%27%2C%20620%2C%20430%2C%20%27width%3D620%2Cheight%3D430%2Cresizable%3Dyes%2Ctoolbar%3Dyes%2Cstatus%3Dyes%2Cscrollbars%3Dyes%2Cmenubar%3Dyes%2Cdirectories%3Dyes%2Clocation%3Dyes%2Cdependant%3Dno%27%2C%20false%2C%20true%29%3B" title="http://viela.org.br/ (Nova janela)"&gt;http://viela.org.br/&lt;/a&gt;</t>
  </si>
  <si>
    <t>&lt;a href="javascript:openPopupFocus%28%27https%3A%2F%2Fwww.instagram.com%2Fprojetoviela%2F%27%2C%20%27_blank%27%2C%20620%2C%20430%2C%20%27width%3D620%2Cheight%3D430%2Cresizable%3Dyes%2Ctoolbar%3Dyes%2Cstatus%3Dyes%2Cscrollbars%3Dyes%2Cmenubar%3Dyes%2Cdirectories%3Dyes%2Clocation%3Dyes%2Cdependant%3Dno%27%2C%20false%2C%20true%29%3B" title="https://www.instagram.com/projetoviela/ (Nova janela)"&gt;https://www.instagram.com/projetoviela/&lt;/a&gt;</t>
  </si>
  <si>
    <t>&lt;a href="javascript:openPopupFocus%28%27https%3A%2F%2Fwww.facebook.com%2FProjetoViela%27%2C%20%27_blank%27%2C%20620%2C%20430%2C%20%27width%3D620%2Cheight%3D430%2Cresizable%3Dyes%2Ctoolbar%3Dyes%2Cstatus%3Dyes%2Cscrollbars%3Dyes%2Cmenubar%3Dyes%2Cdirectories%3Dyes%2Clocation%3Dyes%2Cdependant%3Dno%27%2C%20false%2C%20true%29%3B" title="https://www.facebook.com/ProjetoViela (Nova janela)"&gt;https://www.facebook.com/ProjetoViela&lt;/a&gt;</t>
  </si>
  <si>
    <t>&lt;a href="javascript:openPopupFocus%28%27https%3A%2F%2Fwww.youtube.com%2Fchannel%2FUCgZj3oIldyZ7qHmHniADJdQ%2Ffeatured%27%2C%20%27_blank%27%2C%20620%2C%20430%2C%20%27width%3D620%2Cheight%3D430%2Cresizable%3Dyes%2Ctoolbar%3Dyes%2Cstatus%3Dyes%2Cscrollbars%3Dyes%2Cmenubar%3Dyes%2Cdirectories%3Dyes%2Clocation%3Dyes%2Cdependant%3Dno%27%2C%20false%2C%20true%29%3B" title="https://www.youtube.com/channel/UCgZj3oIldyZ7qHmHniADJdQ/featured (Nova janela)"&gt;https://www.youtube.com/channel/UCgZj3oIldyZ7qHmHniADJdQ/featured&lt;/a&gt;</t>
  </si>
  <si>
    <t>@projetoviela</t>
  </si>
  <si>
    <t>0014P00003AN2FV</t>
  </si>
  <si>
    <t>Instituto Geração 4</t>
  </si>
  <si>
    <t>14.390.824/0001-20</t>
  </si>
  <si>
    <t>R. Alm. Nelson Fernandes</t>
  </si>
  <si>
    <t>Praia de Barra de Jangada Rua Padre Nestor de Alencar s/n (JABOATÃO DOS GUARARAPES/PE)
Praia de Maracaípe Porto de Galinhas e Camela (Distritos que fazem parte da cidade de IPOJUCA/PE)</t>
  </si>
  <si>
    <t>["Esporte","Educação","Assistência Social"]</t>
  </si>
  <si>
    <t>Moradores de favelas ,Mulheres,</t>
  </si>
  <si>
    <t>Entra Apulso Beira do Rio Boa Viagem Setúbal Pocotó Brasília Teimosa Curcurana...</t>
  </si>
  <si>
    <t>Lei de Incentivo 40% Convênio Público 60%</t>
  </si>
  <si>
    <t>Formos sorteados pelo Patrocinador esse ano e passamos por uma auditoria onde foi tudo aprovado.</t>
  </si>
  <si>
    <t>&lt;a href="javascript:openPopupFocus%28%27https%3A%2F%2Fgeracao4.org.br%2F%27%2C%20%27_blank%27%2C%20620%2C%20430%2C%20%27width%3D620%2Cheight%3D430%2Cresizable%3Dyes%2Ctoolbar%3Dyes%2Cstatus%3Dyes%2Cscrollbars%3Dyes%2Cmenubar%3Dyes%2Cdirectories%3Dyes%2Clocation%3Dyes%2Cdependant%3Dno%27%2C%20false%2C%20true%29%3B" title="https://geracao4.org.br/ (Nova janela)"&gt;https://geracao4.org.br/&lt;/a&gt;</t>
  </si>
  <si>
    <t>https://www.instagram.com/geracao4/?hl=pt-br</t>
  </si>
  <si>
    <t>0014P00003AN2FW</t>
  </si>
  <si>
    <t>Associação Cultural Esportiva Social Amigos - ACESA</t>
  </si>
  <si>
    <t>14.810.743/0001-31</t>
  </si>
  <si>
    <t>Rua Alto da Conquista n303 Alto José Bonifácio</t>
  </si>
  <si>
    <t>52.080-360</t>
  </si>
  <si>
    <t>QUADRA DE ESPORTE EM FRENTE A ONG</t>
  </si>
  <si>
    <t>ALTO JOSÉ BONIFÁCIO ALTO DO BRASIL ALTO DO CAPITÃO</t>
  </si>
  <si>
    <t>EMPODERAMENTO FEMININO</t>
  </si>
  <si>
    <t>100% projeto empresas</t>
  </si>
  <si>
    <t>@acesaong</t>
  </si>
  <si>
    <t>0014P00003AN2FX</t>
  </si>
  <si>
    <t>Associação Música de Bairro</t>
  </si>
  <si>
    <t>25.464.731.0001-19</t>
  </si>
  <si>
    <t>Rua vicente antonio de oliveira</t>
  </si>
  <si>
    <t>["Educação","Cultura","Qualificação Profissional","Empreendedorismo"]</t>
  </si>
  <si>
    <t>Vila Mirate. Paqueta, Marilaque, Jardim Cidade Pirituba, Vila Zatt, Paulistano, Taipas.</t>
  </si>
  <si>
    <t>Editais públicos e privados 80%, Patrocínio 20%</t>
  </si>
  <si>
    <t>&lt;a href="javascript:openPopupFocus%28%27https%3A%2F%2Fmirantecultural.com.br%2F%27%2C%20%27_blank%27%2C%20620%2C%20430%2C%20%27width%3D620%2Cheight%3D430%2Cresizable%3Dyes%2Ctoolbar%3Dyes%2Cstatus%3Dyes%2Cscrollbars%3Dyes%2Cmenubar%3Dyes%2Cdirectories%3Dyes%2Clocation%3Dyes%2Cdependant%3Dno%27%2C%20false%2C%20true%29%3B" title="https://mirantecultural.com.br/ (Nova janela)"&gt;https://mirantecultural.com.br/&lt;/a&gt;</t>
  </si>
  <si>
    <t>https://www.facebook.com/projetomirantecultural</t>
  </si>
  <si>
    <t>0014P00003AN2FY</t>
  </si>
  <si>
    <t>Instituto Cristiane Camargo</t>
  </si>
  <si>
    <t>31.260.114/0001-02</t>
  </si>
  <si>
    <t>Rua Luis Antonio Pereira</t>
  </si>
  <si>
    <t>Moradores de favelas ,Pessoas em situação de rua,População LGBTI,Pessoas com deficiência intelectual,Dependentes químicos ,</t>
  </si>
  <si>
    <t>Agua Vermelha Morro dos Coroinhas Favela do Piolho morro do Acerto  Baxada do Sapo  jardim pantanal  vila progresso  vila do avinhado  e mais algumas vilas.</t>
  </si>
  <si>
    <t>maior parte vem das comunidades</t>
  </si>
  <si>
    <t>Doações PF 20% Vendas e Eventos 30% Negocio Social 50%</t>
  </si>
  <si>
    <t>&lt;a href="javascript:openPopupFocus%28%27http%3A%2F%2Fwww.institutocristianecamargo.org%27%2C%20%27_blank%27%2C%20620%2C%20430%2C%20%27width%3D620%2Cheight%3D430%2Cresizable%3Dyes%2Ctoolbar%3Dyes%2Cstatus%3Dyes%2Cscrollbars%3Dyes%2Cmenubar%3Dyes%2Cdirectories%3Dyes%2Clocation%3Dyes%2Cdependant%3Dno%27%2C%20false%2C%20true%29%3B" title="http://www.institutocristianecamargo.org (Nova janela)"&gt;http://www.institutocristianecamargo.org&lt;/a&gt;</t>
  </si>
  <si>
    <t>www.instagram.com/institutocristianecamargodv / www.facebook.com/institutocristianecamargo</t>
  </si>
  <si>
    <t>0014P00003AN2FZ</t>
  </si>
  <si>
    <t>Associação Beneficente Vivenda da Criança</t>
  </si>
  <si>
    <t>61.577.110/0001-05</t>
  </si>
  <si>
    <t>Rua Henrique Hessel</t>
  </si>
  <si>
    <t>["Assistência Social"]</t>
  </si>
  <si>
    <t>Parque Florestal Vila Marcelo Recanto Campo Belo Herplin Iporã Jusa Almeida Jaceguava São Norberto Papai Noel Casa Grande Jardim Casa GrandeVilela Aruan Olaria Balneário São José São Francisco JD. Paulo Afonso Jardim das Laranjeiras Jardim São Joaquim.</t>
  </si>
  <si>
    <t>Bairros desassistidos sem infraestrutura sem saneamento problemas de transporte moradia falta lazer e cultura. Poucas oportunidades de emprego.</t>
  </si>
  <si>
    <t>RECEITAS  Convenios  5136% Diversos PF 219% Diversos PJ  107% Esporádicas PF  080% Esporádicas PJ  526% Eventos  1163% Campanhas  472% Plataformas  050% CVV´S  PF 085% CVV´S PJ  082% Oportunidades  2027% Vendas  053%</t>
  </si>
  <si>
    <t>&lt;a href="javascript:openPopupFocus%28%27https%3A%2F%2Fwww.vivendadacrianca.com.br%2F%27%2C%20%27_blank%27%2C%20620%2C%20430%2C%20%27width%3D620%2Cheight%3D430%2Cresizable%3Dyes%2Ctoolbar%3Dyes%2Cstatus%3Dyes%2Cscrollbars%3Dyes%2Cmenubar%3Dyes%2Cdirectories%3Dyes%2Clocation%3Dyes%2Cdependant%3Dno%27%2C%20false%2C%20true%29%3B" title="https://www.vivendadacrianca.com.br/ (Nova janela)"&gt;https://www.vivendadacrianca.com.br/&lt;/a&gt;</t>
  </si>
  <si>
    <t>https://www.facebook.com/vivendadacrianca /  https://www.instagram.com/vivendadacrianca/ https://www.youtube.com/channel/UCff8cTDQKPx43HV0R98LESQ / https://www.linkedin.com/showcase/vivenda-da-crian%C3%A7a-associa%C3%A7%C3%A3o-beneficente/?viewAsMember=t...</t>
  </si>
  <si>
    <t>0014P00003AN2Fa</t>
  </si>
  <si>
    <t>AGECOM- PROJETO GERAÇÃO DA CHICO</t>
  </si>
  <si>
    <t>AGECOM</t>
  </si>
  <si>
    <t>25.546.038/0001-95</t>
  </si>
  <si>
    <t>Alessandra Da Luz Dias</t>
  </si>
  <si>
    <t>projetoagecom@gmail.com</t>
  </si>
  <si>
    <t>(48)9999-5583</t>
  </si>
  <si>
    <t>SC</t>
  </si>
  <si>
    <t>Servidao pétalas dumont</t>
  </si>
  <si>
    <t>Monte Cristo- comunidade Chico Mendes</t>
  </si>
  <si>
    <t>São José</t>
  </si>
  <si>
    <t>Conjunto habitacional Chico Mendes</t>
  </si>
  <si>
    <t>não</t>
  </si>
  <si>
    <t>Comunidade Chico Mendes</t>
  </si>
  <si>
    <t>Comunidade mais carente e violenta da capital.</t>
  </si>
  <si>
    <t>Editais</t>
  </si>
  <si>
    <t>&lt;a href="javascript:openPopupFocus%28%27https%3A%2F%2Fwww.projetogeracaodachico.com.br%2F%27%2C%20%27_blank%27%2C%20620%2C%20430%2C%20%27width%3D620%2Cheight%3D430%2Cresizable%3Dyes%2Ctoolbar%3Dyes%2Cstatus%3Dyes%2Cscrollbars%3Dyes%2Cmenubar%3Dyes%2Cdirectories%3Dyes%2Clocation%3Dyes%2Cdependant%3Dno%27%2C%20false%2C%20true%29%3B" title="https://www.projetogeracaodachico.com.br/ (Nova janela)"&gt;https://www.projetogeracaodachico.com.br/&lt;/a&gt;</t>
  </si>
  <si>
    <t>&lt;a href="javascript:openPopupFocus%28%27https%3A%2F%2Fwww.instagram.com%2Finvites%2Fcontact%2F%3Fi%3D1acd0z9bos0r7%26utm_content%3D10zijf4%27%2C%20%27_blank%27%2C%20620%2C%20430%2C%20%27width%3D620%2Cheight%3D430%2Cresizable%3Dyes%2Ctoolbar%3Dyes%2Cstatus%3Dyes%2Cscrollbars%3Dyes%2Cmenubar%3Dyes%2Cdirectories%3Dyes%2Clocation%3Dyes%2Cdependant%3Dno%27%2C%20false%2C%20true%29%3B" title="https://www.instagram.com/invites/contact/?i=1acd0z9bos0r7&amp;utm_content=10zijf4 (Nova janela)"&gt;https://www.instagram.com/invites/contact/?i=1acd0z9bos0r7&amp;utm_content=10zijf4&lt;/a&gt;</t>
  </si>
  <si>
    <t>&lt;a href="javascript:openPopupFocus%28%27https%3A%2F%2Fm.facebook.com%2Fprofile.php%3Fid%3D903038173049307%26ref%3Dcontent_filter%27%2C%20%27_blank%27%2C%20620%2C%20430%2C%20%27width%3D620%2Cheight%3D430%2Cresizable%3Dyes%2Ctoolbar%3Dyes%2Cstatus%3Dyes%2Cscrollbars%3Dyes%2Cmenubar%3Dyes%2Cdirectories%3Dyes%2Clocation%3Dyes%2Cdependant%3Dno%27%2C%20false%2C%20true%29%3B" title="https://m.facebook.com/profile.php?id=903038173049307&amp;ref=content_filter (Nova janela)"&gt;https://m.facebook.com/profile.php?id=903038173049307&amp;ref=content_filter&lt;/a&gt;</t>
  </si>
  <si>
    <t>&lt;a href="javascript:openPopupFocus%28%27http%3A%2F%2Fgoogle.%2Fmaterias.%27%2C%20%27_blank%27%2C%20620%2C%20430%2C%20%27width%3D620%2Cheight%3D430%2Cresizable%3Dyes%2Ctoolbar%3Dyes%2Cstatus%3Dyes%2Cscrollbars%3Dyes%2Cmenubar%3Dyes%2Cdirectories%3Dyes%2Clocation%3Dyes%2Cdependant%3Dno%27%2C%20false%2C%20true%29%3B" title="http://google./materias. (Nova janela)"&gt;http://google./materias.&lt;/a&gt;</t>
  </si>
  <si>
    <t>https://drive.google.com/open?id=1Uv3cu0nH37IgpJV0eWmwgvS4yC8CCCOA</t>
  </si>
  <si>
    <t>&lt;a href="javascript:openPopupFocus%28%27https%3A%2F%2Fdrive.google.com%2Fopen%3Fid%3D1j5lkmb2e9fQlVmY-y5pGb6mrC6yJbnGj%27%2C%20%27_blank%27%2C%20620%2C%20430%2C%20%27width%3D620%2Cheight%3D430%2Cresizable%3Dyes%2Ctoolbar%3Dyes%2Cstatus%3Dyes%2Cscrollbars%3Dyes%2Cmenubar%3Dyes%2Cdirectories%3Dyes%2Clocation%3Dyes%2Cdependant%3Dno%27%2C%20false%2C%20true%29%3B" title="https://drive.google.com/open?id=1j5lkmb2e9fQlVmY-y5pGb6mrC6yJbnGj (Nova janela)"&gt;https://drive.google.com/open?id=1j5lkmb2e9fQlVmY-y5pGb6mrC6yJbnGj&lt;/a&gt;</t>
  </si>
  <si>
    <t>&lt;a href="javascript:openPopupFocus%28%27https%3A%2F%2Fdrive.google.com%2Fopen%3Fid%3D1NmSMRUpUftZrpgCndd1m8fxDhcV7Glfn%27%2C%20%27_blank%27%2C%20620%2C%20430%2C%20%27width%3D620%2Cheight%3D430%2Cresizable%3Dyes%2Ctoolbar%3Dyes%2Cstatus%3Dyes%2Cscrollbars%3Dyes%2Cmenubar%3Dyes%2Cdirectories%3Dyes%2Clocation%3Dyes%2Cdependant%3Dno%27%2C%20false%2C%20true%29%3B" title="https://drive.google.com/open?id=1NmSMRUpUftZrpgCndd1m8fxDhcV7Glfn (Nova janela)"&gt;https://drive.google.com/open?id=1NmSMRUpUftZrpgCndd1m8fxDhcV7Glfn&lt;/a&gt;</t>
  </si>
  <si>
    <t>&lt;a href="javascript:openPopupFocus%28%27https%3A%2F%2Fdrive.google.com%2Fopen%3Fid%3D1rOaLeyIueL0eiKjzR_4U-JOCihYWA2ml%27%2C%20%27_blank%27%2C%20620%2C%20430%2C%20%27width%3D620%2Cheight%3D430%2Cresizable%3Dyes%2Ctoolbar%3Dyes%2Cstatus%3Dyes%2Cscrollbars%3Dyes%2Cmenubar%3Dyes%2Cdirectories%3Dyes%2Clocation%3Dyes%2Cdependant%3Dno%27%2C%20false%2C%20true%29%3B" title="https://drive.google.com/open?id=1rOaLeyIueL0eiKjzR_4U-JOCihYWA2ml (Nova janela)"&gt;https://drive.google.com/open?id=1rOaLeyIueL0eiKjzR_4U-JOCihYWA2ml&lt;/a&gt;</t>
  </si>
  <si>
    <t>&lt;a href="javascript:openPopupFocus%28%27https%3A%2F%2Fdrive.google.com%2Fopen%3Fid%3D1BOM0i7mTO-obu0sdmsz3mQGI6g87LKZw%27%2C%20%27_blank%27%2C%20620%2C%20430%2C%20%27width%3D620%2Cheight%3D430%2Cresizable%3Dyes%2Ctoolbar%3Dyes%2Cstatus%3Dyes%2Cscrollbars%3Dyes%2Cmenubar%3Dyes%2Cdirectories%3Dyes%2Clocation%3Dyes%2Cdependant%3Dno%27%2C%20false%2C%20true%29%3B" title="https://drive.google.com/open?id=1BOM0i7mTO-obu0sdmsz3mQGI6g87LKZw (Nova janela)"&gt;https://drive.google.com/open?id=1BOM0i7mTO-obu0sdmsz3mQGI6g87LKZw&lt;/a&gt;</t>
  </si>
  <si>
    <t>&lt;a href="javascript:openPopupFocus%28%27https%3A%2F%2Fdrive.google.com%2Fopen%3Fid%3D1DRX6PHyBkRlGtmVvab4eGlAzjmSt9jKJ%27%2C%20%27_blank%27%2C%20620%2C%20430%2C%20%27width%3D620%2Cheight%3D430%2Cresizable%3Dyes%2Ctoolbar%3Dyes%2Cstatus%3Dyes%2Cscrollbars%3Dyes%2Cmenubar%3Dyes%2Cdirectories%3Dyes%2Clocation%3Dyes%2Cdependant%3Dno%27%2C%20false%2C%20true%29%3B" title="https://drive.google.com/open?id=1DRX6PHyBkRlGtmVvab4eGlAzjmSt9jKJ (Nova janela)"&gt;https://drive.google.com/open?id=1DRX6PHyBkRlGtmVvab4eGlAzjmSt9jKJ&lt;/a&gt;</t>
  </si>
  <si>
    <t>&lt;a href="javascript:openPopupFocus%28%27https%3A%2F%2Fdrive.google.com%2Fopen%3Fid%3D1enGI61aBv_heogtYm4QTemw8qZ6QXgs4%27%2C%20%27_blank%27%2C%20620%2C%20430%2C%20%27width%3D620%2Cheight%3D430%2Cresizable%3Dyes%2Ctoolbar%3Dyes%2Cstatus%3Dyes%2Cscrollbars%3Dyes%2Cmenubar%3Dyes%2Cdirectories%3Dyes%2Clocation%3Dyes%2Cdependant%3Dno%27%2C%20false%2C%20true%29%3B" title="https://drive.google.com/open?id=1enGI61aBv_heogtYm4QTemw8qZ6QXgs4 (Nova janela)"&gt;https://drive.google.com/open?id=1enGI61aBv_heogtYm4QTemw8qZ6QXgs4&lt;/a&gt;</t>
  </si>
  <si>
    <t>&lt;a href="javascript:openPopupFocus%28%27https%3A%2F%2Fdrive.google.com%2Fopen%3Fid%3D1vDnSpp5nDLMnRTBhd7NewMH8IlkZQTWz%27%2C%20%27_blank%27%2C%20620%2C%20430%2C%20%27width%3D620%2Cheight%3D430%2Cresizable%3Dyes%2Ctoolbar%3Dyes%2Cstatus%3Dyes%2Cscrollbars%3Dyes%2Cmenubar%3Dyes%2Cdirectories%3Dyes%2Clocation%3Dyes%2Cdependant%3Dno%27%2C%20false%2C%20true%29%3B" title="https://drive.google.com/open?id=1vDnSpp5nDLMnRTBhd7NewMH8IlkZQTWz (Nova janela)"&gt;https://drive.google.com/open?id=1vDnSpp5nDLMnRTBhd7NewMH8IlkZQTWz&lt;/a&gt;</t>
  </si>
  <si>
    <t>0014P00003AN2Fb</t>
  </si>
  <si>
    <t>INSTITUTO DAS ÁGUIAS</t>
  </si>
  <si>
    <t>ÁGUIAS</t>
  </si>
  <si>
    <t>32.490.565/0001-90</t>
  </si>
  <si>
    <t>André Felipe Silva De Sousa</t>
  </si>
  <si>
    <t>institutodasaguias@gmail.com</t>
  </si>
  <si>
    <t>(85)8930-4416</t>
  </si>
  <si>
    <t>Rua Tenente Renato Aguiar</t>
  </si>
  <si>
    <t>Serrinha</t>
  </si>
  <si>
    <t>["Esporte","Educação","Assistência Social","Cultura","Qualificação Profissional","Empreendedorismo","Saúde","Meio ambiente"]</t>
  </si>
  <si>
    <t>Moradores de favelas. Pessoas em situação de rua. População LGBTQ+</t>
  </si>
  <si>
    <t>Monstros/Indios/Fim da LInha/ Mangueiras/ Atacadão/TM/ Guaribal/ Caramuru</t>
  </si>
  <si>
    <t>Publico de periferia grande maioria crianças e jovens que moram apenas com a mãe como chefe de família.</t>
  </si>
  <si>
    <t>["Eventos/Ações para captação"]</t>
  </si>
  <si>
    <t>100% doação pessoas físicas</t>
  </si>
  <si>
    <t>&lt;a href="javascript:openPopupFocus%28%27http%3A%2F%2Fn%C3%A3o%27%2C%20%27_blank%27%2C%20620%2C%20430%2C%20%27width%3D620%2Cheight%3D430%2Cresizable%3Dyes%2Ctoolbar%3Dyes%2Cstatus%3Dyes%2Cscrollbars%3Dyes%2Cmenubar%3Dyes%2Cdirectories%3Dyes%2Clocation%3Dyes%2Cdependant%3Dno%27%2C%20false%2C%20true%29%3B" title="http://não (Nova janela)"&gt;http://não&lt;/a&gt;</t>
  </si>
  <si>
    <t>&lt;a href="javascript:openPopupFocus%28%27https%3A%2F%2Finstagram.com%2Finstitutodasaguias%3Futm_medium%3Dcopy_link%27%2C%20%27_blank%27%2C%20620%2C%20430%2C%20%27width%3D620%2Cheight%3D430%2Cresizable%3Dyes%2Ctoolbar%3Dyes%2Cstatus%3Dyes%2Cscrollbars%3Dyes%2Cmenubar%3Dyes%2Cdirectories%3Dyes%2Clocation%3Dyes%2Cdependant%3Dno%27%2C%20false%2C%20true%29%3B" title="https://instagram.com/institutodasaguias?utm_medium=copy_link (Nova janela)"&gt;https://instagram.com/institutodasaguias?utm_medium=copy_link&lt;/a&gt;</t>
  </si>
  <si>
    <t>&lt;a href="javascript:openPopupFocus%28%27https%3A%2F%2Fwww.facebook.com%2Finstitutodasaguias%27%2C%20%27_blank%27%2C%20620%2C%20430%2C%20%27width%3D620%2Cheight%3D430%2Cresizable%3Dyes%2Ctoolbar%3Dyes%2Cstatus%3Dyes%2Cscrollbars%3Dyes%2Cmenubar%3Dyes%2Cdirectories%3Dyes%2Clocation%3Dyes%2Cdependant%3Dno%27%2C%20false%2C%20true%29%3B" title="https://www.facebook.com/institutodasaguias (Nova janela)"&gt;https://www.facebook.com/institutodasaguias&lt;/a&gt;</t>
  </si>
  <si>
    <t>https://www.instagram.com/p/CKVHTFcDqNA/?igshid=1lf3r1c2nl3sg</t>
  </si>
  <si>
    <t>&lt;a href="javascript:openPopupFocus%28%27https%3A%2F%2Fdrive.google.com%2Fopen%3Fid%3D1_ZbOYDLo-gGvn7nNlwYsF_WCkO49k2Dr%27%2C%20%27_blank%27%2C%20620%2C%20430%2C%20%27width%3D620%2Cheight%3D430%2Cresizable%3Dyes%2Ctoolbar%3Dyes%2Cstatus%3Dyes%2Cscrollbars%3Dyes%2Cmenubar%3Dyes%2Cdirectories%3Dyes%2Clocation%3Dyes%2Cdependant%3Dno%27%2C%20false%2C%20true%29%3B" title="https://drive.google.com/open?id=1_ZbOYDLo-gGvn7nNlwYsF_WCkO49k2Dr (Nova janela)"&gt;https://drive.google.com/open?id=1_ZbOYDLo-gGvn7nNlwYsF_WCkO49k2Dr&lt;/a&gt;</t>
  </si>
  <si>
    <t>&lt;a href="javascript:openPopupFocus%28%27https%3A%2F%2Fdrive.google.com%2Fopen%3Fid%3D1XAWUfiiLHSDEdJ1PBTII5vn60S89RIY1%27%2C%20%27_blank%27%2C%20620%2C%20430%2C%20%27width%3D620%2Cheight%3D430%2Cresizable%3Dyes%2Ctoolbar%3Dyes%2Cstatus%3Dyes%2Cscrollbars%3Dyes%2Cmenubar%3Dyes%2Cdirectories%3Dyes%2Clocation%3Dyes%2Cdependant%3Dno%27%2C%20false%2C%20true%29%3B" title="https://drive.google.com/open?id=1XAWUfiiLHSDEdJ1PBTII5vn60S89RIY1 (Nova janela)"&gt;https://drive.google.com/open?id=1XAWUfiiLHSDEdJ1PBTII5vn60S89RIY1&lt;/a&gt;</t>
  </si>
  <si>
    <t>0014P00003AN2Fc</t>
  </si>
  <si>
    <t>Instituto Rahamim</t>
  </si>
  <si>
    <t>Novos caminhos</t>
  </si>
  <si>
    <t>10.419.634/0001-37</t>
  </si>
  <si>
    <t>institutorahamim@gmail.com</t>
  </si>
  <si>
    <t>(79) 9814-5876</t>
  </si>
  <si>
    <t>SE</t>
  </si>
  <si>
    <t>Rua 32</t>
  </si>
  <si>
    <t>Aracaju</t>
  </si>
  <si>
    <t>As casas dos municípios de salgado e Laranjeiras estão sendo fechadas essa semana.</t>
  </si>
  <si>
    <t>["Trabalhamos com a família em geral sendo prioritário dos 03 aos 29 anos"]</t>
  </si>
  <si>
    <t>Moradores de favelas ,Já realizamos projetos com LGBTI e pessoas em situação de rua mas estamos limitando aos moradores de favela.,</t>
  </si>
  <si>
    <t>Complexo Santa Maria e bairro 17 de Março.</t>
  </si>
  <si>
    <t>O Santa Maria é o segundo maior bairro de Aracaju e o maior bolsão de pobreza do estado possuía os maiores índices de violência realidade que vem sendo modificada ao longo dos últimos 20 anos.</t>
  </si>
  <si>
    <t>70% projetos empresas 20% convênio público e 10% doações (aproximadamente).</t>
  </si>
  <si>
    <t>&lt;a href="javascript:openPopupFocus%28%27https%3A%2F%2Fsolidarios-se.com%2Fprojeto-social%2Finstituto-rahamim%2F%27%2C%20%27_blank%27%2C%20620%2C%20430%2C%20%27width%3D620%2Cheight%3D430%2Cresizable%3Dyes%2Ctoolbar%3Dyes%2Cstatus%3Dyes%2Cscrollbars%3Dyes%2Cmenubar%3Dyes%2Cdirectories%3Dyes%2Clocation%3Dyes%2Cdependant%3Dno%27%2C%20false%2C%20true%29%3B" title="https://solidarios-se.com/projeto-social/instituto-rahamim/ (Nova janela)"&gt;https://solidarios-se.com/projeto-social/instituto-rahamim/&lt;/a&gt;</t>
  </si>
  <si>
    <t>&lt;a href="javascript:openPopupFocus%28%27https%3A%2F%2Fwww.instagram.com%2Finstitutorahamim%2F%3Fhl%3Dpt%27%2C%20%27_blank%27%2C%20620%2C%20430%2C%20%27width%3D620%2Cheight%3D430%2Cresizable%3Dyes%2Ctoolbar%3Dyes%2Cstatus%3Dyes%2Cscrollbars%3Dyes%2Cmenubar%3Dyes%2Cdirectories%3Dyes%2Clocation%3Dyes%2Cdependant%3Dno%27%2C%20false%2C%20true%29%3B" title="https://www.instagram.com/institutorahamim/?hl=pt (Nova janela)"&gt;https://www.instagram.com/institutorahamim/?hl=pt&lt;/a&gt;</t>
  </si>
  <si>
    <t>https://www.facebook.com/institutorahamim https://www.facebook.com/juventudecidadania.laranjeiras https://www.facebook.com/Estacao.cidadaniaju https://www.facebook.com/casa.vovo.mariana  Instagram: @institutorahamim @juventudecidadania.laranjeiras @estac...</t>
  </si>
  <si>
    <t>0014P00003AN2Fd</t>
  </si>
  <si>
    <t>PROJETO TIJOLINHO</t>
  </si>
  <si>
    <t>TIJOLINHO</t>
  </si>
  <si>
    <t>00.000.000/0000-00</t>
  </si>
  <si>
    <t>Jeferson Costa Silva</t>
  </si>
  <si>
    <t>projetoespacotijolinho@gmail.com</t>
  </si>
  <si>
    <t>(00)0000-0000</t>
  </si>
  <si>
    <t>Rua Carlos Lacerda</t>
  </si>
  <si>
    <t>Maré</t>
  </si>
  <si>
    <t>Rio De Janeiro</t>
  </si>
  <si>
    <t>Vila Olímpica Complexo do Alemão</t>
  </si>
  <si>
    <t>["Esporte","Educação","Assistência Social","Cultura","Saúde","Meio ambiente"]</t>
  </si>
  <si>
    <t>["Crianças (6 a 12 anos)","Adolescentes (12 aos 18 anos)","Adultos","Jovens (18 aos 24 anos)","Idosos (60 anos ou mais)","Crianças pequenas (4 anos a 5 anos e 11 meses"]</t>
  </si>
  <si>
    <t>Moradores de favelas. Pessoas em situação de rua. População LGBTQ+. Povos Indígenas. Quilombolas. Afrodescendentes. Dependentes químicos. Pessoas com deficiências. Egressos. Imigrantes</t>
  </si>
  <si>
    <t>NHp.u baixa do sapateiro vila do João  timbau favela da galinha  parque Mare Rubens vaz</t>
  </si>
  <si>
    <t>Atendemos o público de forma online com as aulas pelo aplicativo Zoom e Google Meets e de forma presencial na comunidade do Complexo do Alemão.</t>
  </si>
  <si>
    <t>["Outra opção"]</t>
  </si>
  <si>
    <t>100% favela</t>
  </si>
  <si>
    <t>&lt;a href="javascript:openPopupFocus%28%27http%3A%2F%2FN%C3%A3o%27%2C%20%27_blank%27%2C%20620%2C%20430%2C%20%27width%3D620%2Cheight%3D430%2Cresizable%3Dyes%2Ctoolbar%3Dyes%2Cstatus%3Dyes%2Cscrollbars%3Dyes%2Cmenubar%3Dyes%2Cdirectories%3Dyes%2Clocation%3Dyes%2Cdependant%3Dno%27%2C%20false%2C%20true%29%3B" title="http://Não (Nova janela)"&gt;http://Não&lt;/a&gt;</t>
  </si>
  <si>
    <t>&lt;a href="javascript:openPopupFocus%28%27https%3A%2F%2Fwww.instagram.com%2Fespacotijolinho%2F%27%2C%20%27_blank%27%2C%20620%2C%20430%2C%20%27width%3D620%2Cheight%3D430%2Cresizable%3Dyes%2Ctoolbar%3Dyes%2Cstatus%3Dyes%2Cscrollbars%3Dyes%2Cmenubar%3Dyes%2Cdirectories%3Dyes%2Clocation%3Dyes%2Cdependant%3Dno%27%2C%20false%2C%20true%29%3B" title="https://www.instagram.com/espacotijolinho/ (Nova janela)"&gt;https://www.instagram.com/espacotijolinho/&lt;/a&gt;</t>
  </si>
  <si>
    <t>Instagram @projetovidancar Facebook Projeto Vidançar</t>
  </si>
  <si>
    <t>&lt;a href="javascript:openPopupFocus%28%27https%3A%2F%2Fdrive.google.com%2Fopen%3Fid%3D119-QDuVmduqLCMGqVkriuur_eyNbiRsB%27%2C%20%27_blank%27%2C%20620%2C%20430%2C%20%27width%3D620%2Cheight%3D430%2Cresizable%3Dyes%2Ctoolbar%3Dyes%2Cstatus%3Dyes%2Cscrollbars%3Dyes%2Cmenubar%3Dyes%2Cdirectories%3Dyes%2Clocation%3Dyes%2Cdependant%3Dno%27%2C%20false%2C%20true%29%3B" title="https://drive.google.com/open?id=119-QDuVmduqLCMGqVkriuur_eyNbiRsB (Nova janela)"&gt;https://drive.google.com/open?id=119-QDuVmduqLCMGqVkriuur_eyNbiRsB&lt;/a&gt;</t>
  </si>
  <si>
    <t>0014P00003AN2Fe</t>
  </si>
  <si>
    <t>ASSOCIAÇÃO PROTOTIPANDO A QUEBRADA</t>
  </si>
  <si>
    <t>PROTOTIPANDO</t>
  </si>
  <si>
    <t>43.213.521/0001-30</t>
  </si>
  <si>
    <t>Jefferson Lima</t>
  </si>
  <si>
    <t>prototipandoaquebrada@gmail.com</t>
  </si>
  <si>
    <t>(48)9934-4387</t>
  </si>
  <si>
    <t>Rua Bocaiuva</t>
  </si>
  <si>
    <t>Centro</t>
  </si>
  <si>
    <t>Palhoça</t>
  </si>
  <si>
    <t>2 Andar</t>
  </si>
  <si>
    <t>Unidade Pedra Branca:
Avenida das Águias 231 Sala 3 - Palhoça - SC 88137-280</t>
  </si>
  <si>
    <t>["Educação","Qualificação Profissional"]</t>
  </si>
  <si>
    <t>["Crianças (6 a 12 anos)","Jovens (18 aos 24 anos)","Adolescentes (12 aos 18 anos"]</t>
  </si>
  <si>
    <t>Moradores de favelas. População LGBTQ+. Afrodescendentes</t>
  </si>
  <si>
    <t>Frei Damião Brejaru Ponte do Imaruim Mont Serrat Vargem Grande Comunidade do Siri.</t>
  </si>
  <si>
    <t>["Projetos Específicos com Empresas"]</t>
  </si>
  <si>
    <t>&lt;a href="javascript:openPopupFocus%28%27https%3A%2F%2Fprototipandoaquebrada.org%2F%27%2C%20%27_blank%27%2C%20620%2C%20430%2C%20%27width%3D620%2Cheight%3D430%2Cresizable%3Dyes%2Ctoolbar%3Dyes%2Cstatus%3Dyes%2Cscrollbars%3Dyes%2Cmenubar%3Dyes%2Cdirectories%3Dyes%2Clocation%3Dyes%2Cdependant%3Dno%27%2C%20false%2C%20true%29%3B" title="https://prototipandoaquebrada.org/ (Nova janela)"&gt;https://prototipandoaquebrada.org/&lt;/a&gt;</t>
  </si>
  <si>
    <t>&lt;a href="javascript:openPopupFocus%28%27https%3A%2F%2Fwww.instagram.com%2Fprototipandoaquebrada%2F%27%2C%20%27_blank%27%2C%20620%2C%20430%2C%20%27width%3D620%2Cheight%3D430%2Cresizable%3Dyes%2Ctoolbar%3Dyes%2Cstatus%3Dyes%2Cscrollbars%3Dyes%2Cmenubar%3Dyes%2Cdirectories%3Dyes%2Clocation%3Dyes%2Cdependant%3Dno%27%2C%20false%2C%20true%29%3B" title="https://www.instagram.com/prototipandoaquebrada/ (Nova janela)"&gt;https://www.instagram.com/prototipandoaquebrada/&lt;/a&gt;</t>
  </si>
  <si>
    <t>&lt;a href="javascript:openPopupFocus%28%27https%3A%2F%2Fwww.facebook.com%2Fprototipando.aquebrada%2F%27%2C%20%27_blank%27%2C%20620%2C%20430%2C%20%27width%3D620%2Cheight%3D430%2Cresizable%3Dyes%2Ctoolbar%3Dyes%2Cstatus%3Dyes%2Cscrollbars%3Dyes%2Cmenubar%3Dyes%2Cdirectories%3Dyes%2Clocation%3Dyes%2Cdependant%3Dno%27%2C%20false%2C%20true%29%3B" title="https://www.facebook.com/prototipando.aquebrada/ (Nova janela)"&gt;https://www.facebook.com/prototipando.aquebrada/&lt;/a&gt;</t>
  </si>
  <si>
    <t>https://www.linkedin.com/company/70932617</t>
  </si>
  <si>
    <t>&lt;a href="javascript:openPopupFocus%28%27https%3A%2F%2Fdrive.google.com%2Fopen%3Fid%3D1TGTiVMVrl1fOBcUEY4wBiC_5cyXrW7Og%27%2C%20%27_blank%27%2C%20620%2C%20430%2C%20%27width%3D620%2Cheight%3D430%2Cresizable%3Dyes%2Ctoolbar%3Dyes%2Cstatus%3Dyes%2Cscrollbars%3Dyes%2Cmenubar%3Dyes%2Cdirectories%3Dyes%2Clocation%3Dyes%2Cdependant%3Dno%27%2C%20false%2C%20true%29%3B" title="https://drive.google.com/open?id=1TGTiVMVrl1fOBcUEY4wBiC_5cyXrW7Og (Nova janela)"&gt;https://drive.google.com/open?id=1TGTiVMVrl1fOBcUEY4wBiC_5cyXrW7Og&lt;/a&gt;</t>
  </si>
  <si>
    <t>&lt;a href="javascript:openPopupFocus%28%27https%3A%2F%2Fdrive.google.com%2Fopen%3Fid%3D1v4wbaIHO089TT5vBR7QT4b9Boqbq3vgh%27%2C%20%27_blank%27%2C%20620%2C%20430%2C%20%27width%3D620%2Cheight%3D430%2Cresizable%3Dyes%2Ctoolbar%3Dyes%2Cstatus%3Dyes%2Cscrollbars%3Dyes%2Cmenubar%3Dyes%2Cdirectories%3Dyes%2Clocation%3Dyes%2Cdependant%3Dno%27%2C%20false%2C%20true%29%3B" title="https://drive.google.com/open?id=1v4wbaIHO089TT5vBR7QT4b9Boqbq3vgh (Nova janela)"&gt;https://drive.google.com/open?id=1v4wbaIHO089TT5vBR7QT4b9Boqbq3vgh&lt;/a&gt;</t>
  </si>
  <si>
    <t>&lt;a href="javascript:openPopupFocus%28%27https%3A%2F%2Fdrive.google.com%2Fopen%3Fid%3D1NQCBheCJRl_1k1LsNYMNlL9kUcL6UBWY%27%2C%20%27_blank%27%2C%20620%2C%20430%2C%20%27width%3D620%2Cheight%3D430%2Cresizable%3Dyes%2Ctoolbar%3Dyes%2Cstatus%3Dyes%2Cscrollbars%3Dyes%2Cmenubar%3Dyes%2Cdirectories%3Dyes%2Clocation%3Dyes%2Cdependant%3Dno%27%2C%20false%2C%20true%29%3B" title="https://drive.google.com/open?id=1NQCBheCJRl_1k1LsNYMNlL9kUcL6UBWY (Nova janela)"&gt;https://drive.google.com/open?id=1NQCBheCJRl_1k1LsNYMNlL9kUcL6UBWY&lt;/a&gt;</t>
  </si>
  <si>
    <t>&lt;a href="javascript:openPopupFocus%28%27https%3A%2F%2Fdrive.google.com%2Fopen%3Fid%3D12Iw6yGzhKSMrL5zu2fW0cGrNv59OCmUq%27%2C%20%27_blank%27%2C%20620%2C%20430%2C%20%27width%3D620%2Cheight%3D430%2Cresizable%3Dyes%2Ctoolbar%3Dyes%2Cstatus%3Dyes%2Cscrollbars%3Dyes%2Cmenubar%3Dyes%2Cdirectories%3Dyes%2Clocation%3Dyes%2Cdependant%3Dno%27%2C%20false%2C%20true%29%3B" title="https://drive.google.com/open?id=12Iw6yGzhKSMrL5zu2fW0cGrNv59OCmUq (Nova janela)"&gt;https://drive.google.com/open?id=12Iw6yGzhKSMrL5zu2fW0cGrNv59OCmUq&lt;/a&gt;</t>
  </si>
  <si>
    <t>0014P00003AN2Ff</t>
  </si>
  <si>
    <t>ASSOCIACAO ESPORTIVA TRANSFORMACAO</t>
  </si>
  <si>
    <t>TRANSFORMACAO</t>
  </si>
  <si>
    <t>43.060.820/0001-81</t>
  </si>
  <si>
    <t>Marcus Vinicius Do Nascimento</t>
  </si>
  <si>
    <t>transformacao.tsc@hotmail.com</t>
  </si>
  <si>
    <t>(31)7313-4322</t>
  </si>
  <si>
    <t>rua serenata</t>
  </si>
  <si>
    <t>serra</t>
  </si>
  <si>
    <t>casa</t>
  </si>
  <si>
    <t>Rua Castelo Novo 1001 - Santa Efigênia Belo Horizonte - MG 30260-380 
Praça do Cafezal - Santana do Cafezal
Belo Horizonte - MG
30260-600
R. Dr. Camilo 578 - Serra Belo Horizonte - MG 30240-090</t>
  </si>
  <si>
    <t>Moradores de favelas. Dependentes químicos. Egressos</t>
  </si>
  <si>
    <t>aglomerado da serra atuamos nas 8 vilas da comunidade</t>
  </si>
  <si>
    <t>100% eventos e acoes para captcao</t>
  </si>
  <si>
    <t>&lt;a href="javascript:openPopupFocus%28%27https%3A%2F%2Fwww.instagram.com%2Fp%2FCSg1rfsrtU3%2F%3Futm_medium%3Dcopy_link%27%2C%20%27_blank%27%2C%20620%2C%20430%2C%20%27width%3D620%2Cheight%3D430%2Cresizable%3Dyes%2Ctoolbar%3Dyes%2Cstatus%3Dyes%2Cscrollbars%3Dyes%2Cmenubar%3Dyes%2Cdirectories%3Dyes%2Clocation%3Dyes%2Cdependant%3Dno%27%2C%20false%2C%20true%29%3B" title="https://www.instagram.com/p/CSg1rfsrtU3/?utm_medium=copy_link (Nova janela)"&gt;https://www.instagram.com/p/CSg1rfsrtU3/?utm_medium=copy_link&lt;/a&gt;</t>
  </si>
  <si>
    <t>https://www.instagram.com/p/CKjLvsiBuQQ/?igshid=1ww243q38ov30 , https://www.facebook.com/tribossalum/photos/a.1863786950324111/3636590986377023/?type=3</t>
  </si>
  <si>
    <t>&lt;a href="javascript:openPopupFocus%28%27https%3A%2F%2Fdrive.google.com%2Fopen%3Fid%3D1E9zLnletCpGAo5kpYI4OAzfWgcZD1316%27%2C%20%27_blank%27%2C%20620%2C%20430%2C%20%27width%3D620%2Cheight%3D430%2Cresizable%3Dyes%2Ctoolbar%3Dyes%2Cstatus%3Dyes%2Cscrollbars%3Dyes%2Cmenubar%3Dyes%2Cdirectories%3Dyes%2Clocation%3Dyes%2Cdependant%3Dno%27%2C%20false%2C%20true%29%3B" title="https://drive.google.com/open?id=1E9zLnletCpGAo5kpYI4OAzfWgcZD1316 (Nova janela)"&gt;https://drive.google.com/open?id=1E9zLnletCpGAo5kpYI4OAzfWgcZD1316&lt;/a&gt;</t>
  </si>
  <si>
    <t>&lt;a href="javascript:openPopupFocus%28%27https%3A%2F%2Fdrive.google.com%2Fopen%3Fid%3D1XqlXB2MiwE1s0xbALhzk0H78fptG6z66%27%2C%20%27_blank%27%2C%20620%2C%20430%2C%20%27width%3D620%2Cheight%3D430%2Cresizable%3Dyes%2Ctoolbar%3Dyes%2Cstatus%3Dyes%2Cscrollbars%3Dyes%2Cmenubar%3Dyes%2Cdirectories%3Dyes%2Clocation%3Dyes%2Cdependant%3Dno%27%2C%20false%2C%20true%29%3B" title="https://drive.google.com/open?id=1XqlXB2MiwE1s0xbALhzk0H78fptG6z66 (Nova janela)"&gt;https://drive.google.com/open?id=1XqlXB2MiwE1s0xbALhzk0H78fptG6z66&lt;/a&gt;</t>
  </si>
  <si>
    <t>&lt;a href="javascript:openPopupFocus%28%27https%3A%2F%2Fdrive.google.com%2Fopen%3Fid%3D1xZpDjJ57G28Skuve0de-p982q-6hEd6N%27%2C%20%27_blank%27%2C%20620%2C%20430%2C%20%27width%3D620%2Cheight%3D430%2Cresizable%3Dyes%2Ctoolbar%3Dyes%2Cstatus%3Dyes%2Cscrollbars%3Dyes%2Cmenubar%3Dyes%2Cdirectories%3Dyes%2Clocation%3Dyes%2Cdependant%3Dno%27%2C%20false%2C%20true%29%3B" title="https://drive.google.com/open?id=1xZpDjJ57G28Skuve0de-p982q-6hEd6N (Nova janela)"&gt;https://drive.google.com/open?id=1xZpDjJ57G28Skuve0de-p982q-6hEd6N&lt;/a&gt;</t>
  </si>
  <si>
    <t>&lt;a href="javascript:openPopupFocus%28%27https%3A%2F%2Fdrive.google.com%2Fopen%3Fid%3D1asXdqGMyj935SVQwU1liT5wRYOB_5Vp7%27%2C%20%27_blank%27%2C%20620%2C%20430%2C%20%27width%3D620%2Cheight%3D430%2Cresizable%3Dyes%2Ctoolbar%3Dyes%2Cstatus%3Dyes%2Cscrollbars%3Dyes%2Cmenubar%3Dyes%2Cdirectories%3Dyes%2Clocation%3Dyes%2Cdependant%3Dno%27%2C%20false%2C%20true%29%3B" title="https://drive.google.com/open?id=1asXdqGMyj935SVQwU1liT5wRYOB_5Vp7 (Nova janela)"&gt;https://drive.google.com/open?id=1asXdqGMyj935SVQwU1liT5wRYOB_5Vp7&lt;/a&gt;</t>
  </si>
  <si>
    <t>&lt;a href="javascript:openPopupFocus%28%27https%3A%2F%2Fdrive.google.com%2Fopen%3Fid%3D1JXOrzJ31JCfvSJuz-tCMWgJPRBTqwqtB%27%2C%20%27_blank%27%2C%20620%2C%20430%2C%20%27width%3D620%2Cheight%3D430%2Cresizable%3Dyes%2Ctoolbar%3Dyes%2Cstatus%3Dyes%2Cscrollbars%3Dyes%2Cmenubar%3Dyes%2Cdirectories%3Dyes%2Clocation%3Dyes%2Cdependant%3Dno%27%2C%20false%2C%20true%29%3B" title="https://drive.google.com/open?id=1JXOrzJ31JCfvSJuz-tCMWgJPRBTqwqtB (Nova janela)"&gt;https://drive.google.com/open?id=1JXOrzJ31JCfvSJuz-tCMWgJPRBTqwqtB&lt;/a&gt;</t>
  </si>
  <si>
    <t>0014P00003AN2Fg</t>
  </si>
  <si>
    <t>ASSOCIAÇÃO ZEIZA DOJO</t>
  </si>
  <si>
    <t>ZEIZA DOJO</t>
  </si>
  <si>
    <t>24.313.258/0001-06</t>
  </si>
  <si>
    <t>Zeiza Matildes Da Silva</t>
  </si>
  <si>
    <t>zeizadojo@gmail.com</t>
  </si>
  <si>
    <t>(34)9123-3535</t>
  </si>
  <si>
    <t>RUA GRACIANO FARIA ARANTES</t>
  </si>
  <si>
    <t>GRANADA</t>
  </si>
  <si>
    <t>AVENIDA ABADIO BONIFÁCIO DA SILVA 493 GRANADA CEP 38410130</t>
  </si>
  <si>
    <t>["Crianças (6 a 12 anos)","Crianças pequenas (4 anos a 5 anos e 11 meses)","Adolescentes (12 aos 18 anos)","Crianças bem pequenas (1 ano e 7 meses até 3 anos e 11 meses)","Bebês (0 a 1 ano e 6 meses)"]</t>
  </si>
  <si>
    <t>Pessoas com deficiências</t>
  </si>
  <si>
    <t>Sim. Assentamento Maná Assentamento Glória Assentamento do Shopping Park Assentamento Tocantins.</t>
  </si>
  <si>
    <t>NOSSO PÚBLICO EM SUA GRANDE MAIORIA SÃO PESSOAS COM TRANSTORNO DO ESPECTRO AUTISTA</t>
  </si>
  <si>
    <t>["Lei de Incentivo","Eventos/Ações para captação","Plataforma doação online  Pessoa Física","Editais","Outra opção"]</t>
  </si>
  <si>
    <t>57% MP 34% Editais 9% Eventos/ações</t>
  </si>
  <si>
    <t>&lt;a href="javascript:openPopupFocus%28%27http%3A%2F%2Fwww.zeizadojo.org.br%27%2C%20%27_blank%27%2C%20620%2C%20430%2C%20%27width%3D620%2Cheight%3D430%2Cresizable%3Dyes%2Ctoolbar%3Dyes%2Cstatus%3Dyes%2Cscrollbars%3Dyes%2Cmenubar%3Dyes%2Cdirectories%3Dyes%2Clocation%3Dyes%2Cdependant%3Dno%27%2C%20false%2C%20true%29%3B" title="http://www.zeizadojo.org.br (Nova janela)"&gt;http://www.zeizadojo.org.br&lt;/a&gt;</t>
  </si>
  <si>
    <t>&lt;a href="javascript:openPopupFocus%28%27https%3A%2F%2Fwww.linkedin.com%2Fin%2Fzeiza-matildes-840235155%2F%27%2C%20%27_blank%27%2C%20620%2C%20430%2C%20%27width%3D620%2Cheight%3D430%2Cresizable%3Dyes%2Ctoolbar%3Dyes%2Cstatus%3Dyes%2Cscrollbars%3Dyes%2Cmenubar%3Dyes%2Cdirectories%3Dyes%2Clocation%3Dyes%2Cdependant%3Dno%27%2C%20false%2C%20true%29%3B" title="https://www.linkedin.com/in/zeiza-matildes-840235155/ (Nova janela)"&gt;https://www.linkedin.com/in/zeiza-matildes-840235155/&lt;/a&gt;</t>
  </si>
  <si>
    <t>&lt;a href="javascript:openPopupFocus%28%27https%3A%2F%2Fwww.facebook%2Fzeizadojo%27%2C%20%27_blank%27%2C%20620%2C%20430%2C%20%27width%3D620%2Cheight%3D430%2Cresizable%3Dyes%2Ctoolbar%3Dyes%2Cstatus%3Dyes%2Cscrollbars%3Dyes%2Cmenubar%3Dyes%2Cdirectories%3Dyes%2Clocation%3Dyes%2Cdependant%3Dno%27%2C%20false%2C%20true%29%3B" title="https://www.facebook/zeizadojo (Nova janela)"&gt;https://www.facebook/zeizadojo&lt;/a&gt;</t>
  </si>
  <si>
    <t>&lt;a href="javascript:openPopupFocus%28%27https%3A%2F%2Fwww.youtube%2Fa%2Fzeizadojo%27%2C%20%27_blank%27%2C%20620%2C%20430%2C%20%27width%3D620%2Cheight%3D430%2Cresizable%3Dyes%2Ctoolbar%3Dyes%2Cstatus%3Dyes%2Cscrollbars%3Dyes%2Cmenubar%3Dyes%2Cdirectories%3Dyes%2Clocation%3Dyes%2Cdependant%3Dno%27%2C%20false%2C%20true%29%3B" title="https://www.youtube/a/zeizadojo (Nova janela)"&gt;https://www.youtube/a/zeizadojo&lt;/a&gt;</t>
  </si>
  <si>
    <t>https://www.instagram.zeizadojo</t>
  </si>
  <si>
    <t>&lt;a href="javascript:openPopupFocus%28%27https%3A%2F%2Fdrive.google.com%2Fopen%3Fid%3D1KFCJlxjs48LsE__A2Et3klK6IVhiHycn%27%2C%20%27_blank%27%2C%20620%2C%20430%2C%20%27width%3D620%2Cheight%3D430%2Cresizable%3Dyes%2Ctoolbar%3Dyes%2Cstatus%3Dyes%2Cscrollbars%3Dyes%2Cmenubar%3Dyes%2Cdirectories%3Dyes%2Clocation%3Dyes%2Cdependant%3Dno%27%2C%20false%2C%20true%29%3B" title="https://drive.google.com/open?id=1KFCJlxjs48LsE__A2Et3klK6IVhiHycn (Nova janela)"&gt;https://drive.google.com/open?id=1KFCJlxjs48LsE__A2Et3klK6IVhiHycn&lt;/a&gt;</t>
  </si>
  <si>
    <t>&lt;a href="javascript:openPopupFocus%28%27https%3A%2F%2Fdrive.google.com%2Fopen%3Fid%3D1fFLYBgpHMOnmMryRHjh1drq6dmgYJR10%27%2C%20%27_blank%27%2C%20620%2C%20430%2C%20%27width%3D620%2Cheight%3D430%2Cresizable%3Dyes%2Ctoolbar%3Dyes%2Cstatus%3Dyes%2Cscrollbars%3Dyes%2Cmenubar%3Dyes%2Cdirectories%3Dyes%2Clocation%3Dyes%2Cdependant%3Dno%27%2C%20false%2C%20true%29%3B" title="https://drive.google.com/open?id=1fFLYBgpHMOnmMryRHjh1drq6dmgYJR10 (Nova janela)"&gt;https://drive.google.com/open?id=1fFLYBgpHMOnmMryRHjh1drq6dmgYJR10&lt;/a&gt;</t>
  </si>
  <si>
    <t>&lt;a href="javascript:openPopupFocus%28%27https%3A%2F%2Fdrive.google.com%2Fopen%3Fid%3D1wZ8gVWppI-I6VQy6l445dpFxjsJalovx%27%2C%20%27_blank%27%2C%20620%2C%20430%2C%20%27width%3D620%2Cheight%3D430%2Cresizable%3Dyes%2Ctoolbar%3Dyes%2Cstatus%3Dyes%2Cscrollbars%3Dyes%2Cmenubar%3Dyes%2Cdirectories%3Dyes%2Clocation%3Dyes%2Cdependant%3Dno%27%2C%20false%2C%20true%29%3B" title="https://drive.google.com/open?id=1wZ8gVWppI-I6VQy6l445dpFxjsJalovx (Nova janela)"&gt;https://drive.google.com/open?id=1wZ8gVWppI-I6VQy6l445dpFxjsJalovx&lt;/a&gt;</t>
  </si>
  <si>
    <t>&lt;a href="javascript:openPopupFocus%28%27https%3A%2F%2Fdrive.google.com%2Fopen%3Fid%3D1xGaiSIdHLCF12nQardmh5HrjHafsme-F%27%2C%20%27_blank%27%2C%20620%2C%20430%2C%20%27width%3D620%2Cheight%3D430%2Cresizable%3Dyes%2Ctoolbar%3Dyes%2Cstatus%3Dyes%2Cscrollbars%3Dyes%2Cmenubar%3Dyes%2Cdirectories%3Dyes%2Clocation%3Dyes%2Cdependant%3Dno%27%2C%20false%2C%20true%29%3B" title="https://drive.google.com/open?id=1xGaiSIdHLCF12nQardmh5HrjHafsme-F (Nova janela)"&gt;https://drive.google.com/open?id=1xGaiSIdHLCF12nQardmh5HrjHafsme-F&lt;/a&gt;</t>
  </si>
  <si>
    <t>0014P00003AN2Fh</t>
  </si>
  <si>
    <t>Sociedade Cultural Projeto Luar</t>
  </si>
  <si>
    <t>03.395.393/0001-78</t>
  </si>
  <si>
    <t>Rua La Rouche Foucault</t>
  </si>
  <si>
    <t>Duque de Caixa</t>
  </si>
  <si>
    <t>Atendemos a comunidade de Ana Clara no espaço da Creche Comunitária Santa Clara - Rua Senador Acher s/n - Jardim Balneário Ana Clara</t>
  </si>
  <si>
    <t>["Assistência Social","Cultura"]</t>
  </si>
  <si>
    <t>Moradores de favelas ,Pessoas com deficiência física ,Pessoas com deficiência intelectual,</t>
  </si>
  <si>
    <t>Ana Clara - Divinéia - Campo do Columbia - Parque Chuno- Vila Urusaí - Rasta  e Vila Vital</t>
  </si>
  <si>
    <t>20% doação online - 80% projeto empresa</t>
  </si>
  <si>
    <t>&lt;a href="javascript:openPopupFocus%28%27http%3A%2F%2Fest%C3%A1%20em%20constru%C3%A7%C3%A3o%27%2C%20%27_blank%27%2C%20620%2C%20430%2C%20%27width%3D620%2Cheight%3D430%2Cresizable%3Dyes%2Ctoolbar%3Dyes%2Cstatus%3Dyes%2Cscrollbars%3Dyes%2Cmenubar%3Dyes%2Cdirectories%3Dyes%2Clocation%3Dyes%2Cdependant%3Dno%27%2C%20false%2C%20true%29%3B" title="http://está em construção (Nova janela)"&gt;http://está em construção&lt;/a&gt;</t>
  </si>
  <si>
    <t>face - Projeto luar de Dança  insta @projetoluar</t>
  </si>
  <si>
    <t>0014P00003AN2Fi</t>
  </si>
  <si>
    <t>Projeto Brejal</t>
  </si>
  <si>
    <t>l08.629.859/0001-76???</t>
  </si>
  <si>
    <t>Rua São Vicente</t>
  </si>
  <si>
    <t>Favela da Brejal  carrocinha  15 de março  nova vila  Bom parto</t>
  </si>
  <si>
    <t>São crianças e adolescentes  de alta vulnabilidade social  que na nossa comunidade não temos áreas de lazer que o projeto e o único espaço de convívio comunitário para todos ficamos situado perto do mercado da produção e o trabalho infantil começar desde...</t>
  </si>
  <si>
    <t>Não tivemos estas frentes  pós estávamos ativando o CNPJ e outros documentos.</t>
  </si>
  <si>
    <t>www.instagram.com/projeto.brejal/</t>
  </si>
  <si>
    <t>0014P00003AN2Fw</t>
  </si>
  <si>
    <t>Favela Radical</t>
  </si>
  <si>
    <t>FAVELA RADICAL</t>
  </si>
  <si>
    <t>39.421.031/0001-51</t>
  </si>
  <si>
    <t>favelaradical@gmail.com</t>
  </si>
  <si>
    <t>(21) 99809-9817</t>
  </si>
  <si>
    <t>Rua afonso pena</t>
  </si>
  <si>
    <t>Praia do Arpoador 
Univercidade Estacio ( Rua do Bispo 83 Rio Comprido 20261-063</t>
  </si>
  <si>
    <t>["Esporte","Qualificação Profissional"]</t>
  </si>
  <si>
    <t>["Crianças (6 a 12 anos)","Adolescentes (12 aos 18 anos)","Adultos"]</t>
  </si>
  <si>
    <t>Turano
Paula Ramos 
Fogueteiro
Fallet</t>
  </si>
  <si>
    <t>Plataform doação online 90%  Eventos 10%</t>
  </si>
  <si>
    <t>&lt;a href="javascript:openPopupFocus%28%27https%3A%2F%2Finstagram.com%2Ffavelaradical%3Futm_medium%3Dcopy_link%27%2C%20%27_blank%27%2C%20620%2C%20430%2C%20%27width%3D620%2Cheight%3D430%2Cresizable%3Dyes%2Ctoolbar%3Dyes%2Cstatus%3Dyes%2Cscrollbars%3Dyes%2Cmenubar%3Dyes%2Cdirectories%3Dyes%2Clocation%3Dyes%2Cdependant%3Dno%27%2C%20false%2C%20true%29%3B" title="https://instagram.com/favelaradical?utm_medium=copy_link (Nova janela)"&gt;https://instagram.com/favelaradical?utm_medium=copy_link&lt;/a&gt;</t>
  </si>
  <si>
    <t>&lt;a href="javascript:openPopupFocus%28%27https%3A%2F%2Fwww.facebook.com%2FFRfavelaradical%2F%27%2C%20%27_blank%27%2C%20620%2C%20430%2C%20%27width%3D620%2Cheight%3D430%2Cresizable%3Dyes%2Ctoolbar%3Dyes%2Cstatus%3Dyes%2Cscrollbars%3Dyes%2Cmenubar%3Dyes%2Cdirectories%3Dyes%2Clocation%3Dyes%2Cdependant%3Dno%27%2C%20false%2C%20true%29%3B" title="https://www.facebook.com/FRfavelaradical/ (Nova janela)"&gt;https://www.facebook.com/FRfavelaradical/&lt;/a&gt;</t>
  </si>
  <si>
    <t>https://fb.watch/3p1W-RWP7A/  /   https://www.instagram.com/p/CKwndIohQXR/?igshid=17sqexg6uzxtq</t>
  </si>
  <si>
    <t>0014P00003Ck7X8</t>
  </si>
  <si>
    <t>Instituto Família Chegados</t>
  </si>
  <si>
    <t>Em construção</t>
  </si>
  <si>
    <t>Rua Libania de Lima Croock</t>
  </si>
  <si>
    <t>São Vicente</t>
  </si>
  <si>
    <t>11335-050</t>
  </si>
  <si>
    <t>Moradores de favelas e afrodescendentes</t>
  </si>
  <si>
    <t>Vila Margarida e México 70</t>
  </si>
  <si>
    <t>70% PF e 30%Empresas</t>
  </si>
  <si>
    <t>&lt;a href="javascript:openPopupFocus%28%27http%3A%2F%2Fem%20constru%C3%A7%C3%A3o%27%2C%20%27_blank%27%2C%20620%2C%20430%2C%20%27width%3D620%2Cheight%3D430%2Cresizable%3Dyes%2Ctoolbar%3Dyes%2Cstatus%3Dyes%2Cscrollbars%3Dyes%2Cmenubar%3Dyes%2Cdirectories%3Dyes%2Clocation%3Dyes%2Cdependant%3Dno%27%2C%20false%2C%20true%29%3B" title="http://em construção (Nova janela)"&gt;http://em construção&lt;/a&gt;</t>
  </si>
  <si>
    <t>https://www.facebook.com/coletivochegadxs
https://www.instragram.com/instituto.chegados</t>
  </si>
  <si>
    <t>0014P00003Ck8Nj</t>
  </si>
  <si>
    <t>Instituto Mundo Novo</t>
  </si>
  <si>
    <t>07.031.769/0001-16</t>
  </si>
  <si>
    <t>Rua Adolfo de Albuquerque</t>
  </si>
  <si>
    <t>Mesquita</t>
  </si>
  <si>
    <t>26585-520</t>
  </si>
  <si>
    <t>["Educação","Cultura"]</t>
  </si>
  <si>
    <t>Comunidade da Chatuba</t>
  </si>
  <si>
    <t>0014P00003ESKdl</t>
  </si>
  <si>
    <t>Instituto Sonhe</t>
  </si>
  <si>
    <t>Projeto Novos Sonhos</t>
  </si>
  <si>
    <t>34.775.027/0001-78</t>
  </si>
  <si>
    <t>Alameda Cleveland</t>
  </si>
  <si>
    <t>01218-000</t>
  </si>
  <si>
    <t>Novos Sonhos Sertão de Pernambuco e Novos Sonhos em Curitiba</t>
  </si>
  <si>
    <t>Cracolandia, Bexiga, Praça da Sé, Boqueirão</t>
  </si>
  <si>
    <t>Atendemos famílias da região da Cracolandia, Comunidade do Moinho, Boqueirão, Bexiga, região do centro de SP</t>
  </si>
  <si>
    <t>Doação online 90% e 10% instituições</t>
  </si>
  <si>
    <t>&lt;a href="javascript:openPopupFocus%28%27https%3A%2F%2Fwww.projetonovossonhos.com.br%2F%27%2C%20%27_blank%27%2C%20620%2C%20430%2C%20%27width%3D620%2Cheight%3D430%2Cresizable%3Dyes%2Ctoolbar%3Dyes%2Cstatus%3Dyes%2Cscrollbars%3Dyes%2Cmenubar%3Dyes%2Cdirectories%3Dyes%2Clocation%3Dyes%2Cdependant%3Dno%27%2C%20false%2C%20true%29%3B" title="https://www.projetonovossonhos.com.br/ (Nova janela)"&gt;https://www.projetonovossonhos.com.br/&lt;/a&gt;</t>
  </si>
  <si>
    <t>https://www.facebook.com/projetonovossonhos/ https://www.instagram.com/novos.sonhos/</t>
  </si>
  <si>
    <t>0014P00003I7WH2</t>
  </si>
  <si>
    <t>Instituto PEB _projeto educa basquete</t>
  </si>
  <si>
    <t>Rua Elias thomas S/N</t>
  </si>
  <si>
    <t>S/N</t>
  </si>
  <si>
    <t>Serra</t>
  </si>
  <si>
    <t>29161-026</t>
  </si>
  <si>
    <t>Rua dos colibri S/n
Bairro Eurico Salles
Serra Es
Na associação de moradores</t>
  </si>
  <si>
    <t>["Esporte"]</t>
  </si>
  <si>
    <t>Comunidade de Boa vista</t>
  </si>
  <si>
    <t>90%doadores 10% amigos</t>
  </si>
  <si>
    <t>0014P00003AN2Fk</t>
  </si>
  <si>
    <t>Rede Protagonista</t>
  </si>
  <si>
    <t>Rua Tancredo Neves</t>
  </si>
  <si>
    <t>Vitória</t>
  </si>
  <si>
    <t>Normalmente realizamos nossas atividades de polo cultural esportivo no CMEI e CRAS porém devido a pandemia não não estamos realizando atividades presenciais.</t>
  </si>
  <si>
    <t>["Esporte","Educação","Assistência Social","Cultura","Qualificação Profissional","Empreendedorismo","Saúde","Cidadania e empregabilidade"]</t>
  </si>
  <si>
    <t>Moradores de favelas ,Mulheres Mães. ,</t>
  </si>
  <si>
    <t>Comdusa Conquista Ilha das Caieiras Nova Palestina Redenção Resistência Santo André Santos Reis São José São Pedro Andorinhas Bonfim Da Penha Itararé Joana d'Arc Santa Martha Santos Dumont São Benedito Do Cabral Do Quadro Estrelinha Grande Vitória Inhang...</t>
  </si>
  <si>
    <t>Doação online 30% Negócio social 80%</t>
  </si>
  <si>
    <t>https://instagram.com/redeprotagonistaoficial?igshid=skg89pepcfhr   https://www.facebook.com/RedeProtagonista/?view_public_for=453917532039098</t>
  </si>
  <si>
    <t>0014P00003AN2Fl</t>
  </si>
  <si>
    <t>Associação Cultural Educacional e Esportiva Na Ponta dos Pés</t>
  </si>
  <si>
    <t>NA PONTA DOS PÉS</t>
  </si>
  <si>
    <t>40.653.539/0001-64</t>
  </si>
  <si>
    <t>balletnapontadospes@gmail.com</t>
  </si>
  <si>
    <t>(21) 97522-8269</t>
  </si>
  <si>
    <t>Rua Régio</t>
  </si>
  <si>
    <t>não temos.</t>
  </si>
  <si>
    <t>Moradores de favelas ,Opção 9,Afrodescententes ,</t>
  </si>
  <si>
    <t>Morro do Adeus - Complexo do Alemão.</t>
  </si>
  <si>
    <t>Não temos unidades em outras comunidades mas tenho alunos oriundos de outros favelas como Manguinhos Cruzeiro e Morro do Tuiuti</t>
  </si>
  <si>
    <t>Em processo</t>
  </si>
  <si>
    <t>60% doação Online e 40% ações</t>
  </si>
  <si>
    <t>&lt;a href="javascript:openPopupFocus%28%27https%3A%2F%2Fwww.napontadospes.com.br%2F%27%2C%20%27_blank%27%2C%20620%2C%20430%2C%20%27width%3D620%2Cheight%3D430%2Cresizable%3Dyes%2Ctoolbar%3Dyes%2Cstatus%3Dyes%2Cscrollbars%3Dyes%2Cmenubar%3Dyes%2Cdirectories%3Dyes%2Clocation%3Dyes%2Cdependant%3Dno%27%2C%20false%2C%20true%29%3B" title="https://www.napontadospes.com.br/ (Nova janela)"&gt;https://www.napontadospes.com.br/&lt;/a&gt;</t>
  </si>
  <si>
    <t>&lt;a href="javascript:openPopupFocus%28%27https%3A%2F%2Fwww.instagram.com%2Fprojetonapontadospes%2F%3Fhl%3Dpt-br%27%2C%20%27_blank%27%2C%20620%2C%20430%2C%20%27width%3D620%2Cheight%3D430%2Cresizable%3Dyes%2Ctoolbar%3Dyes%2Cstatus%3Dyes%2Cscrollbars%3Dyes%2Cmenubar%3Dyes%2Cdirectories%3Dyes%2Clocation%3Dyes%2Cdependant%3Dno%27%2C%20false%2C%20true%29%3B" title="https://www.instagram.com/projetonapontadospes/?hl=pt-br (Nova janela)"&gt;https://www.instagram.com/projetonapontadospes/?hl=pt-br&lt;/a&gt;</t>
  </si>
  <si>
    <t>&lt;a href="javascript:openPopupFocus%28%27https%3A%2F%2Fwww.facebook.com%2Fballetpnapontadospes%27%2C%20%27_blank%27%2C%20620%2C%20430%2C%20%27width%3D620%2Cheight%3D430%2Cresizable%3Dyes%2Ctoolbar%3Dyes%2Cstatus%3Dyes%2Cscrollbars%3Dyes%2Cmenubar%3Dyes%2Cdirectories%3Dyes%2Clocation%3Dyes%2Cdependant%3Dno%27%2C%20false%2C%20true%29%3B" title="https://www.facebook.com/balletpnapontadospes (Nova janela)"&gt;https://www.facebook.com/balletpnapontadospes&lt;/a&gt;</t>
  </si>
  <si>
    <t>https://www.instagram.com/projetonapontadospes/</t>
  </si>
  <si>
    <t>0014P00003AN2Fm</t>
  </si>
  <si>
    <t>Grupo Anjos da Tia Stellinha</t>
  </si>
  <si>
    <t>ANJOS DA TIA STELLINHA</t>
  </si>
  <si>
    <t>27.481.838/0001-09</t>
  </si>
  <si>
    <t>direcao@grupoanjosdatiastellinha.org.br</t>
  </si>
  <si>
    <t>2(1) 96820-9843</t>
  </si>
  <si>
    <t>Avenida Engenheiro Richard</t>
  </si>
  <si>
    <t>["Educação","Assistência Social","Qualificação Profissional","Empreendedorismo","Terapia"]</t>
  </si>
  <si>
    <t>Moradores de favelas ,População LGBTI,Afrodescententes ,Dependentes químicos ,</t>
  </si>
  <si>
    <t>Morro dos Macacos</t>
  </si>
  <si>
    <t>Famílias com a mulher como a chefe de família e seus filhos</t>
  </si>
  <si>
    <t>&lt;a href="javascript:openPopupFocus%28%27https%3A%2F%2Fwww.grupoanjosdatiastellinha.org.br%27%2C%20%27_blank%27%2C%20620%2C%20430%2C%20%27width%3D620%2Cheight%3D430%2Cresizable%3Dyes%2Ctoolbar%3Dyes%2Cstatus%3Dyes%2Cscrollbars%3Dyes%2Cmenubar%3Dyes%2Cdirectories%3Dyes%2Clocation%3Dyes%2Cdependant%3Dno%27%2C%20false%2C%20true%29%3B" title="https://www.grupoanjosdatiastellinha.org.br (Nova janela)"&gt;https://www.grupoanjosdatiastellinha.org.br&lt;/a&gt;</t>
  </si>
  <si>
    <t>&lt;a href="javascript:openPopupFocus%28%27https%3A%2F%2Fwww.instagram.com%2Fanjosdatiastellinha%2F%27%2C%20%27_blank%27%2C%20620%2C%20430%2C%20%27width%3D620%2Cheight%3D430%2Cresizable%3Dyes%2Ctoolbar%3Dyes%2Cstatus%3Dyes%2Cscrollbars%3Dyes%2Cmenubar%3Dyes%2Cdirectories%3Dyes%2Clocation%3Dyes%2Cdependant%3Dno%27%2C%20false%2C%20true%29%3B" title="https://www.instagram.com/anjosdatiastellinha/ (Nova janela)"&gt;https://www.instagram.com/anjosdatiastellinha/&lt;/a&gt;</t>
  </si>
  <si>
    <t>&lt;a href="javascript:openPopupFocus%28%27https%3A%2F%2Fwww.facebook.com%2Fanjosdatiastellinha%27%2C%20%27_blank%27%2C%20620%2C%20430%2C%20%27width%3D620%2Cheight%3D430%2Cresizable%3Dyes%2Ctoolbar%3Dyes%2Cstatus%3Dyes%2Cscrollbars%3Dyes%2Cmenubar%3Dyes%2Cdirectories%3Dyes%2Clocation%3Dyes%2Cdependant%3Dno%27%2C%20false%2C%20true%29%3B" title="https://www.facebook.com/anjosdatiastellinha (Nova janela)"&gt;https://www.facebook.com/anjosdatiastellinha&lt;/a&gt;</t>
  </si>
  <si>
    <t>&lt;a href="javascript:openPopupFocus%28%27https%3A%2F%2Fwww.youtube.com%2Fwatch%3Fv%3DMHGhJVArJz8%27%2C%20%27_blank%27%2C%20620%2C%20430%2C%20%27width%3D620%2Cheight%3D430%2Cresizable%3Dyes%2Ctoolbar%3Dyes%2Cstatus%3Dyes%2Cscrollbars%3Dyes%2Cmenubar%3Dyes%2Cdirectories%3Dyes%2Clocation%3Dyes%2Cdependant%3Dno%27%2C%20false%2C%20true%29%3B" title="https://www.youtube.com/watch?v=MHGhJVArJz8 (Nova janela)"&gt;https://www.youtube.com/watch?v=MHGhJVArJz8&lt;/a&gt;</t>
  </si>
  <si>
    <t>www.facebook/anjosdatiastellinha  www.instagram/anjosdatiastellinha</t>
  </si>
  <si>
    <t>0014P00003AN2Fn</t>
  </si>
  <si>
    <t>Vozes das Periferias</t>
  </si>
  <si>
    <t>VOZES DAS PERIFERIAS</t>
  </si>
  <si>
    <t>35.896.674/0001-09</t>
  </si>
  <si>
    <t>cesar@vozesdasperiferias.com</t>
  </si>
  <si>
    <t>(11) 4304-4305</t>
  </si>
  <si>
    <t>Rua Paraibuna</t>
  </si>
  <si>
    <t>Favela da Vila Prudente Favela Ilha das Cobras Favela Morro do Peu Favela da Estação Favela da Viela Favela do Jd. D. Sinhá</t>
  </si>
  <si>
    <t>&lt;a href="javascript:openPopupFocus%28%27https%3A%2F%2Fwww.vozesdasperiferias.com%27%2C%20%27_blank%27%2C%20620%2C%20430%2C%20%27width%3D620%2Cheight%3D430%2Cresizable%3Dyes%2Ctoolbar%3Dyes%2Cstatus%3Dyes%2Cscrollbars%3Dyes%2Cmenubar%3Dyes%2Cdirectories%3Dyes%2Clocation%3Dyes%2Cdependant%3Dno%27%2C%20false%2C%20true%29%3B" title="https://www.vozesdasperiferias.com (Nova janela)"&gt;https://www.vozesdasperiferias.com&lt;/a&gt;</t>
  </si>
  <si>
    <t>&lt;a href="javascript:openPopupFocus%28%27https%3A%2F%2Fwww.instagram.com%2Fvozesdasperiferias%2F%27%2C%20%27_blank%27%2C%20620%2C%20430%2C%20%27width%3D620%2Cheight%3D430%2Cresizable%3Dyes%2Ctoolbar%3Dyes%2Cstatus%3Dyes%2Cscrollbars%3Dyes%2Cmenubar%3Dyes%2Cdirectories%3Dyes%2Clocation%3Dyes%2Cdependant%3Dno%27%2C%20false%2C%20true%29%3B" title="https://www.instagram.com/vozesdasperiferias/ (Nova janela)"&gt;https://www.instagram.com/vozesdasperiferias/&lt;/a&gt;</t>
  </si>
  <si>
    <t>&lt;a href="javascript:openPopupFocus%28%27https%3A%2F%2Fwww.facebook.com%2Fvozesdasperiferias%2F%27%2C%20%27_blank%27%2C%20620%2C%20430%2C%20%27width%3D620%2Cheight%3D430%2Cresizable%3Dyes%2Ctoolbar%3Dyes%2Cstatus%3Dyes%2Cscrollbars%3Dyes%2Cmenubar%3Dyes%2Cdirectories%3Dyes%2Clocation%3Dyes%2Cdependant%3Dno%27%2C%20false%2C%20true%29%3B" title="https://www.facebook.com/vozesdasperiferias/ (Nova janela)"&gt;https://www.facebook.com/vozesdasperiferias/&lt;/a&gt;</t>
  </si>
  <si>
    <t>&lt;a href="javascript:openPopupFocus%28%27https%3A%2F%2Fwww.youtube.com%2Fchannel%2FUC9L6Xo2QvdboSdyYcgAeFAA%27%2C%20%27_blank%27%2C%20620%2C%20430%2C%20%27width%3D620%2Cheight%3D430%2Cresizable%3Dyes%2Ctoolbar%3Dyes%2Cstatus%3Dyes%2Cscrollbars%3Dyes%2Cmenubar%3Dyes%2Cdirectories%3Dyes%2Clocation%3Dyes%2Cdependant%3Dno%27%2C%20false%2C%20true%29%3B" title="https://www.youtube.com/channel/UC9L6Xo2QvdboSdyYcgAeFAA (Nova janela)"&gt;https://www.youtube.com/channel/UC9L6Xo2QvdboSdyYcgAeFAA&lt;/a&gt;</t>
  </si>
  <si>
    <t>Facebook: Vozes das Periferias - Vila Prudente | Instagram: @vozesdasperiferias | Twitter: @ivpttr | LinkedIn: Instituto Vozes das Periferias | TikTok: vozesdasperiferias | YouTube: Vozes das Periferias</t>
  </si>
  <si>
    <t>0014P00003AN2Fo</t>
  </si>
  <si>
    <t>Organização Novos Herdeiros Humanísticos</t>
  </si>
  <si>
    <t>NOVOS HERDEIROS</t>
  </si>
  <si>
    <t>05.809.335/0001-79</t>
  </si>
  <si>
    <t>marcelo@novosherdeiros.com.br</t>
  </si>
  <si>
    <t>Rua Mario Grazini</t>
  </si>
  <si>
    <t>Praça Largo da Santa Angela - Vila Moraes - Sao Paulo SP
Praça Ceslestino Vidal - Rua Celestino Vidal s/n - Jardim Climax - São Paulo SP</t>
  </si>
  <si>
    <t>Favela do Bronx - Na Vila Moraes São Paulo SP
Favela da Monsenhor - No Jardim Climax 
Comunidade Agua Funda</t>
  </si>
  <si>
    <t>Na comunidade da Agua Funda temos um grande numero de familias vulneráveis mas não temos casas de madeira são Conjunto de Becos e Casas ( Cinga Pura )</t>
  </si>
  <si>
    <t>Doação Online 20%  - Doação de voluntários e parceiros 70%  - Eventos 10%</t>
  </si>
  <si>
    <t>&lt;a href="javascript:openPopupFocus%28%27https%3A%2F%2Fnovosherdeiros.com.br%2F%27%2C%20%27_blank%27%2C%20620%2C%20430%2C%20%27width%3D620%2Cheight%3D430%2Cresizable%3Dyes%2Ctoolbar%3Dyes%2Cstatus%3Dyes%2Cscrollbars%3Dyes%2Cmenubar%3Dyes%2Cdirectories%3Dyes%2Clocation%3Dyes%2Cdependant%3Dno%27%2C%20false%2C%20true%29%3B" title="https://novosherdeiros.com.br/ (Nova janela)"&gt;https://novosherdeiros.com.br/&lt;/a&gt;</t>
  </si>
  <si>
    <t>&lt;a href="javascript:openPopupFocus%28%27https%3A%2F%2Fwww.instagram.com%2Fong.novosherdeiros%2F%3Futm_medium%3Dcopy_link%27%2C%20%27_blank%27%2C%20620%2C%20430%2C%20%27width%3D620%2Cheight%3D430%2Cresizable%3Dyes%2Ctoolbar%3Dyes%2Cstatus%3Dyes%2Cscrollbars%3Dyes%2Cmenubar%3Dyes%2Cdirectories%3Dyes%2Clocation%3Dyes%2Cdependant%3Dno%27%2C%20false%2C%20true%29%3B" title="https://www.instagram.com/ong.novosherdeiros/?utm_medium=copy_link (Nova janela)"&gt;https://www.instagram.com/ong.novosherdeiros/?utm_medium=copy_link&lt;/a&gt;</t>
  </si>
  <si>
    <t>&lt;a href="javascript:openPopupFocus%28%27https%3A%2F%2Fwww.facebook.com%2Fong.novosherdeiros%2F%27%2C%20%27_blank%27%2C%20620%2C%20430%2C%20%27width%3D620%2Cheight%3D430%2Cresizable%3Dyes%2Ctoolbar%3Dyes%2Cstatus%3Dyes%2Cscrollbars%3Dyes%2Cmenubar%3Dyes%2Cdirectories%3Dyes%2Clocation%3Dyes%2Cdependant%3Dno%27%2C%20false%2C%20true%29%3B" title="https://www.facebook.com/ong.novosherdeiros/ (Nova janela)"&gt;https://www.facebook.com/ong.novosherdeiros/&lt;/a&gt;</t>
  </si>
  <si>
    <t>0014P00003AN2Fp</t>
  </si>
  <si>
    <t>Fortini Investimento Social</t>
  </si>
  <si>
    <t>FORTINI</t>
  </si>
  <si>
    <t>26.628.632/0001-98</t>
  </si>
  <si>
    <t>maiara@fortini.org.br</t>
  </si>
  <si>
    <t>(31) 99850-4420</t>
  </si>
  <si>
    <t>Avenida Rio Negro</t>
  </si>
  <si>
    <t>Academia Tennis Hall
E. M. Carlos Drummond de Andrade
E. E. Padre Camargos
E. M. Heitor Villa Lobos</t>
  </si>
  <si>
    <t>Estudantes de escolas públicas parceiras localizadas na Região Metropolitana de Belo Horizonte</t>
  </si>
  <si>
    <t>&lt;a href="javascript:openPopupFocus%28%27https%3A%2F%2Fwww.fortini.org.br%27%2C%20%27_blank%27%2C%20620%2C%20430%2C%20%27width%3D620%2Cheight%3D430%2Cresizable%3Dyes%2Ctoolbar%3Dyes%2Cstatus%3Dyes%2Cscrollbars%3Dyes%2Cmenubar%3Dyes%2Cdirectories%3Dyes%2Clocation%3Dyes%2Cdependant%3Dno%27%2C%20false%2C%20true%29%3B" title="https://www.fortini.org.br (Nova janela)"&gt;https://www.fortini.org.br&lt;/a&gt;</t>
  </si>
  <si>
    <t>&lt;a href="javascript:openPopupFocus%28%27http%3A%2F%2FFortini%20-%20Investimento%20Social%20-%20YouTube%27%2C%20%27_blank%27%2C%20620%2C%20430%2C%20%27width%3D620%2Cheight%3D430%2Cresizable%3Dyes%2Ctoolbar%3Dyes%2Cstatus%3Dyes%2Cscrollbars%3Dyes%2Cmenubar%3Dyes%2Cdirectories%3Dyes%2Clocation%3Dyes%2Cdependant%3Dno%27%2C%20false%2C%20true%29%3B" title="http://Fortini - Investimento Social - YouTube (Nova janela)"&gt;http://Fortini - Investimento Social - YouTube&lt;/a&gt;</t>
  </si>
  <si>
    <t>@fortinisocial</t>
  </si>
  <si>
    <t>0014P00003AN2Fq</t>
  </si>
  <si>
    <t>Instituto As Valquirias</t>
  </si>
  <si>
    <t>AS VALQUÍRIAS</t>
  </si>
  <si>
    <t>29.106.314/0001-55</t>
  </si>
  <si>
    <t>amandaoliveiraes@gmail.com</t>
  </si>
  <si>
    <t>(17) 991512686</t>
  </si>
  <si>
    <t>Pachoal Decrescenzo</t>
  </si>
  <si>
    <t>São José do Rio Preto</t>
  </si>
  <si>
    <t>Moradores de favelas ,Afrodescententes ,Pessoas em situação de rua,</t>
  </si>
  <si>
    <t>Vila Itália  Jardim Paraiso  Eldorado  Jardim Itapema  Cidadania  Vale do Sol</t>
  </si>
  <si>
    <t>Meninas e Mulheres</t>
  </si>
  <si>
    <t>Negócio social 15% convênio público 35% Projetos específicos 20%</t>
  </si>
  <si>
    <t>&lt;a href="javascript:openPopupFocus%28%27http%3A%2F%2Finstitutoasvalquirias.com.br%2F%27%2C%20%27_blank%27%2C%20620%2C%20430%2C%20%27width%3D620%2Cheight%3D430%2Cresizable%3Dyes%2Ctoolbar%3Dyes%2Cstatus%3Dyes%2Cscrollbars%3Dyes%2Cmenubar%3Dyes%2Cdirectories%3Dyes%2Clocation%3Dyes%2Cdependant%3Dno%27%2C%20false%2C%20true%29%3B" title="http://institutoasvalquirias.com.br/ (Nova janela)"&gt;http://institutoasvalquirias.com.br/&lt;/a&gt;</t>
  </si>
  <si>
    <t>&lt;a href="javascript:openPopupFocus%28%27https%3A%2F%2Fwww.instagram.com%2Finstitutoasvalquirias%2F%27%2C%20%27_blank%27%2C%20620%2C%20430%2C%20%27width%3D620%2Cheight%3D430%2Cresizable%3Dyes%2Ctoolbar%3Dyes%2Cstatus%3Dyes%2Cscrollbars%3Dyes%2Cmenubar%3Dyes%2Cdirectories%3Dyes%2Clocation%3Dyes%2Cdependant%3Dno%27%2C%20false%2C%20true%29%3B" title="https://www.instagram.com/institutoasvalquirias/ (Nova janela)"&gt;https://www.instagram.com/institutoasvalquirias/&lt;/a&gt;</t>
  </si>
  <si>
    <t>&lt;a href="javascript:openPopupFocus%28%27https%3A%2F%2Fwww.facebook.com%2FMandinhaOliveiraeInstitutoAsValquirias%2F%27%2C%20%27_blank%27%2C%20620%2C%20430%2C%20%27width%3D620%2Cheight%3D430%2Cresizable%3Dyes%2Ctoolbar%3Dyes%2Cstatus%3Dyes%2Cscrollbars%3Dyes%2Cmenubar%3Dyes%2Cdirectories%3Dyes%2Clocation%3Dyes%2Cdependant%3Dno%27%2C%20false%2C%20true%29%3B" title="https://www.facebook.com/MandinhaOliveiraeInstitutoAsValquirias/ (Nova janela)"&gt;https://www.facebook.com/MandinhaOliveiraeInstitutoAsValquirias/&lt;/a&gt;</t>
  </si>
  <si>
    <t>&lt;a href="javascript:openPopupFocus%28%27https%3A%2F%2Fyoutube.com%2Fc%2FAsValqu%25C3%25ADrias%27%2C%20%27_blank%27%2C%20620%2C%20430%2C%20%27width%3D620%2Cheight%3D430%2Cresizable%3Dyes%2Ctoolbar%3Dyes%2Cstatus%3Dyes%2Cscrollbars%3Dyes%2Cmenubar%3Dyes%2Cdirectories%3Dyes%2Clocation%3Dyes%2Cdependant%3Dno%27%2C%20false%2C%20true%29%3B" title="https://youtube.com/c/AsValqu%C3%ADrias (Nova janela)"&gt;https://youtube.com/c/AsValqu%C3%ADrias&lt;/a&gt;</t>
  </si>
  <si>
    <t>@institutoasvalquirias</t>
  </si>
  <si>
    <t>0014P00003AN2Fs</t>
  </si>
  <si>
    <t>Instituto Sonhar Alto</t>
  </si>
  <si>
    <t>SONHAR ALTO</t>
  </si>
  <si>
    <t>36.724.182/0001-90</t>
  </si>
  <si>
    <t>odilon@institutosonharalto.org</t>
  </si>
  <si>
    <t>(11) 4963-2842</t>
  </si>
  <si>
    <t>Rua Igarapava</t>
  </si>
  <si>
    <t>Guarulhos</t>
  </si>
  <si>
    <t>Rua Solonópoles 124 Pq. Uirapuru</t>
  </si>
  <si>
    <t>["05 a 17 anos"]</t>
  </si>
  <si>
    <t>Favela da Parambu  25 Marmelopolis e Uirapuru</t>
  </si>
  <si>
    <t>Doação on line 50% e Negócio social 50%</t>
  </si>
  <si>
    <t>&lt;a href="javascript:openPopupFocus%28%27http%3A%2F%2Fsonharalto.tilda.ws%2F%27%2C%20%27_blank%27%2C%20620%2C%20430%2C%20%27width%3D620%2Cheight%3D430%2Cresizable%3Dyes%2Ctoolbar%3Dyes%2Cstatus%3Dyes%2Cscrollbars%3Dyes%2Cmenubar%3Dyes%2Cdirectories%3Dyes%2Clocation%3Dyes%2Cdependant%3Dno%27%2C%20false%2C%20true%29%3B" title="http://sonharalto.tilda.ws/ (Nova janela)"&gt;http://sonharalto.tilda.ws/&lt;/a&gt;</t>
  </si>
  <si>
    <t>&lt;a href="javascript:openPopupFocus%28%27https%3A%2F%2Fwww.instagram.com%2Finstitutosonharalto%2F%27%2C%20%27_blank%27%2C%20620%2C%20430%2C%20%27width%3D620%2Cheight%3D430%2Cresizable%3Dyes%2Ctoolbar%3Dyes%2Cstatus%3Dyes%2Cscrollbars%3Dyes%2Cmenubar%3Dyes%2Cdirectories%3Dyes%2Clocation%3Dyes%2Cdependant%3Dno%27%2C%20false%2C%20true%29%3B" title="https://www.instagram.com/institutosonharalto/ (Nova janela)"&gt;https://www.instagram.com/institutosonharalto/&lt;/a&gt;</t>
  </si>
  <si>
    <t>&lt;a href="javascript:openPopupFocus%28%27https%3A%2F%2Fwww.facebook.com%2Finstitutosonharalto%27%2C%20%27_blank%27%2C%20620%2C%20430%2C%20%27width%3D620%2Cheight%3D430%2Cresizable%3Dyes%2Ctoolbar%3Dyes%2Cstatus%3Dyes%2Cscrollbars%3Dyes%2Cmenubar%3Dyes%2Cdirectories%3Dyes%2Clocation%3Dyes%2Cdependant%3Dno%27%2C%20false%2C%20true%29%3B" title="https://www.facebook.com/institutosonharalto (Nova janela)"&gt;https://www.facebook.com/institutosonharalto&lt;/a&gt;</t>
  </si>
  <si>
    <t>&lt;a href="javascript:openPopupFocus%28%27https%3A%2F%2Fwww.youtube.com%2Fchannel%2FUCzg40-6_j8_-O3lbFPjN68A%2Ffeatured%27%2C%20%27_blank%27%2C%20620%2C%20430%2C%20%27width%3D620%2Cheight%3D430%2Cresizable%3Dyes%2Ctoolbar%3Dyes%2Cstatus%3Dyes%2Cscrollbars%3Dyes%2Cmenubar%3Dyes%2Cdirectories%3Dyes%2Clocation%3Dyes%2Cdependant%3Dno%27%2C%20false%2C%20true%29%3B" title="https://www.youtube.com/channel/UCzg40-6_j8_-O3lbFPjN68A/featured (Nova janela)"&gt;https://www.youtube.com/channel/UCzg40-6_j8_-O3lbFPjN68A/featured&lt;/a&gt;</t>
  </si>
  <si>
    <t>https://instagram.com/institutosonharalto?igshid=cmfcehfrlrk4</t>
  </si>
  <si>
    <t>0014P00003AN2Ft</t>
  </si>
  <si>
    <t>Pensando Bem</t>
  </si>
  <si>
    <t>PENSANDO BEM</t>
  </si>
  <si>
    <t>39.928.464/0001-06</t>
  </si>
  <si>
    <t>ruteniodesign@gmail.com</t>
  </si>
  <si>
    <t>(85) 99647-5736</t>
  </si>
  <si>
    <t>Rua Rosinha Sampaio</t>
  </si>
  <si>
    <t>Polo esportivo e educacional 
Travessa Arthur Borges 55 G - Vila Velha</t>
  </si>
  <si>
    <t>Moradores de favelas ,Pessoas com deficiência intelectual,</t>
  </si>
  <si>
    <t>Inferninho ilha dourada e padre andrade</t>
  </si>
  <si>
    <t>Doação online 70% Doação online 30%</t>
  </si>
  <si>
    <t>&lt;a href="javascript:openPopupFocus%28%27https%3A%2F%2Fpensandobem.org%27%2C%20%27_blank%27%2C%20620%2C%20430%2C%20%27width%3D620%2Cheight%3D430%2Cresizable%3Dyes%2Ctoolbar%3Dyes%2Cstatus%3Dyes%2Cscrollbars%3Dyes%2Cmenubar%3Dyes%2Cdirectories%3Dyes%2Clocation%3Dyes%2Cdependant%3Dno%27%2C%20false%2C%20true%29%3B" title="https://pensandobem.org (Nova janela)"&gt;https://pensandobem.org&lt;/a&gt;</t>
  </si>
  <si>
    <t>&lt;a href="javascript:openPopupFocus%28%27https%3A%2F%2Fwww.instagram.com%2Fpensandobemof%2F%27%2C%20%27_blank%27%2C%20620%2C%20430%2C%20%27width%3D620%2Cheight%3D430%2Cresizable%3Dyes%2Ctoolbar%3Dyes%2Cstatus%3Dyes%2Cscrollbars%3Dyes%2Cmenubar%3Dyes%2Cdirectories%3Dyes%2Clocation%3Dyes%2Cdependant%3Dno%27%2C%20false%2C%20true%29%3B" title="https://www.instagram.com/pensandobemof/ (Nova janela)"&gt;https://www.instagram.com/pensandobemof/&lt;/a&gt;</t>
  </si>
  <si>
    <t>&lt;a href="javascript:openPopupFocus%28%27https%3A%2F%2Fwww.facebook.com%2Finstitutopensandobem%27%2C%20%27_blank%27%2C%20620%2C%20430%2C%20%27width%3D620%2Cheight%3D430%2Cresizable%3Dyes%2Ctoolbar%3Dyes%2Cstatus%3Dyes%2Cscrollbars%3Dyes%2Cmenubar%3Dyes%2Cdirectories%3Dyes%2Clocation%3Dyes%2Cdependant%3Dno%27%2C%20false%2C%20true%29%3B" title="https://www.facebook.com/institutopensandobem (Nova janela)"&gt;https://www.facebook.com/institutopensandobem&lt;/a&gt;</t>
  </si>
  <si>
    <t>&lt;a href="javascript:openPopupFocus%28%27https%3A%2F%2Fwww.youtube.com%2Fchannel%2FUCLzE3HXHsjQHyEazBWbuWNw%27%2C%20%27_blank%27%2C%20620%2C%20430%2C%20%27width%3D620%2Cheight%3D430%2Cresizable%3Dyes%2Ctoolbar%3Dyes%2Cstatus%3Dyes%2Cscrollbars%3Dyes%2Cmenubar%3Dyes%2Cdirectories%3Dyes%2Clocation%3Dyes%2Cdependant%3Dno%27%2C%20false%2C%20true%29%3B" title="https://www.youtube.com/channel/UCLzE3HXHsjQHyEazBWbuWNw (Nova janela)"&gt;https://www.youtube.com/channel/UCLzE3HXHsjQHyEazBWbuWNw&lt;/a&gt;</t>
  </si>
  <si>
    <t>https://www.instagram.com/pensandobemof/</t>
  </si>
  <si>
    <t>0014P00003AN2Fu</t>
  </si>
  <si>
    <t>Instituto Entre o Céu e a Favela para Arte  Educação e Cidadania</t>
  </si>
  <si>
    <t>ENTRE O CÉU E A FAVELA</t>
  </si>
  <si>
    <t>38.034.737/0001-06</t>
  </si>
  <si>
    <t>cintiasantanna.rc@gmail.com</t>
  </si>
  <si>
    <t>(21) 99032-5749</t>
  </si>
  <si>
    <t>Ladeira do Faria</t>
  </si>
  <si>
    <t>Quadra da Brinks -Ladeira do Faria nº67</t>
  </si>
  <si>
    <t>["Esporte","Cultura","Qualificação Profissional","Empreendedorismo"]</t>
  </si>
  <si>
    <t>["Crianças (6 a 12 anos)","Adultos","Jovens (18 aos 24 anos)"]</t>
  </si>
  <si>
    <t>Morro da providência , Morro da Conceição e Morro do Pinto</t>
  </si>
  <si>
    <t>Lei de incentivo: 90%   Doações online: 10%</t>
  </si>
  <si>
    <t>&lt;a href="javascript:openPopupFocus%28%27https%3A%2F%2Fwww.atados.com.br%2Fong%2Fentre-o-ceu-e-a-favela%27%2C%20%27_blank%27%2C%20620%2C%20430%2C%20%27width%3D620%2Cheight%3D430%2Cresizable%3Dyes%2Ctoolbar%3Dyes%2Cstatus%3Dyes%2Cscrollbars%3Dyes%2Cmenubar%3Dyes%2Cdirectories%3Dyes%2Clocation%3Dyes%2Cdependant%3Dno%27%2C%20false%2C%20true%29%3B" title="https://www.atados.com.br/ong/entre-o-ceu-e-a-favela (Nova janela)"&gt;https://www.atados.com.br/ong/entre-o-ceu-e-a-favela&lt;/a&gt;</t>
  </si>
  <si>
    <t>&lt;a href="javascript:openPopupFocus%28%27https%3A%2F%2Fwww.instagram.com%2Fentreoceueafavela%2F%27%2C%20%27_blank%27%2C%20620%2C%20430%2C%20%27width%3D620%2Cheight%3D430%2Cresizable%3Dyes%2Ctoolbar%3Dyes%2Cstatus%3Dyes%2Cscrollbars%3Dyes%2Cmenubar%3Dyes%2Cdirectories%3Dyes%2Clocation%3Dyes%2Cdependant%3Dno%27%2C%20false%2C%20true%29%3B" title="https://www.instagram.com/entreoceueafavela/ (Nova janela)"&gt;https://www.instagram.com/entreoceueafavela/&lt;/a&gt;</t>
  </si>
  <si>
    <t>&lt;a href="javascript:openPopupFocus%28%27https%3A%2F%2Fpt-br.facebook.com%2FEntreoceueafavela%2F%27%2C%20%27_blank%27%2C%20620%2C%20430%2C%20%27width%3D620%2Cheight%3D430%2Cresizable%3Dyes%2Ctoolbar%3Dyes%2Cstatus%3Dyes%2Cscrollbars%3Dyes%2Cmenubar%3Dyes%2Cdirectories%3Dyes%2Clocation%3Dyes%2Cdependant%3Dno%27%2C%20false%2C%20true%29%3B" title="https://pt-br.facebook.com/Entreoceueafavela/ (Nova janela)"&gt;https://pt-br.facebook.com/Entreoceueafavela/&lt;/a&gt;</t>
  </si>
  <si>
    <t>&lt;a href="javascript:openPopupFocus%28%27https%3A%2F%2Fwww.youtube.com%2Fuser%2Fentreoceueafavela%27%2C%20%27_blank%27%2C%20620%2C%20430%2C%20%27width%3D620%2Cheight%3D430%2Cresizable%3Dyes%2Ctoolbar%3Dyes%2Cstatus%3Dyes%2Cscrollbars%3Dyes%2Cmenubar%3Dyes%2Cdirectories%3Dyes%2Clocation%3Dyes%2Cdependant%3Dno%27%2C%20false%2C%20true%29%3B" title="https://www.youtube.com/user/entreoceueafavela (Nova janela)"&gt;https://www.youtube.com/user/entreoceueafavela&lt;/a&gt;</t>
  </si>
  <si>
    <t>instagran:  https://www.instagram.com/entreoceueafavela/?hl=pt-br          facebook:    https://www.facebook.com/Entreoceueafavela</t>
  </si>
  <si>
    <t>0014P00003AN2Fv</t>
  </si>
  <si>
    <t>Instituto Família Criativa do Campo</t>
  </si>
  <si>
    <t>CRIATIVA DO CAMPO</t>
  </si>
  <si>
    <t>39.854.953/0001-52</t>
  </si>
  <si>
    <t>anapaulasilvasouza69@gmail.com</t>
  </si>
  <si>
    <t>(84) 98173-0963</t>
  </si>
  <si>
    <t>rua maria ivone campos</t>
  </si>
  <si>
    <t>Senador Elói de Souza</t>
  </si>
  <si>
    <t>ainda estamos vendo o espaço que será locado no centro de Senador Elói de Souza RN.</t>
  </si>
  <si>
    <t>População LGBTI,Afrodescententes ,pessoas de assentantos da reforma agrária,</t>
  </si>
  <si>
    <t>passagem do juazeiromaria das graçaspequena vanessa e barra de santo estevão</t>
  </si>
  <si>
    <t>a maioria dessas pessoas precisam de uma direcionana a educação por o cenário atual é de exclusão e analfabetismo.</t>
  </si>
  <si>
    <t>não pois nem todos os nossos atendidos tem acesso a internet no momento</t>
  </si>
  <si>
    <t>&lt;a href="javascript:openPopupFocus%28%27https%3A%2F%2Fwww.institutofamiliacriativadocampo.com%2F%27%2C%20%27_blank%27%2C%20620%2C%20430%2C%20%27width%3D620%2Cheight%3D430%2Cresizable%3Dyes%2Ctoolbar%3Dyes%2Cstatus%3Dyes%2Cscrollbars%3Dyes%2Cmenubar%3Dyes%2Cdirectories%3Dyes%2Clocation%3Dyes%2Cdependant%3Dno%27%2C%20false%2C%20true%29%3B" title="https://www.institutofamiliacriativadocampo.com/ (Nova janela)"&gt;https://www.institutofamiliacriativadocampo.com/&lt;/a&gt;</t>
  </si>
  <si>
    <t>&lt;a href="javascript:openPopupFocus%28%27https%3A%2F%2Fwww.instagram.com%2Ffamiliacriativadocampo%2F%3Futm_medium%3Dcopy_link%27%2C%20%27_blank%27%2C%20620%2C%20430%2C%20%27width%3D620%2Cheight%3D430%2Cresizable%3Dyes%2Ctoolbar%3Dyes%2Cstatus%3Dyes%2Cscrollbars%3Dyes%2Cmenubar%3Dyes%2Cdirectories%3Dyes%2Clocation%3Dyes%2Cdependant%3Dno%27%2C%20false%2C%20true%29%3B" title="https://www.instagram.com/familiacriativadocampo/?utm_medium=copy_link (Nova janela)"&gt;https://www.instagram.com/familiacriativadocampo/?utm_medium=copy_link&lt;/a&gt;</t>
  </si>
  <si>
    <t>&lt;a href="javascript:openPopupFocus%28%27https%3A%2F%2Fwww.facebook.com%2Ffamiliacriativadocampo%2F%27%2C%20%27_blank%27%2C%20620%2C%20430%2C%20%27width%3D620%2Cheight%3D430%2Cresizable%3Dyes%2Ctoolbar%3Dyes%2Cstatus%3Dyes%2Cscrollbars%3Dyes%2Cmenubar%3Dyes%2Cdirectories%3Dyes%2Clocation%3Dyes%2Cdependant%3Dno%27%2C%20false%2C%20true%29%3B" title="https://www.facebook.com/familiacriativadocampo/ (Nova janela)"&gt;https://www.facebook.com/familiacriativadocampo/&lt;/a&gt;</t>
  </si>
  <si>
    <t>&lt;a href="javascript:openPopupFocus%28%27https%3A%2F%2Fwww.youtube.com%2Fchannel%2FUCGSRsHb73WPsmD2qYIAgFEw%27%2C%20%27_blank%27%2C%20620%2C%20430%2C%20%27width%3D620%2Cheight%3D430%2Cresizable%3Dyes%2Ctoolbar%3Dyes%2Cstatus%3Dyes%2Cscrollbars%3Dyes%2Cmenubar%3Dyes%2Cdirectories%3Dyes%2Clocation%3Dyes%2Cdependant%3Dno%27%2C%20false%2C%20true%29%3B" title="https://www.youtube.com/channel/UCGSRsHb73WPsmD2qYIAgFEw (Nova janela)"&gt;https://www.youtube.com/channel/UCGSRsHb73WPsmD2qYIAgFEw&lt;/a&gt;</t>
  </si>
  <si>
    <t>https://instagram.com/familiacriativadocampo?igshid=a8vfueetjr6g - https://www.facebook.com/familiacriativadocampo/</t>
  </si>
  <si>
    <t>0014P00003AN2Fx</t>
  </si>
  <si>
    <t>Instituto Recomeçar</t>
  </si>
  <si>
    <t>RECOMEÇAR</t>
  </si>
  <si>
    <t>37.129.166/0001-12</t>
  </si>
  <si>
    <t>leonardo.precioso@recomecar360.org</t>
  </si>
  <si>
    <t>(11) 94704-4773</t>
  </si>
  <si>
    <t>Av Deputado Cunha Bueno</t>
  </si>
  <si>
    <t>08561-310</t>
  </si>
  <si>
    <t>NA</t>
  </si>
  <si>
    <t>["Adultos"]</t>
  </si>
  <si>
    <t>EX Presidiarios,</t>
  </si>
  <si>
    <t>Meu publico esta espalhado por diversas classes sociais e regiões</t>
  </si>
  <si>
    <t>100 % Projetos com empresas</t>
  </si>
  <si>
    <t>&lt;a href="javascript:openPopupFocus%28%27https%3A%2F%2Frecomecar360.org%2F%27%2C%20%27_blank%27%2C%20620%2C%20430%2C%20%27width%3D620%2Cheight%3D430%2Cresizable%3Dyes%2Ctoolbar%3Dyes%2Cstatus%3Dyes%2Cscrollbars%3Dyes%2Cmenubar%3Dyes%2Cdirectories%3Dyes%2Clocation%3Dyes%2Cdependant%3Dno%27%2C%20false%2C%20true%29%3B" title="https://recomecar360.org/ (Nova janela)"&gt;https://recomecar360.org/&lt;/a&gt;</t>
  </si>
  <si>
    <t>&lt;a href="javascript:openPopupFocus%28%27https%3A%2F%2Finstagram.com%2Frecomecar360%3Futm_medium%3Dcopy_link%27%2C%20%27_blank%27%2C%20620%2C%20430%2C%20%27width%3D620%2Cheight%3D430%2Cresizable%3Dyes%2Ctoolbar%3Dyes%2Cstatus%3Dyes%2Cscrollbars%3Dyes%2Cmenubar%3Dyes%2Cdirectories%3Dyes%2Clocation%3Dyes%2Cdependant%3Dno%27%2C%20false%2C%20true%29%3B" title="https://instagram.com/recomecar360?utm_medium=copy_link (Nova janela)"&gt;https://instagram.com/recomecar360?utm_medium=copy_link&lt;/a&gt;</t>
  </si>
  <si>
    <t>&lt;a href="javascript:openPopupFocus%28%27http%3A%2F%2Fwww.facebook.com%2Frecomecargf%27%2C%20%27_blank%27%2C%20620%2C%20430%2C%20%27width%3D620%2Cheight%3D430%2Cresizable%3Dyes%2Ctoolbar%3Dyes%2Cstatus%3Dyes%2Cscrollbars%3Dyes%2Cmenubar%3Dyes%2Cdirectories%3Dyes%2Clocation%3Dyes%2Cdependant%3Dno%27%2C%20false%2C%20true%29%3B" title="http://www.facebook.com/recomecargf (Nova janela)"&gt;http://www.facebook.com/recomecargf&lt;/a&gt;</t>
  </si>
  <si>
    <t>&lt;a href="javascript:openPopupFocus%28%27https%3A%2F%2Fyoutube.com%2Fc%2FRecomecar360%27%2C%20%27_blank%27%2C%20620%2C%20430%2C%20%27width%3D620%2Cheight%3D430%2Cresizable%3Dyes%2Ctoolbar%3Dyes%2Cstatus%3Dyes%2Cscrollbars%3Dyes%2Cmenubar%3Dyes%2Cdirectories%3Dyes%2Clocation%3Dyes%2Cdependant%3Dno%27%2C%20false%2C%20true%29%3B" title="https://youtube.com/c/Recomecar360 (Nova janela)"&gt;https://youtube.com/c/Recomecar360&lt;/a&gt;</t>
  </si>
  <si>
    <t>ww.recomecar360.org</t>
  </si>
  <si>
    <t>0014P00003AN2Fy</t>
  </si>
  <si>
    <t>Associaçao Projeto Gaditas</t>
  </si>
  <si>
    <t>23.531.115/0001-08</t>
  </si>
  <si>
    <t>Avenida Pereira Passos 520</t>
  </si>
  <si>
    <t>91900-240</t>
  </si>
  <si>
    <t>["Esporte","Educação","Assistência Social","Empreendedorismo"]</t>
  </si>
  <si>
    <t>Moradores de favelas ,Pessoas em situação de rua,População LGBTI,Afrodescententes ,Dependentes químicos ,Pessoas com deficiência intelectual,</t>
  </si>
  <si>
    <t>serraria  guaruja hipica tristeza</t>
  </si>
  <si>
    <t>atendemos somente dentro das periferias</t>
  </si>
  <si>
    <t>arrecadamos apenas cestas basicas no ano 2020  2 mil cestas basicas</t>
  </si>
  <si>
    <t>&lt;a href="javascript:openPopupFocus%28%27http%3A%2F%2Fnao%27%2C%20%27_blank%27%2C%20620%2C%20430%2C%20%27width%3D620%2Cheight%3D430%2Cresizable%3Dyes%2Ctoolbar%3Dyes%2Cstatus%3Dyes%2Cscrollbars%3Dyes%2Cmenubar%3Dyes%2Cdirectories%3Dyes%2Clocation%3Dyes%2Cdependant%3Dno%27%2C%20false%2C%20true%29%3B" title="http://nao (Nova janela)"&gt;http://nao&lt;/a&gt;</t>
  </si>
  <si>
    <t>@projetogaditas</t>
  </si>
  <si>
    <t>0014P00003AN2Fz</t>
  </si>
  <si>
    <t>Instituto Inovação Sustentável - ONG Mensageiros da Esperança</t>
  </si>
  <si>
    <t>20.587.478/0001-77</t>
  </si>
  <si>
    <t>Rua Moxei</t>
  </si>
  <si>
    <t>Fazemos algumas oficinas itinerantes:
Rua Flor de Lis 1977 Brasilândia SP
Rua Chaves 1366 - Califórnia Barueri
Av. Deputado Cantídio Sampaio4547 - Brasilândia (ocupação)
Rua Apaiari 99 - Vista Alegre Brasilândia
Rua São Francisco do Humaitá 107 - Elisa M...</t>
  </si>
  <si>
    <t>["Educação","Assistência Social","Qualificação Profissional","Empreendedorismo"]</t>
  </si>
  <si>
    <t>["Adultos","Jovens (18 aos 24 anos)","Mulheres, lideranças comunitárias e Egressos"]</t>
  </si>
  <si>
    <t>Moradores de favelas ,Afrodescententes ,Egressos,</t>
  </si>
  <si>
    <t>Favela do Pó - Comunidade João Paulo I
Comunidade Parque Belem
Capadócia
Vista Alegre
Elisa Maria
Tiro ao Pombo
Califórnia - Barueri</t>
  </si>
  <si>
    <t>Temos uma Rede com 18 lideranças que atendemos com capacitações segurança alimentar e desenvolvimento familiar</t>
  </si>
  <si>
    <t>Doação online - 5% | Negocio social 15% | Doações empresas 30% | Projeto Publico 50%</t>
  </si>
  <si>
    <t>Estamos organizando as turmas para iniciar na segunda quinzena de fevereiro</t>
  </si>
  <si>
    <t>&lt;a href="javascript:openPopupFocus%28%27http%3A%2F%2Fem%20constru%C3%A7%C3%A3o%20-%20previs%C3%A3o%20mar%C3%A7o%202021%27%2C%20%27_blank%27%2C%20620%2C%20430%2C%20%27width%3D620%2Cheight%3D430%2Cresizable%3Dyes%2Ctoolbar%3Dyes%2Cstatus%3Dyes%2Cscrollbars%3Dyes%2Cmenubar%3Dyes%2Cdirectories%3Dyes%2Clocation%3Dyes%2Cdependant%3Dno%27%2C%20false%2C%20true%29%3B" title="http://em construção - previsão março 2021 (Nova janela)"&gt;http://em construção - previsão março 2021&lt;/a&gt;</t>
  </si>
  <si>
    <t>https://www.facebook.com/ONGMENSAGEIROSDAESPERANCA | @mensageirosdaesperancaong</t>
  </si>
  <si>
    <t>0014P00003AN2G0</t>
  </si>
  <si>
    <t>Santa Cruz Ponta da Serra</t>
  </si>
  <si>
    <t>SANTA CRUZ PONTA DA SERRA</t>
  </si>
  <si>
    <t>41.087.928/0001-32</t>
  </si>
  <si>
    <t>patriciawyniver@outlook.com</t>
  </si>
  <si>
    <t>(79) 99689-2013</t>
  </si>
  <si>
    <t>BA</t>
  </si>
  <si>
    <t>ASSENTAMENTO CAIMÃ PONTA DA SERRA</t>
  </si>
  <si>
    <t>ADUSTINA</t>
  </si>
  <si>
    <t>ASSSENTADOS DA REFORMA AGRÁRIA,</t>
  </si>
  <si>
    <t>ASSENTAMENTO CAIMÃ
TAUBINHAS</t>
  </si>
  <si>
    <t>&lt;a href="javascript:openPopupFocus%28%27https%3A%2F%2Fwww.instagram.com%2Fsantacruzpontadaserra%2F%27%2C%20%27_blank%27%2C%20620%2C%20430%2C%20%27width%3D620%2Cheight%3D430%2Cresizable%3Dyes%2Ctoolbar%3Dyes%2Cstatus%3Dyes%2Cscrollbars%3Dyes%2Cmenubar%3Dyes%2Cdirectories%3Dyes%2Clocation%3Dyes%2Cdependant%3Dno%27%2C%20false%2C%20true%29%3B" title="https://www.instagram.com/santacruzpontadaserra/ (Nova janela)"&gt;https://www.instagram.com/santacruzpontadaserra/&lt;/a&gt;</t>
  </si>
  <si>
    <t>&lt;a href="javascript:openPopupFocus%28%27https%3A%2F%2Fwww.facebook.com%2Fcapelinhadasantacruz%27%2C%20%27_blank%27%2C%20620%2C%20430%2C%20%27width%3D620%2Cheight%3D430%2Cresizable%3Dyes%2Ctoolbar%3Dyes%2Cstatus%3Dyes%2Cscrollbars%3Dyes%2Cmenubar%3Dyes%2Cdirectories%3Dyes%2Clocation%3Dyes%2Cdependant%3Dno%27%2C%20false%2C%20true%29%3B" title="https://www.facebook.com/capelinhadasantacruz (Nova janela)"&gt;https://www.facebook.com/capelinhadasantacruz&lt;/a&gt;</t>
  </si>
  <si>
    <t>&lt;a href="javascript:openPopupFocus%28%27https%3A%2F%2Fwww.youtube.com%2Fchannel%2FUCZF8Pj-0UFmd_2zZ7G_1GCw%27%2C%20%27_blank%27%2C%20620%2C%20430%2C%20%27width%3D620%2Cheight%3D430%2Cresizable%3Dyes%2Ctoolbar%3Dyes%2Cstatus%3Dyes%2Cscrollbars%3Dyes%2Cmenubar%3Dyes%2Cdirectories%3Dyes%2Clocation%3Dyes%2Cdependant%3Dno%27%2C%20false%2C%20true%29%3B" title="https://www.youtube.com/channel/UCZF8Pj-0UFmd_2zZ7G_1GCw (Nova janela)"&gt;https://www.youtube.com/channel/UCZF8Pj-0UFmd_2zZ7G_1GCw&lt;/a&gt;</t>
  </si>
  <si>
    <t>@SANTACRUZPONTADASERRA</t>
  </si>
  <si>
    <t>0014P00003AN2G8</t>
  </si>
  <si>
    <t>Programa Social Sim! Eu Sou do Meio (SESM)</t>
  </si>
  <si>
    <t>40.224.894/0001-18</t>
  </si>
  <si>
    <t>Rua João Fernandes Neto</t>
  </si>
  <si>
    <t>Belford Roxo</t>
  </si>
  <si>
    <t>["Esporte","Assistência Social","Cultura","Qualificação Profissional","Empreendedorismo","Saúde","Opção 8","Sustentabilidade e Agroecologia"]</t>
  </si>
  <si>
    <t>Pessoas com deficiência intelectual,Moradores de favelas ,Dependentes químicos ,Afrodescententes ,Quilombolas ,</t>
  </si>
  <si>
    <t>Morro da Galinha 1 e 2 Palmeira Castelar Gogó da Ema Caixa d´água e Calundú</t>
  </si>
  <si>
    <t>40% negócio social 30% ações de captação 20% plataforma de doação 10% pessoa física</t>
  </si>
  <si>
    <t>&lt;a href="javascript:openPopupFocus%28%27http%3A%2F%2Fwww.simeusoudomeio.com.br%27%2C%20%27_blank%27%2C%20620%2C%20430%2C%20%27width%3D620%2Cheight%3D430%2Cresizable%3Dyes%2Ctoolbar%3Dyes%2Cstatus%3Dyes%2Cscrollbars%3Dyes%2Cmenubar%3Dyes%2Cdirectories%3Dyes%2Clocation%3Dyes%2Cdependant%3Dno%27%2C%20false%2C%20true%29%3B" title="http://www.simeusoudomeio.com.br (Nova janela)"&gt;http://www.simeusoudomeio.com.br&lt;/a&gt;</t>
  </si>
  <si>
    <t>https://www.facebook.com/SIMEUSOUDOMEIO/  https://www.instagram.com/p/CCH1-shju_Y/?igshid=14aywv4ewdnkv</t>
  </si>
  <si>
    <t>0014P00003AN2G1</t>
  </si>
  <si>
    <t>Instituto de Desenvolvimento Humano e Social pelo Esporte Educação Cultura e Cidadania</t>
  </si>
  <si>
    <t>20.974.017/0001-57</t>
  </si>
  <si>
    <t>Rua Inês Brasil</t>
  </si>
  <si>
    <t>Areninha do José Walter - R. Sessenta Nove 191 - Pref. José Walter Fortaleza - CE 60810-670
CITS José Walter - Av. K 330 - Pref. José Walter Fortaleza - CE 60810-670</t>
  </si>
  <si>
    <t>Moradores de favelas ,População LGBTI,Mulheres,</t>
  </si>
  <si>
    <t>Comunidade Cidade Jardim
Comunidade Gereba
Comunidade Pantanal</t>
  </si>
  <si>
    <t>Em sua maioria mulheres em situação de vulnerabilidade e algumas em situação de violência doméstica.</t>
  </si>
  <si>
    <t>Doação de pessoas físicas: 67% - Prestação de Serviços: 33%</t>
  </si>
  <si>
    <t>&lt;a href="javascript:openPopupFocus%28%27http%3A%2F%2Fesportemais.org%2F%27%2C%20%27_blank%27%2C%20620%2C%20430%2C%20%27width%3D620%2Cheight%3D430%2Cresizable%3Dyes%2Ctoolbar%3Dyes%2Cstatus%3Dyes%2Cscrollbars%3Dyes%2Cmenubar%3Dyes%2Cdirectories%3Dyes%2Clocation%3Dyes%2Cdependant%3Dno%27%2C%20false%2C%20true%29%3B" title="http://esportemais.org/ (Nova janela)"&gt;http://esportemais.org/&lt;/a&gt;</t>
  </si>
  <si>
    <t>Sim - Instagram e Facebook são as principais - @institutoesportemais - https://www.instagram.com/institutoesportemais/</t>
  </si>
  <si>
    <t>0014P00003AN2G2</t>
  </si>
  <si>
    <t>Associação Vidança Companhia de Danças do Ceará</t>
  </si>
  <si>
    <t>00.620.970/0001-00</t>
  </si>
  <si>
    <t>Av L</t>
  </si>
  <si>
    <t>Vila Velha I II III e IV e bairros adjacentes dentre eles estão Messejana Jardim Iracema Barra do Ceará Jardim Guanabara Cristo redentor.</t>
  </si>
  <si>
    <t>O grupo de idoso que atendemos representa uma pequena parcela do público-alvo. Temos pessoas pertencentes  a grupos específicos (LGBTQI+ afrodescendentes etc.) mas as ações da instituição ainda não são voltadas especificamente para eles.</t>
  </si>
  <si>
    <t>Leis de incentivo (92.3%), Editais e doação PF e PJ não-online (4.8%)</t>
  </si>
  <si>
    <t>&lt;a href="javascript:openPopupFocus%28%27https%3A%2F%2Fwww.vidanca.org.br%2F%27%2C%20%27_blank%27%2C%20620%2C%20430%2C%20%27width%3D620%2Cheight%3D430%2Cresizable%3Dyes%2Ctoolbar%3Dyes%2Cstatus%3Dyes%2Cscrollbars%3Dyes%2Cmenubar%3Dyes%2Cdirectories%3Dyes%2Clocation%3Dyes%2Cdependant%3Dno%27%2C%20false%2C%20true%29%3B" title="https://www.vidanca.org.br/ (Nova janela)"&gt;https://www.vidanca.org.br/&lt;/a&gt;</t>
  </si>
  <si>
    <t>https://www.instagram.com/ciavidanca/?hl=pt-br</t>
  </si>
  <si>
    <t>0014P00003AN2G3</t>
  </si>
  <si>
    <t>Organização da Sociedade Civil Izaias Luzia da Silva</t>
  </si>
  <si>
    <t>IZAIAS LUZIA</t>
  </si>
  <si>
    <t>33.999.980/0001-37</t>
  </si>
  <si>
    <t>contatodaniluzia@gmail.com</t>
  </si>
  <si>
    <t>(11) 97730-0633</t>
  </si>
  <si>
    <t>Rua Professor Francisco Pinheiro</t>
  </si>
  <si>
    <t>Vamos iniciar este ano oficinas de futsal e basquete na quadra de uma escola estadual próxima ao instituto ( Escola Estadual Pedro Taques R. Cmte. Carlos Ruhl 56 - Guaianases São Paulo - SP 08410-130)</t>
  </si>
  <si>
    <t>*Ocupação de Guaianases da FLM
*Campo da Portuguesinha 
*Campo da barroca 
*Invasão da Vila Marpu 
*Invasão da Cordislândia
*Escadão de Guaianases</t>
  </si>
  <si>
    <t>Além destas comunidades que auxiliamos nosso instituto é aberto a todos que querem participar estando em situação de vulnerabilidade ou não.</t>
  </si>
  <si>
    <t>Não temos</t>
  </si>
  <si>
    <t>&lt;a href="javascript:openPopupFocus%28%27https%3A%2F%2Finstitutoizaiasluzia.org%27%2C%20%27_blank%27%2C%20620%2C%20430%2C%20%27width%3D620%2Cheight%3D430%2Cresizable%3Dyes%2Ctoolbar%3Dyes%2Cstatus%3Dyes%2Cscrollbars%3Dyes%2Cmenubar%3Dyes%2Cdirectories%3Dyes%2Clocation%3Dyes%2Cdependant%3Dno%27%2C%20false%2C%20true%29%3B" title="https://institutoizaiasluzia.org (Nova janela)"&gt;https://institutoizaiasluzia.org&lt;/a&gt;</t>
  </si>
  <si>
    <t>&lt;a href="javascript:openPopupFocus%28%27https%3A%2F%2Fwww.instagram.com%2Finstitutoizaiasluzia%2F%27%2C%20%27_blank%27%2C%20620%2C%20430%2C%20%27width%3D620%2Cheight%3D430%2Cresizable%3Dyes%2Ctoolbar%3Dyes%2Cstatus%3Dyes%2Cscrollbars%3Dyes%2Cmenubar%3Dyes%2Cdirectories%3Dyes%2Clocation%3Dyes%2Cdependant%3Dno%27%2C%20false%2C%20true%29%3B" title="https://www.instagram.com/institutoizaiasluzia/ (Nova janela)"&gt;https://www.instagram.com/institutoizaiasluzia/&lt;/a&gt;</t>
  </si>
  <si>
    <t>&lt;a href="javascript:openPopupFocus%28%27https%3A%2F%2Fwww.facebook.com%2Finstitutoizaiasluzia.org%27%2C%20%27_blank%27%2C%20620%2C%20430%2C%20%27width%3D620%2Cheight%3D430%2Cresizable%3Dyes%2Ctoolbar%3Dyes%2Cstatus%3Dyes%2Cscrollbars%3Dyes%2Cmenubar%3Dyes%2Cdirectories%3Dyes%2Clocation%3Dyes%2Cdependant%3Dno%27%2C%20false%2C%20true%29%3B" title="https://www.facebook.com/institutoizaiasluzia.org (Nova janela)"&gt;https://www.facebook.com/institutoizaiasluzia.org&lt;/a&gt;</t>
  </si>
  <si>
    <t>&lt;a href="javascript:openPopupFocus%28%27https%3A%2F%2Fwww.youtube.com%2Fchannel%2FUCHdyuPUpkeMvD42ExitVQUQ%27%2C%20%27_blank%27%2C%20620%2C%20430%2C%20%27width%3D620%2Cheight%3D430%2Cresizable%3Dyes%2Ctoolbar%3Dyes%2Cstatus%3Dyes%2Cscrollbars%3Dyes%2Cmenubar%3Dyes%2Cdirectories%3Dyes%2Clocation%3Dyes%2Cdependant%3Dno%27%2C%20false%2C%20true%29%3B" title="https://www.youtube.com/channel/UCHdyuPUpkeMvD42ExitVQUQ (Nova janela)"&gt;https://www.youtube.com/channel/UCHdyuPUpkeMvD42ExitVQUQ&lt;/a&gt;</t>
  </si>
  <si>
    <t>https://instagram.com/institutoizaiasluzia?igshid=je5vxzpfwoys</t>
  </si>
  <si>
    <t>0014P00003AN2G4</t>
  </si>
  <si>
    <t>Associação Social Black's Urbano</t>
  </si>
  <si>
    <t>39.935.047/0001-82</t>
  </si>
  <si>
    <t>Av. Caititu</t>
  </si>
  <si>
    <t>Praça Antônio Otávio Feliciano Cidade Antônio Estêvão de Carvalho São Paulo - SP 08223-260
Espaço publico</t>
  </si>
  <si>
    <t>["Esporte","Educação","Assistência Social","Qualificação Profissional"]</t>
  </si>
  <si>
    <t>Atendemos o complexo de Favelas Cid. A. E. Carvalho onde as favelas atendidas são FAVELA DA CAITIU FAVELA DO GUARANI FAVELA DAS CASINHAS</t>
  </si>
  <si>
    <t>Doação Online 50%, Negoócio social 10%</t>
  </si>
  <si>
    <t>Estou Utilizando no Curso de Qualificação Profissional também</t>
  </si>
  <si>
    <t>https://web.facebook.com/BlacksFA/?_rdc=1&amp;_rdr    https://www.instagram.com/blacks.urbano/</t>
  </si>
  <si>
    <t>0014P00003AN2G5</t>
  </si>
  <si>
    <t>Instituto Rugby Para Todos</t>
  </si>
  <si>
    <t>RUGBY PARA TODOS</t>
  </si>
  <si>
    <t>10.979.371/0001-10</t>
  </si>
  <si>
    <t>mauricio@rugbyparatodos.org.br</t>
  </si>
  <si>
    <t>(11) 2371-0843</t>
  </si>
  <si>
    <t>Rua Amélia Correia Fontes Guimarães</t>
  </si>
  <si>
    <t>Campo do Palmeirinha - SP
Praia de Copacabana - RJ
Aterro do Flamengo - RJ</t>
  </si>
  <si>
    <t>["Esporte","Educação","Empreendedorismo"]</t>
  </si>
  <si>
    <t>Moradores de favelas ,População LGBTI,Afrodescententes ,</t>
  </si>
  <si>
    <t>Paraisópolis - SP
Zina Sul - RJ</t>
  </si>
  <si>
    <t>Lei de Incentivo 80% Parceria direta 15% outros serviços 5%</t>
  </si>
  <si>
    <t>&lt;a href="javascript:openPopupFocus%28%27https%3A%2F%2Frugbyparatodos.org.br%2F%27%2C%20%27_blank%27%2C%20620%2C%20430%2C%20%27width%3D620%2Cheight%3D430%2Cresizable%3Dyes%2Ctoolbar%3Dyes%2Cstatus%3Dyes%2Cscrollbars%3Dyes%2Cmenubar%3Dyes%2Cdirectories%3Dyes%2Clocation%3Dyes%2Cdependant%3Dno%27%2C%20false%2C%20true%29%3B" title="https://rugbyparatodos.org.br/ (Nova janela)"&gt;https://rugbyparatodos.org.br/&lt;/a&gt;</t>
  </si>
  <si>
    <t>&lt;a href="javascript:openPopupFocus%28%27https%3A%2F%2Fwww.instagram.com%2Frugbyparatodos%2F%27%2C%20%27_blank%27%2C%20620%2C%20430%2C%20%27width%3D620%2Cheight%3D430%2Cresizable%3Dyes%2Ctoolbar%3Dyes%2Cstatus%3Dyes%2Cscrollbars%3Dyes%2Cmenubar%3Dyes%2Cdirectories%3Dyes%2Clocation%3Dyes%2Cdependant%3Dno%27%2C%20false%2C%20true%29%3B" title="https://www.instagram.com/rugbyparatodos/ (Nova janela)"&gt;https://www.instagram.com/rugbyparatodos/&lt;/a&gt;</t>
  </si>
  <si>
    <t>&lt;a href="javascript:openPopupFocus%28%27https%3A%2F%2Fwww.facebook.com%2Frugbyparatodos%27%2C%20%27_blank%27%2C%20620%2C%20430%2C%20%27width%3D620%2Cheight%3D430%2Cresizable%3Dyes%2Ctoolbar%3Dyes%2Cstatus%3Dyes%2Cscrollbars%3Dyes%2Cmenubar%3Dyes%2Cdirectories%3Dyes%2Clocation%3Dyes%2Cdependant%3Dno%27%2C%20false%2C%20true%29%3B" title="https://www.facebook.com/rugbyparatodos (Nova janela)"&gt;https://www.facebook.com/rugbyparatodos&lt;/a&gt;</t>
  </si>
  <si>
    <t>&lt;a href="javascript:openPopupFocus%28%27https%3A%2F%2Fwww.youtube.com%2Fchannel%2FUCAe9PXJkXKLWcQ3cRD8jG_w%27%2C%20%27_blank%27%2C%20620%2C%20430%2C%20%27width%3D620%2Cheight%3D430%2Cresizable%3Dyes%2Ctoolbar%3Dyes%2Cstatus%3Dyes%2Cscrollbars%3Dyes%2Cmenubar%3Dyes%2Cdirectories%3Dyes%2Clocation%3Dyes%2Cdependant%3Dno%27%2C%20false%2C%20true%29%3B" title="https://www.youtube.com/channel/UCAe9PXJkXKLWcQ3cRD8jG_w (Nova janela)"&gt;https://www.youtube.com/channel/UCAe9PXJkXKLWcQ3cRD8jG_w&lt;/a&gt;</t>
  </si>
  <si>
    <t>@rugbyparatodos</t>
  </si>
  <si>
    <t>0014P00003AN2G6</t>
  </si>
  <si>
    <t>Associação Cultural de Educação Social e Artística - ACESA</t>
  </si>
  <si>
    <t>ACESA</t>
  </si>
  <si>
    <t>97.528.853/0001-32</t>
  </si>
  <si>
    <t>castro.lenir@gmail.com</t>
  </si>
  <si>
    <t>(37) 99198-8847</t>
  </si>
  <si>
    <t>Rua Espírito Santo</t>
  </si>
  <si>
    <t>Divinópolis</t>
  </si>
  <si>
    <t>EM Antonieta Fonseca/ Rua Primo Batagline  410 / Quinta das Palmeiras CEP: 35.501.142. 
EM Sidney José de Oliveira/ Av. Anhangüera 1090 no bairro Jardim Candidés Divinópolis MG
EE Lauro Epifânio/ Av. Dolores de Aguiar Rabelo Bairro: Interlagos CEP: 35500...</t>
  </si>
  <si>
    <t>["Educação","Assistência Social","Qualificação Profissional"]</t>
  </si>
  <si>
    <t>Moradores de favelas ,Pessoas com deficiência intelectual,Crianças e adolescentes de Orfanatos e Vulnerabilidade Social ,</t>
  </si>
  <si>
    <t>Copacabana 
Terra Azul 
São Simão 
Favela da Lajinha</t>
  </si>
  <si>
    <t>&lt;a href="javascript:openPopupFocus%28%27https%3A%2F%2Fwww.instagram.com%2Ffazendoarteacesa%2F%27%2C%20%27_blank%27%2C%20620%2C%20430%2C%20%27width%3D620%2Cheight%3D430%2Cresizable%3Dyes%2Ctoolbar%3Dyes%2Cstatus%3Dyes%2Cscrollbars%3Dyes%2Cmenubar%3Dyes%2Cdirectories%3Dyes%2Clocation%3Dyes%2Cdependant%3Dno%27%2C%20false%2C%20true%29%3B" title="https://www.instagram.com/fazendoarteacesa/ (Nova janela)"&gt;https://www.instagram.com/fazendoarteacesa/&lt;/a&gt;</t>
  </si>
  <si>
    <t>&lt;a href="javascript:openPopupFocus%28%27https%3A%2F%2Fwww.facebook.com%2Ffazendoarte.acesa%27%2C%20%27_blank%27%2C%20620%2C%20430%2C%20%27width%3D620%2Cheight%3D430%2Cresizable%3Dyes%2Ctoolbar%3Dyes%2Cstatus%3Dyes%2Cscrollbars%3Dyes%2Cmenubar%3Dyes%2Cdirectories%3Dyes%2Clocation%3Dyes%2Cdependant%3Dno%27%2C%20false%2C%20true%29%3B" title="https://www.facebook.com/fazendoarte.acesa (Nova janela)"&gt;https://www.facebook.com/fazendoarte.acesa&lt;/a&gt;</t>
  </si>
  <si>
    <t>&lt;a href="javascript:openPopupFocus%28%27https%3A%2F%2Fwww.youtube.com%2Fwatch%3Fv%3DDEYD4lBIrDI%26t%3D491s%27%2C%20%27_blank%27%2C%20620%2C%20430%2C%20%27width%3D620%2Cheight%3D430%2Cresizable%3Dyes%2Ctoolbar%3Dyes%2Cstatus%3Dyes%2Cscrollbars%3Dyes%2Cmenubar%3Dyes%2Cdirectories%3Dyes%2Clocation%3Dyes%2Cdependant%3Dno%27%2C%20false%2C%20true%29%3B" title="https://www.youtube.com/watch?v=DEYD4lBIrDI&amp;t=491s (Nova janela)"&gt;https://www.youtube.com/watch?v=DEYD4lBIrDI&amp;t=491s&lt;/a&gt;</t>
  </si>
  <si>
    <t>fazendoarteacesa / Facebook  Acesa Projeto Fazendo Arte</t>
  </si>
  <si>
    <t>0014P00003AN2G7</t>
  </si>
  <si>
    <t>Associação de Mulheres de Atitude e Compromisso Social</t>
  </si>
  <si>
    <t>24.119.219/0001-72</t>
  </si>
  <si>
    <t>Travessa presidente kennedy</t>
  </si>
  <si>
    <t>Duque de Caxias</t>
  </si>
  <si>
    <t>Cine Oscarito  R Santo Elias 16480-000 Duque de Caxias R.J
Salão do Ricardo Rua Eunice Weaver Lote 17 Quadra F  Parque  Alvorada Duque de Caxias R.J</t>
  </si>
  <si>
    <t>["Crianças (6 a 12 anos)","Crianças pequenas (4 anos a 5 anos e 11 meses)","Adolescentes (12 aos 18 anos)","bebês (1 a 1ano e 6 meses)"]</t>
  </si>
  <si>
    <t>Vila Alzira
Morro do Sussego
Morro do Paraiso</t>
  </si>
  <si>
    <t>Atendemos mulheres vitimas de violência domestica catadoras de reciclagem e família em situação de vulnerabilidade social.</t>
  </si>
  <si>
    <t>Convênio público 50%  Projetos Empresas 50%</t>
  </si>
  <si>
    <t>&lt;a href="javascript:openPopupFocus%28%27https%3A%2F%2Fwww.atitudeamac.org.br%2F%27%2C%20%27_blank%27%2C%20620%2C%20430%2C%20%27width%3D620%2Cheight%3D430%2Cresizable%3Dyes%2Ctoolbar%3Dyes%2Cstatus%3Dyes%2Cscrollbars%3Dyes%2Cmenubar%3Dyes%2Cdirectories%3Dyes%2Clocation%3Dyes%2Cdependant%3Dno%27%2C%20false%2C%20true%29%3B" title="https://www.atitudeamac.org.br/ (Nova janela)"&gt;https://www.atitudeamac.org.br/&lt;/a&gt;</t>
  </si>
  <si>
    <t>https://linktr.ee/AmacAtitudes</t>
  </si>
  <si>
    <t>0014P00003AN2GH</t>
  </si>
  <si>
    <t>Associação Futuro Campeão</t>
  </si>
  <si>
    <t>33.157.518/0001-92</t>
  </si>
  <si>
    <t>RUA RAIMUNDO CHAVES</t>
  </si>
  <si>
    <t>["Esporte","Assistência Social","Saúde"]</t>
  </si>
  <si>
    <t>Moradores de favelas ,Dependentes químicos ,Pessoas com deficiência intelectual,</t>
  </si>
  <si>
    <t>PLANALTO FELIPE CAMARÃO NOVA CIDADE PATANÉ GEORGINO AVELINO COBÉ</t>
  </si>
  <si>
    <t>PROJETO EMPRESAS 70% DOAÇAO DE AMIGOS 30%</t>
  </si>
  <si>
    <t>&lt;a href="javascript:openPopupFocus%28%27https%3A%2F%2Fwww.associacaofuturocampeao.com.br%2F%27%2C%20%27_blank%27%2C%20620%2C%20430%2C%20%27width%3D620%2Cheight%3D430%2Cresizable%3Dyes%2Ctoolbar%3Dyes%2Cstatus%3Dyes%2Cscrollbars%3Dyes%2Cmenubar%3Dyes%2Cdirectories%3Dyes%2Clocation%3Dyes%2Cdependant%3Dno%27%2C%20false%2C%20true%29%3B" title="https://www.associacaofuturocampeao.com.br/ (Nova janela)"&gt;https://www.associacaofuturocampeao.com.br/&lt;/a&gt;</t>
  </si>
  <si>
    <t>@associacaofuturocampeao</t>
  </si>
  <si>
    <t>0014P00003SGWPZ</t>
  </si>
  <si>
    <t>CENTRO CULTURAL DONA ANTÔNIA</t>
  </si>
  <si>
    <t>DONA ANTÔNIA</t>
  </si>
  <si>
    <t>08.279.756/0001-23</t>
  </si>
  <si>
    <t>Pollyane Cristina Pereira Da Cruz</t>
  </si>
  <si>
    <t>comunicacao@donaantonia.org.br</t>
  </si>
  <si>
    <t>(31)7190-2536</t>
  </si>
  <si>
    <t>Maria de Lourdes</t>
  </si>
  <si>
    <t>Novo Horizonte</t>
  </si>
  <si>
    <t>["Adolescentes (12 aos 18 anos)","Idosos (60 anos ou mais)"]</t>
  </si>
  <si>
    <t>Moradores de favelas. Afrodescendentes</t>
  </si>
  <si>
    <t>Novo HorizonteVila das FloresSítio PoçõesHomero GilOcupação Primeiro de Maio Residencial Lagoa.</t>
  </si>
  <si>
    <t>["Convênio Público"]</t>
  </si>
  <si>
    <t>100% Convenio Público</t>
  </si>
  <si>
    <t>&lt;a href="javascript:openPopupFocus%28%27https%3A%2F%2Fwww.donaantonia.org.br%27%2C%20%27_blank%27%2C%20620%2C%20430%2C%20%27width%3D620%2Cheight%3D430%2Cresizable%3Dyes%2Ctoolbar%3Dyes%2Cstatus%3Dyes%2Cscrollbars%3Dyes%2Cmenubar%3Dyes%2Cdirectories%3Dyes%2Clocation%3Dyes%2Cdependant%3Dno%27%2C%20false%2C%20true%29%3B" title="https://www.donaantonia.org.br (Nova janela)"&gt;https://www.donaantonia.org.br&lt;/a&gt;</t>
  </si>
  <si>
    <t>&lt;a href="javascript:openPopupFocus%28%27https%3A%2F%2Finstagram.com%2Fdonaantoniacultura%27%2C%20%27_blank%27%2C%20620%2C%20430%2C%20%27width%3D620%2Cheight%3D430%2Cresizable%3Dyes%2Ctoolbar%3Dyes%2Cstatus%3Dyes%2Cscrollbars%3Dyes%2Cmenubar%3Dyes%2Cdirectories%3Dyes%2Clocation%3Dyes%2Cdependant%3Dno%27%2C%20false%2C%20true%29%3B" title="https://instagram.com/donaantoniacultura (Nova janela)"&gt;https://instagram.com/donaantoniacultura&lt;/a&gt;</t>
  </si>
  <si>
    <t>&lt;a href="javascript:openPopupFocus%28%27https%3A%2F%2Ffacebook.com%2Fdonaantonia%27%2C%20%27_blank%27%2C%20620%2C%20430%2C%20%27width%3D620%2Cheight%3D430%2Cresizable%3Dyes%2Ctoolbar%3Dyes%2Cstatus%3Dyes%2Cscrollbars%3Dyes%2Cmenubar%3Dyes%2Cdirectories%3Dyes%2Clocation%3Dyes%2Cdependant%3Dno%27%2C%20false%2C%20true%29%3B" title="https://facebook.com/donaantonia (Nova janela)"&gt;https://facebook.com/donaantonia&lt;/a&gt;</t>
  </si>
  <si>
    <t>&lt;a href="javascript:openPopupFocus%28%27https%3A%2F%2Fyoutube.com%2Fdonaantoniatv%27%2C%20%27_blank%27%2C%20620%2C%20430%2C%20%27width%3D620%2Cheight%3D430%2Cresizable%3Dyes%2Ctoolbar%3Dyes%2Cstatus%3Dyes%2Cscrollbars%3Dyes%2Cmenubar%3Dyes%2Cdirectories%3Dyes%2Clocation%3Dyes%2Cdependant%3Dno%27%2C%20false%2C%20true%29%3B" title="https://youtube.com/donaantoniatv (Nova janela)"&gt;https://youtube.com/donaantoniatv&lt;/a&gt;</t>
  </si>
  <si>
    <t>&lt;a href="javascript:openPopupFocus%28%27https%3A%2F%2Fdrive.google.com%2Fopen%3Fid%3D1QIjsY-G34JC2kqnrbQcVhmfmLAEoKHo8%27%2C%20%27_blank%27%2C%20620%2C%20430%2C%20%27width%3D620%2Cheight%3D430%2Cresizable%3Dyes%2Ctoolbar%3Dyes%2Cstatus%3Dyes%2Cscrollbars%3Dyes%2Cmenubar%3Dyes%2Cdirectories%3Dyes%2Clocation%3Dyes%2Cdependant%3Dno%27%2C%20false%2C%20true%29%3B" title="https://drive.google.com/open?id=1QIjsY-G34JC2kqnrbQcVhmfmLAEoKHo8 (Nova janela)"&gt;https://drive.google.com/open?id=1QIjsY-G34JC2kqnrbQcVhmfmLAEoKHo8&lt;/a&gt;</t>
  </si>
  <si>
    <t>&lt;a href="javascript:openPopupFocus%28%27https%3A%2F%2Fdrive.google.com%2Fopen%3Fid%3D1DaGcHOAiVePjbXPfibDQFCTIWxEenXsy%27%2C%20%27_blank%27%2C%20620%2C%20430%2C%20%27width%3D620%2Cheight%3D430%2Cresizable%3Dyes%2Ctoolbar%3Dyes%2Cstatus%3Dyes%2Cscrollbars%3Dyes%2Cmenubar%3Dyes%2Cdirectories%3Dyes%2Clocation%3Dyes%2Cdependant%3Dno%27%2C%20false%2C%20true%29%3B" title="https://drive.google.com/open?id=1DaGcHOAiVePjbXPfibDQFCTIWxEenXsy (Nova janela)"&gt;https://drive.google.com/open?id=1DaGcHOAiVePjbXPfibDQFCTIWxEenXsy&lt;/a&gt;</t>
  </si>
  <si>
    <t>&lt;a href="javascript:openPopupFocus%28%27https%3A%2F%2Fdrive.google.com%2Fopen%3Fid%3D1m2M2Z2XN0YLvXuZV3d9-B4HqJBDYKUOc%27%2C%20%27_blank%27%2C%20620%2C%20430%2C%20%27width%3D620%2Cheight%3D430%2Cresizable%3Dyes%2Ctoolbar%3Dyes%2Cstatus%3Dyes%2Cscrollbars%3Dyes%2Cmenubar%3Dyes%2Cdirectories%3Dyes%2Clocation%3Dyes%2Cdependant%3Dno%27%2C%20false%2C%20true%29%3B" title="https://drive.google.com/open?id=1m2M2Z2XN0YLvXuZV3d9-B4HqJBDYKUOc (Nova janela)"&gt;https://drive.google.com/open?id=1m2M2Z2XN0YLvXuZV3d9-B4HqJBDYKUOc&lt;/a&gt;</t>
  </si>
  <si>
    <t>&lt;a href="javascript:openPopupFocus%28%27https%3A%2F%2Fdrive.google.com%2Fopen%3Fid%3D1LzfDCwbuIOuTuAhJLJWwFMAoCGy3qU6R%27%2C%20%27_blank%27%2C%20620%2C%20430%2C%20%27width%3D620%2Cheight%3D430%2Cresizable%3Dyes%2Ctoolbar%3Dyes%2Cstatus%3Dyes%2Cscrollbars%3Dyes%2Cmenubar%3Dyes%2Cdirectories%3Dyes%2Clocation%3Dyes%2Cdependant%3Dno%27%2C%20false%2C%20true%29%3B" title="https://drive.google.com/open?id=1LzfDCwbuIOuTuAhJLJWwFMAoCGy3qU6R (Nova janela)"&gt;https://drive.google.com/open?id=1LzfDCwbuIOuTuAhJLJWwFMAoCGy3qU6R&lt;/a&gt;</t>
  </si>
  <si>
    <t>0014P00003AN2G9</t>
  </si>
  <si>
    <t>Instituto Reverbera</t>
  </si>
  <si>
    <t>41.351.846/0001-53</t>
  </si>
  <si>
    <t>Servidão Farias</t>
  </si>
  <si>
    <t>Florianópolis</t>
  </si>
  <si>
    <t>Praça do Monte Serrat - Caixa D'água - Endereço: R. Gen. Nestor Passos 443-381 - Centro Florianópolis - SC 88010-400
Parque Natural Municipal do Morro da Cruz - Endereço: Av. do Antão 607 - Centro Florianópolis - SC 88010-400
Centro Educacional Marist...</t>
  </si>
  <si>
    <t>Moradores de favelas ,Povos indígenas ,Quilombolas ,Afrodescententes ,</t>
  </si>
  <si>
    <t>Monte serrat (Centro)  comunidade M´biguacú (aldeia indigena grande Florianópolis) quilombo Toca Paulo Lopes Tapera Sul da Ilha</t>
  </si>
  <si>
    <t>ainda não definido</t>
  </si>
  <si>
    <t>Algo importante a se fazer anualmente</t>
  </si>
  <si>
    <t>Instagram @institutoreverbera</t>
  </si>
  <si>
    <t>0014P00003AN2GB</t>
  </si>
  <si>
    <t>Projeto Ondas</t>
  </si>
  <si>
    <t>08.996.310/0001-10</t>
  </si>
  <si>
    <t>Rua Almirante Tamandaré</t>
  </si>
  <si>
    <t>Guarujá</t>
  </si>
  <si>
    <t>Não aplicável</t>
  </si>
  <si>
    <t>Crianças e Adolescentes,</t>
  </si>
  <si>
    <t>Vila Baiana Vila Julia Cidade Atlântica.</t>
  </si>
  <si>
    <t>Crianças e adolescentes e suas famílias em situação de vulnerabilidade social</t>
  </si>
  <si>
    <t>On line - 3% - Convênio Público 12% - Privados 85%</t>
  </si>
  <si>
    <t>&lt;a href="javascript:openPopupFocus%28%27https%3A%2F%2Fwww.projetoondas.org.br%2F%27%2C%20%27_blank%27%2C%20620%2C%20430%2C%20%27width%3D620%2Cheight%3D430%2Cresizable%3Dyes%2Ctoolbar%3Dyes%2Cstatus%3Dyes%2Cscrollbars%3Dyes%2Cmenubar%3Dyes%2Cdirectories%3Dyes%2Clocation%3Dyes%2Cdependant%3Dno%27%2C%20false%2C%20true%29%3B" title="https://www.projetoondas.org.br/ (Nova janela)"&gt;https://www.projetoondas.org.br/&lt;/a&gt;</t>
  </si>
  <si>
    <t>https://www.facebook.com/ongprojetoondas        e    https://www.instagram.com/ongprojetoondas/?hl=pt-br</t>
  </si>
  <si>
    <t>0014P00003AN2GC</t>
  </si>
  <si>
    <t>Centro Cidadania Ação e Educação Socioambiental</t>
  </si>
  <si>
    <t>06.270.210/0001-86</t>
  </si>
  <si>
    <t>PB</t>
  </si>
  <si>
    <t>Sítio Santa Maria</t>
  </si>
  <si>
    <t>Maturéia</t>
  </si>
  <si>
    <t>Além da sede própria no município de Maturéia temos uam Unidade de Atendimento no município de Patos na Rua Ariston Aires de Lucena s/n QD E 21 - Conjunto dos Sapateiros - Bairro Monte Castelo   CEP: 58700-000. Em Patos o espaço físico é alugado.</t>
  </si>
  <si>
    <t>["Assistência Social","Cultura","Qualificação Profissional","Empreendedorismo","Meio ambiente"]</t>
  </si>
  <si>
    <t>Moradores de favelas ,Pessoas em situação de rua,População LGBTI,Quilombolas ,Afrodescententes ,Dependentes químicos ,</t>
  </si>
  <si>
    <t>No município de Patos - Conjunto dos Sapateiros Bairro do Jatobá Cangote do Urubu Beiral Três Postes Lixão Rua da Baixa. No município de Maturéia - 03 comunidades Rurais (Pedra Lavrada Santa Tereza Monte Belo. Na zona urbana comunidades da periferia cham...</t>
  </si>
  <si>
    <t>Damos uma atenção às pessoas que trabalham com artesanato e com o manejo da terra para sobreviverem pois entendemos que geralmente se enquadram em categorias que sempre estão em risco social.</t>
  </si>
  <si>
    <t>Vendas de produtos: 18%  -  Doações Pessoas Físicas 19%  -  Doações Pessoas Jurídicas 22%  Editais: 41%</t>
  </si>
  <si>
    <t>Estamos iniciando</t>
  </si>
  <si>
    <t>&lt;a href="javascript:openPopupFocus%28%27https%3A%2F%2Fcentrocidadania.org%2F%27%2C%20%27_blank%27%2C%20620%2C%20430%2C%20%27width%3D620%2Cheight%3D430%2Cresizable%3Dyes%2Ctoolbar%3Dyes%2Cstatus%3Dyes%2Cscrollbars%3Dyes%2Cmenubar%3Dyes%2Cdirectories%3Dyes%2Clocation%3Dyes%2Cdependant%3Dno%27%2C%20false%2C%20true%29%3B" title="https://centrocidadania.org/ (Nova janela)"&gt;https://centrocidadania.org/&lt;/a&gt;</t>
  </si>
  <si>
    <t>https://www.instagram.com/centrocidadania/   |    https://www.facebook.com/centrocidadaniaoficial</t>
  </si>
  <si>
    <t>0014P00003AN2GD</t>
  </si>
  <si>
    <t>Instituto SOS Reviver</t>
  </si>
  <si>
    <t>SOS Reviver</t>
  </si>
  <si>
    <t>04.827.803/0001-75</t>
  </si>
  <si>
    <t>Rua Coronel França Leite</t>
  </si>
  <si>
    <t>São João de Meriti</t>
  </si>
  <si>
    <t>Rua Abaeté 11 Chatuba Mesquita RJ.
Rua Liberdade 995A Parque Estoril Nova Iguaçu RJ</t>
  </si>
  <si>
    <t>["Esporte","Educação","Saúde"]</t>
  </si>
  <si>
    <t>Moradores de favelas ,Dependentes químicos ,</t>
  </si>
  <si>
    <t>Comunidade de Nilópolis Parque Estoril Nova Iguaçu e Chatuba Mesquita.</t>
  </si>
  <si>
    <t>Filhos do tráfico</t>
  </si>
  <si>
    <t>Doação pessoa física 80%  Eventos/Ações de captação 10% e Lei de incentivo 10%</t>
  </si>
  <si>
    <t>Um sonho. espero aprender na rede Fellows como ter.</t>
  </si>
  <si>
    <t>&lt;a href="javascript:openPopupFocus%28%27http%3A%2F%2Fwww.institutososreviver.ong%27%2C%20%27_blank%27%2C%20620%2C%20430%2C%20%27width%3D620%2Cheight%3D430%2Cresizable%3Dyes%2Ctoolbar%3Dyes%2Cstatus%3Dyes%2Cscrollbars%3Dyes%2Cmenubar%3Dyes%2Cdirectories%3Dyes%2Clocation%3Dyes%2Cdependant%3Dno%27%2C%20false%2C%20true%29%3B" title="http://www.institutososreviver.ong (Nova janela)"&gt;http://www.institutososreviver.ong&lt;/a&gt;</t>
  </si>
  <si>
    <t>https://pt-br.facebook.com/InstitutoSosReviver                         https://www.instagram.com/institutososreviver/</t>
  </si>
  <si>
    <t>0014P00003AN2GF</t>
  </si>
  <si>
    <t>Associação Cultural Casa do Beco</t>
  </si>
  <si>
    <t>04.589.342/0001-40</t>
  </si>
  <si>
    <t>Avenida Artur Bernardes</t>
  </si>
  <si>
    <t>Temos parcerias com 3 creches na comunidade com o Posto de saúde com o Cras e duas escolas (uma municipal e outra estadual) além de ter projetos junto com o museu de vilas e favelas local e as associações de bairros.</t>
  </si>
  <si>
    <t>["Educação","Cultura","Empreendedorismo","Saúde","Empoderamento feminino"]</t>
  </si>
  <si>
    <t>["Crianças (6 a 12 anos)","Adolescentes (12 aos 18 anos)","Adultos","Idosos (60 anos ou mais)"]</t>
  </si>
  <si>
    <t>Aglomerado Santa Lúcia / Morro do Papagaio (Composto por 5 vilas: Vila Santa Rita de Cássia Barragem Santa Lúcia Vila São Bento Vila Estrela e Vila Predinhos).
Temos parcerias que possibilitam a circulação de espetáculos palestras e intervenções com outr...</t>
  </si>
  <si>
    <t>Temos 4 grupos culturais que trabalham com ações variadas (teatro dança intervenção com mulheres e cinema) além de disponibilização de oficinas artísticas para crianças jovens adultos e idosos das instituções parceiras. Fora as apresentações culturais qu...</t>
  </si>
  <si>
    <t>Lei de Incentivo Federal: 50%, Lei de Incentivo Municipal: 30%, Campanha de doadores pessoa física on line: 10%,  Vendas de produtos: 3%, Eventos festas e outras formas alternativas: 7%</t>
  </si>
  <si>
    <t>&lt;a href="javascript:openPopupFocus%28%27http%3A%2F%2Fcasadobeco.org.br%2F%27%2C%20%27_blank%27%2C%20620%2C%20430%2C%20%27width%3D620%2Cheight%3D430%2Cresizable%3Dyes%2Ctoolbar%3Dyes%2Cstatus%3Dyes%2Cscrollbars%3Dyes%2Cmenubar%3Dyes%2Cdirectories%3Dyes%2Clocation%3Dyes%2Cdependant%3Dno%27%2C%20false%2C%20true%29%3B" title="http://casadobeco.org.br/ (Nova janela)"&gt;http://casadobeco.org.br/&lt;/a&gt;</t>
  </si>
  <si>
    <t>https://www.instagram.com/casa_dobeco/      https://www.facebook.com/acasadobeco</t>
  </si>
  <si>
    <t>0014P00003AN2GG</t>
  </si>
  <si>
    <t>Vila em Progresso</t>
  </si>
  <si>
    <t>Rua Carlota brianza Viela Boa Vista</t>
  </si>
  <si>
    <t>["Educação","Assistência Social"]</t>
  </si>
  <si>
    <t>Somos um projeto dentro da comunidade,</t>
  </si>
  <si>
    <t>Favela 2 Favela 162</t>
  </si>
  <si>
    <t>100% doações online</t>
  </si>
  <si>
    <t>&lt;a href="javascript:openPopupFocus%28%27https%3A%2F%2Fvilaemprogresso.com.br%2F%27%2C%20%27_blank%27%2C%20620%2C%20430%2C%20%27width%3D620%2Cheight%3D430%2Cresizable%3Dyes%2Ctoolbar%3Dyes%2Cstatus%3Dyes%2Cscrollbars%3Dyes%2Cmenubar%3Dyes%2Cdirectories%3Dyes%2Clocation%3Dyes%2Cdependant%3Dno%27%2C%20false%2C%20true%29%3B" title="https://vilaemprogresso.com.br/ (Nova janela)"&gt;https://vilaemprogresso.com.br/&lt;/a&gt;</t>
  </si>
  <si>
    <t>https://www.facebook.com/vilaemprogressooficial/</t>
  </si>
  <si>
    <t>0014P00003SGWPW</t>
  </si>
  <si>
    <t>ASSOCIAÇAO CIRCUITO INCLUSAO</t>
  </si>
  <si>
    <t>CIRCUITO INCLUSÃO</t>
  </si>
  <si>
    <t>40.821.523/0001-13</t>
  </si>
  <si>
    <t>Debora Dayane Batista</t>
  </si>
  <si>
    <t>circuitoinclusao@gmail.com</t>
  </si>
  <si>
    <t>(31)8568-1797</t>
  </si>
  <si>
    <t>RUA DAS CHÁCARAS</t>
  </si>
  <si>
    <t>LUA NOVA PAMPULHA</t>
  </si>
  <si>
    <t>BL 07 APT 102</t>
  </si>
  <si>
    <t>SOMOS UM PROJETO ITINERANTE NO MOMENTO SEM SEDE FIXA ESTAMOS REALIZANDO AS ATIVIDADES NAS DIVERSAS CIDADES EM ESPAÇOS PUBLICOS E PRIVADOS ESCOLAS E PRAÇAS.</t>
  </si>
  <si>
    <t>["Crianças (6 a 12 anos)","Crianças pequenas (4 anos a 5 anos e 11 meses)","Adolescentes (12 aos 18 anos)","Adultos","Jovens (18 aos 24 anos)","Bebês (0 a 1 ano e 6 meses)"]</t>
  </si>
  <si>
    <t>Moradores de favelas. Pessoas com deficiências</t>
  </si>
  <si>
    <t>ATENDEMOS AS FAMILIAS DAS CIDADES DIVERSAS COMUNIDADES E FAVELAS DISTRIBUIDAS NAS 10 CIDADES DE ATUAÇÃO DO PROJETO</t>
  </si>
  <si>
    <t>PROPORCIONAMOS LAZER E ESPORTE PARA PESSOAS COM DEFICIENCIA E SUAS FAMILIAS PARA QUE TODOS TENHAM ACESSO E FAÇAM PARTE DO LUGAR ONDE VIVEM.</t>
  </si>
  <si>
    <t>["Negócio Social","Eventos/Ações para captação","Plataforma doação online  Pessoa Física"]</t>
  </si>
  <si>
    <t>EVENTOS 50% NEGOCIO SOCIAL 5% PLATAFORMA 10%</t>
  </si>
  <si>
    <t>&lt;a href="javascript:openPopupFocus%28%27https%3A%2F%2Fcircuitoinclusao.wordpress.com%2F%27%2C%20%27_blank%27%2C%20620%2C%20430%2C%20%27width%3D620%2Cheight%3D430%2Cresizable%3Dyes%2Ctoolbar%3Dyes%2Cstatus%3Dyes%2Cscrollbars%3Dyes%2Cmenubar%3Dyes%2Cdirectories%3Dyes%2Clocation%3Dyes%2Cdependant%3Dno%27%2C%20false%2C%20true%29%3B" title="https://circuitoinclusao.wordpress.com/ (Nova janela)"&gt;https://circuitoinclusao.wordpress.com/&lt;/a&gt;</t>
  </si>
  <si>
    <t>&lt;a href="javascript:openPopupFocus%28%27https%3A%2F%2Fwww.instagram.com%2Fcircuitoinclusao%27%2C%20%27_blank%27%2C%20620%2C%20430%2C%20%27width%3D620%2Cheight%3D430%2Cresizable%3Dyes%2Ctoolbar%3Dyes%2Cstatus%3Dyes%2Cscrollbars%3Dyes%2Cmenubar%3Dyes%2Cdirectories%3Dyes%2Clocation%3Dyes%2Cdependant%3Dno%27%2C%20false%2C%20true%29%3B" title="https://www.instagram.com/circuitoinclusao (Nova janela)"&gt;https://www.instagram.com/circuitoinclusao&lt;/a&gt;</t>
  </si>
  <si>
    <t>&lt;a href="javascript:openPopupFocus%28%27https%3A%2F%2Fm.facebook.com%2Fcircuitoinclusao%2F%27%2C%20%27_blank%27%2C%20620%2C%20430%2C%20%27width%3D620%2Cheight%3D430%2Cresizable%3Dyes%2Ctoolbar%3Dyes%2Cstatus%3Dyes%2Cscrollbars%3Dyes%2Cmenubar%3Dyes%2Cdirectories%3Dyes%2Clocation%3Dyes%2Cdependant%3Dno%27%2C%20false%2C%20true%29%3B" title="https://m.facebook.com/circuitoinclusao/ (Nova janela)"&gt;https://m.facebook.com/circuitoinclusao/&lt;/a&gt;</t>
  </si>
  <si>
    <t>&lt;a href="javascript:openPopupFocus%28%27https%3A%2F%2Fyoutu.be%2FFOYED_2wmKs%27%2C%20%27_blank%27%2C%20620%2C%20430%2C%20%27width%3D620%2Cheight%3D430%2Cresizable%3Dyes%2Ctoolbar%3Dyes%2Cstatus%3Dyes%2Cscrollbars%3Dyes%2Cmenubar%3Dyes%2Cdirectories%3Dyes%2Clocation%3Dyes%2Cdependant%3Dno%27%2C%20false%2C%20true%29%3B" title="https://youtu.be/FOYED_2wmKs (Nova janela)"&gt;https://youtu.be/FOYED_2wmKs&lt;/a&gt;</t>
  </si>
  <si>
    <t>https://circuitoinclusao.wordpress.com/</t>
  </si>
  <si>
    <t>&lt;a href="javascript:openPopupFocus%28%27https%3A%2F%2Fdrive.google.com%2Fopen%3Fid%3D1vrgY6AeoVAojnYiNICmZVPL_G7aEPAN4%27%2C%20%27_blank%27%2C%20620%2C%20430%2C%20%27width%3D620%2Cheight%3D430%2Cresizable%3Dyes%2Ctoolbar%3Dyes%2Cstatus%3Dyes%2Cscrollbars%3Dyes%2Cmenubar%3Dyes%2Cdirectories%3Dyes%2Clocation%3Dyes%2Cdependant%3Dno%27%2C%20false%2C%20true%29%3B" title="https://drive.google.com/open?id=1vrgY6AeoVAojnYiNICmZVPL_G7aEPAN4 (Nova janela)"&gt;https://drive.google.com/open?id=1vrgY6AeoVAojnYiNICmZVPL_G7aEPAN4&lt;/a&gt;</t>
  </si>
  <si>
    <t>&lt;a href="javascript:openPopupFocus%28%27https%3A%2F%2Fdrive.google.com%2Fopen%3Fid%3D1OLtcE1n6ZSgoOQRhL0ExuQixBvKM4pWF%27%2C%20%27_blank%27%2C%20620%2C%20430%2C%20%27width%3D620%2Cheight%3D430%2Cresizable%3Dyes%2Ctoolbar%3Dyes%2Cstatus%3Dyes%2Cscrollbars%3Dyes%2Cmenubar%3Dyes%2Cdirectories%3Dyes%2Clocation%3Dyes%2Cdependant%3Dno%27%2C%20false%2C%20true%29%3B" title="https://drive.google.com/open?id=1OLtcE1n6ZSgoOQRhL0ExuQixBvKM4pWF (Nova janela)"&gt;https://drive.google.com/open?id=1OLtcE1n6ZSgoOQRhL0ExuQixBvKM4pWF&lt;/a&gt;</t>
  </si>
  <si>
    <t>&lt;a href="javascript:openPopupFocus%28%27https%3A%2F%2Fdrive.google.com%2Fopen%3Fid%3D1Go26r2BBinPYmpCya0oV13XGQqfw9daE%27%2C%20%27_blank%27%2C%20620%2C%20430%2C%20%27width%3D620%2Cheight%3D430%2Cresizable%3Dyes%2Ctoolbar%3Dyes%2Cstatus%3Dyes%2Cscrollbars%3Dyes%2Cmenubar%3Dyes%2Cdirectories%3Dyes%2Clocation%3Dyes%2Cdependant%3Dno%27%2C%20false%2C%20true%29%3B" title="https://drive.google.com/open?id=1Go26r2BBinPYmpCya0oV13XGQqfw9daE (Nova janela)"&gt;https://drive.google.com/open?id=1Go26r2BBinPYmpCya0oV13XGQqfw9daE&lt;/a&gt;</t>
  </si>
  <si>
    <t>&lt;a href="javascript:openPopupFocus%28%27https%3A%2F%2Fdrive.google.com%2Fopen%3Fid%3D1LBaS7RF9q_siVPTgqy5Pz0pUJT2RiyDD%27%2C%20%27_blank%27%2C%20620%2C%20430%2C%20%27width%3D620%2Cheight%3D430%2Cresizable%3Dyes%2Ctoolbar%3Dyes%2Cstatus%3Dyes%2Cscrollbars%3Dyes%2Cmenubar%3Dyes%2Cdirectories%3Dyes%2Clocation%3Dyes%2Cdependant%3Dno%27%2C%20false%2C%20true%29%3B" title="https://drive.google.com/open?id=1LBaS7RF9q_siVPTgqy5Pz0pUJT2RiyDD (Nova janela)"&gt;https://drive.google.com/open?id=1LBaS7RF9q_siVPTgqy5Pz0pUJT2RiyDD&lt;/a&gt;</t>
  </si>
  <si>
    <t>&lt;a href="javascript:openPopupFocus%28%27https%3A%2F%2Fdrive.google.com%2Fopen%3Fid%3D1GzD_qNiQmlz-MJzPvIqG-TX-rub8ZtZv%20https%3A%2F%2Fdrive.google.com%2Fopen%3Fid%3D1428StBe0yrrrhOPZKigwHXlxUmCjAg68%20https%3A%2F%2Fdrive.google.com%2Fopen%3Fid%3D1EQG-2mKek0reUjPDYLt7u6lrtTzfVDLP%20https%3A%2F%2Fdrive.google.com%2Fopen%3Fid%3D1Q6Nge8oPLfaaZUMnuslf%27%2C%20%27_blank%27%2C%20620%2C%20430%2C%20%27width%3D620%2Cheight%3D430%2Cresizable%3Dyes%2Ctoolbar%3Dyes%2Cstatus%3Dyes%2Cscrollbars%3Dyes%2Cmenubar%3Dyes%2Cdirectories%3Dyes%2Clocation%3Dyes%2Cdependant%3Dno%27%2C%20false%2C%20true%29%3B" title="https://drive.google.com/open?id=1GzD_qNiQmlz-MJzPvIqG-TX-rub8ZtZv https://drive.google.com/open?id=1428StBe0yrrrhOPZKigwHXlxUmCjAg68 https://drive.google.com/open?id=1EQG-2mKek0reUjPDYLt7u6lrtTzfVDLP https://drive.google.com/open?id=1Q6Nge8oPLfaaZUMnuslf (Nova janela)"&gt;https://drive.google.com/open?id=1GzD_qNiQmlz-MJzPvIqG-TX-rub8ZtZv https://drive.google.com/open?id=1428StBe0yrrrhOPZKigwHXlxUmCjAg68 https://drive.google.com/open?id=1EQG-2mKek0reUjPDYLt7u6lrtTzfVDLP https://drive.google.com/open?id=1Q6Nge8oPLfaaZUMnuslf&lt;/a&gt;</t>
  </si>
  <si>
    <t>0014P00003SGWPY</t>
  </si>
  <si>
    <t>ASSOCIAÇÃO PROJETO PONTO E VÍRGULA</t>
  </si>
  <si>
    <t>PONTO E VÍRGULA</t>
  </si>
  <si>
    <t>37.749.327/0001-70</t>
  </si>
  <si>
    <t>Elaine Cristina Silva Bassi</t>
  </si>
  <si>
    <t>associacaoppv@gmail.com</t>
  </si>
  <si>
    <t>(11)6493-2296</t>
  </si>
  <si>
    <t>Rua Aldeia dos Machacalis</t>
  </si>
  <si>
    <t>JD Etelvina</t>
  </si>
  <si>
    <t>Ferraz De Vasconcelos</t>
  </si>
  <si>
    <t>Escola Estadual Cesar Dacorso Filho - R. João Gomes de Farias 205 - Jardim Etelvina São Paulo - SP 08430-540</t>
  </si>
  <si>
    <t>Comunidade Morro do Acerto - Jd Etelvina
Ocupação Moradia Ja - Guaianazes
Comunidade Jd São Vicente</t>
  </si>
  <si>
    <t>["Eventos/Ações para captação","Outra opção"]</t>
  </si>
  <si>
    <t>80% Doação Responsável legal 20% ações/eventos</t>
  </si>
  <si>
    <t>&lt;a href="javascript:openPopupFocus%28%27https%3A%2F%2Fwww.instagram.com%2Fassociacaopontoevirgulaoficial%27%2C%20%27_blank%27%2C%20620%2C%20430%2C%20%27width%3D620%2Cheight%3D430%2Cresizable%3Dyes%2Ctoolbar%3Dyes%2Cstatus%3Dyes%2Cscrollbars%3Dyes%2Cmenubar%3Dyes%2Cdirectories%3Dyes%2Clocation%3Dyes%2Cdependant%3Dno%27%2C%20false%2C%20true%29%3B" title="https://www.instagram.com/associacaopontoevirgulaoficial (Nova janela)"&gt;https://www.instagram.com/associacaopontoevirgulaoficial&lt;/a&gt;</t>
  </si>
  <si>
    <t>&lt;a href="javascript:openPopupFocus%28%27https%3A%2F%2Fwww.facebook.com%2Fassociacaopontoevirgulaoficial%27%2C%20%27_blank%27%2C%20620%2C%20430%2C%20%27width%3D620%2Cheight%3D430%2Cresizable%3Dyes%2Ctoolbar%3Dyes%2Cstatus%3Dyes%2Cscrollbars%3Dyes%2Cmenubar%3Dyes%2Cdirectories%3Dyes%2Clocation%3Dyes%2Cdependant%3Dno%27%2C%20false%2C%20true%29%3B" title="https://www.facebook.com/associacaopontoevirgulaoficial (Nova janela)"&gt;https://www.facebook.com/associacaopontoevirgulaoficial&lt;/a&gt;</t>
  </si>
  <si>
    <t>&lt;a href="javascript:openPopupFocus%28%27https%3A%2F%2Fdrive.google.com%2Fopen%3Fid%3D1Wo0NxkaqVGMtgDRH9XorH6WV_m9k5i1r%27%2C%20%27_blank%27%2C%20620%2C%20430%2C%20%27width%3D620%2Cheight%3D430%2Cresizable%3Dyes%2Ctoolbar%3Dyes%2Cstatus%3Dyes%2Cscrollbars%3Dyes%2Cmenubar%3Dyes%2Cdirectories%3Dyes%2Clocation%3Dyes%2Cdependant%3Dno%27%2C%20false%2C%20true%29%3B" title="https://drive.google.com/open?id=1Wo0NxkaqVGMtgDRH9XorH6WV_m9k5i1r (Nova janela)"&gt;https://drive.google.com/open?id=1Wo0NxkaqVGMtgDRH9XorH6WV_m9k5i1r&lt;/a&gt;</t>
  </si>
  <si>
    <t>&lt;a href="javascript:openPopupFocus%28%27https%3A%2F%2Fdrive.google.com%2Fopen%3Fid%3D1rnQNGtmD5ABcyaGpS9qaQX1olBExEnQp%27%2C%20%27_blank%27%2C%20620%2C%20430%2C%20%27width%3D620%2Cheight%3D430%2Cresizable%3Dyes%2Ctoolbar%3Dyes%2Cstatus%3Dyes%2Cscrollbars%3Dyes%2Cmenubar%3Dyes%2Cdirectories%3Dyes%2Clocation%3Dyes%2Cdependant%3Dno%27%2C%20false%2C%20true%29%3B" title="https://drive.google.com/open?id=1rnQNGtmD5ABcyaGpS9qaQX1olBExEnQp (Nova janela)"&gt;https://drive.google.com/open?id=1rnQNGtmD5ABcyaGpS9qaQX1olBExEnQp&lt;/a&gt;</t>
  </si>
  <si>
    <t>&lt;a href="javascript:openPopupFocus%28%27https%3A%2F%2Fdrive.google.com%2Fopen%3Fid%3D1OKgVw5LwluDCDWtVEPEN49mwIKE5_VDv%27%2C%20%27_blank%27%2C%20620%2C%20430%2C%20%27width%3D620%2Cheight%3D430%2Cresizable%3Dyes%2Ctoolbar%3Dyes%2Cstatus%3Dyes%2Cscrollbars%3Dyes%2Cmenubar%3Dyes%2Cdirectories%3Dyes%2Clocation%3Dyes%2Cdependant%3Dno%27%2C%20false%2C%20true%29%3B" title="https://drive.google.com/open?id=1OKgVw5LwluDCDWtVEPEN49mwIKE5_VDv (Nova janela)"&gt;https://drive.google.com/open?id=1OKgVw5LwluDCDWtVEPEN49mwIKE5_VDv&lt;/a&gt;</t>
  </si>
  <si>
    <t>&lt;a href="javascript:openPopupFocus%28%27https%3A%2F%2Fdrive.google.com%2Fopen%3Fid%3D1yGvwKcRvMgzt-R70A_JJEc-v3UlR8vIV%27%2C%20%27_blank%27%2C%20620%2C%20430%2C%20%27width%3D620%2Cheight%3D430%2Cresizable%3Dyes%2Ctoolbar%3Dyes%2Cstatus%3Dyes%2Cscrollbars%3Dyes%2Cmenubar%3Dyes%2Cdirectories%3Dyes%2Clocation%3Dyes%2Cdependant%3Dno%27%2C%20false%2C%20true%29%3B" title="https://drive.google.com/open?id=1yGvwKcRvMgzt-R70A_JJEc-v3UlR8vIV (Nova janela)"&gt;https://drive.google.com/open?id=1yGvwKcRvMgzt-R70A_JJEc-v3UlR8vIV&lt;/a&gt;</t>
  </si>
  <si>
    <t>&lt;a href="javascript:openPopupFocus%28%27https%3A%2F%2Fdrive.google.com%2Fopen%3Fid%3D1jGlmuYr3fz_5VxV7QEDNRwF6lIyeXKFs%27%2C%20%27_blank%27%2C%20620%2C%20430%2C%20%27width%3D620%2Cheight%3D430%2Cresizable%3Dyes%2Ctoolbar%3Dyes%2Cstatus%3Dyes%2Cscrollbars%3Dyes%2Cmenubar%3Dyes%2Cdirectories%3Dyes%2Clocation%3Dyes%2Cdependant%3Dno%27%2C%20false%2C%20true%29%3B" title="https://drive.google.com/open?id=1jGlmuYr3fz_5VxV7QEDNRwF6lIyeXKFs (Nova janela)"&gt;https://drive.google.com/open?id=1jGlmuYr3fz_5VxV7QEDNRwF6lIyeXKFs&lt;/a&gt;</t>
  </si>
  <si>
    <t>&lt;a href="javascript:openPopupFocus%28%27https%3A%2F%2Fdrive.google.com%2Fopen%3Fid%3D1evzexYr7GtjwUQCdCrTEGxeIM5rwtz3Y%27%2C%20%27_blank%27%2C%20620%2C%20430%2C%20%27width%3D620%2Cheight%3D430%2Cresizable%3Dyes%2Ctoolbar%3Dyes%2Cstatus%3Dyes%2Cscrollbars%3Dyes%2Cmenubar%3Dyes%2Cdirectories%3Dyes%2Clocation%3Dyes%2Cdependant%3Dno%27%2C%20false%2C%20true%29%3B" title="https://drive.google.com/open?id=1evzexYr7GtjwUQCdCrTEGxeIM5rwtz3Y (Nova janela)"&gt;https://drive.google.com/open?id=1evzexYr7GtjwUQCdCrTEGxeIM5rwtz3Y&lt;/a&gt;</t>
  </si>
  <si>
    <t>&lt;a href="javascript:openPopupFocus%28%27https%3A%2F%2Fdrive.google.com%2Fopen%3Fid%3D1lMmsJpZBD3HvrNHGLNK5OEhWDawJzior%27%2C%20%27_blank%27%2C%20620%2C%20430%2C%20%27width%3D620%2Cheight%3D430%2Cresizable%3Dyes%2Ctoolbar%3Dyes%2Cstatus%3Dyes%2Cscrollbars%3Dyes%2Cmenubar%3Dyes%2Cdirectories%3Dyes%2Clocation%3Dyes%2Cdependant%3Dno%27%2C%20false%2C%20true%29%3B" title="https://drive.google.com/open?id=1lMmsJpZBD3HvrNHGLNK5OEhWDawJzior (Nova janela)"&gt;https://drive.google.com/open?id=1lMmsJpZBD3HvrNHGLNK5OEhWDawJzior&lt;/a&gt;</t>
  </si>
  <si>
    <t>0014P00003SGWPa</t>
  </si>
  <si>
    <t>ASSOCIAÇÃO CULTURAL DESPORTIVA SAPUCAIENSE DE CAPOEIRA</t>
  </si>
  <si>
    <t>SAPUCAIENSE DE CAPOEIRA</t>
  </si>
  <si>
    <t>26.181.953/0001-97</t>
  </si>
  <si>
    <t>Elias Toio Farias Dos Santos</t>
  </si>
  <si>
    <t>capoeira.acdsc@gmail.com</t>
  </si>
  <si>
    <t>(51)9704-7480</t>
  </si>
  <si>
    <t>Rua Francisco de Assis Soares</t>
  </si>
  <si>
    <t>Lomba da Palmeira</t>
  </si>
  <si>
    <t>Sapucaia Do Sul</t>
  </si>
  <si>
    <t>Lot Jd américa</t>
  </si>
  <si>
    <t>Rua Evaldo da rosa 364 bairro sete CEP93224-440</t>
  </si>
  <si>
    <t>["Esporte","Assistência Social","Cultura","Qualificação Profissional"]</t>
  </si>
  <si>
    <t>Moradores de favelas. Quilombolas</t>
  </si>
  <si>
    <t>["Lei de Incentivo","Editais","Outra opção"]</t>
  </si>
  <si>
    <t>30% Lei de incentivo 50% Editais 20% Fundo comunitário</t>
  </si>
  <si>
    <t>&lt;a href="javascript:openPopupFocus%28%27https%3A%2F%2Finstagram.com%2Finstituto_capoeirasocial%3Futm_medium%3Dcopy_link%27%2C%20%27_blank%27%2C%20620%2C%20430%2C%20%27width%3D620%2Cheight%3D430%2Cresizable%3Dyes%2Ctoolbar%3Dyes%2Cstatus%3Dyes%2Cscrollbars%3Dyes%2Cmenubar%3Dyes%2Cdirectories%3Dyes%2Clocation%3Dyes%2Cdependant%3Dno%27%2C%20false%2C%20true%29%3B" title="https://instagram.com/instituto_capoeirasocial?utm_medium=copy_link (Nova janela)"&gt;https://instagram.com/instituto_capoeirasocial?utm_medium=copy_link&lt;/a&gt;</t>
  </si>
  <si>
    <t>&lt;a href="javascript:openPopupFocus%28%27https%3A%2F%2Fwww.facebook.com%2FInstitutocapoeirasocial%2F%27%2C%20%27_blank%27%2C%20620%2C%20430%2C%20%27width%3D620%2Cheight%3D430%2Cresizable%3Dyes%2Ctoolbar%3Dyes%2Cstatus%3Dyes%2Cscrollbars%3Dyes%2Cmenubar%3Dyes%2Cdirectories%3Dyes%2Clocation%3Dyes%2Cdependant%3Dno%27%2C%20false%2C%20true%29%3B" title="https://www.facebook.com/Institutocapoeirasocial/ (Nova janela)"&gt;https://www.facebook.com/Institutocapoeirasocial/&lt;/a&gt;</t>
  </si>
  <si>
    <t>&lt;a href="javascript:openPopupFocus%28%27https%3A%2F%2Fyoutube.com%2Fchannel%2FUC7RfnnHLtkyjpwYMmwCwyJA%27%2C%20%27_blank%27%2C%20620%2C%20430%2C%20%27width%3D620%2Cheight%3D430%2Cresizable%3Dyes%2Ctoolbar%3Dyes%2Cstatus%3Dyes%2Cscrollbars%3Dyes%2Cmenubar%3Dyes%2Cdirectories%3Dyes%2Clocation%3Dyes%2Cdependant%3Dno%27%2C%20false%2C%20true%29%3B" title="https://youtube.com/channel/UC7RfnnHLtkyjpwYMmwCwyJA (Nova janela)"&gt;https://youtube.com/channel/UC7RfnnHLtkyjpwYMmwCwyJA&lt;/a&gt;</t>
  </si>
  <si>
    <t>&lt;a href="javascript:openPopupFocus%28%27https%3A%2F%2Fdrive.google.com%2Fopen%3Fid%3D1K-oGoqvjJu9YY7sK9x_mcieRsXX0VboA%27%2C%20%27_blank%27%2C%20620%2C%20430%2C%20%27width%3D620%2Cheight%3D430%2Cresizable%3Dyes%2Ctoolbar%3Dyes%2Cstatus%3Dyes%2Cscrollbars%3Dyes%2Cmenubar%3Dyes%2Cdirectories%3Dyes%2Clocation%3Dyes%2Cdependant%3Dno%27%2C%20false%2C%20true%29%3B" title="https://drive.google.com/open?id=1K-oGoqvjJu9YY7sK9x_mcieRsXX0VboA (Nova janela)"&gt;https://drive.google.com/open?id=1K-oGoqvjJu9YY7sK9x_mcieRsXX0VboA&lt;/a&gt;</t>
  </si>
  <si>
    <t>&lt;a href="javascript:openPopupFocus%28%27https%3A%2F%2Fdrive.google.com%2Fopen%3Fid%3D1Z35S-QOCXAEOovLJmfIHU7lL7zWi4xf-%27%2C%20%27_blank%27%2C%20620%2C%20430%2C%20%27width%3D620%2Cheight%3D430%2Cresizable%3Dyes%2Ctoolbar%3Dyes%2Cstatus%3Dyes%2Cscrollbars%3Dyes%2Cmenubar%3Dyes%2Cdirectories%3Dyes%2Clocation%3Dyes%2Cdependant%3Dno%27%2C%20false%2C%20true%29%3B" title="https://drive.google.com/open?id=1Z35S-QOCXAEOovLJmfIHU7lL7zWi4xf- (Nova janela)"&gt;https://drive.google.com/open?id=1Z35S-QOCXAEOovLJmfIHU7lL7zWi4xf-&lt;/a&gt;</t>
  </si>
  <si>
    <t>&lt;a href="javascript:openPopupFocus%28%27https%3A%2F%2Fdrive.google.com%2Fopen%3Fid%3D1aPe5Eb6dgS7RrdPitMsDqzGpPh0nAak_%27%2C%20%27_blank%27%2C%20620%2C%20430%2C%20%27width%3D620%2Cheight%3D430%2Cresizable%3Dyes%2Ctoolbar%3Dyes%2Cstatus%3Dyes%2Cscrollbars%3Dyes%2Cmenubar%3Dyes%2Cdirectories%3Dyes%2Clocation%3Dyes%2Cdependant%3Dno%27%2C%20false%2C%20true%29%3B" title="https://drive.google.com/open?id=1aPe5Eb6dgS7RrdPitMsDqzGpPh0nAak_ (Nova janela)"&gt;https://drive.google.com/open?id=1aPe5Eb6dgS7RrdPitMsDqzGpPh0nAak_&lt;/a&gt;</t>
  </si>
  <si>
    <t>&lt;a href="javascript:openPopupFocus%28%27https%3A%2F%2Fdrive.google.com%2Fopen%3Fid%3D18pM1W7qJmj7E3Tk6Txz69DAmRhLGSo5O%27%2C%20%27_blank%27%2C%20620%2C%20430%2C%20%27width%3D620%2Cheight%3D430%2Cresizable%3Dyes%2Ctoolbar%3Dyes%2Cstatus%3Dyes%2Cscrollbars%3Dyes%2Cmenubar%3Dyes%2Cdirectories%3Dyes%2Clocation%3Dyes%2Cdependant%3Dno%27%2C%20false%2C%20true%29%3B" title="https://drive.google.com/open?id=18pM1W7qJmj7E3Tk6Txz69DAmRhLGSo5O (Nova janela)"&gt;https://drive.google.com/open?id=18pM1W7qJmj7E3Tk6Txz69DAmRhLGSo5O&lt;/a&gt;</t>
  </si>
  <si>
    <t>0014P00003SGWPx</t>
  </si>
  <si>
    <t>INSTITUTO VID'ART</t>
  </si>
  <si>
    <t>VID'ART</t>
  </si>
  <si>
    <t>38.051.691/0001-25</t>
  </si>
  <si>
    <t>Marlene De Brito Maia De Souza</t>
  </si>
  <si>
    <t>contato@institutovidart.com.br</t>
  </si>
  <si>
    <t>(11)2372-8897</t>
  </si>
  <si>
    <t>Rua Graciano Altierio</t>
  </si>
  <si>
    <t>Casa Verde Alta</t>
  </si>
  <si>
    <t>Sobreloja</t>
  </si>
  <si>
    <t>Rua General Mello Rezende 200 Vila Santista São Paulo SP CEP: 02560-010</t>
  </si>
  <si>
    <t>["Esporte","Educação","Assistência Social","Cultura","Empreendedorismo","Meio ambiente"]</t>
  </si>
  <si>
    <t>Favela Do Agreste - Beira Mar - Tubos e Boi Malhado</t>
  </si>
  <si>
    <t>["Negócio Social","Eventos/Ações para captação","Plataforma doação online  Pessoa Física","Editais"]</t>
  </si>
  <si>
    <t>Negócio Social 30% Editais 40% Bazar 10% Plataforma 10% Eventos e Ações 10%</t>
  </si>
  <si>
    <t>&lt;a href="javascript:openPopupFocus%28%27https%3A%2F%2Finstitutovidart.com.br%2F%27%2C%20%27_blank%27%2C%20620%2C%20430%2C%20%27width%3D620%2Cheight%3D430%2Cresizable%3Dyes%2Ctoolbar%3Dyes%2Cstatus%3Dyes%2Cscrollbars%3Dyes%2Cmenubar%3Dyes%2Cdirectories%3Dyes%2Clocation%3Dyes%2Cdependant%3Dno%27%2C%20false%2C%20true%29%3B" title="https://institutovidart.com.br/ (Nova janela)"&gt;https://institutovidart.com.br/&lt;/a&gt;</t>
  </si>
  <si>
    <t>&lt;a href="javascript:openPopupFocus%28%27https%3A%2F%2Finstagram.com%2Finstitutovidart%3Futm_medium%3Dcopy_link%27%2C%20%27_blank%27%2C%20620%2C%20430%2C%20%27width%3D620%2Cheight%3D430%2Cresizable%3Dyes%2Ctoolbar%3Dyes%2Cstatus%3Dyes%2Cscrollbars%3Dyes%2Cmenubar%3Dyes%2Cdirectories%3Dyes%2Clocation%3Dyes%2Cdependant%3Dno%27%2C%20false%2C%20true%29%3B" title="https://instagram.com/institutovidart?utm_medium=copy_link (Nova janela)"&gt;https://instagram.com/institutovidart?utm_medium=copy_link&lt;/a&gt;</t>
  </si>
  <si>
    <t>&lt;a href="javascript:openPopupFocus%28%27https%3A%2F%2Fwww.facebook.com%2Fprofile.php%3Fid%3D100008988494894%27%2C%20%27_blank%27%2C%20620%2C%20430%2C%20%27width%3D620%2Cheight%3D430%2Cresizable%3Dyes%2Ctoolbar%3Dyes%2Cstatus%3Dyes%2Cscrollbars%3Dyes%2Cmenubar%3Dyes%2Cdirectories%3Dyes%2Clocation%3Dyes%2Cdependant%3Dno%27%2C%20false%2C%20true%29%3B" title="https://www.facebook.com/profile.php?id=100008988494894 (Nova janela)"&gt;https://www.facebook.com/profile.php?id=100008988494894&lt;/a&gt;</t>
  </si>
  <si>
    <t>&lt;a href="javascript:openPopupFocus%28%27https%3A%2F%2Fdrive.google.com%2Fopen%3Fid%3D1p30eG3spYjTU-ExGyyjnQYA7ehhlMpWT%27%2C%20%27_blank%27%2C%20620%2C%20430%2C%20%27width%3D620%2Cheight%3D430%2Cresizable%3Dyes%2Ctoolbar%3Dyes%2Cstatus%3Dyes%2Cscrollbars%3Dyes%2Cmenubar%3Dyes%2Cdirectories%3Dyes%2Clocation%3Dyes%2Cdependant%3Dno%27%2C%20false%2C%20true%29%3B" title="https://drive.google.com/open?id=1p30eG3spYjTU-ExGyyjnQYA7ehhlMpWT (Nova janela)"&gt;https://drive.google.com/open?id=1p30eG3spYjTU-ExGyyjnQYA7ehhlMpWT&lt;/a&gt;</t>
  </si>
  <si>
    <t>&lt;a href="javascript:openPopupFocus%28%27https%3A%2F%2Fdrive.google.com%2Fopen%3Fid%3D1fv63xN1ge4GqqlcklVA2GpFpfLH-SkPe%27%2C%20%27_blank%27%2C%20620%2C%20430%2C%20%27width%3D620%2Cheight%3D430%2Cresizable%3Dyes%2Ctoolbar%3Dyes%2Cstatus%3Dyes%2Cscrollbars%3Dyes%2Cmenubar%3Dyes%2Cdirectories%3Dyes%2Clocation%3Dyes%2Cdependant%3Dno%27%2C%20false%2C%20true%29%3B" title="https://drive.google.com/open?id=1fv63xN1ge4GqqlcklVA2GpFpfLH-SkPe (Nova janela)"&gt;https://drive.google.com/open?id=1fv63xN1ge4GqqlcklVA2GpFpfLH-SkPe&lt;/a&gt;</t>
  </si>
  <si>
    <t>&lt;a href="javascript:openPopupFocus%28%27https%3A%2F%2Fdrive.google.com%2Fopen%3Fid%3D1bN4T6DaGqHtpQBeeaVkKqKKsiKwe5ixF%27%2C%20%27_blank%27%2C%20620%2C%20430%2C%20%27width%3D620%2Cheight%3D430%2Cresizable%3Dyes%2Ctoolbar%3Dyes%2Cstatus%3Dyes%2Cscrollbars%3Dyes%2Cmenubar%3Dyes%2Cdirectories%3Dyes%2Clocation%3Dyes%2Cdependant%3Dno%27%2C%20false%2C%20true%29%3B" title="https://drive.google.com/open?id=1bN4T6DaGqHtpQBeeaVkKqKKsiKwe5ixF (Nova janela)"&gt;https://drive.google.com/open?id=1bN4T6DaGqHtpQBeeaVkKqKKsiKwe5ixF&lt;/a&gt;</t>
  </si>
  <si>
    <t>&lt;a href="javascript:openPopupFocus%28%27https%3A%2F%2Fdrive.google.com%2Fopen%3Fid%3D1FgLHTJPMMP6vOJF81K-C3ddblollYJdP%27%2C%20%27_blank%27%2C%20620%2C%20430%2C%20%27width%3D620%2Cheight%3D430%2Cresizable%3Dyes%2Ctoolbar%3Dyes%2Cstatus%3Dyes%2Cscrollbars%3Dyes%2Cmenubar%3Dyes%2Cdirectories%3Dyes%2Clocation%3Dyes%2Cdependant%3Dno%27%2C%20false%2C%20true%29%3B" title="https://drive.google.com/open?id=1FgLHTJPMMP6vOJF81K-C3ddblollYJdP (Nova janela)"&gt;https://drive.google.com/open?id=1FgLHTJPMMP6vOJF81K-C3ddblollYJdP&lt;/a&gt;</t>
  </si>
  <si>
    <t>0014P00003SGWPu</t>
  </si>
  <si>
    <t>INSTITUTO EDUCA MAIS ESPORTE</t>
  </si>
  <si>
    <t>EDUCA</t>
  </si>
  <si>
    <t>42.038.167/0001-91</t>
  </si>
  <si>
    <t>Maria Raquel De Souza</t>
  </si>
  <si>
    <t>ma.raquelcabral@gmail.com</t>
  </si>
  <si>
    <t>Travessa Valter Cavalcante</t>
  </si>
  <si>
    <t>Bonsucesso</t>
  </si>
  <si>
    <t>Endereço fiscal ( escritório virtual): Rua Barbosa de Freitas n ° 1741 Aldeota CEP: 60170021.</t>
  </si>
  <si>
    <t>Cideral Samambaia Santa de Virgem e Luminosa.</t>
  </si>
  <si>
    <t>&lt;a href="javascript:openPopupFocus%28%27https%3A%2F%2Finstagram.com%2Finstitutoeducamaisesporte%3Futm_medium%3Dcopy_link%27%2C%20%27_blank%27%2C%20620%2C%20430%2C%20%27width%3D620%2Cheight%3D430%2Cresizable%3Dyes%2Ctoolbar%3Dyes%2Cstatus%3Dyes%2Cscrollbars%3Dyes%2Cmenubar%3Dyes%2Cdirectories%3Dyes%2Clocation%3Dyes%2Cdependant%3Dno%27%2C%20false%2C%20true%29%3B" title="https://instagram.com/institutoeducamaisesporte?utm_medium=copy_link (Nova janela)"&gt;https://instagram.com/institutoeducamaisesporte?utm_medium=copy_link&lt;/a&gt;</t>
  </si>
  <si>
    <t>&lt;a href="javascript:openPopupFocus%28%27https%3A%2F%2Fdrive.google.com%2Fopen%3Fid%3D1Yeqpj-32I5f1qRf-dE2YziHiPjqKachE%27%2C%20%27_blank%27%2C%20620%2C%20430%2C%20%27width%3D620%2Cheight%3D430%2Cresizable%3Dyes%2Ctoolbar%3Dyes%2Cstatus%3Dyes%2Cscrollbars%3Dyes%2Cmenubar%3Dyes%2Cdirectories%3Dyes%2Clocation%3Dyes%2Cdependant%3Dno%27%2C%20false%2C%20true%29%3B" title="https://drive.google.com/open?id=1Yeqpj-32I5f1qRf-dE2YziHiPjqKachE (Nova janela)"&gt;https://drive.google.com/open?id=1Yeqpj-32I5f1qRf-dE2YziHiPjqKachE&lt;/a&gt;</t>
  </si>
  <si>
    <t>&lt;a href="javascript:openPopupFocus%28%27https%3A%2F%2Fdrive.google.com%2Fopen%3Fid%3D1SDUMMzYyt1AaI5XXNVU_1FghApz-pjHH%27%2C%20%27_blank%27%2C%20620%2C%20430%2C%20%27width%3D620%2Cheight%3D430%2Cresizable%3Dyes%2Ctoolbar%3Dyes%2Cstatus%3Dyes%2Cscrollbars%3Dyes%2Cmenubar%3Dyes%2Cdirectories%3Dyes%2Clocation%3Dyes%2Cdependant%3Dno%27%2C%20false%2C%20true%29%3B" title="https://drive.google.com/open?id=1SDUMMzYyt1AaI5XXNVU_1FghApz-pjHH (Nova janela)"&gt;https://drive.google.com/open?id=1SDUMMzYyt1AaI5XXNVU_1FghApz-pjHH&lt;/a&gt;</t>
  </si>
  <si>
    <t>&lt;a href="javascript:openPopupFocus%28%27https%3A%2F%2Fdrive.google.com%2Fopen%3Fid%3D1oRCE4H1srUhiztsIDSj7C76HKo9FIb9B%27%2C%20%27_blank%27%2C%20620%2C%20430%2C%20%27width%3D620%2Cheight%3D430%2Cresizable%3Dyes%2Ctoolbar%3Dyes%2Cstatus%3Dyes%2Cscrollbars%3Dyes%2Cmenubar%3Dyes%2Cdirectories%3Dyes%2Clocation%3Dyes%2Cdependant%3Dno%27%2C%20false%2C%20true%29%3B" title="https://drive.google.com/open?id=1oRCE4H1srUhiztsIDSj7C76HKo9FIb9B (Nova janela)"&gt;https://drive.google.com/open?id=1oRCE4H1srUhiztsIDSj7C76HKo9FIb9B&lt;/a&gt;</t>
  </si>
  <si>
    <t>&lt;a href="javascript:openPopupFocus%28%27https%3A%2F%2Fdrive.google.com%2Fopen%3Fid%3D1WlI1LnXmpUGblXXgi6HLJGoks_fV3_4U%27%2C%20%27_blank%27%2C%20620%2C%20430%2C%20%27width%3D620%2Cheight%3D430%2Cresizable%3Dyes%2Ctoolbar%3Dyes%2Cstatus%3Dyes%2Cscrollbars%3Dyes%2Cmenubar%3Dyes%2Cdirectories%3Dyes%2Clocation%3Dyes%2Cdependant%3Dno%27%2C%20false%2C%20true%29%3B" title="https://drive.google.com/open?id=1WlI1LnXmpUGblXXgi6HLJGoks_fV3_4U (Nova janela)"&gt;https://drive.google.com/open?id=1WlI1LnXmpUGblXXgi6HLJGoks_fV3_4U&lt;/a&gt;</t>
  </si>
  <si>
    <t>&lt;a href="javascript:openPopupFocus%28%27https%3A%2F%2Fdrive.google.com%2Fopen%3Fid%3D1V5wIvWgKbTfICILcMJG35CyLA6DEPaRe%27%2C%20%27_blank%27%2C%20620%2C%20430%2C%20%27width%3D620%2Cheight%3D430%2Cresizable%3Dyes%2Ctoolbar%3Dyes%2Cstatus%3Dyes%2Cscrollbars%3Dyes%2Cmenubar%3Dyes%2Cdirectories%3Dyes%2Clocation%3Dyes%2Cdependant%3Dno%27%2C%20false%2C%20true%29%3B" title="https://drive.google.com/open?id=1V5wIvWgKbTfICILcMJG35CyLA6DEPaRe (Nova janela)"&gt;https://drive.google.com/open?id=1V5wIvWgKbTfICILcMJG35CyLA6DEPaRe&lt;/a&gt;</t>
  </si>
  <si>
    <t>0014P00003SGWPv</t>
  </si>
  <si>
    <t>INSTITUTO SOCIAL CORRENTE DO AMOR</t>
  </si>
  <si>
    <t>CORRENTE DO AMOR</t>
  </si>
  <si>
    <t>15.187.340/0001-40</t>
  </si>
  <si>
    <t>Edna Ferreira Silva</t>
  </si>
  <si>
    <t>correntedoamor.uniao@gmail.com</t>
  </si>
  <si>
    <t>(38)9185-1718</t>
  </si>
  <si>
    <t>rua santa efigenia</t>
  </si>
  <si>
    <t>morrinhos</t>
  </si>
  <si>
    <t>Montes Claros</t>
  </si>
  <si>
    <t>Rua principe da paz 105 morrinhos  39402772</t>
  </si>
  <si>
    <t>["Esporte","Educação","Assistência Social","Cultura","Qualificação Profissional","Empreendedorismo","Meio ambiente"]</t>
  </si>
  <si>
    <t>Moradores de favelas. Pessoas em situação de rua. Egressos</t>
  </si>
  <si>
    <t>Morrinhos e região  residencial vitoria</t>
  </si>
  <si>
    <t>["Eventos/Ações para captação","Plataforma doação online  Pessoa Física"]</t>
  </si>
  <si>
    <t>90% pessoas físicas e 10% eventos</t>
  </si>
  <si>
    <t>&lt;a href="javascript:openPopupFocus%28%27http%3A%2F%2Fwww.correntedoamor.org%27%2C%20%27_blank%27%2C%20620%2C%20430%2C%20%27width%3D620%2Cheight%3D430%2Cresizable%3Dyes%2Ctoolbar%3Dyes%2Cstatus%3Dyes%2Cscrollbars%3Dyes%2Cmenubar%3Dyes%2Cdirectories%3Dyes%2Clocation%3Dyes%2Cdependant%3Dno%27%2C%20false%2C%20true%29%3B" title="http://www.correntedoamor.org (Nova janela)"&gt;http://www.correntedoamor.org&lt;/a&gt;</t>
  </si>
  <si>
    <t>&lt;a href="javascript:openPopupFocus%28%27https%3A%2F%2Fwww.instagram.com%2Fcorrentedoamormoc%2F%27%2C%20%27_blank%27%2C%20620%2C%20430%2C%20%27width%3D620%2Cheight%3D430%2Cresizable%3Dyes%2Ctoolbar%3Dyes%2Cstatus%3Dyes%2Cscrollbars%3Dyes%2Cmenubar%3Dyes%2Cdirectories%3Dyes%2Clocation%3Dyes%2Cdependant%3Dno%27%2C%20false%2C%20true%29%3B" title="https://www.instagram.com/correntedoamormoc/ (Nova janela)"&gt;https://www.instagram.com/correntedoamormoc/&lt;/a&gt;</t>
  </si>
  <si>
    <t>&lt;a href="javascript:openPopupFocus%28%27https%3A%2F%2Fpt-br.facebook.com%2FCorrentedoamor%2F%27%2C%20%27_blank%27%2C%20620%2C%20430%2C%20%27width%3D620%2Cheight%3D430%2Cresizable%3Dyes%2Ctoolbar%3Dyes%2Cstatus%3Dyes%2Cscrollbars%3Dyes%2Cmenubar%3Dyes%2Cdirectories%3Dyes%2Clocation%3Dyes%2Cdependant%3Dno%27%2C%20false%2C%20true%29%3B" title="https://pt-br.facebook.com/Correntedoamor/ (Nova janela)"&gt;https://pt-br.facebook.com/Correntedoamor/&lt;/a&gt;</t>
  </si>
  <si>
    <t>&lt;a href="javascript:openPopupFocus%28%27https%3A%2F%2Fwww.youtube.com%2Fwatch%3Fv%3DyZQU0vNo2Ck%27%2C%20%27_blank%27%2C%20620%2C%20430%2C%20%27width%3D620%2Cheight%3D430%2Cresizable%3Dyes%2Ctoolbar%3Dyes%2Cstatus%3Dyes%2Cscrollbars%3Dyes%2Cmenubar%3Dyes%2Cdirectories%3Dyes%2Clocation%3Dyes%2Cdependant%3Dno%27%2C%20false%2C%20true%29%3B" title="https://www.youtube.com/watch?v=yZQU0vNo2Ck (Nova janela)"&gt;https://www.youtube.com/watch?v=yZQU0vNo2Ck&lt;/a&gt;</t>
  </si>
  <si>
    <t>&lt;a href="javascript:openPopupFocus%28%27https%3A%2F%2Fdrive.google.com%2Fopen%3Fid%3D1zu74HyMwMoScn1aLcBpy-dgb4NB8ZlJh%27%2C%20%27_blank%27%2C%20620%2C%20430%2C%20%27width%3D620%2Cheight%3D430%2Cresizable%3Dyes%2Ctoolbar%3Dyes%2Cstatus%3Dyes%2Cscrollbars%3Dyes%2Cmenubar%3Dyes%2Cdirectories%3Dyes%2Clocation%3Dyes%2Cdependant%3Dno%27%2C%20false%2C%20true%29%3B" title="https://drive.google.com/open?id=1zu74HyMwMoScn1aLcBpy-dgb4NB8ZlJh (Nova janela)"&gt;https://drive.google.com/open?id=1zu74HyMwMoScn1aLcBpy-dgb4NB8ZlJh&lt;/a&gt;</t>
  </si>
  <si>
    <t>&lt;a href="javascript:openPopupFocus%28%27https%3A%2F%2Fdrive.google.com%2Fopen%3Fid%3D1Mmyw20ReWN1gBznVWSJkpxCrjlgsrYqG%27%2C%20%27_blank%27%2C%20620%2C%20430%2C%20%27width%3D620%2Cheight%3D430%2Cresizable%3Dyes%2Ctoolbar%3Dyes%2Cstatus%3Dyes%2Cscrollbars%3Dyes%2Cmenubar%3Dyes%2Cdirectories%3Dyes%2Clocation%3Dyes%2Cdependant%3Dno%27%2C%20false%2C%20true%29%3B" title="https://drive.google.com/open?id=1Mmyw20ReWN1gBznVWSJkpxCrjlgsrYqG (Nova janela)"&gt;https://drive.google.com/open?id=1Mmyw20ReWN1gBznVWSJkpxCrjlgsrYqG&lt;/a&gt;</t>
  </si>
  <si>
    <t>&lt;a href="javascript:openPopupFocus%28%27https%3A%2F%2Fdrive.google.com%2Fopen%3Fid%3D1mrrBIF8Tfy2xtY8TFMyMUrM3kv-VzV9U%27%2C%20%27_blank%27%2C%20620%2C%20430%2C%20%27width%3D620%2Cheight%3D430%2Cresizable%3Dyes%2Ctoolbar%3Dyes%2Cstatus%3Dyes%2Cscrollbars%3Dyes%2Cmenubar%3Dyes%2Cdirectories%3Dyes%2Clocation%3Dyes%2Cdependant%3Dno%27%2C%20false%2C%20true%29%3B" title="https://drive.google.com/open?id=1mrrBIF8Tfy2xtY8TFMyMUrM3kv-VzV9U (Nova janela)"&gt;https://drive.google.com/open?id=1mrrBIF8Tfy2xtY8TFMyMUrM3kv-VzV9U&lt;/a&gt;</t>
  </si>
  <si>
    <t>&lt;a href="javascript:openPopupFocus%28%27https%3A%2F%2Fdrive.google.com%2Fopen%3Fid%3D1fZ8kMcr_Kl45Oh1Cu4bC44QIqQNlZ55u%27%2C%20%27_blank%27%2C%20620%2C%20430%2C%20%27width%3D620%2Cheight%3D430%2Cresizable%3Dyes%2Ctoolbar%3Dyes%2Cstatus%3Dyes%2Cscrollbars%3Dyes%2Cmenubar%3Dyes%2Cdirectories%3Dyes%2Clocation%3Dyes%2Cdependant%3Dno%27%2C%20false%2C%20true%29%3B" title="https://drive.google.com/open?id=1fZ8kMcr_Kl45Oh1Cu4bC44QIqQNlZ55u (Nova janela)"&gt;https://drive.google.com/open?id=1fZ8kMcr_Kl45Oh1Cu4bC44QIqQNlZ55u&lt;/a&gt;</t>
  </si>
  <si>
    <t>&lt;a href="javascript:openPopupFocus%28%27https%3A%2F%2Fdrive.google.com%2Fopen%3Fid%3D10CnIaKqB7aFh3e3p26eqfQ5Q8hKjIuK5%27%2C%20%27_blank%27%2C%20620%2C%20430%2C%20%27width%3D620%2Cheight%3D430%2Cresizable%3Dyes%2Ctoolbar%3Dyes%2Cstatus%3Dyes%2Cscrollbars%3Dyes%2Cmenubar%3Dyes%2Cdirectories%3Dyes%2Clocation%3Dyes%2Cdependant%3Dno%27%2C%20false%2C%20true%29%3B" title="https://drive.google.com/open?id=10CnIaKqB7aFh3e3p26eqfQ5Q8hKjIuK5 (Nova janela)"&gt;https://drive.google.com/open?id=10CnIaKqB7aFh3e3p26eqfQ5Q8hKjIuK5&lt;/a&gt;</t>
  </si>
  <si>
    <t>&lt;a href="javascript:openPopupFocus%28%27https%3A%2F%2Fdrive.google.com%2Fopen%3Fid%3D1BiXdP5J4A7uxzxVZ8moy7b-6vgzwJUGV%27%2C%20%27_blank%27%2C%20620%2C%20430%2C%20%27width%3D620%2Cheight%3D430%2Cresizable%3Dyes%2Ctoolbar%3Dyes%2Cstatus%3Dyes%2Cscrollbars%3Dyes%2Cmenubar%3Dyes%2Cdirectories%3Dyes%2Clocation%3Dyes%2Cdependant%3Dno%27%2C%20false%2C%20true%29%3B" title="https://drive.google.com/open?id=1BiXdP5J4A7uxzxVZ8moy7b-6vgzwJUGV (Nova janela)"&gt;https://drive.google.com/open?id=1BiXdP5J4A7uxzxVZ8moy7b-6vgzwJUGV&lt;/a&gt;</t>
  </si>
  <si>
    <t>0014P00003SGWPw</t>
  </si>
  <si>
    <t>INSTITUTO SOCIAL SEMEANDO</t>
  </si>
  <si>
    <t>SEMEANDO</t>
  </si>
  <si>
    <t>17.196.253/0001-85</t>
  </si>
  <si>
    <t>Sidnea Lucia Prado</t>
  </si>
  <si>
    <t>semeando.instituto.social@gmail.com</t>
  </si>
  <si>
    <t>(31)9715-3006</t>
  </si>
  <si>
    <t>RUA CONDE VALADARES</t>
  </si>
  <si>
    <t>NOVA CACHOEIRINHA</t>
  </si>
  <si>
    <t>["Crianças (6 a 12 anos)","Adultos","Adolescentes (12 aos 18 anos) Jovens (18 aos 24 anos)"]</t>
  </si>
  <si>
    <t>Moradores de favelas. Pessoas em situação de rua. Imigrantes</t>
  </si>
  <si>
    <t>Nova Cachoeirinha Bananal Aldeia</t>
  </si>
  <si>
    <t>Atualmente inexistência de projetos nesta região</t>
  </si>
  <si>
    <t>&lt;a href="javascript:openPopupFocus%28%27https%3A%2F%2Fwww.instagram.com%2Finstitutosocialsemeando%2F%27%2C%20%27_blank%27%2C%20620%2C%20430%2C%20%27width%3D620%2Cheight%3D430%2Cresizable%3Dyes%2Ctoolbar%3Dyes%2Cstatus%3Dyes%2Cscrollbars%3Dyes%2Cmenubar%3Dyes%2Cdirectories%3Dyes%2Clocation%3Dyes%2Cdependant%3Dno%27%2C%20false%2C%20true%29%3B" title="https://www.instagram.com/institutosocialsemeando/ (Nova janela)"&gt;https://www.instagram.com/institutosocialsemeando/&lt;/a&gt;</t>
  </si>
  <si>
    <t>&lt;a href="javascript:openPopupFocus%28%27https%3A%2F%2Fwww.youtube.com%2Fchannel%2FUC1N1-H0TK8EQW5sMZoUO_cg%27%2C%20%27_blank%27%2C%20620%2C%20430%2C%20%27width%3D620%2Cheight%3D430%2Cresizable%3Dyes%2Ctoolbar%3Dyes%2Cstatus%3Dyes%2Cscrollbars%3Dyes%2Cmenubar%3Dyes%2Cdirectories%3Dyes%2Clocation%3Dyes%2Cdependant%3Dno%27%2C%20false%2C%20true%29%3B" title="https://www.youtube.com/channel/UC1N1-H0TK8EQW5sMZoUO_cg (Nova janela)"&gt;https://www.youtube.com/channel/UC1N1-H0TK8EQW5sMZoUO_cg&lt;/a&gt;</t>
  </si>
  <si>
    <t>&lt;a href="javascript:openPopupFocus%28%27https%3A%2F%2Fdrive.google.com%2Fopen%3Fid%3D167H--oCxxihQq-S2pi-s9Pf0GtODXoaK%27%2C%20%27_blank%27%2C%20620%2C%20430%2C%20%27width%3D620%2Cheight%3D430%2Cresizable%3Dyes%2Ctoolbar%3Dyes%2Cstatus%3Dyes%2Cscrollbars%3Dyes%2Cmenubar%3Dyes%2Cdirectories%3Dyes%2Clocation%3Dyes%2Cdependant%3Dno%27%2C%20false%2C%20true%29%3B" title="https://drive.google.com/open?id=167H--oCxxihQq-S2pi-s9Pf0GtODXoaK (Nova janela)"&gt;https://drive.google.com/open?id=167H--oCxxihQq-S2pi-s9Pf0GtODXoaK&lt;/a&gt;</t>
  </si>
  <si>
    <t>&lt;a href="javascript:openPopupFocus%28%27https%3A%2F%2Fdrive.google.com%2Fopen%3Fid%3D1huFHHVwQPSPyjDTe8kI2YjKRfF8QPzAy%27%2C%20%27_blank%27%2C%20620%2C%20430%2C%20%27width%3D620%2Cheight%3D430%2Cresizable%3Dyes%2Ctoolbar%3Dyes%2Cstatus%3Dyes%2Cscrollbars%3Dyes%2Cmenubar%3Dyes%2Cdirectories%3Dyes%2Clocation%3Dyes%2Cdependant%3Dno%27%2C%20false%2C%20true%29%3B" title="https://drive.google.com/open?id=1huFHHVwQPSPyjDTe8kI2YjKRfF8QPzAy (Nova janela)"&gt;https://drive.google.com/open?id=1huFHHVwQPSPyjDTe8kI2YjKRfF8QPzAy&lt;/a&gt;</t>
  </si>
  <si>
    <t>&lt;a href="javascript:openPopupFocus%28%27https%3A%2F%2Fdrive.google.com%2Fopen%3Fid%3D140lS8lqXnudr2e9sTgJYmhnstau7YDg1%27%2C%20%27_blank%27%2C%20620%2C%20430%2C%20%27width%3D620%2Cheight%3D430%2Cresizable%3Dyes%2Ctoolbar%3Dyes%2Cstatus%3Dyes%2Cscrollbars%3Dyes%2Cmenubar%3Dyes%2Cdirectories%3Dyes%2Clocation%3Dyes%2Cdependant%3Dno%27%2C%20false%2C%20true%29%3B" title="https://drive.google.com/open?id=140lS8lqXnudr2e9sTgJYmhnstau7YDg1 (Nova janela)"&gt;https://drive.google.com/open?id=140lS8lqXnudr2e9sTgJYmhnstau7YDg1&lt;/a&gt;</t>
  </si>
  <si>
    <t>&lt;a href="javascript:openPopupFocus%28%27https%3A%2F%2Fdrive.google.com%2Fopen%3Fid%3D1GEleBLAMvGK8UeLqKNz95VKjMVnMC3hR%27%2C%20%27_blank%27%2C%20620%2C%20430%2C%20%27width%3D620%2Cheight%3D430%2Cresizable%3Dyes%2Ctoolbar%3Dyes%2Cstatus%3Dyes%2Cscrollbars%3Dyes%2Cmenubar%3Dyes%2Cdirectories%3Dyes%2Clocation%3Dyes%2Cdependant%3Dno%27%2C%20false%2C%20true%29%3B" title="https://drive.google.com/open?id=1GEleBLAMvGK8UeLqKNz95VKjMVnMC3hR (Nova janela)"&gt;https://drive.google.com/open?id=1GEleBLAMvGK8UeLqKNz95VKjMVnMC3hR&lt;/a&gt;</t>
  </si>
  <si>
    <t>0014P00003SGWQ2</t>
  </si>
  <si>
    <t>COLETIVO ANDANÇAS DF</t>
  </si>
  <si>
    <t>ANDANÇAS</t>
  </si>
  <si>
    <t>Priscila do Carmo Araújo</t>
  </si>
  <si>
    <t>andancasdfoficial@gmail.com</t>
  </si>
  <si>
    <t>(61)9335-8340</t>
  </si>
  <si>
    <t>DF</t>
  </si>
  <si>
    <t>DF 150 Km 11 Chácara 2 - Rua do Mato/Fercal/DF</t>
  </si>
  <si>
    <t>Rua do Mato/Fercal</t>
  </si>
  <si>
    <t>Sobradinho</t>
  </si>
  <si>
    <t>["Educação","Assistência Social","Cultura","Qualificação Profissional","Empreendedorismo","Meio ambiente"]</t>
  </si>
  <si>
    <t>Moradores de favelas. Afrodescendentes. Dependentes químicos. Pessoas com deficiências</t>
  </si>
  <si>
    <t>Rua do Mato Engenho Velho Bananal Alto Bela VIsta Fercal I Boa Vista Caatingueiro Córrego do Ouro Fercal II Lobeiral Queima Lençol PA Contagem Expansão Bela Vista Nova Colina Buritizinho Sansão Vila Rabelo AR Coer Park</t>
  </si>
  <si>
    <t>["Eventos/Ações para captação","Projetos Específicos com Empresas","Editais","Outra opção"]</t>
  </si>
  <si>
    <t>25% eventos 25% projetos com empresas 25% editais 25% recurso próprio</t>
  </si>
  <si>
    <t>&lt;a href="javascript:openPopupFocus%28%27http%3A%2F%2Fandancasdf.com.br%2F%27%2C%20%27_blank%27%2C%20620%2C%20430%2C%20%27width%3D620%2Cheight%3D430%2Cresizable%3Dyes%2Ctoolbar%3Dyes%2Cstatus%3Dyes%2Cscrollbars%3Dyes%2Cmenubar%3Dyes%2Cdirectories%3Dyes%2Clocation%3Dyes%2Cdependant%3Dno%27%2C%20false%2C%20true%29%3B" title="http://andancasdf.com.br/ (Nova janela)"&gt;http://andancasdf.com.br/&lt;/a&gt;</t>
  </si>
  <si>
    <t>&lt;a href="javascript:openPopupFocus%28%27https%3A%2F%2Fwww.instagram.com%2Fandancasdf_oficial%2F%27%2C%20%27_blank%27%2C%20620%2C%20430%2C%20%27width%3D620%2Cheight%3D430%2Cresizable%3Dyes%2Ctoolbar%3Dyes%2Cstatus%3Dyes%2Cscrollbars%3Dyes%2Cmenubar%3Dyes%2Cdirectories%3Dyes%2Clocation%3Dyes%2Cdependant%3Dno%27%2C%20false%2C%20true%29%3B" title="https://www.instagram.com/andancasdf_oficial/ (Nova janela)"&gt;https://www.instagram.com/andancasdf_oficial/&lt;/a&gt;</t>
  </si>
  <si>
    <t>&lt;a href="javascript:openPopupFocus%28%27https%3A%2F%2Fwww.facebook.com%2Fandancasdf%27%2C%20%27_blank%27%2C%20620%2C%20430%2C%20%27width%3D620%2Cheight%3D430%2Cresizable%3Dyes%2Ctoolbar%3Dyes%2Cstatus%3Dyes%2Cscrollbars%3Dyes%2Cmenubar%3Dyes%2Cdirectories%3Dyes%2Clocation%3Dyes%2Cdependant%3Dno%27%2C%20false%2C%20true%29%3B" title="https://www.facebook.com/andancasdf (Nova janela)"&gt;https://www.facebook.com/andancasdf&lt;/a&gt;</t>
  </si>
  <si>
    <t>&lt;a href="javascript:openPopupFocus%28%27https%3A%2F%2Fdrive.google.com%2Fopen%3Fid%3D1qaUFeHSukbnlYo2NvfrH4io5oKd1KE2T%27%2C%20%27_blank%27%2C%20620%2C%20430%2C%20%27width%3D620%2Cheight%3D430%2Cresizable%3Dyes%2Ctoolbar%3Dyes%2Cstatus%3Dyes%2Cscrollbars%3Dyes%2Cmenubar%3Dyes%2Cdirectories%3Dyes%2Clocation%3Dyes%2Cdependant%3Dno%27%2C%20false%2C%20true%29%3B" title="https://drive.google.com/open?id=1qaUFeHSukbnlYo2NvfrH4io5oKd1KE2T (Nova janela)"&gt;https://drive.google.com/open?id=1qaUFeHSukbnlYo2NvfrH4io5oKd1KE2T&lt;/a&gt;</t>
  </si>
  <si>
    <t>&lt;a href="javascript:openPopupFocus%28%27https%3A%2F%2Fdrive.google.com%2Fopen%3Fid%3D1ZCNc53tFuLGEEhe4Nr-CQmjol4K24lHd%27%2C%20%27_blank%27%2C%20620%2C%20430%2C%20%27width%3D620%2Cheight%3D430%2Cresizable%3Dyes%2Ctoolbar%3Dyes%2Cstatus%3Dyes%2Cscrollbars%3Dyes%2Cmenubar%3Dyes%2Cdirectories%3Dyes%2Clocation%3Dyes%2Cdependant%3Dno%27%2C%20false%2C%20true%29%3B" title="https://drive.google.com/open?id=1ZCNc53tFuLGEEhe4Nr-CQmjol4K24lHd (Nova janela)"&gt;https://drive.google.com/open?id=1ZCNc53tFuLGEEhe4Nr-CQmjol4K24lHd&lt;/a&gt;</t>
  </si>
  <si>
    <t>&lt;a href="javascript:openPopupFocus%28%27https%3A%2F%2Fdrive.google.com%2Fopen%3Fid%3D1G7AefYIlyYudwMOEBh4mXkHvsg6lu-Va%27%2C%20%27_blank%27%2C%20620%2C%20430%2C%20%27width%3D620%2Cheight%3D430%2Cresizable%3Dyes%2Ctoolbar%3Dyes%2Cstatus%3Dyes%2Cscrollbars%3Dyes%2Cmenubar%3Dyes%2Cdirectories%3Dyes%2Clocation%3Dyes%2Cdependant%3Dno%27%2C%20false%2C%20true%29%3B" title="https://drive.google.com/open?id=1G7AefYIlyYudwMOEBh4mXkHvsg6lu-Va (Nova janela)"&gt;https://drive.google.com/open?id=1G7AefYIlyYudwMOEBh4mXkHvsg6lu-Va&lt;/a&gt;</t>
  </si>
  <si>
    <t>&lt;a href="javascript:openPopupFocus%28%27https%3A%2F%2Fdrive.google.com%2Fopen%3Fid%3D1QUASKN-EcneT5LK6sW-gc-3nR6YBxrfW%27%2C%20%27_blank%27%2C%20620%2C%20430%2C%20%27width%3D620%2Cheight%3D430%2Cresizable%3Dyes%2Ctoolbar%3Dyes%2Cstatus%3Dyes%2Cscrollbars%3Dyes%2Cmenubar%3Dyes%2Cdirectories%3Dyes%2Clocation%3Dyes%2Cdependant%3Dno%27%2C%20false%2C%20true%29%3B" title="https://drive.google.com/open?id=1QUASKN-EcneT5LK6sW-gc-3nR6YBxrfW (Nova janela)"&gt;https://drive.google.com/open?id=1QUASKN-EcneT5LK6sW-gc-3nR6YBxrfW&lt;/a&gt;</t>
  </si>
  <si>
    <t>&lt;a href="javascript:openPopupFocus%28%27https%3A%2F%2Fdrive.google.com%2Fopen%3Fid%3D1yI4nc_xX4_5QM2Wh6hkzkskS4aSXK9Zw%27%2C%20%27_blank%27%2C%20620%2C%20430%2C%20%27width%3D620%2Cheight%3D430%2Cresizable%3Dyes%2Ctoolbar%3Dyes%2Cstatus%3Dyes%2Cscrollbars%3Dyes%2Cmenubar%3Dyes%2Cdirectories%3Dyes%2Clocation%3Dyes%2Cdependant%3Dno%27%2C%20false%2C%20true%29%3B" title="https://drive.google.com/open?id=1yI4nc_xX4_5QM2Wh6hkzkskS4aSXK9Zw (Nova janela)"&gt;https://drive.google.com/open?id=1yI4nc_xX4_5QM2Wh6hkzkskS4aSXK9Zw&lt;/a&gt;</t>
  </si>
  <si>
    <t>&lt;a href="javascript:openPopupFocus%28%27https%3A%2F%2Fdrive.google.com%2Fopen%3Fid%3D1OtZ6hJ_1Hyj_Gap2pCsmL2Szw38aSSBc%27%2C%20%27_blank%27%2C%20620%2C%20430%2C%20%27width%3D620%2Cheight%3D430%2Cresizable%3Dyes%2Ctoolbar%3Dyes%2Cstatus%3Dyes%2Cscrollbars%3Dyes%2Cmenubar%3Dyes%2Cdirectories%3Dyes%2Clocation%3Dyes%2Cdependant%3Dno%27%2C%20false%2C%20true%29%3B" title="https://drive.google.com/open?id=1OtZ6hJ_1Hyj_Gap2pCsmL2Szw38aSSBc (Nova janela)"&gt;https://drive.google.com/open?id=1OtZ6hJ_1Hyj_Gap2pCsmL2Szw38aSSBc&lt;/a&gt;</t>
  </si>
  <si>
    <t>0014P00003SGWPz</t>
  </si>
  <si>
    <t>INSTITUTO HERDAR</t>
  </si>
  <si>
    <t>HERDAR</t>
  </si>
  <si>
    <t>09.047.452/0001-01</t>
  </si>
  <si>
    <t>Poliana A Rodrigues</t>
  </si>
  <si>
    <t>poliana@herdar.org.br</t>
  </si>
  <si>
    <t>(31)8688-7119</t>
  </si>
  <si>
    <t>Rua Pedra Negra</t>
  </si>
  <si>
    <t>São Gabriel</t>
  </si>
  <si>
    <t>não se aplica por enquanto</t>
  </si>
  <si>
    <t>São Gabriel Ouro Minas Vila da Luz Goiânia A B C Beira Linha Paulo VI Vista do Sol Dom Silvério Maria Goretti Jardim Vitória.</t>
  </si>
  <si>
    <t>parte do São Gabriel Beira Linha Vila da Luz são ocupação</t>
  </si>
  <si>
    <t>["Lei de Incentivo","Negócio Social","Convênio Público","Eventos/Ações para captação","Plataforma doação online  Pessoa Física"]</t>
  </si>
  <si>
    <t>&lt;a href="javascript:openPopupFocus%28%27http%3A%2F%2Fwww.herdar.org.br%27%2C%20%27_blank%27%2C%20620%2C%20430%2C%20%27width%3D620%2Cheight%3D430%2Cresizable%3Dyes%2Ctoolbar%3Dyes%2Cstatus%3Dyes%2Cscrollbars%3Dyes%2Cmenubar%3Dyes%2Cdirectories%3Dyes%2Clocation%3Dyes%2Cdependant%3Dno%27%2C%20false%2C%20true%29%3B" title="http://www.herdar.org.br (Nova janela)"&gt;http://www.herdar.org.br&lt;/a&gt;</t>
  </si>
  <si>
    <t>&lt;a href="javascript:openPopupFocus%28%27https%3A%2F%2Fwww.instagram.com%2Finstitutoherdar%2F%27%2C%20%27_blank%27%2C%20620%2C%20430%2C%20%27width%3D620%2Cheight%3D430%2Cresizable%3Dyes%2Ctoolbar%3Dyes%2Cstatus%3Dyes%2Cscrollbars%3Dyes%2Cmenubar%3Dyes%2Cdirectories%3Dyes%2Clocation%3Dyes%2Cdependant%3Dno%27%2C%20false%2C%20true%29%3B" title="https://www.instagram.com/institutoherdar/ (Nova janela)"&gt;https://www.instagram.com/institutoherdar/&lt;/a&gt;</t>
  </si>
  <si>
    <t>&lt;a href="javascript:openPopupFocus%28%27https%3A%2F%2Fwww.facebook.com%2Finstitutoherdar%27%2C%20%27_blank%27%2C%20620%2C%20430%2C%20%27width%3D620%2Cheight%3D430%2Cresizable%3Dyes%2Ctoolbar%3Dyes%2Cstatus%3Dyes%2Cscrollbars%3Dyes%2Cmenubar%3Dyes%2Cdirectories%3Dyes%2Clocation%3Dyes%2Cdependant%3Dno%27%2C%20false%2C%20true%29%3B" title="https://www.facebook.com/institutoherdar (Nova janela)"&gt;https://www.facebook.com/institutoherdar&lt;/a&gt;</t>
  </si>
  <si>
    <t>&lt;a href="javascript:openPopupFocus%28%27https%3A%2F%2Fwww.youtube.com%2Fchannel%2FUCV_wrE-4iqEW3McnfjK5DQg%27%2C%20%27_blank%27%2C%20620%2C%20430%2C%20%27width%3D620%2Cheight%3D430%2Cresizable%3Dyes%2Ctoolbar%3Dyes%2Cstatus%3Dyes%2Cscrollbars%3Dyes%2Cmenubar%3Dyes%2Cdirectories%3Dyes%2Clocation%3Dyes%2Cdependant%3Dno%27%2C%20false%2C%20true%29%3B" title="https://www.youtube.com/channel/UCV_wrE-4iqEW3McnfjK5DQg (Nova janela)"&gt;https://www.youtube.com/channel/UCV_wrE-4iqEW3McnfjK5DQg&lt;/a&gt;</t>
  </si>
  <si>
    <t>https://www.linkedin.com/company/instituto-herdar/</t>
  </si>
  <si>
    <t>&lt;a href="javascript:openPopupFocus%28%27https%3A%2F%2Fdrive.google.com%2Fopen%3Fid%3D1Yge0VSiP15O66SbP3NLCd-VwyIZNiPqx%27%2C%20%27_blank%27%2C%20620%2C%20430%2C%20%27width%3D620%2Cheight%3D430%2Cresizable%3Dyes%2Ctoolbar%3Dyes%2Cstatus%3Dyes%2Cscrollbars%3Dyes%2Cmenubar%3Dyes%2Cdirectories%3Dyes%2Clocation%3Dyes%2Cdependant%3Dno%27%2C%20false%2C%20true%29%3B" title="https://drive.google.com/open?id=1Yge0VSiP15O66SbP3NLCd-VwyIZNiPqx (Nova janela)"&gt;https://drive.google.com/open?id=1Yge0VSiP15O66SbP3NLCd-VwyIZNiPqx&lt;/a&gt;</t>
  </si>
  <si>
    <t>&lt;a href="javascript:openPopupFocus%28%27https%3A%2F%2Fdrive.google.com%2Fopen%3Fid%3D1d4VDjSg62Jw9LJeDC1xcSa-HYhJux-nZ%27%2C%20%27_blank%27%2C%20620%2C%20430%2C%20%27width%3D620%2Cheight%3D430%2Cresizable%3Dyes%2Ctoolbar%3Dyes%2Cstatus%3Dyes%2Cscrollbars%3Dyes%2Cmenubar%3Dyes%2Cdirectories%3Dyes%2Clocation%3Dyes%2Cdependant%3Dno%27%2C%20false%2C%20true%29%3B" title="https://drive.google.com/open?id=1d4VDjSg62Jw9LJeDC1xcSa-HYhJux-nZ (Nova janela)"&gt;https://drive.google.com/open?id=1d4VDjSg62Jw9LJeDC1xcSa-HYhJux-nZ&lt;/a&gt;</t>
  </si>
  <si>
    <t>&lt;a href="javascript:openPopupFocus%28%27https%3A%2F%2Fdrive.google.com%2Fopen%3Fid%3D1Rvg7-plISvgIftKiFyazuds7myrzYtdh%27%2C%20%27_blank%27%2C%20620%2C%20430%2C%20%27width%3D620%2Cheight%3D430%2Cresizable%3Dyes%2Ctoolbar%3Dyes%2Cstatus%3Dyes%2Cscrollbars%3Dyes%2Cmenubar%3Dyes%2Cdirectories%3Dyes%2Clocation%3Dyes%2Cdependant%3Dno%27%2C%20false%2C%20true%29%3B" title="https://drive.google.com/open?id=1Rvg7-plISvgIftKiFyazuds7myrzYtdh (Nova janela)"&gt;https://drive.google.com/open?id=1Rvg7-plISvgIftKiFyazuds7myrzYtdh&lt;/a&gt;</t>
  </si>
  <si>
    <t>&lt;a href="javascript:openPopupFocus%28%27https%3A%2F%2Fdrive.google.com%2Fopen%3Fid%3D1V-Xw656sdm_-MRiwaFb6dP1PtCZrdwU_%27%2C%20%27_blank%27%2C%20620%2C%20430%2C%20%27width%3D620%2Cheight%3D430%2Cresizable%3Dyes%2Ctoolbar%3Dyes%2Cstatus%3Dyes%2Cscrollbars%3Dyes%2Cmenubar%3Dyes%2Cdirectories%3Dyes%2Clocation%3Dyes%2Cdependant%3Dno%27%2C%20false%2C%20true%29%3B" title="https://drive.google.com/open?id=1V-Xw656sdm_-MRiwaFb6dP1PtCZrdwU_ (Nova janela)"&gt;https://drive.google.com/open?id=1V-Xw656sdm_-MRiwaFb6dP1PtCZrdwU_&lt;/a&gt;</t>
  </si>
  <si>
    <t>&lt;a href="javascript:openPopupFocus%28%27https%3A%2F%2Fdrive.google.com%2Fopen%3Fid%3D1TmrmPYJLLo-bfGgo5TYgoUyr4f2k8gQw%27%2C%20%27_blank%27%2C%20620%2C%20430%2C%20%27width%3D620%2Cheight%3D430%2Cresizable%3Dyes%2Ctoolbar%3Dyes%2Cstatus%3Dyes%2Cscrollbars%3Dyes%2Cmenubar%3Dyes%2Cdirectories%3Dyes%2Clocation%3Dyes%2Cdependant%3Dno%27%2C%20false%2C%20true%29%3B" title="https://drive.google.com/open?id=1TmrmPYJLLo-bfGgo5TYgoUyr4f2k8gQw (Nova janela)"&gt;https://drive.google.com/open?id=1TmrmPYJLLo-bfGgo5TYgoUyr4f2k8gQw&lt;/a&gt;</t>
  </si>
  <si>
    <t>&lt;a href="javascript:openPopupFocus%28%27https%3A%2F%2Fdrive.google.com%2Fopen%3Fid%3D1TUs1Gy_wPYChpQa3bNDfNEhtSFHg63B-%27%2C%20%27_blank%27%2C%20620%2C%20430%2C%20%27width%3D620%2Cheight%3D430%2Cresizable%3Dyes%2Ctoolbar%3Dyes%2Cstatus%3Dyes%2Cscrollbars%3Dyes%2Cmenubar%3Dyes%2Cdirectories%3Dyes%2Clocation%3Dyes%2Cdependant%3Dno%27%2C%20false%2C%20true%29%3B" title="https://drive.google.com/open?id=1TUs1Gy_wPYChpQa3bNDfNEhtSFHg63B- (Nova janela)"&gt;https://drive.google.com/open?id=1TUs1Gy_wPYChpQa3bNDfNEhtSFHg63B-&lt;/a&gt;</t>
  </si>
  <si>
    <t>&lt;a href="javascript:openPopupFocus%28%27https%3A%2F%2Fdrive.google.com%2Fopen%3Fid%3D1F97V0cra6Nbj0bxiKhebULXhEdh0asUy%27%2C%20%27_blank%27%2C%20620%2C%20430%2C%20%27width%3D620%2Cheight%3D430%2Cresizable%3Dyes%2Ctoolbar%3Dyes%2Cstatus%3Dyes%2Cscrollbars%3Dyes%2Cmenubar%3Dyes%2Cdirectories%3Dyes%2Clocation%3Dyes%2Cdependant%3Dno%27%2C%20false%2C%20true%29%3B" title="https://drive.google.com/open?id=1F97V0cra6Nbj0bxiKhebULXhEdh0asUy (Nova janela)"&gt;https://drive.google.com/open?id=1F97V0cra6Nbj0bxiKhebULXhEdh0asUy&lt;/a&gt;</t>
  </si>
  <si>
    <t>0014P00003SGWQ0</t>
  </si>
  <si>
    <t>KYRIUS CIA DE ARTES</t>
  </si>
  <si>
    <t>KYRIUS</t>
  </si>
  <si>
    <t>06.329.045/0001-90</t>
  </si>
  <si>
    <t>José Nilton Batista Soares</t>
  </si>
  <si>
    <t>kyrius.artes@gmail.com</t>
  </si>
  <si>
    <t>(31)3235-7555</t>
  </si>
  <si>
    <t>Rua São Marcos</t>
  </si>
  <si>
    <t>Água Branca</t>
  </si>
  <si>
    <t>O espaço é cedida pela prefeitura anualmente via acordo de cooperação técnica que podem ser ou não renovados.</t>
  </si>
  <si>
    <t>["Educação","Assistência Social","Cultura","Qualificação Profissional","Saúde"]</t>
  </si>
  <si>
    <t>Moradores de favelas. Afrodescendentes. Pessoas com deficiências</t>
  </si>
  <si>
    <t>Vilas Itaú PTO Barroquinha Buracão Vila Paris  Vila Marimbondo   Vila Cristina Vila Jardim Teresópolis Vila Santa Edwiges Vila Beneves Vila Buraco da Coruja e Beco Troca Tapas.</t>
  </si>
  <si>
    <t>A maioria é criança e adolescente morador de Vila que moram apenas com a mãe recebem bolsa família e estudam na escola pública. Uma parcela significativa são moradores de vilas. pequenas que surgem ao derredor de distritos industriais marcadas por intens...</t>
  </si>
  <si>
    <t>["Lei de Incentivo","Convênio Público","Editais"]</t>
  </si>
  <si>
    <t>50% editais 35% convênio público e 15% lei de incentivo</t>
  </si>
  <si>
    <t>&lt;a href="javascript:openPopupFocus%28%27http%3A%2F%2Fkyrius.org.br%27%2C%20%27_blank%27%2C%20620%2C%20430%2C%20%27width%3D620%2Cheight%3D430%2Cresizable%3Dyes%2Ctoolbar%3Dyes%2Cstatus%3Dyes%2Cscrollbars%3Dyes%2Cmenubar%3Dyes%2Cdirectories%3Dyes%2Clocation%3Dyes%2Cdependant%3Dno%27%2C%20false%2C%20true%29%3B" title="http://kyrius.org.br (Nova janela)"&gt;http://kyrius.org.br&lt;/a&gt;</t>
  </si>
  <si>
    <t>&lt;a href="javascript:openPopupFocus%28%27https%3A%2F%2Fwww.instagram.com%2Fkyriuscia%2F%27%2C%20%27_blank%27%2C%20620%2C%20430%2C%20%27width%3D620%2Cheight%3D430%2Cresizable%3Dyes%2Ctoolbar%3Dyes%2Cstatus%3Dyes%2Cscrollbars%3Dyes%2Cmenubar%3Dyes%2Cdirectories%3Dyes%2Clocation%3Dyes%2Cdependant%3Dno%27%2C%20false%2C%20true%29%3B" title="https://www.instagram.com/kyriuscia/ (Nova janela)"&gt;https://www.instagram.com/kyriuscia/&lt;/a&gt;</t>
  </si>
  <si>
    <t>&lt;a href="javascript:openPopupFocus%28%27https%3A%2F%2Fwww.facebook.com%2Fgrupo.kyrius%2F%27%2C%20%27_blank%27%2C%20620%2C%20430%2C%20%27width%3D620%2Cheight%3D430%2Cresizable%3Dyes%2Ctoolbar%3Dyes%2Cstatus%3Dyes%2Cscrollbars%3Dyes%2Cmenubar%3Dyes%2Cdirectories%3Dyes%2Clocation%3Dyes%2Cdependant%3Dno%27%2C%20false%2C%20true%29%3B" title="https://www.facebook.com/grupo.kyrius/ (Nova janela)"&gt;https://www.facebook.com/grupo.kyrius/&lt;/a&gt;</t>
  </si>
  <si>
    <t>&lt;a href="javascript:openPopupFocus%28%27https%3A%2F%2Fwww.youtube.com%2Fchannel%2FUCxljMIZlgaukOHIa-ETTZvQ%27%2C%20%27_blank%27%2C%20620%2C%20430%2C%20%27width%3D620%2Cheight%3D430%2Cresizable%3Dyes%2Ctoolbar%3Dyes%2Cstatus%3Dyes%2Cscrollbars%3Dyes%2Cmenubar%3Dyes%2Cdirectories%3Dyes%2Clocation%3Dyes%2Cdependant%3Dno%27%2C%20false%2C%20true%29%3B" title="https://www.youtube.com/channel/UCxljMIZlgaukOHIa-ETTZvQ (Nova janela)"&gt;https://www.youtube.com/channel/UCxljMIZlgaukOHIa-ETTZvQ&lt;/a&gt;</t>
  </si>
  <si>
    <t>https://www.facebook.com/kyriuscia</t>
  </si>
  <si>
    <t>&lt;a href="javascript:openPopupFocus%28%27https%3A%2F%2Fdrive.google.com%2Fopen%3Fid%3D1vvFTNGnzemtnCUe7rUxearFHXVCyVqFe%27%2C%20%27_blank%27%2C%20620%2C%20430%2C%20%27width%3D620%2Cheight%3D430%2Cresizable%3Dyes%2Ctoolbar%3Dyes%2Cstatus%3Dyes%2Cscrollbars%3Dyes%2Cmenubar%3Dyes%2Cdirectories%3Dyes%2Clocation%3Dyes%2Cdependant%3Dno%27%2C%20false%2C%20true%29%3B" title="https://drive.google.com/open?id=1vvFTNGnzemtnCUe7rUxearFHXVCyVqFe (Nova janela)"&gt;https://drive.google.com/open?id=1vvFTNGnzemtnCUe7rUxearFHXVCyVqFe&lt;/a&gt;</t>
  </si>
  <si>
    <t>&lt;a href="javascript:openPopupFocus%28%27https%3A%2F%2Fdrive.google.com%2Fopen%3Fid%3D1AqS7LQiSp81PaR8M4AIkJbAJor62PVX6%27%2C%20%27_blank%27%2C%20620%2C%20430%2C%20%27width%3D620%2Cheight%3D430%2Cresizable%3Dyes%2Ctoolbar%3Dyes%2Cstatus%3Dyes%2Cscrollbars%3Dyes%2Cmenubar%3Dyes%2Cdirectories%3Dyes%2Clocation%3Dyes%2Cdependant%3Dno%27%2C%20false%2C%20true%29%3B" title="https://drive.google.com/open?id=1AqS7LQiSp81PaR8M4AIkJbAJor62PVX6 (Nova janela)"&gt;https://drive.google.com/open?id=1AqS7LQiSp81PaR8M4AIkJbAJor62PVX6&lt;/a&gt;</t>
  </si>
  <si>
    <t>&lt;a href="javascript:openPopupFocus%28%27https%3A%2F%2Fdrive.google.com%2Fopen%3Fid%3D1r54CWQTwLhyAZLq_moAmIXbYE8MZyzI8%27%2C%20%27_blank%27%2C%20620%2C%20430%2C%20%27width%3D620%2Cheight%3D430%2Cresizable%3Dyes%2Ctoolbar%3Dyes%2Cstatus%3Dyes%2Cscrollbars%3Dyes%2Cmenubar%3Dyes%2Cdirectories%3Dyes%2Clocation%3Dyes%2Cdependant%3Dno%27%2C%20false%2C%20true%29%3B" title="https://drive.google.com/open?id=1r54CWQTwLhyAZLq_moAmIXbYE8MZyzI8 (Nova janela)"&gt;https://drive.google.com/open?id=1r54CWQTwLhyAZLq_moAmIXbYE8MZyzI8&lt;/a&gt;</t>
  </si>
  <si>
    <t>&lt;a href="javascript:openPopupFocus%28%27https%3A%2F%2Fdrive.google.com%2Fopen%3Fid%3D1ZeMg6Aby0mvFqfn_EpfX1G_Gzok4pvWP%27%2C%20%27_blank%27%2C%20620%2C%20430%2C%20%27width%3D620%2Cheight%3D430%2Cresizable%3Dyes%2Ctoolbar%3Dyes%2Cstatus%3Dyes%2Cscrollbars%3Dyes%2Cmenubar%3Dyes%2Cdirectories%3Dyes%2Clocation%3Dyes%2Cdependant%3Dno%27%2C%20false%2C%20true%29%3B" title="https://drive.google.com/open?id=1ZeMg6Aby0mvFqfn_EpfX1G_Gzok4pvWP (Nova janela)"&gt;https://drive.google.com/open?id=1ZeMg6Aby0mvFqfn_EpfX1G_Gzok4pvWP&lt;/a&gt;</t>
  </si>
  <si>
    <t>&lt;a href="javascript:openPopupFocus%28%27https%3A%2F%2Fdrive.google.com%2Fopen%3Fid%3D1e3ng2cAUsYj7fS7kiSrz3obTdifkNY-7%27%2C%20%27_blank%27%2C%20620%2C%20430%2C%20%27width%3D620%2Cheight%3D430%2Cresizable%3Dyes%2Ctoolbar%3Dyes%2Cstatus%3Dyes%2Cscrollbars%3Dyes%2Cmenubar%3Dyes%2Cdirectories%3Dyes%2Clocation%3Dyes%2Cdependant%3Dno%27%2C%20false%2C%20true%29%3B" title="https://drive.google.com/open?id=1e3ng2cAUsYj7fS7kiSrz3obTdifkNY-7 (Nova janela)"&gt;https://drive.google.com/open?id=1e3ng2cAUsYj7fS7kiSrz3obTdifkNY-7&lt;/a&gt;</t>
  </si>
  <si>
    <t>0014P00003SGWQ1</t>
  </si>
  <si>
    <t>MARGARIDAS PROJETOS PRA VIDA</t>
  </si>
  <si>
    <t>MARGARIDAS</t>
  </si>
  <si>
    <t>37.651.337/0001-79</t>
  </si>
  <si>
    <t>Andreia Nascimento Da Silva</t>
  </si>
  <si>
    <t>margaridasprojeto@gmail.com</t>
  </si>
  <si>
    <t>(31)9889-7460</t>
  </si>
  <si>
    <t>Rua Margaridas Menezes</t>
  </si>
  <si>
    <t>Quitandinha</t>
  </si>
  <si>
    <t>Timóteo</t>
  </si>
  <si>
    <t>16A</t>
  </si>
  <si>
    <t>Rua Padre Zanor 09 sala 203 - Centro Norte - Timóteo - Minas Gerais | Rua cento e vinte e nove nº 369  Bairro Santa Maria - Timóteo - Minas Gerais</t>
  </si>
  <si>
    <t>Moradores de favelas. Mulheres e Crianças</t>
  </si>
  <si>
    <t>Jardim Vitória Bela Vista Recanto Verde Limoeiro Macuco Cachoeira do Vale Ana Moura Novo Tempo Petrópolis Cirilo</t>
  </si>
  <si>
    <t>São Mulheres de todas as idades crianças jovens idosas e deficientes físicos crianças com autismo.</t>
  </si>
  <si>
    <t>["Plataforma doação online  Pessoa Física","Projetos Específicos com Empresas"]</t>
  </si>
  <si>
    <t>50% Ações e 50% Doações</t>
  </si>
  <si>
    <t>&lt;a href="javascript:openPopupFocus%28%27http%3A%2F%2Fwww.margaridasprojetos.org%27%2C%20%27_blank%27%2C%20620%2C%20430%2C%20%27width%3D620%2Cheight%3D430%2Cresizable%3Dyes%2Ctoolbar%3Dyes%2Cstatus%3Dyes%2Cscrollbars%3Dyes%2Cmenubar%3Dyes%2Cdirectories%3Dyes%2Clocation%3Dyes%2Cdependant%3Dno%27%2C%20false%2C%20true%29%3B" title="http://www.margaridasprojetos.org (Nova janela)"&gt;http://www.margaridasprojetos.org&lt;/a&gt;</t>
  </si>
  <si>
    <t>&lt;a href="javascript:openPopupFocus%28%27http%3A%2F%2Fwww.instagram.com%2Fmargaridasprojetos%27%2C%20%27_blank%27%2C%20620%2C%20430%2C%20%27width%3D620%2Cheight%3D430%2Cresizable%3Dyes%2Ctoolbar%3Dyes%2Cstatus%3Dyes%2Cscrollbars%3Dyes%2Cmenubar%3Dyes%2Cdirectories%3Dyes%2Clocation%3Dyes%2Cdependant%3Dno%27%2C%20false%2C%20true%29%3B" title="http://www.instagram.com/margaridasprojetos (Nova janela)"&gt;http://www.instagram.com/margaridasprojetos&lt;/a&gt;</t>
  </si>
  <si>
    <t>&lt;a href="javascript:openPopupFocus%28%27http%3A%2F%2Fwww.facebook.com%2Fmargaridasprojetos%27%2C%20%27_blank%27%2C%20620%2C%20430%2C%20%27width%3D620%2Cheight%3D430%2Cresizable%3Dyes%2Ctoolbar%3Dyes%2Cstatus%3Dyes%2Cscrollbars%3Dyes%2Cmenubar%3Dyes%2Cdirectories%3Dyes%2Clocation%3Dyes%2Cdependant%3Dno%27%2C%20false%2C%20true%29%3B" title="http://www.facebook.com/margaridasprojetos (Nova janela)"&gt;http://www.facebook.com/margaridasprojetos&lt;/a&gt;</t>
  </si>
  <si>
    <t>&lt;a href="javascript:openPopupFocus%28%27https%3A%2F%2Fwww.youtube.com%2Fc%2FMargaridasProjetospraVida%27%2C%20%27_blank%27%2C%20620%2C%20430%2C%20%27width%3D620%2Cheight%3D430%2Cresizable%3Dyes%2Ctoolbar%3Dyes%2Cstatus%3Dyes%2Cscrollbars%3Dyes%2Cmenubar%3Dyes%2Cdirectories%3Dyes%2Clocation%3Dyes%2Cdependant%3Dno%27%2C%20false%2C%20true%29%3B" title="https://www.youtube.com/c/MargaridasProjetospraVida (Nova janela)"&gt;https://www.youtube.com/c/MargaridasProjetospraVida&lt;/a&gt;</t>
  </si>
  <si>
    <t>&lt;a href="javascript:openPopupFocus%28%27https%3A%2F%2Fdrive.google.com%2Fopen%3Fid%3D1XkUuOE_4KxVIvAIyISUrU8jYGyozsRWh%27%2C%20%27_blank%27%2C%20620%2C%20430%2C%20%27width%3D620%2Cheight%3D430%2Cresizable%3Dyes%2Ctoolbar%3Dyes%2Cstatus%3Dyes%2Cscrollbars%3Dyes%2Cmenubar%3Dyes%2Cdirectories%3Dyes%2Clocation%3Dyes%2Cdependant%3Dno%27%2C%20false%2C%20true%29%3B" title="https://drive.google.com/open?id=1XkUuOE_4KxVIvAIyISUrU8jYGyozsRWh (Nova janela)"&gt;https://drive.google.com/open?id=1XkUuOE_4KxVIvAIyISUrU8jYGyozsRWh&lt;/a&gt;</t>
  </si>
  <si>
    <t>&lt;a href="javascript:openPopupFocus%28%27https%3A%2F%2Fdrive.google.com%2Fopen%3Fid%3D1vyC9e5lX0gucKfefJ-ajSCyL3G5ywWu0%27%2C%20%27_blank%27%2C%20620%2C%20430%2C%20%27width%3D620%2Cheight%3D430%2Cresizable%3Dyes%2Ctoolbar%3Dyes%2Cstatus%3Dyes%2Cscrollbars%3Dyes%2Cmenubar%3Dyes%2Cdirectories%3Dyes%2Clocation%3Dyes%2Cdependant%3Dno%27%2C%20false%2C%20true%29%3B" title="https://drive.google.com/open?id=1vyC9e5lX0gucKfefJ-ajSCyL3G5ywWu0 (Nova janela)"&gt;https://drive.google.com/open?id=1vyC9e5lX0gucKfefJ-ajSCyL3G5ywWu0&lt;/a&gt;</t>
  </si>
  <si>
    <t>&lt;a href="javascript:openPopupFocus%28%27https%3A%2F%2Fdrive.google.com%2Fopen%3Fid%3D1Odts0FrgKLe6kj37W_yKb7lMxpqkt8ml%27%2C%20%27_blank%27%2C%20620%2C%20430%2C%20%27width%3D620%2Cheight%3D430%2Cresizable%3Dyes%2Ctoolbar%3Dyes%2Cstatus%3Dyes%2Cscrollbars%3Dyes%2Cmenubar%3Dyes%2Cdirectories%3Dyes%2Clocation%3Dyes%2Cdependant%3Dno%27%2C%20false%2C%20true%29%3B" title="https://drive.google.com/open?id=1Odts0FrgKLe6kj37W_yKb7lMxpqkt8ml (Nova janela)"&gt;https://drive.google.com/open?id=1Odts0FrgKLe6kj37W_yKb7lMxpqkt8ml&lt;/a&gt;</t>
  </si>
  <si>
    <t>0014P00003SGWQ3</t>
  </si>
  <si>
    <t>ORGANIZAÇÃO LIBERTARIOS DO CAPÃO REDONDO</t>
  </si>
  <si>
    <t>LIBERTARIOS</t>
  </si>
  <si>
    <t>04.255.458/0001-42</t>
  </si>
  <si>
    <t>Edisoneide Fortunato Gomes Pereira</t>
  </si>
  <si>
    <t>contato@libertariosdocapao.org.br</t>
  </si>
  <si>
    <t>(11)5872-3727</t>
  </si>
  <si>
    <t>RUA ALCAIDE</t>
  </si>
  <si>
    <t>JD. SÃO BENTO NOVO</t>
  </si>
  <si>
    <t>["Adolescentes (12 aos 18 anos)","Adultos","Jovens (18 aos 24 anos)","Idosos (60 anos ou mais)","Crianças bem pequenas (1 ano e 7 meses até 3 anos e 11 meses)","Bebês (0 a 1 ano e 6 meses)"]</t>
  </si>
  <si>
    <t>Jd.Sao Bento Jd. Jangadeiro Jd. Comercial</t>
  </si>
  <si>
    <t>["Convênio Público","Eventos/Ações para captação","Projetos Específicos com Empresas"]</t>
  </si>
  <si>
    <t>30% convênio público 30% Eventos/Ações para captação 40% Projeto Específico com Empresas</t>
  </si>
  <si>
    <t>&lt;a href="javascript:openPopupFocus%28%27http%3A%2F%2Fwww.libertariosdocapao.org.br%27%2C%20%27_blank%27%2C%20620%2C%20430%2C%20%27width%3D620%2Cheight%3D430%2Cresizable%3Dyes%2Ctoolbar%3Dyes%2Cstatus%3Dyes%2Cscrollbars%3Dyes%2Cmenubar%3Dyes%2Cdirectories%3Dyes%2Clocation%3Dyes%2Cdependant%3Dno%27%2C%20false%2C%20true%29%3B" title="http://www.libertariosdocapao.org.br (Nova janela)"&gt;http://www.libertariosdocapao.org.br&lt;/a&gt;</t>
  </si>
  <si>
    <t>&lt;a href="javascript:openPopupFocus%28%27https%3A%2F%2Fwww.instagram.com%2Ftv%2FCTWt5T5D2MF%2F%3Futm_medium%3Dcopy_link%27%2C%20%27_blank%27%2C%20620%2C%20430%2C%20%27width%3D620%2Cheight%3D430%2Cresizable%3Dyes%2Ctoolbar%3Dyes%2Cstatus%3Dyes%2Cscrollbars%3Dyes%2Cmenubar%3Dyes%2Cdirectories%3Dyes%2Clocation%3Dyes%2Cdependant%3Dno%27%2C%20false%2C%20true%29%3B" title="https://www.instagram.com/tv/CTWt5T5D2MF/?utm_medium=copy_link (Nova janela)"&gt;https://www.instagram.com/tv/CTWt5T5D2MF/?utm_medium=copy_link&lt;/a&gt;</t>
  </si>
  <si>
    <t>&lt;a href="javascript:openPopupFocus%28%27https%3A%2F%2Fm.facebook.com%2FLibertariosDoCapao%2F%3Flocale2%3Dpt_BR%27%2C%20%27_blank%27%2C%20620%2C%20430%2C%20%27width%3D620%2Cheight%3D430%2Cresizable%3Dyes%2Ctoolbar%3Dyes%2Cstatus%3Dyes%2Cscrollbars%3Dyes%2Cmenubar%3Dyes%2Cdirectories%3Dyes%2Clocation%3Dyes%2Cdependant%3Dno%27%2C%20false%2C%20true%29%3B" title="https://m.facebook.com/LibertariosDoCapao/?locale2=pt_BR (Nova janela)"&gt;https://m.facebook.com/LibertariosDoCapao/?locale2=pt_BR&lt;/a&gt;</t>
  </si>
  <si>
    <t>&lt;a href="javascript:openPopupFocus%28%27https%3A%2F%2Fyoutube.com%2Fuser%2FONGLIBERTARIOS%27%2C%20%27_blank%27%2C%20620%2C%20430%2C%20%27width%3D620%2Cheight%3D430%2Cresizable%3Dyes%2Ctoolbar%3Dyes%2Cstatus%3Dyes%2Cscrollbars%3Dyes%2Cmenubar%3Dyes%2Cdirectories%3Dyes%2Clocation%3Dyes%2Cdependant%3Dno%27%2C%20false%2C%20true%29%3B" title="https://youtube.com/user/ONGLIBERTARIOS (Nova janela)"&gt;https://youtube.com/user/ONGLIBERTARIOS&lt;/a&gt;</t>
  </si>
  <si>
    <t>&lt;a href="javascript:openPopupFocus%28%27https%3A%2F%2Fdrive.google.com%2Fopen%3Fid%3D17z-eM4pzIz8aS__Gf9gjtlv-WlLMxWyC%27%2C%20%27_blank%27%2C%20620%2C%20430%2C%20%27width%3D620%2Cheight%3D430%2Cresizable%3Dyes%2Ctoolbar%3Dyes%2Cstatus%3Dyes%2Cscrollbars%3Dyes%2Cmenubar%3Dyes%2Cdirectories%3Dyes%2Clocation%3Dyes%2Cdependant%3Dno%27%2C%20false%2C%20true%29%3B" title="https://drive.google.com/open?id=17z-eM4pzIz8aS__Gf9gjtlv-WlLMxWyC (Nova janela)"&gt;https://drive.google.com/open?id=17z-eM4pzIz8aS__Gf9gjtlv-WlLMxWyC&lt;/a&gt;</t>
  </si>
  <si>
    <t>&lt;a href="javascript:openPopupFocus%28%27https%3A%2F%2Fdrive.google.com%2Fopen%3Fid%3D108NoBYVexIiwtGf-wYCTiWNLvzCLG0Iw%27%2C%20%27_blank%27%2C%20620%2C%20430%2C%20%27width%3D620%2Cheight%3D430%2Cresizable%3Dyes%2Ctoolbar%3Dyes%2Cstatus%3Dyes%2Cscrollbars%3Dyes%2Cmenubar%3Dyes%2Cdirectories%3Dyes%2Clocation%3Dyes%2Cdependant%3Dno%27%2C%20false%2C%20true%29%3B" title="https://drive.google.com/open?id=108NoBYVexIiwtGf-wYCTiWNLvzCLG0Iw (Nova janela)"&gt;https://drive.google.com/open?id=108NoBYVexIiwtGf-wYCTiWNLvzCLG0Iw&lt;/a&gt;</t>
  </si>
  <si>
    <t>&lt;a href="javascript:openPopupFocus%28%27https%3A%2F%2Fdrive.google.com%2Fopen%3Fid%3D1UEncwpw3HrI3OFg--3ITBlbHb5xNwUeP%27%2C%20%27_blank%27%2C%20620%2C%20430%2C%20%27width%3D620%2Cheight%3D430%2Cresizable%3Dyes%2Ctoolbar%3Dyes%2Cstatus%3Dyes%2Cscrollbars%3Dyes%2Cmenubar%3Dyes%2Cdirectories%3Dyes%2Clocation%3Dyes%2Cdependant%3Dno%27%2C%20false%2C%20true%29%3B" title="https://drive.google.com/open?id=1UEncwpw3HrI3OFg--3ITBlbHb5xNwUeP (Nova janela)"&gt;https://drive.google.com/open?id=1UEncwpw3HrI3OFg--3ITBlbHb5xNwUeP&lt;/a&gt;</t>
  </si>
  <si>
    <t>&lt;a href="javascript:openPopupFocus%28%27https%3A%2F%2Fdrive.google.com%2Fopen%3Fid%3D1x2qDLLd7sKgtlMd102Q2S8GCw-QZnls2%27%2C%20%27_blank%27%2C%20620%2C%20430%2C%20%27width%3D620%2Cheight%3D430%2Cresizable%3Dyes%2Ctoolbar%3Dyes%2Cstatus%3Dyes%2Cscrollbars%3Dyes%2Cmenubar%3Dyes%2Cdirectories%3Dyes%2Clocation%3Dyes%2Cdependant%3Dno%27%2C%20false%2C%20true%29%3B" title="https://drive.google.com/open?id=1x2qDLLd7sKgtlMd102Q2S8GCw-QZnls2 (Nova janela)"&gt;https://drive.google.com/open?id=1x2qDLLd7sKgtlMd102Q2S8GCw-QZnls2&lt;/a&gt;</t>
  </si>
  <si>
    <t>&lt;a href="javascript:openPopupFocus%28%27https%3A%2F%2Fdrive.google.com%2Fopen%3Fid%3D1bVQgcrposSYas1jwm4XKiWdqGvEaafq1%27%2C%20%27_blank%27%2C%20620%2C%20430%2C%20%27width%3D620%2Cheight%3D430%2Cresizable%3Dyes%2Ctoolbar%3Dyes%2Cstatus%3Dyes%2Cscrollbars%3Dyes%2Cmenubar%3Dyes%2Cdirectories%3Dyes%2Clocation%3Dyes%2Cdependant%3Dno%27%2C%20false%2C%20true%29%3B" title="https://drive.google.com/open?id=1bVQgcrposSYas1jwm4XKiWdqGvEaafq1 (Nova janela)"&gt;https://drive.google.com/open?id=1bVQgcrposSYas1jwm4XKiWdqGvEaafq1&lt;/a&gt;</t>
  </si>
  <si>
    <t>0014P00003SGWQ8</t>
  </si>
  <si>
    <t>PONTINCLUSIVA</t>
  </si>
  <si>
    <t>Danilo César Trindade Pereira</t>
  </si>
  <si>
    <t>pontinclusiva@gmail.com</t>
  </si>
  <si>
    <t>(31)8872-9239</t>
  </si>
  <si>
    <t>Não possui sede ainda</t>
  </si>
  <si>
    <t>Boa Vista Teresópolis Cruzeiro PTB</t>
  </si>
  <si>
    <t>&lt;a href="javascript:openPopupFocus%28%27https%3A%2F%2Fwww.instagram.com%2Fpontinclusiva%2F%27%2C%20%27_blank%27%2C%20620%2C%20430%2C%20%27width%3D620%2Cheight%3D430%2Cresizable%3Dyes%2Ctoolbar%3Dyes%2Cstatus%3Dyes%2Cscrollbars%3Dyes%2Cmenubar%3Dyes%2Cdirectories%3Dyes%2Clocation%3Dyes%2Cdependant%3Dno%27%2C%20false%2C%20true%29%3B" title="https://www.instagram.com/pontinclusiva/ (Nova janela)"&gt;https://www.instagram.com/pontinclusiva/&lt;/a&gt;</t>
  </si>
  <si>
    <t>&lt;a href="javascript:openPopupFocus%28%27https%3A%2F%2Fwww.%27%2C%20%27_blank%27%2C%20620%2C%20430%2C%20%27width%3D620%2Cheight%3D430%2Cresizable%3Dyes%2Ctoolbar%3Dyes%2Cstatus%3Dyes%2Cscrollbars%3Dyes%2Cmenubar%3Dyes%2Cdirectories%3Dyes%2Clocation%3Dyes%2Cdependant%3Dno%27%2C%20false%2C%20true%29%3B" title="https://www. (Nova janela)"&gt;https://www.&lt;/a&gt;</t>
  </si>
  <si>
    <t>&lt;a href="javascript:openPopupFocus%28%27https%3A%2F%2Fwww.youtube.com%2Fchannel%2FUCn8XG2-o9Y1PGnAQiI4Xm7A%2Ffeatured%27%2C%20%27_blank%27%2C%20620%2C%20430%2C%20%27width%3D620%2Cheight%3D430%2Cresizable%3Dyes%2Ctoolbar%3Dyes%2Cstatus%3Dyes%2Cscrollbars%3Dyes%2Cmenubar%3Dyes%2Cdirectories%3Dyes%2Clocation%3Dyes%2Cdependant%3Dno%27%2C%20false%2C%20true%29%3B" title="https://www.youtube.com/channel/UCn8XG2-o9Y1PGnAQiI4Xm7A/featured (Nova janela)"&gt;https://www.youtube.com/channel/UCn8XG2-o9Y1PGnAQiI4Xm7A/featured&lt;/a&gt;</t>
  </si>
  <si>
    <t>&lt;a href="javascript:openPopupFocus%28%27https%3A%2F%2Fdrive.google.com%2Fopen%3Fid%3D1qQCF1kq6ibovyj94fYwlt_E2bt51HJkw%27%2C%20%27_blank%27%2C%20620%2C%20430%2C%20%27width%3D620%2Cheight%3D430%2Cresizable%3Dyes%2Ctoolbar%3Dyes%2Cstatus%3Dyes%2Cscrollbars%3Dyes%2Cmenubar%3Dyes%2Cdirectories%3Dyes%2Clocation%3Dyes%2Cdependant%3Dno%27%2C%20false%2C%20true%29%3B" title="https://drive.google.com/open?id=1qQCF1kq6ibovyj94fYwlt_E2bt51HJkw (Nova janela)"&gt;https://drive.google.com/open?id=1qQCF1kq6ibovyj94fYwlt_E2bt51HJkw&lt;/a&gt;</t>
  </si>
  <si>
    <t>0014P00003SGWQ4</t>
  </si>
  <si>
    <t>ASSOCIACAO OFICINA DO ESPORTE DE PIRAUBA</t>
  </si>
  <si>
    <t>OFICINA DO ESPORTE</t>
  </si>
  <si>
    <t>36.179.541/0001-76</t>
  </si>
  <si>
    <t>Johnny Santana</t>
  </si>
  <si>
    <t>projetooficinadoesporte@gmail.com</t>
  </si>
  <si>
    <t>(32)9928-2607</t>
  </si>
  <si>
    <t>Rua ALZIRA HORTÊNCIA</t>
  </si>
  <si>
    <t>CENTRO</t>
  </si>
  <si>
    <t>Pirauba</t>
  </si>
  <si>
    <t>Avenida Progresso 111 CEP: 36.170-000 Escola Municipal Ibrahim Gomes Caputo - Bairro Piraubinha</t>
  </si>
  <si>
    <t>["Esporte","Educação","Assistência Social","Cultura"]</t>
  </si>
  <si>
    <t>Bairros São Sebastião Piraubinha João Gonçalves da Neiva Sossego Santa Terezinha João Groppo</t>
  </si>
  <si>
    <t>Atendemos todas os públicos infantis e juvenis que necessitam dos serviços oferecidos pela ONG independentemente da situação financeira.</t>
  </si>
  <si>
    <t>100% doações pessoas físicas</t>
  </si>
  <si>
    <t>&lt;a href="javascript:openPopupFocus%28%27https%3A%2F%2Fwww.instagram.com%2Foficinadoesporte%2F%27%2C%20%27_blank%27%2C%20620%2C%20430%2C%20%27width%3D620%2Cheight%3D430%2Cresizable%3Dyes%2Ctoolbar%3Dyes%2Cstatus%3Dyes%2Cscrollbars%3Dyes%2Cmenubar%3Dyes%2Cdirectories%3Dyes%2Clocation%3Dyes%2Cdependant%3Dno%27%2C%20false%2C%20true%29%3B" title="https://www.instagram.com/oficinadoesporte/ (Nova janela)"&gt;https://www.instagram.com/oficinadoesporte/&lt;/a&gt;</t>
  </si>
  <si>
    <t>&lt;a href="javascript:openPopupFocus%28%27https%3A%2F%2Fwww.facebook.com%2Fprojetosocialoficinadoesporte%27%2C%20%27_blank%27%2C%20620%2C%20430%2C%20%27width%3D620%2Cheight%3D430%2Cresizable%3Dyes%2Ctoolbar%3Dyes%2Cstatus%3Dyes%2Cscrollbars%3Dyes%2Cmenubar%3Dyes%2Cdirectories%3Dyes%2Clocation%3Dyes%2Cdependant%3Dno%27%2C%20false%2C%20true%29%3B" title="https://www.facebook.com/projetosocialoficinadoesporte (Nova janela)"&gt;https://www.facebook.com/projetosocialoficinadoesporte&lt;/a&gt;</t>
  </si>
  <si>
    <t>&lt;a href="javascript:openPopupFocus%28%27https%3A%2F%2Fwww.youtube.com%2Fchannel%2FUCT0FukrNZUXYaMTVbJrIDbw%27%2C%20%27_blank%27%2C%20620%2C%20430%2C%20%27width%3D620%2Cheight%3D430%2Cresizable%3Dyes%2Ctoolbar%3Dyes%2Cstatus%3Dyes%2Cscrollbars%3Dyes%2Cmenubar%3Dyes%2Cdirectories%3Dyes%2Clocation%3Dyes%2Cdependant%3Dno%27%2C%20false%2C%20true%29%3B" title="https://www.youtube.com/channel/UCT0FukrNZUXYaMTVbJrIDbw (Nova janela)"&gt;https://www.youtube.com/channel/UCT0FukrNZUXYaMTVbJrIDbw&lt;/a&gt;</t>
  </si>
  <si>
    <t>&lt;a href="javascript:openPopupFocus%28%27https%3A%2F%2Fdrive.google.com%2Fopen%3Fid%3D1jwBni9SitSXaHlUmw-miG6Svw8pp2Kn0%27%2C%20%27_blank%27%2C%20620%2C%20430%2C%20%27width%3D620%2Cheight%3D430%2Cresizable%3Dyes%2Ctoolbar%3Dyes%2Cstatus%3Dyes%2Cscrollbars%3Dyes%2Cmenubar%3Dyes%2Cdirectories%3Dyes%2Clocation%3Dyes%2Cdependant%3Dno%27%2C%20false%2C%20true%29%3B" title="https://drive.google.com/open?id=1jwBni9SitSXaHlUmw-miG6Svw8pp2Kn0 (Nova janela)"&gt;https://drive.google.com/open?id=1jwBni9SitSXaHlUmw-miG6Svw8pp2Kn0&lt;/a&gt;</t>
  </si>
  <si>
    <t>&lt;a href="javascript:openPopupFocus%28%27https%3A%2F%2Fdrive.google.com%2Fopen%3Fid%3D1JHUS_fuRassgDW0URWmBef0PRXGmsPiF%27%2C%20%27_blank%27%2C%20620%2C%20430%2C%20%27width%3D620%2Cheight%3D430%2Cresizable%3Dyes%2Ctoolbar%3Dyes%2Cstatus%3Dyes%2Cscrollbars%3Dyes%2Cmenubar%3Dyes%2Cdirectories%3Dyes%2Clocation%3Dyes%2Cdependant%3Dno%27%2C%20false%2C%20true%29%3B" title="https://drive.google.com/open?id=1JHUS_fuRassgDW0URWmBef0PRXGmsPiF (Nova janela)"&gt;https://drive.google.com/open?id=1JHUS_fuRassgDW0URWmBef0PRXGmsPiF&lt;/a&gt;</t>
  </si>
  <si>
    <t>&lt;a href="javascript:openPopupFocus%28%27https%3A%2F%2Fdrive.google.com%2Fopen%3Fid%3D1haNgGpOHyT5kn4wvhwPKBxBEbqtrL2Zc%27%2C%20%27_blank%27%2C%20620%2C%20430%2C%20%27width%3D620%2Cheight%3D430%2Cresizable%3Dyes%2Ctoolbar%3Dyes%2Cstatus%3Dyes%2Cscrollbars%3Dyes%2Cmenubar%3Dyes%2Cdirectories%3Dyes%2Clocation%3Dyes%2Cdependant%3Dno%27%2C%20false%2C%20true%29%3B" title="https://drive.google.com/open?id=1haNgGpOHyT5kn4wvhwPKBxBEbqtrL2Zc (Nova janela)"&gt;https://drive.google.com/open?id=1haNgGpOHyT5kn4wvhwPKBxBEbqtrL2Zc&lt;/a&gt;</t>
  </si>
  <si>
    <t>&lt;a href="javascript:openPopupFocus%28%27https%3A%2F%2Fdrive.google.com%2Fopen%3Fid%3D1G7aGs3K-GndrWCO73Rkxrt0zQemFQeED%27%2C%20%27_blank%27%2C%20620%2C%20430%2C%20%27width%3D620%2Cheight%3D430%2Cresizable%3Dyes%2Ctoolbar%3Dyes%2Cstatus%3Dyes%2Cscrollbars%3Dyes%2Cmenubar%3Dyes%2Cdirectories%3Dyes%2Clocation%3Dyes%2Cdependant%3Dno%27%2C%20false%2C%20true%29%3B" title="https://drive.google.com/open?id=1G7aGs3K-GndrWCO73Rkxrt0zQemFQeED (Nova janela)"&gt;https://drive.google.com/open?id=1G7aGs3K-GndrWCO73Rkxrt0zQemFQeED&lt;/a&gt;</t>
  </si>
  <si>
    <t>&lt;a href="javascript:openPopupFocus%28%27https%3A%2F%2Fdrive.google.com%2Fopen%3Fid%3D1NT2LeCkX80ErjNANmoguiZv4rDV86U9_%20https%3A%2F%2Fdrive.google.com%2Fopen%3Fid%3D1ZhyrO91BKhbOWcsWdTONzmhLLOgoQdjk%27%2C%20%27_blank%27%2C%20620%2C%20430%2C%20%27width%3D620%2Cheight%3D430%2Cresizable%3Dyes%2Ctoolbar%3Dyes%2Cstatus%3Dyes%2Cscrollbars%3Dyes%2Cmenubar%3Dyes%2Cdirectories%3Dyes%2Clocation%3Dyes%2Cdependant%3Dno%27%2C%20false%2C%20true%29%3B" title="https://drive.google.com/open?id=1NT2LeCkX80ErjNANmoguiZv4rDV86U9_ https://drive.google.com/open?id=1ZhyrO91BKhbOWcsWdTONzmhLLOgoQdjk (Nova janela)"&gt;https://drive.google.com/open?id=1NT2LeCkX80ErjNANmoguiZv4rDV86U9_ https://drive.google.com/open?id=1ZhyrO91BKhbOWcsWdTONzmhLLOgoQdjk&lt;/a&gt;</t>
  </si>
  <si>
    <t>0014P00003SGWQ6</t>
  </si>
  <si>
    <t>ASSOCIAÇÃO PROJETO CASA ABERTA</t>
  </si>
  <si>
    <t>CASA ABERTA</t>
  </si>
  <si>
    <t>41.285.291/0001-99</t>
  </si>
  <si>
    <t>Renata De Sousa Lima Macedo</t>
  </si>
  <si>
    <t>projetocasaabertacontagem@gmail.com</t>
  </si>
  <si>
    <t>(31)8839-1924</t>
  </si>
  <si>
    <t>Av. Carmelita Drummond Diniz</t>
  </si>
  <si>
    <t>Parque Maracanã</t>
  </si>
  <si>
    <t>Casa</t>
  </si>
  <si>
    <t>Escolinha de futebol campo da comunidade Rua Rosa de Abreu 85 Maracanã</t>
  </si>
  <si>
    <t>Moradores de favelas. Pessoas em situação de rua. Mulheres</t>
  </si>
  <si>
    <t>Parque Maracanã Barroquinha Parque São João Morro Vermelho Maria da Conceição Arturos</t>
  </si>
  <si>
    <t>Nosso desejo é ter polo de ações mesmo que mensais no Parque São e Morro Vermelho que são mais distantes hoje nosso atendimento é mais na questão Assistencial.</t>
  </si>
  <si>
    <t>["Eventos/Ações para captação","Plataforma doação online  Pessoa Física","Editais","Outra opção"]</t>
  </si>
  <si>
    <t>80% outros 15% Editais 3% eventos 2% plataforma de doação</t>
  </si>
  <si>
    <t>&lt;a href="javascript:openPopupFocus%28%27https%3A%2F%2Fsites.google.com%2Fview%2Fprojetocasaabertacontagem%27%2C%20%27_blank%27%2C%20620%2C%20430%2C%20%27width%3D620%2Cheight%3D430%2Cresizable%3Dyes%2Ctoolbar%3Dyes%2Cstatus%3Dyes%2Cscrollbars%3Dyes%2Cmenubar%3Dyes%2Cdirectories%3Dyes%2Clocation%3Dyes%2Cdependant%3Dno%27%2C%20false%2C%20true%29%3B" title="https://sites.google.com/view/projetocasaabertacontagem (Nova janela)"&gt;https://sites.google.com/view/projetocasaabertacontagem&lt;/a&gt;</t>
  </si>
  <si>
    <t>&lt;a href="javascript:openPopupFocus%28%27http%3A%2F%2Finstagram.com%2Fprojetocasaaberta%27%2C%20%27_blank%27%2C%20620%2C%20430%2C%20%27width%3D620%2Cheight%3D430%2Cresizable%3Dyes%2Ctoolbar%3Dyes%2Cstatus%3Dyes%2Cscrollbars%3Dyes%2Cmenubar%3Dyes%2Cdirectories%3Dyes%2Clocation%3Dyes%2Cdependant%3Dno%27%2C%20false%2C%20true%29%3B" title="http://instagram.com/projetocasaaberta (Nova janela)"&gt;http://instagram.com/projetocasaaberta&lt;/a&gt;</t>
  </si>
  <si>
    <t>&lt;a href="javascript:openPopupFocus%28%27https%3A%2F%2Fweb.facebook.com%2Fconstruindocidadania%27%2C%20%27_blank%27%2C%20620%2C%20430%2C%20%27width%3D620%2Cheight%3D430%2Cresizable%3Dyes%2Ctoolbar%3Dyes%2Cstatus%3Dyes%2Cscrollbars%3Dyes%2Cmenubar%3Dyes%2Cdirectories%3Dyes%2Clocation%3Dyes%2Cdependant%3Dno%27%2C%20false%2C%20true%29%3B" title="https://web.facebook.com/construindocidadania (Nova janela)"&gt;https://web.facebook.com/construindocidadania&lt;/a&gt;</t>
  </si>
  <si>
    <t>&lt;a href="javascript:openPopupFocus%28%27https%3A%2F%2Fdrive.google.com%2Fopen%3Fid%3D1ci0ZSW5tTA5b0JSHxRTlFVn5JdtccfCQ%27%2C%20%27_blank%27%2C%20620%2C%20430%2C%20%27width%3D620%2Cheight%3D430%2Cresizable%3Dyes%2Ctoolbar%3Dyes%2Cstatus%3Dyes%2Cscrollbars%3Dyes%2Cmenubar%3Dyes%2Cdirectories%3Dyes%2Clocation%3Dyes%2Cdependant%3Dno%27%2C%20false%2C%20true%29%3B" title="https://drive.google.com/open?id=1ci0ZSW5tTA5b0JSHxRTlFVn5JdtccfCQ (Nova janela)"&gt;https://drive.google.com/open?id=1ci0ZSW5tTA5b0JSHxRTlFVn5JdtccfCQ&lt;/a&gt;</t>
  </si>
  <si>
    <t>&lt;a href="javascript:openPopupFocus%28%27https%3A%2F%2Fdrive.google.com%2Fopen%3Fid%3D1Yo5y5AVxtD1vLUGLaiL4BR7U1szpaQ4p%27%2C%20%27_blank%27%2C%20620%2C%20430%2C%20%27width%3D620%2Cheight%3D430%2Cresizable%3Dyes%2Ctoolbar%3Dyes%2Cstatus%3Dyes%2Cscrollbars%3Dyes%2Cmenubar%3Dyes%2Cdirectories%3Dyes%2Clocation%3Dyes%2Cdependant%3Dno%27%2C%20false%2C%20true%29%3B" title="https://drive.google.com/open?id=1Yo5y5AVxtD1vLUGLaiL4BR7U1szpaQ4p (Nova janela)"&gt;https://drive.google.com/open?id=1Yo5y5AVxtD1vLUGLaiL4BR7U1szpaQ4p&lt;/a&gt;</t>
  </si>
  <si>
    <t>&lt;a href="javascript:openPopupFocus%28%27https%3A%2F%2Fdrive.google.com%2Fopen%3Fid%3D1g0gZeAq0_7PdXlAOXWv4vCT3anCARdRK%27%2C%20%27_blank%27%2C%20620%2C%20430%2C%20%27width%3D620%2Cheight%3D430%2Cresizable%3Dyes%2Ctoolbar%3Dyes%2Cstatus%3Dyes%2Cscrollbars%3Dyes%2Cmenubar%3Dyes%2Cdirectories%3Dyes%2Clocation%3Dyes%2Cdependant%3Dno%27%2C%20false%2C%20true%29%3B" title="https://drive.google.com/open?id=1g0gZeAq0_7PdXlAOXWv4vCT3anCARdRK (Nova janela)"&gt;https://drive.google.com/open?id=1g0gZeAq0_7PdXlAOXWv4vCT3anCARdRK&lt;/a&gt;</t>
  </si>
  <si>
    <t>&lt;a href="javascript:openPopupFocus%28%27https%3A%2F%2Fdrive.google.com%2Fopen%3Fid%3D11hBLdoMszx7zHJ5abqZIe3baSxnRVJce%27%2C%20%27_blank%27%2C%20620%2C%20430%2C%20%27width%3D620%2Cheight%3D430%2Cresizable%3Dyes%2Ctoolbar%3Dyes%2Cstatus%3Dyes%2Cscrollbars%3Dyes%2Cmenubar%3Dyes%2Cdirectories%3Dyes%2Clocation%3Dyes%2Cdependant%3Dno%27%2C%20false%2C%20true%29%3B" title="https://drive.google.com/open?id=11hBLdoMszx7zHJ5abqZIe3baSxnRVJce (Nova janela)"&gt;https://drive.google.com/open?id=11hBLdoMszx7zHJ5abqZIe3baSxnRVJce&lt;/a&gt;</t>
  </si>
  <si>
    <t>&lt;a href="javascript:openPopupFocus%28%27https%3A%2F%2Fdrive.google.com%2Fopen%3Fid%3D1A3XBVqmPJQzLErErt1I3WMKzv8px200R%27%2C%20%27_blank%27%2C%20620%2C%20430%2C%20%27width%3D620%2Cheight%3D430%2Cresizable%3Dyes%2Ctoolbar%3Dyes%2Cstatus%3Dyes%2Cscrollbars%3Dyes%2Cmenubar%3Dyes%2Cdirectories%3Dyes%2Clocation%3Dyes%2Cdependant%3Dno%27%2C%20false%2C%20true%29%3B" title="https://drive.google.com/open?id=1A3XBVqmPJQzLErErt1I3WMKzv8px200R (Nova janela)"&gt;https://drive.google.com/open?id=1A3XBVqmPJQzLErErt1I3WMKzv8px200R&lt;/a&gt;</t>
  </si>
  <si>
    <t>0014P00003SGWQ7</t>
  </si>
  <si>
    <t>MOVIMENTO INSPIRE</t>
  </si>
  <si>
    <t>42.527.038/0001-67</t>
  </si>
  <si>
    <t>Mariza Pessoa Maranhão</t>
  </si>
  <si>
    <t>inspireolinda@gmail.com</t>
  </si>
  <si>
    <t>(81)9992-4813</t>
  </si>
  <si>
    <t>Rua Ulisses Tenório de Albuquerque</t>
  </si>
  <si>
    <t>Casa Caiada</t>
  </si>
  <si>
    <t>Olinda</t>
  </si>
  <si>
    <t>apto 106</t>
  </si>
  <si>
    <t>Saruê Beira-Canal Giriquiti Giriquiti Condor Vila da Família Burranua Anastácia Ponte Preta Inferninho Fábrica de Velas Olho D ´Água Portelinha V8 Beira-canal V8 Carmen leal</t>
  </si>
  <si>
    <t>Famílias de baixa renda em extrema vulnerabilidade social maioria morador de invasão</t>
  </si>
  <si>
    <t>&lt;a href="javascript:openPopupFocus%28%27https%3A%2F%2Fwww.instagram.com%2Fmovimentoinspire%2F%27%2C%20%27_blank%27%2C%20620%2C%20430%2C%20%27width%3D620%2Cheight%3D430%2Cresizable%3Dyes%2Ctoolbar%3Dyes%2Cstatus%3Dyes%2Cscrollbars%3Dyes%2Cmenubar%3Dyes%2Cdirectories%3Dyes%2Clocation%3Dyes%2Cdependant%3Dno%27%2C%20false%2C%20true%29%3B" title="https://www.instagram.com/movimentoinspire/ (Nova janela)"&gt;https://www.instagram.com/movimentoinspire/&lt;/a&gt;</t>
  </si>
  <si>
    <t>&lt;a href="javascript:openPopupFocus%28%27https%3A%2F%2Fdrive.google.com%2Fopen%3Fid%3D1HPYPstq5a6CbdraZE9_Yj9Z1wp_CXzQA%27%2C%20%27_blank%27%2C%20620%2C%20430%2C%20%27width%3D620%2Cheight%3D430%2Cresizable%3Dyes%2Ctoolbar%3Dyes%2Cstatus%3Dyes%2Cscrollbars%3Dyes%2Cmenubar%3Dyes%2Cdirectories%3Dyes%2Clocation%3Dyes%2Cdependant%3Dno%27%2C%20false%2C%20true%29%3B" title="https://drive.google.com/open?id=1HPYPstq5a6CbdraZE9_Yj9Z1wp_CXzQA (Nova janela)"&gt;https://drive.google.com/open?id=1HPYPstq5a6CbdraZE9_Yj9Z1wp_CXzQA&lt;/a&gt;</t>
  </si>
  <si>
    <t>&lt;a href="javascript:openPopupFocus%28%27https%3A%2F%2Fdrive.google.com%2Fopen%3Fid%3D1CtmTbPc2dNdy5S5EUIUnSOqScGYW7gUt%27%2C%20%27_blank%27%2C%20620%2C%20430%2C%20%27width%3D620%2Cheight%3D430%2Cresizable%3Dyes%2Ctoolbar%3Dyes%2Cstatus%3Dyes%2Cscrollbars%3Dyes%2Cmenubar%3Dyes%2Cdirectories%3Dyes%2Clocation%3Dyes%2Cdependant%3Dno%27%2C%20false%2C%20true%29%3B" title="https://drive.google.com/open?id=1CtmTbPc2dNdy5S5EUIUnSOqScGYW7gUt (Nova janela)"&gt;https://drive.google.com/open?id=1CtmTbPc2dNdy5S5EUIUnSOqScGYW7gUt&lt;/a&gt;</t>
  </si>
  <si>
    <t>&lt;a href="javascript:openPopupFocus%28%27https%3A%2F%2Fdrive.google.com%2Fopen%3Fid%3D1FPvbztrDDLSfT-haMhG7vDqe6k3XH7Nz%27%2C%20%27_blank%27%2C%20620%2C%20430%2C%20%27width%3D620%2Cheight%3D430%2Cresizable%3Dyes%2Ctoolbar%3Dyes%2Cstatus%3Dyes%2Cscrollbars%3Dyes%2Cmenubar%3Dyes%2Cdirectories%3Dyes%2Clocation%3Dyes%2Cdependant%3Dno%27%2C%20false%2C%20true%29%3B" title="https://drive.google.com/open?id=1FPvbztrDDLSfT-haMhG7vDqe6k3XH7Nz (Nova janela)"&gt;https://drive.google.com/open?id=1FPvbztrDDLSfT-haMhG7vDqe6k3XH7Nz&lt;/a&gt;</t>
  </si>
  <si>
    <t>&lt;a href="javascript:openPopupFocus%28%27https%3A%2F%2Fdrive.google.com%2Fopen%3Fid%3D1YDsaAY_pVYNlnoRb5HaeQA-FOgvKFdw7%27%2C%20%27_blank%27%2C%20620%2C%20430%2C%20%27width%3D620%2Cheight%3D430%2Cresizable%3Dyes%2Ctoolbar%3Dyes%2Cstatus%3Dyes%2Cscrollbars%3Dyes%2Cmenubar%3Dyes%2Cdirectories%3Dyes%2Clocation%3Dyes%2Cdependant%3Dno%27%2C%20false%2C%20true%29%3B" title="https://drive.google.com/open?id=1YDsaAY_pVYNlnoRb5HaeQA-FOgvKFdw7 (Nova janela)"&gt;https://drive.google.com/open?id=1YDsaAY_pVYNlnoRb5HaeQA-FOgvKFdw7&lt;/a&gt;</t>
  </si>
  <si>
    <t>0014P00003SGWQ9</t>
  </si>
  <si>
    <t>ASSOCIAÇÃO MISSÃO INTENSIDADE</t>
  </si>
  <si>
    <t>INTENSIDADE</t>
  </si>
  <si>
    <t>27.706.612/0001-50</t>
  </si>
  <si>
    <t>Rodrigo De Souza</t>
  </si>
  <si>
    <t>contato@missaointensidade.org.br</t>
  </si>
  <si>
    <t>(11)7657-9996</t>
  </si>
  <si>
    <t>Rua Paulo Ono</t>
  </si>
  <si>
    <t>Residencial Novo Horizonte</t>
  </si>
  <si>
    <t>Mogi Das Cruzes</t>
  </si>
  <si>
    <t>["Qualificação Profissional"]</t>
  </si>
  <si>
    <t>["Adolescentes (12 aos 18 anos)"]</t>
  </si>
  <si>
    <t>Bairro residencial Novo Horizonte favela da Área Verde.</t>
  </si>
  <si>
    <t>Estamos em uma área de divisa de municípios Mogi das Cruzes Itaquaquecetuba e Suzano. Devido a essa questão geográfica atendemos um porcentagem de alunos dessas cidades além da falta de estrutura geral por se tratar de região de divisa.</t>
  </si>
  <si>
    <t>["Negócio Social","Plataforma doação online  Pessoa Física","Projetos Específicos com Empresas","Editais"]</t>
  </si>
  <si>
    <t>PF 49% Editais 41% PJ 10%</t>
  </si>
  <si>
    <t>&lt;a href="javascript:openPopupFocus%28%27https%3A%2F%2Fmissaointensidade.org.br%2F%27%2C%20%27_blank%27%2C%20620%2C%20430%2C%20%27width%3D620%2Cheight%3D430%2Cresizable%3Dyes%2Ctoolbar%3Dyes%2Cstatus%3Dyes%2Cscrollbars%3Dyes%2Cmenubar%3Dyes%2Cdirectories%3Dyes%2Clocation%3Dyes%2Cdependant%3Dno%27%2C%20false%2C%20true%29%3B" title="https://missaointensidade.org.br/ (Nova janela)"&gt;https://missaointensidade.org.br/&lt;/a&gt;</t>
  </si>
  <si>
    <t>&lt;a href="javascript:openPopupFocus%28%27https%3A%2F%2Fwww.instagram.com%2Fprofessorrodrigao%2F%27%2C%20%27_blank%27%2C%20620%2C%20430%2C%20%27width%3D620%2Cheight%3D430%2Cresizable%3Dyes%2Ctoolbar%3Dyes%2Cstatus%3Dyes%2Cscrollbars%3Dyes%2Cmenubar%3Dyes%2Cdirectories%3Dyes%2Clocation%3Dyes%2Cdependant%3Dno%27%2C%20false%2C%20true%29%3B" title="https://www.instagram.com/professorrodrigao/ (Nova janela)"&gt;https://www.instagram.com/professorrodrigao/&lt;/a&gt;</t>
  </si>
  <si>
    <t>&lt;a href="javascript:openPopupFocus%28%27https%3A%2F%2Fwww.facebook.com%2Fmissaointensidade%27%2C%20%27_blank%27%2C%20620%2C%20430%2C%20%27width%3D620%2Cheight%3D430%2Cresizable%3Dyes%2Ctoolbar%3Dyes%2Cstatus%3Dyes%2Cscrollbars%3Dyes%2Cmenubar%3Dyes%2Cdirectories%3Dyes%2Clocation%3Dyes%2Cdependant%3Dno%27%2C%20false%2C%20true%29%3B" title="https://www.facebook.com/missaointensidade (Nova janela)"&gt;https://www.facebook.com/missaointensidade&lt;/a&gt;</t>
  </si>
  <si>
    <t>&lt;a href="javascript:openPopupFocus%28%27https%3A%2F%2Fwww.youtube.com%2Fchannel%2FUCwioqcNEuza5SEqKhn2ULeA%27%2C%20%27_blank%27%2C%20620%2C%20430%2C%20%27width%3D620%2Cheight%3D430%2Cresizable%3Dyes%2Ctoolbar%3Dyes%2Cstatus%3Dyes%2Cscrollbars%3Dyes%2Cmenubar%3Dyes%2Cdirectories%3Dyes%2Clocation%3Dyes%2Cdependant%3Dno%27%2C%20false%2C%20true%29%3B" title="https://www.youtube.com/channel/UCwioqcNEuza5SEqKhn2ULeA (Nova janela)"&gt;https://www.youtube.com/channel/UCwioqcNEuza5SEqKhn2ULeA&lt;/a&gt;</t>
  </si>
  <si>
    <t>https://www.linkedin.com/company/74515929/admin/</t>
  </si>
  <si>
    <t>&lt;a href="javascript:openPopupFocus%28%27https%3A%2F%2Fdrive.google.com%2Fopen%3Fid%3D14efDnN7mpPQcdKxZj3JHlnIvMFnp68CX%27%2C%20%27_blank%27%2C%20620%2C%20430%2C%20%27width%3D620%2Cheight%3D430%2Cresizable%3Dyes%2Ctoolbar%3Dyes%2Cstatus%3Dyes%2Cscrollbars%3Dyes%2Cmenubar%3Dyes%2Cdirectories%3Dyes%2Clocation%3Dyes%2Cdependant%3Dno%27%2C%20false%2C%20true%29%3B" title="https://drive.google.com/open?id=14efDnN7mpPQcdKxZj3JHlnIvMFnp68CX (Nova janela)"&gt;https://drive.google.com/open?id=14efDnN7mpPQcdKxZj3JHlnIvMFnp68CX&lt;/a&gt;</t>
  </si>
  <si>
    <t>&lt;a href="javascript:openPopupFocus%28%27https%3A%2F%2Fdrive.google.com%2Fopen%3Fid%3D1N8BAeszZ0fhxFbOihxJDWOxITvnVTARs%27%2C%20%27_blank%27%2C%20620%2C%20430%2C%20%27width%3D620%2Cheight%3D430%2Cresizable%3Dyes%2Ctoolbar%3Dyes%2Cstatus%3Dyes%2Cscrollbars%3Dyes%2Cmenubar%3Dyes%2Cdirectories%3Dyes%2Clocation%3Dyes%2Cdependant%3Dno%27%2C%20false%2C%20true%29%3B" title="https://drive.google.com/open?id=1N8BAeszZ0fhxFbOihxJDWOxITvnVTARs (Nova janela)"&gt;https://drive.google.com/open?id=1N8BAeszZ0fhxFbOihxJDWOxITvnVTARs&lt;/a&gt;</t>
  </si>
  <si>
    <t>&lt;a href="javascript:openPopupFocus%28%27https%3A%2F%2Fdrive.google.com%2Fopen%3Fid%3D1hW8pCWzysUxDrQYHyWZZFRyOU3iYKC-z%27%2C%20%27_blank%27%2C%20620%2C%20430%2C%20%27width%3D620%2Cheight%3D430%2Cresizable%3Dyes%2Ctoolbar%3Dyes%2Cstatus%3Dyes%2Cscrollbars%3Dyes%2Cmenubar%3Dyes%2Cdirectories%3Dyes%2Clocation%3Dyes%2Cdependant%3Dno%27%2C%20false%2C%20true%29%3B" title="https://drive.google.com/open?id=1hW8pCWzysUxDrQYHyWZZFRyOU3iYKC-z (Nova janela)"&gt;https://drive.google.com/open?id=1hW8pCWzysUxDrQYHyWZZFRyOU3iYKC-z&lt;/a&gt;</t>
  </si>
  <si>
    <t>&lt;a href="javascript:openPopupFocus%28%27https%3A%2F%2Fdrive.google.com%2Fopen%3Fid%3D1A4SVdyWVVma3Poi0FuwJBNwH--u3THBb%27%2C%20%27_blank%27%2C%20620%2C%20430%2C%20%27width%3D620%2Cheight%3D430%2Cresizable%3Dyes%2Ctoolbar%3Dyes%2Cstatus%3Dyes%2Cscrollbars%3Dyes%2Cmenubar%3Dyes%2Cdirectories%3Dyes%2Clocation%3Dyes%2Cdependant%3Dno%27%2C%20false%2C%20true%29%3B" title="https://drive.google.com/open?id=1A4SVdyWVVma3Poi0FuwJBNwH--u3THBb (Nova janela)"&gt;https://drive.google.com/open?id=1A4SVdyWVVma3Poi0FuwJBNwH--u3THBb&lt;/a&gt;</t>
  </si>
  <si>
    <t>&lt;a href="javascript:openPopupFocus%28%27https%3A%2F%2Fdrive.google.com%2Fopen%3Fid%3D1a089UHUCoN_QRMRuq32y3D_UXMPkHIcL%27%2C%20%27_blank%27%2C%20620%2C%20430%2C%20%27width%3D620%2Cheight%3D430%2Cresizable%3Dyes%2Ctoolbar%3Dyes%2Cstatus%3Dyes%2Cscrollbars%3Dyes%2Cmenubar%3Dyes%2Cdirectories%3Dyes%2Clocation%3Dyes%2Cdependant%3Dno%27%2C%20false%2C%20true%29%3B" title="https://drive.google.com/open?id=1a089UHUCoN_QRMRuq32y3D_UXMPkHIcL (Nova janela)"&gt;https://drive.google.com/open?id=1a089UHUCoN_QRMRuq32y3D_UXMPkHIcL&lt;/a&gt;</t>
  </si>
  <si>
    <t>&lt;a href="javascript:openPopupFocus%28%27https%3A%2F%2Fdrive.google.com%2Fopen%3Fid%3D12oPrIFjnjf2cWI9wRr8sQlPn9AD_okFm%27%2C%20%27_blank%27%2C%20620%2C%20430%2C%20%27width%3D620%2Cheight%3D430%2Cresizable%3Dyes%2Ctoolbar%3Dyes%2Cstatus%3Dyes%2Cscrollbars%3Dyes%2Cmenubar%3Dyes%2Cdirectories%3Dyes%2Clocation%3Dyes%2Cdependant%3Dno%27%2C%20false%2C%20true%29%3B" title="https://drive.google.com/open?id=12oPrIFjnjf2cWI9wRr8sQlPn9AD_okFm (Nova janela)"&gt;https://drive.google.com/open?id=12oPrIFjnjf2cWI9wRr8sQlPn9AD_okFm&lt;/a&gt;</t>
  </si>
  <si>
    <t>&lt;a href="javascript:openPopupFocus%28%27https%3A%2F%2Fdrive.google.com%2Fopen%3Fid%3D1bP_eyOwBsm4wM50bypnEFwEGHc0byj_0%27%2C%20%27_blank%27%2C%20620%2C%20430%2C%20%27width%3D620%2Cheight%3D430%2Cresizable%3Dyes%2Ctoolbar%3Dyes%2Cstatus%3Dyes%2Cscrollbars%3Dyes%2Cmenubar%3Dyes%2Cdirectories%3Dyes%2Clocation%3Dyes%2Cdependant%3Dno%27%2C%20false%2C%20true%29%3B" title="https://drive.google.com/open?id=1bP_eyOwBsm4wM50bypnEFwEGHc0byj_0 (Nova janela)"&gt;https://drive.google.com/open?id=1bP_eyOwBsm4wM50bypnEFwEGHc0byj_0&lt;/a&gt;</t>
  </si>
  <si>
    <t>0014P00003SGWQA</t>
  </si>
  <si>
    <t>INSTITUTO DE EDUCACAO CULTURA E MINISTERIO EDUCARE</t>
  </si>
  <si>
    <t>EDUCARE- ME EDUCA</t>
  </si>
  <si>
    <t>10.514.598/0001-90</t>
  </si>
  <si>
    <t>Marcio Fernando Pereira Goncalves</t>
  </si>
  <si>
    <t>institutomeduca@gmail.com</t>
  </si>
  <si>
    <t>(21)2660-3333</t>
  </si>
  <si>
    <t>RUA VERDE</t>
  </si>
  <si>
    <t>MARAPICU</t>
  </si>
  <si>
    <t>Nova Iguaçu</t>
  </si>
  <si>
    <t>AP 201</t>
  </si>
  <si>
    <t>["Crianças (6 a 12 anos)","Adolescentes (12 aos 18 anos)","Adultos","Crianças bem pequenas (1 ano e 7 meses até 3 anos e 11 meses)","Bebês (0 a 1 ano e 6 meses)","Crianças pequenas (4 a 5 anos)"]</t>
  </si>
  <si>
    <t>Moradores de favelas. Pessoas em situação de rua. Dependentes químicos</t>
  </si>
  <si>
    <t>DOM BOSCO CAMPO BELO VILA BELGA LAGOINHA MARINHA IPIRANGA ELMO BRAGA 17 DE MAIO TIRADENTES GRAO PARA BOA ESPERANÇA.</t>
  </si>
  <si>
    <t>100% PESSOA FISICA</t>
  </si>
  <si>
    <t>&lt;a href="javascript:openPopupFocus%28%27http%3A%2F%2Finstitutomeduca.org%2F%27%2C%20%27_blank%27%2C%20620%2C%20430%2C%20%27width%3D620%2Cheight%3D430%2Cresizable%3Dyes%2Ctoolbar%3Dyes%2Cstatus%3Dyes%2Cscrollbars%3Dyes%2Cmenubar%3Dyes%2Cdirectories%3Dyes%2Clocation%3Dyes%2Cdependant%3Dno%27%2C%20false%2C%20true%29%3B" title="http://institutomeduca.org/ (Nova janela)"&gt;http://institutomeduca.org/&lt;/a&gt;</t>
  </si>
  <si>
    <t>&lt;a href="javascript:openPopupFocus%28%27https%3A%2F%2Fwww.instagram.com%2Finstitutomeduca%2F%27%2C%20%27_blank%27%2C%20620%2C%20430%2C%20%27width%3D620%2Cheight%3D430%2Cresizable%3Dyes%2Ctoolbar%3Dyes%2Cstatus%3Dyes%2Cscrollbars%3Dyes%2Cmenubar%3Dyes%2Cdirectories%3Dyes%2Clocation%3Dyes%2Cdependant%3Dno%27%2C%20false%2C%20true%29%3B" title="https://www.instagram.com/institutomeduca/ (Nova janela)"&gt;https://www.instagram.com/institutomeduca/&lt;/a&gt;</t>
  </si>
  <si>
    <t>&lt;a href="javascript:openPopupFocus%28%27https%3A%2F%2Fwww.facebook.com%2Finstitutomeduca%27%2C%20%27_blank%27%2C%20620%2C%20430%2C%20%27width%3D620%2Cheight%3D430%2Cresizable%3Dyes%2Ctoolbar%3Dyes%2Cstatus%3Dyes%2Cscrollbars%3Dyes%2Cmenubar%3Dyes%2Cdirectories%3Dyes%2Clocation%3Dyes%2Cdependant%3Dno%27%2C%20false%2C%20true%29%3B" title="https://www.facebook.com/institutomeduca (Nova janela)"&gt;https://www.facebook.com/institutomeduca&lt;/a&gt;</t>
  </si>
  <si>
    <t>&lt;a href="javascript:openPopupFocus%28%27https%3A%2F%2Fdrive.google.com%2Fopen%3Fid%3D1S-sikKoqlDZjF4xMcJ7q1Am5b8styL5o%27%2C%20%27_blank%27%2C%20620%2C%20430%2C%20%27width%3D620%2Cheight%3D430%2Cresizable%3Dyes%2Ctoolbar%3Dyes%2Cstatus%3Dyes%2Cscrollbars%3Dyes%2Cmenubar%3Dyes%2Cdirectories%3Dyes%2Clocation%3Dyes%2Cdependant%3Dno%27%2C%20false%2C%20true%29%3B" title="https://drive.google.com/open?id=1S-sikKoqlDZjF4xMcJ7q1Am5b8styL5o (Nova janela)"&gt;https://drive.google.com/open?id=1S-sikKoqlDZjF4xMcJ7q1Am5b8styL5o&lt;/a&gt;</t>
  </si>
  <si>
    <t>&lt;a href="javascript:openPopupFocus%28%27https%3A%2F%2Fdrive.google.com%2Fopen%3Fid%3D1akRo4s6UoYwzfRy71UawlWE-4hILHnak%27%2C%20%27_blank%27%2C%20620%2C%20430%2C%20%27width%3D620%2Cheight%3D430%2Cresizable%3Dyes%2Ctoolbar%3Dyes%2Cstatus%3Dyes%2Cscrollbars%3Dyes%2Cmenubar%3Dyes%2Cdirectories%3Dyes%2Clocation%3Dyes%2Cdependant%3Dno%27%2C%20false%2C%20true%29%3B" title="https://drive.google.com/open?id=1akRo4s6UoYwzfRy71UawlWE-4hILHnak (Nova janela)"&gt;https://drive.google.com/open?id=1akRo4s6UoYwzfRy71UawlWE-4hILHnak&lt;/a&gt;</t>
  </si>
  <si>
    <t>&lt;a href="javascript:openPopupFocus%28%27https%3A%2F%2Fdrive.google.com%2Fopen%3Fid%3D1sgyBpCzV4OZv2Bmo209Rt5gUHptgNSw-%27%2C%20%27_blank%27%2C%20620%2C%20430%2C%20%27width%3D620%2Cheight%3D430%2Cresizable%3Dyes%2Ctoolbar%3Dyes%2Cstatus%3Dyes%2Cscrollbars%3Dyes%2Cmenubar%3Dyes%2Cdirectories%3Dyes%2Clocation%3Dyes%2Cdependant%3Dno%27%2C%20false%2C%20true%29%3B" title="https://drive.google.com/open?id=1sgyBpCzV4OZv2Bmo209Rt5gUHptgNSw- (Nova janela)"&gt;https://drive.google.com/open?id=1sgyBpCzV4OZv2Bmo209Rt5gUHptgNSw-&lt;/a&gt;</t>
  </si>
  <si>
    <t>&lt;a href="javascript:openPopupFocus%28%27https%3A%2F%2Fdrive.google.com%2Fopen%3Fid%3D11SH-cTAh2Va05mMMSzlJdaAE8Ngodgq2%27%2C%20%27_blank%27%2C%20620%2C%20430%2C%20%27width%3D620%2Cheight%3D430%2Cresizable%3Dyes%2Ctoolbar%3Dyes%2Cstatus%3Dyes%2Cscrollbars%3Dyes%2Cmenubar%3Dyes%2Cdirectories%3Dyes%2Clocation%3Dyes%2Cdependant%3Dno%27%2C%20false%2C%20true%29%3B" title="https://drive.google.com/open?id=11SH-cTAh2Va05mMMSzlJdaAE8Ngodgq2 (Nova janela)"&gt;https://drive.google.com/open?id=11SH-cTAh2Va05mMMSzlJdaAE8Ngodgq2&lt;/a&gt;</t>
  </si>
  <si>
    <t>&lt;a href="javascript:openPopupFocus%28%27https%3A%2F%2Fdrive.google.com%2Fopen%3Fid%3D16PgG-F9DRSxaTvszZOi0MkJV_tuS9TgP%27%2C%20%27_blank%27%2C%20620%2C%20430%2C%20%27width%3D620%2Cheight%3D430%2Cresizable%3Dyes%2Ctoolbar%3Dyes%2Cstatus%3Dyes%2Cscrollbars%3Dyes%2Cmenubar%3Dyes%2Cdirectories%3Dyes%2Clocation%3Dyes%2Cdependant%3Dno%27%2C%20false%2C%20true%29%3B" title="https://drive.google.com/open?id=16PgG-F9DRSxaTvszZOi0MkJV_tuS9TgP (Nova janela)"&gt;https://drive.google.com/open?id=16PgG-F9DRSxaTvszZOi0MkJV_tuS9TgP&lt;/a&gt;</t>
  </si>
  <si>
    <t>0014P00003SGWQB</t>
  </si>
  <si>
    <t>ASSOCIAÇÃO DE EDUCAÇÃO E ARTE</t>
  </si>
  <si>
    <t>EDUCAÇÃO E ARTE</t>
  </si>
  <si>
    <t>28.453.785/0001-68</t>
  </si>
  <si>
    <t>Sara Abreu Silva</t>
  </si>
  <si>
    <t>iamaoficial2020@gmail.com</t>
  </si>
  <si>
    <t>(98)8756-6267</t>
  </si>
  <si>
    <t>Rua 128</t>
  </si>
  <si>
    <t>Maiobão</t>
  </si>
  <si>
    <t>Paço Do Lumiar</t>
  </si>
  <si>
    <t>Quadra 117</t>
  </si>
  <si>
    <t>Praça</t>
  </si>
  <si>
    <t>["Crianças (6 a 12 anos)","Adolescentes (12 aos 18 anos)","Adultos","Idosos (60 anos ou mais)","Crianças bem pequenas (1 ano e 7 meses até 3 anos e 11 meses)","Bebês (0 a 1 ano e 6 meses)","Crianças pequenas (4 a 5 anos)"]</t>
  </si>
  <si>
    <t>Moradores de favelas. Pessoas em situação de rua. Povos Indígenas. Quilombolas. Afrodescendentes. Pessoas com deficiências. Imigrantes</t>
  </si>
  <si>
    <t>Vila Nazaré Vila Sarney Filho I e II Vila do Povo Novo Paço Iguaiba Novo Horizonte Mojó Recanto Verde Kiola Morada do Bosque Jardim Primavera Alto do Paranã Sítio Natureza Residencial Cordeiro Matinha Maioba Porto Mocajituba,</t>
  </si>
  <si>
    <t>&lt;a href="javascript:openPopupFocus%28%27https%3A%2F%2Fobiwan.hoostplatform.com%2F%7Eiamaslzc%2Fpainel%2Findex.php%3Fpage%3Dhoost-dashboard%27%2C%20%27_blank%27%2C%20620%2C%20430%2C%20%27width%3D620%2Cheight%3D430%2Cresizable%3Dyes%2Ctoolbar%3Dyes%2Cstatus%3Dyes%2Cscrollbars%3Dyes%2Cmenubar%3Dyes%2Cdirectories%3Dyes%2Clocation%3Dyes%2Cdependant%3Dno%27%2C%20false%2C%20true%29%3B" title="https://obiwan.hoostplatform.com/~iamaslzc/painel/index.php?page=hoost-dashboard (Nova janela)"&gt;https://obiwan.hoostplatform.com/~iamaslzc/painel/index.php?page=hoost-dashboard&lt;/a&gt;</t>
  </si>
  <si>
    <t>&lt;a href="javascript:openPopupFocus%28%27https%3A%2F%2Fwww.instagram.com%2Fp%2FCQXSEKlHgIM%2F%3Futm_medium%3Dcopy_link%27%2C%20%27_blank%27%2C%20620%2C%20430%2C%20%27width%3D620%2Cheight%3D430%2Cresizable%3Dyes%2Ctoolbar%3Dyes%2Cstatus%3Dyes%2Cscrollbars%3Dyes%2Cmenubar%3Dyes%2Cdirectories%3Dyes%2Clocation%3Dyes%2Cdependant%3Dno%27%2C%20false%2C%20true%29%3B" title="https://www.instagram.com/p/CQXSEKlHgIM/?utm_medium=copy_link (Nova janela)"&gt;https://www.instagram.com/p/CQXSEKlHgIM/?utm_medium=copy_link&lt;/a&gt;</t>
  </si>
  <si>
    <t>&lt;a href="javascript:openPopupFocus%28%27https%3A%2F%2Fm.facebook.com%2Fstory.php%3Fstory_fbid%3D926957197883641%26id%3D100017081089107%27%2C%20%27_blank%27%2C%20620%2C%20430%2C%20%27width%3D620%2Cheight%3D430%2Cresizable%3Dyes%2Ctoolbar%3Dyes%2Cstatus%3Dyes%2Cscrollbars%3Dyes%2Cmenubar%3Dyes%2Cdirectories%3Dyes%2Clocation%3Dyes%2Cdependant%3Dno%27%2C%20false%2C%20true%29%3B" title="https://m.facebook.com/story.php?story_fbid=926957197883641&amp;id=100017081089107 (Nova janela)"&gt;https://m.facebook.com/story.php?story_fbid=926957197883641&amp;id=100017081089107&lt;/a&gt;</t>
  </si>
  <si>
    <t>&lt;a href="javascript:openPopupFocus%28%27https%3A%2F%2Fdrive.google.com%2Fopen%3Fid%3D1SXmru_mHy6G2iMYGz_LnjCjB3l34JVDB%27%2C%20%27_blank%27%2C%20620%2C%20430%2C%20%27width%3D620%2Cheight%3D430%2Cresizable%3Dyes%2Ctoolbar%3Dyes%2Cstatus%3Dyes%2Cscrollbars%3Dyes%2Cmenubar%3Dyes%2Cdirectories%3Dyes%2Clocation%3Dyes%2Cdependant%3Dno%27%2C%20false%2C%20true%29%3B" title="https://drive.google.com/open?id=1SXmru_mHy6G2iMYGz_LnjCjB3l34JVDB (Nova janela)"&gt;https://drive.google.com/open?id=1SXmru_mHy6G2iMYGz_LnjCjB3l34JVDB&lt;/a&gt;</t>
  </si>
  <si>
    <t>&lt;a href="javascript:openPopupFocus%28%27https%3A%2F%2Fdrive.google.com%2Fopen%3Fid%3D1ALEK4XQXlquKeKe3-m4UAQLIA-bwDMpf%27%2C%20%27_blank%27%2C%20620%2C%20430%2C%20%27width%3D620%2Cheight%3D430%2Cresizable%3Dyes%2Ctoolbar%3Dyes%2Cstatus%3Dyes%2Cscrollbars%3Dyes%2Cmenubar%3Dyes%2Cdirectories%3Dyes%2Clocation%3Dyes%2Cdependant%3Dno%27%2C%20false%2C%20true%29%3B" title="https://drive.google.com/open?id=1ALEK4XQXlquKeKe3-m4UAQLIA-bwDMpf (Nova janela)"&gt;https://drive.google.com/open?id=1ALEK4XQXlquKeKe3-m4UAQLIA-bwDMpf&lt;/a&gt;</t>
  </si>
  <si>
    <t>&lt;a href="javascript:openPopupFocus%28%27https%3A%2F%2Fdrive.google.com%2Fopen%3Fid%3D1aQYCpB6THmztfT8u23NaK_k7RZ3-D0hJ%27%2C%20%27_blank%27%2C%20620%2C%20430%2C%20%27width%3D620%2Cheight%3D430%2Cresizable%3Dyes%2Ctoolbar%3Dyes%2Cstatus%3Dyes%2Cscrollbars%3Dyes%2Cmenubar%3Dyes%2Cdirectories%3Dyes%2Clocation%3Dyes%2Cdependant%3Dno%27%2C%20false%2C%20true%29%3B" title="https://drive.google.com/open?id=1aQYCpB6THmztfT8u23NaK_k7RZ3-D0hJ (Nova janela)"&gt;https://drive.google.com/open?id=1aQYCpB6THmztfT8u23NaK_k7RZ3-D0hJ&lt;/a&gt;</t>
  </si>
  <si>
    <t>&lt;a href="javascript:openPopupFocus%28%27https%3A%2F%2Fdrive.google.com%2Fopen%3Fid%3D1suzE3VkehufwnUAQCb_LMdJs8-nLavmR%27%2C%20%27_blank%27%2C%20620%2C%20430%2C%20%27width%3D620%2Cheight%3D430%2Cresizable%3Dyes%2Ctoolbar%3Dyes%2Cstatus%3Dyes%2Cscrollbars%3Dyes%2Cmenubar%3Dyes%2Cdirectories%3Dyes%2Clocation%3Dyes%2Cdependant%3Dno%27%2C%20false%2C%20true%29%3B" title="https://drive.google.com/open?id=1suzE3VkehufwnUAQCb_LMdJs8-nLavmR (Nova janela)"&gt;https://drive.google.com/open?id=1suzE3VkehufwnUAQCb_LMdJs8-nLavmR&lt;/a&gt;</t>
  </si>
  <si>
    <t>&lt;a href="javascript:openPopupFocus%28%27https%3A%2F%2Fdrive.google.com%2Fopen%3Fid%3D1m2hbeYbd0IrUyf3_631MSKcTa174kMU7%27%2C%20%27_blank%27%2C%20620%2C%20430%2C%20%27width%3D620%2Cheight%3D430%2Cresizable%3Dyes%2Ctoolbar%3Dyes%2Cstatus%3Dyes%2Cscrollbars%3Dyes%2Cmenubar%3Dyes%2Cdirectories%3Dyes%2Clocation%3Dyes%2Cdependant%3Dno%27%2C%20false%2C%20true%29%3B" title="https://drive.google.com/open?id=1m2hbeYbd0IrUyf3_631MSKcTa174kMU7 (Nova janela)"&gt;https://drive.google.com/open?id=1m2hbeYbd0IrUyf3_631MSKcTa174kMU7&lt;/a&gt;</t>
  </si>
  <si>
    <t>&lt;a href="javascript:openPopupFocus%28%27https%3A%2F%2Fdrive.google.com%2Fopen%3Fid%3D11ZLyYBSMoGb7Tzs5kYnd5lePr3DsIBe9%27%2C%20%27_blank%27%2C%20620%2C%20430%2C%20%27width%3D620%2Cheight%3D430%2Cresizable%3Dyes%2Ctoolbar%3Dyes%2Cstatus%3Dyes%2Cscrollbars%3Dyes%2Cmenubar%3Dyes%2Cdirectories%3Dyes%2Clocation%3Dyes%2Cdependant%3Dno%27%2C%20false%2C%20true%29%3B" title="https://drive.google.com/open?id=11ZLyYBSMoGb7Tzs5kYnd5lePr3DsIBe9 (Nova janela)"&gt;https://drive.google.com/open?id=11ZLyYBSMoGb7Tzs5kYnd5lePr3DsIBe9&lt;/a&gt;</t>
  </si>
  <si>
    <t>0014P00003SGWQC</t>
  </si>
  <si>
    <t>CENTRO DE DESENVOLVIMENTO COMUNITÁRIO VILA LEONINA</t>
  </si>
  <si>
    <t>VILA LEONINA</t>
  </si>
  <si>
    <t>09.041.496/0001-16</t>
  </si>
  <si>
    <t>Eleonora Myrrha Ferreira</t>
  </si>
  <si>
    <t>novoreconstruir@gmail.com</t>
  </si>
  <si>
    <t>(31)8320-8016</t>
  </si>
  <si>
    <t>Rua Geraldo Vasconcelos</t>
  </si>
  <si>
    <t>Estoril</t>
  </si>
  <si>
    <t>Nova Lima</t>
  </si>
  <si>
    <t>Antena Santa Sofia São Jorge Leonina e Pantanal</t>
  </si>
  <si>
    <t>["Plataforma doação online  Pessoa Física","Outra opção"]</t>
  </si>
  <si>
    <t>88% Apadrinhamento e Mantenedores</t>
  </si>
  <si>
    <t>&lt;a href="javascript:openPopupFocus%28%27http%3A%2F%2Fwww.projetoreconstruir.org.br%27%2C%20%27_blank%27%2C%20620%2C%20430%2C%20%27width%3D620%2Cheight%3D430%2Cresizable%3Dyes%2Ctoolbar%3Dyes%2Cstatus%3Dyes%2Cscrollbars%3Dyes%2Cmenubar%3Dyes%2Cdirectories%3Dyes%2Clocation%3Dyes%2Cdependant%3Dno%27%2C%20false%2C%20true%29%3B" title="http://www.projetoreconstruir.org.br (Nova janela)"&gt;http://www.projetoreconstruir.org.br&lt;/a&gt;</t>
  </si>
  <si>
    <t>&lt;a href="javascript:openPopupFocus%28%27https%3A%2F%2Fwww.instagram.com%2Fprojetoreconstruir%27%2C%20%27_blank%27%2C%20620%2C%20430%2C%20%27width%3D620%2Cheight%3D430%2Cresizable%3Dyes%2Ctoolbar%3Dyes%2Cstatus%3Dyes%2Cscrollbars%3Dyes%2Cmenubar%3Dyes%2Cdirectories%3Dyes%2Clocation%3Dyes%2Cdependant%3Dno%27%2C%20false%2C%20true%29%3B" title="https://www.instagram.com/projetoreconstruir (Nova janela)"&gt;https://www.instagram.com/projetoreconstruir&lt;/a&gt;</t>
  </si>
  <si>
    <t>&lt;a href="javascript:openPopupFocus%28%27https%3A%2F%2Fwww.facebook.com%2Freconstruir%27%2C%20%27_blank%27%2C%20620%2C%20430%2C%20%27width%3D620%2Cheight%3D430%2Cresizable%3Dyes%2Ctoolbar%3Dyes%2Cstatus%3Dyes%2Cscrollbars%3Dyes%2Cmenubar%3Dyes%2Cdirectories%3Dyes%2Clocation%3Dyes%2Cdependant%3Dno%27%2C%20false%2C%20true%29%3B" title="https://www.facebook.com/reconstruir (Nova janela)"&gt;https://www.facebook.com/reconstruir&lt;/a&gt;</t>
  </si>
  <si>
    <t>&lt;a href="javascript:openPopupFocus%28%27https%3A%2F%2Fwww.youtube.com%2FProjetoReconstruir%27%2C%20%27_blank%27%2C%20620%2C%20430%2C%20%27width%3D620%2Cheight%3D430%2Cresizable%3Dyes%2Ctoolbar%3Dyes%2Cstatus%3Dyes%2Cscrollbars%3Dyes%2Cmenubar%3Dyes%2Cdirectories%3Dyes%2Clocation%3Dyes%2Cdependant%3Dno%27%2C%20false%2C%20true%29%3B" title="https://www.youtube.com/ProjetoReconstruir (Nova janela)"&gt;https://www.youtube.com/ProjetoReconstruir&lt;/a&gt;</t>
  </si>
  <si>
    <t>https://www.linkedin.com/company/projeto-reconstruir</t>
  </si>
  <si>
    <t>&lt;a href="javascript:openPopupFocus%28%27https%3A%2F%2Fdrive.google.com%2Fopen%3Fid%3D1OHYjgGPjcdyvsIc988vJTfWE6KJ0efJH%27%2C%20%27_blank%27%2C%20620%2C%20430%2C%20%27width%3D620%2Cheight%3D430%2Cresizable%3Dyes%2Ctoolbar%3Dyes%2Cstatus%3Dyes%2Cscrollbars%3Dyes%2Cmenubar%3Dyes%2Cdirectories%3Dyes%2Clocation%3Dyes%2Cdependant%3Dno%27%2C%20false%2C%20true%29%3B" title="https://drive.google.com/open?id=1OHYjgGPjcdyvsIc988vJTfWE6KJ0efJH (Nova janela)"&gt;https://drive.google.com/open?id=1OHYjgGPjcdyvsIc988vJTfWE6KJ0efJH&lt;/a&gt;</t>
  </si>
  <si>
    <t>&lt;a href="javascript:openPopupFocus%28%27https%3A%2F%2Fdrive.google.com%2Fopen%3Fid%3D1CyXPB0igUTXD3XUMwW_8PINI5uP9Wu5J%27%2C%20%27_blank%27%2C%20620%2C%20430%2C%20%27width%3D620%2Cheight%3D430%2Cresizable%3Dyes%2Ctoolbar%3Dyes%2Cstatus%3Dyes%2Cscrollbars%3Dyes%2Cmenubar%3Dyes%2Cdirectories%3Dyes%2Clocation%3Dyes%2Cdependant%3Dno%27%2C%20false%2C%20true%29%3B" title="https://drive.google.com/open?id=1CyXPB0igUTXD3XUMwW_8PINI5uP9Wu5J (Nova janela)"&gt;https://drive.google.com/open?id=1CyXPB0igUTXD3XUMwW_8PINI5uP9Wu5J&lt;/a&gt;</t>
  </si>
  <si>
    <t>&lt;a href="javascript:openPopupFocus%28%27https%3A%2F%2Fdrive.google.com%2Fopen%3Fid%3D1J0hIcEoaVx5BsPJAhG0pp_exJYfWn_3P%27%2C%20%27_blank%27%2C%20620%2C%20430%2C%20%27width%3D620%2Cheight%3D430%2Cresizable%3Dyes%2Ctoolbar%3Dyes%2Cstatus%3Dyes%2Cscrollbars%3Dyes%2Cmenubar%3Dyes%2Cdirectories%3Dyes%2Clocation%3Dyes%2Cdependant%3Dno%27%2C%20false%2C%20true%29%3B" title="https://drive.google.com/open?id=1J0hIcEoaVx5BsPJAhG0pp_exJYfWn_3P (Nova janela)"&gt;https://drive.google.com/open?id=1J0hIcEoaVx5BsPJAhG0pp_exJYfWn_3P&lt;/a&gt;</t>
  </si>
  <si>
    <t>&lt;a href="javascript:openPopupFocus%28%27https%3A%2F%2Fdrive.google.com%2Fopen%3Fid%3D1BRiLWTIEVuQ4HGfi5C7moMDEzzHoqxd9%27%2C%20%27_blank%27%2C%20620%2C%20430%2C%20%27width%3D620%2Cheight%3D430%2Cresizable%3Dyes%2Ctoolbar%3Dyes%2Cstatus%3Dyes%2Cscrollbars%3Dyes%2Cmenubar%3Dyes%2Cdirectories%3Dyes%2Clocation%3Dyes%2Cdependant%3Dno%27%2C%20false%2C%20true%29%3B" title="https://drive.google.com/open?id=1BRiLWTIEVuQ4HGfi5C7moMDEzzHoqxd9 (Nova janela)"&gt;https://drive.google.com/open?id=1BRiLWTIEVuQ4HGfi5C7moMDEzzHoqxd9&lt;/a&gt;</t>
  </si>
  <si>
    <t>&lt;a href="javascript:openPopupFocus%28%27https%3A%2F%2Fdrive.google.com%2Fopen%3Fid%3D1UjZT1ATJrnQzvwPggQamCp6vdE6mBzGx%27%2C%20%27_blank%27%2C%20620%2C%20430%2C%20%27width%3D620%2Cheight%3D430%2Cresizable%3Dyes%2Ctoolbar%3Dyes%2Cstatus%3Dyes%2Cscrollbars%3Dyes%2Cmenubar%3Dyes%2Cdirectories%3Dyes%2Clocation%3Dyes%2Cdependant%3Dno%27%2C%20false%2C%20true%29%3B" title="https://drive.google.com/open?id=1UjZT1ATJrnQzvwPggQamCp6vdE6mBzGx (Nova janela)"&gt;https://drive.google.com/open?id=1UjZT1ATJrnQzvwPggQamCp6vdE6mBzGx&lt;/a&gt;</t>
  </si>
  <si>
    <t>0014P00003SGWQD</t>
  </si>
  <si>
    <t>INSTITUTO EDSON ROYER</t>
  </si>
  <si>
    <t>EDSON ROYER</t>
  </si>
  <si>
    <t>11.413.683/0001-25</t>
  </si>
  <si>
    <t>Nilvane Eistedt</t>
  </si>
  <si>
    <t>sararoyer@hotmail.com</t>
  </si>
  <si>
    <t>(93)8124-5186</t>
  </si>
  <si>
    <t>PA</t>
  </si>
  <si>
    <t>Av. Brasil</t>
  </si>
  <si>
    <t>Jardim Planalto</t>
  </si>
  <si>
    <t>Novo Progresso</t>
  </si>
  <si>
    <t>Escola Municipal Tancredo Neves - Rua da Paz 146 -Bairro Jardim Planalto - Novo Progresso - PA . CEP: 68.193-000</t>
  </si>
  <si>
    <t>Alunos de escolas públicas e pessoas de baixa renda incluindo indígenas e imigrantes</t>
  </si>
  <si>
    <t>Trabalhamos na cidade de Novo Progresso e numa Comunidade Alvorada da Amazônia.</t>
  </si>
  <si>
    <t>O público atendido em sua maioria são crianças e adolescentes e seus familiares em situação de vulnerabilidade social. Em 2020 e 2021 temos o Projeto Potência Feminina da Rede Mulher Empreendedora com o objetivo de capacitar 5.000 mulheres na área de Emp...</t>
  </si>
  <si>
    <t>["Lei de Incentivo","Convênio Público","Projetos Específicos com Empresas","Editais"]</t>
  </si>
  <si>
    <t>&lt;a href="javascript:openPopupFocus%28%27https%3A%2F%2Fier.org.br%2F%27%2C%20%27_blank%27%2C%20620%2C%20430%2C%20%27width%3D620%2Cheight%3D430%2Cresizable%3Dyes%2Ctoolbar%3Dyes%2Cstatus%3Dyes%2Cscrollbars%3Dyes%2Cmenubar%3Dyes%2Cdirectories%3Dyes%2Clocation%3Dyes%2Cdependant%3Dno%27%2C%20false%2C%20true%29%3B" title="https://ier.org.br/ (Nova janela)"&gt;https://ier.org.br/&lt;/a&gt;</t>
  </si>
  <si>
    <t>&lt;a href="javascript:openPopupFocus%28%27https%3A%2F%2Fwww.instagram.com%2Finstitutoedsonroyer%2F%27%2C%20%27_blank%27%2C%20620%2C%20430%2C%20%27width%3D620%2Cheight%3D430%2Cresizable%3Dyes%2Ctoolbar%3Dyes%2Cstatus%3Dyes%2Cscrollbars%3Dyes%2Cmenubar%3Dyes%2Cdirectories%3Dyes%2Clocation%3Dyes%2Cdependant%3Dno%27%2C%20false%2C%20true%29%3B" title="https://www.instagram.com/institutoedsonroyer/ (Nova janela)"&gt;https://www.instagram.com/institutoedsonroyer/&lt;/a&gt;</t>
  </si>
  <si>
    <t>&lt;a href="javascript:openPopupFocus%28%27https%3A%2F%2Fwww.facebook.com%2FInstitutoEdsonRoyer%2F%27%2C%20%27_blank%27%2C%20620%2C%20430%2C%20%27width%3D620%2Cheight%3D430%2Cresizable%3Dyes%2Ctoolbar%3Dyes%2Cstatus%3Dyes%2Cscrollbars%3Dyes%2Cmenubar%3Dyes%2Cdirectories%3Dyes%2Clocation%3Dyes%2Cdependant%3Dno%27%2C%20false%2C%20true%29%3B" title="https://www.facebook.com/InstitutoEdsonRoyer/ (Nova janela)"&gt;https://www.facebook.com/InstitutoEdsonRoyer/&lt;/a&gt;</t>
  </si>
  <si>
    <t>&lt;a href="javascript:openPopupFocus%28%27https%3A%2F%2Fwww.youtube.com%2Fwatch%3Fv%3DeWXdwGcjFPw%27%2C%20%27_blank%27%2C%20620%2C%20430%2C%20%27width%3D620%2Cheight%3D430%2Cresizable%3Dyes%2Ctoolbar%3Dyes%2Cstatus%3Dyes%2Cscrollbars%3Dyes%2Cmenubar%3Dyes%2Cdirectories%3Dyes%2Clocation%3Dyes%2Cdependant%3Dno%27%2C%20false%2C%20true%29%3B" title="https://www.youtube.com/watch?v=eWXdwGcjFPw (Nova janela)"&gt;https://www.youtube.com/watch?v=eWXdwGcjFPw&lt;/a&gt;</t>
  </si>
  <si>
    <t>https://linktr.ee/ier</t>
  </si>
  <si>
    <t>&lt;a href="javascript:openPopupFocus%28%27https%3A%2F%2Fdrive.google.com%2Fopen%3Fid%3D1QRf0HjShqh2Hl-6J3QKltERqED0UM8dB%27%2C%20%27_blank%27%2C%20620%2C%20430%2C%20%27width%3D620%2Cheight%3D430%2Cresizable%3Dyes%2Ctoolbar%3Dyes%2Cstatus%3Dyes%2Cscrollbars%3Dyes%2Cmenubar%3Dyes%2Cdirectories%3Dyes%2Clocation%3Dyes%2Cdependant%3Dno%27%2C%20false%2C%20true%29%3B" title="https://drive.google.com/open?id=1QRf0HjShqh2Hl-6J3QKltERqED0UM8dB (Nova janela)"&gt;https://drive.google.com/open?id=1QRf0HjShqh2Hl-6J3QKltERqED0UM8dB&lt;/a&gt;</t>
  </si>
  <si>
    <t>&lt;a href="javascript:openPopupFocus%28%27https%3A%2F%2Fdrive.google.com%2Fopen%3Fid%3D1jZGNmb341L1LUAjke5khLenOzWXXvRRf%27%2C%20%27_blank%27%2C%20620%2C%20430%2C%20%27width%3D620%2Cheight%3D430%2Cresizable%3Dyes%2Ctoolbar%3Dyes%2Cstatus%3Dyes%2Cscrollbars%3Dyes%2Cmenubar%3Dyes%2Cdirectories%3Dyes%2Clocation%3Dyes%2Cdependant%3Dno%27%2C%20false%2C%20true%29%3B" title="https://drive.google.com/open?id=1jZGNmb341L1LUAjke5khLenOzWXXvRRf (Nova janela)"&gt;https://drive.google.com/open?id=1jZGNmb341L1LUAjke5khLenOzWXXvRRf&lt;/a&gt;</t>
  </si>
  <si>
    <t>&lt;a href="javascript:openPopupFocus%28%27https%3A%2F%2Fdrive.google.com%2Fopen%3Fid%3D1EiTlyT_OoBNL8zvV9hqp_wUt1r1lHuYt%27%2C%20%27_blank%27%2C%20620%2C%20430%2C%20%27width%3D620%2Cheight%3D430%2Cresizable%3Dyes%2Ctoolbar%3Dyes%2Cstatus%3Dyes%2Cscrollbars%3Dyes%2Cmenubar%3Dyes%2Cdirectories%3Dyes%2Clocation%3Dyes%2Cdependant%3Dno%27%2C%20false%2C%20true%29%3B" title="https://drive.google.com/open?id=1EiTlyT_OoBNL8zvV9hqp_wUt1r1lHuYt (Nova janela)"&gt;https://drive.google.com/open?id=1EiTlyT_OoBNL8zvV9hqp_wUt1r1lHuYt&lt;/a&gt;</t>
  </si>
  <si>
    <t>&lt;a href="javascript:openPopupFocus%28%27https%3A%2F%2Fdrive.google.com%2Fopen%3Fid%3D1mQAxFbyownWw1-DNA0dkG-JuIAUin1Ia%27%2C%20%27_blank%27%2C%20620%2C%20430%2C%20%27width%3D620%2Cheight%3D430%2Cresizable%3Dyes%2Ctoolbar%3Dyes%2Cstatus%3Dyes%2Cscrollbars%3Dyes%2Cmenubar%3Dyes%2Cdirectories%3Dyes%2Clocation%3Dyes%2Cdependant%3Dno%27%2C%20false%2C%20true%29%3B" title="https://drive.google.com/open?id=1mQAxFbyownWw1-DNA0dkG-JuIAUin1Ia (Nova janela)"&gt;https://drive.google.com/open?id=1mQAxFbyownWw1-DNA0dkG-JuIAUin1Ia&lt;/a&gt;</t>
  </si>
  <si>
    <t>&lt;a href="javascript:openPopupFocus%28%27https%3A%2F%2Fdrive.google.com%2Fopen%3Fid%3D1TM-U2vsKclRo8juJHWM1JJx8PWSzUAZC%27%2C%20%27_blank%27%2C%20620%2C%20430%2C%20%27width%3D620%2Cheight%3D430%2Cresizable%3Dyes%2Ctoolbar%3Dyes%2Cstatus%3Dyes%2Cscrollbars%3Dyes%2Cmenubar%3Dyes%2Cdirectories%3Dyes%2Clocation%3Dyes%2Cdependant%3Dno%27%2C%20false%2C%20true%29%3B" title="https://drive.google.com/open?id=1TM-U2vsKclRo8juJHWM1JJx8PWSzUAZC (Nova janela)"&gt;https://drive.google.com/open?id=1TM-U2vsKclRo8juJHWM1JJx8PWSzUAZC&lt;/a&gt;</t>
  </si>
  <si>
    <t>&lt;a href="javascript:openPopupFocus%28%27https%3A%2F%2Fdrive.google.com%2Fopen%3Fid%3D1o0cKv3ArD1sOc0fn7Zw1PhkRPJfbd1lC%27%2C%20%27_blank%27%2C%20620%2C%20430%2C%20%27width%3D620%2Cheight%3D430%2Cresizable%3Dyes%2Ctoolbar%3Dyes%2Cstatus%3Dyes%2Cscrollbars%3Dyes%2Cmenubar%3Dyes%2Cdirectories%3Dyes%2Clocation%3Dyes%2Cdependant%3Dno%27%2C%20false%2C%20true%29%3B" title="https://drive.google.com/open?id=1o0cKv3ArD1sOc0fn7Zw1PhkRPJfbd1lC (Nova janela)"&gt;https://drive.google.com/open?id=1o0cKv3ArD1sOc0fn7Zw1PhkRPJfbd1lC&lt;/a&gt;</t>
  </si>
  <si>
    <t>&lt;a href="javascript:openPopupFocus%28%27https%3A%2F%2Fdrive.google.com%2Fopen%3Fid%3D1sPrp0ULcUKX0VIuJd8-OexvfDuAViL-g%27%2C%20%27_blank%27%2C%20620%2C%20430%2C%20%27width%3D620%2Cheight%3D430%2Cresizable%3Dyes%2Ctoolbar%3Dyes%2Cstatus%3Dyes%2Cscrollbars%3Dyes%2Cmenubar%3Dyes%2Cdirectories%3Dyes%2Clocation%3Dyes%2Cdependant%3Dno%27%2C%20false%2C%20true%29%3B" title="https://drive.google.com/open?id=1sPrp0ULcUKX0VIuJd8-OexvfDuAViL-g (Nova janela)"&gt;https://drive.google.com/open?id=1sPrp0ULcUKX0VIuJd8-OexvfDuAViL-g&lt;/a&gt;</t>
  </si>
  <si>
    <t>0014P00003SGWQF</t>
  </si>
  <si>
    <t>PROJETO PPL - PEDREIRA PRADO LOPES</t>
  </si>
  <si>
    <t>PROJETO PPL</t>
  </si>
  <si>
    <t>Priscilla Rubia De Siqueira</t>
  </si>
  <si>
    <t>popularculturabh@gmail.com</t>
  </si>
  <si>
    <t>(31)7155-0682</t>
  </si>
  <si>
    <t>Rua Doutor Joao Carvalhais</t>
  </si>
  <si>
    <t>São Cristóvão</t>
  </si>
  <si>
    <t>Quadra</t>
  </si>
  <si>
    <t>Endereço: R. Mendes de Oliveira 325 B - Santo Andre Belo Horizonte - MG 31210-610</t>
  </si>
  <si>
    <t>Moradores de favelas. Pessoas em situação de rua. População LGBTQ+. Quilombolas. Afrodescendentes. Dependentes químicos. Pessoas com deficiências</t>
  </si>
  <si>
    <t>Pedreira Prado Lopes / Taquaril / São Cosme/Jardim América/Sabará</t>
  </si>
  <si>
    <t>Mulheres temos ações e atendimentos específicos voltado pra mulheres.</t>
  </si>
  <si>
    <t>70% Eventos/Ações para captação - 30% Plataforma doação online - Pessoa Física</t>
  </si>
  <si>
    <t>&lt;a href="javascript:openPopupFocus%28%27https%3A%2F%2Fsambadeiras.46graus.com%2F%27%2C%20%27_blank%27%2C%20620%2C%20430%2C%20%27width%3D620%2Cheight%3D430%2Cresizable%3Dyes%2Ctoolbar%3Dyes%2Cstatus%3Dyes%2Cscrollbars%3Dyes%2Cmenubar%3Dyes%2Cdirectories%3Dyes%2Clocation%3Dyes%2Cdependant%3Dno%27%2C%20false%2C%20true%29%3B" title="https://sambadeiras.46graus.com/ (Nova janela)"&gt;https://sambadeiras.46graus.com/&lt;/a&gt;</t>
  </si>
  <si>
    <t>&lt;a href="javascript:openPopupFocus%28%27https%3A%2F%2Fwww.instagram.com%2Fprojetoppl%2F%27%2C%20%27_blank%27%2C%20620%2C%20430%2C%20%27width%3D620%2Cheight%3D430%2Cresizable%3Dyes%2Ctoolbar%3Dyes%2Cstatus%3Dyes%2Cscrollbars%3Dyes%2Cmenubar%3Dyes%2Cdirectories%3Dyes%2Clocation%3Dyes%2Cdependant%3Dno%27%2C%20false%2C%20true%29%3B" title="https://www.instagram.com/projetoppl/ (Nova janela)"&gt;https://www.instagram.com/projetoppl/&lt;/a&gt;</t>
  </si>
  <si>
    <t>&lt;a href="javascript:openPopupFocus%28%27https%3A%2F%2Fwww.facebook.com%2FAbadaCapoeiraPPL%2F%27%2C%20%27_blank%27%2C%20620%2C%20430%2C%20%27width%3D620%2Cheight%3D430%2Cresizable%3Dyes%2Ctoolbar%3Dyes%2Cstatus%3Dyes%2Cscrollbars%3Dyes%2Cmenubar%3Dyes%2Cdirectories%3Dyes%2Clocation%3Dyes%2Cdependant%3Dno%27%2C%20false%2C%20true%29%3B" title="https://www.facebook.com/AbadaCapoeiraPPL/ (Nova janela)"&gt;https://www.facebook.com/AbadaCapoeiraPPL/&lt;/a&gt;</t>
  </si>
  <si>
    <t>&lt;a href="javascript:openPopupFocus%28%27https%3A%2F%2Fdrive.google.com%2Fopen%3Fid%3D1f_Au0KCnw6EKGePrPxFzGoQqsyZXNQhJ%27%2C%20%27_blank%27%2C%20620%2C%20430%2C%20%27width%3D620%2Cheight%3D430%2Cresizable%3Dyes%2Ctoolbar%3Dyes%2Cstatus%3Dyes%2Cscrollbars%3Dyes%2Cmenubar%3Dyes%2Cdirectories%3Dyes%2Clocation%3Dyes%2Cdependant%3Dno%27%2C%20false%2C%20true%29%3B" title="https://drive.google.com/open?id=1f_Au0KCnw6EKGePrPxFzGoQqsyZXNQhJ (Nova janela)"&gt;https://drive.google.com/open?id=1f_Au0KCnw6EKGePrPxFzGoQqsyZXNQhJ&lt;/a&gt;</t>
  </si>
  <si>
    <t>0014P00003SGWQG</t>
  </si>
  <si>
    <t>ASSOCIAÇÃO BENEFICENTE AMIGAS SOLIDÁRIAS</t>
  </si>
  <si>
    <t>AMIGAS SOLIDÁRIAS</t>
  </si>
  <si>
    <t>27.965.035/0001-11</t>
  </si>
  <si>
    <t>Silvana Alves De França Mansanari</t>
  </si>
  <si>
    <t>associacaoamigassolidarias@gmail.com</t>
  </si>
  <si>
    <t>(11)2509-8036</t>
  </si>
  <si>
    <t>Rua: Cacique</t>
  </si>
  <si>
    <t>Parada XV de Novembro</t>
  </si>
  <si>
    <t>Francisco Morato</t>
  </si>
  <si>
    <t>["Esporte","Educação","Assistência Social","Cultura","Qualificação Profissional","Meio ambiente"]</t>
  </si>
  <si>
    <t>Moradores de favelas. Afrodescendentes. Dependentes químicos</t>
  </si>
  <si>
    <t>Comunidade Vila Taquari Goiti Vidrão Lavos Maria Luisa Miguel Inácio Cury Favela 100%</t>
  </si>
  <si>
    <t>20% Evento 10% famílias</t>
  </si>
  <si>
    <t>&lt;a href="javascript:openPopupFocus%28%27https%3A%2F%2Fwww.instagram.com%2Fassociacaobeneficenteamigas%2F%27%2C%20%27_blank%27%2C%20620%2C%20430%2C%20%27width%3D620%2Cheight%3D430%2Cresizable%3Dyes%2Ctoolbar%3Dyes%2Cstatus%3Dyes%2Cscrollbars%3Dyes%2Cmenubar%3Dyes%2Cdirectories%3Dyes%2Clocation%3Dyes%2Cdependant%3Dno%27%2C%20false%2C%20true%29%3B" title="https://www.instagram.com/associacaobeneficenteamigas/ (Nova janela)"&gt;https://www.instagram.com/associacaobeneficenteamigas/&lt;/a&gt;</t>
  </si>
  <si>
    <t>&lt;a href="javascript:openPopupFocus%28%27https%3A%2F%2Fwww.facebook.com%2FASSOCIACAOAMIGASSOLIDARIAS%27%2C%20%27_blank%27%2C%20620%2C%20430%2C%20%27width%3D620%2Cheight%3D430%2Cresizable%3Dyes%2Ctoolbar%3Dyes%2Cstatus%3Dyes%2Cscrollbars%3Dyes%2Cmenubar%3Dyes%2Cdirectories%3Dyes%2Clocation%3Dyes%2Cdependant%3Dno%27%2C%20false%2C%20true%29%3B" title="https://www.facebook.com/ASSOCIACAOAMIGASSOLIDARIAS (Nova janela)"&gt;https://www.facebook.com/ASSOCIACAOAMIGASSOLIDARIAS&lt;/a&gt;</t>
  </si>
  <si>
    <t>&lt;a href="javascript:openPopupFocus%28%27https%3A%2F%2Fdrive.google.com%2Fopen%3Fid%3D1MsRZMc-mvNS0K361wPAUAaVfZXmWAr91%27%2C%20%27_blank%27%2C%20620%2C%20430%2C%20%27width%3D620%2Cheight%3D430%2Cresizable%3Dyes%2Ctoolbar%3Dyes%2Cstatus%3Dyes%2Cscrollbars%3Dyes%2Cmenubar%3Dyes%2Cdirectories%3Dyes%2Clocation%3Dyes%2Cdependant%3Dno%27%2C%20false%2C%20true%29%3B" title="https://drive.google.com/open?id=1MsRZMc-mvNS0K361wPAUAaVfZXmWAr91 (Nova janela)"&gt;https://drive.google.com/open?id=1MsRZMc-mvNS0K361wPAUAaVfZXmWAr91&lt;/a&gt;</t>
  </si>
  <si>
    <t>&lt;a href="javascript:openPopupFocus%28%27https%3A%2F%2Fdrive.google.com%2Fopen%3Fid%3D1GGLL_0-XR9W7oRmM3AltncpvvzlaZTN6%27%2C%20%27_blank%27%2C%20620%2C%20430%2C%20%27width%3D620%2Cheight%3D430%2Cresizable%3Dyes%2Ctoolbar%3Dyes%2Cstatus%3Dyes%2Cscrollbars%3Dyes%2Cmenubar%3Dyes%2Cdirectories%3Dyes%2Clocation%3Dyes%2Cdependant%3Dno%27%2C%20false%2C%20true%29%3B" title="https://drive.google.com/open?id=1GGLL_0-XR9W7oRmM3AltncpvvzlaZTN6 (Nova janela)"&gt;https://drive.google.com/open?id=1GGLL_0-XR9W7oRmM3AltncpvvzlaZTN6&lt;/a&gt;</t>
  </si>
  <si>
    <t>&lt;a href="javascript:openPopupFocus%28%27https%3A%2F%2Fdrive.google.com%2Fopen%3Fid%3D1x9aYVIGp7w-okSOQDlfXN0s6qqh1WO9k%27%2C%20%27_blank%27%2C%20620%2C%20430%2C%20%27width%3D620%2Cheight%3D430%2Cresizable%3Dyes%2Ctoolbar%3Dyes%2Cstatus%3Dyes%2Cscrollbars%3Dyes%2Cmenubar%3Dyes%2Cdirectories%3Dyes%2Clocation%3Dyes%2Cdependant%3Dno%27%2C%20false%2C%20true%29%3B" title="https://drive.google.com/open?id=1x9aYVIGp7w-okSOQDlfXN0s6qqh1WO9k (Nova janela)"&gt;https://drive.google.com/open?id=1x9aYVIGp7w-okSOQDlfXN0s6qqh1WO9k&lt;/a&gt;</t>
  </si>
  <si>
    <t>&lt;a href="javascript:openPopupFocus%28%27https%3A%2F%2Fdrive.google.com%2Fopen%3Fid%3D1zD7ZKgdUwrtS9dEClSLjqY61hKCZX4jk%27%2C%20%27_blank%27%2C%20620%2C%20430%2C%20%27width%3D620%2Cheight%3D430%2Cresizable%3Dyes%2Ctoolbar%3Dyes%2Cstatus%3Dyes%2Cscrollbars%3Dyes%2Cmenubar%3Dyes%2Cdirectories%3Dyes%2Clocation%3Dyes%2Cdependant%3Dno%27%2C%20false%2C%20true%29%3B" title="https://drive.google.com/open?id=1zD7ZKgdUwrtS9dEClSLjqY61hKCZX4jk (Nova janela)"&gt;https://drive.google.com/open?id=1zD7ZKgdUwrtS9dEClSLjqY61hKCZX4jk&lt;/a&gt;</t>
  </si>
  <si>
    <t>&lt;a href="javascript:openPopupFocus%28%27https%3A%2F%2Fdrive.google.com%2Fopen%3Fid%3D1nUzsnL3eaImLXy-6Wa0R7lzK73vgodZ3%27%2C%20%27_blank%27%2C%20620%2C%20430%2C%20%27width%3D620%2Cheight%3D430%2Cresizable%3Dyes%2Ctoolbar%3Dyes%2Cstatus%3Dyes%2Cscrollbars%3Dyes%2Cmenubar%3Dyes%2Cdirectories%3Dyes%2Clocation%3Dyes%2Cdependant%3Dno%27%2C%20false%2C%20true%29%3B" title="https://drive.google.com/open?id=1nUzsnL3eaImLXy-6Wa0R7lzK73vgodZ3 (Nova janela)"&gt;https://drive.google.com/open?id=1nUzsnL3eaImLXy-6Wa0R7lzK73vgodZ3&lt;/a&gt;</t>
  </si>
  <si>
    <t>&lt;a href="javascript:openPopupFocus%28%27https%3A%2F%2Fdrive.google.com%2Fopen%3Fid%3D1yv3u17nJ7AVaBmt-HN836qZ97IcM76KO%27%2C%20%27_blank%27%2C%20620%2C%20430%2C%20%27width%3D620%2Cheight%3D430%2Cresizable%3Dyes%2Ctoolbar%3Dyes%2Cstatus%3Dyes%2Cscrollbars%3Dyes%2Cmenubar%3Dyes%2Cdirectories%3Dyes%2Clocation%3Dyes%2Cdependant%3Dno%27%2C%20false%2C%20true%29%3B" title="https://drive.google.com/open?id=1yv3u17nJ7AVaBmt-HN836qZ97IcM76KO (Nova janela)"&gt;https://drive.google.com/open?id=1yv3u17nJ7AVaBmt-HN836qZ97IcM76KO&lt;/a&gt;</t>
  </si>
  <si>
    <t>0014P00003SGWQH</t>
  </si>
  <si>
    <t>RESILIENTE SLUM</t>
  </si>
  <si>
    <t>SLUM</t>
  </si>
  <si>
    <t>Fabio Anacleto</t>
  </si>
  <si>
    <t>fabioanacleto1990@gmail.com</t>
  </si>
  <si>
    <t>(31)8657-5234</t>
  </si>
  <si>
    <t>Rua Nicolina de Lima</t>
  </si>
  <si>
    <t>Havai</t>
  </si>
  <si>
    <t>["Crianças (6 a 12 anos)","Crianças pequenas (4 anos a 5 anos e 11 meses)","Adolescentes (12 aos 18 anos)","Jovens (18 aos 24 anos)","Crianças bem pequenas (1 ano e 7 meses até 3 anos e 11 meses)","Bebês (0 a 1 ano e 6 meses)"]</t>
  </si>
  <si>
    <t>Moradores de favelas. Egressos</t>
  </si>
  <si>
    <t>Vila Ventosa e Morro das Pedras</t>
  </si>
  <si>
    <t>20% eventos 80% Rede de amigos que doam</t>
  </si>
  <si>
    <t>&lt;a href="javascript:openPopupFocus%28%27https%3A%2F%2Fwww.instagram.com%2Fresilienteslum%2F%27%2C%20%27_blank%27%2C%20620%2C%20430%2C%20%27width%3D620%2Cheight%3D430%2Cresizable%3Dyes%2Ctoolbar%3Dyes%2Cstatus%3Dyes%2Cscrollbars%3Dyes%2Cmenubar%3Dyes%2Cdirectories%3Dyes%2Clocation%3Dyes%2Cdependant%3Dno%27%2C%20false%2C%20true%29%3B" title="https://www.instagram.com/resilienteslum/ (Nova janela)"&gt;https://www.instagram.com/resilienteslum/&lt;/a&gt;</t>
  </si>
  <si>
    <t>&lt;a href="javascript:openPopupFocus%28%27https%3A%2F%2Fwww.facebook.com%2Fresilienteslum%27%2C%20%27_blank%27%2C%20620%2C%20430%2C%20%27width%3D620%2Cheight%3D430%2Cresizable%3Dyes%2Ctoolbar%3Dyes%2Cstatus%3Dyes%2Cscrollbars%3Dyes%2Cmenubar%3Dyes%2Cdirectories%3Dyes%2Clocation%3Dyes%2Cdependant%3Dno%27%2C%20false%2C%20true%29%3B" title="https://www.facebook.com/resilienteslum (Nova janela)"&gt;https://www.facebook.com/resilienteslum&lt;/a&gt;</t>
  </si>
  <si>
    <t>&lt;a href="javascript:openPopupFocus%28%27https%3A%2F%2Fdrive.google.com%2Fopen%3Fid%3D1iHnNnkqHky46uZY4Z0TOcn_DtCJsj2gO%27%2C%20%27_blank%27%2C%20620%2C%20430%2C%20%27width%3D620%2Cheight%3D430%2Cresizable%3Dyes%2Ctoolbar%3Dyes%2Cstatus%3Dyes%2Cscrollbars%3Dyes%2Cmenubar%3Dyes%2Cdirectories%3Dyes%2Clocation%3Dyes%2Cdependant%3Dno%27%2C%20false%2C%20true%29%3B" title="https://drive.google.com/open?id=1iHnNnkqHky46uZY4Z0TOcn_DtCJsj2gO (Nova janela)"&gt;https://drive.google.com/open?id=1iHnNnkqHky46uZY4Z0TOcn_DtCJsj2gO&lt;/a&gt;</t>
  </si>
  <si>
    <t>&lt;a href="javascript:openPopupFocus%28%27https%3A%2F%2Fdrive.google.com%2Fopen%3Fid%3D1l9vRtIIexZAOD8M4tSnjNK6J5dfLRu56%27%2C%20%27_blank%27%2C%20620%2C%20430%2C%20%27width%3D620%2Cheight%3D430%2Cresizable%3Dyes%2Ctoolbar%3Dyes%2Cstatus%3Dyes%2Cscrollbars%3Dyes%2Cmenubar%3Dyes%2Cdirectories%3Dyes%2Clocation%3Dyes%2Cdependant%3Dno%27%2C%20false%2C%20true%29%3B" title="https://drive.google.com/open?id=1l9vRtIIexZAOD8M4tSnjNK6J5dfLRu56 (Nova janela)"&gt;https://drive.google.com/open?id=1l9vRtIIexZAOD8M4tSnjNK6J5dfLRu56&lt;/a&gt;</t>
  </si>
  <si>
    <t>&lt;a href="javascript:openPopupFocus%28%27https%3A%2F%2Fdrive.google.com%2Fopen%3Fid%3D1OBwcS6LKHh3MLxJQJL9bl2dWyItBChDw%27%2C%20%27_blank%27%2C%20620%2C%20430%2C%20%27width%3D620%2Cheight%3D430%2Cresizable%3Dyes%2Ctoolbar%3Dyes%2Cstatus%3Dyes%2Cscrollbars%3Dyes%2Cmenubar%3Dyes%2Cdirectories%3Dyes%2Clocation%3Dyes%2Cdependant%3Dno%27%2C%20false%2C%20true%29%3B" title="https://drive.google.com/open?id=1OBwcS6LKHh3MLxJQJL9bl2dWyItBChDw (Nova janela)"&gt;https://drive.google.com/open?id=1OBwcS6LKHh3MLxJQJL9bl2dWyItBChDw&lt;/a&gt;</t>
  </si>
  <si>
    <t>0014P00003SGWQJ</t>
  </si>
  <si>
    <t>INSTITUTO DE CULTURA E LAZER EBENÉZER</t>
  </si>
  <si>
    <t>EBENÉZER</t>
  </si>
  <si>
    <t>30.434.044/0001-90</t>
  </si>
  <si>
    <t>Ueliton Moreira Rocha</t>
  </si>
  <si>
    <t>institutosocialebenezer@gmail.com</t>
  </si>
  <si>
    <t>(11)5979-0349</t>
  </si>
  <si>
    <t>Rua Antônio de Melo Freitas</t>
  </si>
  <si>
    <t>Parque Novo Santo Amaro</t>
  </si>
  <si>
    <t>05875-210</t>
  </si>
  <si>
    <t>["Educação","Assistência Social","Cultura","Qualificação Profissional","Empreendedorismo"]</t>
  </si>
  <si>
    <t>Ocupação Nova Canaã Jd Paranapanema Jd Tupi Chácara do Povo Chácara Bandeirantes Cidade de Madeira.</t>
  </si>
  <si>
    <t>["Convênio Público","Plataforma doação online  Pessoa Física"]</t>
  </si>
  <si>
    <t>80% pessoa fisica 20% (alimentos) público</t>
  </si>
  <si>
    <t>&lt;a href="javascript:openPopupFocus%28%27http%3A%2F%2Fwww.institutoebenezer.org%27%2C%20%27_blank%27%2C%20620%2C%20430%2C%20%27width%3D620%2Cheight%3D430%2Cresizable%3Dyes%2Ctoolbar%3Dyes%2Cstatus%3Dyes%2Cscrollbars%3Dyes%2Cmenubar%3Dyes%2Cdirectories%3Dyes%2Clocation%3Dyes%2Cdependant%3Dno%27%2C%20false%2C%20true%29%3B" title="http://www.institutoebenezer.org (Nova janela)"&gt;http://www.institutoebenezer.org&lt;/a&gt;</t>
  </si>
  <si>
    <t>&lt;a href="javascript:openPopupFocus%28%27https%3A%2F%2Finstagram.com%2Finstitutosocialebenezer%27%2C%20%27_blank%27%2C%20620%2C%20430%2C%20%27width%3D620%2Cheight%3D430%2Cresizable%3Dyes%2Ctoolbar%3Dyes%2Cstatus%3Dyes%2Cscrollbars%3Dyes%2Cmenubar%3Dyes%2Cdirectories%3Dyes%2Clocation%3Dyes%2Cdependant%3Dno%27%2C%20false%2C%20true%29%3B" title="https://instagram.com/institutosocialebenezer (Nova janela)"&gt;https://instagram.com/institutosocialebenezer&lt;/a&gt;</t>
  </si>
  <si>
    <t>&lt;a href="javascript:openPopupFocus%28%27https%3A%2F%2Fwww.facebook.com%2Finstitutosocialebenezer%2F%27%2C%20%27_blank%27%2C%20620%2C%20430%2C%20%27width%3D620%2Cheight%3D430%2Cresizable%3Dyes%2Ctoolbar%3Dyes%2Cstatus%3Dyes%2Cscrollbars%3Dyes%2Cmenubar%3Dyes%2Cdirectories%3Dyes%2Clocation%3Dyes%2Cdependant%3Dno%27%2C%20false%2C%20true%29%3B" title="https://www.facebook.com/institutosocialebenezer/ (Nova janela)"&gt;https://www.facebook.com/institutosocialebenezer/&lt;/a&gt;</t>
  </si>
  <si>
    <t>&lt;a href="javascript:openPopupFocus%28%27https%3A%2F%2Fyoutube.com%2Fc%2FInstitutoEben%25C3%25A9zer%27%2C%20%27_blank%27%2C%20620%2C%20430%2C%20%27width%3D620%2Cheight%3D430%2Cresizable%3Dyes%2Ctoolbar%3Dyes%2Cstatus%3Dyes%2Cscrollbars%3Dyes%2Cmenubar%3Dyes%2Cdirectories%3Dyes%2Clocation%3Dyes%2Cdependant%3Dno%27%2C%20false%2C%20true%29%3B" title="https://youtube.com/c/InstitutoEben%C3%A9zer (Nova janela)"&gt;https://youtube.com/c/InstitutoEben%C3%A9zer&lt;/a&gt;</t>
  </si>
  <si>
    <t>&lt;a href="javascript:openPopupFocus%28%27https%3A%2F%2Fdrive.google.com%2Fopen%3Fid%3D1tGaN8lCr8wXjTmXRcZimgtUeQFuDiNt3%27%2C%20%27_blank%27%2C%20620%2C%20430%2C%20%27width%3D620%2Cheight%3D430%2Cresizable%3Dyes%2Ctoolbar%3Dyes%2Cstatus%3Dyes%2Cscrollbars%3Dyes%2Cmenubar%3Dyes%2Cdirectories%3Dyes%2Clocation%3Dyes%2Cdependant%3Dno%27%2C%20false%2C%20true%29%3B" title="https://drive.google.com/open?id=1tGaN8lCr8wXjTmXRcZimgtUeQFuDiNt3 (Nova janela)"&gt;https://drive.google.com/open?id=1tGaN8lCr8wXjTmXRcZimgtUeQFuDiNt3&lt;/a&gt;</t>
  </si>
  <si>
    <t>&lt;a href="javascript:openPopupFocus%28%27https%3A%2F%2Fdrive.google.com%2Fopen%3Fid%3D16SwgzynCv7hTUnEllgH0qNq3DzdRls_x%27%2C%20%27_blank%27%2C%20620%2C%20430%2C%20%27width%3D620%2Cheight%3D430%2Cresizable%3Dyes%2Ctoolbar%3Dyes%2Cstatus%3Dyes%2Cscrollbars%3Dyes%2Cmenubar%3Dyes%2Cdirectories%3Dyes%2Clocation%3Dyes%2Cdependant%3Dno%27%2C%20false%2C%20true%29%3B" title="https://drive.google.com/open?id=16SwgzynCv7hTUnEllgH0qNq3DzdRls_x (Nova janela)"&gt;https://drive.google.com/open?id=16SwgzynCv7hTUnEllgH0qNq3DzdRls_x&lt;/a&gt;</t>
  </si>
  <si>
    <t>&lt;a href="javascript:openPopupFocus%28%27https%3A%2F%2Fdrive.google.com%2Fopen%3Fid%3D1e5fsAY9aR3hHgfWXSleDVpxbqykOXJXn%27%2C%20%27_blank%27%2C%20620%2C%20430%2C%20%27width%3D620%2Cheight%3D430%2Cresizable%3Dyes%2Ctoolbar%3Dyes%2Cstatus%3Dyes%2Cscrollbars%3Dyes%2Cmenubar%3Dyes%2Cdirectories%3Dyes%2Clocation%3Dyes%2Cdependant%3Dno%27%2C%20false%2C%20true%29%3B" title="https://drive.google.com/open?id=1e5fsAY9aR3hHgfWXSleDVpxbqykOXJXn (Nova janela)"&gt;https://drive.google.com/open?id=1e5fsAY9aR3hHgfWXSleDVpxbqykOXJXn&lt;/a&gt;</t>
  </si>
  <si>
    <t>&lt;a href="javascript:openPopupFocus%28%27https%3A%2F%2Fdrive.google.com%2Fopen%3Fid%3D1kmC0f6QIhgOa14xHlaub6H6donHIAp4b%27%2C%20%27_blank%27%2C%20620%2C%20430%2C%20%27width%3D620%2Cheight%3D430%2Cresizable%3Dyes%2Ctoolbar%3Dyes%2Cstatus%3Dyes%2Cscrollbars%3Dyes%2Cmenubar%3Dyes%2Cdirectories%3Dyes%2Clocation%3Dyes%2Cdependant%3Dno%27%2C%20false%2C%20true%29%3B" title="https://drive.google.com/open?id=1kmC0f6QIhgOa14xHlaub6H6donHIAp4b (Nova janela)"&gt;https://drive.google.com/open?id=1kmC0f6QIhgOa14xHlaub6H6donHIAp4b&lt;/a&gt;</t>
  </si>
  <si>
    <t>0014P00003YSm8C</t>
  </si>
  <si>
    <t>ASSOCIAÇÃO DESPORTIVA E SOCIO CULTURAL CELEIRO DE BAMBAS</t>
  </si>
  <si>
    <t>CELEIRO</t>
  </si>
  <si>
    <t>26.050.190/0001-45</t>
  </si>
  <si>
    <t>Adilma Maria</t>
  </si>
  <si>
    <t>ongceleirodebambas@gmail.com</t>
  </si>
  <si>
    <t>(81)8854-1441</t>
  </si>
  <si>
    <t>RUA SENADOR THOMAZ LOBO</t>
  </si>
  <si>
    <t>AREIAS</t>
  </si>
  <si>
    <t>ACADEMIA DA SAUDE CEP:50860-020 CAMPO DA COMUNIDADE CEP:50860-240 E CEP:50860-260</t>
  </si>
  <si>
    <t>BEIRINHA SENADOR THOMAZ BOBO SALINA E RUA DO RIO</t>
  </si>
  <si>
    <t>["Lei de Incentivo","Plataforma doação online  Pessoa Física","Editais"]</t>
  </si>
  <si>
    <t>&lt;a href="javascript:openPopupFocus%28%27https%3A%2F%2Fongceleirodebambas.wixsite.com%2Fmeusite%27%2C%20%27_blank%27%2C%20620%2C%20430%2C%20%27width%3D620%2Cheight%3D430%2Cresizable%3Dyes%2Ctoolbar%3Dyes%2Cstatus%3Dyes%2Cscrollbars%3Dyes%2Cmenubar%3Dyes%2Cdirectories%3Dyes%2Clocation%3Dyes%2Cdependant%3Dno%27%2C%20false%2C%20true%29%3B" title="https://ongceleirodebambas.wixsite.com/meusite (Nova janela)"&gt;https://ongceleirodebambas.wixsite.com/meusite&lt;/a&gt;</t>
  </si>
  <si>
    <t>&lt;a href="javascript:openPopupFocus%28%27https%3A%2F%2Fwww.instagram.com%2Fceleirodebambas%2F%27%2C%20%27_blank%27%2C%20620%2C%20430%2C%20%27width%3D620%2Cheight%3D430%2Cresizable%3Dyes%2Ctoolbar%3Dyes%2Cstatus%3Dyes%2Cscrollbars%3Dyes%2Cmenubar%3Dyes%2Cdirectories%3Dyes%2Clocation%3Dyes%2Cdependant%3Dno%27%2C%20false%2C%20true%29%3B" title="https://www.instagram.com/celeirodebambas/ (Nova janela)"&gt;https://www.instagram.com/celeirodebambas/&lt;/a&gt;</t>
  </si>
  <si>
    <t>&lt;a href="javascript:openPopupFocus%28%27https%3A%2F%2Fwww.facebook.com%2Fprofile.php%3Fid%3D100016750202918%27%2C%20%27_blank%27%2C%20620%2C%20430%2C%20%27width%3D620%2Cheight%3D430%2Cresizable%3Dyes%2Ctoolbar%3Dyes%2Cstatus%3Dyes%2Cscrollbars%3Dyes%2Cmenubar%3Dyes%2Cdirectories%3Dyes%2Clocation%3Dyes%2Cdependant%3Dno%27%2C%20false%2C%20true%29%3B" title="https://www.facebook.com/profile.php?id=100016750202918 (Nova janela)"&gt;https://www.facebook.com/profile.php?id=100016750202918&lt;/a&gt;</t>
  </si>
  <si>
    <t>&lt;a href="javascript:openPopupFocus%28%27https%3A%2F%2Fwww.youtube.com%2Fchannel%2FUCr8ADfcWxzwRNd5c5uWJPJw%27%2C%20%27_blank%27%2C%20620%2C%20430%2C%20%27width%3D620%2Cheight%3D430%2Cresizable%3Dyes%2Ctoolbar%3Dyes%2Cstatus%3Dyes%2Cscrollbars%3Dyes%2Cmenubar%3Dyes%2Cdirectories%3Dyes%2Clocation%3Dyes%2Cdependant%3Dno%27%2C%20false%2C%20true%29%3B" title="https://www.youtube.com/channel/UCr8ADfcWxzwRNd5c5uWJPJw (Nova janela)"&gt;https://www.youtube.com/channel/UCr8ADfcWxzwRNd5c5uWJPJw&lt;/a&gt;</t>
  </si>
  <si>
    <t>&lt;a href="javascript:openPopupFocus%28%27https%3A%2F%2Fdrive.google.com%2Fopen%3Fid%3D1MP3IUig69NUcbe5zkyQzpuBow3MJMqDY%27%2C%20%27_blank%27%2C%20620%2C%20430%2C%20%27width%3D620%2Cheight%3D430%2Cresizable%3Dyes%2Ctoolbar%3Dyes%2Cstatus%3Dyes%2Cscrollbars%3Dyes%2Cmenubar%3Dyes%2Cdirectories%3Dyes%2Clocation%3Dyes%2Cdependant%3Dno%27%2C%20false%2C%20true%29%3B" title="https://drive.google.com/open?id=1MP3IUig69NUcbe5zkyQzpuBow3MJMqDY (Nova janela)"&gt;https://drive.google.com/open?id=1MP3IUig69NUcbe5zkyQzpuBow3MJMqDY&lt;/a&gt;</t>
  </si>
  <si>
    <t>&lt;a href="javascript:openPopupFocus%28%27https%3A%2F%2Fdrive.google.com%2Fopen%3Fid%3D1e-H81Z4rqUmIOJqn4wpKHbij8CvyrVFc%27%2C%20%27_blank%27%2C%20620%2C%20430%2C%20%27width%3D620%2Cheight%3D430%2Cresizable%3Dyes%2Ctoolbar%3Dyes%2Cstatus%3Dyes%2Cscrollbars%3Dyes%2Cmenubar%3Dyes%2Cdirectories%3Dyes%2Clocation%3Dyes%2Cdependant%3Dno%27%2C%20false%2C%20true%29%3B" title="https://drive.google.com/open?id=1e-H81Z4rqUmIOJqn4wpKHbij8CvyrVFc (Nova janela)"&gt;https://drive.google.com/open?id=1e-H81Z4rqUmIOJqn4wpKHbij8CvyrVFc&lt;/a&gt;</t>
  </si>
  <si>
    <t>&lt;a href="javascript:openPopupFocus%28%27https%3A%2F%2Fdrive.google.com%2Fopen%3Fid%3D1GdP97Ghka2w7gDhm3_3jtBFIxjGHakPM%27%2C%20%27_blank%27%2C%20620%2C%20430%2C%20%27width%3D620%2Cheight%3D430%2Cresizable%3Dyes%2Ctoolbar%3Dyes%2Cstatus%3Dyes%2Cscrollbars%3Dyes%2Cmenubar%3Dyes%2Cdirectories%3Dyes%2Clocation%3Dyes%2Cdependant%3Dno%27%2C%20false%2C%20true%29%3B" title="https://drive.google.com/open?id=1GdP97Ghka2w7gDhm3_3jtBFIxjGHakPM (Nova janela)"&gt;https://drive.google.com/open?id=1GdP97Ghka2w7gDhm3_3jtBFIxjGHakPM&lt;/a&gt;</t>
  </si>
  <si>
    <t>&lt;a href="javascript:openPopupFocus%28%27https%3A%2F%2Fdrive.google.com%2Fopen%3Fid%3D1FXa_os71nLnSXAHl6MxSCAf_lG601783%27%2C%20%27_blank%27%2C%20620%2C%20430%2C%20%27width%3D620%2Cheight%3D430%2Cresizable%3Dyes%2Ctoolbar%3Dyes%2Cstatus%3Dyes%2Cscrollbars%3Dyes%2Cmenubar%3Dyes%2Cdirectories%3Dyes%2Clocation%3Dyes%2Cdependant%3Dno%27%2C%20false%2C%20true%29%3B" title="https://drive.google.com/open?id=1FXa_os71nLnSXAHl6MxSCAf_lG601783 (Nova janela)"&gt;https://drive.google.com/open?id=1FXa_os71nLnSXAHl6MxSCAf_lG601783&lt;/a&gt;</t>
  </si>
  <si>
    <t>&lt;a href="javascript:openPopupFocus%28%27https%3A%2F%2Fdrive.google.com%2Fopen%3Fid%3D1Cfmyr3_b3jfRpqOeY_LN37WiJX1clHwz%27%2C%20%27_blank%27%2C%20620%2C%20430%2C%20%27width%3D620%2Cheight%3D430%2Cresizable%3Dyes%2Ctoolbar%3Dyes%2Cstatus%3Dyes%2Cscrollbars%3Dyes%2Cmenubar%3Dyes%2Cdirectories%3Dyes%2Clocation%3Dyes%2Cdependant%3Dno%27%2C%20false%2C%20true%29%3B" title="https://drive.google.com/open?id=1Cfmyr3_b3jfRpqOeY_LN37WiJX1clHwz (Nova janela)"&gt;https://drive.google.com/open?id=1Cfmyr3_b3jfRpqOeY_LN37WiJX1clHwz&lt;/a&gt;</t>
  </si>
  <si>
    <t>&lt;a href="javascript:openPopupFocus%28%27https%3A%2F%2Fdrive.google.com%2Fopen%3Fid%3D1f2xGH2PziPEdtz5mJqOgwUYk1X_6pT_q%27%2C%20%27_blank%27%2C%20620%2C%20430%2C%20%27width%3D620%2Cheight%3D430%2Cresizable%3Dyes%2Ctoolbar%3Dyes%2Cstatus%3Dyes%2Cscrollbars%3Dyes%2Cmenubar%3Dyes%2Cdirectories%3Dyes%2Clocation%3Dyes%2Cdependant%3Dno%27%2C%20false%2C%20true%29%3B" title="https://drive.google.com/open?id=1f2xGH2PziPEdtz5mJqOgwUYk1X_6pT_q (Nova janela)"&gt;https://drive.google.com/open?id=1f2xGH2PziPEdtz5mJqOgwUYk1X_6pT_q&lt;/a&gt;</t>
  </si>
  <si>
    <t>&lt;a href="javascript:openPopupFocus%28%27https%3A%2F%2Fdrive.google.com%2Fopen%3Fid%3D1z4e4iWtaXGVPJ2HkVm0gCNGsZ7gKNnJE%27%2C%20%27_blank%27%2C%20620%2C%20430%2C%20%27width%3D620%2Cheight%3D430%2Cresizable%3Dyes%2Ctoolbar%3Dyes%2Cstatus%3Dyes%2Cscrollbars%3Dyes%2Cmenubar%3Dyes%2Cdirectories%3Dyes%2Clocation%3Dyes%2Cdependant%3Dno%27%2C%20false%2C%20true%29%3B" title="https://drive.google.com/open?id=1z4e4iWtaXGVPJ2HkVm0gCNGsZ7gKNnJE (Nova janela)"&gt;https://drive.google.com/open?id=1z4e4iWtaXGVPJ2HkVm0gCNGsZ7gKNnJE&lt;/a&gt;</t>
  </si>
  <si>
    <t>0014P00003SGWPb</t>
  </si>
  <si>
    <t>OBRAS SOCIAIS DO CENTRO ESPÍRITA OBREIROS DO SENHOR</t>
  </si>
  <si>
    <t>OBREIROS DO SENHOR</t>
  </si>
  <si>
    <t>37.584.240/0001-90</t>
  </si>
  <si>
    <t>Elisandra Aparecida Martins Melo</t>
  </si>
  <si>
    <t>gestor@osceos.org.br</t>
  </si>
  <si>
    <t>(64)3432-1958</t>
  </si>
  <si>
    <t>Rua Machado de Assis</t>
  </si>
  <si>
    <t>São João</t>
  </si>
  <si>
    <t>Itumbiara</t>
  </si>
  <si>
    <t>["Crianças pequenas (4 anos a 5 anos e 11 meses)","Adultos","Crianças bem pequenas (1 ano e 7 meses até 3 anos e 11 meses)","Bebês (0 a 1 ano e 6 meses)"]</t>
  </si>
  <si>
    <t>Moradores de favelas. Pessoas em situação de rua</t>
  </si>
  <si>
    <t>Comunidades do Bairro São João Santa Maria Nossa Senhora da Saúde Conjunto Habitacional Ulisses Guimarães Dona Sínica. Observação: O foco maior são esses bairros porém temos crianças matriculadas na educação infantil de outros setores da cidade.</t>
  </si>
  <si>
    <t>Além do púbico mencionado acima também atendemos uma comunidade cigana.</t>
  </si>
  <si>
    <t>["Negócio Social","Convênio Público","Eventos/Ações para captação","Plataforma doação online  Pessoa Física","Editais"]</t>
  </si>
  <si>
    <t>80% convênio público</t>
  </si>
  <si>
    <t>&lt;a href="javascript:openPopupFocus%28%27https%3A%2F%2Fwww.instagram.com%2Fp%2FCLsPnUJDm-2%2F%3Futm_medium%3Dcopy_link%27%2C%20%27_blank%27%2C%20620%2C%20430%2C%20%27width%3D620%2Cheight%3D430%2Cresizable%3Dyes%2Ctoolbar%3Dyes%2Cstatus%3Dyes%2Cscrollbars%3Dyes%2Cmenubar%3Dyes%2Cdirectories%3Dyes%2Clocation%3Dyes%2Cdependant%3Dno%27%2C%20false%2C%20true%29%3B" title="https://www.instagram.com/p/CLsPnUJDm-2/?utm_medium=copy_link (Nova janela)"&gt;https://www.instagram.com/p/CLsPnUJDm-2/?utm_medium=copy_link&lt;/a&gt;</t>
  </si>
  <si>
    <t>&lt;a href="javascript:openPopupFocus%28%27https%3A%2F%2Fwww.facebook.com%2FAssociacaoEspiritaObreirosDoSenhor%2F%27%2C%20%27_blank%27%2C%20620%2C%20430%2C%20%27width%3D620%2Cheight%3D430%2Cresizable%3Dyes%2Ctoolbar%3Dyes%2Cstatus%3Dyes%2Cscrollbars%3Dyes%2Cmenubar%3Dyes%2Cdirectories%3Dyes%2Clocation%3Dyes%2Cdependant%3Dno%27%2C%20false%2C%20true%29%3B" title="https://www.facebook.com/AssociacaoEspiritaObreirosDoSenhor/ (Nova janela)"&gt;https://www.facebook.com/AssociacaoEspiritaObreirosDoSenhor/&lt;/a&gt;</t>
  </si>
  <si>
    <t>&lt;a href="javascript:openPopupFocus%28%27https%3A%2F%2Fdrive.google.com%2Fopen%3Fid%3D13Pz19se1I5HU2XAs0ENnNOd14sC4Qa8g%27%2C%20%27_blank%27%2C%20620%2C%20430%2C%20%27width%3D620%2Cheight%3D430%2Cresizable%3Dyes%2Ctoolbar%3Dyes%2Cstatus%3Dyes%2Cscrollbars%3Dyes%2Cmenubar%3Dyes%2Cdirectories%3Dyes%2Clocation%3Dyes%2Cdependant%3Dno%27%2C%20false%2C%20true%29%3B" title="https://drive.google.com/open?id=13Pz19se1I5HU2XAs0ENnNOd14sC4Qa8g (Nova janela)"&gt;https://drive.google.com/open?id=13Pz19se1I5HU2XAs0ENnNOd14sC4Qa8g&lt;/a&gt;</t>
  </si>
  <si>
    <t>&lt;a href="javascript:openPopupFocus%28%27https%3A%2F%2Fdrive.google.com%2Fopen%3Fid%3D1f9eknaAaWT7NbxYaJW6a6SLSPMVD0uJY%27%2C%20%27_blank%27%2C%20620%2C%20430%2C%20%27width%3D620%2Cheight%3D430%2Cresizable%3Dyes%2Ctoolbar%3Dyes%2Cstatus%3Dyes%2Cscrollbars%3Dyes%2Cmenubar%3Dyes%2Cdirectories%3Dyes%2Clocation%3Dyes%2Cdependant%3Dno%27%2C%20false%2C%20true%29%3B" title="https://drive.google.com/open?id=1f9eknaAaWT7NbxYaJW6a6SLSPMVD0uJY (Nova janela)"&gt;https://drive.google.com/open?id=1f9eknaAaWT7NbxYaJW6a6SLSPMVD0uJY&lt;/a&gt;</t>
  </si>
  <si>
    <t>&lt;a href="javascript:openPopupFocus%28%27https%3A%2F%2Fdrive.google.com%2Fopen%3Fid%3D1h_N01VdzDj8Gk02oG5qajh06EqPDCPZj%27%2C%20%27_blank%27%2C%20620%2C%20430%2C%20%27width%3D620%2Cheight%3D430%2Cresizable%3Dyes%2Ctoolbar%3Dyes%2Cstatus%3Dyes%2Cscrollbars%3Dyes%2Cmenubar%3Dyes%2Cdirectories%3Dyes%2Clocation%3Dyes%2Cdependant%3Dno%27%2C%20false%2C%20true%29%3B" title="https://drive.google.com/open?id=1h_N01VdzDj8Gk02oG5qajh06EqPDCPZj (Nova janela)"&gt;https://drive.google.com/open?id=1h_N01VdzDj8Gk02oG5qajh06EqPDCPZj&lt;/a&gt;</t>
  </si>
  <si>
    <t>&lt;a href="javascript:openPopupFocus%28%27https%3A%2F%2Fdrive.google.com%2Fopen%3Fid%3D1ESNZTV7Qp9ne7pPdSNkPfzTpx1gsN05D%20https%3A%2F%2Fdrive.google.com%2Fopen%3Fid%3D11gBPwscVQb_SfouOXkGrxOLKtVs0fdBd%27%2C%20%27_blank%27%2C%20620%2C%20430%2C%20%27width%3D620%2Cheight%3D430%2Cresizable%3Dyes%2Ctoolbar%3Dyes%2Cstatus%3Dyes%2Cscrollbars%3Dyes%2Cmenubar%3Dyes%2Cdirectories%3Dyes%2Clocation%3Dyes%2Cdependant%3Dno%27%2C%20false%2C%20true%29%3B" title="https://drive.google.com/open?id=1ESNZTV7Qp9ne7pPdSNkPfzTpx1gsN05D https://drive.google.com/open?id=11gBPwscVQb_SfouOXkGrxOLKtVs0fdBd (Nova janela)"&gt;https://drive.google.com/open?id=1ESNZTV7Qp9ne7pPdSNkPfzTpx1gsN05D https://drive.google.com/open?id=11gBPwscVQb_SfouOXkGrxOLKtVs0fdBd&lt;/a&gt;</t>
  </si>
  <si>
    <t>&lt;a href="javascript:openPopupFocus%28%27https%3A%2F%2Fdrive.google.com%2Fopen%3Fid%3D1JEUTausBJKwFyftnNZ-hMD7JulO9Tg2f%27%2C%20%27_blank%27%2C%20620%2C%20430%2C%20%27width%3D620%2Cheight%3D430%2Cresizable%3Dyes%2Ctoolbar%3Dyes%2Cstatus%3Dyes%2Cscrollbars%3Dyes%2Cmenubar%3Dyes%2Cdirectories%3Dyes%2Clocation%3Dyes%2Cdependant%3Dno%27%2C%20false%2C%20true%29%3B" title="https://drive.google.com/open?id=1JEUTausBJKwFyftnNZ-hMD7JulO9Tg2f (Nova janela)"&gt;https://drive.google.com/open?id=1JEUTausBJKwFyftnNZ-hMD7JulO9Tg2f&lt;/a&gt;</t>
  </si>
  <si>
    <t>0014P00003SGWPc</t>
  </si>
  <si>
    <t>ASSOCIAÇÃO CULTURAL E EDUCACIONAL VIOLETA FELIZ</t>
  </si>
  <si>
    <t>VIOLETA FELIZ</t>
  </si>
  <si>
    <t>23.398.031/0001-48</t>
  </si>
  <si>
    <t>Elizangela Maria Dos Santos</t>
  </si>
  <si>
    <t>ongasvioletas@gmail.com</t>
  </si>
  <si>
    <t>(11)5661-9689</t>
  </si>
  <si>
    <t>Doze de Outubro</t>
  </si>
  <si>
    <t>Jd Maria Rita</t>
  </si>
  <si>
    <t>Favela Morroda Mandioca</t>
  </si>
  <si>
    <t>Favela de Lazer Favela Morro da Mandioca favela Tubo</t>
  </si>
  <si>
    <t>&lt;a href="javascript:openPopupFocus%28%27http%2F%2Finstagram.com%2Fvioletaeliz%27%2C%20%27_blank%27%2C%20620%2C%20430%2C%20%27width%3D620%2Cheight%3D430%2Cresizable%3Dyes%2Ctoolbar%3Dyes%2Cstatus%3Dyes%2Cscrollbars%3Dyes%2Cmenubar%3Dyes%2Cdirectories%3Dyes%2Clocation%3Dyes%2Cdependant%3Dno%27%2C%20false%2C%20true%29%3B" title="http//instagram.com/violetaeliz (Nova janela)"&gt;http//instagram.com/violetaeliz&lt;/a&gt;</t>
  </si>
  <si>
    <t>&lt;a href="javascript:openPopupFocus%28%27http%2F%2Ffecebook.com%2Fongvioletaeliz%27%2C%20%27_blank%27%2C%20620%2C%20430%2C%20%27width%3D620%2Cheight%3D430%2Cresizable%3Dyes%2Ctoolbar%3Dyes%2Cstatus%3Dyes%2Cscrollbars%3Dyes%2Cmenubar%3Dyes%2Cdirectories%3Dyes%2Clocation%3Dyes%2Cdependant%3Dno%27%2C%20false%2C%20true%29%3B" title="http//fecebook.com/ongvioletaeliz (Nova janela)"&gt;http//fecebook.com/ongvioletaeliz&lt;/a&gt;</t>
  </si>
  <si>
    <t>&lt;a href="javascript:openPopupFocus%28%27https%3A%2F%2Fdrive.google.com%2Fopen%3Fid%3D1IY1wTEutS6TaDqK7jClkTZndDGmb2d2O%27%2C%20%27_blank%27%2C%20620%2C%20430%2C%20%27width%3D620%2Cheight%3D430%2Cresizable%3Dyes%2Ctoolbar%3Dyes%2Cstatus%3Dyes%2Cscrollbars%3Dyes%2Cmenubar%3Dyes%2Cdirectories%3Dyes%2Clocation%3Dyes%2Cdependant%3Dno%27%2C%20false%2C%20true%29%3B" title="https://drive.google.com/open?id=1IY1wTEutS6TaDqK7jClkTZndDGmb2d2O (Nova janela)"&gt;https://drive.google.com/open?id=1IY1wTEutS6TaDqK7jClkTZndDGmb2d2O&lt;/a&gt;</t>
  </si>
  <si>
    <t>&lt;a href="javascript:openPopupFocus%28%27https%3A%2F%2Fdrive.google.com%2Fopen%3Fid%3D1uNOLqtwCzygKpniPnCLH1-6UVCv5Lqrl%27%2C%20%27_blank%27%2C%20620%2C%20430%2C%20%27width%3D620%2Cheight%3D430%2Cresizable%3Dyes%2Ctoolbar%3Dyes%2Cstatus%3Dyes%2Cscrollbars%3Dyes%2Cmenubar%3Dyes%2Cdirectories%3Dyes%2Clocation%3Dyes%2Cdependant%3Dno%27%2C%20false%2C%20true%29%3B" title="https://drive.google.com/open?id=1uNOLqtwCzygKpniPnCLH1-6UVCv5Lqrl (Nova janela)"&gt;https://drive.google.com/open?id=1uNOLqtwCzygKpniPnCLH1-6UVCv5Lqrl&lt;/a&gt;</t>
  </si>
  <si>
    <t>&lt;a href="javascript:openPopupFocus%28%27https%3A%2F%2Fdrive.google.com%2Fopen%3Fid%3D18mmqXotusboM8F4i4bml9qBbXQF0INZs%27%2C%20%27_blank%27%2C%20620%2C%20430%2C%20%27width%3D620%2Cheight%3D430%2Cresizable%3Dyes%2Ctoolbar%3Dyes%2Cstatus%3Dyes%2Cscrollbars%3Dyes%2Cmenubar%3Dyes%2Cdirectories%3Dyes%2Clocation%3Dyes%2Cdependant%3Dno%27%2C%20false%2C%20true%29%3B" title="https://drive.google.com/open?id=18mmqXotusboM8F4i4bml9qBbXQF0INZs (Nova janela)"&gt;https://drive.google.com/open?id=18mmqXotusboM8F4i4bml9qBbXQF0INZs&lt;/a&gt;</t>
  </si>
  <si>
    <t>&lt;a href="javascript:openPopupFocus%28%27https%3A%2F%2Fdrive.google.com%2Fopen%3Fid%3D1XNM5-oXlsM0Yxu0ZExYgjpoyxCzuI_TY%27%2C%20%27_blank%27%2C%20620%2C%20430%2C%20%27width%3D620%2Cheight%3D430%2Cresizable%3Dyes%2Ctoolbar%3Dyes%2Cstatus%3Dyes%2Cscrollbars%3Dyes%2Cmenubar%3Dyes%2Cdirectories%3Dyes%2Clocation%3Dyes%2Cdependant%3Dno%27%2C%20false%2C%20true%29%3B" title="https://drive.google.com/open?id=1XNM5-oXlsM0Yxu0ZExYgjpoyxCzuI_TY (Nova janela)"&gt;https://drive.google.com/open?id=1XNM5-oXlsM0Yxu0ZExYgjpoyxCzuI_TY&lt;/a&gt;</t>
  </si>
  <si>
    <t>&lt;a href="javascript:openPopupFocus%28%27https%3A%2F%2Fdrive.google.com%2Fopen%3Fid%3D1h1LYFiQttfIxwvndUo6xVUxPIVUWkQZW%27%2C%20%27_blank%27%2C%20620%2C%20430%2C%20%27width%3D620%2Cheight%3D430%2Cresizable%3Dyes%2Ctoolbar%3Dyes%2Cstatus%3Dyes%2Cscrollbars%3Dyes%2Cmenubar%3Dyes%2Cdirectories%3Dyes%2Clocation%3Dyes%2Cdependant%3Dno%27%2C%20false%2C%20true%29%3B" title="https://drive.google.com/open?id=1h1LYFiQttfIxwvndUo6xVUxPIVUWkQZW (Nova janela)"&gt;https://drive.google.com/open?id=1h1LYFiQttfIxwvndUo6xVUxPIVUWkQZW&lt;/a&gt;</t>
  </si>
  <si>
    <t>0014P00003SGWPd</t>
  </si>
  <si>
    <t>INSTITUTO RESGATANDO VIDAS</t>
  </si>
  <si>
    <t>17.587.311/0001-00 - 17.5</t>
  </si>
  <si>
    <t>Elizeu Da Silva Santos</t>
  </si>
  <si>
    <t>presidencia.inarv@outlook.com</t>
  </si>
  <si>
    <t>(71)9158-3966/(73)8836-0665</t>
  </si>
  <si>
    <t>Rua do Dendê</t>
  </si>
  <si>
    <t>Frei Calixto</t>
  </si>
  <si>
    <t>Salvador</t>
  </si>
  <si>
    <t>Na rua do posto de saúde no anexo da Igreja Presbiteriana Renovada do Brasil</t>
  </si>
  <si>
    <t>Porto Seguro: Rua do Dendê 143 Frei Calixto CEP: 45.810-000 - Porto Seguro/BA/Salvador: Rua Nossa Senhora do Carmo quadra A 01 Sete de Abril CEP: 41.385-650 - Salvador/BA/Itaparica: Rua São Benedito S/N Ponto Certo Casa térreo CEP 44460.000 Itaparica-BA/...</t>
  </si>
  <si>
    <t>Moradores de favelas. Pessoas em situação de rua. Povos Indígenas. Quilombolas. Afrodescendentes. Dependentes químicos. Pessoas com deficiências</t>
  </si>
  <si>
    <t>Porto Seguro: Cambolo Vila Jardim Frei Calixto Paraguai Casas Novas Vila Paraxo Vila Valdete Coroa Vermelha.
Salvador: Sete de Abril Pau da Lima Cajazeiras Fazenda Grande Marotinho São Marcos São Tomé de Paripe Jardim Esperança Nova Brasília Barragem Re...</t>
  </si>
  <si>
    <t>Indígenas Quilombolas Colônia de Pescadores.</t>
  </si>
  <si>
    <t>["Plataforma doação online  Pessoa Física","Editais"]</t>
  </si>
  <si>
    <t>30% Editais e 70% pessoas físicas</t>
  </si>
  <si>
    <t>&lt;a href="javascript:openPopupFocus%28%27https%3A%2F%2Finarv.org%2F%27%2C%20%27_blank%27%2C%20620%2C%20430%2C%20%27width%3D620%2Cheight%3D430%2Cresizable%3Dyes%2Ctoolbar%3Dyes%2Cstatus%3Dyes%2Cscrollbars%3Dyes%2Cmenubar%3Dyes%2Cdirectories%3Dyes%2Clocation%3Dyes%2Cdependant%3Dno%27%2C%20false%2C%20true%29%3B" title="https://inarv.org/ (Nova janela)"&gt;https://inarv.org/&lt;/a&gt;</t>
  </si>
  <si>
    <t>&lt;a href="javascript:openPopupFocus%28%27https%3A%2F%2Fwww.instagram.com%2Finstitutoinarv%2F%27%2C%20%27_blank%27%2C%20620%2C%20430%2C%20%27width%3D620%2Cheight%3D430%2Cresizable%3Dyes%2Ctoolbar%3Dyes%2Cstatus%3Dyes%2Cscrollbars%3Dyes%2Cmenubar%3Dyes%2Cdirectories%3Dyes%2Clocation%3Dyes%2Cdependant%3Dno%27%2C%20false%2C%20true%29%3B" title="https://www.instagram.com/institutoinarv/ (Nova janela)"&gt;https://www.instagram.com/institutoinarv/&lt;/a&gt;</t>
  </si>
  <si>
    <t>&lt;a href="javascript:openPopupFocus%28%27https%3A%2F%2Fwww.facebook.com%2Foscinarv%2F%27%2C%20%27_blank%27%2C%20620%2C%20430%2C%20%27width%3D620%2Cheight%3D430%2Cresizable%3Dyes%2Ctoolbar%3Dyes%2Cstatus%3Dyes%2Cscrollbars%3Dyes%2Cmenubar%3Dyes%2Cdirectories%3Dyes%2Clocation%3Dyes%2Cdependant%3Dno%27%2C%20false%2C%20true%29%3B" title="https://www.facebook.com/oscinarv/ (Nova janela)"&gt;https://www.facebook.com/oscinarv/&lt;/a&gt;</t>
  </si>
  <si>
    <t>&lt;a href="javascript:openPopupFocus%28%27https%3A%2F%2Fwww.youtube.com%2Fwatch%3Fv%3DRbcsBjAnAlM%26ab_channel%3DElizeu-InstitutoResgatandoVidas%27%2C%20%27_blank%27%2C%20620%2C%20430%2C%20%27width%3D620%2Cheight%3D430%2Cresizable%3Dyes%2Ctoolbar%3Dyes%2Cstatus%3Dyes%2Cscrollbars%3Dyes%2Cmenubar%3Dyes%2Cdirectories%3Dyes%2Clocation%3Dyes%2Cdependant%3Dno%27%2C%20false%2C%20true%29%3B" title="https://www.youtube.com/watch?v=RbcsBjAnAlM&amp;ab_channel=Elizeu-InstitutoResgatandoVidas (Nova janela)"&gt;https://www.youtube.com/watch?v=RbcsBjAnAlM&amp;ab_channel=Elizeu-InstitutoResgatandoVidas&lt;/a&gt;</t>
  </si>
  <si>
    <t>&lt;a href="javascript:openPopupFocus%28%27https%3A%2F%2Fdrive.google.com%2Fopen%3Fid%3D1MhiZBpO-MVhXDTabmBHrtzeOh4Wwq4Ke%27%2C%20%27_blank%27%2C%20620%2C%20430%2C%20%27width%3D620%2Cheight%3D430%2Cresizable%3Dyes%2Ctoolbar%3Dyes%2Cstatus%3Dyes%2Cscrollbars%3Dyes%2Cmenubar%3Dyes%2Cdirectories%3Dyes%2Clocation%3Dyes%2Cdependant%3Dno%27%2C%20false%2C%20true%29%3B" title="https://drive.google.com/open?id=1MhiZBpO-MVhXDTabmBHrtzeOh4Wwq4Ke (Nova janela)"&gt;https://drive.google.com/open?id=1MhiZBpO-MVhXDTabmBHrtzeOh4Wwq4Ke&lt;/a&gt;</t>
  </si>
  <si>
    <t>&lt;a href="javascript:openPopupFocus%28%27https%3A%2F%2Fdrive.google.com%2Fopen%3Fid%3D19EiTM2e9sGJkX_KGECIT_WWkigXbgG1O%27%2C%20%27_blank%27%2C%20620%2C%20430%2C%20%27width%3D620%2Cheight%3D430%2Cresizable%3Dyes%2Ctoolbar%3Dyes%2Cstatus%3Dyes%2Cscrollbars%3Dyes%2Cmenubar%3Dyes%2Cdirectories%3Dyes%2Clocation%3Dyes%2Cdependant%3Dno%27%2C%20false%2C%20true%29%3B" title="https://drive.google.com/open?id=19EiTM2e9sGJkX_KGECIT_WWkigXbgG1O (Nova janela)"&gt;https://drive.google.com/open?id=19EiTM2e9sGJkX_KGECIT_WWkigXbgG1O&lt;/a&gt;</t>
  </si>
  <si>
    <t>&lt;a href="javascript:openPopupFocus%28%27https%3A%2F%2Fdrive.google.com%2Fopen%3Fid%3D1vl3Xrwxy67zuZ-e2lcRiL6xyb9NRcFEN%27%2C%20%27_blank%27%2C%20620%2C%20430%2C%20%27width%3D620%2Cheight%3D430%2Cresizable%3Dyes%2Ctoolbar%3Dyes%2Cstatus%3Dyes%2Cscrollbars%3Dyes%2Cmenubar%3Dyes%2Cdirectories%3Dyes%2Clocation%3Dyes%2Cdependant%3Dno%27%2C%20false%2C%20true%29%3B" title="https://drive.google.com/open?id=1vl3Xrwxy67zuZ-e2lcRiL6xyb9NRcFEN (Nova janela)"&gt;https://drive.google.com/open?id=1vl3Xrwxy67zuZ-e2lcRiL6xyb9NRcFEN&lt;/a&gt;</t>
  </si>
  <si>
    <t>&lt;a href="javascript:openPopupFocus%28%27https%3A%2F%2Fdrive.google.com%2Fopen%3Fid%3D1D4n6fxTfIxYvaDzMcTBEadrhEbGGCeJL%27%2C%20%27_blank%27%2C%20620%2C%20430%2C%20%27width%3D620%2Cheight%3D430%2Cresizable%3Dyes%2Ctoolbar%3Dyes%2Cstatus%3Dyes%2Cscrollbars%3Dyes%2Cmenubar%3Dyes%2Cdirectories%3Dyes%2Clocation%3Dyes%2Cdependant%3Dno%27%2C%20false%2C%20true%29%3B" title="https://drive.google.com/open?id=1D4n6fxTfIxYvaDzMcTBEadrhEbGGCeJL (Nova janela)"&gt;https://drive.google.com/open?id=1D4n6fxTfIxYvaDzMcTBEadrhEbGGCeJL&lt;/a&gt;</t>
  </si>
  <si>
    <t>0014P00003SGWPh</t>
  </si>
  <si>
    <t>Associação Cidadania Social e Sustentabilidade</t>
  </si>
  <si>
    <t>ACSSUS</t>
  </si>
  <si>
    <t>19.322.282/0001-71</t>
  </si>
  <si>
    <t>Francisca Izabel Castro Porto</t>
  </si>
  <si>
    <t>icssus50@gmail.com</t>
  </si>
  <si>
    <t>(92)9114-2962</t>
  </si>
  <si>
    <t>AM</t>
  </si>
  <si>
    <t>R 7 de setembro</t>
  </si>
  <si>
    <t>PALMARES</t>
  </si>
  <si>
    <t>Parintins</t>
  </si>
  <si>
    <t>Zona Rural de Vila Amazônia</t>
  </si>
  <si>
    <t>["Educação","Assistência Social","Cultura","Qualificação Profissional","Meio ambiente"]</t>
  </si>
  <si>
    <t>["Crianças (6 a 12 anos)","Crianças pequenas (4 anos a 5 anos e 11 meses)","Adolescentes (12 aos 18 anos)","Adultos","Jovens (18 aos 24 anos)","Idosos (60 anos ou mais)","Crianças bem pequenas (1 ano e 7 meses até 3 anos e 11 meses)","Bebês (0 a 1 ano e 6 meses)"]</t>
  </si>
  <si>
    <t>Moradores de favelas. Pessoas em situação de rua. População LGBTQ+. Povos Indígenas. Quilombolas. Afrodescendentes. Pessoas com deficiências</t>
  </si>
  <si>
    <t>Ocupação Castanhal Ocupação Lady Laura Ocupação Pascoal Alágio Bairro Pascoal Alágio Bairro Paulo Correa Bairro Itauna I Itauna II Comunidade Seringal Comunidade São Pedro do Uaicurapá Comunidade do Remígio Comunidade do Máximo Assentamento Vila Amazônia...</t>
  </si>
  <si>
    <t>Além dessas Comunidades atendemos Famílias do Centro da Cidade Famílias de Desempregados Artistas de ruaetc</t>
  </si>
  <si>
    <t>["Convênio Público","Eventos/Ações para captação","Editais"]</t>
  </si>
  <si>
    <t>90% editais 10% doações</t>
  </si>
  <si>
    <t>&lt;a href="javascript:openPopupFocus%28%27http%3A%2F%2Facssus.tk%27%2C%20%27_blank%27%2C%20620%2C%20430%2C%20%27width%3D620%2Cheight%3D430%2Cresizable%3Dyes%2Ctoolbar%3Dyes%2Cstatus%3Dyes%2Cscrollbars%3Dyes%2Cmenubar%3Dyes%2Cdirectories%3Dyes%2Clocation%3Dyes%2Cdependant%3Dno%27%2C%20false%2C%20true%29%3B" title="http://acssus.tk (Nova janela)"&gt;http://acssus.tk&lt;/a&gt;</t>
  </si>
  <si>
    <t>&lt;a href="javascript:openPopupFocus%28%27https%3A%2F%2Fwww.linkedin.com%2Fin%2Fizabel-porto-88b88149%2F%27%2C%20%27_blank%27%2C%20620%2C%20430%2C%20%27width%3D620%2Cheight%3D430%2Cresizable%3Dyes%2Ctoolbar%3Dyes%2Cstatus%3Dyes%2Cscrollbars%3Dyes%2Cmenubar%3Dyes%2Cdirectories%3Dyes%2Clocation%3Dyes%2Cdependant%3Dno%27%2C%20false%2C%20true%29%3B" title="https://www.linkedin.com/in/izabel-porto-88b88149/ (Nova janela)"&gt;https://www.linkedin.com/in/izabel-porto-88b88149/&lt;/a&gt;</t>
  </si>
  <si>
    <t>&lt;a href="javascript:openPopupFocus%28%27https%3A%2F%2Fwww.facebook.com%2Facssus.acssus%27%2C%20%27_blank%27%2C%20620%2C%20430%2C%20%27width%3D620%2Cheight%3D430%2Cresizable%3Dyes%2Ctoolbar%3Dyes%2Cstatus%3Dyes%2Cscrollbars%3Dyes%2Cmenubar%3Dyes%2Cdirectories%3Dyes%2Clocation%3Dyes%2Cdependant%3Dno%27%2C%20false%2C%20true%29%3B" title="https://www.facebook.com/acssus.acssus (Nova janela)"&gt;https://www.facebook.com/acssus.acssus&lt;/a&gt;</t>
  </si>
  <si>
    <t>https://instagram.com/acssusacssus/</t>
  </si>
  <si>
    <t>&lt;a href="javascript:openPopupFocus%28%27https%3A%2F%2Fdrive.google.com%2Fopen%3Fid%3D1qAJJwwoN27KyTPxHv8zaaL4-nSlpX0C7%27%2C%20%27_blank%27%2C%20620%2C%20430%2C%20%27width%3D620%2Cheight%3D430%2Cresizable%3Dyes%2Ctoolbar%3Dyes%2Cstatus%3Dyes%2Cscrollbars%3Dyes%2Cmenubar%3Dyes%2Cdirectories%3Dyes%2Clocation%3Dyes%2Cdependant%3Dno%27%2C%20false%2C%20true%29%3B" title="https://drive.google.com/open?id=1qAJJwwoN27KyTPxHv8zaaL4-nSlpX0C7 (Nova janela)"&gt;https://drive.google.com/open?id=1qAJJwwoN27KyTPxHv8zaaL4-nSlpX0C7&lt;/a&gt;</t>
  </si>
  <si>
    <t>&lt;a href="javascript:openPopupFocus%28%27https%3A%2F%2Fdrive.google.com%2Fopen%3Fid%3D1z1ZLmfH3pn6eefLIwuWApfbdVaoXEyky%27%2C%20%27_blank%27%2C%20620%2C%20430%2C%20%27width%3D620%2Cheight%3D430%2Cresizable%3Dyes%2Ctoolbar%3Dyes%2Cstatus%3Dyes%2Cscrollbars%3Dyes%2Cmenubar%3Dyes%2Cdirectories%3Dyes%2Clocation%3Dyes%2Cdependant%3Dno%27%2C%20false%2C%20true%29%3B" title="https://drive.google.com/open?id=1z1ZLmfH3pn6eefLIwuWApfbdVaoXEyky (Nova janela)"&gt;https://drive.google.com/open?id=1z1ZLmfH3pn6eefLIwuWApfbdVaoXEyky&lt;/a&gt;</t>
  </si>
  <si>
    <t>&lt;a href="javascript:openPopupFocus%28%27https%3A%2F%2Fdrive.google.com%2Fopen%3Fid%3D1tue3ubdM60kF1mvTEBBYLcVUh3Hq_gjH%27%2C%20%27_blank%27%2C%20620%2C%20430%2C%20%27width%3D620%2Cheight%3D430%2Cresizable%3Dyes%2Ctoolbar%3Dyes%2Cstatus%3Dyes%2Cscrollbars%3Dyes%2Cmenubar%3Dyes%2Cdirectories%3Dyes%2Clocation%3Dyes%2Cdependant%3Dno%27%2C%20false%2C%20true%29%3B" title="https://drive.google.com/open?id=1tue3ubdM60kF1mvTEBBYLcVUh3Hq_gjH (Nova janela)"&gt;https://drive.google.com/open?id=1tue3ubdM60kF1mvTEBBYLcVUh3Hq_gjH&lt;/a&gt;</t>
  </si>
  <si>
    <t>&lt;a href="javascript:openPopupFocus%28%27https%3A%2F%2Fdrive.google.com%2Fopen%3Fid%3D1KfN8sdjv8jGi_Blu1KNZ70HoyJpNb5Fv%27%2C%20%27_blank%27%2C%20620%2C%20430%2C%20%27width%3D620%2Cheight%3D430%2Cresizable%3Dyes%2Ctoolbar%3Dyes%2Cstatus%3Dyes%2Cscrollbars%3Dyes%2Cmenubar%3Dyes%2Cdirectories%3Dyes%2Clocation%3Dyes%2Cdependant%3Dno%27%2C%20false%2C%20true%29%3B" title="https://drive.google.com/open?id=1KfN8sdjv8jGi_Blu1KNZ70HoyJpNb5Fv (Nova janela)"&gt;https://drive.google.com/open?id=1KfN8sdjv8jGi_Blu1KNZ70HoyJpNb5Fv&lt;/a&gt;</t>
  </si>
  <si>
    <t>&lt;a href="javascript:openPopupFocus%28%27https%3A%2F%2Fdrive.google.com%2Fopen%3Fid%3D18E0soYgXPCTR2uH574wmtwUNQgk30AjB%27%2C%20%27_blank%27%2C%20620%2C%20430%2C%20%27width%3D620%2Cheight%3D430%2Cresizable%3Dyes%2Ctoolbar%3Dyes%2Cstatus%3Dyes%2Cscrollbars%3Dyes%2Cmenubar%3Dyes%2Cdirectories%3Dyes%2Clocation%3Dyes%2Cdependant%3Dno%27%2C%20false%2C%20true%29%3B" title="https://drive.google.com/open?id=18E0soYgXPCTR2uH574wmtwUNQgk30AjB (Nova janela)"&gt;https://drive.google.com/open?id=18E0soYgXPCTR2uH574wmtwUNQgk30AjB&lt;/a&gt;</t>
  </si>
  <si>
    <t>0014P00003SGWPe</t>
  </si>
  <si>
    <t>INSTITUTO VIDAS PELO FUTURO</t>
  </si>
  <si>
    <t>VIDAS PELO FUTURO</t>
  </si>
  <si>
    <t>40.483.172/0001-88</t>
  </si>
  <si>
    <t>Fernanda Bento Gomes Da Silva</t>
  </si>
  <si>
    <t>institutovidaspelofuturo@gmail.com</t>
  </si>
  <si>
    <t>(11)6257-1706</t>
  </si>
  <si>
    <t>Av Ernesto Souza Cruz</t>
  </si>
  <si>
    <t>Cid AE Carvalho</t>
  </si>
  <si>
    <t>CJ 7</t>
  </si>
  <si>
    <t>["Esporte","Educação","Assistência Social","Cultura","Qualificação Profissional","Empregabilidade"]</t>
  </si>
  <si>
    <t>Comunidade AE Carvalho Caititu PQ Guarani Jd Vila Nova e Vila Regina</t>
  </si>
  <si>
    <t>Mulheres vítimas de violência doméstica</t>
  </si>
  <si>
    <t>50% bazar 25% bingo e 25% rifas</t>
  </si>
  <si>
    <t>&lt;a href="javascript:openPopupFocus%28%27https%3A%2F%2Fwww.instagram.com%2Fp%2FCQOvFZYAMws%2F%27%2C%20%27_blank%27%2C%20620%2C%20430%2C%20%27width%3D620%2Cheight%3D430%2Cresizable%3Dyes%2Ctoolbar%3Dyes%2Cstatus%3Dyes%2Cscrollbars%3Dyes%2Cmenubar%3Dyes%2Cdirectories%3Dyes%2Clocation%3Dyes%2Cdependant%3Dno%27%2C%20false%2C%20true%29%3B" title="https://www.instagram.com/p/CQOvFZYAMws/ (Nova janela)"&gt;https://www.instagram.com/p/CQOvFZYAMws/&lt;/a&gt;</t>
  </si>
  <si>
    <t>&lt;a href="javascript:openPopupFocus%28%27https%3A%2F%2Fwww.facebook.com%2Ffernandabentodasilva.silva%27%2C%20%27_blank%27%2C%20620%2C%20430%2C%20%27width%3D620%2Cheight%3D430%2Cresizable%3Dyes%2Ctoolbar%3Dyes%2Cstatus%3Dyes%2Cscrollbars%3Dyes%2Cmenubar%3Dyes%2Cdirectories%3Dyes%2Clocation%3Dyes%2Cdependant%3Dno%27%2C%20false%2C%20true%29%3B" title="https://www.facebook.com/fernandabentodasilva.silva (Nova janela)"&gt;https://www.facebook.com/fernandabentodasilva.silva&lt;/a&gt;</t>
  </si>
  <si>
    <t>&lt;a href="javascript:openPopupFocus%28%27https%3A%2F%2Fdrive.google.com%2Fopen%3Fid%3D1hyviFjmk6wbEMlEhmzywJQYh7FLewU6J%27%2C%20%27_blank%27%2C%20620%2C%20430%2C%20%27width%3D620%2Cheight%3D430%2Cresizable%3Dyes%2Ctoolbar%3Dyes%2Cstatus%3Dyes%2Cscrollbars%3Dyes%2Cmenubar%3Dyes%2Cdirectories%3Dyes%2Clocation%3Dyes%2Cdependant%3Dno%27%2C%20false%2C%20true%29%3B" title="https://drive.google.com/open?id=1hyviFjmk6wbEMlEhmzywJQYh7FLewU6J (Nova janela)"&gt;https://drive.google.com/open?id=1hyviFjmk6wbEMlEhmzywJQYh7FLewU6J&lt;/a&gt;</t>
  </si>
  <si>
    <t>0014P00003SGWPf</t>
  </si>
  <si>
    <t>ASSOCIAÇÃO GRUPO DE ASSISTÊNCIA INTEGRAL À INFÂNCIA E ADOLESCÊNCIA</t>
  </si>
  <si>
    <t>GRUPO DE ASSISTÊNCIA</t>
  </si>
  <si>
    <t>18.451.148/0001-08</t>
  </si>
  <si>
    <t>Francilaine Nunes Araújo Melo</t>
  </si>
  <si>
    <t>institutogaiia@gmail.com</t>
  </si>
  <si>
    <t>(32)9155-4642</t>
  </si>
  <si>
    <t>Ru Coletor Aurelino Costa</t>
  </si>
  <si>
    <t>São Francisco</t>
  </si>
  <si>
    <t>Carandaí</t>
  </si>
  <si>
    <t>vulnerabilidade social</t>
  </si>
  <si>
    <t>Ponte chave Acampamento Santa Cecília Cruzeiro Crespo Cohab Olímpico Centro Córrego da Brígida Vale Verde.</t>
  </si>
  <si>
    <t>Pessoas em situação de vulnerabilidade social</t>
  </si>
  <si>
    <t>["Projetos Específicos com Empresas","Editais"]</t>
  </si>
  <si>
    <t>70% edital, 30% doação Pessoa Física</t>
  </si>
  <si>
    <t>&lt;a href="javascript:openPopupFocus%28%27https%3A%2F%2Finstitutogaiia.org%2F%27%2C%20%27_blank%27%2C%20620%2C%20430%2C%20%27width%3D620%2Cheight%3D430%2Cresizable%3Dyes%2Ctoolbar%3Dyes%2Cstatus%3Dyes%2Cscrollbars%3Dyes%2Cmenubar%3Dyes%2Cdirectories%3Dyes%2Clocation%3Dyes%2Cdependant%3Dno%27%2C%20false%2C%20true%29%3B" title="https://institutogaiia.org/ (Nova janela)"&gt;https://institutogaiia.org/&lt;/a&gt;</t>
  </si>
  <si>
    <t>&lt;a href="javascript:openPopupFocus%28%27http%3A%2F%2Finstagram.com%2Fgaiiacarandai%27%2C%20%27_blank%27%2C%20620%2C%20430%2C%20%27width%3D620%2Cheight%3D430%2Cresizable%3Dyes%2Ctoolbar%3Dyes%2Cstatus%3Dyes%2Cscrollbars%3Dyes%2Cmenubar%3Dyes%2Cdirectories%3Dyes%2Clocation%3Dyes%2Cdependant%3Dno%27%2C%20false%2C%20true%29%3B" title="http://instagram.com/gaiiacarandai (Nova janela)"&gt;http://instagram.com/gaiiacarandai&lt;/a&gt;</t>
  </si>
  <si>
    <t>&lt;a href="javascript:openPopupFocus%28%27https%3A%2F%2Fwww.facebook.com%2Fgaiiacarandai%27%2C%20%27_blank%27%2C%20620%2C%20430%2C%20%27width%3D620%2Cheight%3D430%2Cresizable%3Dyes%2Ctoolbar%3Dyes%2Cstatus%3Dyes%2Cscrollbars%3Dyes%2Cmenubar%3Dyes%2Cdirectories%3Dyes%2Clocation%3Dyes%2Cdependant%3Dno%27%2C%20false%2C%20true%29%3B" title="https://www.facebook.com/gaiiacarandai (Nova janela)"&gt;https://www.facebook.com/gaiiacarandai&lt;/a&gt;</t>
  </si>
  <si>
    <t>&lt;a href="javascript:openPopupFocus%28%27https%3A%2F%2Fwww.youtube.com%2Fgaiiacarandai%27%2C%20%27_blank%27%2C%20620%2C%20430%2C%20%27width%3D620%2Cheight%3D430%2Cresizable%3Dyes%2Ctoolbar%3Dyes%2Cstatus%3Dyes%2Cscrollbars%3Dyes%2Cmenubar%3Dyes%2Cdirectories%3Dyes%2Clocation%3Dyes%2Cdependant%3Dno%27%2C%20false%2C%20true%29%3B" title="https://www.youtube.com/gaiiacarandai (Nova janela)"&gt;https://www.youtube.com/gaiiacarandai&lt;/a&gt;</t>
  </si>
  <si>
    <t>&lt;a href="javascript:openPopupFocus%28%27https%3A%2F%2Fdrive.google.com%2Fopen%3Fid%3D1eV6drLoRkAOSQRZ-9zOZlcz_cXPjVWOC%27%2C%20%27_blank%27%2C%20620%2C%20430%2C%20%27width%3D620%2Cheight%3D430%2Cresizable%3Dyes%2Ctoolbar%3Dyes%2Cstatus%3Dyes%2Cscrollbars%3Dyes%2Cmenubar%3Dyes%2Cdirectories%3Dyes%2Clocation%3Dyes%2Cdependant%3Dno%27%2C%20false%2C%20true%29%3B" title="https://drive.google.com/open?id=1eV6drLoRkAOSQRZ-9zOZlcz_cXPjVWOC (Nova janela)"&gt;https://drive.google.com/open?id=1eV6drLoRkAOSQRZ-9zOZlcz_cXPjVWOC&lt;/a&gt;</t>
  </si>
  <si>
    <t>&lt;a href="javascript:openPopupFocus%28%27https%3A%2F%2Fdrive.google.com%2Fopen%3Fid%3D1tqaCEqbZ5KtnevVD0-k3wcBSQc25U9bR%27%2C%20%27_blank%27%2C%20620%2C%20430%2C%20%27width%3D620%2Cheight%3D430%2Cresizable%3Dyes%2Ctoolbar%3Dyes%2Cstatus%3Dyes%2Cscrollbars%3Dyes%2Cmenubar%3Dyes%2Cdirectories%3Dyes%2Clocation%3Dyes%2Cdependant%3Dno%27%2C%20false%2C%20true%29%3B" title="https://drive.google.com/open?id=1tqaCEqbZ5KtnevVD0-k3wcBSQc25U9bR (Nova janela)"&gt;https://drive.google.com/open?id=1tqaCEqbZ5KtnevVD0-k3wcBSQc25U9bR&lt;/a&gt;</t>
  </si>
  <si>
    <t>&lt;a href="javascript:openPopupFocus%28%27https%3A%2F%2Fdrive.google.com%2Fopen%3Fid%3D1cXBe5mt_Cf4vv4XKK30Exduc0sdHpiHN%27%2C%20%27_blank%27%2C%20620%2C%20430%2C%20%27width%3D620%2Cheight%3D430%2Cresizable%3Dyes%2Ctoolbar%3Dyes%2Cstatus%3Dyes%2Cscrollbars%3Dyes%2Cmenubar%3Dyes%2Cdirectories%3Dyes%2Clocation%3Dyes%2Cdependant%3Dno%27%2C%20false%2C%20true%29%3B" title="https://drive.google.com/open?id=1cXBe5mt_Cf4vv4XKK30Exduc0sdHpiHN (Nova janela)"&gt;https://drive.google.com/open?id=1cXBe5mt_Cf4vv4XKK30Exduc0sdHpiHN&lt;/a&gt;</t>
  </si>
  <si>
    <t>&lt;a href="javascript:openPopupFocus%28%27https%3A%2F%2Fdrive.google.com%2Fopen%3Fid%3D1LoeAVrb95jIpJVkcUYgQk2xNEbakeqio%27%2C%20%27_blank%27%2C%20620%2C%20430%2C%20%27width%3D620%2Cheight%3D430%2Cresizable%3Dyes%2Ctoolbar%3Dyes%2Cstatus%3Dyes%2Cscrollbars%3Dyes%2Cmenubar%3Dyes%2Cdirectories%3Dyes%2Clocation%3Dyes%2Cdependant%3Dno%27%2C%20false%2C%20true%29%3B" title="https://drive.google.com/open?id=1LoeAVrb95jIpJVkcUYgQk2xNEbakeqio (Nova janela)"&gt;https://drive.google.com/open?id=1LoeAVrb95jIpJVkcUYgQk2xNEbakeqio&lt;/a&gt;</t>
  </si>
  <si>
    <t>&lt;a href="javascript:openPopupFocus%28%27https%3A%2F%2Fdrive.google.com%2Fopen%3Fid%3D15CUuUdTz_rAK6g312EJ52sIdjld4T1Mv%27%2C%20%27_blank%27%2C%20620%2C%20430%2C%20%27width%3D620%2Cheight%3D430%2Cresizable%3Dyes%2Ctoolbar%3Dyes%2Cstatus%3Dyes%2Cscrollbars%3Dyes%2Cmenubar%3Dyes%2Cdirectories%3Dyes%2Clocation%3Dyes%2Cdependant%3Dno%27%2C%20false%2C%20true%29%3B" title="https://drive.google.com/open?id=15CUuUdTz_rAK6g312EJ52sIdjld4T1Mv (Nova janela)"&gt;https://drive.google.com/open?id=15CUuUdTz_rAK6g312EJ52sIdjld4T1Mv&lt;/a&gt;</t>
  </si>
  <si>
    <t>&lt;a href="javascript:openPopupFocus%28%27https%3A%2F%2Fdrive.google.com%2Fopen%3Fid%3D1H1UKTmLujGnf2xYPNNJbFc0iJJ9Vspl4%27%2C%20%27_blank%27%2C%20620%2C%20430%2C%20%27width%3D620%2Cheight%3D430%2Cresizable%3Dyes%2Ctoolbar%3Dyes%2Cstatus%3Dyes%2Cscrollbars%3Dyes%2Cmenubar%3Dyes%2Cdirectories%3Dyes%2Clocation%3Dyes%2Cdependant%3Dno%27%2C%20false%2C%20true%29%3B" title="https://drive.google.com/open?id=1H1UKTmLujGnf2xYPNNJbFc0iJJ9Vspl4 (Nova janela)"&gt;https://drive.google.com/open?id=1H1UKTmLujGnf2xYPNNJbFc0iJJ9Vspl4&lt;/a&gt;</t>
  </si>
  <si>
    <t>0014P00003SGWPg</t>
  </si>
  <si>
    <t>ESPAÇO HUMANA.MENTE PSICOLOGIA SOCIAL E COMUNITÁRIA NA FAVELA</t>
  </si>
  <si>
    <t>ESPAÇO HUMANA.MENTE</t>
  </si>
  <si>
    <t>42784.472/00001-22</t>
  </si>
  <si>
    <t>Ana Maria Silva Novais Oliveira</t>
  </si>
  <si>
    <t>psihumana.mente@outlook.com</t>
  </si>
  <si>
    <t>(31)3226-7490</t>
  </si>
  <si>
    <t>RUA ANTONIO BICALHO LANA</t>
  </si>
  <si>
    <t>LAGOA</t>
  </si>
  <si>
    <t>PRÓXIMO AO CRAS E CENTRO DE SAÚDE LAGOA</t>
  </si>
  <si>
    <t>["Educação","Assistência Social","Cultura","Qualificação Profissional","Empreendedorismo","Saúde"]</t>
  </si>
  <si>
    <t>RUA VICTOR SANCHES DUMONT 148 CEP: 31.581-170 VILA MÃE DOS POBRES BH - MG
RUA INGLATERRA 226 CEP: 31540-360 JARDIM LEBLON BH-MG
RUA CONCEIÇÃO DE ITAPEMA 363 CEP 31.540-420 BH-MG
RUA COMANCHES 515 BECO DA NOVENA 185 SANTA MÔNICA VILA DO INDIO CEP:31530-25...</t>
  </si>
  <si>
    <t>O ATENDIMENTO É REALIZADO PRIORITÁRIAMENTE A MULHERES CHEFES DE FAMILIA MÃE SOLOS EM SITUAÇÃO DE VIOLENCIA DOMESTICAS VULNERABILIDADE SOCIOEMOCIONAL CRIANÇAS E ADOLESCENTES</t>
  </si>
  <si>
    <t>25%PLATAFORMA DE DOAÇÕES E 75% AÇÕES DE CAPTAÇÕES COM PESSOAS FÍSICAS</t>
  </si>
  <si>
    <t>&lt;a href="javascript:openPopupFocus%28%27http%3A%2F%2Fhumana.mentepsi%27%2C%20%27_blank%27%2C%20620%2C%20430%2C%20%27width%3D620%2Cheight%3D430%2Cresizable%3Dyes%2Ctoolbar%3Dyes%2Cstatus%3Dyes%2Cscrollbars%3Dyes%2Cmenubar%3Dyes%2Cdirectories%3Dyes%2Clocation%3Dyes%2Cdependant%3Dno%27%2C%20false%2C%20true%29%3B" title="http://humana.mentepsi (Nova janela)"&gt;http://humana.mentepsi&lt;/a&gt;</t>
  </si>
  <si>
    <t>&lt;a href="javascript:openPopupFocus%28%27https%3A%2F%2Fdrive.google.com%2Fopen%3Fid%3D1ZigyQ4O8wnECaP4RegGmKK9qJDg_LHs5%27%2C%20%27_blank%27%2C%20620%2C%20430%2C%20%27width%3D620%2Cheight%3D430%2Cresizable%3Dyes%2Ctoolbar%3Dyes%2Cstatus%3Dyes%2Cscrollbars%3Dyes%2Cmenubar%3Dyes%2Cdirectories%3Dyes%2Clocation%3Dyes%2Cdependant%3Dno%27%2C%20false%2C%20true%29%3B" title="https://drive.google.com/open?id=1ZigyQ4O8wnECaP4RegGmKK9qJDg_LHs5 (Nova janela)"&gt;https://drive.google.com/open?id=1ZigyQ4O8wnECaP4RegGmKK9qJDg_LHs5&lt;/a&gt;</t>
  </si>
  <si>
    <t>0014P00003SGWPi</t>
  </si>
  <si>
    <t>ASSOCIAÇÃO COLETIVO MOTIRÕ</t>
  </si>
  <si>
    <t>COLETIVO MOTIRÕ</t>
  </si>
  <si>
    <t>37.031.155/0001-03</t>
  </si>
  <si>
    <t>Flávio Almeida Batista</t>
  </si>
  <si>
    <t>coletivomotirodf@gmail.com</t>
  </si>
  <si>
    <t>(61)9574-7001</t>
  </si>
  <si>
    <t>QN 501 CONJUNTO</t>
  </si>
  <si>
    <t>Samambaia Sul</t>
  </si>
  <si>
    <t>Brasília</t>
  </si>
  <si>
    <t>Lotes 2/3</t>
  </si>
  <si>
    <t>["Esporte","Educação","Cultura","Qualificação Profissional","Empreendedorismo","Saúde"]</t>
  </si>
  <si>
    <t>Samambaia sul Samambaia Norte Assaí Pedra do Sabão e Morro do Macaco</t>
  </si>
  <si>
    <t>Alunos da rede pública e comunidade</t>
  </si>
  <si>
    <t>["Eventos/Ações para captação","Plataforma doação online  Pessoa Física","Projetos Específicos com Empresas"]</t>
  </si>
  <si>
    <t>25% eventos - 25% pessoa física - 15% Empresas - 35% Igrejas</t>
  </si>
  <si>
    <t>&lt;a href="javascript:openPopupFocus%28%27https%3A%2F%2Fcoletivomotiro.org%2F%27%2C%20%27_blank%27%2C%20620%2C%20430%2C%20%27width%3D620%2Cheight%3D430%2Cresizable%3Dyes%2Ctoolbar%3Dyes%2Cstatus%3Dyes%2Cscrollbars%3Dyes%2Cmenubar%3Dyes%2Cdirectories%3Dyes%2Clocation%3Dyes%2Cdependant%3Dno%27%2C%20false%2C%20true%29%3B" title="https://coletivomotiro.org/ (Nova janela)"&gt;https://coletivomotiro.org/&lt;/a&gt;</t>
  </si>
  <si>
    <t>&lt;a href="javascript:openPopupFocus%28%27https%3A%2F%2Fwww.instagram.com%2Fcoletivomotiro%2F%27%2C%20%27_blank%27%2C%20620%2C%20430%2C%20%27width%3D620%2Cheight%3D430%2Cresizable%3Dyes%2Ctoolbar%3Dyes%2Cstatus%3Dyes%2Cscrollbars%3Dyes%2Cmenubar%3Dyes%2Cdirectories%3Dyes%2Clocation%3Dyes%2Cdependant%3Dno%27%2C%20false%2C%20true%29%3B" title="https://www.instagram.com/coletivomotiro/ (Nova janela)"&gt;https://www.instagram.com/coletivomotiro/&lt;/a&gt;</t>
  </si>
  <si>
    <t>&lt;a href="javascript:openPopupFocus%28%27https%3A%2F%2Fwww.facebook.com%2Fmotirocoletivo%2F%27%2C%20%27_blank%27%2C%20620%2C%20430%2C%20%27width%3D620%2Cheight%3D430%2Cresizable%3Dyes%2Ctoolbar%3Dyes%2Cstatus%3Dyes%2Cscrollbars%3Dyes%2Cmenubar%3Dyes%2Cdirectories%3Dyes%2Clocation%3Dyes%2Cdependant%3Dno%27%2C%20false%2C%20true%29%3B" title="https://www.facebook.com/motirocoletivo/ (Nova janela)"&gt;https://www.facebook.com/motirocoletivo/&lt;/a&gt;</t>
  </si>
  <si>
    <t>&lt;a href="javascript:openPopupFocus%28%27https%3A%2F%2Fwww.youtube.com%2Fchannel%2FUCsauv8MgN7nVNSuyY0iCYEA%27%2C%20%27_blank%27%2C%20620%2C%20430%2C%20%27width%3D620%2Cheight%3D430%2Cresizable%3Dyes%2Ctoolbar%3Dyes%2Cstatus%3Dyes%2Cscrollbars%3Dyes%2Cmenubar%3Dyes%2Cdirectories%3Dyes%2Clocation%3Dyes%2Cdependant%3Dno%27%2C%20false%2C%20true%29%3B" title="https://www.youtube.com/channel/UCsauv8MgN7nVNSuyY0iCYEA (Nova janela)"&gt;https://www.youtube.com/channel/UCsauv8MgN7nVNSuyY0iCYEA&lt;/a&gt;</t>
  </si>
  <si>
    <t>&lt;a href="javascript:openPopupFocus%28%27https%3A%2F%2Fdrive.google.com%2Fopen%3Fid%3D1FuiLrCMLwsCWBijYcqxRhKzPAoaE-vPG%27%2C%20%27_blank%27%2C%20620%2C%20430%2C%20%27width%3D620%2Cheight%3D430%2Cresizable%3Dyes%2Ctoolbar%3Dyes%2Cstatus%3Dyes%2Cscrollbars%3Dyes%2Cmenubar%3Dyes%2Cdirectories%3Dyes%2Clocation%3Dyes%2Cdependant%3Dno%27%2C%20false%2C%20true%29%3B" title="https://drive.google.com/open?id=1FuiLrCMLwsCWBijYcqxRhKzPAoaE-vPG (Nova janela)"&gt;https://drive.google.com/open?id=1FuiLrCMLwsCWBijYcqxRhKzPAoaE-vPG&lt;/a&gt;</t>
  </si>
  <si>
    <t>&lt;a href="javascript:openPopupFocus%28%27https%3A%2F%2Fdrive.google.com%2Fopen%3Fid%3D1Q9UOjxPvUB_Hgrq0FbxDTUOHhS2txnlr%27%2C%20%27_blank%27%2C%20620%2C%20430%2C%20%27width%3D620%2Cheight%3D430%2Cresizable%3Dyes%2Ctoolbar%3Dyes%2Cstatus%3Dyes%2Cscrollbars%3Dyes%2Cmenubar%3Dyes%2Cdirectories%3Dyes%2Clocation%3Dyes%2Cdependant%3Dno%27%2C%20false%2C%20true%29%3B" title="https://drive.google.com/open?id=1Q9UOjxPvUB_Hgrq0FbxDTUOHhS2txnlr (Nova janela)"&gt;https://drive.google.com/open?id=1Q9UOjxPvUB_Hgrq0FbxDTUOHhS2txnlr&lt;/a&gt;</t>
  </si>
  <si>
    <t>&lt;a href="javascript:openPopupFocus%28%27https%3A%2F%2Fdrive.google.com%2Fopen%3Fid%3D1BPLzRAW0vQuCZdWg20y0FRAMj4EvlNlt%27%2C%20%27_blank%27%2C%20620%2C%20430%2C%20%27width%3D620%2Cheight%3D430%2Cresizable%3Dyes%2Ctoolbar%3Dyes%2Cstatus%3Dyes%2Cscrollbars%3Dyes%2Cmenubar%3Dyes%2Cdirectories%3Dyes%2Clocation%3Dyes%2Cdependant%3Dno%27%2C%20false%2C%20true%29%3B" title="https://drive.google.com/open?id=1BPLzRAW0vQuCZdWg20y0FRAMj4EvlNlt (Nova janela)"&gt;https://drive.google.com/open?id=1BPLzRAW0vQuCZdWg20y0FRAMj4EvlNlt&lt;/a&gt;</t>
  </si>
  <si>
    <t>&lt;a href="javascript:openPopupFocus%28%27https%3A%2F%2Fdrive.google.com%2Fopen%3Fid%3D1TH9871qEMmeVf9Z_7PyF2OgW-TamsF7A%27%2C%20%27_blank%27%2C%20620%2C%20430%2C%20%27width%3D620%2Cheight%3D430%2Cresizable%3Dyes%2Ctoolbar%3Dyes%2Cstatus%3Dyes%2Cscrollbars%3Dyes%2Cmenubar%3Dyes%2Cdirectories%3Dyes%2Clocation%3Dyes%2Cdependant%3Dno%27%2C%20false%2C%20true%29%3B" title="https://drive.google.com/open?id=1TH9871qEMmeVf9Z_7PyF2OgW-TamsF7A (Nova janela)"&gt;https://drive.google.com/open?id=1TH9871qEMmeVf9Z_7PyF2OgW-TamsF7A&lt;/a&gt;</t>
  </si>
  <si>
    <t>&lt;a href="javascript:openPopupFocus%28%27https%3A%2F%2Fdrive.google.com%2Fopen%3Fid%3D1PSSPay6eWHAnxm1PV-ARRV98M2V4P10T%20https%3A%2F%2Fdrive.google.com%2Fopen%3Fid%3D1np41YlB8hRv8WSTKBm9V_5DoEb1nNZwJ%27%2C%20%27_blank%27%2C%20620%2C%20430%2C%20%27width%3D620%2Cheight%3D430%2Cresizable%3Dyes%2Ctoolbar%3Dyes%2Cstatus%3Dyes%2Cscrollbars%3Dyes%2Cmenubar%3Dyes%2Cdirectories%3Dyes%2Clocation%3Dyes%2Cdependant%3Dno%27%2C%20false%2C%20true%29%3B" title="https://drive.google.com/open?id=1PSSPay6eWHAnxm1PV-ARRV98M2V4P10T https://drive.google.com/open?id=1np41YlB8hRv8WSTKBm9V_5DoEb1nNZwJ (Nova janela)"&gt;https://drive.google.com/open?id=1PSSPay6eWHAnxm1PV-ARRV98M2V4P10T https://drive.google.com/open?id=1np41YlB8hRv8WSTKBm9V_5DoEb1nNZwJ&lt;/a&gt;</t>
  </si>
  <si>
    <t>&lt;a href="javascript:openPopupFocus%28%27https%3A%2F%2Fdrive.google.com%2Fopen%3Fid%3D1UUyElxGa6Udx7L72CVkXsCrFBG73RGa8%27%2C%20%27_blank%27%2C%20620%2C%20430%2C%20%27width%3D620%2Cheight%3D430%2Cresizable%3Dyes%2Ctoolbar%3Dyes%2Cstatus%3Dyes%2Cscrollbars%3Dyes%2Cmenubar%3Dyes%2Cdirectories%3Dyes%2Clocation%3Dyes%2Cdependant%3Dno%27%2C%20false%2C%20true%29%3B" title="https://drive.google.com/open?id=1UUyElxGa6Udx7L72CVkXsCrFBG73RGa8 (Nova janela)"&gt;https://drive.google.com/open?id=1UUyElxGa6Udx7L72CVkXsCrFBG73RGa8&lt;/a&gt;</t>
  </si>
  <si>
    <t>0014P00003SGWPj</t>
  </si>
  <si>
    <t>INSTITUTO ENTRE ASPAS DE AÇÃO COMUNITARIA</t>
  </si>
  <si>
    <t>ENTREASPAS</t>
  </si>
  <si>
    <t>41.257.525/0001-94</t>
  </si>
  <si>
    <t>Gil Sacramento Da Silva</t>
  </si>
  <si>
    <t>institutoentreaspas@gmail.com</t>
  </si>
  <si>
    <t>(71)9874-60116</t>
  </si>
  <si>
    <t>Rua Paulo VI</t>
  </si>
  <si>
    <t>Santa Cruz</t>
  </si>
  <si>
    <t>1° Andar - Alto da Chapada do Rio Vermelho</t>
  </si>
  <si>
    <t>Moradores de favelas. Pessoas em situação de rua. População LGBTQ+. Afrodescendentes. Dependentes químicos. Pessoas com deficiências</t>
  </si>
  <si>
    <t>Chapada do Rio Vermelho Santa Cruz Parque bela vista/ Brotas Nordeste de Amaralina e Vale das Pedrinhas</t>
  </si>
  <si>
    <t>Auxilio desde alimento fraldas (bebê e Geriátrica) e materiais para auxilio a deficiência física ou motora.</t>
  </si>
  <si>
    <t>Negócio social 40% , Plataforma de doação 10% , Ações de Captação 50%.</t>
  </si>
  <si>
    <t>&lt;a href="javascript:openPopupFocus%28%27https%3A%2F%2Fwww.instagram.com%2Finstitutoentreaspas%2F%27%2C%20%27_blank%27%2C%20620%2C%20430%2C%20%27width%3D620%2Cheight%3D430%2Cresizable%3Dyes%2Ctoolbar%3Dyes%2Cstatus%3Dyes%2Cscrollbars%3Dyes%2Cmenubar%3Dyes%2Cdirectories%3Dyes%2Clocation%3Dyes%2Cdependant%3Dno%27%2C%20false%2C%20true%29%3B" title="https://www.instagram.com/institutoentreaspas/ (Nova janela)"&gt;https://www.instagram.com/institutoentreaspas/&lt;/a&gt;</t>
  </si>
  <si>
    <t>&lt;a href="javascript:openPopupFocus%28%27https%3A%2F%2Fwww.facebook.com%2Fentreaspasinstituto%2F%27%2C%20%27_blank%27%2C%20620%2C%20430%2C%20%27width%3D620%2Cheight%3D430%2Cresizable%3Dyes%2Ctoolbar%3Dyes%2Cstatus%3Dyes%2Cscrollbars%3Dyes%2Cmenubar%3Dyes%2Cdirectories%3Dyes%2Clocation%3Dyes%2Cdependant%3Dno%27%2C%20false%2C%20true%29%3B" title="https://www.facebook.com/entreaspasinstituto/ (Nova janela)"&gt;https://www.facebook.com/entreaspasinstituto/&lt;/a&gt;</t>
  </si>
  <si>
    <t>&lt;a href="javascript:openPopupFocus%28%27https%3A%2F%2Fdrive.google.com%2Fopen%3Fid%3D1acM1IC2qqRP4xOfC1aW414OW2G0a67vZ%27%2C%20%27_blank%27%2C%20620%2C%20430%2C%20%27width%3D620%2Cheight%3D430%2Cresizable%3Dyes%2Ctoolbar%3Dyes%2Cstatus%3Dyes%2Cscrollbars%3Dyes%2Cmenubar%3Dyes%2Cdirectories%3Dyes%2Clocation%3Dyes%2Cdependant%3Dno%27%2C%20false%2C%20true%29%3B" title="https://drive.google.com/open?id=1acM1IC2qqRP4xOfC1aW414OW2G0a67vZ (Nova janela)"&gt;https://drive.google.com/open?id=1acM1IC2qqRP4xOfC1aW414OW2G0a67vZ&lt;/a&gt;</t>
  </si>
  <si>
    <t>&lt;a href="javascript:openPopupFocus%28%27https%3A%2F%2Fdrive.google.com%2Fopen%3Fid%3D1H8FOEtR6h5T5iQ8zy6xOhA9hNi0c113f%27%2C%20%27_blank%27%2C%20620%2C%20430%2C%20%27width%3D620%2Cheight%3D430%2Cresizable%3Dyes%2Ctoolbar%3Dyes%2Cstatus%3Dyes%2Cscrollbars%3Dyes%2Cmenubar%3Dyes%2Cdirectories%3Dyes%2Clocation%3Dyes%2Cdependant%3Dno%27%2C%20false%2C%20true%29%3B" title="https://drive.google.com/open?id=1H8FOEtR6h5T5iQ8zy6xOhA9hNi0c113f (Nova janela)"&gt;https://drive.google.com/open?id=1H8FOEtR6h5T5iQ8zy6xOhA9hNi0c113f&lt;/a&gt;</t>
  </si>
  <si>
    <t>&lt;a href="javascript:openPopupFocus%28%27https%3A%2F%2Fdrive.google.com%2Fopen%3Fid%3D1RzyZlE8PSkAuQWhpt9wXy4D0Elt6SNG_%27%2C%20%27_blank%27%2C%20620%2C%20430%2C%20%27width%3D620%2Cheight%3D430%2Cresizable%3Dyes%2Ctoolbar%3Dyes%2Cstatus%3Dyes%2Cscrollbars%3Dyes%2Cmenubar%3Dyes%2Cdirectories%3Dyes%2Clocation%3Dyes%2Cdependant%3Dno%27%2C%20false%2C%20true%29%3B" title="https://drive.google.com/open?id=1RzyZlE8PSkAuQWhpt9wXy4D0Elt6SNG_ (Nova janela)"&gt;https://drive.google.com/open?id=1RzyZlE8PSkAuQWhpt9wXy4D0Elt6SNG_&lt;/a&gt;</t>
  </si>
  <si>
    <t>0014P00003SGWPk</t>
  </si>
  <si>
    <t>CENTRO DE RECREAÇÃO INFANTIL AMAR MAIS MUITO MAIS</t>
  </si>
  <si>
    <t>AMAR MAIS</t>
  </si>
  <si>
    <t>20.459.428/0001-04</t>
  </si>
  <si>
    <t>Girlane Souza Do Nascimento Salarini Gimenez</t>
  </si>
  <si>
    <t>criamarmaismuitomais@gmail.com</t>
  </si>
  <si>
    <t>(11)3859-0317</t>
  </si>
  <si>
    <t>RUA CARIACICA</t>
  </si>
  <si>
    <t>JD. SANTA CRUZ</t>
  </si>
  <si>
    <t>FAVELA DO SAPO JOW CÓRREGO DO BISPO PERI ALTO</t>
  </si>
  <si>
    <t>["Lei de Incentivo","Editais"]</t>
  </si>
  <si>
    <t>25% 25%</t>
  </si>
  <si>
    <t>&lt;a href="javascript:openPopupFocus%28%27http%3A%2F%2Fcriamarmaismuitomais.org%27%2C%20%27_blank%27%2C%20620%2C%20430%2C%20%27width%3D620%2Cheight%3D430%2Cresizable%3Dyes%2Ctoolbar%3Dyes%2Cstatus%3Dyes%2Cscrollbars%3Dyes%2Cmenubar%3Dyes%2Cdirectories%3Dyes%2Clocation%3Dyes%2Cdependant%3Dno%27%2C%20false%2C%20true%29%3B" title="http://criamarmaismuitomais.org (Nova janela)"&gt;http://criamarmaismuitomais.org&lt;/a&gt;</t>
  </si>
  <si>
    <t>&lt;a href="javascript:openPopupFocus%28%27https%3A%2F%2Fwww.instagram.com%2Fp%2FCRH5KHmFB91%2F%3Futm_medium%3Dcopy_link%27%2C%20%27_blank%27%2C%20620%2C%20430%2C%20%27width%3D620%2Cheight%3D430%2Cresizable%3Dyes%2Ctoolbar%3Dyes%2Cstatus%3Dyes%2Cscrollbars%3Dyes%2Cmenubar%3Dyes%2Cdirectories%3Dyes%2Clocation%3Dyes%2Cdependant%3Dno%27%2C%20false%2C%20true%29%3B" title="https://www.instagram.com/p/CRH5KHmFB91/?utm_medium=copy_link (Nova janela)"&gt;https://www.instagram.com/p/CRH5KHmFB91/?utm_medium=copy_link&lt;/a&gt;</t>
  </si>
  <si>
    <t>&lt;a href="javascript:openPopupFocus%28%27http%3A%2F%2Fwww.facebook.com.br%2Fcriamarmais%27%2C%20%27_blank%27%2C%20620%2C%20430%2C%20%27width%3D620%2Cheight%3D430%2Cresizable%3Dyes%2Ctoolbar%3Dyes%2Cstatus%3Dyes%2Cscrollbars%3Dyes%2Cmenubar%3Dyes%2Cdirectories%3Dyes%2Clocation%3Dyes%2Cdependant%3Dno%27%2C%20false%2C%20true%29%3B" title="http://www.facebook.com.br/criamarmais (Nova janela)"&gt;http://www.facebook.com.br/criamarmais&lt;/a&gt;</t>
  </si>
  <si>
    <t>&lt;a href="javascript:openPopupFocus%28%27https%3A%2F%2Fwww.youtube.com%2Fchannel%2FUCPQOHSYzOTk20dUYBmRlp3w%27%2C%20%27_blank%27%2C%20620%2C%20430%2C%20%27width%3D620%2Cheight%3D430%2Cresizable%3Dyes%2Ctoolbar%3Dyes%2Cstatus%3Dyes%2Cscrollbars%3Dyes%2Cmenubar%3Dyes%2Cdirectories%3Dyes%2Clocation%3Dyes%2Cdependant%3Dno%27%2C%20false%2C%20true%29%3B" title="https://www.youtube.com/channel/UCPQOHSYzOTk20dUYBmRlp3w (Nova janela)"&gt;https://www.youtube.com/channel/UCPQOHSYzOTk20dUYBmRlp3w&lt;/a&gt;</t>
  </si>
  <si>
    <t>&lt;a href="javascript:openPopupFocus%28%27https%3A%2F%2Fdrive.google.com%2Fopen%3Fid%3D12FDQODNOHX3esy1g88UGgUXPJLbpvqNo%27%2C%20%27_blank%27%2C%20620%2C%20430%2C%20%27width%3D620%2Cheight%3D430%2Cresizable%3Dyes%2Ctoolbar%3Dyes%2Cstatus%3Dyes%2Cscrollbars%3Dyes%2Cmenubar%3Dyes%2Cdirectories%3Dyes%2Clocation%3Dyes%2Cdependant%3Dno%27%2C%20false%2C%20true%29%3B" title="https://drive.google.com/open?id=12FDQODNOHX3esy1g88UGgUXPJLbpvqNo (Nova janela)"&gt;https://drive.google.com/open?id=12FDQODNOHX3esy1g88UGgUXPJLbpvqNo&lt;/a&gt;</t>
  </si>
  <si>
    <t>&lt;a href="javascript:openPopupFocus%28%27https%3A%2F%2Fdrive.google.com%2Fopen%3Fid%3D1NS6o6R5aEAu99QGi3NzgWi2U6ktEGQZ5%27%2C%20%27_blank%27%2C%20620%2C%20430%2C%20%27width%3D620%2Cheight%3D430%2Cresizable%3Dyes%2Ctoolbar%3Dyes%2Cstatus%3Dyes%2Cscrollbars%3Dyes%2Cmenubar%3Dyes%2Cdirectories%3Dyes%2Clocation%3Dyes%2Cdependant%3Dno%27%2C%20false%2C%20true%29%3B" title="https://drive.google.com/open?id=1NS6o6R5aEAu99QGi3NzgWi2U6ktEGQZ5 (Nova janela)"&gt;https://drive.google.com/open?id=1NS6o6R5aEAu99QGi3NzgWi2U6ktEGQZ5&lt;/a&gt;</t>
  </si>
  <si>
    <t>&lt;a href="javascript:openPopupFocus%28%27https%3A%2F%2Fdrive.google.com%2Fopen%3Fid%3D1ORDtHC_ZJRR7JltjjkCyMWPO2iDqifx0%27%2C%20%27_blank%27%2C%20620%2C%20430%2C%20%27width%3D620%2Cheight%3D430%2Cresizable%3Dyes%2Ctoolbar%3Dyes%2Cstatus%3Dyes%2Cscrollbars%3Dyes%2Cmenubar%3Dyes%2Cdirectories%3Dyes%2Clocation%3Dyes%2Cdependant%3Dno%27%2C%20false%2C%20true%29%3B" title="https://drive.google.com/open?id=1ORDtHC_ZJRR7JltjjkCyMWPO2iDqifx0 (Nova janela)"&gt;https://drive.google.com/open?id=1ORDtHC_ZJRR7JltjjkCyMWPO2iDqifx0&lt;/a&gt;</t>
  </si>
  <si>
    <t>0014P00003SGWPl</t>
  </si>
  <si>
    <t>ASSOCIAÇÃO ESPERANÇA E DESTINO</t>
  </si>
  <si>
    <t>ESPERANÇA E DESTINO</t>
  </si>
  <si>
    <t>29.180.829/0001-03</t>
  </si>
  <si>
    <t>Graziella Porfirio</t>
  </si>
  <si>
    <t>esperancaedestino@gmail.com</t>
  </si>
  <si>
    <t>(11)6338-2141</t>
  </si>
  <si>
    <t>Rua Israel Gonçalvez Cruz</t>
  </si>
  <si>
    <t>Jardim Maite</t>
  </si>
  <si>
    <t>["Educação","Assistência Social","Cultura","Empreendedorismo"]</t>
  </si>
  <si>
    <t>100% doações</t>
  </si>
  <si>
    <t>&lt;a href="javascript:openPopupFocus%28%27https%3A%2F%2Fwww.instagram.com%2Fesperancaedestino%2F%27%2C%20%27_blank%27%2C%20620%2C%20430%2C%20%27width%3D620%2Cheight%3D430%2Cresizable%3Dyes%2Ctoolbar%3Dyes%2Cstatus%3Dyes%2Cscrollbars%3Dyes%2Cmenubar%3Dyes%2Cdirectories%3Dyes%2Clocation%3Dyes%2Cdependant%3Dno%27%2C%20false%2C%20true%29%3B" title="https://www.instagram.com/esperancaedestino/ (Nova janela)"&gt;https://www.instagram.com/esperancaedestino/&lt;/a&gt;</t>
  </si>
  <si>
    <t>&lt;a href="javascript:openPopupFocus%28%27https%3A%2F%2Fm.facebook.com%2Fesperancaedestino%27%2C%20%27_blank%27%2C%20620%2C%20430%2C%20%27width%3D620%2Cheight%3D430%2Cresizable%3Dyes%2Ctoolbar%3Dyes%2Cstatus%3Dyes%2Cscrollbars%3Dyes%2Cmenubar%3Dyes%2Cdirectories%3Dyes%2Clocation%3Dyes%2Cdependant%3Dno%27%2C%20false%2C%20true%29%3B" title="https://m.facebook.com/esperancaedestino (Nova janela)"&gt;https://m.facebook.com/esperancaedestino&lt;/a&gt;</t>
  </si>
  <si>
    <t>&lt;a href="javascript:openPopupFocus%28%27https%3A%2F%2Fwww.youtube.com%2Fchannel%2FUCpzVuVMjEGB1NtkWqAv3OWA%27%2C%20%27_blank%27%2C%20620%2C%20430%2C%20%27width%3D620%2Cheight%3D430%2Cresizable%3Dyes%2Ctoolbar%3Dyes%2Cstatus%3Dyes%2Cscrollbars%3Dyes%2Cmenubar%3Dyes%2Cdirectories%3Dyes%2Clocation%3Dyes%2Cdependant%3Dno%27%2C%20false%2C%20true%29%3B" title="https://www.youtube.com/channel/UCpzVuVMjEGB1NtkWqAv3OWA (Nova janela)"&gt;https://www.youtube.com/channel/UCpzVuVMjEGB1NtkWqAv3OWA&lt;/a&gt;</t>
  </si>
  <si>
    <t>&lt;a href="javascript:openPopupFocus%28%27https%3A%2F%2Fdrive.google.com%2Fopen%3Fid%3D1QYNXXjOvpxIoyyYOdo5xiUYbtwlav9qc%27%2C%20%27_blank%27%2C%20620%2C%20430%2C%20%27width%3D620%2Cheight%3D430%2Cresizable%3Dyes%2Ctoolbar%3Dyes%2Cstatus%3Dyes%2Cscrollbars%3Dyes%2Cmenubar%3Dyes%2Cdirectories%3Dyes%2Clocation%3Dyes%2Cdependant%3Dno%27%2C%20false%2C%20true%29%3B" title="https://drive.google.com/open?id=1QYNXXjOvpxIoyyYOdo5xiUYbtwlav9qc (Nova janela)"&gt;https://drive.google.com/open?id=1QYNXXjOvpxIoyyYOdo5xiUYbtwlav9qc&lt;/a&gt;</t>
  </si>
  <si>
    <t>&lt;a href="javascript:openPopupFocus%28%27https%3A%2F%2Fdrive.google.com%2Fopen%3Fid%3D1o7VZQ33tmJlPMN_dcBX5_tTBP_OXtbeK%27%2C%20%27_blank%27%2C%20620%2C%20430%2C%20%27width%3D620%2Cheight%3D430%2Cresizable%3Dyes%2Ctoolbar%3Dyes%2Cstatus%3Dyes%2Cscrollbars%3Dyes%2Cmenubar%3Dyes%2Cdirectories%3Dyes%2Clocation%3Dyes%2Cdependant%3Dno%27%2C%20false%2C%20true%29%3B" title="https://drive.google.com/open?id=1o7VZQ33tmJlPMN_dcBX5_tTBP_OXtbeK (Nova janela)"&gt;https://drive.google.com/open?id=1o7VZQ33tmJlPMN_dcBX5_tTBP_OXtbeK&lt;/a&gt;</t>
  </si>
  <si>
    <t>0014P00003SGWPm</t>
  </si>
  <si>
    <t>ASSOCIAÇAO DE MULHERES EMPODERADAS DO MONTE CRISTO</t>
  </si>
  <si>
    <t>MULHERES EMPODERADAS</t>
  </si>
  <si>
    <t>39.919.773/0001-01</t>
  </si>
  <si>
    <t>Jaqueline De Sousa Ribeiro</t>
  </si>
  <si>
    <t>associacaomulheresempreendem@gmail.com</t>
  </si>
  <si>
    <t>(48)8812-1209</t>
  </si>
  <si>
    <t>Travessa Maria Salete Dutra</t>
  </si>
  <si>
    <t>MONTE CRISTO</t>
  </si>
  <si>
    <t>Florianopolis</t>
  </si>
  <si>
    <t>BAIRRO EDUCADOR</t>
  </si>
  <si>
    <t>TRAVESSA MARIA SALETE DUTRA MACHADO 127</t>
  </si>
  <si>
    <t>["Adultos","Jovens (18 aos 24 anos)"]</t>
  </si>
  <si>
    <t>NOVO HORIZONTE CHICO MENDESPASTO DO GADOGROTANOSSA SENHORA DO ROSARIOLAR FABIANO DE CRISTOMORRO DO FLAMENGO</t>
  </si>
  <si>
    <t>NAO SAO NOSSO PUBLICO ESPECIFICOMAS ATENDEMOS INDIGENAS E EGRESSOS</t>
  </si>
  <si>
    <t>50%50%</t>
  </si>
  <si>
    <t>&lt;a href="javascript:openPopupFocus%28%27http%3A%2F%2Fwww.associacaomulheres.com.br%27%2C%20%27_blank%27%2C%20620%2C%20430%2C%20%27width%3D620%2Cheight%3D430%2Cresizable%3Dyes%2Ctoolbar%3Dyes%2Cstatus%3Dyes%2Cscrollbars%3Dyes%2Cmenubar%3Dyes%2Cdirectories%3Dyes%2Clocation%3Dyes%2Cdependant%3Dno%27%2C%20false%2C%20true%29%3B" title="http://www.associacaomulheres.com.br (Nova janela)"&gt;http://www.associacaomulheres.com.br&lt;/a&gt;</t>
  </si>
  <si>
    <t>&lt;a href="javascript:openPopupFocus%28%27https%3A%2F%2Fwww.instagram.com%2Fassociacaomulheres%2F%27%2C%20%27_blank%27%2C%20620%2C%20430%2C%20%27width%3D620%2Cheight%3D430%2Cresizable%3Dyes%2Ctoolbar%3Dyes%2Cstatus%3Dyes%2Cscrollbars%3Dyes%2Cmenubar%3Dyes%2Cdirectories%3Dyes%2Clocation%3Dyes%2Cdependant%3Dno%27%2C%20false%2C%20true%29%3B" title="https://www.instagram.com/associacaomulheres/ (Nova janela)"&gt;https://www.instagram.com/associacaomulheres/&lt;/a&gt;</t>
  </si>
  <si>
    <t>&lt;a href="javascript:openPopupFocus%28%27https%3A%2F%2Fwww.facebook.com%2Fassociacaomulheresdomontecristo%27%2C%20%27_blank%27%2C%20620%2C%20430%2C%20%27width%3D620%2Cheight%3D430%2Cresizable%3Dyes%2Ctoolbar%3Dyes%2Cstatus%3Dyes%2Cscrollbars%3Dyes%2Cmenubar%3Dyes%2Cdirectories%3Dyes%2Clocation%3Dyes%2Cdependant%3Dno%27%2C%20false%2C%20true%29%3B" title="https://www.facebook.com/associacaomulheresdomontecristo (Nova janela)"&gt;https://www.facebook.com/associacaomulheresdomontecristo&lt;/a&gt;</t>
  </si>
  <si>
    <t>&lt;a href="javascript:openPopupFocus%28%27https%3A%2F%2Fdrive.google.com%2Fopen%3Fid%3D1UIWgxpPEy0XFjklYS4EUMx4gopkr7Wkl%27%2C%20%27_blank%27%2C%20620%2C%20430%2C%20%27width%3D620%2Cheight%3D430%2Cresizable%3Dyes%2Ctoolbar%3Dyes%2Cstatus%3Dyes%2Cscrollbars%3Dyes%2Cmenubar%3Dyes%2Cdirectories%3Dyes%2Clocation%3Dyes%2Cdependant%3Dno%27%2C%20false%2C%20true%29%3B" title="https://drive.google.com/open?id=1UIWgxpPEy0XFjklYS4EUMx4gopkr7Wkl (Nova janela)"&gt;https://drive.google.com/open?id=1UIWgxpPEy0XFjklYS4EUMx4gopkr7Wkl&lt;/a&gt;</t>
  </si>
  <si>
    <t>&lt;a href="javascript:openPopupFocus%28%27https%3A%2F%2Fdrive.google.com%2Fopen%3Fid%3D1bsG-EIBi4VrqQ8ogB3beY9mkKl7J2R2H%27%2C%20%27_blank%27%2C%20620%2C%20430%2C%20%27width%3D620%2Cheight%3D430%2Cresizable%3Dyes%2Ctoolbar%3Dyes%2Cstatus%3Dyes%2Cscrollbars%3Dyes%2Cmenubar%3Dyes%2Cdirectories%3Dyes%2Clocation%3Dyes%2Cdependant%3Dno%27%2C%20false%2C%20true%29%3B" title="https://drive.google.com/open?id=1bsG-EIBi4VrqQ8ogB3beY9mkKl7J2R2H (Nova janela)"&gt;https://drive.google.com/open?id=1bsG-EIBi4VrqQ8ogB3beY9mkKl7J2R2H&lt;/a&gt;</t>
  </si>
  <si>
    <t>&lt;a href="javascript:openPopupFocus%28%27https%3A%2F%2Fdrive.google.com%2Fopen%3Fid%3D1x7h8mNTSUdrsHOWzFXM4JU7Ln8iS4MJv%27%2C%20%27_blank%27%2C%20620%2C%20430%2C%20%27width%3D620%2Cheight%3D430%2Cresizable%3Dyes%2Ctoolbar%3Dyes%2Cstatus%3Dyes%2Cscrollbars%3Dyes%2Cmenubar%3Dyes%2Cdirectories%3Dyes%2Clocation%3Dyes%2Cdependant%3Dno%27%2C%20false%2C%20true%29%3B" title="https://drive.google.com/open?id=1x7h8mNTSUdrsHOWzFXM4JU7Ln8iS4MJv (Nova janela)"&gt;https://drive.google.com/open?id=1x7h8mNTSUdrsHOWzFXM4JU7Ln8iS4MJv&lt;/a&gt;</t>
  </si>
  <si>
    <t>&lt;a href="javascript:openPopupFocus%28%27https%3A%2F%2Fdrive.google.com%2Fopen%3Fid%3D1felDPv7S8dey4LNktmYjB-AQgkbolXdG%27%2C%20%27_blank%27%2C%20620%2C%20430%2C%20%27width%3D620%2Cheight%3D430%2Cresizable%3Dyes%2Ctoolbar%3Dyes%2Cstatus%3Dyes%2Cscrollbars%3Dyes%2Cmenubar%3Dyes%2Cdirectories%3Dyes%2Clocation%3Dyes%2Cdependant%3Dno%27%2C%20false%2C%20true%29%3B" title="https://drive.google.com/open?id=1felDPv7S8dey4LNktmYjB-AQgkbolXdG (Nova janela)"&gt;https://drive.google.com/open?id=1felDPv7S8dey4LNktmYjB-AQgkbolXdG&lt;/a&gt;</t>
  </si>
  <si>
    <t>&lt;a href="javascript:openPopupFocus%28%27https%3A%2F%2Fdrive.google.com%2Fopen%3Fid%3D1Y9yA73U71ZetyXXguMFvaWdd3c6w5IGJ%27%2C%20%27_blank%27%2C%20620%2C%20430%2C%20%27width%3D620%2Cheight%3D430%2Cresizable%3Dyes%2Ctoolbar%3Dyes%2Cstatus%3Dyes%2Cscrollbars%3Dyes%2Cmenubar%3Dyes%2Cdirectories%3Dyes%2Clocation%3Dyes%2Cdependant%3Dno%27%2C%20false%2C%20true%29%3B" title="https://drive.google.com/open?id=1Y9yA73U71ZetyXXguMFvaWdd3c6w5IGJ (Nova janela)"&gt;https://drive.google.com/open?id=1Y9yA73U71ZetyXXguMFvaWdd3c6w5IGJ&lt;/a&gt;</t>
  </si>
  <si>
    <t>0014P00003SGWPn</t>
  </si>
  <si>
    <t>INSTITUTO VIDA REAL</t>
  </si>
  <si>
    <t>VIDA REAL</t>
  </si>
  <si>
    <t>08.077.747/0001-50</t>
  </si>
  <si>
    <t>Sebastião Antônio De Araújo</t>
  </si>
  <si>
    <t>institutovidareal@hotmail.com</t>
  </si>
  <si>
    <t>(21)3866-6761</t>
  </si>
  <si>
    <t>Rua Teixeira Ribeiro</t>
  </si>
  <si>
    <t>Ramos</t>
  </si>
  <si>
    <t>Complexo da Maré</t>
  </si>
  <si>
    <t>Não há</t>
  </si>
  <si>
    <t>["Adolescentes (12 aos 18 anos)","Jovens (18 aos 24 anos)"]</t>
  </si>
  <si>
    <t>Moradores de favelas. População LGBTQ+. Afrodescendentes. Dependentes químicos. Egressos</t>
  </si>
  <si>
    <t>Baixa do Sapateiro Morro do Timbau Parque Maré Nova Maré Nova Holanda Rubens Vaz Parque União Conjunto Esperança Conjunto Pinheiros Vila do Pinheiro Mandacaru Vila do João 'Salsa e Merengue' Marcílio Dias Roquete Pinto Praia de Ramos Bento Ribeiro Dantas...</t>
  </si>
  <si>
    <t>Eventualmente acontece ações em outras favelas.</t>
  </si>
  <si>
    <t>["Lei de Incentivo","Eventos/Ações para captação","Projetos Específicos com Empresas","Editais"]</t>
  </si>
  <si>
    <t>&lt;a href="javascript:openPopupFocus%28%27https%3A%2F%2Finstitutovidareal.org.br%2F%27%2C%20%27_blank%27%2C%20620%2C%20430%2C%20%27width%3D620%2Cheight%3D430%2Cresizable%3Dyes%2Ctoolbar%3Dyes%2Cstatus%3Dyes%2Cscrollbars%3Dyes%2Cmenubar%3Dyes%2Cdirectories%3Dyes%2Clocation%3Dyes%2Cdependant%3Dno%27%2C%20false%2C%20true%29%3B" title="https://institutovidareal.org.br/ (Nova janela)"&gt;https://institutovidareal.org.br/&lt;/a&gt;</t>
  </si>
  <si>
    <t>&lt;a href="javascript:openPopupFocus%28%27https%3A%2F%2Fwww.instagram.com%2Finstitutovidareal%2F%27%2C%20%27_blank%27%2C%20620%2C%20430%2C%20%27width%3D620%2Cheight%3D430%2Cresizable%3Dyes%2Ctoolbar%3Dyes%2Cstatus%3Dyes%2Cscrollbars%3Dyes%2Cmenubar%3Dyes%2Cdirectories%3Dyes%2Clocation%3Dyes%2Cdependant%3Dno%27%2C%20false%2C%20true%29%3B" title="https://www.instagram.com/institutovidareal/ (Nova janela)"&gt;https://www.instagram.com/institutovidareal/&lt;/a&gt;</t>
  </si>
  <si>
    <t>&lt;a href="javascript:openPopupFocus%28%27https%3A%2F%2Fwww.facebook.com%2Fvida.real.7%27%2C%20%27_blank%27%2C%20620%2C%20430%2C%20%27width%3D620%2Cheight%3D430%2Cresizable%3Dyes%2Ctoolbar%3Dyes%2Cstatus%3Dyes%2Cscrollbars%3Dyes%2Cmenubar%3Dyes%2Cdirectories%3Dyes%2Clocation%3Dyes%2Cdependant%3Dno%27%2C%20false%2C%20true%29%3B" title="https://www.facebook.com/vida.real.7 (Nova janela)"&gt;https://www.facebook.com/vida.real.7&lt;/a&gt;</t>
  </si>
  <si>
    <t>&lt;a href="javascript:openPopupFocus%28%27https%3A%2F%2Fwww.youtube.com%2Fchannel%2FUCAFabTZ-eWYDCrDu_00Zffg%27%2C%20%27_blank%27%2C%20620%2C%20430%2C%20%27width%3D620%2Cheight%3D430%2Cresizable%3Dyes%2Ctoolbar%3Dyes%2Cstatus%3Dyes%2Cscrollbars%3Dyes%2Cmenubar%3Dyes%2Cdirectories%3Dyes%2Clocation%3Dyes%2Cdependant%3Dno%27%2C%20false%2C%20true%29%3B" title="https://www.youtube.com/channel/UCAFabTZ-eWYDCrDu_00Zffg (Nova janela)"&gt;https://www.youtube.com/channel/UCAFabTZ-eWYDCrDu_00Zffg&lt;/a&gt;</t>
  </si>
  <si>
    <t>&lt;a href="javascript:openPopupFocus%28%27https%3A%2F%2Fdrive.google.com%2Fopen%3Fid%3D1DMSCKbPbyjAf2MK2Z7eDt4sQTI3aGTCd%27%2C%20%27_blank%27%2C%20620%2C%20430%2C%20%27width%3D620%2Cheight%3D430%2Cresizable%3Dyes%2Ctoolbar%3Dyes%2Cstatus%3Dyes%2Cscrollbars%3Dyes%2Cmenubar%3Dyes%2Cdirectories%3Dyes%2Clocation%3Dyes%2Cdependant%3Dno%27%2C%20false%2C%20true%29%3B" title="https://drive.google.com/open?id=1DMSCKbPbyjAf2MK2Z7eDt4sQTI3aGTCd (Nova janela)"&gt;https://drive.google.com/open?id=1DMSCKbPbyjAf2MK2Z7eDt4sQTI3aGTCd&lt;/a&gt;</t>
  </si>
  <si>
    <t>&lt;a href="javascript:openPopupFocus%28%27https%3A%2F%2Fdrive.google.com%2Fopen%3Fid%3D1mbEKjOA7qWsRS_mpEJdYquv4bEqnlt3h%27%2C%20%27_blank%27%2C%20620%2C%20430%2C%20%27width%3D620%2Cheight%3D430%2Cresizable%3Dyes%2Ctoolbar%3Dyes%2Cstatus%3Dyes%2Cscrollbars%3Dyes%2Cmenubar%3Dyes%2Cdirectories%3Dyes%2Clocation%3Dyes%2Cdependant%3Dno%27%2C%20false%2C%20true%29%3B" title="https://drive.google.com/open?id=1mbEKjOA7qWsRS_mpEJdYquv4bEqnlt3h (Nova janela)"&gt;https://drive.google.com/open?id=1mbEKjOA7qWsRS_mpEJdYquv4bEqnlt3h&lt;/a&gt;</t>
  </si>
  <si>
    <t>&lt;a href="javascript:openPopupFocus%28%27https%3A%2F%2Fdrive.google.com%2Fopen%3Fid%3D19vMRnuHYDkv45DbJKJO578KlG5xuGtLh%27%2C%20%27_blank%27%2C%20620%2C%20430%2C%20%27width%3D620%2Cheight%3D430%2Cresizable%3Dyes%2Ctoolbar%3Dyes%2Cstatus%3Dyes%2Cscrollbars%3Dyes%2Cmenubar%3Dyes%2Cdirectories%3Dyes%2Clocation%3Dyes%2Cdependant%3Dno%27%2C%20false%2C%20true%29%3B" title="https://drive.google.com/open?id=19vMRnuHYDkv45DbJKJO578KlG5xuGtLh (Nova janela)"&gt;https://drive.google.com/open?id=19vMRnuHYDkv45DbJKJO578KlG5xuGtLh&lt;/a&gt;</t>
  </si>
  <si>
    <t>&lt;a href="javascript:openPopupFocus%28%27https%3A%2F%2Fdrive.google.com%2Fopen%3Fid%3D16Tvq3aIssHGbIAeLk1Fu6NvIlGjXLswV%27%2C%20%27_blank%27%2C%20620%2C%20430%2C%20%27width%3D620%2Cheight%3D430%2Cresizable%3Dyes%2Ctoolbar%3Dyes%2Cstatus%3Dyes%2Cscrollbars%3Dyes%2Cmenubar%3Dyes%2Cdirectories%3Dyes%2Clocation%3Dyes%2Cdependant%3Dno%27%2C%20false%2C%20true%29%3B" title="https://drive.google.com/open?id=16Tvq3aIssHGbIAeLk1Fu6NvIlGjXLswV (Nova janela)"&gt;https://drive.google.com/open?id=16Tvq3aIssHGbIAeLk1Fu6NvIlGjXLswV&lt;/a&gt;</t>
  </si>
  <si>
    <t>&lt;a href="javascript:openPopupFocus%28%27https%3A%2F%2Fdrive.google.com%2Fopen%3Fid%3D1R7g72NIyWa3y_oKmE_cKOCHNuqUg8JKY%27%2C%20%27_blank%27%2C%20620%2C%20430%2C%20%27width%3D620%2Cheight%3D430%2Cresizable%3Dyes%2Ctoolbar%3Dyes%2Cstatus%3Dyes%2Cscrollbars%3Dyes%2Cmenubar%3Dyes%2Cdirectories%3Dyes%2Clocation%3Dyes%2Cdependant%3Dno%27%2C%20false%2C%20true%29%3B" title="https://drive.google.com/open?id=1R7g72NIyWa3y_oKmE_cKOCHNuqUg8JKY (Nova janela)"&gt;https://drive.google.com/open?id=1R7g72NIyWa3y_oKmE_cKOCHNuqUg8JKY&lt;/a&gt;</t>
  </si>
  <si>
    <t>&lt;a href="javascript:openPopupFocus%28%27https%3A%2F%2Fdrive.google.com%2Fopen%3Fid%3D1BCO7vtsbdq51wQwv1D3vYZ-Y3tWeUAd1%27%2C%20%27_blank%27%2C%20620%2C%20430%2C%20%27width%3D620%2Cheight%3D430%2Cresizable%3Dyes%2Ctoolbar%3Dyes%2Cstatus%3Dyes%2Cscrollbars%3Dyes%2Cmenubar%3Dyes%2Cdirectories%3Dyes%2Clocation%3Dyes%2Cdependant%3Dno%27%2C%20false%2C%20true%29%3B" title="https://drive.google.com/open?id=1BCO7vtsbdq51wQwv1D3vYZ-Y3tWeUAd1 (Nova janela)"&gt;https://drive.google.com/open?id=1BCO7vtsbdq51wQwv1D3vYZ-Y3tWeUAd1&lt;/a&gt;</t>
  </si>
  <si>
    <t>&lt;a href="javascript:openPopupFocus%28%27https%3A%2F%2Fdrive.google.com%2Fopen%3Fid%3D1RqG2bFdfEITKyWJRvZi6_cOlqLIb8NaR%27%2C%20%27_blank%27%2C%20620%2C%20430%2C%20%27width%3D620%2Cheight%3D430%2Cresizable%3Dyes%2Ctoolbar%3Dyes%2Cstatus%3Dyes%2Cscrollbars%3Dyes%2Cmenubar%3Dyes%2Cdirectories%3Dyes%2Clocation%3Dyes%2Cdependant%3Dno%27%2C%20false%2C%20true%29%3B" title="https://drive.google.com/open?id=1RqG2bFdfEITKyWJRvZi6_cOlqLIb8NaR (Nova janela)"&gt;https://drive.google.com/open?id=1RqG2bFdfEITKyWJRvZi6_cOlqLIb8NaR&lt;/a&gt;</t>
  </si>
  <si>
    <t>0014P00003SGWPo</t>
  </si>
  <si>
    <t>INSTITUTO PRIMEIRO ESTÁGIO DE ESPORTE CULTURA E EDUCAÇÃO</t>
  </si>
  <si>
    <t>PRIMEIRO ESTÁGIO</t>
  </si>
  <si>
    <t>34.929.502/0001-13</t>
  </si>
  <si>
    <t>Hugo Deleon Da Silva Monteiro</t>
  </si>
  <si>
    <t>institutoprimeiroestagioce@gmail.com</t>
  </si>
  <si>
    <t>(88)9272-8216</t>
  </si>
  <si>
    <t>Rua Teixeira de Freitas</t>
  </si>
  <si>
    <t>Quixeramobim</t>
  </si>
  <si>
    <t>Av. Geraldo Bizarria de Carvalho s/n Conj. Industrial
Rua Dr. Gastão Falcão s/n Maravilha
Rua Antº. Pedro Santiago s/n Conj. Esperança
Rua Antonio Furtado Monteiro de Morais</t>
  </si>
  <si>
    <t>Humberto Bezerra
Conjunto Esperança
Sabonete
Jardim Norte1
Jardim Norte 2
Lagoa Cercada
Cohab
Vila Betania</t>
  </si>
  <si>
    <t>100% doação pessoa fisica</t>
  </si>
  <si>
    <t>&lt;a href="javascript:openPopupFocus%28%27https%3A%2F%2Fwww.instagram.com%2Finstitutoprimeiroestagio%2F%27%2C%20%27_blank%27%2C%20620%2C%20430%2C%20%27width%3D620%2Cheight%3D430%2Cresizable%3Dyes%2Ctoolbar%3Dyes%2Cstatus%3Dyes%2Cscrollbars%3Dyes%2Cmenubar%3Dyes%2Cdirectories%3Dyes%2Clocation%3Dyes%2Cdependant%3Dno%27%2C%20false%2C%20true%29%3B" title="https://www.instagram.com/institutoprimeiroestagio/ (Nova janela)"&gt;https://www.instagram.com/institutoprimeiroestagio/&lt;/a&gt;</t>
  </si>
  <si>
    <t>&lt;a href="javascript:openPopupFocus%28%27https%3A%2F%2Fwww.facebook.com%2Finstitutoprimeiroestagio%27%2C%20%27_blank%27%2C%20620%2C%20430%2C%20%27width%3D620%2Cheight%3D430%2Cresizable%3Dyes%2Ctoolbar%3Dyes%2Cstatus%3Dyes%2Cscrollbars%3Dyes%2Cmenubar%3Dyes%2Cdirectories%3Dyes%2Clocation%3Dyes%2Cdependant%3Dno%27%2C%20false%2C%20true%29%3B" title="https://www.facebook.com/institutoprimeiroestagio (Nova janela)"&gt;https://www.facebook.com/institutoprimeiroestagio&lt;/a&gt;</t>
  </si>
  <si>
    <t>&lt;a href="javascript:openPopupFocus%28%27https%3A%2F%2Fdrive.google.com%2Fopen%3Fid%3D1MceTYEPCPj5RrwBSbVSkFM6Osh-nQ7kZ%27%2C%20%27_blank%27%2C%20620%2C%20430%2C%20%27width%3D620%2Cheight%3D430%2Cresizable%3Dyes%2Ctoolbar%3Dyes%2Cstatus%3Dyes%2Cscrollbars%3Dyes%2Cmenubar%3Dyes%2Cdirectories%3Dyes%2Clocation%3Dyes%2Cdependant%3Dno%27%2C%20false%2C%20true%29%3B" title="https://drive.google.com/open?id=1MceTYEPCPj5RrwBSbVSkFM6Osh-nQ7kZ (Nova janela)"&gt;https://drive.google.com/open?id=1MceTYEPCPj5RrwBSbVSkFM6Osh-nQ7kZ&lt;/a&gt;</t>
  </si>
  <si>
    <t>&lt;a href="javascript:openPopupFocus%28%27https%3A%2F%2Fdrive.google.com%2Fopen%3Fid%3D1OOkQXznv7DENrlfCdB_VjqoNNiHZrASq%27%2C%20%27_blank%27%2C%20620%2C%20430%2C%20%27width%3D620%2Cheight%3D430%2Cresizable%3Dyes%2Ctoolbar%3Dyes%2Cstatus%3Dyes%2Cscrollbars%3Dyes%2Cmenubar%3Dyes%2Cdirectories%3Dyes%2Clocation%3Dyes%2Cdependant%3Dno%27%2C%20false%2C%20true%29%3B" title="https://drive.google.com/open?id=1OOkQXznv7DENrlfCdB_VjqoNNiHZrASq (Nova janela)"&gt;https://drive.google.com/open?id=1OOkQXznv7DENrlfCdB_VjqoNNiHZrASq&lt;/a&gt;</t>
  </si>
  <si>
    <t>&lt;a href="javascript:openPopupFocus%28%27https%3A%2F%2Fdrive.google.com%2Fopen%3Fid%3D1CcJUSWmNH80b3L9C-ENH-88YOy69135K%27%2C%20%27_blank%27%2C%20620%2C%20430%2C%20%27width%3D620%2Cheight%3D430%2Cresizable%3Dyes%2Ctoolbar%3Dyes%2Cstatus%3Dyes%2Cscrollbars%3Dyes%2Cmenubar%3Dyes%2Cdirectories%3Dyes%2Clocation%3Dyes%2Cdependant%3Dno%27%2C%20false%2C%20true%29%3B" title="https://drive.google.com/open?id=1CcJUSWmNH80b3L9C-ENH-88YOy69135K (Nova janela)"&gt;https://drive.google.com/open?id=1CcJUSWmNH80b3L9C-ENH-88YOy69135K&lt;/a&gt;</t>
  </si>
  <si>
    <t>0014P00003SGWPp</t>
  </si>
  <si>
    <t>INSTITUTO AMARGEN</t>
  </si>
  <si>
    <t>AMARGEN</t>
  </si>
  <si>
    <t>41.159.241/0001-65</t>
  </si>
  <si>
    <t>Livia Silveira Sant'Anna</t>
  </si>
  <si>
    <t>instituto.amargen@gmail.com</t>
  </si>
  <si>
    <t>(32)9154-9234</t>
  </si>
  <si>
    <t>Professor Inacio Werneck</t>
  </si>
  <si>
    <t>Dom Bosco</t>
  </si>
  <si>
    <t>Juiz De Fora</t>
  </si>
  <si>
    <t>Com as atividades em geral e de forma completa em apenas 1. Mas já chegamos por meio de algumas ações a 45.</t>
  </si>
  <si>
    <t>["Negócio Social","Eventos/Ações para captação","Plataforma doação online  Pessoa Física","Projetos Específicos com Empresas"]</t>
  </si>
  <si>
    <t>0% doação online acabamos de criar a ferramenta no site ano 2020 - 1% negócio social 2% projetos específicos com empresas e 97% eventos e ações para captação</t>
  </si>
  <si>
    <t>&lt;a href="javascript:openPopupFocus%28%27https%3A%2F%2Finstitutoamargen.com.br%2F%27%2C%20%27_blank%27%2C%20620%2C%20430%2C%20%27width%3D620%2Cheight%3D430%2Cresizable%3Dyes%2Ctoolbar%3Dyes%2Cstatus%3Dyes%2Cscrollbars%3Dyes%2Cmenubar%3Dyes%2Cdirectories%3Dyes%2Clocation%3Dyes%2Cdependant%3Dno%27%2C%20false%2C%20true%29%3B" title="https://institutoamargen.com.br/ (Nova janela)"&gt;https://institutoamargen.com.br/&lt;/a&gt;</t>
  </si>
  <si>
    <t>&lt;a href="javascript:openPopupFocus%28%27https%3A%2F%2Fwww.instagram.com%2Finstitutoamargen%2F%3Fhl%3Dpt-br%27%2C%20%27_blank%27%2C%20620%2C%20430%2C%20%27width%3D620%2Cheight%3D430%2Cresizable%3Dyes%2Ctoolbar%3Dyes%2Cstatus%3Dyes%2Cscrollbars%3Dyes%2Cmenubar%3Dyes%2Cdirectories%3Dyes%2Clocation%3Dyes%2Cdependant%3Dno%27%2C%20false%2C%20true%29%3B" title="https://www.instagram.com/institutoamargen/?hl=pt-br (Nova janela)"&gt;https://www.instagram.com/institutoamargen/?hl=pt-br&lt;/a&gt;</t>
  </si>
  <si>
    <t>&lt;a href="javascript:openPopupFocus%28%27https%3A%2F%2Fwww.facebook.com%2FInstitutoAmargen%27%2C%20%27_blank%27%2C%20620%2C%20430%2C%20%27width%3D620%2Cheight%3D430%2Cresizable%3Dyes%2Ctoolbar%3Dyes%2Cstatus%3Dyes%2Cscrollbars%3Dyes%2Cmenubar%3Dyes%2Cdirectories%3Dyes%2Clocation%3Dyes%2Cdependant%3Dno%27%2C%20false%2C%20true%29%3B" title="https://www.facebook.com/InstitutoAmargen (Nova janela)"&gt;https://www.facebook.com/InstitutoAmargen&lt;/a&gt;</t>
  </si>
  <si>
    <t>&lt;a href="javascript:openPopupFocus%28%27https%3A%2F%2Fwww.youtube.com%2Fchannel%2FUCRHKS3KvsscSg1go8dCm8Dw%27%2C%20%27_blank%27%2C%20620%2C%20430%2C%20%27width%3D620%2Cheight%3D430%2Cresizable%3Dyes%2Ctoolbar%3Dyes%2Cstatus%3Dyes%2Cscrollbars%3Dyes%2Cmenubar%3Dyes%2Cdirectories%3Dyes%2Clocation%3Dyes%2Cdependant%3Dno%27%2C%20false%2C%20true%29%3B" title="https://www.youtube.com/channel/UCRHKS3KvsscSg1go8dCm8Dw (Nova janela)"&gt;https://www.youtube.com/channel/UCRHKS3KvsscSg1go8dCm8Dw&lt;/a&gt;</t>
  </si>
  <si>
    <t>&lt;a href="javascript:openPopupFocus%28%27https%3A%2F%2Fdrive.google.com%2Fopen%3Fid%3D1-B5-NMAr4i6bh7fxIO17LXUa7KLHCXFd%27%2C%20%27_blank%27%2C%20620%2C%20430%2C%20%27width%3D620%2Cheight%3D430%2Cresizable%3Dyes%2Ctoolbar%3Dyes%2Cstatus%3Dyes%2Cscrollbars%3Dyes%2Cmenubar%3Dyes%2Cdirectories%3Dyes%2Clocation%3Dyes%2Cdependant%3Dno%27%2C%20false%2C%20true%29%3B" title="https://drive.google.com/open?id=1-B5-NMAr4i6bh7fxIO17LXUa7KLHCXFd (Nova janela)"&gt;https://drive.google.com/open?id=1-B5-NMAr4i6bh7fxIO17LXUa7KLHCXFd&lt;/a&gt;</t>
  </si>
  <si>
    <t>&lt;a href="javascript:openPopupFocus%28%27https%3A%2F%2Fdrive.google.com%2Fopen%3Fid%3D1BzL8kurLscbFb1m8HQimiTcaqw7JhXvo%27%2C%20%27_blank%27%2C%20620%2C%20430%2C%20%27width%3D620%2Cheight%3D430%2Cresizable%3Dyes%2Ctoolbar%3Dyes%2Cstatus%3Dyes%2Cscrollbars%3Dyes%2Cmenubar%3Dyes%2Cdirectories%3Dyes%2Clocation%3Dyes%2Cdependant%3Dno%27%2C%20false%2C%20true%29%3B" title="https://drive.google.com/open?id=1BzL8kurLscbFb1m8HQimiTcaqw7JhXvo (Nova janela)"&gt;https://drive.google.com/open?id=1BzL8kurLscbFb1m8HQimiTcaqw7JhXvo&lt;/a&gt;</t>
  </si>
  <si>
    <t>&lt;a href="javascript:openPopupFocus%28%27https%3A%2F%2Fdrive.google.com%2Fopen%3Fid%3D1LqS2Eea9yx2gW22mHDhp14zhpFuxcT0F%27%2C%20%27_blank%27%2C%20620%2C%20430%2C%20%27width%3D620%2Cheight%3D430%2Cresizable%3Dyes%2Ctoolbar%3Dyes%2Cstatus%3Dyes%2Cscrollbars%3Dyes%2Cmenubar%3Dyes%2Cdirectories%3Dyes%2Clocation%3Dyes%2Cdependant%3Dno%27%2C%20false%2C%20true%29%3B" title="https://drive.google.com/open?id=1LqS2Eea9yx2gW22mHDhp14zhpFuxcT0F (Nova janela)"&gt;https://drive.google.com/open?id=1LqS2Eea9yx2gW22mHDhp14zhpFuxcT0F&lt;/a&gt;</t>
  </si>
  <si>
    <t>&lt;a href="javascript:openPopupFocus%28%27https%3A%2F%2Fdrive.google.com%2Fopen%3Fid%3D17sXkOKJLIM_ItstVT7wqEflL9K1JMZ_V%27%2C%20%27_blank%27%2C%20620%2C%20430%2C%20%27width%3D620%2Cheight%3D430%2Cresizable%3Dyes%2Ctoolbar%3Dyes%2Cstatus%3Dyes%2Cscrollbars%3Dyes%2Cmenubar%3Dyes%2Cdirectories%3Dyes%2Clocation%3Dyes%2Cdependant%3Dno%27%2C%20false%2C%20true%29%3B" title="https://drive.google.com/open?id=17sXkOKJLIM_ItstVT7wqEflL9K1JMZ_V (Nova janela)"&gt;https://drive.google.com/open?id=17sXkOKJLIM_ItstVT7wqEflL9K1JMZ_V&lt;/a&gt;</t>
  </si>
  <si>
    <t>&lt;a href="javascript:openPopupFocus%28%27https%3A%2F%2Fdrive.google.com%2Fopen%3Fid%3D1yGIsV3uadx2VpWm8B9ICnqjl44R9dBLa%27%2C%20%27_blank%27%2C%20620%2C%20430%2C%20%27width%3D620%2Cheight%3D430%2Cresizable%3Dyes%2Ctoolbar%3Dyes%2Cstatus%3Dyes%2Cscrollbars%3Dyes%2Cmenubar%3Dyes%2Cdirectories%3Dyes%2Clocation%3Dyes%2Cdependant%3Dno%27%2C%20false%2C%20true%29%3B" title="https://drive.google.com/open?id=1yGIsV3uadx2VpWm8B9ICnqjl44R9dBLa (Nova janela)"&gt;https://drive.google.com/open?id=1yGIsV3uadx2VpWm8B9ICnqjl44R9dBLa&lt;/a&gt;</t>
  </si>
  <si>
    <t>&lt;a href="javascript:openPopupFocus%28%27https%3A%2F%2Fdrive.google.com%2Fopen%3Fid%3D1R7P1kKE1jU_3k5_CIFVmyVCsEmpsCG26%27%2C%20%27_blank%27%2C%20620%2C%20430%2C%20%27width%3D620%2Cheight%3D430%2Cresizable%3Dyes%2Ctoolbar%3Dyes%2Cstatus%3Dyes%2Cscrollbars%3Dyes%2Cmenubar%3Dyes%2Cdirectories%3Dyes%2Clocation%3Dyes%2Cdependant%3Dno%27%2C%20false%2C%20true%29%3B" title="https://drive.google.com/open?id=1R7P1kKE1jU_3k5_CIFVmyVCsEmpsCG26 (Nova janela)"&gt;https://drive.google.com/open?id=1R7P1kKE1jU_3k5_CIFVmyVCsEmpsCG26&lt;/a&gt;</t>
  </si>
  <si>
    <t>0014P00003SGWPq</t>
  </si>
  <si>
    <t>INSTITUTO MACUNAÍMA DE CULTURA - ESCOLA DE CIDADANIA</t>
  </si>
  <si>
    <t>MACUNAÍMA</t>
  </si>
  <si>
    <t>27.777.581/0001-29</t>
  </si>
  <si>
    <t>Rodrigo Mateus Zacarias Silva</t>
  </si>
  <si>
    <t>contato@institutomacunaima.org.br</t>
  </si>
  <si>
    <t>Rua Faisão</t>
  </si>
  <si>
    <t>Flávio Marques Lisboa</t>
  </si>
  <si>
    <t>Belo Horizonte Minas Gerais Brasil</t>
  </si>
  <si>
    <t>Vila Cemig Conjunto Esperança Ocupação Alto das Antenas</t>
  </si>
  <si>
    <t>100% leis de incentivo</t>
  </si>
  <si>
    <t>&lt;a href="javascript:openPopupFocus%28%27http%3A%2F%2Fwww.institutomacunaima.org.br%27%2C%20%27_blank%27%2C%20620%2C%20430%2C%20%27width%3D620%2Cheight%3D430%2Cresizable%3Dyes%2Ctoolbar%3Dyes%2Cstatus%3Dyes%2Cscrollbars%3Dyes%2Cmenubar%3Dyes%2Cdirectories%3Dyes%2Clocation%3Dyes%2Cdependant%3Dno%27%2C%20false%2C%20true%29%3B" title="http://www.institutomacunaima.org.br (Nova janela)"&gt;http://www.institutomacunaima.org.br&lt;/a&gt;</t>
  </si>
  <si>
    <t>&lt;a href="javascript:openPopupFocus%28%27http%3A%2F%2Finstagram.com%2Finstitutomacunaima%27%2C%20%27_blank%27%2C%20620%2C%20430%2C%20%27width%3D620%2Cheight%3D430%2Cresizable%3Dyes%2Ctoolbar%3Dyes%2Cstatus%3Dyes%2Cscrollbars%3Dyes%2Cmenubar%3Dyes%2Cdirectories%3Dyes%2Clocation%3Dyes%2Cdependant%3Dno%27%2C%20false%2C%20true%29%3B" title="http://instagram.com/institutomacunaima (Nova janela)"&gt;http://instagram.com/institutomacunaima&lt;/a&gt;</t>
  </si>
  <si>
    <t>&lt;a href="javascript:openPopupFocus%28%27http%3A%2F%2Ffacebook.com%2Finstitutomacunaima%27%2C%20%27_blank%27%2C%20620%2C%20430%2C%20%27width%3D620%2Cheight%3D430%2Cresizable%3Dyes%2Ctoolbar%3Dyes%2Cstatus%3Dyes%2Cscrollbars%3Dyes%2Cmenubar%3Dyes%2Cdirectories%3Dyes%2Clocation%3Dyes%2Cdependant%3Dno%27%2C%20false%2C%20true%29%3B" title="http://facebook.com/institutomacunaima (Nova janela)"&gt;http://facebook.com/institutomacunaima&lt;/a&gt;</t>
  </si>
  <si>
    <t>&lt;a href="javascript:openPopupFocus%28%27http%3A%2F%2Fyoutube.com%2Finstitutomacunaima%27%2C%20%27_blank%27%2C%20620%2C%20430%2C%20%27width%3D620%2Cheight%3D430%2Cresizable%3Dyes%2Ctoolbar%3Dyes%2Cstatus%3Dyes%2Cscrollbars%3Dyes%2Cmenubar%3Dyes%2Cdirectories%3Dyes%2Clocation%3Dyes%2Cdependant%3Dno%27%2C%20false%2C%20true%29%3B" title="http://youtube.com/institutomacunaima (Nova janela)"&gt;http://youtube.com/institutomacunaima&lt;/a&gt;</t>
  </si>
  <si>
    <t>&lt;a href="javascript:openPopupFocus%28%27https%3A%2F%2Fdrive.google.com%2Fopen%3Fid%3D1wcdu25VsnEuYsebUk7LbN5mu7BS9ZyiL%27%2C%20%27_blank%27%2C%20620%2C%20430%2C%20%27width%3D620%2Cheight%3D430%2Cresizable%3Dyes%2Ctoolbar%3Dyes%2Cstatus%3Dyes%2Cscrollbars%3Dyes%2Cmenubar%3Dyes%2Cdirectories%3Dyes%2Clocation%3Dyes%2Cdependant%3Dno%27%2C%20false%2C%20true%29%3B" title="https://drive.google.com/open?id=1wcdu25VsnEuYsebUk7LbN5mu7BS9ZyiL (Nova janela)"&gt;https://drive.google.com/open?id=1wcdu25VsnEuYsebUk7LbN5mu7BS9ZyiL&lt;/a&gt;</t>
  </si>
  <si>
    <t>&lt;a href="javascript:openPopupFocus%28%27https%3A%2F%2Fdrive.google.com%2Fopen%3Fid%3D17BOmYclpI93oeFsegncBFYBYUybNF3JB%27%2C%20%27_blank%27%2C%20620%2C%20430%2C%20%27width%3D620%2Cheight%3D430%2Cresizable%3Dyes%2Ctoolbar%3Dyes%2Cstatus%3Dyes%2Cscrollbars%3Dyes%2Cmenubar%3Dyes%2Cdirectories%3Dyes%2Clocation%3Dyes%2Cdependant%3Dno%27%2C%20false%2C%20true%29%3B" title="https://drive.google.com/open?id=17BOmYclpI93oeFsegncBFYBYUybNF3JB (Nova janela)"&gt;https://drive.google.com/open?id=17BOmYclpI93oeFsegncBFYBYUybNF3JB&lt;/a&gt;</t>
  </si>
  <si>
    <t>&lt;a href="javascript:openPopupFocus%28%27https%3A%2F%2Fdrive.google.com%2Fopen%3Fid%3D1BX27MtYvuhUxvrCEggHKkavJAvBmai2E%27%2C%20%27_blank%27%2C%20620%2C%20430%2C%20%27width%3D620%2Cheight%3D430%2Cresizable%3Dyes%2Ctoolbar%3Dyes%2Cstatus%3Dyes%2Cscrollbars%3Dyes%2Cmenubar%3Dyes%2Cdirectories%3Dyes%2Clocation%3Dyes%2Cdependant%3Dno%27%2C%20false%2C%20true%29%3B" title="https://drive.google.com/open?id=1BX27MtYvuhUxvrCEggHKkavJAvBmai2E (Nova janela)"&gt;https://drive.google.com/open?id=1BX27MtYvuhUxvrCEggHKkavJAvBmai2E&lt;/a&gt;</t>
  </si>
  <si>
    <t>&lt;a href="javascript:openPopupFocus%28%27https%3A%2F%2Fdrive.google.com%2Fopen%3Fid%3D1bLyXhnwx-OBOOvEaq0K4hmQ6zWo3fLcS%27%2C%20%27_blank%27%2C%20620%2C%20430%2C%20%27width%3D620%2Cheight%3D430%2Cresizable%3Dyes%2Ctoolbar%3Dyes%2Cstatus%3Dyes%2Cscrollbars%3Dyes%2Cmenubar%3Dyes%2Cdirectories%3Dyes%2Clocation%3Dyes%2Cdependant%3Dno%27%2C%20false%2C%20true%29%3B" title="https://drive.google.com/open?id=1bLyXhnwx-OBOOvEaq0K4hmQ6zWo3fLcS (Nova janela)"&gt;https://drive.google.com/open?id=1bLyXhnwx-OBOOvEaq0K4hmQ6zWo3fLcS&lt;/a&gt;</t>
  </si>
  <si>
    <t>&lt;a href="javascript:openPopupFocus%28%27https%3A%2F%2Fdrive.google.com%2Fopen%3Fid%3D1Dst932YocWf0lZge9MD8dDG8Dyna2DaA%27%2C%20%27_blank%27%2C%20620%2C%20430%2C%20%27width%3D620%2Cheight%3D430%2Cresizable%3Dyes%2Ctoolbar%3Dyes%2Cstatus%3Dyes%2Cscrollbars%3Dyes%2Cmenubar%3Dyes%2Cdirectories%3Dyes%2Clocation%3Dyes%2Cdependant%3Dno%27%2C%20false%2C%20true%29%3B" title="https://drive.google.com/open?id=1Dst932YocWf0lZge9MD8dDG8Dyna2DaA (Nova janela)"&gt;https://drive.google.com/open?id=1Dst932YocWf0lZge9MD8dDG8Dyna2DaA&lt;/a&gt;</t>
  </si>
  <si>
    <t>&lt;a href="javascript:openPopupFocus%28%27https%3A%2F%2Fdrive.google.com%2Fopen%3Fid%3D1yHodKd2VMhRsA943WrBuDOMuF--PpF9j%27%2C%20%27_blank%27%2C%20620%2C%20430%2C%20%27width%3D620%2Cheight%3D430%2Cresizable%3Dyes%2Ctoolbar%3Dyes%2Cstatus%3Dyes%2Cscrollbars%3Dyes%2Cmenubar%3Dyes%2Cdirectories%3Dyes%2Clocation%3Dyes%2Cdependant%3Dno%27%2C%20false%2C%20true%29%3B" title="https://drive.google.com/open?id=1yHodKd2VMhRsA943WrBuDOMuF--PpF9j (Nova janela)"&gt;https://drive.google.com/open?id=1yHodKd2VMhRsA943WrBuDOMuF--PpF9j&lt;/a&gt;</t>
  </si>
  <si>
    <t>&lt;a href="javascript:openPopupFocus%28%27https%3A%2F%2Fdrive.google.com%2Fopen%3Fid%3D162XIodiGm4DMXdDv77LmQ6D3DO-c8DAn%27%2C%20%27_blank%27%2C%20620%2C%20430%2C%20%27width%3D620%2Cheight%3D430%2Cresizable%3Dyes%2Ctoolbar%3Dyes%2Cstatus%3Dyes%2Cscrollbars%3Dyes%2Cmenubar%3Dyes%2Cdirectories%3Dyes%2Clocation%3Dyes%2Cdependant%3Dno%27%2C%20false%2C%20true%29%3B" title="https://drive.google.com/open?id=162XIodiGm4DMXdDv77LmQ6D3DO-c8DAn (Nova janela)"&gt;https://drive.google.com/open?id=162XIodiGm4DMXdDv77LmQ6D3DO-c8DAn&lt;/a&gt;</t>
  </si>
  <si>
    <t>0014P00003SGWPr</t>
  </si>
  <si>
    <t>INSTITUTO CASA DE BARRO - CULTURA ARTE EDUCAÇÃO</t>
  </si>
  <si>
    <t>CASA DE BARRO</t>
  </si>
  <si>
    <t>07.552.020/0001-14</t>
  </si>
  <si>
    <t>Luísa Mahin Araújo Lima Do Nascimento</t>
  </si>
  <si>
    <t>casadebarro@gmail.com</t>
  </si>
  <si>
    <t>(73)9866-2998</t>
  </si>
  <si>
    <t>Avenida Pedro Gomes</t>
  </si>
  <si>
    <t>Serra Grande (distrito)</t>
  </si>
  <si>
    <t>Cachoeira</t>
  </si>
  <si>
    <t>Rua Ana Nery 16. Centro. Cachoeira/BA. CEP: 44300-000</t>
  </si>
  <si>
    <t>Moradores de favelas. Povos Indígenas. Quilombolas. Afrodescendentes</t>
  </si>
  <si>
    <t>Iguape (quilombola/Cachoeira) Rosarinho (favela/Cachoeira) Misericórdia (favela/São Félix) Bairro Novo (favela/Serra Grande) Tororó (quilombola/Cachoeira)</t>
  </si>
  <si>
    <t>Atuamos nas cidades de Cachoeira e São Félix (Recôncavo da Bahia) Uruçuca Itacaré e Ilhéus (Sul da Bahia). O Recôncavo é marcado pela presença negra-quilombola sendo um território que nasceu no período escravista do Brasil. O Sul é de forte presença indí...</t>
  </si>
  <si>
    <t>100% editais</t>
  </si>
  <si>
    <t>&lt;a href="javascript:openPopupFocus%28%27http%3A%2F%2Fwww.casadebarro.org%27%2C%20%27_blank%27%2C%20620%2C%20430%2C%20%27width%3D620%2Cheight%3D430%2Cresizable%3Dyes%2Ctoolbar%3Dyes%2Cstatus%3Dyes%2Cscrollbars%3Dyes%2Cmenubar%3Dyes%2Cdirectories%3Dyes%2Clocation%3Dyes%2Cdependant%3Dno%27%2C%20false%2C%20true%29%3B" title="http://www.casadebarro.org (Nova janela)"&gt;http://www.casadebarro.org&lt;/a&gt;</t>
  </si>
  <si>
    <t>&lt;a href="javascript:openPopupFocus%28%27http%3A%2F%2Fwww.instagram.com%2Fcasadebarro%2F%27%2C%20%27_blank%27%2C%20620%2C%20430%2C%20%27width%3D620%2Cheight%3D430%2Cresizable%3Dyes%2Ctoolbar%3Dyes%2Cstatus%3Dyes%2Cscrollbars%3Dyes%2Cmenubar%3Dyes%2Cdirectories%3Dyes%2Clocation%3Dyes%2Cdependant%3Dno%27%2C%20false%2C%20true%29%3B" title="http://www.instagram.com/casadebarro/ (Nova janela)"&gt;http://www.instagram.com/casadebarro/&lt;/a&gt;</t>
  </si>
  <si>
    <t>&lt;a href="javascript:openPopupFocus%28%27http%3A%2F%2Fwww.facebook.com%2Fcasadebarro.org%27%2C%20%27_blank%27%2C%20620%2C%20430%2C%20%27width%3D620%2Cheight%3D430%2Cresizable%3Dyes%2Ctoolbar%3Dyes%2Cstatus%3Dyes%2Cscrollbars%3Dyes%2Cmenubar%3Dyes%2Cdirectories%3Dyes%2Clocation%3Dyes%2Cdependant%3Dno%27%2C%20false%2C%20true%29%3B" title="http://www.facebook.com/casadebarro.org (Nova janela)"&gt;http://www.facebook.com/casadebarro.org&lt;/a&gt;</t>
  </si>
  <si>
    <t>&lt;a href="javascript:openPopupFocus%28%27http%3A%2F%2Fwww.youtube.com%2Fcasadebarrocae%27%2C%20%27_blank%27%2C%20620%2C%20430%2C%20%27width%3D620%2Cheight%3D430%2Cresizable%3Dyes%2Ctoolbar%3Dyes%2Cstatus%3Dyes%2Cscrollbars%3Dyes%2Cmenubar%3Dyes%2Cdirectories%3Dyes%2Clocation%3Dyes%2Cdependant%3Dno%27%2C%20false%2C%20true%29%3B" title="http://www.youtube.com/casadebarrocae (Nova janela)"&gt;http://www.youtube.com/casadebarrocae&lt;/a&gt;</t>
  </si>
  <si>
    <t>&lt;a href="javascript:openPopupFocus%28%27https%3A%2F%2Fdrive.google.com%2Fopen%3Fid%3D1RiHQxdwAk-txJD9advEhDqYMzCumqo_p%27%2C%20%27_blank%27%2C%20620%2C%20430%2C%20%27width%3D620%2Cheight%3D430%2Cresizable%3Dyes%2Ctoolbar%3Dyes%2Cstatus%3Dyes%2Cscrollbars%3Dyes%2Cmenubar%3Dyes%2Cdirectories%3Dyes%2Clocation%3Dyes%2Cdependant%3Dno%27%2C%20false%2C%20true%29%3B" title="https://drive.google.com/open?id=1RiHQxdwAk-txJD9advEhDqYMzCumqo_p (Nova janela)"&gt;https://drive.google.com/open?id=1RiHQxdwAk-txJD9advEhDqYMzCumqo_p&lt;/a&gt;</t>
  </si>
  <si>
    <t>&lt;a href="javascript:openPopupFocus%28%27https%3A%2F%2Fdrive.google.com%2Fopen%3Fid%3D1fdrmR9UHSViC_eFadhOGfDhiKCx0Pz9F%27%2C%20%27_blank%27%2C%20620%2C%20430%2C%20%27width%3D620%2Cheight%3D430%2Cresizable%3Dyes%2Ctoolbar%3Dyes%2Cstatus%3Dyes%2Cscrollbars%3Dyes%2Cmenubar%3Dyes%2Cdirectories%3Dyes%2Clocation%3Dyes%2Cdependant%3Dno%27%2C%20false%2C%20true%29%3B" title="https://drive.google.com/open?id=1fdrmR9UHSViC_eFadhOGfDhiKCx0Pz9F (Nova janela)"&gt;https://drive.google.com/open?id=1fdrmR9UHSViC_eFadhOGfDhiKCx0Pz9F&lt;/a&gt;</t>
  </si>
  <si>
    <t>&lt;a href="javascript:openPopupFocus%28%27https%3A%2F%2Fdrive.google.com%2Fopen%3Fid%3D1yRLO1liAoUaFTX4LpM9LMRoZbIwDZSMS%27%2C%20%27_blank%27%2C%20620%2C%20430%2C%20%27width%3D620%2Cheight%3D430%2Cresizable%3Dyes%2Ctoolbar%3Dyes%2Cstatus%3Dyes%2Cscrollbars%3Dyes%2Cmenubar%3Dyes%2Cdirectories%3Dyes%2Clocation%3Dyes%2Cdependant%3Dno%27%2C%20false%2C%20true%29%3B" title="https://drive.google.com/open?id=1yRLO1liAoUaFTX4LpM9LMRoZbIwDZSMS (Nova janela)"&gt;https://drive.google.com/open?id=1yRLO1liAoUaFTX4LpM9LMRoZbIwDZSMS&lt;/a&gt;</t>
  </si>
  <si>
    <t>&lt;a href="javascript:openPopupFocus%28%27https%3A%2F%2Fdrive.google.com%2Fopen%3Fid%3D1xvUBM9QpxdAg8IEk1xCEQAWxseO2hX8S%20https%3A%2F%2Fdrive.google.com%2Fopen%3Fid%3D1SSNT-gYvtL66qBhzrh3y0xCrECuGukhY%27%2C%20%27_blank%27%2C%20620%2C%20430%2C%20%27width%3D620%2Cheight%3D430%2Cresizable%3Dyes%2Ctoolbar%3Dyes%2Cstatus%3Dyes%2Cscrollbars%3Dyes%2Cmenubar%3Dyes%2Cdirectories%3Dyes%2Clocation%3Dyes%2Cdependant%3Dno%27%2C%20false%2C%20true%29%3B" title="https://drive.google.com/open?id=1xvUBM9QpxdAg8IEk1xCEQAWxseO2hX8S https://drive.google.com/open?id=1SSNT-gYvtL66qBhzrh3y0xCrECuGukhY (Nova janela)"&gt;https://drive.google.com/open?id=1xvUBM9QpxdAg8IEk1xCEQAWxseO2hX8S https://drive.google.com/open?id=1SSNT-gYvtL66qBhzrh3y0xCrECuGukhY&lt;/a&gt;</t>
  </si>
  <si>
    <t>0014P00003SGWPs</t>
  </si>
  <si>
    <t>INSTITUTO MIGUEL FERNANDES TORRES</t>
  </si>
  <si>
    <t>MIGUEL FERNANDES</t>
  </si>
  <si>
    <t>05.356.048/0001-50</t>
  </si>
  <si>
    <t>Vanderlei Da Silveira Gouveia</t>
  </si>
  <si>
    <t>projetovemser@yahoo.com.br</t>
  </si>
  <si>
    <t>(31)8634-0926</t>
  </si>
  <si>
    <t>Rua Santo Antonio</t>
  </si>
  <si>
    <t>Ouro Branco</t>
  </si>
  <si>
    <t>Ginásio Poliesportivo</t>
  </si>
  <si>
    <t>["Esporte","Educação","Assistência Social","Cultura","Meio ambiente"]</t>
  </si>
  <si>
    <t>Crianças e adolescentes da zona urbana e rural em sua maioria em situação de vulnerabilidades sócio econômica</t>
  </si>
  <si>
    <t>Belvedere Luzia Augusta Bandeirantes São Francisco Alto Chalé Nova Serrana 1º de Maio Serra Verde Amália Rodrigues Bela Vista Flores Campo Novo Olaria Campo Grande João Gote Cristais Carreiras Castiliana Calado.</t>
  </si>
  <si>
    <t>Crianças e adolescentes da zona urbana e rural sem acesso a atividades esportivas culturais e ambientais no contra turno escolar devido o baixo renda financeira da família o que acarretava a permanência dos mesmos na rua ficando vulneráveis a diversas si...</t>
  </si>
  <si>
    <t>["Convênio Público","Eventos/Ações para captação","Projetos Específicos com Empresas","Editais"]</t>
  </si>
  <si>
    <t>Convênio Público 5931% Editais 3250% Eventos/Ações para captação 597% Projetos específicos para empresa 220%</t>
  </si>
  <si>
    <t>&lt;a href="javascript:openPopupFocus%28%27https%3A%2F%2Finstitutomiguelfernandestorres.blogspot.com%2F%27%2C%20%27_blank%27%2C%20620%2C%20430%2C%20%27width%3D620%2Cheight%3D430%2Cresizable%3Dyes%2Ctoolbar%3Dyes%2Cstatus%3Dyes%2Cscrollbars%3Dyes%2Cmenubar%3Dyes%2Cdirectories%3Dyes%2Clocation%3Dyes%2Cdependant%3Dno%27%2C%20false%2C%20true%29%3B" title="https://institutomiguelfernandestorres.blogspot.com/ (Nova janela)"&gt;https://institutomiguelfernandestorres.blogspot.com/&lt;/a&gt;</t>
  </si>
  <si>
    <t>&lt;a href="javascript:openPopupFocus%28%27https%3A%2F%2Fwww.instagram.com%2Finstmiguelftorres%2F%27%2C%20%27_blank%27%2C%20620%2C%20430%2C%20%27width%3D620%2Cheight%3D430%2Cresizable%3Dyes%2Ctoolbar%3Dyes%2Cstatus%3Dyes%2Cscrollbars%3Dyes%2Cmenubar%3Dyes%2Cdirectories%3Dyes%2Clocation%3Dyes%2Cdependant%3Dno%27%2C%20false%2C%20true%29%3B" title="https://www.instagram.com/instmiguelftorres/ (Nova janela)"&gt;https://www.instagram.com/instmiguelftorres/&lt;/a&gt;</t>
  </si>
  <si>
    <t>&lt;a href="javascript:openPopupFocus%28%27https%3A%2F%2Fwww.facebook.com%2Finstmiguelftorres%2F%27%2C%20%27_blank%27%2C%20620%2C%20430%2C%20%27width%3D620%2Cheight%3D430%2Cresizable%3Dyes%2Ctoolbar%3Dyes%2Cstatus%3Dyes%2Cscrollbars%3Dyes%2Cmenubar%3Dyes%2Cdirectories%3Dyes%2Clocation%3Dyes%2Cdependant%3Dno%27%2C%20false%2C%20true%29%3B" title="https://www.facebook.com/instmiguelftorres/ (Nova janela)"&gt;https://www.facebook.com/instmiguelftorres/&lt;/a&gt;</t>
  </si>
  <si>
    <t>&lt;a href="javascript:openPopupFocus%28%27https%3A%2F%2Fyoutube.com%2Fchannel%2FUCkxZYOkyETIxcWzgBw3Flaw%27%2C%20%27_blank%27%2C%20620%2C%20430%2C%20%27width%3D620%2Cheight%3D430%2Cresizable%3Dyes%2Ctoolbar%3Dyes%2Cstatus%3Dyes%2Cscrollbars%3Dyes%2Cmenubar%3Dyes%2Cdirectories%3Dyes%2Clocation%3Dyes%2Cdependant%3Dno%27%2C%20false%2C%20true%29%3B" title="https://youtube.com/channel/UCkxZYOkyETIxcWzgBw3Flaw (Nova janela)"&gt;https://youtube.com/channel/UCkxZYOkyETIxcWzgBw3Flaw&lt;/a&gt;</t>
  </si>
  <si>
    <t>https://www.linkedin.com/company/institutomiguelfernandest%C3%B4rres</t>
  </si>
  <si>
    <t>0014P00003SGWPt</t>
  </si>
  <si>
    <t>ASSOCIAÇÃO DESPERTAR SABEDORIA NO SOL NASCETE</t>
  </si>
  <si>
    <t>DESPERTAR</t>
  </si>
  <si>
    <t>07.287.987/0001-46</t>
  </si>
  <si>
    <t>Margarida Minervina Da Silva</t>
  </si>
  <si>
    <t>margaridash@gmail.com</t>
  </si>
  <si>
    <t>(61)3461-5611</t>
  </si>
  <si>
    <t>SHSN Condomínio Genesis Quadra f</t>
  </si>
  <si>
    <t>Sol Nascente</t>
  </si>
  <si>
    <t>Sol Nascente/Por Do Sol</t>
  </si>
  <si>
    <t>Moradores de favelas. Crianças. jovens e adolescentes que precisem se socializar e estudar</t>
  </si>
  <si>
    <t>Sol Nascente Por do Sol QNQ QNR P. Norte.</t>
  </si>
  <si>
    <t>Atendemos crianças jovens e adultos na área educacional especificamente no Sol Nascente Trecho III. Já na área assistencial o atendimento e maior e vai para muitas outras R.As (Regiões Administrativas)</t>
  </si>
  <si>
    <t>100% de valores de doação</t>
  </si>
  <si>
    <t>&lt;a href="javascript:openPopupFocus%28%27https%3A%2F%2Finstagram.com%2Fassociacaodespertarsabedoria%3Futm_medium%3Dcopy_link%27%2C%20%27_blank%27%2C%20620%2C%20430%2C%20%27width%3D620%2Cheight%3D430%2Cresizable%3Dyes%2Ctoolbar%3Dyes%2Cstatus%3Dyes%2Cscrollbars%3Dyes%2Cmenubar%3Dyes%2Cdirectories%3Dyes%2Clocation%3Dyes%2Cdependant%3Dno%27%2C%20false%2C%20true%29%3B" title="https://instagram.com/associacaodespertarsabedoria?utm_medium=copy_link (Nova janela)"&gt;https://instagram.com/associacaodespertarsabedoria?utm_medium=copy_link&lt;/a&gt;</t>
  </si>
  <si>
    <t>&lt;a href="javascript:openPopupFocus%28%27https%3A%2F%2Fwww.facebook.com%2Fassociacaodes%27%2C%20%27_blank%27%2C%20620%2C%20430%2C%20%27width%3D620%2Cheight%3D430%2Cresizable%3Dyes%2Ctoolbar%3Dyes%2Cstatus%3Dyes%2Cscrollbars%3Dyes%2Cmenubar%3Dyes%2Cdirectories%3Dyes%2Clocation%3Dyes%2Cdependant%3Dno%27%2C%20false%2C%20true%29%3B" title="https://www.facebook.com/associacaodes (Nova janela)"&gt;https://www.facebook.com/associacaodes&lt;/a&gt;</t>
  </si>
  <si>
    <t>&lt;a href="javascript:openPopupFocus%28%27https%3A%2F%2Fwww.youtube.com%2Fchannel%2FUC7yd6oOWzkrTPMYaRCRMNHA%27%2C%20%27_blank%27%2C%20620%2C%20430%2C%20%27width%3D620%2Cheight%3D430%2Cresizable%3Dyes%2Ctoolbar%3Dyes%2Cstatus%3Dyes%2Cscrollbars%3Dyes%2Cmenubar%3Dyes%2Cdirectories%3Dyes%2Clocation%3Dyes%2Cdependant%3Dno%27%2C%20false%2C%20true%29%3B" title="https://www.youtube.com/channel/UC7yd6oOWzkrTPMYaRCRMNHA (Nova janela)"&gt;https://www.youtube.com/channel/UC7yd6oOWzkrTPMYaRCRMNHA&lt;/a&gt;</t>
  </si>
  <si>
    <t>&lt;a href="javascript:openPopupFocus%28%27https%3A%2F%2Fdrive.google.com%2Fopen%3Fid%3D1mBnSieXTsfVM4rS3RkaRnY_QKb8Qvg1O%27%2C%20%27_blank%27%2C%20620%2C%20430%2C%20%27width%3D620%2Cheight%3D430%2Cresizable%3Dyes%2Ctoolbar%3Dyes%2Cstatus%3Dyes%2Cscrollbars%3Dyes%2Cmenubar%3Dyes%2Cdirectories%3Dyes%2Clocation%3Dyes%2Cdependant%3Dno%27%2C%20false%2C%20true%29%3B" title="https://drive.google.com/open?id=1mBnSieXTsfVM4rS3RkaRnY_QKb8Qvg1O (Nova janela)"&gt;https://drive.google.com/open?id=1mBnSieXTsfVM4rS3RkaRnY_QKb8Qvg1O&lt;/a&gt;</t>
  </si>
  <si>
    <t>&lt;a href="javascript:openPopupFocus%28%27https%3A%2F%2Fdrive.google.com%2Fopen%3Fid%3D1nI4jnrFOsoc9XWDYV7tjEbwy_NWz1-a_%27%2C%20%27_blank%27%2C%20620%2C%20430%2C%20%27width%3D620%2Cheight%3D430%2Cresizable%3Dyes%2Ctoolbar%3Dyes%2Cstatus%3Dyes%2Cscrollbars%3Dyes%2Cmenubar%3Dyes%2Cdirectories%3Dyes%2Clocation%3Dyes%2Cdependant%3Dno%27%2C%20false%2C%20true%29%3B" title="https://drive.google.com/open?id=1nI4jnrFOsoc9XWDYV7tjEbwy_NWz1-a_ (Nova janela)"&gt;https://drive.google.com/open?id=1nI4jnrFOsoc9XWDYV7tjEbwy_NWz1-a_&lt;/a&gt;</t>
  </si>
  <si>
    <t>&lt;a href="javascript:openPopupFocus%28%27https%3A%2F%2Fdrive.google.com%2Fopen%3Fid%3D1VDpHK0_fIqrcFFDiC0KzZu2hu0YlqOoS%27%2C%20%27_blank%27%2C%20620%2C%20430%2C%20%27width%3D620%2Cheight%3D430%2Cresizable%3Dyes%2Ctoolbar%3Dyes%2Cstatus%3Dyes%2Cscrollbars%3Dyes%2Cmenubar%3Dyes%2Cdirectories%3Dyes%2Clocation%3Dyes%2Cdependant%3Dno%27%2C%20false%2C%20true%29%3B" title="https://drive.google.com/open?id=1VDpHK0_fIqrcFFDiC0KzZu2hu0YlqOoS (Nova janela)"&gt;https://drive.google.com/open?id=1VDpHK0_fIqrcFFDiC0KzZu2hu0YlqOoS&lt;/a&gt;</t>
  </si>
  <si>
    <t>&lt;a href="javascript:openPopupFocus%28%27https%3A%2F%2Fdrive.google.com%2Fopen%3Fid%3D11tOU3JK6hhAA8DkFx6-R5rE2GPVe6_zP%27%2C%20%27_blank%27%2C%20620%2C%20430%2C%20%27width%3D620%2Cheight%3D430%2Cresizable%3Dyes%2Ctoolbar%3Dyes%2Cstatus%3Dyes%2Cscrollbars%3Dyes%2Cmenubar%3Dyes%2Cdirectories%3Dyes%2Clocation%3Dyes%2Cdependant%3Dno%27%2C%20false%2C%20true%29%3B" title="https://drive.google.com/open?id=11tOU3JK6hhAA8DkFx6-R5rE2GPVe6_zP (Nova janela)"&gt;https://drive.google.com/open?id=11tOU3JK6hhAA8DkFx6-R5rE2GPVe6_zP&lt;/a&gt;</t>
  </si>
  <si>
    <t>&lt;a href="javascript:openPopupFocus%28%27https%3A%2F%2Fdrive.google.com%2Fopen%3Fid%3D11BXYkupCdn-IrFXMZkMu0KKcOvCiKKhe%20https%3A%2F%2Fdrive.google.com%2Fopen%3Fid%3D1rmlH7AEUEk-gGzv-jsgAG5bhHtElVk0Y%20https%3A%2F%2Fdrive.google.com%2Fopen%3Fid%3D1ETXJ7nYQfYNmxiN2_cLVHhkGfsZ-T60w%27%2C%20%27_blank%27%2C%20620%2C%20430%2C%20%27width%3D620%2Cheight%3D430%2Cresizable%3Dyes%2Ctoolbar%3Dyes%2Cstatus%3Dyes%2Cscrollbars%3Dyes%2Cmenubar%3Dyes%2Cdirectories%3Dyes%2Clocation%3Dyes%2Cdependant%3Dno%27%2C%20false%2C%20true%29%3B" title="https://drive.google.com/open?id=11BXYkupCdn-IrFXMZkMu0KKcOvCiKKhe https://drive.google.com/open?id=1rmlH7AEUEk-gGzv-jsgAG5bhHtElVk0Y https://drive.google.com/open?id=1ETXJ7nYQfYNmxiN2_cLVHhkGfsZ-T60w (Nova janela)"&gt;https://drive.google.com/open?id=11BXYkupCdn-IrFXMZkMu0KKcOvCiKKhe https://drive.google.com/open?id=1rmlH7AEUEk-gGzv-jsgAG5bhHtElVk0Y https://drive.google.com/open?id=1ETXJ7nYQfYNmxiN2_cLVHhkGfsZ-T60w&lt;/a&gt;</t>
  </si>
  <si>
    <t>0014P00003SGWFs</t>
  </si>
  <si>
    <t>PROJETO BODYBOARD PARÁ</t>
  </si>
  <si>
    <t>BODYBOARD PARÁ</t>
  </si>
  <si>
    <t>Alexandra Dos Santos Ereiro</t>
  </si>
  <si>
    <t>xandinha_pororoca@hotmail.com</t>
  </si>
  <si>
    <t>(91)8239-6686</t>
  </si>
  <si>
    <t>Conjunto maguari alameda</t>
  </si>
  <si>
    <t>Coqueiro</t>
  </si>
  <si>
    <t>Belém</t>
  </si>
  <si>
    <t>Secundária</t>
  </si>
  <si>
    <t>Moradores de favelas. Ribeirinhos</t>
  </si>
  <si>
    <t>Urubuoca Guarani</t>
  </si>
  <si>
    <t>Mães dos alunos</t>
  </si>
  <si>
    <t>&lt;a href="javascript:openPopupFocus%28%27https%3A%2F%2Finstagram.com%2Fprojetobodyboardpara%3Futm_medium%3Dcopy_link%27%2C%20%27_blank%27%2C%20620%2C%20430%2C%20%27width%3D620%2Cheight%3D430%2Cresizable%3Dyes%2Ctoolbar%3Dyes%2Cstatus%3Dyes%2Cscrollbars%3Dyes%2Cmenubar%3Dyes%2Cdirectories%3Dyes%2Clocation%3Dyes%2Cdependant%3Dno%27%2C%20false%2C%20true%29%3B" title="https://instagram.com/projetobodyboardpara?utm_medium=copy_link (Nova janela)"&gt;https://instagram.com/projetobodyboardpara?utm_medium=copy_link&lt;/a&gt;</t>
  </si>
  <si>
    <t>&lt;a href="javascript:openPopupFocus%28%27https%3A%2F%2Fl.instagram.com%2F%3Fu%3Dhttps%253A%252F%252Fm.facebook.com%252Fprojetobodyboardpara%252F%253Fref%253Dbookmarks%26e%3DATO1k_MIeNJibr-1SYF8-pyPejAdyo2g1XkNaHEYoxX2AIY-SwyN5vLnGi4UyJXJ-egV3aIx9fKfqVaR-tFajT81bZE86SKPFv7rLA%26s%3D1%27%2C%20%27_blank%27%2C%20620%2C%20430%2C%20%27width%3D620%2Cheight%3D430%2Cresizable%3Dyes%2Ctoolbar%3Dyes%2Cstatus%3Dyes%2Cscrollbars%3Dyes%2Cmenubar%3Dyes%2Cdirectories%3Dyes%2Clocation%3Dyes%2Cdependant%3Dno%27%2C%20false%2C%20true%29%3B" title="https://l.instagram.com/?u=https%3A%2F%2Fm.facebook.com%2Fprojetobodyboardpara%2F%3Fref%3Dbookmarks&amp;e=ATO1k_MIeNJibr-1SYF8-pyPejAdyo2g1XkNaHEYoxX2AIY-SwyN5vLnGi4UyJXJ-egV3aIx9fKfqVaR-tFajT81bZE86SKPFv7rLA&amp;s=1 (Nova janela)"&gt;https://l.instagram.com/?u=https%3A%2F%2Fm.facebook.com%2Fprojetobodyboardpara%2F%3Fref%3Dbookmarks&amp;e=ATO1k_MIeNJibr-1SYF8-pyPejAdyo2g1XkNaHEYoxX2AIY-SwyN5vLnGi4UyJXJ-egV3aIx9fKfqVaR-tFajT81bZE86SKPFv7rLA&amp;s=1&lt;/a&gt;</t>
  </si>
  <si>
    <t>https://l.instagram.com/?u=https%3A%2F%2Fm.facebook.com%2Fprojetobodyboardpara%2F%3Fref%3Dbookmarks&amp;e=ATO1k_MIeNJibr-1SYF8-pyPejAdyo2g1XkNaHEYoxX2AIY-SwyN5vLnGi4UyJXJ-egV3aIx9fKfqVaR-tFajT81bZE86SKPFv7rLA&amp;s=1</t>
  </si>
  <si>
    <t>&lt;a href="javascript:openPopupFocus%28%27https%3A%2F%2Fdrive.google.com%2Fopen%3Fid%3D1YSkRZsT8_LN6_qmnT5IkWQUfuMSBqPE2%27%2C%20%27_blank%27%2C%20620%2C%20430%2C%20%27width%3D620%2Cheight%3D430%2Cresizable%3Dyes%2Ctoolbar%3Dyes%2Cstatus%3Dyes%2Cscrollbars%3Dyes%2Cmenubar%3Dyes%2Cdirectories%3Dyes%2Clocation%3Dyes%2Cdependant%3Dno%27%2C%20false%2C%20true%29%3B" title="https://drive.google.com/open?id=1YSkRZsT8_LN6_qmnT5IkWQUfuMSBqPE2 (Nova janela)"&gt;https://drive.google.com/open?id=1YSkRZsT8_LN6_qmnT5IkWQUfuMSBqPE2&lt;/a&gt;</t>
  </si>
  <si>
    <t>0014P00003SGWFq</t>
  </si>
  <si>
    <t>ASSOCIAÇÃO TINGUI</t>
  </si>
  <si>
    <t>TINGUI</t>
  </si>
  <si>
    <t>03.235.662/0001-39</t>
  </si>
  <si>
    <t>Kátia Da Costa Santos Ferreira</t>
  </si>
  <si>
    <t>ajenai.9202@hotmail.com</t>
  </si>
  <si>
    <t>(33)9819-0723</t>
  </si>
  <si>
    <t>Rua Padre Willy</t>
  </si>
  <si>
    <t>Jenipapo De Minas</t>
  </si>
  <si>
    <t>["Cultura","Empreendedorismo"]</t>
  </si>
  <si>
    <t>["Adolescentes (12 aos 18 anos)","Adultos","Jovens (18 aos 24 anos)"]</t>
  </si>
  <si>
    <t>Quilombolas. Afrodescendentes. Comunidades rurais</t>
  </si>
  <si>
    <t>Curtume- Jenipapo de Minas
Bosque- Jenipapo de Minas
Santana- Jenipapo de Minas
Agrovila- Jenipapo de Minas
Ribeirão de Areia- Jenipapo de Minas
Tocoiós- Francisco Badaró
Empoeira- Francisco Badaró
São João de Baixo- Francisco Badaró
Poções e Alves- Chap...</t>
  </si>
  <si>
    <t>São comunidades rurais onde o êxodo rural temporário e permanente é muito forte</t>
  </si>
  <si>
    <t>["Negócio Social","Convênio Público","Eventos/Ações para captação","Editais"]</t>
  </si>
  <si>
    <t>Negócio Social - 37%, Convênio Público- 34%, Edital- 24%, Eventos/Ações para Captação- 5%</t>
  </si>
  <si>
    <t>&lt;a href="javascript:openPopupFocus%28%27https%3A%2F%2Fwww.ajenai.org.br%2F%27%2C%20%27_blank%27%2C%20620%2C%20430%2C%20%27width%3D620%2Cheight%3D430%2Cresizable%3Dyes%2Ctoolbar%3Dyes%2Cstatus%3Dyes%2Cscrollbars%3Dyes%2Cmenubar%3Dyes%2Cdirectories%3Dyes%2Clocation%3Dyes%2Cdependant%3Dno%27%2C%20false%2C%20true%29%3B" title="https://www.ajenai.org.br/ (Nova janela)"&gt;https://www.ajenai.org.br/&lt;/a&gt;</t>
  </si>
  <si>
    <t>&lt;a href="javascript:openPopupFocus%28%27https%3A%2F%2Finstagram.com%2Fmulheresdojequitinhonha%3Futm_medium%3Dcopy_link%27%2C%20%27_blank%27%2C%20620%2C%20430%2C%20%27width%3D620%2Cheight%3D430%2Cresizable%3Dyes%2Ctoolbar%3Dyes%2Cstatus%3Dyes%2Cscrollbars%3Dyes%2Cmenubar%3Dyes%2Cdirectories%3Dyes%2Clocation%3Dyes%2Cdependant%3Dno%27%2C%20false%2C%20true%29%3B" title="https://instagram.com/mulheresdojequitinhonha?utm_medium=copy_link (Nova janela)"&gt;https://instagram.com/mulheresdojequitinhonha?utm_medium=copy_link&lt;/a&gt;</t>
  </si>
  <si>
    <t>&lt;a href="javascript:openPopupFocus%28%27https%3A%2F%2Fwww.facebook.com%2Fmulheresdojequitinhonha%2F%27%2C%20%27_blank%27%2C%20620%2C%20430%2C%20%27width%3D620%2Cheight%3D430%2Cresizable%3Dyes%2Ctoolbar%3Dyes%2Cstatus%3Dyes%2Cscrollbars%3Dyes%2Cmenubar%3Dyes%2Cdirectories%3Dyes%2Clocation%3Dyes%2Cdependant%3Dno%27%2C%20false%2C%20true%29%3B" title="https://www.facebook.com/mulheresdojequitinhonha/ (Nova janela)"&gt;https://www.facebook.com/mulheresdojequitinhonha/&lt;/a&gt;</t>
  </si>
  <si>
    <t>&lt;a href="javascript:openPopupFocus%28%27https%3A%2F%2Fwww.youtube.com%2Fchannel%2FUCGGsjMyKcbStiNzBIC7OJYQ%27%2C%20%27_blank%27%2C%20620%2C%20430%2C%20%27width%3D620%2Cheight%3D430%2Cresizable%3Dyes%2Ctoolbar%3Dyes%2Cstatus%3Dyes%2Cscrollbars%3Dyes%2Cmenubar%3Dyes%2Cdirectories%3Dyes%2Clocation%3Dyes%2Cdependant%3Dno%27%2C%20false%2C%20true%29%3B" title="https://www.youtube.com/channel/UCGGsjMyKcbStiNzBIC7OJYQ (Nova janela)"&gt;https://www.youtube.com/channel/UCGGsjMyKcbStiNzBIC7OJYQ&lt;/a&gt;</t>
  </si>
  <si>
    <t>&lt;a href="javascript:openPopupFocus%28%27https%3A%2F%2Fdrive.google.com%2Fopen%3Fid%3D1MHL8IXooCfsQWmdwwGsyYSOSfTFFgoti%27%2C%20%27_blank%27%2C%20620%2C%20430%2C%20%27width%3D620%2Cheight%3D430%2Cresizable%3Dyes%2Ctoolbar%3Dyes%2Cstatus%3Dyes%2Cscrollbars%3Dyes%2Cmenubar%3Dyes%2Cdirectories%3Dyes%2Clocation%3Dyes%2Cdependant%3Dno%27%2C%20false%2C%20true%29%3B" title="https://drive.google.com/open?id=1MHL8IXooCfsQWmdwwGsyYSOSfTFFgoti (Nova janela)"&gt;https://drive.google.com/open?id=1MHL8IXooCfsQWmdwwGsyYSOSfTFFgoti&lt;/a&gt;</t>
  </si>
  <si>
    <t>&lt;a href="javascript:openPopupFocus%28%27https%3A%2F%2Fdrive.google.com%2Fopen%3Fid%3D1FwvgF7P32yV6DYpN_Vea4VIQ9xVs5Wib%27%2C%20%27_blank%27%2C%20620%2C%20430%2C%20%27width%3D620%2Cheight%3D430%2Cresizable%3Dyes%2Ctoolbar%3Dyes%2Cstatus%3Dyes%2Cscrollbars%3Dyes%2Cmenubar%3Dyes%2Cdirectories%3Dyes%2Clocation%3Dyes%2Cdependant%3Dno%27%2C%20false%2C%20true%29%3B" title="https://drive.google.com/open?id=1FwvgF7P32yV6DYpN_Vea4VIQ9xVs5Wib (Nova janela)"&gt;https://drive.google.com/open?id=1FwvgF7P32yV6DYpN_Vea4VIQ9xVs5Wib&lt;/a&gt;</t>
  </si>
  <si>
    <t>&lt;a href="javascript:openPopupFocus%28%27https%3A%2F%2Fdrive.google.com%2Fopen%3Fid%3D1Bc_0suenJf7YU0ybfzes73NKjRkT_uqe%27%2C%20%27_blank%27%2C%20620%2C%20430%2C%20%27width%3D620%2Cheight%3D430%2Cresizable%3Dyes%2Ctoolbar%3Dyes%2Cstatus%3Dyes%2Cscrollbars%3Dyes%2Cmenubar%3Dyes%2Cdirectories%3Dyes%2Clocation%3Dyes%2Cdependant%3Dno%27%2C%20false%2C%20true%29%3B" title="https://drive.google.com/open?id=1Bc_0suenJf7YU0ybfzes73NKjRkT_uqe (Nova janela)"&gt;https://drive.google.com/open?id=1Bc_0suenJf7YU0ybfzes73NKjRkT_uqe&lt;/a&gt;</t>
  </si>
  <si>
    <t>&lt;a href="javascript:openPopupFocus%28%27https%3A%2F%2Fdrive.google.com%2Fopen%3Fid%3D1NRmRPRIOja_TPu828ilpF-68XwQHoSqB%27%2C%20%27_blank%27%2C%20620%2C%20430%2C%20%27width%3D620%2Cheight%3D430%2Cresizable%3Dyes%2Ctoolbar%3Dyes%2Cstatus%3Dyes%2Cscrollbars%3Dyes%2Cmenubar%3Dyes%2Cdirectories%3Dyes%2Clocation%3Dyes%2Cdependant%3Dno%27%2C%20false%2C%20true%29%3B" title="https://drive.google.com/open?id=1NRmRPRIOja_TPu828ilpF-68XwQHoSqB (Nova janela)"&gt;https://drive.google.com/open?id=1NRmRPRIOja_TPu828ilpF-68XwQHoSqB&lt;/a&gt;</t>
  </si>
  <si>
    <t>&lt;a href="javascript:openPopupFocus%28%27https%3A%2F%2Fdrive.google.com%2Fopen%3Fid%3D1nsdrKyTVNQWOu2JqpCSq4SC6lkruDa7n%27%2C%20%27_blank%27%2C%20620%2C%20430%2C%20%27width%3D620%2Cheight%3D430%2Cresizable%3Dyes%2Ctoolbar%3Dyes%2Cstatus%3Dyes%2Cscrollbars%3Dyes%2Cmenubar%3Dyes%2Cdirectories%3Dyes%2Clocation%3Dyes%2Cdependant%3Dno%27%2C%20false%2C%20true%29%3B" title="https://drive.google.com/open?id=1nsdrKyTVNQWOu2JqpCSq4SC6lkruDa7n (Nova janela)"&gt;https://drive.google.com/open?id=1nsdrKyTVNQWOu2JqpCSq4SC6lkruDa7n&lt;/a&gt;</t>
  </si>
  <si>
    <t>&lt;a href="javascript:openPopupFocus%28%27https%3A%2F%2Fdrive.google.com%2Fopen%3Fid%3D182cL4730svnbZDNxM1_vxln7tRX5MQwS%27%2C%20%27_blank%27%2C%20620%2C%20430%2C%20%27width%3D620%2Cheight%3D430%2Cresizable%3Dyes%2Ctoolbar%3Dyes%2Cstatus%3Dyes%2Cscrollbars%3Dyes%2Cmenubar%3Dyes%2Cdirectories%3Dyes%2Clocation%3Dyes%2Cdependant%3Dno%27%2C%20false%2C%20true%29%3B" title="https://drive.google.com/open?id=182cL4730svnbZDNxM1_vxln7tRX5MQwS (Nova janela)"&gt;https://drive.google.com/open?id=182cL4730svnbZDNxM1_vxln7tRX5MQwS&lt;/a&gt;</t>
  </si>
  <si>
    <t>&lt;a href="javascript:openPopupFocus%28%27https%3A%2F%2Fdrive.google.com%2Fopen%3Fid%3D1daywYJZuAz6PV9ZbjwLZFtzns8TslOp-%27%2C%20%27_blank%27%2C%20620%2C%20430%2C%20%27width%3D620%2Cheight%3D430%2Cresizable%3Dyes%2Ctoolbar%3Dyes%2Cstatus%3Dyes%2Cscrollbars%3Dyes%2Cmenubar%3Dyes%2Cdirectories%3Dyes%2Clocation%3Dyes%2Cdependant%3Dno%27%2C%20false%2C%20true%29%3B" title="https://drive.google.com/open?id=1daywYJZuAz6PV9ZbjwLZFtzns8TslOp- (Nova janela)"&gt;https://drive.google.com/open?id=1daywYJZuAz6PV9ZbjwLZFtzns8TslOp-&lt;/a&gt;</t>
  </si>
  <si>
    <t>0014P00003SGWPM</t>
  </si>
  <si>
    <t>PROJETO SEMEAR</t>
  </si>
  <si>
    <t>SEMEAR</t>
  </si>
  <si>
    <t>André Luiz De Macedo Silva</t>
  </si>
  <si>
    <t>projetosemearbh2018@gmail.com</t>
  </si>
  <si>
    <t>(31)8769-0898</t>
  </si>
  <si>
    <t>Rua Manuel Ferreira Leal</t>
  </si>
  <si>
    <t>Vila Sumaré</t>
  </si>
  <si>
    <t>Dubeux Leão</t>
  </si>
  <si>
    <t>Rua Reis de Abreu 79 Aparecida Vila Sumaré Belo Horizonte - MG 31250-080</t>
  </si>
  <si>
    <t>Aparecida
Sumaré</t>
  </si>
  <si>
    <t>&lt;a href="javascript:openPopupFocus%28%27https%3A%2F%2Foprojetosemear.com%27%2C%20%27_blank%27%2C%20620%2C%20430%2C%20%27width%3D620%2Cheight%3D430%2Cresizable%3Dyes%2Ctoolbar%3Dyes%2Cstatus%3Dyes%2Cscrollbars%3Dyes%2Cmenubar%3Dyes%2Cdirectories%3Dyes%2Clocation%3Dyes%2Cdependant%3Dno%27%2C%20false%2C%20true%29%3B" title="https://oprojetosemear.com (Nova janela)"&gt;https://oprojetosemear.com&lt;/a&gt;</t>
  </si>
  <si>
    <t>&lt;a href="javascript:openPopupFocus%28%27https%3A%2F%2Finstagram.com%2Foprojetosemearoficial%3Futm_medium%3Dcopy_link%27%2C%20%27_blank%27%2C%20620%2C%20430%2C%20%27width%3D620%2Cheight%3D430%2Cresizable%3Dyes%2Ctoolbar%3Dyes%2Cstatus%3Dyes%2Cscrollbars%3Dyes%2Cmenubar%3Dyes%2Cdirectories%3Dyes%2Clocation%3Dyes%2Cdependant%3Dno%27%2C%20false%2C%20true%29%3B" title="https://instagram.com/oprojetosemearoficial?utm_medium=copy_link (Nova janela)"&gt;https://instagram.com/oprojetosemearoficial?utm_medium=copy_link&lt;/a&gt;</t>
  </si>
  <si>
    <t>&lt;a href="javascript:openPopupFocus%28%27https%3A%2F%2Fwww.facebook.com%2FProjeto-Semear-219235888680010%2F%27%2C%20%27_blank%27%2C%20620%2C%20430%2C%20%27width%3D620%2Cheight%3D430%2Cresizable%3Dyes%2Ctoolbar%3Dyes%2Cstatus%3Dyes%2Cscrollbars%3Dyes%2Cmenubar%3Dyes%2Cdirectories%3Dyes%2Clocation%3Dyes%2Cdependant%3Dno%27%2C%20false%2C%20true%29%3B" title="https://www.facebook.com/Projeto-Semear-219235888680010/ (Nova janela)"&gt;https://www.facebook.com/Projeto-Semear-219235888680010/&lt;/a&gt;</t>
  </si>
  <si>
    <t>&lt;a href="javascript:openPopupFocus%28%27https%3A%2F%2Fdrive.google.com%2Fopen%3Fid%3D1WIRwiiaqBeaMZUpu5OSwSoc1_cJugAwY%27%2C%20%27_blank%27%2C%20620%2C%20430%2C%20%27width%3D620%2Cheight%3D430%2Cresizable%3Dyes%2Ctoolbar%3Dyes%2Cstatus%3Dyes%2Cscrollbars%3Dyes%2Cmenubar%3Dyes%2Cdirectories%3Dyes%2Clocation%3Dyes%2Cdependant%3Dno%27%2C%20false%2C%20true%29%3B" title="https://drive.google.com/open?id=1WIRwiiaqBeaMZUpu5OSwSoc1_cJugAwY (Nova janela)"&gt;https://drive.google.com/open?id=1WIRwiiaqBeaMZUpu5OSwSoc1_cJugAwY&lt;/a&gt;</t>
  </si>
  <si>
    <t>&lt;a href="javascript:openPopupFocus%28%27https%3A%2F%2Fdrive.google.com%2Fopen%3Fid%3D1r9BxGF-6-x3EKe9A6vAy9YrbivMcpGkI%27%2C%20%27_blank%27%2C%20620%2C%20430%2C%20%27width%3D620%2Cheight%3D430%2Cresizable%3Dyes%2Ctoolbar%3Dyes%2Cstatus%3Dyes%2Cscrollbars%3Dyes%2Cmenubar%3Dyes%2Cdirectories%3Dyes%2Clocation%3Dyes%2Cdependant%3Dno%27%2C%20false%2C%20true%29%3B" title="https://drive.google.com/open?id=1r9BxGF-6-x3EKe9A6vAy9YrbivMcpGkI (Nova janela)"&gt;https://drive.google.com/open?id=1r9BxGF-6-x3EKe9A6vAy9YrbivMcpGkI&lt;/a&gt;</t>
  </si>
  <si>
    <t>0014P00003SGWFr</t>
  </si>
  <si>
    <t>ASSOCIAÇÃO BENEFICENTE AMIGOS PELA CARIDADE</t>
  </si>
  <si>
    <t>AMIGOS PELA CARIDADE</t>
  </si>
  <si>
    <t>39.230.210/0001-01</t>
  </si>
  <si>
    <t>Agnes Ribeiro Gomes De Jesus</t>
  </si>
  <si>
    <t>amigospelacaridade@gmail.com</t>
  </si>
  <si>
    <t>(21)9819-4273</t>
  </si>
  <si>
    <t>rua itaporanga</t>
  </si>
  <si>
    <t>Realengo</t>
  </si>
  <si>
    <t>Batan Batanzinho Vila jurema e Fumacê.</t>
  </si>
  <si>
    <t>Atendemos famílias em situação de vulnerabilidade social principalmente mulheres vitimas de violência domestica e Crianças e adolescentes vitimas de Abuso Sexual. Oferecemos uma rede de Apoio para essas familias.</t>
  </si>
  <si>
    <t>["Negócio Social","Eventos/Ações para captação"]</t>
  </si>
  <si>
    <t>Negocio Social 80%</t>
  </si>
  <si>
    <t>&lt;a href="javascript:openPopupFocus%28%27https%3A%2F%2Fwww.instagram.com%2Finvites%2Fcontact%2F%3Fi%3Dubhv815ulg3l%26utm_content%3Dpj9c0l%27%2C%20%27_blank%27%2C%20620%2C%20430%2C%20%27width%3D620%2Cheight%3D430%2Cresizable%3Dyes%2Ctoolbar%3Dyes%2Cstatus%3Dyes%2Cscrollbars%3Dyes%2Cmenubar%3Dyes%2Cdirectories%3Dyes%2Clocation%3Dyes%2Cdependant%3Dno%27%2C%20false%2C%20true%29%3B" title="https://www.instagram.com/invites/contact/?i=ubhv815ulg3l&amp;utm_content=pj9c0l (Nova janela)"&gt;https://www.instagram.com/invites/contact/?i=ubhv815ulg3l&amp;utm_content=pj9c0l&lt;/a&gt;</t>
  </si>
  <si>
    <t>&lt;a href="javascript:openPopupFocus%28%27https%3A%2F%2Fwww.facebook.com%2Famigospelacaridade%27%2C%20%27_blank%27%2C%20620%2C%20430%2C%20%27width%3D620%2Cheight%3D430%2Cresizable%3Dyes%2Ctoolbar%3Dyes%2Cstatus%3Dyes%2Cscrollbars%3Dyes%2Cmenubar%3Dyes%2Cdirectories%3Dyes%2Clocation%3Dyes%2Cdependant%3Dno%27%2C%20false%2C%20true%29%3B" title="https://www.facebook.com/amigospelacaridade (Nova janela)"&gt;https://www.facebook.com/amigospelacaridade&lt;/a&gt;</t>
  </si>
  <si>
    <t>&lt;a href="javascript:openPopupFocus%28%27https%3A%2F%2Fwww.youtube.com%2Fchannel%2FUC6fjCRIkMsi7G4XeoH97iqA%27%2C%20%27_blank%27%2C%20620%2C%20430%2C%20%27width%3D620%2Cheight%3D430%2Cresizable%3Dyes%2Ctoolbar%3Dyes%2Cstatus%3Dyes%2Cscrollbars%3Dyes%2Cmenubar%3Dyes%2Cdirectories%3Dyes%2Clocation%3Dyes%2Cdependant%3Dno%27%2C%20false%2C%20true%29%3B" title="https://www.youtube.com/channel/UC6fjCRIkMsi7G4XeoH97iqA (Nova janela)"&gt;https://www.youtube.com/channel/UC6fjCRIkMsi7G4XeoH97iqA&lt;/a&gt;</t>
  </si>
  <si>
    <t>&lt;a href="javascript:openPopupFocus%28%27https%3A%2F%2Fdrive.google.com%2Fopen%3Fid%3D1CZxbWUno3eIKFShHinkBYLj9PgvqNN4_%27%2C%20%27_blank%27%2C%20620%2C%20430%2C%20%27width%3D620%2Cheight%3D430%2Cresizable%3Dyes%2Ctoolbar%3Dyes%2Cstatus%3Dyes%2Cscrollbars%3Dyes%2Cmenubar%3Dyes%2Cdirectories%3Dyes%2Clocation%3Dyes%2Cdependant%3Dno%27%2C%20false%2C%20true%29%3B" title="https://drive.google.com/open?id=1CZxbWUno3eIKFShHinkBYLj9PgvqNN4_ (Nova janela)"&gt;https://drive.google.com/open?id=1CZxbWUno3eIKFShHinkBYLj9PgvqNN4_&lt;/a&gt;</t>
  </si>
  <si>
    <t>&lt;a href="javascript:openPopupFocus%28%27https%3A%2F%2Fdrive.google.com%2Fopen%3Fid%3D17R8AWdi-GZhJ9lat2HrcBApn1ogq9Bq7%27%2C%20%27_blank%27%2C%20620%2C%20430%2C%20%27width%3D620%2Cheight%3D430%2Cresizable%3Dyes%2Ctoolbar%3Dyes%2Cstatus%3Dyes%2Cscrollbars%3Dyes%2Cmenubar%3Dyes%2Cdirectories%3Dyes%2Clocation%3Dyes%2Cdependant%3Dno%27%2C%20false%2C%20true%29%3B" title="https://drive.google.com/open?id=17R8AWdi-GZhJ9lat2HrcBApn1ogq9Bq7 (Nova janela)"&gt;https://drive.google.com/open?id=17R8AWdi-GZhJ9lat2HrcBApn1ogq9Bq7&lt;/a&gt;</t>
  </si>
  <si>
    <t>&lt;a href="javascript:openPopupFocus%28%27https%3A%2F%2Fdrive.google.com%2Fopen%3Fid%3D1hhPXfDjPCwU2GiPoHxWViRoMKSo2XInd%27%2C%20%27_blank%27%2C%20620%2C%20430%2C%20%27width%3D620%2Cheight%3D430%2Cresizable%3Dyes%2Ctoolbar%3Dyes%2Cstatus%3Dyes%2Cscrollbars%3Dyes%2Cmenubar%3Dyes%2Cdirectories%3Dyes%2Clocation%3Dyes%2Cdependant%3Dno%27%2C%20false%2C%20true%29%3B" title="https://drive.google.com/open?id=1hhPXfDjPCwU2GiPoHxWViRoMKSo2XInd (Nova janela)"&gt;https://drive.google.com/open?id=1hhPXfDjPCwU2GiPoHxWViRoMKSo2XInd&lt;/a&gt;</t>
  </si>
  <si>
    <t>&lt;a href="javascript:openPopupFocus%28%27https%3A%2F%2Fdrive.google.com%2Fopen%3Fid%3D1XZbUFHvFn2XpM6JTOkAJ--0lOAhiht5Y%27%2C%20%27_blank%27%2C%20620%2C%20430%2C%20%27width%3D620%2Cheight%3D430%2Cresizable%3Dyes%2Ctoolbar%3Dyes%2Cstatus%3Dyes%2Cscrollbars%3Dyes%2Cmenubar%3Dyes%2Cdirectories%3Dyes%2Clocation%3Dyes%2Cdependant%3Dno%27%2C%20false%2C%20true%29%3B" title="https://drive.google.com/open?id=1XZbUFHvFn2XpM6JTOkAJ--0lOAhiht5Y (Nova janela)"&gt;https://drive.google.com/open?id=1XZbUFHvFn2XpM6JTOkAJ--0lOAhiht5Y&lt;/a&gt;</t>
  </si>
  <si>
    <t>0014P00003SGWFt</t>
  </si>
  <si>
    <t>NOS SOMOS A PONTE</t>
  </si>
  <si>
    <t>PROJETO PONTE</t>
  </si>
  <si>
    <t>42.364.272/0001-10</t>
  </si>
  <si>
    <t>Alcione Rodrigues</t>
  </si>
  <si>
    <t>projetopotecp@gmail.com</t>
  </si>
  <si>
    <t>(11)9523-22013</t>
  </si>
  <si>
    <t>RUA: SOCIAL</t>
  </si>
  <si>
    <t>CIDADE NOVA HELIÓPOLIS</t>
  </si>
  <si>
    <t>HELIÓPOLIS</t>
  </si>
  <si>
    <t>["Negócio Social"]</t>
  </si>
  <si>
    <t>&lt;a href="javascript:openPopupFocus%28%27https%3A%2F%2Fwww.instagram.com%2Fp%2FCRAVytOMTs0%2F%3Futm_medium%3Dcopy_link%27%2C%20%27_blank%27%2C%20620%2C%20430%2C%20%27width%3D620%2Cheight%3D430%2Cresizable%3Dyes%2Ctoolbar%3Dyes%2Cstatus%3Dyes%2Cscrollbars%3Dyes%2Cmenubar%3Dyes%2Cdirectories%3Dyes%2Clocation%3Dyes%2Cdependant%3Dno%27%2C%20false%2C%20true%29%3B" title="https://www.instagram.com/p/CRAVytOMTs0/?utm_medium=copy_link (Nova janela)"&gt;https://www.instagram.com/p/CRAVytOMTs0/?utm_medium=copy_link&lt;/a&gt;</t>
  </si>
  <si>
    <t>&lt;a href="javascript:openPopupFocus%28%27https%3A%2F%2Fm.facebook.com%2Fprojetopontecp-100269195233511%2F%3Fref%3Dpage_internal%27%2C%20%27_blank%27%2C%20620%2C%20430%2C%20%27width%3D620%2Cheight%3D430%2Cresizable%3Dyes%2Ctoolbar%3Dyes%2Cstatus%3Dyes%2Cscrollbars%3Dyes%2Cmenubar%3Dyes%2Cdirectories%3Dyes%2Clocation%3Dyes%2Cdependant%3Dno%27%2C%20false%2C%20true%29%3B" title="https://m.facebook.com/projetopontecp-100269195233511/?ref=page_internal (Nova janela)"&gt;https://m.facebook.com/projetopontecp-100269195233511/?ref=page_internal&lt;/a&gt;</t>
  </si>
  <si>
    <t>&lt;a href="javascript:openPopupFocus%28%27https%3A%2F%2Fdrive.google.com%2Fopen%3Fid%3D1qoll7NBY8Mo6XYUH_TYh4_gwkfl8Doo-%27%2C%20%27_blank%27%2C%20620%2C%20430%2C%20%27width%3D620%2Cheight%3D430%2Cresizable%3Dyes%2Ctoolbar%3Dyes%2Cstatus%3Dyes%2Cscrollbars%3Dyes%2Cmenubar%3Dyes%2Cdirectories%3Dyes%2Clocation%3Dyes%2Cdependant%3Dno%27%2C%20false%2C%20true%29%3B" title="https://drive.google.com/open?id=1qoll7NBY8Mo6XYUH_TYh4_gwkfl8Doo- (Nova janela)"&gt;https://drive.google.com/open?id=1qoll7NBY8Mo6XYUH_TYh4_gwkfl8Doo-&lt;/a&gt;</t>
  </si>
  <si>
    <t>&lt;a href="javascript:openPopupFocus%28%27https%3A%2F%2Fdrive.google.com%2Fopen%3Fid%3D1vUeoSEVJ_qVzGD7-PitbD1aFF5hJyqdj%27%2C%20%27_blank%27%2C%20620%2C%20430%2C%20%27width%3D620%2Cheight%3D430%2Cresizable%3Dyes%2Ctoolbar%3Dyes%2Cstatus%3Dyes%2Cscrollbars%3Dyes%2Cmenubar%3Dyes%2Cdirectories%3Dyes%2Clocation%3Dyes%2Cdependant%3Dno%27%2C%20false%2C%20true%29%3B" title="https://drive.google.com/open?id=1vUeoSEVJ_qVzGD7-PitbD1aFF5hJyqdj (Nova janela)"&gt;https://drive.google.com/open?id=1vUeoSEVJ_qVzGD7-PitbD1aFF5hJyqdj&lt;/a&gt;</t>
  </si>
  <si>
    <t>&lt;a href="javascript:openPopupFocus%28%27https%3A%2F%2Fdrive.google.com%2Fopen%3Fid%3D1eNSSrcXPnNqwMzLV3ID4lQRP6Pd7NWTq%27%2C%20%27_blank%27%2C%20620%2C%20430%2C%20%27width%3D620%2Cheight%3D430%2Cresizable%3Dyes%2Ctoolbar%3Dyes%2Cstatus%3Dyes%2Cscrollbars%3Dyes%2Cmenubar%3Dyes%2Cdirectories%3Dyes%2Clocation%3Dyes%2Cdependant%3Dno%27%2C%20false%2C%20true%29%3B" title="https://drive.google.com/open?id=1eNSSrcXPnNqwMzLV3ID4lQRP6Pd7NWTq (Nova janela)"&gt;https://drive.google.com/open?id=1eNSSrcXPnNqwMzLV3ID4lQRP6Pd7NWTq&lt;/a&gt;</t>
  </si>
  <si>
    <t>&lt;a href="javascript:openPopupFocus%28%27https%3A%2F%2Fdrive.google.com%2Fopen%3Fid%3D1a5ucCFavpC6A13vNK9t_a-BTSI-aH8gd%27%2C%20%27_blank%27%2C%20620%2C%20430%2C%20%27width%3D620%2Cheight%3D430%2Cresizable%3Dyes%2Ctoolbar%3Dyes%2Cstatus%3Dyes%2Cscrollbars%3Dyes%2Cmenubar%3Dyes%2Cdirectories%3Dyes%2Clocation%3Dyes%2Cdependant%3Dno%27%2C%20false%2C%20true%29%3B" title="https://drive.google.com/open?id=1a5ucCFavpC6A13vNK9t_a-BTSI-aH8gd (Nova janela)"&gt;https://drive.google.com/open?id=1a5ucCFavpC6A13vNK9t_a-BTSI-aH8gd&lt;/a&gt;</t>
  </si>
  <si>
    <t>&lt;a href="javascript:openPopupFocus%28%27https%3A%2F%2Fdrive.google.com%2Fopen%3Fid%3D1zMUVDs3b-OwG6l2WX-aMKtY4W_6SogWo%27%2C%20%27_blank%27%2C%20620%2C%20430%2C%20%27width%3D620%2Cheight%3D430%2Cresizable%3Dyes%2Ctoolbar%3Dyes%2Cstatus%3Dyes%2Cscrollbars%3Dyes%2Cmenubar%3Dyes%2Cdirectories%3Dyes%2Clocation%3Dyes%2Cdependant%3Dno%27%2C%20false%2C%20true%29%3B" title="https://drive.google.com/open?id=1zMUVDs3b-OwG6l2WX-aMKtY4W_6SogWo (Nova janela)"&gt;https://drive.google.com/open?id=1zMUVDs3b-OwG6l2WX-aMKtY4W_6SogWo&lt;/a&gt;</t>
  </si>
  <si>
    <t>0014P00003SGWPL</t>
  </si>
  <si>
    <t>CENTRO SOCIAL DÍNAMUS</t>
  </si>
  <si>
    <t>DÍNAMUS</t>
  </si>
  <si>
    <t>41.344.372/0001-12</t>
  </si>
  <si>
    <t>Alexandre Luiz Tuller Telles</t>
  </si>
  <si>
    <t>projetodinamus@projetodinamus.com</t>
  </si>
  <si>
    <t>(82)9411-0652</t>
  </si>
  <si>
    <t>Rua Jairo Marques Luz</t>
  </si>
  <si>
    <t>Tabuleiro dos Martins</t>
  </si>
  <si>
    <t>A</t>
  </si>
  <si>
    <t>R. Romeu de Avelar S/N - Tabuleiro Novo Maceió - AL 57081-050</t>
  </si>
  <si>
    <t>Favela da Coca (Sombra dos Eucaliptos), Favela da Baixada (Codeal) Tabuleiro Novo Cleto Dubeux Leão.</t>
  </si>
  <si>
    <t>Até o momento trabalhamos com as comunidades ao nosso redor mas estamos focados no Projeto Escola Social que é transformar a escola pública em um lugar de transformação social. A ideia é apoiar a gestão e os professores para uma formação humanizada solid...</t>
  </si>
  <si>
    <t>38% plataforma e 62% doação voluntária</t>
  </si>
  <si>
    <t>&lt;a href="javascript:openPopupFocus%28%27http%3A%2F%2Fprojetodinamus.com%27%2C%20%27_blank%27%2C%20620%2C%20430%2C%20%27width%3D620%2Cheight%3D430%2Cresizable%3Dyes%2Ctoolbar%3Dyes%2Cstatus%3Dyes%2Cscrollbars%3Dyes%2Cmenubar%3Dyes%2Cdirectories%3Dyes%2Clocation%3Dyes%2Cdependant%3Dno%27%2C%20false%2C%20true%29%3B" title="http://projetodinamus.com (Nova janela)"&gt;http://projetodinamus.com&lt;/a&gt;</t>
  </si>
  <si>
    <t>&lt;a href="javascript:openPopupFocus%28%27http%3A%2F%2Finstagram.com%2Fprojetodinamus%27%2C%20%27_blank%27%2C%20620%2C%20430%2C%20%27width%3D620%2Cheight%3D430%2Cresizable%3Dyes%2Ctoolbar%3Dyes%2Cstatus%3Dyes%2Cscrollbars%3Dyes%2Cmenubar%3Dyes%2Cdirectories%3Dyes%2Clocation%3Dyes%2Cdependant%3Dno%27%2C%20false%2C%20true%29%3B" title="http://instagram.com/projetodinamus (Nova janela)"&gt;http://instagram.com/projetodinamus&lt;/a&gt;</t>
  </si>
  <si>
    <t>&lt;a href="javascript:openPopupFocus%28%27http%3A%2F%2Ffacebook.com%2Fdinamusprojeto%27%2C%20%27_blank%27%2C%20620%2C%20430%2C%20%27width%3D620%2Cheight%3D430%2Cresizable%3Dyes%2Ctoolbar%3Dyes%2Cstatus%3Dyes%2Cscrollbars%3Dyes%2Cmenubar%3Dyes%2Cdirectories%3Dyes%2Clocation%3Dyes%2Cdependant%3Dno%27%2C%20false%2C%20true%29%3B" title="http://facebook.com/dinamusprojeto (Nova janela)"&gt;http://facebook.com/dinamusprojeto&lt;/a&gt;</t>
  </si>
  <si>
    <t>&lt;a href="javascript:openPopupFocus%28%27https%3A%2F%2Fwww.youtube.com%2Fchannel%2FUCfoEBE60PWcQnxLlE3K5F4A%27%2C%20%27_blank%27%2C%20620%2C%20430%2C%20%27width%3D620%2Cheight%3D430%2Cresizable%3Dyes%2Ctoolbar%3Dyes%2Cstatus%3Dyes%2Cscrollbars%3Dyes%2Cmenubar%3Dyes%2Cdirectories%3Dyes%2Clocation%3Dyes%2Cdependant%3Dno%27%2C%20false%2C%20true%29%3B" title="https://www.youtube.com/channel/UCfoEBE60PWcQnxLlE3K5F4A (Nova janela)"&gt;https://www.youtube.com/channel/UCfoEBE60PWcQnxLlE3K5F4A&lt;/a&gt;</t>
  </si>
  <si>
    <t>https://www.linkedin.com/company/projetodinamus-ong</t>
  </si>
  <si>
    <t>&lt;a href="javascript:openPopupFocus%28%27https%3A%2F%2Fdrive.google.com%2Fopen%3Fid%3D1kNTzap2Wm7a11JWi5yRxh1ClmU-QMEn3%27%2C%20%27_blank%27%2C%20620%2C%20430%2C%20%27width%3D620%2Cheight%3D430%2Cresizable%3Dyes%2Ctoolbar%3Dyes%2Cstatus%3Dyes%2Cscrollbars%3Dyes%2Cmenubar%3Dyes%2Cdirectories%3Dyes%2Clocation%3Dyes%2Cdependant%3Dno%27%2C%20false%2C%20true%29%3B" title="https://drive.google.com/open?id=1kNTzap2Wm7a11JWi5yRxh1ClmU-QMEn3 (Nova janela)"&gt;https://drive.google.com/open?id=1kNTzap2Wm7a11JWi5yRxh1ClmU-QMEn3&lt;/a&gt;</t>
  </si>
  <si>
    <t>&lt;a href="javascript:openPopupFocus%28%27https%3A%2F%2Fdrive.google.com%2Fopen%3Fid%3D1LNkrA5fzuXZQpsFknUnBvGzcmGycjZG4%27%2C%20%27_blank%27%2C%20620%2C%20430%2C%20%27width%3D620%2Cheight%3D430%2Cresizable%3Dyes%2Ctoolbar%3Dyes%2Cstatus%3Dyes%2Cscrollbars%3Dyes%2Cmenubar%3Dyes%2Cdirectories%3Dyes%2Clocation%3Dyes%2Cdependant%3Dno%27%2C%20false%2C%20true%29%3B" title="https://drive.google.com/open?id=1LNkrA5fzuXZQpsFknUnBvGzcmGycjZG4 (Nova janela)"&gt;https://drive.google.com/open?id=1LNkrA5fzuXZQpsFknUnBvGzcmGycjZG4&lt;/a&gt;</t>
  </si>
  <si>
    <t>&lt;a href="javascript:openPopupFocus%28%27https%3A%2F%2Fdrive.google.com%2Fopen%3Fid%3D1uhpL2flwPbM6KyseibZ39trOgI2gIP_F%27%2C%20%27_blank%27%2C%20620%2C%20430%2C%20%27width%3D620%2Cheight%3D430%2Cresizable%3Dyes%2Ctoolbar%3Dyes%2Cstatus%3Dyes%2Cscrollbars%3Dyes%2Cmenubar%3Dyes%2Cdirectories%3Dyes%2Clocation%3Dyes%2Cdependant%3Dno%27%2C%20false%2C%20true%29%3B" title="https://drive.google.com/open?id=1uhpL2flwPbM6KyseibZ39trOgI2gIP_F (Nova janela)"&gt;https://drive.google.com/open?id=1uhpL2flwPbM6KyseibZ39trOgI2gIP_F&lt;/a&gt;</t>
  </si>
  <si>
    <t>&lt;a href="javascript:openPopupFocus%28%27https%3A%2F%2Fdrive.google.com%2Fopen%3Fid%3D1u0qqpQQDLp6qZrV8-88CSRFce2ziScir%27%2C%20%27_blank%27%2C%20620%2C%20430%2C%20%27width%3D620%2Cheight%3D430%2Cresizable%3Dyes%2Ctoolbar%3Dyes%2Cstatus%3Dyes%2Cscrollbars%3Dyes%2Cmenubar%3Dyes%2Cdirectories%3Dyes%2Clocation%3Dyes%2Cdependant%3Dno%27%2C%20false%2C%20true%29%3B" title="https://drive.google.com/open?id=1u0qqpQQDLp6qZrV8-88CSRFce2ziScir (Nova janela)"&gt;https://drive.google.com/open?id=1u0qqpQQDLp6qZrV8-88CSRFce2ziScir&lt;/a&gt;</t>
  </si>
  <si>
    <t>&lt;a href="javascript:openPopupFocus%28%27https%3A%2F%2Fdrive.google.com%2Fopen%3Fid%3D1txwhOEQ9L9HkrYOhILue1bkA2a8rXCOV%27%2C%20%27_blank%27%2C%20620%2C%20430%2C%20%27width%3D620%2Cheight%3D430%2Cresizable%3Dyes%2Ctoolbar%3Dyes%2Cstatus%3Dyes%2Cscrollbars%3Dyes%2Cmenubar%3Dyes%2Cdirectories%3Dyes%2Clocation%3Dyes%2Cdependant%3Dno%27%2C%20false%2C%20true%29%3B" title="https://drive.google.com/open?id=1txwhOEQ9L9HkrYOhILue1bkA2a8rXCOV (Nova janela)"&gt;https://drive.google.com/open?id=1txwhOEQ9L9HkrYOhILue1bkA2a8rXCOV&lt;/a&gt;</t>
  </si>
  <si>
    <t>&lt;a href="javascript:openPopupFocus%28%27https%3A%2F%2Fdrive.google.com%2Fopen%3Fid%3D1VgMeaFS7APPgfwNbobCCBr-urd4gg_k8%27%2C%20%27_blank%27%2C%20620%2C%20430%2C%20%27width%3D620%2Cheight%3D430%2Cresizable%3Dyes%2Ctoolbar%3Dyes%2Cstatus%3Dyes%2Cscrollbars%3Dyes%2Cmenubar%3Dyes%2Cdirectories%3Dyes%2Clocation%3Dyes%2Cdependant%3Dno%27%2C%20false%2C%20true%29%3B" title="https://drive.google.com/open?id=1VgMeaFS7APPgfwNbobCCBr-urd4gg_k8 (Nova janela)"&gt;https://drive.google.com/open?id=1VgMeaFS7APPgfwNbobCCBr-urd4gg_k8&lt;/a&gt;</t>
  </si>
  <si>
    <t>0014P00003SGWPN</t>
  </si>
  <si>
    <t>INSTITUTO DE DESENVOLVIMENTO EDUCACIONAL E INTEGRAÇÃO AMBIENTAL E SOCIAL</t>
  </si>
  <si>
    <t>INSTITUTO IDEIAS</t>
  </si>
  <si>
    <t>10.938.220/0001-14</t>
  </si>
  <si>
    <t>Ana Paula Mariano Lopes</t>
  </si>
  <si>
    <t>institutoideias05@hotmail.com</t>
  </si>
  <si>
    <t>(31)8613-8165</t>
  </si>
  <si>
    <t>rua Glicerio de almeida</t>
  </si>
  <si>
    <t>Industrial</t>
  </si>
  <si>
    <t>Santana Do Paraíso</t>
  </si>
  <si>
    <t>Moradores do bairro Industrial e bairros próximos.</t>
  </si>
  <si>
    <t>Bairro Industrial</t>
  </si>
  <si>
    <t>Atualmente 100% de pequenas doações esporádicas.</t>
  </si>
  <si>
    <t>&lt;a href="javascript:openPopupFocus%28%27http%3A%2F%2Fwww.instagran%2F%40instituto_ideias%27%2C%20%27_blank%27%2C%20620%2C%20430%2C%20%27width%3D620%2Cheight%3D430%2Cresizable%3Dyes%2Ctoolbar%3Dyes%2Cstatus%3Dyes%2Cscrollbars%3Dyes%2Cmenubar%3Dyes%2Cdirectories%3Dyes%2Clocation%3Dyes%2Cdependant%3Dno%27%2C%20false%2C%20true%29%3B" title="http://www.instagran/@instituto_ideias (Nova janela)"&gt;http://www.instagran/@instituto_ideias&lt;/a&gt;</t>
  </si>
  <si>
    <t>&lt;a href="javascript:openPopupFocus%28%27http%3A%2F%2Fwww.facebook%2Finstitutoideias%27%2C%20%27_blank%27%2C%20620%2C%20430%2C%20%27width%3D620%2Cheight%3D430%2Cresizable%3Dyes%2Ctoolbar%3Dyes%2Cstatus%3Dyes%2Cscrollbars%3Dyes%2Cmenubar%3Dyes%2Cdirectories%3Dyes%2Clocation%3Dyes%2Cdependant%3Dno%27%2C%20false%2C%20true%29%3B" title="http://www.facebook/institutoideias (Nova janela)"&gt;http://www.facebook/institutoideias&lt;/a&gt;</t>
  </si>
  <si>
    <t>&lt;a href="javascript:openPopupFocus%28%27https%3A%2F%2Fdrive.google.com%2Fopen%3Fid%3D1qZ2EReWGL9jshQFabzgCaRrL8O10WSUV%27%2C%20%27_blank%27%2C%20620%2C%20430%2C%20%27width%3D620%2Cheight%3D430%2Cresizable%3Dyes%2Ctoolbar%3Dyes%2Cstatus%3Dyes%2Cscrollbars%3Dyes%2Cmenubar%3Dyes%2Cdirectories%3Dyes%2Clocation%3Dyes%2Cdependant%3Dno%27%2C%20false%2C%20true%29%3B" title="https://drive.google.com/open?id=1qZ2EReWGL9jshQFabzgCaRrL8O10WSUV (Nova janela)"&gt;https://drive.google.com/open?id=1qZ2EReWGL9jshQFabzgCaRrL8O10WSUV&lt;/a&gt;</t>
  </si>
  <si>
    <t>&lt;a href="javascript:openPopupFocus%28%27https%3A%2F%2Fdrive.google.com%2Fopen%3Fid%3D1PkpepoMDbPhqpoK3JaXONXQvIYe0slVd%27%2C%20%27_blank%27%2C%20620%2C%20430%2C%20%27width%3D620%2Cheight%3D430%2Cresizable%3Dyes%2Ctoolbar%3Dyes%2Cstatus%3Dyes%2Cscrollbars%3Dyes%2Cmenubar%3Dyes%2Cdirectories%3Dyes%2Clocation%3Dyes%2Cdependant%3Dno%27%2C%20false%2C%20true%29%3B" title="https://drive.google.com/open?id=1PkpepoMDbPhqpoK3JaXONXQvIYe0slVd (Nova janela)"&gt;https://drive.google.com/open?id=1PkpepoMDbPhqpoK3JaXONXQvIYe0slVd&lt;/a&gt;</t>
  </si>
  <si>
    <t>&lt;a href="javascript:openPopupFocus%28%27https%3A%2F%2Fdrive.google.com%2Fopen%3Fid%3D1y5A1yjjBz_CJXZ_gLjjm-ANvxi9jmVtT%27%2C%20%27_blank%27%2C%20620%2C%20430%2C%20%27width%3D620%2Cheight%3D430%2Cresizable%3Dyes%2Ctoolbar%3Dyes%2Cstatus%3Dyes%2Cscrollbars%3Dyes%2Cmenubar%3Dyes%2Cdirectories%3Dyes%2Clocation%3Dyes%2Cdependant%3Dno%27%2C%20false%2C%20true%29%3B" title="https://drive.google.com/open?id=1y5A1yjjBz_CJXZ_gLjjm-ANvxi9jmVtT (Nova janela)"&gt;https://drive.google.com/open?id=1y5A1yjjBz_CJXZ_gLjjm-ANvxi9jmVtT&lt;/a&gt;</t>
  </si>
  <si>
    <t>0014P00003SGWPQ</t>
  </si>
  <si>
    <t>ASSOCIAÇÃO CULTURAL PISADA DO SERTÃO</t>
  </si>
  <si>
    <t>PISADA DO SERTÃO</t>
  </si>
  <si>
    <t>08.842.657/0001-08</t>
  </si>
  <si>
    <t>Ana Neiry De Moura Alves</t>
  </si>
  <si>
    <t>gestao@pisadadosertao.org</t>
  </si>
  <si>
    <t>(83)9878-0123</t>
  </si>
  <si>
    <t>Maria das Dores de Carvalho</t>
  </si>
  <si>
    <t>Poço De José De Moura</t>
  </si>
  <si>
    <t>Atuamos em 10 cidades do sertão paraibano nordeste brasileiro.
Poço de José de Moura
Uiraúna
Triunfo
Joca Claudino
Bernardino Batista
Santa Helena
São João do Rio do Peixe
Cajazeiras
São José de Piranhas
Monte Horebe</t>
  </si>
  <si>
    <t>["Eventos/Ações para captação","Plataforma doação online  Pessoa Física","Editais"]</t>
  </si>
  <si>
    <t>80% editais 10% plataforma de doação e 10% eventos</t>
  </si>
  <si>
    <t>&lt;a href="javascript:openPopupFocus%28%27https%3A%2F%2Fwww.pisadadosertao.org%2F%27%2C%20%27_blank%27%2C%20620%2C%20430%2C%20%27width%3D620%2Cheight%3D430%2Cresizable%3Dyes%2Ctoolbar%3Dyes%2Cstatus%3Dyes%2Cscrollbars%3Dyes%2Cmenubar%3Dyes%2Cdirectories%3Dyes%2Clocation%3Dyes%2Cdependant%3Dno%27%2C%20false%2C%20true%29%3B" title="https://www.pisadadosertao.org/ (Nova janela)"&gt;https://www.pisadadosertao.org/&lt;/a&gt;</t>
  </si>
  <si>
    <t>&lt;a href="javascript:openPopupFocus%28%27https%3A%2F%2Fwww.instagram.com%2Fpisadadosertaopb%2F%27%2C%20%27_blank%27%2C%20620%2C%20430%2C%20%27width%3D620%2Cheight%3D430%2Cresizable%3Dyes%2Ctoolbar%3Dyes%2Cstatus%3Dyes%2Cscrollbars%3Dyes%2Cmenubar%3Dyes%2Cdirectories%3Dyes%2Clocation%3Dyes%2Cdependant%3Dno%27%2C%20false%2C%20true%29%3B" title="https://www.instagram.com/pisadadosertaopb/ (Nova janela)"&gt;https://www.instagram.com/pisadadosertaopb/&lt;/a&gt;</t>
  </si>
  <si>
    <t>&lt;a href="javascript:openPopupFocus%28%27https%3A%2F%2Fm.facebook.com%2Fapisadadosertao%2F%3Ftsid%3D0.4397074926726694%26source%3Dresult%27%2C%20%27_blank%27%2C%20620%2C%20430%2C%20%27width%3D620%2Cheight%3D430%2Cresizable%3Dyes%2Ctoolbar%3Dyes%2Cstatus%3Dyes%2Cscrollbars%3Dyes%2Cmenubar%3Dyes%2Cdirectories%3Dyes%2Clocation%3Dyes%2Cdependant%3Dno%27%2C%20false%2C%20true%29%3B" title="https://m.facebook.com/apisadadosertao/?tsid=0.4397074926726694&amp;source=result (Nova janela)"&gt;https://m.facebook.com/apisadadosertao/?tsid=0.4397074926726694&amp;source=result&lt;/a&gt;</t>
  </si>
  <si>
    <t>&lt;a href="javascript:openPopupFocus%28%27https%3A%2F%2Fwww.youtube.com%2Fc%2FPisadadoSert%25C3%25A3o%2Ffeatured%27%2C%20%27_blank%27%2C%20620%2C%20430%2C%20%27width%3D620%2Cheight%3D430%2Cresizable%3Dyes%2Ctoolbar%3Dyes%2Cstatus%3Dyes%2Cscrollbars%3Dyes%2Cmenubar%3Dyes%2Cdirectories%3Dyes%2Clocation%3Dyes%2Cdependant%3Dno%27%2C%20false%2C%20true%29%3B" title="https://www.youtube.com/c/PisadadoSert%C3%A3o/featured (Nova janela)"&gt;https://www.youtube.com/c/PisadadoSert%C3%A3o/featured&lt;/a&gt;</t>
  </si>
  <si>
    <t>&lt;a href="javascript:openPopupFocus%28%27https%3A%2F%2Fdrive.google.com%2Fopen%3Fid%3D1CSBZVPVBuH8Q0_GeLVxok2UrrhfUCsEL%27%2C%20%27_blank%27%2C%20620%2C%20430%2C%20%27width%3D620%2Cheight%3D430%2Cresizable%3Dyes%2Ctoolbar%3Dyes%2Cstatus%3Dyes%2Cscrollbars%3Dyes%2Cmenubar%3Dyes%2Cdirectories%3Dyes%2Clocation%3Dyes%2Cdependant%3Dno%27%2C%20false%2C%20true%29%3B" title="https://drive.google.com/open?id=1CSBZVPVBuH8Q0_GeLVxok2UrrhfUCsEL (Nova janela)"&gt;https://drive.google.com/open?id=1CSBZVPVBuH8Q0_GeLVxok2UrrhfUCsEL&lt;/a&gt;</t>
  </si>
  <si>
    <t>&lt;a href="javascript:openPopupFocus%28%27https%3A%2F%2Fdrive.google.com%2Fopen%3Fid%3D1Z8z1uASdRcwkl7eEq4naoIvC5UItwSbt%27%2C%20%27_blank%27%2C%20620%2C%20430%2C%20%27width%3D620%2Cheight%3D430%2Cresizable%3Dyes%2Ctoolbar%3Dyes%2Cstatus%3Dyes%2Cscrollbars%3Dyes%2Cmenubar%3Dyes%2Cdirectories%3Dyes%2Clocation%3Dyes%2Cdependant%3Dno%27%2C%20false%2C%20true%29%3B" title="https://drive.google.com/open?id=1Z8z1uASdRcwkl7eEq4naoIvC5UItwSbt (Nova janela)"&gt;https://drive.google.com/open?id=1Z8z1uASdRcwkl7eEq4naoIvC5UItwSbt&lt;/a&gt;</t>
  </si>
  <si>
    <t>&lt;a href="javascript:openPopupFocus%28%27https%3A%2F%2Fdrive.google.com%2Fopen%3Fid%3D11Fua-mTBJBPpQw-3nCKW3gi-5Vw1wN1j%27%2C%20%27_blank%27%2C%20620%2C%20430%2C%20%27width%3D620%2Cheight%3D430%2Cresizable%3Dyes%2Ctoolbar%3Dyes%2Cstatus%3Dyes%2Cscrollbars%3Dyes%2Cmenubar%3Dyes%2Cdirectories%3Dyes%2Clocation%3Dyes%2Cdependant%3Dno%27%2C%20false%2C%20true%29%3B" title="https://drive.google.com/open?id=11Fua-mTBJBPpQw-3nCKW3gi-5Vw1wN1j (Nova janela)"&gt;https://drive.google.com/open?id=11Fua-mTBJBPpQw-3nCKW3gi-5Vw1wN1j&lt;/a&gt;</t>
  </si>
  <si>
    <t>&lt;a href="javascript:openPopupFocus%28%27https%3A%2F%2Fdrive.google.com%2Fopen%3Fid%3D1J66827LxxN5oGjL50lFPfcKC8BMjJ3nX%27%2C%20%27_blank%27%2C%20620%2C%20430%2C%20%27width%3D620%2Cheight%3D430%2Cresizable%3Dyes%2Ctoolbar%3Dyes%2Cstatus%3Dyes%2Cscrollbars%3Dyes%2Cmenubar%3Dyes%2Cdirectories%3Dyes%2Clocation%3Dyes%2Cdependant%3Dno%27%2C%20false%2C%20true%29%3B" title="https://drive.google.com/open?id=1J66827LxxN5oGjL50lFPfcKC8BMjJ3nX (Nova janela)"&gt;https://drive.google.com/open?id=1J66827LxxN5oGjL50lFPfcKC8BMjJ3nX&lt;/a&gt;</t>
  </si>
  <si>
    <t>&lt;a href="javascript:openPopupFocus%28%27https%3A%2F%2Fdrive.google.com%2Fopen%3Fid%3D16NmDICMOt4R-bVZSOaQnLoHQYFGU66yF%27%2C%20%27_blank%27%2C%20620%2C%20430%2C%20%27width%3D620%2Cheight%3D430%2Cresizable%3Dyes%2Ctoolbar%3Dyes%2Cstatus%3Dyes%2Cscrollbars%3Dyes%2Cmenubar%3Dyes%2Cdirectories%3Dyes%2Clocation%3Dyes%2Cdependant%3Dno%27%2C%20false%2C%20true%29%3B" title="https://drive.google.com/open?id=16NmDICMOt4R-bVZSOaQnLoHQYFGU66yF (Nova janela)"&gt;https://drive.google.com/open?id=16NmDICMOt4R-bVZSOaQnLoHQYFGU66yF&lt;/a&gt;</t>
  </si>
  <si>
    <t>&lt;a href="javascript:openPopupFocus%28%27https%3A%2F%2Fdrive.google.com%2Fopen%3Fid%3D1vKij_ajPKFrt2qgMEcLGN2z8qVRXlXku%27%2C%20%27_blank%27%2C%20620%2C%20430%2C%20%27width%3D620%2Cheight%3D430%2Cresizable%3Dyes%2Ctoolbar%3Dyes%2Cstatus%3Dyes%2Cscrollbars%3Dyes%2Cmenubar%3Dyes%2Cdirectories%3Dyes%2Clocation%3Dyes%2Cdependant%3Dno%27%2C%20false%2C%20true%29%3B" title="https://drive.google.com/open?id=1vKij_ajPKFrt2qgMEcLGN2z8qVRXlXku (Nova janela)"&gt;https://drive.google.com/open?id=1vKij_ajPKFrt2qgMEcLGN2z8qVRXlXku&lt;/a&gt;</t>
  </si>
  <si>
    <t>&lt;a href="javascript:openPopupFocus%28%27https%3A%2F%2Fdrive.google.com%2Fopen%3Fid%3D1PSGrlqljEj-hDB494ibNJ4LIGFBcTAgI%27%2C%20%27_blank%27%2C%20620%2C%20430%2C%20%27width%3D620%2Cheight%3D430%2Cresizable%3Dyes%2Ctoolbar%3Dyes%2Cstatus%3Dyes%2Cscrollbars%3Dyes%2Cmenubar%3Dyes%2Cdirectories%3Dyes%2Clocation%3Dyes%2Cdependant%3Dno%27%2C%20false%2C%20true%29%3B" title="https://drive.google.com/open?id=1PSGrlqljEj-hDB494ibNJ4LIGFBcTAgI (Nova janela)"&gt;https://drive.google.com/open?id=1PSGrlqljEj-hDB494ibNJ4LIGFBcTAgI&lt;/a&gt;</t>
  </si>
  <si>
    <t>0014P00003SGWPP</t>
  </si>
  <si>
    <t>METAMORFOSE</t>
  </si>
  <si>
    <t>38.099.393/0001-05</t>
  </si>
  <si>
    <t>Anailton De Sousa Fernandes</t>
  </si>
  <si>
    <t>instituto@immetamorfose.org</t>
  </si>
  <si>
    <t>(85)9603-5607</t>
  </si>
  <si>
    <t>Rua Padre Mororó</t>
  </si>
  <si>
    <t>Depósito</t>
  </si>
  <si>
    <t>Rua São Gerardo 54 Cais do Porto</t>
  </si>
  <si>
    <t>Estiva Farol Travessa ponta mar Titanzinho e Pracinha São Francisco</t>
  </si>
  <si>
    <t>Apadrinhamento 85% campanhas 10% e botão de doar 5%</t>
  </si>
  <si>
    <t>&lt;a href="javascript:openPopupFocus%28%27https%3A%2F%2Fwww.immetamorfose.org%2F%27%2C%20%27_blank%27%2C%20620%2C%20430%2C%20%27width%3D620%2Cheight%3D430%2Cresizable%3Dyes%2Ctoolbar%3Dyes%2Cstatus%3Dyes%2Cscrollbars%3Dyes%2Cmenubar%3Dyes%2Cdirectories%3Dyes%2Clocation%3Dyes%2Cdependant%3Dno%27%2C%20false%2C%20true%29%3B" title="https://www.immetamorfose.org/ (Nova janela)"&gt;https://www.immetamorfose.org/&lt;/a&gt;</t>
  </si>
  <si>
    <t>&lt;a href="javascript:openPopupFocus%28%27https%3A%2F%2Fwww.instagram.com%2Fimmetamorfose%2F%3Figshid%3D1rqfija65o7lo%27%2C%20%27_blank%27%2C%20620%2C%20430%2C%20%27width%3D620%2Cheight%3D430%2Cresizable%3Dyes%2Ctoolbar%3Dyes%2Cstatus%3Dyes%2Cscrollbars%3Dyes%2Cmenubar%3Dyes%2Cdirectories%3Dyes%2Clocation%3Dyes%2Cdependant%3Dno%27%2C%20false%2C%20true%29%3B" title="https://www.instagram.com/immetamorfose/?igshid=1rqfija65o7lo (Nova janela)"&gt;https://www.instagram.com/immetamorfose/?igshid=1rqfija65o7lo&lt;/a&gt;</t>
  </si>
  <si>
    <t>&lt;a href="javascript:openPopupFocus%28%27https%3A%2F%2Fwww.facebook.com%2Fimmetamorfose%27%2C%20%27_blank%27%2C%20620%2C%20430%2C%20%27width%3D620%2Cheight%3D430%2Cresizable%3Dyes%2Ctoolbar%3Dyes%2Cstatus%3Dyes%2Cscrollbars%3Dyes%2Cmenubar%3Dyes%2Cdirectories%3Dyes%2Clocation%3Dyes%2Cdependant%3Dno%27%2C%20false%2C%20true%29%3B" title="https://www.facebook.com/immetamorfose (Nova janela)"&gt;https://www.facebook.com/immetamorfose&lt;/a&gt;</t>
  </si>
  <si>
    <t>&lt;a href="javascript:openPopupFocus%28%27https%3A%2F%2Fwww.youtube.com%2Fchannel%2FUC-t1HFgGtggfXP_z-YLLdUQ%2Fvideos%27%2C%20%27_blank%27%2C%20620%2C%20430%2C%20%27width%3D620%2Cheight%3D430%2Cresizable%3Dyes%2Ctoolbar%3Dyes%2Cstatus%3Dyes%2Cscrollbars%3Dyes%2Cmenubar%3Dyes%2Cdirectories%3Dyes%2Clocation%3Dyes%2Cdependant%3Dno%27%2C%20false%2C%20true%29%3B" title="https://www.youtube.com/channel/UC-t1HFgGtggfXP_z-YLLdUQ/videos (Nova janela)"&gt;https://www.youtube.com/channel/UC-t1HFgGtggfXP_z-YLLdUQ/videos&lt;/a&gt;</t>
  </si>
  <si>
    <t>&lt;a href="javascript:openPopupFocus%28%27https%3A%2F%2Fdrive.google.com%2Fopen%3Fid%3D1m_Nr4PXR1heMTWLhpzhlR3pgqKmw5i82%27%2C%20%27_blank%27%2C%20620%2C%20430%2C%20%27width%3D620%2Cheight%3D430%2Cresizable%3Dyes%2Ctoolbar%3Dyes%2Cstatus%3Dyes%2Cscrollbars%3Dyes%2Cmenubar%3Dyes%2Cdirectories%3Dyes%2Clocation%3Dyes%2Cdependant%3Dno%27%2C%20false%2C%20true%29%3B" title="https://drive.google.com/open?id=1m_Nr4PXR1heMTWLhpzhlR3pgqKmw5i82 (Nova janela)"&gt;https://drive.google.com/open?id=1m_Nr4PXR1heMTWLhpzhlR3pgqKmw5i82&lt;/a&gt;</t>
  </si>
  <si>
    <t>&lt;a href="javascript:openPopupFocus%28%27https%3A%2F%2Fdrive.google.com%2Fopen%3Fid%3D1a0E_AueCFHl8QFNh6NbMhlJ3FH8Xbzg-%27%2C%20%27_blank%27%2C%20620%2C%20430%2C%20%27width%3D620%2Cheight%3D430%2Cresizable%3Dyes%2Ctoolbar%3Dyes%2Cstatus%3Dyes%2Cscrollbars%3Dyes%2Cmenubar%3Dyes%2Cdirectories%3Dyes%2Clocation%3Dyes%2Cdependant%3Dno%27%2C%20false%2C%20true%29%3B" title="https://drive.google.com/open?id=1a0E_AueCFHl8QFNh6NbMhlJ3FH8Xbzg- (Nova janela)"&gt;https://drive.google.com/open?id=1a0E_AueCFHl8QFNh6NbMhlJ3FH8Xbzg-&lt;/a&gt;</t>
  </si>
  <si>
    <t>&lt;a href="javascript:openPopupFocus%28%27https%3A%2F%2Fdrive.google.com%2Fopen%3Fid%3D1io37opL78RczNL3YGlOckWwatEorPGoW%27%2C%20%27_blank%27%2C%20620%2C%20430%2C%20%27width%3D620%2Cheight%3D430%2Cresizable%3Dyes%2Ctoolbar%3Dyes%2Cstatus%3Dyes%2Cscrollbars%3Dyes%2Cmenubar%3Dyes%2Cdirectories%3Dyes%2Clocation%3Dyes%2Cdependant%3Dno%27%2C%20false%2C%20true%29%3B" title="https://drive.google.com/open?id=1io37opL78RczNL3YGlOckWwatEorPGoW (Nova janela)"&gt;https://drive.google.com/open?id=1io37opL78RczNL3YGlOckWwatEorPGoW&lt;/a&gt;</t>
  </si>
  <si>
    <t>&lt;a href="javascript:openPopupFocus%28%27https%3A%2F%2Fdrive.google.com%2Fopen%3Fid%3D1rRueHcSr4Z3jXm3RzGOeYKyYtqfH4DlT%27%2C%20%27_blank%27%2C%20620%2C%20430%2C%20%27width%3D620%2Cheight%3D430%2Cresizable%3Dyes%2Ctoolbar%3Dyes%2Cstatus%3Dyes%2Cscrollbars%3Dyes%2Cmenubar%3Dyes%2Cdirectories%3Dyes%2Clocation%3Dyes%2Cdependant%3Dno%27%2C%20false%2C%20true%29%3B" title="https://drive.google.com/open?id=1rRueHcSr4Z3jXm3RzGOeYKyYtqfH4DlT (Nova janela)"&gt;https://drive.google.com/open?id=1rRueHcSr4Z3jXm3RzGOeYKyYtqfH4DlT&lt;/a&gt;</t>
  </si>
  <si>
    <t>&lt;a href="javascript:openPopupFocus%28%27https%3A%2F%2Fdrive.google.com%2Fopen%3Fid%3D1Derofvu1h-RhmYuUeBMsPPFvWaJAM2-V%27%2C%20%27_blank%27%2C%20620%2C%20430%2C%20%27width%3D620%2Cheight%3D430%2Cresizable%3Dyes%2Ctoolbar%3Dyes%2Cstatus%3Dyes%2Cscrollbars%3Dyes%2Cmenubar%3Dyes%2Cdirectories%3Dyes%2Clocation%3Dyes%2Cdependant%3Dno%27%2C%20false%2C%20true%29%3B" title="https://drive.google.com/open?id=1Derofvu1h-RhmYuUeBMsPPFvWaJAM2-V (Nova janela)"&gt;https://drive.google.com/open?id=1Derofvu1h-RhmYuUeBMsPPFvWaJAM2-V&lt;/a&gt;</t>
  </si>
  <si>
    <t>0014P00003SGWPR</t>
  </si>
  <si>
    <t>CASA DA COMUNIDADE DO BERARDO - CCB SOCIAL</t>
  </si>
  <si>
    <t>CCB SOCIAL</t>
  </si>
  <si>
    <t>32.331.626/0001-77</t>
  </si>
  <si>
    <t>Angelo Felipe Do Nascimento Bezerra</t>
  </si>
  <si>
    <t>casasocialdacomunidade@yahoo.com</t>
  </si>
  <si>
    <t>(81)8796-8014</t>
  </si>
  <si>
    <t>Rua Professor Lins e Silva</t>
  </si>
  <si>
    <t>PRADO</t>
  </si>
  <si>
    <t>CASA A</t>
  </si>
  <si>
    <t>Crianças. Jovens e Idosos</t>
  </si>
  <si>
    <t>Sítio do Berardo Jóquei Clube Rua da Lama e Sítio do Cardoso</t>
  </si>
  <si>
    <t>São famílias de baixa renda em situação de vulnerabilidade social. O trabalho hoje tem prioridade nas crianças em seu contra turno escolar e para os jovens.</t>
  </si>
  <si>
    <t>["Negócio Social","Eventos"]</t>
  </si>
  <si>
    <t>70% Negocio social, 5% Doadores Recorrente, 25% Campanhas de arrecadação financeira</t>
  </si>
  <si>
    <t>&lt;a href="javascript:openPopupFocus%28%27http%3A%2F%2Fwww.ccbsocial.com%2F%27%2C%20%27_blank%27%2C%20620%2C%20430%2C%20%27width%3D620%2Cheight%3D430%2Cresizable%3Dyes%2Ctoolbar%3Dyes%2Cstatus%3Dyes%2Cscrollbars%3Dyes%2Cmenubar%3Dyes%2Cdirectories%3Dyes%2Clocation%3Dyes%2Cdependant%3Dno%27%2C%20false%2C%20true%29%3B" title="http://www.ccbsocial.com/ (Nova janela)"&gt;http://www.ccbsocial.com/&lt;/a&gt;</t>
  </si>
  <si>
    <t>&lt;a href="javascript:openPopupFocus%28%27https%3A%2F%2Fwww.instagram.com%2Fccb_social%3Fr%3Dnametag%27%2C%20%27_blank%27%2C%20620%2C%20430%2C%20%27width%3D620%2Cheight%3D430%2Cresizable%3Dyes%2Ctoolbar%3Dyes%2Cstatus%3Dyes%2Cscrollbars%3Dyes%2Cmenubar%3Dyes%2Cdirectories%3Dyes%2Clocation%3Dyes%2Cdependant%3Dno%27%2C%20false%2C%20true%29%3B" title="https://www.instagram.com/ccb_social?r=nametag (Nova janela)"&gt;https://www.instagram.com/ccb_social?r=nametag&lt;/a&gt;</t>
  </si>
  <si>
    <t>&lt;a href="javascript:openPopupFocus%28%27https%3A%2F%2Fdrive.google.com%2Fopen%3Fid%3D17EVyvKLQduxeIOO2zjILJvUdJaOtIGr1%27%2C%20%27_blank%27%2C%20620%2C%20430%2C%20%27width%3D620%2Cheight%3D430%2Cresizable%3Dyes%2Ctoolbar%3Dyes%2Cstatus%3Dyes%2Cscrollbars%3Dyes%2Cmenubar%3Dyes%2Cdirectories%3Dyes%2Clocation%3Dyes%2Cdependant%3Dno%27%2C%20false%2C%20true%29%3B" title="https://drive.google.com/open?id=17EVyvKLQduxeIOO2zjILJvUdJaOtIGr1 (Nova janela)"&gt;https://drive.google.com/open?id=17EVyvKLQduxeIOO2zjILJvUdJaOtIGr1&lt;/a&gt;</t>
  </si>
  <si>
    <t>&lt;a href="javascript:openPopupFocus%28%27https%3A%2F%2Fdrive.google.com%2Fopen%3Fid%3D1sSW4T6MegbubHibbSkx4kN3IY_ay5CTQ%27%2C%20%27_blank%27%2C%20620%2C%20430%2C%20%27width%3D620%2Cheight%3D430%2Cresizable%3Dyes%2Ctoolbar%3Dyes%2Cstatus%3Dyes%2Cscrollbars%3Dyes%2Cmenubar%3Dyes%2Cdirectories%3Dyes%2Clocation%3Dyes%2Cdependant%3Dno%27%2C%20false%2C%20true%29%3B" title="https://drive.google.com/open?id=1sSW4T6MegbubHibbSkx4kN3IY_ay5CTQ (Nova janela)"&gt;https://drive.google.com/open?id=1sSW4T6MegbubHibbSkx4kN3IY_ay5CTQ&lt;/a&gt;</t>
  </si>
  <si>
    <t>&lt;a href="javascript:openPopupFocus%28%27https%3A%2F%2Fdrive.google.com%2Fopen%3Fid%3D14XSMkcnfHwA4gcAfKE7dyejI5FQw-USY%27%2C%20%27_blank%27%2C%20620%2C%20430%2C%20%27width%3D620%2Cheight%3D430%2Cresizable%3Dyes%2Ctoolbar%3Dyes%2Cstatus%3Dyes%2Cscrollbars%3Dyes%2Cmenubar%3Dyes%2Cdirectories%3Dyes%2Clocation%3Dyes%2Cdependant%3Dno%27%2C%20false%2C%20true%29%3B" title="https://drive.google.com/open?id=14XSMkcnfHwA4gcAfKE7dyejI5FQw-USY (Nova janela)"&gt;https://drive.google.com/open?id=14XSMkcnfHwA4gcAfKE7dyejI5FQw-USY&lt;/a&gt;</t>
  </si>
  <si>
    <t>&lt;a href="javascript:openPopupFocus%28%27https%3A%2F%2Fdrive.google.com%2Fopen%3Fid%3D1SXUj5eIMDXjw1h9ZPhPqUfLCCHGbFT7p%27%2C%20%27_blank%27%2C%20620%2C%20430%2C%20%27width%3D620%2Cheight%3D430%2Cresizable%3Dyes%2Ctoolbar%3Dyes%2Cstatus%3Dyes%2Cscrollbars%3Dyes%2Cmenubar%3Dyes%2Cdirectories%3Dyes%2Clocation%3Dyes%2Cdependant%3Dno%27%2C%20false%2C%20true%29%3B" title="https://drive.google.com/open?id=1SXUj5eIMDXjw1h9ZPhPqUfLCCHGbFT7p (Nova janela)"&gt;https://drive.google.com/open?id=1SXUj5eIMDXjw1h9ZPhPqUfLCCHGbFT7p&lt;/a&gt;</t>
  </si>
  <si>
    <t>&lt;a href="javascript:openPopupFocus%28%27https%3A%2F%2Fdrive.google.com%2Fopen%3Fid%3D1scoiM8n6jMsifw1eVME_0XZ8BzbysGdh%27%2C%20%27_blank%27%2C%20620%2C%20430%2C%20%27width%3D620%2Cheight%3D430%2Cresizable%3Dyes%2Ctoolbar%3Dyes%2Cstatus%3Dyes%2Cscrollbars%3Dyes%2Cmenubar%3Dyes%2Cdirectories%3Dyes%2Clocation%3Dyes%2Cdependant%3Dno%27%2C%20false%2C%20true%29%3B" title="https://drive.google.com/open?id=1scoiM8n6jMsifw1eVME_0XZ8BzbysGdh (Nova janela)"&gt;https://drive.google.com/open?id=1scoiM8n6jMsifw1eVME_0XZ8BzbysGdh&lt;/a&gt;</t>
  </si>
  <si>
    <t>&lt;a href="javascript:openPopupFocus%28%27https%3A%2F%2Fdrive.google.com%2Fopen%3Fid%3D1huNikb5ooOe-b_uzZCpYy5RbDlBht_nh%27%2C%20%27_blank%27%2C%20620%2C%20430%2C%20%27width%3D620%2Cheight%3D430%2Cresizable%3Dyes%2Ctoolbar%3Dyes%2Cstatus%3Dyes%2Cscrollbars%3Dyes%2Cmenubar%3Dyes%2Cdirectories%3Dyes%2Clocation%3Dyes%2Cdependant%3Dno%27%2C%20false%2C%20true%29%3B" title="https://drive.google.com/open?id=1huNikb5ooOe-b_uzZCpYy5RbDlBht_nh (Nova janela)"&gt;https://drive.google.com/open?id=1huNikb5ooOe-b_uzZCpYy5RbDlBht_nh&lt;/a&gt;</t>
  </si>
  <si>
    <t>&lt;a href="javascript:openPopupFocus%28%27https%3A%2F%2Fdrive.google.com%2Fopen%3Fid%3D1zTmS5XoMQdVBpxx7l-Q9bEbm073VCy5e%27%2C%20%27_blank%27%2C%20620%2C%20430%2C%20%27width%3D620%2Cheight%3D430%2Cresizable%3Dyes%2Ctoolbar%3Dyes%2Cstatus%3Dyes%2Cscrollbars%3Dyes%2Cmenubar%3Dyes%2Cdirectories%3Dyes%2Clocation%3Dyes%2Cdependant%3Dno%27%2C%20false%2C%20true%29%3B" title="https://drive.google.com/open?id=1zTmS5XoMQdVBpxx7l-Q9bEbm073VCy5e (Nova janela)"&gt;https://drive.google.com/open?id=1zTmS5XoMQdVBpxx7l-Q9bEbm073VCy5e&lt;/a&gt;</t>
  </si>
  <si>
    <t>0014P00003SGWPS</t>
  </si>
  <si>
    <t>ASSOCIAÇÃO SWELL SURF BAÍA FORMOSA</t>
  </si>
  <si>
    <t>SWELL</t>
  </si>
  <si>
    <t>35.054.838/0001-42</t>
  </si>
  <si>
    <t>Barbara Coelho Souza Syllio</t>
  </si>
  <si>
    <t>projetoswellsurf@gmail.com</t>
  </si>
  <si>
    <t>(84)0000-0000</t>
  </si>
  <si>
    <t>Rua João Ferreira de Souza</t>
  </si>
  <si>
    <t>Baía Formosa</t>
  </si>
  <si>
    <t>Moradores de favelas. Povos Indígenas. Quilombolas. Afrodescendentes. Pessoas com deficiências</t>
  </si>
  <si>
    <t>Dunas Turano e Treze</t>
  </si>
  <si>
    <t>10% de apoio de empresas e 90% renda própria</t>
  </si>
  <si>
    <t>&lt;a href="javascript:openPopupFocus%28%27http%3A%2F%2Fprojetoswell.com.br%2F%27%2C%20%27_blank%27%2C%20620%2C%20430%2C%20%27width%3D620%2Cheight%3D430%2Cresizable%3Dyes%2Ctoolbar%3Dyes%2Cstatus%3Dyes%2Cscrollbars%3Dyes%2Cmenubar%3Dyes%2Cdirectories%3Dyes%2Clocation%3Dyes%2Cdependant%3Dno%27%2C%20false%2C%20true%29%3B" title="http://projetoswell.com.br/ (Nova janela)"&gt;http://projetoswell.com.br/&lt;/a&gt;</t>
  </si>
  <si>
    <t>&lt;a href="javascript:openPopupFocus%28%27https%3A%2F%2Finstagram.com%2Fprojetoswell%3Futm_medium%3Dcopy_link%27%2C%20%27_blank%27%2C%20620%2C%20430%2C%20%27width%3D620%2Cheight%3D430%2Cresizable%3Dyes%2Ctoolbar%3Dyes%2Cstatus%3Dyes%2Cscrollbars%3Dyes%2Cmenubar%3Dyes%2Cdirectories%3Dyes%2Clocation%3Dyes%2Cdependant%3Dno%27%2C%20false%2C%20true%29%3B" title="https://instagram.com/projetoswell?utm_medium=copy_link (Nova janela)"&gt;https://instagram.com/projetoswell?utm_medium=copy_link&lt;/a&gt;</t>
  </si>
  <si>
    <t>&lt;a href="javascript:openPopupFocus%28%27https%3A%2F%2Fyoutube.com%2Fchannel%2FUCgThD_fGkMlwz3I8Mrfp7qw%27%2C%20%27_blank%27%2C%20620%2C%20430%2C%20%27width%3D620%2Cheight%3D430%2Cresizable%3Dyes%2Ctoolbar%3Dyes%2Cstatus%3Dyes%2Cscrollbars%3Dyes%2Cmenubar%3Dyes%2Cdirectories%3Dyes%2Clocation%3Dyes%2Cdependant%3Dno%27%2C%20false%2C%20true%29%3B" title="https://youtube.com/channel/UCgThD_fGkMlwz3I8Mrfp7qw (Nova janela)"&gt;https://youtube.com/channel/UCgThD_fGkMlwz3I8Mrfp7qw&lt;/a&gt;</t>
  </si>
  <si>
    <t>&lt;a href="javascript:openPopupFocus%28%27https%3A%2F%2Fdrive.google.com%2Fopen%3Fid%3D13vfTmsdIVWQmd-slab-93MbxyC99ZuyH%27%2C%20%27_blank%27%2C%20620%2C%20430%2C%20%27width%3D620%2Cheight%3D430%2Cresizable%3Dyes%2Ctoolbar%3Dyes%2Cstatus%3Dyes%2Cscrollbars%3Dyes%2Cmenubar%3Dyes%2Cdirectories%3Dyes%2Clocation%3Dyes%2Cdependant%3Dno%27%2C%20false%2C%20true%29%3B" title="https://drive.google.com/open?id=13vfTmsdIVWQmd-slab-93MbxyC99ZuyH (Nova janela)"&gt;https://drive.google.com/open?id=13vfTmsdIVWQmd-slab-93MbxyC99ZuyH&lt;/a&gt;</t>
  </si>
  <si>
    <t>&lt;a href="javascript:openPopupFocus%28%27https%3A%2F%2Fdrive.google.com%2Fopen%3Fid%3D110Java4SRQKu0Y8sZtSWkkXOJjs-SVcY%27%2C%20%27_blank%27%2C%20620%2C%20430%2C%20%27width%3D620%2Cheight%3D430%2Cresizable%3Dyes%2Ctoolbar%3Dyes%2Cstatus%3Dyes%2Cscrollbars%3Dyes%2Cmenubar%3Dyes%2Cdirectories%3Dyes%2Clocation%3Dyes%2Cdependant%3Dno%27%2C%20false%2C%20true%29%3B" title="https://drive.google.com/open?id=110Java4SRQKu0Y8sZtSWkkXOJjs-SVcY (Nova janela)"&gt;https://drive.google.com/open?id=110Java4SRQKu0Y8sZtSWkkXOJjs-SVcY&lt;/a&gt;</t>
  </si>
  <si>
    <t>&lt;a href="javascript:openPopupFocus%28%27https%3A%2F%2Fdrive.google.com%2Fopen%3Fid%3D1ocul0dyuL3U4l-UQrlyNQdiCiRihhv2B%27%2C%20%27_blank%27%2C%20620%2C%20430%2C%20%27width%3D620%2Cheight%3D430%2Cresizable%3Dyes%2Ctoolbar%3Dyes%2Cstatus%3Dyes%2Cscrollbars%3Dyes%2Cmenubar%3Dyes%2Cdirectories%3Dyes%2Clocation%3Dyes%2Cdependant%3Dno%27%2C%20false%2C%20true%29%3B" title="https://drive.google.com/open?id=1ocul0dyuL3U4l-UQrlyNQdiCiRihhv2B (Nova janela)"&gt;https://drive.google.com/open?id=1ocul0dyuL3U4l-UQrlyNQdiCiRihhv2B&lt;/a&gt;</t>
  </si>
  <si>
    <t>&lt;a href="javascript:openPopupFocus%28%27https%3A%2F%2Fdrive.google.com%2Fopen%3Fid%3D1JPvpYj3nNMQUYepCFhDVLBAXbp-ZGgNU%27%2C%20%27_blank%27%2C%20620%2C%20430%2C%20%27width%3D620%2Cheight%3D430%2Cresizable%3Dyes%2Ctoolbar%3Dyes%2Cstatus%3Dyes%2Cscrollbars%3Dyes%2Cmenubar%3Dyes%2Cdirectories%3Dyes%2Clocation%3Dyes%2Cdependant%3Dno%27%2C%20false%2C%20true%29%3B" title="https://drive.google.com/open?id=1JPvpYj3nNMQUYepCFhDVLBAXbp-ZGgNU (Nova janela)"&gt;https://drive.google.com/open?id=1JPvpYj3nNMQUYepCFhDVLBAXbp-ZGgNU&lt;/a&gt;</t>
  </si>
  <si>
    <t>&lt;a href="javascript:openPopupFocus%28%27https%3A%2F%2Fdrive.google.com%2Fopen%3Fid%3D1RSGOzxf6ByxPOrTsQzfizJPsfD6KGuM7%27%2C%20%27_blank%27%2C%20620%2C%20430%2C%20%27width%3D620%2Cheight%3D430%2Cresizable%3Dyes%2Ctoolbar%3Dyes%2Cstatus%3Dyes%2Cscrollbars%3Dyes%2Cmenubar%3Dyes%2Cdirectories%3Dyes%2Clocation%3Dyes%2Cdependant%3Dno%27%2C%20false%2C%20true%29%3B" title="https://drive.google.com/open?id=1RSGOzxf6ByxPOrTsQzfizJPsfD6KGuM7 (Nova janela)"&gt;https://drive.google.com/open?id=1RSGOzxf6ByxPOrTsQzfizJPsfD6KGuM7&lt;/a&gt;</t>
  </si>
  <si>
    <t>&lt;a href="javascript:openPopupFocus%28%27https%3A%2F%2Fdrive.google.com%2Fopen%3Fid%3D1r-kSBmY72ttxcErNt4WdlGHbHWrYo-Pz%27%2C%20%27_blank%27%2C%20620%2C%20430%2C%20%27width%3D620%2Cheight%3D430%2Cresizable%3Dyes%2Ctoolbar%3Dyes%2Cstatus%3Dyes%2Cscrollbars%3Dyes%2Cmenubar%3Dyes%2Cdirectories%3Dyes%2Clocation%3Dyes%2Cdependant%3Dno%27%2C%20false%2C%20true%29%3B" title="https://drive.google.com/open?id=1r-kSBmY72ttxcErNt4WdlGHbHWrYo-Pz (Nova janela)"&gt;https://drive.google.com/open?id=1r-kSBmY72ttxcErNt4WdlGHbHWrYo-Pz&lt;/a&gt;</t>
  </si>
  <si>
    <t>0014P00003SGWPT</t>
  </si>
  <si>
    <t>ESPAÇO DE ACOLHIMENTO DA CRIANÇA E DO ADOLESCENTE - EACA</t>
  </si>
  <si>
    <t>EACA</t>
  </si>
  <si>
    <t>17.074.109/0001-76</t>
  </si>
  <si>
    <t>Claudia Souza Da Silva</t>
  </si>
  <si>
    <t>eacainstituto@gmail.com</t>
  </si>
  <si>
    <t>(21)7190-9176</t>
  </si>
  <si>
    <t>Estrada de Itararé</t>
  </si>
  <si>
    <t>Anexo 2</t>
  </si>
  <si>
    <t>Rua Roberto Silva 726 - Ramos - Cep: 21060-230</t>
  </si>
  <si>
    <t>Morro da Alvorada Nova Brasília Fazendinha Favela da Grota Morro dos Mineiros Morro do Alemão.</t>
  </si>
  <si>
    <t>Atendemos também as famílias de alunos com psicoterapia.</t>
  </si>
  <si>
    <t>&lt;a href="javascript:openPopupFocus%28%27https%3A%2F%2Fwww.instagram.com%2Fp%2FCP_urm5JwK4%2F%3Futm_medium%3Dshare_sheet%27%2C%20%27_blank%27%2C%20620%2C%20430%2C%20%27width%3D620%2Cheight%3D430%2Cresizable%3Dyes%2Ctoolbar%3Dyes%2Cstatus%3Dyes%2Cscrollbars%3Dyes%2Cmenubar%3Dyes%2Cdirectories%3Dyes%2Clocation%3Dyes%2Cdependant%3Dno%27%2C%20false%2C%20true%29%3B" title="https://www.instagram.com/p/CP_urm5JwK4/?utm_medium=share_sheet (Nova janela)"&gt;https://www.instagram.com/p/CP_urm5JwK4/?utm_medium=share_sheet&lt;/a&gt;</t>
  </si>
  <si>
    <t>&lt;a href="javascript:openPopupFocus%28%27https%3A%2F%2Fwww.facebook.com%2F1883550875006253%2Fposts%2F4762745793753399%2F%27%2C%20%27_blank%27%2C%20620%2C%20430%2C%20%27width%3D620%2Cheight%3D430%2Cresizable%3Dyes%2Ctoolbar%3Dyes%2Cstatus%3Dyes%2Cscrollbars%3Dyes%2Cmenubar%3Dyes%2Cdirectories%3Dyes%2Clocation%3Dyes%2Cdependant%3Dno%27%2C%20false%2C%20true%29%3B" title="https://www.facebook.com/1883550875006253/posts/4762745793753399/ (Nova janela)"&gt;https://www.facebook.com/1883550875006253/posts/4762745793753399/&lt;/a&gt;</t>
  </si>
  <si>
    <t>&lt;a href="javascript:openPopupFocus%28%27https%3A%2F%2Fdrive.google.com%2Fopen%3Fid%3D1e2NX0Fpdt9Hz0nHzBj7HGFxk4xVFxSWC%27%2C%20%27_blank%27%2C%20620%2C%20430%2C%20%27width%3D620%2Cheight%3D430%2Cresizable%3Dyes%2Ctoolbar%3Dyes%2Cstatus%3Dyes%2Cscrollbars%3Dyes%2Cmenubar%3Dyes%2Cdirectories%3Dyes%2Clocation%3Dyes%2Cdependant%3Dno%27%2C%20false%2C%20true%29%3B" title="https://drive.google.com/open?id=1e2NX0Fpdt9Hz0nHzBj7HGFxk4xVFxSWC (Nova janela)"&gt;https://drive.google.com/open?id=1e2NX0Fpdt9Hz0nHzBj7HGFxk4xVFxSWC&lt;/a&gt;</t>
  </si>
  <si>
    <t>&lt;a href="javascript:openPopupFocus%28%27https%3A%2F%2Fdrive.google.com%2Fopen%3Fid%3D1-s-lRIfuet1qxY-Z5bvTbUnXrTDBycj0%27%2C%20%27_blank%27%2C%20620%2C%20430%2C%20%27width%3D620%2Cheight%3D430%2Cresizable%3Dyes%2Ctoolbar%3Dyes%2Cstatus%3Dyes%2Cscrollbars%3Dyes%2Cmenubar%3Dyes%2Cdirectories%3Dyes%2Clocation%3Dyes%2Cdependant%3Dno%27%2C%20false%2C%20true%29%3B" title="https://drive.google.com/open?id=1-s-lRIfuet1qxY-Z5bvTbUnXrTDBycj0 (Nova janela)"&gt;https://drive.google.com/open?id=1-s-lRIfuet1qxY-Z5bvTbUnXrTDBycj0&lt;/a&gt;</t>
  </si>
  <si>
    <t>&lt;a href="javascript:openPopupFocus%28%27https%3A%2F%2Fdrive.google.com%2Fopen%3Fid%3D1gdP92UTLsS1oX_HFbJapIjbJ3Yy1rtT5%27%2C%20%27_blank%27%2C%20620%2C%20430%2C%20%27width%3D620%2Cheight%3D430%2Cresizable%3Dyes%2Ctoolbar%3Dyes%2Cstatus%3Dyes%2Cscrollbars%3Dyes%2Cmenubar%3Dyes%2Cdirectories%3Dyes%2Clocation%3Dyes%2Cdependant%3Dno%27%2C%20false%2C%20true%29%3B" title="https://drive.google.com/open?id=1gdP92UTLsS1oX_HFbJapIjbJ3Yy1rtT5 (Nova janela)"&gt;https://drive.google.com/open?id=1gdP92UTLsS1oX_HFbJapIjbJ3Yy1rtT5&lt;/a&gt;</t>
  </si>
  <si>
    <t>0014P00003SGWPU</t>
  </si>
  <si>
    <t>ASSOCIAÇÃO LACRE DO BEM</t>
  </si>
  <si>
    <t>LACRE DO BEM</t>
  </si>
  <si>
    <t>24.8390008/0001-04</t>
  </si>
  <si>
    <t>Fábio Páscoa Praxedes</t>
  </si>
  <si>
    <t>contato@lacredobem.org.br</t>
  </si>
  <si>
    <t>(31)3463-8314</t>
  </si>
  <si>
    <t>Rua João Ramalho</t>
  </si>
  <si>
    <t>Novo Glória</t>
  </si>
  <si>
    <t>loja 2</t>
  </si>
  <si>
    <t>Rua Efigênio Cândido da Rocha 130 Bairro Inconfidência - BH -MG CEP 30820-510</t>
  </si>
  <si>
    <t>["Assistência Social","Saúde","Meio ambiente"]</t>
  </si>
  <si>
    <t>Vila São José Vila dos Marmiteiros Vila 31 de março Vila Savassinha Vila Califórnia (suvaco de cobra) Vila Gameleira (Felicidade)</t>
  </si>
  <si>
    <t>Nossas Oficinas de Recicláveis e Palestras são realizadas em Centros de Educação Ambiental Virada Cultural Escolas e Museus  devido a pandemia fizemos algumas ações virtual.</t>
  </si>
  <si>
    <t>["Negócio Social","Eventos/Ações para captação","Projetos Específicos com Empresas"]</t>
  </si>
  <si>
    <t>negócio social 80%</t>
  </si>
  <si>
    <t>&lt;a href="javascript:openPopupFocus%28%27https%3A%2F%2Fwww.lacredobem.org.br%2F%27%2C%20%27_blank%27%2C%20620%2C%20430%2C%20%27width%3D620%2Cheight%3D430%2Cresizable%3Dyes%2Ctoolbar%3Dyes%2Cstatus%3Dyes%2Cscrollbars%3Dyes%2Cmenubar%3Dyes%2Cdirectories%3Dyes%2Clocation%3Dyes%2Cdependant%3Dno%27%2C%20false%2C%20true%29%3B" title="https://www.lacredobem.org.br/ (Nova janela)"&gt;https://www.lacredobem.org.br/&lt;/a&gt;</t>
  </si>
  <si>
    <t>&lt;a href="javascript:openPopupFocus%28%27https%3A%2F%2Fwww.instagram.com%2Flacredobem%2F%3Fhl%3Dpt-br%27%2C%20%27_blank%27%2C%20620%2C%20430%2C%20%27width%3D620%2Cheight%3D430%2Cresizable%3Dyes%2Ctoolbar%3Dyes%2Cstatus%3Dyes%2Cscrollbars%3Dyes%2Cmenubar%3Dyes%2Cdirectories%3Dyes%2Clocation%3Dyes%2Cdependant%3Dno%27%2C%20false%2C%20true%29%3B" title="https://www.instagram.com/lacredobem/?hl=pt-br (Nova janela)"&gt;https://www.instagram.com/lacredobem/?hl=pt-br&lt;/a&gt;</t>
  </si>
  <si>
    <t>&lt;a href="javascript:openPopupFocus%28%27https%3A%2F%2Fwww.facebook.com%2Flacredobem%27%2C%20%27_blank%27%2C%20620%2C%20430%2C%20%27width%3D620%2Cheight%3D430%2Cresizable%3Dyes%2Ctoolbar%3Dyes%2Cstatus%3Dyes%2Cscrollbars%3Dyes%2Cmenubar%3Dyes%2Cdirectories%3Dyes%2Clocation%3Dyes%2Cdependant%3Dno%27%2C%20false%2C%20true%29%3B" title="https://www.facebook.com/lacredobem (Nova janela)"&gt;https://www.facebook.com/lacredobem&lt;/a&gt;</t>
  </si>
  <si>
    <t>&lt;a href="javascript:openPopupFocus%28%27https%3A%2F%2Fwww.youtube.com%2Fchannel%2FUCEwz6MG95c9KWmPYfXeQB5A%27%2C%20%27_blank%27%2C%20620%2C%20430%2C%20%27width%3D620%2Cheight%3D430%2Cresizable%3Dyes%2Ctoolbar%3Dyes%2Cstatus%3Dyes%2Cscrollbars%3Dyes%2Cmenubar%3Dyes%2Cdirectories%3Dyes%2Clocation%3Dyes%2Cdependant%3Dno%27%2C%20false%2C%20true%29%3B" title="https://www.youtube.com/channel/UCEwz6MG95c9KWmPYfXeQB5A (Nova janela)"&gt;https://www.youtube.com/channel/UCEwz6MG95c9KWmPYfXeQB5A&lt;/a&gt;</t>
  </si>
  <si>
    <t>&lt;a href="javascript:openPopupFocus%28%27https%3A%2F%2Fdrive.google.com%2Fopen%3Fid%3D1q6oJzBBCp6JWVu05hdCbMphGxgheyuz3%27%2C%20%27_blank%27%2C%20620%2C%20430%2C%20%27width%3D620%2Cheight%3D430%2Cresizable%3Dyes%2Ctoolbar%3Dyes%2Cstatus%3Dyes%2Cscrollbars%3Dyes%2Cmenubar%3Dyes%2Cdirectories%3Dyes%2Clocation%3Dyes%2Cdependant%3Dno%27%2C%20false%2C%20true%29%3B" title="https://drive.google.com/open?id=1q6oJzBBCp6JWVu05hdCbMphGxgheyuz3 (Nova janela)"&gt;https://drive.google.com/open?id=1q6oJzBBCp6JWVu05hdCbMphGxgheyuz3&lt;/a&gt;</t>
  </si>
  <si>
    <t>&lt;a href="javascript:openPopupFocus%28%27https%3A%2F%2Fdrive.google.com%2Fopen%3Fid%3D1jAtqZb6yjj_WGdUzETnZBz5PxwVp-25M%27%2C%20%27_blank%27%2C%20620%2C%20430%2C%20%27width%3D620%2Cheight%3D430%2Cresizable%3Dyes%2Ctoolbar%3Dyes%2Cstatus%3Dyes%2Cscrollbars%3Dyes%2Cmenubar%3Dyes%2Cdirectories%3Dyes%2Clocation%3Dyes%2Cdependant%3Dno%27%2C%20false%2C%20true%29%3B" title="https://drive.google.com/open?id=1jAtqZb6yjj_WGdUzETnZBz5PxwVp-25M (Nova janela)"&gt;https://drive.google.com/open?id=1jAtqZb6yjj_WGdUzETnZBz5PxwVp-25M&lt;/a&gt;</t>
  </si>
  <si>
    <t>&lt;a href="javascript:openPopupFocus%28%27https%3A%2F%2Fdrive.google.com%2Fopen%3Fid%3D1CfXUwpd6hbLx7__oXv-DXlpTT0BwLbF1%27%2C%20%27_blank%27%2C%20620%2C%20430%2C%20%27width%3D620%2Cheight%3D430%2Cresizable%3Dyes%2Ctoolbar%3Dyes%2Cstatus%3Dyes%2Cscrollbars%3Dyes%2Cmenubar%3Dyes%2Cdirectories%3Dyes%2Clocation%3Dyes%2Cdependant%3Dno%27%2C%20false%2C%20true%29%3B" title="https://drive.google.com/open?id=1CfXUwpd6hbLx7__oXv-DXlpTT0BwLbF1 (Nova janela)"&gt;https://drive.google.com/open?id=1CfXUwpd6hbLx7__oXv-DXlpTT0BwLbF1&lt;/a&gt;</t>
  </si>
  <si>
    <t>&lt;a href="javascript:openPopupFocus%28%27https%3A%2F%2Fdrive.google.com%2Fopen%3Fid%3D1K6kQiuqNijvYhtsCWCq7lmuZGgWHopZx%27%2C%20%27_blank%27%2C%20620%2C%20430%2C%20%27width%3D620%2Cheight%3D430%2Cresizable%3Dyes%2Ctoolbar%3Dyes%2Cstatus%3Dyes%2Cscrollbars%3Dyes%2Cmenubar%3Dyes%2Cdirectories%3Dyes%2Clocation%3Dyes%2Cdependant%3Dno%27%2C%20false%2C%20true%29%3B" title="https://drive.google.com/open?id=1K6kQiuqNijvYhtsCWCq7lmuZGgWHopZx (Nova janela)"&gt;https://drive.google.com/open?id=1K6kQiuqNijvYhtsCWCq7lmuZGgWHopZx&lt;/a&gt;</t>
  </si>
  <si>
    <t>0014P00003SGWPV</t>
  </si>
  <si>
    <t>ICEF- INSTITUTO DOM</t>
  </si>
  <si>
    <t>ICEF</t>
  </si>
  <si>
    <t>42.586.712/0001-84</t>
  </si>
  <si>
    <t>Edmar Cassimiro Pedro</t>
  </si>
  <si>
    <t>grupodomjf@gmail.com</t>
  </si>
  <si>
    <t>(32)8417-0749</t>
  </si>
  <si>
    <t>Belo Vale</t>
  </si>
  <si>
    <t>["Esporte","Educação","Assistência Social","Cultura","Qualificação Profissional","Saúde"]</t>
  </si>
  <si>
    <t>chapadão/ grota/ 511</t>
  </si>
  <si>
    <t>5%editais</t>
  </si>
  <si>
    <t>&lt;a href="javascript:openPopupFocus%28%27https%3A%2F%2Finstagram.com%2Finstitutodomjf%3Futm_medium%3Dcopy_link%27%2C%20%27_blank%27%2C%20620%2C%20430%2C%20%27width%3D620%2Cheight%3D430%2Cresizable%3Dyes%2Ctoolbar%3Dyes%2Cstatus%3Dyes%2Cscrollbars%3Dyes%2Cmenubar%3Dyes%2Cdirectories%3Dyes%2Clocation%3Dyes%2Cdependant%3Dno%27%2C%20false%2C%20true%29%3B" title="https://instagram.com/institutodomjf?utm_medium=copy_link (Nova janela)"&gt;https://instagram.com/institutodomjf?utm_medium=copy_link&lt;/a&gt;</t>
  </si>
  <si>
    <t>&lt;a href="javascript:openPopupFocus%28%27https%3A%2F%2Fwww.facebook.com%2Finstitutodomjf%2F%27%2C%20%27_blank%27%2C%20620%2C%20430%2C%20%27width%3D620%2Cheight%3D430%2Cresizable%3Dyes%2Ctoolbar%3Dyes%2Cstatus%3Dyes%2Cscrollbars%3Dyes%2Cmenubar%3Dyes%2Cdirectories%3Dyes%2Clocation%3Dyes%2Cdependant%3Dno%27%2C%20false%2C%20true%29%3B" title="https://www.facebook.com/institutodomjf/ (Nova janela)"&gt;https://www.facebook.com/institutodomjf/&lt;/a&gt;</t>
  </si>
  <si>
    <t>&lt;a href="javascript:openPopupFocus%28%27https%3A%2F%2Fdrive.google.com%2Fopen%3Fid%3D1jiV6P1K6hExj57fLJHNuv4VeC7EZQGdW%27%2C%20%27_blank%27%2C%20620%2C%20430%2C%20%27width%3D620%2Cheight%3D430%2Cresizable%3Dyes%2Ctoolbar%3Dyes%2Cstatus%3Dyes%2Cscrollbars%3Dyes%2Cmenubar%3Dyes%2Cdirectories%3Dyes%2Clocation%3Dyes%2Cdependant%3Dno%27%2C%20false%2C%20true%29%3B" title="https://drive.google.com/open?id=1jiV6P1K6hExj57fLJHNuv4VeC7EZQGdW (Nova janela)"&gt;https://drive.google.com/open?id=1jiV6P1K6hExj57fLJHNuv4VeC7EZQGdW&lt;/a&gt;</t>
  </si>
  <si>
    <t>&lt;a href="javascript:openPopupFocus%28%27https%3A%2F%2Fdrive.google.com%2Fopen%3Fid%3D1Sn89jStiovwR4BZN_8AU1D7XoR9XYepp%27%2C%20%27_blank%27%2C%20620%2C%20430%2C%20%27width%3D620%2Cheight%3D430%2Cresizable%3Dyes%2Ctoolbar%3Dyes%2Cstatus%3Dyes%2Cscrollbars%3Dyes%2Cmenubar%3Dyes%2Cdirectories%3Dyes%2Clocation%3Dyes%2Cdependant%3Dno%27%2C%20false%2C%20true%29%3B" title="https://drive.google.com/open?id=1Sn89jStiovwR4BZN_8AU1D7XoR9XYepp (Nova janela)"&gt;https://drive.google.com/open?id=1Sn89jStiovwR4BZN_8AU1D7XoR9XYepp&lt;/a&gt;</t>
  </si>
  <si>
    <t>&lt;a href="javascript:openPopupFocus%28%27https%3A%2F%2Fdrive.google.com%2Fopen%3Fid%3D1rvTixkxgkaKi1hwqOQ0PRxJ5q6Cc_EpA%27%2C%20%27_blank%27%2C%20620%2C%20430%2C%20%27width%3D620%2Cheight%3D430%2Cresizable%3Dyes%2Ctoolbar%3Dyes%2Cstatus%3Dyes%2Cscrollbars%3Dyes%2Cmenubar%3Dyes%2Cdirectories%3Dyes%2Clocation%3Dyes%2Cdependant%3Dno%27%2C%20false%2C%20true%29%3B" title="https://drive.google.com/open?id=1rvTixkxgkaKi1hwqOQ0PRxJ5q6Cc_EpA (Nova janela)"&gt;https://drive.google.com/open?id=1rvTixkxgkaKi1hwqOQ0PRxJ5q6Cc_EpA&lt;/a&gt;</t>
  </si>
  <si>
    <t>&lt;a href="javascript:openPopupFocus%28%27https%3A%2F%2Fdrive.google.com%2Fopen%3Fid%3D1PgKavqVsFgUrXdYKv1jxPlHkIi7o1nLJ%27%2C%20%27_blank%27%2C%20620%2C%20430%2C%20%27width%3D620%2Cheight%3D430%2Cresizable%3Dyes%2Ctoolbar%3Dyes%2Cstatus%3Dyes%2Cscrollbars%3Dyes%2Cmenubar%3Dyes%2Cdirectories%3Dyes%2Clocation%3Dyes%2Cdependant%3Dno%27%2C%20false%2C%20true%29%3B" title="https://drive.google.com/open?id=1PgKavqVsFgUrXdYKv1jxPlHkIi7o1nLJ (Nova janela)"&gt;https://drive.google.com/open?id=1PgKavqVsFgUrXdYKv1jxPlHkIi7o1nLJ&lt;/a&gt;</t>
  </si>
  <si>
    <t>&lt;a href="javascript:openPopupFocus%28%27https%3A%2F%2Fdrive.google.com%2Fopen%3Fid%3D1rTKD_6SgxBmfHOrQysISrNKFN5J8XS-7%27%2C%20%27_blank%27%2C%20620%2C%20430%2C%20%27width%3D620%2Cheight%3D430%2Cresizable%3Dyes%2Ctoolbar%3Dyes%2Cstatus%3Dyes%2Cscrollbars%3Dyes%2Cmenubar%3Dyes%2Cdirectories%3Dyes%2Clocation%3Dyes%2Cdependant%3Dno%27%2C%20false%2C%20true%29%3B" title="https://drive.google.com/open?id=1rTKD_6SgxBmfHOrQysISrNKFN5J8XS-7 (Nova janela)"&gt;https://drive.google.com/open?id=1rTKD_6SgxBmfHOrQysISrNKFN5J8XS-7&lt;/a&gt;</t>
  </si>
  <si>
    <t>ID do contato</t>
  </si>
  <si>
    <t>Primeiro Nome</t>
  </si>
  <si>
    <t>Sobrenome</t>
  </si>
  <si>
    <t>Status Líder</t>
  </si>
  <si>
    <t>Semestre Falcons</t>
  </si>
  <si>
    <t>Email</t>
  </si>
  <si>
    <t>Celular</t>
  </si>
  <si>
    <t>Data de nascimento</t>
  </si>
  <si>
    <t>Idade</t>
  </si>
  <si>
    <t>RG</t>
  </si>
  <si>
    <t>CPF</t>
  </si>
  <si>
    <t>Área de Formação</t>
  </si>
  <si>
    <t>Cargo</t>
  </si>
  <si>
    <t>Tamanho da camiseta</t>
  </si>
  <si>
    <t>Qual sua raça/etnia</t>
  </si>
  <si>
    <t>Qual é o seu gênero?</t>
  </si>
  <si>
    <t>Trabalha em tempo integral  na ONG?</t>
  </si>
  <si>
    <t>Mini Biografia</t>
  </si>
  <si>
    <t>Sexo Biológico</t>
  </si>
  <si>
    <t>Orientação Sexual</t>
  </si>
  <si>
    <t>Escolaridade</t>
  </si>
  <si>
    <t>Tipo de instituição de ensino básico</t>
  </si>
  <si>
    <t>Nível de ensino superior</t>
  </si>
  <si>
    <t>Tipo de instituição de ensino superior</t>
  </si>
  <si>
    <t>Rua de correspondência</t>
  </si>
  <si>
    <t>Número da residência</t>
  </si>
  <si>
    <t>Complemento de correspondência</t>
  </si>
  <si>
    <t>Cidade de correspondência</t>
  </si>
  <si>
    <t>CEP de correspondência</t>
  </si>
  <si>
    <t>Estado/Província de correspondência</t>
  </si>
  <si>
    <t>Valor bruto da Renda</t>
  </si>
  <si>
    <t>Condição de emprego dos membros familia</t>
  </si>
  <si>
    <t>Condições de moradia</t>
  </si>
  <si>
    <t>Quantas pessoas dependem dessa renda</t>
  </si>
  <si>
    <t>Você tem alguma deficiência</t>
  </si>
  <si>
    <t>Você possui alguma restrição alimentar?</t>
  </si>
  <si>
    <t>Link Linkedin líder</t>
  </si>
  <si>
    <t>Link Instagram líder</t>
  </si>
  <si>
    <t>0034X000032Hrzz</t>
  </si>
  <si>
    <t>Bianca</t>
  </si>
  <si>
    <t>Aragão Esteves</t>
  </si>
  <si>
    <t>Ativo</t>
  </si>
  <si>
    <t>bianca.aragao@institutoarvoredavida.org</t>
  </si>
  <si>
    <t>MG 18540506</t>
  </si>
  <si>
    <t>Feminino</t>
  </si>
  <si>
    <t>Ensino Médio</t>
  </si>
  <si>
    <t>Público</t>
  </si>
  <si>
    <t>Graduação</t>
  </si>
  <si>
    <t>Privado</t>
  </si>
  <si>
    <t>Rua Botumirim, 214</t>
  </si>
  <si>
    <t>32684-046</t>
  </si>
  <si>
    <t>Acima de 5 salários mínimos</t>
  </si>
  <si>
    <t>["Funcionário Público"]</t>
  </si>
  <si>
    <t>Casa própria</t>
  </si>
  <si>
    <t>0034X000032HsDd</t>
  </si>
  <si>
    <t>Juliana</t>
  </si>
  <si>
    <t>Alves da Silva</t>
  </si>
  <si>
    <t>juliana.psicologa@outlook.com.br</t>
  </si>
  <si>
    <t>415424239</t>
  </si>
  <si>
    <t>Ensino Superior</t>
  </si>
  <si>
    <t>Rua Guilherme Cecchini, 98</t>
  </si>
  <si>
    <t>15603-750</t>
  </si>
  <si>
    <t>["CLT"]</t>
  </si>
  <si>
    <t>0034X000032Hs7K</t>
  </si>
  <si>
    <t>Ellen</t>
  </si>
  <si>
    <t>Regina da Costa Serra</t>
  </si>
  <si>
    <t>ellenserra@gmail.com</t>
  </si>
  <si>
    <t>21987394551</t>
  </si>
  <si>
    <t>113436497</t>
  </si>
  <si>
    <t>Produção Cultural</t>
  </si>
  <si>
    <t>Rua Astreia, casa 101</t>
  </si>
  <si>
    <t>21050-700</t>
  </si>
  <si>
    <t>Entre 1 até 3 salários mínimos</t>
  </si>
  <si>
    <t>0034X000032Hs9p</t>
  </si>
  <si>
    <t>José Sandro</t>
  </si>
  <si>
    <t>das Neves Santos</t>
  </si>
  <si>
    <t>igds@igds.org.br</t>
  </si>
  <si>
    <t>2002001040086</t>
  </si>
  <si>
    <t>Pedagogia e pós em gestão e coordenação pedagógica</t>
  </si>
  <si>
    <t>Masculino</t>
  </si>
  <si>
    <t>Pós-Graduação</t>
  </si>
  <si>
    <t>Rua José Duda Silva, 67</t>
  </si>
  <si>
    <t>Casa cedida</t>
  </si>
  <si>
    <t>0034X000032Hs00</t>
  </si>
  <si>
    <t>Bruna</t>
  </si>
  <si>
    <t>Costa Mendes da Silva</t>
  </si>
  <si>
    <t>21 96707-6513</t>
  </si>
  <si>
    <t>Curso de Treinadora de Boxe</t>
  </si>
  <si>
    <t>Rua Célio Nascimento, 48</t>
  </si>
  <si>
    <t>20930-050</t>
  </si>
  <si>
    <t>["Trabalho informal"]</t>
  </si>
  <si>
    <t>Aluguel</t>
  </si>
  <si>
    <t>0034X000032HsHf</t>
  </si>
  <si>
    <t>Maria Jaciara</t>
  </si>
  <si>
    <t>Oliveira Roberto</t>
  </si>
  <si>
    <t>jacyara_kedi@hotmail.com</t>
  </si>
  <si>
    <t>Avenida Nossa Senhora dos Pobres</t>
  </si>
  <si>
    <t>Berilo</t>
  </si>
  <si>
    <t>39640-000</t>
  </si>
  <si>
    <t>["MEI"]</t>
  </si>
  <si>
    <t>0034X000032HsKK</t>
  </si>
  <si>
    <t>Pedro Augusto</t>
  </si>
  <si>
    <t>Rocha Costa</t>
  </si>
  <si>
    <t>pedroarochacosta@gmail.com</t>
  </si>
  <si>
    <t>Educador Musical</t>
  </si>
  <si>
    <t>Rua José Neto, 1</t>
  </si>
  <si>
    <t>["Desempregado"]</t>
  </si>
  <si>
    <t>&lt;a href="javascript:openPopupFocus%28%27http%3A%2F%2Fwww.linkedin.com%2Fin%2Fpedroarocha%27%2C%20%27_blank%27%2C%20620%2C%20430%2C%20%27width%3D620%2Cheight%3D430%2Cresizable%3Dyes%2Ctoolbar%3Dyes%2Cstatus%3Dyes%2Cscrollbars%3Dyes%2Cmenubar%3Dyes%2Cdirectories%3Dyes%2Clocation%3Dyes%2Cdependant%3Dno%27%2C%20false%2C%20true%29%3B" title="http://www.linkedin.com/in/pedroarocha (Nova janela)"&gt;http://www.linkedin.com/in/pedroarocha&lt;/a&gt;</t>
  </si>
  <si>
    <t>&lt;a href="javascript:openPopupFocus%28%27http%3A%2F%2Finstagram.com%2Fpedrorochacosta%27%2C%20%27_blank%27%2C%20620%2C%20430%2C%20%27width%3D620%2Cheight%3D430%2Cresizable%3Dyes%2Ctoolbar%3Dyes%2Cstatus%3Dyes%2Cscrollbars%3Dyes%2Cmenubar%3Dyes%2Cdirectories%3Dyes%2Clocation%3Dyes%2Cdependant%3Dno%27%2C%20false%2C%20true%29%3B" title="http://instagram.com/pedrorochacosta (Nova janela)"&gt;http://instagram.com/pedrorochacosta&lt;/a&gt;</t>
  </si>
  <si>
    <t>0034P00003maBVs</t>
  </si>
  <si>
    <t>Leandro</t>
  </si>
  <si>
    <t>Alves Martins</t>
  </si>
  <si>
    <t>Primeiro Semestre 2019</t>
  </si>
  <si>
    <t>MG 11606495</t>
  </si>
  <si>
    <t>Designer</t>
  </si>
  <si>
    <t>Inconformado com a falta de estrutura da sua comunidade; Léo; em 2016 decidiu dar o Grito de esperança; paz; liberdade; alegria; justiça e então junto com amigos fundou o Instituto o Grito com o intuito de oferecer uma nova perspectiva de vida para todos...</t>
  </si>
  <si>
    <t>Av. Dr. Paulo Ribeiro Nunes</t>
  </si>
  <si>
    <t>apto 204 Bl 04</t>
  </si>
  <si>
    <t>0034P00003maBVn</t>
  </si>
  <si>
    <t>Aline</t>
  </si>
  <si>
    <t>Daniely Gomes de Melo</t>
  </si>
  <si>
    <t>Primeiro Semestre 2021</t>
  </si>
  <si>
    <t>Rua José devoci</t>
  </si>
  <si>
    <t>59090-568</t>
  </si>
  <si>
    <t>0034P00003maBVo</t>
  </si>
  <si>
    <t>Alan</t>
  </si>
  <si>
    <t>Luiz Duarte</t>
  </si>
  <si>
    <t>Primeiro Semestre 2020</t>
  </si>
  <si>
    <t>Educação Física</t>
  </si>
  <si>
    <t> Alan Luiz Duarte -- Líder do Abraço Campeão; nascido e criado no Complexo do Alemão. Sua infância e adolescência foram marcadas por uma guerra intensa entre gangues rivais; polícia e BOPE. Os inúmeros tiroteios pelo qual ele passou muitas vezes mataram ...</t>
  </si>
  <si>
    <t>av itaoca</t>
  </si>
  <si>
    <t>0034P00003maBVp</t>
  </si>
  <si>
    <t>Aron</t>
  </si>
  <si>
    <t>Fernando Ramos</t>
  </si>
  <si>
    <t>Planejamento Estratégico Empresarial</t>
  </si>
  <si>
    <t>Pai; marido; graduado ; negro; periférico e empreendedor social. Este é um resumo de Aron Ramos; CEO de Instituto Resgatando Vidas; uma das melhores e mais bem estruturadas ONGs da Zona Norte de SP. No começo de sua trajetória Aron era um adolescente reb...</t>
  </si>
  <si>
    <t>Rua Camilo Peçanha</t>
  </si>
  <si>
    <t>02670-030</t>
  </si>
  <si>
    <t>0034P00003maBVq</t>
  </si>
  <si>
    <t>Anderson</t>
  </si>
  <si>
    <t>da Silva</t>
  </si>
  <si>
    <t>Segundo Semestre 2020</t>
  </si>
  <si>
    <t>Mg11671624</t>
  </si>
  <si>
    <t>Formação em musica</t>
  </si>
  <si>
    <t>Na minha vida; era para dar tudo errado; cresci vendo minha mãe apanhando; sai da escola e acabei entrando nas drogas; e fui confundindo com outra pessoa; mais um dia minha mãe disse que: Se você quer chegar aos seus sonhos; lute; não deixe o tempo ser s...</t>
  </si>
  <si>
    <t>Rua marechal Jofre</t>
  </si>
  <si>
    <t>ap 202</t>
  </si>
  <si>
    <t>0034P00003maBVr</t>
  </si>
  <si>
    <t>Ducilene</t>
  </si>
  <si>
    <t>França Pereira</t>
  </si>
  <si>
    <t>Serviço Social</t>
  </si>
  <si>
    <t>Duci França; fundadora do Instituto Cores do Mará; empreendedora Social; formada em Serviço Social; com mais de 10 anos de experiências na implantação e execução de programas sociais governamentais. Co-criadora da metodologia das Cores do Mará.</t>
  </si>
  <si>
    <t>0034P00003maBVR</t>
  </si>
  <si>
    <t>Miquéias</t>
  </si>
  <si>
    <t>Gonçalves Silva</t>
  </si>
  <si>
    <t>miqartes@gmail.com</t>
  </si>
  <si>
    <t>Não aplicável.</t>
  </si>
  <si>
    <t>Produção cultural e artística (PJ)</t>
  </si>
  <si>
    <t>Rua da Liberdade</t>
  </si>
  <si>
    <t>29152-632</t>
  </si>
  <si>
    <t>0034P00003maBVt</t>
  </si>
  <si>
    <t>Rafael</t>
  </si>
  <si>
    <t>Marcelino de Oliveira</t>
  </si>
  <si>
    <t>Graduado em Musicoterapia pela Universidade Federal de Goiás e Especialista em Administração de Empresas pela Fundação Getúlio Vargas</t>
  </si>
  <si>
    <t>Rafael Marcelino de Oliveira; está no terceiro setor desde sua infância; acompanhando seus pais nos trabalhos sociais que eles sempre ajudaram. Com 12 anos de idade começou a liderar algumas campanhas de arrecadações de donativos para distribuir em comun...</t>
  </si>
  <si>
    <t>Rua da Charita</t>
  </si>
  <si>
    <t>Qd. 137</t>
  </si>
  <si>
    <t>Lt. 01/12 Aptº 702</t>
  </si>
  <si>
    <t>0034P00003maBVu</t>
  </si>
  <si>
    <t>LISANIA</t>
  </si>
  <si>
    <t>PEREIRA DA SILVA PASCOAL</t>
  </si>
  <si>
    <t>presidencia@mandaver.org</t>
  </si>
  <si>
    <t>GRADUADA ADMINISTRAÇÃO - POS GESTÃO ESTRATEGICA DE MARKETING - GRADUANDA CIENCIAS CONTABEIS</t>
  </si>
  <si>
    <t>Lisania; 33 anos; casada e mãe de 2 filhos. Nordestina e alagoana; criada no interior do estado e logo depois foi residir na capital; Maceió; para concluir os estudos. Presidente do Instituto e Cofundadora do Banco Social do Mandaver. Aprendeu desde nova...</t>
  </si>
  <si>
    <t>RUA MARIA CELESTE DA ROCHA</t>
  </si>
  <si>
    <t>0034P00003maBVv</t>
  </si>
  <si>
    <t>Nadjane</t>
  </si>
  <si>
    <t>Cristina Santos Vieira</t>
  </si>
  <si>
    <t>nadjanecristina@hotmail.com</t>
  </si>
  <si>
    <t>Rua Arapoema</t>
  </si>
  <si>
    <t>0034P00003maEuB</t>
  </si>
  <si>
    <t>Maria</t>
  </si>
  <si>
    <t>Alves Viana</t>
  </si>
  <si>
    <t>maria.viana@institutoemaus.org.br</t>
  </si>
  <si>
    <t>Comunicação Social e Teologia</t>
  </si>
  <si>
    <t>rua Maria Helena</t>
  </si>
  <si>
    <t>08560-210</t>
  </si>
  <si>
    <t>0034P00003maBVI</t>
  </si>
  <si>
    <t>Ronaldo</t>
  </si>
  <si>
    <t>CLEBER CACERES</t>
  </si>
  <si>
    <t>ronaldo@umchuteparaofuturo.org.br</t>
  </si>
  <si>
    <t>Trabalho só  no projeto  um chute para o futuro</t>
  </si>
  <si>
    <t>Rua Prudêncio sotelo</t>
  </si>
  <si>
    <t>n.470</t>
  </si>
  <si>
    <t>Foz do Iguaçu</t>
  </si>
  <si>
    <t>0034P00003maBVM</t>
  </si>
  <si>
    <t>Camila</t>
  </si>
  <si>
    <t>Casagrande</t>
  </si>
  <si>
    <t>Publicidade e Propaganda / Pós: Empreendedorismo Social e Negócios Sociais / Mba em Dança - Gestão e Produção Cultural / Produção de Arte e Gestão da Cultura</t>
  </si>
  <si>
    <t>Camila desde pequena é apaixonada por arte; sua dedicação e força de vontade foram fundamentais na realização de inúmeras produções culturais e eventos em seus 10 anos de caminhada como coreógrafa e coordenadora do Grupo de Dança Senses; que em 2017 se t...</t>
  </si>
  <si>
    <t>Rua da Divina Providência</t>
  </si>
  <si>
    <t>0034P00003maBVS</t>
  </si>
  <si>
    <t>Thiago</t>
  </si>
  <si>
    <t>Otero de Sousa</t>
  </si>
  <si>
    <t>MG16274654</t>
  </si>
  <si>
    <t>Graduação em Análise e Desenvolvimento de Sistemas. Pós em Andamento de Gestão de Projetos e Programas Sociais</t>
  </si>
  <si>
    <t>Nas horas vagas realizo freelancer na área de TI não conflitando com o horário da ONG</t>
  </si>
  <si>
    <t> Thiago Otero; 28 anos; casado; é presidente e fundador do Sementes do Vale. Nascido em Guaxupé-MG; foi criado em Janaúba-MG; no norte de Minas Gerais. É formado em Análise e Desenvolvimento de Sistema e Pós-Graduando em Gestão de Projetos e Programas So...</t>
  </si>
  <si>
    <t>Fazenda Bananeira</t>
  </si>
  <si>
    <t>39553-000</t>
  </si>
  <si>
    <t>0034P00003maBVB</t>
  </si>
  <si>
    <t>Nilton</t>
  </si>
  <si>
    <t>José Sales Sávio</t>
  </si>
  <si>
    <t>nilton.savio@amaitirapina.org.br</t>
  </si>
  <si>
    <t>Ciências Humanas</t>
  </si>
  <si>
    <t>No momento eu estou desempregado no seguro-desemprego.</t>
  </si>
  <si>
    <t>Rua Tupiniquins</t>
  </si>
  <si>
    <t>0034P00003maBVl</t>
  </si>
  <si>
    <t>Amanda</t>
  </si>
  <si>
    <t>Aparecida Silva Figueira</t>
  </si>
  <si>
    <t>amandasfigueira1@gmail.com</t>
  </si>
  <si>
    <t>MG17312647</t>
  </si>
  <si>
    <t>Relações Internacionais</t>
  </si>
  <si>
    <t>Gestora de Oportunidades - OSC Ação Moradia (Uberlândia -MG)</t>
  </si>
  <si>
    <t>Avenida</t>
  </si>
  <si>
    <t>NULL</t>
  </si>
  <si>
    <t>0034P00003maBVU</t>
  </si>
  <si>
    <t>Luma</t>
  </si>
  <si>
    <t>de Camargo Silva Rodrigues</t>
  </si>
  <si>
    <t>lumarodrigues09@gmail.com</t>
  </si>
  <si>
    <t>Gestão do Terceiro Setor</t>
  </si>
  <si>
    <t>Focado 100% no projeto social</t>
  </si>
  <si>
    <t>Rua avinhado</t>
  </si>
  <si>
    <t>casa 1</t>
  </si>
  <si>
    <t>08032-320</t>
  </si>
  <si>
    <t>0034P00003maBV4</t>
  </si>
  <si>
    <t>Jefferson</t>
  </si>
  <si>
    <t>Lima</t>
  </si>
  <si>
    <t>(48) 99934-4387</t>
  </si>
  <si>
    <t>História</t>
  </si>
  <si>
    <t>Mestrado</t>
  </si>
  <si>
    <t>Vinicius de Moraes</t>
  </si>
  <si>
    <t>Ap 302</t>
  </si>
  <si>
    <t>88130-605</t>
  </si>
  <si>
    <t>De 3 até 5 salários mínimos</t>
  </si>
  <si>
    <t>&lt;a href="javascript:openPopupFocus%28%27https%3A%2F%2Fwww.linkedin.com%2Fin%2Fjefferson-lima-prototipandoaquebrada%2F%27%2C%20%27_blank%27%2C%20620%2C%20430%2C%20%27width%3D620%2Cheight%3D430%2Cresizable%3Dyes%2Ctoolbar%3Dyes%2Cstatus%3Dyes%2Cscrollbars%3Dyes%2Cmenubar%3Dyes%2Cdirectories%3Dyes%2Clocation%3Dyes%2Cdependant%3Dno%27%2C%20false%2C%20true%29%3B" title="https://www.linkedin.com/in/jefferson-lima-prototipandoaquebrada/ (Nova janela)"&gt;https://www.linkedin.com/in/jefferson-lima-prototipandoaquebrada/&lt;/a&gt;</t>
  </si>
  <si>
    <t>&lt;a href="javascript:openPopupFocus%28%27https%3A%2F%2Fwww.instagram.com%2Flima3d%2F%27%2C%20%27_blank%27%2C%20620%2C%20430%2C%20%27width%3D620%2Cheight%3D430%2Cresizable%3Dyes%2Ctoolbar%3Dyes%2Cstatus%3Dyes%2Cscrollbars%3Dyes%2Cmenubar%3Dyes%2Cdirectories%3Dyes%2Clocation%3Dyes%2Cdependant%3Dno%27%2C%20false%2C%20true%29%3B" title="https://www.instagram.com/lima3d/ (Nova janela)"&gt;https://www.instagram.com/lima3d/&lt;/a&gt;</t>
  </si>
  <si>
    <t>0034P00003maBUv</t>
  </si>
  <si>
    <t>Fernando</t>
  </si>
  <si>
    <t>Luiz de Oliveira Valença</t>
  </si>
  <si>
    <t>g4instituto@gmail.com</t>
  </si>
  <si>
    <t>Gestão de Processos Gerenciais</t>
  </si>
  <si>
    <t>Rua Baltazar Passos</t>
  </si>
  <si>
    <t>440/607</t>
  </si>
  <si>
    <t>51130-290</t>
  </si>
  <si>
    <t>0034P00003maBUw</t>
  </si>
  <si>
    <t>FÁBIO</t>
  </si>
  <si>
    <t>ROGÉRIO RODRIGUES DA SILVA</t>
  </si>
  <si>
    <t>acesaorg@gmail.com</t>
  </si>
  <si>
    <t>EDUCAÇÃO FÍSICA</t>
  </si>
  <si>
    <t>Rua Peru</t>
  </si>
  <si>
    <t>alamenda da Luz casa -6</t>
  </si>
  <si>
    <t>0034P00003maBUx</t>
  </si>
  <si>
    <t>da Silva Ferreira</t>
  </si>
  <si>
    <t>rafael.ferreira@mirantecultural.com.br</t>
  </si>
  <si>
    <t>Educação- Música- Teologia.</t>
  </si>
  <si>
    <t>rua vicente antonio de oliveira</t>
  </si>
  <si>
    <t>0034P00003maBUz</t>
  </si>
  <si>
    <t>Simone</t>
  </si>
  <si>
    <t>Rezende Klaussner</t>
  </si>
  <si>
    <t>veca_machado@hotmail.com</t>
  </si>
  <si>
    <t>Graduada em Psicologia /  Psicologia Organizacional e extensão em dependencia Quimica e alcool</t>
  </si>
  <si>
    <t>Av. João Paulo I</t>
  </si>
  <si>
    <t>torre1</t>
  </si>
  <si>
    <t>02842-280</t>
  </si>
  <si>
    <t>0034P00003maBV0</t>
  </si>
  <si>
    <t>Ana</t>
  </si>
  <si>
    <t>Karolina Dias De Oliveira</t>
  </si>
  <si>
    <t>anakarolinapsi@gmail.com</t>
  </si>
  <si>
    <t>Psicologia</t>
  </si>
  <si>
    <t>Psicóloga por conta da renda. mas 90% e para o projeto</t>
  </si>
  <si>
    <t>Rua Francisco Pedro Machado</t>
  </si>
  <si>
    <t>Bloco B 1105</t>
  </si>
  <si>
    <t>88117-402</t>
  </si>
  <si>
    <t>&lt;a href="javascript:openPopupFocus%28%27https%3A%2F%2Fwww.instagram.com%2Finvites%2Fcontact%2F%3Fi%3D35k9snooc66s%26utm_content%3D4o0sak%27%2C%20%27_blank%27%2C%20620%2C%20430%2C%20%27width%3D620%2Cheight%3D430%2Cresizable%3Dyes%2Ctoolbar%3Dyes%2Cstatus%3Dyes%2Cscrollbars%3Dyes%2Cmenubar%3Dyes%2Cdirectories%3Dyes%2Clocation%3Dyes%2Cdependant%3Dno%27%2C%20false%2C%20true%29%3B" title="https://www.instagram.com/invites/contact/?i=35k9snooc66s&amp;utm_content=4o0sak (Nova janela)"&gt;https://www.instagram.com/invites/contact/?i=35k9snooc66s&amp;utm_content=4o0sak&lt;/a&gt;</t>
  </si>
  <si>
    <t>0034P00003maBV1</t>
  </si>
  <si>
    <t>André</t>
  </si>
  <si>
    <t>Felipe Silva De Sousa</t>
  </si>
  <si>
    <t>(85)99159-8826</t>
  </si>
  <si>
    <t>CEO</t>
  </si>
  <si>
    <t>60743-714</t>
  </si>
  <si>
    <t>&lt;a href="javascript:openPopupFocus%28%27https%3A%2F%2Fwww.linkedin.com%2Fin%2Fandr%25C3%25A9-felipe-0baa0a1a4%2F%27%2C%20%27_blank%27%2C%20620%2C%20430%2C%20%27width%3D620%2Cheight%3D430%2Cresizable%3Dyes%2Ctoolbar%3Dyes%2Cstatus%3Dyes%2Cscrollbars%3Dyes%2Cmenubar%3Dyes%2Cdirectories%3Dyes%2Clocation%3Dyes%2Cdependant%3Dno%27%2C%20false%2C%20true%29%3B" title="https://www.linkedin.com/in/andr%C3%A9-felipe-0baa0a1a4/ (Nova janela)"&gt;https://www.linkedin.com/in/andr%C3%A9-felipe-0baa0a1a4/&lt;/a&gt;</t>
  </si>
  <si>
    <t>&lt;a href="javascript:openPopupFocus%28%27https%3A%2F%2Finstagram.com%2Fandredasaguias%3Futm_medium%3Dcopy_link%27%2C%20%27_blank%27%2C%20620%2C%20430%2C%20%27width%3D620%2Cheight%3D430%2Cresizable%3Dyes%2Ctoolbar%3Dyes%2Cstatus%3Dyes%2Cscrollbars%3Dyes%2Cmenubar%3Dyes%2Cdirectories%3Dyes%2Clocation%3Dyes%2Cdependant%3Dno%27%2C%20false%2C%20true%29%3B" title="https://instagram.com/andredasaguias?utm_medium=copy_link (Nova janela)"&gt;https://instagram.com/andredasaguias?utm_medium=copy_link&lt;/a&gt;</t>
  </si>
  <si>
    <t>0034P00003maBV2</t>
  </si>
  <si>
    <t>Cristiano</t>
  </si>
  <si>
    <t>Lima Santos</t>
  </si>
  <si>
    <t>Teologia completo e serviço social incompleto.</t>
  </si>
  <si>
    <t>CEO e vice-presidente</t>
  </si>
  <si>
    <t>nº 122</t>
  </si>
  <si>
    <t>Conjunto Padre Pedro</t>
  </si>
  <si>
    <t>0034P00003maBV3</t>
  </si>
  <si>
    <t>Jeferson</t>
  </si>
  <si>
    <t>Costa Silva</t>
  </si>
  <si>
    <t>shaoliiin.52@gmail.com</t>
  </si>
  <si>
    <t>(21) 97573-1481</t>
  </si>
  <si>
    <t>Ed Física</t>
  </si>
  <si>
    <t>Rua carlos Lacerda</t>
  </si>
  <si>
    <t>casa 101</t>
  </si>
  <si>
    <t>21044-700</t>
  </si>
  <si>
    <t>&lt;a href="javascript:openPopupFocus%28%27https%3A%2F%2Fwww.instagram.com%2Fshaolinbjj%2F%27%2C%20%27_blank%27%2C%20620%2C%20430%2C%20%27width%3D620%2Cheight%3D430%2Cresizable%3Dyes%2Ctoolbar%3Dyes%2Cstatus%3Dyes%2Cscrollbars%3Dyes%2Cmenubar%3Dyes%2Cdirectories%3Dyes%2Clocation%3Dyes%2Cdependant%3Dno%27%2C%20false%2C%20true%29%3B" title="https://www.instagram.com/shaolinbjj/ (Nova janela)"&gt;https://www.instagram.com/shaolinbjj/&lt;/a&gt;</t>
  </si>
  <si>
    <t>0034P00003maBV5</t>
  </si>
  <si>
    <t>Marcus</t>
  </si>
  <si>
    <t>Vinicius Do Nascimento</t>
  </si>
  <si>
    <t>marcus006181@hotmail.com</t>
  </si>
  <si>
    <t>31 97313-4322</t>
  </si>
  <si>
    <t>Bacharel Em Teologia</t>
  </si>
  <si>
    <t>empreendedor social (mei)</t>
  </si>
  <si>
    <t>rua maria carmen valadares</t>
  </si>
  <si>
    <t>30260-580</t>
  </si>
  <si>
    <t>&lt;a href="javascript:openPopupFocus%28%27https%3A%2F%2Fwww.linkedin.com%2Fin%2Fmarcus-vinicius-do-nascimento-a0ab634b%27%2C%20%27_blank%27%2C%20620%2C%20430%2C%20%27width%3D620%2Cheight%3D430%2Cresizable%3Dyes%2Ctoolbar%3Dyes%2Cstatus%3Dyes%2Cscrollbars%3Dyes%2Cmenubar%3Dyes%2Cdirectories%3Dyes%2Clocation%3Dyes%2Cdependant%3Dno%27%2C%20false%2C%20true%29%3B" title="https://www.linkedin.com/in/marcus-vinicius-do-nascimento-a0ab634b (Nova janela)"&gt;https://www.linkedin.com/in/marcus-vinicius-do-nascimento-a0ab634b&lt;/a&gt;</t>
  </si>
  <si>
    <t>&lt;a href="javascript:openPopupFocus%28%27https%3A%2F%2Fwww.instagram.com%2Fp%2FCShOz9CnU9K%2F%3Futm_medium%3Dcopy_link%27%2C%20%27_blank%27%2C%20620%2C%20430%2C%20%27width%3D620%2Cheight%3D430%2Cresizable%3Dyes%2Ctoolbar%3Dyes%2Cstatus%3Dyes%2Cscrollbars%3Dyes%2Cmenubar%3Dyes%2Cdirectories%3Dyes%2Clocation%3Dyes%2Cdependant%3Dno%27%2C%20false%2C%20true%29%3B" title="https://www.instagram.com/p/CShOz9CnU9K/?utm_medium=copy_link (Nova janela)"&gt;https://www.instagram.com/p/CShOz9CnU9K/?utm_medium=copy_link&lt;/a&gt;</t>
  </si>
  <si>
    <t>0034P00003maBV6</t>
  </si>
  <si>
    <t>Zeiza</t>
  </si>
  <si>
    <t>Matildes Da Silva</t>
  </si>
  <si>
    <t>(34)99123-3535</t>
  </si>
  <si>
    <t>Administração De Empresas/Gestão Financeira</t>
  </si>
  <si>
    <t>Associação Zeiza Dojo</t>
  </si>
  <si>
    <t>Rua Graciano Faria Arantes</t>
  </si>
  <si>
    <t>38410-078</t>
  </si>
  <si>
    <t>&lt;a href="javascript:openPopupFocus%28%27http%3A%2F%2Fwww.instagram%2Fzeizadojo%27%2C%20%27_blank%27%2C%20620%2C%20430%2C%20%27width%3D620%2Cheight%3D430%2Cresizable%3Dyes%2Ctoolbar%3Dyes%2Cstatus%3Dyes%2Cscrollbars%3Dyes%2Cmenubar%3Dyes%2Cdirectories%3Dyes%2Clocation%3Dyes%2Cdependant%3Dno%27%2C%20false%2C%20true%29%3B" title="http://www.instagram/zeizadojo (Nova janela)"&gt;http://www.instagram/zeizadojo&lt;/a&gt;</t>
  </si>
  <si>
    <t>0034P00003maBV7</t>
  </si>
  <si>
    <t>Walderson</t>
  </si>
  <si>
    <t>Baptista Bonifácio</t>
  </si>
  <si>
    <t>coordenacaoluar@gmail.com</t>
  </si>
  <si>
    <t>Artes Cênicas - Ator</t>
  </si>
  <si>
    <t>Trabalho como Animador cultural em uma escola em regime de CLT com carga horaria de 10 horas semanais.  Na ONG cumpro 38 horas i</t>
  </si>
  <si>
    <t>Alameda Francisco de Miranda</t>
  </si>
  <si>
    <t>57014-750</t>
  </si>
  <si>
    <t>0034P00003maBV8</t>
  </si>
  <si>
    <t>Salete</t>
  </si>
  <si>
    <t>Alexandre Ritir</t>
  </si>
  <si>
    <t>projeto.brejal.2k19@gmail.com</t>
  </si>
  <si>
    <t>RH - MEDIADORA DE CONFLITOS</t>
  </si>
  <si>
    <t>Rua Demócrito Gracindo</t>
  </si>
  <si>
    <t>91530-310</t>
  </si>
  <si>
    <t>0034P00003maBV9</t>
  </si>
  <si>
    <t>Nina</t>
  </si>
  <si>
    <t>Rosa Dias Cardoso</t>
  </si>
  <si>
    <t>Pedagogia</t>
  </si>
  <si>
    <t>Coordenadora Pedagógica e administrativa no Centro Social Padre Irineu Brand</t>
  </si>
  <si>
    <t>Pedagoga; ativista ; líder e empreendedora social! Nos 18 anos em que vive o terceiro Setor; já liderou projetos na Proteção Social da baixa até a alta complexidade! CEO e cofundadora do Instituto Ascendendo Mentes; Nina é uma pessoa que acredita que cad...</t>
  </si>
  <si>
    <t>av Elias Cirne Lima</t>
  </si>
  <si>
    <t>29032-567</t>
  </si>
  <si>
    <t>0034P00003maBVA</t>
  </si>
  <si>
    <t>Gilmar</t>
  </si>
  <si>
    <t>Lima dos Santos</t>
  </si>
  <si>
    <t>gillmarsantoslima@hotmail.com</t>
  </si>
  <si>
    <t>1898098ES</t>
  </si>
  <si>
    <t>Educador Social</t>
  </si>
  <si>
    <t>nº 165</t>
  </si>
  <si>
    <t>0034P00003maBVC</t>
  </si>
  <si>
    <t>Tuany</t>
  </si>
  <si>
    <t>Tomaz Nascimento</t>
  </si>
  <si>
    <t>Educação Física Licenciada</t>
  </si>
  <si>
    <t>Sou bailarina da Cia de Dança REC</t>
  </si>
  <si>
    <t>Morro do Adeus/Complexo do Alemão; Tuany é a primeira mulher preta a construir uma escola de balé no alto da sua própria favela. A jovem de 27 anos é formada em educação física licenciada; bailarina da Cia Rec e ganhadora da maior premiação feminina da A...</t>
  </si>
  <si>
    <t>Rua Oricá</t>
  </si>
  <si>
    <t>casa 2</t>
  </si>
  <si>
    <t>212150-260</t>
  </si>
  <si>
    <t>0034P00003maBVD</t>
  </si>
  <si>
    <t>Stella</t>
  </si>
  <si>
    <t>Maris Monteiro Moraes</t>
  </si>
  <si>
    <t>Graduação em Serviço social- pós graduação em gestão de políticas públicas para a família- infância e juventude- pós graduação em elaboração e gestão de projetos sociais e pós graduação em direitos humanos- cidadania global e responsabilidade social</t>
  </si>
  <si>
    <t>Stella nasceu em família com recursos; estudou em escolas referências na Zona Sul do Rio; e não por coincidência; a única negra em diversas salas. Sofreu racismo e preconceito; e somente se sentia bem nos meios sociais que tivessem filhos de empregada; d...</t>
  </si>
  <si>
    <t>Rua Leopoldino Bastos</t>
  </si>
  <si>
    <t>bloco 2 apt 802</t>
  </si>
  <si>
    <t>0034P00003maBVE</t>
  </si>
  <si>
    <t>Cesar</t>
  </si>
  <si>
    <t>Gouveia</t>
  </si>
  <si>
    <t>Graduado em Comunicação Social- com ênfase em Jornalismo</t>
  </si>
  <si>
    <t>Cesar Gouveia; 29 anos; empreendedor social e jornalista. Formado em jornalismo e empreende em comunicação desde 2013; quando criou o Vozes das Periferias; atualmente um Instituto que oferece para famílias em vulnerabilidade atividades em cultura; esport...</t>
  </si>
  <si>
    <t>Av. Casa Grande</t>
  </si>
  <si>
    <t>Apto 123 C</t>
  </si>
  <si>
    <t>03260-000</t>
  </si>
  <si>
    <t>0034P00003maBVF</t>
  </si>
  <si>
    <t>Marcelo</t>
  </si>
  <si>
    <t>Dias</t>
  </si>
  <si>
    <t>Gestão Publica</t>
  </si>
  <si>
    <t>Rua Irani</t>
  </si>
  <si>
    <t>0034P00003maBVG</t>
  </si>
  <si>
    <t>Maiara</t>
  </si>
  <si>
    <t>de Aquino Wenceslau</t>
  </si>
  <si>
    <t>MG15.765.056</t>
  </si>
  <si>
    <t>Maiara Wenceslau viveu a infância na favela do Maracanã (em Contagem; MG); aos 14 anos se mudou para o município de Ibirité e teve a sua adolescência marcada pela participação em um programa de Responsabilidade Social voltado para a compreensão dos Direi...</t>
  </si>
  <si>
    <t>Rua Papa Paulo VI</t>
  </si>
  <si>
    <t>Apto 302</t>
  </si>
  <si>
    <t>32 260 370</t>
  </si>
  <si>
    <t>0034P00003maBVH</t>
  </si>
  <si>
    <t>Oliveira</t>
  </si>
  <si>
    <t>Psicologia e Pedagogia</t>
  </si>
  <si>
    <t>Amanda Oliveira; 31 anos nasceu em uma favela na grande São Paulo e viu sua vida mudar ainda na infância;  por meio da musica que vinha das salas de aulas de um projeto social. Cresceu; se  tornou mulher; musicista; empreendedora social e resolveu multip...</t>
  </si>
  <si>
    <t>Ferez Gattaz</t>
  </si>
  <si>
    <t>0034P00003maBVJ</t>
  </si>
  <si>
    <t>Odilon</t>
  </si>
  <si>
    <t>Araujo de Oliveira Neto</t>
  </si>
  <si>
    <t>Licenciatura e Bacharelado em Educação Física</t>
  </si>
  <si>
    <t>Odilon Araújo; 34 anos; casado com Evelayne e pai da Ariel. Cresceu em uma favela em Guarulhos -SP. Ainda criança; perdeu seu pai e foi morar na casa de parentes. Na sua juventude se envolveu com drogas e alcoolismo; mas graças ao esporte e a fé; venceu ...</t>
  </si>
  <si>
    <t>Estrada da água chata</t>
  </si>
  <si>
    <t>Bloco 02 Apt 402</t>
  </si>
  <si>
    <t>0034P00003maBVK</t>
  </si>
  <si>
    <t>Rutenio</t>
  </si>
  <si>
    <t>Florencio Monte</t>
  </si>
  <si>
    <t>rutenio@pensandobem.org</t>
  </si>
  <si>
    <t>não se aplica</t>
  </si>
  <si>
    <t>Rutenio; professor de Muay Thai e ex designer gráfico; há 11 anos era só mais um menino na favela do Inferninho; em Fortaleza; onde nasceu e cresceu. O esporte foi o escape pra sua vida; e foi através dele que novos caminhos se abriram. Com apenas 19 ano...</t>
  </si>
  <si>
    <t>0034P00003maBVL</t>
  </si>
  <si>
    <t>Cintia</t>
  </si>
  <si>
    <t>Roberta Coelho Santana</t>
  </si>
  <si>
    <t>técnico em Artes Cênicas</t>
  </si>
  <si>
    <t> Cintia Sant'Anna; atriz; líder social; nascida e criada na primeira favela do Brasil; cresceu em dois cômodos de em uma moradia coletiva. Aos 21 conheceu o teatro e se engajou por oito anos no Grupo Tá Na Rua. Este movimento de mudança culmina na fundaç...</t>
  </si>
  <si>
    <t>nº 88 fundos</t>
  </si>
  <si>
    <t>0034P00003maCd8</t>
  </si>
  <si>
    <t>Paula Silva de Souza</t>
  </si>
  <si>
    <t>cursando tecnico enfermagem</t>
  </si>
  <si>
    <t> Ana Paula; 41 anos; mãe de 3 filhos; agricultora familiar; moradora do assentamento Passagem do Juazeiro no município de Elói de Souza e CEO da empresa sem fins lucrativos Instituto família criativa do campo. Em 2004 mudou para Natal; para lecionar aula...</t>
  </si>
  <si>
    <t>rua maria ivone campos Bairro:  assentamento passagem do juazeiro</t>
  </si>
  <si>
    <t>59250-000</t>
  </si>
  <si>
    <t>0034P00003maBVN</t>
  </si>
  <si>
    <t>Figueiredo Quirino</t>
  </si>
  <si>
    <t>Liderança Social</t>
  </si>
  <si>
    <t> Me chamo Jefferson Quirino sou nascido e criado em uma comunidade chamada Turano localizada na zona norte do Rio de Janeiro.  
Minha história de vida está totalmente relacionada a potência e influência que esse território tem na formação social das pess...</t>
  </si>
  <si>
    <t>Rua do Bispo Bairro:  Rio Comprido</t>
  </si>
  <si>
    <t>20261-063</t>
  </si>
  <si>
    <t>0034P00003maBVO</t>
  </si>
  <si>
    <t>Leonardo</t>
  </si>
  <si>
    <t>M. Precioso</t>
  </si>
  <si>
    <t>Educação</t>
  </si>
  <si>
    <t>Rua Baltazar Lemos Navarro Bairro:  Itaim Paulista</t>
  </si>
  <si>
    <t>0034P00003maBVP</t>
  </si>
  <si>
    <t>Eduardo</t>
  </si>
  <si>
    <t>Oliveira Rodrigues</t>
  </si>
  <si>
    <t>professor</t>
  </si>
  <si>
    <t>rua luan jacoby Bairro:</t>
  </si>
  <si>
    <t>0034P00003maBVQ</t>
  </si>
  <si>
    <t>Veronica</t>
  </si>
  <si>
    <t>Silva Machado</t>
  </si>
  <si>
    <t>Empreendedorismo (curso 10.000 Mulheres Empreendedora da Goldman Sachs)</t>
  </si>
  <si>
    <t>Av. João Paulo I Bairro:  Brasilândia</t>
  </si>
  <si>
    <t>0034P00003maBVT</t>
  </si>
  <si>
    <t>MARIA</t>
  </si>
  <si>
    <t>PATRICIA SANTANA OLIVEIRA</t>
  </si>
  <si>
    <t>ADMINISTRAÇÃO</t>
  </si>
  <si>
    <t> Patrícia; fundadora do Instituto Santa Cruz Ponta da Serra.</t>
  </si>
  <si>
    <t>48435-000</t>
  </si>
  <si>
    <t>0034P00003maBVV</t>
  </si>
  <si>
    <t>Jessyca</t>
  </si>
  <si>
    <t>Rodrigues Lopes</t>
  </si>
  <si>
    <t>jessyca@esportemais.org</t>
  </si>
  <si>
    <t>Técnica Esportiva no Centro de Formação Olímpica -  CFO</t>
  </si>
  <si>
    <t>Rua Paraisópolis</t>
  </si>
  <si>
    <t>60865-140</t>
  </si>
  <si>
    <t>0034P00003maBVc</t>
  </si>
  <si>
    <t>Debora</t>
  </si>
  <si>
    <t>do Espirito Santo da</t>
  </si>
  <si>
    <t>simeusoudomeio@gmail.com</t>
  </si>
  <si>
    <t>Rua Major João Pinheiro</t>
  </si>
  <si>
    <t>nº130</t>
  </si>
  <si>
    <t>0034P00003tQ7A1</t>
  </si>
  <si>
    <t>Katiana</t>
  </si>
  <si>
    <t>Pena Morais</t>
  </si>
  <si>
    <t>Educação Fisica, tecnico em danca e coreografa.</t>
  </si>
  <si>
    <t>Katiana iniciou a vida artística aos 7 anos; quando descobriu o ABC Circo Escola – Bom Jardim. Com três anos no circo; fez o teste de seleção da recém-criada EDISCA. Lá; ficou de 1992 a 2006; conheceu o Brasil inteiro com sua dança; bem como parte da Eur...</t>
  </si>
  <si>
    <t>Rua mirtes cordeiro 3360</t>
  </si>
  <si>
    <t>0034P00003tZGGo</t>
  </si>
  <si>
    <t>Verdiano Agostinho</t>
  </si>
  <si>
    <t>Anderson; mais conhecido como Buiu; casado com Elisa; pai da Helena e morador da comunidade do Jardim Ibirapuera; desde cedo escolheu correr atrás dos seus sonhos e isso que o move. É empreendedor na Viela Veste e Presidente/Fundador do Projeto Viela. Na...</t>
  </si>
  <si>
    <t>travessa Ibirapuera 266</t>
  </si>
  <si>
    <t>0034P00003xgnQ1</t>
  </si>
  <si>
    <t>Bruno</t>
  </si>
  <si>
    <t>Desidério</t>
  </si>
  <si>
    <t>bruno.poa@gerandofalcoes.com</t>
  </si>
  <si>
    <t>Líder Social</t>
  </si>
  <si>
    <t>Negro</t>
  </si>
  <si>
    <t>Heterossexual</t>
  </si>
  <si>
    <t>Avenida Elias Zugaib</t>
  </si>
  <si>
    <t>08554-300</t>
  </si>
  <si>
    <t>0034P00003xgujU</t>
  </si>
  <si>
    <t>Correia Da Costa</t>
  </si>
  <si>
    <t>miqueias.costa@gerandofalcoes.com</t>
  </si>
  <si>
    <t>(11) 96025-3835</t>
  </si>
  <si>
    <t>Processos Gerenciais.</t>
  </si>
  <si>
    <t>Manoel Alabarce lopes</t>
  </si>
  <si>
    <t>Bloco 07 / Apto 104</t>
  </si>
  <si>
    <t>08663-495</t>
  </si>
  <si>
    <t>&lt;a href="javascript:openPopupFocus%28%27https%3A%2F%2Fwww.linkedin.com%2Fin%2Fmiqu%25C3%25A9ias-costa-b578b18a%2F%27%2C%20%27_blank%27%2C%20620%2C%20430%2C%20%27width%3D620%2Cheight%3D430%2Cresizable%3Dyes%2Ctoolbar%3Dyes%2Cstatus%3Dyes%2Cscrollbars%3Dyes%2Cmenubar%3Dyes%2Cdirectories%3Dyes%2Clocation%3Dyes%2Cdependant%3Dno%27%2C%20false%2C%20true%29%3B" title="https://www.linkedin.com/in/miqu%C3%A9ias-costa-b578b18a/ (Nova janela)"&gt;https://www.linkedin.com/in/miqu%C3%A9ias-costa-b578b18a/&lt;/a&gt;</t>
  </si>
  <si>
    <t>&lt;a href="javascript:openPopupFocus%28%27https%3A%2F%2Fwww.instagram.com%2Fmiqueiascoosta%2F%27%2C%20%27_blank%27%2C%20620%2C%20430%2C%20%27width%3D620%2Cheight%3D430%2Cresizable%3Dyes%2Ctoolbar%3Dyes%2Cstatus%3Dyes%2Cscrollbars%3Dyes%2Cmenubar%3Dyes%2Cdirectories%3Dyes%2Clocation%3Dyes%2Cdependant%3Dno%27%2C%20false%2C%20true%29%3B" title="https://www.instagram.com/miqueiascoosta/ (Nova janela)"&gt;https://www.instagram.com/miqueiascoosta/&lt;/a&gt;</t>
  </si>
  <si>
    <t>0034P00003xh63p</t>
  </si>
  <si>
    <t>Dos Santos Do Nascimento</t>
  </si>
  <si>
    <t>thiago.nascimneto@gerandofalcoes.com</t>
  </si>
  <si>
    <t>(11)97745-9862</t>
  </si>
  <si>
    <t>Lider Social</t>
  </si>
  <si>
    <t>G</t>
  </si>
  <si>
    <t>Rua Mario Covas</t>
  </si>
  <si>
    <t>08130-060</t>
  </si>
  <si>
    <t>&lt;a href="javascript:openPopupFocus%28%27https%3A%2F%2Fwww.linkedin.com%2Fin%2Fthiago-nascimento-7486b1215%2F%27%2C%20%27_blank%27%2C%20620%2C%20430%2C%20%27width%3D620%2Cheight%3D430%2Cresizable%3Dyes%2Ctoolbar%3Dyes%2Cstatus%3Dyes%2Cscrollbars%3Dyes%2Cmenubar%3Dyes%2Cdirectories%3Dyes%2Clocation%3Dyes%2Cdependant%3Dno%27%2C%20false%2C%20true%29%3B" title="https://www.linkedin.com/in/thiago-nascimento-7486b1215/ (Nova janela)"&gt;https://www.linkedin.com/in/thiago-nascimento-7486b1215/&lt;/a&gt;</t>
  </si>
  <si>
    <t>&lt;a href="javascript:openPopupFocus%28%27https%3A%2F%2Fwww.instagram.com%2Fthiagonascimentogf%2F%27%2C%20%27_blank%27%2C%20620%2C%20430%2C%20%27width%3D620%2Cheight%3D430%2Cresizable%3Dyes%2Ctoolbar%3Dyes%2Cstatus%3Dyes%2Cscrollbars%3Dyes%2Cmenubar%3Dyes%2Cdirectories%3Dyes%2Clocation%3Dyes%2Cdependant%3Dno%27%2C%20false%2C%20true%29%3B" title="https://www.instagram.com/thiagonascimentogf/ (Nova janela)"&gt;https://www.instagram.com/thiagonascimentogf/&lt;/a&gt;</t>
  </si>
  <si>
    <t>0034P00003q10qj</t>
  </si>
  <si>
    <t>Dener Marcos</t>
  </si>
  <si>
    <t>Xavier</t>
  </si>
  <si>
    <t>dener.xavier@hotmail.com</t>
  </si>
  <si>
    <t>48.638.709-4</t>
  </si>
  <si>
    <t>Comércio Exterior</t>
  </si>
  <si>
    <t>Globalhood - Co-fundador e gestor (Ensino de Idiomas)</t>
  </si>
  <si>
    <t>0034P00003u8pO7</t>
  </si>
  <si>
    <t>Joana</t>
  </si>
  <si>
    <t>Gabriela de Assis Machado Rodrigue</t>
  </si>
  <si>
    <t>joanamachado@institutosonhe.org</t>
  </si>
  <si>
    <t>1196342-4890</t>
  </si>
  <si>
    <t>Enfermagem</t>
  </si>
  <si>
    <t>Rua Vitorino Carmilo</t>
  </si>
  <si>
    <t>01153-000</t>
  </si>
  <si>
    <t>0034P00003uQScg</t>
  </si>
  <si>
    <t>Claudio</t>
  </si>
  <si>
    <t>Mendes Monteiro</t>
  </si>
  <si>
    <t>claudio@institutopeb.org.br</t>
  </si>
  <si>
    <t>Coordenação</t>
  </si>
  <si>
    <t>Rua Paranaguá</t>
  </si>
  <si>
    <t>0034P00003maBVW</t>
  </si>
  <si>
    <t>Anália Timbó Catunda Filha</t>
  </si>
  <si>
    <t>contato@vidanca.org</t>
  </si>
  <si>
    <t>Danças</t>
  </si>
  <si>
    <t>Rua Pereira Valente</t>
  </si>
  <si>
    <t>0034P00003maBVX</t>
  </si>
  <si>
    <t>Danielle</t>
  </si>
  <si>
    <t>Luzia da Silva</t>
  </si>
  <si>
    <t>Não tenho</t>
  </si>
  <si>
    <t>Mãe da Duda e da Nanda; filha do senhor Izaias e da dona Iramir; empreendedora social; fundadora Instituto Izaias Luzia; formada na Falcons University ( Gerando Falcões); sofreu racismo e bulying na infância; passou por 02 Anos de depressão profunda; TOC...</t>
  </si>
  <si>
    <t>Rua Serra do mar</t>
  </si>
  <si>
    <t>apto 64</t>
  </si>
  <si>
    <t>08410-160</t>
  </si>
  <si>
    <t>0034P00003maBVY</t>
  </si>
  <si>
    <t>Dener</t>
  </si>
  <si>
    <t>Luan Moraes de Jesus</t>
  </si>
  <si>
    <t>dener.moraes.adv@gmail.com</t>
  </si>
  <si>
    <t>Graduação em Direito</t>
  </si>
  <si>
    <t>08223-000</t>
  </si>
  <si>
    <t>0034P00003maBVZ</t>
  </si>
  <si>
    <t>Maurício</t>
  </si>
  <si>
    <t>Alexandre Pérez Draghi</t>
  </si>
  <si>
    <t>Administração de Empresas</t>
  </si>
  <si>
    <t>Renomado e emblemático Atleta de Rugby no Brasil; Maurício foi capitão e líder; em seus times trouxe os valores e a garra de sua carreira; para impactar a sociedade com seu sonho de promover o acesso à educação de qualidade para todos. Aos 18; entrou na ...</t>
  </si>
  <si>
    <t>Rua Senador Casemiro da Rocha</t>
  </si>
  <si>
    <t>04047-003</t>
  </si>
  <si>
    <t>0034P00003maBVa</t>
  </si>
  <si>
    <t>Lenir</t>
  </si>
  <si>
    <t>Ferreira de Castro</t>
  </si>
  <si>
    <t>MG 7766051</t>
  </si>
  <si>
    <t>Educadora Social- Produtora Cultural -Técnico em Administração .</t>
  </si>
  <si>
    <t>Depois de perder os pais ainda criança; Lenir Ferreira de Castro passou a maior parte da sua infância em orfanato aonde sofreu abandono e abusos. Passados os anos superou todas as dificuldades sociais; e foi salva pela Arte. Criou em 2003 o Projeto Fazen...</t>
  </si>
  <si>
    <t>Rua Peru Bairro:  Bairro: Santa Rosa</t>
  </si>
  <si>
    <t>0034P00003maBVb</t>
  </si>
  <si>
    <t>Nilcimar</t>
  </si>
  <si>
    <t>Maria Silvestre dos Santos</t>
  </si>
  <si>
    <t>amacmulheres@gmail.com</t>
  </si>
  <si>
    <t>Empreendedora Social</t>
  </si>
  <si>
    <t>Rua Manoel da Rocha Mendes</t>
  </si>
  <si>
    <t>25045-485</t>
  </si>
  <si>
    <t>0034P00003q1C2W</t>
  </si>
  <si>
    <t>Bruna Simãozinho Carvalho</t>
  </si>
  <si>
    <t>Morais</t>
  </si>
  <si>
    <t>bruna.mundonovo@gmail.com</t>
  </si>
  <si>
    <t>13.236.331-8</t>
  </si>
  <si>
    <t>Acessibilidade Cultural UFRJ -  Serviço social e o Trabalho com as famílias UNISUAM - Gestão cultura em curso cândido Mendes e gestão e elaboração de Projetos Sociais em curso</t>
  </si>
  <si>
    <t>Instituto Mundo Novo - Coordenadora Geral de Projetos</t>
  </si>
  <si>
    <t>Rua Abel de Alvarenga</t>
  </si>
  <si>
    <t>26585-000</t>
  </si>
  <si>
    <t>0034P00003maBVd</t>
  </si>
  <si>
    <t>Rosangela</t>
  </si>
  <si>
    <t>de Freitas Costa</t>
  </si>
  <si>
    <t>rfcosta7@hotmail.com</t>
  </si>
  <si>
    <t>Formação em Design de Interiores - Mestranda Design área de Mídia e Tecnologia</t>
  </si>
  <si>
    <t>Divido tempo com Mestrado sou bolsista Capes</t>
  </si>
  <si>
    <t>0034P00003maBVf</t>
  </si>
  <si>
    <t>Jocélio</t>
  </si>
  <si>
    <t>de Jesus (Beatriz Laurindo-representante)</t>
  </si>
  <si>
    <t>beatriz.artemis@uol.com.br</t>
  </si>
  <si>
    <t>2R 487825SSI/SC</t>
  </si>
  <si>
    <t>Gestão Ambiental - Pós graduada em Gestão Integrada (Qualidade - Meio Ambiente - Responsabilidade Social - Saúde e Segurança do Trabalho) - Pós em Transdiciplinaridade Holística de Base - Especialista em Educação Social e Psicologia Transpessoal - Pós em</t>
  </si>
  <si>
    <t>Artemis Consultoria - Consultora - Projetos socioambientais</t>
  </si>
  <si>
    <t>Rua Bandeirantes</t>
  </si>
  <si>
    <t>nº 481</t>
  </si>
  <si>
    <t>Ap. 51</t>
  </si>
  <si>
    <t>11443-520</t>
  </si>
  <si>
    <t>0034P00003maBVg</t>
  </si>
  <si>
    <t>Emanuel</t>
  </si>
  <si>
    <t>Heliomar Medeiros de Souza</t>
  </si>
  <si>
    <t>emanuel.medeiros.souza@gmail.com</t>
  </si>
  <si>
    <t>2209897 SSP/PB</t>
  </si>
  <si>
    <t>Licenciatura Plena em Geografia</t>
  </si>
  <si>
    <t>N/A</t>
  </si>
  <si>
    <t>Rua Santa Maria</t>
  </si>
  <si>
    <t>s/n</t>
  </si>
  <si>
    <t>58737-000</t>
  </si>
  <si>
    <t>0034P00003maBVh</t>
  </si>
  <si>
    <t>da Silva Pereira</t>
  </si>
  <si>
    <t>andersonpedagogiaufrrj@gmail.com</t>
  </si>
  <si>
    <t>115528903 DETRAN/RJ</t>
  </si>
  <si>
    <t>Corretor de Imóveis - Imobiliária Inteligente (Própria)</t>
  </si>
  <si>
    <t>Rua Araci</t>
  </si>
  <si>
    <t>1111a</t>
  </si>
  <si>
    <t>25530-460</t>
  </si>
  <si>
    <t>0034P00003maBVj</t>
  </si>
  <si>
    <t>César da Silva (Nil</t>
  </si>
  <si>
    <t>desenvolvimento.estrategico.beco@gmail.com</t>
  </si>
  <si>
    <t>MG8575410</t>
  </si>
  <si>
    <t>Bacharel em Administração e MBA em Marketing- Branding e Growth</t>
  </si>
  <si>
    <t>Realizo um trabalho como autônomo no canal de mídias sociais "Vista da Laje" e também ofereço palestras remuneradas professor de</t>
  </si>
  <si>
    <t>Rua União</t>
  </si>
  <si>
    <t>0034P00003maBVk</t>
  </si>
  <si>
    <t>Fábio</t>
  </si>
  <si>
    <t>Gonçalves da Silva</t>
  </si>
  <si>
    <t>vilaemprogresso@gmail.com</t>
  </si>
  <si>
    <t>Somente  médio completo</t>
  </si>
  <si>
    <t>Rua Dr Mario Moura Viela</t>
  </si>
  <si>
    <t>casa 5</t>
  </si>
  <si>
    <t>0034P00003maBVm</t>
  </si>
  <si>
    <t>ALEXANDRE</t>
  </si>
  <si>
    <t>MAGNO BATISTA FERREIRA</t>
  </si>
  <si>
    <t>alexandrejdnagashima@gmail.com</t>
  </si>
  <si>
    <t>1522154 SSP/RN</t>
  </si>
  <si>
    <t>EDUCAÇÃO FÍSICA - PÓS GRADUAÇÃO EM EDUCAÇÃO FÍSICA ESCOLAR</t>
  </si>
  <si>
    <t>PROFESSOR DE ESCOLA PARTICULAR</t>
  </si>
  <si>
    <t>RUA MANOEL DE CASTRO</t>
  </si>
  <si>
    <t>59070-700</t>
  </si>
  <si>
    <t>0034P000043fOng</t>
  </si>
  <si>
    <t>Sérgio</t>
  </si>
  <si>
    <t>André Martins</t>
  </si>
  <si>
    <t>sergio.martins1300@gmail.com</t>
  </si>
  <si>
    <t>(31)97179-0255</t>
  </si>
  <si>
    <t>Direito</t>
  </si>
  <si>
    <t>M</t>
  </si>
  <si>
    <t>Pardo</t>
  </si>
  <si>
    <t>Rua Serra Negra</t>
  </si>
  <si>
    <t>32616-296</t>
  </si>
  <si>
    <t>&lt;a href="javascript:openPopupFocus%28%27https%3A%2F%2Fwww.linkedin.com%2Fin%2Fsergio-martins-m-269018212%27%2C%20%27_blank%27%2C%20620%2C%20430%2C%20%27width%3D620%2Cheight%3D430%2Cresizable%3Dyes%2Ctoolbar%3Dyes%2Cstatus%3Dyes%2Cscrollbars%3Dyes%2Cmenubar%3Dyes%2Cdirectories%3Dyes%2Clocation%3Dyes%2Cdependant%3Dno%27%2C%20false%2C%20true%29%3B" title="https://www.linkedin.com/in/sergio-martins-m-269018212 (Nova janela)"&gt;https://www.linkedin.com/in/sergio-martins-m-269018212&lt;/a&gt;</t>
  </si>
  <si>
    <t>&lt;a href="javascript:openPopupFocus%28%27https%3A%2F%2Finstagram.com%2Foficialsergiokibe%27%2C%20%27_blank%27%2C%20620%2C%20430%2C%20%27width%3D620%2Cheight%3D430%2Cresizable%3Dyes%2Ctoolbar%3Dyes%2Cstatus%3Dyes%2Cscrollbars%3Dyes%2Cmenubar%3Dyes%2Cdirectories%3Dyes%2Clocation%3Dyes%2Cdependant%3Dno%27%2C%20false%2C%20true%29%3B" title="https://instagram.com/oficialsergiokibe (Nova janela)"&gt;https://instagram.com/oficialsergiokibe&lt;/a&gt;</t>
  </si>
  <si>
    <t>0034P000043fOnh</t>
  </si>
  <si>
    <t>Elias</t>
  </si>
  <si>
    <t>Toio Farias Dos Santos</t>
  </si>
  <si>
    <t>tom.abadacapoeira@gamil.com</t>
  </si>
  <si>
    <t>(51) 98149-8022</t>
  </si>
  <si>
    <t>Rua rosinha Joaquina da Silveira</t>
  </si>
  <si>
    <t>93222-420</t>
  </si>
  <si>
    <t>&lt;a href="javascript:openPopupFocus%28%27https%3A%2F%2Finstagram.com%2Ftom_maiorcapoeira%3Futm_medium%3Dcopy_link%27%2C%20%27_blank%27%2C%20620%2C%20430%2C%20%27width%3D620%2Cheight%3D430%2Cresizable%3Dyes%2Ctoolbar%3Dyes%2Cstatus%3Dyes%2Cscrollbars%3Dyes%2Cmenubar%3Dyes%2Cdirectories%3Dyes%2Clocation%3Dyes%2Cdependant%3Dno%27%2C%20false%2C%20true%29%3B" title="https://instagram.com/tom_maiorcapoeira?utm_medium=copy_link (Nova janela)"&gt;https://instagram.com/tom_maiorcapoeira?utm_medium=copy_link&lt;/a&gt;</t>
  </si>
  <si>
    <t>0034P000043fOnd</t>
  </si>
  <si>
    <t>Dayane Batista</t>
  </si>
  <si>
    <t>3198568-1797</t>
  </si>
  <si>
    <t>Engenharia Mecanica</t>
  </si>
  <si>
    <t>Natural da cidade de João Monlevade; atleta; formada em mecânica; técnico em eletromecânica; formada em empreendedorismo pelo Senac; mãe de três meninas; reside na cidade de Contagem; fundadora do Circuito inclusão.</t>
  </si>
  <si>
    <t>bloco 07 apt 102</t>
  </si>
  <si>
    <t>32187-585</t>
  </si>
  <si>
    <t>&lt;a href="javascript:openPopupFocus%28%27https%3A%2F%2Fwww.linkedin.com%2Fin%2Fdebora-batista-04a18614a%27%2C%20%27_blank%27%2C%20620%2C%20430%2C%20%27width%3D620%2Cheight%3D430%2Cresizable%3Dyes%2Ctoolbar%3Dyes%2Cstatus%3Dyes%2Cscrollbars%3Dyes%2Cmenubar%3Dyes%2Cdirectories%3Dyes%2Clocation%3Dyes%2Cdependant%3Dno%27%2C%20false%2C%20true%29%3B" title="https://www.linkedin.com/in/debora-batista-04a18614a (Nova janela)"&gt;https://www.linkedin.com/in/debora-batista-04a18614a&lt;/a&gt;</t>
  </si>
  <si>
    <t>&lt;a href="javascript:openPopupFocus%28%27https%3A%2F%2Fwww.instagram.com%2Fdeborabatistacis%27%2C%20%27_blank%27%2C%20620%2C%20430%2C%20%27width%3D620%2Cheight%3D430%2Cresizable%3Dyes%2Ctoolbar%3Dyes%2Cstatus%3Dyes%2Cscrollbars%3Dyes%2Cmenubar%3Dyes%2Cdirectories%3Dyes%2Clocation%3Dyes%2Cdependant%3Dno%27%2C%20false%2C%20true%29%3B" title="https://www.instagram.com/deborabatistacis (Nova janela)"&gt;https://www.instagram.com/deborabatistacis&lt;/a&gt;</t>
  </si>
  <si>
    <t>0034P000043fOnf</t>
  </si>
  <si>
    <t>Elaine</t>
  </si>
  <si>
    <t>Cristina Silva Bassi</t>
  </si>
  <si>
    <t>(11) 97189-6880</t>
  </si>
  <si>
    <t>Administração Coordenação De Projetos Sociais E Educadores Sociais Cursando Gestão Do Terceiro</t>
  </si>
  <si>
    <t>Sindica profissional condomínio Residência Manacá</t>
  </si>
  <si>
    <t>Rua Massato Sakai</t>
  </si>
  <si>
    <t>Manaca bl 04 apto 32</t>
  </si>
  <si>
    <t>08538-300</t>
  </si>
  <si>
    <t>&lt;a href="javascript:openPopupFocus%28%27http%3A%2F%2Fwww.linkedin.com%2Fin%2Felainecbassi%27%2C%20%27_blank%27%2C%20620%2C%20430%2C%20%27width%3D620%2Cheight%3D430%2Cresizable%3Dyes%2Ctoolbar%3Dyes%2Cstatus%3Dyes%2Cscrollbars%3Dyes%2Cmenubar%3Dyes%2Cdirectories%3Dyes%2Clocation%3Dyes%2Cdependant%3Dno%27%2C%20false%2C%20true%29%3B" title="http://www.linkedin.com/in/elainecbassi (Nova janela)"&gt;http://www.linkedin.com/in/elainecbassi&lt;/a&gt;</t>
  </si>
  <si>
    <t>&lt;a href="javascript:openPopupFocus%28%27https%3A%2F%2Fwww.instagram.com%2Felainecristinabassi%27%2C%20%27_blank%27%2C%20620%2C%20430%2C%20%27width%3D620%2Cheight%3D430%2Cresizable%3Dyes%2Ctoolbar%3Dyes%2Cstatus%3Dyes%2Cscrollbars%3Dyes%2Cmenubar%3Dyes%2Cdirectories%3Dyes%2Clocation%3Dyes%2Cdependant%3Dno%27%2C%20false%2C%20true%29%3B" title="https://www.instagram.com/elainecristinabassi (Nova janela)"&gt;https://www.instagram.com/elainecristinabassi&lt;/a&gt;</t>
  </si>
  <si>
    <t>0034P000043fOo3</t>
  </si>
  <si>
    <t>Thamires</t>
  </si>
  <si>
    <t>Andrade Castro</t>
  </si>
  <si>
    <t>thamirescastroa@gmail.com</t>
  </si>
  <si>
    <t>(31) 98534-6345</t>
  </si>
  <si>
    <t>Direito E Designer De Moda</t>
  </si>
  <si>
    <t>Advogada - Andrade Castro Advocacia</t>
  </si>
  <si>
    <t>Rua Margarida Menezes</t>
  </si>
  <si>
    <t>35180-071</t>
  </si>
  <si>
    <t>&lt;a href="javascript:openPopupFocus%28%27https%3A%2F%2Fwww.linkedin.com%2Fin%2Fthamires-castro-03901810a%2F%27%2C%20%27_blank%27%2C%20620%2C%20430%2C%20%27width%3D620%2Cheight%3D430%2Cresizable%3Dyes%2Ctoolbar%3Dyes%2Cstatus%3Dyes%2Cscrollbars%3Dyes%2Cmenubar%3Dyes%2Cdirectories%3Dyes%2Clocation%3Dyes%2Cdependant%3Dno%27%2C%20false%2C%20true%29%3B" title="https://www.linkedin.com/in/thamires-castro-03901810a/ (Nova janela)"&gt;https://www.linkedin.com/in/thamires-castro-03901810a/&lt;/a&gt;</t>
  </si>
  <si>
    <t>&lt;a href="javascript:openPopupFocus%28%27https%3A%2F%2Fwww.instagram.com%2Fthamirescastroa%27%2C%20%27_blank%27%2C%20620%2C%20430%2C%20%27width%3D620%2Cheight%3D430%2Cresizable%3Dyes%2Ctoolbar%3Dyes%2Cstatus%3Dyes%2Cscrollbars%3Dyes%2Cmenubar%3Dyes%2Cdirectories%3Dyes%2Clocation%3Dyes%2Cdependant%3Dno%27%2C%20false%2C%20true%29%3B" title="https://www.instagram.com/thamirescastroa (Nova janela)"&gt;https://www.instagram.com/thamirescastroa&lt;/a&gt;</t>
  </si>
  <si>
    <t>0034P000043fPDm</t>
  </si>
  <si>
    <t>Raquel De Souza</t>
  </si>
  <si>
    <t>(85) 99872-5479</t>
  </si>
  <si>
    <t>Assistente do controle de qualidade- M DIAS BRANCO ( FÁBRICA DE MARGARINAS E GORDURAS)- SETOR INDUSTRIAL</t>
  </si>
  <si>
    <t>60542-135</t>
  </si>
  <si>
    <t>&lt;a href="javascript:openPopupFocus%28%27https%3A%2F%2Fwww.linkedin.com%2Fin%2Fmaria-raquel-9a561b112%2F%27%2C%20%27_blank%27%2C%20620%2C%20430%2C%20%27width%3D620%2Cheight%3D430%2Cresizable%3Dyes%2Ctoolbar%3Dyes%2Cstatus%3Dyes%2Cscrollbars%3Dyes%2Cmenubar%3Dyes%2Cdirectories%3Dyes%2Clocation%3Dyes%2Cdependant%3Dno%27%2C%20false%2C%20true%29%3B" title="https://www.linkedin.com/in/maria-raquel-9a561b112/ (Nova janela)"&gt;https://www.linkedin.com/in/maria-raquel-9a561b112/&lt;/a&gt;</t>
  </si>
  <si>
    <t>&lt;a href="javascript:openPopupFocus%28%27https%3A%2F%2Finstagram.com%2Fma.raquelcabral%3Futm_medium%3Dcopy_link%27%2C%20%27_blank%27%2C%20620%2C%20430%2C%20%27width%3D620%2Cheight%3D430%2Cresizable%3Dyes%2Ctoolbar%3Dyes%2Cstatus%3Dyes%2Cscrollbars%3Dyes%2Cmenubar%3Dyes%2Cdirectories%3Dyes%2Clocation%3Dyes%2Cdependant%3Dno%27%2C%20false%2C%20true%29%3B" title="https://instagram.com/ma.raquelcabral?utm_medium=copy_link (Nova janela)"&gt;https://instagram.com/ma.raquelcabral?utm_medium=copy_link&lt;/a&gt;</t>
  </si>
  <si>
    <t>0034P000043fPDn</t>
  </si>
  <si>
    <t>Katia</t>
  </si>
  <si>
    <t>Helena De Jesus Soares</t>
  </si>
  <si>
    <t>kajesoares@gmail.com</t>
  </si>
  <si>
    <t>(31)99175-5109</t>
  </si>
  <si>
    <t>Graduação Em Ciências Socaiais/Antropologia (Ufmg) Especialização Em Pesquisa E Ensino Em Arte E Cultura (Uemg) Mestranda No Curso De Letras ( Puc Minas)</t>
  </si>
  <si>
    <t>Contrato temporário-Secretaria Estadual de Educação-MG</t>
  </si>
  <si>
    <t>Rua Flamboyant</t>
  </si>
  <si>
    <t>32310-240</t>
  </si>
  <si>
    <t>&lt;a href="javascript:openPopupFocus%28%27https%3A%2F%2Fwww.linkedin.com%2Fin%2Fkatia-soares-38359858%2F%27%2C%20%27_blank%27%2C%20620%2C%20430%2C%20%27width%3D620%2Cheight%3D430%2Cresizable%3Dyes%2Ctoolbar%3Dyes%2Cstatus%3Dyes%2Cscrollbars%3Dyes%2Cmenubar%3Dyes%2Cdirectories%3Dyes%2Clocation%3Dyes%2Cdependant%3Dno%27%2C%20false%2C%20true%29%3B" title="https://www.linkedin.com/in/katia-soares-38359858/ (Nova janela)"&gt;https://www.linkedin.com/in/katia-soares-38359858/&lt;/a&gt;</t>
  </si>
  <si>
    <t>&lt;a href="javascript:openPopupFocus%28%27https%3A%2F%2Fwww.instagram.com%2Fkajesoares%2F%27%2C%20%27_blank%27%2C%20620%2C%20430%2C%20%27width%3D620%2Cheight%3D430%2Cresizable%3Dyes%2Ctoolbar%3Dyes%2Cstatus%3Dyes%2Cscrollbars%3Dyes%2Cmenubar%3Dyes%2Cdirectories%3Dyes%2Clocation%3Dyes%2Cdependant%3Dno%27%2C%20false%2C%20true%29%3B" title="https://www.instagram.com/kajesoares/ (Nova janela)"&gt;https://www.instagram.com/kajesoares/&lt;/a&gt;</t>
  </si>
  <si>
    <t>0034P000043fOny</t>
  </si>
  <si>
    <t>Lidinalva</t>
  </si>
  <si>
    <t>Fernandes De Araújo</t>
  </si>
  <si>
    <t>lidinalva.fernandes@gmail.com</t>
  </si>
  <si>
    <t>rua bahia</t>
  </si>
  <si>
    <t>39400-443</t>
  </si>
  <si>
    <t>&lt;a href="javascript:openPopupFocus%28%27https%3A%2F%2Fwww.instagram.com%2Flidinalva.fernandes%2F%27%2C%20%27_blank%27%2C%20620%2C%20430%2C%20%27width%3D620%2Cheight%3D430%2Cresizable%3Dyes%2Ctoolbar%3Dyes%2Cstatus%3Dyes%2Cscrollbars%3Dyes%2Cmenubar%3Dyes%2Cdirectories%3Dyes%2Clocation%3Dyes%2Cdependant%3Dno%27%2C%20false%2C%20true%29%3B" title="https://www.instagram.com/lidinalva.fernandes/ (Nova janela)"&gt;https://www.instagram.com/lidinalva.fernandes/&lt;/a&gt;</t>
  </si>
  <si>
    <t>0034P000043fOnz</t>
  </si>
  <si>
    <t>Sidnea</t>
  </si>
  <si>
    <t>Lucia Prado</t>
  </si>
  <si>
    <t>sidnea.prado@gmail.com</t>
  </si>
  <si>
    <t>(31) 9 9715-3006</t>
  </si>
  <si>
    <t>Contábil</t>
  </si>
  <si>
    <t>Indígena</t>
  </si>
  <si>
    <t>Rua Macarena</t>
  </si>
  <si>
    <t>30865-060</t>
  </si>
  <si>
    <t>&lt;a href="javascript:openPopupFocus%28%27https%3A%2F%2Fwww.linkedin.com%2Fin%2Fsidnea-lucia-prado-524261144%2F%27%2C%20%27_blank%27%2C%20620%2C%20430%2C%20%27width%3D620%2Cheight%3D430%2Cresizable%3Dyes%2Ctoolbar%3Dyes%2Cstatus%3Dyes%2Cscrollbars%3Dyes%2Cmenubar%3Dyes%2Cdirectories%3Dyes%2Clocation%3Dyes%2Cdependant%3Dno%27%2C%20false%2C%20true%29%3B" title="https://www.linkedin.com/in/sidnea-lucia-prado-524261144/ (Nova janela)"&gt;https://www.linkedin.com/in/sidnea-lucia-prado-524261144/&lt;/a&gt;</t>
  </si>
  <si>
    <t>&lt;a href="javascript:openPopupFocus%28%27https%3A%2F%2Fwww.instagram.com%2Fsidneaprado%2F%27%2C%20%27_blank%27%2C%20620%2C%20430%2C%20%27width%3D620%2Cheight%3D430%2Cresizable%3Dyes%2Ctoolbar%3Dyes%2Cstatus%3Dyes%2Cscrollbars%3Dyes%2Cmenubar%3Dyes%2Cdirectories%3Dyes%2Clocation%3Dyes%2Cdependant%3Dno%27%2C%20false%2C%20true%29%3B" title="https://www.instagram.com/sidneaprado/ (Nova janela)"&gt;https://www.instagram.com/sidneaprado/&lt;/a&gt;</t>
  </si>
  <si>
    <t>0034P000043fOo0</t>
  </si>
  <si>
    <t>Patricia</t>
  </si>
  <si>
    <t>Maia De Souza Brito</t>
  </si>
  <si>
    <t>patriciabailarina@hotmail.com</t>
  </si>
  <si>
    <t>11 98443-4620</t>
  </si>
  <si>
    <t>Educação Física - Bacharel / Educação Física Escolar - Pós Graduação</t>
  </si>
  <si>
    <t>Rua Nicolau Tolentino de Almeida</t>
  </si>
  <si>
    <t>Apartamento 24 Bloco K</t>
  </si>
  <si>
    <t>02671-020</t>
  </si>
  <si>
    <t>&lt;a href="javascript:openPopupFocus%28%27https%3A%2F%2Fwww.linkedin.com%2Fmwlite%2Fin%2Fpatricia-maia-485200217%27%2C%20%27_blank%27%2C%20620%2C%20430%2C%20%27width%3D620%2Cheight%3D430%2Cresizable%3Dyes%2Ctoolbar%3Dyes%2Cstatus%3Dyes%2Cscrollbars%3Dyes%2Cmenubar%3Dyes%2Cdirectories%3Dyes%2Clocation%3Dyes%2Cdependant%3Dno%27%2C%20false%2C%20true%29%3B" title="https://www.linkedin.com/mwlite/in/patricia-maia-485200217 (Nova janela)"&gt;https://www.linkedin.com/mwlite/in/patricia-maia-485200217&lt;/a&gt;</t>
  </si>
  <si>
    <t>&lt;a href="javascript:openPopupFocus%28%27https%3A%2F%2Finstagram.com%2Fpatymaiapersonal%3Futm_medium%3Dcopy_link%27%2C%20%27_blank%27%2C%20620%2C%20430%2C%20%27width%3D620%2Cheight%3D430%2Cresizable%3Dyes%2Ctoolbar%3Dyes%2Cstatus%3Dyes%2Cscrollbars%3Dyes%2Cmenubar%3Dyes%2Cdirectories%3Dyes%2Clocation%3Dyes%2Cdependant%3Dno%27%2C%20false%2C%20true%29%3B" title="https://instagram.com/patymaiapersonal?utm_medium=copy_link (Nova janela)"&gt;https://instagram.com/patymaiapersonal?utm_medium=copy_link&lt;/a&gt;</t>
  </si>
  <si>
    <t>0034P000043fOo2</t>
  </si>
  <si>
    <t>Poliana</t>
  </si>
  <si>
    <t>A Rodrigues</t>
  </si>
  <si>
    <t>(31) 98688-7119</t>
  </si>
  <si>
    <t>Administração Negócios</t>
  </si>
  <si>
    <t>Branco</t>
  </si>
  <si>
    <t>Rua da Batalha dos Palmares</t>
  </si>
  <si>
    <t>apto 101 bloco 8</t>
  </si>
  <si>
    <t>31985-160</t>
  </si>
  <si>
    <t>&lt;a href="javascript:openPopupFocus%28%27https%3A%2F%2Fwww.linkedin.com%2Fin%2Frodrigues-poliana%2F%27%2C%20%27_blank%27%2C%20620%2C%20430%2C%20%27width%3D620%2Cheight%3D430%2Cresizable%3Dyes%2Ctoolbar%3Dyes%2Cstatus%3Dyes%2Cscrollbars%3Dyes%2Cmenubar%3Dyes%2Cdirectories%3Dyes%2Clocation%3Dyes%2Cdependant%3Dno%27%2C%20false%2C%20true%29%3B" title="https://www.linkedin.com/in/rodrigues-poliana/ (Nova janela)"&gt;https://www.linkedin.com/in/rodrigues-poliana/&lt;/a&gt;</t>
  </si>
  <si>
    <t>&lt;a href="javascript:openPopupFocus%28%27https%3A%2F%2Fwww.instagram.com%2Frodriguespolyeli%2F%27%2C%20%27_blank%27%2C%20620%2C%20430%2C%20%27width%3D620%2Cheight%3D430%2Cresizable%3Dyes%2Ctoolbar%3Dyes%2Cstatus%3Dyes%2Cscrollbars%3Dyes%2Cmenubar%3Dyes%2Cdirectories%3Dyes%2Clocation%3Dyes%2Cdependant%3Dno%27%2C%20false%2C%20true%29%3B" title="https://www.instagram.com/rodriguespolyeli/ (Nova janela)"&gt;https://www.instagram.com/rodriguespolyeli/&lt;/a&gt;</t>
  </si>
  <si>
    <t>0034P000043fOo4</t>
  </si>
  <si>
    <t>Priscila</t>
  </si>
  <si>
    <t>Do Carmo Araujo</t>
  </si>
  <si>
    <t>prisciladocarmo.cultural@gmail.com</t>
  </si>
  <si>
    <t>(61) 99335-8340</t>
  </si>
  <si>
    <t>Comunicação</t>
  </si>
  <si>
    <t>Articuladora territorial/Secretaria de Justiça do Distrito Federal</t>
  </si>
  <si>
    <t>Quadra 16 Conjunto L Casa</t>
  </si>
  <si>
    <t>73050-172</t>
  </si>
  <si>
    <t>Trabalho informal</t>
  </si>
  <si>
    <t>&lt;a href="javascript:openPopupFocus%28%27http%3A%2F%2FAluguel%27%2C%20%27_blank%27%2C%20620%2C%20430%2C%20%27width%3D620%2Cheight%3D430%2Cresizable%3Dyes%2Ctoolbar%3Dyes%2Cstatus%3Dyes%2Cscrollbars%3Dyes%2Cmenubar%3Dyes%2Cdirectories%3Dyes%2Clocation%3Dyes%2Cdependant%3Dno%27%2C%20false%2C%20true%29%3B" title="http://Aluguel (Nova janela)"&gt;http://Aluguel&lt;/a&gt;</t>
  </si>
  <si>
    <t>&lt;a href="javascript:openPopupFocus%28%27https%3A%2F%2Fwww.linkedin.com%2Fin%2Fpriscila-do-carmo-ara%25C3%25BAjo-7065b331%2F%27%2C%20%27_blank%27%2C%20620%2C%20430%2C%20%27width%3D620%2Cheight%3D430%2Cresizable%3Dyes%2Ctoolbar%3Dyes%2Cstatus%3Dyes%2Cscrollbars%3Dyes%2Cmenubar%3Dyes%2Cdirectories%3Dyes%2Clocation%3Dyes%2Cdependant%3Dno%27%2C%20false%2C%20true%29%3B" title="https://www.linkedin.com/in/priscila-do-carmo-ara%C3%BAjo-7065b331/ (Nova janela)"&gt;https://www.linkedin.com/in/priscila-do-carmo-ara%C3%BAjo-7065b331/&lt;/a&gt;</t>
  </si>
  <si>
    <t>0034P000043fOo5</t>
  </si>
  <si>
    <t>Johnny</t>
  </si>
  <si>
    <t>Santana</t>
  </si>
  <si>
    <t>johnnysantana22@gmail.com</t>
  </si>
  <si>
    <t>(32)99928-2607</t>
  </si>
  <si>
    <t>Educação ( Matemática E Educação Física)</t>
  </si>
  <si>
    <t>Prefeitura Municipal de Piraúba - Fiscal de tributos</t>
  </si>
  <si>
    <t>Leito da ANTIGA LINHA FÉRREA</t>
  </si>
  <si>
    <t>36170-000</t>
  </si>
  <si>
    <t>["CLT","Desempregado"]</t>
  </si>
  <si>
    <t>&lt;a href="javascript:openPopupFocus%28%27https%3A%2F%2Fwww.linkedin.com%2Fin%2Fjohnny-santana-014aa0216%2F%27%2C%20%27_blank%27%2C%20620%2C%20430%2C%20%27width%3D620%2Cheight%3D430%2Cresizable%3Dyes%2Ctoolbar%3Dyes%2Cstatus%3Dyes%2Cscrollbars%3Dyes%2Cmenubar%3Dyes%2Cdirectories%3Dyes%2Clocation%3Dyes%2Cdependant%3Dno%27%2C%20false%2C%20true%29%3B" title="https://www.linkedin.com/in/johnny-santana-014aa0216/ (Nova janela)"&gt;https://www.linkedin.com/in/johnny-santana-014aa0216/&lt;/a&gt;</t>
  </si>
  <si>
    <t>&lt;a href="javascript:openPopupFocus%28%27https%3A%2F%2Fwww.instagram.com%2Fjohnnysantana89%2F%27%2C%20%27_blank%27%2C%20620%2C%20430%2C%20%27width%3D620%2Cheight%3D430%2Cresizable%3Dyes%2Ctoolbar%3Dyes%2Cstatus%3Dyes%2Cscrollbars%3Dyes%2Cmenubar%3Dyes%2Cdirectories%3Dyes%2Clocation%3Dyes%2Cdependant%3Dno%27%2C%20false%2C%20true%29%3B" title="https://www.instagram.com/johnnysantana89/ (Nova janela)"&gt;https://www.instagram.com/johnnysantana89/&lt;/a&gt;</t>
  </si>
  <si>
    <t>0034P000043fOo7</t>
  </si>
  <si>
    <t>Pedro</t>
  </si>
  <si>
    <t>Augusto Rocha Costa</t>
  </si>
  <si>
    <t>(32)98887-9662</t>
  </si>
  <si>
    <t>Professor de Educação Musical</t>
  </si>
  <si>
    <t>P</t>
  </si>
  <si>
    <t>Rua José Neto</t>
  </si>
  <si>
    <t>0034P000043fOo8</t>
  </si>
  <si>
    <t>Roberta</t>
  </si>
  <si>
    <t>Maria Pessoa Maranhão De Lima</t>
  </si>
  <si>
    <t>robertamaranhao.pe@gmail.com</t>
  </si>
  <si>
    <t>(81)99763-0905</t>
  </si>
  <si>
    <t>Pós Gestão De Pessoas E Bacharel Design Gráfico</t>
  </si>
  <si>
    <t>Secretária do Gabinete da Secretária de Desenvolvimento Social de Olinda</t>
  </si>
  <si>
    <t>Roberta Maranhão - 43 anos; desde sempre moradora de Olinda e apaixonada pela sua cidade; seu povo e suas tradições.  Mãe de Lucas; 16 anos; filha de D. Mariza; servidora pública federal que criou sozinhas as suas 3 filhas. Cresceu na classe média por mé...</t>
  </si>
  <si>
    <t>53130-510</t>
  </si>
  <si>
    <t>&lt;a href="javascript:openPopupFocus%28%27http%3A%2F%2Frobertamaranhao.pe%27%2C%20%27_blank%27%2C%20620%2C%20430%2C%20%27width%3D620%2Cheight%3D430%2Cresizable%3Dyes%2Ctoolbar%3Dyes%2Cstatus%3Dyes%2Cscrollbars%3Dyes%2Cmenubar%3Dyes%2Cdirectories%3Dyes%2Clocation%3Dyes%2Cdependant%3Dno%27%2C%20false%2C%20true%29%3B" title="http://robertamaranhao.pe (Nova janela)"&gt;http://robertamaranhao.pe&lt;/a&gt;</t>
  </si>
  <si>
    <t>&lt;a href="javascript:openPopupFocus%28%27http%3A%2F%2Finstagram.com%2Froberta_inspire%27%2C%20%27_blank%27%2C%20620%2C%20430%2C%20%27width%3D620%2Cheight%3D430%2Cresizable%3Dyes%2Ctoolbar%3Dyes%2Cstatus%3Dyes%2Cscrollbars%3Dyes%2Cmenubar%3Dyes%2Cdirectories%3Dyes%2Clocation%3Dyes%2Cdependant%3Dno%27%2C%20false%2C%20true%29%3B" title="http://instagram.com/roberta_inspire (Nova janela)"&gt;http://instagram.com/roberta_inspire&lt;/a&gt;</t>
  </si>
  <si>
    <t>0034P000043fOo9</t>
  </si>
  <si>
    <t>Danilo</t>
  </si>
  <si>
    <t>César Trindade</t>
  </si>
  <si>
    <t>professordancesar@gmail.com</t>
  </si>
  <si>
    <t>31 9 8872-9239</t>
  </si>
  <si>
    <t>Eespecialista Em Atividades Físicas E Esportivas Para Pessoas Com Deficiência</t>
  </si>
  <si>
    <t>Servidor Público / Professor de Educação Física</t>
  </si>
  <si>
    <t>Rua Ney Werneck</t>
  </si>
  <si>
    <t>30810-630</t>
  </si>
  <si>
    <t>["CLT","Trabalho informal"]</t>
  </si>
  <si>
    <t>&lt;a href="javascript:openPopupFocus%28%27https%3A%2F%2Fwww.linkedin.com%2Fin%2Fdanilo-c%25C3%25A9sar-trindade-pereir%27%2C%20%27_blank%27%2C%20620%2C%20430%2C%20%27width%3D620%2Cheight%3D430%2Cresizable%3Dyes%2Ctoolbar%3Dyes%2Cstatus%3Dyes%2Cscrollbars%3Dyes%2Cmenubar%3Dyes%2Cdirectories%3Dyes%2Clocation%3Dyes%2Cdependant%3Dno%27%2C%20false%2C%20true%29%3B" title="https://www.linkedin.com/in/danilo-c%C3%A9sar-trindade-pereir (Nova janela)"&gt;https://www.linkedin.com/in/danilo-c%C3%A9sar-trindade-pereir&lt;/a&gt;</t>
  </si>
  <si>
    <t>0034P000043fOoA</t>
  </si>
  <si>
    <t>Rodrigo</t>
  </si>
  <si>
    <t>De Souza</t>
  </si>
  <si>
    <t>rodrigo@missaointensidade.org.br</t>
  </si>
  <si>
    <t>(11)99661-1025</t>
  </si>
  <si>
    <t>Educação Fisica</t>
  </si>
  <si>
    <t>AMAC ( Associação Mogiana de Ações para a Cidadania) Educador físico.</t>
  </si>
  <si>
    <t>Rua Maria Piedade da Silva.</t>
  </si>
  <si>
    <t>08720-390</t>
  </si>
  <si>
    <t>&lt;a href="javascript:openPopupFocus%28%27https%3A%2F%2Fwww.linkedin.com%2Fin%2Frodrigo-de-souza-62a803194%2F%27%2C%20%27_blank%27%2C%20620%2C%20430%2C%20%27width%3D620%2Cheight%3D430%2Cresizable%3Dyes%2Ctoolbar%3Dyes%2Cstatus%3Dyes%2Cscrollbars%3Dyes%2Cmenubar%3Dyes%2Cdirectories%3Dyes%2Clocation%3Dyes%2Cdependant%3Dno%27%2C%20false%2C%20true%29%3B" title="https://www.linkedin.com/in/rodrigo-de-souza-62a803194/ (Nova janela)"&gt;https://www.linkedin.com/in/rodrigo-de-souza-62a803194/&lt;/a&gt;</t>
  </si>
  <si>
    <t>0034P000043fOoB</t>
  </si>
  <si>
    <t>Sadraque</t>
  </si>
  <si>
    <t>Albino De Souza</t>
  </si>
  <si>
    <t>sadraquealbino@gmail.com</t>
  </si>
  <si>
    <t>(21)99551-6397</t>
  </si>
  <si>
    <t>Rua Dom Antônio</t>
  </si>
  <si>
    <t>26260-180</t>
  </si>
  <si>
    <t>["Trabalho informal","Desempregado"]</t>
  </si>
  <si>
    <t>&lt;a href="javascript:openPopupFocus%28%27https%3A%2F%2Fwww.linkedin.com%2Fin%2Fsadraque-albino-de-souza-57600871%2F%27%2C%20%27_blank%27%2C%20620%2C%20430%2C%20%27width%3D620%2Cheight%3D430%2Cresizable%3Dyes%2Ctoolbar%3Dyes%2Cstatus%3Dyes%2Cscrollbars%3Dyes%2Cmenubar%3Dyes%2Cdirectories%3Dyes%2Clocation%3Dyes%2Cdependant%3Dno%27%2C%20false%2C%20true%29%3B" title="https://www.linkedin.com/in/sadraque-albino-de-souza-57600871/ (Nova janela)"&gt;https://www.linkedin.com/in/sadraque-albino-de-souza-57600871/&lt;/a&gt;</t>
  </si>
  <si>
    <t>&lt;a href="javascript:openPopupFocus%28%27https%3A%2F%2Fwww.instagram.com%2Fsadraquealbino%2F%27%2C%20%27_blank%27%2C%20620%2C%20430%2C%20%27width%3D620%2Cheight%3D430%2Cresizable%3Dyes%2Ctoolbar%3Dyes%2Cstatus%3Dyes%2Cscrollbars%3Dyes%2Cmenubar%3Dyes%2Cdirectories%3Dyes%2Clocation%3Dyes%2Cdependant%3Dno%27%2C%20false%2C%20true%29%3B" title="https://www.instagram.com/sadraquealbino/ (Nova janela)"&gt;https://www.instagram.com/sadraquealbino/&lt;/a&gt;</t>
  </si>
  <si>
    <t>0034P000043fOoC</t>
  </si>
  <si>
    <t>Sara</t>
  </si>
  <si>
    <t>Abreu Silva</t>
  </si>
  <si>
    <t>saraabreu.2016@gmail.com</t>
  </si>
  <si>
    <t>(98)98756-6267</t>
  </si>
  <si>
    <t>Pedagogia Psicopedagogia Saúde Mental Assistência Social Na Saúde E Escola</t>
  </si>
  <si>
    <t>Escola Comunitária Professor Cidinho Marques - Diretora</t>
  </si>
  <si>
    <t>Amarelo</t>
  </si>
  <si>
    <t>Rua D</t>
  </si>
  <si>
    <t>65130-000</t>
  </si>
  <si>
    <t>0034P000043fOoD</t>
  </si>
  <si>
    <t>Green</t>
  </si>
  <si>
    <t>Saimonton Garcia Dias</t>
  </si>
  <si>
    <t>greendias@gmail.com</t>
  </si>
  <si>
    <t>31 99494-5092</t>
  </si>
  <si>
    <t>Engenharia Civil</t>
  </si>
  <si>
    <t>Desdêmona</t>
  </si>
  <si>
    <t>34011-123</t>
  </si>
  <si>
    <t>&lt;a href="javascript:openPopupFocus%28%27http%3A%2F%2Flinkedin.com%2Fin%2Fsaimon-dias-946881178%27%2C%20%27_blank%27%2C%20620%2C%20430%2C%20%27width%3D620%2Cheight%3D430%2Cresizable%3Dyes%2Ctoolbar%3Dyes%2Cstatus%3Dyes%2Cscrollbars%3Dyes%2Cmenubar%3Dyes%2Cdirectories%3Dyes%2Clocation%3Dyes%2Cdependant%3Dno%27%2C%20false%2C%20true%29%3B" title="http://linkedin.com/in/saimon-dias-946881178 (Nova janela)"&gt;http://linkedin.com/in/saimon-dias-946881178&lt;/a&gt;</t>
  </si>
  <si>
    <t>&lt;a href="javascript:openPopupFocus%28%27https%3A%2F%2Fwww.instagram.com%2Fgreen_dias%2F%27%2C%20%27_blank%27%2C%20620%2C%20430%2C%20%27width%3D620%2Cheight%3D430%2Cresizable%3Dyes%2Ctoolbar%3Dyes%2Cstatus%3Dyes%2Cscrollbars%3Dyes%2Cmenubar%3Dyes%2Cdirectories%3Dyes%2Clocation%3Dyes%2Cdependant%3Dno%27%2C%20false%2C%20true%29%3B" title="https://www.instagram.com/green_dias/ (Nova janela)"&gt;https://www.instagram.com/green_dias/&lt;/a&gt;</t>
  </si>
  <si>
    <t>0034P000043fOoF</t>
  </si>
  <si>
    <t>Priscilla</t>
  </si>
  <si>
    <t>Rubia De Siqueira</t>
  </si>
  <si>
    <t>jasmimabadamg@gmail.com</t>
  </si>
  <si>
    <t>(31)97112-7045</t>
  </si>
  <si>
    <t>Contabilidade Tributária</t>
  </si>
  <si>
    <t>Prestadora de serviço revendedora da ar condicionado.</t>
  </si>
  <si>
    <t>Rua Aderbal Rodrigues Vaz</t>
  </si>
  <si>
    <t>30690-000</t>
  </si>
  <si>
    <t>&lt;a href="javascript:openPopupFocus%28%27https%3A%2F%2Fwww.google.com%2Furl%3Fsa%3Dt%26source%3Dweb%26rct%3Dj%26url%3Dhttps%3A%2F%2Fbr.linkedin.com%2Fin%2Fpriscilla-siqueira-841959137%26ved%3D2ahUKEwi8i6TJuqLxAhUllZUCHTnoCLgQjjgwAHoECAQQAg%26usg%3DAOvVaw3ilHL_Q4gf10IKc3aa-P_4%27%2C%20%27_blank%27%2C%20620%2C%20430%2C%20%27width%3D620%2Cheight%3D430%2Cresizable%3Dyes%2Ctoolbar%3Dyes%2Cstatus%3Dyes%2Cscrollbars%3Dyes%2Cmenubar%3Dyes%2Cdirectories%3Dyes%2Clocation%3Dyes%2Cdependant%3Dno%27%2C%20false%2C%20true%29%3B" title="https://www.google.com/url?sa=t&amp;source=web&amp;rct=j&amp;url=https://br.linkedin.com/in/priscilla-siqueira-841959137&amp;ved=2ahUKEwi8i6TJuqLxAhUllZUCHTnoCLgQjjgwAHoECAQQAg&amp;usg=AOvVaw3ilHL_Q4gf10IKc3aa-P_4 (Nova janela)"&gt;https://www.google.com/url?sa=t&amp;source=web&amp;rct=j&amp;url=https://br.linkedin.com/in/priscilla-siqueira-841959137&amp;ved=2ahUKEwi8i6TJuqLxAhUllZUCHTnoCLgQjjgwAHoECAQQAg&amp;usg=AOvVaw3ilHL_Q4gf10IKc3aa-P_4&lt;/a&gt;</t>
  </si>
  <si>
    <t>&lt;a href="javascript:openPopupFocus%28%27https%3A%2F%2Fwww.instagram.com%2Fp%2FCQR0-4gF0moYnAf6RNobcLW1ZODNR1lrvNKSo80%2F%3Futm_medium%3Dcopy_link%27%2C%20%27_blank%27%2C%20620%2C%20430%2C%20%27width%3D620%2Cheight%3D430%2Cresizable%3Dyes%2Ctoolbar%3Dyes%2Cstatus%3Dyes%2Cscrollbars%3Dyes%2Cmenubar%3Dyes%2Cdirectories%3Dyes%2Clocation%3Dyes%2Cdependant%3Dno%27%2C%20false%2C%20true%29%3B" title="https://www.instagram.com/p/CQR0-4gF0moYnAf6RNobcLW1ZODNR1lrvNKSo80/?utm_medium=copy_link (Nova janela)"&gt;https://www.instagram.com/p/CQR0-4gF0moYnAf6RNobcLW1ZODNR1lrvNKSo80/?utm_medium=copy_link&lt;/a&gt;</t>
  </si>
  <si>
    <t>0034P000043fOoG</t>
  </si>
  <si>
    <t>Silvana</t>
  </si>
  <si>
    <t>Alves De França Mansanari</t>
  </si>
  <si>
    <t>silmansanari@gmail.com</t>
  </si>
  <si>
    <t>(11) 96560-6533</t>
  </si>
  <si>
    <t>Rua: Arcilio Federzoni</t>
  </si>
  <si>
    <t>07951-310</t>
  </si>
  <si>
    <t>&lt;a href="javascript:openPopupFocus%28%27https%3A%2F%2Fwww.linkedin.com%2Fin%2Fsilvana-alves-01454a216%2F%27%2C%20%27_blank%27%2C%20620%2C%20430%2C%20%27width%3D620%2Cheight%3D430%2Cresizable%3Dyes%2Ctoolbar%3Dyes%2Cstatus%3Dyes%2Cscrollbars%3Dyes%2Cmenubar%3Dyes%2Cdirectories%3Dyes%2Clocation%3Dyes%2Cdependant%3Dno%27%2C%20false%2C%20true%29%3B" title="https://www.linkedin.com/in/silvana-alves-01454a216/ (Nova janela)"&gt;https://www.linkedin.com/in/silvana-alves-01454a216/&lt;/a&gt;</t>
  </si>
  <si>
    <t>0034P000043fOoH</t>
  </si>
  <si>
    <t>Fabio</t>
  </si>
  <si>
    <t>Anacleto</t>
  </si>
  <si>
    <t>31 98657-5234</t>
  </si>
  <si>
    <t>Rua do Campo Beco da Pituca</t>
  </si>
  <si>
    <t>30421-657</t>
  </si>
  <si>
    <t>&lt;a href="javascript:openPopupFocus%28%27https%3A%2F%2Fwww.linkedin.com%2Ffeed%2F%3Ftrk%3Dhomepage-basic_google-one-tap-submit%27%2C%20%27_blank%27%2C%20620%2C%20430%2C%20%27width%3D620%2Cheight%3D430%2Cresizable%3Dyes%2Ctoolbar%3Dyes%2Cstatus%3Dyes%2Cscrollbars%3Dyes%2Cmenubar%3Dyes%2Cdirectories%3Dyes%2Clocation%3Dyes%2Cdependant%3Dno%27%2C%20false%2C%20true%29%3B" title="https://www.linkedin.com/feed/?trk=homepage-basic_google-one-tap-submit (Nova janela)"&gt;https://www.linkedin.com/feed/?trk=homepage-basic_google-one-tap-submit&lt;/a&gt;</t>
  </si>
  <si>
    <t>&lt;a href="javascript:openPopupFocus%28%27https%3A%2F%2Fwww.instagram.com%2Ffabiioanacleto%2F%27%2C%20%27_blank%27%2C%20620%2C%20430%2C%20%27width%3D620%2Cheight%3D430%2Cresizable%3Dyes%2Ctoolbar%3Dyes%2Cstatus%3Dyes%2Cscrollbars%3Dyes%2Cmenubar%3Dyes%2Cdirectories%3Dyes%2Clocation%3Dyes%2Cdependant%3Dno%27%2C%20false%2C%20true%29%3B" title="https://www.instagram.com/fabiioanacleto/ (Nova janela)"&gt;https://www.instagram.com/fabiioanacleto/&lt;/a&gt;</t>
  </si>
  <si>
    <t>0034P000043fOoJ</t>
  </si>
  <si>
    <t>Ueliton</t>
  </si>
  <si>
    <t>Moreira Rocha</t>
  </si>
  <si>
    <t>uelitonmr@hotmail.com</t>
  </si>
  <si>
    <t>(11) 95979-0349</t>
  </si>
  <si>
    <t>Bissexual</t>
  </si>
  <si>
    <t>05874-030</t>
  </si>
  <si>
    <t>&lt;a href="javascript:openPopupFocus%28%27http%3A%2F%2Fwww.linkedin.com%2Fin%2Fuelitonrocha%27%2C%20%27_blank%27%2C%20620%2C%20430%2C%20%27width%3D620%2Cheight%3D430%2Cresizable%3Dyes%2Ctoolbar%3Dyes%2Cstatus%3Dyes%2Cscrollbars%3Dyes%2Cmenubar%3Dyes%2Cdirectories%3Dyes%2Clocation%3Dyes%2Cdependant%3Dno%27%2C%20false%2C%20true%29%3B" title="http://www.linkedin.com/in/uelitonrocha (Nova janela)"&gt;http://www.linkedin.com/in/uelitonrocha&lt;/a&gt;</t>
  </si>
  <si>
    <t>&lt;a href="javascript:openPopupFocus%28%27https%3A%2F%2Finstagram.com%2Fuelitonrochaoficial%27%2C%20%27_blank%27%2C%20620%2C%20430%2C%20%27width%3D620%2Cheight%3D430%2Cresizable%3Dyes%2Ctoolbar%3Dyes%2Cstatus%3Dyes%2Cscrollbars%3Dyes%2Cmenubar%3Dyes%2Cdirectories%3Dyes%2Clocation%3Dyes%2Cdependant%3Dno%27%2C%20false%2C%20true%29%3B" title="https://instagram.com/uelitonrochaoficial (Nova janela)"&gt;https://instagram.com/uelitonrochaoficial&lt;/a&gt;</t>
  </si>
  <si>
    <t>0034P000043fOni</t>
  </si>
  <si>
    <t>Elisandra</t>
  </si>
  <si>
    <t>Aparecida Martins Melo</t>
  </si>
  <si>
    <t>elisandra79melo@gmail.com</t>
  </si>
  <si>
    <t>(64)99233-9387</t>
  </si>
  <si>
    <t>Rua dos Cinquenta</t>
  </si>
  <si>
    <t>75522-045</t>
  </si>
  <si>
    <t>&lt;a href="javascript:openPopupFocus%28%27https%3A%2F%2Fwww.linkedin.com%2Fin%2Felisandra-aparecida-martins-melo-367843215%2F%27%2C%20%27_blank%27%2C%20620%2C%20430%2C%20%27width%3D620%2Cheight%3D430%2Cresizable%3Dyes%2Ctoolbar%3Dyes%2Cstatus%3Dyes%2Cscrollbars%3Dyes%2Cmenubar%3Dyes%2Cdirectories%3Dyes%2Clocation%3Dyes%2Cdependant%3Dno%27%2C%20false%2C%20true%29%3B" title="https://www.linkedin.com/in/elisandra-aparecida-martins-melo-367843215/ (Nova janela)"&gt;https://www.linkedin.com/in/elisandra-aparecida-martins-melo-367843215/&lt;/a&gt;</t>
  </si>
  <si>
    <t>0034P000043fOnj</t>
  </si>
  <si>
    <t>Elizangela</t>
  </si>
  <si>
    <t>Maria Dos Santos</t>
  </si>
  <si>
    <t>eliz_social@outlook.com</t>
  </si>
  <si>
    <t>(11)96477-1181</t>
  </si>
  <si>
    <t>Bacharel Em Serviço Social</t>
  </si>
  <si>
    <t>Rua: Josè Bonifáco</t>
  </si>
  <si>
    <t>01003-001</t>
  </si>
  <si>
    <t>Ocupação/Invasão</t>
  </si>
  <si>
    <t>&lt;a href="javascript:openPopupFocus%28%27https%3A%2F%2Fwww.linkedin.com%2Ffeed%2F%27%2C%20%27_blank%27%2C%20620%2C%20430%2C%20%27width%3D620%2Cheight%3D430%2Cresizable%3Dyes%2Ctoolbar%3Dyes%2Cstatus%3Dyes%2Cscrollbars%3Dyes%2Cmenubar%3Dyes%2Cdirectories%3Dyes%2Clocation%3Dyes%2Cdependant%3Dno%27%2C%20false%2C%20true%29%3B" title="https://www.linkedin.com/feed/ (Nova janela)"&gt;https://www.linkedin.com/feed/&lt;/a&gt;</t>
  </si>
  <si>
    <t>&lt;a href="javascript:openPopupFocus%28%27https%3A%2F%2Fwww.instagram.com%2Fpretaeliz%27%2C%20%27_blank%27%2C%20620%2C%20430%2C%20%27width%3D620%2Cheight%3D430%2Cresizable%3Dyes%2Ctoolbar%3Dyes%2Cstatus%3Dyes%2Cscrollbars%3Dyes%2Cmenubar%3Dyes%2Cdirectories%3Dyes%2Clocation%3Dyes%2Cdependant%3Dno%27%2C%20false%2C%20true%29%3B" title="https://www.instagram.com/pretaeliz (Nova janela)"&gt;https://www.instagram.com/pretaeliz&lt;/a&gt;</t>
  </si>
  <si>
    <t>0034P000043fOnk</t>
  </si>
  <si>
    <t>Elizeu</t>
  </si>
  <si>
    <t>Da Silva Santos</t>
  </si>
  <si>
    <t>inarv.adm@gmail.com</t>
  </si>
  <si>
    <t>(71)9 9158-3966</t>
  </si>
  <si>
    <t>Ciências Contábeis Mba'S: Gestão Pública E Particular E Tributária.</t>
  </si>
  <si>
    <t>Dedicação Exclusiva</t>
  </si>
  <si>
    <t>Rua Buri</t>
  </si>
  <si>
    <t>41385-060</t>
  </si>
  <si>
    <t>["CLT","MEI","Funcionário Público","Desempregado"]</t>
  </si>
  <si>
    <t>&lt;a href="javascript:openPopupFocus%28%27https%3A%2F%2Fwww.linkedin.com%2Fin%2Felizeu-silva-2bb139101%27%2C%20%27_blank%27%2C%20620%2C%20430%2C%20%27width%3D620%2Cheight%3D430%2Cresizable%3Dyes%2Ctoolbar%3Dyes%2Cstatus%3Dyes%2Cscrollbars%3Dyes%2Cmenubar%3Dyes%2Cdirectories%3Dyes%2Clocation%3Dyes%2Cdependant%3Dno%27%2C%20false%2C%20true%29%3B" title="https://www.linkedin.com/in/elizeu-silva-2bb139101 (Nova janela)"&gt;https://www.linkedin.com/in/elizeu-silva-2bb139101&lt;/a&gt;</t>
  </si>
  <si>
    <t>&lt;a href="javascript:openPopupFocus%28%27https%3A%2F%2Fwww.instagram.com%2Feliseu_santto%2F%27%2C%20%27_blank%27%2C%20620%2C%20430%2C%20%27width%3D620%2Cheight%3D430%2Cresizable%3Dyes%2Ctoolbar%3Dyes%2Cstatus%3Dyes%2Cscrollbars%3Dyes%2Cmenubar%3Dyes%2Cdirectories%3Dyes%2Clocation%3Dyes%2Cdependant%3Dno%27%2C%20false%2C%20true%29%3B" title="https://www.instagram.com/eliseu_santto/ (Nova janela)"&gt;https://www.instagram.com/eliseu_santto/&lt;/a&gt;</t>
  </si>
  <si>
    <t>0034P000043fOnl</t>
  </si>
  <si>
    <t>Fernanda</t>
  </si>
  <si>
    <t>Bento Gomes Da Silva</t>
  </si>
  <si>
    <t>fefabensilva@gmail.com</t>
  </si>
  <si>
    <t>(11)93458-8230</t>
  </si>
  <si>
    <t>Ciências Contábeis</t>
  </si>
  <si>
    <t>Rua Flor de Pelicano</t>
  </si>
  <si>
    <t>08230-820</t>
  </si>
  <si>
    <t>&lt;a href="javascript:openPopupFocus%28%27https%3A%2F%2Fwww.linkedin.com%2Fin%2Ffernanda-bento-silva-82b93816a%27%2C%20%27_blank%27%2C%20620%2C%20430%2C%20%27width%3D620%2Cheight%3D430%2Cresizable%3Dyes%2Ctoolbar%3Dyes%2Cstatus%3Dyes%2Cscrollbars%3Dyes%2Cmenubar%3Dyes%2Cdirectories%3Dyes%2Clocation%3Dyes%2Cdependant%3Dno%27%2C%20false%2C%20true%29%3B" title="https://www.linkedin.com/in/fernanda-bento-silva-82b93816a (Nova janela)"&gt;https://www.linkedin.com/in/fernanda-bento-silva-82b93816a&lt;/a&gt;</t>
  </si>
  <si>
    <t>&lt;a href="javascript:openPopupFocus%28%27https%3A%2F%2Fwww.instagram.com%2Finvites%2Fcontact%2F%3Fi%3D1c4d0z908j43n%26utm_content%3Dm8gnu34%27%2C%20%27_blank%27%2C%20620%2C%20430%2C%20%27width%3D620%2Cheight%3D430%2Cresizable%3Dyes%2Ctoolbar%3Dyes%2Cstatus%3Dyes%2Cscrollbars%3Dyes%2Cmenubar%3Dyes%2Cdirectories%3Dyes%2Clocation%3Dyes%2Cdependant%3Dno%27%2C%20false%2C%20true%29%3B" title="https://www.instagram.com/invites/contact/?i=1c4d0z908j43n&amp;utm_content=m8gnu34 (Nova janela)"&gt;https://www.instagram.com/invites/contact/?i=1c4d0z908j43n&amp;utm_content=m8gnu34&lt;/a&gt;</t>
  </si>
  <si>
    <t>0034P000043fOnm</t>
  </si>
  <si>
    <t>Francilaine</t>
  </si>
  <si>
    <t>Nunes Araújo Melo</t>
  </si>
  <si>
    <t>laineasocial@gmail.com</t>
  </si>
  <si>
    <t>(32)99932-1867</t>
  </si>
  <si>
    <t>Serviço Social Gestão De Políticas Públicas E Sociais</t>
  </si>
  <si>
    <t>Prefeitura de Carandaí e APAE</t>
  </si>
  <si>
    <t>GG</t>
  </si>
  <si>
    <t>Rua Juca Fonseca</t>
  </si>
  <si>
    <t>Ap. 301</t>
  </si>
  <si>
    <t>36280-000</t>
  </si>
  <si>
    <t>&lt;a href="javascript:openPopupFocus%28%27http%3A%2F%2Flinkedin.com%2Fin%2Ffrancilaine-melo-856922212%27%2C%20%27_blank%27%2C%20620%2C%20430%2C%20%27width%3D620%2Cheight%3D430%2Cresizable%3Dyes%2Ctoolbar%3Dyes%2Cstatus%3Dyes%2Cscrollbars%3Dyes%2Cmenubar%3Dyes%2Cdirectories%3Dyes%2Clocation%3Dyes%2Cdependant%3Dno%27%2C%20false%2C%20true%29%3B" title="http://linkedin.com/in/francilaine-melo-856922212 (Nova janela)"&gt;http://linkedin.com/in/francilaine-melo-856922212&lt;/a&gt;</t>
  </si>
  <si>
    <t>&lt;a href="javascript:openPopupFocus%28%27https%3A%2F%2Finstagram.com%2Ffrancilaine_melo%27%2C%20%27_blank%27%2C%20620%2C%20430%2C%20%27width%3D620%2Cheight%3D430%2Cresizable%3Dyes%2Ctoolbar%3Dyes%2Cstatus%3Dyes%2Cscrollbars%3Dyes%2Cmenubar%3Dyes%2Cdirectories%3Dyes%2Clocation%3Dyes%2Cdependant%3Dno%27%2C%20false%2C%20true%29%3B" title="https://instagram.com/francilaine_melo (Nova janela)"&gt;https://instagram.com/francilaine_melo&lt;/a&gt;</t>
  </si>
  <si>
    <t>0034P000043fOnn</t>
  </si>
  <si>
    <t>Maria Silva Novais Oliveira</t>
  </si>
  <si>
    <t>aninhanovaisoliveira@hotmail.com</t>
  </si>
  <si>
    <t>(31)98595-6044</t>
  </si>
  <si>
    <t>Graduação - Psicologia</t>
  </si>
  <si>
    <t>Rua Narcisio Teixeira Abreu</t>
  </si>
  <si>
    <t>BECO SÃO LUIZ Nº05</t>
  </si>
  <si>
    <t>31580-250</t>
  </si>
  <si>
    <t>&lt;a href="javascript:openPopupFocus%28%27http%3A%2F%2Flinkedin.com%2Fin%2Fana-maria-oliveira-545397194%27%2C%20%27_blank%27%2C%20620%2C%20430%2C%20%27width%3D620%2Cheight%3D430%2Cresizable%3Dyes%2Ctoolbar%3Dyes%2Cstatus%3Dyes%2Cscrollbars%3Dyes%2Cmenubar%3Dyes%2Cdirectories%3Dyes%2Clocation%3Dyes%2Cdependant%3Dno%27%2C%20false%2C%20true%29%3B" title="http://linkedin.com/in/ana-maria-oliveira-545397194 (Nova janela)"&gt;http://linkedin.com/in/ana-maria-oliveira-545397194&lt;/a&gt;</t>
  </si>
  <si>
    <t>&lt;a href="javascript:openPopupFocus%28%27http%3A%2F%2F%40anaoliveira_psihumana.mente%27%2C%20%27_blank%27%2C%20620%2C%20430%2C%20%27width%3D620%2Cheight%3D430%2Cresizable%3Dyes%2Ctoolbar%3Dyes%2Cstatus%3Dyes%2Cscrollbars%3Dyes%2Cmenubar%3Dyes%2Cdirectories%3Dyes%2Clocation%3Dyes%2Cdependant%3Dno%27%2C%20false%2C%20true%29%3B" title="http://@anaoliveira_psihumana.mente (Nova janela)"&gt;http://@anaoliveira_psihumana.mente&lt;/a&gt;</t>
  </si>
  <si>
    <t>0034P000043fOno</t>
  </si>
  <si>
    <t>Francisca</t>
  </si>
  <si>
    <t>Izabel Castro Porto</t>
  </si>
  <si>
    <t>izabelporto@hotmail.com</t>
  </si>
  <si>
    <t>(92)99114-2962</t>
  </si>
  <si>
    <t>Filosofia E Docência Do Ensino Superior</t>
  </si>
  <si>
    <t>Avenida Amazonas</t>
  </si>
  <si>
    <t>69151-000</t>
  </si>
  <si>
    <t>["Funcionário Público","Desempregado"]</t>
  </si>
  <si>
    <t>0034P000043fOnp</t>
  </si>
  <si>
    <t>Flávio</t>
  </si>
  <si>
    <t>Almeida Batista</t>
  </si>
  <si>
    <t>(61) 99574-7001</t>
  </si>
  <si>
    <t>Projetista Cadista</t>
  </si>
  <si>
    <t>Autônomo</t>
  </si>
  <si>
    <t> 46 anos; nascido e criado em Ceilândia; cidade satélite periférica no Distrito Federal; casado com Eliane há 23 anos; pai da Bruna e Júlia. Gestor de projetos sociais; desde 2008 trabalhando com famílias em situação de vulnerabilidade social e moradores...</t>
  </si>
  <si>
    <t>QN 501 CONJUNTO 16 LOTES 02/03 LOJA</t>
  </si>
  <si>
    <t>72311-216</t>
  </si>
  <si>
    <t>&lt;a href="javascript:openPopupFocus%28%27https%3A%2F%2Fwww.linkedin.com%2Fin%2Ffl%25C3%25A1vio-almeida-729a731ba%2F%27%2C%20%27_blank%27%2C%20620%2C%20430%2C%20%27width%3D620%2Cheight%3D430%2Cresizable%3Dyes%2Ctoolbar%3Dyes%2Cstatus%3Dyes%2Cscrollbars%3Dyes%2Cmenubar%3Dyes%2Cdirectories%3Dyes%2Clocation%3Dyes%2Cdependant%3Dno%27%2C%20false%2C%20true%29%3B" title="https://www.linkedin.com/in/fl%C3%A1vio-almeida-729a731ba/ (Nova janela)"&gt;https://www.linkedin.com/in/fl%C3%A1vio-almeida-729a731ba/&lt;/a&gt;</t>
  </si>
  <si>
    <t>&lt;a href="javascript:openPopupFocus%28%27https%3A%2F%2Fwww.instagram.com%2Fflavioalmeidaf3%2F%27%2C%20%27_blank%27%2C%20620%2C%20430%2C%20%27width%3D620%2Cheight%3D430%2Cresizable%3Dyes%2Ctoolbar%3Dyes%2Cstatus%3Dyes%2Cscrollbars%3Dyes%2Cmenubar%3Dyes%2Cdirectories%3Dyes%2Clocation%3Dyes%2Cdependant%3Dno%27%2C%20false%2C%20true%29%3B" title="https://www.instagram.com/flavioalmeidaf3/ (Nova janela)"&gt;https://www.instagram.com/flavioalmeidaf3/&lt;/a&gt;</t>
  </si>
  <si>
    <t>0034P000043fOnq</t>
  </si>
  <si>
    <t>Gil</t>
  </si>
  <si>
    <t>Sacramento Da Silva</t>
  </si>
  <si>
    <t>falecomleon@gmail.com</t>
  </si>
  <si>
    <t>71 9.9636-1142</t>
  </si>
  <si>
    <t>Não Tem</t>
  </si>
  <si>
    <t>Ensino Fundamental</t>
  </si>
  <si>
    <t>Travessa São Benedito</t>
  </si>
  <si>
    <t>Chapada do Rio Vermelho</t>
  </si>
  <si>
    <t>41925-565</t>
  </si>
  <si>
    <t>&lt;a href="javascript:openPopupFocus%28%27https%3A%2F%2Fmeet.google.com%2Fcvq-zyft-nqx%20Para%20participar%20por%20telefone%20disque%20%2B55%2041%204560-9564%20e%20digite%20este%20PIN%3A%20974%20208%20190%23%20Para%20ver%20mais%20n%C3%BAmeros%20de%20telefone%20clique%20neste%20link%3A%20https%3A%2F%2Ftel.meet%2Fcvq-zyft-nqx%3Fhs%3D5%27%2C%20%27_blank%27%2C%20620%2C%20430%2C%20%27width%3D620%2Cheight%3D430%2Cresizable%3Dyes%2Ctoolbar%3Dyes%2Cstatus%3Dyes%2Cscrollbars%3Dyes%2Cmenubar%3Dyes%2Cdirectories%3Dyes%2Clocation%3Dyes%2Cdependant%3Dno%27%2C%20false%2C%20true%29%3B" title="https://meet.google.com/cvq-zyft-nqx Para participar por telefone disque +55 41 4560-9564 e digite este PIN: 974 208 190# Para ver mais números de telefone clique neste link: https://tel.meet/cvq-zyft-nqx?hs=5 (Nova janela)"&gt;https://meet.google.com/cvq-zyft-nqx Para participar por telefone disque +55 41 4560-9564 e digite este PIN: 974 208 190# Para ver mais números de telefone clique neste link: https://tel.meet/cvq-zyft-nqx?hs=5&lt;/a&gt;</t>
  </si>
  <si>
    <t>&lt;a href="javascript:openPopupFocus%28%27https%3A%2F%2Fwww.instagram.com%2Fgildeleonn%2F%27%2C%20%27_blank%27%2C%20620%2C%20430%2C%20%27width%3D620%2Cheight%3D430%2Cresizable%3Dyes%2Ctoolbar%3Dyes%2Cstatus%3Dyes%2Cscrollbars%3Dyes%2Cmenubar%3Dyes%2Cdirectories%3Dyes%2Clocation%3Dyes%2Cdependant%3Dno%27%2C%20false%2C%20true%29%3B" title="https://www.instagram.com/gildeleonn/ (Nova janela)"&gt;https://www.instagram.com/gildeleonn/&lt;/a&gt;</t>
  </si>
  <si>
    <t>0034P000043fOnr</t>
  </si>
  <si>
    <t>Girlane</t>
  </si>
  <si>
    <t>Souza Do Nascimento Salarini Gimenez</t>
  </si>
  <si>
    <t>(11) 98894-9209</t>
  </si>
  <si>
    <t>02672-060</t>
  </si>
  <si>
    <t>&lt;a href="javascript:openPopupFocus%28%27https%3A%2F%2Finstagram.com%2Fgigimenez6%3Futm_medium%3Dcopy_link%27%2C%20%27_blank%27%2C%20620%2C%20430%2C%20%27width%3D620%2Cheight%3D430%2Cresizable%3Dyes%2Ctoolbar%3Dyes%2Cstatus%3Dyes%2Cscrollbars%3Dyes%2Cmenubar%3Dyes%2Cdirectories%3Dyes%2Clocation%3Dyes%2Cdependant%3Dno%27%2C%20false%2C%20true%29%3B" title="https://instagram.com/gigimenez6?utm_medium=copy_link (Nova janela)"&gt;https://instagram.com/gigimenez6?utm_medium=copy_link&lt;/a&gt;</t>
  </si>
  <si>
    <t>&lt;a href="javascript:openPopupFocus%28%27https%3A%2F%2Fwww.linkedin.com%2Fauthwall%3Ftrk%3Dripf%26trkInfo%3DAQGxbcZziSnZQQAAAXqN3CIgfRP_hUIGQrEXuJovFzaFijos31nTAnj1cH--9_DcbpOsQf2-e_AJQ_WM7nIV8zsUu8F2n0pAg1OhlQoLhgYpuczWyT7orODnKN5EQtfKNlWgxPw%3D%26originalReferer%3Dhttps%3A%2F%2Fwww.google.com%2F%26sessionRedirect%3Dhttps%253A%252F%27%2C%20%27_blank%27%2C%20620%2C%20430%2C%20%27width%3D620%2Cheight%3D430%2Cresizable%3Dyes%2Ctoolbar%3Dyes%2Cstatus%3Dyes%2Cscrollbars%3Dyes%2Cmenubar%3Dyes%2Cdirectories%3Dyes%2Clocation%3Dyes%2Cdependant%3Dno%27%2C%20false%2C%20true%29%3B" title="https://www.linkedin.com/authwall?trk=ripf&amp;trkInfo=AQGxbcZziSnZQQAAAXqN3CIgfRP_hUIGQrEXuJovFzaFijos31nTAnj1cH--9_DcbpOsQf2-e_AJQ_WM7nIV8zsUu8F2n0pAg1OhlQoLhgYpuczWyT7orODnKN5EQtfKNlWgxPw=&amp;originalReferer=https://www.google.com/&amp;sessionRedirect=https%3A%2F (Nova janela)"&gt;https://www.linkedin.com/authwall?trk=ripf&amp;trkInfo=AQGxbcZziSnZQQAAAXqN3CIgfRP_hUIGQrEXuJovFzaFijos31nTAnj1cH--9_DcbpOsQf2-e_AJQ_WM7nIV8zsUu8F2n0pAg1OhlQoLhgYpuczWyT7orODnKN5EQtfKNlWgxPw=&amp;originalReferer=https://www.google.com/&amp;sessionRedirect=https%3A%2F&lt;/a&gt;</t>
  </si>
  <si>
    <t>0034P000043fOns</t>
  </si>
  <si>
    <t>Graziella</t>
  </si>
  <si>
    <t>Porfirio Da Silva Baptista</t>
  </si>
  <si>
    <t>grazindiana12@gmail.com</t>
  </si>
  <si>
    <t>1199673-1642</t>
  </si>
  <si>
    <t>Graduada Em Pedagogia</t>
  </si>
  <si>
    <t>Rua Antonio Augusto Claro</t>
  </si>
  <si>
    <t>08676-190</t>
  </si>
  <si>
    <t>&lt;a href="javascript:openPopupFocus%28%27https%3A%2F%2Fwww.linkedin.com%2Fin%2Fgraziella-porfirio-263b68190%2F%27%2C%20%27_blank%27%2C%20620%2C%20430%2C%20%27width%3D620%2Cheight%3D430%2Cresizable%3Dyes%2Ctoolbar%3Dyes%2Cstatus%3Dyes%2Cscrollbars%3Dyes%2Cmenubar%3Dyes%2Cdirectories%3Dyes%2Clocation%3Dyes%2Cdependant%3Dno%27%2C%20false%2C%20true%29%3B" title="https://www.linkedin.com/in/graziella-porfirio-263b68190/ (Nova janela)"&gt;https://www.linkedin.com/in/graziella-porfirio-263b68190/&lt;/a&gt;</t>
  </si>
  <si>
    <t>&lt;a href="javascript:openPopupFocus%28%27https%3A%2F%2Fwww.instagram.com%2Fgrazi_porfirio%2F%27%2C%20%27_blank%27%2C%20620%2C%20430%2C%20%27width%3D620%2Cheight%3D430%2Cresizable%3Dyes%2Ctoolbar%3Dyes%2Cstatus%3Dyes%2Cscrollbars%3Dyes%2Cmenubar%3Dyes%2Cdirectories%3Dyes%2Clocation%3Dyes%2Cdependant%3Dno%27%2C%20false%2C%20true%29%3B" title="https://www.instagram.com/grazi_porfirio/ (Nova janela)"&gt;https://www.instagram.com/grazi_porfirio/&lt;/a&gt;</t>
  </si>
  <si>
    <t>0034P000043fOnt</t>
  </si>
  <si>
    <t>Jaqueline</t>
  </si>
  <si>
    <t>De Sousa Ribeiro</t>
  </si>
  <si>
    <t>jacksousa1989@gmail.com</t>
  </si>
  <si>
    <t>(48)98812-1209</t>
  </si>
  <si>
    <t>servidao anjo gabriel</t>
  </si>
  <si>
    <t>88090-578</t>
  </si>
  <si>
    <t>&lt;a href="javascript:openPopupFocus%28%27https%3A%2F%2Fwww.linkedin.com%2Fin%2Fjaqueline-ribeiro-5265751ab%27%2C%20%27_blank%27%2C%20620%2C%20430%2C%20%27width%3D620%2Cheight%3D430%2Cresizable%3Dyes%2Ctoolbar%3Dyes%2Cstatus%3Dyes%2Cscrollbars%3Dyes%2Cmenubar%3Dyes%2Cdirectories%3Dyes%2Clocation%3Dyes%2Cdependant%3Dno%27%2C%20false%2C%20true%29%3B" title="https://www.linkedin.com/in/jaqueline-ribeiro-5265751ab (Nova janela)"&gt;https://www.linkedin.com/in/jaqueline-ribeiro-5265751ab&lt;/a&gt;</t>
  </si>
  <si>
    <t>&lt;a href="javascript:openPopupFocus%28%27https%3A%2F%2Fwww.instagram.com%2Fjacksousa25%2F%27%2C%20%27_blank%27%2C%20620%2C%20430%2C%20%27width%3D620%2Cheight%3D430%2Cresizable%3Dyes%2Ctoolbar%3Dyes%2Cstatus%3Dyes%2Cscrollbars%3Dyes%2Cmenubar%3Dyes%2Cdirectories%3Dyes%2Clocation%3Dyes%2Cdependant%3Dno%27%2C%20false%2C%20true%29%3B" title="https://www.instagram.com/jacksousa25/ (Nova janela)"&gt;https://www.instagram.com/jacksousa25/&lt;/a&gt;</t>
  </si>
  <si>
    <t>0034P000043fPDj</t>
  </si>
  <si>
    <t>Jose</t>
  </si>
  <si>
    <t>Carlos Dos Reis</t>
  </si>
  <si>
    <t>jcr2294@gmail.com</t>
  </si>
  <si>
    <t>2196426-1172</t>
  </si>
  <si>
    <t>Bacharelado Em Administração De Empresas</t>
  </si>
  <si>
    <t>Coodernador Adminostrativo Financeiro - Observatório de Favelas do RJ - Organização Social</t>
  </si>
  <si>
    <t>XG</t>
  </si>
  <si>
    <t>RUA CALDAS BARBOSA</t>
  </si>
  <si>
    <t>casa 102</t>
  </si>
  <si>
    <t>20740-170</t>
  </si>
  <si>
    <t>&lt;a href="javascript:openPopupFocus%28%27https%3A%2F%2Fwww.instagram.com%2Fandre2294%2F%27%2C%20%27_blank%27%2C%20620%2C%20430%2C%20%27width%3D620%2Cheight%3D430%2Cresizable%3Dyes%2Ctoolbar%3Dyes%2Cstatus%3Dyes%2Cscrollbars%3Dyes%2Cmenubar%3Dyes%2Cdirectories%3Dyes%2Clocation%3Dyes%2Cdependant%3Dno%27%2C%20false%2C%20true%29%3B" title="https://www.instagram.com/andre2294/ (Nova janela)"&gt;https://www.instagram.com/andre2294/&lt;/a&gt;</t>
  </si>
  <si>
    <t>0034P000043fPDk</t>
  </si>
  <si>
    <t>José</t>
  </si>
  <si>
    <t>Wellton De Souza Brito</t>
  </si>
  <si>
    <t>(88) 9 9952-6976</t>
  </si>
  <si>
    <t>Prefeitura Municipal de Quixeramobim</t>
  </si>
  <si>
    <t>Homossexual</t>
  </si>
  <si>
    <t>Rua Idelzuite Almeida</t>
  </si>
  <si>
    <t>Casa 102</t>
  </si>
  <si>
    <t>63800-000</t>
  </si>
  <si>
    <t>&lt;a href="javascript:openPopupFocus%28%27https%3A%2F%2Fwww.linkedin.com%2Fin%2Fwellton-brito-092536216%2F%27%2C%20%27_blank%27%2C%20620%2C%20430%2C%20%27width%3D620%2Cheight%3D430%2Cresizable%3Dyes%2Ctoolbar%3Dyes%2Cstatus%3Dyes%2Cscrollbars%3Dyes%2Cmenubar%3Dyes%2Cdirectories%3Dyes%2Clocation%3Dyes%2Cdependant%3Dno%27%2C%20false%2C%20true%29%3B" title="https://www.linkedin.com/in/wellton-brito-092536216/ (Nova janela)"&gt;https://www.linkedin.com/in/wellton-brito-092536216/&lt;/a&gt;</t>
  </si>
  <si>
    <t>&lt;a href="javascript:openPopupFocus%28%27https%3A%2F%2Fwww.instagram.com%2Fwellton_brito%2F%27%2C%20%27_blank%27%2C%20620%2C%20430%2C%20%27width%3D620%2Cheight%3D430%2Cresizable%3Dyes%2Ctoolbar%3Dyes%2Cstatus%3Dyes%2Cscrollbars%3Dyes%2Cmenubar%3Dyes%2Cdirectories%3Dyes%2Clocation%3Dyes%2Cdependant%3Dno%27%2C%20false%2C%20true%29%3B" title="https://www.instagram.com/wellton_brito/ (Nova janela)"&gt;https://www.instagram.com/wellton_brito/&lt;/a&gt;</t>
  </si>
  <si>
    <t>0034P000043fOnu</t>
  </si>
  <si>
    <t>Livia</t>
  </si>
  <si>
    <t>Silveira Sant'Anna</t>
  </si>
  <si>
    <t>liviasilveirasantanna@gmail.com</t>
  </si>
  <si>
    <t>32 99130-0969</t>
  </si>
  <si>
    <t>Augustinho Guerra Pontes</t>
  </si>
  <si>
    <t>36032-480</t>
  </si>
  <si>
    <t>&lt;a href="javascript:openPopupFocus%28%27https%3A%2F%2Fwww.instagram.com%2Fliviasilveiraa%2F%3Fhl%3Dpt-br%27%2C%20%27_blank%27%2C%20620%2C%20430%2C%20%27width%3D620%2Cheight%3D430%2Cresizable%3Dyes%2Ctoolbar%3Dyes%2Cstatus%3Dyes%2Cscrollbars%3Dyes%2Cmenubar%3Dyes%2Cdirectories%3Dyes%2Clocation%3Dyes%2Cdependant%3Dno%27%2C%20false%2C%20true%29%3B" title="https://www.instagram.com/liviasilveiraa/?hl=pt-br (Nova janela)"&gt;https://www.instagram.com/liviasilveiraa/?hl=pt-br&lt;/a&gt;</t>
  </si>
  <si>
    <t>0034P000043fOnv</t>
  </si>
  <si>
    <t>Mateus Zacarias Silva</t>
  </si>
  <si>
    <t>rodrigo@institutomacunaima.org.br</t>
  </si>
  <si>
    <t>(31) 99944-9113</t>
  </si>
  <si>
    <t>Sociológia</t>
  </si>
  <si>
    <t>rua jose forçal</t>
  </si>
  <si>
    <t>30642-460</t>
  </si>
  <si>
    <t>&lt;a href="javascript:openPopupFocus%28%27https%3A%2F%2Fwww.linkedin.com%2Fin%2Frodrigo-zacarias-23a8a81b3%2F%27%2C%20%27_blank%27%2C%20620%2C%20430%2C%20%27width%3D620%2Cheight%3D430%2Cresizable%3Dyes%2Ctoolbar%3Dyes%2Cstatus%3Dyes%2Cscrollbars%3Dyes%2Cmenubar%3Dyes%2Cdirectories%3Dyes%2Clocation%3Dyes%2Cdependant%3Dno%27%2C%20false%2C%20true%29%3B" title="https://www.linkedin.com/in/rodrigo-zacarias-23a8a81b3/ (Nova janela)"&gt;https://www.linkedin.com/in/rodrigo-zacarias-23a8a81b3/&lt;/a&gt;</t>
  </si>
  <si>
    <t>&lt;a href="javascript:openPopupFocus%28%27https%3A%2F%2Fwww.instagram.com%2Fsidaomacunaima%2F%27%2C%20%27_blank%27%2C%20620%2C%20430%2C%20%27width%3D620%2Cheight%3D430%2Cresizable%3Dyes%2Ctoolbar%3Dyes%2Cstatus%3Dyes%2Cscrollbars%3Dyes%2Cmenubar%3Dyes%2Cdirectories%3Dyes%2Clocation%3Dyes%2Cdependant%3Dno%27%2C%20false%2C%20true%29%3B" title="https://www.instagram.com/sidaomacunaima/ (Nova janela)"&gt;https://www.instagram.com/sidaomacunaima/&lt;/a&gt;</t>
  </si>
  <si>
    <t>0034P000043fOnw</t>
  </si>
  <si>
    <t>Luísa</t>
  </si>
  <si>
    <t>Mahin Araújo Lima Do Nascimento</t>
  </si>
  <si>
    <t>luisamahin@gmail.com</t>
  </si>
  <si>
    <t>(75)99264-2453</t>
  </si>
  <si>
    <t>Comunicação Social (Graduação) I Desenvolvimento E Gestão Social (Mestrado 1) I Ciências Sociais (Mestrado 2)</t>
  </si>
  <si>
    <t>Praça João Gualberto</t>
  </si>
  <si>
    <t>44300-000</t>
  </si>
  <si>
    <t>&lt;a href="javascript:openPopupFocus%28%27https%3A%2F%2Fbr.linkedin.com%2F%27%2C%20%27_blank%27%2C%20620%2C%20430%2C%20%27width%3D620%2Cheight%3D430%2Cresizable%3Dyes%2Ctoolbar%3Dyes%2Cstatus%3Dyes%2Cscrollbars%3Dyes%2Cmenubar%3Dyes%2Cdirectories%3Dyes%2Clocation%3Dyes%2Cdependant%3Dno%27%2C%20false%2C%20true%29%3B" title="https://br.linkedin.com/ (Nova janela)"&gt;https://br.linkedin.com/&lt;/a&gt;</t>
  </si>
  <si>
    <t>&lt;a href="javascript:openPopupFocus%28%27http%3A%2F%2Fwww.instagram.com%2Fluisamahin%2F%27%2C%20%27_blank%27%2C%20620%2C%20430%2C%20%27width%3D620%2Cheight%3D430%2Cresizable%3Dyes%2Ctoolbar%3Dyes%2Cstatus%3Dyes%2Cscrollbars%3Dyes%2Cmenubar%3Dyes%2Cdirectories%3Dyes%2Clocation%3Dyes%2Cdependant%3Dno%27%2C%20false%2C%20true%29%3B" title="http://www.instagram.com/luisamahin/ (Nova janela)"&gt;http://www.instagram.com/luisamahin/&lt;/a&gt;</t>
  </si>
  <si>
    <t>0034P000043fOnx</t>
  </si>
  <si>
    <t>Geralda</t>
  </si>
  <si>
    <t>Aparecida Do Socorro Silveira</t>
  </si>
  <si>
    <t>socorro502015silveira@gmail.com</t>
  </si>
  <si>
    <t>Psicopedagogia</t>
  </si>
  <si>
    <t> Graduada em Pedagogia pela FAFIC - Faculdade Filosofia Ciências e Letras; especialista em Psicopedagogia pelas Faculdades Integradas Simonsen; nasci em uma cidade muito pequena no interior de Minas Gerais e durante minha trajetória passei por muitas dif...</t>
  </si>
  <si>
    <t>Rua Celestino Euzébio Fernandes</t>
  </si>
  <si>
    <t>36420-000</t>
  </si>
  <si>
    <t>&lt;a href="javascript:openPopupFocus%28%27https%3A%2F%2Fwww.linkedin.com%2Fin%2Fsocorro-silveira-silveira-25593067%27%2C%20%27_blank%27%2C%20620%2C%20430%2C%20%27width%3D620%2Cheight%3D430%2Cresizable%3Dyes%2Ctoolbar%3Dyes%2Cstatus%3Dyes%2Cscrollbars%3Dyes%2Cmenubar%3Dyes%2Cdirectories%3Dyes%2Clocation%3Dyes%2Cdependant%3Dno%27%2C%20false%2C%20true%29%3B" title="https://www.linkedin.com/in/socorro-silveira-silveira-25593067 (Nova janela)"&gt;https://www.linkedin.com/in/socorro-silveira-silveira-25593067&lt;/a&gt;</t>
  </si>
  <si>
    <t>&lt;a href="javascript:openPopupFocus%28%27http%3A%2F%2Finstagran.com%2Fsocorrosilveira50%27%2C%20%27_blank%27%2C%20620%2C%20430%2C%20%27width%3D620%2Cheight%3D430%2Cresizable%3Dyes%2Ctoolbar%3Dyes%2Cstatus%3Dyes%2Cscrollbars%3Dyes%2Cmenubar%3Dyes%2Cdirectories%3Dyes%2Clocation%3Dyes%2Cdependant%3Dno%27%2C%20false%2C%20true%29%3B" title="http://instagran.com/socorrosilveira50 (Nova janela)"&gt;http://instagran.com/socorrosilveira50&lt;/a&gt;</t>
  </si>
  <si>
    <t>0034P000043fPDl</t>
  </si>
  <si>
    <t>Margarida</t>
  </si>
  <si>
    <t>Minervina Da Silva</t>
  </si>
  <si>
    <t>(61)98585-9130</t>
  </si>
  <si>
    <t>Assistente Social E Pedagogia.</t>
  </si>
  <si>
    <t>SHSN Condomínio Genesis Quadra F</t>
  </si>
  <si>
    <t>72236-800</t>
  </si>
  <si>
    <t>["CLT","MEI"]</t>
  </si>
  <si>
    <t>&lt;a href="javascript:openPopupFocus%28%27https%3A%2F%2Fwww.linkedin.com%2Fin%2Fmargarida-minervina-da-silva-790661169%27%2C%20%27_blank%27%2C%20620%2C%20430%2C%20%27width%3D620%2Cheight%3D430%2Cresizable%3Dyes%2Ctoolbar%3Dyes%2Cstatus%3Dyes%2Cscrollbars%3Dyes%2Cmenubar%3Dyes%2Cdirectories%3Dyes%2Clocation%3Dyes%2Cdependant%3Dno%27%2C%20false%2C%20true%29%3B" title="https://www.linkedin.com/in/margarida-minervina-da-silva-790661169 (Nova janela)"&gt;https://www.linkedin.com/in/margarida-minervina-da-silva-790661169&lt;/a&gt;</t>
  </si>
  <si>
    <t>&lt;a href="javascript:openPopupFocus%28%27https%3A%2F%2Finstagram.com%2Fmargaridamilech%3Futm_medium%3Dcopy_link%27%2C%20%27_blank%27%2C%20620%2C%20430%2C%20%27width%3D620%2Cheight%3D430%2Cresizable%3Dyes%2Ctoolbar%3Dyes%2Cstatus%3Dyes%2Cscrollbars%3Dyes%2Cmenubar%3Dyes%2Cdirectories%3Dyes%2Clocation%3Dyes%2Cdependant%3Dno%27%2C%20false%2C%20true%29%3B" title="https://instagram.com/margaridamilech?utm_medium=copy_link (Nova janela)"&gt;https://instagram.com/margaridamilech?utm_medium=copy_link&lt;/a&gt;</t>
  </si>
  <si>
    <t>0034P000043fOnT</t>
  </si>
  <si>
    <t>Alcione</t>
  </si>
  <si>
    <t>Rodrigues</t>
  </si>
  <si>
    <t>alcione_r@hotmail.com</t>
  </si>
  <si>
    <t>(11)95232-1013</t>
  </si>
  <si>
    <t>Esducação Física - Pós De Inovação Design E Estratégia ( Trancada )</t>
  </si>
  <si>
    <t>Nasci e cresci na maior favela de São Paulo - Heliópolis e quando eu era pequena meu sonho era morar em uma casa de tijolo. Com 14 anos trabalhei entregando papel na rua; de frentista e não conseguia enxergar outras possibilidades. Foi no emprego de cobr...</t>
  </si>
  <si>
    <t>ESTRADA DAS LAGRIMAS</t>
  </si>
  <si>
    <t>04245-000</t>
  </si>
  <si>
    <t>&lt;a href="javascript:openPopupFocus%28%27http%3A%2F%2Flinkedin.com%2Fin%2Falcione-rodrigues-b22213121%27%2C%20%27_blank%27%2C%20620%2C%20430%2C%20%27width%3D620%2Cheight%3D430%2Cresizable%3Dyes%2Ctoolbar%3Dyes%2Cstatus%3Dyes%2Cscrollbars%3Dyes%2Cmenubar%3Dyes%2Cdirectories%3Dyes%2Clocation%3Dyes%2Cdependant%3Dno%27%2C%20false%2C%20true%29%3B" title="http://linkedin.com/in/alcione-rodrigues-b22213121 (Nova janela)"&gt;http://linkedin.com/in/alcione-rodrigues-b22213121&lt;/a&gt;</t>
  </si>
  <si>
    <t>&lt;a href="javascript:openPopupFocus%28%27https%3A%2F%2Fwww.instagram.com%2Fp%2FCQ-2-3dMURM%2F%3Futm_medium%3Dcopy_link%27%2C%20%27_blank%27%2C%20620%2C%20430%2C%20%27width%3D620%2Cheight%3D430%2Cresizable%3Dyes%2Ctoolbar%3Dyes%2Cstatus%3Dyes%2Cscrollbars%3Dyes%2Cmenubar%3Dyes%2Cdirectories%3Dyes%2Clocation%3Dyes%2Cdependant%3Dno%27%2C%20false%2C%20true%29%3B" title="https://www.instagram.com/p/CQ-2-3dMURM/?utm_medium=copy_link (Nova janela)"&gt;https://www.instagram.com/p/CQ-2-3dMURM/?utm_medium=copy_link&lt;/a&gt;</t>
  </si>
  <si>
    <t>0034P000043fPDo</t>
  </si>
  <si>
    <t>Da Silva Gomes Pereira</t>
  </si>
  <si>
    <t>rafael@libertariosdocapao.org.br</t>
  </si>
  <si>
    <t>(11) 97711-9607</t>
  </si>
  <si>
    <t>Rua Aviadora Anésia Pinheiro Machado</t>
  </si>
  <si>
    <t>Ap 207 Bloco A</t>
  </si>
  <si>
    <t>05886-610</t>
  </si>
  <si>
    <t>&lt;a href="javascript:openPopupFocus%28%27https%3A%2F%2Fwww.linkedin.com%2Fin%2Fong-libertarios-do-cap%25C3%25A3o-redondo-0a58b157%27%2C%20%27_blank%27%2C%20620%2C%20430%2C%20%27width%3D620%2Cheight%3D430%2Cresizable%3Dyes%2Ctoolbar%3Dyes%2Cstatus%3Dyes%2Cscrollbars%3Dyes%2Cmenubar%3Dyes%2Cdirectories%3Dyes%2Clocation%3Dyes%2Cdependant%3Dno%27%2C%20false%2C%20true%29%3B" title="https://www.linkedin.com/in/ong-libertarios-do-cap%C3%A3o-redondo-0a58b157 (Nova janela)"&gt;https://www.linkedin.com/in/ong-libertarios-do-cap%C3%A3o-redondo-0a58b157&lt;/a&gt;</t>
  </si>
  <si>
    <t>&lt;a href="javascript:openPopupFocus%28%27https%3A%2F%2Finstagram.com%2Frafaelsilvagomesperira%3Futm_medium%3Dcopy_link%27%2C%20%27_blank%27%2C%20620%2C%20430%2C%20%27width%3D620%2Cheight%3D430%2Cresizable%3Dyes%2Ctoolbar%3Dyes%2Cstatus%3Dyes%2Cscrollbars%3Dyes%2Cmenubar%3Dyes%2Cdirectories%3Dyes%2Clocation%3Dyes%2Cdependant%3Dno%27%2C%20false%2C%20true%29%3B" title="https://instagram.com/rafaelsilvagomesperira?utm_medium=copy_link (Nova janela)"&gt;https://instagram.com/rafaelsilvagomesperira?utm_medium=copy_link&lt;/a&gt;</t>
  </si>
  <si>
    <t>0034P000043fPDp</t>
  </si>
  <si>
    <t>Maria Royer Schneider</t>
  </si>
  <si>
    <t>(93) 98124-5186</t>
  </si>
  <si>
    <t>Pedagogia - Pós Graduação Didática E Metodologia Do Ensino Médio E Superior</t>
  </si>
  <si>
    <t>Desde que me conheço como gente sempre gostei de estudar e tinha o sonho de ser professora; inspirada nos meus professores; porque na época eu via uma admiração e prestígio pela profissão. Aos 14 anos; no interior; iniciei nessa jornada; fiz o ensino méd...</t>
  </si>
  <si>
    <t>Não Binário</t>
  </si>
  <si>
    <t>Rua Acácia</t>
  </si>
  <si>
    <t>68193-000</t>
  </si>
  <si>
    <t>&lt;a href="javascript:openPopupFocus%28%27https%3A%2F%2Flinktr.ee%2Fier%27%2C%20%27_blank%27%2C%20620%2C%20430%2C%20%27width%3D620%2Cheight%3D430%2Cresizable%3Dyes%2Ctoolbar%3Dyes%2Cstatus%3Dyes%2Cscrollbars%3Dyes%2Cmenubar%3Dyes%2Cdirectories%3Dyes%2Clocation%3Dyes%2Cdependant%3Dno%27%2C%20false%2C%20true%29%3B" title="https://linktr.ee/ier (Nova janela)"&gt;https://linktr.ee/ier&lt;/a&gt;</t>
  </si>
  <si>
    <t>&lt;a href="javascript:openPopupFocus%28%27https%3A%2F%2Fwww.instagram.com%2Fsararoyernp%2F%27%2C%20%27_blank%27%2C%20620%2C%20430%2C%20%27width%3D620%2Cheight%3D430%2Cresizable%3Dyes%2Ctoolbar%3Dyes%2Cstatus%3Dyes%2Cscrollbars%3Dyes%2Cmenubar%3Dyes%2Cdirectories%3Dyes%2Clocation%3Dyes%2Cdependant%3Dno%27%2C%20false%2C%20true%29%3B" title="https://www.instagram.com/sararoyernp/ (Nova janela)"&gt;https://www.instagram.com/sararoyernp/&lt;/a&gt;</t>
  </si>
  <si>
    <t>0034P000043fOnQ</t>
  </si>
  <si>
    <t>Elisângela</t>
  </si>
  <si>
    <t>Pedroso Lopes</t>
  </si>
  <si>
    <t>elisangelalope18@gmail.com</t>
  </si>
  <si>
    <t>33 98832-3290</t>
  </si>
  <si>
    <t>Professora de Educação Básica na rede estadual de Minas Gerais</t>
  </si>
  <si>
    <t>Rua Ceará</t>
  </si>
  <si>
    <t>39645-000</t>
  </si>
  <si>
    <t>&lt;a href="javascript:openPopupFocus%28%27https%3A%2F%2Fwww.linkedin.com%2Fin%2Felisangela-li-6b4865217%27%2C%20%27_blank%27%2C%20620%2C%20430%2C%20%27width%3D620%2Cheight%3D430%2Cresizable%3Dyes%2Ctoolbar%3Dyes%2Cstatus%3Dyes%2Cscrollbars%3Dyes%2Cmenubar%3Dyes%2Cdirectories%3Dyes%2Clocation%3Dyes%2Cdependant%3Dno%27%2C%20false%2C%20true%29%3B" title="https://www.linkedin.com/in/elisangela-li-6b4865217 (Nova janela)"&gt;https://www.linkedin.com/in/elisangela-li-6b4865217&lt;/a&gt;</t>
  </si>
  <si>
    <t>&lt;a href="javascript:openPopupFocus%28%27https%3A%2F%2Fwww.instagram.com%2Felisangelapedrosolopes%3Fr%3Dnametag%27%2C%20%27_blank%27%2C%20620%2C%20430%2C%20%27width%3D620%2Cheight%3D430%2Cresizable%3Dyes%2Ctoolbar%3Dyes%2Cstatus%3Dyes%2Cscrollbars%3Dyes%2Cmenubar%3Dyes%2Cdirectories%3Dyes%2Clocation%3Dyes%2Cdependant%3Dno%27%2C%20false%2C%20true%29%3B" title="https://www.instagram.com/elisangelapedrosolopes?r=nametag (Nova janela)"&gt;https://www.instagram.com/elisangelapedrosolopes?r=nametag&lt;/a&gt;</t>
  </si>
  <si>
    <t>0034P000043fOnU</t>
  </si>
  <si>
    <t>Luiz De Macedo Silva</t>
  </si>
  <si>
    <t>pastorandre2009@hotmail.com</t>
  </si>
  <si>
    <t>31 98769-0898</t>
  </si>
  <si>
    <t>G1</t>
  </si>
  <si>
    <t>Rua Reis de Abreu</t>
  </si>
  <si>
    <t>Bloco q Apartamento 207</t>
  </si>
  <si>
    <t>31250-080</t>
  </si>
  <si>
    <t>&lt;a href="javascript:openPopupFocus%28%27https%3A%2F%2Fwww.linkedin.com%2Fin%2Fandr%C3%A9-luiz-de-macedo-silva-627262219%27%2C%20%27_blank%27%2C%20620%2C%20430%2C%20%27width%3D620%2Cheight%3D430%2Cresizable%3Dyes%2Ctoolbar%3Dyes%2Cstatus%3Dyes%2Cscrollbars%3Dyes%2Cmenubar%3Dyes%2Cdirectories%3Dyes%2Clocation%3Dyes%2Cdependant%3Dno%27%2C%20false%2C%20true%29%3B" title="https://www.linkedin.com/in/andré-luiz-de-macedo-silva-627262219 (Nova janela)"&gt;https://www.linkedin.com/in/andré-luiz-de-macedo-silva-627262219&lt;/a&gt;</t>
  </si>
  <si>
    <t>&lt;a href="javascript:openPopupFocus%28%27https%3A%2F%2Fwww.instagram.com%2Fandreluizmacedosilva%2F%27%2C%20%27_blank%27%2C%20620%2C%20430%2C%20%27width%3D620%2Cheight%3D430%2Cresizable%3Dyes%2Ctoolbar%3Dyes%2Cstatus%3Dyes%2Cscrollbars%3Dyes%2Cmenubar%3Dyes%2Cdirectories%3Dyes%2Clocation%3Dyes%2Cdependant%3Dno%27%2C%20false%2C%20true%29%3B" title="https://www.instagram.com/andreluizmacedosilva/ (Nova janela)"&gt;https://www.instagram.com/andreluizmacedosilva/&lt;/a&gt;</t>
  </si>
  <si>
    <t>0034P000043fOnR</t>
  </si>
  <si>
    <t>Agnes</t>
  </si>
  <si>
    <t>Ribeiro Gomes De Jesus</t>
  </si>
  <si>
    <t>agnes_tap@hotmail.com</t>
  </si>
  <si>
    <t>21 99819-4273</t>
  </si>
  <si>
    <t>Bióloga De Formação E Cursando Graduação Em Serviço Social</t>
  </si>
  <si>
    <t>travessa da Brandura</t>
  </si>
  <si>
    <t>apt.203</t>
  </si>
  <si>
    <t>21211-800</t>
  </si>
  <si>
    <t>&lt;a href="javascript:openPopupFocus%28%27https%3A%2F%2Fwww.linkedin.com%2Fin%2Fagnes-ribeiro-gomes-de-jesus-2585b7215%2F%27%2C%20%27_blank%27%2C%20620%2C%20430%2C%20%27width%3D620%2Cheight%3D430%2Cresizable%3Dyes%2Ctoolbar%3Dyes%2Cstatus%3Dyes%2Cscrollbars%3Dyes%2Cmenubar%3Dyes%2Cdirectories%3Dyes%2Clocation%3Dyes%2Cdependant%3Dno%27%2C%20false%2C%20true%29%3B" title="https://www.linkedin.com/in/agnes-ribeiro-gomes-de-jesus-2585b7215/ (Nova janela)"&gt;https://www.linkedin.com/in/agnes-ribeiro-gomes-de-jesus-2585b7215/&lt;/a&gt;</t>
  </si>
  <si>
    <t>0034P000043fOnS</t>
  </si>
  <si>
    <t>Alexandra</t>
  </si>
  <si>
    <t>Dos Santos Ereiro</t>
  </si>
  <si>
    <t>(22)98171-8299</t>
  </si>
  <si>
    <t>Nao</t>
  </si>
  <si>
    <t>Conjunto Maguari Alameda</t>
  </si>
  <si>
    <t>Secundaria</t>
  </si>
  <si>
    <t>66823-086</t>
  </si>
  <si>
    <t>&lt;a href="javascript:openPopupFocus%28%27https%3A%2F%2Fwww.instagram.com%2Fp%2FCRAg6gKs8Lz%2F%3Futm_medium%3Dcopy_link%27%2C%20%27_blank%27%2C%20620%2C%20430%2C%20%27width%3D620%2Cheight%3D430%2Cresizable%3Dyes%2Ctoolbar%3Dyes%2Cstatus%3Dyes%2Cscrollbars%3Dyes%2Cmenubar%3Dyes%2Cdirectories%3Dyes%2Clocation%3Dyes%2Cdependant%3Dno%27%2C%20false%2C%20true%29%3B" title="https://www.instagram.com/p/CRAg6gKs8Lz/?utm_medium=copy_link (Nova janela)"&gt;https://www.instagram.com/p/CRAg6gKs8Lz/?utm_medium=copy_link&lt;/a&gt;</t>
  </si>
  <si>
    <t>0034P000045knPD</t>
  </si>
  <si>
    <t>Adilma</t>
  </si>
  <si>
    <t>Maria Gonçalves</t>
  </si>
  <si>
    <t>adilmagoncalves2021@gmail.com</t>
  </si>
  <si>
    <t>(81)98854-1441</t>
  </si>
  <si>
    <t>RUA DOS PRAZERES</t>
  </si>
  <si>
    <t>50860-240</t>
  </si>
  <si>
    <t>&lt;a href="javascript:openPopupFocus%28%27https%3A%2F%2Fwww.linkedin.com%2Fin%2Fadilma-gon%C3%A7alves-0726a2215%2F%27%2C%20%27_blank%27%2C%20620%2C%20430%2C%20%27width%3D620%2Cheight%3D430%2Cresizable%3Dyes%2Ctoolbar%3Dyes%2Cstatus%3Dyes%2Cscrollbars%3Dyes%2Cmenubar%3Dyes%2Cdirectories%3Dyes%2Clocation%3Dyes%2Cdependant%3Dno%27%2C%20false%2C%20true%29%3B" title="https://www.linkedin.com/in/adilma-gonçalves-0726a2215/ (Nova janela)"&gt;https://www.linkedin.com/in/adilma-gonçalves-0726a2215/&lt;/a&gt;</t>
  </si>
  <si>
    <t>&lt;a href="javascript:openPopupFocus%28%27https%3A%2F%2Fwww.instagram.com%2Fadilmadaong%2F%27%2C%20%27_blank%27%2C%20620%2C%20430%2C%20%27width%3D620%2Cheight%3D430%2Cresizable%3Dyes%2Ctoolbar%3Dyes%2Cstatus%3Dyes%2Cscrollbars%3Dyes%2Cmenubar%3Dyes%2Cdirectories%3Dyes%2Clocation%3Dyes%2Cdependant%3Dno%27%2C%20false%2C%20true%29%3B" title="https://www.instagram.com/adilmadaong/ (Nova janela)"&gt;https://www.instagram.com/adilmadaong/&lt;/a&gt;</t>
  </si>
  <si>
    <t>0034P000043fPDh</t>
  </si>
  <si>
    <t>Alexandre</t>
  </si>
  <si>
    <t>Luiz Tuller Telles</t>
  </si>
  <si>
    <t>dinamus.gf@projetodinamus.com</t>
  </si>
  <si>
    <t>(82)98182-1071</t>
  </si>
  <si>
    <t>Licenciatura Em Matemática (Pós Em Psicopedagogia Clínica E Institucional)</t>
  </si>
  <si>
    <t>Secretaria Estadual de Ensino - Professor</t>
  </si>
  <si>
    <t>Residencial Village das Artes</t>
  </si>
  <si>
    <t>Bloco q Apto 207</t>
  </si>
  <si>
    <t>57084-144</t>
  </si>
  <si>
    <t>&lt;a href="javascript:openPopupFocus%28%27https%3A%2F%2Fwww.linkedin.com%2Fin%2Falexandre-tuller-461a841a9%2F%27%2C%20%27_blank%27%2C%20620%2C%20430%2C%20%27width%3D620%2Cheight%3D430%2Cresizable%3Dyes%2Ctoolbar%3Dyes%2Cstatus%3Dyes%2Cscrollbars%3Dyes%2Cmenubar%3Dyes%2Cdirectories%3Dyes%2Clocation%3Dyes%2Cdependant%3Dno%27%2C%20false%2C%20true%29%3B" title="https://www.linkedin.com/in/alexandre-tuller-461a841a9/ (Nova janela)"&gt;https://www.linkedin.com/in/alexandre-tuller-461a841a9/&lt;/a&gt;</t>
  </si>
  <si>
    <t>&lt;a href="javascript:openPopupFocus%28%27http%3A%2F%2Finstagram.com%2Falexandretuller%27%2C%20%27_blank%27%2C%20620%2C%20430%2C%20%27width%3D620%2Cheight%3D430%2Cresizable%3Dyes%2Ctoolbar%3Dyes%2Cstatus%3Dyes%2Cscrollbars%3Dyes%2Cmenubar%3Dyes%2Cdirectories%3Dyes%2Clocation%3Dyes%2Cdependant%3Dno%27%2C%20false%2C%20true%29%3B" title="http://instagram.com/alexandretuller (Nova janela)"&gt;http://instagram.com/alexandretuller&lt;/a&gt;</t>
  </si>
  <si>
    <t>0034P000043fOnV</t>
  </si>
  <si>
    <t>Alison</t>
  </si>
  <si>
    <t>Fernandes Lopes</t>
  </si>
  <si>
    <t>3198613-8165</t>
  </si>
  <si>
    <t>35179-000</t>
  </si>
  <si>
    <t>&lt;a href="javascript:openPopupFocus%28%27http%3A%2F%2Fwww.linkedin.com%2Fin%2Falisonfernandeslopes%27%2C%20%27_blank%27%2C%20620%2C%20430%2C%20%27width%3D620%2Cheight%3D430%2Cresizable%3Dyes%2Ctoolbar%3Dyes%2Cstatus%3Dyes%2Cscrollbars%3Dyes%2Cmenubar%3Dyes%2Cdirectories%3Dyes%2Clocation%3Dyes%2Cdependant%3Dno%27%2C%20false%2C%20true%29%3B" title="http://www.linkedin.com/in/alisonfernandeslopes (Nova janela)"&gt;http://www.linkedin.com/in/alisonfernandeslopes&lt;/a&gt;</t>
  </si>
  <si>
    <t>&lt;a href="javascript:openPopupFocus%28%27http%3A%2F%2Fwww.instagram%2Finstituto_ideias%27%2C%20%27_blank%27%2C%20620%2C%20430%2C%20%27width%3D620%2Cheight%3D430%2Cresizable%3Dyes%2Ctoolbar%3Dyes%2Cstatus%3Dyes%2Cscrollbars%3Dyes%2Cmenubar%3Dyes%2Cdirectories%3Dyes%2Clocation%3Dyes%2Cdependant%3Dno%27%2C%20false%2C%20true%29%3B" title="http://www.instagram/instituto_ideias (Nova janela)"&gt;http://www.instagram/instituto_ideias&lt;/a&gt;</t>
  </si>
  <si>
    <t>0034P000043fOnY</t>
  </si>
  <si>
    <t>Neiry De Moura Alves</t>
  </si>
  <si>
    <t>ananeiry@pisadadosertao.org</t>
  </si>
  <si>
    <t>(83)99878-0123</t>
  </si>
  <si>
    <t>Licenciatura Plena Em Letras E Administração</t>
  </si>
  <si>
    <t>Sou professora da rede municipal de educação em modalidade efetiva</t>
  </si>
  <si>
    <t>Mulher nordestina e sertaneja que nunca baixou a cabeça diante das adversidades da vida; bem como dos estigmas; rótulos e preconceitos vivenciados. Era uma criança alegre e criativa na qual não faltavam oportunidades de inventar; inovar e visualizar uma ...</t>
  </si>
  <si>
    <t>Antônio Gonçalves Pinheiro</t>
  </si>
  <si>
    <t>58908-000</t>
  </si>
  <si>
    <t>&lt;a href="javascript:openPopupFocus%28%27https%3A%2F%2Fwww.linkedin.com%2Fin%2Fana-neiry-moura-a50781196%27%2C%20%27_blank%27%2C%20620%2C%20430%2C%20%27width%3D620%2Cheight%3D430%2Cresizable%3Dyes%2Ctoolbar%3Dyes%2Cstatus%3Dyes%2Cscrollbars%3Dyes%2Cmenubar%3Dyes%2Cdirectories%3Dyes%2Clocation%3Dyes%2Cdependant%3Dno%27%2C%20false%2C%20true%29%3B" title="https://www.linkedin.com/in/ana-neiry-moura-a50781196 (Nova janela)"&gt;https://www.linkedin.com/in/ana-neiry-moura-a50781196&lt;/a&gt;</t>
  </si>
  <si>
    <t>&lt;a href="javascript:openPopupFocus%28%27https%3A%2F%2Fwww.instagram.com%2Fananeirymoura%2F%27%2C%20%27_blank%27%2C%20620%2C%20430%2C%20%27width%3D620%2Cheight%3D430%2Cresizable%3Dyes%2Ctoolbar%3Dyes%2Cstatus%3Dyes%2Cscrollbars%3Dyes%2Cmenubar%3Dyes%2Cdirectories%3Dyes%2Clocation%3Dyes%2Cdependant%3Dno%27%2C%20false%2C%20true%29%3B" title="https://www.instagram.com/ananeirymoura/ (Nova janela)"&gt;https://www.instagram.com/ananeirymoura/&lt;/a&gt;</t>
  </si>
  <si>
    <t>0034P000043fOnX</t>
  </si>
  <si>
    <t>Anailton</t>
  </si>
  <si>
    <t>De Sousa Fernandes</t>
  </si>
  <si>
    <t>anailton.fernandes@immetamorfose.org</t>
  </si>
  <si>
    <t>(85) 98756-1978</t>
  </si>
  <si>
    <t>Graduação Em Serviço Social E Pós Em Gerenciamento De Projetos Em Conclusão</t>
  </si>
  <si>
    <t>Rua São Gerardo</t>
  </si>
  <si>
    <t>Baixo</t>
  </si>
  <si>
    <t>60180-100</t>
  </si>
  <si>
    <t>&lt;a href="javascript:openPopupFocus%28%27https%3A%2F%2Fwww.instagram.com%2Fanailton.fer%2F%27%2C%20%27_blank%27%2C%20620%2C%20430%2C%20%27width%3D620%2Cheight%3D430%2Cresizable%3Dyes%2Ctoolbar%3Dyes%2Cstatus%3Dyes%2Cscrollbars%3Dyes%2Cmenubar%3Dyes%2Cdirectories%3Dyes%2Clocation%3Dyes%2Cdependant%3Dno%27%2C%20false%2C%20true%29%3B" title="https://www.instagram.com/anailton.fer/ (Nova janela)"&gt;https://www.instagram.com/anailton.fer/&lt;/a&gt;</t>
  </si>
  <si>
    <t>0034P000043fOnZ</t>
  </si>
  <si>
    <t>Angelo</t>
  </si>
  <si>
    <t>Felipe Do Nascimento Bezerra</t>
  </si>
  <si>
    <t>angelofnb@yahoo.com.br</t>
  </si>
  <si>
    <t>81.98769-8014</t>
  </si>
  <si>
    <t>Licenciatura Em História E Pós Graduação Gestão Ambiental</t>
  </si>
  <si>
    <t>50720-139</t>
  </si>
  <si>
    <t>&lt;a href="javascript:openPopupFocus%28%27https%3A%2F%2Fwww.linkedin.com%2Fin%2Fangelo-felipe-1261281b2%27%2C%20%27_blank%27%2C%20620%2C%20430%2C%20%27width%3D620%2Cheight%3D430%2Cresizable%3Dyes%2Ctoolbar%3Dyes%2Cstatus%3Dyes%2Cscrollbars%3Dyes%2Cmenubar%3Dyes%2Cdirectories%3Dyes%2Clocation%3Dyes%2Cdependant%3Dno%27%2C%20false%2C%20true%29%3B" title="https://www.linkedin.com/in/angelo-felipe-1261281b2 (Nova janela)"&gt;https://www.linkedin.com/in/angelo-felipe-1261281b2&lt;/a&gt;</t>
  </si>
  <si>
    <t>&lt;a href="javascript:openPopupFocus%28%27https%3A%2F%2Fwww.instagram.com%2Fangelofelipe_ccb%3Fr%3Dnametag%27%2C%20%27_blank%27%2C%20620%2C%20430%2C%20%27width%3D620%2Cheight%3D430%2Cresizable%3Dyes%2Ctoolbar%3Dyes%2Cstatus%3Dyes%2Cscrollbars%3Dyes%2Cmenubar%3Dyes%2Cdirectories%3Dyes%2Clocation%3Dyes%2Cdependant%3Dno%27%2C%20false%2C%20true%29%3B" title="https://www.instagram.com/angelofelipe_ccb?r=nametag (Nova janela)"&gt;https://www.instagram.com/angelofelipe_ccb?r=nametag&lt;/a&gt;</t>
  </si>
  <si>
    <t>0034P000043fPDi</t>
  </si>
  <si>
    <t>Barbara</t>
  </si>
  <si>
    <t>Coelho Souza Syllio</t>
  </si>
  <si>
    <t>(84)99643-5090</t>
  </si>
  <si>
    <t>Pedagogia Com Pós Em Neuropedagogia E Gestão De Projetos Do 3° Setor</t>
  </si>
  <si>
    <t>SEEC RN - FUNCIONÁRIA PÚBLICA ESTADUAL PROFESSORA DE EDUCAÇÃO ESPECIAL</t>
  </si>
  <si>
    <t>Rua Tertuliano Nobre de Lima</t>
  </si>
  <si>
    <t>59194-000</t>
  </si>
  <si>
    <t>&lt;a href="javascript:openPopupFocus%28%27https%3A%2F%2Fwww.linkedin.com%2Fin%2Fbarbara-coelho-18361b216%27%2C%20%27_blank%27%2C%20620%2C%20430%2C%20%27width%3D620%2Cheight%3D430%2Cresizable%3Dyes%2Ctoolbar%3Dyes%2Cstatus%3Dyes%2Cscrollbars%3Dyes%2Cmenubar%3Dyes%2Cdirectories%3Dyes%2Clocation%3Dyes%2Cdependant%3Dno%27%2C%20false%2C%20true%29%3B" title="https://www.linkedin.com/in/barbara-coelho-18361b216 (Nova janela)"&gt;https://www.linkedin.com/in/barbara-coelho-18361b216&lt;/a&gt;</t>
  </si>
  <si>
    <t>&lt;a href="javascript:openPopupFocus%28%27https%3A%2F%2Finstagram.com%2Fbarbaracoelho_3%3Futm_medium%3Dcopy_link%27%2C%20%27_blank%27%2C%20620%2C%20430%2C%20%27width%3D620%2Cheight%3D430%2Cresizable%3Dyes%2Ctoolbar%3Dyes%2Cstatus%3Dyes%2Cscrollbars%3Dyes%2Cmenubar%3Dyes%2Cdirectories%3Dyes%2Clocation%3Dyes%2Cdependant%3Dno%27%2C%20false%2C%20true%29%3B" title="https://instagram.com/barbaracoelho_3?utm_medium=copy_link (Nova janela)"&gt;https://instagram.com/barbaracoelho_3?utm_medium=copy_link&lt;/a&gt;</t>
  </si>
  <si>
    <t>0034P000043fOna</t>
  </si>
  <si>
    <t>Claudia</t>
  </si>
  <si>
    <t>Souza Da Silva</t>
  </si>
  <si>
    <t>claudiasouacs@gmail.com</t>
  </si>
  <si>
    <t>(21)98469-7301</t>
  </si>
  <si>
    <t>bloco 1/202</t>
  </si>
  <si>
    <t>21061-240</t>
  </si>
  <si>
    <t>&lt;a href="javascript:openPopupFocus%28%27https%3A%2F%2Fwww.linkedin.com%2Fin%2Fclaudia-souza-da-silva-189060204%27%2C%20%27_blank%27%2C%20620%2C%20430%2C%20%27width%3D620%2Cheight%3D430%2Cresizable%3Dyes%2Ctoolbar%3Dyes%2Cstatus%3Dyes%2Cscrollbars%3Dyes%2Cmenubar%3Dyes%2Cdirectories%3Dyes%2Clocation%3Dyes%2Cdependant%3Dno%27%2C%20false%2C%20true%29%3B" title="https://www.linkedin.com/in/claudia-souza-da-silva-189060204 (Nova janela)"&gt;https://www.linkedin.com/in/claudia-souza-da-silva-189060204&lt;/a&gt;</t>
  </si>
  <si>
    <t>&lt;a href="javascript:openPopupFocus%28%27https%3A%2F%2Fwww.instagram.com%2Fp%2FCPt6_nHJWM-%2F%3Futm_medium%3Dcopy_link%27%2C%20%27_blank%27%2C%20620%2C%20430%2C%20%27width%3D620%2Cheight%3D430%2Cresizable%3Dyes%2Ctoolbar%3Dyes%2Cstatus%3Dyes%2Cscrollbars%3Dyes%2Cmenubar%3Dyes%2Cdirectories%3Dyes%2Clocation%3Dyes%2Cdependant%3Dno%27%2C%20false%2C%20true%29%3B" title="https://www.instagram.com/p/CPt6_nHJWM-/?utm_medium=copy_link (Nova janela)"&gt;https://www.instagram.com/p/CPt6_nHJWM-/?utm_medium=copy_link&lt;/a&gt;</t>
  </si>
  <si>
    <t>0034P000043fOnb</t>
  </si>
  <si>
    <t>Ivete</t>
  </si>
  <si>
    <t>Rodrigues De Macedo</t>
  </si>
  <si>
    <t>lacredobem@gmail.com</t>
  </si>
  <si>
    <t>(31)99608-8314</t>
  </si>
  <si>
    <t>Administração - Gestão Do Varejo</t>
  </si>
  <si>
    <t>rua padre nobrega</t>
  </si>
  <si>
    <t>apto 701</t>
  </si>
  <si>
    <t>30730-230</t>
  </si>
  <si>
    <t>&lt;a href="javascript:openPopupFocus%28%27https%3A%2F%2Fwww.linkedin.com%2Fin%2Fivette-rodrigues-de-macedo-8070bb120%2F%27%2C%20%27_blank%27%2C%20620%2C%20430%2C%20%27width%3D620%2Cheight%3D430%2Cresizable%3Dyes%2Ctoolbar%3Dyes%2Cstatus%3Dyes%2Cscrollbars%3Dyes%2Cmenubar%3Dyes%2Cdirectories%3Dyes%2Clocation%3Dyes%2Cdependant%3Dno%27%2C%20false%2C%20true%29%3B" title="https://www.linkedin.com/in/ivette-rodrigues-de-macedo-8070bb120/ (Nova janela)"&gt;https://www.linkedin.com/in/ivette-rodrigues-de-macedo-8070bb120/&lt;/a&gt;</t>
  </si>
  <si>
    <t>&lt;a href="javascript:openPopupFocus%28%27https%3A%2F%2Fwww.instagram.com%2Fivette.macedo%2F%3Fhl%3Dpt-br%27%2C%20%27_blank%27%2C%20620%2C%20430%2C%20%27width%3D620%2Cheight%3D430%2Cresizable%3Dyes%2Ctoolbar%3Dyes%2Cstatus%3Dyes%2Cscrollbars%3Dyes%2Cmenubar%3Dyes%2Cdirectories%3Dyes%2Clocation%3Dyes%2Cdependant%3Dno%27%2C%20false%2C%20true%29%3B" title="https://www.instagram.com/ivette.macedo/?hl=pt-br (Nova janela)"&gt;https://www.instagram.com/ivette.macedo/?hl=pt-br&lt;/a&gt;</t>
  </si>
  <si>
    <t>0034P000043fOnc</t>
  </si>
  <si>
    <t>Edmar</t>
  </si>
  <si>
    <t>Cassimiro Pedro</t>
  </si>
  <si>
    <t>edmarufjf@gmail.com.br</t>
  </si>
  <si>
    <t>(32)98417-0749</t>
  </si>
  <si>
    <t>Educação Física / Música</t>
  </si>
  <si>
    <t>Silverio da silveira</t>
  </si>
  <si>
    <t>saca</t>
  </si>
  <si>
    <t>36025-610</t>
  </si>
  <si>
    <t>&lt;a href="javascript:openPopupFocus%28%27http%3A%2F%2Fcassimiro.edmar%27%2C%20%27_blank%27%2C%20620%2C%20430%2C%20%27width%3D620%2Cheight%3D430%2Cresizable%3Dyes%2Ctoolbar%3Dyes%2Cstatus%3Dyes%2Cscrollbars%3Dyes%2Cmenubar%3Dyes%2Cdirectories%3Dyes%2Clocation%3Dyes%2Cdependant%3Dno%27%2C%20false%2C%20true%29%3B" title="http://cassimiro.edmar (Nova janela)"&gt;http://cassimiro.edmar&lt;/a&gt;</t>
  </si>
  <si>
    <t>&lt;a href="javascript:openPopupFocus%28%27http%3A%2F%2F%40cassimiro.edmar%27%2C%20%27_blank%27%2C%20620%2C%20430%2C%20%27width%3D620%2Cheight%3D430%2Cresizable%3Dyes%2Ctoolbar%3Dyes%2Cstatus%3Dyes%2Cscrollbars%3Dyes%2Cmenubar%3Dyes%2Cdirectories%3Dyes%2Clocation%3Dyes%2Cdependant%3Dno%27%2C%20false%2C%20true%29%3B" title="http://@cassimiro.edmar (Nova janela)"&gt;http://@cassimiro.edmar&lt;/a&gt;</t>
  </si>
  <si>
    <t>Refresh Time</t>
  </si>
  <si>
    <t>Sheet</t>
  </si>
  <si>
    <t>Operation</t>
  </si>
  <si>
    <t>Status</t>
  </si>
  <si>
    <t>User</t>
  </si>
  <si>
    <t>Líderes</t>
  </si>
  <si>
    <t>Report Id: 00O4X000009dHCHUA2</t>
  </si>
  <si>
    <t>Success</t>
  </si>
  <si>
    <t>bruno.cardoso@gerandofalcoes.com</t>
  </si>
  <si>
    <t>ONGs</t>
  </si>
  <si>
    <t>Report Id: 00O4X000009dHBsUAM</t>
  </si>
  <si>
    <t/>
  </si>
  <si>
    <t>IDConta(18)</t>
  </si>
  <si>
    <t>Data de inicio do cadastro</t>
  </si>
  <si>
    <t>Tempo RGF</t>
  </si>
  <si>
    <t>Reciclando Vidas</t>
  </si>
  <si>
    <t>Rodrigo dos Santos Ramos</t>
  </si>
  <si>
    <t>reciclandovidasrodrigosabiah@gmail.com</t>
  </si>
  <si>
    <t>(51)99257-8487</t>
  </si>
  <si>
    <t>Rua Lima e Silva</t>
  </si>
  <si>
    <t>Cidade Baixa</t>
  </si>
  <si>
    <t>Apto 16</t>
  </si>
  <si>
    <t>90050-101</t>
  </si>
  <si>
    <t>Educação; Empregabilidade; Assistência Social; Cultura; Qualificação Profissional; Empreendedorismo; Empoderamento Feminino; Negócios Sociais; Comunicação</t>
  </si>
  <si>
    <t>Jovens (18 aos 24 anos); Adultos</t>
  </si>
  <si>
    <t>Moradores de Favelas; Egressos sistema carcerário</t>
  </si>
  <si>
    <t>Plataforma doação online - Pessoa Física; Parceria iniciativa privada; Editais; Doações; Recursos próprios</t>
  </si>
  <si>
    <t>100% recursos proprios</t>
  </si>
  <si>
    <t>https://instagram.com/recic_landovidas?utm_medium=copy_link</t>
  </si>
  <si>
    <t>Coletivo Ayoká</t>
  </si>
  <si>
    <t>41.070.922/0001-52</t>
  </si>
  <si>
    <t>Mariana Kalenna Otaviano de Carvalho</t>
  </si>
  <si>
    <t>coletivoayoka@gmail.com</t>
  </si>
  <si>
    <t>(85)98601-9965</t>
  </si>
  <si>
    <t>Rua Xavier da Silveira</t>
  </si>
  <si>
    <t>Granja Lisboa</t>
  </si>
  <si>
    <t>casa 1350E</t>
  </si>
  <si>
    <t>60540-210</t>
  </si>
  <si>
    <t>Cultura; Empreendedorismo; Empoderamento Feminino; Defesa de Direitos</t>
  </si>
  <si>
    <t>Adolescentes (12 aos 18 anos); Jovens (18 aos 24 anos); Adultos</t>
  </si>
  <si>
    <t>Afrodescendentes</t>
  </si>
  <si>
    <t>Mulheres e público joven LGBT</t>
  </si>
  <si>
    <t>Editais; Doações; Recursos próprios</t>
  </si>
  <si>
    <t>80% editais, 15% recursos próprios e 5% doações</t>
  </si>
  <si>
    <t>www.wix.coletivoayoka.com</t>
  </si>
  <si>
    <t>https://www.youtube.com/channel/UCgeBXTQyolvMJstYuxfHQ0A</t>
  </si>
  <si>
    <t>No facebook</t>
  </si>
  <si>
    <t>Facebook Coletivo Ayoka</t>
  </si>
  <si>
    <t>Projeto Tamo Junto</t>
  </si>
  <si>
    <t>Lana Thaís de Abreu</t>
  </si>
  <si>
    <t>(98)98659-9059</t>
  </si>
  <si>
    <t>Paço do Lumiar</t>
  </si>
  <si>
    <t>65135-000</t>
  </si>
  <si>
    <t>Assistência Social; Meio ambiente; Desenvolvimento comunitário</t>
  </si>
  <si>
    <t>Crianças pequenas (4 anos a 5 anos e 11 meses); Adultos</t>
  </si>
  <si>
    <t>Moradores de Favelas; Pessoas em situação de rua; Comunidade rural</t>
  </si>
  <si>
    <t>Eventos/Ações para captação; Plataforma doação online - Pessoa Física; Doações; Recursos próprios</t>
  </si>
  <si>
    <t>25% Ações de Captação 50% Doação Online e Doação 25% recursos próprios.</t>
  </si>
  <si>
    <t>https://instagram.com/_projetotamojunto?igshid=YmMyMTA2M2Y=</t>
  </si>
  <si>
    <t>Associação de Lazer Esporte Educação e Cultura - LEEC</t>
  </si>
  <si>
    <t>11.707.026/0001-90</t>
  </si>
  <si>
    <t>Allan Vicente</t>
  </si>
  <si>
    <t>organizacaoleec@gmail.com</t>
  </si>
  <si>
    <t>(13)98807-5411</t>
  </si>
  <si>
    <t>Maria Cristina</t>
  </si>
  <si>
    <t>Jd. Casqueiro</t>
  </si>
  <si>
    <t>Cubatão</t>
  </si>
  <si>
    <t>ap 24 - residencia</t>
  </si>
  <si>
    <t>11533-160</t>
  </si>
  <si>
    <t>Esporte</t>
  </si>
  <si>
    <t>Crianças (6 a 12 anos); Adolescentes (12 aos 18 anos); Jovens (18 aos 24 anos); Adultos</t>
  </si>
  <si>
    <t>Moradores de Favelas</t>
  </si>
  <si>
    <t>Eventos/Ações para captação</t>
  </si>
  <si>
    <t>http://www.facebook.com/organizacaoleec</t>
  </si>
  <si>
    <t>http://www.instagram.com/organizacaoleec</t>
  </si>
  <si>
    <t>vila carioca fertil</t>
  </si>
  <si>
    <t>Coletivo Verdigal</t>
  </si>
  <si>
    <t>o mesmo do líder</t>
  </si>
  <si>
    <t>Associação são Vicente de Paulo do Jd Vitória</t>
  </si>
  <si>
    <t>26.328.438/0001-97</t>
  </si>
  <si>
    <t>Francisca Maria Ribeiro</t>
  </si>
  <si>
    <t>acssaovicentedepaulo@gmail.com</t>
  </si>
  <si>
    <t>(11)98296-8309</t>
  </si>
  <si>
    <t>Rua travessa cachoeira de Paulo Afonso, 25</t>
  </si>
  <si>
    <t>JARDIM PÉROLA 2</t>
  </si>
  <si>
    <t>TIRADENTES</t>
  </si>
  <si>
    <t>08473-240</t>
  </si>
  <si>
    <t>Esporte; Educação; Cultura; Desenvolvimento comunitário</t>
  </si>
  <si>
    <t>Bebês (0 a 1 ano e 6 meses); Crianças bem pequenas (1 ano e 7 meses até 3 anos e 11 meses); Crianças pequenas (4 anos a 5 anos e 11 meses); Crianças (6 a 12 anos); Adolescentes (12 aos 18 anos); Jovens (18 aos 24 anos); Adultos; Idosos (60 anos ou mais)</t>
  </si>
  <si>
    <t>Moradores de Favelas; Pessoas em situação de rua; População LGBTQ+</t>
  </si>
  <si>
    <t>Doações</t>
  </si>
  <si>
    <t>https://m.facebook.com/saovicentedepaulodojdvitoria/</t>
  </si>
  <si>
    <t>Assoc. C. Raio de Cristal</t>
  </si>
  <si>
    <t>04.239.483/0001-32</t>
  </si>
  <si>
    <t>Mercedes Conceição</t>
  </si>
  <si>
    <t>raiodecristal@yahoo.com.br</t>
  </si>
  <si>
    <t>(11)2240-9243</t>
  </si>
  <si>
    <t>Rua Cabo PM José Carlos Rodrigues da Silva</t>
  </si>
  <si>
    <t>Jd. Filhos da Terra/Guapira</t>
  </si>
  <si>
    <t>Rua Mar. Àmalia L.de Azevedo</t>
  </si>
  <si>
    <t>02325-030</t>
  </si>
  <si>
    <t>Educação; Meio ambiente; Desenvolvimento comunitário; Outro(s)</t>
  </si>
  <si>
    <t>Idosos (60 anos ou mais)</t>
  </si>
  <si>
    <t>Moradores de Favelas; Outros</t>
  </si>
  <si>
    <t>Recursos próprios</t>
  </si>
  <si>
    <t>Nem uma</t>
  </si>
  <si>
    <t>https://www.instagram.com/p/Cb_SYjmskiD/?utm_medium=copy_link</t>
  </si>
  <si>
    <t>Coletivo Autônomo Morro da Cruz</t>
  </si>
  <si>
    <t>34.426.595/0001-63</t>
  </si>
  <si>
    <t>Lucia Mury Scalco</t>
  </si>
  <si>
    <t>admin@coletivomdc.org</t>
  </si>
  <si>
    <t>Rua Vidal de Negreiros</t>
  </si>
  <si>
    <t>Vila São José</t>
  </si>
  <si>
    <t>91520-480</t>
  </si>
  <si>
    <t>Morro da Cruz - Alamenda - Represa - Vila Vargas - Campo da Tuca</t>
  </si>
  <si>
    <t>https://www.instagram.com/coletivomdc/</t>
  </si>
  <si>
    <t>https://www.facebook.com/coletivomdc</t>
  </si>
  <si>
    <t>https://coletivomdc.org/</t>
  </si>
  <si>
    <t>Comunidade pro moradia</t>
  </si>
  <si>
    <t>COMUNIDADE PRO</t>
  </si>
  <si>
    <t>41.840.029/0001-69</t>
  </si>
  <si>
    <t>Aucília Maria Santana Silva</t>
  </si>
  <si>
    <t>profa.auciliamaria@gmail.com</t>
  </si>
  <si>
    <t>(71)99948-7575</t>
  </si>
  <si>
    <t>Rua Dr. Odilon Machado 657</t>
  </si>
  <si>
    <t>IAPI</t>
  </si>
  <si>
    <t>Cond Jd. Santa Mônica Ed. Patricia APt 701</t>
  </si>
  <si>
    <t>40340-420</t>
  </si>
  <si>
    <t>Adultos</t>
  </si>
  <si>
    <t>Afrodescendentes, Outros</t>
  </si>
  <si>
    <t>Negócio Social</t>
  </si>
  <si>
    <t>estamos/em criaçao</t>
  </si>
  <si>
    <t>https://www.instagram.com/auciliamaria_27/</t>
  </si>
  <si>
    <t>https://www.youtube.com/channel/UCswbhl_pSGK5x4xasvjS_0A</t>
  </si>
  <si>
    <t>Associação Remediar</t>
  </si>
  <si>
    <t>REMEDIAR</t>
  </si>
  <si>
    <t>39.829.628/0001-30</t>
  </si>
  <si>
    <t>Valéria Castro da Silva</t>
  </si>
  <si>
    <t>remediarong@gmail.com</t>
  </si>
  <si>
    <t>(31)99692-0030</t>
  </si>
  <si>
    <t>Ferreira de Aguiar 289 Nazaré</t>
  </si>
  <si>
    <t>Nazaré</t>
  </si>
  <si>
    <t>31990-190</t>
  </si>
  <si>
    <t>bebês (1 a 1ano e 6 meses), Crianças bem pequenas (1 ano e 7 meses até 3 anos e 11 meses), Crianças pequenas (4 anos a 5 anos e 11 meses), Crianças (6 a 12 anos), Adolescentes (12 aos 18 anos), Jovens (18 aos 24 anos), Adultos, Idosos (60 anos ou mais)</t>
  </si>
  <si>
    <t>Moradores de Favelas, Pessoas em situação de rua, População LGBTQ+, Dependentes Químicos, Pessoas com Deficiência, Imigrantes, Refugiados, Comunidade rural, Outros</t>
  </si>
  <si>
    <t>Negócio Social, Eventos/Ações para captação, Editais, Outro(s), Doações, Recursos próprios</t>
  </si>
  <si>
    <t>https://www.instagram.com/p/CgHMYHOOHPT/?igshid=YmMyMTA2M2Y=</t>
  </si>
  <si>
    <t>https://www.facebook.com/ongremediar/</t>
  </si>
  <si>
    <t>https://drive.google.com/open?id=1_xd6-JCDg7LT3DExSuhJ_ll3yNy3f4H8</t>
  </si>
  <si>
    <t>ASSOCIAÇÃO PADRE PAULO TONUCCI</t>
  </si>
  <si>
    <t>ESPAÇO EDUCATIVO PADRE PAULO TONUCCI</t>
  </si>
  <si>
    <t>04.767.123/0001-03</t>
  </si>
  <si>
    <t>Maria Augusta Pinto Portugal Melo</t>
  </si>
  <si>
    <t>apptonucci@hotmail.com</t>
  </si>
  <si>
    <t>(73)98137-3711</t>
  </si>
  <si>
    <t>U</t>
  </si>
  <si>
    <t>Monte Cristo</t>
  </si>
  <si>
    <t>Itabuna</t>
  </si>
  <si>
    <t>Prédio</t>
  </si>
  <si>
    <t>45604-511</t>
  </si>
  <si>
    <t>Crianças pequenas (4 anos a 5 anos e 11 meses), Crianças (6 a 12 anos), Adolescentes (12 aos 18 anos), Jovens (18 aos 24 anos)</t>
  </si>
  <si>
    <t>Outros</t>
  </si>
  <si>
    <t>Monte Cristo e Nova Califórnia</t>
  </si>
  <si>
    <t>Localidades circunvizinhas aos bairros Monte Cristo e Nova Califórnia</t>
  </si>
  <si>
    <t>Eventos/Ações para captação, Outro(s), Doações</t>
  </si>
  <si>
    <t>Outros 93% doações 5% eventos 2%</t>
  </si>
  <si>
    <t>https://instagram.com/espeducativo?igshid=YmMyMTA2M2Y=</t>
  </si>
  <si>
    <t>https://instagram.com/espeducativo?igshid=YmMyMTA2M2Y=   e  https://instagram.com/jovem.social?igshid=YmMyMTA2M2Y=</t>
  </si>
  <si>
    <t>https://www.facebook.com/tonucci.paulo</t>
  </si>
  <si>
    <t>https://drive.google.com/open?id=1nKG4wEKr9BgKL8IZyiMOKRzL4Lz-OhbP</t>
  </si>
  <si>
    <t>https://drive.google.com/open?id=1XQefli6kSYcM4ZSlL5Xsr3kXoJoBbYRU</t>
  </si>
  <si>
    <t>https://drive.google.com/open?id=1ObWVo8KwsLeKrmSOAKvkkqGuPX5VNr1c</t>
  </si>
  <si>
    <t>ASSOCIAÇAO DE ARTESANATO E APICULTURA DOS POVOADOS TIGRE E JUNÇA</t>
  </si>
  <si>
    <t>AAAPTJ</t>
  </si>
  <si>
    <t>06.172.719/0001-96</t>
  </si>
  <si>
    <t>IRACEMA DOS SANTOS LISBOA TEIXEIRA</t>
  </si>
  <si>
    <t>aaaptjdm@gmail.com</t>
  </si>
  <si>
    <t>(79)99901-3379</t>
  </si>
  <si>
    <t>Povoado Tigre</t>
  </si>
  <si>
    <t>Tigre</t>
  </si>
  <si>
    <t>PACATUBA</t>
  </si>
  <si>
    <t>ZONA RURAL</t>
  </si>
  <si>
    <t>49970-000</t>
  </si>
  <si>
    <t>SIM, ESCOLAS E COMUNIDADAES ADJACENTES</t>
  </si>
  <si>
    <t>Crianças (6 a 12 anos), Adolescentes (12 aos 18 anos), Jovens (18 aos 24 anos), Adultos</t>
  </si>
  <si>
    <t>Quilombola, Afrodescendentes, Ribeirinhos, Comunidade rural, Outros</t>
  </si>
  <si>
    <t>TIGRE /  JUNÇA /  SERIGY /  CRUIRI /  BOCA DA BARRA / PIRANHAS / ALAGOINHAS / SANTANA /  GEME /  BREJAO / LAGOA NOVA /  GOLFO / TIMBO / MORORO / ESTIVA RAPOSO / TIJUPARES</t>
  </si>
  <si>
    <t>mulheres artesã* pescadores* jovens em situação de vulnerabilidade* agricultores da agricultura familiar* residentes em comunidades rurais</t>
  </si>
  <si>
    <t>Editais, Doações</t>
  </si>
  <si>
    <t>50% EDITAIS, 50% DOAÇOES</t>
  </si>
  <si>
    <t>https://instagram.com/prosperar.se?igshid=YmMyMTA2M2Y=</t>
  </si>
  <si>
    <t>https://drive.google.com/open?id=1VVG2_90Rg6C4eURsYvbp-ihs1G1z-aoe</t>
  </si>
  <si>
    <t>https://drive.google.com/open?id=1ly3tcgBTIxFmjPFoCOPurKZnKUKJ5ahX</t>
  </si>
  <si>
    <t>Mulheres Arretadas</t>
  </si>
  <si>
    <t>MULHERES ARRETADAS</t>
  </si>
  <si>
    <t>Edileide Rezende Santos</t>
  </si>
  <si>
    <t>mulheresarretadasdafavela@gmail.com</t>
  </si>
  <si>
    <t>(71)0000-0000</t>
  </si>
  <si>
    <t>Benedito Jenikens</t>
  </si>
  <si>
    <t>Águas claras</t>
  </si>
  <si>
    <t>S/n</t>
  </si>
  <si>
    <t>Salão da Paróquia Santa Clara</t>
  </si>
  <si>
    <t>41310-270</t>
  </si>
  <si>
    <t>Adolescentes (12 aos 18 anos), Jovens (18 aos 24 anos), Adultos, Idosos (60 anos ou mais)</t>
  </si>
  <si>
    <t>Moradores de Favelas, Pessoas em situação de rua, Comunidade rural</t>
  </si>
  <si>
    <t>Salvador-(Aguas Claras): - Condor /  Casinhas /  Rua da Glória /  Final de Linha /  Loteamento Nogueira /  / Interior: São Gonçalo dos Campos: São Gonçalo /  Urubu /  Igrejinha /  /Interior: (Araçás:) Floresta /  Mato Limpo /  Baixa da roposa</t>
  </si>
  <si>
    <t>Atendemos também outros Bairros de Salvador* quando dar  ex: Castelo Branco* Pirajá Km 9 * e Derba * Escada</t>
  </si>
  <si>
    <t>Eventos/Ações para captação, Parceria iniciativa privada, Outro(s), Doações, Recursos próprios</t>
  </si>
  <si>
    <t>https://instagram.com/mulheresarretadasdafavela?igshid=YmMyMTA2M2Y=</t>
  </si>
  <si>
    <t>Instituto Avivah</t>
  </si>
  <si>
    <t>INSTITUTO AVIVAH</t>
  </si>
  <si>
    <t>28.216429/0001-30</t>
  </si>
  <si>
    <t>Edson Ramos da Silva</t>
  </si>
  <si>
    <t>institutoavivah@gmail.com</t>
  </si>
  <si>
    <t>(82)99322-4355</t>
  </si>
  <si>
    <t>Rua Dom Pedro II</t>
  </si>
  <si>
    <t>Pedras</t>
  </si>
  <si>
    <t>Marechal Deodoro</t>
  </si>
  <si>
    <t>57160-000</t>
  </si>
  <si>
    <t>Malhadas, Cabreiras</t>
  </si>
  <si>
    <t>Captação PJ 7*8%, Captação PF 32*3%, Convênio Público 52%</t>
  </si>
  <si>
    <t>https://drive.google.com/open?id=1HvOiXULoPxVIRFf-qK8yPDi07gdyAWZh</t>
  </si>
  <si>
    <t>https://drive.google.com/open?id=1VXRYGTLOfgiY4QOi0_jeR6QBG_lYv3Yu</t>
  </si>
  <si>
    <t>https://drive.google.com/open?id=1ZxSuRUZJwibkLunq2xifluCZatI8uU7j</t>
  </si>
  <si>
    <t>https://drive.google.com/open?id=1ZF5fTON_qi9DIROQze2zY3i1JoZcYFbD</t>
  </si>
  <si>
    <t>https://drive.google.com/open?id=14biGDHmXwyp7QjDRhuSnmuUslwD57Gyy</t>
  </si>
  <si>
    <t>Investidores da esperança</t>
  </si>
  <si>
    <t>INVESTIDORES DA ESPERANÇA</t>
  </si>
  <si>
    <t>Eduardo Souza neto</t>
  </si>
  <si>
    <t>investidoresdaesperanca@gmail.com</t>
  </si>
  <si>
    <t>(71)3304-1856</t>
  </si>
  <si>
    <t>Rua vivência Francisca</t>
  </si>
  <si>
    <t>São Caetano</t>
  </si>
  <si>
    <t>Próximo a quadra de esporte</t>
  </si>
  <si>
    <t>40390-845</t>
  </si>
  <si>
    <t>Crianças pequenas (4 anos a 5 anos e 11 meses), Crianças (6 a 12 anos), Adolescentes (12 aos 18 anos), Jovens (18 aos 24 anos), Adultos</t>
  </si>
  <si>
    <t>Favela novo marotinho /  favela fazenda grande /  favela são Caetano</t>
  </si>
  <si>
    <t>Negócio Social, Eventos/Ações para captação, Doações</t>
  </si>
  <si>
    <t>Negócio social 8% || Doadores 90% Ações para captações 2%</t>
  </si>
  <si>
    <t>https://instagram.com/investidoresdaesperanca?igshid=YmMyMTA2M2Y=</t>
  </si>
  <si>
    <t>https://youtube.com/channel/UC62RIwzBOVX236-YNITnrQw</t>
  </si>
  <si>
    <t>Instituto de Desenvolvimento e Proteção Social</t>
  </si>
  <si>
    <t>INSTITUTO ACUDIR</t>
  </si>
  <si>
    <t>42.918.520/0001-28</t>
  </si>
  <si>
    <t>EDVALDO CARLOS DE SAO PEDRO</t>
  </si>
  <si>
    <t>institutoacudir@hotmail.com</t>
  </si>
  <si>
    <t>(82)99444-1089</t>
  </si>
  <si>
    <t>Quadra 04</t>
  </si>
  <si>
    <t>Benedito Bentes II</t>
  </si>
  <si>
    <t>Cj. Luiz Renato de Paiva Lima</t>
  </si>
  <si>
    <t>57085-075</t>
  </si>
  <si>
    <t>Escola Municipal Benedita da Silva</t>
  </si>
  <si>
    <t>Educação; Assistência Social; Cultura; Defesa de Direitos; Desenvolvimento comunitário</t>
  </si>
  <si>
    <t>Moradores de Favelas, Afrodescendentes, Outros</t>
  </si>
  <si>
    <t>CJ. Renato de Paiva Lima /  Grota Givaldo Carimbado /  Selma Bandeira /  Cj. Cidade Sorriso I</t>
  </si>
  <si>
    <t>Serviços socioassistenciais de atenção a comunidade* às crianças* adolescentes* jovens* as mulheres* idosos e às suas famílias* que se encontrem em situação de vulnerabilidade social.</t>
  </si>
  <si>
    <t>Outro(s), Recursos próprios</t>
  </si>
  <si>
    <t>https://www.facebook.com/edvaldo.carlos.16</t>
  </si>
  <si>
    <t>https://www.instagram.com/institutoacudir</t>
  </si>
  <si>
    <t>https://drive.google.com/open?id=16L7SUdWMqlCl3tCwbqjaZPXBdz4jajaX</t>
  </si>
  <si>
    <t>https://drive.google.com/open?id=1VR9YK715fXnJEM0B-70garJw-OBxSnIH</t>
  </si>
  <si>
    <t>https://drive.google.com/open?id=192C45crlXx_8hbY6wvRJVKsA2BbgQ8dJ</t>
  </si>
  <si>
    <t>https://drive.google.com/open?id=1kne64v8yexv4wlBAkqVdjbQa_8zk8nKR</t>
  </si>
  <si>
    <t>https://drive.google.com/open?id=14-lFZvdeXIJXqpWcLZ0VmPxQENFMPOA0</t>
  </si>
  <si>
    <t>Associação Plenitude do Amor (APA)</t>
  </si>
  <si>
    <t>ASSOCIAÇÃO PLENITUDE DO AMOR.</t>
  </si>
  <si>
    <t>20.888.423/0001-05</t>
  </si>
  <si>
    <t>A mesma.</t>
  </si>
  <si>
    <t>associcaoplenitudeamor@gmail.com</t>
  </si>
  <si>
    <t>Rua Doutor Mário Augusto Teixeira de Freitas</t>
  </si>
  <si>
    <t>Massaranduba</t>
  </si>
  <si>
    <t>40435-570</t>
  </si>
  <si>
    <t>uruguai /  ribeira. calçada /  boca da mata /  valeria /  mares /  caminho de areia /  lobato /  vila ruy barbosa /  bonfim /   plataforma /  lobato /  simões filho /</t>
  </si>
  <si>
    <t>https://www.instagram.com/associacao_apa_amor/</t>
  </si>
  <si>
    <t>https://www.facebook.com/Associacaoplenitudedoamor</t>
  </si>
  <si>
    <t>https://drive.google.com/open?id=1b1XO9gbZCR78GSfypgRcXgdC6yvbJO5L</t>
  </si>
  <si>
    <t>https://drive.google.com/open?id=1k5fe0CXC80b8T3xgnO0t8G2X6LC8J3MC</t>
  </si>
  <si>
    <t>https://drive.google.com/open?id=13nbDTA2q6IRwj5_NhJHGU5fhZzxuwv9Z</t>
  </si>
  <si>
    <t>PROJETO CRESCENDO COM CRISTO</t>
  </si>
  <si>
    <t>Maria dos prazeres Herculano da Silva</t>
  </si>
  <si>
    <t>mariaprazeres07@gmail.com</t>
  </si>
  <si>
    <t>(84)98120-2686</t>
  </si>
  <si>
    <t>Sitio maxixi</t>
  </si>
  <si>
    <t>Maxixi</t>
  </si>
  <si>
    <t>CANGUARETAMA</t>
  </si>
  <si>
    <t>59190-000</t>
  </si>
  <si>
    <t>Nenhuma</t>
  </si>
  <si>
    <t>Esporte; Educação; Assistência Social; Cultura; Qualificação Profissional; Empreendedorismo; Saúde; Empoderamento Feminino; Negócios Sociais; Defesa de Direitos</t>
  </si>
  <si>
    <t>Crianças pequenas (4 anos a 5 anos e 11 meses), Jovens (18 aos 24 anos), Adultos, Idosos (60 anos ou mais)</t>
  </si>
  <si>
    <t>Fazenda coutos 3</t>
  </si>
  <si>
    <t>Editais, Outro(s), Doações, Recursos próprios</t>
  </si>
  <si>
    <t>https://drive.google.com/open?id=1p6wje20G3mQWLc79IoSeoDUBBrrv_5Tk</t>
  </si>
  <si>
    <t>INSTITUTO SÓ ALEGRIA</t>
  </si>
  <si>
    <t>Gilson Soares Da Silva</t>
  </si>
  <si>
    <t>gilsonsoares353@gmail.com</t>
  </si>
  <si>
    <t>(82)99646-2306</t>
  </si>
  <si>
    <t>Rua Dezessete de agosto</t>
  </si>
  <si>
    <t>centro</t>
  </si>
  <si>
    <t>Satuba</t>
  </si>
  <si>
    <t>57120-000</t>
  </si>
  <si>
    <t>Arena Aristhon Rocha</t>
  </si>
  <si>
    <t>Comunidade Gonzaga /  Comunidade Nova Esperança / Comunidade São Bento.</t>
  </si>
  <si>
    <t>Atendemos além de crianças* adultos em situação de vulnerabilidade social.</t>
  </si>
  <si>
    <t>Doações, Recursos próprios</t>
  </si>
  <si>
    <t>@Instituto_soalegria.com</t>
  </si>
  <si>
    <t>Trazfavela Atividades de Intermediacao e Agenciamento de Servicos e Negocios em Geral LTDA</t>
  </si>
  <si>
    <t>TRAZFAVELA</t>
  </si>
  <si>
    <t>34.877.616/0001-67</t>
  </si>
  <si>
    <t>Iago Silva dos Santos</t>
  </si>
  <si>
    <t>contato@gmail.com</t>
  </si>
  <si>
    <t>(71) 99407-4309</t>
  </si>
  <si>
    <t>Alameda Salvador</t>
  </si>
  <si>
    <t>Caminho das Árvores</t>
  </si>
  <si>
    <t>Salvador Shopping Business Torre America Sala 911 e 912</t>
  </si>
  <si>
    <t>41820-790</t>
  </si>
  <si>
    <t>São Caetano /  Liberdade /  Plataforma /  Nordeste de Amaralina /  Engenho da Federação /  Pirajá /  Marechal Rondon /</t>
  </si>
  <si>
    <t>Atuamos com comerciantes de areas periféricas* segue o nosso mapa da area de atuação https://www.google.com/maps/d/viewer?mid=197VuPKx6qDyWm4EAlvrd1_SRRO4Rps4W&amp;usp=sharing</t>
  </si>
  <si>
    <t>https://www.trazfavela.com.br/</t>
  </si>
  <si>
    <t>https://www.instagram.com/trazfavela/</t>
  </si>
  <si>
    <t>https://www.facebook.com/trazfavela</t>
  </si>
  <si>
    <t>https://drive.google.com/open?id=1PQaTqhHS38ksy7MCUI7f0zpECXnqFq3O</t>
  </si>
  <si>
    <t>https://drive.google.com/open?id=1B7vAVgVXo1G8uupeSUXng-uwH_JUuYbJ</t>
  </si>
  <si>
    <t>https://drive.google.com/open?id=1nObgzFvkW-I3xLhXJKIRUI2hmFuFNgu3</t>
  </si>
  <si>
    <t>VELHO CHICO ATIVO</t>
  </si>
  <si>
    <t>José Ygo Batista de Almeida</t>
  </si>
  <si>
    <t>institutomarnosertao@outlook.com</t>
  </si>
  <si>
    <t>(79)99946-2648</t>
  </si>
  <si>
    <t>Rua da Palha</t>
  </si>
  <si>
    <t>Pov. Ilha do Ouro</t>
  </si>
  <si>
    <t>Porto da Folha</t>
  </si>
  <si>
    <t>Próximo ao campo de futebol</t>
  </si>
  <si>
    <t>49800-000</t>
  </si>
  <si>
    <t>Escolas, vias públicas, comunidades ribeirinhas, bairros periféricos e comunidades rurais.</t>
  </si>
  <si>
    <t>Crianças (6 a 12 anos), Adolescentes (12 aos 18 anos), Jovens (18 aos 24 anos), Adultos, Idosos (60 anos ou mais)</t>
  </si>
  <si>
    <t>População LGBTQ+, Povos Indígenas, Quilombola, Dependentes Químicos, Egressos sistema carcerário, Ribeirinhos, Comunidade rural, Outros</t>
  </si>
  <si>
    <t>Bairro Baixada, bairro Lagoa Salgada, Bairro Coroa do Meio, Comunidade Ilha do Ouro, Comunidade São José, Comunidade Vitória do São Francisco, Comunidade Lagoa do Mato, Comunidade Niterói, Comunidade Pedro Leão, Comunidade Lagoa Redonda, Comunidade Lagoa da Volta, Conjunto Brogódor, Serra dos Homens, Serra do Moreira, Alto do Vicano, Comunide Monte Santo, Comunidade Larginhas, Bairro Ingassul, Assentamento Julia, Assentamento Nossa Senhora da Conceição.</t>
  </si>
  <si>
    <t>Atendemos em especial as famílias carentes desde as ribeirinhas* bem como as que residem na zona urbana e no semiárido onde a sobrevivência é extremamente difícil* onde famílias chegam até dividir a água de consumo com os animais para não velos morrer. Também buscamos por jovens para que possam ter uma opção de vida distância das drogas que afeta toda a nossa região do alto sertão.</t>
  </si>
  <si>
    <t>Eventos/Ações para captação, Editais, Outro(s), Doações</t>
  </si>
  <si>
    <t>0.25</t>
  </si>
  <si>
    <t>https://instagram.com/institutomarnosertao?igshid=YmMyMTA2M2Y=</t>
  </si>
  <si>
    <t>https://drive.google.com/open?id=1HkD9LngZX4BFsGQ31Cb7z8S_VPWx5yjF</t>
  </si>
  <si>
    <t>Arcanjo Gabriel</t>
  </si>
  <si>
    <t>INSTITUTO ARCANJO GABRIEL</t>
  </si>
  <si>
    <t>27.531.065/0001-10</t>
  </si>
  <si>
    <t>Ana Siberlly Guilherme de Aguiar</t>
  </si>
  <si>
    <t>institutoarcanjogabrieloficial@gmail.com</t>
  </si>
  <si>
    <t>(88)99724-6619</t>
  </si>
  <si>
    <t>Rua 104</t>
  </si>
  <si>
    <t>Cohab</t>
  </si>
  <si>
    <t>Camocim</t>
  </si>
  <si>
    <t>62400-000</t>
  </si>
  <si>
    <t>Praia de Maceió</t>
  </si>
  <si>
    <t>Crianças (6 a 12 anos), Adolescentes (12 aos 18 anos)</t>
  </si>
  <si>
    <t>Apossados / Pantanal</t>
  </si>
  <si>
    <t>Atendemos as mamães gestantes e damos assistência até o 6 mês do bebê. Atendemos na sede 152 crianças com várias atividades * recebem o lanche e uma cesta básica mensal . E Diariamente entregamos o jantar dos moradores de rua. Temos cursos profissionalizante para os jovens e cursos de culinária e artesanato para as mães das crianças .</t>
  </si>
  <si>
    <t>Eventos/Ações para captação, Doações</t>
  </si>
  <si>
    <t>https://institutoarcanjogabriel.org.br</t>
  </si>
  <si>
    <t>https://instagram.com/instituto_arcanjogabriel?igshid=YmMyMTA2M2Y=</t>
  </si>
  <si>
    <t>PROJETO DE DESENVOLVIMENTO CULTURAL ARTE E COR</t>
  </si>
  <si>
    <t>23.716.164/0001-79</t>
  </si>
  <si>
    <t>Eliezio Antonio de Oliveira</t>
  </si>
  <si>
    <t>projeto.cultura@hotmail.com</t>
  </si>
  <si>
    <t>(85)3081-8949</t>
  </si>
  <si>
    <t>Rua Desembargador Felismino 219</t>
  </si>
  <si>
    <t>Autran Nunes</t>
  </si>
  <si>
    <t>sede</t>
  </si>
  <si>
    <t>60526-760</t>
  </si>
  <si>
    <t>creche comunitária</t>
  </si>
  <si>
    <t>bebês (1 a 1ano e 6 meses), Crianças bem pequenas (1 ano e 7 meses até 3 anos e 11 meses), Crianças (6 a 12 anos), Adolescentes (12 aos 18 anos), Jovens (18 aos 24 anos), Adultos, Idosos (60 anos ou mais)</t>
  </si>
  <si>
    <t>Atendemos crianças diariamente através de creche comunitária e adolescentes com Atividades de dança*cultura e reforço escolar.</t>
  </si>
  <si>
    <t>Convênio Público, Plataforma doação online - Pessoa Física, Parceria iniciativa privada, Editais</t>
  </si>
  <si>
    <t>www.projetoartecor.org</t>
  </si>
  <si>
    <t>https://www.instagram.com/invites/contact/?i=1uj7dy15i83wo&amp;utm_content=f1vm1q</t>
  </si>
  <si>
    <t>https://www.facebook.com/art.cor.980</t>
  </si>
  <si>
    <t>https://drive.google.com/open?id=1Rkw8mk_ei9SR1ZVZmjkkbYVD8-EJYzDB</t>
  </si>
  <si>
    <t>https://drive.google.com/open?id=1XET_VxbpYOI7LHiJcQwmHsJiR2_avZjK</t>
  </si>
  <si>
    <t>https://drive.google.com/open?id=1qjt56llksZs4iDSVFuJ85SUNcHWELh94</t>
  </si>
  <si>
    <t>https://drive.google.com/open?id=1sMEFkYi9X2edmq5rYz3PrgkSlT9fK4xf</t>
  </si>
  <si>
    <t>https://drive.google.com/open?id=1ysLaojgsOVeJ9tWu1ytQ0OtcIB8WOIvZ</t>
  </si>
  <si>
    <t>Associação Deficiência Superando Limites - ADESUL</t>
  </si>
  <si>
    <t>ADESUL</t>
  </si>
  <si>
    <t>23.101.883/0001-21</t>
  </si>
  <si>
    <t>Felipe Nogueira Catunda</t>
  </si>
  <si>
    <t>adesulceara@adesul.org</t>
  </si>
  <si>
    <t>(85)99217-2837</t>
  </si>
  <si>
    <t>Rua 37</t>
  </si>
  <si>
    <t>Conjunto Jereissati</t>
  </si>
  <si>
    <t>Maracanau</t>
  </si>
  <si>
    <t>61900-630</t>
  </si>
  <si>
    <t>Praças, Estádios, clubes, escolas, quadras poliesportiva</t>
  </si>
  <si>
    <t>Pessoas com Deficiência</t>
  </si>
  <si>
    <t>mangabeira e autódromo</t>
  </si>
  <si>
    <t>atendemos pessoas com deficiência física* intelectual* sensorial e múltipla</t>
  </si>
  <si>
    <t>Lei Estadual do Esporte</t>
  </si>
  <si>
    <t>100% Lei estadual do esporte</t>
  </si>
  <si>
    <t>https://www.adesul.org/</t>
  </si>
  <si>
    <t>https://www.instagram.com/adesuloficial/</t>
  </si>
  <si>
    <t>https://www.facebook.com/associacaoadesul</t>
  </si>
  <si>
    <t>https://drive.google.com/open?id=15rerOTTpvxCGSH-6swnJ7lnzcMlU7ZGZ</t>
  </si>
  <si>
    <t>https://drive.google.com/open?id=1LzJRyRWAdALpNOeI5D6ovpTr3sWBjCg_</t>
  </si>
  <si>
    <t>https://drive.google.com/open?id=18-uRxcLw2OSbkdgz43nmkm6LlLLuqzyC</t>
  </si>
  <si>
    <t>https://drive.google.com/open?id=127uwiFD-8veykwyNipaCJUI3Qa42gBCe</t>
  </si>
  <si>
    <t>Projeto força jovem</t>
  </si>
  <si>
    <t>FORÇA JOVEM</t>
  </si>
  <si>
    <t>Carleon Paulo de Oliveira</t>
  </si>
  <si>
    <t>(88)99698-2348</t>
  </si>
  <si>
    <t>rua darado</t>
  </si>
  <si>
    <t>bonfim km20</t>
  </si>
  <si>
    <t>sn</t>
  </si>
  <si>
    <t>senador pompeu</t>
  </si>
  <si>
    <t>63600-000</t>
  </si>
  <si>
    <t>escolas, quadra e campo da comunidade</t>
  </si>
  <si>
    <t>Moradores de Favelas, Comunidade rural</t>
  </si>
  <si>
    <t>Bonfim km20</t>
  </si>
  <si>
    <t>Eventos/Ações para captação, Doações, Recursos próprios</t>
  </si>
  <si>
    <t>50% doações 25% eventos 25%recursos própios</t>
  </si>
  <si>
    <t>https://www.instagram.com/forcajovem.km20/</t>
  </si>
  <si>
    <t>Delí­cias Caseiras</t>
  </si>
  <si>
    <t>DELÍCIAS CASEIRAS COMIDA COM AFETO</t>
  </si>
  <si>
    <t>Cesar Augusto da Silva Filho</t>
  </si>
  <si>
    <t>cesarfilho.silva@gmail.com</t>
  </si>
  <si>
    <t>(85)99999-6559</t>
  </si>
  <si>
    <t>Cândido Jucá</t>
  </si>
  <si>
    <t>Rodolfo teófilo</t>
  </si>
  <si>
    <t>60430-580</t>
  </si>
  <si>
    <t>Pessoas em situação de rua</t>
  </si>
  <si>
    <t>Favela do Carandiru</t>
  </si>
  <si>
    <t>Outro(s), Doações</t>
  </si>
  <si>
    <t>100% doação</t>
  </si>
  <si>
    <t>https://www.instagram.com/deliciascaseiras_afeto/</t>
  </si>
  <si>
    <t>https://drive.google.com/open?id=1CqRNOcVeGvhvzUXxosRd8b_9eI9rI4Cr</t>
  </si>
  <si>
    <t>Instituto Doando Que Se Recebe</t>
  </si>
  <si>
    <t>INSTITUTO DOANDO QUE SE RECEBE</t>
  </si>
  <si>
    <t>43.153.689/0001-05</t>
  </si>
  <si>
    <t>Cristiane Silva de Carvalho</t>
  </si>
  <si>
    <t>institutodoandoqueserecebe@gmail.com</t>
  </si>
  <si>
    <t>(85)988970084/987747330</t>
  </si>
  <si>
    <t>Rua Einstein</t>
  </si>
  <si>
    <t>Vila Peri</t>
  </si>
  <si>
    <t>60730-145</t>
  </si>
  <si>
    <t>Vila Peri /  João Paulo Segundo /  Parque São José /  Nossa Senhora das Graças</t>
  </si>
  <si>
    <t>O trabalho é feito com crianças de 0 a 14 anos* com famílias cadastradas aonde mensalmente é feita a doação de cesta básica*leite*massa para mingau* frutas e fraldas.
 Com irmãos em situação de rua é levamos alimentação pronta de terça á sábado e o trabalho com a comunidade é aqui no Instituto* entregando almoço e jantar.
E feito um trabalho com os idosos e o nosso trabalho com as mães grávidas* oficinas* cursos e muito mais na graça de Deus.</t>
  </si>
  <si>
    <t>https://instagram.com/institutodoandoqueserecebe?utm_medium=copy_link</t>
  </si>
  <si>
    <t>https://www.facebook.com/DoandoQueSeRecebe/</t>
  </si>
  <si>
    <t>https://drive.google.com/open?id=1JxsDUJlWPjw1OaayhKlku77J-3uvHFXL</t>
  </si>
  <si>
    <t>https://drive.google.com/open?id=16JLw11bO7qMzQJEqXc3b8v_FlY4KNUoi</t>
  </si>
  <si>
    <t>https://drive.google.com/open?id=11Bp9j3UpYoF8dOLWPL3RmRyScQtv27l6</t>
  </si>
  <si>
    <t>INSTITUTO NACIONAL DE DESENVOLVIMENTO SOCIAL E QUALIFICAÇÃO PROFISSIONAL</t>
  </si>
  <si>
    <t>IDESQ</t>
  </si>
  <si>
    <t>12.247.839/0001-08</t>
  </si>
  <si>
    <t>ANTONIA AURINEUDA DA SILVA</t>
  </si>
  <si>
    <t>diretoria@idesq.org</t>
  </si>
  <si>
    <t>85 32743221</t>
  </si>
  <si>
    <t>Rua Joceno Monteiro</t>
  </si>
  <si>
    <t>Parque Santa Maria</t>
  </si>
  <si>
    <t>60873-185</t>
  </si>
  <si>
    <t>Viadulto /  Conjunto Vitoria /  Brejo Santo /  Parque Santa Maria /  Ancuri /  Alamedas das Palmeiras /  Lagamar /  Conjunto Palmeiras /  Sitio São João /  Area Verde /  Santa Fe /  Pacoté /  Jangurussu /  Raio de Luz.....</t>
  </si>
  <si>
    <t>mulheres* negros* comunidade lgbtqia+* pessoas de areas vulneraveis* etç</t>
  </si>
  <si>
    <t>PUBLICO - 70%
PJ - 20%
EDITAIS 10%</t>
  </si>
  <si>
    <t>https://idesq.org/</t>
  </si>
  <si>
    <t>https://instagram.com/idesq_?utm_medium=copy_link</t>
  </si>
  <si>
    <t>https://www.facebook.com/idesq/</t>
  </si>
  <si>
    <t>https://drive.google.com/open?id=1dEMVaNndg8QYqjHJ1tFdUMTuGTOwIWT1</t>
  </si>
  <si>
    <t>Instituto Social De Todo Coração</t>
  </si>
  <si>
    <t>IDTC</t>
  </si>
  <si>
    <t>69.382.406/0001-82</t>
  </si>
  <si>
    <t>Bezaleel Silveira Silva</t>
  </si>
  <si>
    <t>institutodetodocoracao@gmail.com</t>
  </si>
  <si>
    <t>(98)3225-3354</t>
  </si>
  <si>
    <t>Praça Leon Richini</t>
  </si>
  <si>
    <t>Cohab Anil 3</t>
  </si>
  <si>
    <t>65051-410</t>
  </si>
  <si>
    <t>Crianças bem pequenas (1 ano e 7 meses até 3 anos e 11 meses), Crianças pequenas (4 anos a 5 anos e 11 meses)</t>
  </si>
  <si>
    <t>Aurora /  Recanto Santos Dumont /  Vila Isabel Cafeteira e Vila Nova Esperança</t>
  </si>
  <si>
    <t>Trabalhamos com reforço escolar e a partir deste ano com creche e ensino infantil (crianças de 2 a 6 anos). Atuamos com mulheres em situação de risco e vulnerabilidade e jovens do ensino médio em escola pública.</t>
  </si>
  <si>
    <t>Outro(s)</t>
  </si>
  <si>
    <t>detodocoracao.com</t>
  </si>
  <si>
    <t>https://instagram.com/acao_coracao?igshid=YmMyMTA2M2Y=</t>
  </si>
  <si>
    <t>https://youtube.com/channel/UCk_SMlCQl0BRfYVblql6PnA</t>
  </si>
  <si>
    <t>https://drive.google.com/open?id=1HhlWrLBDoWV7F6IvAUwqSmWhXhvpFjGh</t>
  </si>
  <si>
    <t>https://drive.google.com/open?id=1CYp239plyJX3z_eGCZO8JRxjn1LsKnqy</t>
  </si>
  <si>
    <t>https://drive.google.com/open?id=1ixg2keX6GoAXur0eGzY2j7jYBtybdK7i</t>
  </si>
  <si>
    <t>Instituto Rastro</t>
  </si>
  <si>
    <t>INSTITUTO RASTRO</t>
  </si>
  <si>
    <t>43.995.488/0001-47</t>
  </si>
  <si>
    <t>Francisca Gerlídia Tavares</t>
  </si>
  <si>
    <t>rastroinstituto@gmail.com</t>
  </si>
  <si>
    <t>(88)99970-1973</t>
  </si>
  <si>
    <t>Rua Néo Martins</t>
  </si>
  <si>
    <t>Campo Velho</t>
  </si>
  <si>
    <t>Quixadá</t>
  </si>
  <si>
    <t>63907-055</t>
  </si>
  <si>
    <t>Sim. Hotel Vale das Pedras</t>
  </si>
  <si>
    <t>Pessoas em situação de rua, População LGBTQ+, Quilombola, Afrodescendentes, Pessoas com Deficiência, Comunidade rural</t>
  </si>
  <si>
    <t>Campo Velho, Alto São Francisco, Baviera, Nova Aldeota, Campo Novo, Centro, Raquel de Queiroz, Rodoviária, São João</t>
  </si>
  <si>
    <t>Nosso público é diverso devido as várias linhas de trabalho que exercemos na instituição.</t>
  </si>
  <si>
    <t>70% Doação, 30% Recursos próprios</t>
  </si>
  <si>
    <t>https://instagram.com/institutorastro?igshid=YmMyMTA2M2Y=</t>
  </si>
  <si>
    <t>https://drive.google.com/open?id=1rXjXbVGbUU9CF9RUZgdH95lfw6GPfTEQ</t>
  </si>
  <si>
    <t>https://drive.google.com/open?id=10Z0lDQr74DRU3GVfoYsN6JCoNCfGF9oc</t>
  </si>
  <si>
    <t>https://drive.google.com/open?id=1jj1prwyFhkvAwptc7ia1mr2w5YCYxgb6</t>
  </si>
  <si>
    <t>https://drive.google.com/open?id=1FVcbYe0WP_9WFxa3iomVRjXKD_qsBFfW</t>
  </si>
  <si>
    <t>https://drive.google.com/open?id=1R01eTnFr0ClLKWqtOw8enNnDe5CPt9ju</t>
  </si>
  <si>
    <t>Nossa razão e uma sociedade igual para todos ! Que família carentes tenha direto alimentação digna e educação para todos para um futuro com mas igualdade!</t>
  </si>
  <si>
    <t>PROJETO AMOR AO PRÓXIMO</t>
  </si>
  <si>
    <t>Luzyrene de Brito Silva</t>
  </si>
  <si>
    <t>luzirenibritoluzireni@gmail.com</t>
  </si>
  <si>
    <t>(85)98775-5459</t>
  </si>
  <si>
    <t>Rua Lauro Cirino</t>
  </si>
  <si>
    <t>Novo parque Iracema</t>
  </si>
  <si>
    <t>Maranguape</t>
  </si>
  <si>
    <t>61649-150</t>
  </si>
  <si>
    <t>Conjunto João Paulo ll/Santa Rita/favela margarida rocha</t>
  </si>
  <si>
    <t>Entre o público alvo pessoas com deficiência são atendidos para assim leva uma melhoria de vida !buscamos leva alimentação digna para as famílias carentes que trabalham com a reciclagem e mulheres chefes de família! Lutamos contra a violência doméstica assim juntos transformar a vida destas famílias!
Nossa maior missão e leva amor em forma de alimentação pras famílias carentes!</t>
  </si>
  <si>
    <t>https://instagram.com/amoraoproximo.proj?utm_medium=copy_link</t>
  </si>
  <si>
    <t>https://drive.google.com/open?id=1mQ9KiZ_m7ssTLJOEKvu7ZrTa_DCFqvMC</t>
  </si>
  <si>
    <t>https://drive.google.com/open?id=1Lv924tA9B2ZcTdLCcQihu29KG-cMmlrC</t>
  </si>
  <si>
    <t>CONJER - Conselho Comunitário do Alto Jerusalém</t>
  </si>
  <si>
    <t>CONJER</t>
  </si>
  <si>
    <t>04.213.444/0001-66</t>
  </si>
  <si>
    <t>FRANCISCA SELMA FERREIRA GOMES</t>
  </si>
  <si>
    <t>altojerusalem@gmail.com</t>
  </si>
  <si>
    <t>(85)8583-3154</t>
  </si>
  <si>
    <t>Moisés</t>
  </si>
  <si>
    <t>QUINTNO CUNHA</t>
  </si>
  <si>
    <t>FORATALEZA</t>
  </si>
  <si>
    <t>60165-160</t>
  </si>
  <si>
    <t>Favela do Alto Jerusalém  / Favela São Geraldo /  Favela da Portelinha /  Canal /</t>
  </si>
  <si>
    <t>https://instagram.com/conjer_altojerusalem?igshid=bmotrtxoij8p</t>
  </si>
  <si>
    <t>https://www.facebook.com/conjer.quintinocunha</t>
  </si>
  <si>
    <t>https://drive.google.com/open?id=14Hfs0Y81DL682cpgXVvTvM-FY1YTgsJa</t>
  </si>
  <si>
    <t>Pró-Ação de apoio a educação e cidadania</t>
  </si>
  <si>
    <t>PROJETO PRÓ-AÇÃO</t>
  </si>
  <si>
    <t>FRANCISCO MARCELO MARTINS DE LIMA</t>
  </si>
  <si>
    <t>pproacao@gmail.com</t>
  </si>
  <si>
    <t>(85)99661-9682</t>
  </si>
  <si>
    <t>Rua Doutor Fernando Augusto</t>
  </si>
  <si>
    <t>Esquina com Rua Paulino Rocha</t>
  </si>
  <si>
    <t>60540-262</t>
  </si>
  <si>
    <t>Moradores de Favelas, Pessoas em situação de rua, População LGBTQ+, Afrodescendentes, Dependentes Químicos, Pessoas com Deficiência, Egressos sistema carcerário, Outros</t>
  </si>
  <si>
    <t>Favela sete de setembro, Leonel Brizola, Jatoba, Siqueira 1, santa Cecilia, pirambú, Goiabeiras, praia do futuro</t>
  </si>
  <si>
    <t>Apoio Jurídico e previdência para famílias em situação de pobreza* ressocialização de jovens em situação de crime</t>
  </si>
  <si>
    <t>Negócio Social, Eventos/Ações para captação, Plataforma doação online - Pessoa Física, Parceria iniciativa privada, Outro(s), Doações, Recursos próprios</t>
  </si>
  <si>
    <t>100% recurso próprio</t>
  </si>
  <si>
    <t>https://www.instagram.com/invites/contact/?i=28j8f2tozi5i&amp;utm_content=3nj1sor</t>
  </si>
  <si>
    <t>https://drive.google.com/open?id=1OemUj6S_bFPzBXIwCbbj6VvwIkrhwTuW</t>
  </si>
  <si>
    <t>https://drive.google.com/open?id=1fdE9IIxLFD8kiRSLfq-2fWuP0MuwnQdl</t>
  </si>
  <si>
    <t>https://drive.google.com/open?id=1wY97PtuqiF91GqNE_VlCdGAuSXorzy-p</t>
  </si>
  <si>
    <t>Amiguinhos de Jesus Curio</t>
  </si>
  <si>
    <t>AMIGUINHOS DE JESUS</t>
  </si>
  <si>
    <t>46.816.998/0001-06</t>
  </si>
  <si>
    <t>DEUZANIR DE ASSIS DA SILVA ROCHA</t>
  </si>
  <si>
    <t>amiguinhosdejesusjo1512@gmail.com</t>
  </si>
  <si>
    <t>(85)98719-6031</t>
  </si>
  <si>
    <t>RUA LOURDES VIDAL ALVES</t>
  </si>
  <si>
    <t>CURIÓ</t>
  </si>
  <si>
    <t>FORTALEZA</t>
  </si>
  <si>
    <t>60831-160</t>
  </si>
  <si>
    <t>invasão terra prometida, Aldeia, brejo e vila nova</t>
  </si>
  <si>
    <t>Outro(s), Doações, Recursos próprios</t>
  </si>
  <si>
    <t>30% RECURSOS PROPRIOS- 30% DOAÇÕES -60% BAZAR</t>
  </si>
  <si>
    <t>https://instagram.com/amiguinhosdejesuscurio?igshid=YmMyMTA2M2Y=</t>
  </si>
  <si>
    <t>https://drive.google.com/open?id=1MUUAJZC82MLd_Owxs5-YJtJ24LGrm9LE</t>
  </si>
  <si>
    <t>Associação Sociocultural do Bom Jardim</t>
  </si>
  <si>
    <t>ASCBJ</t>
  </si>
  <si>
    <t>26.562.485/0001-09</t>
  </si>
  <si>
    <t>George Marconi Sousa Silva</t>
  </si>
  <si>
    <t>ascbj.ascbj@gmail.com</t>
  </si>
  <si>
    <t>(85)98919-9313</t>
  </si>
  <si>
    <t>60540-212</t>
  </si>
  <si>
    <t>Moradores de Favelas, População LGBTQ+, Pessoas com Deficiência</t>
  </si>
  <si>
    <t>Vila da Tapa, Favela do Pantanal /  Favela do Canal</t>
  </si>
  <si>
    <t>Editais, Doações, Recursos próprios</t>
  </si>
  <si>
    <t>30% Recurso próprio - 30% doações - 40% editais</t>
  </si>
  <si>
    <t>https://ascbjbr.wixsite.com/ascbj</t>
  </si>
  <si>
    <t>https://www.instagram.com/ascbj.ascbj/</t>
  </si>
  <si>
    <t>https://web.facebook.com/ascbjbr/?ref=pages_you_manage</t>
  </si>
  <si>
    <t>https://www.youtube.com/channel/UCc9izzOYzsVn96sxZTQRAUQ/featured</t>
  </si>
  <si>
    <t>https://drive.google.com/open?id=11YhToTVjUy0tJTUu0AwBL44G5YxEJuM9</t>
  </si>
  <si>
    <t>https://drive.google.com/open?id=1hUUSHdMbq647D1BbPSr7aI6BMh_5bj-b</t>
  </si>
  <si>
    <t>https://drive.google.com/open?id=1kMqAha4947B0jZQdx-G_LnVXgTs-D0R0</t>
  </si>
  <si>
    <t>https://drive.google.com/open?id=1Qwr64VRYtxP1yuQauy9M9VDUAHutVKvo</t>
  </si>
  <si>
    <t>https://drive.google.com/open?id=1RDH4a0BIrp9Y95xO0B2QC8QCd1OpAG6g</t>
  </si>
  <si>
    <t>INSTITUTO DE DESENVOLVIMENTO ARTÍSTICO E CULTURAL DO CEARÁ</t>
  </si>
  <si>
    <t>INSTITUTO INDACE</t>
  </si>
  <si>
    <t>13.880.144/0001-21</t>
  </si>
  <si>
    <t>LEIDIANE SILVA SAMPAIO</t>
  </si>
  <si>
    <t>institutoindace@gmail.com</t>
  </si>
  <si>
    <t>(85)4101-0516</t>
  </si>
  <si>
    <t>IPU</t>
  </si>
  <si>
    <t>TABAPUA BRASILIA</t>
  </si>
  <si>
    <t>Caucaia</t>
  </si>
  <si>
    <t>LOTE 08 QUADRA 57</t>
  </si>
  <si>
    <t>61634-210</t>
  </si>
  <si>
    <t>Moradores de Favelas, População LGBTQ+, Povos Indígenas, Pessoas com Deficiência</t>
  </si>
  <si>
    <t>Tabapuazinho /  Vila Mosquito /  Vila Nova /  Ipiranga e Cagece</t>
  </si>
  <si>
    <t>Editais, Doações, Lei Estadual da Cultura</t>
  </si>
  <si>
    <t>25% Lei Estadual da Cultura, 65% Editais Públicos, 10% doações</t>
  </si>
  <si>
    <t>https://www.indace.org.br/</t>
  </si>
  <si>
    <t>https://www.instagram.com/institutoindace/</t>
  </si>
  <si>
    <t>https://www.facebook.com/InstitutoIndace/</t>
  </si>
  <si>
    <t>https://www.youtube.com/channel/UC6JhnjdLLKIYzflV-yxBE6A</t>
  </si>
  <si>
    <t>https://drive.google.com/open?id=1ISl3t0B2-odjCpr0oDWxmib3kJjnMCRK</t>
  </si>
  <si>
    <t>https://drive.google.com/open?id=153tOiCxlcxxw1vLyDF_oCvpvSn8-QA9w</t>
  </si>
  <si>
    <t>https://drive.google.com/open?id=1vF_gHDkZVl5O1MbzZ9VdLSstlVLYYgv7</t>
  </si>
  <si>
    <t>https://drive.google.com/open?id=1xt2EQKDowKbqZE_rfGueMRTOCpbpltMJ</t>
  </si>
  <si>
    <t>https://drive.google.com/open?id=1g1InjKW7RgJmLfhDfMxTlq5F5zCyVtI2</t>
  </si>
  <si>
    <t>Conselho Comunitário de Ações Sociais do Conjunto Vila Velha</t>
  </si>
  <si>
    <t>CENTRO DE INTEGRAÇÃO SOCIAL</t>
  </si>
  <si>
    <t>03.275.495/0001-50</t>
  </si>
  <si>
    <t>Glória Maria Silveira dos Santos</t>
  </si>
  <si>
    <t>conselhocomunitariocis@gmail.com</t>
  </si>
  <si>
    <t>(85)99183-6587</t>
  </si>
  <si>
    <t>Rua E</t>
  </si>
  <si>
    <t>Vila velha 2</t>
  </si>
  <si>
    <t>60349-050</t>
  </si>
  <si>
    <t>No momento não</t>
  </si>
  <si>
    <t>Crianças pequenas (4 anos a 5 anos e 11 meses), Crianças (6 a 12 anos), Adolescentes (12 aos 18 anos), Jovens (18 aos 24 anos), Adultos, Idosos (60 anos ou mais)</t>
  </si>
  <si>
    <t>Moradores de Favelas, População LGBTQ+, Dependentes Químicos</t>
  </si>
  <si>
    <t>Vila Velha</t>
  </si>
  <si>
    <t>60% eventos, 40% Doações</t>
  </si>
  <si>
    <t>https://www.instagram.com/cisvilavelha</t>
  </si>
  <si>
    <t>https://www.facebook.com/CIS-Vila-Velha-564101586973106/</t>
  </si>
  <si>
    <t>https://drive.google.com/open?id=15fRrBG3YS-8UA8c6IrEI-uwOj_nMjfet</t>
  </si>
  <si>
    <t>https://drive.google.com/open?id=1wQ-4K0JBDRl1gFlMiKfFgYAT0Vb7a0dR</t>
  </si>
  <si>
    <t>Associação cidadania* desporto* lazer e cultura- Celc</t>
  </si>
  <si>
    <t>CELC</t>
  </si>
  <si>
    <t>43.634.796/0001-57</t>
  </si>
  <si>
    <t>MILKA EMIDIO SOARES</t>
  </si>
  <si>
    <t>associacaocelc@gmail.com</t>
  </si>
  <si>
    <t>(85)98653-7101</t>
  </si>
  <si>
    <t>RUA 1004</t>
  </si>
  <si>
    <t>CONJUNTO CEARÁ</t>
  </si>
  <si>
    <t>60532-620</t>
  </si>
  <si>
    <t>GINÁSIO DA ESCOLA MARIA ANTONIETA NUNES</t>
  </si>
  <si>
    <t>Moradores de Favelas, População LGBTQ+, Afrodescendentes, Pessoas com Deficiência, Egressos sistema carcerário</t>
  </si>
  <si>
    <t>Jurema, Genibau, São Miguel ,Favela do estádio, Marechal Rondon.</t>
  </si>
  <si>
    <t>https://www.instagram.com/reel/CfPcZUkAhK5/?igshid=MDJmNzVkMjY=</t>
  </si>
  <si>
    <t>https://drive.google.com/open?id=1WOXTiDuLMOQ66LZhlDKsnobzvfCU4X-5</t>
  </si>
  <si>
    <t>https://drive.google.com/open?id=1ZdAY6pf7OzIhk7fTb81suT4yP6io5Jwq</t>
  </si>
  <si>
    <t>https://drive.google.com/open?id=1D1Jo_Y2LpZdFWQwXEHCzfHFQ84X8hjHf</t>
  </si>
  <si>
    <t>Projeto Educa Surf Social</t>
  </si>
  <si>
    <t>EDUCA SURF SOCIAL</t>
  </si>
  <si>
    <t>Ismael da Silva Pinheiro</t>
  </si>
  <si>
    <t>educasurfsocial@gmail.com</t>
  </si>
  <si>
    <t>85 985509916</t>
  </si>
  <si>
    <t>Rua Alberto Monteiro</t>
  </si>
  <si>
    <t>Praia do Futuro II</t>
  </si>
  <si>
    <t>60182-560</t>
  </si>
  <si>
    <t>Favela Caça e pesca /  Favela da aldeia /  Favela sem terra e favela da terra prometida 2</t>
  </si>
  <si>
    <t>https://instagram.com/educasurfsocial?utm_medium=copy_link</t>
  </si>
  <si>
    <t>https://drive.google.com/open?id=1i2u9BJUQcIsD_WF3deEP3A2kmyYwqcD3</t>
  </si>
  <si>
    <t>Associação Integrando e Construindo o Conhecimento-AICC</t>
  </si>
  <si>
    <t>ONG AICC</t>
  </si>
  <si>
    <t>08.612.978/0001-16</t>
  </si>
  <si>
    <t>Paulo George Lucas Correia</t>
  </si>
  <si>
    <t>ongaicc@gmail.com</t>
  </si>
  <si>
    <t>(85)2130-7440</t>
  </si>
  <si>
    <t>Rua Edmilson Bezerra de Mendonça</t>
  </si>
  <si>
    <t>Aldeia Park</t>
  </si>
  <si>
    <t>558 B</t>
  </si>
  <si>
    <t>Pacajus</t>
  </si>
  <si>
    <t>62870-000</t>
  </si>
  <si>
    <t>Sim.</t>
  </si>
  <si>
    <t>Moradores de Favelas, População LGBTQ+, Afrodescendentes, Outros</t>
  </si>
  <si>
    <t>Aldeia / Aldeia Park /  Banguê I /  Banguê II /  Pajeú /  Cumaru Dedé Gama /  Caminho das Estrelas / Limoeiro / Buriti /  Coaçu /  Aldo da Boa Vista / Vila do Lixão</t>
  </si>
  <si>
    <t>Pessoas em situação de vulnerabilidade social* agravada pela Covid 19</t>
  </si>
  <si>
    <t>Parceria iniciativa privada, Editais, Doações, Lei Municipal da Cultura</t>
  </si>
  <si>
    <t>Lei Municipal de Cultura 25%, Doações 50%, Editais 10%,Parceria com a Iniciativa Privada 15%</t>
  </si>
  <si>
    <t>www.aicc.org.br</t>
  </si>
  <si>
    <t>https://www.instagram.com/ong.aicc/</t>
  </si>
  <si>
    <t>https://www.facebook.com/ong.aicc/</t>
  </si>
  <si>
    <t>https://www.youtube.com/channel/UCvRFPl7RysU19eWR9nrLRsg/featured</t>
  </si>
  <si>
    <t>https://drive.google.com/open?id=1MPw22RnYAr_ZsRqg2pLNxoE6fQLdQbPg</t>
  </si>
  <si>
    <t>https://drive.google.com/open?id=1s7KJrRH2a-pz-Xu7MjwAPYoEJCDWJmyK</t>
  </si>
  <si>
    <t>https://drive.google.com/open?id=1fpfIksdH900_BuurckCMOgHirYUskU44</t>
  </si>
  <si>
    <t>Assoiação Mães que Informam</t>
  </si>
  <si>
    <t>AMI</t>
  </si>
  <si>
    <t>37.720.093/0001-39</t>
  </si>
  <si>
    <t>Adriane Cristina da Cruz</t>
  </si>
  <si>
    <t>aassociacaomaesqueinformam@gmail.com</t>
  </si>
  <si>
    <t>(32)98906-4412</t>
  </si>
  <si>
    <t>Rua Elvira Augusta</t>
  </si>
  <si>
    <t>Boa vista</t>
  </si>
  <si>
    <t>31060-440</t>
  </si>
  <si>
    <t>Somente online</t>
  </si>
  <si>
    <t>Só em BH atendemos as 9 regionais que possuem inúmeras favelas</t>
  </si>
  <si>
    <t>Nós atendemos as famílias que possuem uma pessoa que tem uma deficiência incapacitante que a torna dependente de cuidados integrais para a realização das atividades da vida diária</t>
  </si>
  <si>
    <t>Plataforma doação online - Pessoa Física, Doações, Recursos próprios</t>
  </si>
  <si>
    <t>www.naotemos.com</t>
  </si>
  <si>
    <t>https://www.instagram.com/p/Cgbr6IauKJc/?igshid=MDJmNzVkMjY=</t>
  </si>
  <si>
    <t>https://drive.google.com/open?id=1SIhFFJ6vgwpktlbl_rrOf3WGNkK38Mrj</t>
  </si>
  <si>
    <t>https://drive.google.com/open?id=101rEpuqs5iJPbjsXY7jQJPrpgXAMUYDo</t>
  </si>
  <si>
    <t>https://drive.google.com/open?id=14iTZxFiMClg0cK9zumSgzAA_hYsdZybm</t>
  </si>
  <si>
    <t>https://drive.google.com/open?id=1G-e1bY1Ts5A96tZ6mBHXsmlFZh2DyRYb</t>
  </si>
  <si>
    <t>https://drive.google.com/open?id=1nfcaqsOiargETAz4G9T17Ba3tvqEw5zm</t>
  </si>
  <si>
    <t>ASSOCIAÇÃO SOCIEDADE BENEFICENTE O BOM SAMARITANO DE CACHOEIRINHA</t>
  </si>
  <si>
    <t>PROJETO CAIS</t>
  </si>
  <si>
    <t>92.247.725/0001-05</t>
  </si>
  <si>
    <t>Andre dos Santos Mross</t>
  </si>
  <si>
    <t>alexministry@live.com</t>
  </si>
  <si>
    <t>(51)99769-0381</t>
  </si>
  <si>
    <t>Av Temo Dorneles</t>
  </si>
  <si>
    <t>Vila Silveira</t>
  </si>
  <si>
    <t>Cachoeirinha</t>
  </si>
  <si>
    <t>predio 1</t>
  </si>
  <si>
    <t>94940-250</t>
  </si>
  <si>
    <t>Atuamos em escolas, comunidades carentes, favelas e centros de acessibilidade e inclusão Social. Pessoas em vulnerabilidade Social.</t>
  </si>
  <si>
    <t>Moradores de Favelas, Pessoas com Deficiência</t>
  </si>
  <si>
    <t>Canarinho /  Anair /  Ceilandia /  Expansão Setor o /  Sol Nascente</t>
  </si>
  <si>
    <t>Pessoas com deficiência* Surdos* Cuidadores de Pessoas com Deficiência</t>
  </si>
  <si>
    <t>Negócio Social, Eventos/Ações para captação, Parceria iniciativa privada, Doações, Recursos próprios</t>
  </si>
  <si>
    <t>15% Negocio Social, 60% Eventos, 25 outros</t>
  </si>
  <si>
    <t>https://projetocais.org/</t>
  </si>
  <si>
    <t>instragram.com/caisporjeto</t>
  </si>
  <si>
    <t>https://web.facebook.com/CAISProjeto/?ref=page_internal</t>
  </si>
  <si>
    <t>https://drive.google.com/open?id=1jRzAF6TVgm7qDuOUWg2AppyOUhMBL0C-</t>
  </si>
  <si>
    <t>https://drive.google.com/open?id=194nm5Io7ze25D6zUNsfw7Y_9LfpWu7Bk</t>
  </si>
  <si>
    <t>Instituto Livros em todo lugar</t>
  </si>
  <si>
    <t>INSTITUTO LIVROS EM TODO LUGAR</t>
  </si>
  <si>
    <t>42.113.180/0001-68</t>
  </si>
  <si>
    <t>Alfredo de Oliveira Lima</t>
  </si>
  <si>
    <t>emtodolugarlivros@gmail.com</t>
  </si>
  <si>
    <t>(31)93618-8761</t>
  </si>
  <si>
    <t>Rua Marcassita, 155</t>
  </si>
  <si>
    <t>Pedra Azul</t>
  </si>
  <si>
    <t>32183-380</t>
  </si>
  <si>
    <t>Praças e pontos comerciais</t>
  </si>
  <si>
    <t>Vila Nacional / Vale das Amendoeiras/ Conjunto Carajás/ Vila Francisco Mariano / Vila São Mateus / Pedra Azul / Nacional / Bom Jesus / Recanto da Pampulha / São Mateus / Estrela Dalva</t>
  </si>
  <si>
    <t>O Livros em todo lugar atende públicos distintos* em função das distribuições de livros* contação de histórias* oficinas* apresentações teatrais* entre outras atividades.</t>
  </si>
  <si>
    <t>50% Doações / 25% Recursos próprios / 25% Outros</t>
  </si>
  <si>
    <t>https://www.instagram.com/livrosemtodolugar/</t>
  </si>
  <si>
    <t>https://www.facebook.com/livrosemtodolugar</t>
  </si>
  <si>
    <t>https://www.youtube.com/channel/UCGJsRsf0N8YktNBZsOXAQjQ</t>
  </si>
  <si>
    <t>https://drive.google.com/open?id=1CVkWTrHsYGqWI3LE5frt-IdFXw-flb3i</t>
  </si>
  <si>
    <t>https://drive.google.com/open?id=1HWECnLzHjQtyqH0DfXngiIsm5CJpX_vQ</t>
  </si>
  <si>
    <t>https://drive.google.com/open?id=1dK58qHeuXUgzPoEeWp1yH0UR7u0G0S84</t>
  </si>
  <si>
    <t>Instituto Juntos somos mais fortes</t>
  </si>
  <si>
    <t>PROJETO JUNTOS SOMOS MAIS FORTES</t>
  </si>
  <si>
    <t>40.392.181/0001-63</t>
  </si>
  <si>
    <t>Ana Paula Gonçalves Caldas</t>
  </si>
  <si>
    <t>jsmf.brasilia@gmail.com</t>
  </si>
  <si>
    <t>(61)98495-6833</t>
  </si>
  <si>
    <t>Qs 01 rua 212 lotes 21 e 23 bloco D parte A 268 pvmto 11</t>
  </si>
  <si>
    <t>Águas Lindas</t>
  </si>
  <si>
    <t>Edifício CONNECT TOWERS</t>
  </si>
  <si>
    <t>71950-550</t>
  </si>
  <si>
    <t>Creche</t>
  </si>
  <si>
    <t>Moradores de Favelas, Pessoas em situação de rua, Quilombola</t>
  </si>
  <si>
    <t>Favela Santa Luzia /  favela Sol Nascente /  Favela Por do Sol /  Comunidade Dorothy /  Morro do Sabão /  Morro do Açaí /  Assentamento Noelton /  Palnaltina DF /  Núcleo Rural Monjolo /  Vila Gren Park /  Águas lindas de GOIÁS /  Moradores Quilombolas de Santa Maria /  Povoado Kalunga Go /  Varjao /  entre outros projetos sociais que apoiamos que estão passando dificuldade /</t>
  </si>
  <si>
    <t>Famílias vulneráveis e afetadas pela covid19</t>
  </si>
  <si>
    <t>Negócio Social, Eventos/Ações para captação, Plataforma doação online - Pessoa Física, Parceria iniciativa privada, Doações</t>
  </si>
  <si>
    <t>15% negócio social 10% eventos 5% doação on-line 70% doações 10% iniciativa privada</t>
  </si>
  <si>
    <t>juntossomosmais3.com.br</t>
  </si>
  <si>
    <t>https://instagram.com/juntossomosmais3?igshid=YzAyZWRlMzg=</t>
  </si>
  <si>
    <t>https://drive.google.com/open?id=14XAfLdNomr8hSIFnf9x2Yhn1M8sTGXbC</t>
  </si>
  <si>
    <t>https://drive.google.com/open?id=1yVY6kToCmkTEq4K26byRdWazXoRt2gzB</t>
  </si>
  <si>
    <t>INSTITUTO CPL PARÁ DE MINAS</t>
  </si>
  <si>
    <t>INSTITUTO CASA PADRE LIBERIO</t>
  </si>
  <si>
    <t>07.604.596/0001-88</t>
  </si>
  <si>
    <t>ALINE DAYSE PACHECO</t>
  </si>
  <si>
    <t>instpadreliberio@gmail.com</t>
  </si>
  <si>
    <t>(37)3236-0715</t>
  </si>
  <si>
    <t>IBRAIM SEVERINO RIBEIRO</t>
  </si>
  <si>
    <t>PADRE LIBERIO</t>
  </si>
  <si>
    <t>PARA DE MINAS</t>
  </si>
  <si>
    <t>35660-293</t>
  </si>
  <si>
    <t>Escola Dona Cotinha</t>
  </si>
  <si>
    <t>Crianças pequenas (4 anos a 5 anos e 11 meses), Crianças (6 a 12 anos), Adolescentes (12 aos 18 anos)</t>
  </si>
  <si>
    <t>Padre Libério /  Seringueiras /  Walter Martins /  Cecília Meireles /  São Paulo</t>
  </si>
  <si>
    <t>Atendemos idosos* PNE e pessoas com transtornos mentais em situação de pobreza com alimentação gratuita diaria</t>
  </si>
  <si>
    <t>Lei de Incentivo, Convênio Público, Editais, Doações, FIA, Recursos próprios</t>
  </si>
  <si>
    <t>www.sem.gov.br</t>
  </si>
  <si>
    <t>http://instagran.com/instpadreliberio?igshid=YmMyMTA2M2Y=</t>
  </si>
  <si>
    <t>www.sem</t>
  </si>
  <si>
    <t>https://drive.google.com/open?id=1Q9UlFj90nvhj4jB8ueX9fqh4jS_wY3Hf</t>
  </si>
  <si>
    <t>https://drive.google.com/open?id=1qLm1igekM6i_8FlDYa0P_jzOTN-prH_S</t>
  </si>
  <si>
    <t>https://drive.google.com/open?id=1PLa4Bdr-1fwnuidp4zWaLCo3lONzTozv</t>
  </si>
  <si>
    <t>https://drive.google.com/open?id=170vGNnBvdZ3IVp47C-zksWvYy5n53DGe</t>
  </si>
  <si>
    <t>Instituto Cultural Aníbal Machado</t>
  </si>
  <si>
    <t>BORRACHALIOTECA DE SABARÁ</t>
  </si>
  <si>
    <t>08.346.954/0001-62</t>
  </si>
  <si>
    <t>Marcos Túlio Damascena</t>
  </si>
  <si>
    <t>borrachalioteca@gmail.com</t>
  </si>
  <si>
    <t>(31)3674-4170</t>
  </si>
  <si>
    <t>Rua Águas Férreas</t>
  </si>
  <si>
    <t>Água Férrea</t>
  </si>
  <si>
    <t>Sabará</t>
  </si>
  <si>
    <t>34535-140</t>
  </si>
  <si>
    <t>Escolas, Museus, Praças</t>
  </si>
  <si>
    <t>Moradores de Favelas, Afrodescendentes</t>
  </si>
  <si>
    <t>Caiera e Cabral</t>
  </si>
  <si>
    <t>Convênio Público, Parceria iniciativa privada, Editais</t>
  </si>
  <si>
    <t>70% Parceria iniciativa privada 30% Convênio público</t>
  </si>
  <si>
    <t>www.borrachalioteca.com.br</t>
  </si>
  <si>
    <t>https://www.instagram.com/borrachalioteca/</t>
  </si>
  <si>
    <t>https://www.facebook.com/borrachaliotecasabara</t>
  </si>
  <si>
    <t>https://www.youtube.com/channel/UCfiYANj_M9KMBtJz4wbSz3A</t>
  </si>
  <si>
    <t>https://drive.google.com/open?id=1yAojh3FT8mHInshYUqU0KRGTsT72JlNr</t>
  </si>
  <si>
    <t>https://drive.google.com/open?id=12l8ezgpp1qanToDFVKkP5Ht75WF2oT-H</t>
  </si>
  <si>
    <t>https://drive.google.com/open?id=1Kh6ZxEZ65CcOB8RkIz0wLbEt7mrQ0CWI</t>
  </si>
  <si>
    <t>https://drive.google.com/open?id=1h2KcstMKCjhO2nk-H5lBXQcNgORiVoQk</t>
  </si>
  <si>
    <t>CONSELHO DE APOIO AS ASSOCIAÇOES DE UBERABA</t>
  </si>
  <si>
    <t>CONSELHO ASSOCIAÇÃO</t>
  </si>
  <si>
    <t>21.968.484/0001-37</t>
  </si>
  <si>
    <t>Maria Aparecida Ferreira Alves</t>
  </si>
  <si>
    <t>ccaamu@gmail.com</t>
  </si>
  <si>
    <t>(34)99894-5101</t>
  </si>
  <si>
    <t>José Marajo de Carvalho</t>
  </si>
  <si>
    <t>Vila São Cristóvão</t>
  </si>
  <si>
    <t>Uberaba</t>
  </si>
  <si>
    <t>38040-330</t>
  </si>
  <si>
    <t>Sim -Faculdade Talentos Humanos</t>
  </si>
  <si>
    <t>Crianças pequenas (4 anos a 5 anos e 11 meses), Crianças (6 a 12 anos), Adolescentes (12 aos 18 anos), Adultos</t>
  </si>
  <si>
    <t>JD. MARACANÃ /  JD MARAJÓ /  SÃO CRISTÓVÃO  /  RECREIO DOS BANDEIRANTES</t>
  </si>
  <si>
    <t>PUBLICO ATENDIDO* ADULTOS* CRIANÇAS E ADOLESCENTES</t>
  </si>
  <si>
    <t>50%doações 25% recursos próprios e 25 % CAMPANHAS</t>
  </si>
  <si>
    <t>https://www.bing.com/search?q=%40conselhouberaba&amp;cvid=dfee1535e9b94f16905c579e579e4d11&amp;aqs=edge..69i57j69i60.15180j0j1&amp;pglt=43&amp;FORM=ANNTA1&amp;PC=HCTS#</t>
  </si>
  <si>
    <t>https://drive.google.com/open?id=1Hc4dVAOVLrUP5e54xX8jHc9BCYBuTEyu</t>
  </si>
  <si>
    <t>https://drive.google.com/open?id=1eadgX5t7U4LAH7XKkgZfQ0s2X7BowDfY</t>
  </si>
  <si>
    <t>https://drive.google.com/open?id=16qUISt7QXuAh5l-maaI-CLtvgTR0_6Il</t>
  </si>
  <si>
    <t>https://drive.google.com/open?id=1H-C-1n6MfZRgcUqH0KGXlXsLONfvDV_P</t>
  </si>
  <si>
    <t>https://drive.google.com/open?id=13B9dmx-r4CpFK4IQmx5ukXURG7EwNm0J</t>
  </si>
  <si>
    <t>ONG ABRAÇAR FILHAS DE MARIA</t>
  </si>
  <si>
    <t>ONGAFM</t>
  </si>
  <si>
    <t>40.914.089/0001-16</t>
  </si>
  <si>
    <t>Mariete Teixeira dos Santos</t>
  </si>
  <si>
    <t>ongabracarfilhasdemaria@gmail.com</t>
  </si>
  <si>
    <t>(31)97103-2340</t>
  </si>
  <si>
    <t>Rua Carlos vitoriano de sá</t>
  </si>
  <si>
    <t>Bela vista</t>
  </si>
  <si>
    <t>32010-260</t>
  </si>
  <si>
    <t>Moradores de Favelas, Pessoas em situação de rua, População LGBTQ+, Quilombola, Afrodescendentes, Pessoas com Deficiência</t>
  </si>
  <si>
    <t>Beatriz /  Vila Itália /  Vila Maribondo /  Funcionários /  Maria Conceição /  Bela Vista /  Vila Marrocos e Parque São João.</t>
  </si>
  <si>
    <t>https://www.instagram.com/p/Cf6jAl2sMXD/?igshid=YmMyMTA2M2Y=</t>
  </si>
  <si>
    <t>https://www.facebook.com/104174084547162/posts/468672758097291/?sfnsn=wiwspmo</t>
  </si>
  <si>
    <t>https://drive.google.com/open?id=1A8DPDyh1msff5t_J_hGVj7y1KV6lLpxY</t>
  </si>
  <si>
    <t>https://drive.google.com/open?id=1EITfBCKXVZR0cFq2mZo-YdtEwKvUPdgW</t>
  </si>
  <si>
    <t>https://drive.google.com/open?id=1QUP6aIhBcLqm3UirAbwLg8X02guuvZsY</t>
  </si>
  <si>
    <t>https://drive.google.com/open?id=1V6Euq9uW1NAkFkl1nu6qviI-_oGqVjWi</t>
  </si>
  <si>
    <t>ASSOCIAÇÃO UNAIENSE DE DESENVOLVIMENTO E CIDADANIA</t>
  </si>
  <si>
    <t>AUDEC</t>
  </si>
  <si>
    <t>25.213.140/0001-79</t>
  </si>
  <si>
    <t>JOSE DONIZETE LEMOS DO PRADO</t>
  </si>
  <si>
    <t>audecunai@gmail.com</t>
  </si>
  <si>
    <t>(38)99741-0425</t>
  </si>
  <si>
    <t>RUA ELSON GABRIEL DE PAULO</t>
  </si>
  <si>
    <t>MAMOEIRO</t>
  </si>
  <si>
    <t>UNAÍ</t>
  </si>
  <si>
    <t>38621-666</t>
  </si>
  <si>
    <t>Mamoeiro /  Santa Clara /  Serra Azul e Industrial</t>
  </si>
  <si>
    <t>Além da atuação com crianças* adolescentes e jovens* atuamos em parceria com o TJMG com o projeto Grupo de Reflexão - que atua com infratores da Lei Maria da Penha e o projeto "Meu Projeto de Vida" que atua em parceria com a Secretária Municipal de Educação atendendo adolescentes de 12 escolas municipais* urbanas e rurais.</t>
  </si>
  <si>
    <t>Convênio Público, Eventos/Ações para captação, Parceria iniciativa privada, Editais, FIA</t>
  </si>
  <si>
    <t>Convênio Público - 40% | Eventos - 10% | Parceria Iniciativa Privada 40% | Editais, FIA e outros 10%</t>
  </si>
  <si>
    <t>https://instagram.com/audec_oficial?igshid=YmMyMTA2M2Y=</t>
  </si>
  <si>
    <t>https://www.youtube.com/channel/UCOSAAedqZOhGwKz1JhM8kOQ</t>
  </si>
  <si>
    <t>https://drive.google.com/open?id=1oycqnBhckQkrwB_URBH38pd-WQ55NdDY</t>
  </si>
  <si>
    <t>https://drive.google.com/open?id=1W_iqdWjlULA526A7dG0WucQ2TAnWPZxS</t>
  </si>
  <si>
    <t>https://drive.google.com/open?id=1ltm-8ZrnlcuUygIwNwa7e5ZfIf4xJ_XS</t>
  </si>
  <si>
    <t>https://drive.google.com/open?id=1KKDCNHk4hQuizyZzUnSGWvUOpg0cqmPV</t>
  </si>
  <si>
    <t>https://drive.google.com/open?id=1BC6v5RMg355uj20YGT9MbMgqMjBuUr5v</t>
  </si>
  <si>
    <t>Central da Solidariedade</t>
  </si>
  <si>
    <t>CENTRAL DA SOLIDARIEDADE</t>
  </si>
  <si>
    <t>016.695.222/0001-39</t>
  </si>
  <si>
    <t>Mauro Jose dos Santos</t>
  </si>
  <si>
    <t>csolidariedade@yahoo.com.br</t>
  </si>
  <si>
    <t>(31)3939-3990 (31)98986 7352</t>
  </si>
  <si>
    <t>Central da solidariedade</t>
  </si>
  <si>
    <t>Conselheiro Lafaiete</t>
  </si>
  <si>
    <t>loja C</t>
  </si>
  <si>
    <t>36400-026</t>
  </si>
  <si>
    <t>Bazar ambulante.</t>
  </si>
  <si>
    <t>Quilombola, Outros</t>
  </si>
  <si>
    <t>Toda a cidade e região</t>
  </si>
  <si>
    <t>Famílias em situação de vulnerabilidade social</t>
  </si>
  <si>
    <t>Eventos/Ações para captação, Editais, Doações</t>
  </si>
  <si>
    <t>10+10+80</t>
  </si>
  <si>
    <t>www.centraldasolidariedade.org.br</t>
  </si>
  <si>
    <t>https://drive.google.com/open?id=1MZLWQEzgb_GT4ZSS4M-y1K_9TG5faFk4</t>
  </si>
  <si>
    <t>Associação Esporte e Vida</t>
  </si>
  <si>
    <t>ASSOCIAÇÃO ESPORTE E VIDA</t>
  </si>
  <si>
    <t>05.117.522/0001-91</t>
  </si>
  <si>
    <t>Ricardo Alan Ribeiro Macedo</t>
  </si>
  <si>
    <t>associacaoesporteevida@gmail.com</t>
  </si>
  <si>
    <t>(61)98222-2752</t>
  </si>
  <si>
    <t>Vila Rabelo quadra 4 Avenida central lote 145</t>
  </si>
  <si>
    <t>Sobradinho 2</t>
  </si>
  <si>
    <t>Quadra central edifício Poly Center* sala 110 - Sobradinho - DF</t>
  </si>
  <si>
    <t>73070-055</t>
  </si>
  <si>
    <t>Campo de futebol das cidades de atuação  e ONGs parceiras MDCS</t>
  </si>
  <si>
    <t>Moradores de Favelas, Pessoas em situação de rua, População LGBTQ+, Dependentes Químicos, Pessoas com Deficiência, Egressos sistema carcerário</t>
  </si>
  <si>
    <t>Fercal /  Vila Rabelo 1 e 2 /  Sobradinho 1 e 2 /  Planaltina /  São Sebastião /   Vila Denocs /  Paranoá e Núcleo Bandeirante.</t>
  </si>
  <si>
    <t>Adultos e jovens em situação de vulnerabilidade em busca de qualificação e oportunidade.</t>
  </si>
  <si>
    <t>Lei de Incentivo, Convênio Público, Parceria iniciativa privada, Editais, Doações</t>
  </si>
  <si>
    <t>95 % Lei de incentivo ao esporte</t>
  </si>
  <si>
    <t>esporteevida.com</t>
  </si>
  <si>
    <t>https://www.instagram.com/tv/CXvl_d7jpZL/?utm_medium=copy_link</t>
  </si>
  <si>
    <t>https://drive.google.com/open?id=1E5_wSdW7-g36F1-iF-7mFm40JdfQGi0A</t>
  </si>
  <si>
    <t>https://drive.google.com/open?id=1sLTXAUCuWUUjZAEQ8S68MBICtfZg_apX</t>
  </si>
  <si>
    <t>https://drive.google.com/open?id=1cMYvzmQ4g-G9U6ZR7_X5YsFtPCS8NWHN</t>
  </si>
  <si>
    <t>Geração GK</t>
  </si>
  <si>
    <t>PROJETO GERAÇÃO GK</t>
  </si>
  <si>
    <t>Naiara Rocha Pereira</t>
  </si>
  <si>
    <t>naiararochatnt@gmail.com</t>
  </si>
  <si>
    <t>(31)98544-1480</t>
  </si>
  <si>
    <t>rua emanuelita chaves</t>
  </si>
  <si>
    <t>ressaca</t>
  </si>
  <si>
    <t>contagem</t>
  </si>
  <si>
    <t>32113-480</t>
  </si>
  <si>
    <t>Favela do ressaca. favela praia ocupação Guarani</t>
  </si>
  <si>
    <t>Plataforma doação online - Pessoa Física, Parceria iniciativa privada</t>
  </si>
  <si>
    <t>50% doações 50% parceria</t>
  </si>
  <si>
    <t>https://instagram.com/projeto_geracao_gk?utm_medium=copy_link</t>
  </si>
  <si>
    <t>https://drive.google.com/open?id=12a7zYjLibuoZ22N32bl_BmDto9FEb688</t>
  </si>
  <si>
    <t>https://drive.google.com/open?id=11WrZS-CUztc9cn-hubPNHLiu7Qk5QZlT</t>
  </si>
  <si>
    <t>https://drive.google.com/open?id=18Vv0mEqk9jUtAfSIqYOmIHeObP2Frp5N</t>
  </si>
  <si>
    <t>https://drive.google.com/open?id=1RH8j8hPECS7KYC8sI-xspY5j4vrmnFWe</t>
  </si>
  <si>
    <t>Associação DOS REUMÁTICOS DE UBERLÂNDIA E REGIÃO - ARUR</t>
  </si>
  <si>
    <t>ARUR</t>
  </si>
  <si>
    <t>01.411.315/0001-94</t>
  </si>
  <si>
    <t>Nilma Rodrigues de Oliveira</t>
  </si>
  <si>
    <t>arur.uberlandia@gmail.com</t>
  </si>
  <si>
    <t>(34)3225-0783</t>
  </si>
  <si>
    <t>Avenida Israel 400</t>
  </si>
  <si>
    <t>Laranjeiras</t>
  </si>
  <si>
    <t>Galpão</t>
  </si>
  <si>
    <t>30410-264</t>
  </si>
  <si>
    <t>Moradores de Favelas, Pessoas em situação de rua, Pessoas com Deficiência</t>
  </si>
  <si>
    <t>DOM ALMIR /  GLÓRIA /  MANÁ /  ACENTAMENTO FIDEL CASTRO /  SHOPING PARK.</t>
  </si>
  <si>
    <t>ATENDEMOS FAMÍLIAS EM SITUAÇÃO DE VULNERABILIDADE SOCIAL E PESSOAS COM DOENÇAS REUMÁTICA GRAVE E COMORBIDADES GRAVES.</t>
  </si>
  <si>
    <t>Convênio Público, Eventos/Ações para captação, Parceria iniciativa privada, Recursos próprios</t>
  </si>
  <si>
    <t>Convênio público 30% 40% iniciativa privada 20% recursos próprios 10%eventos</t>
  </si>
  <si>
    <t>www.arur.org.be/home</t>
  </si>
  <si>
    <t>https://www.instagram.com/arur.uberlandia/</t>
  </si>
  <si>
    <t>https://www.facebook.com/aruruberlandia</t>
  </si>
  <si>
    <t>youtube.com/c/ARURUberkandia/featured</t>
  </si>
  <si>
    <t>https://drive.google.com/open?id=1HYqYz_d8lwbAFrd5K2uLv65MTTPsuWs8</t>
  </si>
  <si>
    <t>https://drive.google.com/open?id=1nP5p4NhVnL2CDJmRiEV2WS-3MWGpa_2n</t>
  </si>
  <si>
    <t>https://drive.google.com/open?id=1q65ZRWx2ANoltwyARFh3kHd-EiSvXGHN</t>
  </si>
  <si>
    <t>Clube do Bem</t>
  </si>
  <si>
    <t>CLUBE DO BEM</t>
  </si>
  <si>
    <t>Pablo Leonardo Gonçalves</t>
  </si>
  <si>
    <t>Rua Eurídes Gonçalves da Cunha</t>
  </si>
  <si>
    <t>Rochedo</t>
  </si>
  <si>
    <t>36404-187</t>
  </si>
  <si>
    <t>JK /  Jardim Europa /  Triangulo 2 /  Jardim das Flores /  Sion /  Paulo VI /  Jardim do Sol /  Amaro Ribeiro /  São José /  Vila Lobos.</t>
  </si>
  <si>
    <t>Famílias em situação de vulnerabilidade social em toda cidade de Conselheiro Lafaiete.</t>
  </si>
  <si>
    <t>https://www.instagram.com/clube_do_bem/</t>
  </si>
  <si>
    <t>https://www.facebook.com/groups/Clube.do.Bem.CLdoBem</t>
  </si>
  <si>
    <t>https://drive.google.com/open?id=1tL15wYJcz6TC7K9PfoqIIXzdL6thCGYi</t>
  </si>
  <si>
    <t>Casa São Francisco</t>
  </si>
  <si>
    <t>CASA SÃO FRANCISCO</t>
  </si>
  <si>
    <t>05.105.131/0001-57</t>
  </si>
  <si>
    <t>Regiane Aparecida Aizza Tavares</t>
  </si>
  <si>
    <t>contato@casasaofrancisco.org</t>
  </si>
  <si>
    <t>(35)3660-1282</t>
  </si>
  <si>
    <t>Padre Donizete</t>
  </si>
  <si>
    <t>Vila São Pedro</t>
  </si>
  <si>
    <t>São Sebastião do Paraíso</t>
  </si>
  <si>
    <t>37950-000</t>
  </si>
  <si>
    <t>Somente na sede própria atualmente</t>
  </si>
  <si>
    <t>Vila São Pedro, João XXIII, São Francisco, Morumbi, Vila Muschioni, Mocoquinha, Cidade Nova</t>
  </si>
  <si>
    <t>95% Telemarketing | 3% Ações de captação | Doação recorrente cartão</t>
  </si>
  <si>
    <t>https://casasaofrancisco.org/   (sendo desenvolvido)</t>
  </si>
  <si>
    <t>https://www.instagram.com/casasaofranciscoparaiso</t>
  </si>
  <si>
    <t>https://www.facebook.com/casasaofranciscoparaiso</t>
  </si>
  <si>
    <t>https://drive.google.com/open?id=1tu7GeE9OWZIICKrSSQ5ODUPPhj1MCQjG</t>
  </si>
  <si>
    <t>https://drive.google.com/open?id=1kUCb8hdVdXZPMJfg6cqP0MQEtgCW--w6</t>
  </si>
  <si>
    <t>https://drive.google.com/open?id=166NTPFNMdaOSxel1LxygNGdDZw9Y-hka</t>
  </si>
  <si>
    <t>Chama Viva Missões Urbanas</t>
  </si>
  <si>
    <t>CHAMA VIVA MISSÕES URBANAS</t>
  </si>
  <si>
    <t>Rafael Mendes Marques</t>
  </si>
  <si>
    <t>prrafamendes@gmail.com</t>
  </si>
  <si>
    <t>(61)99982-8101</t>
  </si>
  <si>
    <t>QNE 30</t>
  </si>
  <si>
    <t>Taguatinga-DF</t>
  </si>
  <si>
    <t>Brasília-DF</t>
  </si>
  <si>
    <t>Casa 3</t>
  </si>
  <si>
    <t>72125-300</t>
  </si>
  <si>
    <t>Praça do relógio/ Comunidade Assaí/ Comunidade Monjolo</t>
  </si>
  <si>
    <t>Crianças (6 a 12 anos), Adultos</t>
  </si>
  <si>
    <t>Moradores de Favelas, Pessoas em situação de rua, Dependentes Químicos</t>
  </si>
  <si>
    <t>Chácara Assaí /  recanto /  expansão de samambaia /  Monjolo</t>
  </si>
  <si>
    <t>Atuo nas ruas* e diretamente nas favelas* o endereço da ong* é o endereço onde moro* e faço reuniões de planejamento.</t>
  </si>
  <si>
    <t>https://www.instagram.com/chama_viva_missoes_urbanas/</t>
  </si>
  <si>
    <t>QUERUBINS CRIANÇAS VIVAS E SEM DROGAS</t>
  </si>
  <si>
    <t>PROJETO QUERUBINS</t>
  </si>
  <si>
    <t>Ronaldo luiz de oliveira</t>
  </si>
  <si>
    <t>Avenida Presidente Antônio Carlos</t>
  </si>
  <si>
    <t>Nova Cachoeirinha</t>
  </si>
  <si>
    <t>31250-535</t>
  </si>
  <si>
    <t>nova cachoeirina / bananal / aldeia / sumare.sem terra</t>
  </si>
  <si>
    <t>sao crianças e adolecentes de areias de riscos com difildades de adapitaçao onde trabalhos com formaçao de careter e responsabilidade social</t>
  </si>
  <si>
    <t>https://instagram.com/projetoquerubins2020?utm_medium=copy_link</t>
  </si>
  <si>
    <t>https://drive.google.com/open?id=1IHaJBg_bPBL9Gp_hQNQbNBjPGyBNwNWP</t>
  </si>
  <si>
    <t>https://drive.google.com/open?id=15dpabjvZwirU_PMAZEugehVSypifJgV8</t>
  </si>
  <si>
    <t>Instituto Transformar</t>
  </si>
  <si>
    <t>INSTITUTO TRANSFORMAR - TE AMAR</t>
  </si>
  <si>
    <t>27.870.620/0001-38</t>
  </si>
  <si>
    <t>Creiziane Gonçalves Santos Andrade Matos</t>
  </si>
  <si>
    <t>coordenacaotransformar.edu@gmail.com</t>
  </si>
  <si>
    <t>(73)98187-2081</t>
  </si>
  <si>
    <t>Rua Projetada</t>
  </si>
  <si>
    <t>Corina Batista</t>
  </si>
  <si>
    <t>Ibicaraí</t>
  </si>
  <si>
    <t>45745-000</t>
  </si>
  <si>
    <t>Comunidade do Corina Batista /  Comunidade do Duque de Caxias e Comunidade do Delfino Guedes.</t>
  </si>
  <si>
    <t>Bom* por enquanto estamos atendendo apenas a estas duas comunidades citadas anteriormente. Porém* temos a pretensão de expandir nosso campo de visão e abraçar outras comunidades que tenham crianças e jovens que estejam em situação crítica social. Esse é o nosso objetivo. Nosso público* que são crianças e jovens* estão no meio dessas zonas o tempo todo. Estão sempre próximos a drogas* bebidas e prostituição. Às vezes por influência da família* outras por influência dos amigos. Nós tentamos fazer de um tudo para mudar essa realidade e o nosso projeto é fazer com que cada jovem (que são os mais afetados pela realidade) construa seu próprio futuro e siga caminhos para longe da realidade na qual estão e* após estarem fortalecidos* retornem para ela desta vez como agentes multiplicadores.</t>
  </si>
  <si>
    <t>90% Doações; 5% Editais e 5% Eventos.</t>
  </si>
  <si>
    <t>https://instagram.com/_institutotransformar?utm_medium=copy_link</t>
  </si>
  <si>
    <t>https://www.facebook.com/groups/541150592741309/?ref=share</t>
  </si>
  <si>
    <t>https://drive.google.com/open?id=1EbB0zNjvJddYx1enET7uyQSqpDKeqxzX</t>
  </si>
  <si>
    <t>https://drive.google.com/open?id=15u54ZgoknlO-Q0PGjPc9ArZlMoY31DZe</t>
  </si>
  <si>
    <t>https://drive.google.com/open?id=13F5N-z2p3zoA-x46tNQBTtEKhf2_Gkty</t>
  </si>
  <si>
    <t>Projeto Efraim</t>
  </si>
  <si>
    <t>PROJETO EFRAIM</t>
  </si>
  <si>
    <t>leidejane borges de oliveira</t>
  </si>
  <si>
    <t>projetosocialefraim.ba@gmail.com</t>
  </si>
  <si>
    <t>(71)98798-9974</t>
  </si>
  <si>
    <t>rua 15 de novembro, n 260</t>
  </si>
  <si>
    <t>alto de coutos</t>
  </si>
  <si>
    <t>rua 15 de novembro</t>
  </si>
  <si>
    <t>salvador</t>
  </si>
  <si>
    <t>40760-100</t>
  </si>
  <si>
    <t>Moradores de Favelas, Pessoas em situação de rua, Pessoas com Deficiência, Outros</t>
  </si>
  <si>
    <t>Alto de Coutos /  Fazenda Coutos /  Paripe /  Periperi /  Vista Alegre</t>
  </si>
  <si>
    <t>Eventos/Ações para captação, Plataforma doação online - Pessoa Física, Doações</t>
  </si>
  <si>
    <t>https://www.instagram.com/projetosocialefraim/</t>
  </si>
  <si>
    <t>https://drive.google.com/open?id=1vPJ2kx-vo7U4wsxo5ZrVN3IKLbDObn_X</t>
  </si>
  <si>
    <t>Projeto social fazer o bem faz bem a vida</t>
  </si>
  <si>
    <t>PROBEMSALVADOR</t>
  </si>
  <si>
    <t>Leidiane dos santos santos</t>
  </si>
  <si>
    <t>Vila Correia</t>
  </si>
  <si>
    <t>Campinas de Pirajá</t>
  </si>
  <si>
    <t>Fn1</t>
  </si>
  <si>
    <t>41270-380</t>
  </si>
  <si>
    <t>Campinas de Pirajá  /  Marechal Rondon  /  Saramandaia /  lagoa  da paixão</t>
  </si>
  <si>
    <t>São ações em comunidades carentes . E tem os alunos fixos do ProbemSalvador .</t>
  </si>
  <si>
    <t>https://www.instagram.com/probemsalvador/</t>
  </si>
  <si>
    <t>CIDADELA Centro Cultural e Ambiental</t>
  </si>
  <si>
    <t>CIDADELA</t>
  </si>
  <si>
    <t>45.655.411/0001-53</t>
  </si>
  <si>
    <t>Daniele Guedes Vicente</t>
  </si>
  <si>
    <t>cidadela.al.org@gmail.com</t>
  </si>
  <si>
    <t>(82)99814-7505</t>
  </si>
  <si>
    <t>Rua Maria José Soares Cota</t>
  </si>
  <si>
    <t>Cidade Universitária</t>
  </si>
  <si>
    <t>Mód V* Qd B</t>
  </si>
  <si>
    <t>57072-814</t>
  </si>
  <si>
    <t>Praça pública e campo de futebol da comunidade</t>
  </si>
  <si>
    <t>Crianças (6 a 12 anos), Adolescentes (12 aos 18 anos), Adultos</t>
  </si>
  <si>
    <t>Moradores de Favelas, Afrodescendentes, Egressos sistema carcerário</t>
  </si>
  <si>
    <t>Comunidades do Tabuleiro próximas ao Gama Lins /  Eustáquio Gomes /  Inocoop /  Favela de Lona</t>
  </si>
  <si>
    <t>Eventos/Ações para captação, Parceria iniciativa privada, Doações</t>
  </si>
  <si>
    <t>Doações 40%, Parceria Privada 30% e Ações 30%</t>
  </si>
  <si>
    <t>@cidadela.al</t>
  </si>
  <si>
    <t>https://drive.google.com/open?id=152tX9BrDM8LUl3Fk3RbC_tmXtpQ_zzat</t>
  </si>
  <si>
    <t>https://drive.google.com/open?id=1EyKa8pJR6QrZvSoX8shoUW7Gm2UQI81s</t>
  </si>
  <si>
    <t>Transformado vidas e mudando a sociedade! Princípios Bíblicos / Educação / Cultura / Esporte / Qualificação/ Inovação /Tecnologia /</t>
  </si>
  <si>
    <t>Neto</t>
  </si>
  <si>
    <t>ADELMO 1</t>
  </si>
  <si>
    <t>Aldemo Pereira</t>
  </si>
  <si>
    <t>H1</t>
  </si>
  <si>
    <t>Junqueiro</t>
  </si>
  <si>
    <t>57270-000</t>
  </si>
  <si>
    <t>Recidencial ADELMO PEREIRA. Conhecido como a favela do chaves.</t>
  </si>
  <si>
    <t>https://www.instagram.com/p/CYEMCpgrcAg/?utm_medium=copy_link</t>
  </si>
  <si>
    <t>Corrente do bemfsa</t>
  </si>
  <si>
    <t>CORRENTE_DOBEMFSA</t>
  </si>
  <si>
    <t>46.994.309/0001-45</t>
  </si>
  <si>
    <t>LÚCIA MARIA GOMES MENDES</t>
  </si>
  <si>
    <t>correntedobemfsa@gmail.com</t>
  </si>
  <si>
    <t>(75)99174-6520</t>
  </si>
  <si>
    <t>BARRA DO SÃO FRANCISCO</t>
  </si>
  <si>
    <t>MANGABEIRA</t>
  </si>
  <si>
    <t>FEIRA DE SANTANA</t>
  </si>
  <si>
    <t>44056-544</t>
  </si>
  <si>
    <t>bebês (1 a 1ano e 6 meses), Adolescentes (12 aos 18 anos), Adultos, Idosos (60 anos ou mais)</t>
  </si>
  <si>
    <t>Moradores de Favelas, Pessoas em situação de rua, Quilombola, Pessoas com Deficiência, Ribeirinhos, Comunidade rural</t>
  </si>
  <si>
    <t>Lagoa salgada- tangará - buraco da gia</t>
  </si>
  <si>
    <t>Reciclagem* catadores de lixo</t>
  </si>
  <si>
    <t>Plataforma doação online - Pessoa Física, Parceria iniciativa privada, Doações</t>
  </si>
  <si>
    <t>https://instagram.com/corrente_do_bemfsa?utm_medium=copy_link</t>
  </si>
  <si>
    <t>https://youtube.com/channel/UCz1GVDZ2TFNrX38j-YhLycg</t>
  </si>
  <si>
    <t>https://drive.google.com/open?id=1MO10YT0HCtJWx-QFtbL3UmdFgSV_UE4b</t>
  </si>
  <si>
    <t>https://drive.google.com/open?id=1g9F7-_3GT-dcyuWy6TuXiOaBtd3Ev4fg</t>
  </si>
  <si>
    <t>GESCA - Grêmio Educacional* Social e Cultural Águias de Santo Antônio de Jesus</t>
  </si>
  <si>
    <t>GESCA</t>
  </si>
  <si>
    <t>42.243.956/0001-64</t>
  </si>
  <si>
    <t>Manoela de Jesus Santos</t>
  </si>
  <si>
    <t>contato@gesca.org.br</t>
  </si>
  <si>
    <t>(75)98348-1819</t>
  </si>
  <si>
    <t>Rua independência</t>
  </si>
  <si>
    <t>Cajueiro</t>
  </si>
  <si>
    <t>Santo Antônio de Jesus</t>
  </si>
  <si>
    <t>44430-574</t>
  </si>
  <si>
    <t>CSU Centro Social Urbano e Estação Cidadania (Praça Céus)</t>
  </si>
  <si>
    <t>Zilda Arns,  Cajueiro, Lot Salomão, Nossa Senhora das Graças, Urbis 4, Mutum</t>
  </si>
  <si>
    <t>Eventos/Ações para captação, Parceria iniciativa privada, Editais, Outro(s), Doações, FIA</t>
  </si>
  <si>
    <t>5% Eventos/Ações para captação ; 55% Editais;  10% Outros; 20% Parcerias; 5% Doações; 5% FIA</t>
  </si>
  <si>
    <t>www.gesca.org.br</t>
  </si>
  <si>
    <t>https://www.instagram.com/invites/contact/?i=1brn97zd2ffqw&amp;utm_content=2kudiue</t>
  </si>
  <si>
    <t>https://www.facebook.com/gescaoficial</t>
  </si>
  <si>
    <t>https://m.youtube.com/channel/UCbfIxQ3xmDulPdXMHTncG5Q</t>
  </si>
  <si>
    <t>https://drive.google.com/open?id=1cxLULci9jUpHEMzpx8905ZthPU4kyLFo</t>
  </si>
  <si>
    <t>https://drive.google.com/open?id=1M8ksqyvyXLg6eguCyM4_r7x9guSBMWrh</t>
  </si>
  <si>
    <t>https://drive.google.com/open?id=1dDLMZguvTDne64BhM9NpaZNlWCJ0Li_2</t>
  </si>
  <si>
    <t>https://drive.google.com/open?id=1Al6l7ENTgBM7_KtIewFYlqj2ISAR-hDt</t>
  </si>
  <si>
    <t>https://drive.google.com/open?id=1QZHfxhJWU-7tg1CnxLmW2Doiva41F-hw</t>
  </si>
  <si>
    <t>Centro Comunitário do Rosarinho</t>
  </si>
  <si>
    <t>CECOR</t>
  </si>
  <si>
    <t>07.227.215/0001-99</t>
  </si>
  <si>
    <t>Antonio Roque dos Santos Silva</t>
  </si>
  <si>
    <t>rosarinhocecor@gmail.com</t>
  </si>
  <si>
    <t>(75)99105-7981</t>
  </si>
  <si>
    <t>20 de Novembro</t>
  </si>
  <si>
    <t>Rosarinho</t>
  </si>
  <si>
    <t>Sn</t>
  </si>
  <si>
    <t>Moradores de Favelas, Quilombola, Afrodescendentes</t>
  </si>
  <si>
    <t>Alto do Rosarinho /  Morumbi /  Rua da Feira</t>
  </si>
  <si>
    <t>https://www.instagram.com/rosarinhocecor/</t>
  </si>
  <si>
    <t>https://drive.google.com/open?id=1CUcA9lRD2gjPDn8opWHr8_EiaX3FEr8q</t>
  </si>
  <si>
    <t>https://drive.google.com/open?id=1Do9Ekc5sHxpIX1kILEhLQITb8wwkqJpW</t>
  </si>
  <si>
    <t>https://drive.google.com/open?id=1VAA1tYSl_IulCwi8um1Uw_2fo2arDdkM</t>
  </si>
  <si>
    <t>https://drive.google.com/open?id=1y68sfcVcO2QfmKYqEntmo2abpjPtxqUm</t>
  </si>
  <si>
    <t>Dakole</t>
  </si>
  <si>
    <t>DAKOLE</t>
  </si>
  <si>
    <t>767.236.075-20</t>
  </si>
  <si>
    <t>Mirian dos Santos</t>
  </si>
  <si>
    <t>projetoevoluirsemeandoamanha@gmail.com</t>
  </si>
  <si>
    <t>(71)98803-5575</t>
  </si>
  <si>
    <t>Estrada Velha de Campinas</t>
  </si>
  <si>
    <t>Campinas</t>
  </si>
  <si>
    <t>Próximo a escola Filhos de Salomão</t>
  </si>
  <si>
    <t>41270-500</t>
  </si>
  <si>
    <t>sim</t>
  </si>
  <si>
    <t>Moradores de Favelas, Pessoas em situação de rua, População LGBTQ+, Dependentes Químicos, Outros</t>
  </si>
  <si>
    <t>Mangueira</t>
  </si>
  <si>
    <t>https://instagram.com/projeto_evoluir2021?igshid=YmMyMTA2M2Y=</t>
  </si>
  <si>
    <t>CCM - Centro Cultural Mamulengo</t>
  </si>
  <si>
    <t>CENTRO CULTURAL MAMULENGO</t>
  </si>
  <si>
    <t>Natan Jesus da Silva</t>
  </si>
  <si>
    <t>centromamulengo@gmail.com</t>
  </si>
  <si>
    <t>(71)99153-8445</t>
  </si>
  <si>
    <t>Rua Monge Sagrado</t>
  </si>
  <si>
    <t>São Tomé de Paripe</t>
  </si>
  <si>
    <t>40800-210</t>
  </si>
  <si>
    <t>Escolas, Terreiros de Religião de Matriz Africana, Espaços Quilombola</t>
  </si>
  <si>
    <t>Adolescentes (12 aos 18 anos), Jovens (18 aos 24 anos), Adultos</t>
  </si>
  <si>
    <t>Moradores de Favelas, População LGBTQ+, Quilombola, Afrodescendentes</t>
  </si>
  <si>
    <t>Ocupação Monte Sagrado /  Quilombo Alto do tororó /  Tubarão /  Quilombo Praia Grande (ilha de maré)</t>
  </si>
  <si>
    <t>Eventos/Ações para captação, Editais, Doações, Recursos próprios</t>
  </si>
  <si>
    <t>https://www.instagram.com/p/CQytVRmFpvY/?igshid=YmMyMTA2M2Y=</t>
  </si>
  <si>
    <t>https://youtube.com/channel/UCWdn2LRb8FGn3_v745kUEgA</t>
  </si>
  <si>
    <t>https://drive.google.com/open?id=1-4zFEfxY426AjXhqudmXSOVlEkLuBNJ0</t>
  </si>
  <si>
    <t>Projeto Espalhe Cestas</t>
  </si>
  <si>
    <t>ESPALHE CESTAS</t>
  </si>
  <si>
    <t>Nathalha Regina Cavalcante da Silva</t>
  </si>
  <si>
    <t>espalhecestas@hotmail.com</t>
  </si>
  <si>
    <t>(82)99980-2495</t>
  </si>
  <si>
    <t>Rua Francisca Angélica de Novaes</t>
  </si>
  <si>
    <t>Varela</t>
  </si>
  <si>
    <t>Crianças bem pequenas (1 ano e 7 meses até 3 anos e 11 meses), Adolescentes (12 aos 18 anos), Jovens (18 aos 24 anos), Adultos</t>
  </si>
  <si>
    <t>Bairro mutirão, Favela Gau, Bairro geo barros, palmeirinha, pedra limpa, grota do epifanio, mulúgu, são sebatião, araçá, pau amarelo, malhada, baixa grande, cariri, peri peri, varela,</t>
  </si>
  <si>
    <t>Então o público ao qual atendemos em nosso município* é voltando mais para região rural* onde as pessoas mais humildes são localizadas* devido ao distanciamento do município* por isso procuramos atender essas famílias* mas atendemos também comunidades do nosso município.</t>
  </si>
  <si>
    <t>Parceria iniciativa privada, Doações, Recursos próprios</t>
  </si>
  <si>
    <t>Recursos próprio 100% Doações 100% parceria privada 100%</t>
  </si>
  <si>
    <t>https://instagram.com/espalhe_cestas?igshid=YmMyMTA2M2Y=</t>
  </si>
  <si>
    <t>https://drive.google.com/open?id=1q_zltoASbhbdC7dsZARO1vjIh0YyT6ke</t>
  </si>
  <si>
    <t>Nucleo de Apoio a Comunidades</t>
  </si>
  <si>
    <t>NAC</t>
  </si>
  <si>
    <t>Raquel Menezes Maia</t>
  </si>
  <si>
    <t>nucleodeapoioacomunidades@gmail.com</t>
  </si>
  <si>
    <t>(71)99415-3636</t>
  </si>
  <si>
    <t>Rua Jorge Teles 149</t>
  </si>
  <si>
    <t>Itinga</t>
  </si>
  <si>
    <t>Lauro de Freitas</t>
  </si>
  <si>
    <t>42739-190</t>
  </si>
  <si>
    <t>Escola Solange Coelho , Teatro Eliete Teles, Chacara da Poesia, PArque Shoping Bahiia, CEntro administrativo de Lauro de Freitas, Cine Teatro Lauro de Freitas Rotary Club ++</t>
  </si>
  <si>
    <t>Quilombola, Afrodescendentes, Pessoas com Deficiência, Imigrantes, Comunidade rural</t>
  </si>
  <si>
    <t>Quilombo Quingoma /  Capelão /  Castelhao /  Vida Nova /  Lindu /  Brisas /  Quinta da Gloria /  Jambeiro /  Otinga /  Aracui /  Portão</t>
  </si>
  <si>
    <t>atendemos demandas pontuais de todo o municipio</t>
  </si>
  <si>
    <t>50%negocio social</t>
  </si>
  <si>
    <t>https://www.instagram.com/nucleodeapoioacomunidades/</t>
  </si>
  <si>
    <t>https://www.youtube.com/user/raquelmenezesmaia    https://www.youtube.com/channel/UCpnrPTIa4-O95NoVBces6LQ</t>
  </si>
  <si>
    <t>https://drive.google.com/open?id=1UiPVtthYeAs1i58hEBlxO4ByRz5XDgv5</t>
  </si>
  <si>
    <t>Coletivo Olhando pra Frente</t>
  </si>
  <si>
    <t>OLHANDO PRA FRENTE</t>
  </si>
  <si>
    <t>40.993.293/0001-25</t>
  </si>
  <si>
    <t>Jardel da Cunha Silvestre</t>
  </si>
  <si>
    <t>coletivo.olhandoprafrente@gmail.com</t>
  </si>
  <si>
    <t>(85)98524-3016</t>
  </si>
  <si>
    <t>Rua B</t>
  </si>
  <si>
    <t>Jangurussu</t>
  </si>
  <si>
    <t>Sede</t>
  </si>
  <si>
    <t>60872-402</t>
  </si>
  <si>
    <t>Rua , Escola , Praças , Campos de Futebol e Quadras Poliesportivas</t>
  </si>
  <si>
    <t>Moradores de Favelas, Pessoas em situação de rua, População LGBTQ+, Afrodescendentes, Dependentes Químicos, Pessoas com Deficiência, Egressos sistema carcerário</t>
  </si>
  <si>
    <t>Favela Santa Filomena /  Favela Barroso 1 /  Favela João Paulo 2° /  Favela Cidade de Deus /  Favela Maria Tomazia /  Favela José Euclides /  Favela Aldemir Martins</t>
  </si>
  <si>
    <t>Famílias em situação de vulnerabilidade social em geral* independente da idade</t>
  </si>
  <si>
    <t>40% Eventos/Ações, 30%Parceria Iniciativa Privada, 30% Doações</t>
  </si>
  <si>
    <t>https://instagram.com/olhando_pra_frente?igshid=4tmeasjuhev1</t>
  </si>
  <si>
    <t>https://www.facebook.com/olhandopra.frente.3</t>
  </si>
  <si>
    <t>https://drive.google.com/open?id=1wSNwLY9XT229j5JBM35NX-nlbqA-y7TE</t>
  </si>
  <si>
    <t>https://drive.google.com/open?id=1EANmD1-uOYMsnb3Lkk0b9ccRMkZz1ybV</t>
  </si>
  <si>
    <t>https://drive.google.com/open?id=1AsAiHfsPsRDg05dAPKGnPI2q4oDI22e1</t>
  </si>
  <si>
    <t>https://drive.google.com/open?id=1bS98VD6A8xmtKQXV8F2CwjpN7ukubnZL</t>
  </si>
  <si>
    <t>INSTITUTO JOAQUIM TÁVORA</t>
  </si>
  <si>
    <t>IJT</t>
  </si>
  <si>
    <t>40.970.739/0001-40</t>
  </si>
  <si>
    <t>Jose Eudes Maciel Mendonça Júnior</t>
  </si>
  <si>
    <t>joaquimtavorainstituto@gmail.com</t>
  </si>
  <si>
    <t>(85)98778-3937</t>
  </si>
  <si>
    <t>Henrique Rabelo</t>
  </si>
  <si>
    <t>Joaquim Távora</t>
  </si>
  <si>
    <t>60110-540</t>
  </si>
  <si>
    <t>Moradores de Favelas, Outros</t>
  </si>
  <si>
    <t>JOAQUIM TAVORA SAO /  JOAO DO TAUPE /  BAIRRO DE FATIMA /  LAGAMAR</t>
  </si>
  <si>
    <t>Eventos/Ações para captação, Parceria iniciativa privada</t>
  </si>
  <si>
    <t>Eventos/Ações para captação 15% Parceria iniciativa privada 15% Recursos próprios 70%</t>
  </si>
  <si>
    <t>www.institutojoaquimtavora.com.br</t>
  </si>
  <si>
    <t>https://instagram.com/institutojoaquimtavora?igshid=YmMyMTA2M2Y=</t>
  </si>
  <si>
    <t>Instituto Social Cultural de Apoio à Vida Padre Alcides Tres</t>
  </si>
  <si>
    <t>INSTITUTO PADRE ALCIDES TRES</t>
  </si>
  <si>
    <t>18.959.075/0001-60</t>
  </si>
  <si>
    <t>Ana Lúcia Souza do Nascimento</t>
  </si>
  <si>
    <t>ipatmt2013@gmail.com</t>
  </si>
  <si>
    <t>(88)99679-8461</t>
  </si>
  <si>
    <t>Rua Manoel Cursino de Melo</t>
  </si>
  <si>
    <t>Monsenhor Tabosa</t>
  </si>
  <si>
    <t>63780-000</t>
  </si>
  <si>
    <t>Moradores de Favelas, Comunidade rural, Outros</t>
  </si>
  <si>
    <t>Alto da Boa Vista, Carrapicho, Jucás, Comunidade de Santana, Comunidade de Livramento, Comunidade de Pitombeiras.</t>
  </si>
  <si>
    <t>Lei de Incentivo, Doações</t>
  </si>
  <si>
    <t>50% Lei de Incentivo (Sua Nota Tem Valor) - 50% Doações</t>
  </si>
  <si>
    <t>https://www.instagram.com/institutopadrealcides/</t>
  </si>
  <si>
    <t>https://www.facebook.com/institutopadrealcides</t>
  </si>
  <si>
    <t>https://www.youtube.com/channel/UCrGLoNQo68QwAnMzHxSkD4Q</t>
  </si>
  <si>
    <t>https://drive.google.com/open?id=1sczk9Q2NSSbAsG1GZJzkDnBNrKu-4Zqf</t>
  </si>
  <si>
    <t>https://drive.google.com/open?id=1mGWJy_NWz209ZDieO74AV56DmfE6aPMf</t>
  </si>
  <si>
    <t>https://drive.google.com/open?id=1FdMdTj2e_WKSOUHd-cE2i-xv-bWtmkTj</t>
  </si>
  <si>
    <t>Instituto Ágape</t>
  </si>
  <si>
    <t>AGAPE</t>
  </si>
  <si>
    <t>37.565.394/0001-35</t>
  </si>
  <si>
    <t>SUELEN KAROLINE PRESTES ARAUJO</t>
  </si>
  <si>
    <t>ps.agapemanaus@gmail.com</t>
  </si>
  <si>
    <t>(92)98801-7520</t>
  </si>
  <si>
    <t>Rua Pinheiro Brasileiro</t>
  </si>
  <si>
    <t>Monte das Oliveiras</t>
  </si>
  <si>
    <t>Manaus</t>
  </si>
  <si>
    <t>69093-141</t>
  </si>
  <si>
    <t>Em igrejas, quadra de escola</t>
  </si>
  <si>
    <t>Educação; Assistência Social; Cultura; Qualificação Profissional; Empreendedorismo; Meio ambiente; Empoderamento Feminino; Defesa de Direitos; Assistência Psicológica; Desenvolvimento comunitário</t>
  </si>
  <si>
    <t>Favela do Sossego e Guanabara</t>
  </si>
  <si>
    <t>Atendemos um público desde 4 anos até idosos*desenvolvemos atividades semanais e quinzenais para os nossos beneficiários*uma de nossas comunidade e situada em uma área totalmente de risco *em cima de um canal e de lado com um trilho ferroviário ativo*lugar de ocupação invadida pelos seus moradores *trabalhamos com dinâmicas *ensino*encontros e recreação contemplando o maior número de pessoas possíveis</t>
  </si>
  <si>
    <t>50%: doações, 25% ação de arrecadação e 25% parceria com setor privado</t>
  </si>
  <si>
    <t>www.co</t>
  </si>
  <si>
    <t>https://www.instagram.com/institutoagapemanaus/</t>
  </si>
  <si>
    <t>https://www.youtube.com/c/Projeto%C3%81gape</t>
  </si>
  <si>
    <t>https://drive.google.com/open?id=11UHQKK9t85MBfIgLQuxwDpQnLTlNf8Et</t>
  </si>
  <si>
    <t>https://drive.google.com/open?id=1azXQFW7xg6qBq5c54mgC6u5DoUsYySXL</t>
  </si>
  <si>
    <t>Associação Núcleo de Educação Comunitária do Coroadinho</t>
  </si>
  <si>
    <t>NEDUC</t>
  </si>
  <si>
    <t>35.219.050/0001-49</t>
  </si>
  <si>
    <t>Christiane Teixeira Mendes</t>
  </si>
  <si>
    <t>(98)93300-2815</t>
  </si>
  <si>
    <t>Avenida Amalia Saldanha</t>
  </si>
  <si>
    <t>Coroadinho</t>
  </si>
  <si>
    <t>65040-210</t>
  </si>
  <si>
    <t>Reforço Escolar, aulas de música e Ballet</t>
  </si>
  <si>
    <t>Moradores de Favelas, População LGBTQ+, Povos Indígenas, Quilombola, Afrodescendentes, Pessoas com Deficiência, Egressos sistema carcerário</t>
  </si>
  <si>
    <t>COROADINHO /  VILA CONCEIÇÃO /  SALINA /  NOVA JERUSALÉM /  NOVA TERRA /  PARQUE TIMBIRAS /  BOM JESUS /  VALE VERDE /  VILADOS FRADES / ALTO SAO SEBASTIÃO /  ALTO SAO FRANCISCO  /  POCINHA /  VILA DOS NOBRES /  RESIDENCIAL TADEU PALACIO /  ALTO DA BELA VISTA</t>
  </si>
  <si>
    <t>Público: moradores do coradinho* vulneraveis econômicamente* em sua maioria mulheres* negras ou afrodescente com idade entre 25 e 55 anos* com baixa escolaridade.</t>
  </si>
  <si>
    <t>Sem participar</t>
  </si>
  <si>
    <t>https://assoc-creche-e-escola-porta-de-papel.ueniweb.com/</t>
  </si>
  <si>
    <t>https://instagram.com/neducma?igshid=YmMyMTA2M2Y=</t>
  </si>
  <si>
    <t>https://www.facebook.com/nucleodeeducacaodocoroadinho/</t>
  </si>
  <si>
    <t>https://drive.google.com/open?id=1cTzfoxGJEKydsXf6SA-yHhVgPZMVvp60</t>
  </si>
  <si>
    <t>https://drive.google.com/open?id=15Jfa1FFCT_tQ7iHhVdSYc28epBNvqgxC</t>
  </si>
  <si>
    <t>https://drive.google.com/open?id=15DMaoGXHrRloBddLgmja239gGYXyUr0H</t>
  </si>
  <si>
    <t>https://drive.google.com/open?id=1sqv9UySk89-EAymZ3QGMncntfUreybVM</t>
  </si>
  <si>
    <t>Patronato Santana</t>
  </si>
  <si>
    <t>SALÃO COMUNITÁRIO PADRE TORNATORE</t>
  </si>
  <si>
    <t>09.483.504/0002-65</t>
  </si>
  <si>
    <t>ROCILENE DO SOCORRO SOUZA Barbosa</t>
  </si>
  <si>
    <t>patronato.santana@gmail.com</t>
  </si>
  <si>
    <t>(85)98618-9281</t>
  </si>
  <si>
    <t>Rua Felipe Fernandes Neto</t>
  </si>
  <si>
    <t>Parque Leblon</t>
  </si>
  <si>
    <t>61631-016</t>
  </si>
  <si>
    <t>Comunidade ribeirinha</t>
  </si>
  <si>
    <t>Negócio Social, Parceria iniciativa privada, Editais</t>
  </si>
  <si>
    <t>https://patronatosantana.wixsite.com/salaocpadretornatore</t>
  </si>
  <si>
    <t>https://www.instagram.com/padretornatore/</t>
  </si>
  <si>
    <t>https://drive.google.com/open?id=1hvfx2UmF6ug60bh_stx2QbwE2_tzaKa5</t>
  </si>
  <si>
    <t>https://drive.google.com/open?id=1lUgmQ6dUVfLoHco7BGClzNF5kzd8RpYJ</t>
  </si>
  <si>
    <t>https://drive.google.com/open?id=1sXPGvKzR0yDAnqtvvpXAz_OcixVmNSWB</t>
  </si>
  <si>
    <t>Centro de Apoio Pedagógico EducAÇÃO</t>
  </si>
  <si>
    <t>CENTRO DE APOIO PEDAGÓGICO EDUCAÇÃO</t>
  </si>
  <si>
    <t>31.282.408/0001-27</t>
  </si>
  <si>
    <t>Luana Mayara Diniz Pereira</t>
  </si>
  <si>
    <t>capeducacao8@gmail.com</t>
  </si>
  <si>
    <t>(98)98781-4943</t>
  </si>
  <si>
    <t>Rua Negro Cosme</t>
  </si>
  <si>
    <t>Maria Firmina 2</t>
  </si>
  <si>
    <t>Quadra 17</t>
  </si>
  <si>
    <t>Integralmente na ONG</t>
  </si>
  <si>
    <t>Moradores de Favelas, Afrodescendentes, Pessoas com Deficiência, Outros</t>
  </si>
  <si>
    <t>Conjunto Paranã /  Upaon-Açu /  Carlos Augusto /  Maiobão /  Vila São José /  Conjunto Maria Firmina 1 e Maria Firmina 2 /  Silvia Cantanhede /   Santa Filomena</t>
  </si>
  <si>
    <t>Negócio Social, Parceria iniciativa privada, Recursos próprios</t>
  </si>
  <si>
    <t>https://capeducacao8.negocio.site/</t>
  </si>
  <si>
    <t>https://www.instagram.com/invites/contact/?i=120j5yrsu7t8k&amp;utm_content=1bisy0m</t>
  </si>
  <si>
    <t>https://www.facebook.com/mayara.diniz.944</t>
  </si>
  <si>
    <t>https://drive.google.com/open?id=1UYje-aTXsfqekgmY6STjHgmgWOv4-Ql3</t>
  </si>
  <si>
    <t>https://drive.google.com/open?id=1FOe3lCAnnQu8KoLgvFxyYG5931PAZTwB</t>
  </si>
  <si>
    <t>https://drive.google.com/open?id=1HaAvxKEBdcyC0uwf7euufF6EBTtiK8BT</t>
  </si>
  <si>
    <t>https://drive.google.com/open?id=1RzXq0NuD3wSMCPjL4O0uVHwoUMD69iyv</t>
  </si>
  <si>
    <t>Instituto S.O.S Periferia</t>
  </si>
  <si>
    <t>ISOP</t>
  </si>
  <si>
    <t>08.981.009/0001-32</t>
  </si>
  <si>
    <t>Lucas Pinto Alves</t>
  </si>
  <si>
    <t>contato.sos.periferia@gmail.com</t>
  </si>
  <si>
    <t>(85)99131-9025</t>
  </si>
  <si>
    <t>Avenida General Osório de Paiva</t>
  </si>
  <si>
    <t>Canindezinho</t>
  </si>
  <si>
    <t>60732-142</t>
  </si>
  <si>
    <t>Em instituições parceiras (prédios de associações e igrejas).</t>
  </si>
  <si>
    <t>Moradores de Favelas, Pessoas em situação de rua, População LGBTQ+, Ribeirinhos</t>
  </si>
  <si>
    <t>Planalto Vitória, Siqueira, Santo Amaro, Jaçanaú, Granja Lisboa /  Marrocos /  Dos Canos</t>
  </si>
  <si>
    <t>https://instagram.com/sos.periferia?igshid=YmMyMTA2M2Y=</t>
  </si>
  <si>
    <t>https://drive.google.com/open?id=1SO0uknRa7oanuF1jGx7JKFffojGedGqB</t>
  </si>
  <si>
    <t>Instituto Batucando a Esperança</t>
  </si>
  <si>
    <t>BATUCANDO ESPERANÇA</t>
  </si>
  <si>
    <t>41.245.530/0001-87</t>
  </si>
  <si>
    <t>Lucyene Cruz Costa</t>
  </si>
  <si>
    <t>comunicacaobatucando@gmail.com</t>
  </si>
  <si>
    <t>(98)99234-3803</t>
  </si>
  <si>
    <t>Avenida co Contorno</t>
  </si>
  <si>
    <t>Rio Anil</t>
  </si>
  <si>
    <t>Escola Bilíngue Integral</t>
  </si>
  <si>
    <t>65000-000</t>
  </si>
  <si>
    <t>Rio Anil /  Santa Cruz /  Santa Júlia e Vila Palmeira</t>
  </si>
  <si>
    <t>crianças e adolescentes de 4 a 16 anos.</t>
  </si>
  <si>
    <t>Plataforma doação online - Pessoa Física, Parceria iniciativa privada, Editais, Doações, Recursos próprios</t>
  </si>
  <si>
    <t>50% Parceria Privada; 20% Plataforma de doação online; 20% editais; 5% recursos prórpios; 5% doações.</t>
  </si>
  <si>
    <t>https://instituto-batucando-esperanca.vercel.app/</t>
  </si>
  <si>
    <t>https://www.instagram.com/institutobatucandoaesperanca/</t>
  </si>
  <si>
    <t>https://m.facebook.com/batucandoaesperanca/</t>
  </si>
  <si>
    <t>https://www.youtube.com/channel/UCFVpaYr3c4wzgHP-MNJ8sUA</t>
  </si>
  <si>
    <t>https://drive.google.com/open?id=18-V4-ej_YNHOr0DaHkF33P6l9MAEgBHu</t>
  </si>
  <si>
    <t>Mão amiga</t>
  </si>
  <si>
    <t>TIA LU</t>
  </si>
  <si>
    <t>Luzirene</t>
  </si>
  <si>
    <t>Rua Professora Maria Iracema Lima Paiva</t>
  </si>
  <si>
    <t>Novo Parque Iracema</t>
  </si>
  <si>
    <t>61949-040</t>
  </si>
  <si>
    <t>Favela Novo parque iracema favela serra da pelada favela retiro favela urucara favela sem terra</t>
  </si>
  <si>
    <t>https://instagram.com/maoamiga87?utm_medium=copy_link</t>
  </si>
  <si>
    <t>ASSOCIAÇÃO COMUNITÁRIA NOSSA SENHORA DO CARMO</t>
  </si>
  <si>
    <t>O.S.C NOSSA SENHORA DO CARMO</t>
  </si>
  <si>
    <t>06.101.787/0001-64</t>
  </si>
  <si>
    <t>MARIA JOSE FERNANDES ALVES</t>
  </si>
  <si>
    <t>nossasenhoraassociacao021@gmail.com</t>
  </si>
  <si>
    <t>(85)98991-5660</t>
  </si>
  <si>
    <t>: RUA J CONJ. VILA VELHA IV</t>
  </si>
  <si>
    <t>VILA VELHA</t>
  </si>
  <si>
    <t>60349-100</t>
  </si>
  <si>
    <t>Moradores de Favelas, Pessoas em situação de rua, Afrodescendentes</t>
  </si>
  <si>
    <t>VILA VELHA 1 / 2 / 3 E 4  E QUINTINO CUNHA</t>
  </si>
  <si>
    <t>https://drive.google.com/open?id=1JiVjz6AjnSGwb2L8C_WLl7RvqHg1Ti3A</t>
  </si>
  <si>
    <t>Associação Comunitaria Transformar</t>
  </si>
  <si>
    <t>PROJETO SOCIAL SEMENTES DO FUTURO</t>
  </si>
  <si>
    <t>01.037.731/0001-74</t>
  </si>
  <si>
    <t>Marcionílio Antônio Aparecido</t>
  </si>
  <si>
    <t>(31)3596-6429</t>
  </si>
  <si>
    <t>Rua Cosmea</t>
  </si>
  <si>
    <t>Jardim Alterosas 2 seçao</t>
  </si>
  <si>
    <t>32673-074</t>
  </si>
  <si>
    <t>Horta comunitaria</t>
  </si>
  <si>
    <t>Jovens (18 aos 24 anos), Adultos</t>
  </si>
  <si>
    <t>Bairros da região: Jardim Alterosa /  Jardim Alterosa 2° seção /  Cruzeiro do Sul /  Dom Bosco /  Duque de Caxias</t>
  </si>
  <si>
    <t>80% parceiros 20%eventos</t>
  </si>
  <si>
    <t>www.sementesdofuturo.com.br</t>
  </si>
  <si>
    <t>https://instagram.com/sementesdofuturooficial?igshid=YmMyMTA2M2Y=</t>
  </si>
  <si>
    <t>https://drive.google.com/open?id=1tsNybkauVHNed4vyP0kHINu8mR0ywzrR</t>
  </si>
  <si>
    <t>https://drive.google.com/open?id=1F7kRGg58oyx9bJAtaZGqc7kTgyOn_d66</t>
  </si>
  <si>
    <t>https://drive.google.com/open?id=1OdbrS6KT3i7TNxsrPXISSZaAS-ECrmhq</t>
  </si>
  <si>
    <t>https://drive.google.com/open?id=1sO-Xykt-h3KPf7BNXIZ1Gm5mXCf0rXY_</t>
  </si>
  <si>
    <t>CENTRO RECREAÇÃO DE ATENDIEMNTO E DEFESA DA CRIANÇA E ADOLESECENTE</t>
  </si>
  <si>
    <t>CIRCO DE TODO MUNDO</t>
  </si>
  <si>
    <t>71089809/0002-60 /7108980</t>
  </si>
  <si>
    <t>Maria Eneide teixeira presidente e Jose Luiz Nasciemnto Pinto -Secretario</t>
  </si>
  <si>
    <t>circodetodomundodebetim@gmail.com</t>
  </si>
  <si>
    <t>31 35912903</t>
  </si>
  <si>
    <t>Rua Cícero Rabelo de Vasconcelos</t>
  </si>
  <si>
    <t>Conjunto Habitacional Bueno Franco</t>
  </si>
  <si>
    <t>32671-730</t>
  </si>
  <si>
    <t>Invasão 1º de Maio -Beco da Kenia -Sitio dos Poçoes-Mutirão 01 -Mutirão 02 -Invasão do Guanabara-cruzeiro  -</t>
  </si>
  <si>
    <t>https://www.circodetodomundo.org.br/</t>
  </si>
  <si>
    <t>https://instagram.com/circodetodomundo?utm_medium=copy_link</t>
  </si>
  <si>
    <t>https://www.facebook.com/circodetodomundo</t>
  </si>
  <si>
    <t>https://drive.google.com/open?id=1FiLnZIx6uU2MecenA17J95wke2I-HClO</t>
  </si>
  <si>
    <t>https://drive.google.com/open?id=1mrRGRyuSHViJrAizPiU5DHGEa9yl6uKx</t>
  </si>
  <si>
    <t>https://drive.google.com/open?id=1xZRAMOZwNy43fH1bGWCvFVPKKuoeymIL</t>
  </si>
  <si>
    <t>https://drive.google.com/open?id=1XaXmob87bxZO0D3Ay4jzqtn4qPyrK3FJ</t>
  </si>
  <si>
    <t>ESCOLINHA DE FUTEBOL CRAQUE NA BOLA E CRAQUE NA ESCOLA</t>
  </si>
  <si>
    <t>ESCOLINHA DE FUTEBOL CRAUE NA BOLA CRAQUE NA ESCOLA</t>
  </si>
  <si>
    <t>Valdir Gonçalves brandão</t>
  </si>
  <si>
    <t>valdiresportes7@gmail.com</t>
  </si>
  <si>
    <t>(77)99978-8704</t>
  </si>
  <si>
    <t>Fazenda teiu</t>
  </si>
  <si>
    <t>Teiu</t>
  </si>
  <si>
    <t>Paratinga</t>
  </si>
  <si>
    <t>47500-000</t>
  </si>
  <si>
    <t>Quilombola, Afrodescendentes, Dependentes Químicos, Ribeirinhos, Comunidade rural</t>
  </si>
  <si>
    <t>COMUNIDADE DE TEIÚ E COMUNIDADE QUILOMBOLA DO BARRO</t>
  </si>
  <si>
    <t>https://instagram.com/escoladefuteboldoteiu?utm_medium=copy_link</t>
  </si>
  <si>
    <t>https://drive.google.com/open?id=1WcLkw1nScKU3xo9K1Zi5H5W055Ct2kxJ</t>
  </si>
  <si>
    <t>https://drive.google.com/open?id=1RkZSMmciG57jipY5sjgRiulqpls1t8Ht</t>
  </si>
  <si>
    <t>Software e Processos LTDA</t>
  </si>
  <si>
    <t>INSTITUTO PIRENEUS</t>
  </si>
  <si>
    <t>22.966.561/0001-82</t>
  </si>
  <si>
    <t>Victor Lima Queiroz</t>
  </si>
  <si>
    <t>(62)98129-7995</t>
  </si>
  <si>
    <t>Av. Raposo Tavares</t>
  </si>
  <si>
    <t>Capuava</t>
  </si>
  <si>
    <t>Cond. Village Campinas, casa 185</t>
  </si>
  <si>
    <t>74450-210</t>
  </si>
  <si>
    <t>-</t>
  </si>
  <si>
    <t>Qualquer estudante de qualquer classe social</t>
  </si>
  <si>
    <t>https://www.facebook.com/institutopireneusbr</t>
  </si>
  <si>
    <t>https://drive.google.com/open?id=1NGowmBsMws4ziyjSlwoXB6pfkQFj83Fd</t>
  </si>
  <si>
    <t>Projeto Flor de Lótus</t>
  </si>
  <si>
    <t>PROJETO FLÓR DE LÓTUS</t>
  </si>
  <si>
    <t>Viviâne de Almeida Tôrres</t>
  </si>
  <si>
    <t>p.florlotus@gmail.com</t>
  </si>
  <si>
    <t>(31)99382-0887</t>
  </si>
  <si>
    <t>Rua Padre Antônio Maria 218</t>
  </si>
  <si>
    <t>Raposos</t>
  </si>
  <si>
    <t>Casa da Fundadora</t>
  </si>
  <si>
    <t>34400-000</t>
  </si>
  <si>
    <t>Moradores de Favelas, Imigrantes, Refugiados, Outros</t>
  </si>
  <si>
    <t>Cidade inteira e região dentro das condições do projeto</t>
  </si>
  <si>
    <t>Atendemos a familia e por esse motivo não há um público específico</t>
  </si>
  <si>
    <t>Eventos/Ações para captação, Parceria iniciativa privada, Doações, Recursos próprios</t>
  </si>
  <si>
    <t>25% de cada, mas varia de acordo com o mês, principalmente doações de pessoas físicas e recursos próprios, nós que investimos no projeto</t>
  </si>
  <si>
    <t>https://www.projetoflordelotus.com.br/</t>
  </si>
  <si>
    <t>https://www.instagram.com/projeto.flordelotus/</t>
  </si>
  <si>
    <t>https://www.facebook.com/flordelotus.lotus.1023</t>
  </si>
  <si>
    <t>https://drive.google.com/open?id=1DMMKdufDHcI_UASpqNC-uBcok3y9zmGK</t>
  </si>
  <si>
    <t>https://drive.google.com/open?id=1mhzwdhviRmZL-9wiIQ7onJg5euLznKrD</t>
  </si>
  <si>
    <t>https://drive.google.com/open?id=1GhSDJtnSY9eC-Yo7zUsZAhPi70QY6Y9g</t>
  </si>
  <si>
    <t>MUCA - Mulheres Unidas do Caratoira</t>
  </si>
  <si>
    <t>MUCA</t>
  </si>
  <si>
    <t>Winy da Vitória Fabiano de Oliveira</t>
  </si>
  <si>
    <t>mulheresunidasdocaratoira@gmail.com</t>
  </si>
  <si>
    <t>(27)99752-2458</t>
  </si>
  <si>
    <t>Escadaria Alarico Pereira do Sacramento</t>
  </si>
  <si>
    <t>Caratoira</t>
  </si>
  <si>
    <t>casa de winy/braz</t>
  </si>
  <si>
    <t>29025-646</t>
  </si>
  <si>
    <t>Produtora Cultural</t>
  </si>
  <si>
    <t>Moradores de Favelas, População LGBTQ+, Afrodescendentes, Egressos sistema carcerário</t>
  </si>
  <si>
    <t>Alagoano /  Caratoira /  Volta do Rabaiole /  Pracinha do Caratoira e Mario Cypreste</t>
  </si>
  <si>
    <t>Eventos/Ações para captação, Editais</t>
  </si>
  <si>
    <t>20%Eventos/Ações para captação; 10%Editais; 20% Parceria iniciativa privada50% Doações</t>
  </si>
  <si>
    <t>https://www.instagram.com/mulheresunidasdocaratoira/?hl=pt-br</t>
  </si>
  <si>
    <t>https://drive.google.com/open?id=106HqvteyarnFgyOhYIMVPXOIAxJCT_Ye</t>
  </si>
  <si>
    <t>https://drive.google.com/open?id=105sI3k0b8k9XRgoIYziUuzQ7Y6uo5HES</t>
  </si>
  <si>
    <t>Missão Sertão</t>
  </si>
  <si>
    <t>MISSÃO SERTÃO</t>
  </si>
  <si>
    <t>ADONIRAN PAULINO DOS PASSOS</t>
  </si>
  <si>
    <t>Rua Professora Zênia Guerra</t>
  </si>
  <si>
    <t>Jardim São Paulo</t>
  </si>
  <si>
    <t>50910-210</t>
  </si>
  <si>
    <t>Imbé /  serra vermelha /  baião grande /  MOXOTO /  Sanharó /  PESQUEIRA /  CAETÉS /  manari VELHO /  Santa Maria do cambuca /  Caruaru /  PLANETA dos macacos ceuzinho /  ibura Paulista</t>
  </si>
  <si>
    <t>Pessoas que vivem em situação de extrema pobreza</t>
  </si>
  <si>
    <t>Depende muito</t>
  </si>
  <si>
    <t>https://instagram.com/missoesigrejadafamilia?utm_medium=copy_link</t>
  </si>
  <si>
    <t>https://drive.google.com/open?id=1l6ZrhZ1dUxXiJUuaErzUfv9g1EaiQrIW</t>
  </si>
  <si>
    <t>Instituto Amar</t>
  </si>
  <si>
    <t>INSTITUTO AMAR</t>
  </si>
  <si>
    <t>Allana Tamires Canuto Gomes</t>
  </si>
  <si>
    <t>instituto.yaaa@gmail.com</t>
  </si>
  <si>
    <t>(81)99946-9295</t>
  </si>
  <si>
    <t>Rua Leandro Barreto</t>
  </si>
  <si>
    <t>Blc 04 ap 201</t>
  </si>
  <si>
    <t>50790-901</t>
  </si>
  <si>
    <t>Galpão de comerciantes locais. Não temos espaço próprio</t>
  </si>
  <si>
    <t>Moradores de Favelas, População LGBTQ+, Afrodescendentes</t>
  </si>
  <si>
    <t>Baixa, Infeninho 1 e 2 /  avenida central /  werneck /  guarulhos /  parasita /  caga ligueiro /  la roque /  quadra do Botafogo</t>
  </si>
  <si>
    <t>Público em geral  voltado para pessoas em vunerabilidade social.</t>
  </si>
  <si>
    <t>Parceria iniciativa privada, Doações</t>
  </si>
  <si>
    <t>https://instagram.com/instituto_yaa?igshid=YmMyMTA2M2Y=</t>
  </si>
  <si>
    <t>INSTITUTO PASSO DE ANJO</t>
  </si>
  <si>
    <t>IPA</t>
  </si>
  <si>
    <t>12.979.461/0001-37</t>
  </si>
  <si>
    <t>Inaldo Spok Cavalcanti de Albuquerque</t>
  </si>
  <si>
    <t>institutopassodeanjo@gmail.com</t>
  </si>
  <si>
    <t>(81)98806-8503</t>
  </si>
  <si>
    <t>Assembleia</t>
  </si>
  <si>
    <t>Timbo</t>
  </si>
  <si>
    <t>Abreu e Lima</t>
  </si>
  <si>
    <t>53525-790</t>
  </si>
  <si>
    <t>Crianças (6 a 12 anos)</t>
  </si>
  <si>
    <t>Moradores de Favelas, Afrodescendentes, Pessoas com Deficiência</t>
  </si>
  <si>
    <t>Fosfato /  Matinha /  Planalto /  Timbo</t>
  </si>
  <si>
    <t>crianças comsirome do especto do autismo* esquizofrenica* Bipolar e com deficit de Inteligencia. Todos integrados</t>
  </si>
  <si>
    <t>Lei de incentivo</t>
  </si>
  <si>
    <t>@instituto.passodeanjo</t>
  </si>
  <si>
    <t>https://drive.google.com/open?id=1KE5rMNHUUv2M-bX4pVkiucZYRDfXFN9l</t>
  </si>
  <si>
    <t>https://drive.google.com/open?id=1ksXDbaLzZwj7KsplIkRiChL99h2-fFLy</t>
  </si>
  <si>
    <t>https://drive.google.com/open?id=18Zoio3vXPpMKIXZmigQOxt7-ekcoFobE</t>
  </si>
  <si>
    <t>https://drive.google.com/open?id=1COZt3iXfe6o9ZPb9XiN8bblQcQQjDUwb</t>
  </si>
  <si>
    <t>https://drive.google.com/open?id=1_ZDAfVDzuixX4t0IUfy-0EyBGFp6GNl9</t>
  </si>
  <si>
    <t>Chef Angelo Magno</t>
  </si>
  <si>
    <t>ALIMENTANDO SEU BOLSO</t>
  </si>
  <si>
    <t>Angelo Magno Alves da Fonseca</t>
  </si>
  <si>
    <t>(81)99920-7898</t>
  </si>
  <si>
    <t>Sem endereço fixo, atuamos de forma itinerante em outros projetos que já atuam em comunidade do Recife</t>
  </si>
  <si>
    <t>Não definido</t>
  </si>
  <si>
    <t>00000-000</t>
  </si>
  <si>
    <t>Alto 13 de maio /  Chão de Estrelas /  Dois Unidos /  Chié /  Bola na rede /  Brejo de Beberibe /  Nova Descoberta /  Ibura UR-4 /  Várzea /  Bongi</t>
  </si>
  <si>
    <t>Atendemos de forma itinerante e por fases* sendo 3 favelas em cada fase</t>
  </si>
  <si>
    <t>Negócio Social, Parceria iniciativa privada, Doações</t>
  </si>
  <si>
    <t>80% Negócio Social 10% doação 10% parceria iniciativa privada</t>
  </si>
  <si>
    <t>https://www.instagram.com/alimentandoseubolso/</t>
  </si>
  <si>
    <t>https://drive.google.com/open?id=181naoJ73QJr2_cNYIB8NsxYJlf9LHKlA</t>
  </si>
  <si>
    <t>https://drive.google.com/open?id=1vSGRTQC5JY25bfTK7KZDp_lVpLpg208h</t>
  </si>
  <si>
    <t>Reintegra Recife</t>
  </si>
  <si>
    <t>REINTEGRA RECIFE</t>
  </si>
  <si>
    <t>Gustavo do Vale</t>
  </si>
  <si>
    <t>reintegra.rec@gmail.com</t>
  </si>
  <si>
    <t>(81)99999-0632</t>
  </si>
  <si>
    <t>Maria carolina</t>
  </si>
  <si>
    <t>51020-220</t>
  </si>
  <si>
    <t>Nas Ruas da cidade</t>
  </si>
  <si>
    <t>Qualificação Profissional</t>
  </si>
  <si>
    <t>https://instagram.com/reintegrarecife?igshid=YmMyMTA2M2Y=</t>
  </si>
  <si>
    <t>https://youtube.com/channel/UCkx1soXRO_1mhfFKyZEYirQ</t>
  </si>
  <si>
    <t>https://drive.google.com/open?id=1EPgew1-9OYtyDD18tKFOdkBwl1VU4PNz</t>
  </si>
  <si>
    <t>Projeto Ternura</t>
  </si>
  <si>
    <t>PROTEJO TERNURA</t>
  </si>
  <si>
    <t>Ozéias Paulo da Silva</t>
  </si>
  <si>
    <t>projeto.ternura.contato@gmail.com</t>
  </si>
  <si>
    <t>(81)98731-1525</t>
  </si>
  <si>
    <t>Rua Independência</t>
  </si>
  <si>
    <t>Brejo da Guabiraba</t>
  </si>
  <si>
    <t>155-A</t>
  </si>
  <si>
    <t>1º Andar</t>
  </si>
  <si>
    <t>52191-730</t>
  </si>
  <si>
    <t>Crianças (6 a 12 anos), Adolescentes (12 aos 18 anos), Jovens (18 aos 24 anos)</t>
  </si>
  <si>
    <t>Brejo da Guabiraba /  Cór. Jenipapo /  e Passarinho.</t>
  </si>
  <si>
    <t>@instituto.ternura</t>
  </si>
  <si>
    <t>https://drive.google.com/open?id=1ix83m6KUkn-mSjyagCuXtkCVxVo06yiS</t>
  </si>
  <si>
    <t>Trazemos Sorrisos</t>
  </si>
  <si>
    <t>TRAZEMOS SORRISOS</t>
  </si>
  <si>
    <t>Priscila Dias</t>
  </si>
  <si>
    <t>trazemossorrisos@gmail.com</t>
  </si>
  <si>
    <t>(81)99799-2877</t>
  </si>
  <si>
    <t>Rua Antônio Nogueira</t>
  </si>
  <si>
    <t>Várzea</t>
  </si>
  <si>
    <t>Edifício portal da Várzea</t>
  </si>
  <si>
    <t>50740-290</t>
  </si>
  <si>
    <t>Comunidades dos bairros</t>
  </si>
  <si>
    <t>Moradores de Favelas, Pessoas em situação de rua, População LGBTQ+, Pessoas com Deficiência</t>
  </si>
  <si>
    <t>Pina /  Várzea / Bode /  Afogados /  Jardim São Paulo</t>
  </si>
  <si>
    <t>www.naotemos.com.br</t>
  </si>
  <si>
    <t>https://instagram.com/trazemossorrisos?igshid=YmMyMTA2M2Y=</t>
  </si>
  <si>
    <t>https://drive.google.com/open?id=1CbGquUqfaO9Ne-0DucWrR2yOqRtHDbOx</t>
  </si>
  <si>
    <t>Extraordinários</t>
  </si>
  <si>
    <t>EXTRAORDINÁRIOS CARUARU</t>
  </si>
  <si>
    <t>Renato Paulo dos santos</t>
  </si>
  <si>
    <t>ongextraordinarios@gmail.com</t>
  </si>
  <si>
    <t>Avenida Rubem Florêncio de Moura</t>
  </si>
  <si>
    <t>Kennedy</t>
  </si>
  <si>
    <t>Caruaru</t>
  </si>
  <si>
    <t>55036-567</t>
  </si>
  <si>
    <t>Vila Padre Inacio. José Carlos de Oliveira. Vila do Aeroporto. Bairro Hosana</t>
  </si>
  <si>
    <t>https://instagram.com/extraordinarios.caruaru?utm_medium=copy_link</t>
  </si>
  <si>
    <t>https://drive.google.com/open?id=1bA83zZq_n1-zSrMqIG84z9fwq2pWzCnv</t>
  </si>
  <si>
    <t>Associação de Mulheres Negras do Acre e seus Apoiadores</t>
  </si>
  <si>
    <t>NEGRITUDE</t>
  </si>
  <si>
    <t>24.576.049/0001-55</t>
  </si>
  <si>
    <t>Almerinda de Souza Cunha Oliveira</t>
  </si>
  <si>
    <t>associacaomulheresnegrasac@gmail.com</t>
  </si>
  <si>
    <t>(68)99239-5903</t>
  </si>
  <si>
    <t>AC</t>
  </si>
  <si>
    <t>Rua São Peregrino</t>
  </si>
  <si>
    <t>Floresta</t>
  </si>
  <si>
    <t>Rio Branco</t>
  </si>
  <si>
    <t>69911-349</t>
  </si>
  <si>
    <t>Municípios do estado do Acre.</t>
  </si>
  <si>
    <t>Mulheres Negras em situação de vulnerabilidade social.</t>
  </si>
  <si>
    <t>https://instagram.com/associacaodemulheresnegras?utm_medium=copy_link</t>
  </si>
  <si>
    <t>https://www.facebook.com/associacaodemulheresnegras/</t>
  </si>
  <si>
    <t>https://drive.google.com/open?id=1AeFApezVMRBNpNxRlH9NN-Y9HBnyk9j_</t>
  </si>
  <si>
    <t>https://drive.google.com/open?id=1Z3XYi8KiYOeSJlaouf5pMQr3_gLOm-Yy</t>
  </si>
  <si>
    <t>SOMOS TUAS MAOS</t>
  </si>
  <si>
    <t>Rosângela Amancia de Santana</t>
  </si>
  <si>
    <t>(75)99804-7834</t>
  </si>
  <si>
    <t>Rua da torre</t>
  </si>
  <si>
    <t>Paripiranga</t>
  </si>
  <si>
    <t>48430-000</t>
  </si>
  <si>
    <t>Sede /  Cabeça da Serra /  Salgadinho</t>
  </si>
  <si>
    <t>Os atendimentos variam muito* pois cada pedido de ajuda q chega até nós* é um apelo e buscamos fazer o nosso possível para dar apoio no q necessita</t>
  </si>
  <si>
    <t>60% doações</t>
  </si>
  <si>
    <t>Associação parceiros da alegria</t>
  </si>
  <si>
    <t>ONG PARCEIROS DA ALEGRIA</t>
  </si>
  <si>
    <t>40.969.609/0001-98</t>
  </si>
  <si>
    <t>Tâmara sales silva olivieri</t>
  </si>
  <si>
    <t>ongparceirosdaalegria@gmail.com</t>
  </si>
  <si>
    <t>(71)98731-3084</t>
  </si>
  <si>
    <t>Rua Simão sobral</t>
  </si>
  <si>
    <t>MASSARANDUBA</t>
  </si>
  <si>
    <t>SALVADOR</t>
  </si>
  <si>
    <t>40435-160</t>
  </si>
  <si>
    <t>Baixa do petroleo /  Uruguai /  jardim cruzeiro - Massaranduba</t>
  </si>
  <si>
    <t>https://parceirosdaalegria.ong.br/</t>
  </si>
  <si>
    <t>https://www.instagram.com/reel/CgeTLMngeZw/?igshid=YmMyMTA2M2Y=</t>
  </si>
  <si>
    <t>IASAL</t>
  </si>
  <si>
    <t>INSTITUTO AMIGOS DA SOPA DE ALAGOAS</t>
  </si>
  <si>
    <t>25.243.955/0001-09</t>
  </si>
  <si>
    <t>TIBERIO JORGE DA S. VERA CRUZ</t>
  </si>
  <si>
    <t>contato@institutoamigosdasopa.org.br</t>
  </si>
  <si>
    <t>(82)99341-1960</t>
  </si>
  <si>
    <t>RUA ALLAN KARDEC,</t>
  </si>
  <si>
    <t>ANTARES</t>
  </si>
  <si>
    <t>LOTES 01 A 03</t>
  </si>
  <si>
    <t>MACEIÓ</t>
  </si>
  <si>
    <t>QD 12</t>
  </si>
  <si>
    <t>57048-270</t>
  </si>
  <si>
    <t>CIDADE UNIVERSITÁRIA- IGREJA  MANÁ AULA DE MUSICA</t>
  </si>
  <si>
    <t>Convênio Público, Doações, Recursos próprios</t>
  </si>
  <si>
    <t>WWW.INSTITUTOAMIGOSDASOPA.ORG.BR</t>
  </si>
  <si>
    <t>https://www.instagram.com/amigosdasopa/</t>
  </si>
  <si>
    <t>https://www.facebook.com/amigosdasopadealagoas</t>
  </si>
  <si>
    <t>https://drive.google.com/open?id=1Mf7WohSSWlofAWgCFRWU1pfOj1migQzp</t>
  </si>
  <si>
    <t>https://drive.google.com/open?id=1nXUenk05BgC0CYu1_iLxE-JVmtvX1lHk</t>
  </si>
  <si>
    <t>https://drive.google.com/open?id=1HC_LyuqhRC2fyVEIgutCn9RKqDKy7V6U</t>
  </si>
  <si>
    <t>https://drive.google.com/open?id=1Dddt9hNx2xoSrezWHBEQj-MA7ofIApiO</t>
  </si>
  <si>
    <t>https://drive.google.com/open?id=1u3HJ_CkuwbnzlvwTSG-LohRZoI9KrtE6</t>
  </si>
  <si>
    <t>Instituto Coneragir</t>
  </si>
  <si>
    <t>ICO</t>
  </si>
  <si>
    <t>44.360.262/0001-32</t>
  </si>
  <si>
    <t>Wanderson Aranda de Melo Valença Silva</t>
  </si>
  <si>
    <t>instituto@coneragir.org</t>
  </si>
  <si>
    <t>(82)98111-5567</t>
  </si>
  <si>
    <t>Rua Melo Póvoas</t>
  </si>
  <si>
    <t>Jaraguá</t>
  </si>
  <si>
    <t>Sala 216 - Centro de Inovação</t>
  </si>
  <si>
    <t>57022-230</t>
  </si>
  <si>
    <t>Moradores de Favelas, População LGBTQ+, Povos Indígenas, Quilombola, Afrodescendentes, Dependentes Químicos, Pessoas com Deficiência, Egressos sistema carcerário, Imigrantes, Refugiados, Ribeirinhos, Comunidade rural</t>
  </si>
  <si>
    <t>Reginaldo</t>
  </si>
  <si>
    <t>Jovens* adolescentes* interessados em geral* que nos buscam para alguma atividade educacional / empreendedora.</t>
  </si>
  <si>
    <t>50% Doações de parceiros; 50% Recursos próprios</t>
  </si>
  <si>
    <t>coneragir.org</t>
  </si>
  <si>
    <t>https://instagram.com/institutoconeragir</t>
  </si>
  <si>
    <t>https://drive.google.com/open?id=1cC5U8A1BkPfnf7mc7R7iCJOFNOs_E44O</t>
  </si>
  <si>
    <t>https://drive.google.com/open?id=1s3NMrpURqP0RXmP8kNZD-49YNwnxweI7</t>
  </si>
  <si>
    <t>https://drive.google.com/open?id=1ocdRk0HI9q8C0MC8vaIY_mLDyl_u0JNJ</t>
  </si>
  <si>
    <t>Instituto Dona Maria</t>
  </si>
  <si>
    <t>INSTITUTO DONA MARIA</t>
  </si>
  <si>
    <t>44.421.108/0001-23</t>
  </si>
  <si>
    <t>Weliton Simão da Silva Santos</t>
  </si>
  <si>
    <t>institutodonamaria@gmail.com</t>
  </si>
  <si>
    <t>(82)98123-0914</t>
  </si>
  <si>
    <t>Rua joão Pedro</t>
  </si>
  <si>
    <t>Roteiro</t>
  </si>
  <si>
    <t>Instituto dona maria</t>
  </si>
  <si>
    <t>57257-000</t>
  </si>
  <si>
    <t>em escolas</t>
  </si>
  <si>
    <t>Toda a cidade de Roteiro</t>
  </si>
  <si>
    <t>Atendemos a cidade como um todo.  As ruas mais perificas são mais carentes e com a maior populção em estado de vulnerabilidade social.</t>
  </si>
  <si>
    <t>www.institutodonamaria.org</t>
  </si>
  <si>
    <t>https://www.instagram.com/institutodonamaria/</t>
  </si>
  <si>
    <t>https://www.facebook.com/institutodonamaria</t>
  </si>
  <si>
    <t>https://www.youtube.com/channel/UCSuqwRdU1u6T6hlkWZBVX1A</t>
  </si>
  <si>
    <t>https://drive.google.com/open?id=1ZOJU9U99pngevFYlfY-OyR8mgtWP2np8</t>
  </si>
  <si>
    <t>https://drive.google.com/open?id=1L7w5-VYP5tTAwRzd_8CZIEUPSRG7F2sP</t>
  </si>
  <si>
    <t>Instituto Dica Ferreira</t>
  </si>
  <si>
    <t>INSTITUTO DICA FERREIRA</t>
  </si>
  <si>
    <t>38.344.415/0001-55</t>
  </si>
  <si>
    <t>Alexsandro de Jesus Ferreira Pereira</t>
  </si>
  <si>
    <t>institutodicaferreira@gmail.com</t>
  </si>
  <si>
    <t>(98)98731-3150</t>
  </si>
  <si>
    <t>Rua 6, Alto do Parque Timbira- Bom Jesus</t>
  </si>
  <si>
    <t>Bom Jesus</t>
  </si>
  <si>
    <t>São Luis</t>
  </si>
  <si>
    <t>65042-080</t>
  </si>
  <si>
    <t>Igreja Católica da Comunidade, Praça do bairro</t>
  </si>
  <si>
    <t>Moradores de Favelas, Pessoas em situação de rua, População LGBTQ+, Quilombola, Afrodescendentes</t>
  </si>
  <si>
    <t>Bom Jesus /  Primavera /  Vila dos Nobres /  São Sebastião /  Vila dos Frades /  Vila dos Nobres /  Coroadinho /  Vila Conceição /  Cidade de Deus /  Pica pau Amarelo /  Vale Verde /  Parque Nice Lobäo /  Sacavem /  Vila Nasare /  Santa Luzia.</t>
  </si>
  <si>
    <t>atendemos por meio das acoes públicos variados jovens* crianças e adultos</t>
  </si>
  <si>
    <t>eventos - 5%; editais - 70% doações - 25%</t>
  </si>
  <si>
    <t>https://institutodicaferre.wixsite.com/website</t>
  </si>
  <si>
    <t>https://www.instagram.com/institutodica/?hl=pt</t>
  </si>
  <si>
    <t>https://www.facebook.com/InstitutoDicaFerreira</t>
  </si>
  <si>
    <t>https://www.youtube.com/channel/UCMtt4GpJ8ZDSDjrq1YU8zyA</t>
  </si>
  <si>
    <t>https://drive.google.com/open?id=1Uatc2YsRw3wkIlhX10o93dQDipLVotCD</t>
  </si>
  <si>
    <t>https://drive.google.com/open?id=1lTdoGYzsctCcHD-Si21rs5n9MzH27V28</t>
  </si>
  <si>
    <t>https://drive.google.com/open?id=15F-ruYuKowrnAGGmgUOReSICZHCeI5IS</t>
  </si>
  <si>
    <t>https://drive.google.com/open?id=1cpF_3MAlPtjEOZQ3wHIBpN1LYcI1mv1v</t>
  </si>
  <si>
    <t>INSTITUTO MARIANA</t>
  </si>
  <si>
    <t>INSTITUTO EDUCACIONAL MAANAIM</t>
  </si>
  <si>
    <t>41.484.502/0001-12</t>
  </si>
  <si>
    <t>Mariana Lindoso Castelo Branco</t>
  </si>
  <si>
    <t>institutomaraiana20@gmail.com</t>
  </si>
  <si>
    <t>(98)3302-6684</t>
  </si>
  <si>
    <t>Cidade Operária</t>
  </si>
  <si>
    <t>Unidade 101</t>
  </si>
  <si>
    <t>65058-025</t>
  </si>
  <si>
    <t>Não se aplica</t>
  </si>
  <si>
    <t>Crianças bem pequenas (1 ano e 7 meses até 3 anos e 11 meses), Crianças pequenas (4 anos a 5 anos e 11 meses), Crianças (6 a 12 anos), Adolescentes (12 aos 18 anos), Jovens (18 aos 24 anos), Adultos, Idosos (60 anos ou mais)</t>
  </si>
  <si>
    <t>Cidade Operária /  Janaina /  Santa Clara /  Cidade Olímpica /  Vila Operária /  Vila Cafeteira e Vila Flamengo</t>
  </si>
  <si>
    <t>Crianças e adolescentes em situação de vulnerabilidade e suas famílias.</t>
  </si>
  <si>
    <t>Convênio Público, Eventos/Ações para captação, Parceria iniciativa privada, Editais, Doações</t>
  </si>
  <si>
    <t>50% convênio com o poder público - 30% editais -  3% eventos - 10% - 7% parcerias de iniciativas privadas                        Doações 10%</t>
  </si>
  <si>
    <t>https://instagram.com/institutomariana?igshid=YmMyMTA2M2Y=</t>
  </si>
  <si>
    <t>https://drive.google.com/open?id=1dHZ-uI5pTByBNCQqzogrZs1wz6wGfBbJ</t>
  </si>
  <si>
    <t>https://drive.google.com/open?id=1ZvophaoftOHhQqukTOeONIYhGNiN1liE</t>
  </si>
  <si>
    <t>https://drive.google.com/open?id=1P6p2qLDWr9U8hLCSj5Z-iYLyKdXePfrN</t>
  </si>
  <si>
    <t>Biblioteca Comunitária Espaço Literário Livro Livre</t>
  </si>
  <si>
    <t>ESPAÇO LITERÁRIO LIVRO LIVRE</t>
  </si>
  <si>
    <t>Maria Valdete Lemos Rodrigues</t>
  </si>
  <si>
    <t>mariasinstituto@gmail.com</t>
  </si>
  <si>
    <t>(85)98907-3199</t>
  </si>
  <si>
    <t>Antonio Santiago</t>
  </si>
  <si>
    <t>Santa Luzia</t>
  </si>
  <si>
    <t>Canindé</t>
  </si>
  <si>
    <t>Casa1</t>
  </si>
  <si>
    <t>62700-000</t>
  </si>
  <si>
    <t>Ainda não</t>
  </si>
  <si>
    <t>Moradores de Favelas, Povos Indígenas, Comunidade rural</t>
  </si>
  <si>
    <t>70% doações - 30% recursos próprios</t>
  </si>
  <si>
    <t>https://www.instagram.com/espacoliterario_ce/  https://www.instagram.com/institutomarias/</t>
  </si>
  <si>
    <t>https://www.instagram.com/institutomarias/</t>
  </si>
  <si>
    <t>https://www.facebook.com/bibliotecalivrolivrecaninde</t>
  </si>
  <si>
    <t>https://drive.google.com/open?id=1T_cZr5NjJ3R9iyh5kCj7iMmqYryPqSLe</t>
  </si>
  <si>
    <t>https://drive.google.com/open?id=1BlMVBuu9JWn9lEOhM9HmZ-597CED5S93</t>
  </si>
  <si>
    <t>COLETIVO MULHERES NEGRAS DA PERIFERIA</t>
  </si>
  <si>
    <t>Meirivania Sá Correia</t>
  </si>
  <si>
    <t>coletivomulheresnegras10@gmail.com</t>
  </si>
  <si>
    <t>(98)98510-0920</t>
  </si>
  <si>
    <t>Av. José Sarney, nº 1, QD 07</t>
  </si>
  <si>
    <t>Bom Jesus-Coroadinho</t>
  </si>
  <si>
    <t>9898510-0920</t>
  </si>
  <si>
    <t>Ao lado do Frigorífico Ferreira</t>
  </si>
  <si>
    <t>65044-520</t>
  </si>
  <si>
    <t>Escolas, quadras, ruas, praça, associação</t>
  </si>
  <si>
    <t>Favela do Coroadinho (Comunidades: Bom Jesus, Vila Primavera, Vila dos Nobres, Vila dos Frades, Vila Natal, Pocinha, Alto São Sebastião, Morro Zé Bombom).</t>
  </si>
  <si>
    <t>Nos últimos tempos as ações tem sido desenvolvidas* em sua maioria* com mulheres adultas* baixa renda* em torno da garantia da segurança alimentar por meio de parcerias com doações de cestas e cartões alimentação. 
Adolescentes (mulheres) - ações de combate a pobreza menstrual e valorização da cultura local.
Crianças (misto) - ações em torno da leitura* brincadeiras e doações
LGBT -</t>
  </si>
  <si>
    <t>Editais:</t>
  </si>
  <si>
    <t>https://www.instagram.com/coletivo.mulheresnegras/</t>
  </si>
  <si>
    <t>https://drive.google.com/open?id=1Z3E5Sxk2LuqGLcDI_alvh2Tx5RmDxNnp</t>
  </si>
  <si>
    <t>https://drive.google.com/open?id=1uI1AqSKv_QfypLgB47CsKwNlQPe3oNWh</t>
  </si>
  <si>
    <t>Instituto de Arte e Cidadania do Ceará</t>
  </si>
  <si>
    <t>IAC-CE</t>
  </si>
  <si>
    <t>23.554.074/0001-75</t>
  </si>
  <si>
    <t>Monalice Araújo Batista Fernandes</t>
  </si>
  <si>
    <t>instituto-ac2017@hotmail.com</t>
  </si>
  <si>
    <t>(85)3235-6683</t>
  </si>
  <si>
    <t>Rua Major Celestino, 1040</t>
  </si>
  <si>
    <t>Antônio Bezerra</t>
  </si>
  <si>
    <t>60361-030</t>
  </si>
  <si>
    <t>Moradores de Favelas, Pessoas em situação de rua, População LGBTQ+, Afrodescendentes, Pessoas com Deficiência</t>
  </si>
  <si>
    <t>Alto do Bode Verdes Mares Da Feira  Comunidade do trilho  Pici Planalto  Cristo Redentor</t>
  </si>
  <si>
    <t>Essas são comunidades do entorno da Institutição e que são beneficiadas pelas atividades realizadas diariamente na Sede. Mas nos equipamentos gerenciados e dispostos pela cidade de Fortaleza* existem inúmeras outras comunidades</t>
  </si>
  <si>
    <t>Lei de Incentivo, Convênio Público, Editais</t>
  </si>
  <si>
    <t>75% Convênio Público 15% Editais 10% Lei de Incetivo</t>
  </si>
  <si>
    <t>https://www.iacce.org.br/</t>
  </si>
  <si>
    <t>@iac.ce</t>
  </si>
  <si>
    <t>https://www.facebook.com/institutoartecidadania/</t>
  </si>
  <si>
    <t>https://drive.google.com/open?id=1J0zKJm_koK5tVwHiRpVL1Cv2xcFFjmRC</t>
  </si>
  <si>
    <t>https://drive.google.com/open?id=1hmw9N2R6IzRZ2raVoTfXVjko2pS2rCee</t>
  </si>
  <si>
    <t>https://drive.google.com/open?id=1mwuKfDzWHEGivaaOtqgCamV4K7w6xh-x</t>
  </si>
  <si>
    <t>Grupo Comunitário Semente da Esperança</t>
  </si>
  <si>
    <t>GCSE</t>
  </si>
  <si>
    <t>69.382.455/0001-15</t>
  </si>
  <si>
    <t>Helena de Jesus dos Santos</t>
  </si>
  <si>
    <t>gcse1992@gmail.com</t>
  </si>
  <si>
    <t>(98)98426-1215</t>
  </si>
  <si>
    <t>Travessa Nossa Senhora Aparecida</t>
  </si>
  <si>
    <t>65040-882</t>
  </si>
  <si>
    <t>Comunidades:  Vila dos Frades /  Vila São Sebastião /  Bom Jesus /  Primavera /  Vila Conceição /  Vila dos Nobres e Alto da Bela Vista</t>
  </si>
  <si>
    <t>Convênio Público, Editais, Lei Municipal da Cultura</t>
  </si>
  <si>
    <t>https://www.instagram.com/p/CfaNGlOOGan/?igshid=YmMyMTA2M2Y=</t>
  </si>
  <si>
    <t>https://www.facebook.com/gcsesemente/photos/a.963841623707394/963841593707397/</t>
  </si>
  <si>
    <t>https://drive.google.com/open?id=1mYM0i0qbwh33z1LnlO_yf6sDTvST0mkn</t>
  </si>
  <si>
    <t>https://drive.google.com/open?id=1emXmcFbAgUZqhlQZ2Oj4irM15u_-szR6</t>
  </si>
  <si>
    <t>https://drive.google.com/open?id=1q6NQGky6hvYOS1CYNT0YLBt7CgYa_5Qd</t>
  </si>
  <si>
    <t>https://drive.google.com/open?id=1CpaC1f90l5_5f689ktCzhr4NDbW1MBrt</t>
  </si>
  <si>
    <t>https://drive.google.com/open?id=1bJOgi8bGRn4QdFrMn0_ccIiqoWNSdTPQ</t>
  </si>
  <si>
    <t>Crieatividade Gestão Esportiva Empresarial LTDA</t>
  </si>
  <si>
    <t>CRIEATIVIDADE</t>
  </si>
  <si>
    <t>26.684.148/0001-86</t>
  </si>
  <si>
    <t>Natanael de Souza Ferreira</t>
  </si>
  <si>
    <t>crieatividade.ge@gmail.com</t>
  </si>
  <si>
    <t>(85)99702-8409</t>
  </si>
  <si>
    <t>Doutor Gilberto Studart, 55</t>
  </si>
  <si>
    <t>Coco</t>
  </si>
  <si>
    <t>, sala 1018, torre 1</t>
  </si>
  <si>
    <t>60192-105</t>
  </si>
  <si>
    <t>Moradores de Favelas, População LGBTQ+, Pessoas com Deficiência, Outros</t>
  </si>
  <si>
    <t>Pirambu, Cristo Redentor, Barra do Ceará, Aerolândia</t>
  </si>
  <si>
    <t>Lei de Incentivo, Negócio Social, Eventos/Ações para captação, Parceria iniciativa privada, Editais, Outro(s), Lei Municipal da Cultura, Lei Estadual do Esporte, Lei Federal do Esporte, Recursos próprios</t>
  </si>
  <si>
    <t>80% Lei estadual de esporte, 20% negócio social</t>
  </si>
  <si>
    <t>https://crieatividadegestao.com/</t>
  </si>
  <si>
    <t>https://instagram.com/crieatividadegestaoesportiva?igshid=YmMyMTA2M2Y=</t>
  </si>
  <si>
    <t>https://www.facebook.com/crieatividadegestaoesportiva/</t>
  </si>
  <si>
    <t>https://m.youtube.com/channel/UCDNrvq4K_PO_xsEzxelUQKg/featured</t>
  </si>
  <si>
    <t>https://drive.google.com/open?id=1IaC-cIvPP7fbaiHlSpnYY26MSXOR3Ofi</t>
  </si>
  <si>
    <t>https://drive.google.com/open?id=1SWjhXYrH9FRHqmjfjPk_64GPXaOFmSnm</t>
  </si>
  <si>
    <t>https://drive.google.com/open?id=1IHHzy-6zXeMjZT0QWDJZmBOAplIuj28O</t>
  </si>
  <si>
    <t>https://drive.google.com/open?id=1klkt15zaxkcS6WxarBIt12SEf2N4uVX_</t>
  </si>
  <si>
    <t>QUEIRA O BEM</t>
  </si>
  <si>
    <t>Paula Roberta Nunes de Oliveira</t>
  </si>
  <si>
    <t>aqueiraobem@gmail.com</t>
  </si>
  <si>
    <t>(85)98530-8649</t>
  </si>
  <si>
    <t>Rua João XXIII</t>
  </si>
  <si>
    <t>Granja Portugal</t>
  </si>
  <si>
    <t>60540-655</t>
  </si>
  <si>
    <t>GRANJA PORTUGAL /  BOM JARDIM /  BOMSUCESSO</t>
  </si>
  <si>
    <t>https://instagram.com/associacao_queira_o_bem?igshid=YmMyMTA2M2Y=</t>
  </si>
  <si>
    <t>https://drive.google.com/open?id=1yevDV7H4bE-ma8UvSmwzWDTXwaoWvL8N</t>
  </si>
  <si>
    <t>https://drive.google.com/open?id=10tAAs0tRlLf1Tvxx7YC10a8Aml3wOdPQ</t>
  </si>
  <si>
    <t>ASSOCIACAO CULTURAL BELEZA INTERIOR</t>
  </si>
  <si>
    <t>INSTITUTO BELEZA INTERIOR</t>
  </si>
  <si>
    <t>40.466.946/0001-62</t>
  </si>
  <si>
    <t>Paulo Mendes Silva</t>
  </si>
  <si>
    <t>institutobelezainterior@gmail.com</t>
  </si>
  <si>
    <t>(88)99330-1110</t>
  </si>
  <si>
    <t>Projetada 01</t>
  </si>
  <si>
    <t>Nossa Senhora de Fátima</t>
  </si>
  <si>
    <t>Alto Santo - Ce</t>
  </si>
  <si>
    <t>62970-000</t>
  </si>
  <si>
    <t>Tibolo /  Jardim 2 /  Camarões</t>
  </si>
  <si>
    <t>Em nossa região não temos locais com a denominação de favelas* então citeis três regiões onde atentemos e existe uma taxa de vulnerabilidades e violência maiores.</t>
  </si>
  <si>
    <t>15 % Financiamento Coletivo 85% Doação dos fundadores</t>
  </si>
  <si>
    <t>https://www.belezainterior.org/</t>
  </si>
  <si>
    <t>https://instagram.com/institutobelezainterior?igshid=YmMyMTA2M2Y=</t>
  </si>
  <si>
    <t>https://facebook.com/institutobelezainterior</t>
  </si>
  <si>
    <t>https://www.youtube.com/channel/UCEY7ImUwhkj2mcv9sX0eLKQ?app=desktop</t>
  </si>
  <si>
    <t>https://drive.google.com/open?id=1yDf4PjplL2UDu-wwpu0fEQx27f_CGqM3</t>
  </si>
  <si>
    <t>https://drive.google.com/open?id=1i3otF_aBCap3yqEJsYBxmQo4fwOlV-X2</t>
  </si>
  <si>
    <t>https://drive.google.com/open?id=1j7mMBrSCteRIaAqmqsTuv6H3Rh5L7kzX</t>
  </si>
  <si>
    <t>https://drive.google.com/open?id=1JLyunhYZtnKY7SwWWyI3ffkgoN9zID0S</t>
  </si>
  <si>
    <t>ASSOCIACAO MANA - ACOES QUE TRANSFORMAM VIDAS</t>
  </si>
  <si>
    <t>ASSOCIAÇÃO MANÁ</t>
  </si>
  <si>
    <t>12.631.278/0001-46</t>
  </si>
  <si>
    <t>Rafael Araripe da Silva</t>
  </si>
  <si>
    <t>institutotmj@gmail.com</t>
  </si>
  <si>
    <t>(85)99621-2458</t>
  </si>
  <si>
    <t>Rua Aprendizes Marinheiros</t>
  </si>
  <si>
    <t>Moura Brasil</t>
  </si>
  <si>
    <t>60010-040</t>
  </si>
  <si>
    <t>Igreja Revival, Praia, Praças e Escola do bairro.</t>
  </si>
  <si>
    <t>Moradores de Favelas, Pessoas em situação de rua, População LGBTQ+, Povos Indígenas, Afrodescendentes, Dependentes Químicos, Pessoas com Deficiência, Egressos sistema carcerário</t>
  </si>
  <si>
    <t>Oitão Preto /  Pirambu /  Piçarra /  Cristo Redentor</t>
  </si>
  <si>
    <t>https://www.instagram.com/institutotmj/</t>
  </si>
  <si>
    <t>https://drive.google.com/open?id=1JuoyPwnj_YzVInsSwPVnKOvbSilEP29L</t>
  </si>
  <si>
    <t>UNIÃO POPULAR PELA VIDA</t>
  </si>
  <si>
    <t>UPPV</t>
  </si>
  <si>
    <t>12.462.859/0001-00</t>
  </si>
  <si>
    <t>SOCORRO ZACARIAS DOS SANTOS</t>
  </si>
  <si>
    <t>uppvmv@gmail.com</t>
  </si>
  <si>
    <t>(88)99982-3178</t>
  </si>
  <si>
    <t>AVENIDA JOSÉ SOBREIRA DA CRUZ</t>
  </si>
  <si>
    <t>MATERNIDADE</t>
  </si>
  <si>
    <t>MISSÃO VELHA</t>
  </si>
  <si>
    <t>PROJETO UPPV</t>
  </si>
  <si>
    <t>63200-000</t>
  </si>
  <si>
    <t>Escola do Bairro ( quadra de esportes)</t>
  </si>
  <si>
    <t>Moradores de Favelas, Afrodescendentes, Comunidade rural, Outros</t>
  </si>
  <si>
    <t>MATERNIDADE,GILDO BRANDÃO.</t>
  </si>
  <si>
    <t>https://escolaculturaluppv.blogspot.com/</t>
  </si>
  <si>
    <t>https://www.instagram.com/uppvmissaovelha/</t>
  </si>
  <si>
    <t>https://www.facebook.com/UPPVCOMUNIDADE</t>
  </si>
  <si>
    <t>https://www.youtube.com/channel/UCtR4qj-NfauDYDbzLzptTCg?app=desktop</t>
  </si>
  <si>
    <t>https://drive.google.com/open?id=1aee6tExLSqlyiVrrDditN7rOF8KxMV-Q</t>
  </si>
  <si>
    <t>https://drive.google.com/open?id=1cmzsf34mX2j-0rPybUFCL-EfZ1OX5_oi</t>
  </si>
  <si>
    <t>https://drive.google.com/open?id=1KlzucbRQbHBYPNq1K3rQPVvGQCYAR6xj</t>
  </si>
  <si>
    <t>Comunidade Porta da Esperança do Bairro Padre Andrade</t>
  </si>
  <si>
    <t>PORTA DA ESPERANÇA</t>
  </si>
  <si>
    <t>12.460.705/0001-70</t>
  </si>
  <si>
    <t>Renata Alves dos Santos Bandeira</t>
  </si>
  <si>
    <t>portacomunidade@gmail.com</t>
  </si>
  <si>
    <t>(85)98844-6011</t>
  </si>
  <si>
    <t>Av Major Assis</t>
  </si>
  <si>
    <t>Antigo bairro Padre Andrade</t>
  </si>
  <si>
    <t>60340-250</t>
  </si>
  <si>
    <t>Favela Lagoa do Urubu</t>
  </si>
  <si>
    <t>Atendemos os moradores do nosso bairro e também os moradores dos bairros vizinhos* jardim Iracema e Vila Velha 4</t>
  </si>
  <si>
    <t>20% Doações /40% Recursos Próprios/40%Feiras e Bingo</t>
  </si>
  <si>
    <t>https://instagram.com/050985esperanca?igshid=YmMyMTA2M2Y=</t>
  </si>
  <si>
    <t>Butija Social Esporte e Cultura</t>
  </si>
  <si>
    <t>BUTIJA TENNIS</t>
  </si>
  <si>
    <t>Leonardo de Oliveira</t>
  </si>
  <si>
    <t>Rua Urarirama</t>
  </si>
  <si>
    <t>Ouro Preto</t>
  </si>
  <si>
    <t>31310-330</t>
  </si>
  <si>
    <t>São Geraldo, Barreiro, Ribeirão das Neves</t>
  </si>
  <si>
    <t>Trabalhamos com pessoas com deficiência física</t>
  </si>
  <si>
    <t>https://www.instagram.com/butijatennis/</t>
  </si>
  <si>
    <t>https://www.facebook.com/ButijaTennis</t>
  </si>
  <si>
    <t>INSTITUTO Socioambiental das vertentes</t>
  </si>
  <si>
    <t>IVERT</t>
  </si>
  <si>
    <t>04.621.427/0001-68</t>
  </si>
  <si>
    <t>Efigênia Simplicio da Costa</t>
  </si>
  <si>
    <t>institutoivert9@gmail.com</t>
  </si>
  <si>
    <t>(32)99809-8800</t>
  </si>
  <si>
    <t>Rua Professor Carlos Benjamim Gonçalves</t>
  </si>
  <si>
    <t>Boa Morte</t>
  </si>
  <si>
    <t>Barbacena</t>
  </si>
  <si>
    <t>36200-128</t>
  </si>
  <si>
    <t>Sim. Em escolas, creches, asilos e nas comunidades</t>
  </si>
  <si>
    <t>Crianças (6 a 12 anos), Adolescentes (12 aos 18 anos), Adultos, Idosos (60 anos ou mais)</t>
  </si>
  <si>
    <t>Moradores de Favelas, Pessoas em situação de rua, Povos Indígenas, Quilombola</t>
  </si>
  <si>
    <t>Padre Brito /  Retiro das Rosas /  Pinheiro Grosso</t>
  </si>
  <si>
    <t>O público alvo varia com o tipo de atividade</t>
  </si>
  <si>
    <t>Lei de Incentivo, Doações, Recursos próprios</t>
  </si>
  <si>
    <t>70% lei de incentivo, 20% recurso próprio e 10%doacoes</t>
  </si>
  <si>
    <t>facebook.com/institutosocioambientaldasvertentes</t>
  </si>
  <si>
    <t>@casaverde/ivert</t>
  </si>
  <si>
    <t>youtube.com/channel/UCbAEJeiRj5rH0m9_kqeQhZg</t>
  </si>
  <si>
    <t>Coletivo Cultural e social Sol Nascente</t>
  </si>
  <si>
    <t>COLETIVO SOL NASCENTE</t>
  </si>
  <si>
    <t>Paulo Sérgio de Souza</t>
  </si>
  <si>
    <t>cdebora.alencar@gmail.com</t>
  </si>
  <si>
    <t>(61)3379-4355</t>
  </si>
  <si>
    <t>SHSN 16 QUADRA 2 CONJUNTO A CASA 31</t>
  </si>
  <si>
    <t>SOL NASCENTE</t>
  </si>
  <si>
    <t>CEILÂNDIA</t>
  </si>
  <si>
    <t>CONDOMÍNIO VENCEDOR</t>
  </si>
  <si>
    <t>sim quadra da 75</t>
  </si>
  <si>
    <t>Moradores de Favelas, População LGBTQ+, Outros</t>
  </si>
  <si>
    <t>sol Nascente trecho  3</t>
  </si>
  <si>
    <t>artista* familia de artistas* comunidade em vulnerabilidade social</t>
  </si>
  <si>
    <t>RECURSOS PRÓPRIOS 70 % EVENTOS E DOAÇÕES 30</t>
  </si>
  <si>
    <t>www.www</t>
  </si>
  <si>
    <t>https://drive.google.com/open?id=1nD0cmmMLrwA-t-vgvyJe0J_nJQW2RezF</t>
  </si>
  <si>
    <t>Instituto Antônio Coelho de Castro</t>
  </si>
  <si>
    <t>INSTITUTO GERAÇÃO FUTURO</t>
  </si>
  <si>
    <t>33.802.776/0001-84</t>
  </si>
  <si>
    <t>Denise Burjack da Silva de Sousa</t>
  </si>
  <si>
    <t>institutoantoniocoelhodecastro@gmail.com</t>
  </si>
  <si>
    <t>(63)98488-4657</t>
  </si>
  <si>
    <t>TO</t>
  </si>
  <si>
    <t>Alameda 43</t>
  </si>
  <si>
    <t>Plano diretor sul</t>
  </si>
  <si>
    <t>Qi 42  cr 01</t>
  </si>
  <si>
    <t>Palmas</t>
  </si>
  <si>
    <t>77024-504</t>
  </si>
  <si>
    <t>Pessoas em situação de rua, Outros</t>
  </si>
  <si>
    <t>Quadras 1306 sul /  1206 Sul e 1304 Sul</t>
  </si>
  <si>
    <t>https://instagram.com/iac.antoniocoelhodecastro?igshid=YmMyMTA2M2Y=</t>
  </si>
  <si>
    <t>https://drive.google.com/open?id=1piRM1ZrSgOjAboX0lE2zPlM6YAEN6efx</t>
  </si>
  <si>
    <t>https://drive.google.com/open?id=1veRZYR0hJC1DTTy9wuF46uZP5payRA5Z</t>
  </si>
  <si>
    <t>https://drive.google.com/open?id=1WDZ7XD-9s0Ob6-bRh5KmQgfAY1uPChWO</t>
  </si>
  <si>
    <t>INSTITUTO KALEO</t>
  </si>
  <si>
    <t>21.271.761/0001-58</t>
  </si>
  <si>
    <t>Edson Modesto de A Junior</t>
  </si>
  <si>
    <t>contato@institutokaleo.org</t>
  </si>
  <si>
    <t>(69)99236-1555</t>
  </si>
  <si>
    <t>RR</t>
  </si>
  <si>
    <t>OLaria</t>
  </si>
  <si>
    <t>Porto Velho</t>
  </si>
  <si>
    <t>sala 02</t>
  </si>
  <si>
    <t>76900-000</t>
  </si>
  <si>
    <t>Escola do Bairro</t>
  </si>
  <si>
    <t>Moradores de Favelas, Povos Indígenas, Quilombola, Afrodescendentes, Imigrantes, Refugiados, Ribeirinhos, Comunidade rural</t>
  </si>
  <si>
    <t>Comunidade Novo Ji-Parana /  Comunidade 5km e Comunidade Delta</t>
  </si>
  <si>
    <t>atuamos na periferia da cidade na área de saúde e educação empreendedora</t>
  </si>
  <si>
    <t>Negócio Social, Convênio Público, Eventos/Ações para captação, Parceria iniciativa privada, Editais, Doações</t>
  </si>
  <si>
    <t>Negocio social 5% convênio Público 25% eventos 25% Iniciativa privada 30% 5% editais 10% doações</t>
  </si>
  <si>
    <t>www.institutokaleo.org</t>
  </si>
  <si>
    <t>https://www.instagram.com/kaleoinstituto/</t>
  </si>
  <si>
    <t>https://www.facebook.com/kaleoinstituto</t>
  </si>
  <si>
    <t>https://drive.google.com/open?id=1XTP0h5Fu7WMDF3-73xHREO-EYHykjR_1</t>
  </si>
  <si>
    <t>https://drive.google.com/open?id=1Lt_hrPoKNRjBc3iFerjfvyvMz6laVNuJ</t>
  </si>
  <si>
    <t>https://drive.google.com/open?id=1nWuZCbAe38Wpg0NUr7-eZrMrVx3-Ru3f</t>
  </si>
  <si>
    <t>https://drive.google.com/open?id=1MGj5053h58EKvHnaI4hbbxyMegnXbgpZ</t>
  </si>
  <si>
    <t>INSTITUTO SOCIAL DE ASSISTÊNCIA COMUNITÁRIA MÃO AMIGA</t>
  </si>
  <si>
    <t>PROJETO SOCIAL MÃO AMIGA</t>
  </si>
  <si>
    <t>43295795/000115</t>
  </si>
  <si>
    <t>ELVES DIAS DOS SANTOS CARVALHO</t>
  </si>
  <si>
    <t>projetoinstitutoma.2020@gmail.com</t>
  </si>
  <si>
    <t>COMUNIDADE QUILOMBOLA TOME NUNES</t>
  </si>
  <si>
    <t>Malhada</t>
  </si>
  <si>
    <t>46440-000</t>
  </si>
  <si>
    <t>COMUNIDADE QUILOMBOLA TOME NUNES /  COMUNIDADE DO JULIÃO /  COMUNIDADE DO AGUIAS /  COMUNIDADE ILHA DE ZEZE /  COMUNIDADE DE ILHA DE MALHADA</t>
  </si>
  <si>
    <t>https://www.instagram.com/projetosocialmaoamiga3/</t>
  </si>
  <si>
    <t>https://www.facebook.com/patricia.almeidacarvalho.186/</t>
  </si>
  <si>
    <t>https://drive.google.com/open?id=1OWbnXA4gzA-WX76gx-uY_s22MDI5GZ9Z</t>
  </si>
  <si>
    <t>https://drive.google.com/open?id=1JZeMDHCky6T5cxKEcmLZ5mcmXkZqZuUO</t>
  </si>
  <si>
    <t>https://drive.google.com/open?id=1Pj26M6U3Eo-6BopSM8i2xArUuOsHKlZh</t>
  </si>
  <si>
    <t>https://drive.google.com/open?id=1_nEfSPSUiTxt0wnMg9wSGwt-xCMcN91Z</t>
  </si>
  <si>
    <t>Associação de Moradores do Bairro Alvorada</t>
  </si>
  <si>
    <t>ASSOCIAÇÃO DE MORADORES DO BAIRRO ALVORADA</t>
  </si>
  <si>
    <t>21.238.746/0001-08</t>
  </si>
  <si>
    <t>Flaviane Vieira de Oliveira Mendonça</t>
  </si>
  <si>
    <t>diretoriaamba21@gmail.com</t>
  </si>
  <si>
    <t>(34)99695-8816</t>
  </si>
  <si>
    <t>Rua Edesio Fernandes de Morais  n 71</t>
  </si>
  <si>
    <t>Alvorada</t>
  </si>
  <si>
    <t>38407-096</t>
  </si>
  <si>
    <t>Assentamento Santa Clara /  Assentamento Fidel Castro /  Assentamento Maná /  Assentamento Carlito Cordeiro /  Assentamento Santa Clara /  Comunidade Alvorada /  Comunidade Morumbi /  Comunidade Joana Dark /  Comunidade Dom Almir /  Comunidade Sucupira /  Comunidade Prosperidade /  Comunidade Olhos D'agua /  Comunidade Tenda dos Morenos /</t>
  </si>
  <si>
    <t>A muitos anos lutamos junto a comunidade para dar apoio as famílias de vulnerabilidade social mas durante a pandemia diminuiu muito as doações que chegavam até nós por isso agradeço a oportunidade de fazer parte da família gerando falcons para assim juntos darmos continuidade ao atendimento as famílias carentes.</t>
  </si>
  <si>
    <t>Eventos/Ações para captação, Parceria iniciativa privada, Outro(s), Doações</t>
  </si>
  <si>
    <t>associacao.m.b.alvorada</t>
  </si>
  <si>
    <t>https://drive.google.com/open?id=1TpmfJVTxFhQI9Sa1kfvU9eCgAVrJOWfV</t>
  </si>
  <si>
    <t>https://drive.google.com/open?id=1DrZlWcvOm_A5G4sZQkfNVF-MlR2MBNjq</t>
  </si>
  <si>
    <t>https://drive.google.com/open?id=1kANZEeWPrV8Pufkn8uTlRnylm6k-Ufbj</t>
  </si>
  <si>
    <t>Instituto Geração Tatami</t>
  </si>
  <si>
    <t>GERAÇÃO TATAMI</t>
  </si>
  <si>
    <t>38.249.097/0001-43</t>
  </si>
  <si>
    <t>Galileu Paolo Paiva</t>
  </si>
  <si>
    <t>geracaotatami@gmail.com</t>
  </si>
  <si>
    <t>(31)98661-1898</t>
  </si>
  <si>
    <t>Nova Pampulha</t>
  </si>
  <si>
    <t>Vespasiano</t>
  </si>
  <si>
    <t>33203-462</t>
  </si>
  <si>
    <t>Moradores de Favelas, Imigrantes</t>
  </si>
  <si>
    <t>Favelinha /  Vila Maria /  Taquaril /  Alto Vera Cruz /  Morro Alto /  Riacho /  Água Limpa /  Veneza /</t>
  </si>
  <si>
    <t>50% Recursos Próprios; 50% Doações</t>
  </si>
  <si>
    <t>https://www.instagram.com/geracaotatami/</t>
  </si>
  <si>
    <t>https://drive.google.com/open?id=1fmc0VtXx7TRI6YHJxioDCOXkBDvZzvSI</t>
  </si>
  <si>
    <t>https://drive.google.com/open?id=13Z20RWdm26Z-B52up30CRZVPZxJSZKvT</t>
  </si>
  <si>
    <t>https://drive.google.com/open?id=1OJDzVD9-YirXAcsEjLfmQpZWjmcKWu99</t>
  </si>
  <si>
    <t>https://drive.google.com/open?id=1FumC4FEWgv4NxY46iszXqNFBujKTaoHT</t>
  </si>
  <si>
    <t>Instituto 7 Gerações</t>
  </si>
  <si>
    <t>7 GERAÇÕES</t>
  </si>
  <si>
    <t>28.932.203/0001-35</t>
  </si>
  <si>
    <t>Marcia Alminda Silva Costa</t>
  </si>
  <si>
    <t>hans@7geracoes.org.br</t>
  </si>
  <si>
    <t>(35)99809-8137</t>
  </si>
  <si>
    <t>Av. Silvio Menicucci</t>
  </si>
  <si>
    <t>Olaria</t>
  </si>
  <si>
    <t>Lavras</t>
  </si>
  <si>
    <t>37202-480</t>
  </si>
  <si>
    <t>Escola do bairro (anexa ao núcleo)</t>
  </si>
  <si>
    <t>Novo Horizonte (COHAB João da Cruz Botrel), 14 de Agosto</t>
  </si>
  <si>
    <t>São comunidades de alta vulnerabilidade social* marcada pela presença do tráfico de drogas e por um alto índice de gravidez na adolescência. Grande incidência de evasão escolar e falta de oporttunidades para jovens e adultos. Tudo foi agravado com a realidade da pandemia.</t>
  </si>
  <si>
    <t>Plataforma doação online - Pessoa Física, Parceria iniciativa privada, Editais, Doações, FIA</t>
  </si>
  <si>
    <t>Estamos iniciando essa diversificação esse ano. Em 2022, será aproximadamente, 50% Doação / 30% Fia / 15% Empresas Privadas / 5% Doação online recorrente</t>
  </si>
  <si>
    <t>www.7geracoes.org.br</t>
  </si>
  <si>
    <t>https://www.instagram.com/7geracoes/</t>
  </si>
  <si>
    <t>https://www.facebook.com/search/top?q=instituto%207%20gera%C3%A7%C3%B5es</t>
  </si>
  <si>
    <t>https://drive.google.com/open?id=1t8zhhjbpbqoI447ue2D4lCOUHESHdakQ</t>
  </si>
  <si>
    <t>https://drive.google.com/open?id=1wAcB0BRky3Gooxwdi0iYchTTJZhn7mx-</t>
  </si>
  <si>
    <t>https://drive.google.com/open?id=17QiqQdi7950nWh-qVrFMtTU8Ltsx9k_o</t>
  </si>
  <si>
    <t>https://drive.google.com/open?id=1_LnXCk89EHiIKLJu68jq7fN3umUE5EW8</t>
  </si>
  <si>
    <t>https://drive.google.com/open?id=1p6M3AW9rsh1mGDreFEM5CsEfdmAopYTJ</t>
  </si>
  <si>
    <t>Terno Moçambique Estrela Guia</t>
  </si>
  <si>
    <t>TERNO MOÇAMBIQUE ESTRELA GUIA</t>
  </si>
  <si>
    <t>06.207.190/0001-07</t>
  </si>
  <si>
    <t>Elenion Euripedes Campos</t>
  </si>
  <si>
    <t>femininal@hotmail.com</t>
  </si>
  <si>
    <t>(34)98811-3435</t>
  </si>
  <si>
    <t>Rua Do Dolar</t>
  </si>
  <si>
    <t>São Jorge</t>
  </si>
  <si>
    <t>Uberlandia</t>
  </si>
  <si>
    <t>38410-168</t>
  </si>
  <si>
    <t>Assentamentos</t>
  </si>
  <si>
    <t>Pessoas em situação de rua, População LGBTQ+, Afrodescendentes, Pessoas com Deficiência, Refugiados, Outros</t>
  </si>
  <si>
    <t>Assentamento Maná , Assentamento Fidel Castro , Assentamento Gloria /  Assentamento Emiliano Zapata</t>
  </si>
  <si>
    <t>Somos uma comunidade periferica da cidade de Uberlândia* região sul da cidade.</t>
  </si>
  <si>
    <t>25% Lei Municipal de cultura</t>
  </si>
  <si>
    <t>https://www.instagram.com/mocambique_estrela_guia/</t>
  </si>
  <si>
    <t>https://www.facebook.com/EstrelaGuiaT/</t>
  </si>
  <si>
    <t>https://drive.google.com/open?id=1aziG6X1jd3Fsrm8vBpUSdAsUgF9DTHSG</t>
  </si>
  <si>
    <t>https://drive.google.com/open?id=1g4vOAmFyMdYt_6G5d9zbL4rY9-18bJis</t>
  </si>
  <si>
    <t>https://drive.google.com/open?id=1l2q_aXpMw5_MUjywXQ6NQT-A3i-tMr9o</t>
  </si>
  <si>
    <t>https://drive.google.com/open?id=1riekplD1bA2xI6zFfs5JJPRqqCKix1mu</t>
  </si>
  <si>
    <t>https://drive.google.com/open?id=1Wg4iNbF6f60tmScR9hE7jucym_vsA5S7</t>
  </si>
  <si>
    <t>Projeto Assistencial Sementes de Esperança</t>
  </si>
  <si>
    <t>PASES</t>
  </si>
  <si>
    <t>12.094.241/0001-26</t>
  </si>
  <si>
    <t>Ivone Fernandes Gazola Aguiar</t>
  </si>
  <si>
    <t>ongpases@gmail.com</t>
  </si>
  <si>
    <t>(61)99916-1634</t>
  </si>
  <si>
    <t>DF 180 Cond. Quintas do Amarante Quadra:F Lote:06</t>
  </si>
  <si>
    <t>INCRA 9</t>
  </si>
  <si>
    <t>Ceilândia Norte</t>
  </si>
  <si>
    <t>área rural</t>
  </si>
  <si>
    <t>72227-992</t>
  </si>
  <si>
    <t>Salão Comunitário do Bairro</t>
  </si>
  <si>
    <t>Moradores de Favelas, Quilombola, Comunidade rural</t>
  </si>
  <si>
    <t>DF: Incra 9 /  Sol Nascente e Setor O, RJ: Parque das Missões /  Prainha-Manágua, Parada de Lucas e Vigário Geral, GO: Quilombo Kalunga /  Comunidades Diadema /  Funil e Ribeirão.</t>
  </si>
  <si>
    <t>Áreas em extrema situação de vulnerabilidade e sem apoio governamental nas necessidades básicas. Áreas Rurais no DF e o Sol Nascente Trecho 2. Quilombo Kalunga* e Rio de Janeiro.</t>
  </si>
  <si>
    <t>90% doações e 10% bazar</t>
  </si>
  <si>
    <t>www.ongpases.com.br</t>
  </si>
  <si>
    <t>@ong.pases</t>
  </si>
  <si>
    <t>https://drive.google.com/open?id=1OrnNEs2ohtKg1qWG13aba1qNdFHU9VgY</t>
  </si>
  <si>
    <t>https://drive.google.com/open?id=1UjSz99AkTdcX-2VCRM-SbMd28Cf5-gCg</t>
  </si>
  <si>
    <t>https://drive.google.com/open?id=189NWk3tMQ2X0WlBw23UrXAhKsg8aq4ip</t>
  </si>
  <si>
    <t>Educação para a Liberdade</t>
  </si>
  <si>
    <t>EDUCAÇÃO PARA A LIBERDADE</t>
  </si>
  <si>
    <t>41.659.203/0001-71</t>
  </si>
  <si>
    <t>João Paulo Rocha Camargo</t>
  </si>
  <si>
    <t>contato@epl.social</t>
  </si>
  <si>
    <t>(27)98823-8201</t>
  </si>
  <si>
    <t>Santa Luíza</t>
  </si>
  <si>
    <t>Sala 804</t>
  </si>
  <si>
    <t>29045-402</t>
  </si>
  <si>
    <t>Adolescentes (12 aos 18 anos)</t>
  </si>
  <si>
    <t>Central Carapina</t>
  </si>
  <si>
    <t>Lei de Incentivo, Negócio Social, Plataforma doação online - Pessoa Física, Editais, Doações, FIA, Recursos próprios</t>
  </si>
  <si>
    <t>Estamos iniciando a estruturação dos processos de captação. Até hoje foi 30% recursos próprios e 70% doações de pessoas físicas</t>
  </si>
  <si>
    <t>www.epl.social</t>
  </si>
  <si>
    <t>https://www.instagram.com/educacaoparaaliberdade/</t>
  </si>
  <si>
    <t>https://www.youtube.com/channel/UCpi7BlR-feEabZbYqor7u3A/videos</t>
  </si>
  <si>
    <t>https://drive.google.com/open?id=12Y8iYU8f0kjBthLvJcNc542SiQpJW_L9</t>
  </si>
  <si>
    <t>https://drive.google.com/open?id=1dZUGM04bOEUGnaAh-ddfM3RtIn_KKJVC</t>
  </si>
  <si>
    <t>INSTITUTO PATERNUS</t>
  </si>
  <si>
    <t>INSTITUTO GERADOS PELO PAI</t>
  </si>
  <si>
    <t>40.819.473/0001-30</t>
  </si>
  <si>
    <t>Wilker Kildery Costa de Almeida</t>
  </si>
  <si>
    <t>instituto.paternus@gmail.com</t>
  </si>
  <si>
    <t>(85)98779-0138</t>
  </si>
  <si>
    <t>Rua Graça Aranha</t>
  </si>
  <si>
    <t>60336-228</t>
  </si>
  <si>
    <t>Comunidade Padre Hélio Campos e CDD</t>
  </si>
  <si>
    <t>Moradores de Favelas, Pessoas em situação de rua, Dependentes Químicos, Pessoas com Deficiência, Egressos sistema carcerário</t>
  </si>
  <si>
    <t>Comunidade do Álvaro Weyne e Floresta</t>
  </si>
  <si>
    <t>Pessoas em situação de grande pobreza.</t>
  </si>
  <si>
    <t>100% Eventos</t>
  </si>
  <si>
    <t>https://www.instagram.com/institutopaternus/</t>
  </si>
  <si>
    <t>https://www.facebook.com/institutopaternuss</t>
  </si>
  <si>
    <t>https://drive.google.com/open?id=1uvwqH9a4tGVjLBhmBRkmXsroecM2urTx</t>
  </si>
  <si>
    <t>https://drive.google.com/open?id=1FuTZnbZk9msLTPgabRc_fDru9dETPOuo</t>
  </si>
  <si>
    <t>https://drive.google.com/open?id=1yyyq5wvsz26LRr0snov1oqVQK8AHp43W</t>
  </si>
  <si>
    <t>https://drive.google.com/open?id=1BgcDkv1YG-gF3U8QZyWTYG31_gCJbMd-</t>
  </si>
  <si>
    <t>https://drive.google.com/open?id=1bdmNKqCt6RnsboBAyuDtASn4MNhIPYdI</t>
  </si>
  <si>
    <t>GRUPO DE ASSISTENCIA SOCIAL* CULTURAL* ESPORTES E LAZER - G.A.S</t>
  </si>
  <si>
    <t>GAS</t>
  </si>
  <si>
    <t>14.472.022/0001-69</t>
  </si>
  <si>
    <t>Claudionora Ferreira</t>
  </si>
  <si>
    <t>(81)98724-5450</t>
  </si>
  <si>
    <t>Rua cantora clara nunes</t>
  </si>
  <si>
    <t>Torre</t>
  </si>
  <si>
    <t>Quadra c</t>
  </si>
  <si>
    <t>50711-550</t>
  </si>
  <si>
    <t>Moradores de Favelas, Pessoas em situação de rua</t>
  </si>
  <si>
    <t>via mangue</t>
  </si>
  <si>
    <t>https://instagram.com/gas.favelasrecife?igshid=YmMyMTA2M2Y=</t>
  </si>
  <si>
    <t>https://drive.google.com/open?id=1Plia2i2i2tIgTvawxmCdNFzqh9Zx_54n</t>
  </si>
  <si>
    <t>https://drive.google.com/open?id=1R_jQA98WJTK0iyg0Tt_PxrforbpKIutk</t>
  </si>
  <si>
    <t>https://drive.google.com/open?id=10924kN0mcufy2FByu6Z2W6NRvnDY1VSk</t>
  </si>
  <si>
    <t>LOBO &amp; DUREY ARQUITETURA LTDA.</t>
  </si>
  <si>
    <t>DONA OBRA</t>
  </si>
  <si>
    <t>34.955.596/0001-03</t>
  </si>
  <si>
    <t>DENISE BESERRA DUREY</t>
  </si>
  <si>
    <t>contato@donaobra.arq.br</t>
  </si>
  <si>
    <t>(81)98164-3898</t>
  </si>
  <si>
    <t>Arlindo Cisneiros, 237, Sala 12</t>
  </si>
  <si>
    <t>Bomba do Hemetério</t>
  </si>
  <si>
    <t>Sala 12</t>
  </si>
  <si>
    <t>52080-100</t>
  </si>
  <si>
    <t>Moradores de Favelas, População LGBTQ+</t>
  </si>
  <si>
    <t>Comunidades dos Bairros Bomba do Hemetério /  Alto José do Pinho /  Alto Santa Terezinha /  Linha do Tiro /  Água Fria /  Beberibe /  Alto da Bondade /  Água Fria e Sapucaia</t>
  </si>
  <si>
    <t>Somos um Negócio Social que capta recursos financeiros de terceiros para realizar reformas habitacionais e promover a moradia digna pra famílias de extrema pobreza nos territórios em que atuamos. Em paralelo* para sermos autosustentáveis* também vendemos reformas para famílias de menor renda das classes C e D* mas que tem condições de pagar por uma reforma. Para estas famílias as reformas são vendidas através de parcelamento em 30x no boleto.
Os beneficiados são as próprias famílias que recebem as reformas doadas (ou que compraram  a reforma)* mas também a economia local dos territórios em que atuamos pois contratamos a mão de obra da comunidade para executar a reforma (gerando renda pra estas pessoas) e também compramos os materiais de construção nos pequenos lojistas destas localidades.</t>
  </si>
  <si>
    <t>https://www.instagram.com/donaobra.arq/</t>
  </si>
  <si>
    <t>https://drive.google.com/open?id=163BQw1a2CveJv8f15pWatECKYD05bp4H</t>
  </si>
  <si>
    <t>https://drive.google.com/open?id=1zinLcZ5cs3ufU8JD72BEns3NMzRti2hw</t>
  </si>
  <si>
    <t>https://drive.google.com/open?id=1Syh9-3So5__SOEAKQPK3mLZRCHWba-vU</t>
  </si>
  <si>
    <t>ASSOCIAÇÃO MÚSICA AMIGOS SOLIDÁRIOS AMAS</t>
  </si>
  <si>
    <t>30.471.045/0001-05</t>
  </si>
  <si>
    <t>Derineudo de Souza dos Santos</t>
  </si>
  <si>
    <t>amigossolidariosac@gmail.com</t>
  </si>
  <si>
    <t>(68)99963-1368</t>
  </si>
  <si>
    <t>Rua W11</t>
  </si>
  <si>
    <t>Conjunto Tucumã</t>
  </si>
  <si>
    <t>69919-742</t>
  </si>
  <si>
    <t>Bairro Aroeira, Juarez Távora, Jequitibá, Adalberto Sena, Mocinha Magalhães, Tucumã, Rui Lino</t>
  </si>
  <si>
    <t>Bairro Mocinha Magalhães, Bairro Jequitibá, Bairro Aroeira, Bairro Wilson Ribeiro, Adalberto Sena, Juarez Távora, Cruzeirinho, Caladinho, Andira e Cabreúva.</t>
  </si>
  <si>
    <t>https://instagram.com/amigossolidariosac?igshid=YmMyMTA2M2Y=</t>
  </si>
  <si>
    <t>https://www.facebook.com/Projetoamigossolidariosacre/</t>
  </si>
  <si>
    <t>https://drive.google.com/open?id=1BW8LpgDW4FfrBcfKCrm5NEh0LZyxI2o4</t>
  </si>
  <si>
    <t>https://drive.google.com/open?id=1aSt_x4UvUNU4hL10Et5pli3FEXwI1K1W</t>
  </si>
  <si>
    <t>https://drive.google.com/open?id=11I8XAWh9K9OWW-r7OK8wujcwBmW9HNbi</t>
  </si>
  <si>
    <t>Associação das Mulheres de Nazaré da Mata</t>
  </si>
  <si>
    <t>AMUNAM</t>
  </si>
  <si>
    <t>12.813.226/0001-90</t>
  </si>
  <si>
    <t>Roberta de Araújo Silva</t>
  </si>
  <si>
    <t>amunam1988@gmail.com</t>
  </si>
  <si>
    <t>(81)3633-1008</t>
  </si>
  <si>
    <t>Rua Cel Manoel Inácio</t>
  </si>
  <si>
    <t>Nazaré da Mata</t>
  </si>
  <si>
    <t>55800-000</t>
  </si>
  <si>
    <t>Maioria das atividades são na Sede da AMUNAM em Nazaré da Mata, em parceria com escolas e comunidades,  porém temos trabalhos pontuais nas cidades de Buenos Aires, Itaquitinga, Vicencia ( distritos e Quilombo), Aliança, Carpina e Tracunhaém.</t>
  </si>
  <si>
    <t>Moradores de Favelas, Quilombola, Comunidade rural, Outros</t>
  </si>
  <si>
    <t>Alto da Boa Vista,  Loteamento Tamataúpe,  Eugenio Bandeira,  Vila Madalena,</t>
  </si>
  <si>
    <t>O município é pequeno* a sede da instituição fica no centro que fácil acesso para todas as áreas* daí as  atividades acontecem na Sede da Instituição* que tem espaço e salas organizadas para o atendimento. Nao temos trabalhos especificos por favela* mas atendemos a demanda das pessoas dos vários lugares.</t>
  </si>
  <si>
    <t>Convênio Público, Parceria iniciativa privada, Editais, Doações, Lei Estadual da Cultura, Lei Municipal da Cultura, Recursos próprios</t>
  </si>
  <si>
    <t>Emenda Parlamentar 34% ; Apoio Cultural 20%; Natura 14%; Aluguel de Salas 13%; Grupos Culturais 9%; Prêmio 5%; Auxilio Emergencial 3%, outras receitas/doação 2%</t>
  </si>
  <si>
    <t>www.amunam.org.br</t>
  </si>
  <si>
    <t>https://instagram.com/ong_amunam?igshid=1011493xdedue</t>
  </si>
  <si>
    <t>www.facebook.com/OficialAmunam</t>
  </si>
  <si>
    <t>www.youtube.com/user/amunam2011/videos</t>
  </si>
  <si>
    <t>https://drive.google.com/open?id=1J0tWuKeD5hJZ43kHJrIcV0izO_dUp_qC</t>
  </si>
  <si>
    <t>https://drive.google.com/open?id=1yFY0Kfs-dY9PIYKeN6NNf5_mxy5DFSOl</t>
  </si>
  <si>
    <t>https://drive.google.com/open?id=1GBZz7OpV_ngsEApNbKV-n4LYzOnv4cr1</t>
  </si>
  <si>
    <t>https://drive.google.com/open?id=1pb2ixX9G4FbAqo2F-wBMO237jneRmhj5</t>
  </si>
  <si>
    <t>Pereirinha Futebol Clube</t>
  </si>
  <si>
    <t>PEREIRINHA FUTEBOL CLUBE</t>
  </si>
  <si>
    <t>12.586.772/0001-36</t>
  </si>
  <si>
    <t>Elias marques de Araujo</t>
  </si>
  <si>
    <t>pereirinhafc@hotmail.com</t>
  </si>
  <si>
    <t>(81)98810-0010</t>
  </si>
  <si>
    <t>Rua Alto Bonito</t>
  </si>
  <si>
    <t>Agua Fria</t>
  </si>
  <si>
    <t>52120-185</t>
  </si>
  <si>
    <t>Alto do Pereirinha</t>
  </si>
  <si>
    <t>Crianças e adolescentes de ambos os sexos dos 5 aos 17 anos</t>
  </si>
  <si>
    <t>https://drive.google.com/open?id=1nwiAUSS7A1stYq3MTPoCIOWoU9HLiWOQ</t>
  </si>
  <si>
    <t>https://drive.google.com/open?id=1L1DD8U05qX3eIM7O8NnZUtB7_JpN9n_C</t>
  </si>
  <si>
    <t>https://drive.google.com/open?id=1oCBwA0n2CIGecL7RPn-_FHxhl-od7Yi_</t>
  </si>
  <si>
    <t>https://drive.google.com/open?id=1DmayUSxEzpU2FsjmYOiNcNI31SvRn8Mu</t>
  </si>
  <si>
    <t>Emanuela Tereza Betancourt Ortiz Ferreira</t>
  </si>
  <si>
    <t>OXENTE MAINHA SOCIAL</t>
  </si>
  <si>
    <t>oxentemainha2017@gmail.com</t>
  </si>
  <si>
    <t>(81)99999-6623</t>
  </si>
  <si>
    <t>Rua José Avelar 44</t>
  </si>
  <si>
    <t>Casa provisória</t>
  </si>
  <si>
    <t>50810-220</t>
  </si>
  <si>
    <t>Ar livre, ou espaço alugado.</t>
  </si>
  <si>
    <t>Crianças pequenas (4 anos a 5 anos e 11 meses), Crianças (6 a 12 anos), Adolescentes (12 aos 18 anos), Adultos, Idosos (60 anos ou mais)</t>
  </si>
  <si>
    <t>21 abril /  beira rio /  Vila arraes /  Malvinas /  ninho das cobras /  Em /  / campo do banco</t>
  </si>
  <si>
    <t>Convênio Público, Outro(s), Recursos próprios</t>
  </si>
  <si>
    <t>0.5</t>
  </si>
  <si>
    <t>http/@oxentemainhasocial</t>
  </si>
  <si>
    <t>https://www.facebook.com/OXENTEMAINHAOFICIAL1</t>
  </si>
  <si>
    <t>https://drive.google.com/open?id=1_3osKcNYSOC4DBrA16D7IjOI8WP2TTax</t>
  </si>
  <si>
    <t>https://drive.google.com/open?id=1H9vT_S9_sPTOjHkFZfWoAA4cZLwkQ0He</t>
  </si>
  <si>
    <t>MAAC - Movimento de Articulação Ambiental e Cultural</t>
  </si>
  <si>
    <t>MAAC</t>
  </si>
  <si>
    <t>10.550.948/0001-74</t>
  </si>
  <si>
    <t>Eufrásio Cavalcanti de Sena</t>
  </si>
  <si>
    <t>maac.recife@gmail.com</t>
  </si>
  <si>
    <t>(81)99941-6999</t>
  </si>
  <si>
    <t>Rua Vale do Siriji,30</t>
  </si>
  <si>
    <t>UR-07 Várzea</t>
  </si>
  <si>
    <t>50970-000</t>
  </si>
  <si>
    <t>Escola municipal João Francisco</t>
  </si>
  <si>
    <t>Negócio Social, Doações, Recursos próprios</t>
  </si>
  <si>
    <t>https://www.instagram.com/p/CcmgFfjuOds/?igshid=YmMyMTA2M2Y=</t>
  </si>
  <si>
    <t>https://Facebook.com/maacrecife</t>
  </si>
  <si>
    <t>https://drive.google.com/open?id=1v4kW514SWyij5G-MfroCFmfw5oaCpUL_</t>
  </si>
  <si>
    <t>https://drive.google.com/open?id=1IgCyzm2DaBpjb_GmitSw666pQT65QeHR</t>
  </si>
  <si>
    <t>Deficiente Eficiente</t>
  </si>
  <si>
    <t>DEFICIENTE EFICIENTE</t>
  </si>
  <si>
    <t>26.682.235/0001-02</t>
  </si>
  <si>
    <t>Felipe Gervásio</t>
  </si>
  <si>
    <t>deficiente07eficiente@gmail.com</t>
  </si>
  <si>
    <t>(81)97906-8043</t>
  </si>
  <si>
    <t>Segunda Travessa José Liberato</t>
  </si>
  <si>
    <t>Cavaleiro</t>
  </si>
  <si>
    <t>Jaboatão dos Guararapes</t>
  </si>
  <si>
    <t>54210-543</t>
  </si>
  <si>
    <t>Cavaleiro /  Curado /  Zumbi do Pacheco /  Prazeres /  Cajueiro Seco /  Afogados /  Caxanga /  Casa Amarela /  Cabo de Santo Agostinho /  São José do Egito /  Cumaru /  Passira</t>
  </si>
  <si>
    <t>Atendimento voltado para as pessoas com deficiência* familiares e pessoas em vulnerabilidade social.</t>
  </si>
  <si>
    <t>https://www.instagram.com/p/Cb_YEFdut0O/?utm_source=ig_web_button_share_sheet</t>
  </si>
  <si>
    <t>https://drive.google.com/open?id=1BlwwRmZXfOTP5b2u9y-YmODarLuHG9Vz</t>
  </si>
  <si>
    <t>https://drive.google.com/open?id=1ClNfbVeE8CUOsDw2CRJtry07IVS2rsxn</t>
  </si>
  <si>
    <t>Ong Deus é Fiel</t>
  </si>
  <si>
    <t>ONG DEUS É FIEL</t>
  </si>
  <si>
    <t>FERNANDA ANGELA</t>
  </si>
  <si>
    <t>ongdeusefieloficial@gmail.com</t>
  </si>
  <si>
    <t>(81)98638-5977</t>
  </si>
  <si>
    <t>av d</t>
  </si>
  <si>
    <t>maranguape 2</t>
  </si>
  <si>
    <t>paulista</t>
  </si>
  <si>
    <t>53421-612</t>
  </si>
  <si>
    <t>Moradores de Favelas, Pessoas em situação de rua, População LGBTQ+, Povos Indígenas, Quilombola, Afrodescendentes, Dependentes Químicos, Pessoas com Deficiência, Egressos sistema carcerário, Imigrantes, Refugiados, Ribeirinhos, Comunidade rural</t>
  </si>
  <si>
    <t>Favela lago da paz/As casinhas/Favela das cocheiras</t>
  </si>
  <si>
    <t>Toda comunidade  adjacentes</t>
  </si>
  <si>
    <t>Eventos/Ações para captação, Plataforma doação online - Pessoa Física, Outro(s), Recursos próprios</t>
  </si>
  <si>
    <t>90% recursos proprios</t>
  </si>
  <si>
    <t>https://www.instagram.com/reel/CfmwDyDr35o/?igshid=YmMyMTA2M2Y%3D</t>
  </si>
  <si>
    <t>Universus Esc Art Pod Art Cultural</t>
  </si>
  <si>
    <t>UNIVERSUS INSTITUTE</t>
  </si>
  <si>
    <t>Givanildo Amâncio da Silva</t>
  </si>
  <si>
    <t>escritoriocultural@gmail.com</t>
  </si>
  <si>
    <t>Rua Capitão Lima</t>
  </si>
  <si>
    <t>Santo Amaro</t>
  </si>
  <si>
    <t>50040-080</t>
  </si>
  <si>
    <t>Bomba do Hemetério /  Sertões Oernambucanos</t>
  </si>
  <si>
    <t>http://ceapolman.blogspot.com/2010/12/docs-centro-estudos-astronomicos-de.html</t>
  </si>
  <si>
    <t>https://www.instagram.com/tv/CCBmE3FJ_Df/?utm_source=ig_web_copy_link</t>
  </si>
  <si>
    <t>https://drive.google.com/open?id=1JcCKAwMmw76bu7uG5n0_FydAMTP_mVN5</t>
  </si>
  <si>
    <t>https://drive.google.com/open?id=1ZBQEsDOzRkRHCs7Og0ed9dt7tC8AA6lw</t>
  </si>
  <si>
    <t>https://drive.google.com/open?id=1ktVsP6Tutuc8hJ-Er6bLttflHUdA7czd</t>
  </si>
  <si>
    <t>https://drive.google.com/open?id=1RTq0WkobnOOb2eR5Beg07JQFrz5cVmN6</t>
  </si>
  <si>
    <t>https://drive.google.com/open?id=1ohQzKJvEj4KjAqtUyNqZmwv9ZDOD_yeY</t>
  </si>
  <si>
    <t>Instituto Portal Social da Ponte</t>
  </si>
  <si>
    <t>O PORTAL</t>
  </si>
  <si>
    <t>39.821.813/0001-88</t>
  </si>
  <si>
    <t>Igor Sacha Florentino Cruz</t>
  </si>
  <si>
    <t>contato@somosaponte.com</t>
  </si>
  <si>
    <t>(81)99996-4874</t>
  </si>
  <si>
    <t>Rua José  da Silva Lucena</t>
  </si>
  <si>
    <t>Imbiribeira</t>
  </si>
  <si>
    <t>51150-430</t>
  </si>
  <si>
    <t>Igreja do Bairro</t>
  </si>
  <si>
    <t>Pilar /  Coqueiral /  Lage /  Sonho Meu /  cafesopolis /   Beira da Maré.</t>
  </si>
  <si>
    <t>Eventos/Ações para captação, Parceria iniciativa privada, Editais, Doações, Recursos próprios</t>
  </si>
  <si>
    <t>abraoporta.org</t>
  </si>
  <si>
    <t>https://instagram.com/abraoportal?igshid=YmMyMTA2M2Y=</t>
  </si>
  <si>
    <t>Coletivo Beco Cultural</t>
  </si>
  <si>
    <t>BECO CULTURAL</t>
  </si>
  <si>
    <t>45.685.145/0001-01</t>
  </si>
  <si>
    <t>Israel Ubaldo Vasconcelos Neto</t>
  </si>
  <si>
    <t>contato@mucamboinstituto.org</t>
  </si>
  <si>
    <t>(81)3429-3060</t>
  </si>
  <si>
    <t>Rua Atlântico</t>
  </si>
  <si>
    <t>Quadra E-08</t>
  </si>
  <si>
    <t>53370-530</t>
  </si>
  <si>
    <t>Recreio dos Aposentados - Rua Assaí, 06, Quadra B30 - Ouro Preto - Olinda - PE</t>
  </si>
  <si>
    <t>Crianças pequenas (4 anos a 5 anos e 11 meses), Crianças (6 a 12 anos), Adultos</t>
  </si>
  <si>
    <t>Vila da manchete e zona rural de Ouro Preto</t>
  </si>
  <si>
    <t>80% Doações  e 20% Eventos/Ações para captação</t>
  </si>
  <si>
    <t>https://www.instagram.com/mucamboinstituto/</t>
  </si>
  <si>
    <t>https://www.youtube.com/channel/UC8datwc1ga2JBhT_Ziqjf_Q</t>
  </si>
  <si>
    <t>https://drive.google.com/open?id=1LrprFo_yxeVNbmz9IWa1mdPfWCcrhD80</t>
  </si>
  <si>
    <t>https://drive.google.com/open?id=1rwWVjsWWNaTpfjxkM4rfLN9dTfDfb0hj</t>
  </si>
  <si>
    <t>https://drive.google.com/open?id=1xmzfrcgwA66XNu9H92FnMwxch-VpEWuO</t>
  </si>
  <si>
    <t>ASSOCIAÇÃO PRO CULTURA- MONTE SANTO DE MINAS</t>
  </si>
  <si>
    <t>ASSOCIAÇÃO PRO CULTURA</t>
  </si>
  <si>
    <t>19.972.395/0001-12</t>
  </si>
  <si>
    <t>Juliana de Oliveira Duarte</t>
  </si>
  <si>
    <t>associacaoproculturamsm@gmail.com</t>
  </si>
  <si>
    <t>(35)9917-9201</t>
  </si>
  <si>
    <t>Rua Olímpio Bento da Silva</t>
  </si>
  <si>
    <t>Monte Santo de Minas</t>
  </si>
  <si>
    <t>37968-000</t>
  </si>
  <si>
    <t>No Clube da Cidade, Distrito de Milagre, no Espaço Recreativo da Terceira Idade, No Espaço de Oficina do Serviço Social da Prefeitura.</t>
  </si>
  <si>
    <t>BAIRRO ALTO DA ESTACÃO /  MOCOQUINHA E MATADOURO</t>
  </si>
  <si>
    <t>Convênio Público, Parceria iniciativa privada</t>
  </si>
  <si>
    <t>https://www.facebook.com/associacaoprocultura</t>
  </si>
  <si>
    <t>https://www.instagram.com/procultura_msm/</t>
  </si>
  <si>
    <t>ASSOCIAÇÃO ITAMAR PARA PROMOÇÃO DE ESPORTES E CULTURA NA FAVELA</t>
  </si>
  <si>
    <t>PROJETO ITAMAR</t>
  </si>
  <si>
    <t>30.577.024/0001-79</t>
  </si>
  <si>
    <t>laudilene fernanda benevides</t>
  </si>
  <si>
    <t>projetoitamarbh@gmail.com</t>
  </si>
  <si>
    <t>(31)99151-2901</t>
  </si>
  <si>
    <t>serenata</t>
  </si>
  <si>
    <t>belo horizonte</t>
  </si>
  <si>
    <t>rua</t>
  </si>
  <si>
    <t>30250-000</t>
  </si>
  <si>
    <t>sim,centro cultural</t>
  </si>
  <si>
    <t>AGLOMERADO DA SERRA COM 7 VILAS (APARECIDA,CONCEIÇÃO,CAFEZAL,NOVO SÃO LUCAS, FATIMA, FAZENDINHA,N/S DO ROSARIO / ) NA REGIÃO CENTRO SUL DE BELO HORIZONTE/ ALTO VERA CRUZ NA REGIAO LESTE DE BELO HORIZONTE.</t>
  </si>
  <si>
    <t>95% recursos proprios</t>
  </si>
  <si>
    <t>https://www.instagram.com/invites/contact/?i=m3nmenethjkc&amp;utm_content=4rngjpt</t>
  </si>
  <si>
    <t>https://www.facebook.com/Projetoitamar/</t>
  </si>
  <si>
    <t>https://drive.google.com/open?id=1Tqp5MdYlQQycOK5i5ob2bCbRuCadgQQo</t>
  </si>
  <si>
    <t>https://drive.google.com/open?id=1uInA9-VeAPJpAAbMXwwO45NALlW5Y4sI</t>
  </si>
  <si>
    <t>https://drive.google.com/open?id=1foZ9BClLBwBWwqIJR5L5Cl4VSs0Z9UZc</t>
  </si>
  <si>
    <t>Associacao centro de apoio acolher</t>
  </si>
  <si>
    <t>ACOLHER</t>
  </si>
  <si>
    <t>39.490.984/0001-71</t>
  </si>
  <si>
    <t>walisson matos araujo</t>
  </si>
  <si>
    <t>walissonk01@gmail.com</t>
  </si>
  <si>
    <t>(31)99821-3895</t>
  </si>
  <si>
    <t>Rua Sereno 2361</t>
  </si>
  <si>
    <t>sao jorge</t>
  </si>
  <si>
    <t>BELO HORIZONTE</t>
  </si>
  <si>
    <t>30360-360</t>
  </si>
  <si>
    <t>Sao jorge 1  /  2 e 3</t>
  </si>
  <si>
    <t>centrodeapoioacolherdesentralozaminas..com.br</t>
  </si>
  <si>
    <t>https://www.instagram.com/p/CfwFpHbOADJ/?igshid=MDJmNzVkMjY=</t>
  </si>
  <si>
    <t>https://youtu.be/f2f1V582jCk</t>
  </si>
  <si>
    <t>https://drive.google.com/open?id=1hQBpRD_UdikM1v2l9lBGHRvAccqUFjVZ</t>
  </si>
  <si>
    <t>https://drive.google.com/open?id=1HzwPQTPq_sbbwisDNtXL4CT2DDX8W9og</t>
  </si>
  <si>
    <t>https://drive.google.com/open?id=1NRh9P-GAvwQSVqRHmygVzV7BBJI2-F6A</t>
  </si>
  <si>
    <t>https://drive.google.com/open?id=11e2emBX3-QhJHS3Bx6pKAOQewD49yY-e</t>
  </si>
  <si>
    <t>https://drive.google.com/open?id=1Hx4q2yaWeTY0MnS_PCjZ2syLdgKTWAK5</t>
  </si>
  <si>
    <t>Ideal do Amanhã Guaicuy</t>
  </si>
  <si>
    <t>IDEAL DO AMANHÃ</t>
  </si>
  <si>
    <t>44.449.612/0001-31</t>
  </si>
  <si>
    <t>Marcia Rodrigues Tomaz</t>
  </si>
  <si>
    <t>idealdoamanha.org@gmail.com</t>
  </si>
  <si>
    <t>(31)99938-8077</t>
  </si>
  <si>
    <t>BOLIVAR DE FREITAS</t>
  </si>
  <si>
    <t>RAPOSOS</t>
  </si>
  <si>
    <t>CAMPO DE FUTEBOL CEDIDO</t>
  </si>
  <si>
    <t>Cidade de Raposos e região rural</t>
  </si>
  <si>
    <t>Damos orientação para as famílias q na maioria das vezes sofreram algum trauma. Assistimos  algumas profissionais do sexo</t>
  </si>
  <si>
    <t>25%,DOAÇÕES,  50% EVENTO\CAPITAÇÃO RECURSO,25% INICIATIVAPRIVADO</t>
  </si>
  <si>
    <t>https://instagram.com/idealdoamanha?igshid=YmMyMTA2M2Y=</t>
  </si>
  <si>
    <t>CUIDAR</t>
  </si>
  <si>
    <t>CUIDAR MENSAGEIROS DA ESPERANÇA</t>
  </si>
  <si>
    <t>22.503.109/0001-84</t>
  </si>
  <si>
    <t>Marco Túlio gomes</t>
  </si>
  <si>
    <t>missionariotulio@gmail.com</t>
  </si>
  <si>
    <t>(31)99945-7312</t>
  </si>
  <si>
    <t>Rua Elce ribeiro</t>
  </si>
  <si>
    <t>São João batista</t>
  </si>
  <si>
    <t>31515-190</t>
  </si>
  <si>
    <t>Moradores de Favelas, Egressos sistema carcerário, Outros</t>
  </si>
  <si>
    <t>COMUNIDADE MINA /  COMUNIDADE CASINHA</t>
  </si>
  <si>
    <t>apoio a familias envolvidas em trafico* crianças em maus tratos* mulheres violentadas* ação social em familias com apoio com alientos* acompanhamento e orientação familiar.</t>
  </si>
  <si>
    <t>50% recurso próprio. 25% doação  25% eventos</t>
  </si>
  <si>
    <t>cuidarmg@gmaim.com</t>
  </si>
  <si>
    <t>cuidarmg.com.br</t>
  </si>
  <si>
    <t>Somos Todos Muribeca - STM</t>
  </si>
  <si>
    <t>SOMOS TODOS MURIBECA</t>
  </si>
  <si>
    <t>37.483.637/0001-96</t>
  </si>
  <si>
    <t>João Marcelo Mendes Trindade</t>
  </si>
  <si>
    <t>equipe@somostodosmuribeca.com.br</t>
  </si>
  <si>
    <t>(81)9871-57550</t>
  </si>
  <si>
    <t>Rua Doutor Armando Tavares</t>
  </si>
  <si>
    <t>Conjunto Muribeca</t>
  </si>
  <si>
    <t>JABOATAO dos Guararapes</t>
  </si>
  <si>
    <t>54350-230</t>
  </si>
  <si>
    <t>Moradores de Favelas, População LGBTQ+, Quilombola, Afrodescendentes, Outros</t>
  </si>
  <si>
    <t>Conjunto Muribeca, Nova Muribeca, Brasil Novo, Loteamento Brasil Novo, Marcos Freire, Jardim Muribeca</t>
  </si>
  <si>
    <t>Plataforma doação online - Pessoa Física, Editais, Doações, Recursos próprios</t>
  </si>
  <si>
    <t>70% editais 10% doações 20% recursos próprios</t>
  </si>
  <si>
    <t>www.somostodosmuribeca.com.br</t>
  </si>
  <si>
    <t>https://www.instagram.com/somostodosmuribeca/</t>
  </si>
  <si>
    <t>https://www.facebook.com/somostodosmuribeca</t>
  </si>
  <si>
    <t>https://www.youtube.com/user/muribecaelogo/videos</t>
  </si>
  <si>
    <t>https://drive.google.com/open?id=1_X52gf3fah0TXfCnxAxUt9O-58CLIvao</t>
  </si>
  <si>
    <t>https://drive.google.com/open?id=1ULjzLue7q9kar3z3rJbkwNx9yLLvksiG</t>
  </si>
  <si>
    <t>https://drive.google.com/open?id=1fjVzUAakgWVSakKXLYVHnhDtXiWYUQXs</t>
  </si>
  <si>
    <t>PROJETO AURORA</t>
  </si>
  <si>
    <t>40.587.839/0001-92</t>
  </si>
  <si>
    <t>JOAO PAULO FARIAS COSTA</t>
  </si>
  <si>
    <t>projetoaurorarecife@gmail.com</t>
  </si>
  <si>
    <t>(81)99771-0592</t>
  </si>
  <si>
    <t>R. Alfredo Coutinho</t>
  </si>
  <si>
    <t>Poço da Panela</t>
  </si>
  <si>
    <t>recife</t>
  </si>
  <si>
    <t>52061-130</t>
  </si>
  <si>
    <t>Trabalho, igreja</t>
  </si>
  <si>
    <t>Moradores de Favelas, Pessoas em situação de rua, Outros</t>
  </si>
  <si>
    <t>90% Parceria iniciativa privada / 10% Doações</t>
  </si>
  <si>
    <t>https://www.basqueteaurora.com/</t>
  </si>
  <si>
    <t>https://www.instagram.com/aurora_basketball/</t>
  </si>
  <si>
    <t>https://www.facebook.com/basqueteaurora</t>
  </si>
  <si>
    <t>https://www.youtube.com/c/AuroraBasketballRecife</t>
  </si>
  <si>
    <t>https://drive.google.com/open?id=1iwGdCO_5mypTX0LYKoG2pqKlpDOag1lM</t>
  </si>
  <si>
    <t>https://drive.google.com/open?id=1cuporsBBiu29BxVZH9bgzQWKsNncAu3z</t>
  </si>
  <si>
    <t>https://drive.google.com/open?id=1KA-C7-Jdv8_YxYnMi7ApAcw0VCvwRt1H</t>
  </si>
  <si>
    <t>https://drive.google.com/open?id=1bMcoiOgg6c1iLNQxC7RkGk2kqe0MTJLk</t>
  </si>
  <si>
    <t>PROJETO VIDA EMANUEL</t>
  </si>
  <si>
    <t>PVE</t>
  </si>
  <si>
    <t>José Deybson Machado Soares Júnior</t>
  </si>
  <si>
    <t>projetovidaemanuel@gmail.com</t>
  </si>
  <si>
    <t>(81)99302-6749</t>
  </si>
  <si>
    <t>Rua Rosário do Oeste</t>
  </si>
  <si>
    <t>Ibura</t>
  </si>
  <si>
    <t>Prédio da Igreja Batista Emanuel do Ibura</t>
  </si>
  <si>
    <t>51240-725</t>
  </si>
  <si>
    <t>Favela do buruçu, Favela do candieiro</t>
  </si>
  <si>
    <t>A ONG está localizada na divisa entre os bairros do Ibura e do Jordão. Com isso nós atendemos a população dessas duas grandes comunidades.</t>
  </si>
  <si>
    <t>https://www.instagram.com/projetovidaemanuel/</t>
  </si>
  <si>
    <t>https://drive.google.com/open?id=1Z7SRK7lxInja0LWoHoedbq28SFnSU9bS</t>
  </si>
  <si>
    <t>ZhaLuArt Instituto</t>
  </si>
  <si>
    <t>ZHALUART INSTITUTO</t>
  </si>
  <si>
    <t>Josias Adolfo da Silva Netto</t>
  </si>
  <si>
    <t>zhaluartinstituto@gmail.com</t>
  </si>
  <si>
    <t>(81)98207-0795</t>
  </si>
  <si>
    <t>Rua Santo Aleixo 481</t>
  </si>
  <si>
    <t>Santo Aleixo</t>
  </si>
  <si>
    <t>54120-040</t>
  </si>
  <si>
    <t>Moradores de Favelas, Pessoas em situação de rua, Pessoas com Deficiência, Comunidade rural, Outros</t>
  </si>
  <si>
    <t>Manassú /  Loteamento Manassú /  Assentamento e Alto da Chesf</t>
  </si>
  <si>
    <t>Eventos/Ações para captação, Plataforma doação online - Pessoa Física, Doações, Recursos próprios</t>
  </si>
  <si>
    <t>Doação 60% / Recurso próprio 20% / Doação Online 10% / Ações para captação 10%</t>
  </si>
  <si>
    <t>https://www.instagram.com/zhaluart_instituto/</t>
  </si>
  <si>
    <t>https://www.facebook.com/InstitutoZhaLuArt/?ref=pages_you_manage</t>
  </si>
  <si>
    <t>https://drive.google.com/open?id=1-OM_dsZuiU5l9m7WfR7nby9pUbtLk2wG</t>
  </si>
  <si>
    <t>Centro Comunitário da Paz</t>
  </si>
  <si>
    <t>COMPAZ</t>
  </si>
  <si>
    <t>Secretaria de Segurança Cidadã - Murilo Cavalcanti</t>
  </si>
  <si>
    <t>juliana.novaes@recife.pe.gov.br</t>
  </si>
  <si>
    <t>Avenida Caxangá</t>
  </si>
  <si>
    <t>Madalena</t>
  </si>
  <si>
    <t>50720-000</t>
  </si>
  <si>
    <t>Sitio Berardo, Cardoso, Santa Luzia, Caranguejo Tabaiares, Must e Nova Caxangá</t>
  </si>
  <si>
    <t>http://www2.recife.pe.gov.br/</t>
  </si>
  <si>
    <t>https://instagram.com/compazrecife?utm_medium=copy_link</t>
  </si>
  <si>
    <t>https://drive.google.com/open?id=1jKh2tlZ5oY3coHqMVsQ1u8QJtyg119nt</t>
  </si>
  <si>
    <t>Centro Escola Mangue</t>
  </si>
  <si>
    <t>ESCOLA MANGUE</t>
  </si>
  <si>
    <t>07.161.172/0001-96</t>
  </si>
  <si>
    <t>José Diogo Silva Xavier de Macêdo</t>
  </si>
  <si>
    <t>escolamangue@gmail.com</t>
  </si>
  <si>
    <t>(81)99645-2921</t>
  </si>
  <si>
    <t>Rua Afrânio 273</t>
  </si>
  <si>
    <t>Brasília Teimosa</t>
  </si>
  <si>
    <t>Esquina com a Orla de Brasília Teimosa</t>
  </si>
  <si>
    <t>51010-150</t>
  </si>
  <si>
    <t>Praia do Pina e praia do buraco da velha.
Manguezal do Pina e por baixo das pontes do Recife quando conseguimos passeio de Catamarã, com as crianças e de baiteira, barco a remo, com os adultos</t>
  </si>
  <si>
    <t>Moradores de Favelas, Ribeirinhos</t>
  </si>
  <si>
    <t>Pina e Brasilia Teimosa</t>
  </si>
  <si>
    <t>Estamos redirecionando o foco do nosso trabalho investindo mais no empoderamento feminino via empreendedorismo e a empregabilidade e formação profissional dos jovens.</t>
  </si>
  <si>
    <t>Negócio Social, Eventos/Ações para captação, Editais, Doações, Recursos próprios</t>
  </si>
  <si>
    <t>Lei Aldir Blanc 40%, Editais 40%, Doações 20%</t>
  </si>
  <si>
    <t>www.escolamangue.org</t>
  </si>
  <si>
    <t>https://www.instagram.com/p/Cf4yPqiLHR9/?igshid=YmMyMTA2M2Y=</t>
  </si>
  <si>
    <t>https://www.facebook.com/centroescolamangue/</t>
  </si>
  <si>
    <t>https://youtu.be/lx2rMzgyED4</t>
  </si>
  <si>
    <t>Associação Shoto Karatê do Kai</t>
  </si>
  <si>
    <t>ACADEMIA MARCOS NASCIMENTO</t>
  </si>
  <si>
    <t>Marcos</t>
  </si>
  <si>
    <t>Rua Agamenon Magalhães</t>
  </si>
  <si>
    <t>COHAB</t>
  </si>
  <si>
    <t>51300-480</t>
  </si>
  <si>
    <t>Iha de Joaneiro /  Santo Amaro / Chie / Campo do vila /  Tacaruna / jardim Brasil / Sitio Novo / João de Barros.</t>
  </si>
  <si>
    <t>Todos</t>
  </si>
  <si>
    <t>https://youtube.com/user/mkarate1</t>
  </si>
  <si>
    <t>https://instagram.com/marcos.nascimento.50364592?utm_medium=copy_link</t>
  </si>
  <si>
    <t>https://www.facebook.com/marcos.nascimento.50364592</t>
  </si>
  <si>
    <t>https://drive.google.com/open?id=1Uj7dXo4HIE5ktnWiOEeq5g7-5dMzERUu</t>
  </si>
  <si>
    <t>https://drive.google.com/open?id=18gJRJIYyRqXxEdOADqILYU6z9UhkfVfA</t>
  </si>
  <si>
    <t>https://drive.google.com/open?id=1bCKdN7OoA7Tz09L-sayXBPhCivCaX1xf</t>
  </si>
  <si>
    <t>https://drive.google.com/open?id=1EyuwmSvoy1DBqwBqOtKO-rhcPNI3UcqN</t>
  </si>
  <si>
    <t>PROJETO FÁBRICA</t>
  </si>
  <si>
    <t>Marcos Kleyton Antunes Bezerra</t>
  </si>
  <si>
    <t>fabricadolazer@gmail.com</t>
  </si>
  <si>
    <t>(81)98664-7302</t>
  </si>
  <si>
    <t>Rua Realeza</t>
  </si>
  <si>
    <t>Bairro São José</t>
  </si>
  <si>
    <t>Comunidade São Geraldo</t>
  </si>
  <si>
    <t>50090-690</t>
  </si>
  <si>
    <t>Quadra da praça da comunidade</t>
  </si>
  <si>
    <t>São José e Coque</t>
  </si>
  <si>
    <t>https://www.instagram.com/projetofabrica/</t>
  </si>
  <si>
    <t>https://drive.google.com/open?id=1_05s2jRSllD0eP45wkQpCLObiXdry6Tx</t>
  </si>
  <si>
    <t>Projeto Solidários</t>
  </si>
  <si>
    <t>PROJETO SOLIDÁRIOS</t>
  </si>
  <si>
    <t>Edson Francisco da Silva</t>
  </si>
  <si>
    <t>projetosolidarios.adm@gmail.com</t>
  </si>
  <si>
    <t>(81)99426-6265</t>
  </si>
  <si>
    <t>Rua treze</t>
  </si>
  <si>
    <t>Porque capibaribe</t>
  </si>
  <si>
    <t>São Lourenço da mata</t>
  </si>
  <si>
    <t>54720-055</t>
  </si>
  <si>
    <t>Usamos espaços de apoio</t>
  </si>
  <si>
    <t>Caiará /  parque capibaribe /  Capibaribe /  Centro /  Rosina / ...</t>
  </si>
  <si>
    <t>50% doação PF, 30% recursos próprios 20% eventos</t>
  </si>
  <si>
    <t>https://www.instagram.com/p/CXrLJFfpoTv/?igshid=YmMyMTA2M2Y=</t>
  </si>
  <si>
    <t>https://drive.google.com/open?id=1t9xZIgOx86-DUzY5gV6t8lyaF6ZV_yfV</t>
  </si>
  <si>
    <t>https://drive.google.com/open?id=1GMYrUar9EaG-5Cgs2QFUxz7ASssY9KB1</t>
  </si>
  <si>
    <t>CECRE Centro Educacional Comunitário Redenção</t>
  </si>
  <si>
    <t>CECRE PROGRAMA QUEM AMA CUIDA</t>
  </si>
  <si>
    <t>Alcione Maria da Conceição do Nascimento</t>
  </si>
  <si>
    <t>cecre.redencao95@gmail.com</t>
  </si>
  <si>
    <t>Rua João Praxedes de Oliveira Filho</t>
  </si>
  <si>
    <t>Campina do Barreto</t>
  </si>
  <si>
    <t>Chão de Estrelas</t>
  </si>
  <si>
    <t>52121-270</t>
  </si>
  <si>
    <t>Vila Redenção /  Favela Arco íris /  Saramandaia /  Canal do Arruda /  Chão de Estrelas e Ribeirinhas.</t>
  </si>
  <si>
    <t>Nosso público é oriundo da luta por moradia com sucesso em algumas etapas no entanto ainda há situação de extrema pobreza e miséria em plena área urbana. Que é o caso da Vila Redenção e Favela Arco íris. Clamamos por estás localidades buscando alternativas para melhorar a qualidade de vida dos moradores.</t>
  </si>
  <si>
    <t>Centro Comunitário do Radional e Adjacências</t>
  </si>
  <si>
    <t>CRECHE ESCOLA COMUNITÁRIA CANTINHO DA CRIANÇA</t>
  </si>
  <si>
    <t>02.417.691/0001-59</t>
  </si>
  <si>
    <t>NEUZA ELINA SILVA DE JESUS</t>
  </si>
  <si>
    <t>centrocra@bol.com.br</t>
  </si>
  <si>
    <t>(98)98858-5141</t>
  </si>
  <si>
    <t>RUA N</t>
  </si>
  <si>
    <t>RADIONAL</t>
  </si>
  <si>
    <t>SÃO LUIS</t>
  </si>
  <si>
    <t>AO LADO DA DELEGACIA</t>
  </si>
  <si>
    <t>65047-590</t>
  </si>
  <si>
    <t>bebês (1 a 1ano e 6 meses), Crianças bem pequenas (1 ano e 7 meses até 3 anos e 11 meses), Crianças pequenas (4 anos a 5 anos e 11 meses), Crianças (6 a 12 anos), Adolescentes (12 aos 18 anos), Idosos (60 anos ou mais)</t>
  </si>
  <si>
    <t>Comunidade rural, Outros</t>
  </si>
  <si>
    <t>VILA PALMEIRA /  SANTA CRUZ /  VERA CRUZ /  VILA RATO /  DIVINEIA /  CEMA DETRAM /  BARRETO E OUTROS</t>
  </si>
  <si>
    <t>Convênio Público, Parceria iniciativa privada, Editais, Doações, Recursos próprios</t>
  </si>
  <si>
    <t>50% CONVENIOS 25% DOAÇÕES 15% EDITAIS 10% PARCEIRAS</t>
  </si>
  <si>
    <t>https://www.instagram.com/p/Cd89P8rJwBN/?igshid=MDJmNzVkMjY=</t>
  </si>
  <si>
    <t>https://drive.google.com/open?id=1DD-kZjnjsyPwIC5ufdmzVMUKk1w8FsFO</t>
  </si>
  <si>
    <t>https://drive.google.com/open?id=1K0nV3CSbAusb16g--ibe7XXciP9zXOGW</t>
  </si>
  <si>
    <t>Federação Internacional de Sorvebol</t>
  </si>
  <si>
    <t>FEDERAÇÃO INTERNACIONAL DE SORVEBOL</t>
  </si>
  <si>
    <t>29.124.530/0001-23</t>
  </si>
  <si>
    <t>Cláudio Gomes Mendes</t>
  </si>
  <si>
    <t>suporte.sorvebol@gmail.com</t>
  </si>
  <si>
    <t>(31)4101-0638</t>
  </si>
  <si>
    <t>Rua Ludgero Dolabela</t>
  </si>
  <si>
    <t>Gutierrez</t>
  </si>
  <si>
    <t>Sala 510</t>
  </si>
  <si>
    <t>30441-048</t>
  </si>
  <si>
    <t>Atividades feita nas escolas ou comunidade</t>
  </si>
  <si>
    <t>Moradores de Favelas, Quilombola, Afrodescendentes, Imigrantes, Refugiados, Ribeirinhos, Outros</t>
  </si>
  <si>
    <t>Jardim Felicidade /  São Bernardo (Ilha) Vila São Tomás /   General Carneiro /   Jardim Leblon /  Zilá Espózito /  Heliópolis /  Santa Rita /  Honório Bicalho /  Barreiro /  Jardim América /  Piratininga</t>
  </si>
  <si>
    <t>Além das comunidades que atendemos*  levamos formação para profissionais da infância* como professores de educação física e monitores* em   associações* ONGs e escolas* para que possam inovar em suas práticas com  Sorvebol e seus alunos possam desenvolver  suas habilidades psicomotoras* cognitivas e socioemocionais.
Observação: 440 é o número de pessoas atendidas* sendo que 240 são através do projeto via lei de incentivo ao esporte e 200 de atendimento diretamente através de nossas ações educativas esportivas e campeonatos anuais.</t>
  </si>
  <si>
    <t>Lei Federal do Esporte</t>
  </si>
  <si>
    <t>www.sorvebol.com</t>
  </si>
  <si>
    <t>https://www.instagram.com/sorvebol.oficial/</t>
  </si>
  <si>
    <t>https://drive.google.com/open?id=1-V-hekHbtekrXX6ZZauLPxi1e5M7nkhL</t>
  </si>
  <si>
    <t>https://drive.google.com/open?id=1KYqRw0c-WVCoRPJJ3W1tbUK15jgBiRpf</t>
  </si>
  <si>
    <t>https://drive.google.com/open?id=1tdrmsPs8_dcpy3AYGTHmHyaEuoN8nWvG</t>
  </si>
  <si>
    <t>Instituto Misturaí</t>
  </si>
  <si>
    <t>MISTURAÍ</t>
  </si>
  <si>
    <t>09.154.647/0001-42</t>
  </si>
  <si>
    <t>Mara Nunes</t>
  </si>
  <si>
    <t>misturaipoa@gmail.com</t>
  </si>
  <si>
    <t>(51)9802-33892</t>
  </si>
  <si>
    <t>Luiz Manoel, 229</t>
  </si>
  <si>
    <t>90040-390</t>
  </si>
  <si>
    <t>Casa D.</t>
  </si>
  <si>
    <t>Moradores de Favelas, Pessoas em situação de rua, População LGBTQ+, Afrodescendentes, Dependentes Químicos, Pessoas com Deficiência, Egressos sistema carcerário, Imigrantes</t>
  </si>
  <si>
    <t>Areal da Baronesa /  Chácara do Primeiro /  Beco do Guará /  Recanto da Alegria /  Projeto MAIS /  Pedreira /  Projeto Surfar /  Ilha do Pavão e Vila dos Sargentos.</t>
  </si>
  <si>
    <t>Trabalhamos também com pessoas em situação de rua e aluguel social.</t>
  </si>
  <si>
    <t>Eventos/Ações para captação, Plataforma doação online - Pessoa Física, Parceria iniciativa privada, Editais, Doações</t>
  </si>
  <si>
    <t>www.misturai.com</t>
  </si>
  <si>
    <t>@misturaipoa@gmail.com</t>
  </si>
  <si>
    <t>www.facebook.com/misturaipoa</t>
  </si>
  <si>
    <t>https://drive.google.com/open?id=1N3xB3G6NZR1F-WkXXtwhR78evlq-JDUT</t>
  </si>
  <si>
    <t>https://drive.google.com/open?id=1MUdNJhTL21UC-WuluPEEBakV9n0eNMhL</t>
  </si>
  <si>
    <t>https://drive.google.com/open?id=1ns6fUVzgk1qxQWnB2TMQHGzvuXtJIsv9</t>
  </si>
  <si>
    <t>https://drive.google.com/open?id=17CTwVPTLJnGIqUyVS898N5slee4YfC0_</t>
  </si>
  <si>
    <t>https://drive.google.com/open?id=1a8DZw5UZbOkK8HpopXY1rB_hADaRop0c</t>
  </si>
  <si>
    <t>Semente Profissional</t>
  </si>
  <si>
    <t>SEMENTE PROFISSIONAL</t>
  </si>
  <si>
    <t>Michel Anselmo do Carmo</t>
  </si>
  <si>
    <t>michelmac@hotmail.com</t>
  </si>
  <si>
    <t>(21)96405-1050</t>
  </si>
  <si>
    <t>Av. Embaixador Abelardo Bueno</t>
  </si>
  <si>
    <t>Barra da Tijuca</t>
  </si>
  <si>
    <t>sala 126 office 2</t>
  </si>
  <si>
    <t>22775-039</t>
  </si>
  <si>
    <t>Atendimento em escolas públicas</t>
  </si>
  <si>
    <t>Adolescentes (12 aos 18 anos), Jovens (18 aos 24 anos)</t>
  </si>
  <si>
    <t>Baixada Fluminense</t>
  </si>
  <si>
    <t>www.sementeprofissional.com.br</t>
  </si>
  <si>
    <t>https://www.instagram.com/sementeprofissional/</t>
  </si>
  <si>
    <t>Ong resgatando a inocencia</t>
  </si>
  <si>
    <t>RESGATANDO A INOCENCIA</t>
  </si>
  <si>
    <t>Natalina Maria barbosa</t>
  </si>
  <si>
    <t>projetoresgatandoainocencia@gmail.com</t>
  </si>
  <si>
    <t>(21)98419-8968</t>
  </si>
  <si>
    <t>Rua capucara n 241</t>
  </si>
  <si>
    <t>Rio de janeiro</t>
  </si>
  <si>
    <t>Frente</t>
  </si>
  <si>
    <t>21060-580</t>
  </si>
  <si>
    <t>Crianças pequenas (4 anos a 5 anos e 11 meses), Crianças (6 a 12 anos), Adolescentes (12 aos 18 anos), Idosos (60 anos ou mais)</t>
  </si>
  <si>
    <t>Morro do adeus</t>
  </si>
  <si>
    <t>No projeto atendemos crianças e adolescente de 2 a 17 anos* oferecemos diversas atividades* doamos cesta basica (quando temos) e oferecemos aula funcional para os adultos e adolescentes</t>
  </si>
  <si>
    <t>wwww.vjjdkkydcjjg</t>
  </si>
  <si>
    <t>https://www.instagram.com/p/Cfzc_ZduVOe/?igshid=YmMyMTA2M2Y=</t>
  </si>
  <si>
    <t>https://www.facebook.com/projetoresgatandoainocencia/</t>
  </si>
  <si>
    <t>https://drive.google.com/open?id=1I3p-0huIzclt_tRn_mmutUQgEUW-GLoZ</t>
  </si>
  <si>
    <t>https://drive.google.com/open?id=1pPAKKOrF4ZaCAcbqnP3Rnw_jCff2pHe_</t>
  </si>
  <si>
    <t>Instituição Sociedade Plural São João Batista / ISP-SJB</t>
  </si>
  <si>
    <t>IEC</t>
  </si>
  <si>
    <t>17.525.660/0001-99</t>
  </si>
  <si>
    <t>Nayra Madeira Santos</t>
  </si>
  <si>
    <t>sociedadeplural@gmail.com</t>
  </si>
  <si>
    <t>(21)96693-3400</t>
  </si>
  <si>
    <t>Rua Projetada R</t>
  </si>
  <si>
    <t>25011-540</t>
  </si>
  <si>
    <t>Dentro da favela, utilizamos 2 espaços e o campo da favela</t>
  </si>
  <si>
    <t>Favela do Lixão (no centro de Caxias)</t>
  </si>
  <si>
    <t>80% doações ; 10% eventos para captação de recursos; 10% remuneração de voluntários pois somos 1 polo de cultura gov do estado (contrato)</t>
  </si>
  <si>
    <t>www.instituicaosociedadeplural.org</t>
  </si>
  <si>
    <t>https://instagram.com/sociedadeplural?igshid=YmMyMTA2M2Y=</t>
  </si>
  <si>
    <t>https://www.facebook.com/instituicaosociedadeplural/</t>
  </si>
  <si>
    <t>https://drive.google.com/open?id=1kXG-cy1YMdw5WztX25wOIEM9psr4qbAn</t>
  </si>
  <si>
    <t>https://drive.google.com/open?id=1uvkT3SQfZyn9yC0UpnWBEQqs8fITrWVd</t>
  </si>
  <si>
    <t>https://drive.google.com/open?id=1gE49sWc30hRlO_KcdUIGDaGiN__11Hqi</t>
  </si>
  <si>
    <t>https://drive.google.com/open?id=1AynIf551544FkxG2Mnfrx87OBAfsG-cP</t>
  </si>
  <si>
    <t>PRETAS RUAS</t>
  </si>
  <si>
    <t>38.450.713/0001-20</t>
  </si>
  <si>
    <t>Pamella Cristina de Oliveira da Silva</t>
  </si>
  <si>
    <t>pretasruas@gmail.com</t>
  </si>
  <si>
    <t>(21)98294-6077</t>
  </si>
  <si>
    <t>Realizamos encontros em espaços parceiros</t>
  </si>
  <si>
    <t>Ainda não temos sede</t>
  </si>
  <si>
    <t>Ainda não temos espaço fixo</t>
  </si>
  <si>
    <t>Jovens (18 aos 24 anos), Adultos, Idosos (60 anos ou mais)</t>
  </si>
  <si>
    <t>Pessoas em situação de rua, População LGBTQ+, Afrodescendentes, Egressos sistema carcerário</t>
  </si>
  <si>
    <t>Garganta /  Igrejinha /  Centros Urbanos</t>
  </si>
  <si>
    <t>Lei de Incentivo, Eventos/Ações para captação, Plataforma doação online - Pessoa Física, Parceria iniciativa privada, Editais, Doações</t>
  </si>
  <si>
    <t>20% doações 50% editais 30% recursos próprios</t>
  </si>
  <si>
    <t>https://www.coletivopretasruas.com.br/</t>
  </si>
  <si>
    <t>https://www.instagram.com/pretas_ruas/</t>
  </si>
  <si>
    <t>https://www.facebook.com/pretasruass</t>
  </si>
  <si>
    <t>https://www.youtube.com/channel/UCk0XzinaSRSYHNrA7v-gd2Q</t>
  </si>
  <si>
    <t>https://drive.google.com/open?id=1Q9_flBDU34R_UUBtgcSP3nDhewjpzMjd</t>
  </si>
  <si>
    <t>https://drive.google.com/open?id=1BpISKx2rCaPwQbh-V2MevPue2FkysJn8</t>
  </si>
  <si>
    <t>https://drive.google.com/open?id=1kaZimv7FS0KU9f9Eer8_-UrHfVwFgNxp</t>
  </si>
  <si>
    <t>Rede Postinho de Saúde Organização de saúde preventiva multidisciplinar social</t>
  </si>
  <si>
    <t>REDE POSTINHO DE SAÚDE</t>
  </si>
  <si>
    <t>13.506.080/0001-01</t>
  </si>
  <si>
    <t>Julia Rangel</t>
  </si>
  <si>
    <t>redepostinhosaude@gmail.com</t>
  </si>
  <si>
    <t>(21)97477-7667</t>
  </si>
  <si>
    <t>Estrada do Cantagalo</t>
  </si>
  <si>
    <t>Copacabana</t>
  </si>
  <si>
    <t>22071-060</t>
  </si>
  <si>
    <t>Pavão / Pavãozinho e Cantagalo</t>
  </si>
  <si>
    <t>Atendemos mulheres acima de 13 anos</t>
  </si>
  <si>
    <t>Eventos/Ações para captação, Parceria iniciativa privada, Editais, Doações</t>
  </si>
  <si>
    <t>2021 100% doação</t>
  </si>
  <si>
    <t>https://www.redepostinho.org.br/quemsomos</t>
  </si>
  <si>
    <t>https://instagram.com/redepostinhodesaude?igshid=YmMyMTA2M2Y=</t>
  </si>
  <si>
    <t>https://www.facebook.com/155608477826080/posts/4686047371448812/</t>
  </si>
  <si>
    <t>https://youtube.com/channel/UCnmn_2rdYzc-0P68sMPr4Lg</t>
  </si>
  <si>
    <t>https://drive.google.com/open?id=1Jvp3bj86h_AU4Xxed49G8KyA8jUPY9t8</t>
  </si>
  <si>
    <t>Clube de Ajuda</t>
  </si>
  <si>
    <t>CLUBE DE AJUDA</t>
  </si>
  <si>
    <t>10.706.417/0001-28</t>
  </si>
  <si>
    <t>Fabiana Sampaio de Souza da Silva</t>
  </si>
  <si>
    <t>sedecantinhodaamizade@gmail.com</t>
  </si>
  <si>
    <t>(21)98444-2713</t>
  </si>
  <si>
    <t>Rua Correia de Oliveira</t>
  </si>
  <si>
    <t>Vila Isabel</t>
  </si>
  <si>
    <t>praça serraria e quadra do Chelsea</t>
  </si>
  <si>
    <t>20551-200</t>
  </si>
  <si>
    <t>Sim Clube de Ajuda em Ricardo de Albuquerque</t>
  </si>
  <si>
    <t>Complexo do Chapadão</t>
  </si>
  <si>
    <t>Até 2013 a favela se restringia a uma pequena localidade* porém com a migração dos traficantes em função das ocupações das UPPs* a região toda foi favelizada.</t>
  </si>
  <si>
    <t>Lei de Incentivo, Eventos/Ações para captação, Editais, Lei Estadual do Esporte</t>
  </si>
  <si>
    <t>50% doações 50% meu apoio</t>
  </si>
  <si>
    <t>www.clubedeajuda.com.br</t>
  </si>
  <si>
    <t>https://www.instagram.com/sede_cantinho_da_amizade/</t>
  </si>
  <si>
    <t>https://www.facebook.com/107312145184344/posts/114514541130771/?d=n&amp;substory_index=0</t>
  </si>
  <si>
    <t>https://youtube.com/channel/UC6XJdb1XUBg9YPPskqtg6Gw</t>
  </si>
  <si>
    <t>https://drive.google.com/open?id=1b5AFc3MCegO3pnEPnxZfVo6O4a-zwy2Z</t>
  </si>
  <si>
    <t>ASSOCIAÇÃO SOCIAL PAULO VI</t>
  </si>
  <si>
    <t>CENTRO DE DEFESA DA VIDA IRMÃ HEDWIGES ROSSI</t>
  </si>
  <si>
    <t>28.756.146/0024-77</t>
  </si>
  <si>
    <t>Ana Cláudia de Carvalho Rocha</t>
  </si>
  <si>
    <t>cdvida_defesadavida@hotmail.com</t>
  </si>
  <si>
    <t>(21)3774-3993</t>
  </si>
  <si>
    <t>Avenida Governador Leonel Moura Brizola</t>
  </si>
  <si>
    <t>Sala 107</t>
  </si>
  <si>
    <t>25010-009</t>
  </si>
  <si>
    <t>Sim, palestras e rodas de conversas a ontem em CRAS, escolas, igrejas, empresas privadas.</t>
  </si>
  <si>
    <t>Mangueirinha /  São Bento /  Vila Ideal /  Imbarie /  Pantanal /  Vila Operaria /  Jardim Gramacho /  Parque das Missões /  Campos Eliseos /  Centenário entre outras</t>
  </si>
  <si>
    <t>Atendemos mulheres em situação de violência de diversas comunidades de Duque de Caxias e até de municipios vizinhos.</t>
  </si>
  <si>
    <t>https://cdvida.org.br/</t>
  </si>
  <si>
    <t>https://instagram.com/cdvida_defesadavida?igshid=YmMyMTA2M2Y=</t>
  </si>
  <si>
    <t>https://www.facebook.com/CDVidacentrodefesadavida</t>
  </si>
  <si>
    <t>www.youtube.com</t>
  </si>
  <si>
    <t>https://drive.google.com/open?id=1lVmsrHPXHDxop1ry7V3gMLDE3XwyA7qe</t>
  </si>
  <si>
    <t>https://drive.google.com/open?id=1rm6sZlKstVye8O6r-tVdBszzSzy7EWc7</t>
  </si>
  <si>
    <t>https://drive.google.com/open?id=1JyAA3FxfKYTcwwcJK9ZWPmqi672UOuwF</t>
  </si>
  <si>
    <t>https://drive.google.com/open?id=1w2Ie-EroeifQKLVowqlq4Uwp5ftUbkXR</t>
  </si>
  <si>
    <t>https://drive.google.com/open?id=1QarbAtA39hbANtV0ALVpTjAwZqX5FJq0</t>
  </si>
  <si>
    <t>Projeto Social Sim! eu sou de Santa Tereza</t>
  </si>
  <si>
    <t>SEST</t>
  </si>
  <si>
    <t>Renata Elidi Fagundes dos Santos de Carvalho</t>
  </si>
  <si>
    <t>projetosocialsest@gmail.com</t>
  </si>
  <si>
    <t>(21)97237-8410</t>
  </si>
  <si>
    <t>Estrada Belford Roxo</t>
  </si>
  <si>
    <t>Santa Tereza</t>
  </si>
  <si>
    <t>Bloco 15 Sp102</t>
  </si>
  <si>
    <t>26195-010</t>
  </si>
  <si>
    <t>Crianças (6 a 12 anos), Jovens (18 aos 24 anos), Adultos</t>
  </si>
  <si>
    <t>Santa Tereza - Vila Santa Tereza - Guacha - Machado - Três Irmãos</t>
  </si>
  <si>
    <t>50% Doações 50% Recursos Próprios</t>
  </si>
  <si>
    <t>http://www.instagram.com/invites/contact/?i=9iito6olx19w&amp;utm_content=m3eqf3h</t>
  </si>
  <si>
    <t>https://www.facebook.com/PROJETOSOCIALSEST/</t>
  </si>
  <si>
    <t>http://youtube.com/channel/UC5ltKEiY1y9ROAXy2pYXz6A</t>
  </si>
  <si>
    <t>https://drive.google.com/open?id=115ePNuE3E5_BnR3dBclwFLW3P2Xn2nNW</t>
  </si>
  <si>
    <t>Instituto Amparando</t>
  </si>
  <si>
    <t>INSTITUTO AMPARANDO</t>
  </si>
  <si>
    <t>22.415.812/0001-30</t>
  </si>
  <si>
    <t>Alexandre Santos Ditta</t>
  </si>
  <si>
    <t>administrativo@institutoamparando.org</t>
  </si>
  <si>
    <t>(21)99071-9298</t>
  </si>
  <si>
    <t>Estrada do Cassiano</t>
  </si>
  <si>
    <t>Figueira II</t>
  </si>
  <si>
    <t>Rua do Cajueiro casa 04</t>
  </si>
  <si>
    <t>26060-530</t>
  </si>
  <si>
    <t>Bico do Urubu</t>
  </si>
  <si>
    <t>Eventos/Ações para captação, Plataforma doação online - Pessoa Física, Parceria iniciativa privada, Doações</t>
  </si>
  <si>
    <t>23.37% PHI; 76.63% (Doações, Apadrinhamento, Eventos e outros)</t>
  </si>
  <si>
    <t>www.institutoamparando.org</t>
  </si>
  <si>
    <t>https://instagram.com/institutoamparando?igshid=YmMyMTA2M2Y=</t>
  </si>
  <si>
    <t>https://www.facebook.com/InstitutoAmparando</t>
  </si>
  <si>
    <t>https://youtube.com/channel/UCeKuzl1kilehvkhrzFh6jgg</t>
  </si>
  <si>
    <t>https://drive.google.com/open?id=1nrpYpvGLud-OzqqhFZiCwWYW-P7re43V</t>
  </si>
  <si>
    <t>https://drive.google.com/open?id=1i616CM8OTt5Vyp1Va0wZUja4hGCxHyQ7</t>
  </si>
  <si>
    <t>https://drive.google.com/open?id=1BXoO-v3Ide_FnWRuOyIs77DRrw6eNhsa</t>
  </si>
  <si>
    <t>https://drive.google.com/open?id=1fFToVmomGPN3RZ89LDPkH6rs-HeWI4YC</t>
  </si>
  <si>
    <t>Centro de Cidadania Vida Nova Belford Roxo Piam</t>
  </si>
  <si>
    <t>CCVN</t>
  </si>
  <si>
    <t>Sebastian Carlos Araújo de Souza</t>
  </si>
  <si>
    <t>ccvnbelfordroxopiam@gmail.com</t>
  </si>
  <si>
    <t>(21)98056-6627</t>
  </si>
  <si>
    <t>Rua Murici</t>
  </si>
  <si>
    <t>Piam</t>
  </si>
  <si>
    <t>Anexo</t>
  </si>
  <si>
    <t>26112-750</t>
  </si>
  <si>
    <t>Moradores de Favelas, Pessoas em situação de rua, Dependentes Químicos, Pessoas com Deficiência</t>
  </si>
  <si>
    <t>Favela do Castelar - Favela da Palmeira - Favela Jambui -</t>
  </si>
  <si>
    <t>Atendemos  02 Centro de Recuperação para dependentes Químicos - Atendemos moradores de rua.</t>
  </si>
  <si>
    <t>Parceria iniciativa privada, Doações, PRONON, Recursos próprios</t>
  </si>
  <si>
    <t>https://instagram.com/ccvnpiam?igshid=YmMyMTA2M2Y=</t>
  </si>
  <si>
    <t>https://www.facebook.com/ccvnpiam/</t>
  </si>
  <si>
    <t>https://youtube.com/channel/uCumlGAJpJJnbBZf-Is-OIKQ</t>
  </si>
  <si>
    <t>https://drive.google.com/open?id=1aAUUTvsVU8oF8HvEif7Fl3u6WBAN97Pb</t>
  </si>
  <si>
    <t>GRAM Grupo de Apoio à Mulher</t>
  </si>
  <si>
    <t>GRAM GRUPO DE APOIO À MULHER</t>
  </si>
  <si>
    <t>Solange Pires Revoredo</t>
  </si>
  <si>
    <t>gramfalesconosco@gmail.com</t>
  </si>
  <si>
    <t>(21)96967-7721</t>
  </si>
  <si>
    <t>O GRAM  nao tem sede</t>
  </si>
  <si>
    <t>Nao temos sede</t>
  </si>
  <si>
    <t>21930-155</t>
  </si>
  <si>
    <t>O GRAM é virtual e itinerante</t>
  </si>
  <si>
    <t>Comunidade do Morro Guarani /  Comunidade Tavares Bastos /  Comunidade da Colônia de Pescadores Z10</t>
  </si>
  <si>
    <t>Atendemos mulheres vítimas de violência</t>
  </si>
  <si>
    <t>www.grupodeapoioamulher.com.br</t>
  </si>
  <si>
    <t>https://www.instagram.com/grupo_de_apoioamulher/</t>
  </si>
  <si>
    <t>https://m.facebook.com/grupodeapoioamulherr/?ref=bookmarks</t>
  </si>
  <si>
    <t>https://m.youtube.com/channel/UC7RAU90DSq7xbw-4yZJc0Uw</t>
  </si>
  <si>
    <t>https://drive.google.com/open?id=1UkQTJW4XgwIUfAQR9I_BV-qLqpIGGSja</t>
  </si>
  <si>
    <t>não possui</t>
  </si>
  <si>
    <t>NÃO POSSUU</t>
  </si>
  <si>
    <t>46.903.719/0001-33</t>
  </si>
  <si>
    <t>Ismael Da Silva Pinherio</t>
  </si>
  <si>
    <t>bcmlm123@gmail.com</t>
  </si>
  <si>
    <t>(85)98550-9916</t>
  </si>
  <si>
    <t>R. Torres Camara</t>
  </si>
  <si>
    <t>Aldeota</t>
  </si>
  <si>
    <t>Casa 47</t>
  </si>
  <si>
    <t>60150-060</t>
  </si>
  <si>
    <t>sim ( Atividades Ludicas Na Areia Da Praia/Atividades De Surfer No Mar)</t>
  </si>
  <si>
    <t>Beira Rio</t>
  </si>
  <si>
    <t>https://www.instagram.com/reel/Cf42yS3pV9e/?igshid=YmMyMTA2M2Y=</t>
  </si>
  <si>
    <t>https://www.facebook.com/varanda.literaria.58</t>
  </si>
  <si>
    <t>https://drive.google.com/open?id=1iAa8H3uc5_OGeC_YlqgxdD29wTfR_FJI</t>
  </si>
  <si>
    <t>https://drive.google.com/open?id=137ld7xQkNqJI3Tx4LtUo0FkBXocPLzF_</t>
  </si>
  <si>
    <t>INTITUTO GERAÇÃO ELEITA MOVA-SE.</t>
  </si>
  <si>
    <t>GEM</t>
  </si>
  <si>
    <t>44.662.699/0001-20</t>
  </si>
  <si>
    <t>Stela Bonifácio da Silva Nascimento</t>
  </si>
  <si>
    <t>gemmovase@gmail.com</t>
  </si>
  <si>
    <t>(21)98063-0661</t>
  </si>
  <si>
    <t>rua cirene de moraes</t>
  </si>
  <si>
    <t>tres fontes</t>
  </si>
  <si>
    <t>queimados</t>
  </si>
  <si>
    <t>26382-506</t>
  </si>
  <si>
    <t>TRES FONTES /  CARLOS SAMPAIO /  SANTA CECILIA /  VALE OURO</t>
  </si>
  <si>
    <t>NOSSO PROJETO FUNCIONA ENTINERANTE ENTRE AS COMUNIDADES. O PROJETO FUNCIONA 8 A 10 MESES EM UMA LOCALIDADE. ATENDENDO O PÚBLICO DE 4  17 ANOS. E OS FAMILIARES.</t>
  </si>
  <si>
    <t>https://www.facebook.com/569321129826299/posts/pfbid02mLzBdPKE7CGcuMjZS3hTafP41PgmEdajG2735LY8pYAizxE57muaxmfV4qTn38Ebl/</t>
  </si>
  <si>
    <t>https://instagram.com/projetogemgeracaoeleita?igshid=YmMyMTA2M2Y=</t>
  </si>
  <si>
    <t>https://www.facebook.com/569321129826299/posts/4673851379373233/</t>
  </si>
  <si>
    <t>https://drive.google.com/open?id=1LT68K6XoxZxMjd5XG3M8HEU0RjMig-pW</t>
  </si>
  <si>
    <t>https://drive.google.com/open?id=13aJ59aSuDsE0nx7SEyIyAac1d6N6XkWL</t>
  </si>
  <si>
    <t>https://drive.google.com/open?id=11aZ-1E86WXLxtyoIxZiyVFMCuXLITQhh</t>
  </si>
  <si>
    <t>https://drive.google.com/open?id=1PK4rHwBqh7CjKrMl8PnbuJYqgz0fnJIZ</t>
  </si>
  <si>
    <t>https://drive.google.com/open?id=1NJPT6q5_zYwIfmLiPVk5coutjY9okA_Q</t>
  </si>
  <si>
    <t>Associação Ler e Saber na Comunidade</t>
  </si>
  <si>
    <t>LER E SABER NA COMUNIDADE</t>
  </si>
  <si>
    <t>24.585.346/0001-67</t>
  </si>
  <si>
    <t>Vanessa Regina Ribeiro de Oliveira dos Santos</t>
  </si>
  <si>
    <t>leresabernacomunidade@gmail.com</t>
  </si>
  <si>
    <t>(21)97514-0032</t>
  </si>
  <si>
    <t>Rua Vila Queiroz</t>
  </si>
  <si>
    <t>Madureira</t>
  </si>
  <si>
    <t>21360-180</t>
  </si>
  <si>
    <t>Temos uma parceria com a Associação de Moradores do morro da Congonha e eles possuem uma quadra coberta onde nós fazemos as atividades de dança, música e futsal.</t>
  </si>
  <si>
    <t>Morro da Congonha /  Morro do Cajueiro e Comunidade São Miguel Arcanjo</t>
  </si>
  <si>
    <t>Plataforma doação online - Pessoa Física, Editais</t>
  </si>
  <si>
    <t>www.leresaber.org</t>
  </si>
  <si>
    <t>https://www.instagram.com/leresabernacomunidade</t>
  </si>
  <si>
    <t>https://web.facebook.com/leresabernacomunidade</t>
  </si>
  <si>
    <t>https://drive.google.com/open?id=1RZ4q7yASN1tLZMP5Eho8zLu3qzeHGMqr</t>
  </si>
  <si>
    <t>https://drive.google.com/open?id=1uYCA6DfjPlWNuHMAxghkkBeCT1GQXPhj</t>
  </si>
  <si>
    <t>https://drive.google.com/open?id=1aDesZDjwGOgvAP-7SJdU_sy94-l3bg78</t>
  </si>
  <si>
    <t>https://drive.google.com/open?id=1IGMl2K05QWOfpNv1seAIghLfOotTgBPa</t>
  </si>
  <si>
    <t>https://drive.google.com/open?id=1_UQNR_8l3l-I6qK_83uJzQA83s_10gJF</t>
  </si>
  <si>
    <t>CAISCA - Centro de Artes e Integração Social para Crianças e Adolescente</t>
  </si>
  <si>
    <t>COMPANHIA DE DANÇAS CAISCA</t>
  </si>
  <si>
    <t>Marcia Kaline Ferreira da Silva</t>
  </si>
  <si>
    <t>ong.caisca.rsa.pb@gmail.com</t>
  </si>
  <si>
    <t>(83)98844-3180</t>
  </si>
  <si>
    <t>Cel. Demostenes Barbosa</t>
  </si>
  <si>
    <t>Riacho de Santo Antônio</t>
  </si>
  <si>
    <t>58465-000</t>
  </si>
  <si>
    <t>Espaço Multiuso, escola municipal</t>
  </si>
  <si>
    <t>População LGBTQ+, Comunidade rural</t>
  </si>
  <si>
    <t>Tanque Raso /  Damásio I /  Damásio II /  Açude Novo</t>
  </si>
  <si>
    <t>Eventos 70% Doação 20% Outros 10%</t>
  </si>
  <si>
    <t>http://ciacaisca.blogspot.com/</t>
  </si>
  <si>
    <t>http://cia_caisca</t>
  </si>
  <si>
    <t>https://drive.google.com/open?id=1uNaW5fBxY9-op5fBmGR9NG5Mlice1WlI</t>
  </si>
  <si>
    <t>INSTITUTO PORTAL DAS CORES</t>
  </si>
  <si>
    <t>33.235.392/0001-27</t>
  </si>
  <si>
    <t>Ana Claudia Pereira soared</t>
  </si>
  <si>
    <t>coresportaldascores@gmail.com</t>
  </si>
  <si>
    <t>(83)99376-5166</t>
  </si>
  <si>
    <t>Projetada</t>
  </si>
  <si>
    <t>Cento</t>
  </si>
  <si>
    <t>58255-000</t>
  </si>
  <si>
    <t>Moradores de Favelas, Pessoas em situação de rua, População LGBTQ+</t>
  </si>
  <si>
    <t>praça daluz gameleira mufumbo</t>
  </si>
  <si>
    <t>Mulheres em vulnerabilidade social</t>
  </si>
  <si>
    <t>50% editais 50%doacoes</t>
  </si>
  <si>
    <t>https://www.instagram.com/p/CHSxAqQF5YR/?utm_medium=copy_link</t>
  </si>
  <si>
    <t>https://drive.google.com/open?id=1zQngLvdC9GVLQD-87ZADDSKltrYnY8g2</t>
  </si>
  <si>
    <t>https://drive.google.com/open?id=1STHbLqZicNcHMw45ZnPMKoos_eO156yt</t>
  </si>
  <si>
    <t>https://drive.google.com/open?id=1ZzOSm1WIjtGj7fPD2JflT5Ns9tEmSiHI</t>
  </si>
  <si>
    <t>MutAmb</t>
  </si>
  <si>
    <t>MUTAMB</t>
  </si>
  <si>
    <t>Brenda Lorany Martins Santana</t>
  </si>
  <si>
    <t>mutiraoambienta878@gmail.com</t>
  </si>
  <si>
    <t>Rua Padre Francisco Sales Gorjão</t>
  </si>
  <si>
    <t>Frutilandia</t>
  </si>
  <si>
    <t>Assu</t>
  </si>
  <si>
    <t>59650-000</t>
  </si>
  <si>
    <t>Escola municipal Janduís. 
Anexo da capela de Santa Luzia. 
Quadra da comunidade Mutamba.</t>
  </si>
  <si>
    <t>Moradores de Favelas, Pessoas em situação de rua, População LGBTQ+, Pessoas com Deficiência, Comunidade rural</t>
  </si>
  <si>
    <t>Vertentes (BDA) /  Frutilandia /  Belo Horizonte /  Mutamba da cadeira /  Linda Flor e</t>
  </si>
  <si>
    <t>50% doações 40% ações 10% iniciativa privada</t>
  </si>
  <si>
    <t>http://institutomutamb.site.com.br/o-instituto-mutamb/</t>
  </si>
  <si>
    <t>https://instagram.com/mutamb_?igshid=YmMyMTA2M2Y=</t>
  </si>
  <si>
    <t>https://drive.google.com/open?id=1GmvjrLucwWTTuKCPms2u9-HcosWsRp-L</t>
  </si>
  <si>
    <t>INSTITUTO EDUCAR GOLANDIM</t>
  </si>
  <si>
    <t>24.396.036/0001-02</t>
  </si>
  <si>
    <t>CARLOS ALBERTO DUARTE DE MOURA FILHO</t>
  </si>
  <si>
    <t>educargolandim@gmail.com</t>
  </si>
  <si>
    <t>(84)98894-0051</t>
  </si>
  <si>
    <t>Rua Professor Luiz Soares 10</t>
  </si>
  <si>
    <t>Golandim</t>
  </si>
  <si>
    <t>São Gonçalo do Amarante</t>
  </si>
  <si>
    <t>59296-081</t>
  </si>
  <si>
    <t>GOLANDIM /  BARREIROS /  SANTO ANTONIO /  REGOMOLEIRO</t>
  </si>
  <si>
    <t>30% Doações e 70% Recursos Próprios</t>
  </si>
  <si>
    <t>https://www.instagram.com/educargolandim/</t>
  </si>
  <si>
    <t>https://pt-br.facebook.com/educargolandim/</t>
  </si>
  <si>
    <t>https://drive.google.com/open?id=1vp8sV2uyTxkrs1e6tZHBRBk-Wk_VWVte</t>
  </si>
  <si>
    <t>https://drive.google.com/open?id=1Gd-gG-vOWmnBYb0cyCxAl8t_tIObgtaR</t>
  </si>
  <si>
    <t>https://drive.google.com/open?id=1PJ_E1Ovv9ZvAvxLVNN0GxdICtSGoL3jn</t>
  </si>
  <si>
    <t>https://drive.google.com/open?id=1lINSTE4Qh1U08LY-EDQONST5PV2Ti9Dp</t>
  </si>
  <si>
    <t>Casulo</t>
  </si>
  <si>
    <t>CASULO</t>
  </si>
  <si>
    <t>RAYANE PRICILA  FERNANDES DA SILVA</t>
  </si>
  <si>
    <t>associacaocasulo2020@gmail.com</t>
  </si>
  <si>
    <t>(84)99165-7984</t>
  </si>
  <si>
    <t>RUA MARIA QUITERIA</t>
  </si>
  <si>
    <t>CEARÁ-MIRIM</t>
  </si>
  <si>
    <t>59570-000</t>
  </si>
  <si>
    <t>SIM , ATUAMOS NAS ESCOLAS E EM ZONA RURAL</t>
  </si>
  <si>
    <t>Moradores de Favelas, Pessoas em situação de rua, População LGBTQ+, Povos Indígenas, Quilombola, Afrodescendentes, Dependentes Químicos, Pessoas com Deficiência, Comunidade rural</t>
  </si>
  <si>
    <t>Santa paula  /  vale do amanhecer  /  formigueiro  /  novo teto</t>
  </si>
  <si>
    <t>Acompanhamento familiar em sua totalidade</t>
  </si>
  <si>
    <t>https://drive.google.com/open?id=1nguM_NvDBr2wLDj2j2Ew8aBDizmwEHR2</t>
  </si>
  <si>
    <t>https://drive.google.com/open?id=1EZ7iz4en2kzfztg5jg4qq8foXouOVca5</t>
  </si>
  <si>
    <t>https://drive.google.com/open?id=1DXwSL3YBYhmJ4G4G8ZJ8K_2AbarFGCYy</t>
  </si>
  <si>
    <t>Associação dos Moradores da Comunidade do Bairro Zita Cunha</t>
  </si>
  <si>
    <t>AMCBZITACUNHA</t>
  </si>
  <si>
    <t>41.424.691/0001-38</t>
  </si>
  <si>
    <t>Silvana de Fátima Farias dos Anjos</t>
  </si>
  <si>
    <t>amcbzitacunha@gmail.com</t>
  </si>
  <si>
    <t>Valdir Rodrigues</t>
  </si>
  <si>
    <t>Zita Cunha</t>
  </si>
  <si>
    <t>Barcarena</t>
  </si>
  <si>
    <t>68445-000</t>
  </si>
  <si>
    <t>Comunidade do Zita Cunha</t>
  </si>
  <si>
    <t>Trabalhamos com artesãs e trabalho manuais</t>
  </si>
  <si>
    <t>Doaçoes 70%  - eventos 20% edital 10%</t>
  </si>
  <si>
    <t>https://instagram.com/amcbzitacunha</t>
  </si>
  <si>
    <t>https://www.facebook.com/AMCOBAZIC</t>
  </si>
  <si>
    <t>https://drive.google.com/open?id=1QOw2Us9IMznjW0m2rpwGcWTeOFJOcGol</t>
  </si>
  <si>
    <t>https://drive.google.com/open?id=12kg-ohHVJsncw9juB9YDhSS_QyHlh4IH</t>
  </si>
  <si>
    <t>https://drive.google.com/open?id=1gM5iFISqdaoYPxTCfCl6D1-bYX_r-Sv_</t>
  </si>
  <si>
    <t>https://drive.google.com/open?id=1gmi1T1JR_y12cLVjPnIHEOSrkJPdkIkb</t>
  </si>
  <si>
    <t>Associação Beneficente HEBROM (Núcleo Tefé AM)</t>
  </si>
  <si>
    <t>HEBROM</t>
  </si>
  <si>
    <t>24.920.607/0002-39</t>
  </si>
  <si>
    <t>Sergio Simas Teixeira</t>
  </si>
  <si>
    <t>contato@hebrombahia.com.br</t>
  </si>
  <si>
    <t>(71)99735-2128</t>
  </si>
  <si>
    <t>2A Travessa Pedro Gama</t>
  </si>
  <si>
    <t>Bairro Federação</t>
  </si>
  <si>
    <t>40301-110</t>
  </si>
  <si>
    <t>Além  do espaço  da HEBROM  na Rua Engenheiro  José  Anasoh,  Bairro Campinas de Brotas - Salvador-BA. 
Temos espaço  dentro do Centro Social Urbano  no Bairro da Federação  o CSU é  um aparelho do Governo  do Estado da Bahia, onde temos termo de Cessão  assinado.</t>
  </si>
  <si>
    <t>Moradores de Favelas, Pessoas em situação de rua, População LGBTQ+, Povos Indígenas, Ribeirinhos, Comunidade rural, Outros</t>
  </si>
  <si>
    <t>São José /  São Raimundo /  Santa Rita / Vila Nova / Nossa Senhora de Fátima /  Mutirão /  Jerusalém /  São João</t>
  </si>
  <si>
    <t>Eventos/Ações para captação, Plataforma doação online - Pessoa Física, Editais, Outro(s), Doações, Recursos próprios</t>
  </si>
  <si>
    <t>50%  Eventos/ações para captação; 30% Plataforma de doações online, 10% Editais,5% doações e 5% Recursos próprios.</t>
  </si>
  <si>
    <t>http://Hebrombahia.com.br</t>
  </si>
  <si>
    <t>https://instagram.com/hebromtefe?igshid=YmMyMTA2M2Y=</t>
  </si>
  <si>
    <t>https://www.facebook.com/diretoriahebrom</t>
  </si>
  <si>
    <t>https://youtu.be/zA9AHrbuoBA</t>
  </si>
  <si>
    <t>https://drive.google.com/open?id=1jjNCngbmVc4kiQ3SzpioRwI0nphesmfw</t>
  </si>
  <si>
    <t>https://drive.google.com/open?id=1atebvnR8yzjMaJs4McxvXmZaAuN1v2cU</t>
  </si>
  <si>
    <t>https://drive.google.com/open?id=1k2j1Wgb_ZSKb4Su7ifV8oBwCSvG0lzqf</t>
  </si>
  <si>
    <t>https://drive.google.com/open?id=1NNWlDPZZBV3etedql9VMT546yl8CZ3Z8</t>
  </si>
  <si>
    <t>Instituto Mais Mulher</t>
  </si>
  <si>
    <t>INSTITUTO MAIS MULHER</t>
  </si>
  <si>
    <t>Débora Larissa Silva de Souza</t>
  </si>
  <si>
    <t>contato.institutomaismulher@gmail.com</t>
  </si>
  <si>
    <t>Travessa João XXIII</t>
  </si>
  <si>
    <t>Mãe Luiza</t>
  </si>
  <si>
    <t>Natal</t>
  </si>
  <si>
    <t>59014-005</t>
  </si>
  <si>
    <t>Favela da África, Ocupação Anatalia Alves, Ocupação Emanuel Bezerra, Mãe Luiza, Nova Descoberta</t>
  </si>
  <si>
    <t>Mulheres em situação de violência doméstica e mães solo</t>
  </si>
  <si>
    <t>https://www.instagram.com/institutommulher/</t>
  </si>
  <si>
    <t>https://www.facebook.com/institutommulher</t>
  </si>
  <si>
    <t>https://drive.google.com/open?id=122lIQJELqzywM5VB1b-cKuyyK1KEyBU1</t>
  </si>
  <si>
    <t>projeto sementes da fé</t>
  </si>
  <si>
    <t>SEMENTES DA FÉ</t>
  </si>
  <si>
    <t>Édila dias</t>
  </si>
  <si>
    <t>edila.regina890@gmail.com</t>
  </si>
  <si>
    <t>(84)98795-8834</t>
  </si>
  <si>
    <t>Santa Helena</t>
  </si>
  <si>
    <t>enfrente  a cantina do Necal</t>
  </si>
  <si>
    <t>59050-130</t>
  </si>
  <si>
    <t>favela do japão , assentamento nos barreiros em são gonçalo</t>
  </si>
  <si>
    <t>além de atendemos essas duas comunidades  com esporte *lazer e cultura e com assistência social*  também   fazemos a entrega do sopão aos moradores de ruas de  outras comunidades carentes</t>
  </si>
  <si>
    <t>90% doações e 10% outros</t>
  </si>
  <si>
    <t>https://instagram.com/__sementesdafe?igshid=YmMyMTA2M2Y=</t>
  </si>
  <si>
    <t>Projeto social</t>
  </si>
  <si>
    <t>PROJETO CONSTRUINDO UM FUTURO EM DEUS</t>
  </si>
  <si>
    <t>Francisca luzia dos Santos Gomes</t>
  </si>
  <si>
    <t>aoproximoprojetoamor@gmail.com</t>
  </si>
  <si>
    <t>(85)98628-6557</t>
  </si>
  <si>
    <t>Rua 03</t>
  </si>
  <si>
    <t>Barroso</t>
  </si>
  <si>
    <t>Conjunto João Paulo ll</t>
  </si>
  <si>
    <t>60863-840</t>
  </si>
  <si>
    <t>Barrios / Santa Rita / margarida rocha/ e ao ar livre</t>
  </si>
  <si>
    <t>bebês (1 a 1ano e 6 meses), Crianças bem pequenas (1 ano e 7 meses até 3 anos e 11 meses), Crianças pequenas (4 anos a 5 anos e 11 meses), Crianças (6 a 12 anos), Jovens (18 aos 24 anos), Adultos, Idosos (60 anos ou mais)</t>
  </si>
  <si>
    <t>Massangana /  Muriú /  raposa / vila de Fátima / Santa Paula</t>
  </si>
  <si>
    <t>Plataforma doação online - Pessoa Física, Outro(s), Doações, Recursos próprios</t>
  </si>
  <si>
    <t>https://instagram.com/amoraoproximo.proj?igshid=YmMyMTA2M2Y=</t>
  </si>
  <si>
    <t>https://drive.google.com/open?id=1FZU9-tn-YurIFsGzVCUwRLdTKwGbxnjK</t>
  </si>
  <si>
    <t>Biblioteca Itinerante Comunitária Barca Literária</t>
  </si>
  <si>
    <t>BARCA LITERÁRIA</t>
  </si>
  <si>
    <t>Gisele Cristine Silva Mendes</t>
  </si>
  <si>
    <t>comissaosolidariaviladabarca@gmail.com</t>
  </si>
  <si>
    <t>(91)98872-4718</t>
  </si>
  <si>
    <t>Passagem Cametá</t>
  </si>
  <si>
    <t>Telegráfo</t>
  </si>
  <si>
    <t>Palafitas da Comunidade Vila da Barca</t>
  </si>
  <si>
    <t>66113-140</t>
  </si>
  <si>
    <t>Ocupamos uma vez ao mês o próprio território de forma Itinerante com teatro, dança, oficinas criativas, empréstimo e devolução de livros</t>
  </si>
  <si>
    <t>Comunidade Vila da Barca</t>
  </si>
  <si>
    <t>10% edital de cultura- passamos no primeiro ; 70% recursos próprios; 20% doações pessoas fisícas</t>
  </si>
  <si>
    <t>https://www.instagram.com/p/CfpxpQWtzvn/?igshid=YmMyMTA2M2Y=</t>
  </si>
  <si>
    <t>https://m.facebook.com/story.php?story_fbid=411080017469872&amp;id=100057036322073</t>
  </si>
  <si>
    <t>https://drive.google.com/open?id=1gUuMegr3znBwvp6dLv7BsbCRKdrVouHb</t>
  </si>
  <si>
    <t>https://drive.google.com/open?id=1HW2Twv-1M3zqLQu4rbwNPj1MD-uXr6YN</t>
  </si>
  <si>
    <t>Sebastião Edemyr E. Leite-ME</t>
  </si>
  <si>
    <t>EVENTOS JARDIM</t>
  </si>
  <si>
    <t>08.604.106/0001-06</t>
  </si>
  <si>
    <t>Sebastião Edemyr Echague Leite</t>
  </si>
  <si>
    <t>j1jardimms@outlook.com</t>
  </si>
  <si>
    <t>(67)98182-5887</t>
  </si>
  <si>
    <t>MS</t>
  </si>
  <si>
    <t>Rua Pe Manoel da Nobrega</t>
  </si>
  <si>
    <t>Residencial São Paulo</t>
  </si>
  <si>
    <t>Jardim</t>
  </si>
  <si>
    <t>Esquina com rua Guanabara</t>
  </si>
  <si>
    <t>79240-000</t>
  </si>
  <si>
    <t>Jardim-MS</t>
  </si>
  <si>
    <t>100% recursos próprios</t>
  </si>
  <si>
    <t>eventosjardim.com.br</t>
  </si>
  <si>
    <t>f/eventosjardim</t>
  </si>
  <si>
    <t>Terezinha Osmari Bagatini</t>
  </si>
  <si>
    <t>EDITORA MAIS QUE PALAVRAS</t>
  </si>
  <si>
    <t>14.318.583/0001-08</t>
  </si>
  <si>
    <t>maisquepalavrascultura@gmail.com</t>
  </si>
  <si>
    <t>(49)99818-6137</t>
  </si>
  <si>
    <t>Rua Florianópolis</t>
  </si>
  <si>
    <t>São Luiz</t>
  </si>
  <si>
    <t>São Miguel do Oeste</t>
  </si>
  <si>
    <t>89900-000</t>
  </si>
  <si>
    <t>Espaços com ações continuadas: APAE e escola do meu bairro (o mais carente da cidade) e outros bairros da redondeza, assim como outras duas escolas públicas de bairros periféricos da minha terra natal, São José do Cedro;  a Associação Embelezando a Melhor Idade de Santa Rosa/RS e iniciando parceria com Ongs da Rede GF do Brasil afora.</t>
  </si>
  <si>
    <t>Crianças bem pequenas (1 ano e 7 meses até 3 anos e 11 meses), Crianças pequenas (4 anos a 5 anos e 11 meses), Crianças (6 a 12 anos), Adolescentes (12 aos 18 anos)</t>
  </si>
  <si>
    <t>Moradores de Favelas, Pessoas em situação de rua, Pessoas com Deficiência, Imigrantes, Comunidade rural, Outros</t>
  </si>
  <si>
    <t>1. Comunidade Vila Planalto da cidade de Santa Rosa /  RS /  seguida da Vila Agrícola /  Vila Bomba /  Cohab e Pró-Morar. 2. Comunidade Vila Basso (Beco) /  localizada no bairro São Luiz /  em São Miguel do Oeste /  SC. 3. Comunidades de residência de imigrantes haitianos e venezuelanos /  uma localizada no bairro São Gotardo e outra no bairro Progresso /  em São Miguel do Oeste /  SC.</t>
  </si>
  <si>
    <t>As comunidades citadas são as que atendemos de forma contínua e com o apoio permanente de agentes e organizações sociais locais parceiras. Outrossim* atendemos inúmeras outras comunidades de forma um tanto quanto pontual. 
Ps: as respostas que seguem se refere tão somente à Santa Rosa* considerando que o projeto "Literacia familiar: lei e cante pra mim" vai atingir números de beneficiários bem mais elevados.</t>
  </si>
  <si>
    <t>Parceria iniciativa privada, Lei Rouanet, Recursos próprios</t>
  </si>
  <si>
    <t>https://www.maisquepalavraseditora.com.br/</t>
  </si>
  <si>
    <t>https://www.instagram.com/maisquepalavraseditora/</t>
  </si>
  <si>
    <t>https://www.facebook.com/terezinha.osmaribagatini.5/</t>
  </si>
  <si>
    <t>https://www.youtube.com/channel/UC9vKRE-JoTzLDvCcIddLt3A</t>
  </si>
  <si>
    <t>https://drive.google.com/open?id=1QuiDr7sdvYMoIBup7UPLbtks6c7055Ob</t>
  </si>
  <si>
    <t>https://drive.google.com/open?id=1pdFd-D81TZqpjfLf_5JjmmN3p26byX5S</t>
  </si>
  <si>
    <t>https://drive.google.com/open?id=1svRw9odvH8ipCXBEy1G7-GWEZaNoi27c</t>
  </si>
  <si>
    <t>https://drive.google.com/open?id=1ePS4d6ePCopfOmx0vDjt0Kfwu8Nll1rd</t>
  </si>
  <si>
    <t>Instituto Atitude SP</t>
  </si>
  <si>
    <t>INSTITUTO ATITUDE SP</t>
  </si>
  <si>
    <t>Aline Pierrobom Cordeiro</t>
  </si>
  <si>
    <t>fazerobem@gmail.com</t>
  </si>
  <si>
    <t>(11)98111-4838</t>
  </si>
  <si>
    <t>Rua Barra de São Miguel</t>
  </si>
  <si>
    <t>Jd Nova Cumbica</t>
  </si>
  <si>
    <t>07231-030</t>
  </si>
  <si>
    <t>Barra de São Miguel /  Favela da 13 e Água Azul</t>
  </si>
  <si>
    <t>Nosso foco é trabalhar com as mulheres da comunidade trazendo educação básica a profissional* desenvolvimento do potencial que elas tem.</t>
  </si>
  <si>
    <t>30% doações 60% rifa 20% recurso próprio</t>
  </si>
  <si>
    <t>https://instagram.com/instituto_atitude?igshid=YmMyMTA2M2Y=</t>
  </si>
  <si>
    <t>https://www.facebook.com/fazerobemgru</t>
  </si>
  <si>
    <t>Associação Beneficente Raul das Tintas</t>
  </si>
  <si>
    <t>ASSOCIAÇÃO BENEFICENTE RAUL DAS TINTAS</t>
  </si>
  <si>
    <t>13.013.019/0001-14</t>
  </si>
  <si>
    <t>Alison Alex dos Santos</t>
  </si>
  <si>
    <t>araultintas@gmail.com</t>
  </si>
  <si>
    <t>(11)98178-1083</t>
  </si>
  <si>
    <t>Rua dos banqueiros</t>
  </si>
  <si>
    <t>Vila bancária</t>
  </si>
  <si>
    <t>03918-050</t>
  </si>
  <si>
    <t>Favela do primavera</t>
  </si>
  <si>
    <t>Atendemos comunidades adjecentes</t>
  </si>
  <si>
    <t>www.abrauldastintas.org</t>
  </si>
  <si>
    <t>https://drive.google.com/open?id=1eyop-DS6L7gwnL289E7E3W4EwESh-uqU</t>
  </si>
  <si>
    <t>Instituto Semear Plantar e Transformar</t>
  </si>
  <si>
    <t>ISPT</t>
  </si>
  <si>
    <t>42.095.357/0001-40</t>
  </si>
  <si>
    <t>Amanda Pereira da Silva</t>
  </si>
  <si>
    <t>institutospt@gmail.com</t>
  </si>
  <si>
    <t>(11)95905-7765</t>
  </si>
  <si>
    <t>Conjunto Habitacional Turistica</t>
  </si>
  <si>
    <t>casa 4</t>
  </si>
  <si>
    <t>05164-137</t>
  </si>
  <si>
    <t>CIC OESTE</t>
  </si>
  <si>
    <t>favela Nova Esperança  / Invasão e Jardim Nardine</t>
  </si>
  <si>
    <t>Negócio Social, Eventos/Ações para captação, Parceria iniciativa privada</t>
  </si>
  <si>
    <t>25%negocio próprio , 30 ações e eventos  45% Parceria privada</t>
  </si>
  <si>
    <t>https://www.instagram.com/institutospt/</t>
  </si>
  <si>
    <t>https://www.facebook.com/Institutospt/</t>
  </si>
  <si>
    <t>https://drive.google.com/open?id=1bnlUiVqIn5MgROpbQs74erlcJk8gLDzW</t>
  </si>
  <si>
    <t>https://drive.google.com/open?id=1s4983svdbDrVcH0hidtpD_UP612ZPQRj</t>
  </si>
  <si>
    <t>https://drive.google.com/open?id=17bZu4hHoEuFI6oiH8hhRpXa0-YUcQ2j8</t>
  </si>
  <si>
    <t>Instituto Sublim</t>
  </si>
  <si>
    <t>INSTITUTO SUBLIM</t>
  </si>
  <si>
    <t>Ana Carolina de Andrade</t>
  </si>
  <si>
    <t>institutosublim@gmail.com</t>
  </si>
  <si>
    <t>Av  Daniel Malettini</t>
  </si>
  <si>
    <t>Vila Aurora</t>
  </si>
  <si>
    <t>baixo</t>
  </si>
  <si>
    <t>Charles /  Anapolis /  Cingapura /  Tremembé /  Recanto verde /  Filhos da Terra /  Comunidade de Paz /  Corisco /  Nova Corisco /  Jd Brasil /  Protendit /  Bolivianos /  Vila Albertina /  Sucupira /  Boi malhado /  Vila Ede /  Jaçana /  Cachoeira.</t>
  </si>
  <si>
    <t>https://instagram.com/institutosublim?utm_medium=copy_link</t>
  </si>
  <si>
    <t>https://drive.google.com/open?id=1yyxtJ66mUJkArII4ZPQxXM8ZjhX49GBF</t>
  </si>
  <si>
    <t>https://drive.google.com/open?id=1nN5AhSWq5PfEZlkhCoZkdQEsLWcgzKUH</t>
  </si>
  <si>
    <t>https://drive.google.com/open?id=1L2MP3yq5kWCWGO0v1ZXPWpZ5f4wekgzV</t>
  </si>
  <si>
    <t>https://drive.google.com/open?id=1nI4DPE2oFqb42A-j2piiUECTSpq15jpH</t>
  </si>
  <si>
    <t>Ana Paula oliveira souza</t>
  </si>
  <si>
    <t>ASSOCIACAO REDE ACESSIBILIDADE</t>
  </si>
  <si>
    <t>anasouza6745@gmail.com</t>
  </si>
  <si>
    <t>Estrada da cumbica 479</t>
  </si>
  <si>
    <t>Jardim São Bento Novo</t>
  </si>
  <si>
    <t>05872-190</t>
  </si>
  <si>
    <t>Aracati /  capao /  jangadeiro /  margarida /  campo limpo</t>
  </si>
  <si>
    <t>Pessoas com deficiência e vulnerabilidade social</t>
  </si>
  <si>
    <t>www.redeacessibilidade.org.br</t>
  </si>
  <si>
    <t>https://www.instagram.com/invites/contact/?i=1owrmvtlsfh9p&amp;utm_content=kmlk0pf</t>
  </si>
  <si>
    <t>https://www.facebook.com/forcafocoobjetivo/</t>
  </si>
  <si>
    <t>Associação mão no arado</t>
  </si>
  <si>
    <t>MÃO NO ARADO</t>
  </si>
  <si>
    <t>18.824.829/0001-74</t>
  </si>
  <si>
    <t>Roseli machado Ribeiro</t>
  </si>
  <si>
    <t>associacaomaonoarado@gmail.com</t>
  </si>
  <si>
    <t>(11)2305-8654</t>
  </si>
  <si>
    <t>Rua fraiburgo</t>
  </si>
  <si>
    <t>Mudamos recentemente para cidade líder</t>
  </si>
  <si>
    <t>08280-500</t>
  </si>
  <si>
    <t>Moradores de Favelas, População LGBTQ+, Afrodescendentes, Pessoas com Deficiência</t>
  </si>
  <si>
    <t>Jardim Etelvina  /  vila progresso  /  águas vermelhas</t>
  </si>
  <si>
    <t>Eventos/Ações para captação, Plataforma doação online - Pessoa Física, Parceria iniciativa privada, Editais, Doações, Lei Estadual da Cultura, Lei Municipal da Cultura</t>
  </si>
  <si>
    <t>25% lei municipal da cultura</t>
  </si>
  <si>
    <t>https://instagram.com/associacaomaonoarado?igshid=YmMyMTA2M2Y=</t>
  </si>
  <si>
    <t>associação comunitária união potengi</t>
  </si>
  <si>
    <t>ACUP</t>
  </si>
  <si>
    <t>08.518.525/0001-25</t>
  </si>
  <si>
    <t>MARIA JACQUELINE BEZERRA</t>
  </si>
  <si>
    <t>uniaopotengi@gmail.com</t>
  </si>
  <si>
    <t>(84)99454-3103</t>
  </si>
  <si>
    <t>RUA POTENGI</t>
  </si>
  <si>
    <t>51 A</t>
  </si>
  <si>
    <t>SÃO PAULO DO POTENGI</t>
  </si>
  <si>
    <t>59460-000</t>
  </si>
  <si>
    <t>1. Escola Paulina Nunes de Queiroz 
2. Estádio Municipal Augusto Gomes da Rocha</t>
  </si>
  <si>
    <t>Pessoas em situação de rua, Dependentes Químicos, Comunidade rural, Outros</t>
  </si>
  <si>
    <t>ASS. BARRA DE SANTO ESTEVAM /  JUREMA  /  CACHOERINHA /  SANTA CLARA E PEDRA BRANCA</t>
  </si>
  <si>
    <t>www.acup.ong.br</t>
  </si>
  <si>
    <t>https://www.instagram.com/acup.rn/</t>
  </si>
  <si>
    <t>https://www.facebook.com/acup.rn</t>
  </si>
  <si>
    <t>https://www.youtube.com/tvuniaopotengi</t>
  </si>
  <si>
    <t>https://drive.google.com/open?id=1cx22ieVevFqZqbKGlXR5ssMJiRYNomSH</t>
  </si>
  <si>
    <t>https://drive.google.com/open?id=1jTkzyoYDes3i7ZMSat2GzYMqb2pw6PZO</t>
  </si>
  <si>
    <t>https://drive.google.com/open?id=1879sDHCWu9FLgy6mSIFKbxhV2kmXbyms</t>
  </si>
  <si>
    <t>https://drive.google.com/open?id=1lAVzL0Rd5Rwfa3mfFKdmwvj24RXIB2dw</t>
  </si>
  <si>
    <t>https://drive.google.com/open?id=1VsqZe6rnHBWKEzyqxDkMP9OQtEKAkFE5</t>
  </si>
  <si>
    <t>Johny Everton Firmino da Silva</t>
  </si>
  <si>
    <t>ABC HIP-HOP KIDS</t>
  </si>
  <si>
    <t>33.407.737/0001-82</t>
  </si>
  <si>
    <t>johny everton firmino da silva</t>
  </si>
  <si>
    <t>kamalartistapotiguar@yahoo.com</t>
  </si>
  <si>
    <t>(84)99840-7383</t>
  </si>
  <si>
    <t>Rua industrial</t>
  </si>
  <si>
    <t>Jardim Progresso</t>
  </si>
  <si>
    <t>59114-166</t>
  </si>
  <si>
    <t>Moradores de Favelas, População LGBTQ+, Povos Indígenas, Quilombola, Afrodescendentes</t>
  </si>
  <si>
    <t>Vale dourado, Jardim Progresso, Pantanal, Boa esperança, Nova Natal</t>
  </si>
  <si>
    <t>Lei de Incentivo, Editais, Lei Estadual da Cultura, Lei Municipal da Cultura, Lei Estadual do Esporte, Lei Federal do Esporte</t>
  </si>
  <si>
    <t>50% editais 50% lei municipal</t>
  </si>
  <si>
    <t>https://www.instagram.com/abchiphopkids20/</t>
  </si>
  <si>
    <t>https://www.facebook.com/CSCMLJP</t>
  </si>
  <si>
    <t>https://drive.google.com/open?id=1CY5j6Rzj8KNYZXaQb-NQFegjvuZsfgWc</t>
  </si>
  <si>
    <t>https://drive.google.com/open?id=1N--x3Cs4fiLplF7xRdYwzEHY-YCFb-SG</t>
  </si>
  <si>
    <t>https://drive.google.com/open?id=1uI2WtwEIWDT49RwFMsaOAhNQS4wlv9iu</t>
  </si>
  <si>
    <t>Projeto Bayernzinho</t>
  </si>
  <si>
    <t>PROJETO BAYERNZINHO</t>
  </si>
  <si>
    <t>40.496.439/0001-71</t>
  </si>
  <si>
    <t>Julio de Arimateia Leão</t>
  </si>
  <si>
    <t>diretoria@projetobayernzinho.org</t>
  </si>
  <si>
    <t>(84)99981-0363</t>
  </si>
  <si>
    <t>Rua Gastão Mariz</t>
  </si>
  <si>
    <t>Nova Descoberta</t>
  </si>
  <si>
    <t>59075-280</t>
  </si>
  <si>
    <t>Campo de futebol society alugado</t>
  </si>
  <si>
    <t>Becos dos Índios /  Florestal /  Raimundo Brasil</t>
  </si>
  <si>
    <t>60% Doações; 40% Eventos/ações de captação</t>
  </si>
  <si>
    <t>www.projetobayernzinho.org</t>
  </si>
  <si>
    <t>https://www.instagram.com/projetobayernzinho</t>
  </si>
  <si>
    <t>https://www.facebook.com/Projeto-Bayernzinho-104010868001098</t>
  </si>
  <si>
    <t>https://drive.google.com/open?id=1j05ntk0Zl2FGXUY7vBhV-vbTOtKEPvCw</t>
  </si>
  <si>
    <t>https://drive.google.com/open?id=1u6UT8MziHW9hO3GYx8rxcnw4rZahfMbu</t>
  </si>
  <si>
    <t>https://drive.google.com/open?id=1HB9tRcrnfN_dFkamMjqJ7jwN838UFOJm</t>
  </si>
  <si>
    <t>https://drive.google.com/open?id=1aaIBBjJZqbnVibASjw2x5pNzsYWQtz_d</t>
  </si>
  <si>
    <t>Associação de surf da praia de Miami e Areia Preta</t>
  </si>
  <si>
    <t>ASMAP</t>
  </si>
  <si>
    <t>45.025.886/0001-66</t>
  </si>
  <si>
    <t>Julianderson pereira da Silva</t>
  </si>
  <si>
    <t>juliandersonbodyboardpotiguar2@gmail.com</t>
  </si>
  <si>
    <t>Rua Guanabara</t>
  </si>
  <si>
    <t>59014-180</t>
  </si>
  <si>
    <t>Mãe Luiza / rocas e rua do moto</t>
  </si>
  <si>
    <t>As pessoas que são atendidas pela pela pelo nosso trabalho aqui na comunidade elas têm uma característica em comum que é tem algum familiar com vício de drogas álcool não ter não ter o ensino médio completo em casa então falta um suporte necessário para as crianças e adolescentes aqui da comunidade e em relação ao pessoal adulto da terceira idade já é mais selecionada essa superação e depressão ansiedade a idosos que ficam sobrecarregada tomando conta dos seus netos que os filhos ou morreram ou tem envolvimento com albinismo E essas oficinas consegue reconstruir um pouco a dignidade deles. Dando um espaço de falar e oportunidade de companheirismo social.</t>
  </si>
  <si>
    <t>https://instagram.com/asmaprn2022?utm_medium=copy_link</t>
  </si>
  <si>
    <t>Instituto de desenvolvimento esportivo* social e cultural Impactando Gerações</t>
  </si>
  <si>
    <t>INSTITUTO IMPACTANDO GERAÇÕES</t>
  </si>
  <si>
    <t>35.618.632/0001-06</t>
  </si>
  <si>
    <t>Anderson Rugel Vaz</t>
  </si>
  <si>
    <t>institutoimpactandogeracoes@gmail.com</t>
  </si>
  <si>
    <t>(11)99385-6346</t>
  </si>
  <si>
    <t>Rua Orlando Peregrino</t>
  </si>
  <si>
    <t>Lauzane Paulista</t>
  </si>
  <si>
    <t>02422-180</t>
  </si>
  <si>
    <t>Escolas  e igrejas</t>
  </si>
  <si>
    <t>Moradores de Favelas, Pessoas em situação de rua, Afrodescendentes, Dependentes Químicos</t>
  </si>
  <si>
    <t>Boi Malhado /  JD.princesa /  Freguesia / Jd Elisa maria  / JD Fontalis /  JD. City Guarulhos / JD. Peri / São Jose do rio pardo e Itapetiniga</t>
  </si>
  <si>
    <t>https://impactandogeracoes.org.br/</t>
  </si>
  <si>
    <t>https://instagram.com/institutoimpactando?r=nametag</t>
  </si>
  <si>
    <t>https://www.facebook.com/institutoimpactandogeracoes/</t>
  </si>
  <si>
    <t>https://drive.google.com/open?id=1jVYtSMlaZ9fC5_HqELiD80Adf3nuGndh</t>
  </si>
  <si>
    <t>https://drive.google.com/open?id=1ptMHKSMD_wb83FkpVtdZ8ioF6PmB7_9j</t>
  </si>
  <si>
    <t>https://drive.google.com/open?id=1TokkCEYQ5rDLldiiiZifH-e3fQxmam_K</t>
  </si>
  <si>
    <t>https://drive.google.com/open?id=1cOzZFSPD8vobm5nwObPoeUKy_osKnQSt</t>
  </si>
  <si>
    <t>Instituto Silveira Marques</t>
  </si>
  <si>
    <t>INSTITUTO SILVEIRA MARQUES</t>
  </si>
  <si>
    <t>27.963.170/0001-28</t>
  </si>
  <si>
    <t>Helena Silveira</t>
  </si>
  <si>
    <t>institutosilveiramarques@gmail.com</t>
  </si>
  <si>
    <t>(11)94030-8902</t>
  </si>
  <si>
    <t>Rua Itapajé</t>
  </si>
  <si>
    <t>Vila Nova Cachoerinha</t>
  </si>
  <si>
    <t>02612-050</t>
  </si>
  <si>
    <t>Fizemos ações junto ao Ama Jd Peri</t>
  </si>
  <si>
    <t>Flamengo</t>
  </si>
  <si>
    <t>https://www.institutosilveiramarques.org.br/</t>
  </si>
  <si>
    <t>https://instagram.com/isminstituto?igshid=YmMyMTA2M2Y=</t>
  </si>
  <si>
    <t>www.facebook.com/ism.instituto/</t>
  </si>
  <si>
    <t>https://drive.google.com/open?id=1GCs3M5Xc7loXR3VAtm37xVJBktTVXpDq</t>
  </si>
  <si>
    <t>https://drive.google.com/open?id=1i23EnM5i54COZwZpaFAC1dhqakL_EWYT</t>
  </si>
  <si>
    <t>https://drive.google.com/open?id=1QeQeMcwve13rgWu8NXd77dF2qJrOqzWg</t>
  </si>
  <si>
    <t>WATER IS LIFE BRASIL</t>
  </si>
  <si>
    <t>41.451.658/0001-05</t>
  </si>
  <si>
    <t>Baruc Vendito Batista</t>
  </si>
  <si>
    <t>baruc@waterislife.com</t>
  </si>
  <si>
    <t>(19)99760-0468</t>
  </si>
  <si>
    <t>Rua da Mooca 3156</t>
  </si>
  <si>
    <t>Mooca</t>
  </si>
  <si>
    <t>Sao Paulo</t>
  </si>
  <si>
    <t>Escritorio</t>
  </si>
  <si>
    <t>03165-000</t>
  </si>
  <si>
    <t>Diretamente com as comunidades (Sertão Nordestino e Amazonia)</t>
  </si>
  <si>
    <t>Moradores de Favelas, Pessoas em situação de rua, População LGBTQ+, Povos Indígenas, Quilombola, Afrodescendentes, Dependentes Químicos, Pessoas com Deficiência, Egressos sistema carcerário, Imigrantes, Refugiados, Ribeirinhos, Comunidade rural, Outros</t>
  </si>
  <si>
    <t>Favela de Palafita - Santos</t>
  </si>
  <si>
    <t>O acesso a Agua potavel é um direito de todos e todas. desde uma crainça ate os idosos.</t>
  </si>
  <si>
    <t>Eventos/Ações para captação, Plataforma doação online - Pessoa Física, Parceria iniciativa privada, Editais, Outro(s), Doações</t>
  </si>
  <si>
    <t>0.1</t>
  </si>
  <si>
    <t>WATERisLIFE.com</t>
  </si>
  <si>
    <t>https://www.instagram.com/waterislifebrasil/</t>
  </si>
  <si>
    <t>https://www.facebook.com/WATERisLIFEBrasil</t>
  </si>
  <si>
    <t>https://www.youtube.com/user/TheGiftOfWater</t>
  </si>
  <si>
    <t>https://drive.google.com/open?id=17CkYL7wrNsKK2XiRTXs5Cl7q-oMpi9ZD</t>
  </si>
  <si>
    <t>https://drive.google.com/open?id=1q4FkRbF-e7RXmgvyZ5zpqZ_WmLyg0lHl</t>
  </si>
  <si>
    <t>https://drive.google.com/open?id=1kJmjg2CjEmWdydvFwEVLZv6thwo-8bil</t>
  </si>
  <si>
    <t>Projeto Brigada Solidária</t>
  </si>
  <si>
    <t>BRIGADA SOLIDÁRIA</t>
  </si>
  <si>
    <t>Bruno Marcondes Anastacio</t>
  </si>
  <si>
    <t>projetobrigadasolidaria@gmail.com</t>
  </si>
  <si>
    <t>(11)94768-5585</t>
  </si>
  <si>
    <t>João da Silva de Moraes</t>
  </si>
  <si>
    <t>Jardim Ernestina</t>
  </si>
  <si>
    <t>04677-050</t>
  </si>
  <si>
    <t>Nosso trabalho é itinerante</t>
  </si>
  <si>
    <t>Vera Cruz /  Jardim Maravilha II /  Jardim Pari /  Cidade Tiradentes (3x) /  Prainha, Santa Madalena /  Vila Edna /  Parque Florestal.</t>
  </si>
  <si>
    <t>Busco atender especificamente pessoas com alta vulnerabilidade social.</t>
  </si>
  <si>
    <t>60% Editais, 35% recurso próprio, 5% doações</t>
  </si>
  <si>
    <t>brigadasolidaria.com.br</t>
  </si>
  <si>
    <t>instagram.com/brigadasolidariaoficial</t>
  </si>
  <si>
    <t>https://www.facebook.com/brigadasolidariaoficial</t>
  </si>
  <si>
    <t>youtube.com/brigadasolidariaoficial</t>
  </si>
  <si>
    <t>https://drive.google.com/open?id=1bIDAKJfBtvMOwaKlw95OBq-MIPHPLJxH</t>
  </si>
  <si>
    <t>https://drive.google.com/open?id=1gsgniGIUuPKQokCnCoS-o9Ivqc0KzPun</t>
  </si>
  <si>
    <t>Instituto Usina dos Atos</t>
  </si>
  <si>
    <t>USINA DOS ATOS</t>
  </si>
  <si>
    <t>20.813.425/0001-27</t>
  </si>
  <si>
    <t>Caio César Teixeira</t>
  </si>
  <si>
    <t>usina@usinadosatos.org.br</t>
  </si>
  <si>
    <t>(11)2985-2872</t>
  </si>
  <si>
    <t>Rua Aldemar, 176</t>
  </si>
  <si>
    <t>Chácara Belenzinho</t>
  </si>
  <si>
    <t>03379-070</t>
  </si>
  <si>
    <t>Sim, escolas e ocupações culturais</t>
  </si>
  <si>
    <t>Cidade Tiradentes (Zona Leste) e Capela do Socorro (Zona Sul)</t>
  </si>
  <si>
    <t>95% Editais / 5% Doações</t>
  </si>
  <si>
    <t>http://usinadosatos.org.br/</t>
  </si>
  <si>
    <t>https://www.instagram.com/usinadosatos/</t>
  </si>
  <si>
    <t>https://www.facebook.com/udosatos</t>
  </si>
  <si>
    <t>https://www.youtube.com/user/UsinadosAtos</t>
  </si>
  <si>
    <t>https://drive.google.com/open?id=1w9CE9-zioiMykR0ZfFVMerAzia2cTay8</t>
  </si>
  <si>
    <t>https://drive.google.com/open?id=13sT9QlDa1WlNV-glcmo0YBVlVJlW_Cax</t>
  </si>
  <si>
    <t>Centro de Recuperação e Educação Nutricional</t>
  </si>
  <si>
    <t>CREN</t>
  </si>
  <si>
    <t>71.732.960/0001-00</t>
  </si>
  <si>
    <t>Vaney Paulo Fornazieri</t>
  </si>
  <si>
    <t>diretoria_adm@cren.org.br</t>
  </si>
  <si>
    <t>(11)3218-2410</t>
  </si>
  <si>
    <t>Rua : das Azaleas n244</t>
  </si>
  <si>
    <t>Mirandopolis</t>
  </si>
  <si>
    <t>04049-010</t>
  </si>
  <si>
    <t>bebês (1 a 1ano e 6 meses), Adolescentes (12 aos 18 anos)</t>
  </si>
  <si>
    <t>Lapenna/Pantanal/ Santa Inês</t>
  </si>
  <si>
    <t>Crianças e adolescentes com desvios nutricionais</t>
  </si>
  <si>
    <t>Lei de Incentivo, Convênio Público, Eventos/Ações para captação, Plataforma doação online - Pessoa Física, Parceria iniciativa privada, Editais, Outro(s), Doações</t>
  </si>
  <si>
    <t>000p</t>
  </si>
  <si>
    <t>www.cren.org.br</t>
  </si>
  <si>
    <t>@cren.org.br</t>
  </si>
  <si>
    <t>cren.org</t>
  </si>
  <si>
    <t>Manifesta Movement</t>
  </si>
  <si>
    <t>MANIFESTA MOVEMENT</t>
  </si>
  <si>
    <t>Caio Vinicius Cuadrado Garcia</t>
  </si>
  <si>
    <t>(11)97575-6967</t>
  </si>
  <si>
    <t>Rua elgin</t>
  </si>
  <si>
    <t>Jardim Veneza</t>
  </si>
  <si>
    <t>Mogi das Cruzes</t>
  </si>
  <si>
    <t>08715-450</t>
  </si>
  <si>
    <t>Vila Nova União /  Jd. Piatã /  Conjunto do Bosque /  Conj. Jefferson</t>
  </si>
  <si>
    <t>Famílias</t>
  </si>
  <si>
    <t>https://www.instagram.com/manifestamovement_</t>
  </si>
  <si>
    <t>https://www.faceboook.com/manifestamovement</t>
  </si>
  <si>
    <t>https://drive.google.com/open?id=11PBUKLNlubLI8v0Pi3hspR7laXn9l7BW</t>
  </si>
  <si>
    <t>Instituto Batista Simon Pr Simon Horbaczyk</t>
  </si>
  <si>
    <t>IBSH</t>
  </si>
  <si>
    <t>07.069.676/0001-80</t>
  </si>
  <si>
    <t>Manoel Ramires Filho</t>
  </si>
  <si>
    <t>ibsh.instituto@gmail.com</t>
  </si>
  <si>
    <t>(11)2017-6362</t>
  </si>
  <si>
    <t>Rua Ernesto Manograsso,  207</t>
  </si>
  <si>
    <t>São Mateus</t>
  </si>
  <si>
    <t>03963-100</t>
  </si>
  <si>
    <t>Igreja Batista</t>
  </si>
  <si>
    <t>Moradores de Favelas, Pessoas em situação de rua, Imigrantes, Refugiados, Outros</t>
  </si>
  <si>
    <t>Jardim 9 de JULHO/ 5 de Julho/ Divinéia/ Maria Cursi/Jardim da Conquista</t>
  </si>
  <si>
    <t>Estamos situados no meio de 5 comunidades* porém com a pandemia atendemos pessoas de diversas regiões</t>
  </si>
  <si>
    <t>Negócio Social, Eventos/Ações para captação, Parceria iniciativa privada, Doações</t>
  </si>
  <si>
    <t>https://instagram.com/institutobatistapr.s?igshid=YmMyMTA2M2Y=</t>
  </si>
  <si>
    <t>https://www.facebook.com/IBSHacaosocial/</t>
  </si>
  <si>
    <t>https://drive.google.com/open?id=1h51KPDt5oBARe_PS4XLKOgYnTnxPPD0w</t>
  </si>
  <si>
    <t>https://drive.google.com/open?id=1UjeGcXcyVWBqT18Fko91_jmSg0opf-8R</t>
  </si>
  <si>
    <t>Empodera</t>
  </si>
  <si>
    <t>EMPODERA</t>
  </si>
  <si>
    <t>Cibele Campos</t>
  </si>
  <si>
    <t>Rua Eloy Domingues da Silva</t>
  </si>
  <si>
    <t>Parelheiros</t>
  </si>
  <si>
    <t>Parelheiros Extremo Sul</t>
  </si>
  <si>
    <t>Ong Heróis dos Lacres</t>
  </si>
  <si>
    <t>HERÓIS DOS LACRES</t>
  </si>
  <si>
    <t>40.661.595/0001-40</t>
  </si>
  <si>
    <t>Djalma Nunes Ferreira</t>
  </si>
  <si>
    <t>lacredobemermelino@gmail.com</t>
  </si>
  <si>
    <t>(11)97997-4464</t>
  </si>
  <si>
    <t>Rua Paulina Augustin</t>
  </si>
  <si>
    <t>Ermelino Matarazzo</t>
  </si>
  <si>
    <t>03807-400</t>
  </si>
  <si>
    <t>Sim, realizamos palestras sobre educação ambiental e amor ao próximo em instituições de ensinos, igrejas, eventos de bairros e comunidades.</t>
  </si>
  <si>
    <t>Moradores de Favelas, Pessoas em situação de rua, População LGBTQ+, Povos Indígenas, Quilombola, Afrodescendentes, Dependentes Químicos, Pessoas com Deficiência, Egressos sistema carcerário, Imigrantes, Refugiados</t>
  </si>
  <si>
    <t>Santa Inês /  Toca da Raposa /  Buraco Quente /  Kampala /  Cisper /  Verônia /  São Carlos</t>
  </si>
  <si>
    <t>Deficientes físicos e mentais</t>
  </si>
  <si>
    <t>https://herois-dos-lacres.negocio.site/</t>
  </si>
  <si>
    <t>https://www.instagram.com/heroisdoslacres/</t>
  </si>
  <si>
    <t>https://www.facebook.com/heroisdoslacres</t>
  </si>
  <si>
    <t>https://www.youtube.com/c/Her%C3%B3isdosLacres</t>
  </si>
  <si>
    <t>https://drive.google.com/open?id=1FXC-2zryfkgUJNNFU6Pv6tyoTtbK7PFi</t>
  </si>
  <si>
    <t>https://drive.google.com/open?id=1cTaQrv-z5_hbmbXAaECfp28trYZHTAAq</t>
  </si>
  <si>
    <t>https://drive.google.com/open?id=1ZLPdQ4bGo894-IVVPU0JgIBt46_y9xP7</t>
  </si>
  <si>
    <t>Agentes de Transformação Associação Civil</t>
  </si>
  <si>
    <t>AGENTES DE TRANSFORMAÇÃO</t>
  </si>
  <si>
    <t>45.779.200/0001-22</t>
  </si>
  <si>
    <t>Neusa de Fátima Assis Ribeiro da Silva</t>
  </si>
  <si>
    <t>agentesdetransformacaoong@gmail.com</t>
  </si>
  <si>
    <t>(11)96668-3880</t>
  </si>
  <si>
    <t>Benjamim Novais</t>
  </si>
  <si>
    <t>Burgo Pailista</t>
  </si>
  <si>
    <t>Escritório Administrativo</t>
  </si>
  <si>
    <t>03682-120</t>
  </si>
  <si>
    <t>Céu Pq São Carlos - Jd São Carlos</t>
  </si>
  <si>
    <t>Moradores de Favelas, Pessoas em situação de rua, Afrodescendentes, Imigrantes, Refugiados</t>
  </si>
  <si>
    <t>Jd Lapena /  Vila União /  das Verdes /  JD Maaravilha</t>
  </si>
  <si>
    <t>www.agentesdetransformacao.com</t>
  </si>
  <si>
    <t>@agentesde.transformacao</t>
  </si>
  <si>
    <t>https://www.facebook.com/agentesdetransf</t>
  </si>
  <si>
    <t>https://drive.google.com/open?id=1MyiBJLVn3xhg-eW0UO7qyJhl5FYR9SFA</t>
  </si>
  <si>
    <t>Evoluir - Instituto de Educação e Cidadania</t>
  </si>
  <si>
    <t>EVOLUIR</t>
  </si>
  <si>
    <t>42.010.054/0001-88</t>
  </si>
  <si>
    <t>Joel Antônio Bronzatto Pagan</t>
  </si>
  <si>
    <t>evoluir@evoluir.com.br</t>
  </si>
  <si>
    <t>(11)96705-3359</t>
  </si>
  <si>
    <t>Av. Cupecê</t>
  </si>
  <si>
    <t>Jd. Prudência</t>
  </si>
  <si>
    <t>Sala 02</t>
  </si>
  <si>
    <t>04366-000</t>
  </si>
  <si>
    <t>Projeto EuAchoUmAbsurdo</t>
  </si>
  <si>
    <t>Adolescentes (12 aos 18 anos), Adultos</t>
  </si>
  <si>
    <t>Jd. Maria Luiza /  Jd. Niterói /  Vila Joaniza /  Vila Missionária /  Jd. Martini /  Jd. Bransley /  Jd. Ubirajara /  Jd. Domitila /  Jd. São Jorge /  Vila Inglesa /  Morro da Macumba e Morro dos Macacos.</t>
  </si>
  <si>
    <t>Crianças* jovens e adultos com dificuldade em aprendizado* lazer* esporte* contra-turno* formação e capacitação.</t>
  </si>
  <si>
    <t>0.33</t>
  </si>
  <si>
    <t>https://www.facebook.com/EvoluirBr/</t>
  </si>
  <si>
    <t>https://instagram.com/evoluirbr/</t>
  </si>
  <si>
    <t>https://facebook.com/evoluirbr</t>
  </si>
  <si>
    <t>https://drive.google.com/open?id=1m4nxcEE_ga_Nz7SVKbilj2S4Rinoknh-</t>
  </si>
  <si>
    <t>https://drive.google.com/open?id=1lrqyoBkbK2HhUSRrnBACjhwh_qUz-7Os</t>
  </si>
  <si>
    <t>https://drive.google.com/open?id=1zycHLanylldaT_xjDcHym4hWYYnb9JvI</t>
  </si>
  <si>
    <t>https://drive.google.com/open?id=15S9OZ7je2ZFrq8970FVajopmEgIXWkqz</t>
  </si>
  <si>
    <t>https://drive.google.com/open?id=1FGkOip4O5EnUuflgKNCjwtaxG9cNLSe-</t>
  </si>
  <si>
    <t>Instituto de Estudos e Preservação das Culturas Indê­genas Brasileiras</t>
  </si>
  <si>
    <t>INSTITUTO NAWÁ</t>
  </si>
  <si>
    <t>33.091.662/0001-73</t>
  </si>
  <si>
    <t>Eduardo Luciano Pizaroli</t>
  </si>
  <si>
    <t>eduardo@institutonawa.org</t>
  </si>
  <si>
    <t>(11)98326-1978</t>
  </si>
  <si>
    <t>rua Antonio Arantes</t>
  </si>
  <si>
    <t>Vila Progredior</t>
  </si>
  <si>
    <t>05615-050</t>
  </si>
  <si>
    <t>Moradores de Favelas, Povos Indígenas, Ribeirinhos</t>
  </si>
  <si>
    <t>www.institutonawa.org</t>
  </si>
  <si>
    <t>https://instagram.com/institutonawa?igshid=YmMyMTA2M2Y=</t>
  </si>
  <si>
    <t>https://www.facebook.com/institutonawa</t>
  </si>
  <si>
    <t>https://www.youtube.com/channel/UChEnqHtlqOmRGd1wTCJoMUQ/featured</t>
  </si>
  <si>
    <t>https://drive.google.com/open?id=1SR-7_WcgC7KcZXBnv-wbGjmqDZ_qF7jK</t>
  </si>
  <si>
    <t>https://drive.google.com/open?id=1IoEcFMp_lu_I2GQ97j8nlMhWqew9wg9u</t>
  </si>
  <si>
    <t>Projeto Sitio Cipó</t>
  </si>
  <si>
    <t>INSTITUTO SEMEAR</t>
  </si>
  <si>
    <t>Danilo dos santos Nascimento moura</t>
  </si>
  <si>
    <t>projetositiocipo@mail.com</t>
  </si>
  <si>
    <t>(81)99211-1002</t>
  </si>
  <si>
    <t>tv cipo, 57</t>
  </si>
  <si>
    <t>vila cipó</t>
  </si>
  <si>
    <t>55002-190</t>
  </si>
  <si>
    <t>Ações dia das crianças, dia das mães  e acampamento de encerramento.</t>
  </si>
  <si>
    <t>Sítio cipó / assentamento sem teto</t>
  </si>
  <si>
    <t>Atendemos não só as crianças na comunidade mas* sua família tbm.</t>
  </si>
  <si>
    <t>estamos no aguardo do CNPJ para participar</t>
  </si>
  <si>
    <t>https://instagram.com/institutosemearaguasdotrono?utm_medium=copy_link</t>
  </si>
  <si>
    <t>https://drive.google.com/open?id=1HuweK1YFsrDHFwtBuxEf91G3xNAdHSbc</t>
  </si>
  <si>
    <t>Instituto judo regastando vidas</t>
  </si>
  <si>
    <t>INSTITUTO JUDO REGASTANDO VIDAS</t>
  </si>
  <si>
    <t>44.469.020/0001-81</t>
  </si>
  <si>
    <t>Taylor alberes pontes</t>
  </si>
  <si>
    <t>alberestaylor@gmail.com</t>
  </si>
  <si>
    <t>(81)99617-8272</t>
  </si>
  <si>
    <t>Rua da assembleia de Deus</t>
  </si>
  <si>
    <t>Cambinge</t>
  </si>
  <si>
    <t>Moreno</t>
  </si>
  <si>
    <t>54800-000</t>
  </si>
  <si>
    <t>Penoso /  Olaria / csu / vila holandesa /  conceição /  galinha de água</t>
  </si>
  <si>
    <t>Parceria iniciativa privada, Recursos próprios</t>
  </si>
  <si>
    <t>Não tem</t>
  </si>
  <si>
    <t>https://drive.google.com/open?id=1uygdots0ZUY8tIP1QR8Tnh8wCHzTVVKu</t>
  </si>
  <si>
    <t>https://drive.google.com/open?id=1rKeCRr99RkmDOXtXlBAD2BVDI3EYzWeI</t>
  </si>
  <si>
    <t>Thais Monique Gervásio de Moraes Wanderley</t>
  </si>
  <si>
    <t>UMA GOTA DE ESPERANÇA</t>
  </si>
  <si>
    <t>thais monique gercasio de moraes wanderley</t>
  </si>
  <si>
    <t>umagtesperanca@gmail.com</t>
  </si>
  <si>
    <t>(81)98558-5628</t>
  </si>
  <si>
    <t>rua bosque</t>
  </si>
  <si>
    <t>Mirueira</t>
  </si>
  <si>
    <t>Paulista</t>
  </si>
  <si>
    <t>53405-625</t>
  </si>
  <si>
    <t>Moradores de Favelas, Pessoas em situação de rua, População LGBTQ+, Dependentes Químicos, Pessoas com Deficiência, Egressos sistema carcerário, Comunidade rural</t>
  </si>
  <si>
    <t>Mirueira /  jardim alto / jardim baixo / vila Vitória / mata do ronca /  córrego da laranjeira /  chã mangabeira / alto da conquista / alto sol nascente / alto da bondade / alto do bigode e lixão aguasinha</t>
  </si>
  <si>
    <t>Plataforma doação online - Pessoa Física, Doações</t>
  </si>
  <si>
    <t>75% doação</t>
  </si>
  <si>
    <t>https://drive.google.com/open?id=1zqnWDrUYOL_cOMjJMfOltsXq07SWoUhY</t>
  </si>
  <si>
    <t>ASSOCIAÇÃO SANTO DIAS</t>
  </si>
  <si>
    <t>ASD-PB</t>
  </si>
  <si>
    <t>08.366.353/0001-11</t>
  </si>
  <si>
    <t>JOAO BATISTA LUCAS DA SILVA</t>
  </si>
  <si>
    <t>asdbrasil.pb@gmail.com</t>
  </si>
  <si>
    <t>(83)98824-5810</t>
  </si>
  <si>
    <t>AV DEP ODON BEZERRA</t>
  </si>
  <si>
    <t>TAMBIÁ</t>
  </si>
  <si>
    <t>JOÃO PESSOA</t>
  </si>
  <si>
    <t>ANEXO II</t>
  </si>
  <si>
    <t>58020-500</t>
  </si>
  <si>
    <t>ENTREGA DE ALIMENTOS — COMUNIDADE DO S;</t>
  </si>
  <si>
    <t>Róger /  Cabeça do Burro /  Asa Branca /  Comunidade do S /  Varadouro entre outras.</t>
  </si>
  <si>
    <t>https://asdbrasilpb.wixsite.com/santodias</t>
  </si>
  <si>
    <t>https://www.instagram.com/santodiasassociacao/</t>
  </si>
  <si>
    <t>https://drive.google.com/open?id=1MV49Jb1kw8cY-ITPwYlJ3f3padxN9MnE</t>
  </si>
  <si>
    <t>https://drive.google.com/open?id=19-Xem_yTx2jQE1SGcShcHUyCnUd-B9wN</t>
  </si>
  <si>
    <t>https://drive.google.com/open?id=1nTzy_KegEvvIPJGWcrHTDaPfaEe-jnwy</t>
  </si>
  <si>
    <t>Centro dos Jovens Unidos na Militancia Comunitaria de Paulista</t>
  </si>
  <si>
    <t>CEJUMIC</t>
  </si>
  <si>
    <t>04.478.325/0001-35</t>
  </si>
  <si>
    <t>Walleska Figueiredo Magalhães</t>
  </si>
  <si>
    <t>cejumic2021@gmail.com</t>
  </si>
  <si>
    <t>(81)98806-7677</t>
  </si>
  <si>
    <t>Rua Itinga, Quadra A03</t>
  </si>
  <si>
    <t>Engenho Maranguape</t>
  </si>
  <si>
    <t>53423-210</t>
  </si>
  <si>
    <t>Não.</t>
  </si>
  <si>
    <t>Favela vila nova /   Favela Luiz Gonzaga /  Favela  chega mais /  /  Favela subida da caixa dagua / Favela dos Canos.</t>
  </si>
  <si>
    <t>100% Doações</t>
  </si>
  <si>
    <t>https://ongcejumic.com.br/</t>
  </si>
  <si>
    <t>https://instagram.com/ongcejumic</t>
  </si>
  <si>
    <t>https://drive.google.com/open?id=1g3rtjD52H1my3cJaZ-KH6vEZVdJxM0yi</t>
  </si>
  <si>
    <t>https://drive.google.com/open?id=1ZwXP9W6wB2c9K5yq9ImBsjwniHTI2v6j</t>
  </si>
  <si>
    <t>https://drive.google.com/open?id=1lHF-4OncE-Co3KcbU0jka5LAqX0rCfk6</t>
  </si>
  <si>
    <t>https://drive.google.com/open?id=1kkjeVqPk600-apFARV4S9NhM2leEgACd</t>
  </si>
  <si>
    <t>https://drive.google.com/open?id=18r93P0K0NDwPI3UIGyJ_EiQYaWpST4wt</t>
  </si>
  <si>
    <t>Empório Germine</t>
  </si>
  <si>
    <t>EMPÓRIO GERMINE</t>
  </si>
  <si>
    <t>Adriana do Amaral Silva</t>
  </si>
  <si>
    <t>emporiogermine@gmail.com</t>
  </si>
  <si>
    <t>(21)99636-4086</t>
  </si>
  <si>
    <t>Rua Antônio Silva</t>
  </si>
  <si>
    <t>Fonseca</t>
  </si>
  <si>
    <t>Niterói</t>
  </si>
  <si>
    <t>Apt 204</t>
  </si>
  <si>
    <t>24130-175</t>
  </si>
  <si>
    <t>Adultos, Idosos (60 anos ou mais)</t>
  </si>
  <si>
    <t>Pessoas em situação de rua, Dependentes Químicos</t>
  </si>
  <si>
    <t>População em Situação de Rua</t>
  </si>
  <si>
    <t>Negócio Social, Convênio Público, Eventos/Ações para captação, Plataforma doação online - Pessoa Física, Parceria iniciativa privada, Editais, Doações, Lei Municipal da Cultura, Recursos próprios</t>
  </si>
  <si>
    <t>50% Editais e Recursos de Terceiros e 50% Negócio Social e Doações</t>
  </si>
  <si>
    <t>emporiogermine.com.br</t>
  </si>
  <si>
    <t>https://www.instagram.com/emporiogermine/</t>
  </si>
  <si>
    <t>Associação de Moradores da Rua Travassos</t>
  </si>
  <si>
    <t>NAIF-NÚCLEO DE APOIO INTEGRAL A FAMÍLIA</t>
  </si>
  <si>
    <t>07.880.831/0001-44</t>
  </si>
  <si>
    <t>Alex Pereira de Souza</t>
  </si>
  <si>
    <t>adm@institutonaif.org</t>
  </si>
  <si>
    <t>(21)97991-0227</t>
  </si>
  <si>
    <t>Rua Edgar Aquino Duarte</t>
  </si>
  <si>
    <t>Paciência</t>
  </si>
  <si>
    <t>Urucânia</t>
  </si>
  <si>
    <t>23573-210</t>
  </si>
  <si>
    <t>Moradores de Favelas, Dependentes Químicos</t>
  </si>
  <si>
    <t>Urucônia-Barro Vermelho- Saquaçu</t>
  </si>
  <si>
    <t>Trabalhamos com prevenção de suicídio</t>
  </si>
  <si>
    <t>www.institutonaif.org</t>
  </si>
  <si>
    <t>https://www.instagram.com/naifoficial/</t>
  </si>
  <si>
    <t>https://drive.google.com/open?id=1GZwla7q2SZyKYsJepgbxbJbTqnowlw2O</t>
  </si>
  <si>
    <t>https://drive.google.com/open?id=1dY7W6HGeHgbieNKv-wkPJyDS8FTMCv_7</t>
  </si>
  <si>
    <t>https://drive.google.com/open?id=1Agg8MboYG5jpyleBUhp25w8CszsxVa7r</t>
  </si>
  <si>
    <t>https://drive.google.com/open?id=1UJQmqrQs5kfGDw0GE9R0N0f-CP3fgVfJ</t>
  </si>
  <si>
    <t>https://drive.google.com/open?id=1KqO2zCKhffR-btLDOPuMunmFRz06PzgB</t>
  </si>
  <si>
    <t>Esporte e educação</t>
  </si>
  <si>
    <t>PROJETO JACARÉ BASQUETE</t>
  </si>
  <si>
    <t>Thiago Nascimento</t>
  </si>
  <si>
    <t>projetojacarebasquete@gmail.com</t>
  </si>
  <si>
    <t>Rua Reginaldo Pardelha</t>
  </si>
  <si>
    <t>Cachambi</t>
  </si>
  <si>
    <t>20785-170</t>
  </si>
  <si>
    <t>Favela do Jacarezinho /  Pica-pau</t>
  </si>
  <si>
    <t>Atendemos os alunos e seus responsáveis* mantemos contato direto com os adultos responsáveis pelas crianças.</t>
  </si>
  <si>
    <t>https://www.instagram.com/jacare.basquete/</t>
  </si>
  <si>
    <t>https://www.facebook.com/Jacar%C3%A9-Basquete-102052072240801</t>
  </si>
  <si>
    <t>https://drive.google.com/open?id=1_495mVZ4nlUgtUdTjFM-GD8a8hb-HqW6</t>
  </si>
  <si>
    <t>https://drive.google.com/open?id=1elXGtLwjPaRUgSbqiHRIjHv0lwERO_Lo</t>
  </si>
  <si>
    <t>Rede Ablan</t>
  </si>
  <si>
    <t>REDE ABLAN</t>
  </si>
  <si>
    <t>Ana Carolina dos Santos Nascimento</t>
  </si>
  <si>
    <t>redeablan@gmail.com</t>
  </si>
  <si>
    <t>(24)99933-6353</t>
  </si>
  <si>
    <t>Rua Alfem Ferreira de Oliveira 256</t>
  </si>
  <si>
    <t>São Benedito</t>
  </si>
  <si>
    <t>Quatis</t>
  </si>
  <si>
    <t>27430-068</t>
  </si>
  <si>
    <t>Estação Cultural</t>
  </si>
  <si>
    <t>bebês (1 a 1ano e 6 meses), Crianças bem pequenas (1 ano e 7 meses até 3 anos e 11 meses), Crianças pequenas (4 anos a 5 anos e 11 meses), Crianças (6 a 12 anos), Adolescentes (12 aos 18 anos), Jovens (18 aos 24 anos), Adultos</t>
  </si>
  <si>
    <t>Moradores de Favelas, População LGBTQ+, Quilombola, Afrodescendentes, Pessoas com Deficiência, Comunidade rural</t>
  </si>
  <si>
    <t>Médio Paraíba</t>
  </si>
  <si>
    <t>São crianças* adolescentes* jovens* adultos e idosos com Deficiência.</t>
  </si>
  <si>
    <t>https://instagram.com/redeablan?utm_medium=copy_link</t>
  </si>
  <si>
    <t>https://www.facebook.com/redeablan/</t>
  </si>
  <si>
    <t>https://drive.google.com/open?id=1z6tRdpu8Kl-YZoP59PRE0-aYuBxguOJ0</t>
  </si>
  <si>
    <t>https://drive.google.com/open?id=1AFCaGE1MSZimxyu8-BxwuwrJkr0TyMPr</t>
  </si>
  <si>
    <t>Projeto união parque</t>
  </si>
  <si>
    <t>UNIÃO PARQUE FC</t>
  </si>
  <si>
    <t>Anderson da Conceição dos Santos</t>
  </si>
  <si>
    <t>uniaoparquep@gmail.com</t>
  </si>
  <si>
    <t>(21)98221-9778</t>
  </si>
  <si>
    <t>Rua Jacinto</t>
  </si>
  <si>
    <t>Parque primavera</t>
  </si>
  <si>
    <t>Itaguaí</t>
  </si>
  <si>
    <t>23835-003</t>
  </si>
  <si>
    <t>Campo de Futebol</t>
  </si>
  <si>
    <t>Chapero /  cação /  mangueira /  rio da guarda  /  carvão /  cação /  Brisamar /  fula</t>
  </si>
  <si>
    <t>Recursos próprios 80% , rifa 20%</t>
  </si>
  <si>
    <t>https://instagram.com/uniaoparque_2015?igshid=YmMyMTA2M2Y=</t>
  </si>
  <si>
    <t>https://drive.google.com/open?id=1MPQRCSArvYQ19MXn1MDFfq9RD3thO4P0</t>
  </si>
  <si>
    <t>favela surf clube</t>
  </si>
  <si>
    <t>ANDERSON SURF</t>
  </si>
  <si>
    <t>03.914.4450001-75</t>
  </si>
  <si>
    <t>favelasurfclube12@gmail.com</t>
  </si>
  <si>
    <t>Rua Alberto de Campos</t>
  </si>
  <si>
    <t>Ipanema</t>
  </si>
  <si>
    <t>22411-030</t>
  </si>
  <si>
    <t>favela do turano</t>
  </si>
  <si>
    <t>PROJETO MOURÃO ELES NÃO SÃO INVISIVEIS</t>
  </si>
  <si>
    <t>PROJETO MOURÃO</t>
  </si>
  <si>
    <t>45.777.279/0001-52</t>
  </si>
  <si>
    <t>Bianca Neto de Oliveira</t>
  </si>
  <si>
    <t>projetomourao2026@gmail.com</t>
  </si>
  <si>
    <t>(21)99717-5097</t>
  </si>
  <si>
    <t>Rua Aristóteles Ferreira</t>
  </si>
  <si>
    <t>Rio deJaneiro</t>
  </si>
  <si>
    <t>loja</t>
  </si>
  <si>
    <t>21061-200</t>
  </si>
  <si>
    <t>ESCOLA MOURÃO FILHO / ESPAÇO DE FESTA DE UM VIZINHO</t>
  </si>
  <si>
    <t>RESEVATÓRIO DA MOURÃO  CAIXA D´AGUA</t>
  </si>
  <si>
    <t>DOAÇÃO DE COMIDA PARA MORADORES DE RUA</t>
  </si>
  <si>
    <t>50% recurso próprio, 25% doações, 25% eventos e ações para capitar recusos</t>
  </si>
  <si>
    <t>@PROJETO.MOURAO</t>
  </si>
  <si>
    <t>https://www.facebook.com/biancaneto.oliveira</t>
  </si>
  <si>
    <t>https://youtube.com/channel/UCFyNQsXtFcXvkG1BvUJ-GAQ</t>
  </si>
  <si>
    <t>https://drive.google.com/open?id=14Nvrzuvei0Tet-LfXnEx_Z7htsTFeBU9</t>
  </si>
  <si>
    <t>https://drive.google.com/open?id=1bKdwR8qymDGhn5YSjYwLTXfs3ZHwuIpe</t>
  </si>
  <si>
    <t>OSC CRESCE COMUNIDADE</t>
  </si>
  <si>
    <t>CRESCE COMUNIDADE</t>
  </si>
  <si>
    <t>42350558/0001-47</t>
  </si>
  <si>
    <t>Geraldo Luís Alves de Oliveira e Cláudia Alves de Oliveira</t>
  </si>
  <si>
    <t>osccrescecomunidade@gmail.com</t>
  </si>
  <si>
    <t>Rua Roberto Silva</t>
  </si>
  <si>
    <t>21060-230</t>
  </si>
  <si>
    <t>Grota / nova Brasília / morro do Adeus / baiana / cidade de Deus / morro do sapê / cidade alta e etc…</t>
  </si>
  <si>
    <t>https://www.instagram.com/p/CXAMiGdr7nN/?utm_medium=copy_link</t>
  </si>
  <si>
    <t>Osccrescecomunidade/.com</t>
  </si>
  <si>
    <t>https://drive.google.com/open?id=1o2F1fN8C12G_FXqkZe0GeGVpmqwCCiPg</t>
  </si>
  <si>
    <t>https://drive.google.com/open?id=1cfkrTumCAWL89xPXqsM2DWAM9D0tyu88</t>
  </si>
  <si>
    <t>https://drive.google.com/open?id=1R6_bILZoOHe_XmAR8sjo35uyD8u_tE0z</t>
  </si>
  <si>
    <t>Anjos de Asas no Mundo Azul</t>
  </si>
  <si>
    <t>ANJOS DE ASAS NO MUNDO AZUL</t>
  </si>
  <si>
    <t>CLAUDIA RUBIAH DANTAS SALGADO DA SILVA</t>
  </si>
  <si>
    <t>mundoaanjosdeasas@gmail.com</t>
  </si>
  <si>
    <t>Travessa Guilherme Maza</t>
  </si>
  <si>
    <t>Chatuba</t>
  </si>
  <si>
    <t>26585-080</t>
  </si>
  <si>
    <t>Chatuba e Buraco Quente</t>
  </si>
  <si>
    <t>https://drive.google.com/open?id=1atkU4OUlbfnXTbqIgQ1B4IqI96jfkbx6</t>
  </si>
  <si>
    <t>CineClube Tia Nilda</t>
  </si>
  <si>
    <t>CINECLUBE TIA NILDA</t>
  </si>
  <si>
    <t>Diego Gomes de Lima</t>
  </si>
  <si>
    <t>cineclubetianilda@gmail.com</t>
  </si>
  <si>
    <t>(21)98050-2028</t>
  </si>
  <si>
    <t>Rua José Lopes</t>
  </si>
  <si>
    <t>Cordovil</t>
  </si>
  <si>
    <t>21215-430</t>
  </si>
  <si>
    <t>Favela do Dourado, Batuta, Cidade Alta, Quitungo, 5 Bocas</t>
  </si>
  <si>
    <t>60% Doações 30% Editais 10% Eventos/Ação para captação</t>
  </si>
  <si>
    <t>http://cineclubetianilda.com.br/</t>
  </si>
  <si>
    <t>https://www.instagram.com/cineclubetianilda/</t>
  </si>
  <si>
    <t>https://www.facebook.com/cineclubetianilda</t>
  </si>
  <si>
    <t>https://www.youtube.com/channel/UCHlZa8ThVRBTnZquY7QTe0A/videos</t>
  </si>
  <si>
    <t>https://drive.google.com/open?id=1m1BzRv7E2gKb2Dulve9zrp2i7G5SLksd</t>
  </si>
  <si>
    <t>https://drive.google.com/open?id=1kuZ5OexGPWLrVE3XZfRyw0AmDaj10P5J</t>
  </si>
  <si>
    <t>GRUPO CULTURAL ARTD'RUA</t>
  </si>
  <si>
    <t>Luciano Inácio Tavares</t>
  </si>
  <si>
    <t>(84)98823-1176</t>
  </si>
  <si>
    <t>SEGUNDA TRAVESSA PRESIDENTE MÉDICI</t>
  </si>
  <si>
    <t>IGAPÓ</t>
  </si>
  <si>
    <t>(84)988231176</t>
  </si>
  <si>
    <t>59106-014</t>
  </si>
  <si>
    <t>Comunidade do Bela Vista e Jardim Progresso</t>
  </si>
  <si>
    <t>https://www.facebook.com/artdruacrew/</t>
  </si>
  <si>
    <t>https://drive.google.com/open?id=1lOR_7mF_LGyX-KuItLGlrZ4AavKYGIKJ</t>
  </si>
  <si>
    <t>https://drive.google.com/open?id=14jcyNcCejAzeRmB2MHy1mj_Yt33JuC-2</t>
  </si>
  <si>
    <t>https://drive.google.com/open?id=1lNcZQI6YUiGJj-x5_B7Iub9f9bPLdQfx</t>
  </si>
  <si>
    <t>ASSOCIAÇÃO DE TEATRO ARTES E YOGA</t>
  </si>
  <si>
    <t>ARTYOGAPB</t>
  </si>
  <si>
    <t>10.734.234/0001-16</t>
  </si>
  <si>
    <t>ANGEL ALMEIDA DA SILVA</t>
  </si>
  <si>
    <t>angelalmeida2005@hotmail.com</t>
  </si>
  <si>
    <t>(83)98736-5577</t>
  </si>
  <si>
    <t>RUA JOSÉ MESQUISTA,</t>
  </si>
  <si>
    <t>13 DE MAIO</t>
  </si>
  <si>
    <t>CASA</t>
  </si>
  <si>
    <t>58025-330</t>
  </si>
  <si>
    <t>Sim ( entrega de alimentos moradores de rua)</t>
  </si>
  <si>
    <t>Favela do S /  favela asa branca /  favela raio da morada /  favela terra do nunca</t>
  </si>
  <si>
    <t>Eventos/Ações para captação, Outro(s), Doações, Recursos próprios</t>
  </si>
  <si>
    <t>https://cnpj.biz/10734234000116</t>
  </si>
  <si>
    <t>https://instagram.com/aarma13demaio?igshid=YmMyMTA2M2Y=</t>
  </si>
  <si>
    <t>https://www.facebook.com/artyogapb/</t>
  </si>
  <si>
    <t>https://drive.google.com/open?id=1rns9GS2Eb8D2ugss4Ig911HZQMffGfQj</t>
  </si>
  <si>
    <t>https://drive.google.com/open?id=1qvFzprrsNfOFBivUi2vFYeCGpYdi2ksU</t>
  </si>
  <si>
    <t>https://drive.google.com/open?id=1l2uh4QP9RAmPpTBF8XdknUlw0TpGvmyj</t>
  </si>
  <si>
    <t>https://drive.google.com/open?id=1Egc3gjR-LLwTt8HJFA5918q-E2jLGFYo</t>
  </si>
  <si>
    <t>Berimbau hostel e cozinha artesanal</t>
  </si>
  <si>
    <t>AS CORES DA VILA</t>
  </si>
  <si>
    <t>30.118.927/0001-91</t>
  </si>
  <si>
    <t>Tuany Franciele Lopes de Oliveira</t>
  </si>
  <si>
    <t>tuanyadmtransmutar@gmail.com</t>
  </si>
  <si>
    <t>(11)98852-4918</t>
  </si>
  <si>
    <t>Rua Jose Greff Borba</t>
  </si>
  <si>
    <t>parque santa rita</t>
  </si>
  <si>
    <t>Endereço espaço cultural aonde acontece as oficinas</t>
  </si>
  <si>
    <t>08150-130</t>
  </si>
  <si>
    <t>itaim,Curuça,Miragaia,Nazare,Ype,Aguas Vermelhas</t>
  </si>
  <si>
    <t>Vila de Ponta Negra</t>
  </si>
  <si>
    <t>wwwascoresdavila.wix</t>
  </si>
  <si>
    <t>https://www.instagram.com/transmutar_geracao/</t>
  </si>
  <si>
    <t>https://studio.youtube.com/channel/UC729kKI---z4YGjdV2MMokg/videos/upload?filter=%5B%5D&amp;sort=%7B%22columnType%22%3A%22date%22%2C%22sortOrder%22%3A%22DESCENDING%22%7D</t>
  </si>
  <si>
    <t>https://drive.google.com/open?id=1TV9lU88umpuqvmZ_17CXMT4Z4HbrNl4i</t>
  </si>
  <si>
    <t>FORUM DE ASSOCIAÇÕES DE SÃO TOMÉ RN</t>
  </si>
  <si>
    <t>04.377.349/0001-06</t>
  </si>
  <si>
    <t>Maria De Fátima Bezerra</t>
  </si>
  <si>
    <t>bezerra.fatima.st@gmail.com</t>
  </si>
  <si>
    <t>(84)99417-1920</t>
  </si>
  <si>
    <t>Rua Padre Ramiro Varela</t>
  </si>
  <si>
    <t>São Tomé</t>
  </si>
  <si>
    <t>59400-000</t>
  </si>
  <si>
    <t>escolas, comunidades rurais e espaços urbanos.</t>
  </si>
  <si>
    <t>FAVELA DO aLTO SÃO SEBASTIÃO /  COMUNIDADE FOMENTO /  BARRENTAS /  GAMELEIRA QUILOMBOLA /  SALGADINHO /  VILA SÃO FRANCISCO /  COTOVELO / VARZEA /  RIACHO FECHADO /  MORADA NOVA /  SERRA DO LAMEIRO /  BOA VISTA /  PEDRA PRETA /  ESPINHEIRO /  ROÇA /  MATINHA /  GERIGUAÇÚ /  SÃO BOA VENTURA /  INGÁ DE SANTA LUZIA /  PORTEIRAS /  QUIXABA /  SERRA DO TIGRE /  SUCAVÃO /  SANTA MARIA  / CARRAPATEIRA</t>
  </si>
  <si>
    <t>ATENDEMOS AS COMUNIDADES EM ESPECIALIDADES A TODA A FAMILIA</t>
  </si>
  <si>
    <t>Eventos/Ações para captação, Recursos próprios</t>
  </si>
  <si>
    <t>https://instagram.com/@forum_st</t>
  </si>
  <si>
    <t>https://www.facebook.com/groups/7232146193516/permalink/1058889634946362/</t>
  </si>
  <si>
    <t>https://drive.google.com/open?id=18ftoBo1WBnpNpOWDGksm-EQpJb9emXAp</t>
  </si>
  <si>
    <t>https://drive.google.com/open?id=1WtNXdlrwX01rrxKw0tdi5g1ZBKG9aOL-</t>
  </si>
  <si>
    <t>https://drive.google.com/open?id=1eNE4bH1PpZkD02G9V4MoS2bt8q47ePcv</t>
  </si>
  <si>
    <t>Fazer a diferença</t>
  </si>
  <si>
    <t>CRESCENDO COM VOCÊ</t>
  </si>
  <si>
    <t>Maria dos prazeres Herculano da</t>
  </si>
  <si>
    <t>Canguaretama</t>
  </si>
  <si>
    <t>Maxixi /  acampamento /  reta juqui</t>
  </si>
  <si>
    <t>Associação Anajô</t>
  </si>
  <si>
    <t>ANAJÔ</t>
  </si>
  <si>
    <t>08.594.979/0001-85</t>
  </si>
  <si>
    <t>Joseilda Brito</t>
  </si>
  <si>
    <t>anajogba@yahoo.com.br</t>
  </si>
  <si>
    <t>Rua Hermenegildo Cunha</t>
  </si>
  <si>
    <t>Nordeste II</t>
  </si>
  <si>
    <t>Guarabira</t>
  </si>
  <si>
    <t>Na praça do Encontro</t>
  </si>
  <si>
    <t>58200-000</t>
  </si>
  <si>
    <t>Nordeste II / Bairro do Cordeiro / Bairro do Rosário / Comunidade do Mutirão</t>
  </si>
  <si>
    <t>Atendimento a crianças e adolescentes em
Situação de risco social</t>
  </si>
  <si>
    <t>https://www.anajo.org/</t>
  </si>
  <si>
    <t>www.associacaoanajo</t>
  </si>
  <si>
    <t>www.assocanajo</t>
  </si>
  <si>
    <t>https://drive.google.com/open?id=14KunFdQq93j4mwmcD4aC1BFSnhzyMcRn</t>
  </si>
  <si>
    <t>https://drive.google.com/open?id=17qyqO4NlcPzeScE2xj1EVRcEi8e0Ry5X</t>
  </si>
  <si>
    <t>https://drive.google.com/open?id=1r6QVJp23LhT_hIJthNMWFrJ7bzLQtV7F</t>
  </si>
  <si>
    <t>https://drive.google.com/open?id=1G-kwAljn6AEyZ7mXTc9Y-5pZzllIV8Qn</t>
  </si>
  <si>
    <t>https://drive.google.com/open?id=1B3P1N_7CZbj2TreJ1gV_RU-Y7B3_ROuc</t>
  </si>
  <si>
    <t>INSTITUTOMULHERES EM SUPERAÇÃO NA AMAZÔNIA</t>
  </si>
  <si>
    <t>IMES</t>
  </si>
  <si>
    <t>NELRIANE REIS PANTOJA ARAÚJO</t>
  </si>
  <si>
    <t>imes.amazonia@gmail.com</t>
  </si>
  <si>
    <t>(92)99383-4491</t>
  </si>
  <si>
    <t>RUA BREVES</t>
  </si>
  <si>
    <t>COLÔNIA TERRA NOVA</t>
  </si>
  <si>
    <t>MANAUS</t>
  </si>
  <si>
    <t>69015-103</t>
  </si>
  <si>
    <t>Bairro</t>
  </si>
  <si>
    <t>Povos Indígenas, Pessoas com Deficiência, Imigrantes, Ribeirinhos, Comunidade rural</t>
  </si>
  <si>
    <t>colonia terra nova /  bairro santa marta /  bairro Nsra. de fatima 1 /  bairro Jorge Texeira 1 /  2 /  3 / 4 /  bairro cidade nova / bairro coroado /  bairro zumbir /  bairro alvorada 2 /  bairro Santa Etelvina /  bairro monte das oliveira /  etc</t>
  </si>
  <si>
    <t>O instituto Mulheres em Superação  na Amazônia - IMES* também acompanha algumas famílias que moram no município de Parintins* localizados nos bairros Itaúna 1*2 e no Bairro Santa Clara* bairro Palmares e ocupação pascoa alage.</t>
  </si>
  <si>
    <t>https://www.instagram.com/mulheres.em.superacao/</t>
  </si>
  <si>
    <t>https://www.facebook.com/InstitutoMeS</t>
  </si>
  <si>
    <t>https://drive.google.com/open?id=1ZyWEwInN2Zp278GDQWTVyRDx9z-UcL5_</t>
  </si>
  <si>
    <t>INSTITUTO ÁGAPE MANAUS</t>
  </si>
  <si>
    <t>Avenida Arquiteto José Henriques B. Rodrigues</t>
  </si>
  <si>
    <t>SALA 2B* 2º ANDAR</t>
  </si>
  <si>
    <t>69093-149</t>
  </si>
  <si>
    <t>MONTE DAS OLIVEIRAS - ALFREDO NASCIMENTO</t>
  </si>
  <si>
    <t>https://www.facebook.com/institutoagapemanaus</t>
  </si>
  <si>
    <t>https://drive.google.com/open?id=1JqPRNXXVX3ixdWqtJnPiszWH_jP1suMz</t>
  </si>
  <si>
    <t>https://drive.google.com/open?id=1R_zc0kBa_idJtnQ2onkA53JpRBBy_KQH</t>
  </si>
  <si>
    <t>https://drive.google.com/open?id=1lmuLbLVcVx-xpE7KRSUXJ3jHo-rrqtJW</t>
  </si>
  <si>
    <t>https://drive.google.com/open?id=16v1DTaAceY6bOryB-HoBWrcpubHKvDRB</t>
  </si>
  <si>
    <t>Associação Elas Podem RN</t>
  </si>
  <si>
    <t>ELAS PODEM</t>
  </si>
  <si>
    <t>Wilaneide da Silva Campos</t>
  </si>
  <si>
    <t>willa.natal@yahoo.com.br</t>
  </si>
  <si>
    <t>(84)98877-6684</t>
  </si>
  <si>
    <t>Rua Estevão Felismino</t>
  </si>
  <si>
    <t>Cabeceiras</t>
  </si>
  <si>
    <t>Tibau do sul</t>
  </si>
  <si>
    <t>59178-000</t>
  </si>
  <si>
    <t>Escolas, praças, ginásios</t>
  </si>
  <si>
    <t>Moradores de Favelas, Pessoas em situação de rua, População LGBTQ+, Povos Indígenas, Quilombola, Afrodescendentes, Pessoas com Deficiência, Comunidade rural</t>
  </si>
  <si>
    <t>Carcará /  capim /  fogo do Umari /  cacimbinha / lagoa do sapo /  anenquim /  sertãozinho /  Jiqui /  estrada da raiz /  santa Helena / assentamento /  Sebastião Andrade /  jardim progresso / nossa senhora da Apresentação / barrocas /  lagoa do poço /  Pituba /  Miranda / limoal /  planalto /  Massaranduba /  caraúbas /  vila Flor</t>
  </si>
  <si>
    <t>Nossas ações sociais são desenvolvidas nós Municípios de Tibau do Sul* Goianinha* canguaretama* Baía Formosa* vila flor* Macau* Maxaranguape e zona norte de Natal.</t>
  </si>
  <si>
    <t>https://instagram.com/associacaoelaspodemrn?utm_medium=copy_link</t>
  </si>
  <si>
    <t>https://drive.google.com/open?id=1ej31EEnzxClaXHBVO_ZEraJIQsOdV3eD</t>
  </si>
  <si>
    <t>https://drive.google.com/open?id=1YLmCySliWkKzvgDyvtMjREB3sUONC27Q</t>
  </si>
  <si>
    <t>A VEZ DAS COMUNIDADES</t>
  </si>
  <si>
    <t>Ana Cristina Medeiros de Lima</t>
  </si>
  <si>
    <t>Passagem Cinco</t>
  </si>
  <si>
    <t>Jardim Carvalho</t>
  </si>
  <si>
    <t>91430-680</t>
  </si>
  <si>
    <t>Vila Pinto /  Vila Fátima /  Vila Sapo /  Vila Mato Sampaio /  Vila Jardim /  Vila Ipê /  Vila da Colina /  Vila das Laranjeiras /  Vila Joana D'Arc e outras.</t>
  </si>
  <si>
    <t>Presença marcante de catadoras e catadores de materiais sólidos recicláveis.</t>
  </si>
  <si>
    <t>https://www.instagram.com/vezdascomunidades/</t>
  </si>
  <si>
    <t>https://www.facebook.com/avezdascomunidades</t>
  </si>
  <si>
    <t>https://drive.google.com/open?id=1sGvBavGlfXaCQMH_l_t5rC-d2iokGDdk</t>
  </si>
  <si>
    <t>Dia do Amor</t>
  </si>
  <si>
    <t>DIA DO AMOR</t>
  </si>
  <si>
    <t>36.287.872/0001-20</t>
  </si>
  <si>
    <t>Carla Aristonara Müller</t>
  </si>
  <si>
    <t>carla@diadoamor.org</t>
  </si>
  <si>
    <t>Travessa vileta</t>
  </si>
  <si>
    <t>Jardim botânico</t>
  </si>
  <si>
    <t>90690-150</t>
  </si>
  <si>
    <t>https://www.diadoamor.org.br/</t>
  </si>
  <si>
    <t>Moradores de Favelas, Pessoas em situação de rua, Povos Indígenas</t>
  </si>
  <si>
    <t>ilha do palão, restinga,bom jesus,teresopolis,centro</t>
  </si>
  <si>
    <t>Negócio Social, Plataforma doação online - Pessoa Física, Parceria iniciativa privada, Doações</t>
  </si>
  <si>
    <t>30% doação / 25% negócio social / 25% parceria privada / 20% doação recorrente</t>
  </si>
  <si>
    <t>http://diadoamor.org.br/</t>
  </si>
  <si>
    <t>https://instagram.com/institutodiadoamor?igshid=YmMyMTA2M2Y=</t>
  </si>
  <si>
    <t>https://youtube.com/channel/UCNKSJLqjjVa5fSS1FiwEEDQ</t>
  </si>
  <si>
    <t>https://drive.google.com/open?id=1d-tK-pwSv8jp71qK88ZlqeeXdf5fBQ8l</t>
  </si>
  <si>
    <t>ACIESP</t>
  </si>
  <si>
    <t>18.801.945/0001-78</t>
  </si>
  <si>
    <t>Devanir de Souza Ramos</t>
  </si>
  <si>
    <t>aciespms@gmail.com</t>
  </si>
  <si>
    <t>(67)9922-2525</t>
  </si>
  <si>
    <t>Inocência  Moreira dos Santos</t>
  </si>
  <si>
    <t>Aero Rancho</t>
  </si>
  <si>
    <t>Campo Grande</t>
  </si>
  <si>
    <t>79084-093</t>
  </si>
  <si>
    <t>População LGBTQ+, Outros</t>
  </si>
  <si>
    <t>Homix / Jardim Carioca  /  Caiobá /  Mandela / santa mônica  / Don Antônio</t>
  </si>
  <si>
    <t>Nós atendemos qualquer pessoa  da cidade inteira que estejas precisando de socorro  independente de região * pois nosso foco é vítimas de violencia  e empoderamento .</t>
  </si>
  <si>
    <t>Lei de Incentivo, Editais, FIA, Recursos próprios</t>
  </si>
  <si>
    <t>Lei de Incentivo 1%, editais 70%, Parceria privada 10%, FIA 1%, Recursos Próprios 18%.</t>
  </si>
  <si>
    <t>http://www.aciesp.ong.br/</t>
  </si>
  <si>
    <t>www.aciesp.ong.br</t>
  </si>
  <si>
    <t>https://www.facebook.com/profile.php?id=100011582080537</t>
  </si>
  <si>
    <t>https://drive.google.com/open?id=1FjhPpo6loKyWy9G1oufWJigfxyfP8M1r</t>
  </si>
  <si>
    <t>Associação Beneficente da Criança e do Adolescente</t>
  </si>
  <si>
    <t>ABCA HORAS ALEGRES</t>
  </si>
  <si>
    <t>04.728.612/0001-56</t>
  </si>
  <si>
    <t>Sandra  Regina Albuquerque Santana</t>
  </si>
  <si>
    <t>abca@hotmail.com.br</t>
  </si>
  <si>
    <t>(11)94397-9671</t>
  </si>
  <si>
    <t>Rua Santos Dumont.596</t>
  </si>
  <si>
    <t>Jardim Jacira</t>
  </si>
  <si>
    <t>Itapecerica da Serra</t>
  </si>
  <si>
    <t>06864-340</t>
  </si>
  <si>
    <t>Crianças pequenas (4 anos a 5 anos e 11 meses), Crianças (6 a 12 anos)</t>
  </si>
  <si>
    <t>Jardim Jacira /  Jardim do Eden /  Jardim do Carmo I   / Jardim do Carmo II /  Jardim Analandia.</t>
  </si>
  <si>
    <t>Atendemos as crianças em estado de vulnerabilidade social e suas respectivas familias.</t>
  </si>
  <si>
    <t>Convênio Público, Recursos próprios</t>
  </si>
  <si>
    <t>nao tenho resposta</t>
  </si>
  <si>
    <t>abcahorasalegres.gov.br</t>
  </si>
  <si>
    <t>https://instagram.com./horasalegresabca</t>
  </si>
  <si>
    <t>https://drive.google.com/open?id=1a4L7plqC3RpWAygFuNj1fCNfWYcPUoKI</t>
  </si>
  <si>
    <t>https://drive.google.com/open?id=1bTPzuNfytyEknUxGab-TQ6OTnn5LT3v6</t>
  </si>
  <si>
    <t>ASSOCIAÇÃO MAIS HUMANOS</t>
  </si>
  <si>
    <t>MAIS HUMANOS</t>
  </si>
  <si>
    <t>Elizabete Assunção da Silva</t>
  </si>
  <si>
    <t>associacaomaishumanos@gmail.com</t>
  </si>
  <si>
    <t>(11)98282-5798</t>
  </si>
  <si>
    <t>Na rua</t>
  </si>
  <si>
    <t>Nas ruas</t>
  </si>
  <si>
    <t>(endereço fiscal )</t>
  </si>
  <si>
    <t>08664-005</t>
  </si>
  <si>
    <t>casa branca e proximidades</t>
  </si>
  <si>
    <t>a ong está sem endereço * portanto desenvolvemos atividades levando arte e cultura em casa espaço disponivel no momento</t>
  </si>
  <si>
    <t>www.maishumanos.org</t>
  </si>
  <si>
    <t>Instituto Tia Flávia</t>
  </si>
  <si>
    <t>INSTITUTO TIA FLÁVIA</t>
  </si>
  <si>
    <t>47.287.235/0001-70</t>
  </si>
  <si>
    <t>Flávia Araújo Alves</t>
  </si>
  <si>
    <t>institutotiaflavia.social@gmail.com</t>
  </si>
  <si>
    <t>(11)97063-5139</t>
  </si>
  <si>
    <t>Rua São João de Ávila</t>
  </si>
  <si>
    <t>Cidade Tiradentes</t>
  </si>
  <si>
    <t>08475-300</t>
  </si>
  <si>
    <t>Jd. Pedra Branca  /  Vila Verde /  Vila Piauí /  Vila Nova Ferraz</t>
  </si>
  <si>
    <t>https://instagram.com/institutotiaflavia?igshid=YmMyMTA2M2Y=</t>
  </si>
  <si>
    <t>Associação Civil Projeto Juventude Esperança do Amanhã</t>
  </si>
  <si>
    <t>JEDA</t>
  </si>
  <si>
    <t>55.032.338/0001-17</t>
  </si>
  <si>
    <t>Roberto de Carvalho</t>
  </si>
  <si>
    <t>contato@jeda.org.br</t>
  </si>
  <si>
    <t>(11)4994-8884</t>
  </si>
  <si>
    <t>Rua Eduardo Monteiro</t>
  </si>
  <si>
    <t>Jardim Bela Vista</t>
  </si>
  <si>
    <t>Santo André</t>
  </si>
  <si>
    <t>09041-300</t>
  </si>
  <si>
    <t>atualmente não</t>
  </si>
  <si>
    <t>Jardim Alzira Franco /  Jardim Santo André /  Recreio da Borda do campo /  Parque Miami /  Sacadura Cabral</t>
  </si>
  <si>
    <t>Estamos em fase de reestruturação dos convênios com a prefeitura</t>
  </si>
  <si>
    <t>Convênio Público, Eventos/Ações para captação, Outro(s), Doações</t>
  </si>
  <si>
    <t>70% convenio publico, 5% eventos, 5%doações 20% outros</t>
  </si>
  <si>
    <t>https://projetojeda.org.br/</t>
  </si>
  <si>
    <t>https://www.instagram.com/jeda_org/</t>
  </si>
  <si>
    <t>https://www.facebook.com/jeda.sp</t>
  </si>
  <si>
    <t>https://drive.google.com/open?id=1y3r68KCzh7IzQr0g4nolfu7Ic3iy17bC</t>
  </si>
  <si>
    <t>https://drive.google.com/open?id=1mBhF7Iu1fjUW5hOPIy8Mv0JHFG78GoMC</t>
  </si>
  <si>
    <t>https://drive.google.com/open?id=17Xx83YD-oLMR96jyNBfeAjz2not_xv1G</t>
  </si>
  <si>
    <t>Associação Casa Hacker</t>
  </si>
  <si>
    <t>CASA HACKER</t>
  </si>
  <si>
    <t>36.038.079/0001-97</t>
  </si>
  <si>
    <t>Geraldo dos Santos Barros</t>
  </si>
  <si>
    <t>falae@casahacker.org</t>
  </si>
  <si>
    <t>(19)3199-8814</t>
  </si>
  <si>
    <t>R. Luverci Pereira de Souza</t>
  </si>
  <si>
    <t>13083-725</t>
  </si>
  <si>
    <t>Sim, Casa de Cultura Parque Itajaí (Campinas/SP) e E.E.Wadih Jorge Maluf  (Sumaré/SP)</t>
  </si>
  <si>
    <t>Parque Itajaí, Jardim Bassoli, Jardim Lisa, Jardim Maracanã, Jardim Liliza, Jardim Florence, Jardim Rossin, Parque Floresta, Jardim Santa Rosa, Cidade Satélite Íris, Parque Via Norte, Vila Boa Vista, Jardim Monte Cristo, Parque Oziel /  Jardim do Lago II.</t>
  </si>
  <si>
    <t>Plataforma doação online - Pessoa Física, Parceria iniciativa privada, Recursos próprios</t>
  </si>
  <si>
    <t>Recursos próprios 5%; Doações 10%; Parceria Privada 90%</t>
  </si>
  <si>
    <t>https://casahacker.org</t>
  </si>
  <si>
    <t>https://www.instagram.com/casahacker/</t>
  </si>
  <si>
    <t>https://www.facebook.com/casahackercampinas/</t>
  </si>
  <si>
    <t>https://www.youtube.com/c/CasaHacker</t>
  </si>
  <si>
    <t>https://drive.google.com/open?id=1Bb5o-ZHZI34hiLk6oZakfPZbWhoDkW_V</t>
  </si>
  <si>
    <t>https://drive.google.com/open?id=1ZTyvNgtQh6DJ-nam_Q_5EUw6HHC0PvCk</t>
  </si>
  <si>
    <t>https://drive.google.com/open?id=1BehEKp9_fpquD7YIZGa83LaRqypCuWFI</t>
  </si>
  <si>
    <t>https://drive.google.com/open?id=1KuyLfMKKV-imvttpZXJMx76hrp7OPZgN</t>
  </si>
  <si>
    <t>BRASIL EM AÇÃO</t>
  </si>
  <si>
    <t>04.182.774/0001-31</t>
  </si>
  <si>
    <t>heveltton luiz de paula</t>
  </si>
  <si>
    <t>brasilemacaosocial1@gmail.com</t>
  </si>
  <si>
    <t>(11)97195-6257</t>
  </si>
  <si>
    <t>Rua Baia de Marajó n° 10</t>
  </si>
  <si>
    <t>Jardim Fanganiello – São Paulo/SP</t>
  </si>
  <si>
    <t>10 A</t>
  </si>
  <si>
    <t>sao paulo</t>
  </si>
  <si>
    <t>08450-463</t>
  </si>
  <si>
    <t>sim ja fizemos algumas açoes em escolas publicas</t>
  </si>
  <si>
    <t>Jd fanganiello</t>
  </si>
  <si>
    <t>https://www.facebook.com/Brasil-em-A%C3%A7%C3%A3o-181973381984537</t>
  </si>
  <si>
    <t>https://drive.google.com/open?id=1-ODfhaIiqNbS9PIymcVpicvDj4-qR-eg</t>
  </si>
  <si>
    <t>https://drive.google.com/open?id=1Q6WNNFo3yn1dGTQTfSaiHpUiaWjauOZS</t>
  </si>
  <si>
    <t>https://drive.google.com/open?id=1OZ6CjAYaaPo-EsiVBgQuzzWp94oMj_h9</t>
  </si>
  <si>
    <t>https://drive.google.com/open?id=1097hj4faDHyOd1bW6lXcahU4Q44YG_ep</t>
  </si>
  <si>
    <t>https://drive.google.com/open?id=1bEwHrE6bUb1POgFQOQuucW7o0UTlm8JP</t>
  </si>
  <si>
    <t>Instituto Pelicano</t>
  </si>
  <si>
    <t>INSTITUTO PELICANO  SOLIDÁRIO</t>
  </si>
  <si>
    <t>Jacqueline R. S. Quiñelen</t>
  </si>
  <si>
    <t>contato.institutopelicano@gmail.com</t>
  </si>
  <si>
    <t>Rua Valdemir Pereira de Oliveira</t>
  </si>
  <si>
    <t>Jardim  Nova Conquista</t>
  </si>
  <si>
    <t>Comunidade Km28, Comunidade Rodoanel, Comunidade Jardim Nova Conquista.</t>
  </si>
  <si>
    <t>https://instagram.com/institutopelicano?utm_medium=copy_link</t>
  </si>
  <si>
    <t>https://www.facebook.com/pelicano.pelicano.921</t>
  </si>
  <si>
    <t>https://drive.google.com/open?id=1MHjzyhM9yc_At_Anmbooab3U9ng3RQuJ</t>
  </si>
  <si>
    <t>https://drive.google.com/open?id=1kY5w8-TUe5tLBsrm1VCW0Nrz5HWojCcH</t>
  </si>
  <si>
    <t>TUTTI ALLEGRO - COMPANHIA DE ARTE</t>
  </si>
  <si>
    <t>TUTTI ALLEGRO</t>
  </si>
  <si>
    <t>03.215.095/0001-59</t>
  </si>
  <si>
    <t>Margareth Machado de Andrade</t>
  </si>
  <si>
    <t>Rua: Soldado Jose Pires Barbosa filho</t>
  </si>
  <si>
    <t>Vila Aliança</t>
  </si>
  <si>
    <t>Vila Any /  Marcos Freire /</t>
  </si>
  <si>
    <t>Atendemos moradores da região dos Bairro dos Pimentas</t>
  </si>
  <si>
    <t>https://drive.google.com/open?id=1SnaTKee_vUzPmhmXNUcX9Ndn3eOhn0wU</t>
  </si>
  <si>
    <t>https://drive.google.com/open?id=1FHXaFrdqUK0aQTkx7ELOIZxf-ldfakIB</t>
  </si>
  <si>
    <t>https://drive.google.com/open?id=1Cyh8V_KlqTtAdZxZdksfYEtcJB8M01dO</t>
  </si>
  <si>
    <t>Associação Tonkiri Voa</t>
  </si>
  <si>
    <t>TONKIRI</t>
  </si>
  <si>
    <t>43943781/0001-60</t>
  </si>
  <si>
    <t>Tathiana Mancini* uma das co-fundadoras</t>
  </si>
  <si>
    <t>tonkirialimenta@gmail.com</t>
  </si>
  <si>
    <t>Avenida Dracena</t>
  </si>
  <si>
    <t>Jaguaré</t>
  </si>
  <si>
    <t>Loja 01</t>
  </si>
  <si>
    <t>Ocupações ao redor: Diogo Pires /  Areião /  Mutirão /  Linha nova Jaguaré /  Palmolive /  Virtudes /  Colgate. Outras mais afastadas e apoiadas: Terra Prometida/ Capão</t>
  </si>
  <si>
    <t>Nosso foco são mulheres* crianças e jovens adultos buscando potencializar seus talentos e transformar seus sonhos em projetos factíveis conectando pessoas certas* empresas parceiras (buscamos ressoar* potencializar e transformar esse caminho).</t>
  </si>
  <si>
    <t>www.tonkiri.org.br</t>
  </si>
  <si>
    <t>https://www.instagram.com/tonkiri_voa/</t>
  </si>
  <si>
    <t>https://www.facebook.com/search/top?q=tonkiri%20voa</t>
  </si>
  <si>
    <t>https://drive.google.com/open?id=13ILDPkXxudOnkMBYUNVx9Fuu57bJ0Iy8</t>
  </si>
  <si>
    <t>https://drive.google.com/open?id=1QiXTzCUfy5o3IhZO5-ZjdWROlhyq-p0j</t>
  </si>
  <si>
    <t>AVGG - Associação De Voluntários Grupo Goianiania</t>
  </si>
  <si>
    <t>AVGG</t>
  </si>
  <si>
    <t>17.222.074/0001-75</t>
  </si>
  <si>
    <t>Ronaldo Silva</t>
  </si>
  <si>
    <t>Rua Goiania</t>
  </si>
  <si>
    <t>Jardim Irmã Dolores</t>
  </si>
  <si>
    <t>11347-615</t>
  </si>
  <si>
    <t>Vila Ponte Nova /  Quarentenário /  Rio Negro e Rio Branco</t>
  </si>
  <si>
    <t>70/30</t>
  </si>
  <si>
    <t>https://instagram.com/psggoiania?utm_medium=copy_link</t>
  </si>
  <si>
    <t>https://www.facebook.com/line.santos.37454</t>
  </si>
  <si>
    <t>PROJETO TRANSFORMAÇÃO</t>
  </si>
  <si>
    <t>Lucimara Ribeiro Costa</t>
  </si>
  <si>
    <t>lucimararibeirocosta@gmail.com</t>
  </si>
  <si>
    <t>(11)99419-3558</t>
  </si>
  <si>
    <t>Rua Avinhado</t>
  </si>
  <si>
    <t>Vila Nova Curuçá</t>
  </si>
  <si>
    <t>Casa A</t>
  </si>
  <si>
    <t>Praça da comunidade</t>
  </si>
  <si>
    <t>Baixada do Sapo /  água vermelha /  vila Nova Curuçá</t>
  </si>
  <si>
    <t>50% doações 50% recursos próprios</t>
  </si>
  <si>
    <t>https://www.instagram.com/projeto.transformacaoevida/</t>
  </si>
  <si>
    <t>https://drive.google.com/open?id=1FkbJujKAOUJdJ0_9ugzldmdZ7FNVsA7R</t>
  </si>
  <si>
    <t>Motirô</t>
  </si>
  <si>
    <t>MOTIRÕ</t>
  </si>
  <si>
    <t>Marcela Fernandes Siqueira</t>
  </si>
  <si>
    <t>projetomotirocontato@gmail.com</t>
  </si>
  <si>
    <t>(11)99612-8559</t>
  </si>
  <si>
    <t>Não temos filial</t>
  </si>
  <si>
    <t>08675-240</t>
  </si>
  <si>
    <t>bebês (1 a 1ano e 6 meses), Crianças bem pequenas (1 ano e 7 meses até 3 anos e 11 meses), Crianças pequenas (4 anos a 5 anos e 11 meses), Crianças (6 a 12 anos), Adolescentes (12 aos 18 anos), Jovens (18 aos 24 anos)</t>
  </si>
  <si>
    <t>Conjunto jefferson /  jardim planalto /  jardim universo /  jardim Maitê /  vila natal /  vila nova união /  jardim varam /  nova jundiapeba</t>
  </si>
  <si>
    <t>http://acaomotiro.com.br/</t>
  </si>
  <si>
    <t>https://instagram.com/acaomotiro?utm_medium=copy_link</t>
  </si>
  <si>
    <t>Carfer Treinamentos e Desenvolvimento Humano</t>
  </si>
  <si>
    <t>CARFER TREINAMENTOS E DESENVOLVIMENTO HUMANO</t>
  </si>
  <si>
    <t>40.673.542/0001-40</t>
  </si>
  <si>
    <t>Marcia Regina Carvalho Ferreira de Oliveira</t>
  </si>
  <si>
    <t>institutopertenser.carfer@gmail.com</t>
  </si>
  <si>
    <t>(13)98184-3656</t>
  </si>
  <si>
    <t>Rua Jacob Emerick 1238</t>
  </si>
  <si>
    <t>Parque Bitaru</t>
  </si>
  <si>
    <t>sala 514</t>
  </si>
  <si>
    <t>11310-071</t>
  </si>
  <si>
    <t>Equoterapia</t>
  </si>
  <si>
    <t>Vila Nova Cubatão, VIla Pescadores /  Cota /  Ilha Caraguatá /  Cidade Nautica /  Vl Fatima /   Jockey Clube /  Pq Continental /  Samaritá /  Vila Margarida /  Pq Bandeiras /  Humaitá /  Tancredo Neves e Pompeba</t>
  </si>
  <si>
    <t>PCD Pessoas com Deficiência  e também Jovens em Situação em  Vulnerabilidade/Miserabilidade</t>
  </si>
  <si>
    <t>50% cursos 50% privado</t>
  </si>
  <si>
    <t>www.naotenho.org.br</t>
  </si>
  <si>
    <t>https://www.instagram.com/invites/contact/?i=1n74m66tk8v0d&amp;utm_content=kuoxjdf</t>
  </si>
  <si>
    <t>https://www.facebook.com/marcia.carfer</t>
  </si>
  <si>
    <t>https://www.youtube.com/channel/UC6iSgGk8ajwe7RlDN3VkmdA/videos</t>
  </si>
  <si>
    <t>https://drive.google.com/open?id=12ljugm_sOK6Lc2oSD5oGDkL1bvo6zEGK</t>
  </si>
  <si>
    <t>https://drive.google.com/open?id=1-25yAck15Vii5GBXLOSOSZ4G6oIg4jhS</t>
  </si>
  <si>
    <t>https://drive.google.com/open?id=1l45LpE0boZOOnpweRpAyUb98-jt9hWXm</t>
  </si>
  <si>
    <t>https://drive.google.com/open?id=1dYFCeDq2EsDsL4bCrt07jsQaq4-qTwkR</t>
  </si>
  <si>
    <t>ENCANTOS INSTITUTO SÓCIO CULTURAL E BENEFICENTE</t>
  </si>
  <si>
    <t>INSTITUTO ENCANTOS</t>
  </si>
  <si>
    <t>13.315.822/0001-03</t>
  </si>
  <si>
    <t>MARIA LAURA DA COSTA COELHO</t>
  </si>
  <si>
    <t>instituto.encantos@hotmail.com</t>
  </si>
  <si>
    <t>(11)3424-6994</t>
  </si>
  <si>
    <t>Avenida Massao Watanabe</t>
  </si>
  <si>
    <t>Jardim Santa Cruz</t>
  </si>
  <si>
    <t>02672-000</t>
  </si>
  <si>
    <t>Favela Jow /  Sem Terra /  Córrego do Bispo /  Ocupação Cachoeirinha /  Pery Alto /  Elisa Maria /  Jardim Santa Cruz</t>
  </si>
  <si>
    <t>Eventos/Ações para captação, Plataforma doação online - Pessoa Física, Editais, Doações, Lei Estadual da Cultura</t>
  </si>
  <si>
    <t>30% Edital Lei Estadual de Cultura - 20% Edital Lei Municipal de Cultura - 10% Eventos - 40% Doações pessoa física</t>
  </si>
  <si>
    <t>www.encantos.org.br</t>
  </si>
  <si>
    <t>https://www.instagram.com/institutoencantos/</t>
  </si>
  <si>
    <t>https://www.facebook.com/institutoencantos</t>
  </si>
  <si>
    <t>https://www.youtube.com/channel/UC0UfWYgQMne2JKoq-WQhG4g/featured</t>
  </si>
  <si>
    <t>https://drive.google.com/open?id=1wrHht6-QscFNL1mjr1HHdRXBE3HEoF25</t>
  </si>
  <si>
    <t>https://drive.google.com/open?id=1n4y2MVlVAcEIXWcVHTzcyudKTIZxFjas</t>
  </si>
  <si>
    <t>https://drive.google.com/open?id=1BrvWRTmy1xR3gn1_pgemSB1VYACFv7_t</t>
  </si>
  <si>
    <t>Instituto Josefina Bakhita</t>
  </si>
  <si>
    <t>INSTITUTO JOSEFINA BAKHITA</t>
  </si>
  <si>
    <t>Cnpj =11076862/0001-14</t>
  </si>
  <si>
    <t>Marisa</t>
  </si>
  <si>
    <t>Rua: carmelina vieira nascimento</t>
  </si>
  <si>
    <t>Porque Santo Antônio</t>
  </si>
  <si>
    <t>Favelas: Tarzan /  canão /  caju /  Astro /  capelinha</t>
  </si>
  <si>
    <t>https://drive.google.com/open?id=1s_0Hv1BaL091_vTuZB6Ad5n7RuPhIYMD</t>
  </si>
  <si>
    <t>https://drive.google.com/open?id=1reEF0qzSwZ85uWjZsUVxHic7rqzfrz8A</t>
  </si>
  <si>
    <t>https://drive.google.com/open?id=1MaLmVW1vz3pYF3z4_Vh4OJsjvpVw-r5W</t>
  </si>
  <si>
    <t>Associação Educacional* Cultural e Social Aprender</t>
  </si>
  <si>
    <t>ASSOCIAÇÃO APRENDER</t>
  </si>
  <si>
    <t>22.952.747/0001-82</t>
  </si>
  <si>
    <t>José Hozano Pereira Passos</t>
  </si>
  <si>
    <t>aecsaprender@gmail.com</t>
  </si>
  <si>
    <t>(11)4285-0858</t>
  </si>
  <si>
    <t>Rua Waldomiro Silveira</t>
  </si>
  <si>
    <t>Parque Marengo</t>
  </si>
  <si>
    <t>Itaquaquecetuba</t>
  </si>
  <si>
    <t>08594-340</t>
  </si>
  <si>
    <t>Sim. Atendemos 5 cras e 3 creches em bairros diferentes em Itaquaquecetuba</t>
  </si>
  <si>
    <t>bebês (1 a 1ano e 6 meses), Crianças bem pequenas (1 ano e 7 meses até 3 anos e 11 meses), Adolescentes (12 aos 18 anos), Adultos, Idosos (60 anos ou mais)</t>
  </si>
  <si>
    <t>Marengo Baixo</t>
  </si>
  <si>
    <t>Lei de Incentivo, Convênio Público, Eventos/Ações para captação, Parceria iniciativa privada, Editais, Doações</t>
  </si>
  <si>
    <t>lei de Incentivo 10% Convênio Público 70% Eventos/Ações para captação 5% Parceria iniciativa privada 5% Editais 5% Doações 5%</t>
  </si>
  <si>
    <t>https://www.facebook.com/aprendersocial</t>
  </si>
  <si>
    <t>https://instagram.com/aecsaprender</t>
  </si>
  <si>
    <t>https://youtube.com/channel/UC7hF3Quv4Dl5Z3EiIOg0KWg</t>
  </si>
  <si>
    <t>https://drive.google.com/open?id=1mh8FOdzUwcmJuaOGM5HoGvw2YGMlSU2E</t>
  </si>
  <si>
    <t>https://drive.google.com/open?id=1WIuCeoh43dwJnjDLdBqAWr2yTcZmfPwu</t>
  </si>
  <si>
    <t>https://drive.google.com/open?id=1E80m3ZBug2g_TwsncUq7yJZPKVgyBYrg</t>
  </si>
  <si>
    <t>https://drive.google.com/open?id=1TfjGp3ffggdSUB40YlikK3OgnOKTURvt</t>
  </si>
  <si>
    <t>Associação ONG Do Riso</t>
  </si>
  <si>
    <t>DORISO</t>
  </si>
  <si>
    <t>43.188.000/0001-70</t>
  </si>
  <si>
    <t>Mayara barbosa de Oliveira</t>
  </si>
  <si>
    <t>dorisosince2019@gmail.com</t>
  </si>
  <si>
    <t>(11)95690-0721</t>
  </si>
  <si>
    <t>Ria Thomaz Anotnio Villani</t>
  </si>
  <si>
    <t>Vila Santa maria</t>
  </si>
  <si>
    <t>02562-000</t>
  </si>
  <si>
    <t>Feira solidaria</t>
  </si>
  <si>
    <t>Jovens (18 aos 24 anos)</t>
  </si>
  <si>
    <t>Vila Prado e Boi malhado</t>
  </si>
  <si>
    <t>POP Rua</t>
  </si>
  <si>
    <t>www.semsite.com.br</t>
  </si>
  <si>
    <t>https://www.instagram.com/ongdoriso/</t>
  </si>
  <si>
    <t>https://linktr.ee/ongdoriso</t>
  </si>
  <si>
    <t>https://www.youtube.com/watch?v=XCZEYGejl54</t>
  </si>
  <si>
    <t>https://drive.google.com/open?id=1eIN9LJH0661uIPi3fZbnI4jy9Yadp8eL</t>
  </si>
  <si>
    <t>Associação Livre - Centro de Formação e Transformação Social (Transformar)</t>
  </si>
  <si>
    <t>TRANSFORMAR</t>
  </si>
  <si>
    <t>07.234.854/0001-81</t>
  </si>
  <si>
    <t>Sergio Paulo de Almeida Pereira Junior</t>
  </si>
  <si>
    <t>transformar.comunica@gmail.com</t>
  </si>
  <si>
    <t>(21)98533-9761</t>
  </si>
  <si>
    <t>Rua Grajaú</t>
  </si>
  <si>
    <t>Grajaú</t>
  </si>
  <si>
    <t>Fundos</t>
  </si>
  <si>
    <t>20561-142</t>
  </si>
  <si>
    <t>Anjos da Tia Stellinha, Arena Carioca Abelardo Barbosa (Chacrinha)</t>
  </si>
  <si>
    <t>Morros do São João /  Macacos e Encontro /  Complexo do Lins /  comunidades empobrecidas de Sepetiba /  Pedra de Guaratiba e tbm no Município de Seropédica bairro Campo Lindo</t>
  </si>
  <si>
    <t>40% Lei Municipal de Cultura (ISS); 10% Doações; 50% Recursos Próprios</t>
  </si>
  <si>
    <t>https://transformar38.webnode.com/  (em processo de aquisição de domínio)</t>
  </si>
  <si>
    <t>https://instagram.com/transformar.osc</t>
  </si>
  <si>
    <t>https://m.facebook.com/transformar.osc/</t>
  </si>
  <si>
    <t>https://youtube.com/c/Transformar</t>
  </si>
  <si>
    <t>https://drive.google.com/open?id=1pmFflMmpLL6mD5mAc7ymVZDiQbMjCL4i</t>
  </si>
  <si>
    <t>https://drive.google.com/open?id=1fva9vgv_r77spfNDfyQ-UJfl1w6pW2MP</t>
  </si>
  <si>
    <t>Centro de Integração Social e Cultural  - CISC "Uma Chance"</t>
  </si>
  <si>
    <t>CISC</t>
  </si>
  <si>
    <t>06.027.537/0001-21</t>
  </si>
  <si>
    <t>Ronaldo Antônio Miguel Monteiro</t>
  </si>
  <si>
    <t>ciscumachanche20032020@gmail.com</t>
  </si>
  <si>
    <t>(21)95904-4342</t>
  </si>
  <si>
    <t>Estrada Guandu do Sena</t>
  </si>
  <si>
    <t>Bangu</t>
  </si>
  <si>
    <t>21854-002</t>
  </si>
  <si>
    <t>Moradores de Favelas, Pessoas em situação de rua, População LGBTQ+, Dependentes Químicos, Egressos sistema carcerário</t>
  </si>
  <si>
    <t>Carobinha /  Roseiral /  Jardim América Nova Grécia Palha Seca Tribobo São Basilio /  Castrol Complexo do Alemão Nova Holanda Inhoaiba</t>
  </si>
  <si>
    <t>Fundada em 2003* a instituição tem como missão: Fomentar no Brasil e no Exterior ações inovadoras para o desenvolvimento humano de reeducando* egressos do Sistema Penitenciário* jovens em conflito com a lei e todo e qualquer cidadão* criando oportunidades através de qualificação e formação empreendedora* despertando o apoderamento e a reconstrução da identidade.</t>
  </si>
  <si>
    <t>Ensinar Xadrez para as crianças que necessitam um futuro melhor</t>
  </si>
  <si>
    <t>CANTINHO DA AMIZADE</t>
  </si>
  <si>
    <t>Fabiana Sampaio</t>
  </si>
  <si>
    <t>Tabajaras</t>
  </si>
  <si>
    <t>Literatura</t>
  </si>
  <si>
    <t>https://www.instagram.com/explore/tags/cantinhodaamizade??/</t>
  </si>
  <si>
    <t>https://drive.google.com/open?id=1XZOZUhCl5hSjtsepdKx6d3WQgfxaNHoL</t>
  </si>
  <si>
    <t>Projeto Esperança do Gogó</t>
  </si>
  <si>
    <t>PROJETO ESPERANÇA DO GOGÓ</t>
  </si>
  <si>
    <t>FATIMA REGINA FORTES MAYER</t>
  </si>
  <si>
    <t>projeto.esperanca.do.gogo@gmail.com</t>
  </si>
  <si>
    <t>(21)98536-3694</t>
  </si>
  <si>
    <t>RUA DAS CRIANÇAS</t>
  </si>
  <si>
    <t>BOM PASTOR</t>
  </si>
  <si>
    <t>BELFORD ROXO</t>
  </si>
  <si>
    <t>QUADRA C</t>
  </si>
  <si>
    <t>26113-730</t>
  </si>
  <si>
    <t>bebês (1 a 1ano e 6 meses), Crianças bem pequenas (1 ano e 7 meses até 3 anos e 11 meses), Crianças pequenas (4 anos a 5 anos e 11 meses), Crianças (6 a 12 anos), Adolescentes (12 aos 18 anos)</t>
  </si>
  <si>
    <t>Comunidade Gogó da Ema /  Jardim Anápolis /  Nova Esperança</t>
  </si>
  <si>
    <t>Nosso trabalho começou com oficina de leitura para algumas crianças da comunidade com dificuldade de leitura* mas depois passamos acompanhar as famílias também com cestas básicas* doação de roupas* palestras e outras orientações.</t>
  </si>
  <si>
    <t>DOAÇÕES 90% RECURSOS PRÓPRIOS10%</t>
  </si>
  <si>
    <t>https://instagram.com/transformadores.sociais?igshid=YmMyMTA2M2Y=</t>
  </si>
  <si>
    <t>https://www.facebook.com/transformadoressociais/</t>
  </si>
  <si>
    <t>https://youtube.com/channel/UC6b4XxntL80ky6w0NBH5FiQ</t>
  </si>
  <si>
    <t>https://drive.google.com/open?id=13JQYby06tqMoiUFrysa-p_mK8QaoE9ev</t>
  </si>
  <si>
    <t>https://drive.google.com/open?id=1WYRXEuHVKEe6GzMmPNnGHg5LMelvUm5x</t>
  </si>
  <si>
    <t>CENTRO DE EDUCAÇÃO INTEGRADA CRAQUES DA VIDA</t>
  </si>
  <si>
    <t>CEI CRAQUES DA VIDA</t>
  </si>
  <si>
    <t>08.799.930/0001-69</t>
  </si>
  <si>
    <t>FRANKLIN FERREIRA DE MELO</t>
  </si>
  <si>
    <t>ong@craquesdavida.org</t>
  </si>
  <si>
    <t>(21)9641-90025</t>
  </si>
  <si>
    <t>RUA DO LIBRETISTA 2</t>
  </si>
  <si>
    <t>VILA ALIANÇA BANGU</t>
  </si>
  <si>
    <t>RIO DE JANEIRO</t>
  </si>
  <si>
    <t>21842-100</t>
  </si>
  <si>
    <t>CAMPO DA FAVELA , CAMPO DO MAGUEIRAL , ARENA ENGENHO , QUADRA DO BOEMIOS , ASSO. DE MORADORES DE VILA ALIANÇA</t>
  </si>
  <si>
    <t>ILA ALIANÇA  /  MANGUEIRAL  /  VACARIA  /  CAMARÁ  /  VILA MORETI</t>
  </si>
  <si>
    <t>Lei de Incentivo, Plataforma doação online - Pessoa Física</t>
  </si>
  <si>
    <t>100% PESSOA FÍSICA</t>
  </si>
  <si>
    <t>https://www.instagram.com/franklindofutebol/</t>
  </si>
  <si>
    <t>https://www.facebook.com/craquesdavida</t>
  </si>
  <si>
    <t>https://www.youtube.com/channel/UC5W29FA5VVQZZEFlUv8tqTQ</t>
  </si>
  <si>
    <t>https://drive.google.com/open?id=1b0C8IKHqp9KV9c3e-UjF2EEoj-tWYwen</t>
  </si>
  <si>
    <t>https://drive.google.com/open?id=1jk9qLWCxpArZl1wc5OF6nN5I-XJXHrDD</t>
  </si>
  <si>
    <t>Associação Esportiva cultural e Educacional Instituto Igor Chatubinha</t>
  </si>
  <si>
    <t>INSTITUTO IGOR CHATUBINHA</t>
  </si>
  <si>
    <t>Flávio Batista da Silva</t>
  </si>
  <si>
    <t>institutoigorchatubinha@gmail.com</t>
  </si>
  <si>
    <t>(84)99443-6470</t>
  </si>
  <si>
    <t>Santa Paula</t>
  </si>
  <si>
    <t>Comunidade</t>
  </si>
  <si>
    <t>Ceará mirim</t>
  </si>
  <si>
    <t>Espaço cultural</t>
  </si>
  <si>
    <t>Escolas e ginásio de esportes</t>
  </si>
  <si>
    <t>Vila Cruzeiro  /  merendiba  /  4 bicas  /  chatuba  /  cascatinha  /  sereno  /  caracol  /  sem terra  /  ferro velho</t>
  </si>
  <si>
    <t>Jovens e adultos da comunidade</t>
  </si>
  <si>
    <t>Eventos/Ações para captação, Outro(s)</t>
  </si>
  <si>
    <t>https://instagram.com/igorchatubinha?utm_medium=copy_link</t>
  </si>
  <si>
    <t>Instituto Desenvolvimento Esperança</t>
  </si>
  <si>
    <t>IDE</t>
  </si>
  <si>
    <t>27.164.971/0001-23</t>
  </si>
  <si>
    <t>Janaina de Andrade Alves</t>
  </si>
  <si>
    <t>jana.alves39@yahoo.com</t>
  </si>
  <si>
    <t>(21)97008-4155</t>
  </si>
  <si>
    <t>Rua Ponto chique</t>
  </si>
  <si>
    <t>Loja B</t>
  </si>
  <si>
    <t>21010-315</t>
  </si>
  <si>
    <t>Praças e escola de samba</t>
  </si>
  <si>
    <t>Cidade Alta /  pica pau /  5 boca /  Vigário Geral /  Parada de Lucas</t>
  </si>
  <si>
    <t>50% próprio   20% doações  20% eventos 10% plataforma</t>
  </si>
  <si>
    <t>LinkedInee/projetopossa</t>
  </si>
  <si>
    <t>https://www.instagram.com/invites/contact/?i=ba7old7qocnn&amp;utm_content=o0nv3pn</t>
  </si>
  <si>
    <t>TOP CLUBE DE XADREZ</t>
  </si>
  <si>
    <t>34.724.857/0001-76</t>
  </si>
  <si>
    <t>João Luiz souto de oliveira</t>
  </si>
  <si>
    <t>topclubedexadrez@gmail.com</t>
  </si>
  <si>
    <t>(21)98464-7493</t>
  </si>
  <si>
    <t>Rua Dr. Arino de Oliveira 85</t>
  </si>
  <si>
    <t>Jardim Meriti</t>
  </si>
  <si>
    <t>IGUACU BASQUETE CLUBE  DEPARTAMENTO DE XADREZ</t>
  </si>
  <si>
    <t>26215-330</t>
  </si>
  <si>
    <t>Pizzaria portal42delivery , instituto valorizando vidas</t>
  </si>
  <si>
    <t>Moradores de Favelas, População LGBTQ+, Afrodescendentes, Pessoas com Deficiência, Outros</t>
  </si>
  <si>
    <t>atendemos comunidades e moradores de todos os municípios da baixada fluminenses</t>
  </si>
  <si>
    <t>atendemos muitas crianças com transtorno de Espectro Autista encaminhados por suas respectivas terapeutas.</t>
  </si>
  <si>
    <t>10% doações ,.10% plataformas de doação on-line, 20% eventos , 60% recursos próprios</t>
  </si>
  <si>
    <t>https://www.instagram.com/topclubxadrez</t>
  </si>
  <si>
    <t>https://www.facebook.com/TopClubdexadrez</t>
  </si>
  <si>
    <t>https://drive.google.com/open?id=1GKv3tzJ3zvnvs68aFlzW9Oji5H8ND_O8</t>
  </si>
  <si>
    <t>https://drive.google.com/open?id=1l3upc6lcS6Jy1sogEgAR8b0uxSEES7Xp</t>
  </si>
  <si>
    <t>https://drive.google.com/open?id=10pv5q0YNzkxdScJnTTFaPldeTJVHi8BM</t>
  </si>
  <si>
    <t>Projeto Social Entrando na Linha</t>
  </si>
  <si>
    <t>PROJETO SOCIAL ENTRANDO NA LINHA</t>
  </si>
  <si>
    <t>41.776.385/0001-60</t>
  </si>
  <si>
    <t>Juberlan Henrique da Silva Costa de Oliveira</t>
  </si>
  <si>
    <t>projetoentrandonalinha@gmail.com</t>
  </si>
  <si>
    <t>(21)98017-6667</t>
  </si>
  <si>
    <t>Praça Osvaldo Xavier</t>
  </si>
  <si>
    <t>Rio do Ouro</t>
  </si>
  <si>
    <t>SN</t>
  </si>
  <si>
    <t>São Gonçalo</t>
  </si>
  <si>
    <t>24753-680</t>
  </si>
  <si>
    <t>Orestes, AVK, Buraco Quente</t>
  </si>
  <si>
    <t>As 3 favelas citadas acima ficam localizadas no Complexo de favelas da Linha em São Gonçalo</t>
  </si>
  <si>
    <t>Plataforma doação online - Pessoa Física, Parceria iniciativa privada, Editais, Doações</t>
  </si>
  <si>
    <t>(iniciativa privada 25%) (editais 40%) (doações 30%) (plataforma doação online 5%)</t>
  </si>
  <si>
    <t>https://instagram.com/projetoentrandonalinha?igshid=YmMyMTA2M2Y=</t>
  </si>
  <si>
    <t>https://m.facebook.com/projetoentrandonalinha/</t>
  </si>
  <si>
    <t>https://drive.google.com/open?id=18cr7j2v-uacCm2zCZ4hpStGhjPjUPg07</t>
  </si>
  <si>
    <t>https://drive.google.com/open?id=13wnswBM5gpfUptf4MNja8Ktx0DBht9S1</t>
  </si>
  <si>
    <t>https://drive.google.com/open?id=1ruXxnIhXUXOdz-X5QR3wml8yi5EXG0bf</t>
  </si>
  <si>
    <t>https://drive.google.com/open?id=1Js74wFRuOQ--WLLjkISywK35vUneYeIS</t>
  </si>
  <si>
    <t>Família Lanatanpa</t>
  </si>
  <si>
    <t>PROJETO FAMÍLIA LANATANPA</t>
  </si>
  <si>
    <t>Juliana Oliveira da Silva Maia</t>
  </si>
  <si>
    <t>rcflanatanpa@gmail.com</t>
  </si>
  <si>
    <t>(21)99546-0584</t>
  </si>
  <si>
    <t>Rouget Lisle  205</t>
  </si>
  <si>
    <t>Vila Santo Antônio -Pantanal</t>
  </si>
  <si>
    <t>loja b</t>
  </si>
  <si>
    <t>25040-360</t>
  </si>
  <si>
    <t>Praças e escolas públicas</t>
  </si>
  <si>
    <t>Moradores de Favelas, População LGBTQ+, Povos Indígenas, Afrodescendentes</t>
  </si>
  <si>
    <t>Pantanal Morro do Sossego</t>
  </si>
  <si>
    <t>80% doações 20% editais</t>
  </si>
  <si>
    <t>https://rcflanatanpa.wixsite.com/lanatanpa</t>
  </si>
  <si>
    <t>https://instagram.com/familialanatanpa?igshid=NDBlY2NjN2I=</t>
  </si>
  <si>
    <t>https://www.facebook.com/rcflanatanpa/</t>
  </si>
  <si>
    <t>https://youtube.com/channel/UCsRu0ifIybW242x8Kr6jXXA</t>
  </si>
  <si>
    <t>https://drive.google.com/open?id=1fWubLyOt9UEA5_pSrBrAgfwYVQ2b7FzF</t>
  </si>
  <si>
    <t>https://drive.google.com/open?id=1yV8_QFk1dd6ww4wnNIrNSvhUr6mmmOPL</t>
  </si>
  <si>
    <t>Missão Casa Gaio</t>
  </si>
  <si>
    <t>MISSÃO CASA GAIO</t>
  </si>
  <si>
    <t>Lais Alves Nogueira</t>
  </si>
  <si>
    <t>missaocasagaio@gmail.com</t>
  </si>
  <si>
    <t>(21)9906-05798</t>
  </si>
  <si>
    <t>Rua Agripino Campos</t>
  </si>
  <si>
    <t>Mutua</t>
  </si>
  <si>
    <t>Sao goncalo</t>
  </si>
  <si>
    <t>24461-320</t>
  </si>
  <si>
    <t>ESCOLAS</t>
  </si>
  <si>
    <t>Favela do Jacaré /  Buraco da Cobra /  Campo do Camelo /  Morro do Querosene e Boassu</t>
  </si>
  <si>
    <t>Trabalho mais direcionado a mulheres* estamos ampliando agora para homens.</t>
  </si>
  <si>
    <t>Gaio.Brasil</t>
  </si>
  <si>
    <t>https://pt-br.facebook.com/Missaocasagaio</t>
  </si>
  <si>
    <t>Nao.Temos</t>
  </si>
  <si>
    <t>Instituto Projeto Cria - Cultura e Educação</t>
  </si>
  <si>
    <t>PROJETO CRIA</t>
  </si>
  <si>
    <t>39.986.951/0001-17</t>
  </si>
  <si>
    <t>Laura Campos Braz</t>
  </si>
  <si>
    <t>producaoprojetocria@gmail.com</t>
  </si>
  <si>
    <t>(21)96541-5006</t>
  </si>
  <si>
    <t>Rua Boas Vindas</t>
  </si>
  <si>
    <t>Caju</t>
  </si>
  <si>
    <t>20931-024</t>
  </si>
  <si>
    <t>Crianças bem pequenas (1 ano e 7 meses até 3 anos e 11 meses), Crianças pequenas (4 anos a 5 anos e 11 meses), Crianças (6 a 12 anos), Adolescentes (12 aos 18 anos), Jovens (18 aos 24 anos), Adultos</t>
  </si>
  <si>
    <t>Moradores de Favelas, População LGBTQ+, Afrodescendentes, Dependentes Químicos</t>
  </si>
  <si>
    <t>Parque Conquista /  Parque São Sebastião /  Parque Alegria e Chatuba</t>
  </si>
  <si>
    <t>Todo o nosso trabalho acontece na favela do Parque Conquista* mas recebemos alunos de outras favelas do Caju e de outras periferias da cidade. Com as ações da Pandemia* chegamos a atender todas as 7 comunidades do Complexo.</t>
  </si>
  <si>
    <t>96% iniciativa privada 3% negócio social 1%doações</t>
  </si>
  <si>
    <t>www.projetocria.org.br</t>
  </si>
  <si>
    <t>https://www.instagram.com/_projetocria/</t>
  </si>
  <si>
    <t>https://www.facebook.com/institutoprojetocria/</t>
  </si>
  <si>
    <t>https://www.youtube.com/channel/UCOhRC_K_4eDVZClb2blZS2g</t>
  </si>
  <si>
    <t>https://drive.google.com/open?id=1_ND9j6DuyQcB_CICEEWz5u6lFVC1kSZY</t>
  </si>
  <si>
    <t>https://drive.google.com/open?id=1u7YiloFDqzb0JftmXewnCwhXJs6AbQhe</t>
  </si>
  <si>
    <t>https://drive.google.com/open?id=1jXJyzg-G4K7nd-9R8YO3txU9ufBMf1uI</t>
  </si>
  <si>
    <t>ASSOCIACAO DIAMANTES NA COZINHA</t>
  </si>
  <si>
    <t>DIAMANTES NA COZINHA</t>
  </si>
  <si>
    <t>30.286.499/0001-06</t>
  </si>
  <si>
    <t>João Augusto dos Santos Batista</t>
  </si>
  <si>
    <t>comercial@diamantesnacozinha.org</t>
  </si>
  <si>
    <t>(21)96778-4107</t>
  </si>
  <si>
    <t>Rua Lopes da Cruz</t>
  </si>
  <si>
    <t>Meier</t>
  </si>
  <si>
    <t>20720-170</t>
  </si>
  <si>
    <t>Sim, utilizamos espaços de parceiros que proporcione atividades didáticas (salas de aula) e práticas (cozinhas).</t>
  </si>
  <si>
    <t>Moradores de Favelas, População LGBTQ+, Povos Indígenas, Quilombola, Afrodescendentes, Outros</t>
  </si>
  <si>
    <t>Favela do Alemão /  Favela do Jacaré /  Favela da Divineia dentre outras.</t>
  </si>
  <si>
    <t>Nosso público é voltado para pessoas em vulnerabilidades social dentre outras questões* por tanto* como inicialmente nossas aulas eram presenciais* não nos limitamos a determinada comunidade.</t>
  </si>
  <si>
    <t>http://www.diamantesnacozinha.org</t>
  </si>
  <si>
    <t>https://www.instagram.com/diamantesnacozinha/</t>
  </si>
  <si>
    <t>https://www.facebook.com/DiamantesnaCozinha</t>
  </si>
  <si>
    <t>https://www.youtube.com/channel/UCJOih9dcwzPnxWCq7rjJSWA</t>
  </si>
  <si>
    <t>https://drive.google.com/open?id=1_LPXrqvBJOPnHObiLMfXG797fRb66IRI</t>
  </si>
  <si>
    <t>https://drive.google.com/open?id=1Kok9cHQWKEYz9v1HDbGICMYtvQNdNZXl</t>
  </si>
  <si>
    <t>https://drive.google.com/open?id=1Wm33JTw3hyiJv0ouGXDNgS2aGgyVoyuB</t>
  </si>
  <si>
    <t>https://drive.google.com/open?id=15AFq79dmXgam0Y1MbatQccFtaSH10qDU</t>
  </si>
  <si>
    <t>Associação Estrelas do Amanhã</t>
  </si>
  <si>
    <t>PROJETO ESTRELAS DO AMANHÃ</t>
  </si>
  <si>
    <t>22.982.478/0001-05</t>
  </si>
  <si>
    <t>Simone Marinho da Silva</t>
  </si>
  <si>
    <t>estrelasdoamanhaprojeto@gmail.com</t>
  </si>
  <si>
    <t>(21)96832-4001</t>
  </si>
  <si>
    <t>Avenida dom Hélder câmara</t>
  </si>
  <si>
    <t>Vila Nova</t>
  </si>
  <si>
    <t>20973-012</t>
  </si>
  <si>
    <t>Esporte na Quadra de Esportes próximo</t>
  </si>
  <si>
    <t>Moradores de Favelas, Pessoas em situação de rua, População LGBTQ+, Quilombola, Afrodescendentes, Dependentes Químicos, Pessoas com Deficiência</t>
  </si>
  <si>
    <t>Manguinhos  / Mandela  / Jacaré e amorim</t>
  </si>
  <si>
    <t>https://www.instagram.com/p/Cf7xepmsaTf/?igshid=YmMyMTA2M2Y=</t>
  </si>
  <si>
    <t>https://www.facebook.com/estelasdo.amanha</t>
  </si>
  <si>
    <t>https://drive.google.com/open?id=1VA2qUD1EWr2NpuOhtMw8voTzQyvdsc0c</t>
  </si>
  <si>
    <t>MATRIARCAS EM AÇAO</t>
  </si>
  <si>
    <t>MATRIARCAS EM AÇÃO</t>
  </si>
  <si>
    <t>MARIA  ROSANE BATISTA MEDEIROS DA FONSECA</t>
  </si>
  <si>
    <t>matriarcasemacao@gmail.com</t>
  </si>
  <si>
    <t>(21)97307-5252</t>
  </si>
  <si>
    <t>RUA Catas Altas</t>
  </si>
  <si>
    <t>BARRO VERMELHO</t>
  </si>
  <si>
    <t>FRENTE</t>
  </si>
  <si>
    <t>26110-580</t>
  </si>
  <si>
    <t>NAO</t>
  </si>
  <si>
    <t>FAVELA BARRO VERMELHO</t>
  </si>
  <si>
    <t>GESTANTES**MORADORES DE RUA</t>
  </si>
  <si>
    <t>Recursos próprio 70% doações 20% Eventos 10%0%</t>
  </si>
  <si>
    <t>https://www.instagram.com/favelabarrovermelho/</t>
  </si>
  <si>
    <t>https://facebook.com/matriarcasemacao</t>
  </si>
  <si>
    <t>https://drive.google.com/open?id=1o2aJXM1cCuRXLl0QskeILFDYgELBxM8G</t>
  </si>
  <si>
    <t>https://drive.google.com/open?id=1AauhJ-uAXqMvdbpbSY0cQWPBUiaBmA-7</t>
  </si>
  <si>
    <t>Projeto Fome de Quê?</t>
  </si>
  <si>
    <t>PROJETO FOME DE QUÊ?</t>
  </si>
  <si>
    <t>Daiane Kaminski</t>
  </si>
  <si>
    <t>dkmello13@gmail.com</t>
  </si>
  <si>
    <t>(51)99998-1166</t>
  </si>
  <si>
    <t>Rua Dr Barbosa Gonçalves</t>
  </si>
  <si>
    <t>Chácara das Pedras</t>
  </si>
  <si>
    <t>91330-320</t>
  </si>
  <si>
    <t>Vila dos Herdeiros /  Vila Casarão /  Vila Liberdade /  Vila Mário Quintana /  Vila Beira do Rio /  Vila Areia</t>
  </si>
  <si>
    <t>Miséria extrema* famílias em sua maioria lideradas por mulheres.</t>
  </si>
  <si>
    <t>Doações 90%  Iniciativa Privada 10%</t>
  </si>
  <si>
    <t>https://www.instagram.com/p/CfrT4xbOs7C/?igshid=YmMyMTA2M2Y=</t>
  </si>
  <si>
    <t>https://www.facebook.com/projetofomedeque/</t>
  </si>
  <si>
    <t>https://drive.google.com/open?id=1AmDpjGBY-qcCIaPUWJMHIDqCeQcAbpfW</t>
  </si>
  <si>
    <t>https://drive.google.com/open?id=1fXm3YOZJMOcMvg-qkMPzYB1kU3Z-NUQ0</t>
  </si>
  <si>
    <t>Escola Pública Presente</t>
  </si>
  <si>
    <t>ESCOLA PÚBLICA PRESENTE</t>
  </si>
  <si>
    <t>Davi Alexandre Schoenardie</t>
  </si>
  <si>
    <t>escolapublicapresente@gmail.com</t>
  </si>
  <si>
    <t>(49)99809-5363</t>
  </si>
  <si>
    <t>São Pedro</t>
  </si>
  <si>
    <t>Interior</t>
  </si>
  <si>
    <t>Celso Ramos</t>
  </si>
  <si>
    <t>88598-000</t>
  </si>
  <si>
    <t>Moradores de Favelas, População LGBTQ+, Afrodescendentes, Comunidade rural</t>
  </si>
  <si>
    <t>No momento /  não temos focos em comunidades específicas /  mas priorizamos LGBT /  Mulheres /  Pessoas com Deficiência /  População Negra advindos de favelas e estudantes de escolas públicas. Estamos organizando ações /  porém devido ao covid-19 muitas delas foram interrompidas.</t>
  </si>
  <si>
    <t>Impactamos mais de 200 estudantes de forma direta e mais de 700 pessoas de forma indireta* presente em todos os estados brasileiros. Quase 80% do nosso público são mulheres entre 13 e 24 anos. O Projeto Escola Pública Presente tem como público-alvo estudantes de escolas públicas que comprovadamente não possuam condições de arcar com custos de cursos preparatórios para o Exame Nacional do Ensino Médio (ENEM). Nós priorizamos nossas correções a estudantes de baixa renda* com renda per capita de no máximo 1 salário mínimo e meio por mês* negros* indígenas* mulheres* membros da comunidade LGBTQI+* filhos de pequenos proprietários rurais* imigrantes e pessoas com deficiência. Nosso público-alvo é consideravelmente feminina* com idade entre 13 e 24 anos* que pretende ingressar no ensino superior público por meio do SISU* utilizando a nota do ENEM.</t>
  </si>
  <si>
    <t>https://www.instagram.com/escolapublicapresente/</t>
  </si>
  <si>
    <t>https://drive.google.com/open?id=1hVDq_yxD1YWqcx9QUzY52aqZ3FJc_rNK</t>
  </si>
  <si>
    <t>Associação de Moradores do Jardim Nemari e Vila Martins</t>
  </si>
  <si>
    <t>ASSOCIAÇÃO DOS MORADORES DO JARDIM NEMARI E VILA MARTINS.</t>
  </si>
  <si>
    <t>Diego Rafael Cordeiro Dambiski</t>
  </si>
  <si>
    <t>Rodovia BR-277</t>
  </si>
  <si>
    <t>Borda do Campo</t>
  </si>
  <si>
    <t>São José dos Pinhais</t>
  </si>
  <si>
    <t>83075-000</t>
  </si>
  <si>
    <t>Jardim Nemari 1 /  2 /  3 /  4 e Vila Martins</t>
  </si>
  <si>
    <t>https://drive.google.com/open?id=1MCI7bxYK-s9tZaH4RS9koMtJf0YQVbi6</t>
  </si>
  <si>
    <t>Instituto Conquist</t>
  </si>
  <si>
    <t>INSTITUTO CONQUIST SORRISOS</t>
  </si>
  <si>
    <t>31.148.441/0001-69</t>
  </si>
  <si>
    <t>Fabio Luiz Ramos</t>
  </si>
  <si>
    <t>contato@institutoconquistsorrisos.org</t>
  </si>
  <si>
    <t>(47)9974-5898</t>
  </si>
  <si>
    <t>Rua XV de novembro</t>
  </si>
  <si>
    <t>Joinville</t>
  </si>
  <si>
    <t>89221-605</t>
  </si>
  <si>
    <t>Escolas, praças, eventos, associação de moradores, projetos que envolvem crianças e adolescentes.</t>
  </si>
  <si>
    <t>Atendemos projetos: Campeões da Vida do Instituto Guga Kuerten /  Projeto Nossa luta e pessoas que nos procuram para atendimentos odontologicos.</t>
  </si>
  <si>
    <t>Nosso foco é atender crianças e adolescentes carentes que precisam de atendimento odontológico e não tem condições financeiras* mas atendemos adultos vez em quando  em algum caso específico* pois é muito difícil conseguir atendimento pelo SUS na area odontologica.</t>
  </si>
  <si>
    <t>www.institutoconquistsorrisos.org.br</t>
  </si>
  <si>
    <t>https://www.instagram.com/institutoconquistsorrisos/</t>
  </si>
  <si>
    <t>https://www.facebook.com/InstitutoConquistSorrisos</t>
  </si>
  <si>
    <t>https://drive.google.com/open?id=1tM0tmHMj1f-kKlC1CHK613RSeZ2qYnji</t>
  </si>
  <si>
    <t>https://drive.google.com/open?id=1vCY37C9KDh9rOZk-m5-gCoBLmBo_pPhF</t>
  </si>
  <si>
    <t>https://drive.google.com/open?id=1KUu0k_rGiwlF1tQYf46iCacEUMFIU7f0</t>
  </si>
  <si>
    <t>Associação Beneficente Evangélica da Floresta Imperial de Novo Hamburgo</t>
  </si>
  <si>
    <t>ABEFI LAR PADILHA</t>
  </si>
  <si>
    <t>91.695.577/0002-00</t>
  </si>
  <si>
    <t>Rafael Eckardt</t>
  </si>
  <si>
    <t>larpadilha@larpadilha.org.br</t>
  </si>
  <si>
    <t>Estrada Passo da Ilha</t>
  </si>
  <si>
    <t>Padilha</t>
  </si>
  <si>
    <t>Taquara</t>
  </si>
  <si>
    <t>95615-000</t>
  </si>
  <si>
    <t>Instituto Causadores da Alegria</t>
  </si>
  <si>
    <t>INSTITUTO CAUSADORES DA ALEGRIA</t>
  </si>
  <si>
    <t>Fernando Gomes Eufigenio dos Santos</t>
  </si>
  <si>
    <t>causadoresdaalegria@gmail.com</t>
  </si>
  <si>
    <t>Rua José Luiz Pereira</t>
  </si>
  <si>
    <t>Jardim Monte Líbano</t>
  </si>
  <si>
    <t>Unid 1: 310 / Unid 2: 128</t>
  </si>
  <si>
    <t>79004-140</t>
  </si>
  <si>
    <t>Favela do Noroeste /  Favela do Mandela e Homex</t>
  </si>
  <si>
    <t>20 / 70  / 10</t>
  </si>
  <si>
    <t>www.causadoresdaalegria.org</t>
  </si>
  <si>
    <t>https://www.instagram.com/causadoresdaalegria/p/CYj-O_kFkIl/?utm_medium=copy_link</t>
  </si>
  <si>
    <t>https://www.facebook.com/561524143969288/posts/4788174544637539/</t>
  </si>
  <si>
    <t>https://drive.google.com/open?id=1mTeMyeg4RW5XB11sCC3lHrrLefETo6Rl</t>
  </si>
  <si>
    <t>https://drive.google.com/open?id=1Mij06yPSzHBAMmoV43cZyGOTwqlLer8t</t>
  </si>
  <si>
    <t>https://drive.google.com/open?id=1CGWn1lPDwsMhpl0MHITl9dcrJyrYaj_j</t>
  </si>
  <si>
    <t>https://drive.google.com/open?id=1IZXJY5jSXFWMEoBjMDmbl1BHu4hv1rLn</t>
  </si>
  <si>
    <t>Colaí Movimento de Cultura</t>
  </si>
  <si>
    <t>ONG COLAÍ MOVIMENTO DE CULTURA</t>
  </si>
  <si>
    <t>34.783.350/0001-93</t>
  </si>
  <si>
    <t>Francine Conde Cabral</t>
  </si>
  <si>
    <t>ongcolai@gmail.com</t>
  </si>
  <si>
    <t>(51)99830-9188</t>
  </si>
  <si>
    <t>Av Presidente Vargas</t>
  </si>
  <si>
    <t>Arquipélago</t>
  </si>
  <si>
    <t>Sede social</t>
  </si>
  <si>
    <t>90090-000</t>
  </si>
  <si>
    <t>Sim. Escolas, creches e intervenções em áreas públicas</t>
  </si>
  <si>
    <t>Ilhas de Porto Alegre</t>
  </si>
  <si>
    <t>90% editais 10% Ações para captação</t>
  </si>
  <si>
    <t>https://www.instagram.com/colaicultural/</t>
  </si>
  <si>
    <t>https://www.facebook.com/colaicultural/</t>
  </si>
  <si>
    <t>https://drive.google.com/open?id=1Ipw44elWUhI7pndzFi79ioS6cwkQg53T</t>
  </si>
  <si>
    <t>https://drive.google.com/open?id=1O3sVGk3NmC33SSTZ8HhZWObqmnbaL7qO</t>
  </si>
  <si>
    <t>https://drive.google.com/open?id=1DksgdzahZLDt_-WO_VUsfj-S4rf6KVMq</t>
  </si>
  <si>
    <t>https://drive.google.com/open?id=1fHBObX2uAuZ4cbqOQZZO5SiUaHo1WOBZ</t>
  </si>
  <si>
    <t>Associação Projeto Surfar</t>
  </si>
  <si>
    <t>ONG  SURFAR</t>
  </si>
  <si>
    <t>09.097.983/0001-09</t>
  </si>
  <si>
    <t>GUSTAVO ADOLFO ABS DA CRUZ ROCHA</t>
  </si>
  <si>
    <t>ongsurfar@hotmail.com</t>
  </si>
  <si>
    <t>(51)3384-9728</t>
  </si>
  <si>
    <t>Rua Borborema,687 e 691</t>
  </si>
  <si>
    <t>Partenon /São José</t>
  </si>
  <si>
    <t>687 e 691</t>
  </si>
  <si>
    <t>91520-030</t>
  </si>
  <si>
    <t>INSTITUIÇÕES ,ESCOLAS E REDE DE ATENDIMENTO NO GERAL</t>
  </si>
  <si>
    <t>Vila São José  / vila João Pessoa / vila Chácara do Primeiro  / Vila Morro da Cruz  / vila da represa  / vila morro da polícia  / Vila condomínio Princesa Isabel  / Vila Ecológica / Vila Morro da polícia</t>
  </si>
  <si>
    <t>Atendemos crianças de 0 a jovens de 18 anos nas oficinas de esporte *cultura e lazer e temos o curso profissionalizante de cuidadores de idosos *deficientes e acamados para mulheres em situação de vulnerabilidade e curso profissionalizante de fabricação de pranchas de surf para adultos em situação de desemprego e vulnerabilidade .</t>
  </si>
  <si>
    <t>Negócio Social, Eventos/Ações para captação, Parceria iniciativa privada, Editais, Doações, Recursos próprios</t>
  </si>
  <si>
    <t>15% negocio social ,10% eventos,20% iniciativa privada ,30% doações, 25% recursos próprios</t>
  </si>
  <si>
    <t>www.facebook/projetosurfar</t>
  </si>
  <si>
    <t>https://www.instagram.com/projetosurfar/?hl=pt</t>
  </si>
  <si>
    <t>https://drive.google.com/open?id=1fHj7OMPKsaViwS7LXB-c6tB6_rmKOMd_</t>
  </si>
  <si>
    <t>Instituto Brasileiro de Executivos de Finanças do Paraná</t>
  </si>
  <si>
    <t>IBEF PR</t>
  </si>
  <si>
    <t>04.819.349/0001-00</t>
  </si>
  <si>
    <t>Ricardo Pereira</t>
  </si>
  <si>
    <t>ibefpr@ibefpr.com.br</t>
  </si>
  <si>
    <t>(41)99951-0490</t>
  </si>
  <si>
    <t>R MONSENHOR CELSO</t>
  </si>
  <si>
    <t>apto 07</t>
  </si>
  <si>
    <t>80010-150</t>
  </si>
  <si>
    <t>a definir</t>
  </si>
  <si>
    <t>Eventos/Ações para captação, Parceria iniciativa privada, Outro(s)</t>
  </si>
  <si>
    <t>40% Parcerias, 32% Associações e 28% Eventos</t>
  </si>
  <si>
    <t>www.ibefpr.com.br</t>
  </si>
  <si>
    <t>https://www.instagram.com/ibefpr/</t>
  </si>
  <si>
    <t>https://www.youtube.com/channel/UCXv8JDn3KPb6iCFrKIkxBMA</t>
  </si>
  <si>
    <t>Instituto ReggArte</t>
  </si>
  <si>
    <t>CASA REGGARTE</t>
  </si>
  <si>
    <t>42.278.954/0001-00</t>
  </si>
  <si>
    <t>Nair Omena da Costa</t>
  </si>
  <si>
    <t>institutoreggarte@gmail.com</t>
  </si>
  <si>
    <t>(11)1111-1111</t>
  </si>
  <si>
    <t>Rua Sebastião Sisson,</t>
  </si>
  <si>
    <t>Americanópolis</t>
  </si>
  <si>
    <t>Casa ReggArte</t>
  </si>
  <si>
    <t>04337-140</t>
  </si>
  <si>
    <t>Fonte São Bento /  Muzambinho e Balão Mágico</t>
  </si>
  <si>
    <t>Nosso trabalho também é voltado para a pessoa com deficiência</t>
  </si>
  <si>
    <t>50% Editais 5% Doações 45% Recursos próprios</t>
  </si>
  <si>
    <t>www.reggarte.org</t>
  </si>
  <si>
    <t>https://www.instagram.com/institutoreggarte/</t>
  </si>
  <si>
    <t>https://www.facebook.com/reggarte.reggarte/</t>
  </si>
  <si>
    <t>https://www.youtube.com/channel/UCsnKXrVRhEKSXtd9gFsX2NA</t>
  </si>
  <si>
    <t>https://drive.google.com/open?id=1ZCnEDRtpTCJP11AinqEMOlh5J3m4bGs_</t>
  </si>
  <si>
    <t>https://drive.google.com/open?id=1Hre_ch5bD2NhP6IAmMnMm92-dsWZxf1k</t>
  </si>
  <si>
    <t>https://drive.google.com/open?id=18gVfjq3zivKWO8sGsgOBvKLkggS4liDg</t>
  </si>
  <si>
    <t>https://drive.google.com/open?id=10WRUslW1JLlGO6DSC-_zAqR4iqM1JbpZ</t>
  </si>
  <si>
    <t>https://drive.google.com/open?id=1tXbX5tDeJhLgK045pmpv8iTy2n90Xvv_</t>
  </si>
  <si>
    <t>Missão Edede Meleque</t>
  </si>
  <si>
    <t>MISSÃO EDEDE MELEQUE</t>
  </si>
  <si>
    <t>13.744.955/0001-03</t>
  </si>
  <si>
    <t>Nelson Mendes Gouvea Junior</t>
  </si>
  <si>
    <t>ebedemeleque2014@gmail.com</t>
  </si>
  <si>
    <t>(11)98780-8748</t>
  </si>
  <si>
    <t>rua Abílio Secundido Leite</t>
  </si>
  <si>
    <t>Vila Andeyara</t>
  </si>
  <si>
    <t>Ferraz de Vasconcelos</t>
  </si>
  <si>
    <t>08530-210</t>
  </si>
  <si>
    <t>sim!</t>
  </si>
  <si>
    <t>Crianças bem pequenas (1 ano e 7 meses até 3 anos e 11 meses), Jovens (18 aos 24 anos), Adultos, Idosos (60 anos ou mais)</t>
  </si>
  <si>
    <t>Moradores de Favelas, Pessoas em situação de rua, Egressos sistema carcerário</t>
  </si>
  <si>
    <t>Presídio de São Paulo e outros</t>
  </si>
  <si>
    <t>Atendo reenducandos* egressos* adctos e moradores em situação de rua e seus familiares* sendo que não possuímos ainda nomes das comunidades que seus familiares moram* (nós possuímos endereços de presidiários (CDPs* CPPs*CRs* RDDs* HOSPs*novas 179 unudades prisionais)* (não estamos em todas  ainda) que serviriam como comunidades porém não parecem fisicamente)* mas durante o curso estas informações ganharão alto relevo.</t>
  </si>
  <si>
    <t>https://missaoebedemeleque.wixsite.com/my-site</t>
  </si>
  <si>
    <t>https://www.facebook.com/nelson.mendesgouveajunior</t>
  </si>
  <si>
    <t>ASSOCIAÇÃO BENEFICENTE AÇÃO E AMOR</t>
  </si>
  <si>
    <t>ABAA</t>
  </si>
  <si>
    <t>04.635.311/0001-88</t>
  </si>
  <si>
    <t>Ozeias Paes de Lira</t>
  </si>
  <si>
    <t>abaa.contato@gmail.com</t>
  </si>
  <si>
    <t>(11)94121-1831</t>
  </si>
  <si>
    <t>Rua Professor Silvio Marcondes Machado</t>
  </si>
  <si>
    <t>02674-040</t>
  </si>
  <si>
    <t>Assistência Social</t>
  </si>
  <si>
    <t>sem terra e favela santa cruz</t>
  </si>
  <si>
    <t>@abaa.servicosocial</t>
  </si>
  <si>
    <t>www.facebook.com/abaa.servicosocial/</t>
  </si>
  <si>
    <t>Associação Lyra</t>
  </si>
  <si>
    <t>ASSOCIAÇÃO LYRA</t>
  </si>
  <si>
    <t>41.994.323/0001-25</t>
  </si>
  <si>
    <t>Pablo Rodrigo da Silva Lima</t>
  </si>
  <si>
    <t>associacaolyra@gmail.com</t>
  </si>
  <si>
    <t>(11)97239-0856</t>
  </si>
  <si>
    <t>Rua Vênus</t>
  </si>
  <si>
    <t>Vila Formosa</t>
  </si>
  <si>
    <t>Salão emprestado da Igreja Pentecostal Remanescente de Israel</t>
  </si>
  <si>
    <t>03362-060</t>
  </si>
  <si>
    <t>Só as atividades em espaços abertos próximo da própria comunidade mesmo.</t>
  </si>
  <si>
    <t>Ocupação da Pedreira</t>
  </si>
  <si>
    <t>O público alvo são gestantes em situação de vulnerabilidade social* porém o projeto tem aberturas e realiza ações com as famílias no geral.</t>
  </si>
  <si>
    <t>Parceria iniciativa privada, Editais, Doações</t>
  </si>
  <si>
    <t>100% Garantia de Direitos</t>
  </si>
  <si>
    <t>https://www.instagram.com/pablytto_28/</t>
  </si>
  <si>
    <t>https://www.instagram.com/associacaolyra/</t>
  </si>
  <si>
    <t>https://drive.google.com/open?id=1X3e1raf6MXXyD4Y3xGw_EPk_FcVXCMAW</t>
  </si>
  <si>
    <t>https://drive.google.com/open?id=1d5PRY3KRoDi_nh4p-q72jWVs8zFApl45</t>
  </si>
  <si>
    <t>https://drive.google.com/open?id=173PLMEH8w2Fsmzp2IA0N5IMSSKOUUyBT</t>
  </si>
  <si>
    <t>https://drive.google.com/open?id=1xUyRjjISySnDdEx1QQpRLGdcXyXjGJh6</t>
  </si>
  <si>
    <t>https://drive.google.com/open?id=1tOqdAIIqrajC29wCG5vOqiEbBKj1ftVw</t>
  </si>
  <si>
    <t>Instituto Saint Nicholas CARE</t>
  </si>
  <si>
    <t>INSTITUTO SAINT NICHOLAS CARE</t>
  </si>
  <si>
    <t>23.926.743/0001-92</t>
  </si>
  <si>
    <t>Marcelo Carlos Godofredo</t>
  </si>
  <si>
    <t>institutosaintnicholas@gmail.com</t>
  </si>
  <si>
    <t>(11)4744-0451</t>
  </si>
  <si>
    <t>Rua vinte e sete de outubro</t>
  </si>
  <si>
    <t>Vila Suely</t>
  </si>
  <si>
    <t>08674-200</t>
  </si>
  <si>
    <t>São bairros da cidade de Suzano  /  não  considerado favela</t>
  </si>
  <si>
    <t>www.institutosaintnicholas.com.br</t>
  </si>
  <si>
    <t>https://www.instagram.com/institutosaintnicholascare/</t>
  </si>
  <si>
    <t>Instituto Social Novo Olhar</t>
  </si>
  <si>
    <t>******</t>
  </si>
  <si>
    <t>32.708.183/0001-90</t>
  </si>
  <si>
    <t>Rita Vanderlucia da Silva Castro</t>
  </si>
  <si>
    <t>institutonovoolhar2019@gmail.com</t>
  </si>
  <si>
    <t>(11)97985-8117</t>
  </si>
  <si>
    <t>Rua Fernão Sale</t>
  </si>
  <si>
    <t>sala 04</t>
  </si>
  <si>
    <t>01015-080</t>
  </si>
  <si>
    <t>Rua Cheiro Mineiro de Flor, 25 quadra N - Conjunto Habitacional AE Carvalho</t>
  </si>
  <si>
    <t>Crianças (6 a 12 anos), Jovens (18 aos 24 anos), Adultos, Idosos (60 anos ou mais)</t>
  </si>
  <si>
    <t>Moradores de Favelas, Pessoas em situação de rua, Imigrantes</t>
  </si>
  <si>
    <t>Favela Jardim Vila Nova /  Itapemirim /  comospolitana /  parque gurani</t>
  </si>
  <si>
    <t>atendemos 5 portadores de deficencia mental leve com atividades de terapia  ocupacional de artesanato.</t>
  </si>
  <si>
    <t>Eventos/Ações para captação, Outro(s), Recursos próprios</t>
  </si>
  <si>
    <t>50% recursos proprios 25% Associados e 25% eventos</t>
  </si>
  <si>
    <t>https://sites.google.com/view/instituto-social-novo-olhar</t>
  </si>
  <si>
    <t>https://www.instagram.com/instnovoolhar/</t>
  </si>
  <si>
    <t>https://web.facebook.com/socialnovoolhar</t>
  </si>
  <si>
    <t>https://drive.google.com/open?id=1etliifcvZ88soB9bcWTY19pB8IPEeux5</t>
  </si>
  <si>
    <t>https://drive.google.com/open?id=1Z5016ZeBeUsFL3qTIEarJeaXJoxa3BVd</t>
  </si>
  <si>
    <t>https://drive.google.com/open?id=1qghJe2ywrG7LdTFAuETnQpCUbN1z37_o</t>
  </si>
  <si>
    <t>https://drive.google.com/open?id=1DkOnQqLdjyYc2YS8dkUTJxspSDja4qvv</t>
  </si>
  <si>
    <t>Projeto Resgate uma vida</t>
  </si>
  <si>
    <t>RESGATE UMA VIDA</t>
  </si>
  <si>
    <t>Roseli Pinheiro de lima</t>
  </si>
  <si>
    <t>projetoresgate.v@gmail.com</t>
  </si>
  <si>
    <t>(11)2511-1472</t>
  </si>
  <si>
    <t>Rua Luis Antônio Pareira , 149</t>
  </si>
  <si>
    <t>Vila nova Curuça</t>
  </si>
  <si>
    <t>Sobrado</t>
  </si>
  <si>
    <t>08031-210</t>
  </si>
  <si>
    <t>bebês (1 a 1ano e 6 meses), Crianças bem pequenas (1 ano e 7 meses até 3 anos e 11 meses), Crianças pequenas (4 anos a 5 anos e 11 meses), Crianças (6 a 12 anos), Adultos, Idosos (60 anos ou mais)</t>
  </si>
  <si>
    <t>Moradores de Favelas, Pessoas em situação de rua, Dependentes Químicos, Comunidade rural</t>
  </si>
  <si>
    <t>Jardim Lapena /  Curuçá /  Invasão /  Júlio Tupi</t>
  </si>
  <si>
    <t>Eventos/Ações para captação, Plataforma doação online - Pessoa Física, Recursos próprios</t>
  </si>
  <si>
    <t>Resgate.umavida</t>
  </si>
  <si>
    <t>https://www.facebook.com/resgateumavid/</t>
  </si>
  <si>
    <t>https://drive.google.com/open?id=1mrKwGvzsTWAq2-tEsrN-a-NuLyJOBXLe</t>
  </si>
  <si>
    <t>ONG instituto vitória de Sá</t>
  </si>
  <si>
    <t>ONG VITÓRIA DE SÁ</t>
  </si>
  <si>
    <t>15.296.457/0001-62</t>
  </si>
  <si>
    <t>Larissa Café Pimentel</t>
  </si>
  <si>
    <t>ongvitoriadesa123@gmai.com</t>
  </si>
  <si>
    <t>(11)94782-2137</t>
  </si>
  <si>
    <t>Acajutiba</t>
  </si>
  <si>
    <t>Jd.Centenario</t>
  </si>
  <si>
    <t>07270-050</t>
  </si>
  <si>
    <t>bebês (1 a 1ano e 6 meses), Crianças bem pequenas (1 ano e 7 meses até 3 anos e 11 meses), Crianças (6 a 12 anos), Jovens (18 aos 24 anos), Adultos, Idosos (60 anos ou mais)</t>
  </si>
  <si>
    <t>Tijuco preto  / jd Vermelhao  /  vila Alzira  /  são Gabriel /  jd Centenário  /  tupinambá /</t>
  </si>
  <si>
    <t>Publico mais carente</t>
  </si>
  <si>
    <t>Ong.vitoriadesa</t>
  </si>
  <si>
    <t>https://drive.google.com/open?id=17rLPcAUoGO9jrgR2doqUSceIRmqipIl0</t>
  </si>
  <si>
    <t>https://drive.google.com/open?id=1li0m_vy19reMWG9hKbrTo5MKBp5NcB4a</t>
  </si>
  <si>
    <t>https://drive.google.com/open?id=1du4w3IXaetFr0HWR-ZJdoziaOxG3TxCj</t>
  </si>
  <si>
    <t>Associação de Moradores de Monte Cristo</t>
  </si>
  <si>
    <t>ASSOCIAÇÃO DE MORADORES MONTE CRISTO</t>
  </si>
  <si>
    <t>21.360.660/0001-53</t>
  </si>
  <si>
    <t>SILVANEIDE MARTINS DA SILVA</t>
  </si>
  <si>
    <t>associacaomontecristo21@gmail.com</t>
  </si>
  <si>
    <t>(11)98189-0065</t>
  </si>
  <si>
    <t>ERUA MANOEL DE OLIVEIRA RAMOS</t>
  </si>
  <si>
    <t>CONJUNTO HABITACIONAL SITIO CONCEIÇÃO</t>
  </si>
  <si>
    <t>SÃO PAULO</t>
  </si>
  <si>
    <t>08473-050</t>
  </si>
  <si>
    <t>Crianças bem pequenas (1 ano e 7 meses até 3 anos e 11 meses), Crianças pequenas (4 anos a 5 anos e 11 meses), Adolescentes (12 aos 18 anos), Jovens (18 aos 24 anos), Adultos, Idosos (60 anos ou mais)</t>
  </si>
  <si>
    <t>Favela do Incra /  Favela Monte Cristo /  Favela Diamante</t>
  </si>
  <si>
    <t>Atendemos moradores de rua e pessoas da comunidade que não tem cadastro conosco</t>
  </si>
  <si>
    <t>https://instagram.com/moradoresmontecristo?igshid=YmMyMTA2M2Y=</t>
  </si>
  <si>
    <t>https://drive.google.com/open?id=18RSaN1RoZrc7KJMdWf9yldyWIIRLdoLS</t>
  </si>
  <si>
    <t>https://drive.google.com/open?id=1K0bWnEZxgdGnANkdDyDx284uw2ezfzGb</t>
  </si>
  <si>
    <t>Associação Grupo de Mães Novo Amanhecer</t>
  </si>
  <si>
    <t>NOVO AMANHECER</t>
  </si>
  <si>
    <t>03.942.369/0001-01</t>
  </si>
  <si>
    <t>EMERSON CARLOS BISPO RIBEIRO</t>
  </si>
  <si>
    <t>associacaocomunitaria78@gmail.com</t>
  </si>
  <si>
    <t>(11)98143-1401</t>
  </si>
  <si>
    <t>Rua: Do Cobre 299</t>
  </si>
  <si>
    <t>08490-003</t>
  </si>
  <si>
    <t>Não atendemos</t>
  </si>
  <si>
    <t>Moradores de Favelas, Pessoas em situação de rua, População LGBTQ+, Povos Indígenas, Dependentes Químicos, Pessoas com Deficiência, Egressos sistema carcerário, Outros</t>
  </si>
  <si>
    <t>Inácio Monteiro /  Juscelino  /  Maia  Castro Alves barro branco /   Cidade Tiradentes /  Barro branco Vila Iolanda /  Jardim São Paulo</t>
  </si>
  <si>
    <t>Atendo também pessoas especiais.</t>
  </si>
  <si>
    <t>https://instagram.com/novoamanhecer82?igshid=YmMyMTA2M2Y=</t>
  </si>
  <si>
    <t>https://www.facebook.com/Ong-Grupo-de-M%C3%A3es-Novo-Amanhecer-1006553249379936/</t>
  </si>
  <si>
    <t>https://drive.google.com/open?id=1xLg55DhsYKPwNRDGrtm8y1jUq32DP70t</t>
  </si>
  <si>
    <t>https://drive.google.com/open?id=1Luy66K_r2hi-Xqn15sZdw4l1bjLFh2yd</t>
  </si>
  <si>
    <t>https://drive.google.com/open?id=1E-oBz_s3BM2S8g5xmUQtiGw6w2jOPoch</t>
  </si>
  <si>
    <t>https://drive.google.com/open?id=1l81EvI8o94rD1QRFxcx72l7N1Hj1gEyj</t>
  </si>
  <si>
    <t>Unificação das Quebradas</t>
  </si>
  <si>
    <t>UNIFICAÇÃO DAS QUEBRADAS</t>
  </si>
  <si>
    <t>51.643.021/0001-66</t>
  </si>
  <si>
    <t>Tiago Pereira Rodrigues</t>
  </si>
  <si>
    <t>unificacaodasquebradas@gmail.com</t>
  </si>
  <si>
    <t>(13)98805-9218</t>
  </si>
  <si>
    <t>Rua Faixa do Óleo Duto</t>
  </si>
  <si>
    <t>Pinhal do Miranda</t>
  </si>
  <si>
    <t>Ao lado do Parque Linear</t>
  </si>
  <si>
    <t>11543-300</t>
  </si>
  <si>
    <t>Sim,  fazemos  palestras na escola do nosso bairro , sobre  diversos  assuntos  ,ocupação de espaços  públicos  com intervenções de troca de  saberes</t>
  </si>
  <si>
    <t>Moradores de Favelas, Pessoas em situação de rua, População LGBTQ+, Povos Indígenas, Quilombola, Afrodescendentes, Dependentes Químicos, Pessoas com Deficiência, Egressos sistema carcerário, Imigrantes</t>
  </si>
  <si>
    <t>Pinhal do Miranda  /  Fabril  /  Água Fria  /  Vila Esperança  /  Vila dos Pescadores  / Bolsão 7  /   Bolsão 9   /  Alemoa  /  Catarina  /  Monte Serrat</t>
  </si>
  <si>
    <t>Lei de Incentivo, Editais, Lei Municipal da Cultura, Recursos próprios</t>
  </si>
  <si>
    <t>50 % recursos próprios  , 25% editais , 25% Leis de incentivos</t>
  </si>
  <si>
    <t>https://www.instagram.com/unificacaodasquebradas/</t>
  </si>
  <si>
    <t>https://web.facebook.com/Unifica%C3%A7%C3%A3o-das-Quebradas-1075566799308087</t>
  </si>
  <si>
    <t>https://drive.google.com/open?id=1HSesqqQk1g--bZhn9jOIQ4Zi1XU1rg-I</t>
  </si>
  <si>
    <t>Instituição Cultural Transmutar Geração</t>
  </si>
  <si>
    <t>TRANSMUTAR GERAÇÃO</t>
  </si>
  <si>
    <t>Rua José Greff Borba</t>
  </si>
  <si>
    <t>Parque Santa Rita</t>
  </si>
  <si>
    <t>Bairro Jd Robru /  Jd nazare /  Jd Dos Ypes /  Jd Miragaia  /  Vila Curuça /  Jd Campos /  Agua Vermelhas /  e outros</t>
  </si>
  <si>
    <t>https://www.facebook.com/transmutargeracao</t>
  </si>
  <si>
    <t>https://drive.google.com/open?id=14G1eeZi3ERE31yIJUlbWy-Jc9BjqDWcc</t>
  </si>
  <si>
    <t>https://drive.google.com/open?id=1a0OeAMRcjrpSv5aofYHNIdFY5F9su7r0</t>
  </si>
  <si>
    <t>Tech Girls</t>
  </si>
  <si>
    <t>TECH GIRLS</t>
  </si>
  <si>
    <t>45.988.443/0001-70</t>
  </si>
  <si>
    <t>Gisele Silveira Lasserre</t>
  </si>
  <si>
    <t>gisele@techgirls.com.br</t>
  </si>
  <si>
    <t>(41)98706-1379</t>
  </si>
  <si>
    <t>Rua Mal Deodoro</t>
  </si>
  <si>
    <t>cj 101</t>
  </si>
  <si>
    <t>80010-010</t>
  </si>
  <si>
    <t>Outra URL nossa é www.ecotech.org.br  Sim, associações de Bairros e Centros comunitários em SP (capital) e Região Metropolitana de Curitiba</t>
  </si>
  <si>
    <t>Moradores de Favelas, População LGBTQ+, Afrodescendentes, Egressos sistema carcerário, Imigrantes, Refugiados, Ribeirinhos, Outros</t>
  </si>
  <si>
    <t>Jd Santos Andrade ( Ctba-PR) /  Piraquara-PR /  Samambaia-DF</t>
  </si>
  <si>
    <t>os cursos são realizados em associações de bairros e centros comunitários</t>
  </si>
  <si>
    <t>Negócio Social, Eventos/Ações para captação, Parceria iniciativa privada, Recursos próprios</t>
  </si>
  <si>
    <t>0 pois foram patrocíniospontuais</t>
  </si>
  <si>
    <t>www.techgirls.com.br</t>
  </si>
  <si>
    <t>https://ynaweb.com.br/</t>
  </si>
  <si>
    <t>https://www.facebook.com/TechGirlsBrasil/</t>
  </si>
  <si>
    <t>https://drive.google.com/open?id=1WAjYYHGiLHWTIho-h67YUHtfhp7PSelY</t>
  </si>
  <si>
    <t>https://drive.google.com/open?id=1qyG5RgB2nRfPGxFDMxc_o87MIi1a2Out</t>
  </si>
  <si>
    <t>https://drive.google.com/open?id=1I77Zp9y4O6FvEaNCACPquItor5UFSjS2</t>
  </si>
  <si>
    <t>EMPREENDE MENINA</t>
  </si>
  <si>
    <t>42.509.472/0001-14</t>
  </si>
  <si>
    <t>HELENA FAGUNDES ASSUMPÇÃO</t>
  </si>
  <si>
    <t>empreendemeninas@gmail.com</t>
  </si>
  <si>
    <t>(53)99966-7059</t>
  </si>
  <si>
    <t>Rua Dom Bosco</t>
  </si>
  <si>
    <t>Bagé</t>
  </si>
  <si>
    <t>96400-011</t>
  </si>
  <si>
    <t>URCAMP - Ginásio</t>
  </si>
  <si>
    <t>Prado Velho /  Ivo Ferronato /  Balança</t>
  </si>
  <si>
    <t>Negócio Social, Convênio Público, Parceria iniciativa privada, Editais</t>
  </si>
  <si>
    <t>50% iniciativa privada, 25% editais, 15% convênio púbico, 10% negócio de impacto</t>
  </si>
  <si>
    <t>www.empreendemenina.com.br</t>
  </si>
  <si>
    <t>https://www.instagram.com/empreendemeninas/</t>
  </si>
  <si>
    <t>https://www.facebook.com/empreendemenina</t>
  </si>
  <si>
    <t>https://www.youtube.com/channel/UCayBuR0OkFxsQu9HDtXCtvQ</t>
  </si>
  <si>
    <t>https://drive.google.com/open?id=16Aw-zOmLXb4FqlHz2OmJVketbhKUTubb</t>
  </si>
  <si>
    <t>https://drive.google.com/open?id=1IRMoZoc2ILl12djQHAdk2A4jjppWyig5</t>
  </si>
  <si>
    <t>https://drive.google.com/open?id=1JOH0gp1Buxt_xIX38oum9TU9FI5dSUQr</t>
  </si>
  <si>
    <t>https://drive.google.com/open?id=1s4ZIMoTocdHQ-ibXpCFZaPkTgST7bxvP</t>
  </si>
  <si>
    <t>INSTITUTO QUINTAL TIA JURA</t>
  </si>
  <si>
    <t>QUINTAL TIA JURA</t>
  </si>
  <si>
    <t>HUGUENEY GOMES DOS SANTOS</t>
  </si>
  <si>
    <t>hugueney.santos@gmail.com</t>
  </si>
  <si>
    <t>(67)99284-1335</t>
  </si>
  <si>
    <t>MARCOS FERREZ</t>
  </si>
  <si>
    <t>CONJUNTO JOSE ABRAO</t>
  </si>
  <si>
    <t>CAMPO GRANDE</t>
  </si>
  <si>
    <t>79114-180</t>
  </si>
  <si>
    <t>SIM</t>
  </si>
  <si>
    <t>Moradores de Favelas, População LGBTQ+, Quilombola, Comunidade rural</t>
  </si>
  <si>
    <t>JOSE ABRAO/VILA MARLI/VILA DEDE</t>
  </si>
  <si>
    <t>JOVENS E ADULTO CARENTE</t>
  </si>
  <si>
    <t>90%EVENTOS</t>
  </si>
  <si>
    <t>https://www.linkedin.com/in/hugueney-gomes-49b00b84</t>
  </si>
  <si>
    <t>https://www.instagram.com/manganga_hugueney/</t>
  </si>
  <si>
    <t>https://www.facebook.com/1246073098744691/posts/5175665739118721/</t>
  </si>
  <si>
    <t>https://drive.google.com/open?id=1tlr3prWvSjRrOw0i9V5i6NzaH4rnJaVa</t>
  </si>
  <si>
    <t>https://drive.google.com/open?id=132LFjBNLwa9waXTGnfsBPTUFE_rcSCdd</t>
  </si>
  <si>
    <t>https://drive.google.com/open?id=1p4aPYzua5JeAwFarIIlmZKoNwhQdgzVh</t>
  </si>
  <si>
    <t>José Junior Teixeira</t>
  </si>
  <si>
    <t>TEIXEIRA JUDÔ</t>
  </si>
  <si>
    <t>35.665.332/0001-70</t>
  </si>
  <si>
    <t>teixeira2803.jjt@gmail.com</t>
  </si>
  <si>
    <t>(47)98446-9826</t>
  </si>
  <si>
    <t>Rua vereador a delsom Machado de oliveira</t>
  </si>
  <si>
    <t>Navegante</t>
  </si>
  <si>
    <t>88371-084</t>
  </si>
  <si>
    <t>Crianças pequenas (4 anos a 5 anos e 11 meses), Adolescentes (12 aos 18 anos), Jovens (18 aos 24 anos)</t>
  </si>
  <si>
    <t>Bairro são paulo</t>
  </si>
  <si>
    <t>https://drive.google.com/open?id=1I0N-IrqxrKJXQscRJjZXPWi6wGNxrOFs</t>
  </si>
  <si>
    <t>https://drive.google.com/open?id=112JFcOn0Y3t9Zjpe-vnr5J1VVHPbX99o</t>
  </si>
  <si>
    <t>ASSOCIACAO IYD BRASIL</t>
  </si>
  <si>
    <t>IYD BRASIL</t>
  </si>
  <si>
    <t>41.269.223/0001-36</t>
  </si>
  <si>
    <t>ERNESTO FERREIRA VASCONCELLOS</t>
  </si>
  <si>
    <t>oi@iydbrasil.com</t>
  </si>
  <si>
    <t>(51)99891-1952</t>
  </si>
  <si>
    <t>não possuimos espaço físico</t>
  </si>
  <si>
    <t>APT 601</t>
  </si>
  <si>
    <t>Brasil inteiro</t>
  </si>
  <si>
    <t>Somos um movimento que possui embaixadores regionais e locais que atuam diretamente com os jovens que realizam as atividades para o dia da juventude* por isso temos uma grande capilaridade no Brasil todo.</t>
  </si>
  <si>
    <t>Eventos/Ações para captação, Plataforma doação online - Pessoa Física, Editais</t>
  </si>
  <si>
    <t>www.diadajuventude.com.br</t>
  </si>
  <si>
    <t>www.instagram.com/iyd.brasil</t>
  </si>
  <si>
    <t>www.facebook.com/iydbrasil</t>
  </si>
  <si>
    <t>https://drive.google.com/open?id=1_HGxGKUpjXW4FoyJv_AmNH6yTEHpx2Nm</t>
  </si>
  <si>
    <t>https://drive.google.com/open?id=1lQhvsjQq65XHB11ZunpBAbIEpElFclB-</t>
  </si>
  <si>
    <t>https://drive.google.com/open?id=1c6GgLBHFLqTNYUspVocaIBomek-EqGr_</t>
  </si>
  <si>
    <t>https://drive.google.com/open?id=1pkdKiwjBGoV0pISVRPry-QDwnzuIOAQc</t>
  </si>
  <si>
    <t>Associação Cultural e Social Vila nova</t>
  </si>
  <si>
    <t>ACSVN</t>
  </si>
  <si>
    <t>29.104.976/0001-96</t>
  </si>
  <si>
    <t>Leandro Rubattino Portolan</t>
  </si>
  <si>
    <t>acsvnadm@gmail.com</t>
  </si>
  <si>
    <t>(51)99407-5204</t>
  </si>
  <si>
    <t>Estrada João Salomoni 1340</t>
  </si>
  <si>
    <t>centro de eventos ervino besson</t>
  </si>
  <si>
    <t>91740-830</t>
  </si>
  <si>
    <t>sim, pizza do bem projeto da entidade.</t>
  </si>
  <si>
    <t>Moradores de Favelas, Dependentes Químicos, Pessoas com Deficiência</t>
  </si>
  <si>
    <t>Monte Cristo /  Cristal /  Cohab /  Morro Quente.</t>
  </si>
  <si>
    <t>90% em situação de vulnerabilidade social.</t>
  </si>
  <si>
    <t>Negócio Social, Outro(s)</t>
  </si>
  <si>
    <t>50% esporte - 25%pronas - 25%cultura</t>
  </si>
  <si>
    <t>www.acsvn2016.com.br</t>
  </si>
  <si>
    <t>https://www.instagram.com/acsvn2016/</t>
  </si>
  <si>
    <t>https://www.facebook.com/acsvn2016</t>
  </si>
  <si>
    <t>https://drive.google.com/open?id=1bw0Hhj3v7lCTFxlBaQqpOaELSWxfXu8e</t>
  </si>
  <si>
    <t>https://drive.google.com/open?id=1bfVJ-ysgZspF9wX6_7H6uI2QLJ79y409</t>
  </si>
  <si>
    <t>https://drive.google.com/open?id=1q1Tl22IMpv5v4FAgQxMyOmFbC54gNvmL</t>
  </si>
  <si>
    <t>https://drive.google.com/open?id=17KvkPNeME1ptCK07ESmqaitmTZUrN0rw</t>
  </si>
  <si>
    <t>https://drive.google.com/open?id=1HWcNe6FeDwn_isnzbIIp_5VEtWA4YSWV</t>
  </si>
  <si>
    <t>Sociedade União da Vila dos Eucaliptos - SUVE</t>
  </si>
  <si>
    <t>ONG SUVE</t>
  </si>
  <si>
    <t>93.711.398/0001-55</t>
  </si>
  <si>
    <t>Ilson Renato Gomes Marques</t>
  </si>
  <si>
    <t>ong.suve@yahoo.com.br</t>
  </si>
  <si>
    <t>(51)3387-7354</t>
  </si>
  <si>
    <t>Rua Millo Raffin</t>
  </si>
  <si>
    <t>Mario Quintana</t>
  </si>
  <si>
    <t>91240-475</t>
  </si>
  <si>
    <t>Escola Espaço do Saber educação infantil
Parque Chico Mendes preservação ambiental</t>
  </si>
  <si>
    <t>Moradores de Favelas, População LGBTQ+, Quilombola, Afrodescendentes, Egressos sistema carcerário</t>
  </si>
  <si>
    <t>Favela dos Eucaliptos, Favela 19 /  Favela Mirim /  Favela do Multirão /  Favela da Fumaça /  Favela DáDois /  Favela da Borracha</t>
  </si>
  <si>
    <t>Atendemos diretamente 07 favelas* das 33 que compões nosso complexo. Realizando programa* projetos e ações com crianças* adolescentes* jovens e idosos.</t>
  </si>
  <si>
    <t>Convênio Público, Eventos/Ações para captação, Editais, Recursos próprios</t>
  </si>
  <si>
    <t>Convênio público 50% recurso próprio 10% Editais 40%</t>
  </si>
  <si>
    <t>www.midiadivila.com</t>
  </si>
  <si>
    <t>https://instagram.com/ongsuve?igshid=YmMyMTA2M2Y=</t>
  </si>
  <si>
    <t>https://drive.google.com/open?id=1ikEHO0_boMz_c4hH_OXgHmDxuvDmCMID</t>
  </si>
  <si>
    <t>https://drive.google.com/open?id=1mwxuTV8-Guapj-zFWe-1fmOjxNIGNXxY</t>
  </si>
  <si>
    <t>https://drive.google.com/open?id=1lZGwJ-oFypXGIfsbfqodzUGNUP9QEWCb</t>
  </si>
  <si>
    <t>https://drive.google.com/open?id=1G7uLltwkEbFQ2QDfeaV1pqy7VXlRI2oI</t>
  </si>
  <si>
    <t>Return Projects</t>
  </si>
  <si>
    <t>RETURN PROJECTS</t>
  </si>
  <si>
    <t>22.191.544/0001-10</t>
  </si>
  <si>
    <t>Cassio Tramontini</t>
  </si>
  <si>
    <t>contato@returnprojects.com</t>
  </si>
  <si>
    <t>(51)98191-6748</t>
  </si>
  <si>
    <t>Rodovia Dr. Antônio Luiz Moura Gonzaga</t>
  </si>
  <si>
    <t>Rio Tavares</t>
  </si>
  <si>
    <t>Coworking da Ilha</t>
  </si>
  <si>
    <t>88048-301</t>
  </si>
  <si>
    <t>Monte Cristo /  Costeira /  Mario Quintana /  Ilha da Pintada /  Arroio da Manteiga</t>
  </si>
  <si>
    <t>Buscamos levar acesso a jovens e criança mas nossos projetos acabam levando acesso a toda comunidade* como pais* funcionarios…</t>
  </si>
  <si>
    <t>Lei de Incentivo, Negócio Social, Parceria iniciativa privada, Editais, Lei Estadual da Cultura, Lei Federal do Esporte</t>
  </si>
  <si>
    <t>40% lei municipal da cultura 40% lei federal do esporte 20% negócio social</t>
  </si>
  <si>
    <t>www.returnprojects.com</t>
  </si>
  <si>
    <t>instagram.com/returnprojects</t>
  </si>
  <si>
    <t>Instituto Somos Ágape</t>
  </si>
  <si>
    <t>SOMOS ÁGAPE</t>
  </si>
  <si>
    <t>46.190.994/0001-57</t>
  </si>
  <si>
    <t>Raquel Suzi da Silva</t>
  </si>
  <si>
    <t>somosagapejlle@gmail.com</t>
  </si>
  <si>
    <t>(47)99690-5460</t>
  </si>
  <si>
    <t>Rua Veroni Pedro Graciano, 2954</t>
  </si>
  <si>
    <t>Costa e Silva</t>
  </si>
  <si>
    <t>Esse endereço não é o local onde atuamos, é o endereço da representante legal a qual registramos CNPJ. Não possuímos sede própria e local da região (comunidade atendida) em que alugaríamos , por questões jurídicas decidimos não prosseguir.</t>
  </si>
  <si>
    <t>89220-660</t>
  </si>
  <si>
    <t>Sim, em escola e galpões de igreja local. Escola de Educação Básica Presidente Médici -Endereço: R. Pref. Helmuth Fallgatter, 1449 - Boa Vista, Joinville - SC, 89206-100 / Comunidade Nossa Senhora do Carmo - Rua Ases, Ulysses Guimarães, Joinville - SC / Atendimentos locais de casa em casa.</t>
  </si>
  <si>
    <t>Comunidade Juquiá - Bairro Ulysses Guimarães</t>
  </si>
  <si>
    <t>Nos anos iniciais atendemos outras comunidade* mas nosso foco maior sempre foi o Juquiá* onde desejamos criar raízes e gerar transformação.</t>
  </si>
  <si>
    <t>40% Eventos/Ações para captação - 40% Doações - 20% Parceria iniciativa privada</t>
  </si>
  <si>
    <t>https://instagram.com/somosagapejlle</t>
  </si>
  <si>
    <t>https://www.facebook.com/somosagapejlle/</t>
  </si>
  <si>
    <t>https://drive.google.com/open?id=1EQ7T3CLdAxsmHF1NJh6IKEFh_xYWcbdK</t>
  </si>
  <si>
    <t>https://drive.google.com/open?id=17w9HXupxyGYul4VRmomp5nbeCy4f99YT</t>
  </si>
  <si>
    <t>https://drive.google.com/open?id=1vgXDU2j7vvc0WdNydcN-47vxon7gjMwS</t>
  </si>
  <si>
    <t>Coletivo Mulheres do Brasil em ação CMBA</t>
  </si>
  <si>
    <t>CMBA</t>
  </si>
  <si>
    <t>CNPJ: 38.422.063/0001-09</t>
  </si>
  <si>
    <t>Regina Santos da Silva</t>
  </si>
  <si>
    <t>cmbacoletivodemulheres@gmail.com</t>
  </si>
  <si>
    <t>(47)99112-5538</t>
  </si>
  <si>
    <t>rua santina rosa da costa</t>
  </si>
  <si>
    <t>Los Angeles</t>
  </si>
  <si>
    <t>Barra Velha</t>
  </si>
  <si>
    <t>casa 01</t>
  </si>
  <si>
    <t>88390-000</t>
  </si>
  <si>
    <t>Bairro Itacolomi -espaço CEVID</t>
  </si>
  <si>
    <t>Morro Cred  /  Mariscal /  Furado  /  Querosene / Morro do Colchão  Itacolomi / Favela Sao Paulo /  Itutiga  /  açorianos  /</t>
  </si>
  <si>
    <t>https://www.facebook.com/cmbadobrasil/</t>
  </si>
  <si>
    <t>https://www.instagram.com/cmbacoletivodemulheres/</t>
  </si>
  <si>
    <t>https://www.youtube.com/channel/UCF02Z3NH48DFZuvdiNjrntQ</t>
  </si>
  <si>
    <t>INSTITUTO CONFORME</t>
  </si>
  <si>
    <t>INSITUTO CONFORME</t>
  </si>
  <si>
    <t>26.217.425/0001-40</t>
  </si>
  <si>
    <t>EVALDO DUQUE ESTRADA</t>
  </si>
  <si>
    <t>institutoconforme@comunidadesiloe.com.br</t>
  </si>
  <si>
    <t>(47)99133-2682</t>
  </si>
  <si>
    <t>rua do campo 315</t>
  </si>
  <si>
    <t>Morro do MEIO</t>
  </si>
  <si>
    <t>JOINVILLE</t>
  </si>
  <si>
    <t>X</t>
  </si>
  <si>
    <t>89215-110</t>
  </si>
  <si>
    <t>Refugiados, Outros</t>
  </si>
  <si>
    <t>Invasões do Morro do Meio</t>
  </si>
  <si>
    <t>Atendenmos familias.</t>
  </si>
  <si>
    <t>Negócio Social, Doações</t>
  </si>
  <si>
    <t>30% Mantenedora Comunidade Siloé  - 30% brechó - 40% doações  pessoas físicas</t>
  </si>
  <si>
    <t>www.conforme.org.br</t>
  </si>
  <si>
    <t>https://www.instagram.com/conformeinstituto/</t>
  </si>
  <si>
    <t>https://www.facebook.com/institutoconforme/</t>
  </si>
  <si>
    <t>https://youtube.com/channel/UCiJr5nsfVwhEGni0nFUVHlQ</t>
  </si>
  <si>
    <t>https://drive.google.com/open?id=1HXL185Y1E1rAUUSytLvYpauCSi4Gqzps</t>
  </si>
  <si>
    <t>https://drive.google.com/open?id=1VBuI5lPKL9Rp6J_WGC3anXmV5x2RDkpp</t>
  </si>
  <si>
    <t>https://drive.google.com/open?id=1HE1gP97lVfEJxGlB-H0pDhmKJOPEFs6G</t>
  </si>
  <si>
    <t>Associação Ensinando a Pescar</t>
  </si>
  <si>
    <t>COMPLEXO JARDIM ELBA</t>
  </si>
  <si>
    <t>Renan de Oliveira Manoel</t>
  </si>
  <si>
    <t>complexojardimelba@gmail.com</t>
  </si>
  <si>
    <t>Rua Migue Borja</t>
  </si>
  <si>
    <t>Vila Cardoso Franco</t>
  </si>
  <si>
    <t>Favela da Ilha, Duas Pistas, Paulo Rosa, Beco da Morte, Favela Caminhão, Invasão Atibaia, Invasão Dandara, Favela da Juta, Mangue, São Judas /  Caminhão</t>
  </si>
  <si>
    <t>70% - 30%</t>
  </si>
  <si>
    <t>O2 EDUCATION</t>
  </si>
  <si>
    <t>O2 EDUCATON</t>
  </si>
  <si>
    <t>40.948.421/0001-63</t>
  </si>
  <si>
    <t>Admilson Santos</t>
  </si>
  <si>
    <t>asjr.professor@hotmail.com</t>
  </si>
  <si>
    <t>(71)3243-4374</t>
  </si>
  <si>
    <t>Rua dos Carvoes</t>
  </si>
  <si>
    <t>Santo Antonio além do Carmo</t>
  </si>
  <si>
    <t>(71)99616-2121</t>
  </si>
  <si>
    <t>40301-300</t>
  </si>
  <si>
    <t>Baixa do Santo Antonio</t>
  </si>
  <si>
    <t>ONG Centro  Zumbi dos Palmares</t>
  </si>
  <si>
    <t>CENTRO DE CULTURA E CIDA ZUMBI DOS PALMARES</t>
  </si>
  <si>
    <t>05.849.003/0001-18</t>
  </si>
  <si>
    <t>Aline Maria da silva</t>
  </si>
  <si>
    <t>Aníbal  Cantarelli</t>
  </si>
  <si>
    <t>Mirandiba</t>
  </si>
  <si>
    <t>56980-000</t>
  </si>
  <si>
    <t>COHAB /  PROJETADA /  RUA DO FÓRUM COMUNIDADES QUILOMBOLAS</t>
  </si>
  <si>
    <t>O público atendido  é  referenciado por comunidades quilombola* Rural e urbana</t>
  </si>
  <si>
    <t>https://instagram.com/zpalmares?utm_medium=copy_link.</t>
  </si>
  <si>
    <t>https://www.facebook.com/gpzumbi.palmares</t>
  </si>
  <si>
    <t>Oscip Jovem Sertão</t>
  </si>
  <si>
    <t>JOVEM SERTÃO</t>
  </si>
  <si>
    <t>07.780.830/0001-28</t>
  </si>
  <si>
    <t>Aluisio Ferreira Gomes</t>
  </si>
  <si>
    <t>oscipjovem@gmail.com</t>
  </si>
  <si>
    <t>Rua do Cajueiro</t>
  </si>
  <si>
    <t>Petrolina</t>
  </si>
  <si>
    <t>56304-420</t>
  </si>
  <si>
    <t>Assentamento Luiz Inácio. bairro Pedro Raimundo e bairro Idalino Bezerra</t>
  </si>
  <si>
    <t>Mulheres trabalhadores rurais* famílias sem renda e jovens e adultos  sem formação profissional</t>
  </si>
  <si>
    <t>50%* 10% e 40%</t>
  </si>
  <si>
    <t>www.oscipjovemsetao.org.br</t>
  </si>
  <si>
    <t>https://drive.google.com/open?id=1uvz1utnYSxdtHgjKCtfhGr7b9KNhSDWh</t>
  </si>
  <si>
    <t>https://drive.google.com/open?id=1XiE4Gr_O-zjCY0zcVN6qD3Pfxw9h82_6</t>
  </si>
  <si>
    <t>https://drive.google.com/open?id=1ZhD9wa-wYc5nZcNiW9oTRG7FwF0C_Csm</t>
  </si>
  <si>
    <t>https://drive.google.com/open?id=1L5eJ1lXp7Ff-pCZlWWVWC3chkN3iSGct</t>
  </si>
  <si>
    <t>https://drive.google.com/open?id=1WhxxwU84NWbGg6PZd2gI6MPTT4SGYcOW</t>
  </si>
  <si>
    <t>Associação Social Sagrada Família</t>
  </si>
  <si>
    <t>ASSF</t>
  </si>
  <si>
    <t>06.062.774/0001-23</t>
  </si>
  <si>
    <t>Ana Célia Pereira da Conceição Passos</t>
  </si>
  <si>
    <t>sagradafamilia.ba@hotmail.com</t>
  </si>
  <si>
    <t>(75)98186-8074</t>
  </si>
  <si>
    <t>Praça Castro Alves</t>
  </si>
  <si>
    <t>Cabaceiras do Paraguaçu</t>
  </si>
  <si>
    <t>44345-000</t>
  </si>
  <si>
    <t>Escolas do Bairro
Praça Castro Alves
Parque Histórico</t>
  </si>
  <si>
    <t>Cabaceiras/sede / Olhos D'agua / Jacarezinho / Rua das pedrinhas e Paraguacu</t>
  </si>
  <si>
    <t>60% Eventos /Ações para captação.40% Doações</t>
  </si>
  <si>
    <t>https://instagram.com/associacao_sagrada_familia?igshid=YmMyMTA2M2Y=</t>
  </si>
  <si>
    <t>https://drive.google.com/open?id=1Dg4yUB0JGTS1wVB1GLRYXa-RQvJperFL</t>
  </si>
  <si>
    <t>https://drive.google.com/open?id=1SoZEkVXk0bpEXRkg3KGLHnRhwCVjUL2E</t>
  </si>
  <si>
    <t>https://drive.google.com/open?id=1quql5HbUwsI8e89f8Jff-1do9v9DuWsp</t>
  </si>
  <si>
    <t>Instituto Mais Vida</t>
  </si>
  <si>
    <t>INSTITUTO MAIS VIDA</t>
  </si>
  <si>
    <t>19.436.959/0001-00</t>
  </si>
  <si>
    <t>ANTONIO ANDRE LIMA MUNIZ</t>
  </si>
  <si>
    <t>imvmaceio@gmail.com</t>
  </si>
  <si>
    <t>(82)3317-1202</t>
  </si>
  <si>
    <t>Av: Menino Marcelo</t>
  </si>
  <si>
    <t>Antares</t>
  </si>
  <si>
    <t>57083-410</t>
  </si>
  <si>
    <t>Conjunto Alvorada1 /  Conjunto Alvora2 /  Grota da Alegria /  Henrique Quelmam /  Antares /  Cambuci /  Grota da Esperança</t>
  </si>
  <si>
    <t>Lei de Incentivo, Convênio Público, Editais, Doações, Lei Estadual da Cultura, Lei Municipal da Cultura, Lei Federal do Esporte, Lei Rouanet, Recursos próprios</t>
  </si>
  <si>
    <t>90% Emendas Parlamentares</t>
  </si>
  <si>
    <t>https://institutomaisvida.org.br/</t>
  </si>
  <si>
    <t>https://www.instagram.com/instmaisvida/</t>
  </si>
  <si>
    <t>https://www.youtube.com/channel/UCEmBPwCDdbeksOowGXtCkLQ</t>
  </si>
  <si>
    <t>https://drive.google.com/open?id=1WaGtUKsv2Uv42e9K502xbrUbpIOzXW_5</t>
  </si>
  <si>
    <t>https://drive.google.com/open?id=1IGOYd1UUMxvRYdACvCQYY5-5RrgH4nrH</t>
  </si>
  <si>
    <t>https://drive.google.com/open?id=1IwHejHvm3eoyIkaAe79XE6sNX6fGKHYR</t>
  </si>
  <si>
    <t>https://drive.google.com/open?id=17-VvJwF07PlxVGxOHCJx9Ug5Vfvn1i3b</t>
  </si>
  <si>
    <t>Instituto de :Responsabilidade e Investimento Social IRIS</t>
  </si>
  <si>
    <t>INSTITUTO IRIS</t>
  </si>
  <si>
    <t>Lila Lopes</t>
  </si>
  <si>
    <t>71 3350-5526</t>
  </si>
  <si>
    <t>Avenida Tancredo Neves</t>
  </si>
  <si>
    <t>41820-908</t>
  </si>
  <si>
    <t>Saramandaia /  Nordeste de Amaralina /  Baixa do Tubo /  Polemica /  Fazenda Coutos /  Bosque das Bromélias</t>
  </si>
  <si>
    <t>Crianças* adolescentes e jovens que vivencial vulnerabilidades soais e riscos. Deslocam-se das suas comunidades para comercializar e exercer atividade de mendicância nas instalações de um Shopping da cidade de Salvador.</t>
  </si>
  <si>
    <t>Projeto Social e Cultural Regaty</t>
  </si>
  <si>
    <t>PROJETO RESGATY</t>
  </si>
  <si>
    <t>31.687.501/0001-11</t>
  </si>
  <si>
    <t>Claudimar dos santos Dantas</t>
  </si>
  <si>
    <t>resgaty123@gmail.com</t>
  </si>
  <si>
    <t>(71)99254-0521</t>
  </si>
  <si>
    <t>Rua Rio madeira 19 É</t>
  </si>
  <si>
    <t>Itacaranha</t>
  </si>
  <si>
    <t>20 E</t>
  </si>
  <si>
    <t>Loja</t>
  </si>
  <si>
    <t>40713-315</t>
  </si>
  <si>
    <t>Moradores de Favelas, Pessoas em situação de rua, População LGBTQ+, Afrodescendentes, Dependentes Químicos, Pessoas com Deficiência</t>
  </si>
  <si>
    <t>Itacaranha / Terezinha Bariri  /  plataforma /  Mabaço Coutos  / Periperi</t>
  </si>
  <si>
    <t>30 recursos próprios, 50 doaçães e 20 editais</t>
  </si>
  <si>
    <t>https://www.instagram.com/reel/Cf-Y_jvAZlP/?igshid=YmMyMTA2M2Y=</t>
  </si>
  <si>
    <t>https://drive.google.com/open?id=1TDUppRBNfqJErYRTm9yV0tJFsbVvQZkj</t>
  </si>
  <si>
    <t>https://drive.google.com/open?id=1wixo_l0EQ7IhHeJEA7BrkxP6Rx0AksOl</t>
  </si>
  <si>
    <t>https://drive.google.com/open?id=1eTG3nw-LUc7GGiFz_7bYGHkgN9lS8UVC</t>
  </si>
  <si>
    <t>https://drive.google.com/open?id=1saAuR6K-SDbR2Rfds3bntEtm6nPGYjoR</t>
  </si>
  <si>
    <t>Casa do Conto</t>
  </si>
  <si>
    <t>CASA DO CONTO</t>
  </si>
  <si>
    <t>Masao Fukayama Junior</t>
  </si>
  <si>
    <t>cdcitacare@gmail.com</t>
  </si>
  <si>
    <t>(73)99975-2873</t>
  </si>
  <si>
    <t>Bairro Novo</t>
  </si>
  <si>
    <t>Itacaré</t>
  </si>
  <si>
    <t>45530-000</t>
  </si>
  <si>
    <t>natação na ONG ETIV, canoa no Rio de Contas</t>
  </si>
  <si>
    <t>Bairro Novo, Comunidade dos Catadores do Lixão</t>
  </si>
  <si>
    <t>Crianças e adolescentes do Bairro Novo. E também jovens e mulheres da comunidade dos catadores do Lixão da cidade.</t>
  </si>
  <si>
    <t>20% parceria de iniciativa privada, 80% doações</t>
  </si>
  <si>
    <t>https://instagram.com/casadocontoitacare?igshid=YmMyMTA2M2Y=</t>
  </si>
  <si>
    <t>https://www.facebook.com/CasaDoConto/</t>
  </si>
  <si>
    <t>https://youtube.com/channel/UCgH6jJcLtbtWdYX88BqoFeA</t>
  </si>
  <si>
    <t>https://drive.google.com/open?id=1HjfTNe8jWuwfcQCQqAUJa7L2bGFs0BoC</t>
  </si>
  <si>
    <t>Associação dos cuidadores de pessoas em situação de vulnerabilidade na Bahia</t>
  </si>
  <si>
    <t>ACPSVB</t>
  </si>
  <si>
    <t>Daiane dos Santos pires</t>
  </si>
  <si>
    <t>ong.acpsvb01@gmail.com</t>
  </si>
  <si>
    <t>(71)99664-5706</t>
  </si>
  <si>
    <t>Rua  caminho 2 n 37c</t>
  </si>
  <si>
    <t>Jardim Santo inacio</t>
  </si>
  <si>
    <t>37C</t>
  </si>
  <si>
    <t>1andar</t>
  </si>
  <si>
    <t>41231-115</t>
  </si>
  <si>
    <t>Temos núcleo  em outros bairros</t>
  </si>
  <si>
    <t>Moradores de Favelas, Pessoas em situação de rua, População LGBTQ+, Povos Indígenas, Quilombola, Afrodescendentes, Dependentes Químicos, Pessoas com Deficiência, Imigrantes, Refugiados, Ribeirinhos, Comunidade rural</t>
  </si>
  <si>
    <t>Calabetao /  santo Inácio  mata escura cajazeiras  cabula Marechal  rondon sao Caetano  capelinha fazenda grande do retiro  boca da mata paripe periperi fazenda coutos alto de coutos barbalho plataforma ilha amarela largo do tanque  san matiins lobato  boa vistabdo sao Caetano</t>
  </si>
  <si>
    <t>Atendemos 39 comunidades em situação de rua</t>
  </si>
  <si>
    <t>Lei de Incentivo, Negócio Social, Eventos/Ações para captação, Plataforma doação online - Pessoa Física, Parceria iniciativa privada, Outro(s), Doações, Recursos próprios</t>
  </si>
  <si>
    <t>50% plataformas  doações  online/25% incetivo parceria privado 25% eventos  e açoes</t>
  </si>
  <si>
    <t>https://instagram.com/__daydias?igshid=YmMyMTA2M2Y=</t>
  </si>
  <si>
    <t>https://instagram.com/acpsvb?igshid=YmMyMTA2M2Y=</t>
  </si>
  <si>
    <t>https://instagram.com/acpsvb?utm_medium=copy_link</t>
  </si>
  <si>
    <t>https://youtube.com/channel/UCmuiRs5C8Ugg8I9__Jj8DHg</t>
  </si>
  <si>
    <t>https://drive.google.com/open?id=1nMQsoOB6NhoW-VzHA9EdGoSQCPkvMPq6</t>
  </si>
  <si>
    <t>https://drive.google.com/open?id=1QTMe36rAJvAVjbzf_icQfOGER3IKtcrV</t>
  </si>
  <si>
    <t>Instituto Carangondé Cidadania</t>
  </si>
  <si>
    <t>CARANGONDÉ CIDADANIA</t>
  </si>
  <si>
    <t>14.524.323/0001-99</t>
  </si>
  <si>
    <t>JOSE REGINALDO CORDEIRO</t>
  </si>
  <si>
    <t>carangondecidadania@gmail.com</t>
  </si>
  <si>
    <t>(75)99116-7366</t>
  </si>
  <si>
    <t>SÃO CARLOS</t>
  </si>
  <si>
    <t>LAGOA SALGADA</t>
  </si>
  <si>
    <t>Feira de Santana</t>
  </si>
  <si>
    <t>PROXIMO A AVENIDA NOIDE CERQUEIRA</t>
  </si>
  <si>
    <t>44083-684</t>
  </si>
  <si>
    <t>Sede das associais rurais, escolas, igreja, secretaria municipal, auditorio publico,</t>
  </si>
  <si>
    <t>Moradores de Favelas, Povos Indígenas, Quilombola, Afrodescendentes, Refugiados, Ribeirinhos, Comunidade rural</t>
  </si>
  <si>
    <t>Comunidade km 14, caatinga, Jaíba, São Cristovão, Ladeira, Lagoa, Terra Dura</t>
  </si>
  <si>
    <t>Atuamos na construção de casas nas áreas rurais e o nosso publico são em sua maioria mulheres solo acima de 18 anos. Realizamos ações sociais com cursos* palestras e oficinas sobre empreendedorismo* meio ambinete* formação de parcerias e saúde</t>
  </si>
  <si>
    <t>100%Lei Federal de Habitação Rural</t>
  </si>
  <si>
    <t>https://carangondecidadania.blogspot.com/</t>
  </si>
  <si>
    <t>https://www.instagram.com/carangondecidadania/</t>
  </si>
  <si>
    <t>https://drive.google.com/open?id=104p-QxmoR7at0TxpIlVbfXP0CnvyEbEK</t>
  </si>
  <si>
    <t>https://drive.google.com/open?id=1ckEahpIDamLCWJyjz5WlzCcKB3fr9tmm</t>
  </si>
  <si>
    <t>https://drive.google.com/open?id=1RfLDia9iYQExqo9tYGQMC8vQb49FJV-l</t>
  </si>
  <si>
    <t>Instituto Almas Azuis</t>
  </si>
  <si>
    <t>Vanessa Venâncio</t>
  </si>
  <si>
    <t>almasazuis@gmail.com</t>
  </si>
  <si>
    <t>(13) 974190758</t>
  </si>
  <si>
    <t>Rua: Maria Martins Baptista, 1642 Vila Sônia/Praia Grande SP</t>
  </si>
  <si>
    <t>Vila Sônia</t>
  </si>
  <si>
    <t>Praia Grande</t>
  </si>
  <si>
    <t>11722-050</t>
  </si>
  <si>
    <t>Empregabilidade</t>
  </si>
  <si>
    <t>Crianças bem pequenas (1 ano e 7 meses até 3 anos e 11 meses); Adolescentes (12 aos 18 anos); Jovens (18 aos 24 anos)</t>
  </si>
  <si>
    <t>Negócio Social; Doações</t>
  </si>
  <si>
    <t>Instituto 100% MORRO</t>
  </si>
  <si>
    <t>Instituto 100% Morro</t>
  </si>
  <si>
    <t>Elaine Pinheiro</t>
  </si>
  <si>
    <t>institutomorro@gmail.com</t>
  </si>
  <si>
    <t>(31)99568-3398</t>
  </si>
  <si>
    <t>Rua São Tomaz de Aquino</t>
  </si>
  <si>
    <t>Santa Rita de Cássia</t>
  </si>
  <si>
    <t>30330-530</t>
  </si>
  <si>
    <t>Esporte; Educação; Assistência Social; Cultura; Qualificação Profissional; Empreendedorismo; Meio ambiente; Defesa de Direitos; Outro(s)</t>
  </si>
  <si>
    <t>Moradores de Favelas; Pessoas em situação de rua; População LGBTQ+; Dependentes Químicos; Pessoas com Deficiência; Egressos sistema carcerário</t>
  </si>
  <si>
    <t>100% Ceapa</t>
  </si>
  <si>
    <t>https://instagram.com/institutomorrooficial?utm_medium=copy_link</t>
  </si>
  <si>
    <t>Instituto Lira de Inclusão Social - ILIS</t>
  </si>
  <si>
    <t>14.297.670/0001-26</t>
  </si>
  <si>
    <t>José Roberto Lira</t>
  </si>
  <si>
    <t>ilis@ilis.org.br</t>
  </si>
  <si>
    <t>(11)2311-6694</t>
  </si>
  <si>
    <t>Avenida Alda</t>
  </si>
  <si>
    <t>Diadema</t>
  </si>
  <si>
    <t>09910-170</t>
  </si>
  <si>
    <t>Esporte; Educação; Assistência Social; Saúde; Empoderamento Feminino; Negócios Sociais; Defesa de Direitos; Desenvolvimento comunitário; Outro(s)</t>
  </si>
  <si>
    <t>Crianças pequenas (4 anos a 5 anos e 11 meses); Crianças (6 a 12 anos); Adolescentes (12 aos 18 anos); Jovens (18 aos 24 anos); Adultos; Idosos (60 anos ou mais)</t>
  </si>
  <si>
    <t>Moradores de Favelas; Afrodescendentes; Pessoas com Deficiência; Refugiados</t>
  </si>
  <si>
    <t>Negócio Social; Convênio Público; Eventos/Ações para captação; Outro(s); Doações; Recursos próprios</t>
  </si>
  <si>
    <t>www.ilis.org.br</t>
  </si>
  <si>
    <t>https://instagram.com/ilisdiadema?utm_medium=copy_link</t>
  </si>
  <si>
    <t>https://youtube.com/user/institutolira</t>
  </si>
  <si>
    <t>Instituto Egbe Dúdú</t>
  </si>
  <si>
    <t>Zilda Amélia Costa de Souza</t>
  </si>
  <si>
    <t>zildaacs@hotmail.com</t>
  </si>
  <si>
    <t>(75)99812-2810</t>
  </si>
  <si>
    <t>31 de Agosto, 261 F</t>
  </si>
  <si>
    <t>ANA LUCIA</t>
  </si>
  <si>
    <t>Cruz das Almas</t>
  </si>
  <si>
    <t>EM FRENTE AO SALÃO DE DORI E AO LAVA JATO DO GENI</t>
  </si>
  <si>
    <t>44380-000</t>
  </si>
  <si>
    <t>Educação; Cultura; Qualificação Profissional; Empoderamento Feminino; Defesa de Direitos; Desenvolvimento comunitário; Outro(s)</t>
  </si>
  <si>
    <t>Crianças bem pequenas (1 ano e 7 meses até 3 anos e 11 meses); Crianças pequenas (4 anos a 5 anos e 11 meses); Crianças (6 a 12 anos); Adolescentes (12 aos 18 anos); Jovens (18 aos 24 anos); Adultos; Idosos (60 anos ou mais)</t>
  </si>
  <si>
    <t>Moradores de Favelas; Pessoas em situação de rua; População LGBTQ+; Quilombola; Afrodescendentes; Dependentes Químicos; Comunidade rural</t>
  </si>
  <si>
    <t>20%, 30%, 50%</t>
  </si>
  <si>
    <t>https://www.instagram.com/institutoegbedudu/</t>
  </si>
  <si>
    <t>ASSOCIACAO O APRISCO</t>
  </si>
  <si>
    <t>45.217.322/0001-25</t>
  </si>
  <si>
    <t>Washington Tadeu da Silva</t>
  </si>
  <si>
    <t>adm.aprisco@outlook.com.br</t>
  </si>
  <si>
    <t>(21)96437-3072</t>
  </si>
  <si>
    <t>Xavantes Lt28 Qd75</t>
  </si>
  <si>
    <t>23811-560</t>
  </si>
  <si>
    <t>Esporte; Educação; Assistência Social; Cultura; Meio ambiente; Empoderamento Feminino; Desenvolvimento comunitário; Outro(s)</t>
  </si>
  <si>
    <t>Crianças pequenas (4 anos a 5 anos e 11 meses); Crianças (6 a 12 anos); Adolescentes (12 aos 18 anos); Jovens (18 aos 24 anos); Adultos</t>
  </si>
  <si>
    <t>Moradores de Favelas; Pessoas em situação de rua; Afrodescendentes; Dependentes Químicos; Egressos sistema carcerário; Comunidade rural; Outros</t>
  </si>
  <si>
    <t>Eventos/Ações para captação; Outro(s); Doações; Recursos próprios</t>
  </si>
  <si>
    <t>15% recursos proprios 15%outros 50% doação 20% arrecadação</t>
  </si>
  <si>
    <t>erliaesteves@gmail.com</t>
  </si>
  <si>
    <t>Educação; Cultura; Qualificação Profissional</t>
  </si>
  <si>
    <t>Crianças pequenas (4 anos a 5 anos e 11 meses); Adolescentes (12 aos 18 anos); Jovens (18 aos 24 anos); Adultos</t>
  </si>
  <si>
    <t>Lei de Incentivo; Parceria iniciativa privada</t>
  </si>
  <si>
    <t>Não possui</t>
  </si>
  <si>
    <t>https://www.instagram.com/institutoarvoredavida/     ;</t>
  </si>
  <si>
    <t>https://www.facebook.com/institutoarvoredavidabetim</t>
  </si>
  <si>
    <t>Rua João Batista Laceda</t>
  </si>
  <si>
    <t>(17)99743-3941</t>
  </si>
  <si>
    <t>15606-104</t>
  </si>
  <si>
    <t>Esporte; Assistência Social; Cultura</t>
  </si>
  <si>
    <t>Crianças (6 a 12 anos); Adolescentes (12 aos 18 anos)</t>
  </si>
  <si>
    <t>Negócio Social; Convênio Público; Doações; Recursos próprios</t>
  </si>
  <si>
    <t>Convênio com munícipio: 78%, Pessoa Jurídica: 5%, Pessoa Física: 3%, Produção Própria: 1%, Doações: 10%</t>
  </si>
  <si>
    <t>http://ossonhadores.org/</t>
  </si>
  <si>
    <t>https://www.instagram.com/institutosonhadores/</t>
  </si>
  <si>
    <t>https://www.youtube.com/channel/UCjbAYBdpYIgDm7brFhf0DtA</t>
  </si>
  <si>
    <t>https://drive.google.com/open?id=1DAMIYcs9KYI124_4XIsx53kRV8OvdPQJ</t>
  </si>
  <si>
    <t>https://drive.google.com/open?id=166PhR_4Vm8ir33_pL094TDEvPZBI-tpI</t>
  </si>
  <si>
    <t>Avenida Itaoca</t>
  </si>
  <si>
    <t>(21)98739-4551</t>
  </si>
  <si>
    <t>21061-771</t>
  </si>
  <si>
    <t>Educação; Assistência Social; Cultura; Qualificação Profissional; Empreendedorismo; Meio ambiente; Empoderamento Feminino; Negócios Sociais; Ciência e Tecnologia; Defesa de Direitos; Assistência Psicológica; Desenvolvimento comunitário</t>
  </si>
  <si>
    <t>Moradores de Favelas; População LGBTQ+; Afrodescendentes; Pessoas com Deficiência; Imigrantes</t>
  </si>
  <si>
    <t>Lei de Incentivo; Parceria iniciativa privada; Editais; Lei Estadual da Cultura</t>
  </si>
  <si>
    <t>80% Lei de incentivo a cultura do Estado, 10% Edital de fomento direto Inovaí, 10% doações</t>
  </si>
  <si>
    <t>https://instagram.com/projetovidancar?igshid=YmMyMTA2M2Y=</t>
  </si>
  <si>
    <t>RUA MAJOR JOSÉ TENÓRIO DA SILVA</t>
  </si>
  <si>
    <t>(82)99936-8491</t>
  </si>
  <si>
    <t>BOCA DA MATA</t>
  </si>
  <si>
    <t>Moradores de Favelas; Afrodescendentes; Comunidade rural; Outros</t>
  </si>
  <si>
    <t>Lei de Incentivo; Convênio Público; Editais; Doações; FIA</t>
  </si>
  <si>
    <t>60% FIA 10% DOAÇÕES 10%CONVÊNIO 20% MP/PJ</t>
  </si>
  <si>
    <t>igds.org.br, o mesmo estar em manutenção</t>
  </si>
  <si>
    <t>https://www.instagram.com/instituto_girassol/</t>
  </si>
  <si>
    <t>https://www.youtube.com/c/InstitutoGirassoldeDesenvolvimentoSocial</t>
  </si>
  <si>
    <t>https://drive.google.com/open?id=1aWZ73Wst-GfaWuRkkf4inMwackXNZnwN</t>
  </si>
  <si>
    <t>https://drive.google.com/open?id=1AjLvjwvDuqZY8kcyrQ4Re6E4qxr1febq</t>
  </si>
  <si>
    <t>Rua pereira lopes</t>
  </si>
  <si>
    <t>(21)96707-6513</t>
  </si>
  <si>
    <t>rio de janeiro</t>
  </si>
  <si>
    <t>20920-330</t>
  </si>
  <si>
    <t>Esporte; Educação</t>
  </si>
  <si>
    <t>Crianças (6 a 12 anos); Adolescentes (12 aos 18 anos); Adultos</t>
  </si>
  <si>
    <t>https://www.instagram.com/p/CbOBO5kuUDD/?utm_medium=copy_link</t>
  </si>
  <si>
    <t>https://drive.google.com/open?id=1-rhhxXhAIw7b1Tuy0rjtUdOhWAWTZ_-r</t>
  </si>
  <si>
    <t>Instituto Pra Todo Mundo</t>
  </si>
  <si>
    <t>SALUM - Associação Cristã de Desenvolvimento Social - Juntos Somos Mais</t>
  </si>
  <si>
    <t>instituto@pratodomundo.org.br</t>
  </si>
  <si>
    <t>Leliveldia</t>
  </si>
  <si>
    <t>(11)99612-4457</t>
  </si>
  <si>
    <t>Esporte; Educação; Assistência Social; Cultura; Qualificação Profissional; Empreendedorismo; Negócios Sociais; Desenvolvimento comunitário</t>
  </si>
  <si>
    <t>Quilombola; Comunidade rural</t>
  </si>
  <si>
    <t>Negócio Social; Eventos/Ações para captação; Plataforma doação online - Pessoa Física; Editais; Doações; Recursos próprios</t>
  </si>
  <si>
    <t>ongsalum.com/home</t>
  </si>
  <si>
    <t>https://www.instagram.com/institutopratodomundo/</t>
  </si>
  <si>
    <t>https://www.youtube.com/channel/UCEEeM6IDIE5qjOj_Xfcba8w'</t>
  </si>
  <si>
    <t>https://drive.google.com/open?id=1OmSMv_SUdxIStlIDfnZHkA8gq3-UpoEd</t>
  </si>
  <si>
    <t>Cecília Breves</t>
  </si>
  <si>
    <t>Educação; Assistência Social; Cultura</t>
  </si>
  <si>
    <t>www.palavrasnecantada.org.br</t>
  </si>
  <si>
    <t>Instagram.com/tpalavrasencantadas</t>
  </si>
  <si>
    <t>https://m.youtube.com/channel/UCX6RaPO0kZ-6ApmIFeKyQVw</t>
  </si>
  <si>
    <t>https://drive.google.com/open?id=1_s1FDDsDx_g_4WE6n2No-mTgajVsUyY8</t>
  </si>
  <si>
    <t>https://drive.google.com/open?id=128-H_kIibD2jD7eulEhzlSbtZGywYY6H</t>
  </si>
  <si>
    <t>Projeto CABE +1</t>
  </si>
  <si>
    <t>Alcinesio José de Santana Filho</t>
  </si>
  <si>
    <t>projetocabemaisum@gmail.com</t>
  </si>
  <si>
    <t>(81)98483-5599</t>
  </si>
  <si>
    <t>Rua In aldo Bartolomeu de Carvalho</t>
  </si>
  <si>
    <t>RECIFE</t>
  </si>
  <si>
    <t>UR-7 Várzea</t>
  </si>
  <si>
    <t>50970-360</t>
  </si>
  <si>
    <t>Educação; Empregabilidade; Assistência Social; Qualificação Profissional; Empreendedorismo; Meio ambiente; Empoderamento Feminino; Negócios Sociais; Comunicação; Desenvolvimento comunitário</t>
  </si>
  <si>
    <t>Moradores de Favelas; Pessoas em situação de rua; Outros</t>
  </si>
  <si>
    <t>Atendemos a comunidade de modo geral de acordo com parcerias ou datas significativas. Abrangendo nosso público da criança ao idoso.</t>
  </si>
  <si>
    <t>Negócio Social; Eventos/Ações para captação; Editais; Doações</t>
  </si>
  <si>
    <t>45 % Negócio Social;  35% Eventos captações; 20% Doações</t>
  </si>
  <si>
    <t>https://www.instagram.com/cabemais1pe/</t>
  </si>
  <si>
    <t>https://drive.google.com/open?id=1dsEB1j1GC7wiSsx-VpMtBU2bcVu55WgR</t>
  </si>
  <si>
    <t>Em Cena Arte e Cidadania</t>
  </si>
  <si>
    <t>02.978.621/0001-70</t>
  </si>
  <si>
    <t>Maria Edeltrudes Gonçalves Paes Barreto</t>
  </si>
  <si>
    <t>emcena@hotlink.com.br</t>
  </si>
  <si>
    <t>(81)3075-1444</t>
  </si>
  <si>
    <t>Rua Francisco Alves</t>
  </si>
  <si>
    <t>Coelhos</t>
  </si>
  <si>
    <t>Sala 206</t>
  </si>
  <si>
    <t>50070-565</t>
  </si>
  <si>
    <t>Educação; Assistência Social; Cultura; Empoderamento Feminino; Desenvolvimento comunitário</t>
  </si>
  <si>
    <t>Crianças pequenas (4 anos a 5 anos e 11 meses); Crianças (6 a 12 anos); Adolescentes (12 aos 18 anos); Adultos</t>
  </si>
  <si>
    <t>Lei de Incentivo; Plataforma doação online - Pessoa Física; Editais; Lei Rouanet; FIA; Recursos próprios</t>
  </si>
  <si>
    <t>RECEITAS:			% Contribuições ou doações individuais		 105.906,13 	32,41 Doações não incentivadas (Em Cena)	48.963,33		 Doações não incentivadas (Responsáveis das crianças)	342,80		 Doações com incentivo da Lei Rouanet	56.600,00		 Empresas privadas, institutos ou fundações empresarias		 103.581,60 	31,70 Associação dos Procuradores do Município do Recife	2.842,00		 Gerando Falcões (Doação Filantrópica)	60.000,00		 Laboratório Marcelo Magalhães (Lei Rouanet)	40.000,00		 Lalica Doces 	739,60		 Entidades governamentais e Empresas estatais		 111.325,00 	34,07 Fundo Mun.Crianças/Adolescentes-FMCA(Comdica)	45.000,00		 Fiocruz 	9.325,00		 Fundação de Cultura da Cidade do Recife (Lei Aldir Blanc)	15.000,00		 Secretaria de Cultura do Estado de Pernambuco (LAB)	12.000,00		 Emenda Parlamentar Deputada Tereza Leitão	30.000,00		 Venda de produtos e serviços		 426,00 	0,13 Produtos (camisa, DVD, CD, Cartilha, etc)	5,00		 Bazar	351,00		 Produtos recicláveis	70,00		 Rendimento financeiro		 5.485,40 	1,68 Poupança EM CENA	769,27		 Investimento EM CENA	3.226,42		 Investimento MINC	1.427,32		 Pagseguro	62,39		 TOTAL		 326.724,13 	100,00</t>
  </si>
  <si>
    <t>www.emcenarecife.org</t>
  </si>
  <si>
    <t>https://www.instagram.com/emcenarecife</t>
  </si>
  <si>
    <t>https://www.facebook.com/emcenarecife/</t>
  </si>
  <si>
    <t>https://www.youtube.com/channel/UCstCrAMwkAHxT9uj9skGL3w</t>
  </si>
  <si>
    <t>https://drive.google.com/open?id=1CnLUmFbkuxFbjry_FnYqe4AM0s0TX_PP</t>
  </si>
  <si>
    <t>https://drive.google.com/open?id=1q2tUhj52iCF2Scm-0upW_UMGbqOF4frR</t>
  </si>
  <si>
    <t>https://drive.google.com/open?id=1N6-ig_ntGlb2EgH5KM_FXjG4b6a5l1nm</t>
  </si>
  <si>
    <t>ASSOCIAÇÃO INTERNACIONAL DE CAPOEIRA OS BAMBAS DO SOL NASCENTE DE SALVADOR</t>
  </si>
  <si>
    <t>TEODORO FRANCISCO AZEVEDO NETO</t>
  </si>
  <si>
    <t>bambadosolnascente@yahoo.com.br</t>
  </si>
  <si>
    <t>AVENIDA SÃO ROQUE</t>
  </si>
  <si>
    <t>URUGUAI</t>
  </si>
  <si>
    <t>40450-355</t>
  </si>
  <si>
    <t>URUGUAI/ALAGADOS-MASSARANDUBA-SANTA LUZIA-JARDIM CRUZEIRO----</t>
  </si>
  <si>
    <t>www.capoeirasolnascente.org.br</t>
  </si>
  <si>
    <t>https://www.instagram.com/osbambassolnascente/</t>
  </si>
  <si>
    <t>https://www.facebook.com/osbambasdosolnascente</t>
  </si>
  <si>
    <t>https://drive.google.com/open?id=1kzDSTQvNaC_nxlteRwpwWqpAA1QWDTkS</t>
  </si>
  <si>
    <t>https://drive.google.com/open?id=1w6eL7TUQB_OdRogl2Q-LS54xZ8vJGgHE</t>
  </si>
  <si>
    <t>https://drive.google.com/open?id=1VtOGavN5YGmSAj5QSDuJg1vLRY1aXoZq</t>
  </si>
  <si>
    <t>Complexo Encanto Grupo de Apoio Social - CEGAS</t>
  </si>
  <si>
    <t>Rita de Cássia Pantoja Cravo</t>
  </si>
  <si>
    <t>complexoencanto@gmail.com</t>
  </si>
  <si>
    <t>(91)98805-1496</t>
  </si>
  <si>
    <t>Passagem Combatente</t>
  </si>
  <si>
    <t>Entrada pela BL-10</t>
  </si>
  <si>
    <t>66845-100</t>
  </si>
  <si>
    <t>Esporte; Educação; Cultura; Qualificação Profissional; Empreendedorismo; Meio ambiente; Negócios Sociais</t>
  </si>
  <si>
    <t>Crianças (6 a 12 anos); Adolescentes (12 aos 18 anos); Jovens (18 aos 24 anos); Adultos; Idosos (60 anos ou mais)</t>
  </si>
  <si>
    <t>https://www.instagram.com/complexoencanto/</t>
  </si>
  <si>
    <t>https://www.facebook.com/cegas.complexoencanto</t>
  </si>
  <si>
    <t>Instituto Mestre Nordestino</t>
  </si>
  <si>
    <t>Robson Machado Bezerra</t>
  </si>
  <si>
    <t>institutomestrenordestino@gmail.com</t>
  </si>
  <si>
    <t>Rua do Poço</t>
  </si>
  <si>
    <t>Timbó</t>
  </si>
  <si>
    <t>Nisia Floresta</t>
  </si>
  <si>
    <t>Zona Rural</t>
  </si>
  <si>
    <t>Timbó-Mazapas-Primavera-Alto monte Hermínio-Lagoa de Boa água-Lagoa do Bonfim-38-Quebra Fuzil</t>
  </si>
  <si>
    <t>Famílias de Presidiários da Penitenciária Estadual de Alcaçuz. ( Quero estabelecer um núcleo do instituto Mestre Nordestino na Comunidade onde está situada o presídio) local é um assentamento da SEARA Denominado PROJETO ALCAÇUZ.</t>
  </si>
  <si>
    <t>Associação comunitária de Agentes Ambientais</t>
  </si>
  <si>
    <t>ACATAM</t>
  </si>
  <si>
    <t>31.629.365/0001-03</t>
  </si>
  <si>
    <t>Tiago Bruno da Silva</t>
  </si>
  <si>
    <t>semearcampossales@gmail.com</t>
  </si>
  <si>
    <t>(88)9931-3270</t>
  </si>
  <si>
    <t>Travessa iguatu</t>
  </si>
  <si>
    <t>Ibura de baixo</t>
  </si>
  <si>
    <t>Campos Sales</t>
  </si>
  <si>
    <t>63150-000</t>
  </si>
  <si>
    <t>Educação; Saúde; Meio ambiente; Desenvolvimento comunitário; Outro(s)</t>
  </si>
  <si>
    <t>Moradores de Favelas; Pessoas em situação de rua; População LGBTQ+; Povos Indígenas; Quilombola; Afrodescendentes; Dependentes Químicos; Pessoas com Deficiência; Comunidade rural; Outros</t>
  </si>
  <si>
    <t>Familias dos catadores  Adultos e criança e adolescentes das comunidades</t>
  </si>
  <si>
    <t>Eventos/Ações para captação; Parceria iniciativa privada; Editais; Outro(s); Doações; Recursos próprios</t>
  </si>
  <si>
    <t>www.Acatamcoletaseletiva8213</t>
  </si>
  <si>
    <t>https://www.instagram.com/acatamcoletaseletiva8213</t>
  </si>
  <si>
    <t>https://drive.google.com/open?id=19PmscMLQPrRhPNTjqvAd328l9SCDjpUM</t>
  </si>
  <si>
    <t>https://drive.google.com/open?id=1HiLleJBWVIISMgx237PVEUZ9ml2SFUaN</t>
  </si>
  <si>
    <t>https://drive.google.com/open?id=1d4y-5PDS_w3PXjy9muLb_JuTiBRm-M-I</t>
  </si>
  <si>
    <t>Projeto quero ajudar</t>
  </si>
  <si>
    <t>Antônio Carlos Oliveira de sousa</t>
  </si>
  <si>
    <t>projetoqueroajudara@gmail.com</t>
  </si>
  <si>
    <t>(85)99248-1737</t>
  </si>
  <si>
    <t>Rua Alves de Lima 375</t>
  </si>
  <si>
    <t>Cristo Redentor</t>
  </si>
  <si>
    <t>60337-350</t>
  </si>
  <si>
    <t>Educação; Assistência Social; Empreendedorismo; Saúde</t>
  </si>
  <si>
    <t>Creche Escola Maria de Nazaré</t>
  </si>
  <si>
    <t>02.600.373/0001-29</t>
  </si>
  <si>
    <t>Terezinha Farias de Lima</t>
  </si>
  <si>
    <t>cmnazare@gmail.com</t>
  </si>
  <si>
    <t>(81)99934-6913</t>
  </si>
  <si>
    <t>Rua Cinquenta e Um</t>
  </si>
  <si>
    <t>Jardim Paulista</t>
  </si>
  <si>
    <t>53409-580</t>
  </si>
  <si>
    <t>Educação; Assistência Social; Cultura; Qualificação Profissional; Saúde; Empoderamento Feminino; Defesa de Direitos; Desenvolvimento comunitário</t>
  </si>
  <si>
    <t>Moradores de Favelas; Afrodescendentes; Comunidade rural</t>
  </si>
  <si>
    <t>Atendemos em nossas ações as famílias como um núcleo que se complementa.</t>
  </si>
  <si>
    <t>Lei de Incentivo; Eventos/Ações para captação; Parceria iniciativa privada; Editais; Doações; FIA; Recursos próprios</t>
  </si>
  <si>
    <t>15% Lei de Incentivo; 20% Convênio Público; 15% Editais; 35% Doações; 10% FIA; 5% Recursos próprios.</t>
  </si>
  <si>
    <t>https://crechemarianazare.org.br/</t>
  </si>
  <si>
    <t>https://www.instagram.com/crechemarianazare/</t>
  </si>
  <si>
    <t>https://www.facebook.com/mariadenazareintegracao/</t>
  </si>
  <si>
    <t>https://www.youtube.com/channel/UCMo1GxXszva8T7EsomYuuyQ</t>
  </si>
  <si>
    <t>https://drive.google.com/open?id=1X1OTHxd1s3JzwBmAxgnSx3_EYDe2LO4W</t>
  </si>
  <si>
    <t>https://drive.google.com/open?id=1mCfzCSMnwZWMREXZbeLJH-qa1uppynTQ</t>
  </si>
  <si>
    <t>Balé da Rale</t>
  </si>
  <si>
    <t>45.322.227/0001-91</t>
  </si>
  <si>
    <t>SARYNE Teixeira Santana Fernandes</t>
  </si>
  <si>
    <t>baledarale@gmail.com</t>
  </si>
  <si>
    <t>(84)98761-6531</t>
  </si>
  <si>
    <t>Rio das Lavadeiras</t>
  </si>
  <si>
    <t>Quintas</t>
  </si>
  <si>
    <t>Beira do Rio</t>
  </si>
  <si>
    <t>59050-135</t>
  </si>
  <si>
    <t>Esporte; Educação; Cultura; Empreendedorismo</t>
  </si>
  <si>
    <t>Crianças bem pequenas (1 ano e 7 meses até 3 anos e 11 meses); Crianças pequenas (4 anos a 5 anos e 11 meses)</t>
  </si>
  <si>
    <t>Parceria iniciativa privada; Outro(s); Doações</t>
  </si>
  <si>
    <t>25% pessoa física, 25%Doações, 50% Seja pessoa Jurídica</t>
  </si>
  <si>
    <t>https://instagram.com/baledarale?utm_medium=copy_link</t>
  </si>
  <si>
    <t>https://drive.google.com/open?id=1JT0KuXDgnh59xEXOXWAyk8V4lPmsDCWv</t>
  </si>
  <si>
    <t>Projeto Social Patrulha do Bem</t>
  </si>
  <si>
    <t>42.321.388/0001-72</t>
  </si>
  <si>
    <t>Fabiane Fernandes Mota</t>
  </si>
  <si>
    <t>patrulhadobem01@gmail.com</t>
  </si>
  <si>
    <t>(71)99410-8842</t>
  </si>
  <si>
    <t>Travessa Basílio de Magalhães 46</t>
  </si>
  <si>
    <t>Rio vermelho</t>
  </si>
  <si>
    <t>41940-430</t>
  </si>
  <si>
    <t>Esporte; Educação; Empregabilidade; Assistência Social; Cultura; Qualificação Profissional; Empreendedorismo; Saúde; Empoderamento Feminino; Negócios Sociais; Desenvolvimento comunitário; Outro(s)</t>
  </si>
  <si>
    <t>Moradores de Favelas; Pessoas em situação de rua; Povos Indígenas; Quilombola; Afrodescendentes; Dependentes Químicos; Pessoas com Deficiência; Ribeirinhos; Comunidade rural; Outros</t>
  </si>
  <si>
    <t>Parceria iniciativa privada; Doações</t>
  </si>
  <si>
    <t>https://www.instagram.com/patrulhadobem1?r=nametag</t>
  </si>
  <si>
    <t>https://drive.google.com/open?id=1OFs8SNb-RvkIseiV83uhauZ70nI0RUDk</t>
  </si>
  <si>
    <t>https://drive.google.com/open?id=1YwEp7fP9Bo41oom19rGH6xt9X4YpFyXP</t>
  </si>
  <si>
    <t>https://drive.google.com/open?id=1tdsPWlpl7wgt1D_zLkLYC_iiLZ888WXH</t>
  </si>
  <si>
    <t>Brincar e aprender</t>
  </si>
  <si>
    <t>Rafael Santiago Machado</t>
  </si>
  <si>
    <t>ongbrincareaprender1@gmail.com</t>
  </si>
  <si>
    <t>(71)99413-6798</t>
  </si>
  <si>
    <t>Estrava velha lobato/ campinas</t>
  </si>
  <si>
    <t>Esporte; Educação; Assistência Social; Cultura; Qualificação Profissional; Saúde; Meio ambiente; Desenvolvimento comunitário</t>
  </si>
  <si>
    <t>Outro(s); Doações</t>
  </si>
  <si>
    <t>50 % doações, 50 produtos feitos por voluntários</t>
  </si>
  <si>
    <t>https://instagram.com/ong_brincareaprender?utm_medium=copy_link</t>
  </si>
  <si>
    <t>Associação Nossa Casa Mãe África Estudos e Comunicação</t>
  </si>
  <si>
    <t>11.335.192/0001-03</t>
  </si>
  <si>
    <t>Sislaine Dias Simões da Silva</t>
  </si>
  <si>
    <t>maeafricaoficial@gmail.com</t>
  </si>
  <si>
    <t>(85)98664-9666</t>
  </si>
  <si>
    <t>Rua Medelim, 3311</t>
  </si>
  <si>
    <t>casa B</t>
  </si>
  <si>
    <t>60540-000</t>
  </si>
  <si>
    <t>Educação; Empregabilidade; Assistência Social; Cultura; Qualificação Profissional; Empreendedorismo; Meio ambiente; Empoderamento Feminino; Negócios Sociais; Defesa de Direitos; Outro(s)</t>
  </si>
  <si>
    <t>Crianças bem pequenas (1 ano e 7 meses até 3 anos e 11 meses); Crianças pequenas (4 anos a 5 anos e 11 meses); Crianças (6 a 12 anos); Adolescentes (12 aos 18 anos); Adultos</t>
  </si>
  <si>
    <t>Moradores de Favelas; População LGBTQ+; Afrodescendentes; Pessoas com Deficiência; Outros</t>
  </si>
  <si>
    <t>Desempregados jovens mulheres.</t>
  </si>
  <si>
    <t>https://www.casamaeafrica.org</t>
  </si>
  <si>
    <t>https://www.instagram.com/ancmaeafrica/</t>
  </si>
  <si>
    <t>https://www.facebook.com/ancmaeafrica</t>
  </si>
  <si>
    <t>https://www.youtube.com/channel/UCGdja19WDMDm7l2pKbNKQFw?view_as=subscriber</t>
  </si>
  <si>
    <t>https://drive.google.com/open?id=1JF9nzslQjdOiP7uhQboXrSNV721DRLqZ</t>
  </si>
  <si>
    <t>https://drive.google.com/open?id=1htfDWCHZXTKmKKWrWEVSEpRfJmK6XXBW</t>
  </si>
  <si>
    <t>https://drive.google.com/open?id=1zKg5_dHouG3TNrbyquP-cwoHuKxREkAn</t>
  </si>
  <si>
    <t>ARC -Associação Recreativa e Cultural do Jardim Treze de Maio</t>
  </si>
  <si>
    <t>38.020.411/0001-11</t>
  </si>
  <si>
    <t>ANGELICA MARIA MOREIRA DA COSTA</t>
  </si>
  <si>
    <t>arc.acoesolidarias@gmal.com</t>
  </si>
  <si>
    <t>(83)99892-0979</t>
  </si>
  <si>
    <t>Rua Pastor Firmino Silva, 278</t>
  </si>
  <si>
    <t>Treze de Maio</t>
  </si>
  <si>
    <t>Joao Pessoa</t>
  </si>
  <si>
    <t>CASA 1 PAVIMENTO</t>
  </si>
  <si>
    <t>58025-580</t>
  </si>
  <si>
    <t>Esporte; Educação; Empregabilidade; Assistência Social; Cultura; Qualificação Profissional; Empreendedorismo; Defesa de Direitos; Outro(s)</t>
  </si>
  <si>
    <t>Moradores de Favelas; Quilombola; Outros</t>
  </si>
  <si>
    <t>Grupo de Convivência com idosos e Crianças com esportes e cultura</t>
  </si>
  <si>
    <t>Convênio Público; Eventos/Ações para captação; Parceria iniciativa privada; Doações; Recursos próprios</t>
  </si>
  <si>
    <t>50% convenio, 30% doações, 5% bazar , 15%Parceria com iniciativas privadas e sociedade civil</t>
  </si>
  <si>
    <t>https://arc.mjvtecnologia.com.br/     provisorio</t>
  </si>
  <si>
    <t>https://www.instagram.com/arc.acoesolidarias/</t>
  </si>
  <si>
    <t>https://www.facebook.com/arc.capacitacoes/</t>
  </si>
  <si>
    <t>https://drive.google.com/open?id=1ZX4oFseZDAavKRi9QIH0DBrUJ44TwOd8</t>
  </si>
  <si>
    <t>https://drive.google.com/open?id=1lOrdhrkBaKc0WeHXJm1_f0DXgSteVRNQ</t>
  </si>
  <si>
    <t>https://drive.google.com/open?id=1BQEZbmy0HNclhMdXjuRnr89-u8t7y_J9</t>
  </si>
  <si>
    <t>Associação VOAR</t>
  </si>
  <si>
    <t>23.803.494/0001-48</t>
  </si>
  <si>
    <t>Eraldo Noronha Lima Júnior</t>
  </si>
  <si>
    <t>contato@associacaovoar.org</t>
  </si>
  <si>
    <t>(85)99106-4503</t>
  </si>
  <si>
    <t>Rua José Barreto Parente</t>
  </si>
  <si>
    <t>Engenheiro Luciano Cavalcante</t>
  </si>
  <si>
    <t>Próximo a Defensoria Pública</t>
  </si>
  <si>
    <t>60811-160</t>
  </si>
  <si>
    <t>Educação; Assistência Social</t>
  </si>
  <si>
    <t>Crianças (6 a 12 anos); Adolescentes (12 aos 18 anos); Jovens (18 aos 24 anos)</t>
  </si>
  <si>
    <t>São crianças e adolescentes de 7 a 17 anos Além disso oferecemos apoio e atendimentos as suas famílias.</t>
  </si>
  <si>
    <t>Eventos/Ações para captação; Plataforma doação online - Pessoa Física; Parceria iniciativa privada; Doações</t>
  </si>
  <si>
    <t>Doações PF: 21%. Doações PJ: 39%. Sua Nota Tem Valor: 2%</t>
  </si>
  <si>
    <t>https://www.associacaovoar.org.br/</t>
  </si>
  <si>
    <t>https://www.instagram.com/associacaovoar/</t>
  </si>
  <si>
    <t>https://www.facebook.com/associacaovoar</t>
  </si>
  <si>
    <t>https://www.youtube.com/channel/UC0RMYEK1CzVhONRvyS46SDw/videos</t>
  </si>
  <si>
    <t>https://drive.google.com/open?id=18jB0dlVfQe7HI56K37hh0jjj6yjcgbnn</t>
  </si>
  <si>
    <t>https://drive.google.com/open?id=1PcT4rd3MkOn8RzsVRcWjJisuT1eQPbrD</t>
  </si>
  <si>
    <t>OSC PONTO SOCIAL</t>
  </si>
  <si>
    <t>Márcio Lima</t>
  </si>
  <si>
    <t>2013ritasacramento@gmail.com</t>
  </si>
  <si>
    <t>(71)98737-6880</t>
  </si>
  <si>
    <t>Rua do Curuzu</t>
  </si>
  <si>
    <t>40366-110</t>
  </si>
  <si>
    <t>Educação; Empregabilidade; Assistência Social; Cultura; Qualificação Profissional; Empreendedorismo; Empoderamento Feminino; Negócios Sociais; Apoio à gestão de organizações de Terceiro Setor; Defesa de Direitos; Comunicação; Desenvolvimento comunitário</t>
  </si>
  <si>
    <t>Jovens (18 aos 24 anos); Adultos; Idosos (60 anos ou mais)</t>
  </si>
  <si>
    <t>Moradores de Favelas; Povos Indígenas; Quilombola; Afrodescendentes; Pessoas com Deficiência; Ribeirinhos; Comunidade rural</t>
  </si>
  <si>
    <t>Casa das Juventudes / Associação Santo Agostinho</t>
  </si>
  <si>
    <t>Maria Jaqueline de Oliveira</t>
  </si>
  <si>
    <t>cajufn.2017@gmail.com</t>
  </si>
  <si>
    <t>(81)99847-1714</t>
  </si>
  <si>
    <t>Rua Joaquim Correia</t>
  </si>
  <si>
    <t>zona rural</t>
  </si>
  <si>
    <t>FEIRA NOVA</t>
  </si>
  <si>
    <t>55715-000</t>
  </si>
  <si>
    <t>Esporte; Educação; Empregabilidade; Assistência Social; Cultura; Qualificação Profissional; Empreendedorismo; Saúde; Meio ambiente; Empoderamento Feminino; Negócios Sociais; Ciência e Tecnologia; Defesa de Direitos; Comunicação; Desenvolvimento comunitário</t>
  </si>
  <si>
    <t>Moradores de Favelas; População LGBTQ+; Pessoas com Deficiência; Egressos sistema carcerário; Comunidade rural</t>
  </si>
  <si>
    <t>Adolescentes e Jovens em situação de venerabilidade social</t>
  </si>
  <si>
    <t>Editais; Outro(s); Doações</t>
  </si>
  <si>
    <t>NÃO HÁ</t>
  </si>
  <si>
    <t>sites.google.com/view/casajuvfn</t>
  </si>
  <si>
    <t>https://drive.google.com/open?id=1bDE9MEe1MNT0es98Cdvo0HpkAiIhP5mO</t>
  </si>
  <si>
    <t>INSTITUTO TCHIBUM</t>
  </si>
  <si>
    <t>33.822.080/0001-10</t>
  </si>
  <si>
    <t>Rafaelle Bragança</t>
  </si>
  <si>
    <t>contato@institutotchibum.com</t>
  </si>
  <si>
    <t>(92)99205-1866</t>
  </si>
  <si>
    <t>RUA BELO HORIZONTE,</t>
  </si>
  <si>
    <t>ADRIANOPOLIS</t>
  </si>
  <si>
    <t>Sala 612 The Place Business</t>
  </si>
  <si>
    <t>69057-060</t>
  </si>
  <si>
    <t>Educação; Saúde; Apoio à gestão de organizações de Terceiro Setor; Desenvolvimento comunitário; Outro(s)</t>
  </si>
  <si>
    <t>Moradores de Favelas; Povos Indígenas; Ribeirinhos</t>
  </si>
  <si>
    <t>Nas ações de combate ao Covid em parcerias com outras 10 instituições da cidade chegamos a cerca de 28 municípios do Amazonas.
No campo Oficinas colocamos as aulas do Um passo para a Universidade preparatório para o enem gratuito para jovens</t>
  </si>
  <si>
    <t>Doações; Recursos próprios</t>
  </si>
  <si>
    <t>75% doações e 25% recursos dos voluntarios</t>
  </si>
  <si>
    <t>https://www.institutotchibum.com/</t>
  </si>
  <si>
    <t>https://www.instagram.com/institutotchibum/?hl=pt-br</t>
  </si>
  <si>
    <t>https://www.facebook.com/institutotchibum/</t>
  </si>
  <si>
    <t>https://drive.google.com/open?id=1q-_mso6LE_3cNxTvRsWocCcdf4Z3sRLU</t>
  </si>
  <si>
    <t>https://drive.google.com/open?id=1nylh5DbKAAGvefj8LHZcToTh4PfCiBet</t>
  </si>
  <si>
    <t>https://drive.google.com/open?id=1zoF-RpTlEjg0k6u3ctG73xwprdmYv97C</t>
  </si>
  <si>
    <t>Maria Cristina Araújo Santos</t>
  </si>
  <si>
    <t>institutotransformaribicarai@gmail.com</t>
  </si>
  <si>
    <t>(73)98120-2234</t>
  </si>
  <si>
    <t>Rua Projetada  s/n</t>
  </si>
  <si>
    <t>João Batista de Asis -Duque de Caxias</t>
  </si>
  <si>
    <t>Esporte; Educação; Assistência Social; Cultura; Saúde; Meio ambiente; Empoderamento Feminino; Negócios Sociais; Defesa de Direitos; Comunicação; Assistência Psicológica; Desenvolvimento comunitário; Outro(s)</t>
  </si>
  <si>
    <t>Crianças pequenas (4 anos a 5 anos e 11 meses); Crianças (6 a 12 anos); Adolescentes (12 aos 18 anos)</t>
  </si>
  <si>
    <t>Moradores de Favelas; Pessoas em situação de rua; Afrodescendentes; Ribeirinhos; Outros</t>
  </si>
  <si>
    <t>Pessoas que vivem em vulnerabilidade social drogasprostituição e falta de oportunidade para jovens e adolescentes . Atendo 02 crianças de uma terceira comunidade que a mae traz de biscicleta por ser distante .</t>
  </si>
  <si>
    <t>www.facebook.com/1010891172419255/</t>
  </si>
  <si>
    <t>https://drive.google.com/open?id=1BLlNe5jC3c7l69ekVgguywM21bCaRUNf</t>
  </si>
  <si>
    <t>https://drive.google.com/open?id=1Z6ChG1AgcBTGiif7LeJLKCpL3Um3imy8</t>
  </si>
  <si>
    <t>CAMA-Centro de Arte e Meio Ambiente</t>
  </si>
  <si>
    <t>01.704.986/0001-43</t>
  </si>
  <si>
    <t>Andreia do Carmo Araujo</t>
  </si>
  <si>
    <t>centrodeartemeioambiente@gmail.com</t>
  </si>
  <si>
    <t>(71)3207-1926</t>
  </si>
  <si>
    <t>Final de Linha do Uruguai,Sn Anexo ao Espaço Cultural Alagados</t>
  </si>
  <si>
    <t>Uruguai</t>
  </si>
  <si>
    <t>Ao lado do Espaço Cultural Alagados</t>
  </si>
  <si>
    <t>40450-000</t>
  </si>
  <si>
    <t>Educação; Empregabilidade; Assistência Social; Cultura; Qualificação Profissional; Empreendedorismo; Saúde; Meio ambiente; Empoderamento Feminino; Negócios Sociais; Apoio à gestão de organizações de Terceiro Setor; Defesa de Direitos; Comunicação; Animais; Desenvolvimento comunitário; Outro(s)</t>
  </si>
  <si>
    <t>Moradores de Favelas; População LGBTQ+; Povos Indígenas; Quilombola; Afrodescendentes; Dependentes Químicos; Pessoas com Deficiência; Ribeirinhos; Comunidade rural; Outros</t>
  </si>
  <si>
    <t>Atendemos organizações sócias sem fins lucrativos no fomento a economia solidária e empreendedorismo</t>
  </si>
  <si>
    <t>Negócio Social; Parceria iniciativa privada; Editais; Doações</t>
  </si>
  <si>
    <t>http/@centrodearteemeioambiente</t>
  </si>
  <si>
    <t>https://drive.google.com/open?id=1JYFIJrfUuup9-1IFi5sMEAhuFpC9CR9t</t>
  </si>
  <si>
    <t>Associação de Capoeira Muleki é Tu</t>
  </si>
  <si>
    <t>09.393.245/0001-09</t>
  </si>
  <si>
    <t>Cecilia Genevieve Thomaz</t>
  </si>
  <si>
    <t>mulekietu@otmail.com</t>
  </si>
  <si>
    <t>(71) 99401-2220 / (71)98300-0118</t>
  </si>
  <si>
    <t>Praça da Aclamação</t>
  </si>
  <si>
    <t>Centro histórico</t>
  </si>
  <si>
    <t>Esporte; Educação; Empregabilidade; Cultura; Empreendedorismo; Negócios Sociais; Defesa de Direitos</t>
  </si>
  <si>
    <t>Moradores de Favelas; Pessoas em situação de rua; População LGBTQ+; Povos Indígenas; Quilombola; Afrodescendentes; Dependentes Químicos; Pessoas com Deficiência; Egressos sistema carcerário; Imigrantes; Refugiados; Ribeirinhos; Comunidade rural; Outros</t>
  </si>
  <si>
    <t>https://www.instagram.com/</t>
  </si>
  <si>
    <t>https://www.instagram.com/mulekietu/</t>
  </si>
  <si>
    <t>https://pt-br.facebook.com/people/Mulekietu-Cachoeira/100004226498319</t>
  </si>
  <si>
    <t>https://www.youtube.com/channel/UC8S8zZXEmofFW5ps64UnEww</t>
  </si>
  <si>
    <t>https://drive.google.com/open?id=1nY21mB9o_c_5b50DHe5ijChRmSLikCZh</t>
  </si>
  <si>
    <t>https://drive.google.com/open?id=1_PjxA3vU5lKgBvPC2PEG_Gu0QSy-1LbZ</t>
  </si>
  <si>
    <t>https://drive.google.com/open?id=1mfLdz9EfasF0E0r8W6S-2VXKI8ufamCo</t>
  </si>
  <si>
    <t>Instituto de Cidadania Amor ao Próximo</t>
  </si>
  <si>
    <t>44.155.070/0001-94</t>
  </si>
  <si>
    <t>Caio Lima</t>
  </si>
  <si>
    <t>ofamoraoproximo@gmail.com</t>
  </si>
  <si>
    <t>(85)99834-4615</t>
  </si>
  <si>
    <t>Rua Professora Maria Clara, 2243</t>
  </si>
  <si>
    <t>60345-292</t>
  </si>
  <si>
    <t>Esporte; Educação; Empregabilidade; Assistência Social; Cultura; Qualificação Profissional; Empreendedorismo; Empoderamento Feminino; Ciência e Tecnologia; Comunicação; Assistência Psicológica; Desenvolvimento comunitário</t>
  </si>
  <si>
    <t>Lei de Incentivo; Eventos/Ações para captação; Plataforma doação online - Pessoa Física; Editais; Doações; Recursos próprios</t>
  </si>
  <si>
    <t>https://instagram.com/ofamoraoproximo?utm_medium=copy_link</t>
  </si>
  <si>
    <t>https://drive.google.com/open?id=1Oz4VqgTEuT2sRnHy-R_2w-h1Upv6zXmr</t>
  </si>
  <si>
    <t>Instituto de Arte e Educação da Bahia</t>
  </si>
  <si>
    <t>35.058.953/0001-95</t>
  </si>
  <si>
    <t>Nelrismar Araújo</t>
  </si>
  <si>
    <t>selmara.melina@teatroescola.org</t>
  </si>
  <si>
    <t>(71)98359-5307</t>
  </si>
  <si>
    <t>Rua São Paulo, 330</t>
  </si>
  <si>
    <t>Pituba</t>
  </si>
  <si>
    <t>Sala 01</t>
  </si>
  <si>
    <t>41830-181</t>
  </si>
  <si>
    <t>Adolescentes (12 aos 18 anos); Jovens (18 aos 24 anos)</t>
  </si>
  <si>
    <t>Moradores de Favelas; Povos Indígenas; Quilombola; Afrodescendentes; Pessoas com Deficiência</t>
  </si>
  <si>
    <t>Jovens negros periféricos de 14 a 24 anos.</t>
  </si>
  <si>
    <t>Parceria iniciativa privada</t>
  </si>
  <si>
    <t>100% iniciativa privada</t>
  </si>
  <si>
    <t>www.teatroescola.org.br</t>
  </si>
  <si>
    <t>https://instagram.com/teatroescola?utm_medium=copy_link</t>
  </si>
  <si>
    <t>https://drive.google.com/open?id=1JcS8ysuNvMpLWQGk798qGlJRGub8IjNk</t>
  </si>
  <si>
    <t>https://drive.google.com/open?id=196bPDlAFTO5M0mIh9KAumYdMrpDseHB1</t>
  </si>
  <si>
    <t>https://drive.google.com/open?id=140HYkpzJL_Lmy3X7-KSECETMxfqBk7ei</t>
  </si>
  <si>
    <t>Voz nas Comunidades</t>
  </si>
  <si>
    <t>Seguir</t>
  </si>
  <si>
    <t>Davidson Moreira Carvalho Silva</t>
  </si>
  <si>
    <t>voznascomunidades@gmail.com</t>
  </si>
  <si>
    <t>(85)99293-1104</t>
  </si>
  <si>
    <t>Rua professora Maria Clara</t>
  </si>
  <si>
    <t>Padre Andrade</t>
  </si>
  <si>
    <t>60341-542</t>
  </si>
  <si>
    <t>Esporte; Educação; Assistência Social; Cultura; Defesa de Direitos; Comunicação</t>
  </si>
  <si>
    <t>https://voznascomunidades.webnode.com/</t>
  </si>
  <si>
    <t>https://www.instagram.com/voznascomunidades/</t>
  </si>
  <si>
    <t>https://www.youtube.com/channel/UCpl_s16HT5XfG0Gksnwab4Q</t>
  </si>
  <si>
    <t>https://drive.google.com/open?id=1uDRXVkzgH33sBT52UImZ8qfEB6VmUrSN</t>
  </si>
  <si>
    <t>Jampa Invisível</t>
  </si>
  <si>
    <t>Stefany Miranda da Silva</t>
  </si>
  <si>
    <t>paraibainvisivel@gmail.com</t>
  </si>
  <si>
    <t>(83)99895-8336</t>
  </si>
  <si>
    <t>Rua. Severino Nunes Correia,  47</t>
  </si>
  <si>
    <t>Funcionários 3</t>
  </si>
  <si>
    <t>João Pessoa</t>
  </si>
  <si>
    <t>58079-127</t>
  </si>
  <si>
    <t>Educação; Assistência Social; Cultura; Empreendedorismo; Empoderamento Feminino; Negócios Sociais</t>
  </si>
  <si>
    <t>Moradores de Favelas; Pessoas em situação de rua; População LGBTQ+; Egressos sistema carcerário</t>
  </si>
  <si>
    <t>Foco principal no desenvolvimento de mulheres empreendedoras (manicures sapateiras catadoras vendedora de trufas etc)</t>
  </si>
  <si>
    <t>Negócio Social; Eventos/Ações para captação; Editais; Doações; Recursos próprios</t>
  </si>
  <si>
    <t>100% de todas marcadas na opção anterior</t>
  </si>
  <si>
    <t>https://www.instagram.com/jampainvisivel/</t>
  </si>
  <si>
    <t>https://www.facebook.com/MaisAmorPorFavorS2/</t>
  </si>
  <si>
    <t>https://www.youtube.com/channel/UCkW0oN9FumNd5OOyb8dFymw</t>
  </si>
  <si>
    <t>Angu das Artes</t>
  </si>
  <si>
    <t>Angelica Nobre de Lima Silva</t>
  </si>
  <si>
    <t>angudasartes@gmail.com</t>
  </si>
  <si>
    <t>(81)98847-4044</t>
  </si>
  <si>
    <t>Rua Altino</t>
  </si>
  <si>
    <t>Casa Amarela</t>
  </si>
  <si>
    <t>Alto Santa Isabel</t>
  </si>
  <si>
    <t>52070-000</t>
  </si>
  <si>
    <t>Empreendedorismo; Meio ambiente; Empoderamento Feminino; Desenvolvimento comunitário</t>
  </si>
  <si>
    <t>Crianças (6 a 12 anos); Jovens (18 aos 24 anos); Adultos; Idosos (60 anos ou mais)</t>
  </si>
  <si>
    <t>https://instagram.com/angudasartes?utm_medium=copy_link</t>
  </si>
  <si>
    <t>https://www.facebook.com/angudasartes</t>
  </si>
  <si>
    <t>https://youtu.be/p0-zoZ7kVug</t>
  </si>
  <si>
    <t>https://drive.google.com/open?id=1MJwqBfhBxWsgvcNhvtkFrlkQGiyprq8I</t>
  </si>
  <si>
    <t>Associação Educacional Esportiva e Social Voz Ativa</t>
  </si>
  <si>
    <t>AEESVA</t>
  </si>
  <si>
    <t>27.740.250/0001-14</t>
  </si>
  <si>
    <t>Lucas Alencar Martins</t>
  </si>
  <si>
    <t>girlenobarbosa@bol.com.br</t>
  </si>
  <si>
    <t>(92)98206-9585</t>
  </si>
  <si>
    <t>Rua 175 77</t>
  </si>
  <si>
    <t>Cidade Nova 3- Novo Aleixo</t>
  </si>
  <si>
    <t>Cidade Nova 3 - Núcleo 15</t>
  </si>
  <si>
    <t>69098-060</t>
  </si>
  <si>
    <t>Esporte; Educação; Empregabilidade; Assistência Social; Cultura; Qualificação Profissional; Meio ambiente; Assistência Psicológica</t>
  </si>
  <si>
    <t>Moradores de Favelas; Pessoas em situação de rua; População LGBTQ+; Pessoas com Deficiência; Imigrantes; Ribeirinhos</t>
  </si>
  <si>
    <t>Negócio Social; Editais; Doações</t>
  </si>
  <si>
    <t>70%  EDITAL 30% DOAÇÃO</t>
  </si>
  <si>
    <t>aeva.com.br</t>
  </si>
  <si>
    <t>http://aeva.com.br/</t>
  </si>
  <si>
    <t>https://www.facebook.com/tmjvozativa</t>
  </si>
  <si>
    <t>https://www.facebook.com/tmjvozativa/?ref=pages_you_manage</t>
  </si>
  <si>
    <t>https://drive.google.com/open?id=1pxvHWNCGX5SOOaONnXBYSj6oG_Amh0L-</t>
  </si>
  <si>
    <t>https://drive.google.com/open?id=1VHWgmYzsSWYJ5fwCTGNTwRXD9_E0ZjH3</t>
  </si>
  <si>
    <t>https://drive.google.com/open?id=1fmCRkO7onZ91JuzILB5uibLc_8lL-cZn</t>
  </si>
  <si>
    <t>CENTRAL DE APOIO DOS AMIGOS SOLIDARIOS</t>
  </si>
  <si>
    <t>LEILA DA SILVA CAMPOS</t>
  </si>
  <si>
    <t>caasamigosolidario@gmail.com</t>
  </si>
  <si>
    <t>(71)98819-3940</t>
  </si>
  <si>
    <t>Rua do Paraíso</t>
  </si>
  <si>
    <t>Lobato</t>
  </si>
  <si>
    <t>Escola Larúzia Valença</t>
  </si>
  <si>
    <t>40470-110</t>
  </si>
  <si>
    <t>Esporte; Educação; Empregabilidade; Assistência Social; Cultura; Qualificação Profissional; Empreendedorismo; Saúde; Meio ambiente; Empoderamento Feminino; Apoio à gestão de organizações de Terceiro Setor; Defesa de Direitos; Animais</t>
  </si>
  <si>
    <t>Moradores de Favelas; Pessoas em situação de rua; População LGBTQ+; Povos Indígenas; Quilombola; Afrodescendentes; Dependentes Químicos; Pessoas com Deficiência; Imigrantes; Refugiados</t>
  </si>
  <si>
    <t>PIRAJÁ</t>
  </si>
  <si>
    <t>https://caas-centraldeapoiodosamigossolidrios.blogspot.com/</t>
  </si>
  <si>
    <t>https://www.instagram.com/caasamigo/</t>
  </si>
  <si>
    <t>https://www.facebook.com/centraldeapoiodosamigossolidarios/</t>
  </si>
  <si>
    <t>INSTITUTO BRASILEIRO DE EXPEDIÇÕES SOCIAIS</t>
  </si>
  <si>
    <t>29.868.714/0001-06</t>
  </si>
  <si>
    <t>VICTOR HUGO DE OLIVEIRA BIGOLI</t>
  </si>
  <si>
    <t>contato@ibes.org.br</t>
  </si>
  <si>
    <t>(11)99910-8999</t>
  </si>
  <si>
    <t>Rua Major Antonino, 182</t>
  </si>
  <si>
    <t>OLIMPICO</t>
  </si>
  <si>
    <t>Euclides da Cunha</t>
  </si>
  <si>
    <t>48500-000</t>
  </si>
  <si>
    <t>Educação; Empregabilidade; Assistência Social; Cultura; Qualificação Profissional; Empreendedorismo; Saúde; Meio ambiente; Empoderamento Feminino; Negócios Sociais; Defesa de Direitos; Comunicação; Assistência Psicológica; Desenvolvimento comunitário</t>
  </si>
  <si>
    <t>Povos Indígenas; Quilombola; Afrodescendentes; Imigrantes; Refugiados; Ribeirinhos; Comunidade rural; Outros</t>
  </si>
  <si>
    <t>TRABALHAMOS COM COMUNIDADES TRADICIONAIS: INDIGENAS QUILOMBOLAS SERTANEJOS E RIBEIRINOS</t>
  </si>
  <si>
    <t>Negócio Social; Eventos/Ações para captação; Plataforma doação online - Pessoa Física; Parceria iniciativa privada; Editais; Doações</t>
  </si>
  <si>
    <t>40% Negocios socias</t>
  </si>
  <si>
    <t>www.ibes.org.br</t>
  </si>
  <si>
    <t>https://www.instagram.com/projetocanudos/</t>
  </si>
  <si>
    <t>www.facebook.com/ProjetoCanudos</t>
  </si>
  <si>
    <t>https://drive.google.com/open?id=1qIn06n7dxrBxPHjjC7Mjq58D4-0xak-t</t>
  </si>
  <si>
    <t>https://drive.google.com/open?id=1sn4acylPPaf-MKOpIZleJAXzxSGEJONh</t>
  </si>
  <si>
    <t>Instituto Emprega+</t>
  </si>
  <si>
    <t>45.385.406/0001-78</t>
  </si>
  <si>
    <t>Érica Paula do Vale Ferreira</t>
  </si>
  <si>
    <t>empregamaisfortaleza@gmail.com</t>
  </si>
  <si>
    <t>(85)98215-0189</t>
  </si>
  <si>
    <t>Manuel Sátiro</t>
  </si>
  <si>
    <t>B</t>
  </si>
  <si>
    <t>60866-490</t>
  </si>
  <si>
    <t>Educação; Empregabilidade; Assistência Social</t>
  </si>
  <si>
    <t>Atuando em parceria com diversas entidades não governamentais atingimos mais comunidades do que as informadas colocamos os bairros de atuação mas em um bairro pode existir mais de uma comunidade atingida.</t>
  </si>
  <si>
    <t>10% Doações - 90% Recursos Próprios</t>
  </si>
  <si>
    <t>https://empregamais.org/</t>
  </si>
  <si>
    <t>https://www.instagram.com/empregamais/</t>
  </si>
  <si>
    <t>Associação Amigos de Gegê  fos Moradores da Gamboa de Baixo</t>
  </si>
  <si>
    <t>Ana Cristina da Silva Caminha</t>
  </si>
  <si>
    <t>associacaogamboadebaixo@gmail.com</t>
  </si>
  <si>
    <t>Rua Barbosa Leal</t>
  </si>
  <si>
    <t>Gamboa de Baixo</t>
  </si>
  <si>
    <t>24A</t>
  </si>
  <si>
    <t>Gamboa de Baixo-Solar do Unhão-Vila Coração  de Maria-Ladeira da Preguiça-Ladeira da Conceição  da Praia---</t>
  </si>
  <si>
    <t>Centro comunitário Mário Andrade</t>
  </si>
  <si>
    <t>Joelma Andrade de Lima</t>
  </si>
  <si>
    <t>centrocomunitariomarioandrade@gmail.com</t>
  </si>
  <si>
    <t>(81)98666-4650</t>
  </si>
  <si>
    <t>Rua professor José brasileiro vila Nova</t>
  </si>
  <si>
    <t>IBURA</t>
  </si>
  <si>
    <t>51220-230</t>
  </si>
  <si>
    <t>Educação; Assistência Social; Empreendedorismo; Empoderamento Feminino; Defesa de Direitos; Comunicação; Desenvolvimento comunitário</t>
  </si>
  <si>
    <t>https://instagram.com/centrocomunitariomario?utm_medium=copy_link</t>
  </si>
  <si>
    <t>Associação Projeto Maltrapilho</t>
  </si>
  <si>
    <t>32.684.879/0001-12</t>
  </si>
  <si>
    <t>João Marcos Valvassori Ferreira</t>
  </si>
  <si>
    <t>administracao@intitutomaltrapilho.com</t>
  </si>
  <si>
    <t>(27)99856-7393</t>
  </si>
  <si>
    <t>ayrton sena</t>
  </si>
  <si>
    <t>JD Botânico/Nelson Ramos</t>
  </si>
  <si>
    <t>Esquina  com Estrada Mun de caçaroca</t>
  </si>
  <si>
    <t>29142-617</t>
  </si>
  <si>
    <t>Esporte; Educação; Empregabilidade; Assistência Social; Cultura; Qualificação Profissional; Empreendedorismo; Saúde; Empoderamento Feminino; Negócios Sociais; Apoio à gestão de organizações de Terceiro Setor; Defesa de Direitos; Desenvolvimento comunitário</t>
  </si>
  <si>
    <t>Moradores de Favelas; Pessoas em situação de rua; Dependentes Químicos; Outros</t>
  </si>
  <si>
    <t>São um conjunto total de 24 pequenos bairros formando a região 7 de Cariacica</t>
  </si>
  <si>
    <t>Negócio Social; Doações; Recursos próprios</t>
  </si>
  <si>
    <t>nao</t>
  </si>
  <si>
    <t>www.facebook.com/projetomaltrapilho</t>
  </si>
  <si>
    <t>instagram.com/institutomaltrapilho</t>
  </si>
  <si>
    <t>https://drive.google.com/open?id=1S9pBvCe2jEQ5jm0bT5dd2cfyZmdZ3926</t>
  </si>
  <si>
    <t>https://drive.google.com/open?id=1i2Jm_8afNRBioop6m5NGFabSfjd9pXBe</t>
  </si>
  <si>
    <t>Boa safra team</t>
  </si>
  <si>
    <t>Diogo</t>
  </si>
  <si>
    <t>bandockdiogo@gmail.com</t>
  </si>
  <si>
    <t>(21)99030-0585</t>
  </si>
  <si>
    <t>Quadra do fogueteiro sem número</t>
  </si>
  <si>
    <t>Rio comprido</t>
  </si>
  <si>
    <t>Quadra do Fogueteiro travessa Marrocos</t>
  </si>
  <si>
    <t>20251-060</t>
  </si>
  <si>
    <t>https://instagram.com/bst_2008?utm_medium=copy_link</t>
  </si>
  <si>
    <t>COLMEIA MARICA</t>
  </si>
  <si>
    <t>42.751.835/0001-23</t>
  </si>
  <si>
    <t>Ana Gleice de oliveira Freitas</t>
  </si>
  <si>
    <t>colmeiamarica@gmail.com</t>
  </si>
  <si>
    <t>(21)96609-8469</t>
  </si>
  <si>
    <t>R Prof Cardoso de Menezes 120</t>
  </si>
  <si>
    <t>Itaipuaçu</t>
  </si>
  <si>
    <t>Maricá</t>
  </si>
  <si>
    <t>24935-425</t>
  </si>
  <si>
    <t>Empregabilidade; Assistência Social; Qualificação Profissional; Empreendedorismo; Empoderamento Feminino; Assistência Psicológica; Desenvolvimento comunitário</t>
  </si>
  <si>
    <t>Crianças pequenas (4 anos a 5 anos e 11 meses); Crianças (6 a 12 anos); Jovens (18 aos 24 anos); Adultos; Idosos (60 anos ou mais)</t>
  </si>
  <si>
    <t>Afrodescendentes; Pessoas com Deficiência</t>
  </si>
  <si>
    <t>Eventos/Ações para captação; Recursos próprios</t>
  </si>
  <si>
    <t>30% recursos próprios 70% eventos</t>
  </si>
  <si>
    <t>https://instagram.com/colmeiamarica?utm_medium=copy_link</t>
  </si>
  <si>
    <t>Tererê Kids Project</t>
  </si>
  <si>
    <t>44.625.908/0001-66</t>
  </si>
  <si>
    <t>Fabrício da Silva Tavares da Conceição</t>
  </si>
  <si>
    <t>tererekidsproject@gmail.com</t>
  </si>
  <si>
    <t>(21)96411-1782</t>
  </si>
  <si>
    <t>Alberto de Campos 12</t>
  </si>
  <si>
    <t>Academia Fernando Tererê</t>
  </si>
  <si>
    <t>Esporte; Educação; Assistência Social; Cultura</t>
  </si>
  <si>
    <t>70% doações/10%recursos próprios/10%eventos/10%plataforma on line</t>
  </si>
  <si>
    <t>https://pt.tererekidsproject.org</t>
  </si>
  <si>
    <t>https://instagram.com/tererekidsproject?utm_medium=copy_link</t>
  </si>
  <si>
    <t>https://www.facebook.com/TerereKidsProject501c/</t>
  </si>
  <si>
    <t>https://drive.google.com/open?id=1l8ypRMJO6wH9acuCCzzoJUlf_uuu0sas</t>
  </si>
  <si>
    <t>Associação de Cultura e Artes Casa de Bambas</t>
  </si>
  <si>
    <t>37.648.198/0001-24</t>
  </si>
  <si>
    <t>José Romildo dos Santos</t>
  </si>
  <si>
    <t>aca.casadebambas@gmail.com</t>
  </si>
  <si>
    <t>(21)99591-5803</t>
  </si>
  <si>
    <t>Rua Clio</t>
  </si>
  <si>
    <t>21010-170</t>
  </si>
  <si>
    <t>Cultura</t>
  </si>
  <si>
    <t>Moradores de Favelas; Pessoas em situação de rua</t>
  </si>
  <si>
    <t>Atuamos com crianças e adolescentes em vulnerabilidade social priorizando àquelas que estão mais expostas ao trafico.</t>
  </si>
  <si>
    <t>50% doações / 25% recursos próprios / 25% editais</t>
  </si>
  <si>
    <t>https://acasadebambas.org</t>
  </si>
  <si>
    <t>https://instagram.com/acasadebambas</t>
  </si>
  <si>
    <t>https://www.facebook.com/ACA.CASADEBAMBAS</t>
  </si>
  <si>
    <t>https://www.youtube.com/channel/UC5qhmTTU_4O7DNpc0QxRPCg</t>
  </si>
  <si>
    <t>https://drive.google.com/open?id=1SzlEygbB37msZEejBZvFuudOiStUnaIN</t>
  </si>
  <si>
    <t>https://drive.google.com/open?id=1R93Ll1IId1AVXf49p5bdSskWX6nhzoQb</t>
  </si>
  <si>
    <t>https://drive.google.com/open?id=1A8qiPrQWM4eIHFGQvJP-cAiOhf-SotI4</t>
  </si>
  <si>
    <t>Instituto Gerando Sonhos</t>
  </si>
  <si>
    <t>40.030.080/0001-42</t>
  </si>
  <si>
    <t>Peterson Pereira Bezerra</t>
  </si>
  <si>
    <t>institutogerandosonhos@gmail.com</t>
  </si>
  <si>
    <t>(21)99286-0104</t>
  </si>
  <si>
    <t>Bom Sossego, 382</t>
  </si>
  <si>
    <t>Padre Miguel</t>
  </si>
  <si>
    <t>Em Cima da Associação de Moradores</t>
  </si>
  <si>
    <t>21870-390</t>
  </si>
  <si>
    <t>Esporte; Educação; Cultura</t>
  </si>
  <si>
    <t>Atendemos a Pessoas em situação de Rua com distribuição de quentinhas roupas e encaminhamentos para tirar documentação</t>
  </si>
  <si>
    <t>www.naotem.com.br</t>
  </si>
  <si>
    <t>https://www.instagram.com/p/CbiMXoAL9qN/?utm_medium=copy_link</t>
  </si>
  <si>
    <t>https://drive.google.com/open?id=1DZyt1owVvYnO7BmFykG4epSty6slDmHO</t>
  </si>
  <si>
    <t>https://drive.google.com/open?id=11b_vl7DCp1E73ABYXmzVL_-hl2ApC7b0</t>
  </si>
  <si>
    <t>DOA??AÇÃO</t>
  </si>
  <si>
    <t>Amanda Marques Machado de Oliveira</t>
  </si>
  <si>
    <t>(21)99836-7515</t>
  </si>
  <si>
    <t>Rua Joaquim Méier</t>
  </si>
  <si>
    <t>Méier</t>
  </si>
  <si>
    <t>Subsolo</t>
  </si>
  <si>
    <t>20725-050</t>
  </si>
  <si>
    <t>Bebês (0 a 1 ano e 6 meses); Crianças bem pequenas (1 ano e 7 meses até 3 anos e 11 meses); Crianças pequenas (4 anos a 5 anos e 11 meses); Crianças (6 a 12 anos); Adolescentes (12 aos 18 anos)</t>
  </si>
  <si>
    <t>Não possuo</t>
  </si>
  <si>
    <t>https://instagram.com/doa.acao?utm_medium=copy_link</t>
  </si>
  <si>
    <t>Instituto Floriano Peçanha dos Santos</t>
  </si>
  <si>
    <t>24.040.023/0001-98</t>
  </si>
  <si>
    <t>Cesar Augusto de Siervi</t>
  </si>
  <si>
    <t>adm@ifps.org.br</t>
  </si>
  <si>
    <t>(21)4111-2782 ou (21)34231630</t>
  </si>
  <si>
    <t>Rua da Quitanda</t>
  </si>
  <si>
    <t>Engenho Novo</t>
  </si>
  <si>
    <t>20011-030</t>
  </si>
  <si>
    <t>90% Termo de Cooperação / 10% Doação Pessoas Física e Jurídica</t>
  </si>
  <si>
    <t>www.ifps.org.br</t>
  </si>
  <si>
    <t>https://www.instagram.com/ifps.cslf/</t>
  </si>
  <si>
    <t>https://www.facebook.com/institutoflorianopecanhadossantos</t>
  </si>
  <si>
    <t>https://www.youtube.com/c/InstitutoFlorianoPe%C3%A7anhadosSantos</t>
  </si>
  <si>
    <t>https://drive.google.com/open?id=1Jv169PBqow1ZE_xdxaBQcOFEqRKBbI0s</t>
  </si>
  <si>
    <t>https://drive.google.com/open?id=12Ljfge1LdFzn6jfWkyiaNMTzd-z7jXzx</t>
  </si>
  <si>
    <t>https://drive.google.com/open?id=1A-JUvOKI-8zfbT9T9l-PSFss-wO9uDK2</t>
  </si>
  <si>
    <t>Centro Comunitário Manoel Vitorino</t>
  </si>
  <si>
    <t>Evandro divino Machado</t>
  </si>
  <si>
    <t>contato@fazendoarte.org.br</t>
  </si>
  <si>
    <t>rua Aureliano Portugal</t>
  </si>
  <si>
    <t>Rio Comprido</t>
  </si>
  <si>
    <t>fundos</t>
  </si>
  <si>
    <t>Matinha-Pantanal-Escolinha-Rodo-Sumare-Paula Ramos-117-</t>
  </si>
  <si>
    <t>Atendemos também pessoas de outros lugares devido as oficinas de empoderamento feminino tal como oficina de trança alto maquiagem designer de sobrancelha</t>
  </si>
  <si>
    <t>www.fazendoarte.org.br</t>
  </si>
  <si>
    <t>https://www.instagram.com/ongfazendoarte/</t>
  </si>
  <si>
    <t>https://www.facebook.com/fazendo.arte1/</t>
  </si>
  <si>
    <t>https://drive.google.com/open?id=1_AqlSWG7B75w3y_wI0VKGgk3eLLO-P2m</t>
  </si>
  <si>
    <t>https://drive.google.com/open?id=1yuK6X-wlG7cLRZpP78R9SDRMKrWOgFuy</t>
  </si>
  <si>
    <t>https://drive.google.com/open?id=1r48r53b7JuY6MPL2sLqzeutz0Hg2_uhX</t>
  </si>
  <si>
    <t>Associação Amor e Vida</t>
  </si>
  <si>
    <t>68.720.168/0001-05</t>
  </si>
  <si>
    <t>Izaias de Sousa Maciel</t>
  </si>
  <si>
    <t>contato@projetoamorevida.org</t>
  </si>
  <si>
    <t>(21)3156-4506</t>
  </si>
  <si>
    <t>Estr de Sepetiba</t>
  </si>
  <si>
    <t>23520-660</t>
  </si>
  <si>
    <t>Educação; Assistência Social; Defesa de Direitos; Desenvolvimento comunitário; Outro(s)</t>
  </si>
  <si>
    <t>Vulnerabilidade social</t>
  </si>
  <si>
    <t>@projeto.amorevida</t>
  </si>
  <si>
    <t>https://www.facebook.com/aamorevida</t>
  </si>
  <si>
    <t>https://drive.google.com/open?id=1dgw9jhwT7s__ycaR2xCopjvH7QU1Uxxj</t>
  </si>
  <si>
    <t>https://drive.google.com/open?id=1pbiL8-HF2Xiof_YBeRgu0EcQU7iaHdEX</t>
  </si>
  <si>
    <t>https://drive.google.com/open?id=1B5H9ovd0sVv4-lkB8EsxJN0CenkJ7OCi</t>
  </si>
  <si>
    <t>instituto Quadro de Esperança</t>
  </si>
  <si>
    <t>Valquiria Santos da Silva Matos</t>
  </si>
  <si>
    <t>institutoquadroesperanca@gmail.com</t>
  </si>
  <si>
    <t>(27)99687-8849</t>
  </si>
  <si>
    <t>rua Lucidato Vieira Falcão</t>
  </si>
  <si>
    <t>Cabral</t>
  </si>
  <si>
    <t>vitória</t>
  </si>
  <si>
    <t>29027-160</t>
  </si>
  <si>
    <t>Assistência Social; Cultura; Qualificação Profissional; Empreendedorismo; Meio ambiente; Empoderamento Feminino</t>
  </si>
  <si>
    <t>https://instagram.com/instituto_quadro_de_esperanca?r=nametag</t>
  </si>
  <si>
    <t>https://www.facebook.com/quadro.deesperanca/</t>
  </si>
  <si>
    <t>https://drive.google.com/open?id=1GhiM7vJd_TSAcZ0oRxnpECsZ3a_Cp_aN</t>
  </si>
  <si>
    <t>NEAC - Núcleo Especial de Atenção à Criança</t>
  </si>
  <si>
    <t>01.721.077/0001-13</t>
  </si>
  <si>
    <t>Abel Colberth de Souza Gomes</t>
  </si>
  <si>
    <t>abelcolberth@gmail.com</t>
  </si>
  <si>
    <t>(21)2394-0635</t>
  </si>
  <si>
    <t>Estrada Iaraquã</t>
  </si>
  <si>
    <t>Rua Nossa Senhora da Aparecia 110</t>
  </si>
  <si>
    <t>23047-160</t>
  </si>
  <si>
    <t>Esporte; Educação; Empregabilidade; Assistência Social; Cultura; Qualificação Profissional; Empreendedorismo; Meio ambiente; Empoderamento Feminino; Negócios Sociais; Defesa de Direitos; Assistência Psicológica; Desenvolvimento comunitário</t>
  </si>
  <si>
    <t>Moradores de Favelas; Afrodescendentes</t>
  </si>
  <si>
    <t>São pessoas em situação de extrema vulnerabilidade social passando pela insegurança alimentar e até a fome. Muitos sobrevivem apenas com benefícios sociais como o Bolsa-Família.</t>
  </si>
  <si>
    <t>Negócio Social; Convênio Público; Eventos/Ações para captação; Plataforma doação online - Pessoa Física; Parceria iniciativa privada; Editais; Doações; FIA; Recursos próprios</t>
  </si>
  <si>
    <t>17% emenda / 40% FIA / 9% Centauro / 34% Instituto Phi</t>
  </si>
  <si>
    <t>ongneac.org.br</t>
  </si>
  <si>
    <t>https://instagram.com/ong.neac?utm_medium=copy_link</t>
  </si>
  <si>
    <t>https://www.facebook.com/NEAC.ONG/</t>
  </si>
  <si>
    <t>https://youtube.com/channel/UCmPesILfT5mVUgHHrpD3nfQ</t>
  </si>
  <si>
    <t>https://drive.google.com/open?id=1Aseb0K4g1aeOr5KV-aETokQsMlsEjnio</t>
  </si>
  <si>
    <t>https://drive.google.com/open?id=1uJfjrcl1-iDYR5fExQv8zCWObUC7MRx7</t>
  </si>
  <si>
    <t>Instituto verde Criando vidas</t>
  </si>
  <si>
    <t>09.280.740/0001-01</t>
  </si>
  <si>
    <t>Amanda Pereira da Costa</t>
  </si>
  <si>
    <t>institutoverdeliberdance@gmail.com</t>
  </si>
  <si>
    <t>(21)99167-5677</t>
  </si>
  <si>
    <t>Ria mario ferreira</t>
  </si>
  <si>
    <t>Engenho da rainha</t>
  </si>
  <si>
    <t>20761-260</t>
  </si>
  <si>
    <t>Esporte; Educação; Cultura; Comunicação; Outro(s)</t>
  </si>
  <si>
    <t>Eventos/Ações para captação; Doações</t>
  </si>
  <si>
    <t>Institutocriandovidas.ong.br</t>
  </si>
  <si>
    <t>https://instagram.com/stories/instituto.v.c.vidas/2729295089252041077?utm_medium=share_sheet</t>
  </si>
  <si>
    <t>https://drive.google.com/open?id=1K_236ZaMer2_Qe6sTNHQCoYrj6_Nbw79</t>
  </si>
  <si>
    <t>https://drive.google.com/open?id=1ZlRjzcu1hCpNWcUtTKYn5thmqDDTBQKf</t>
  </si>
  <si>
    <t>Instituto emarca de pesquisa e educacao professional</t>
  </si>
  <si>
    <t>Eliana mara carnavos</t>
  </si>
  <si>
    <t>eliana.emarca@gmail.com</t>
  </si>
  <si>
    <t>Praca carmela dutra</t>
  </si>
  <si>
    <t>Barreira do vasco</t>
  </si>
  <si>
    <t>20921-240</t>
  </si>
  <si>
    <t>Barreira do vasco-Tuitui-Ugauga-Benfica-Arara---</t>
  </si>
  <si>
    <t>institutoemarca.com.br</t>
  </si>
  <si>
    <t>instagram.com/eliana.emarca</t>
  </si>
  <si>
    <t>https://drive.google.com/open?id=19-vKisNr8wnv_KMI3_eFeeSN1er-8reE</t>
  </si>
  <si>
    <t>https://drive.google.com/open?id=1aAePV8H0yLhUenR9GC23v6kgaP8Lj_Wr</t>
  </si>
  <si>
    <t>Instituto Rosa Reviver</t>
  </si>
  <si>
    <t>41.370.496/0001-72</t>
  </si>
  <si>
    <t>Sergio Costa</t>
  </si>
  <si>
    <t>institutorosairfc@gmail.com</t>
  </si>
  <si>
    <t>(21)98478-7939</t>
  </si>
  <si>
    <t>Rua teixeira Alves lt 17 Q 7</t>
  </si>
  <si>
    <t>Pilar</t>
  </si>
  <si>
    <t>Lt 17 qd 07</t>
  </si>
  <si>
    <t>25233-480</t>
  </si>
  <si>
    <t>Educação; Assistência Social; Cultura; Qualificação Profissional; Empreendedorismo</t>
  </si>
  <si>
    <t>Moradores de Favelas; Pessoas com Deficiência; Comunidade rural</t>
  </si>
  <si>
    <t>Mulheres</t>
  </si>
  <si>
    <t>https://instagram.com/institutorosareviver?utm_medium=copy_link.</t>
  </si>
  <si>
    <t>https://www.facebook.com/pg/renegadofutebolclub/community/</t>
  </si>
  <si>
    <t>https://drive.google.com/open?id=13ZAvaxauev8U7AdPiHbLTjJHXGuirLeA</t>
  </si>
  <si>
    <t>https://drive.google.com/open?id=1iaFr1wrcvncyuDCXT8nq0bvlgQtiNpZi</t>
  </si>
  <si>
    <t>Instituto Mover Vidas</t>
  </si>
  <si>
    <t>43.547.890/0001-69</t>
  </si>
  <si>
    <t>Amanda Santos Almeida</t>
  </si>
  <si>
    <t>instituto@movervidas.org</t>
  </si>
  <si>
    <t>(21)97686-5868</t>
  </si>
  <si>
    <t>Rua Ivan de Azevedo</t>
  </si>
  <si>
    <t>Engenheiro Pedreira</t>
  </si>
  <si>
    <t>Japeri</t>
  </si>
  <si>
    <t>Casa 2 - Jardim Transmontano</t>
  </si>
  <si>
    <t>26453-023</t>
  </si>
  <si>
    <t>Esporte; Educação; Assistência Social; Empoderamento Feminino; Desenvolvimento comunitário</t>
  </si>
  <si>
    <t>https://instagram.com/institutomovervidas?utm_medium=copy_link</t>
  </si>
  <si>
    <t>https://www.facebook.com/projetomovervidas</t>
  </si>
  <si>
    <t>https://drive.google.com/open?id=1L8nTZaUPMc27pSmqOnvUjdAMZ2MnMiZC</t>
  </si>
  <si>
    <t>05.283.553/0001-12</t>
  </si>
  <si>
    <t>Lidia Rangel dos Santos Muller</t>
  </si>
  <si>
    <t>projetoefraim@bol.com.br</t>
  </si>
  <si>
    <t>(24)98120-1307</t>
  </si>
  <si>
    <t>Avenida união 96 c/1</t>
  </si>
  <si>
    <t>Santa Terezinha</t>
  </si>
  <si>
    <t>C 1</t>
  </si>
  <si>
    <t>26554-000</t>
  </si>
  <si>
    <t>Esporte; Educação; Cultura; Empoderamento Feminino; Desenvolvimento comunitário</t>
  </si>
  <si>
    <t>Dependentes Químicos</t>
  </si>
  <si>
    <t>Doações; Lei Federal do Esporte</t>
  </si>
  <si>
    <t>www.projetoefraim.com.br</t>
  </si>
  <si>
    <t>https://instagram.com/lidiaprojetoefraim?utm_medium=copy_link</t>
  </si>
  <si>
    <t>https://drive.google.com/open?id=1H42Nq_vltTuD6nGF5kkeXkcLKUfIMQqN</t>
  </si>
  <si>
    <t>https://drive.google.com/open?id=1u2_bzWgOVeUIM3V7X6qIEyW6KTjXiRZl</t>
  </si>
  <si>
    <t>https://drive.google.com/open?id=1jHJsbNyr0SCLTTImmDKwpdRjk_UyGWNH</t>
  </si>
  <si>
    <t>Voluntários Fazendo Criança Sorrir</t>
  </si>
  <si>
    <t>07.194.544/0001-80</t>
  </si>
  <si>
    <t>Ana Paula da Cruz</t>
  </si>
  <si>
    <t>ongvoluntario@yahoo.com.br</t>
  </si>
  <si>
    <t>(21)3366-0421</t>
  </si>
  <si>
    <t>Rua: Budapeste</t>
  </si>
  <si>
    <t>Freguesia- Ilha do Governador</t>
  </si>
  <si>
    <t>Casa 01</t>
  </si>
  <si>
    <t>21911-300</t>
  </si>
  <si>
    <t>Esporte; Educação; Assistência Social; Cultura; Outro(s)</t>
  </si>
  <si>
    <t>Moradores de Favelas; Pessoas com Deficiência</t>
  </si>
  <si>
    <t>https://instagram.com/casa.sorriso.da.crianca?utm_medium=copy_link</t>
  </si>
  <si>
    <t>https://www.facebook.com/Voluntários-Fazendo-Criança-Sorrir-169003676525488/</t>
  </si>
  <si>
    <t>https://drive.google.com/open?id=1Nw95liPQd__CvRfyH3rDqkPOQ2QBNUrF</t>
  </si>
  <si>
    <t>https://drive.google.com/open?id=10mG0wUDMlGWLGb1nekGQHMvNsx4QfINw</t>
  </si>
  <si>
    <t>Fundação Beneficente Evangélica Jesus de Nazaré</t>
  </si>
  <si>
    <t>03.552.801/0001-58</t>
  </si>
  <si>
    <t>CLAUDIA ABREU BRANDÃO SANTOS</t>
  </si>
  <si>
    <t>daienematteus@gmail.com</t>
  </si>
  <si>
    <t>(21)3666-1076</t>
  </si>
  <si>
    <t>Nova Campinas</t>
  </si>
  <si>
    <t>DUQUE DE CAXIAS</t>
  </si>
  <si>
    <t>Área 2</t>
  </si>
  <si>
    <t>25268-060</t>
  </si>
  <si>
    <t>Crianças bem pequenas (1 ano e 7 meses até 3 anos e 11 meses); Crianças pequenas (4 anos a 5 anos e 11 meses); Crianças (6 a 12 anos); Adultos; Idosos (60 anos ou mais)</t>
  </si>
  <si>
    <t>Foco na Família</t>
  </si>
  <si>
    <t>Convênio Público; Eventos/Ações para captação; Parceria iniciativa privada; Doações</t>
  </si>
  <si>
    <t>40% DOAÇÕES, 30% CONVENIO PUBLICO, 20% EVENTOS/BAZAR E 10% INICIATIVA PRIVADA</t>
  </si>
  <si>
    <t>@f.jesusdenazare</t>
  </si>
  <si>
    <t>facebook.com/fundacaojesusdenazare</t>
  </si>
  <si>
    <t>https://drive.google.com/open?id=1qclr2GqihFyVb6sRuDVpKggRmCAmPLi-</t>
  </si>
  <si>
    <t>https://drive.google.com/open?id=1yI5UO6hXoddgJRahCX2evYIabOjSGda_</t>
  </si>
  <si>
    <t>https://drive.google.com/open?id=19_HLJdZb-emqTQmA_dcvRH3EfxS604UN</t>
  </si>
  <si>
    <t>M.A.L.O.C.A.( Movimento Articulado Libertário Organizado em prol da Cidadania e do Apoio Social)</t>
  </si>
  <si>
    <t>Ana Aparecida Felix de Almeida</t>
  </si>
  <si>
    <t>malocadacidadania@gmail.com</t>
  </si>
  <si>
    <t>(21)98346-3724</t>
  </si>
  <si>
    <t>Estrada José Adamian</t>
  </si>
  <si>
    <t>Vila Santo Antônio</t>
  </si>
  <si>
    <t>Lote 10 Quadra 11</t>
  </si>
  <si>
    <t>25041-560</t>
  </si>
  <si>
    <t>Educação; Assistência Social; Cultura; Saúde; Empoderamento Feminino</t>
  </si>
  <si>
    <t>https://instagram.com/malocadacidadania</t>
  </si>
  <si>
    <t>https://www.facebook.com/malocadacidadania/</t>
  </si>
  <si>
    <t>Grupo Central Cultura Urbana</t>
  </si>
  <si>
    <t>14.434.311/0001-73</t>
  </si>
  <si>
    <t>Fabrício Silvestre de Oliveira</t>
  </si>
  <si>
    <t>contato@grupoculturaurbana.org</t>
  </si>
  <si>
    <t>(21)2135-5517</t>
  </si>
  <si>
    <t>Rua Godofredo Viana, 64</t>
  </si>
  <si>
    <t>Cine Teatro</t>
  </si>
  <si>
    <t>22730-020</t>
  </si>
  <si>
    <t>Parceria iniciativa privada; Lei Municipal da Cultura; Lei Federal do Esporte</t>
  </si>
  <si>
    <t>Parceria privados (Itaú): 40%, Lei Municipal de Incentivo à Cultura: 30% Lei Federal de Incentivo ao Esporte: 30%</t>
  </si>
  <si>
    <t>www.grupoculturaurbana.org</t>
  </si>
  <si>
    <t>www.instagram.com/grupoculturaurbana</t>
  </si>
  <si>
    <t>www.facebook.com/grupoculturaurbanaoficial</t>
  </si>
  <si>
    <t>https://www.youtube.com/channel/UCiqXjKMGGl0XrEjZvphKcFA</t>
  </si>
  <si>
    <t>https://drive.google.com/open?id=1Kry9cNvibHnCeJmuhavrww3Jcnz7QNB8</t>
  </si>
  <si>
    <t>https://drive.google.com/open?id=1j8BOeyZVbp__kM4ZrmfnTR0o-e5Xfkj6</t>
  </si>
  <si>
    <t>https://drive.google.com/open?id=14F9q8rwCa-7WOTGUOkJ8-tooZ4Z0Ovr0</t>
  </si>
  <si>
    <t>Centro Social Comunitário Favela em Desenvolvimento</t>
  </si>
  <si>
    <t>42.251.862/0001-37</t>
  </si>
  <si>
    <t>José Artur Junior</t>
  </si>
  <si>
    <t>favelaemdesenvolvimento@gmail.com</t>
  </si>
  <si>
    <t>(21)99749-4627</t>
  </si>
  <si>
    <t>Praça Machado Costa</t>
  </si>
  <si>
    <t>Alto da Boa Vista</t>
  </si>
  <si>
    <t>20535-190</t>
  </si>
  <si>
    <t>Educação; Empregabilidade; Assistência Social; Cultura; Qualificação Profissional; Meio ambiente; Ciência e Tecnologia; Comunicação; Desenvolvimento comunitário</t>
  </si>
  <si>
    <t>Moradores de Favelas; Afrodescendentes; Egressos sistema carcerário</t>
  </si>
  <si>
    <t>Convênio Público; Eventos/Ações para captação; Parceria iniciativa privada; Outro(s); Doações</t>
  </si>
  <si>
    <t>www.favelaemdesenvolvimento.org</t>
  </si>
  <si>
    <t>www.instagram.com/favelaemdesenvolvimento</t>
  </si>
  <si>
    <t>www.facebook.com/favelaemdesenvolvimento</t>
  </si>
  <si>
    <t>https://drive.google.com/open?id=1m7Oo9CU1GxBXpgBMERfTlyLqW_TIYo8h</t>
  </si>
  <si>
    <t>https://drive.google.com/open?id=1PJVXaVWQujyNW4g5QN4kisn7zXEVwK8V</t>
  </si>
  <si>
    <t>https://drive.google.com/open?id=1El_F1a3SrKDHKhubSX55HtY6a23SHAZy</t>
  </si>
  <si>
    <t>Instituto Ame Mais</t>
  </si>
  <si>
    <t>37.128.663/0001-04</t>
  </si>
  <si>
    <t>Dalilla dos Santos Pereira</t>
  </si>
  <si>
    <t>psamemais@gmail.com</t>
  </si>
  <si>
    <t>(27)99999-3945</t>
  </si>
  <si>
    <t>Benedito Muniz</t>
  </si>
  <si>
    <t>Santa Martha/ Mangue Seco</t>
  </si>
  <si>
    <t>Vitoria</t>
  </si>
  <si>
    <t>29046-670</t>
  </si>
  <si>
    <t>Esporte; Educação; Apoio à gestão de organizações de Terceiro Setor; Desenvolvimento comunitário</t>
  </si>
  <si>
    <t>Algumas outros comunidades ao lado mas mais com assistencialismo</t>
  </si>
  <si>
    <t>Negócio Social; Eventos/Ações para captação; Parceria iniciativa privada; Outro(s); Doações</t>
  </si>
  <si>
    <t>70% negócio social / 10% doações / 10% ações / 10% parceiros</t>
  </si>
  <si>
    <t>https://linktr.ee/institutoamemais</t>
  </si>
  <si>
    <t>https://www.instagram.com/institutoamemais/</t>
  </si>
  <si>
    <t>https://drive.google.com/open?id=1a4dvvAbmRPaPeP9W35bApTu_jfoMkGrQ</t>
  </si>
  <si>
    <t>https://drive.google.com/open?id=1OcxbFCV-bPKHn7PC3tumSusoGT0Jgh1C</t>
  </si>
  <si>
    <t>https://drive.google.com/open?id=1O5nb-sNJy_mVdNy-i9TpJ7vlwcr-JaYr</t>
  </si>
  <si>
    <t>Amigos da Solidariedade RJ</t>
  </si>
  <si>
    <t>44.070.377/0001-92</t>
  </si>
  <si>
    <t>Marilda Nunes Gomes</t>
  </si>
  <si>
    <t>amigosdasolidariedaderio@gmail.com</t>
  </si>
  <si>
    <t>(21)96448-6340</t>
  </si>
  <si>
    <t>Rua Pernambuco</t>
  </si>
  <si>
    <t>Engenho de Dentro</t>
  </si>
  <si>
    <t>20730-030</t>
  </si>
  <si>
    <t>Educação; Empregabilidade; Cultura; Empreendedorismo</t>
  </si>
  <si>
    <t>Moradores de Favelas; Pessoas em situação de rua; Dependentes Químicos</t>
  </si>
  <si>
    <t>Não possuímos</t>
  </si>
  <si>
    <t>http://instagram.com/amigosdasolidariedaderj</t>
  </si>
  <si>
    <t>https://www.facebook.com/amigosdasolidariedaderj/</t>
  </si>
  <si>
    <t>Projeto Avante</t>
  </si>
  <si>
    <t>Geraldo Fernandes Monteiro de Souza</t>
  </si>
  <si>
    <t>apadrinhamento.avante@gmail.com</t>
  </si>
  <si>
    <t>(21)97971-4242</t>
  </si>
  <si>
    <t>Avenida Rui Barbosa</t>
  </si>
  <si>
    <t>24310-005</t>
  </si>
  <si>
    <t>Esporte; Educação; Assistência Social; Cultura; Saúde; Meio ambiente; Ciência e Tecnologia; Assistência Psicológica</t>
  </si>
  <si>
    <t>Atendemos em regime de contraturno escolar 50 crianças dessas comunidades (6 a 10 anos). Todas elas estudam em colégio público.</t>
  </si>
  <si>
    <t>Doações e Apadrinhamento 100%</t>
  </si>
  <si>
    <t>https://igrejabetania.org/avante/</t>
  </si>
  <si>
    <t>https://www.instagram.com/contraturnoavante/</t>
  </si>
  <si>
    <t>https://www.youtube.com/channel/UCvbDQ-d_YR5a__udpzC5xxw</t>
  </si>
  <si>
    <t>https://drive.google.com/open?id=1lburbghyE8jBjZhJa4wF0Us-uwIQNOoF</t>
  </si>
  <si>
    <t>INSTITUTO É POSSÍVEL SONHAR</t>
  </si>
  <si>
    <t>35.807.142/0001-40</t>
  </si>
  <si>
    <t>DANIELA CARLA ARAUJO ALVES GENEROSO</t>
  </si>
  <si>
    <t>institutoepossivelsonhar@gmail.com</t>
  </si>
  <si>
    <t>(21)98773-1916</t>
  </si>
  <si>
    <t>Rua Bezerril Fontenelle</t>
  </si>
  <si>
    <t>IRAJÁ</t>
  </si>
  <si>
    <t>21361-640</t>
  </si>
  <si>
    <t>Esporte; Educação; Empregabilidade; Assistência Social; Qualificação Profissional; Empreendedorismo; Saúde; Empoderamento Feminino; Defesa de Direitos; Assistência Psicológica; Desenvolvimento comunitário</t>
  </si>
  <si>
    <t>Moradores de Favelas; Afrodescendentes; Outros</t>
  </si>
  <si>
    <t>Hoje oferecemos atendimento para todo o Estado do RJ vem criança de outros municípios vizinhos nosso publico é de crianças e mulheres vitimas de violência de bebê de dois anos até senhoras de 70 anos.</t>
  </si>
  <si>
    <t>Eventos/Ações para captação; Doações; Recursos próprios</t>
  </si>
  <si>
    <t>www.institutoepossivelsonhar.com.br</t>
  </si>
  <si>
    <t>https://www.google.com/url?sa=t&amp;source=web&amp;rct=j&amp;url=https://www.instagram.com/institutoepossivelsonhar/&amp;ved=2ahUKEwjjy67m0PP2AhVyjJUCHSGxCm8Qjjh6BAhMEAE&amp;usg=AOvVaw25_GqQQWpz7a977qt_nJd9</t>
  </si>
  <si>
    <t>https://www.facebook.com/institutoepossivelsonhar/</t>
  </si>
  <si>
    <t>https://drive.google.com/open?id=1iKALHkZSRUu9G9lM4M0vo9bh2_xTUUzS</t>
  </si>
  <si>
    <t>https://drive.google.com/open?id=1IT_QtVY-X5mnlEZVJ7vVjWh5lPLVsalW</t>
  </si>
  <si>
    <t>https://drive.google.com/open?id=1GAO_hk5BQXr1YvXfKfVsxUBjbIs81n4d</t>
  </si>
  <si>
    <t>PROJETO NOVA HISTÓRIA/REDE DE MULHERES GIRASSOL</t>
  </si>
  <si>
    <t>FABIO FERREIRA DA SILVA</t>
  </si>
  <si>
    <t>ericaleferreira@gmail.com</t>
  </si>
  <si>
    <t>(21)97691-9562</t>
  </si>
  <si>
    <t>Rua Espírito Santo, 65</t>
  </si>
  <si>
    <t>Jardim Ana Clara</t>
  </si>
  <si>
    <t>25222-100</t>
  </si>
  <si>
    <t>Esporte; Educação; Empregabilidade; Cultura; Empreendedorismo; Empoderamento Feminino; Negócios Sociais; Desenvolvimento comunitário</t>
  </si>
  <si>
    <t>Eventos/Ações para captação; Parceria iniciativa privada; Doações; Recursos próprios</t>
  </si>
  <si>
    <t>Associação Instituto de Mulheres Negras Herdeiras de Candaces</t>
  </si>
  <si>
    <t>09.333.189/0001-09</t>
  </si>
  <si>
    <t>Francinice Alves Canela</t>
  </si>
  <si>
    <t>herdeirasdecandaces@gmail.com</t>
  </si>
  <si>
    <t>(21)96491-8610</t>
  </si>
  <si>
    <t>Rua Laguna, 153</t>
  </si>
  <si>
    <t>Santa Amélia</t>
  </si>
  <si>
    <t>26116-620</t>
  </si>
  <si>
    <t>Educação; Cultura; Qualificação Profissional; Empreendedorismo; Saúde; Empoderamento Feminino; Apoio à gestão de organizações de Terceiro Setor; Defesa de Direitos; Assistência Psicológica; Desenvolvimento comunitário</t>
  </si>
  <si>
    <t>Adolescentes (12 aos 18 anos); Jovens (18 aos 24 anos); Adultos; Idosos (60 anos ou mais)</t>
  </si>
  <si>
    <t>Moradores de Favelas; População LGBTQ+; Afrodescendentes</t>
  </si>
  <si>
    <t>A grande maioria são mulheres e jovens negros</t>
  </si>
  <si>
    <t>Plataforma doação online - Pessoa Física; Recursos próprios</t>
  </si>
  <si>
    <t>www.institutocandaces.org.br</t>
  </si>
  <si>
    <t>www.instagram.com/institutocandaces</t>
  </si>
  <si>
    <t>https://www.facebook.com/institutocandaces/</t>
  </si>
  <si>
    <t>https://drive.google.com/open?id=1pPtNppYuHxKARw7ZBlOHuH8Gf1T1m2cd</t>
  </si>
  <si>
    <t>https://drive.google.com/open?id=1eR1dYs9yDIOsxfsrbQoClTTILprWbGUZ</t>
  </si>
  <si>
    <t>https://drive.google.com/open?id=1f92oGvCwJ62Gm112CE0hRNRQ78fJBzo_</t>
  </si>
  <si>
    <t>cantinho da belinha</t>
  </si>
  <si>
    <t>luzineia silva dalvi</t>
  </si>
  <si>
    <t>cec.dabelinha@gmail.com</t>
  </si>
  <si>
    <t>iris</t>
  </si>
  <si>
    <t>pq muisa</t>
  </si>
  <si>
    <t>morro do paraiso-jardim da paz------</t>
  </si>
  <si>
    <t>https://www.facebook.com/CRECHEMATERNALCANTINHODABELINHA/</t>
  </si>
  <si>
    <t>https://drive.google.com/open?id=1-Bz454yOeeAdY56Qj-7gWWJfcM-JsBtV</t>
  </si>
  <si>
    <t>https://drive.google.com/open?id=1FmKgDVVSqDJcdg8m7Z2-n463trbZ9pLY</t>
  </si>
  <si>
    <t>Fórum de Juventudes do Território do Bem</t>
  </si>
  <si>
    <t>Marly Rodrigues Gabriel</t>
  </si>
  <si>
    <t>fjterritoriodobem@gmail.com</t>
  </si>
  <si>
    <t>Escadaria do Cafezal, 39</t>
  </si>
  <si>
    <t>Território do Bem</t>
  </si>
  <si>
    <t>Vitória ES</t>
  </si>
  <si>
    <t>OBS.: Não temos espaço físico este endereço corresponde ao meu endereço residencial.</t>
  </si>
  <si>
    <t>29047-879</t>
  </si>
  <si>
    <t>Esporte; Educação; Empregabilidade; Assistência Social; Cultura; Empoderamento Feminino; Ciência e Tecnologia; Defesa de Direitos; Comunicação; Desenvolvimento comunitário; Outro(s)</t>
  </si>
  <si>
    <t>www.fjtb.naotemos</t>
  </si>
  <si>
    <t>https://www.instagram.com/fjtb.oficial/</t>
  </si>
  <si>
    <t>https://www.facebook.com/fjtb.oficial</t>
  </si>
  <si>
    <t>https://drive.google.com/open?id=1g7eS0T-eL_SC_oue1O91q6gMTAA2xytj</t>
  </si>
  <si>
    <t>Centro Cultural Rita de Cassia</t>
  </si>
  <si>
    <t>Educar +</t>
  </si>
  <si>
    <t>38.658.273/0001-09</t>
  </si>
  <si>
    <t>Ana Caroline dos Santos</t>
  </si>
  <si>
    <t>contato@educarmais.net</t>
  </si>
  <si>
    <t>(21)99187-1988</t>
  </si>
  <si>
    <t>Rua Rita de Cassia</t>
  </si>
  <si>
    <t>Anchieta</t>
  </si>
  <si>
    <t>21645-565</t>
  </si>
  <si>
    <t>Educação; Empregabilidade; Cultura; Empoderamento Feminino; Assistência Psicológica; Desenvolvimento comunitário</t>
  </si>
  <si>
    <t>As comunidades fazem parte de um mesmo complexo. Complexo do Chapadão em Anchieta.</t>
  </si>
  <si>
    <t>Plataforma doação online - Pessoa Física; Editais; Doações</t>
  </si>
  <si>
    <t>https://www.educarmais.net/</t>
  </si>
  <si>
    <t>https://instagram.com/ifps.cslf?utm_medium=copy_link- https://instagram.com/amigosdasolidariedaderj?utm_medium=copy_link -  https://instagram.com/malocadacidadania?utm_medium=copy_link</t>
  </si>
  <si>
    <t>https://www.facebook.com/163196560884782/posts/1041204543083975/</t>
  </si>
  <si>
    <t>https://drive.google.com/open?id=1q_y2BHtk3iuZYtm9q2k_rXmOii1_HV08</t>
  </si>
  <si>
    <t>https://drive.google.com/open?id=1uJBM6oKFewifdgDLhTJavdVY8ez_ZgIZ</t>
  </si>
  <si>
    <t>Associação Raízes de Gericinó</t>
  </si>
  <si>
    <t>Projeto pequenos buritis</t>
  </si>
  <si>
    <t>13.165.751/0001-00</t>
  </si>
  <si>
    <t>AURICELIA PADILHA MERCES</t>
  </si>
  <si>
    <t>raizesdegericino@gmail.com</t>
  </si>
  <si>
    <t>(21)3465-3959</t>
  </si>
  <si>
    <t>Rua Pitanga do Gericino</t>
  </si>
  <si>
    <t>Casa 55</t>
  </si>
  <si>
    <t>21853-002</t>
  </si>
  <si>
    <t>Educação; Assistência Social; Cultura; Empreendedorismo; Empoderamento Feminino; Assistência Psicológica; Desenvolvimento comunitário</t>
  </si>
  <si>
    <t>Nós atendemos a comunidade do Catiri e adjacências. Como Jardim Bangu Cancela Preta Conjunto da Marinha as vezes alguns acolhidos da Vila Kennedy além das parcerias com Vila Aliança e Vila Vintém.</t>
  </si>
  <si>
    <t>Lei Estadual da Cultura</t>
  </si>
  <si>
    <t>www.raizesdegericino.org</t>
  </si>
  <si>
    <t>https://www.instagram.com/raizesdegericino</t>
  </si>
  <si>
    <t>Facebook.com/raizesdegericino</t>
  </si>
  <si>
    <t>https://youtu.be/K4RWZBfCAZQ</t>
  </si>
  <si>
    <t>RONGO-RJ - Associação Região de Oficina Nacional de Grafite Organizado do Rio de Janeiro</t>
  </si>
  <si>
    <t>Carlos André do Nascimento</t>
  </si>
  <si>
    <t>rongo.rj@hotmail.com</t>
  </si>
  <si>
    <t>Av. Pastor Martins Luther King Junior</t>
  </si>
  <si>
    <t>Pavuna</t>
  </si>
  <si>
    <t>Conjunto Rubens Paiva</t>
  </si>
  <si>
    <t>Final feliz-Morro da Pedreira-Beira Rio do parque columbia-Lagartixa -Para-pedro -Beira Rio da Pavuna -Morro do Chapadão -Favela do Quitanda</t>
  </si>
  <si>
    <t>https://instagram.com/ongrongo.rj?utm_medium=copy_link</t>
  </si>
  <si>
    <t>https://www.facebook.com/rongorj.ong</t>
  </si>
  <si>
    <t>https://drive.google.com/open?id=1k-oDOA2YaBLaa0UD0xUmd6IXhbSWgKED</t>
  </si>
  <si>
    <t>https://drive.google.com/open?id=1ZviCjf6rIVyP-26rRfouQKGFkAxrx-GE</t>
  </si>
  <si>
    <t>https://drive.google.com/open?id=1U_4EwpVWG1h41EOkWZKNmi5nHukb53n_</t>
  </si>
  <si>
    <t>INSTITUTO RAÍZES</t>
  </si>
  <si>
    <t>33.253.187/0001-94</t>
  </si>
  <si>
    <t>JOCELINO DA CONCEIÇÃO SILVA JUNIOR</t>
  </si>
  <si>
    <t>raizes@institutoraizes.org</t>
  </si>
  <si>
    <t>(27)99293-4397</t>
  </si>
  <si>
    <t>RUA DO ROSÁRIO</t>
  </si>
  <si>
    <t>VITORIA</t>
  </si>
  <si>
    <t>SALA 57</t>
  </si>
  <si>
    <t>29016-095</t>
  </si>
  <si>
    <t>Bebês (0 a 1 ano e 6 meses); Crianças bem pequenas (1 ano e 7 meses até 3 anos e 11 meses); Crianças pequenas (4 anos a 5 anos e 11 meses); Crianças (6 a 12 anos); Adolescentes (12 aos 18 anos); Jovens (18 aos 24 anos); Adultos</t>
  </si>
  <si>
    <t>População LGBTQ+; Afrodescendentes; Dependentes Químicos</t>
  </si>
  <si>
    <t>Os morros situados na região central da cidade de Vitória que se caracterizam por profundos problemas sociais como a decadência dos serviços públicos disponibilizados aos moradores a limitação de políticas públicas articuladaso desemprego o alcoolismo o extermínio da juventude negra a violência racial sistêmica cometidas por agentes do Estado tornando este território por todas essas complexidades uma prioridade absoluta do investimento das políticas públicas voltadas para a inserção dos jovens e demais moradores que vivem nesse espaço social. Neste espaço realizamos  oficinas e eventos voltados para todos os gêneros e faixas etárias com prioridade para crianças adolescentes e jovens promovendo a integração familiar e social refletindo sobre o contexto socioeconômico  e cultural do território.</t>
  </si>
  <si>
    <t>Convênio Público; Eventos/Ações para captação; Plataforma doação online - Pessoa Física; Editais; Lei Estadual da Cultura</t>
  </si>
  <si>
    <t>NÃO</t>
  </si>
  <si>
    <t>https://instagram.com/institutoraizes?utm_medium=copy_link</t>
  </si>
  <si>
    <t>https://drive.google.com/open?id=1EJhx8heENNXxbeEhYsFFuvuiArAb31Ed</t>
  </si>
  <si>
    <t>https://drive.google.com/open?id=18RiPSqVNM8n44Q2nd4gr9gaF-r2ytIJ3</t>
  </si>
  <si>
    <t>https://drive.google.com/open?id=14CvogHEJ4K42970nvDQVR5bvguOvQ9w2</t>
  </si>
  <si>
    <t>Instututo cultural e social colorado</t>
  </si>
  <si>
    <t>Maria Tânia Alves Dos Santos</t>
  </si>
  <si>
    <t>institutocolorado@gmail.com</t>
  </si>
  <si>
    <t>(21)6687-7062</t>
  </si>
  <si>
    <t>Loteamento rume farias</t>
  </si>
  <si>
    <t>Barra de santo Antonio</t>
  </si>
  <si>
    <t>57925-000</t>
  </si>
  <si>
    <t>Crianças (6 a 12 anos); Jovens (18 aos 24 anos)</t>
  </si>
  <si>
    <t>Plataforma doação online - Pessoa Física</t>
  </si>
  <si>
    <t>Institutocolorado@gmail.co</t>
  </si>
  <si>
    <t>Sempre Criança</t>
  </si>
  <si>
    <t>12.629.489/0001-44</t>
  </si>
  <si>
    <t>Gabriela Veras de Moraes</t>
  </si>
  <si>
    <t>contato@semprecrianca.org</t>
  </si>
  <si>
    <t>(21)99572-0162</t>
  </si>
  <si>
    <t>Rua Trinta e Cinco S/N</t>
  </si>
  <si>
    <t>Itaipu</t>
  </si>
  <si>
    <t>lote 6 quadra 71</t>
  </si>
  <si>
    <t>24342-330</t>
  </si>
  <si>
    <t>Esporte; Educação; Assistência Social; Cultura; Saúde; Negócios Sociais; Apoio à gestão de organizações de Terceiro Setor; Desenvolvimento comunitário</t>
  </si>
  <si>
    <t>Bebês (0 a 1 ano e 6 meses); Crianças bem pequenas (1 ano e 7 meses até 3 anos e 11 meses); Crianças pequenas (4 anos a 5 anos e 11 meses); Crianças (6 a 12 anos); Adolescentes (12 aos 18 anos); Jovens (18 aos 24 anos)</t>
  </si>
  <si>
    <t>Somos uma instituição sem vínculo religioso político ou partidário e que possui uma sede administrativa. Atuamos diretamente com outras organizações e iniciativas comunitárias em especial com um dos territórios da Cidade o Morro do Estado em parceria com a Casa Reviver.</t>
  </si>
  <si>
    <t>www.semprecrianca.org</t>
  </si>
  <si>
    <t>https://www.instagram.com/projetosemprecrianca/</t>
  </si>
  <si>
    <t>https://www.facebook.com/semprecrianca/</t>
  </si>
  <si>
    <t>https://drive.google.com/open?id=1rbgswJJwr43yQLZZ4E7ozYxs-8449zwa</t>
  </si>
  <si>
    <t>https://drive.google.com/open?id=1d2VzyTA37XeCUe0qdTw4xRLdg_HvNboN</t>
  </si>
  <si>
    <t>https://drive.google.com/open?id=1klN4pK_RM1GMorCy3YJMPglMRT1xbuW8</t>
  </si>
  <si>
    <t>Associação Prover</t>
  </si>
  <si>
    <t>32.169.615/0001-32</t>
  </si>
  <si>
    <t>Flavia Ferreira da Silva</t>
  </si>
  <si>
    <t>prover@associacaoprover.org</t>
  </si>
  <si>
    <t>(21)3439-3900</t>
  </si>
  <si>
    <t>campo de São Cristóvão</t>
  </si>
  <si>
    <t>20921-440</t>
  </si>
  <si>
    <t>Assistência Social; Cultura; Qualificação Profissional; Empoderamento Feminino</t>
  </si>
  <si>
    <t>Moradores de Favelas; Afrodescendentes; Pessoas com Deficiência; Outros</t>
  </si>
  <si>
    <t>Negócio Social; Parceria iniciativa privada; Doações</t>
  </si>
  <si>
    <t>25% bazar 25% docações de colaboradores  mensais 50% de parceira com 02 instituições (ongs)</t>
  </si>
  <si>
    <t>www.naotemossite</t>
  </si>
  <si>
    <t>https://www.instagram.com/associacaoprover/</t>
  </si>
  <si>
    <t>https://www.facebook.com/associacaoprover</t>
  </si>
  <si>
    <t>https://www.youtube.com/channel/UC26YjJ4CyZFHoKqyc_F9rXA/featured</t>
  </si>
  <si>
    <t>https://drive.google.com/open?id=1koLLQkJ-ffZjweW46eXYJ6-0pCSmW4Ff</t>
  </si>
  <si>
    <t>https://drive.google.com/open?id=1b-E6uVnAhuK4HYR9UkyxsCY4E22d4gQe</t>
  </si>
  <si>
    <t>Caçadores</t>
  </si>
  <si>
    <t>Andre santos da silva</t>
  </si>
  <si>
    <t>andrechatubamma@gmail.com</t>
  </si>
  <si>
    <t>(21)98870-0144</t>
  </si>
  <si>
    <t>Rua são vicente de paula</t>
  </si>
  <si>
    <t>Penha</t>
  </si>
  <si>
    <t>R. São Vicente de Paula 625 - Pe Vila Cruzeiro/complexo da Penha. CIEP Deputado José Carlos Brandão Monteiro</t>
  </si>
  <si>
    <t>21072-190</t>
  </si>
  <si>
    <t>Não sei o que é isso</t>
  </si>
  <si>
    <t>https://instagram.com/cacadoresteam?igshid=YmMyMTA2M2Y=</t>
  </si>
  <si>
    <t>Sara Almeida</t>
  </si>
  <si>
    <t>projetoagape98@gmail.com</t>
  </si>
  <si>
    <t>Rua Pedro Birges de Freitas</t>
  </si>
  <si>
    <t>Irajá</t>
  </si>
  <si>
    <t>Temos nossa sede na Favela Para Pedro e em todos territórios vulneráveis atuamos nos espaços emprestados pelas igrejas e praças ao longo desses anos  otimizando informações e atividades no interior dos territórios</t>
  </si>
  <si>
    <t>Organização de Desenvolvimento do Potencial Humano</t>
  </si>
  <si>
    <t>13.814.000/0001-77</t>
  </si>
  <si>
    <t>José Antonio Ferreira</t>
  </si>
  <si>
    <t>administrativo@odph.org.br</t>
  </si>
  <si>
    <t>(41)99571-8760</t>
  </si>
  <si>
    <t>Rua Manoel Martins de Abreu</t>
  </si>
  <si>
    <t>Prado Velho - Vila Torres</t>
  </si>
  <si>
    <t>80215-430</t>
  </si>
  <si>
    <t>A comunidade Vila Torres assim como inúmeras outras regiões sofre com os graves problemas sociais como a violência a criminalidade evasão escolar o desemprego e a desigualdade prejudicando o crescimento econômico e social. Os moradores da região em sua grande maioria tem seu sustento por meio da reciclagem trabalhando em cooperativas de lixo e como coletores nas ruas (carrinheiros). E por falta de políticas públicas acessíveis e eficazes tem seus direitos violados diariamente pela falta de saneamento básico saúde educação de qualidade e infraestrutura.</t>
  </si>
  <si>
    <t>70% Pessoas físicas; 20% Pessoas Jurídicas, 10% outras fontes (variadas)</t>
  </si>
  <si>
    <t>https://www.odph.org.br/</t>
  </si>
  <si>
    <t>https://instagram.com/odph?utm_medium=copy_link</t>
  </si>
  <si>
    <t>https://www.facebook.com/OdphVilatorres</t>
  </si>
  <si>
    <t>https://www.youtube.com/channel/UCPsbTN2JZZrOfEQ1aRVVpHA</t>
  </si>
  <si>
    <t>https://drive.google.com/open?id=19kMAxlf7TITTxvp7l7W62_ERDx_qnNUy</t>
  </si>
  <si>
    <t>https://drive.google.com/open?id=1PaGLjQdknwMbME-QdbPRZzT6Fvjdb9-9</t>
  </si>
  <si>
    <t>https://drive.google.com/open?id=1830w1xXRiPk1TMp3ZvO7c-CqY0x5-ZeN</t>
  </si>
  <si>
    <t>Associação Comunidade Solidária do Jardim São Bernardo</t>
  </si>
  <si>
    <t>06.324.463/0001-95</t>
  </si>
  <si>
    <t>Manoela Aparecida Dias Teodoro</t>
  </si>
  <si>
    <t>associacaojardimsaobernardo@gmail.com</t>
  </si>
  <si>
    <t>(11)5929-3802</t>
  </si>
  <si>
    <t>Avenida João Amos Comenius 849</t>
  </si>
  <si>
    <t>Jardim São Bernardo</t>
  </si>
  <si>
    <t>04844-420</t>
  </si>
  <si>
    <t>Esporte; Educação; Assistência Social; Cultura; Qualificação Profissional; Defesa de Direitos</t>
  </si>
  <si>
    <t>Nenhum</t>
  </si>
  <si>
    <t>www.ajsb.com.br</t>
  </si>
  <si>
    <t>https://www.facebook.com/alex.teodoro.397</t>
  </si>
  <si>
    <t>https://www.facebook.com/alexdearruda.teodoro</t>
  </si>
  <si>
    <t>https://drive.google.com/open?id=1Y-rOrrAfBApkSW8ObFT4YLaB2VSiU9T8</t>
  </si>
  <si>
    <t>https://drive.google.com/open?id=1GYzRdv8xqyQJmSjInbYtZ2AZUUmCy3cW</t>
  </si>
  <si>
    <t>https://drive.google.com/open?id=1v5PocN_S-4uU7ZnN1RCIpK235_g4Fv4w</t>
  </si>
  <si>
    <t>ORGANIZACAO SOCIAL IDENTIDADE PERIFERICA</t>
  </si>
  <si>
    <t>Identidade Periférica</t>
  </si>
  <si>
    <t>28.735.847/0001-33</t>
  </si>
  <si>
    <t>WELLINGTON SOUSA MATOS</t>
  </si>
  <si>
    <t>wellsmatos@gmail.com</t>
  </si>
  <si>
    <t>(11)97258-2598</t>
  </si>
  <si>
    <t>Sara Kubitscheck 165B</t>
  </si>
  <si>
    <t>08474-000</t>
  </si>
  <si>
    <t>Assistência Social; Cultura; Empreendedorismo; Desenvolvimento comunitário</t>
  </si>
  <si>
    <t>População LGBTQ+</t>
  </si>
  <si>
    <t>Além das comunidades estamos de braços abertos para qualquer morador do entorno que queira estar nas oficinas independente de mora em favela  pois no nosso bairro tem muito conjunto habitacional onde há pessoas carentes de educação e lazer</t>
  </si>
  <si>
    <t>https://identidadeperiferica.org/</t>
  </si>
  <si>
    <t>https://www.instagram.com/identidadeperiferica/</t>
  </si>
  <si>
    <t>https://www.facebook.com/OSIdentidadePeriferica/</t>
  </si>
  <si>
    <t>https://drive.google.com/open?id=18-cfws8G9q9jSGOa2juGTP0qBA6UVNYt</t>
  </si>
  <si>
    <t>https://drive.google.com/open?id=12qjKGYqGFYJGWK0XqZlzN6S0q7CO6cnd</t>
  </si>
  <si>
    <t>https://drive.google.com/open?id=10CTCPFWKEX3LNb9Tn8Id9rGo3eE_IoLb</t>
  </si>
  <si>
    <t>judo uniao de guaianases</t>
  </si>
  <si>
    <t>Samuel Soares da Silva</t>
  </si>
  <si>
    <t>(11)97793-2091</t>
  </si>
  <si>
    <t>Rua Jerônimo Dias Ribeiro 193</t>
  </si>
  <si>
    <t>guaianases</t>
  </si>
  <si>
    <t>08461-560</t>
  </si>
  <si>
    <t>Esporte; Educação; Assistência Social</t>
  </si>
  <si>
    <t>Moradores de Favelas; Pessoas em situação de rua; População LGBTQ+; Povos Indígenas; Quilombola; Afrodescendentes; Dependentes Químicos; Pessoas com Deficiência; Egressos sistema carcerário; Imigrantes; Refugiados; Ribeirinhos; Comunidade rural</t>
  </si>
  <si>
    <t>https://instagram.com/samuel.soares.716195?utm_medium=copy_link</t>
  </si>
  <si>
    <t>https://www.facebook.com/samuel.soares.716195</t>
  </si>
  <si>
    <t>Multiplicar o amor incluir o saber</t>
  </si>
  <si>
    <t>44.888.110/0001-07</t>
  </si>
  <si>
    <t>Daisy Cristina Martins Dos Santos</t>
  </si>
  <si>
    <t>multiplicaramor2020@gmail.com</t>
  </si>
  <si>
    <t>(51)3319-3075</t>
  </si>
  <si>
    <t>Dona Veva</t>
  </si>
  <si>
    <t>Coronel Aparício Borges</t>
  </si>
  <si>
    <t>Porto  Alegre</t>
  </si>
  <si>
    <t>91710-070</t>
  </si>
  <si>
    <t>Esporte; Educação; Assistência Social; Cultura; Empreendedorismo; Desenvolvimento comunitário</t>
  </si>
  <si>
    <t>Crianças bem pequenas (1 ano e 7 meses até 3 anos e 11 meses); Crianças pequenas (4 anos a 5 anos e 11 meses); Crianças (6 a 12 anos); Adolescentes (12 aos 18 anos)</t>
  </si>
  <si>
    <t>Atendemos todos os tipos de vulnerabilidades sociais culturais emocionais alimentar psicológica....</t>
  </si>
  <si>
    <t>Negócio Social; Eventos/Ações para captação; Plataforma doação online - Pessoa Física; Doações; Recursos próprios</t>
  </si>
  <si>
    <t>O</t>
  </si>
  <si>
    <t>http://maismultiplicaramor.com.br/</t>
  </si>
  <si>
    <t>https://www.instagram.com/tv/CZw8akeDeRN/?utm_medium=copy_link</t>
  </si>
  <si>
    <t>https://www.facebook.com/multiplicaroamorincluirosaber/</t>
  </si>
  <si>
    <t>Entregue Sorrisos</t>
  </si>
  <si>
    <t>44.640.950/0001-56</t>
  </si>
  <si>
    <t>Maria Aparecida Souza Ribeiro</t>
  </si>
  <si>
    <t>entreguesorrisos@gmail.com</t>
  </si>
  <si>
    <t>(11)94995-0142</t>
  </si>
  <si>
    <t>Rua Alberto Borges Soveral, 86</t>
  </si>
  <si>
    <t>Pq independencia</t>
  </si>
  <si>
    <t>Assistência Social; Cultura</t>
  </si>
  <si>
    <t>Nt</t>
  </si>
  <si>
    <t>https://www.entreguesorrisos.com.br/</t>
  </si>
  <si>
    <t>https://instagram.com/entreguesorrisos?igshid=NjY2NjE5MzQ=</t>
  </si>
  <si>
    <t>União marcial Mauá</t>
  </si>
  <si>
    <t>35.506.240/0001-47</t>
  </si>
  <si>
    <t>Alisson baptista de souza</t>
  </si>
  <si>
    <t>projetosocialuniaomarcialmaua@gmail.com</t>
  </si>
  <si>
    <t>(11)95844-2406</t>
  </si>
  <si>
    <t>Rua Magnolias</t>
  </si>
  <si>
    <t>Jardim primavera</t>
  </si>
  <si>
    <t>Maua</t>
  </si>
  <si>
    <t>09361-110</t>
  </si>
  <si>
    <t>Esporte; Educação; Empregabilidade; Cultura; Qualificação Profissional; Saúde; Assistência Psicológica</t>
  </si>
  <si>
    <t>Moradores de Favelas; População LGBTQ+; Dependentes Químicos; Outros</t>
  </si>
  <si>
    <t>www.instagran/uniaomarcial</t>
  </si>
  <si>
    <t>Associação Arte de Amar</t>
  </si>
  <si>
    <t>PROJETO FILHOS CAMPINAS</t>
  </si>
  <si>
    <t>34.783.311/0001-96</t>
  </si>
  <si>
    <t>Danielle Ferreira Costa Theodoro</t>
  </si>
  <si>
    <t>projetofilhoscampinas@gmail.com</t>
  </si>
  <si>
    <t>(19)99210-9953</t>
  </si>
  <si>
    <t>Rua Presidente Bernardes,30</t>
  </si>
  <si>
    <t>Jardim Flamboyant</t>
  </si>
  <si>
    <t>13091-161</t>
  </si>
  <si>
    <t>Eventos/Ações para captação; Editais; Doações</t>
  </si>
  <si>
    <t>www.projetofilhoscampinas.org</t>
  </si>
  <si>
    <t>https://instagram.com/projetofilhoscampinas</t>
  </si>
  <si>
    <t>https://www.facebook.com/PFcampinas/</t>
  </si>
  <si>
    <t>https://youtube.com/channel/UCHr_9ypwVFA83kwznecoln</t>
  </si>
  <si>
    <t>https://drive.google.com/open?id=1pVgBqGRtGwtaiuvewgsZIR0nyrrLHKR4</t>
  </si>
  <si>
    <t>https://drive.google.com/open?id=1irzrHwL10HH7J1NHRKzVxh-kks7oPLNc</t>
  </si>
  <si>
    <t>Impactação Transformação Social</t>
  </si>
  <si>
    <t>Gilberto</t>
  </si>
  <si>
    <t>impactacaosocial@gmail.com</t>
  </si>
  <si>
    <t>(11)98798-1374</t>
  </si>
  <si>
    <t>Sem sede</t>
  </si>
  <si>
    <t>Vila Osasco</t>
  </si>
  <si>
    <t>Osasco</t>
  </si>
  <si>
    <t>Apartamento 81</t>
  </si>
  <si>
    <t>06028-010</t>
  </si>
  <si>
    <t>Empregabilidade; Assistência Social; Meio ambiente; Animais; Desenvolvimento comunitário</t>
  </si>
  <si>
    <t>https://instagram.com/impactacao.social?igshid=78bok3lfo1lb</t>
  </si>
  <si>
    <t>https://www.facebook.com/Impacta%C3%A7%C3%A3o-Social-101892151714942/</t>
  </si>
  <si>
    <t>https://br.linkedin.com/company/impacta%C3%A7%C3%A3o-social/</t>
  </si>
  <si>
    <t>https://drive.google.com/open?id=1JndvWHqEPriJZ0TOfvKaL3doJ9a1Psue</t>
  </si>
  <si>
    <t>Instituto Nova União da Arte</t>
  </si>
  <si>
    <t>07.676.917/0001-50</t>
  </si>
  <si>
    <t>VALDECIR CAMERA</t>
  </si>
  <si>
    <t>institutonua@hotmail.com</t>
  </si>
  <si>
    <t>(11)2887-9462</t>
  </si>
  <si>
    <t>Rua Rio Vila Nova</t>
  </si>
  <si>
    <t>São Miguel Paulista</t>
  </si>
  <si>
    <t>c</t>
  </si>
  <si>
    <t>08072-255</t>
  </si>
  <si>
    <t>Esporte; Educação; Empregabilidade; Assistência Social; Cultura; Qualificação Profissional; Empreendedorismo; Meio ambiente; Empoderamento Feminino; Negócios Sociais; Apoio à gestão de organizações de Terceiro Setor; Defesa de Direitos; Comunicação; Desenvolvimento comunitário</t>
  </si>
  <si>
    <t>Crianças (6 a 12 anos); Adolescentes (12 aos 18 anos); Adultos; Idosos (60 anos ou mais)</t>
  </si>
  <si>
    <t>Moradores de Favelas; Afrodescendentes; Dependentes Químicos; Egressos sistema carcerário; Imigrantes; Refugiados; Outros</t>
  </si>
  <si>
    <t>Lei de Incentivo; Negócio Social; Convênio Público; Eventos/Ações para captação; Parceria iniciativa privada; Editais; Doações; Lei Estadual da Cultura; Lei Municipal da Cultura; Recursos próprios</t>
  </si>
  <si>
    <t>40% FUMCAD - 40% SMAD 20% semente ORÉ</t>
  </si>
  <si>
    <t>https://www.novauniaodaarte.org/</t>
  </si>
  <si>
    <t>https://www.instagram.com/institutonua?</t>
  </si>
  <si>
    <t>https://www.facebook.com/novauniaodaarte?</t>
  </si>
  <si>
    <t>https://www.youtube.com/channel/UCe1XZ_CoMPfsE9Lq8DSSvxw</t>
  </si>
  <si>
    <t>https://drive.google.com/open?id=12gDy0hHfgz8UQm1ikQyB5KL3o5xcerEd</t>
  </si>
  <si>
    <t>https://drive.google.com/open?id=16TmPJ2tEJpkj-1gTh-hWhjxm2DP9Wow1</t>
  </si>
  <si>
    <t>https://drive.google.com/open?id=1FHJGwlc4FqC2M4WHtwzYTURoMBNtQX_1</t>
  </si>
  <si>
    <t>Instituto Movimento para a Vida</t>
  </si>
  <si>
    <t>43.741.355/0001-44</t>
  </si>
  <si>
    <t>Aline da silva zabotto</t>
  </si>
  <si>
    <t>instituto.m.v@hotmail.com</t>
  </si>
  <si>
    <t>(11)98011-6317</t>
  </si>
  <si>
    <t>Rua Salvo Veloso</t>
  </si>
  <si>
    <t>Jd Sidney</t>
  </si>
  <si>
    <t>são Paulo</t>
  </si>
  <si>
    <t>02982-180</t>
  </si>
  <si>
    <t>Esporte; Educação; Empregabilidade; Assistência Social; Cultura; Qualificação Profissional; Empreendedorismo; Negócios Sociais; Assistência Psicológica</t>
  </si>
  <si>
    <t>Negócio Social; Eventos/Ações para captação</t>
  </si>
  <si>
    <t>50% negocio social 50% açoes para captação</t>
  </si>
  <si>
    <t>https://www.instagram.com/instituto.m.v/</t>
  </si>
  <si>
    <t>https://www.facebook.com/projeto.movimento.para.a.vida</t>
  </si>
  <si>
    <t>Coletivo Caranguejo Tabaiares Resiste</t>
  </si>
  <si>
    <t>Sarah 4</t>
  </si>
  <si>
    <t>caranguejotabaiaresresiste@gmail.com</t>
  </si>
  <si>
    <t>(81)98702-2672</t>
  </si>
  <si>
    <t>Rua Vila canal</t>
  </si>
  <si>
    <t>Ilha do Retiro</t>
  </si>
  <si>
    <t>50750-280</t>
  </si>
  <si>
    <t>Desenvolvimento comunitário</t>
  </si>
  <si>
    <t>Moradores de Favelas; População LGBTQ+; Quilombola; Afrodescendentes; Dependentes Químicos; Ribeirinhos</t>
  </si>
  <si>
    <t>Trabalhamos com as famílias completas</t>
  </si>
  <si>
    <t>Leia e Aprenda</t>
  </si>
  <si>
    <t>17.832.051/0001-82</t>
  </si>
  <si>
    <t>João Lino</t>
  </si>
  <si>
    <t>joaolino@leiaeaprenda.com.br</t>
  </si>
  <si>
    <t>(11)98160-5966</t>
  </si>
  <si>
    <t>av. celso garcia</t>
  </si>
  <si>
    <t>Tatuapé</t>
  </si>
  <si>
    <t>Bloco 9 apto 51</t>
  </si>
  <si>
    <t>03063-000</t>
  </si>
  <si>
    <t>Crianças bem pequenas (1 ano e 7 meses até 3 anos e 11 meses); Crianças pequenas (4 anos a 5 anos e 11 meses); Crianças (6 a 12 anos)</t>
  </si>
  <si>
    <t>O projeto disponibiliza ideias de atividades práticas para ajudar a desenvolver a criatividade das crianças. O público alvo são pais tios avós padrinhos tutores e professores.</t>
  </si>
  <si>
    <t>http://www.ppep.com.br</t>
  </si>
  <si>
    <t>https://www.facebook.com/parapaiseprofessores</t>
  </si>
  <si>
    <t>https://drive.google.com/open?id=1xheiQWjxHwY8HeOaUPSQNsBSCXD66Uzx</t>
  </si>
  <si>
    <t>https://drive.google.com/open?id=1-4Z2NMR4SvH93bikn2nlE3CSWmyAP7NR</t>
  </si>
  <si>
    <t>Associaçao Infancia e Familia</t>
  </si>
  <si>
    <t>06.192.162/0001-55</t>
  </si>
  <si>
    <t>Robson Diego Pontes</t>
  </si>
  <si>
    <t>associacaoinfam@gmail.com</t>
  </si>
  <si>
    <t>(11)94632-7667</t>
  </si>
  <si>
    <t>Major Boa Ventura</t>
  </si>
  <si>
    <t>Vila nhocune</t>
  </si>
  <si>
    <t>03569-030</t>
  </si>
  <si>
    <t>Esporte; Educação; Assistência Social; Cultura; Qualificação Profissional; Empoderamento Feminino</t>
  </si>
  <si>
    <t>Nao temos</t>
  </si>
  <si>
    <t>infam.org.br</t>
  </si>
  <si>
    <t>infam.associacao</t>
  </si>
  <si>
    <t>https://www.facebook.com/associacaoinfam/</t>
  </si>
  <si>
    <t>https://drive.google.com/open?id=1djUQ4aS-0sT07y9AYZyNPvhifNjUBcmG</t>
  </si>
  <si>
    <t>https://drive.google.com/open?id=1Mwy-Rf99pA_NflbeaKhalUPjN79Nu9j5</t>
  </si>
  <si>
    <t>Casa de Apoio à Criança com Câncer Vida Divina</t>
  </si>
  <si>
    <t>05.248.144/0001-85</t>
  </si>
  <si>
    <t>Marli Francisca de Souza Silva</t>
  </si>
  <si>
    <t>coordenacao@cavd.org.br</t>
  </si>
  <si>
    <t>(11)2545-2150</t>
  </si>
  <si>
    <t>Martinho de Sousa, 294</t>
  </si>
  <si>
    <t>Vila Paranaguá - Ermelino Matarazzo</t>
  </si>
  <si>
    <t>03807-290</t>
  </si>
  <si>
    <t>Educação; Assistência Social; Qualificação Profissional; Saúde; Negócios Sociais; Defesa de Direitos; Assistência Psicológica</t>
  </si>
  <si>
    <t>Moradores de Favelas; Povos Indígenas; Afrodescendentes; Pessoas com Deficiência; Ribeirinhos; Outros</t>
  </si>
  <si>
    <t>A instituição acolhe famílias de outros estados famílias carentes que precisam vir para São Paulo para tratamento. A instituição em Ermelino Matarazzo tem uma função social um giro de economia para manter o projeto. Hoje mantemos através de captação de recursos bazares e ações sociais na qual os bairros próximos se mobilizam em ajudar principalmente nos bazares onde é uma via de mão dupla. Além disso a instituição tem a função social em auxiliar conforme a demanda como nossos projetos são mantidos somente por doações quando existe uma demanda grande de doações elas são direcionadas para as comunidades próximas da região desde frutas remédios alimentos roupas brinquedos.</t>
  </si>
  <si>
    <t>Negócio Social; Eventos/Ações para captação; Parceria iniciativa privada; Doações; Recursos próprios</t>
  </si>
  <si>
    <t>www.cavd.org.br</t>
  </si>
  <si>
    <t>www.instagram.com/casavidadivina</t>
  </si>
  <si>
    <t>https://www.facebook.com/casadeapoiovidadivinacavd</t>
  </si>
  <si>
    <t>https://www.youtube.com/c/CasadeApoioVidaDivinaCAVD</t>
  </si>
  <si>
    <t>https://drive.google.com/open?id=1Y7SyzsvOD8BRDHTyLexHE2Ajkj45Dgne</t>
  </si>
  <si>
    <t>https://drive.google.com/open?id=1gqGoGdpP9PmyiqmefPzJTLJ6EMI42oDM</t>
  </si>
  <si>
    <t>https://drive.google.com/open?id=1HlP75MrxLuigM6UwIimxJgZWwFXARAF7</t>
  </si>
  <si>
    <t>Instituto Nova Chance</t>
  </si>
  <si>
    <t>45.197.708/0001-12</t>
  </si>
  <si>
    <t>Anderson Ailton Odorico</t>
  </si>
  <si>
    <t>novachance.aracati@gmail.com</t>
  </si>
  <si>
    <t>(11)98485-7086</t>
  </si>
  <si>
    <t>Avenida m boi Guaçu</t>
  </si>
  <si>
    <t>Muriçoca</t>
  </si>
  <si>
    <t>Canpinho</t>
  </si>
  <si>
    <t>04949-000</t>
  </si>
  <si>
    <t>Não sei o que é</t>
  </si>
  <si>
    <t>https://www.instagram.com/umanovachance_aracati/     https://www.facebook.com/umanovachance.aracati</t>
  </si>
  <si>
    <t>https://www.instagram.com/umanovachance_aracati/</t>
  </si>
  <si>
    <t>https://www.facebook.com/umanovachance.aracati</t>
  </si>
  <si>
    <t>Espaço Cultural Nova Bonsucesso</t>
  </si>
  <si>
    <t>40.255.912/0001-29</t>
  </si>
  <si>
    <t>Luiz Carlos de Oliveira</t>
  </si>
  <si>
    <t>ecultural20@gmail.com</t>
  </si>
  <si>
    <t>(11)99339-2539</t>
  </si>
  <si>
    <t>Rua Aracitaba, 340</t>
  </si>
  <si>
    <t>Nova Bonsucesso</t>
  </si>
  <si>
    <t>endereço rescente</t>
  </si>
  <si>
    <t>07176-371</t>
  </si>
  <si>
    <t>Esporte; Educação; Empregabilidade; Assistência Social; Cultura; Qualificação Profissional; Empreendedorismo; Negócios Sociais; Defesa de Direitos; Desenvolvimento comunitário</t>
  </si>
  <si>
    <t>São crianças e adolescentes em situação de vulnerabilidade social</t>
  </si>
  <si>
    <t>Negócio Social; Eventos/Ações para captação; Doações</t>
  </si>
  <si>
    <t>https://www.instagram.com/espacoculturalbonsucesso/</t>
  </si>
  <si>
    <t>https://www.facebook.com/espacoculturalnovabonsucesso</t>
  </si>
  <si>
    <t>https://www.youtube.com/channel/UC2rM6czNMUhHllLmwlYhtUQ</t>
  </si>
  <si>
    <t>https://drive.google.com/open?id=17hhhfpsJsALqAQlkT3EzWCYAsnieGqPq</t>
  </si>
  <si>
    <t>https://drive.google.com/open?id=1KeUMnmunSIgxGiVLM2qxhLb8x745-KmI</t>
  </si>
  <si>
    <t>https://drive.google.com/open?id=1nKslTCiR7MOIap3kuYI5hXKi1JvsCNWF</t>
  </si>
  <si>
    <t>Projeto Pela Rua Pelo Reino</t>
  </si>
  <si>
    <t>36.348.216/0001-90</t>
  </si>
  <si>
    <t>Maria Madalena Teixeira Neves Pereira</t>
  </si>
  <si>
    <t>p.r.v.pelaruapeloreino@gmail.com</t>
  </si>
  <si>
    <t>(11)9528-34372</t>
  </si>
  <si>
    <t>Estrada de Furnas 262</t>
  </si>
  <si>
    <t>Jaçana</t>
  </si>
  <si>
    <t>02324-140</t>
  </si>
  <si>
    <t>Esporte; Educação; Empregabilidade; Assistência Social; Cultura; Qualificação Profissional; Empreendedorismo; Saúde</t>
  </si>
  <si>
    <t>pessoas com Problemas com vicio em álcool e  drogas</t>
  </si>
  <si>
    <t>Plataforma doação online - Pessoa Física; Doações; Recursos próprios</t>
  </si>
  <si>
    <t>www.pelaruapeloreino.com.br</t>
  </si>
  <si>
    <t>https://www.instagram.com/pelaruapeloreinooficial/</t>
  </si>
  <si>
    <t>https://www.facebook.com/pelaruapeloreinooficial/</t>
  </si>
  <si>
    <t>https://www.youtube.com/channel/UC7WFV0uu9d-FuhVtAXcAFOw</t>
  </si>
  <si>
    <t>https://drive.google.com/open?id=1amOjSmGP8LEmkgGNKHSX-QzToU-6s0Mm</t>
  </si>
  <si>
    <t>ABC Mundo Novo</t>
  </si>
  <si>
    <t>06.262.150/0001-50</t>
  </si>
  <si>
    <t>Sara izabel da silva paganotti</t>
  </si>
  <si>
    <t>ongabc2022@gmail.com</t>
  </si>
  <si>
    <t>(11)94089-9539</t>
  </si>
  <si>
    <t>Estrada dom joao nery</t>
  </si>
  <si>
    <t>Jardim loyrdes</t>
  </si>
  <si>
    <t>Sao paulo</t>
  </si>
  <si>
    <t>08452-340</t>
  </si>
  <si>
    <t>Educação; Empregabilidade; Assistência Social; Cultura; Qualificação Profissional; Empreendedorismo; Saúde; Meio ambiente; Apoio à gestão de organizações de Terceiro Setor; Defesa de Direitos</t>
  </si>
  <si>
    <t>Moradores de Favelas; Pessoas em situação de rua; População LGBTQ+; Pessoas com Deficiência</t>
  </si>
  <si>
    <t>https://sociedadedosypesdo.wixsite.com/websiteongabc</t>
  </si>
  <si>
    <t>https://instagram.com/ongabcjuntossomosfortes</t>
  </si>
  <si>
    <t>https://m.facebook.com/ongabcjuntossomosfortes/</t>
  </si>
  <si>
    <t>https://drive.google.com/open?id=1EeRYb5Hd_yl89G_xiWKyO0uQ8jCVL_zK</t>
  </si>
  <si>
    <t>https://drive.google.com/open?id=1BXZVBbCkcJ1NxUnauvM2iexlf-gNpz_n</t>
  </si>
  <si>
    <t>Associação de Proteção à Infância Vovô Vitorino</t>
  </si>
  <si>
    <t>00.300.943/0001-30</t>
  </si>
  <si>
    <t>Livercina Xavier</t>
  </si>
  <si>
    <t>associacaovovovitorino@gmail.com</t>
  </si>
  <si>
    <t>(41)3396-1322</t>
  </si>
  <si>
    <t>Rua Tenente coronel Manoel Eufrásio de Assumpção</t>
  </si>
  <si>
    <t>Tatuquara</t>
  </si>
  <si>
    <t>81480-206</t>
  </si>
  <si>
    <t>Educação; Assistência Social; Qualificação Profissional; Meio ambiente; Defesa de Direitos; Desenvolvimento comunitário</t>
  </si>
  <si>
    <t>Moradores de Favelas; Povos Indígenas</t>
  </si>
  <si>
    <t>vovovitorino.org.br</t>
  </si>
  <si>
    <t>instagram.com/vovovitorino</t>
  </si>
  <si>
    <t>facebook.com/associacaovovovitorino</t>
  </si>
  <si>
    <t>https://drive.google.com/open?id=1pc0ZaKAqyD1m4IfEBftaewQMC7ALrr0J</t>
  </si>
  <si>
    <t>https://drive.google.com/open?id=1G8060icRd-qqqc-fn0FkRBUPRELKkZSo</t>
  </si>
  <si>
    <t>Associação Ethos Sustentável</t>
  </si>
  <si>
    <t>28.888.059/0001-87</t>
  </si>
  <si>
    <t>WAGNER GONÇALVES RAMALHO</t>
  </si>
  <si>
    <t>contato.ethossustentavel@gmail.com</t>
  </si>
  <si>
    <t>(11)98228-2504</t>
  </si>
  <si>
    <t>ANGELO ALUIZIO</t>
  </si>
  <si>
    <t>Parque Vitória</t>
  </si>
  <si>
    <t>Casa 03</t>
  </si>
  <si>
    <t>02276-100</t>
  </si>
  <si>
    <t>Educação; Assistência Social; Cultura; Qualificação Profissional; Empreendedorismo; Meio ambiente; Negócios Sociais; Defesa de Direitos; Desenvolvimento comunitário</t>
  </si>
  <si>
    <t>Moradores de Favelas; Povos Indígenas; Afrodescendentes</t>
  </si>
  <si>
    <t>NÃO TEMOS</t>
  </si>
  <si>
    <t>https://www.pratoverdesustentavel.com.br/</t>
  </si>
  <si>
    <t>https://www.instagram.com/pratoverdesustentavel/</t>
  </si>
  <si>
    <t>https://www.facebook.com/pratoverdesustentavel</t>
  </si>
  <si>
    <t>https://youtube.com/channel/UCfNlFdQ6AH6YOFlj73uQltQ</t>
  </si>
  <si>
    <t>https://drive.google.com/open?id=1l4PxbMMhKTz4_NK4pP9pKblbe0vUdIJ-</t>
  </si>
  <si>
    <t>https://drive.google.com/open?id=1l1toR_Ox5BnwCz3SlhnejvMKSENI0Q6s</t>
  </si>
  <si>
    <t>https://drive.google.com/open?id=1fbJVu7uYWkeIdTszrJC0AZ8jLBJVS_Vg</t>
  </si>
  <si>
    <t>Instituto Eclesia Movement</t>
  </si>
  <si>
    <t>37.018.069/0001-52</t>
  </si>
  <si>
    <t>Jhonata de Sousa Pereira</t>
  </si>
  <si>
    <t>iem@institutoeclesia.org.br</t>
  </si>
  <si>
    <t>(11)99705-2135</t>
  </si>
  <si>
    <t>Rua Pacaembu</t>
  </si>
  <si>
    <t>Munhoz Júnior</t>
  </si>
  <si>
    <t>06240-080</t>
  </si>
  <si>
    <t>Esporte; Educação; Assistência Social; Cultura; Assistência Psicológica</t>
  </si>
  <si>
    <t>Outro(s); Doações; Recursos próprios</t>
  </si>
  <si>
    <t>https://www.institutoeclesia.org.br/</t>
  </si>
  <si>
    <t>https://www.instagram.com/instituto.eclesia/</t>
  </si>
  <si>
    <t>https://www.facebook.com/Instituto.Eclesia/</t>
  </si>
  <si>
    <t>https://www.youtube.com/channel/UCL890FJzS4m38VTWCwfk2fA</t>
  </si>
  <si>
    <t>https://drive.google.com/open?id=1acI1bd8DnXGlc9bbHMZIKQ78wSG3zuQj</t>
  </si>
  <si>
    <t>https://drive.google.com/open?id=1nyAnk1qJwc5ULt1P4RW0gnkku-V12UJz</t>
  </si>
  <si>
    <t>Associação Missão em Ação Social - AMEAS</t>
  </si>
  <si>
    <t>27.682.482/0001-63</t>
  </si>
  <si>
    <t>Valeria de Oliveira</t>
  </si>
  <si>
    <t>assocameas@gmail.com</t>
  </si>
  <si>
    <t>(11)99019-6543</t>
  </si>
  <si>
    <t>Rua Dardo Rocha 56</t>
  </si>
  <si>
    <t>Jardim Damasceno</t>
  </si>
  <si>
    <t>Salão</t>
  </si>
  <si>
    <t>02879-160</t>
  </si>
  <si>
    <t>Educação; Empregabilidade; Assistência Social; Cultura; Qualificação Profissional; Empreendedorismo; Saúde</t>
  </si>
  <si>
    <t>Moradores de Favelas; População LGBTQ+; Dependentes Químicos; Pessoas com Deficiência</t>
  </si>
  <si>
    <t>https://www.linkedin.com/in/valeria-oliveira-campelo-32716964</t>
  </si>
  <si>
    <t>https://instagram.com/ameasoficial?utm_medium=copy_link</t>
  </si>
  <si>
    <t>https://www.facebook.com/assoc.ameas.3</t>
  </si>
  <si>
    <t>https://drive.google.com/open?id=1bum4pHCksV_61G1eXbnf8pW_6BTwthET</t>
  </si>
  <si>
    <t>https://drive.google.com/open?id=1AM1m7A_saGKx05oQPYGs68YLCU42Shsq</t>
  </si>
  <si>
    <t>https://drive.google.com/open?id=1zMOGKvxSrPdqRgcfMn1qAaAi-UXCGigz</t>
  </si>
  <si>
    <t>Patronato Juvenil Garcense</t>
  </si>
  <si>
    <t>Ricardo Alexandre Valsechi Conessa</t>
  </si>
  <si>
    <t>patronatojuvenil@gmail.com</t>
  </si>
  <si>
    <t>Gabriela</t>
  </si>
  <si>
    <t>Araceli</t>
  </si>
  <si>
    <t>Garça</t>
  </si>
  <si>
    <t>17404-400</t>
  </si>
  <si>
    <t>-------</t>
  </si>
  <si>
    <t>Trabalhamos com o contra turno escolar uma Instituição que trabalha com crianças e adolescentes .</t>
  </si>
  <si>
    <t>https://drive.google.com/open?id=1urvTV27HFX4MZidYHpTxM_cpdOl56Sko</t>
  </si>
  <si>
    <t>https://drive.google.com/open?id=1JLkc6WnIplYREDBDYjakRzKtcWjZWbgM</t>
  </si>
  <si>
    <t>Associação Zedakah de Justiça Social</t>
  </si>
  <si>
    <t>30.677.261/0001-01</t>
  </si>
  <si>
    <t>Diogo Sakaue</t>
  </si>
  <si>
    <t>contato@institutozedakah.com</t>
  </si>
  <si>
    <t>(11)97087-8064</t>
  </si>
  <si>
    <t>Rua Manuel de Jesus Fernandes</t>
  </si>
  <si>
    <t>Jd. Santo Afonso</t>
  </si>
  <si>
    <t>07215-240</t>
  </si>
  <si>
    <t>Existe aproximadamente seis mil pessoas moradoras do bairro Jd. Santo Afonso. Os atendimentos são desenvolvidos para mais de 250 famílias em vulnerabilidade e risco social vivendo em terrenos invadidas da Prefeitura. matriarcais com aproximadamente cinco pessoas dentro da residência.</t>
  </si>
  <si>
    <t>Eventos/Ações para captação; Parceria iniciativa privada; Doações</t>
  </si>
  <si>
    <t>www.institutozedakah.com</t>
  </si>
  <si>
    <t>http://www.instagram.com/institutozedakah</t>
  </si>
  <si>
    <t>http://www.facebook.com/institutozedakah</t>
  </si>
  <si>
    <t>https://drive.google.com/open?id=1STfx3ckPIgPUDIMA05ilHgCh6OEpR8MC</t>
  </si>
  <si>
    <t>https://drive.google.com/open?id=1G_HeJAsVAJG0ApApA3zxLQGbtLS54vwz</t>
  </si>
  <si>
    <t>https://drive.google.com/open?id=1N5VKDh3we_9h_BWl91FIwPHgsDtTEHe5</t>
  </si>
  <si>
    <t>Associação Servos</t>
  </si>
  <si>
    <t>35.639.136/0001-20</t>
  </si>
  <si>
    <t>Welton cardoso</t>
  </si>
  <si>
    <t>servosassociacao@gmail.com</t>
  </si>
  <si>
    <t>(11)93271-7000</t>
  </si>
  <si>
    <t>Rua apaiari 99</t>
  </si>
  <si>
    <t>Jardim Vista Alegre</t>
  </si>
  <si>
    <t>02877-020</t>
  </si>
  <si>
    <t>Esporte; Educação; Assistência Social; Qualificação Profissional</t>
  </si>
  <si>
    <t>Moradores de Favelas; Pessoas em situação de rua; População LGBTQ+; Afrodescendentes; Dependentes Químicos</t>
  </si>
  <si>
    <t>Comunidades em situação de pobreza natalidade infantil repletas de pessoas viciadas em drogas as moradias com esgoto a seu aberto.</t>
  </si>
  <si>
    <t>https://instagram.com/associacaoservos?utm_medium=copy_link</t>
  </si>
  <si>
    <t>https://fb.watch/6iZYK4A8sc/</t>
  </si>
  <si>
    <t>https://drive.google.com/open?id=1-HPicbnj7ga68CyJBf5YEy49HQhr7ZGE</t>
  </si>
  <si>
    <t>https://drive.google.com/open?id=1ih-Hss6LAD6hoBo9WX7QuqTOgnFNbHiE</t>
  </si>
  <si>
    <t>https://drive.google.com/open?id=1wzKSsq--eXktH1mTbVF5dybWKSx9LP5u</t>
  </si>
  <si>
    <t>Associação Comunitária Maria João de Deus</t>
  </si>
  <si>
    <t>63.893.622/0001-06</t>
  </si>
  <si>
    <t>José Barlafante Scavazini</t>
  </si>
  <si>
    <t>maria.joaodedeus@hotmail.com</t>
  </si>
  <si>
    <t>(17)3462-7537</t>
  </si>
  <si>
    <t>Avenida Jesus Torrecilha</t>
  </si>
  <si>
    <t>Jardim Ipanema</t>
  </si>
  <si>
    <t>15612-416</t>
  </si>
  <si>
    <t>Esporte; Assistência Social; Cultura; Empreendedorismo; Meio ambiente; Defesa de Direitos; Desenvolvimento comunitário</t>
  </si>
  <si>
    <t>Bebês (0 a 1 ano e 6 meses); Crianças bem pequenas (1 ano e 7 meses até 3 anos e 11 meses); Crianças pequenas (4 anos a 5 anos e 11 meses); Crianças (6 a 12 anos); Adolescentes (12 aos 18 anos); Adultos</t>
  </si>
  <si>
    <t>São crianças adolescentes e seus familiares em situação de vulnerabilidade</t>
  </si>
  <si>
    <t>Negócio Social; Convênio Público; Eventos/Ações para captação; Editais; Doações; Recursos próprios</t>
  </si>
  <si>
    <t>50% CMAS e CMDCA,  30% Negócios Social,  20% Eventos  e 10% Doadores</t>
  </si>
  <si>
    <t>www.mariajoaodedeus.com.br</t>
  </si>
  <si>
    <t>@maria.joaodedeus</t>
  </si>
  <si>
    <t>https://www.facebook.com/mariajoaodedeus.entidade</t>
  </si>
  <si>
    <t>https://drive.google.com/open?id=1Cs0zhrZHD87tEnrnpUD6f30SU_o5pYaT</t>
  </si>
  <si>
    <t>https://drive.google.com/open?id=155xpplRc8LcCzXERuAIZyquFucuMlDQW</t>
  </si>
  <si>
    <t>https://drive.google.com/open?id=1WuHIN3UnkqiXqBRsJgKtzyZhbfCOd8oC</t>
  </si>
  <si>
    <t>Associação de Apoio às Famílias Vulneráveis</t>
  </si>
  <si>
    <t>Janeide Barbosa da Silva</t>
  </si>
  <si>
    <t>aafv.doacoes@gmail.com</t>
  </si>
  <si>
    <t>(11)98476-7740</t>
  </si>
  <si>
    <t>Avenida Laranja da China</t>
  </si>
  <si>
    <t>Jardim das Camélias</t>
  </si>
  <si>
    <t>08050-710</t>
  </si>
  <si>
    <t>Assistência Social; Desenvolvimento comunitário</t>
  </si>
  <si>
    <t>Moradores de Favelas; Pessoas em situação de rua; Pessoas com Deficiência</t>
  </si>
  <si>
    <t>http://instagram.com/associacao.de.apoio.a.familia</t>
  </si>
  <si>
    <t>https://www.facebook.com/associacaodeapoioasfamilias/</t>
  </si>
  <si>
    <t>https://drive.google.com/open?id=1ON2mJH1LuR2BgZeLQUBPjEPQhiX1BYdk</t>
  </si>
  <si>
    <t>Núcleo de Apoio ao Pequeno Cidadão</t>
  </si>
  <si>
    <t>05.218.684/0001-16</t>
  </si>
  <si>
    <t>Ingrid Gonçalves Moraes</t>
  </si>
  <si>
    <t>pequenocidadao@pequenocidadao.org.br</t>
  </si>
  <si>
    <t>Rua Tietê</t>
  </si>
  <si>
    <t>Vila Vivaldi</t>
  </si>
  <si>
    <t>São Bernardo do Campo</t>
  </si>
  <si>
    <t>Assistência Social; Meio ambiente; Comunicação</t>
  </si>
  <si>
    <t>Convênio Público; Eventos/Ações para captação; Parceria iniciativa privada; Editais</t>
  </si>
  <si>
    <t>65% Poder Público - 15% editais - 10% Negócio Social - 5% doações - 5% Eventos</t>
  </si>
  <si>
    <t>www.pequenocidadao.org.br</t>
  </si>
  <si>
    <t>https://www.instagram.com/pequenocidadaoong/</t>
  </si>
  <si>
    <t>https://www.facebook.com/ongpequenocidadao</t>
  </si>
  <si>
    <t>https://youtube.com/RádioCidadão</t>
  </si>
  <si>
    <t>https://drive.google.com/open?id=1XrwALwTHCbVoqn8FYzK0uZyVIsyPYIro</t>
  </si>
  <si>
    <t>https://drive.google.com/open?id=14rBZ036ZqAvjD8RI6pAIVj7FP-W7-nRi</t>
  </si>
  <si>
    <t>https://drive.google.com/open?id=1NbhKjIqCowMhmOc58_jATpknqvRo0lu2</t>
  </si>
  <si>
    <t>Instituto Fábrica de Vencedor</t>
  </si>
  <si>
    <t>30.396.934/0001-55</t>
  </si>
  <si>
    <t>Geraldo Elias de Souza</t>
  </si>
  <si>
    <t>gestaoararaquara@gmail.com</t>
  </si>
  <si>
    <t>(16)3014-1287</t>
  </si>
  <si>
    <t>Rua Manoel Rodrigues Jacob, 1155</t>
  </si>
  <si>
    <t>Santa Angelina</t>
  </si>
  <si>
    <t>Araraquara</t>
  </si>
  <si>
    <t>14802-195</t>
  </si>
  <si>
    <t>Esporte; Assistência Social; Cultura; Qualificação Profissional</t>
  </si>
  <si>
    <t>O Instituto Fábrica de Vencedor atende toda cidade de Araraquara. A cidade não tem favela porém diversos bairros vulneráveis e pobres. Temos matriculadas crianças de todos os bairros do município. Nossa prioridade são Crianças e adolescentes de 05 a 17 anos de idade prioritariamente vivendo em situação de vulnerabilidade social.</t>
  </si>
  <si>
    <t>Lei de Incentivo; Eventos/Ações para captação; Parceria iniciativa privada; Editais; Lei Estadual da Cultura; Lei Rouanet; FIA</t>
  </si>
  <si>
    <t>90% leis de incentivo (Lei Rouanet / ProAC / LPIE / FIA), 8% parceria iniciativa privada e 2% eventos e ações de captação.</t>
  </si>
  <si>
    <t>www.institutofabricadevencedor.com.br</t>
  </si>
  <si>
    <t>https://www.instagram.com/institutofabricadevencedor/</t>
  </si>
  <si>
    <t>https://www.facebook.com/nucleodeartesclassicas</t>
  </si>
  <si>
    <t>https://www.youtube.com/channel/UCatlgF1BzMK6RSnB1Jab-xg</t>
  </si>
  <si>
    <t>https://drive.google.com/open?id=17XH7grwaQInzOvMSarX2SSJr8pJEgGvq</t>
  </si>
  <si>
    <t>https://drive.google.com/open?id=1RtJi9QnTuO3aVw3v4jzEFS5d-hrWWYQG</t>
  </si>
  <si>
    <t>https://drive.google.com/open?id=14l7F7OIrnJ4ZSuK-J-M8YFXqMmIq2xi4</t>
  </si>
  <si>
    <t>Associacao Elisabeth Bruyere</t>
  </si>
  <si>
    <t>Sebastiana Fátima Pereira</t>
  </si>
  <si>
    <t>elisabethbruyere@yahoo.com.br</t>
  </si>
  <si>
    <t>Rua Pinhão</t>
  </si>
  <si>
    <t>Jardim Santa Maria</t>
  </si>
  <si>
    <t>https://associacaoelisabethbruyere.com.br/</t>
  </si>
  <si>
    <t>https://www.instagram.com/elisabethbruyere/</t>
  </si>
  <si>
    <t>https://www.facebook.com/ebbruyere/</t>
  </si>
  <si>
    <t>https://drive.google.com/open?id=1K0-Kg896-obXLYumr_HtKzYNlu82gn9L</t>
  </si>
  <si>
    <t>https://drive.google.com/open?id=1-rpIVYMm25k_RGohm0PZkleLU1xl57Hc</t>
  </si>
  <si>
    <t>https://drive.google.com/open?id=1tt0jxLp6xUcQmY9fsEqg-_60wbAR2hN9</t>
  </si>
  <si>
    <t>Associação Brasileira Missão e Esperança (ASBRAME)</t>
  </si>
  <si>
    <t>37.797.028/0001-01</t>
  </si>
  <si>
    <t>Cristiane de Almeida Deus Dara dos Santos</t>
  </si>
  <si>
    <t>atendimento@asbramebrasil.org</t>
  </si>
  <si>
    <t>(11)9449-72639</t>
  </si>
  <si>
    <t>Rua caxiu 201</t>
  </si>
  <si>
    <t>Cidade A.E Carvalho</t>
  </si>
  <si>
    <t>São paulo</t>
  </si>
  <si>
    <t>08225-330</t>
  </si>
  <si>
    <t>Esporte; Educação; Empregabilidade; Assistência Social; Qualificação Profissional; Empreendedorismo; Assistência Psicológica; Desenvolvimento comunitário</t>
  </si>
  <si>
    <t>Moradores de Favelas; Pessoas em situação de rua; Imigrantes</t>
  </si>
  <si>
    <t>Famílias carentes de comunidades desestruturadas</t>
  </si>
  <si>
    <t>Eventos/Ações para captação; Plataforma doação online - Pessoa Física; Doações</t>
  </si>
  <si>
    <t>https://sites.google.com/asbramebrasil.org/asbramebrasil</t>
  </si>
  <si>
    <t>https://instagram.com/asbrame_brasil?utm_medium=copy_link</t>
  </si>
  <si>
    <t>https://facebook.com/Asbramebrasil/</t>
  </si>
  <si>
    <t>https://drive.google.com/open?id=1-3Uzra5KfWgYgwDavEKXo4u5C-EHcFn8</t>
  </si>
  <si>
    <t>https://drive.google.com/open?id=1PuGYUWXgFkFF_g8EMfTLScKXefTerqN3</t>
  </si>
  <si>
    <t>https://drive.google.com/open?id=16NQNT_kmmNd-fh44hUvkZ7MqGLmsoKDy</t>
  </si>
  <si>
    <t>Coletivo Vida Nova</t>
  </si>
  <si>
    <t>Leopoldo Matias</t>
  </si>
  <si>
    <t>coletivovidanova@gmail.com</t>
  </si>
  <si>
    <t>(19)99318-8367</t>
  </si>
  <si>
    <t>Rua Odete Therezinha Santucci</t>
  </si>
  <si>
    <t>Vida Nova</t>
  </si>
  <si>
    <t>13057-505</t>
  </si>
  <si>
    <t>Esporte; Educação; Cultura; Saúde; Defesa de Direitos; Comunicação; Desenvolvimento comunitário</t>
  </si>
  <si>
    <t>Moradores de Favelas; População LGBTQ+; Afrodescendentes; Pessoas com Deficiência; Egressos sistema carcerário</t>
  </si>
  <si>
    <t>Plataforma doação online - Pessoa Física; Editais; Doações; Recursos próprios</t>
  </si>
  <si>
    <t>https://instagram.com/coletivovidanova</t>
  </si>
  <si>
    <t>https://www.facebook.com/coletivovidanova</t>
  </si>
  <si>
    <t>https://drive.google.com/open?id=1UFOmfyN95MIg-t4NneQx4IyZnpGymWbW</t>
  </si>
  <si>
    <t>Instituto Criança Mais Feliz RS</t>
  </si>
  <si>
    <t>39.680.115/0001-00</t>
  </si>
  <si>
    <t>Sinara Sonallio</t>
  </si>
  <si>
    <t>criancamaisfelizrstreinamento@gmail.com</t>
  </si>
  <si>
    <t>(51)99192-4529</t>
  </si>
  <si>
    <t>Gonçalves Dias</t>
  </si>
  <si>
    <t>Menino Deus</t>
  </si>
  <si>
    <t>90630-060</t>
  </si>
  <si>
    <t>Bebês (0 a 1 ano e 6 meses); Crianças bem pequenas (1 ano e 7 meses até 3 anos e 11 meses); Crianças pequenas (4 anos a 5 anos e 11 meses); Crianças (6 a 12 anos)</t>
  </si>
  <si>
    <t>Nós não temos um número fechado de comunidades que atendemos pois conforme recebemos pedidos das próprias comunidades e buscamos conhecer novas que estejam necessitando de doações nós entregamos</t>
  </si>
  <si>
    <t>https://criancamaisfelizrs.org.br/</t>
  </si>
  <si>
    <t>https://www.instagram.com/institutocriancamaisfelizrs/</t>
  </si>
  <si>
    <t>https://www.facebook.com/criancamaisfelizrs</t>
  </si>
  <si>
    <t>https://drive.google.com/open?id=1ShBaDI1IHqL0nTshZRoQnrz2shdu89st</t>
  </si>
  <si>
    <t>https://drive.google.com/open?id=1s6d2Hvc1QxM3XmFI3GxlOAFs4k5Ed9l5</t>
  </si>
  <si>
    <t>https://drive.google.com/open?id=1IUfSiX0TPttkfVp0rqVeDCRfhP0cbBe-</t>
  </si>
  <si>
    <t>Junta que Ajuda</t>
  </si>
  <si>
    <t>Fernanda Rocha Campanile</t>
  </si>
  <si>
    <t>juntaqueajuda@outlook.com</t>
  </si>
  <si>
    <t>Avenida 9 de Julho</t>
  </si>
  <si>
    <t>sala 2</t>
  </si>
  <si>
    <t>Jd Margareth - Suzano-Jd Santos Dumont 2 / Mogi das Cruzes-Bairro São José / Poá-Birtiba Ussu - Mogi das Cruzes-Jd Maite /Suzano-Novo Horizonte / Mogi das Cruzes-Kemel / Itaquaquecetuba -Botujuru/ Mogi das Cruzes</t>
  </si>
  <si>
    <t>Não atendemos o mesmo local frequentemente em cada ação procuramos um novo lugar</t>
  </si>
  <si>
    <t>www.juntaqueajuda.com.br</t>
  </si>
  <si>
    <t>instagram.com/juntaqueajuda</t>
  </si>
  <si>
    <t>facebook.com/juntaqueajuda</t>
  </si>
  <si>
    <t>https://drive.google.com/open?id=1dHlyGadNwdvcVycgh918K_cnI4iwzxy0</t>
  </si>
  <si>
    <t>https://drive.google.com/open?id=1t5wgXMtzRYAM8bWY4NhHp0Ba6NuOF0EC</t>
  </si>
  <si>
    <t>https://drive.google.com/open?id=1PUQTNJfsHifotXuglLdNdzkdKEQAVzk7</t>
  </si>
  <si>
    <t>Inspirando Gerações em Amor</t>
  </si>
  <si>
    <t>44.713.381/0001-21</t>
  </si>
  <si>
    <t>Eduardo Augusto Beijo</t>
  </si>
  <si>
    <t>contatoinspirando@hotmail.com</t>
  </si>
  <si>
    <t>(14)99842-7222</t>
  </si>
  <si>
    <t>José Costa Ribeiro</t>
  </si>
  <si>
    <t>Jd Vãnia Maria</t>
  </si>
  <si>
    <t>Bauru</t>
  </si>
  <si>
    <t>17063-480</t>
  </si>
  <si>
    <t>Esporte; Educação; Empregabilidade; Assistência Social; Cultura; Qualificação Profissional; Defesa de Direitos; Assistência Psicológica; Desenvolvimento comunitário</t>
  </si>
  <si>
    <t>https://instagram.com/inspirandogeracoesemamor?utm_medium=copy_link</t>
  </si>
  <si>
    <t>https://drive.google.com/open?id=1uDlRvHOnlsVFI1FfOju8H-jcLIA6apFc</t>
  </si>
  <si>
    <t>Instituto Feliz Cidade</t>
  </si>
  <si>
    <t>35.688.775/0001-86</t>
  </si>
  <si>
    <t>Rogério Fernandes</t>
  </si>
  <si>
    <t>onginstitutofelizcidade@gmail.com</t>
  </si>
  <si>
    <t>(13)99683-2519</t>
  </si>
  <si>
    <t>Angelo Ponsoni</t>
  </si>
  <si>
    <t>Jardim das Acacias</t>
  </si>
  <si>
    <t>Pariquera-Açu</t>
  </si>
  <si>
    <t>Sala 2</t>
  </si>
  <si>
    <t>11930-000</t>
  </si>
  <si>
    <t>Esporte; Educação; Empregabilidade; Assistência Social; Cultura; Qualificação Profissional; Meio ambiente</t>
  </si>
  <si>
    <t>Crianças bem pequenas (1 ano e 7 meses até 3 anos e 11 meses); Crianças pequenas (4 anos a 5 anos e 11 meses); Crianças (6 a 12 anos); Adolescentes (12 aos 18 anos); Jovens (18 aos 24 anos); Adultos</t>
  </si>
  <si>
    <t>www.instagram.com/ongfelizcidade</t>
  </si>
  <si>
    <t>www.facebook.com.br/ongfelizcidade</t>
  </si>
  <si>
    <t>https://www.youtube.com/channel/UCZAf37Lqc5ldGIQWPoHsUAA</t>
  </si>
  <si>
    <t>https://drive.google.com/open?id=1vXtLK4mRxhj3HDwGveQfgIw_JnhV6DlI</t>
  </si>
  <si>
    <t>https://drive.google.com/open?id=1HxwiZTNkXnMEQV66LzD-0p4ynjJey0vh</t>
  </si>
  <si>
    <t>ASSOCIAÇÃO BENEFICENTE EDUCACIONAL CORUJINHAS</t>
  </si>
  <si>
    <t>02.214.952/0001-33</t>
  </si>
  <si>
    <t>Patrícia Félix</t>
  </si>
  <si>
    <t>associacaobeneficiente2018@hotmail.com</t>
  </si>
  <si>
    <t>(11)96368-4890</t>
  </si>
  <si>
    <t>Altos do oiti 651</t>
  </si>
  <si>
    <t>VILA HELENA</t>
  </si>
  <si>
    <t>ANTIGO 64</t>
  </si>
  <si>
    <t>08081-420</t>
  </si>
  <si>
    <t>Educação; Assistência Social; Defesa de Direitos</t>
  </si>
  <si>
    <t>Bebês (0 a 1 ano e 6 meses); Crianças (6 a 12 anos); Adolescentes (12 aos 18 anos)</t>
  </si>
  <si>
    <t>JOVENS E ADULTOS  QUEM PRECISAR DE AJUDA .</t>
  </si>
  <si>
    <t>Convênio Público; Parceria iniciativa privada; Doações</t>
  </si>
  <si>
    <t>Zero</t>
  </si>
  <si>
    <t>https://instagram.com/abeducacional?utm_medium=copy_link</t>
  </si>
  <si>
    <t>https://instagram.com/semeando_esperanca_acao_social?utm_medium=copy_link</t>
  </si>
  <si>
    <t>https://drive.google.com/open?id=1uT1RG5Vwfcwf4HdK2gKIr-zCaK-d_hHR</t>
  </si>
  <si>
    <t>https://drive.google.com/open?id=1o0EuaPs9d-QsFc6NcKM3gkhD5ZZ_24md</t>
  </si>
  <si>
    <t>https://drive.google.com/open?id=1DYGxQN_WdbTti3Hlh8M8G_1v_PPZilHb</t>
  </si>
  <si>
    <t>ASSOCIACAO GIBI ESPORTE E EDUCACAO</t>
  </si>
  <si>
    <t>32.308.584/0001-53</t>
  </si>
  <si>
    <t>Antonio Cruz de Jesus</t>
  </si>
  <si>
    <t>administrador@gibiesporteeducacao.org.br</t>
  </si>
  <si>
    <t>(11)96566-5248</t>
  </si>
  <si>
    <t>RUA SATI NAKAMURA, 200</t>
  </si>
  <si>
    <t>São Judas</t>
  </si>
  <si>
    <t>Taboão da Serra</t>
  </si>
  <si>
    <t>06786-480</t>
  </si>
  <si>
    <t>Lei de Incentivo; Editais; Doações; Lei Estadual da Cultura; Lei Municipal da Cultura; Lei Estadual do Esporte; Lei Federal do Esporte; Recursos próprios</t>
  </si>
  <si>
    <t>https://www.gibiesporteeducacao.org.br/</t>
  </si>
  <si>
    <t>https://www.instagram.com/gibiesporteeducacao/</t>
  </si>
  <si>
    <t>https://www.facebook.com/gibi.embacado.1</t>
  </si>
  <si>
    <t>https://www.youtube.com/channel/UCsfbH2lqPSY32JLoCD1tCKw</t>
  </si>
  <si>
    <t>https://drive.google.com/open?id=1A7KllpTlOLbgQaqCbKSPFZ1PdjWaJDJ6</t>
  </si>
  <si>
    <t>https://drive.google.com/open?id=1LaN1eWLxhpGFg7KtdDeMbVCwGWq2bHs-</t>
  </si>
  <si>
    <t>Instituição de Incentivo à Criança e ao Adolescente de Mogi Mirim</t>
  </si>
  <si>
    <t>02.030.097/0001-00</t>
  </si>
  <si>
    <t>Maristela Mazon Albejante</t>
  </si>
  <si>
    <t>comunicacao@projetoica.org.br</t>
  </si>
  <si>
    <t>(19)3862-3794</t>
  </si>
  <si>
    <t>Avenida Brasilia 350</t>
  </si>
  <si>
    <t>Loteamento Nova Mogi</t>
  </si>
  <si>
    <t>Mogi Mirim</t>
  </si>
  <si>
    <t>13800-280</t>
  </si>
  <si>
    <t>Na cidade de Mogi Mirim não temos favelas como as de São Paulo então consideramos aqui os dois territórios de maior vulnerabilidade social onde realizamos atendimento.
Vale ressaltar que com o investimento em atendimentos no território conseguimos disponibilizar hoje 165 vagas nas comunidade mencionadas. Mas além dessas vagas nos pontos externos da instituição a maioria dos educandos atendidos na sede são moradores das regiões mencionadas.
Na projeção de vagas que fizemos no início do ano imaginávamos um cenário de atendimentos presenciais mas com a situação atual precisamos adaptar para o atendimento híbrido dando preferência para os casos de maior vulnerabilidade no caso presencial.</t>
  </si>
  <si>
    <t>Lei de Incentivo; Convênio Público; Eventos/Ações para captação; Plataforma doação online - Pessoa Física; Parceria iniciativa privada; Editais; Outro(s); Doações; Lei Estadual da Cultura; Lei Estadual do Esporte; Lei Rouanet; FIA; Recursos próprios</t>
  </si>
  <si>
    <t>Convênios públicos	28% Lei Federal - IR	37% Editais	19% Lei Estadual - ICMS	4% Empresas - verba carimbada	1% Empresas - verba livre	3% Investimentos	4% Recurso Próprio	2% Pessoa Física	2%</t>
  </si>
  <si>
    <t>www.projetoica.org.br</t>
  </si>
  <si>
    <t>https://www.instagram.com/instituicaoica/</t>
  </si>
  <si>
    <t>https://www.facebook.com/instituicaoica/</t>
  </si>
  <si>
    <t>https://www.youtube.com/user/instituicaoica</t>
  </si>
  <si>
    <t>https://drive.google.com/open?id=1uvyc3szzvnU_JzJVa8MZwR_nJWwQgxNd</t>
  </si>
  <si>
    <t>https://drive.google.com/open?id=1raFpbpwdIGB8k9OTnkfAqgMhUa3T6763</t>
  </si>
  <si>
    <t>https://drive.google.com/open?id=1BllfkkVFqneU_amxwxzWy5iJlP0oH2BP</t>
  </si>
  <si>
    <t>Associação de apoio a Mães de Especiais- Instituto AME</t>
  </si>
  <si>
    <t>41.369.607/0001-20</t>
  </si>
  <si>
    <t>LUCIANE SOUZA BOMFIM</t>
  </si>
  <si>
    <t>bomfim.luciane@gmail.com</t>
  </si>
  <si>
    <t>(11)96610-8060</t>
  </si>
  <si>
    <t>Estrada dos Galdinos</t>
  </si>
  <si>
    <t>cotia</t>
  </si>
  <si>
    <t>ap 16 bloco 2</t>
  </si>
  <si>
    <t>06710-400</t>
  </si>
  <si>
    <t>Esporte; Assistência Social; Empreendedorismo; Empoderamento Feminino; Assistência Psicológica</t>
  </si>
  <si>
    <t>Portadores de deficiência e seus familiares</t>
  </si>
  <si>
    <t>nenhuma</t>
  </si>
  <si>
    <t>www.iameong.com.br</t>
  </si>
  <si>
    <t>@instituto.ame</t>
  </si>
  <si>
    <t>https://www.facebook.com/institutoamebr</t>
  </si>
  <si>
    <t>https://youtube.com/channel/UCQKRqZrqILD4it2See2Xcqg</t>
  </si>
  <si>
    <t>https://drive.google.com/open?id=1gkoBTGepm7e5QAubpfkR1x7ryFkpxaNZ</t>
  </si>
  <si>
    <t>https://drive.google.com/open?id=1BIIsHNMzFULNJk6msRDpj8JvDZhG1ERh</t>
  </si>
  <si>
    <t>https://drive.google.com/open?id=1YKfT3urNt2_c41x8O49r3CA05gKmUmdr</t>
  </si>
  <si>
    <t>Fundação Getsêmani</t>
  </si>
  <si>
    <t>38.442.875/0001-16</t>
  </si>
  <si>
    <t>Rodrigo Lima</t>
  </si>
  <si>
    <t>getsemani@ipgnet.com.br</t>
  </si>
  <si>
    <t>Rua Dom Estevão Pimentel</t>
  </si>
  <si>
    <t>V formosa</t>
  </si>
  <si>
    <t>SAO PAULO</t>
  </si>
  <si>
    <t>Colina-Nhocune-Mata porco-Santo Eduardo----</t>
  </si>
  <si>
    <t>ASSOCIAÇÃO BENEFICEENTE ANJOS DE OURO</t>
  </si>
  <si>
    <t>22.227.741/0001-42</t>
  </si>
  <si>
    <t>Patrícia Cavalcante Curcino de Eça</t>
  </si>
  <si>
    <t>associacaobenefanjosdeouro@yahoo.com</t>
  </si>
  <si>
    <t>(11)96971-6829</t>
  </si>
  <si>
    <t>Rua simone martini</t>
  </si>
  <si>
    <t>Vila Santa Margarida</t>
  </si>
  <si>
    <t>03573-170</t>
  </si>
  <si>
    <t>Esporte; Educação; Empregabilidade; Assistência Social; Cultura; Qualificação Profissional; Empreendedorismo; Desenvolvimento comunitário</t>
  </si>
  <si>
    <t>Mães Solos</t>
  </si>
  <si>
    <t>100 recursos proprios</t>
  </si>
  <si>
    <t>https://www.instagram.com/associacaobenefanjosdeouro/</t>
  </si>
  <si>
    <t>https://drive.google.com/open?id=1kaYK99Kg9yNGx-IrucNcId5Fr34oFsCX</t>
  </si>
  <si>
    <t>https://drive.google.com/open?id=1eJXUZ8W0nQ_-WdEfZ65I6itLOktKSWTu</t>
  </si>
  <si>
    <t>C.A.E.F.A - Centro de Apoio a Educação e Formação do Adolescente</t>
  </si>
  <si>
    <t>47.850.623/0001-17</t>
  </si>
  <si>
    <t>José Luis Pereira da Silva</t>
  </si>
  <si>
    <t>caefa.fernandopolis@hotmail.com</t>
  </si>
  <si>
    <t>(17)3442-3111</t>
  </si>
  <si>
    <t>Av. Libero de Almeida Silvares, 2906</t>
  </si>
  <si>
    <t>Coester</t>
  </si>
  <si>
    <t>15603-087</t>
  </si>
  <si>
    <t>Assistência Social; Qualificação Profissional</t>
  </si>
  <si>
    <t>No município não existe mais favelas mas sim bairros com grande vulnerabilidade social e financeira. (Santo Antônio Paulistano Ipanema São Francisco Distr Brasitânia Araguaia Uirapuru Redentor Jaime Leone Paulista Brasilândia Eldorado).</t>
  </si>
  <si>
    <t>Eventos/Ações para captação; Editais; FIA; Recursos próprios</t>
  </si>
  <si>
    <t>CMDCA</t>
  </si>
  <si>
    <t>https://www.caefa.org.br/</t>
  </si>
  <si>
    <t>https://www.instagram.com/caefa.fernandopolis/</t>
  </si>
  <si>
    <t>https://pt-br.facebook.com/caefafernandopolis/</t>
  </si>
  <si>
    <t>https://drive.google.com/open?id=1YRXEu70C-B2Qj7ZkEOjF_OP32haZqFR5</t>
  </si>
  <si>
    <t>https://drive.google.com/open?id=1zKnh7n8-Bdk-kJ2JsWXDWc_5EJ-NuDCg</t>
  </si>
  <si>
    <t>https://drive.google.com/open?id=1hMIksQkgjras0E7d-5WiPPdGzGzfgtXi</t>
  </si>
  <si>
    <t>Peralta</t>
  </si>
  <si>
    <t>José Danilo da Silva</t>
  </si>
  <si>
    <t>projetoperalta@gmail.com</t>
  </si>
  <si>
    <t>(11)95113-0136</t>
  </si>
  <si>
    <t>Rua Francisco Vergueiro Porto</t>
  </si>
  <si>
    <t>Jardim Avenida</t>
  </si>
  <si>
    <t>04744-300</t>
  </si>
  <si>
    <t>Assistência Social; Cultura; Saúde; Negócios Sociais; Apoio à gestão de organizações de Terceiro Setor; Defesa de Direitos; Assistência Psicológica</t>
  </si>
  <si>
    <t>Bebês (0 a 1 ano e 6 meses); Crianças bem pequenas (1 ano e 7 meses até 3 anos e 11 meses); Crianças (6 a 12 anos); Adolescentes (12 aos 18 anos); Adultos</t>
  </si>
  <si>
    <t>Lei de Incentivo; Negócio Social; Doações; Recursos próprios</t>
  </si>
  <si>
    <t>Lei de Incentivo 40% Negócio Social 10% Doações 10% Recursos Próprios 40%</t>
  </si>
  <si>
    <t>https://www.instagram.com/projetoperalta/</t>
  </si>
  <si>
    <t>Doa Cg</t>
  </si>
  <si>
    <t>Guilherme</t>
  </si>
  <si>
    <t>doacampogrande@gmail.com</t>
  </si>
  <si>
    <t>(67)99105-7716</t>
  </si>
  <si>
    <t>Rua Jauaperi 669</t>
  </si>
  <si>
    <t>Jardim Columbia</t>
  </si>
  <si>
    <t>79018-081</t>
  </si>
  <si>
    <t>https://www.instagram.com/doa_cg/</t>
  </si>
  <si>
    <t>INSTITUTO PAPEL DE MENINO</t>
  </si>
  <si>
    <t>10.398.480/0001-44</t>
  </si>
  <si>
    <t>Silvana Goulart Urbani</t>
  </si>
  <si>
    <t>silvana@papeldemenino.org.br</t>
  </si>
  <si>
    <t>(11)99407-6131</t>
  </si>
  <si>
    <t>Rua Regô Freitas</t>
  </si>
  <si>
    <t>SANTANA</t>
  </si>
  <si>
    <t>01220-010</t>
  </si>
  <si>
    <t>Educação; Empregabilidade; Assistência Social; Qualificação Profissional</t>
  </si>
  <si>
    <t>NOSSO PUBLICO ALVO É JOVENS EM CUMPRIMENTO DE MEDIDA SOCIO EDUCATIVA NA FUNDAÇÃO CASA</t>
  </si>
  <si>
    <t>http://www.papeldemenino.org.br/</t>
  </si>
  <si>
    <t>https://instagram.com/ipapeldemenino?igshid=YmMyMTA2M2Y=</t>
  </si>
  <si>
    <t>https://drive.google.com/open?id=1ND0tkNHLp9q2wh9sh44xGTdpXEkNMScJ</t>
  </si>
  <si>
    <t>Associação Beneficente Educacional Tabernaculo</t>
  </si>
  <si>
    <t>08.839.622/0001-10</t>
  </si>
  <si>
    <t>Edna Bezerra Padilha</t>
  </si>
  <si>
    <t>asstabernaculo@gmail.com</t>
  </si>
  <si>
    <t>(11)98411-0132</t>
  </si>
  <si>
    <t>Rua Giacomo Quirino</t>
  </si>
  <si>
    <t>Itaquera</t>
  </si>
  <si>
    <t>Sala D/E</t>
  </si>
  <si>
    <t>08255-490</t>
  </si>
  <si>
    <t>Esporte; Educação; Empregabilidade; Assistência Social; Cultura; Empreendedorismo; Meio ambiente; Empoderamento Feminino; Negócios Sociais; Apoio à gestão de organizações de Terceiro Setor; Defesa de Direitos; Desenvolvimento comunitário</t>
  </si>
  <si>
    <t>Atendemos famílias de extrema vulnerabilidade crianças com deficiências mulheres arrimo de família e pessoas com doenças crônicas.</t>
  </si>
  <si>
    <t>https://www.instagram.com/ass.tabernaculo/</t>
  </si>
  <si>
    <t>https://web.facebook.com/tabernaculoass</t>
  </si>
  <si>
    <t>https://drive.google.com/open?id=1686rNM5vrtHo5e2_CqaDfVKtdmrQXl6T</t>
  </si>
  <si>
    <t>https://drive.google.com/open?id=1VS-DTAeyDsuRUCW0QQCf2lpIUvSoc5D2</t>
  </si>
  <si>
    <t>Associação vivendo a arte</t>
  </si>
  <si>
    <t>vanessa mauricio bittencourt</t>
  </si>
  <si>
    <t>psvivendoaarte@gmail.com</t>
  </si>
  <si>
    <t>rua josé pedro gil</t>
  </si>
  <si>
    <t>agronomica</t>
  </si>
  <si>
    <t>florianópolis</t>
  </si>
  <si>
    <t>neim joao machado da silva</t>
  </si>
  <si>
    <t>morro do nova trento-morro do 25------</t>
  </si>
  <si>
    <t>https://instagram.com/psvivendoaarte?utm_medium=copy_link</t>
  </si>
  <si>
    <t>https://www.facebook.com/ava.floripa</t>
  </si>
  <si>
    <t>https://drive.google.com/open?id=1QW4A-vD32uppehfO5qLYPA_rJIHWdum-</t>
  </si>
  <si>
    <t>https://drive.google.com/open?id=1ludpMAnDexTcRswZzpZiBUQwOdy8WT00</t>
  </si>
  <si>
    <t>https://drive.google.com/open?id=1oYfEjOj0OtmzzWJXbq4PmRwFsARsTuhu</t>
  </si>
  <si>
    <t>Despertando Amor hoje</t>
  </si>
  <si>
    <t>Daniella Cristina Rodrigues Barbosa</t>
  </si>
  <si>
    <t>despertandoamorhoje@gmail.com</t>
  </si>
  <si>
    <t>(12)98126-0602</t>
  </si>
  <si>
    <t>Antonino Rosa Junior</t>
  </si>
  <si>
    <t>Vila passos</t>
  </si>
  <si>
    <t>Lorena</t>
  </si>
  <si>
    <t>12602-040</t>
  </si>
  <si>
    <t>Educação; Assistência Social; Cultura; Qualificação Profissional; Empreendedorismo; Meio ambiente; Negócios Sociais</t>
  </si>
  <si>
    <t>Atendemos famílias que bairros distintos também.</t>
  </si>
  <si>
    <t>https://www.instagram.com/despertandoamorhoje/</t>
  </si>
  <si>
    <t>Associação Semeando Amor</t>
  </si>
  <si>
    <t>37.072.636/0001-59</t>
  </si>
  <si>
    <t>Letícia Witzki Morona</t>
  </si>
  <si>
    <t>leticia@associacaosemeandoamor.org.br</t>
  </si>
  <si>
    <t>(41)98488-7194</t>
  </si>
  <si>
    <t>Rua Dr Estevam Ribeiro de Souza Neto</t>
  </si>
  <si>
    <t>Cajuru</t>
  </si>
  <si>
    <t>82900-060</t>
  </si>
  <si>
    <t>Educação; Assistência Social; Cultura; Saúde</t>
  </si>
  <si>
    <t>No momento como apresentei na entrevista e vídeo nosso trabalho apenas esta como palhaços hospitalares e nosso objetivo é ter um esáço (sede) para realizar as atividades em comunidade de vulnerabilidade para atender crianças e adolescentes em contra turno escolar.</t>
  </si>
  <si>
    <t>Plataforma doação online - Pessoa Física; Doações</t>
  </si>
  <si>
    <t>https://associacaosemeandoamor.org.br/</t>
  </si>
  <si>
    <t>www.instagram.com/associacaosemeandoamor</t>
  </si>
  <si>
    <t>www.facebook.com/gruposemeandoamor</t>
  </si>
  <si>
    <t>www.youtube.com/associacaosemeandoamor</t>
  </si>
  <si>
    <t>https://drive.google.com/open?id=1Fc8BPf0HH6EC_Mw38rZSE3mnVb7xXYB9</t>
  </si>
  <si>
    <t>https://drive.google.com/open?id=14yI9OiYt1MKjek9UMRUwKCVX_otPZyFa</t>
  </si>
  <si>
    <t>https://drive.google.com/open?id=1yVzyyyQOvCf5CD0_efBk69Ou9oCAXpEp</t>
  </si>
  <si>
    <t>Associação Projeto Esperança do Brasil</t>
  </si>
  <si>
    <t>12.010.320/0001-01</t>
  </si>
  <si>
    <t>Luiz Baldez Junior</t>
  </si>
  <si>
    <t>associacaopepp@gmail.com</t>
  </si>
  <si>
    <t>(18)4101-0800</t>
  </si>
  <si>
    <t>Av. JK</t>
  </si>
  <si>
    <t>Jd. Guanabara</t>
  </si>
  <si>
    <t>Presidente Prudente</t>
  </si>
  <si>
    <t>19033-300</t>
  </si>
  <si>
    <t>Esporte; Educação; Assistência Social; Cultura; Empreendedorismo</t>
  </si>
  <si>
    <t>100% nenhum</t>
  </si>
  <si>
    <t>www.associacaoprojetoesperanca.com.br</t>
  </si>
  <si>
    <t>https://drive.google.com/open?id=1Ut0Wu0cXSS9FJe96fG3HBj5n-TdBLNLx</t>
  </si>
  <si>
    <t>Sociedade beneficiente Israelita Brasileira Talmud Thora</t>
  </si>
  <si>
    <t>Cerzindo</t>
  </si>
  <si>
    <t>62.108.188/0001-43</t>
  </si>
  <si>
    <t>Geazlieb Begun</t>
  </si>
  <si>
    <t>leila@cerzindo.org.br</t>
  </si>
  <si>
    <t>(11)98532-2938</t>
  </si>
  <si>
    <t>Talmud Torá</t>
  </si>
  <si>
    <t>Bom Retiro</t>
  </si>
  <si>
    <t>01126-020</t>
  </si>
  <si>
    <t>Educação; Empregabilidade; Assistência Social; Qualificação Profissional; Empreendedorismo; Meio ambiente; Empoderamento Feminino; Negócios Sociais; Defesa de Direitos; Assistência Psicológica</t>
  </si>
  <si>
    <t>Imigrantes; Refugiados</t>
  </si>
  <si>
    <t>Refugiados e imigrantes</t>
  </si>
  <si>
    <t>Lei de Incentivo; Negócio Social; Doações</t>
  </si>
  <si>
    <t>70% CONDECA 30% bazar social</t>
  </si>
  <si>
    <t>www.cerzindo.org.br</t>
  </si>
  <si>
    <t>www.instagram.com.br/projetocerzindo</t>
  </si>
  <si>
    <t>facebook.com/projetocerzindo</t>
  </si>
  <si>
    <t>https://www.youtube.com/channel/UCwMyXGX7ctFYbUvseKaZhbg</t>
  </si>
  <si>
    <t>https://drive.google.com/open?id=1JOdsY4X3HJiZCRG6YC3xhD_kC33qPsqO</t>
  </si>
  <si>
    <t>https://drive.google.com/open?id=1CpgdJhhM8UbSc23ILqHZFzrWF7oWKcVo</t>
  </si>
  <si>
    <t>Instituto Pro Mais</t>
  </si>
  <si>
    <t>Alcides Paes do Prado Junior</t>
  </si>
  <si>
    <t>institutopromais@uol.com.br</t>
  </si>
  <si>
    <t>(11)5599-6730</t>
  </si>
  <si>
    <t>Padre Dom Aluísio Kilgus</t>
  </si>
  <si>
    <t>Parque Florestal</t>
  </si>
  <si>
    <t>04882-020</t>
  </si>
  <si>
    <t>Empregabilidade; Assistência Social; Cultura; Qualificação Profissional; Empreendedorismo; Meio ambiente; Negócios Sociais; Apoio à gestão de organizações de Terceiro Setor</t>
  </si>
  <si>
    <t>Associações e Coletivos</t>
  </si>
  <si>
    <t>institutopromais.org</t>
  </si>
  <si>
    <t>www.instagram.com/instituto_promais</t>
  </si>
  <si>
    <t>https://drive.google.com/open?id=1cr-9ui-pehppDTXk92TBtONApB6RItGH</t>
  </si>
  <si>
    <t>INSTITUTO DE DESENVOLVIMENTO HUMANO,SOCIAL,ECONÔMICO E CULTURAL "MANÁ DO CÉU PARA OS POVOS"</t>
  </si>
  <si>
    <t>OSCIP VILLAGE MANA DA ESPERANCA</t>
  </si>
  <si>
    <t>11.067.031/0001-86</t>
  </si>
  <si>
    <t>Carla Alexandra Rodrigues</t>
  </si>
  <si>
    <t>contato@manadoceu.org.br</t>
  </si>
  <si>
    <t>(67)3397-2624</t>
  </si>
  <si>
    <t>Caraíba</t>
  </si>
  <si>
    <t>Jardim Canguru</t>
  </si>
  <si>
    <t>79072-264</t>
  </si>
  <si>
    <t>Moradores de Favelas; Afrodescendentes; Pessoas com Deficiência</t>
  </si>
  <si>
    <t>Convênio Público; Parceria iniciativa privada; Editais; FIA</t>
  </si>
  <si>
    <t>Editais 50%, FIA 10%,Convênio Publico 35%, Parceria Privada 5%</t>
  </si>
  <si>
    <t>www.manadoceu.org.br</t>
  </si>
  <si>
    <t>https://instagram.com/ongmanadoceu?igshid=YmMyMTA2M2Y=</t>
  </si>
  <si>
    <t>https://www.facebook.com/ongmanadoceu/</t>
  </si>
  <si>
    <t>https://youtu.be/AoqSDyBrsLs</t>
  </si>
  <si>
    <t>https://drive.google.com/open?id=10gIc3FOGzSsfESSi9WIT584M2tcVTS2q</t>
  </si>
  <si>
    <t>https://drive.google.com/open?id=1JbbddmgUlwd1Q7Eu9RGCOHOaOyOzqfhP</t>
  </si>
  <si>
    <t>https://drive.google.com/open?id=1t7Qhz6qBQEMUilAfqOiRxNqRZ80wQ5Rg</t>
  </si>
  <si>
    <t>Casa da Revolução/Projeto Esmeralda</t>
  </si>
  <si>
    <t>Alex Santos de Campos</t>
  </si>
  <si>
    <t>alexdecampos@hotmail.com</t>
  </si>
  <si>
    <t>(19)98156-9632</t>
  </si>
  <si>
    <t>Rua Sérgio Luiz de Souza, 365</t>
  </si>
  <si>
    <t>Chácaras Assay</t>
  </si>
  <si>
    <t>Hortolândia</t>
  </si>
  <si>
    <t>13186-522</t>
  </si>
  <si>
    <t>Esporte; Educação; Empregabilidade; Assistência Social; Cultura; Qualificação Profissional; Empreendedorismo</t>
  </si>
  <si>
    <t>Moradores de Favelas; Dependentes Químicos</t>
  </si>
  <si>
    <t>Atuo com crianças jovens e adolescentes da região de Hortolândia onde procuro mudar o roteiro que a vidas dos mesmos estava direcionada trabalhando contra o ingresso no crime drogas e afins. Oportunizando que todos consigam ingressar nos estudos e profissionalização assim decretando a falência da pobreza exacerbada familiar em nosso contexto.</t>
  </si>
  <si>
    <t>25% cada</t>
  </si>
  <si>
    <t>https://instagram.com/projetoesmeralda?igshid=YmMyMTA2M2Y=</t>
  </si>
  <si>
    <t>Associação Criança Feliz de Sorocaba</t>
  </si>
  <si>
    <t>12.207.727/0001-23</t>
  </si>
  <si>
    <t>Iara Gonçalves da Silva</t>
  </si>
  <si>
    <t>ssocialasfeliz@gmail.com</t>
  </si>
  <si>
    <t>(15)3359-2690</t>
  </si>
  <si>
    <t>Paes de Linhares</t>
  </si>
  <si>
    <t>Vila Fiori</t>
  </si>
  <si>
    <t>Sorocaba</t>
  </si>
  <si>
    <t>18073-630</t>
  </si>
  <si>
    <t>Atendemos toda a cidade porém nosso público assim como nossa ong está mais centralizado na Zona Norte da cidade.</t>
  </si>
  <si>
    <t>Lei de Incentivo; Convênio Público; Eventos/Ações para captação; Parceria iniciativa privada; Editais; Doações; FIA; Recursos próprios</t>
  </si>
  <si>
    <t>São Projetos Diferentes 100% de Projetos FIA (CMDCA e Condeca), 80% Convênio Municipal</t>
  </si>
  <si>
    <t>http://criancafelizdesorocaba.org.br/</t>
  </si>
  <si>
    <t>https://instagram.com/crianca_feliz_sorocaba?igshid=YmMyMTA2M2Y=</t>
  </si>
  <si>
    <t>https://www.facebook.com/AssociacaoCriancaFelizSorocaba/</t>
  </si>
  <si>
    <t>https://www.youtube.com/channel/UC5PWpS6t_YIgBkFPxEct1NQ</t>
  </si>
  <si>
    <t>https://drive.google.com/open?id=1nir1p_NrtrC3fQt4hyu95kL0cx-xmJVf</t>
  </si>
  <si>
    <t>https://drive.google.com/open?id=1u---OhLYKovbQtUn4_MWmMA9kYk7quFy</t>
  </si>
  <si>
    <t>https://drive.google.com/open?id=1mnOU4Dyg_EWjCzn3To7Hvs1GFyKI-jb7</t>
  </si>
  <si>
    <t>Projeto desafiando gigantes</t>
  </si>
  <si>
    <t>Kely de souza costa</t>
  </si>
  <si>
    <t>associacaodesafiandogigantes@gmail.com</t>
  </si>
  <si>
    <t>(11)95118-1517</t>
  </si>
  <si>
    <t>Rua Orlando zanfelice</t>
  </si>
  <si>
    <t>Jd.célia</t>
  </si>
  <si>
    <t>08191-335</t>
  </si>
  <si>
    <t>Esporte; Educação; Empregabilidade; Assistência Social; Cultura; Qualificação Profissional; Empreendedorismo; Apoio à gestão de organizações de Terceiro Setor; Defesa de Direitos; Desenvolvimento comunitário</t>
  </si>
  <si>
    <t>Moradores de Favelas; Pessoas em situação de rua; Afrodescendentes; Dependentes Químicos; Egressos sistema carcerário; Outros</t>
  </si>
  <si>
    <t>@institutodesafiandogigantes.com</t>
  </si>
  <si>
    <t>https://www.facebook.com/desafiandogigantes11/</t>
  </si>
  <si>
    <t>Asociação beneficiente arca da vitoria</t>
  </si>
  <si>
    <t>05.195.291/0001-34</t>
  </si>
  <si>
    <t>Gilvanete dos santos silva reis</t>
  </si>
  <si>
    <t>arcadavitoriareis@yahoo.com.br</t>
  </si>
  <si>
    <t>(11)95451-4209</t>
  </si>
  <si>
    <t>Rua cumai 97</t>
  </si>
  <si>
    <t>Vila esperança penha</t>
  </si>
  <si>
    <t>Sp</t>
  </si>
  <si>
    <t>03648-020</t>
  </si>
  <si>
    <t>Esporte; Educação; Empregabilidade; Assistência Social; Cultura; Qualificação Profissional; Saúde; Defesa de Direitos; Assistência Psicológica; Desenvolvimento comunitário</t>
  </si>
  <si>
    <t>Bebês (0 a 1 ano e 6 meses); Crianças pequenas (4 anos a 5 anos e 11 meses); Crianças (6 a 12 anos); Adolescentes (12 aos 18 anos); Jovens (18 aos 24 anos); Adultos; Idosos (60 anos ou mais)</t>
  </si>
  <si>
    <t>Moradores de Favelas; Pessoas em situação de rua; Afrodescendentes; Dependentes Químicos; Pessoas com Deficiência; Imigrantes; Refugiados</t>
  </si>
  <si>
    <t>vitoriarca@hotmail.com</t>
  </si>
  <si>
    <t>URL.gilvanetereis64</t>
  </si>
  <si>
    <t>https://www.instagram.com/p/CQ0A_RkFHqL/?utm_medium=copy_link</t>
  </si>
  <si>
    <t>URL.arcadavitoria</t>
  </si>
  <si>
    <t>https://drive.google.com/open?id=1wg35e-lXzCEiKZjJEyUD8xhC167B8VOU</t>
  </si>
  <si>
    <t>https://drive.google.com/open?id=1mlZ7Z811RMm6UbDZQx_dp-1rSndK-rVq</t>
  </si>
  <si>
    <t>https://drive.google.com/open?id=1rsnhqcBt6bajxuKhY6Q-iee0oP6iHBPL</t>
  </si>
  <si>
    <t>Programa de Assistência as Crianças e Adolescentes</t>
  </si>
  <si>
    <t>00.530.239/0001-73</t>
  </si>
  <si>
    <t>Paulo</t>
  </si>
  <si>
    <t>(11)2641-7654</t>
  </si>
  <si>
    <t>Rua Major Rudge</t>
  </si>
  <si>
    <t>Jardim Piratininga</t>
  </si>
  <si>
    <t>03607-010</t>
  </si>
  <si>
    <t>Educação; Assistência Social; Empreendedorismo; Apoio à gestão de organizações de Terceiro Setor; Assistência Psicológica; Desenvolvimento comunitário</t>
  </si>
  <si>
    <t>Moradores de Favelas; Dependentes Químicos; Imigrantes; Refugiados</t>
  </si>
  <si>
    <t>https://instagram.com/paca.ippenha?utm_medium=copy_link</t>
  </si>
  <si>
    <t>INSTITUTO SEMENTINHA PARA EDUCAÇÃO E PROTEÇÃO A CRIANÇA E AO ADOLESCENTE</t>
  </si>
  <si>
    <t>04.675.868/0001-42</t>
  </si>
  <si>
    <t>Wellington de Souza Morais</t>
  </si>
  <si>
    <t>institutosementinha@gmail.com</t>
  </si>
  <si>
    <t>(11)3996-7774</t>
  </si>
  <si>
    <t>Elgin</t>
  </si>
  <si>
    <t>JARDIM VENEZA</t>
  </si>
  <si>
    <t>SALA 3</t>
  </si>
  <si>
    <t>Lei de Incentivo; Convênio Público; Editais; Lei Municipal da Cultura; Lei Estadual do Esporte; Lei Federal do Esporte</t>
  </si>
  <si>
    <t>100% Lei Federal do Esporte - 100% Convênio Público - 100% CONDECA</t>
  </si>
  <si>
    <t>https://institutosementinha.wixsite.com/isep</t>
  </si>
  <si>
    <t>https://instagram.com/institutosementinha?igshid=YmMyMTA2M2Y=</t>
  </si>
  <si>
    <t>https://www.facebook.com/InstitutoSementinha</t>
  </si>
  <si>
    <t>https://drive.google.com/open?id=1MlfLVUKrqabz-ta0s_Fx9FQ7MbAzS7P5</t>
  </si>
  <si>
    <t>https://drive.google.com/open?id=1FN4DUM1RnYy4FI44tquvzmyyuJbcHQgX</t>
  </si>
  <si>
    <t>MOVIMENTO SOCIAL E CULTURAL CORES DO AMANHÃ</t>
  </si>
  <si>
    <t>13.449.687/0001-99</t>
  </si>
  <si>
    <t>Jouse Barata de Queiroz</t>
  </si>
  <si>
    <t>movimentoculturalcoresdoamanha@gmail.com</t>
  </si>
  <si>
    <t>(81)98876-3593</t>
  </si>
  <si>
    <t>Garota de Ipanema 03</t>
  </si>
  <si>
    <t>SANCHO</t>
  </si>
  <si>
    <t>50920-680</t>
  </si>
  <si>
    <t>Esporte; Educação; Empregabilidade; Assistência Social; Cultura; Qualificação Profissional; Empreendedorismo; Saúde; Meio ambiente; Empoderamento Feminino; Defesa de Direitos; Assistência Psicológica; Desenvolvimento comunitário</t>
  </si>
  <si>
    <t>Moradores de Favelas; Pessoas em situação de rua; População LGBTQ+; Dependentes Químicos; Egressos sistema carcerário; Ribeirinhos; Outros</t>
  </si>
  <si>
    <t>Atendemos todos os bairros no entorno do presidio em sua grande maioria todas da RPA 5 em Recife são areas consideradas de risco ou favelas. O cores tem um espaço físico no sancho mas também atende de forma itinerante em outras localidades dentro do estado.</t>
  </si>
  <si>
    <t>Eventos/Ações para captação; Editais</t>
  </si>
  <si>
    <t>www.coresdoamanha.com.br</t>
  </si>
  <si>
    <t>https://www.instagram.com/coresdoamanha/</t>
  </si>
  <si>
    <t>https://www.facebook.com/ongcoresdoamanha</t>
  </si>
  <si>
    <t>https://www.youtube.com/channel/UCg8ecxE5zjwS749EkX0bdOA</t>
  </si>
  <si>
    <t>https://drive.google.com/open?id=1ciLZXbVU1VGkZv5vltbOt1__iIcIu24R</t>
  </si>
  <si>
    <t>https://drive.google.com/open?id=151ycPh4wMiJNdVdzM7Xzm1kX5203xb-Z</t>
  </si>
  <si>
    <t>https://drive.google.com/open?id=1qI1LYc-o9i_otyiMsfMUWUXDshCREhTH</t>
  </si>
  <si>
    <t>INSTITUTO NACIONAL LAR DOS SONHOS</t>
  </si>
  <si>
    <t>19.570.862/0001-88</t>
  </si>
  <si>
    <t>ILACI DE OLIVEIRA LUIZ</t>
  </si>
  <si>
    <t>inslardossonhos@gmail.com</t>
  </si>
  <si>
    <t>(21)9645-44555</t>
  </si>
  <si>
    <t>RUA SANTA TERESINA</t>
  </si>
  <si>
    <t>PENHA</t>
  </si>
  <si>
    <t>VILA CRUZEIRO</t>
  </si>
  <si>
    <t>21073-380</t>
  </si>
  <si>
    <t>Esporte; Educação; Assistência Social; Cultura; Empreendedorismo; Saúde; Meio ambiente; Empoderamento Feminino; Negócios Sociais; Defesa de Direitos; Assistência Psicológica</t>
  </si>
  <si>
    <t>Moradores de Favelas; Pessoas em situação de rua; População LGBTQ+; Afrodescendentes; Dependentes Químicos; Pessoas com Deficiência; Egressos sistema carcerário</t>
  </si>
  <si>
    <t>PESSOAS COM DEFICIENCIA   PESSOAS COM HIV  AIDS</t>
  </si>
  <si>
    <t>WWW.INLADOSSONHOS</t>
  </si>
  <si>
    <t>@lardossonhos.com</t>
  </si>
  <si>
    <t>@bonita.com</t>
  </si>
  <si>
    <t>https://drive.google.com/open?id=13D_jQnCuhaSwtDOOP_W3lyFHsIRrEyzG</t>
  </si>
  <si>
    <t>https://drive.google.com/open?id=1MPSv_LdZpoWaxss25pRwo6lxj4i_GWXt</t>
  </si>
  <si>
    <t>Ong Esperança Brasil</t>
  </si>
  <si>
    <t>41.365.960/0001-32</t>
  </si>
  <si>
    <t>Leandro Diogo soares</t>
  </si>
  <si>
    <t>daiani@esperancabrasil.org</t>
  </si>
  <si>
    <t>(47)99260-0288</t>
  </si>
  <si>
    <t>Rua Canoas</t>
  </si>
  <si>
    <t>Jardim Iririú</t>
  </si>
  <si>
    <t>89224-031</t>
  </si>
  <si>
    <t>Eventos/Ações para captação; Plataforma doação online - Pessoa Física</t>
  </si>
  <si>
    <t>www.esperancabrasil.org</t>
  </si>
  <si>
    <t>https://instagram.com/esperancabrasil_ong?utm_medium=copy_link</t>
  </si>
  <si>
    <t>https://drive.google.com/open?id=1_55SPfb9FNYIfpU4XubGXsodbN_nEpOk</t>
  </si>
  <si>
    <t>https://drive.google.com/open?id=17Mm8-CP3zRXJDPwycxNMG9C3MRXz1aKx</t>
  </si>
  <si>
    <t>Instituto Dah Araujo</t>
  </si>
  <si>
    <t>43.345.097/0001-87</t>
  </si>
  <si>
    <t>Maria Madalena Araujo Silva</t>
  </si>
  <si>
    <t>contato@institutodaharaujo.com.br</t>
  </si>
  <si>
    <t>(11)94847-1917</t>
  </si>
  <si>
    <t>Honorio Prado</t>
  </si>
  <si>
    <t>Jd. Castro Alves</t>
  </si>
  <si>
    <t>Casa 1</t>
  </si>
  <si>
    <t>04848-020</t>
  </si>
  <si>
    <t>Esporte; Educação; Assistência Social; Negócios Sociais; Ciência e Tecnologia; Assistência Psicológica; Desenvolvimento comunitário</t>
  </si>
  <si>
    <t>Moradores de Favelas; Pessoas em situação de rua; Povos Indígenas; Dependentes Químicos; Pessoas com Deficiência</t>
  </si>
  <si>
    <t>Pessoas em situação de vulnerabilidade  social e pessoas com câncer</t>
  </si>
  <si>
    <t>www.InstitutoDahAraujo.com.br</t>
  </si>
  <si>
    <t>https://instagram.com/institutodaharaujo?igshid=YmMyMTA2M2Y=</t>
  </si>
  <si>
    <t>https://www.facebook.com/institutodaharaujo/</t>
  </si>
  <si>
    <t>Instituto Reviver</t>
  </si>
  <si>
    <t>Soraia Maria Tomaz</t>
  </si>
  <si>
    <t>revivertocantins@gmail.com</t>
  </si>
  <si>
    <t>Avenida Joaquim Antônio Segurado1501 Sul</t>
  </si>
  <si>
    <t>Plano Diretor Sul</t>
  </si>
  <si>
    <t>Atendemos pessoas de vários bairros da capital Palmas e outros  municípios.</t>
  </si>
  <si>
    <t>https://institutorevivertocantins.ong.br/</t>
  </si>
  <si>
    <t>https://instagram.com/institutoreviverpalmas</t>
  </si>
  <si>
    <t>https://www.facebook.com/InstitutoReviverTocantins/</t>
  </si>
  <si>
    <t>https://drive.google.com/open?id=1uBRVl0rLVzvcAyTFl9R-AGToU413ZR4P</t>
  </si>
  <si>
    <t>https://drive.google.com/open?id=1OpxYdw81hN0WYZOwtM-aoZBdeqZCofMz</t>
  </si>
  <si>
    <t>https://drive.google.com/open?id=19YOjnQHEQkzgoHbrS2URYEcjz46VEnkJ</t>
  </si>
  <si>
    <t>Associação Casa Up</t>
  </si>
  <si>
    <t>34.431.763/0001-09</t>
  </si>
  <si>
    <t>Sebastião junio da Silva</t>
  </si>
  <si>
    <t>casaupadl@gmail.com</t>
  </si>
  <si>
    <t>(37)99902-1506</t>
  </si>
  <si>
    <t>Rua alonso Teixeira marra 658</t>
  </si>
  <si>
    <t>Santo Antônio</t>
  </si>
  <si>
    <t>Carmópolis de Minas</t>
  </si>
  <si>
    <t>35534-000</t>
  </si>
  <si>
    <t>Esporte; Educação; Empregabilidade; Assistência Social; Cultura; Qualificação Profissional; Empreendedorismo; Saúde; Meio ambiente; Negócios Sociais; Assistência Psicológica</t>
  </si>
  <si>
    <t>Moradores de Favelas; Comunidade rural; Outros</t>
  </si>
  <si>
    <t>Negócio Social; Convênio Público; Eventos/Ações para captação; Parceria iniciativa privada; Doações; Recursos próprios</t>
  </si>
  <si>
    <t>20% de cada</t>
  </si>
  <si>
    <t>https://instagram.com/casaupadl?utm_medium=copy_link</t>
  </si>
  <si>
    <t>https://drive.google.com/open?id=1cSbNgNBJh6SRrvigmuJi5mFIB5yud3Q4</t>
  </si>
  <si>
    <t>Viaduto das Artes</t>
  </si>
  <si>
    <t>Graziele Coelho Pereira</t>
  </si>
  <si>
    <t>viadutodasartes@gmail.com</t>
  </si>
  <si>
    <t>Avenida Olinto Meireles</t>
  </si>
  <si>
    <t>Barreiro</t>
  </si>
  <si>
    <t>Baixio do Viaduto Engenheiro Andrade Pinto</t>
  </si>
  <si>
    <t>Vila Loana Darc-Vila da Paz------</t>
  </si>
  <si>
    <t>https://viadutodasartes.com/</t>
  </si>
  <si>
    <t>https://www.instagram.com/viadutodasartes/</t>
  </si>
  <si>
    <t>https://www.facebook.com/viadutodasartes</t>
  </si>
  <si>
    <t>https://drive.google.com/open?id=1gc270v9AQrYurQkH1oYubvo0pYnutXN3</t>
  </si>
  <si>
    <t>https://drive.google.com/open?id=1CCNmuDrgVVdg5CgWpxf6F4vyzrBzFBz9</t>
  </si>
  <si>
    <t>https://drive.google.com/open?id=1wZCqxvh4HJaKnbvrFPavrgrQY5zvy43D</t>
  </si>
  <si>
    <t>INSTITUTO F.S.D.</t>
  </si>
  <si>
    <t>27.269.453/0001-74</t>
  </si>
  <si>
    <t>WANDERLEY BENEDITO SOUZA</t>
  </si>
  <si>
    <t>wando38designer@gmail.com</t>
  </si>
  <si>
    <t>(65)3691-4435</t>
  </si>
  <si>
    <t>MT</t>
  </si>
  <si>
    <t>Rua Presidente Pimenta Bueno</t>
  </si>
  <si>
    <t>COHAB CRISTO REI</t>
  </si>
  <si>
    <t>Várzea Grande</t>
  </si>
  <si>
    <t>78118-282</t>
  </si>
  <si>
    <t>Esporte; Cultura; Qualificação Profissional</t>
  </si>
  <si>
    <t>Trabalhar para fomentar as práticas esportivas em crianças e adolescentes em situação de vulnerabilidade social. Divulgar e fortalecer o Instituto Futsal Sem Drogas.  Iniciamos atividades em 2011. mas no ano de 2016 conseguimos nos legalizar hoje são 10 anos.</t>
  </si>
  <si>
    <t>Editais; Doações</t>
  </si>
  <si>
    <t>20% FIA</t>
  </si>
  <si>
    <t>https://www.futsalsemdrogas.com/</t>
  </si>
  <si>
    <t>https://www.instagram.com/futsal_sem_drogas</t>
  </si>
  <si>
    <t>https://www.facebook.com/futsalsemdrogas</t>
  </si>
  <si>
    <t>https://www.youtube.com/channel/UCv38gP0rFob1LzMTzw5Loag</t>
  </si>
  <si>
    <t>https://drive.google.com/open?id=1pyNZqZ-JKmjGbZOIeVPmtrU_S4IZNmT7</t>
  </si>
  <si>
    <t>https://drive.google.com/open?id=1euyW4Q-jreOUhl7EanZcwfMa9_xoz-8u</t>
  </si>
  <si>
    <t>https://drive.google.com/open?id=1DI1K7CNMqrztQGn17uH5_F_KYw2anBz-</t>
  </si>
  <si>
    <t>Batucarte</t>
  </si>
  <si>
    <t>Gleison Emerson dos Santos Batista</t>
  </si>
  <si>
    <t>institutobatucarte@gmail.com</t>
  </si>
  <si>
    <t>(31)99372-1401</t>
  </si>
  <si>
    <t>Rua vl 08 33</t>
  </si>
  <si>
    <t>Nova Contagem</t>
  </si>
  <si>
    <t>32050-300</t>
  </si>
  <si>
    <t>Esporte; Educação; Cultura; Qualificação Profissional; Empreendedorismo; Desenvolvimento comunitário</t>
  </si>
  <si>
    <t>Eventos/Ações para captação; Editais; Recursos próprios</t>
  </si>
  <si>
    <t>https://www.instagran.com/BATUCARTE/</t>
  </si>
  <si>
    <t>https://www.facebook.com/BATUCARTE/</t>
  </si>
  <si>
    <t>Chegança Escola</t>
  </si>
  <si>
    <t>43.994.802/0001-77</t>
  </si>
  <si>
    <t>Julia Fernanda Musse Silva</t>
  </si>
  <si>
    <t>contato@cheganca.com.br</t>
  </si>
  <si>
    <t>(34)99721-3731</t>
  </si>
  <si>
    <t>Rua Godofredo Machado</t>
  </si>
  <si>
    <t>38401-094</t>
  </si>
  <si>
    <t>Esporte; Educação; Cultura; Meio ambiente; Empoderamento Feminino</t>
  </si>
  <si>
    <t>Moradores de Favelas; Comunidade rural</t>
  </si>
  <si>
    <t>As crianças e famílias que acompanhamos são do Assentamento Santa Clara. As outras comunidades nós apoiamos através de doações de verduras e legumes para as cozinhas comunitárias.</t>
  </si>
  <si>
    <t>Eventos/Ações para captação; Parceria iniciativa privada; Outro(s); Doações</t>
  </si>
  <si>
    <t>chegancaescola.com.br</t>
  </si>
  <si>
    <t>https://www.instagram.com/reel/CbsAGoTMnN-/?utm_medium=copy_link</t>
  </si>
  <si>
    <t>https://m.facebook.com/Cheganca/?ref=bookmarks</t>
  </si>
  <si>
    <t>https://youtu.be/FBsHqWpSI90</t>
  </si>
  <si>
    <t>Espaço Social e Cultural É Tudo Nosso</t>
  </si>
  <si>
    <t>ANGELA DA SILVA JUSCELINO</t>
  </si>
  <si>
    <t>angelajuscelino01@gmail.com</t>
  </si>
  <si>
    <t>(31)99427-0896</t>
  </si>
  <si>
    <t>Rua Marcelo de Araújo Braga 473</t>
  </si>
  <si>
    <t>MORRO DAS PEDRAS</t>
  </si>
  <si>
    <t>VILA SÃO JORGE III</t>
  </si>
  <si>
    <t>30451-237</t>
  </si>
  <si>
    <t>Atendemos  qualquer publico porém priorizamos as famílias das áreas de risco familiares de pessoas privadas de liberdade e mães solos</t>
  </si>
  <si>
    <t>https//:instagram.com/ong_etudonosso?utm_medium=copy_link</t>
  </si>
  <si>
    <t>https//:instagram.com/ong_etudonosso?_mediu=copy_link</t>
  </si>
  <si>
    <t>APAT - Associação de Pais e Amigos dos Tenistas de Ouro Branco</t>
  </si>
  <si>
    <t>07.640.517/0001-94</t>
  </si>
  <si>
    <t>Ronaldo Leles de Paula</t>
  </si>
  <si>
    <t>apatslice@gmail.com</t>
  </si>
  <si>
    <t>(31)99987-6236</t>
  </si>
  <si>
    <t>Rua vitoriano Veloso 200</t>
  </si>
  <si>
    <t>inconfidentes</t>
  </si>
  <si>
    <t>Ouro branco</t>
  </si>
  <si>
    <t>quaddras de tenis</t>
  </si>
  <si>
    <t>Esporte; Educação; Assistência Social; Empoderamento Feminino; Assistência Psicológica</t>
  </si>
  <si>
    <t>não sao favelas mas sao bairros de risco muito grande.</t>
  </si>
  <si>
    <t>Lei de Incentivo; Lei Estadual do Esporte; Lei Federal do Esporte; FIA</t>
  </si>
  <si>
    <t>50% lei federal esporte , 23% lei estadual , 15% fia e restante outros</t>
  </si>
  <si>
    <t>www.apatmg.org</t>
  </si>
  <si>
    <t>www.instagram_com/apatslice</t>
  </si>
  <si>
    <t>facebook.com/projeto tenis sim</t>
  </si>
  <si>
    <t>apatslice.com</t>
  </si>
  <si>
    <t>https://drive.google.com/open?id=1FJwBXJD14u5teVgrxISnOui9QwtNM7gq</t>
  </si>
  <si>
    <t>https://drive.google.com/open?id=1g4bte2c5zhNXroi8RNvUmfMenvxmRYoK</t>
  </si>
  <si>
    <t>https://drive.google.com/open?id=1d-n75QInyn2Cf-RVMCflaS8U0FfxGV4u</t>
  </si>
  <si>
    <t>Actum Brazil</t>
  </si>
  <si>
    <t>44.721.183/0001-00</t>
  </si>
  <si>
    <t>Marcos Paulo Melo</t>
  </si>
  <si>
    <t>actum.diretoria@gmail.com</t>
  </si>
  <si>
    <t>(51)98566-4806</t>
  </si>
  <si>
    <t>Bairro Bela Vista</t>
  </si>
  <si>
    <t>69911-292</t>
  </si>
  <si>
    <t>Educação; Empregabilidade; Qualificação Profissional; Empoderamento Feminino; Ciência e Tecnologia; Defesa de Direitos</t>
  </si>
  <si>
    <t>População LGBTQ+; Povos Indígenas; Afrodescendentes; Ribeirinhos</t>
  </si>
  <si>
    <t>Jovens entre 16 e 26 anos de baixa renda de todos os nove estados da Região Amazônica.</t>
  </si>
  <si>
    <t>Eventos/Ações para captação; Parceria iniciativa privada; Editais; Doações; Recursos próprios</t>
  </si>
  <si>
    <t>https://www.instagram.com/actumbrazil/</t>
  </si>
  <si>
    <t>https://drive.google.com/open?id=1dtRHjYyrwPsQ20-oPCUCj0qxNbakmLtP</t>
  </si>
  <si>
    <t>O Bom Samaritano Contagem</t>
  </si>
  <si>
    <t>45.584.517/0001-03</t>
  </si>
  <si>
    <t>Ana Paula Almeida Rodrigues</t>
  </si>
  <si>
    <t>obomsamaritanocontagem@gmail.com</t>
  </si>
  <si>
    <t>(31)98602-9637</t>
  </si>
  <si>
    <t>Rua tenente Serpa</t>
  </si>
  <si>
    <t>Novo progresso</t>
  </si>
  <si>
    <t>32115-180</t>
  </si>
  <si>
    <t>https://instagram.com/obomsamaritano_contagem?utm_medium=copy_link</t>
  </si>
  <si>
    <t>https://www.facebook.com/obomsamaritanocontagem/</t>
  </si>
  <si>
    <t>Instituto Esperança</t>
  </si>
  <si>
    <t>17.466.642/0001-83</t>
  </si>
  <si>
    <t>Lindaura Ferreira de Souza</t>
  </si>
  <si>
    <t>gestao.esperancainstituto@gmail.com</t>
  </si>
  <si>
    <t>(31)3100-4827</t>
  </si>
  <si>
    <t>Estrada do Bananal,</t>
  </si>
  <si>
    <t>Bonanza</t>
  </si>
  <si>
    <t>33065-000</t>
  </si>
  <si>
    <t>Empregabilidade; Assistência Social; Negócios Sociais</t>
  </si>
  <si>
    <t>Bebês (0 a 1 ano e 6 meses); Crianças bem pequenas (1 ano e 7 meses até 3 anos e 11 meses); Crianças pequenas (4 anos a 5 anos e 11 meses); Crianças (6 a 12 anos); Adolescentes (12 aos 18 anos); Idosos (60 anos ou mais)</t>
  </si>
  <si>
    <t>Pessoas com Deficiência; Outros</t>
  </si>
  <si>
    <t>Atendemos crianças adolescentes e idosas em abrigamento/ moradia . Empregabilidade feminina e Negócios sociais</t>
  </si>
  <si>
    <t>Negócio Social; Convênio Público; Eventos/Ações para captação; Editais; Outro(s); FIA; Recursos próprios</t>
  </si>
  <si>
    <t>25%  editais, parceria com o município</t>
  </si>
  <si>
    <t>https://www.instagram.com/esperancainstituto/</t>
  </si>
  <si>
    <t>https://www.facebook.com/institutoesperanca2017</t>
  </si>
  <si>
    <t>https://drive.google.com/open?id=1kPuBUsI8xyAnf4qb1YBJP2USJs08IFMq</t>
  </si>
  <si>
    <t>https://drive.google.com/open?id=1C40LmHNoTgQIMcP5gk0NrYlVXovO_Ypq</t>
  </si>
  <si>
    <t>https://drive.google.com/open?id=1yqvmcyKHL49RY6YTLSA3wt8CoqB3VM0M</t>
  </si>
  <si>
    <t>Instituto Zoe de Muriaé</t>
  </si>
  <si>
    <t>ZOE</t>
  </si>
  <si>
    <t>43.684.002/0001-50</t>
  </si>
  <si>
    <t>MARISA VIEIRA DE LIMA GOMES</t>
  </si>
  <si>
    <t>institutozoedemuriae@gmail.com</t>
  </si>
  <si>
    <t>(32)99818-6615</t>
  </si>
  <si>
    <t>Rua Augusta Da Silva</t>
  </si>
  <si>
    <t>Barra</t>
  </si>
  <si>
    <t>MURIAÉ</t>
  </si>
  <si>
    <t>36886-023</t>
  </si>
  <si>
    <t>Esporte; Educação; Assistência Social; Cultura; Qualificação Profissional; Empreendedorismo; Empoderamento Feminino; Negócios Sociais; Ciência e Tecnologia; Defesa de Direitos; Comunicação; Assistência Psicológica; Desenvolvimento comunitário</t>
  </si>
  <si>
    <t>São atendidos outros bairros da cidade que não são considerados favela. Santana Porto Dornelas Planalto João XXlll inconfidência São Pedro Safira cerâmica.</t>
  </si>
  <si>
    <t>40% parceria iniciativa privada 40%doações  20%Eventos/Ações para captação</t>
  </si>
  <si>
    <t>https://www.institutozoedemuriae.com.br</t>
  </si>
  <si>
    <t>https://instagram.com/institutozoemuriae?utm_medium=copy_link</t>
  </si>
  <si>
    <t>INSTITUIÇÃO SOCIAL DE AMOR CRISTÃO-ISAC</t>
  </si>
  <si>
    <t>14.121.020/0001-25</t>
  </si>
  <si>
    <t>Odete Avelino de Aquino</t>
  </si>
  <si>
    <t>isacprojetosocial@gmail.com</t>
  </si>
  <si>
    <t>(38)2100-0780</t>
  </si>
  <si>
    <t>"D"</t>
  </si>
  <si>
    <t>Vargem grande II</t>
  </si>
  <si>
    <t>39403-090</t>
  </si>
  <si>
    <t>Esporte; Assistência Social; Cultura; Empreendedorismo; Meio ambiente; Negócios Sociais; Defesa de Direitos; Desenvolvimento comunitário</t>
  </si>
  <si>
    <t>Nosso  publico alvo são crianças e adolescentes em situação de risco social de 6 a 15 anos</t>
  </si>
  <si>
    <t>Negócio Social; Eventos/Ações para captação; Editais; Doações; FIA</t>
  </si>
  <si>
    <t>0% em todas  por enquanto</t>
  </si>
  <si>
    <t>www.projetoisac.org.br</t>
  </si>
  <si>
    <t>https://instagram.com/projetoisac?utm_medium=copy_link</t>
  </si>
  <si>
    <t>httprojetoisac.org.br</t>
  </si>
  <si>
    <t>https://www.youtube.com/channel/UCGiYQsEH_Ny3XGbZwTRn0Vw</t>
  </si>
  <si>
    <t>https://drive.google.com/open?id=1GG6nQFq94s-X4abtUP2IWEh3hvq0FMgP</t>
  </si>
  <si>
    <t>https://drive.google.com/open?id=1hJ6ve32UbenY5vtqj8v7_orap7yuxU3Y</t>
  </si>
  <si>
    <t>https://drive.google.com/open?id=1SkXkSc15wjRkrGzCO6wj8HvheE99egGc</t>
  </si>
  <si>
    <t>Associação Jogando Pelo Reino</t>
  </si>
  <si>
    <t>39.521.186/0001-60</t>
  </si>
  <si>
    <t>Jose Arimateia da Costa Araujo</t>
  </si>
  <si>
    <t>institutojogandopeloreino@gmail.com</t>
  </si>
  <si>
    <t>(61)99187-9454</t>
  </si>
  <si>
    <t>CR 10 Bloco B Apto 708</t>
  </si>
  <si>
    <t>Parque Santa Rita de Cássia</t>
  </si>
  <si>
    <t>Valparaíso de Goiás</t>
  </si>
  <si>
    <t>72872-794</t>
  </si>
  <si>
    <t>Esporte; Educação; Assistência Social; Cultura; Saúde</t>
  </si>
  <si>
    <t>www.institutojogandopeloreino.com.br</t>
  </si>
  <si>
    <t>instagram.com/institutojogandopeloreino</t>
  </si>
  <si>
    <t>https://www.facebook.com/institutojogandopeloreino</t>
  </si>
  <si>
    <t>youtube.com/institutojogandopeloreino</t>
  </si>
  <si>
    <t>https://drive.google.com/open?id=1tTKBZWx4KEWJ_wVoT7AgYuk5B5Vv9oNT</t>
  </si>
  <si>
    <t>https://drive.google.com/open?id=1QOn0K2hmLZFchjWzoP7uu99lENuyQ1Qy</t>
  </si>
  <si>
    <t>Associação Casa de Gentil Culturas e Convívios</t>
  </si>
  <si>
    <t>21.622.638/0001-34</t>
  </si>
  <si>
    <t>Lívia Carolina Gomides Costa</t>
  </si>
  <si>
    <t>casadegentilcc@gmail.com</t>
  </si>
  <si>
    <t>(31)98580-1368</t>
  </si>
  <si>
    <t>Rua Santos</t>
  </si>
  <si>
    <t>Várzea do Sitio</t>
  </si>
  <si>
    <t>Educação; Cultura; Qualificação Profissional; Empreendedorismo; Negócios Sociais; Desenvolvimento comunitário</t>
  </si>
  <si>
    <t>Negócio Social; Convênio Público; Plataforma doação online - Pessoa Física; Parceria iniciativa privada; Editais; Doações</t>
  </si>
  <si>
    <t>20% de doações, 25% CMDCA,  50% editais, 5% negócio social,</t>
  </si>
  <si>
    <t>https://casadegentil.org/</t>
  </si>
  <si>
    <t>https://www.instagram.com/casadegentil/</t>
  </si>
  <si>
    <t>https://m.facebook.com/maes.gentis</t>
  </si>
  <si>
    <t>https://www.youtube.com/channel/UCDd0Tl-rM03PrBScs05o9Yg</t>
  </si>
  <si>
    <t>https://drive.google.com/open?id=1z6RFtc7owuHwTe7HFbRp5uuQ42biF8bQ</t>
  </si>
  <si>
    <t>https://drive.google.com/open?id=1sSHNYxP9Z5hIFZuG5U5fY-qiFwoGUfpq</t>
  </si>
  <si>
    <t>Coletivo Arautos da Poesia</t>
  </si>
  <si>
    <t>Arautos da Poesia</t>
  </si>
  <si>
    <t>44.024.258/0001-01</t>
  </si>
  <si>
    <t>Tamires Santana de Paula</t>
  </si>
  <si>
    <t>arautosdapoesiasabara@gmail.com</t>
  </si>
  <si>
    <t>(31)3674-6558</t>
  </si>
  <si>
    <t>Rua águas férreas, 81</t>
  </si>
  <si>
    <t>Educação; Cultura</t>
  </si>
  <si>
    <t>Crianças (6 a 12 anos); Jovens (18 aos 24 anos); Adultos</t>
  </si>
  <si>
    <t>www.instagram/@arautosdapoesia</t>
  </si>
  <si>
    <t>https://youtube.com/c/ArautosdaPoesia</t>
  </si>
  <si>
    <t>Associação Projeto Pró Bem</t>
  </si>
  <si>
    <t>33.918.317/0001-60</t>
  </si>
  <si>
    <t>Eduardo José Marques</t>
  </si>
  <si>
    <t>probembotujuru@gmail.com</t>
  </si>
  <si>
    <t>(11)95791-7323</t>
  </si>
  <si>
    <t>Rua do Rosário 411</t>
  </si>
  <si>
    <t>Botujuru</t>
  </si>
  <si>
    <t>08840-470</t>
  </si>
  <si>
    <t>Esporte; Educação; Empregabilidade; Empreendedorismo</t>
  </si>
  <si>
    <t>Crianças pequenas (4 anos a 5 anos e 11 meses); Crianças (6 a 12 anos); Adolescentes (12 aos 18 anos); Idosos (60 anos ou mais)</t>
  </si>
  <si>
    <t>Moradores de Favelas; Pessoas com Deficiência; Egressos sistema carcerário; Comunidade rural</t>
  </si>
  <si>
    <t>Volta Fria</t>
  </si>
  <si>
    <t>www.projetoprobem.org.com</t>
  </si>
  <si>
    <t>https://instagram.com/projeto_probem_oficial</t>
  </si>
  <si>
    <t>https://www.facebook.com/Pro.Bem.Botujuru</t>
  </si>
  <si>
    <t>https://instagram.com/projeto_probem_oficial?utm_medium=copy_link</t>
  </si>
  <si>
    <t>https://drive.google.com/open?id=1C-8xXcEmGTl2cnoAmXGEgw9VjeY8f8pR</t>
  </si>
  <si>
    <t>https://drive.google.com/open?id=1JHAUTkKEQaConvo9ZNkyrCd8-G9B7LkZ</t>
  </si>
  <si>
    <t>TV. Santa Bárbara, 25</t>
  </si>
  <si>
    <t>(84)98861-3764</t>
  </si>
  <si>
    <t>59090-665</t>
  </si>
  <si>
    <t>Esporte; Educação; Empregabilidade; Cultura; Qualificação Profissional; Empreendedorismo; Empoderamento Feminino; Negócios Sociais; Desenvolvimento comunitário</t>
  </si>
  <si>
    <t>Moradores de Favelas; População LGBTQ+</t>
  </si>
  <si>
    <t>Negócio Social; Plataforma doação online - Pessoa Física; Editais; Lei Federal do Esporte</t>
  </si>
  <si>
    <t>www.projetomotivar.com.br</t>
  </si>
  <si>
    <t>https://www.instagram.com/projetomotivar/</t>
  </si>
  <si>
    <t>https://www.facebook.com/projetomotivar</t>
  </si>
  <si>
    <t>https://www.youtube.com/c/ProjetoMotivar</t>
  </si>
  <si>
    <t>https://drive.google.com/open?id=1r3oCxQT5as3JOaYkE_M72SJcQtfPq1a4</t>
  </si>
  <si>
    <t>https://drive.google.com/open?id=1HYyVkx8uf9WueKpbxAZPcvdtN_67rEEY</t>
  </si>
  <si>
    <t>Rua ozeias mota 48</t>
  </si>
  <si>
    <t>(21)96892-9016</t>
  </si>
  <si>
    <t>21061-050</t>
  </si>
  <si>
    <t>Esporte; Educação; Empregabilidade; Assistência Social; Qualificação Profissional; Defesa de Direitos; Assistência Psicológica</t>
  </si>
  <si>
    <t>Moradores de Favelas; Pessoas em situação de rua; População LGBTQ+; Afrodescendentes</t>
  </si>
  <si>
    <t>Lei de Incentivo; Eventos/Ações para captação; Plataforma doação online - Pessoa Física; Parceria iniciativa privada; Editais; Doações; Lei Estadual da Cultura; Lei Estadual do Esporte; Lei Federal do Esporte; Recursos próprios</t>
  </si>
  <si>
    <t>https://abracocampeao.org/</t>
  </si>
  <si>
    <t>https://www.facebook.com/abracocampeao</t>
  </si>
  <si>
    <t>https://www.youtube.com/channel/UC31VXN_OyUxsC29hLLfVpMQ</t>
  </si>
  <si>
    <t>https://drive.google.com/open?id=1r-dKpEi9I4Sw8RRQKQpC0vPzkK6lmDc-</t>
  </si>
  <si>
    <t>https://drive.google.com/open?id=1bFdi2Sk8Q5MHpbGjZpH-7MXT-QLoJnmk</t>
  </si>
  <si>
    <t>Augusto Gil, 465</t>
  </si>
  <si>
    <t>Vila Dionisia</t>
  </si>
  <si>
    <t>(11)97697-0055</t>
  </si>
  <si>
    <t>02670-070</t>
  </si>
  <si>
    <t>Crianças pequenas (4 anos a 5 anos e 11 meses); Crianças (6 a 12 anos); Adolescentes (12 aos 18 anos); Jovens (18 aos 24 anos)</t>
  </si>
  <si>
    <t>Lei de Incentivo; Negócio Social; Eventos/Ações para captação; Plataforma doação online - Pessoa Física</t>
  </si>
  <si>
    <t>https://www.institutoresgatandovidas.org.br/</t>
  </si>
  <si>
    <t>https://www.instagram.com/tv/CbcpZgnlOi9/?utm_medium=copy_link</t>
  </si>
  <si>
    <t>https://www.facebook.com/institutoresgatandovidas</t>
  </si>
  <si>
    <t>https://youtu.be/89tEiNy9Uls</t>
  </si>
  <si>
    <t>https://drive.google.com/open?id=14tU2e7_g2TejSHZ_DRK1le_d7t7bfAnL</t>
  </si>
  <si>
    <t>rua frança</t>
  </si>
  <si>
    <t>(31)99154-2939</t>
  </si>
  <si>
    <t>30421-418</t>
  </si>
  <si>
    <t>Esporte; Educação; Empregabilidade; Cultura; Qualificação Profissional; Negócios Sociais; Apoio à gestão de organizações de Terceiro Setor; Assistência Psicológica; Desenvolvimento comunitário</t>
  </si>
  <si>
    <t>Lei de Incentivo; Negócio Social; Eventos/Ações para captação; Plataforma doação online - Pessoa Física; Parceria iniciativa privada; Editais; Doações; Lei Rouanet</t>
  </si>
  <si>
    <t>80% lei federal</t>
  </si>
  <si>
    <t>https://arautosdogueto.com.br/</t>
  </si>
  <si>
    <t>https://instagram.com/arautosdogueto?utm_medium=copy_link</t>
  </si>
  <si>
    <t>https://m.facebook.com/grupoculturalarautosdogueto/</t>
  </si>
  <si>
    <t>https://youtube.com/channel/UCO4ifmuW-418nOrOwGqX3eg</t>
  </si>
  <si>
    <t>Rua da Borboleta</t>
  </si>
  <si>
    <t>(98)98233-0200</t>
  </si>
  <si>
    <t>65047-170</t>
  </si>
  <si>
    <t>https://www.coresdomara.org.br</t>
  </si>
  <si>
    <t>https://www.instagram.com/coresdomara/</t>
  </si>
  <si>
    <t>https://www.facebook.com/coresdomara</t>
  </si>
  <si>
    <t>https://www.youtube.com/channel/UCZTWknNcIsHD7B7ryXhI-Qw</t>
  </si>
  <si>
    <t>(31)97183-1708</t>
  </si>
  <si>
    <t>Ribeirão das Neves</t>
  </si>
  <si>
    <t>33938-020</t>
  </si>
  <si>
    <t>Esporte; Empregabilidade; Assistência Social; Cultura; Qualificação Profissional; Empreendedorismo; Negócios Sociais; Apoio à gestão de organizações de Terceiro Setor; Defesa de Direitos; Assistência Psicológica; Desenvolvimento comunitário</t>
  </si>
  <si>
    <t>Lei de Incentivo; Negócio Social; Eventos/Ações para captação; Plataforma doação online - Pessoa Física; Parceria iniciativa privada; Editais; Doações; Lei Municipal da Cultura; FIA; Recursos próprios</t>
  </si>
  <si>
    <t>Eventos 33% Aporte 30% Outlet 11% Doador P. 9% Doador R. 8% Captação Setores 3% Griffte 6%</t>
  </si>
  <si>
    <t>https://www.institutoogrito.org/</t>
  </si>
  <si>
    <t>https://www.instagram.com/institutoogrito/?hl=pt-br</t>
  </si>
  <si>
    <t>https://www.youtube.com/channel/UC1R1BLBHQyCWqZS9nGca25g</t>
  </si>
  <si>
    <t>São Vicente esq. com Av. José Barbosa Reis</t>
  </si>
  <si>
    <t>Setor Madre Germana II</t>
  </si>
  <si>
    <t>(62)98564-7849</t>
  </si>
  <si>
    <t>74354-838</t>
  </si>
  <si>
    <t>Esporte; Educação; Assistência Social; Qualificação Profissional; Meio ambiente; Defesa de Direitos</t>
  </si>
  <si>
    <t>Negócio Social; Convênio Público; Plataforma doação online - Pessoa Física; Parceria iniciativa privada; Editais; FIA</t>
  </si>
  <si>
    <t>https://www.sete.org.br</t>
  </si>
  <si>
    <t>https://www.instagram.com/seteorg/</t>
  </si>
  <si>
    <t>https://www.facebook.com/sete.org</t>
  </si>
  <si>
    <t>https://www.youtube.com/channel/UCP9dXmia3ctsqB6ven4kUmg</t>
  </si>
  <si>
    <t>https://drive.google.com/open?id=1vOwIwslTZY_qAFQD5lQAj5e92ZaVn9dp</t>
  </si>
  <si>
    <t>Avenida Monte Castelo</t>
  </si>
  <si>
    <t>(82)99837-0029</t>
  </si>
  <si>
    <t>57015-130</t>
  </si>
  <si>
    <t>Esporte; Empregabilidade; Cultura; Qualificação Profissional; Empreendedorismo; Empoderamento Feminino; Negócios Sociais; Desenvolvimento comunitário</t>
  </si>
  <si>
    <t>Plataforma doação online - Pessoa Física; Parceria iniciativa privada; Doações; Lei Federal do Esporte; Lei Rouanet</t>
  </si>
  <si>
    <t>https://www.mandaver.org.br/</t>
  </si>
  <si>
    <t>https://www.instagram.com/mandaverorg/</t>
  </si>
  <si>
    <t>https://m.facebook.com/mandaverorg/?locale2=pt_BR</t>
  </si>
  <si>
    <t>https://youtube.com/channel/UClKAx-joeTrcrxQFRxh3EIw</t>
  </si>
  <si>
    <t>https://drive.google.com/open?id=1s1YMAG3x1CzQ_fyhlsV0KvwR2k0Bd0xo</t>
  </si>
  <si>
    <t>https://drive.google.com/open?id=1bO016TAglKIOG61yNHb3wLS4K2wmjn4S</t>
  </si>
  <si>
    <t>Rua Veiga</t>
  </si>
  <si>
    <t>(45)99971-2917</t>
  </si>
  <si>
    <t>85867-640</t>
  </si>
  <si>
    <t>Esporte; Assistência Social; Cultura; Qualificação Profissional; Assistência Psicológica; Desenvolvimento comunitário</t>
  </si>
  <si>
    <t>Moradores de Favelas; Dependentes Químicos; Outros</t>
  </si>
  <si>
    <t>Convênio Público 40%, Eventos para Captação 40%, Editais 10%, Parcerias 10%</t>
  </si>
  <si>
    <t>www.umchuteparaofuturo.org.br</t>
  </si>
  <si>
    <t>https://doacao.umchuteparaofuturo.org.br/</t>
  </si>
  <si>
    <t>https://www.youtube.com/watch?v=ZKkzexNK828</t>
  </si>
  <si>
    <t>https://drive.google.com/open?id=1WZbNEmYpDFwVXBxvjvmwmB4024ZyduAp</t>
  </si>
  <si>
    <t>Três</t>
  </si>
  <si>
    <t>(16)98133-7692</t>
  </si>
  <si>
    <t>13530-000</t>
  </si>
  <si>
    <t>Educação; Assistência Social; Cultura; Meio ambiente; Ciência e Tecnologia; Desenvolvimento comunitário</t>
  </si>
  <si>
    <t>Afrodescendentes; Outros</t>
  </si>
  <si>
    <t>Negócio Social; Convênio Público; Parceria iniciativa privada; Editais; Doações</t>
  </si>
  <si>
    <t>65% Convênio 18%Edital 9%Negócio Social 5%Iniciativa Privada 1%Doações</t>
  </si>
  <si>
    <t>https://www.meninosdaaracy.org.br</t>
  </si>
  <si>
    <t>https://www.instagram.com/amaitirapina/</t>
  </si>
  <si>
    <t>https://www.youtube.com/channel/UCtt_UYLscLfGQSAFB_PiJFg</t>
  </si>
  <si>
    <t>https://drive.google.com/open?id=1UgsqTEnTiwL3gjgWL61frRtJJnWaj8x2</t>
  </si>
  <si>
    <t>https://drive.google.com/open?id=1F9oyktiQKyCZikuKWinQUD1rysjFPmG6</t>
  </si>
  <si>
    <t>(41) 3078-1358</t>
  </si>
  <si>
    <t>Rua Adalberto Gil da Silva</t>
  </si>
  <si>
    <t>Santa Quitéria</t>
  </si>
  <si>
    <t>80310-400</t>
  </si>
  <si>
    <t>Esporte; Educação; Empregabilidade; Assistência Social; Cultura; Qualificação Profissional; Empreendedorismo; Meio ambiente; Empoderamento Feminino; Negócios Sociais; Apoio à gestão de organizações de Terceiro Setor; Defesa de Direitos; Assistência Psicológica; Desenvolvimento comunitário</t>
  </si>
  <si>
    <t>Lei de Incentivo; Eventos/Ações para captação; Plataforma doação online - Pessoa Física; Parceria iniciativa privada; Editais; Doações; Lei Rouanet</t>
  </si>
  <si>
    <t>80% Lei Rouanet / 15% Patrocinio direto / 5% Doação Recorrente</t>
  </si>
  <si>
    <t>https://www.institutoincanto.org.br</t>
  </si>
  <si>
    <t>https://www.instagram.com/institutoincanto/</t>
  </si>
  <si>
    <t>https://www.facebook.com/institutoincanto/</t>
  </si>
  <si>
    <t>https://www.youtube.com/c/InstitutoIncanto</t>
  </si>
  <si>
    <t>https://drive.google.com/open?id=10YE-c5-8rXnWuMpAE1n0QnJevARZeqYj</t>
  </si>
  <si>
    <t>https://drive.google.com/open?id=1gzd7Ko3zFTJv4chYKPKBb135rFfMNWCa</t>
  </si>
  <si>
    <t>contato@sementesdovale.org</t>
  </si>
  <si>
    <t>(38)99955-8825</t>
  </si>
  <si>
    <t>Salinas</t>
  </si>
  <si>
    <t>39560-000</t>
  </si>
  <si>
    <t>Esporte; Educação; Assistência Social; Cultura; Qualificação Profissional</t>
  </si>
  <si>
    <t>Comunidade rural</t>
  </si>
  <si>
    <t>Parceria iniciativa privada; Editais; Doações</t>
  </si>
  <si>
    <t>Parceria Iniciativa privada: 65%. Editais 30% Doações 5%</t>
  </si>
  <si>
    <t>https://www.sementesdovale.org</t>
  </si>
  <si>
    <t>https://www.instagram.com/sementesdovale/</t>
  </si>
  <si>
    <t>https://www.facebook.com/SementesDoVale/</t>
  </si>
  <si>
    <t>https://drive.google.com/open?id=1OmFyxF1gZkb6xWhTy8_diPDHv6SgyvxS</t>
  </si>
  <si>
    <t>Brejo do Beberibe</t>
  </si>
  <si>
    <t>(81)99930-2643</t>
  </si>
  <si>
    <t>52191-190</t>
  </si>
  <si>
    <t>Esporte; Educação; Empregabilidade; Assistência Social; Cultura; Qualificação Profissional; Empreendedorismo; Empoderamento Feminino; Desenvolvimento comunitário</t>
  </si>
  <si>
    <t>Moradores de Favelas; Quilombola; Comunidade rural</t>
  </si>
  <si>
    <t>tUDO QUE FAZEMOS É COM AJUDA UNICA E EXCLUSIVA DE TRABALHO VOLUNTÁRIO E DOAÇÕES 250
'</t>
  </si>
  <si>
    <t>Não participamos ainda, mas já apresentamos Projetos</t>
  </si>
  <si>
    <t>https://amoreesperancaproj.wixsite.com/website-1</t>
  </si>
  <si>
    <t>https://www.instagram.com/p/Ca9zjr_unkJ/?utm_medium=copy_link</t>
  </si>
  <si>
    <t>https://youtube.com/channel/UCm2mILncAhgUeTg_fZSgzzA</t>
  </si>
  <si>
    <t>https://drive.google.com/open?id=1AlvIvwDWe1QR4bTQnpMx4ahx5ANOmoP1</t>
  </si>
  <si>
    <t>Estrada do Furuyama</t>
  </si>
  <si>
    <t>(11)97140-6017</t>
  </si>
  <si>
    <t>Esporte; Educação; Cultura; Qualificação Profissional</t>
  </si>
  <si>
    <t>Lei de Incentivo; Eventos/Ações para captação; Parceria iniciativa privada; Doações; Lei Estadual do Esporte; Recursos próprios</t>
  </si>
  <si>
    <t>20% para cada</t>
  </si>
  <si>
    <t>www.institutoemaus.org.br</t>
  </si>
  <si>
    <t>https://www.instagram.com/instituto.emaus/</t>
  </si>
  <si>
    <t>https://www.youtube.com/channel/UCQIB0prXKeCc193pcayRKRw</t>
  </si>
  <si>
    <t>https://drive.google.com/open?id=1aQmhzrZSAYNQicD-CXYHqt9Mxb2BbyE-</t>
  </si>
  <si>
    <t>Av. Nossa Senhora da Penha</t>
  </si>
  <si>
    <t>(27)99617-6245</t>
  </si>
  <si>
    <t>institutoaprendercultura.wordpress.com</t>
  </si>
  <si>
    <t>https://www.instagram.com/aprendercultura/</t>
  </si>
  <si>
    <t>https://www.facebook.com/AprenderCultura/</t>
  </si>
  <si>
    <t>https://www.youtube.com/c/IACTvWeb</t>
  </si>
  <si>
    <t>https://drive.google.com/open?id=13OYoAfD1iTLpiD2Js6vDJjOZ-TYqC0Ff</t>
  </si>
  <si>
    <t>Rua Mirtes cordeiro 3147</t>
  </si>
  <si>
    <t>(85)9435-7303</t>
  </si>
  <si>
    <t>60540-604</t>
  </si>
  <si>
    <t>Esporte; Educação; Assistência Social; Cultura; Negócios Sociais; Defesa de Direitos</t>
  </si>
  <si>
    <t>Lei de Incentivo; Editais; Lei Estadual da Cultura; Lei Municipal da Cultura; Lei Rouanet; FIA</t>
  </si>
  <si>
    <t>FIA - 60% / Mecenato estadual 25% / outros 15%</t>
  </si>
  <si>
    <t>https://www.institutokp.com/</t>
  </si>
  <si>
    <t>https://instagram.com/institutokp?utm_medium=copy_link</t>
  </si>
  <si>
    <t>https://www.facebook.com/companhiade.dkatianapena/</t>
  </si>
  <si>
    <t>https://youtube.com/channel/UCjHVyqqOrvOdfrdwMFjmdww</t>
  </si>
  <si>
    <t>https://drive.google.com/open?id=1oBPEUKavGSwSBsZo8JwIOR0Bq3YTzvaW</t>
  </si>
  <si>
    <t>https://drive.google.com/open?id=19q2kSuG3yT4Aab_bUZTT4rRK-wJfKxFA</t>
  </si>
  <si>
    <t>travessa rio doce</t>
  </si>
  <si>
    <t>(11)98358-7946</t>
  </si>
  <si>
    <t>Esporte; Educação; Cultura; Qualificação Profissional; Negócios Sociais</t>
  </si>
  <si>
    <t>Plataforma doação online - Pessoa Física; Parceria iniciativa privada</t>
  </si>
  <si>
    <t>não temos</t>
  </si>
  <si>
    <t>http://viela.org.br/</t>
  </si>
  <si>
    <t>https://www.instagram.com/projetoviela/</t>
  </si>
  <si>
    <t>https://www.facebook.com/ProjetoViela</t>
  </si>
  <si>
    <t>https://www.youtube.com/channel/UCgZj3oIldyZ7qHmHniADJdQ</t>
  </si>
  <si>
    <t>https://drive.google.com/open?id=1mFLyOrvV-g3lVhsagk8_3RrA3ENhLs-A</t>
  </si>
  <si>
    <t>INSTITUTO GERANDO FALCÕES - UNIDADE POÁ</t>
  </si>
  <si>
    <t>Unidade de Poá</t>
  </si>
  <si>
    <t>Cidade Kemel - Jd Sta Helena</t>
  </si>
  <si>
    <t>Esporte; Educação; Assistência Social; Cultura; Qualificação Profissional; Empreendedorismo; Cidadania; Cidadania e empregabilidade; Sustentabilidade e Agroecologia</t>
  </si>
  <si>
    <t>www.gerandofalcoes.com</t>
  </si>
  <si>
    <t>INSTITUTO GERANDO FALCÕES - UNIDADE SUZANO</t>
  </si>
  <si>
    <t>Unidade de Suzano</t>
  </si>
  <si>
    <t>Esporte; Educação; Assistência Social; Cultura; Qualificação Profissional; Empreendedorismo</t>
  </si>
  <si>
    <t>Lei de Incentivo</t>
  </si>
  <si>
    <t>https://gerandofalcoes.com/</t>
  </si>
  <si>
    <t>https://www.instagram.com/gerandofalcoes/</t>
  </si>
  <si>
    <t>https://www.facebook.com/GerandoFalcoes</t>
  </si>
  <si>
    <t>https://www.youtube.com/user/gerandofalcoes</t>
  </si>
  <si>
    <t>https://drive.google.com/open?id=10XnS_y1lTnlpSVkq0u2-07qMUnlxBuRw</t>
  </si>
  <si>
    <t>INSTITUTO GERANDO FALCÕES - UNIDADE FERRAZ</t>
  </si>
  <si>
    <t>Unidade Ferraz</t>
  </si>
  <si>
    <t>Av. dos Multirantes, s/n</t>
  </si>
  <si>
    <t>Jd Itajuíbe</t>
  </si>
  <si>
    <t>EMEB Professora Nurimar Martins Hiar</t>
  </si>
  <si>
    <t>08540-540</t>
  </si>
  <si>
    <t>https://www.facebook.com/search/top?q=gerando%20falc%C3%B5es</t>
  </si>
  <si>
    <t>https://www.youtube.com/results?search_query=gerando+falc%C3%B5es</t>
  </si>
  <si>
    <t>https://drive.google.com/open?id=1SFDziNFzSvaqnqBf4B6mgZQrjqkn8eL6</t>
  </si>
  <si>
    <t>(13)99740-0586</t>
  </si>
  <si>
    <t>Educação; Empregabilidade; Assistência Social; Cultura; Qualificação Profissional; Empreendedorismo; Saúde; Meio ambiente; Empoderamento Feminino; Negócios Sociais; Comunicação; Assistência Psicológica; Desenvolvimento comunitário</t>
  </si>
  <si>
    <t>Negócio Social; Parceria iniciativa privada; Editais; Doações; Recursos próprios</t>
  </si>
  <si>
    <t>em construção</t>
  </si>
  <si>
    <t>https://www.instagram.com/instituto.chegados/</t>
  </si>
  <si>
    <t>https://www.youtube.com/channel/UCgdGh3xiuVdGJ2Awt5mve9g</t>
  </si>
  <si>
    <t>https://www.facebook.com/coletivochegadxs
https://www.instragram.com/instituto.chegados</t>
  </si>
  <si>
    <t>(11)96342-4890</t>
  </si>
  <si>
    <t>Moradores de Favelas; Pessoas em situação de rua; Imigrantes; Refugiados</t>
  </si>
  <si>
    <t>Lei de Incentivo; Eventos/Ações para captação; Plataforma doação online - Pessoa Física; Doações</t>
  </si>
  <si>
    <t>https://www.projetonovossonhos.com.br/</t>
  </si>
  <si>
    <t>https://www.instagram.com/institutosonhe/</t>
  </si>
  <si>
    <t>https://www.youtube.com/channel/UCsnrTrx5BQ9fBCdkZbUsVEA</t>
  </si>
  <si>
    <t>https://drive.google.com/open?id=1tIHhz7Tva6vQitqDUI42EKz0NL_kOW9a</t>
  </si>
  <si>
    <t>https://drive.google.com/open?id=1tVPIMpCD5KDa1NhdotlDmtVStZOhiqh9</t>
  </si>
  <si>
    <t>Rua Aurora</t>
  </si>
  <si>
    <t>(81)99821-9302</t>
  </si>
  <si>
    <t>50050-000</t>
  </si>
  <si>
    <t>Esporte; Educação; Assistência Social; Empoderamento Feminino</t>
  </si>
  <si>
    <t>Lei de Incentivo; Convênio Público; Editais; Lei Estadual do Esporte</t>
  </si>
  <si>
    <t>40% Lei Federal Esporte, 30% Lei Estadual, 30% Convênio Prefeitura</t>
  </si>
  <si>
    <t>https://geracao4.org.br/</t>
  </si>
  <si>
    <t>https://www.instagram.com/geracao4/</t>
  </si>
  <si>
    <t>https://www.linkedin.com/company/77662235/admin/</t>
  </si>
  <si>
    <t>https://drive.google.com/open?id=1UXWwv78qD8V_OaqDZfwRNXu662lstqve</t>
  </si>
  <si>
    <t>https://drive.google.com/open?id=1-dPygV7eHElqI-eTOXvyo2sfZxgp1nUO</t>
  </si>
  <si>
    <t>Ria Alto da Conquista</t>
  </si>
  <si>
    <t>(81)99542-5067</t>
  </si>
  <si>
    <t>52080-360</t>
  </si>
  <si>
    <t>Esporte; Educação; Cultura; Empoderamento Feminino; Defesa de Direitos; Desenvolvimento comunitário</t>
  </si>
  <si>
    <t>Eventos/Ações para captação; Parceria iniciativa privada; Recursos próprios</t>
  </si>
  <si>
    <t>https://instagram.com/acesaong?utm_medium=copy_link</t>
  </si>
  <si>
    <t>https://youtube.com/channel/UCe1v-_Bd7ISGcqUdcZzMmzQ</t>
  </si>
  <si>
    <t>https://drive.google.com/open?id=19PaYdS_xU8wYUv6O8-6mErVd6qD36OYX</t>
  </si>
  <si>
    <t>https://drive.google.com/open?id=1n52Vulg1OcMjXLlVWMYkR0-ECKVn3I3p</t>
  </si>
  <si>
    <t>Mirante Cultural</t>
  </si>
  <si>
    <t>Rua Vicente Antônio de Oliveira 202</t>
  </si>
  <si>
    <t>Vila Mirante</t>
  </si>
  <si>
    <t>(11)96018-4046</t>
  </si>
  <si>
    <t>02955-080</t>
  </si>
  <si>
    <t>Lei de Incentivo; Editais; Doações</t>
  </si>
  <si>
    <t>Lei de incentivo 60%; Editais 35%; Doações 5%</t>
  </si>
  <si>
    <t>https://mirantecultural.com.br/</t>
  </si>
  <si>
    <t>https://www.instagram.com/mirantecultural/</t>
  </si>
  <si>
    <t>https://drive.google.com/open?id=1lVIQqHIvuxv4oWWNc4AiXeYiAI8WT0Rb</t>
  </si>
  <si>
    <t>DOE VIDA</t>
  </si>
  <si>
    <t>Rua Luís Antônio Pereira 133</t>
  </si>
  <si>
    <t>(11)94924-0035</t>
  </si>
  <si>
    <t>Educação; Assistência Social; Empreendedorismo; Empoderamento Feminino; Negócios Sociais; Apoio à gestão de organizações de Terceiro Setor</t>
  </si>
  <si>
    <t>Negócio Social; Eventos/Ações para captação; Plataforma doação online - Pessoa Física; Doações</t>
  </si>
  <si>
    <t>50% negócio social 25% doacoes 25% eventos</t>
  </si>
  <si>
    <t>www.institutocristianecamargo.org</t>
  </si>
  <si>
    <t>www.instagram.com/@institutocristianecamargodv</t>
  </si>
  <si>
    <t>Rua Henrique Hessel, 300</t>
  </si>
  <si>
    <t>(11)98264-9728</t>
  </si>
  <si>
    <t>04882-010</t>
  </si>
  <si>
    <t>Esporte; Empregabilidade; Assistência Social; Qualificação Profissional; Empreendedorismo</t>
  </si>
  <si>
    <t>Negócio Social; Convênio Público; Doações; FIA; Recursos próprios</t>
  </si>
  <si>
    <t>https://www.vivendadacrianca.com.br/</t>
  </si>
  <si>
    <t>https://www.instagram.com/vivendadacrianca/</t>
  </si>
  <si>
    <t>https://www.youtube.com/c/VivendadaCrian%C3%A7a</t>
  </si>
  <si>
    <t>https://www.facebook.com/vivendadacrianca /  https://www.instagram.com/vivendadacrianca/ https://www.youtube.com/channel/UCff8cTDQKPx43HV0R98LESQ / https://www.linkedin.com/showcase/vivenda-da-crian%C3%A7a-associa%C3%A7%C3%A3o-beneficente/?viewAsMember=true</t>
  </si>
  <si>
    <t>https://drive.google.com/open?id=1_4bwYlxtn29A_hFUvFVmoWW5dH7MUCqT</t>
  </si>
  <si>
    <t>https://drive.google.com/open?id=11vfLOR7un6ZfD7ZpIIiY7-suEOw2OZIb</t>
  </si>
  <si>
    <t>(48)99999-5583</t>
  </si>
  <si>
    <t>88090-533</t>
  </si>
  <si>
    <t>Esporte; Empregabilidade; Assistência Social; Cultura; Qualificação Profissional; Empreendedorismo; Negócios Sociais; Apoio à gestão de organizações de Terceiro Setor; Assistência Psicológica; Desenvolvimento comunitário</t>
  </si>
  <si>
    <t>https://www.projetogeracaodachico.com.br/</t>
  </si>
  <si>
    <t>@projetogeracaodachico/</t>
  </si>
  <si>
    <t>https://m.facebook.com/profile.php?id=903038173049307&amp;ref=content_filter</t>
  </si>
  <si>
    <t>https://drive.google.com/file/d/1T2Hv-6YiDHQlXb95j4ybJXRHSo0APYiU/view?usp=drivesdk</t>
  </si>
  <si>
    <t>https://drive.google.com/open?id=1j5lkmb2e9fQlVmY-y5pGb6mrC6yJbnGj</t>
  </si>
  <si>
    <t>https://drive.google.com/open?id=1NmSMRUpUftZrpgCndd1m8fxDhcV7Glfn</t>
  </si>
  <si>
    <t>https://drive.google.com/open?id=1rOaLeyIueL0eiKjzR_4U-JOCihYWA2ml</t>
  </si>
  <si>
    <t>https://drive.google.com/open?id=1BOM0i7mTO-obu0sdmsz3mQGI6g87LKZw</t>
  </si>
  <si>
    <t>https://drive.google.com/open?id=1DRX6PHyBkRlGtmVvab4eGlAzjmSt9jKJ</t>
  </si>
  <si>
    <t>https://drive.google.com/open?id=1enGI61aBv_heogtYm4QTemw8qZ6QXgs4</t>
  </si>
  <si>
    <t>https://drive.google.com/open?id=1vDnSpp5nDLMnRTBhd7NewMH8IlkZQTWz</t>
  </si>
  <si>
    <t>(85)98930-4416</t>
  </si>
  <si>
    <t>60714-430</t>
  </si>
  <si>
    <t>Esporte; Educação; Empregabilidade; Assistência Social; Cultura; Qualificação Profissional; Empreendedorismo; Meio ambiente; Empoderamento Feminino; Comunicação; Assistência Psicológica; Desenvolvimento comunitário</t>
  </si>
  <si>
    <t>https://instagram.com/institutodasaguias?utm_medium=copy_link</t>
  </si>
  <si>
    <t>https://www.facebook.com/institutodasaguias</t>
  </si>
  <si>
    <t>https://drive.google.com/open?id=1Hk4QQ4Zt1Ylx8V0YFUJCXl5FNh-TqeCI</t>
  </si>
  <si>
    <t>https://drive.google.com/open?id=1XAWUfiiLHSDEdJ1PBTII5vn60S89RIY1</t>
  </si>
  <si>
    <t>INSTITUTO RAHAMIM</t>
  </si>
  <si>
    <t>(79) 99814-5876</t>
  </si>
  <si>
    <t>(79)99814-5876</t>
  </si>
  <si>
    <t>49044-203</t>
  </si>
  <si>
    <t>Esporte; Educação; Empregabilidade; Assistência Social; Cultura; Qualificação Profissional; Empreendedorismo; Saúde; Meio ambiente; Empoderamento Feminino; Apoio à gestão de organizações de Terceiro Setor; Defesa de Direitos; Assistência Psicológica; Desenvolvimento comunitário</t>
  </si>
  <si>
    <t>Eventos/Ações para captação; Parceria iniciativa privada; Editais; Outro(s); Doações</t>
  </si>
  <si>
    <t>https://solidarios-se.com/projeto-social/instituto-rahamim/</t>
  </si>
  <si>
    <t>https://www.instagram.com/institutorahamim</t>
  </si>
  <si>
    <t>https://www.youtube.com/channel/UCTRGhfRDfy9eGPAd2vHqlpA</t>
  </si>
  <si>
    <t>https://www.facebook.com/institutorahamim https://www.facebook.com/juventudecidadania.laranjeiras https://www.facebook.com/Estacao.cidadaniaju https://www.facebook.com/casa.vovo.mariana  Instagram: @institutorahamim @juventudecidadania.laranjeiras @estacao.cidadaniaaju</t>
  </si>
  <si>
    <t>https://drive.google.com/open?id=1MqsfQks-ZgFcPsQQqSV4cHenMVh_ELJS</t>
  </si>
  <si>
    <t>https://drive.google.com/open?id=1XAm_fzMGYjO3Iho8LINJckWAuP4vp3nm</t>
  </si>
  <si>
    <t>Rua carlos lacerda</t>
  </si>
  <si>
    <t>(21)97573-1481</t>
  </si>
  <si>
    <t>21044-690</t>
  </si>
  <si>
    <t>Esporte; Educação; Assistência Social; Empreendedorismo; Saúde; Desenvolvimento comunitário</t>
  </si>
  <si>
    <t>Moradores de Favelas; Pessoas em situação de rua; População LGBTQ+; Afrodescendentes; Dependentes Químicos; Pessoas com Deficiência; Egressos sistema carcerário; Imigrantes</t>
  </si>
  <si>
    <t>https://www.instagram.com/espacotijolinho/</t>
  </si>
  <si>
    <t>https://drive.google.com/open?id=119-QDuVmduqLCMGqVkriuur_eyNbiRsB</t>
  </si>
  <si>
    <t>R BOCAIUVA</t>
  </si>
  <si>
    <t>(48)99934-4387</t>
  </si>
  <si>
    <t>88015-530</t>
  </si>
  <si>
    <t>Educação; Empregabilidade; Qualificação Profissional; Empreendedorismo; Ciência e Tecnologia; Comunicação</t>
  </si>
  <si>
    <t>Eventos/Ações para captação; Parceria iniciativa privada</t>
  </si>
  <si>
    <t>Parceria Inciativa Privada/80% - Eventos/Ações de Captação/15% - Negócio Social - 5%</t>
  </si>
  <si>
    <t>https://prototipandoaquebrada.org/</t>
  </si>
  <si>
    <t>https://www.instagram.com/prototipandoaquebrada/</t>
  </si>
  <si>
    <t>https://www.facebook.com/prototipando.aquebrada/</t>
  </si>
  <si>
    <t>https://www.youtube.com/channel/UCarvzQSzaDtFIjqg5nW6MFA</t>
  </si>
  <si>
    <t>https://drive.google.com/open?id=1TGTiVMVrl1fOBcUEY4wBiC_5cyXrW7Og</t>
  </si>
  <si>
    <t>https://drive.google.com/open?id=1FU4HeeqNAlTe43SMnFfUhnFMtW6Yn71h</t>
  </si>
  <si>
    <t>https://drive.google.com/open?id=1N947VLqUILSpjrI_AB7EXxDH9jkI59HA</t>
  </si>
  <si>
    <t>https://drive.google.com/open?id=12Iw6yGzhKSMrL5zu2fW0cGrNv59OCmUq</t>
  </si>
  <si>
    <t>Instituto Mundo Novo da Cultura Viva</t>
  </si>
  <si>
    <t>Adolfo de Albuquerque</t>
  </si>
  <si>
    <t>(21)96449-9387</t>
  </si>
  <si>
    <t>Educação; Empregabilidade; Assistência Social; Cultura; Qualificação Profissional; Empreendedorismo; Saúde; Empoderamento Feminino; Negócios Sociais; Apoio à gestão de organizações de Terceiro Setor; Defesa de Direitos; Desenvolvimento comunitário</t>
  </si>
  <si>
    <t>Moradores de Favelas; Pessoas com Deficiência; Outros</t>
  </si>
  <si>
    <t>Lei de Incentivo; Negócio Social; Eventos/Ações para captação; Plataforma doação online - Pessoa Física; Parceria iniciativa privada; Editais; Doações; Lei Estadual da Cultura; FIA; Recursos próprios</t>
  </si>
  <si>
    <t>FMIA 80%</t>
  </si>
  <si>
    <t>https://instagram.com/institutomundonovo?utm_medium=copy_link</t>
  </si>
  <si>
    <t>https://youtube.com/user/ONGMUNDONOVO</t>
  </si>
  <si>
    <t>coordenacao@institutopeb.org.br</t>
  </si>
  <si>
    <t>RUA DOS COLIBRIS, SN</t>
  </si>
  <si>
    <t>(27)99899-0567</t>
  </si>
  <si>
    <t>SERRA</t>
  </si>
  <si>
    <t>29160-171</t>
  </si>
  <si>
    <t>Rua dos colibri S/n
Bairro Eurico Salles
Serra Es
Na associação de moradores</t>
  </si>
  <si>
    <t>Esporte; Educação; Assistência Social; Qualificação Profissional; Empreendedorismo; Defesa de Direitos; Desenvolvimento comunitário</t>
  </si>
  <si>
    <t>Negócio Social; Convênio Público; Eventos/Ações para captação; Parceria iniciativa privada; Editais; Doações</t>
  </si>
  <si>
    <t>2% NEGOCIO SOCIAL / 30% CONVENIO PUBLICO / 1% EVENTOS/AÇÕES / 60% EDITAIS / 4% INICIATIVA PRIVADA / 3% DOAÇÕES</t>
  </si>
  <si>
    <t>www.instagram.com/institutopeb</t>
  </si>
  <si>
    <t>www.youtube.com/institutopeb</t>
  </si>
  <si>
    <t>https://drive.google.com/open?id=12JUif4IiB7BVM1EweNuQn9AygXUy3vLE</t>
  </si>
  <si>
    <t>https://drive.google.com/open?id=1IReKX-xrs_PPRwDmp9V2o4BTN_azFRFa</t>
  </si>
  <si>
    <t>Rua serenata 14</t>
  </si>
  <si>
    <t>(31)97507-3440</t>
  </si>
  <si>
    <t>Esporte; Educação; Empregabilidade; Assistência Social; Qualificação Profissional; Empreendedorismo; Negócios Sociais; Assistência Psicológica</t>
  </si>
  <si>
    <t>Negócio Social; Eventos/Ações para captação; Parceria iniciativa privada; Recursos próprios</t>
  </si>
  <si>
    <t>https://www.instagram.com/reel/CbxNzDrDjoV/?utm_medium=copy_link</t>
  </si>
  <si>
    <t>https://www.instagram.com/p/CSg1rfsrtU3/?utm_medium=copy_link</t>
  </si>
  <si>
    <t>https://youtu.be/-2ePNICD9uk</t>
  </si>
  <si>
    <t>https://drive.google.com/open?id=1E9zLnletCpGAo5kpYI4OAzfWgcZD1316</t>
  </si>
  <si>
    <t>https://drive.google.com/open?id=1XqlXB2MiwE1s0xbALhzk0H78fptG6z66</t>
  </si>
  <si>
    <t>https://drive.google.com/open?id=1E0B-wLe_ABdaxQ_DTkQG-Ga1Q7fnPg1_</t>
  </si>
  <si>
    <t>https://drive.google.com/open?id=1asXdqGMyj935SVQwU1liT5wRYOB_5Vp7</t>
  </si>
  <si>
    <t>https://drive.google.com/open?id=1JXOrzJ31JCfvSJuz-tCMWgJPRBTqwqtB</t>
  </si>
  <si>
    <t>Rua Graciano Faria Arantes 47 Granada</t>
  </si>
  <si>
    <t>Esporte; Educação; Assistência Social; Cultura; Saúde; Meio ambiente; Defesa de Direitos; Assistência Psicológica; Desenvolvimento comunitário</t>
  </si>
  <si>
    <t>Negócio Social; Eventos/Ações para captação; Plataforma doação online - Pessoa Física; Parceria iniciativa privada; Editais; Outro(s); Doações; Lei Estadual do Esporte; Recursos próprios</t>
  </si>
  <si>
    <t>20% município 20%mpt 60% próprio e Doações</t>
  </si>
  <si>
    <t>www.zeizadojo.org.br</t>
  </si>
  <si>
    <t>www.instagram.zeizadojo</t>
  </si>
  <si>
    <t>https://www.facebook/zeizadojo</t>
  </si>
  <si>
    <t>www.youtube/c/zeizadojo</t>
  </si>
  <si>
    <t>https://drive.google.com/open?id=1KFCJlxjs48LsE__A2Et3klK6IVhiHycn</t>
  </si>
  <si>
    <t>https://drive.google.com/open?id=18PdTFvQ0nhywoIHByZStZcvhka58TO41</t>
  </si>
  <si>
    <t>https://drive.google.com/open?id=1wZ8gVWppI-I6VQy6l445dpFxjsJalovx</t>
  </si>
  <si>
    <t>https://drive.google.com/open?id=1xGaiSIdHLCF12nQardmh5HrjHafsme-F</t>
  </si>
  <si>
    <t>lalaal</t>
  </si>
  <si>
    <t>(21)97163-4897</t>
  </si>
  <si>
    <t>oiahui</t>
  </si>
  <si>
    <t>22010-010</t>
  </si>
  <si>
    <t>está em construção</t>
  </si>
  <si>
    <t>(82)99189-9992</t>
  </si>
  <si>
    <t>57017-171</t>
  </si>
  <si>
    <t>São crianças e adolescentes  de alta vulnabilidade social  que na nossa comunidade não temos áreas de lazer que o projeto e o único espaço de convívio comunitário para todos ficamos situado perto do mercado da produção e o trabalho infantil começar desde cedo  e a porta aberta para os aliciamentos  de trafico de drogas  pronstituicao etc ... .</t>
  </si>
  <si>
    <t>Convênio Público; Editais</t>
  </si>
  <si>
    <t>https://www.instagram.com/invites/contact/?i=8gj04jbeb4vu&amp;utm_content=a3lfx4i</t>
  </si>
  <si>
    <t>https://drive.google.com/open?id=1IPet0jz4YUyGu0owlq4kj12ElAAg6yTU</t>
  </si>
  <si>
    <t>INSTITUTO ASCENDENDO MENTES</t>
  </si>
  <si>
    <t>Nina Cardoso</t>
  </si>
  <si>
    <t>(51) 99620-6480</t>
  </si>
  <si>
    <t>Rua Intendente Alfredo Azevedo</t>
  </si>
  <si>
    <t>(51)99620-6480</t>
  </si>
  <si>
    <t>91710-010</t>
  </si>
  <si>
    <t>Esporte; Educação; Empregabilidade; Assistência Social; Cultura; Qualificação Profissional; Empreendedorismo; Saúde; Empoderamento Feminino; Negócios Sociais; Ciência e Tecnologia; Defesa de Direitos; Assistência Psicológica; Desenvolvimento comunitário</t>
  </si>
  <si>
    <t>Moradores de Favelas; População LGBTQ+; Afrodescendentes; Dependentes Químicos; Pessoas com Deficiência</t>
  </si>
  <si>
    <t>Negócio Social; Eventos/Ações para captação; Plataforma doação online - Pessoa Física; Parceria iniciativa privada; Doações</t>
  </si>
  <si>
    <t>https://www.ascendendomentes.org.br/</t>
  </si>
  <si>
    <t>https://www.instagram.com/ascendendomentes/</t>
  </si>
  <si>
    <t>https://drive.google.com/open?id=1Wx7_j1zzKh0oX2iQB1ojBbxP3mJUcI6C</t>
  </si>
  <si>
    <t>https://drive.google.com/open?id=1kfWrHClhq-NGfcMT-lK0WL2JdAJX40F2</t>
  </si>
  <si>
    <t>ASSOCIACAO CULTURAL, DESPORTIVA E DE ACAO SOCIAL REDE PROTAGONISTA</t>
  </si>
  <si>
    <t>42.926.751/0001-83</t>
  </si>
  <si>
    <t>(27)99790-7663</t>
  </si>
  <si>
    <t>Esporte; Educação; Empregabilidade; Cultura; Qualificação Profissional; Empreendedorismo; Saúde; Empoderamento Feminino; Negócios Sociais; Desenvolvimento comunitário</t>
  </si>
  <si>
    <t>https://instagram.com/redeprotagonistaoficial?igshid=YmMyMTA2M2Y=</t>
  </si>
  <si>
    <t>https://youtube.com/channel/UCkmXwLqOxSzacr634Ina18g</t>
  </si>
  <si>
    <t>https://drive.google.com/open?id=1DNSl65Esq2vMH0N7fst9YwXXGXMV9k7d</t>
  </si>
  <si>
    <t>https://drive.google.com/open?id=1JCWXuhEvz2ygO7X_n4jCAwBVopmlpUwh</t>
  </si>
  <si>
    <t>Rua Régio,669</t>
  </si>
  <si>
    <t>(21)97522-8269</t>
  </si>
  <si>
    <t>21060-630</t>
  </si>
  <si>
    <t>Esporte; Educação; Assistência Social; Cultura; Qualificação Profissional; Meio ambiente; Empoderamento Feminino; Defesa de Direitos; Desenvolvimento comunitário</t>
  </si>
  <si>
    <t>Moradores de Favelas; População LGBTQ+; Afrodescendentes; Pessoas com Deficiência</t>
  </si>
  <si>
    <t>56% Pix do bem; 4%bazar; 4% Benfeitoria; 3% campanha Internacional; 11% Pessoa Física; e 22% Pessoa Jurídica</t>
  </si>
  <si>
    <t>https://www.napontadospes.com.br/</t>
  </si>
  <si>
    <t>https://www.instagram.com/projetonapontadospes/?hl=pt-br</t>
  </si>
  <si>
    <t>https://www.facebook.com/balletpnapontadospes</t>
  </si>
  <si>
    <t>https://drive.google.com/open?id=1XzJ_BzT7B033T4CPOnVdreMyt7sSh8NN</t>
  </si>
  <si>
    <t>(21) 96820-9843</t>
  </si>
  <si>
    <t>Avenida Engenheiro Richard 25</t>
  </si>
  <si>
    <t>20561-092</t>
  </si>
  <si>
    <t>Educação; Assistência Social; Cultura; Qualificação Profissional; Empreendedorismo; Empoderamento Feminino; Apoio à gestão de organizações de Terceiro Setor; Defesa de Direitos; Assistência Psicológica</t>
  </si>
  <si>
    <t>Moradores de Favelas; Afrodescendentes; Dependentes Químicos</t>
  </si>
  <si>
    <t>Plataforma doação online - Pessoa Física; Parceria iniciativa privada; Editais; Doações</t>
  </si>
  <si>
    <t>.</t>
  </si>
  <si>
    <t>https://www.grupoanjosdatiastellinha.org.br</t>
  </si>
  <si>
    <t>instagram@anjosdatiastellinha.com.br</t>
  </si>
  <si>
    <t>https://www.facebook.com/anjosdatiastellinha</t>
  </si>
  <si>
    <t>youtube@grupoanjosdatiastellinha.com.br</t>
  </si>
  <si>
    <t>https://drive.google.com/open?id=1qD8ar851S23nrXls_XmQAqBl-DzYk_YW</t>
  </si>
  <si>
    <t>https://drive.google.com/open?id=1ga3IF2KYaadnZZJ9FKyfZu38wjecUDHj</t>
  </si>
  <si>
    <t>RUA PARAIBUNA</t>
  </si>
  <si>
    <t>Vila Prudente</t>
  </si>
  <si>
    <t>(11)95430-2739</t>
  </si>
  <si>
    <t>03151-120</t>
  </si>
  <si>
    <t>Esporte; Educação; Empregabilidade; Assistência Social; Cultura; Qualificação Profissional; Empreendedorismo; Comunicação; Desenvolvimento comunitário</t>
  </si>
  <si>
    <t>Lei de Incentivo; Negócio Social; Plataforma doação online - Pessoa Física; Parceria iniciativa privada; Editais; Doações; Lei Federal do Esporte; Lei Rouanet</t>
  </si>
  <si>
    <t>https://www.vozesdasperiferias.com</t>
  </si>
  <si>
    <t>instagram.com/vozesdasperiferias</t>
  </si>
  <si>
    <t>https://www.facebook.com/vozesdasperiferias/</t>
  </si>
  <si>
    <t>https://www.youtube.com/c/VozesdasPeriferias</t>
  </si>
  <si>
    <t>https://drive.google.com/open?id=1QuUvY6uah6_zIgPUaXTLWVl-Dk_olpXz</t>
  </si>
  <si>
    <t>https://drive.google.com/open?id=1m4DbSryaQi2nb0vGW3B6hEQDjIS0XwoH</t>
  </si>
  <si>
    <t>NOVOS HERDEIROS HUMANÍSTICOS</t>
  </si>
  <si>
    <t>(11) 50582201</t>
  </si>
  <si>
    <t>MARIO GRAZINI</t>
  </si>
  <si>
    <t>(11)97495-8498</t>
  </si>
  <si>
    <t>04153-150</t>
  </si>
  <si>
    <t>https://novosherdeiros.com.br/</t>
  </si>
  <si>
    <t>https://www.instagram.com/ong.novosherdeiros/?utm_medium=copy_link</t>
  </si>
  <si>
    <t>https://www.facebook.com/ong.novosherdeiros/</t>
  </si>
  <si>
    <t>@ong.novosherdeiros</t>
  </si>
  <si>
    <t>https://drive.google.com/open?id=1UTavPiCzVTnQLlVlFoG6g4MLYrE5tH06</t>
  </si>
  <si>
    <t>https://drive.google.com/open?id=1e4GTZYHktJptddoQcenz-rGHoqoI2dOA</t>
  </si>
  <si>
    <t>Rua Rio Negro</t>
  </si>
  <si>
    <t>Riacho das Pedras</t>
  </si>
  <si>
    <t>(31)99850-4420</t>
  </si>
  <si>
    <t>32280-000</t>
  </si>
  <si>
    <t>Eventos/Ações para captação; Plataforma doação online - Pessoa Física; Lei Estadual do Esporte</t>
  </si>
  <si>
    <t>Lei Estadual de Incentivo ao Esporte 83,9%, Gerando Falcões 13,8% PF 2,3%</t>
  </si>
  <si>
    <t>https://www.fortini.org.br</t>
  </si>
  <si>
    <t>https://www.instagram.com/fortinisocial/</t>
  </si>
  <si>
    <t>https://www.youtube.com/channel/UC4geNS3zBY1xBEkbCy8kQKg</t>
  </si>
  <si>
    <t>https://drive.google.com/open?id=1KauHBoRGp1aaNIarvqk7Rkzs3LMPrW1A</t>
  </si>
  <si>
    <t>https://drive.google.com/open?id=18L3D1zSwWIKe0y4vMot-Qgl_P2AmLy_m</t>
  </si>
  <si>
    <t>Pachoal Decrescenzo, 599 -</t>
  </si>
  <si>
    <t>Vila Mayor</t>
  </si>
  <si>
    <t>(17)98226-0179</t>
  </si>
  <si>
    <t>15035-333</t>
  </si>
  <si>
    <t>Negócio Social; Convênio Público; Eventos/Ações para captação; Parceria iniciativa privada; Editais; Recursos próprios</t>
  </si>
  <si>
    <t>Vamos levantar com o financeiro o número exato</t>
  </si>
  <si>
    <t>http://institutoasvalquirias.com.br/</t>
  </si>
  <si>
    <t>https://instagram.com/valquiriasworld?utm_medium=copy_link</t>
  </si>
  <si>
    <t>https://www.facebook.com/MandinhaOliveiraeInstitutoAsValquirias/</t>
  </si>
  <si>
    <t>https://m.youtube.com/watch?v=V2hJElh06b0</t>
  </si>
  <si>
    <t>(11)97447-6721</t>
  </si>
  <si>
    <t>07230-340</t>
  </si>
  <si>
    <t>Esporte; Educação; Empregabilidade; Cultura; Qualificação Profissional</t>
  </si>
  <si>
    <t>Lei de Incentivo; Negócio Social; Eventos/Ações para captação; Doações</t>
  </si>
  <si>
    <t>http://sonharalto.tilda.ws/</t>
  </si>
  <si>
    <t>https://instagram.com/institutosonharalto?utm_medium=copy_link</t>
  </si>
  <si>
    <t>https://www.facebook.com/institutosonharalto</t>
  </si>
  <si>
    <t>https://www.youtube.com/channel/UCzg40-6_j8_-O3lbFPjN68A</t>
  </si>
  <si>
    <t>Rutênio Florencio Monte</t>
  </si>
  <si>
    <t>Rua 45 - conj. dos bancarios</t>
  </si>
  <si>
    <t>(85)99722-5088</t>
  </si>
  <si>
    <t>1710 - conjuntos dos bancarios - vila velha</t>
  </si>
  <si>
    <t>60345-662</t>
  </si>
  <si>
    <t>Polo esportivo e educacional 
1710 - conjuntos dos bancarios - vila velha</t>
  </si>
  <si>
    <t>Esporte; Educação; Empregabilidade; Assistência Social; Cultura; Qualificação Profissional; Empreendedorismo; Meio ambiente; Negócios Sociais; Defesa de Direitos; Comunicação; Desenvolvimento comunitário</t>
  </si>
  <si>
    <t>Moradores de Favelas; População LGBTQ+; Afrodescendentes; Dependentes Químicos</t>
  </si>
  <si>
    <t>Negócio Social; Convênio Público; Eventos/Ações para captação; Plataforma doação online - Pessoa Física; Parceria iniciativa privada; Doações</t>
  </si>
  <si>
    <t>60% parceria privada, 20% eventos e ações 20% os demais</t>
  </si>
  <si>
    <t>https://pensandobem.org</t>
  </si>
  <si>
    <t>https://instagram.com/pensandobemof?utm_medium=copy_link</t>
  </si>
  <si>
    <t>https://www.facebook.com/institutopensandobem</t>
  </si>
  <si>
    <t>https://youtube.com/channel/UCLzE3HXHsjQHyEazBWbuWNw</t>
  </si>
  <si>
    <t>https://drive.google.com/open?id=1SGZREWpuvJXhJ2c2b3w_D3LfUe1SEptB</t>
  </si>
  <si>
    <t>Instituto Entre o Céu e a Favela para Arte Educação e Cidadania</t>
  </si>
  <si>
    <t>(21)96422-0934</t>
  </si>
  <si>
    <t>20220-380</t>
  </si>
  <si>
    <t>https://www.entreoceueafavela.org/</t>
  </si>
  <si>
    <t>https://instagram.com/entreoceueafavela?utm_medium=copy_link</t>
  </si>
  <si>
    <t>https://pt-br.facebook.com/Entreoceueafavela/</t>
  </si>
  <si>
    <t>https://www.youtube.com/channel/UCKQctHNGwgnNSHRrs2RpVfw</t>
  </si>
  <si>
    <t>https://drive.google.com/open?id=1phqmSll2PBDZDSmVerQdq4PMK8-IRYwg</t>
  </si>
  <si>
    <t>https://drive.google.com/open?id=1d6iAeHga_xy9ASXNmYc5VVDnj4i2Gotm</t>
  </si>
  <si>
    <t>FAMILIA CRIATIVA DO CAMPO</t>
  </si>
  <si>
    <t>R. Maria Ivone Campos</t>
  </si>
  <si>
    <t>(84)8865-2115</t>
  </si>
  <si>
    <t>Esporte; Educação; Assistência Social; Cultura; Qualificação Profissional; Empreendedorismo; Meio ambiente; Empoderamento Feminino; Negócios Sociais; Defesa de Direitos; Assistência Psicológica; Desenvolvimento comunitário</t>
  </si>
  <si>
    <t>Moradores de Favelas; População LGBTQ+; Quilombola; Pessoas com Deficiência; Comunidade rural</t>
  </si>
  <si>
    <t>Lei de Incentivo; Eventos/Ações para captação; Parceria iniciativa privada; Editais; Doações</t>
  </si>
  <si>
    <t>https://www.institutofamiliacriativadocampo.com/</t>
  </si>
  <si>
    <t>https://www.instagram.com/familiacriativadocampo/</t>
  </si>
  <si>
    <t>https://www.facebook.com/familiacriativadocampo/</t>
  </si>
  <si>
    <t>https://www.youtube.com/channel/UCGSRsHb73WPsmD2qYIAgFEw</t>
  </si>
  <si>
    <t>https://drive.google.com/open?id=1yYwua9M2hHQY9ynOzBohcxIsiS4l059v</t>
  </si>
  <si>
    <t>https://drive.google.com/open?id=1lHv-uEhzF-4ejQzU2YNWXmVchiVfYvII</t>
  </si>
  <si>
    <t>Rua Infante de Sagres</t>
  </si>
  <si>
    <t>(21)99809-9817</t>
  </si>
  <si>
    <t>20261-160</t>
  </si>
  <si>
    <t>Esporte; Empregabilidade; Qualificação Profissional; Meio ambiente; Ciência e Tecnologia</t>
  </si>
  <si>
    <t>Parceria iniciativa privada; Editais</t>
  </si>
  <si>
    <t>https://www.instagram.com/favelaradical/</t>
  </si>
  <si>
    <t>https://www.facebook.com/FRfavelaradical/</t>
  </si>
  <si>
    <t>https://drive.google.com/open?id=18k7Ujh30L8kyYxuzomFuGH8Dcgp3QJBH</t>
  </si>
  <si>
    <t>Deputado Cunha Bueno</t>
  </si>
  <si>
    <t>(11)95305-4694</t>
  </si>
  <si>
    <t>Empregabilidade; Qualificação Profissional; Empreendedorismo; Negócios Sociais</t>
  </si>
  <si>
    <t>Egressos sistema carcerário</t>
  </si>
  <si>
    <t>Negócio Social; Parceria iniciativa privada; Editais</t>
  </si>
  <si>
    <t>https://recomecar360.org/</t>
  </si>
  <si>
    <t>www.instagram.com/recomecar360</t>
  </si>
  <si>
    <t>www.facebook.com/recomecargf</t>
  </si>
  <si>
    <t>https://youtube.com/c/Recomecar360</t>
  </si>
  <si>
    <t>https://drive.google.com/open?id=1__r_mrMMatinO4d0BiO6I-a1VFXrHL_j</t>
  </si>
  <si>
    <t>https://drive.google.com/open?id=1-hyrRl7ekSi2MLBQLlD-fQe9WVaz6dwi</t>
  </si>
  <si>
    <t>coronel aristides 180</t>
  </si>
  <si>
    <t>(51)98012-4645</t>
  </si>
  <si>
    <t>porto alegre</t>
  </si>
  <si>
    <t>91910-660</t>
  </si>
  <si>
    <t>Esporte; Educação; Assistência Social; Cultura; Negócios Sociais</t>
  </si>
  <si>
    <t>https://instagram.com/projetogaditas?utm_medium=copy_link</t>
  </si>
  <si>
    <t>https://drive.google.com/open?id=1P7WTqXKxV9uhGvMS-13qBmKDe4lE0-FF</t>
  </si>
  <si>
    <t>Rua Moxei,96</t>
  </si>
  <si>
    <t>(11)95726-0556</t>
  </si>
  <si>
    <t>05068-010</t>
  </si>
  <si>
    <t>Fazemos algumas oficinas itinerantes:
Rua Flor de Lis 1977 Brasilândia SP
Rua Chaves 1366 - Califórnia Barueri
Av. Deputado Cantídio Sampaio4547 - Brasilândia (ocupação)
Rua Apaiari 99 - Vista Alegre Brasilândia
Rua São Francisco do Humaitá 107 - Elisa Maria Brasilândia
Travessa Raimundo bezerra lima 35 - Vila Penteado Brasilândia
Rua Coronel Euclides Machado 1066 - Freguesia do Ó
RUA SIRIEMA 115 - PORTAL DAS LARANJEIRAS - CAIEIRAS</t>
  </si>
  <si>
    <t>Cultura; Qualificação Profissional; Empreendedorismo; Empoderamento Feminino; Negócios Sociais</t>
  </si>
  <si>
    <t>Adolescentes (12 aos 18 anos); Adultos</t>
  </si>
  <si>
    <t>10% doação - 30% editais - 10% eventos - 50% negócios sociais</t>
  </si>
  <si>
    <t>em construção - previsão março 2021</t>
  </si>
  <si>
    <t>https://instagram.com/mensageirosdaesperancaong?utm_medium=copy_link</t>
  </si>
  <si>
    <t>patriciaoliveira@institutosantacruzpontadaserra.org</t>
  </si>
  <si>
    <t>Assentamento Caimã Ponta da Serra</t>
  </si>
  <si>
    <t>(79)99689-2013</t>
  </si>
  <si>
    <t>Adustina</t>
  </si>
  <si>
    <t>Educação; Assistência Social; Cultura; Qualificação Profissional; Empreendedorismo; Empoderamento Feminino; Negócios Sociais; Desenvolvimento comunitário</t>
  </si>
  <si>
    <t>https://www.instagram.com/santacruzpontadaserra/</t>
  </si>
  <si>
    <t>https://www.facebook.com/capelinhadasantacruz</t>
  </si>
  <si>
    <t>https://www.youtube.com/channel/UCZF8Pj-0UFmd_2zZ7G_1GCw/featured</t>
  </si>
  <si>
    <t>https://drive.google.com/open?id=1WKZm_ft0me-r5VAb1Z8DYk6YtJpTSSqD</t>
  </si>
  <si>
    <t>https://drive.google.com/open?id=1RG2xa868Q6QWmEmYoTvXtPqKm-dWtoQq</t>
  </si>
  <si>
    <t>Esporte Mais</t>
  </si>
  <si>
    <t>Rua Inês Brasil,484</t>
  </si>
  <si>
    <t>(85)99711-8820</t>
  </si>
  <si>
    <t>60867-540</t>
  </si>
  <si>
    <t>Esporte; Educação; Empoderamento Feminino</t>
  </si>
  <si>
    <t>Lei de Incentivo; Editais; Lei Estadual do Esporte</t>
  </si>
  <si>
    <t>Lei Estadual do Esporte -30% Editais - 20% - Lei Federal de Incentivo ao Esporte - 50%</t>
  </si>
  <si>
    <t>http://esportemais.org/</t>
  </si>
  <si>
    <t>https://www.instagram.com/institutoesportemais/</t>
  </si>
  <si>
    <t>https://www.youtube.com/c/institutoesportemais</t>
  </si>
  <si>
    <t>https://drive.google.com/open?id=1yvlgw4jI_0HrPrIkwdKIlovb3Blhb1tq</t>
  </si>
  <si>
    <t>https://drive.google.com/open?id=1OLJQX9RTTIh3Ai1_YY6Xsctjuk5sZVw5</t>
  </si>
  <si>
    <t>Av L, 400</t>
  </si>
  <si>
    <t>(85)9985-3687</t>
  </si>
  <si>
    <t>60347-800</t>
  </si>
  <si>
    <t>90% Editais, 10% Doação</t>
  </si>
  <si>
    <t>https://www.vidanca.org.br/</t>
  </si>
  <si>
    <t>https://www.instagram.com/ciavidanca/</t>
  </si>
  <si>
    <t>https://www.youtube.com/c/Associa%C3%A7%C3%A3oVidan%C3%A7a</t>
  </si>
  <si>
    <t>https://drive.google.com/open?id=10dRh9ISMvhs4QsFR-HB-mYJdhA6a-2j-</t>
  </si>
  <si>
    <t>https://drive.google.com/open?id=1ifnr2TlRa15l5Mw9Uj3NyUaUSQavlFLq</t>
  </si>
  <si>
    <t>(11)95234-2824</t>
  </si>
  <si>
    <t>08410-020</t>
  </si>
  <si>
    <t>Esporte; Educação; Cultura; Qualificação Profissional; Empreendedorismo; Empoderamento Feminino; Assistência Psicológica</t>
  </si>
  <si>
    <t>https://institutoizaiasluzia.org</t>
  </si>
  <si>
    <t>https://www.instagram.com/institutoizaiasluzia/</t>
  </si>
  <si>
    <t>https://www.facebook.com/institutoizaiasluzia.org</t>
  </si>
  <si>
    <t>https://www.youtube.com/channel/UCHdyuPUpkeMvD42ExitVQUQ</t>
  </si>
  <si>
    <t>https://drive.google.com/open?id=1vJaCIgv-3Y_ufi3yH8Ai5s1AnPM6BOM9</t>
  </si>
  <si>
    <t>https://drive.google.com/open?id=1JI2GPIVEf2IOUA8WjVOwml5VRfZNNgx9</t>
  </si>
  <si>
    <t>ASSOCIACAO SOCIAL BLACKS URBANO</t>
  </si>
  <si>
    <t>DENER LUAN MORAES DE JESUS</t>
  </si>
  <si>
    <t>Avenida Caititu, 1321</t>
  </si>
  <si>
    <t>(11)97847-3222</t>
  </si>
  <si>
    <t>Esporte; Educação; Empregabilidade; Assistência Social; Cultura; Qualificação Profissional; Desenvolvimento comunitário</t>
  </si>
  <si>
    <t>Crianças bem pequenas (1 ano e 7 meses até 3 anos e 11 meses); Crianças pequenas (4 anos a 5 anos e 11 meses); Crianças (6 a 12 anos); Adolescentes (12 aos 18 anos); Jovens (18 aos 24 anos)</t>
  </si>
  <si>
    <t>Negócio Social; Eventos/Ações para captação; Plataforma doação online - Pessoa Física; Editais; Doações</t>
  </si>
  <si>
    <t>https://instagram.com/blacks.urbano?utm_medium=copy_link</t>
  </si>
  <si>
    <t>https://www.youtube.com/channel/UCUvXpvz50B0wTcJcCpRIxDA</t>
  </si>
  <si>
    <t>https://drive.google.com/open?id=1bcmlxKs2icfN7i-x5tjA95JaHHR2LB_e</t>
  </si>
  <si>
    <t>Amélia Correia Fontes Guimarães</t>
  </si>
  <si>
    <t>(11)98983-0049</t>
  </si>
  <si>
    <t>05617-010</t>
  </si>
  <si>
    <t>Esporte; Educação; Empregabilidade; Assistência Social; Cultura; Qualificação Profissional; Empreendedorismo; Saúde; Meio ambiente; Empoderamento Feminino; Negócios Sociais; Apoio à gestão de organizações de Terceiro Setor; Ciência e Tecnologia; Desenvolvimento comunitário</t>
  </si>
  <si>
    <t>Lei de Incentivo; Outro(s); Lei Federal do Esporte</t>
  </si>
  <si>
    <t>85% Lei Federal do Esporte 8% Aceleração GF Serviço 5%</t>
  </si>
  <si>
    <t>https://rugbyparatodos.org.br/</t>
  </si>
  <si>
    <t>instagram.com/rugbyparatodos/</t>
  </si>
  <si>
    <t>https://www.facebook.com/rugbyparatodos</t>
  </si>
  <si>
    <t>youtube.com/channel/UCAe9PXJkXKLWcQ3cRD8jG_w</t>
  </si>
  <si>
    <t>https://drive.google.com/open?id=1OjanUOLEa8dIOytHveU-qZIsldSpMGi2</t>
  </si>
  <si>
    <t>Rua Espirito Santo</t>
  </si>
  <si>
    <t>(37)99198-8847</t>
  </si>
  <si>
    <t>35500-030</t>
  </si>
  <si>
    <t>EM Antonieta Fonseca/ Rua Primo Batagline  410 / Quinta das Palmeiras CEP: 35.501.142. 
EM Sidney José de Oliveira/ Av. Anhangüera 1090 no bairro Jardim Candidés Divinópolis MG
EE Lauro Epifânio/ Av. Dolores de Aguiar Rabelo Bairro: Interlagos CEP: 35500491
EM Dr. Sebastião Gomes Guimarães/ Rua Bayssur  561-Maria Helena Divinópolis - MG CEP: 35500-374 
EM Padre João Bruno/ Avenida das Garças 311 Serra Verde Divinópolis - MG CEP: 35502-143
EM Padre Guarita/ R Tenente Marcio Bairro: Orion CEP: 35502426
EM Prof. Hermínia Gongozinho Rua Viriato Corrêa 2400 no Bairro Bela Vista- Divinópolis MG. 
Escola Municipal Professor Paulo Freire/ Rua Alzira Fonseca 441 no Bairro Davanuze na Divinópolis MG</t>
  </si>
  <si>
    <t>Assistência Social; Cultura; Qualificação Profissional; Assistência Psicológica</t>
  </si>
  <si>
    <t>Crianças (6 a 12 anos); Adolescentes (12 aos 18 anos); Jovens (18 aos 24 anos); Idosos (60 anos ou mais)</t>
  </si>
  <si>
    <t>Lei de Incentivo; Parceria iniciativa privada; Outro(s)</t>
  </si>
  <si>
    <t>43% Lei de Incentivo - 8% Tribunal Justiça e 49% iniciativa privada</t>
  </si>
  <si>
    <t>https://www.instagram.com/accounts/onetap/?next=%2F</t>
  </si>
  <si>
    <t>https://www.facebook.com/fazendoarte.acesa</t>
  </si>
  <si>
    <t>https://www.youtube.com/watch?v=HZZlojYkEww,https://www.youtube.com/watch?v=-FzruwtwhCw&amp;t=758s</t>
  </si>
  <si>
    <t>https://drive.google.com/open?id=1-e7Mcj_TszjDL3062JsP1kuuyJanIXGx</t>
  </si>
  <si>
    <t>Travessa Presidente Kennedy</t>
  </si>
  <si>
    <t>(21)9980-78422</t>
  </si>
  <si>
    <t>25045-010</t>
  </si>
  <si>
    <t>Esporte; Educação; Assistência Social; Cultura; Empreendedorismo; Saúde; Empoderamento Feminino</t>
  </si>
  <si>
    <t>Convênio Público; Parceria iniciativa privada; Editais; Doações; Recursos próprios</t>
  </si>
  <si>
    <t>https://www.atitudeamac.org.br/</t>
  </si>
  <si>
    <t>https://drive.google.com/open?id=1slvVfVXGFvUPrP5ERIXuIbNCaOLvDZJd</t>
  </si>
  <si>
    <t>https://drive.google.com/open?id=1RCeu5vClPdbPV07mxkHM01EfS5xNt5c5</t>
  </si>
  <si>
    <t>(21)99677-9604</t>
  </si>
  <si>
    <t>26130-050</t>
  </si>
  <si>
    <t>Esporte; Educação; Cultura; Qualificação Profissional; Empreendedorismo; Meio ambiente; Defesa de Direitos; Desenvolvimento comunitário</t>
  </si>
  <si>
    <t>30% eventos, 30% doação, 20% iniciativa privada, 10% editais, 10% recursos próprios</t>
  </si>
  <si>
    <t>www.simeusoudomeio.com.br</t>
  </si>
  <si>
    <t>https://www.instagram.com/invites/contact/?i=13sz7qfc2bqcy&amp;utm_content=4nrpcjg</t>
  </si>
  <si>
    <t>https://youtube.com/channel/UC1NAkHnpQlXgOmI1hJOQCHg</t>
  </si>
  <si>
    <t>https://drive.google.com/open?id=1Se9JKLH0lC-6wSfWJRHdk-fj2KCMFBEs</t>
  </si>
  <si>
    <t>https://drive.google.com/open?id=1j2ASdeCMDxiJqnOd19iAqnqNllnFfV4T</t>
  </si>
  <si>
    <t>Reverbera</t>
  </si>
  <si>
    <t>ROSANGELA DE FREITAS COSTA</t>
  </si>
  <si>
    <t>(48)98447-3140</t>
  </si>
  <si>
    <t>88020-530</t>
  </si>
  <si>
    <t>Praça do Monte Serrat - Caixa D'água - Endereço: R. Gen. Nestor Passos 443-381 - Centro Florianópolis - SC 88010-400
Parque Natural Municipal do Morro da Cruz - Endereço: Av. do Antão 607 - Centro Florianópolis - SC 88010-400
Centro Educacional Marista Lucia Mayvorne -Endereço: Rua General Rosinha 1050 - Centro Florianópolis - SC 88020-420</t>
  </si>
  <si>
    <t>Educação; Cultura; Empoderamento Feminino; Desenvolvimento comunitário</t>
  </si>
  <si>
    <t>Moradores de Favelas; Povos Indígenas; Quilombola; Afrodescendentes</t>
  </si>
  <si>
    <t>Negócio Social; Parceria iniciativa privada; Doações; Recursos próprios</t>
  </si>
  <si>
    <t>https://instagram.com/institutoreverbera?utm_medium=copy_link</t>
  </si>
  <si>
    <t>https://drive.google.com/open?id=1nL5QvRWCHqU-q5j1bbRsABMLMlGs6XSM</t>
  </si>
  <si>
    <t>https://drive.google.com/open?id=1KT0fex0eRNiKAhxj9gCGwJ3kjGoHyiV2</t>
  </si>
  <si>
    <t>Av. Almirante Tamandaré, 87</t>
  </si>
  <si>
    <t>(13)9883-17598</t>
  </si>
  <si>
    <t>11440-470</t>
  </si>
  <si>
    <t>Lei de Incentivo; Convênio Público; Eventos/Ações para captação; Plataforma doação online - Pessoa Física; Editais; Doações; Lei Federal do Esporte; Recursos próprios</t>
  </si>
  <si>
    <t>nao se aplica</t>
  </si>
  <si>
    <t>https://www.projetoondas.org.br/</t>
  </si>
  <si>
    <t>instagran.com/ongprojetoondas/</t>
  </si>
  <si>
    <t>youtube.com/projeto ondas</t>
  </si>
  <si>
    <t>https://drive.google.com/open?id=1hIapoJeTnqgDJ_54KbqzLycql3FnDQdQ</t>
  </si>
  <si>
    <t>https://drive.google.com/open?id=1Y8zrT3XCwi-JXqfgUw8fXBOyPCyazilR</t>
  </si>
  <si>
    <t>(83)9902-5942</t>
  </si>
  <si>
    <t>Moradores de Favelas; Afrodescendentes; Dependentes Químicos; Comunidade rural; Outros</t>
  </si>
  <si>
    <t>Negócio Social; Eventos/Ações para captação; Parceria iniciativa privada; Editais; Doações</t>
  </si>
  <si>
    <t>Negócio Social 20% | Eventos/Ações de Captação 12% | Parceria iniciativa Privada  12%  | Editais  38%  | Doações  18%</t>
  </si>
  <si>
    <t>https://centrocidadania.org/</t>
  </si>
  <si>
    <t>https://www.instagram.com/centrocidadania/?hl=pt-br</t>
  </si>
  <si>
    <t>https://www.youtube.com/channel/UCnAPxmDcZapWY0nPTvxNRBA</t>
  </si>
  <si>
    <t>https://drive.google.com/open?id=1rdj-NKKyLAROoPxYMI2gq1EQ2ERnZ-77</t>
  </si>
  <si>
    <t>(21)98802-5664</t>
  </si>
  <si>
    <t>Nilópolis</t>
  </si>
  <si>
    <t>26520-651</t>
  </si>
  <si>
    <t>Esporte; Educação; Assistência Social; Empreendedorismo</t>
  </si>
  <si>
    <t>Lei de Incentivo; Negócio Social; Eventos/Ações para captação; Plataforma doação online - Pessoa Física; Parceria iniciativa privada; Editais; Doações; Lei Federal do Esporte; FIA; Recursos próprios</t>
  </si>
  <si>
    <t>40% Doações PF, 20% Parceria iniciativa privada, 30% Editais, 10% Recursos próprios.</t>
  </si>
  <si>
    <t>www.institutososreviver.ong</t>
  </si>
  <si>
    <t>https://www.instagram.com/institutososreviver/</t>
  </si>
  <si>
    <t>https://www.youtube.com/channel/UCEj_I6zIAxiwxEohPATkIxA</t>
  </si>
  <si>
    <t>https://drive.google.com/open?id=1YdcrIOeQfDc_I2ipnSgPsXqT1uYDZuXL</t>
  </si>
  <si>
    <t>https://drive.google.com/open?id=1F-x6J4ZGZ4ore-lE4MhpJmMxOhUoYqde</t>
  </si>
  <si>
    <t>(31)99944-3801</t>
  </si>
  <si>
    <t>30335-790</t>
  </si>
  <si>
    <t>Cultura; Apoio à gestão de organizações de Terceiro Setor</t>
  </si>
  <si>
    <t>Moradores de Favelas; População LGBTQ+; Afrodescendentes; Outros</t>
  </si>
  <si>
    <t>Temos 4 grupos culturais que trabalham com ações variadas (teatro dança intervenção com mulheres e cinema) além de disponibilização de oficinas artísticas para crianças jovens adultos e idosos das instituções parceiras. Fora as apresentações culturais que acontecem dentro da Casa nas instituições parceiras e nas ruas da comunidade e circulação artística na cidade.</t>
  </si>
  <si>
    <t>Lei de Incentivo; Eventos/Ações para captação; Plataforma doação online - Pessoa Física; Parceria iniciativa privada; Editais; Doações; Lei Municipal da Cultura; Lei Rouanet</t>
  </si>
  <si>
    <t>Unimed (via Lei Rouanet) 69,6 MGS (Via Lei Municipal) 23,5 Sicoob (Via Lei Rouanet) 4,4 Doare (para comunidade) 2,5</t>
  </si>
  <si>
    <t>http://casadobeco.org.br/</t>
  </si>
  <si>
    <t>https://www.instagram.com/accounts/login/?next=/casa_dobeco/</t>
  </si>
  <si>
    <t>https://www.youtube.com/user/Casadobeco</t>
  </si>
  <si>
    <t>https://drive.google.com/open?id=1iDLGcOENE-YGmQoEpIPzM5km3xrH2WyE</t>
  </si>
  <si>
    <t>https://drive.google.com/open?id=1PtrY71AUkeO9uAdukXhrYGY5I-enO1Xq</t>
  </si>
  <si>
    <t>Rua Carlota Brianza</t>
  </si>
  <si>
    <t>Vila Progresso</t>
  </si>
  <si>
    <t>(11)94810-3247</t>
  </si>
  <si>
    <t>08245-070</t>
  </si>
  <si>
    <t>Esporte; Educação; Empregabilidade; Assistência Social; Cultura; Qualificação Profissional; Empreendedorismo; Meio ambiente; Ciência e Tecnologia; Defesa de Direitos; Assistência Psicológica; Desenvolvimento comunitário</t>
  </si>
  <si>
    <t>Eventos/Ações para captação; Plataforma doação online - Pessoa Física; Parceria iniciativa privada; Editais; Doações; Recursos próprios</t>
  </si>
  <si>
    <t>https://vilaemprogresso.com.br/</t>
  </si>
  <si>
    <t>https://www.instagram.com/invites/contact/?i=1q48rx0fbpkq2&amp;utm_content=5nzw0cw</t>
  </si>
  <si>
    <t>https://drive.google.com/open?id=17CebyqAkj849kAe48V095Fds_Cr1VpI1</t>
  </si>
  <si>
    <t>Rua Raimundo Chaves</t>
  </si>
  <si>
    <t>(84)98824-0254</t>
  </si>
  <si>
    <t>59064-390</t>
  </si>
  <si>
    <t>Esporte; Educação; Qualificação Profissional; Empoderamento Feminino; Defesa de Direitos; Assistência Psicológica; Desenvolvimento comunitário</t>
  </si>
  <si>
    <t>Moradores de Favelas; Afrodescendentes; Dependentes Químicos; Pessoas com Deficiência; Comunidade rural</t>
  </si>
  <si>
    <t>Negócio Social; Convênio Público; Eventos/Ações para captação; Plataforma doação online - Pessoa Física; Parceria iniciativa privada; Outro(s); Doações; FIA</t>
  </si>
  <si>
    <t>https://www.associacaofuturocampeao.com.br/</t>
  </si>
  <si>
    <t>https://instagram.com/stories/associacaofuturocampeao/2794711146158251417?utm_source=ig_story_item_share&amp;utm_medium=copy_link</t>
  </si>
  <si>
    <t>https://youtube.com/channel/UCNfDkx4UYiE8hBE0TqJXftw</t>
  </si>
  <si>
    <t>https://drive.google.com/open?id=1MuMOA7rqB7OyQ4WhDy8AL4lMIJXYqfFf</t>
  </si>
  <si>
    <t>(31)  98568-1797</t>
  </si>
  <si>
    <t>rua paulo cesar de mendonça</t>
  </si>
  <si>
    <t>(31)98568-1797</t>
  </si>
  <si>
    <t>32183-280</t>
  </si>
  <si>
    <t>Esporte; Educação; Assistência Social; Cultura; Saúde; Empoderamento Feminino; Defesa de Direitos</t>
  </si>
  <si>
    <t>25%doaçoes, 50%parcerias, 25%eventos</t>
  </si>
  <si>
    <t>https://www.instagram.com/circuitoinclusao/</t>
  </si>
  <si>
    <t>https://m.facebook.com/circuitoinclusao/</t>
  </si>
  <si>
    <t>https://www.youtube.com/channel/UC36l4YDSSNHqMAl78ueb_Lg</t>
  </si>
  <si>
    <t>https://drive.google.com/open?id=1vrgY6AeoVAojnYiNICmZVPL_G7aEPAN4</t>
  </si>
  <si>
    <t>https://drive.google.com/open?id=1OLtcE1n6ZSgoOQRhL0ExuQixBvKM4pWF</t>
  </si>
  <si>
    <t>https://drive.google.com/open?id=194MBVUb3b2XBeAMuJlAvJUD0ZxmIqUD9</t>
  </si>
  <si>
    <t>https://drive.google.com/open?id=1LaE7FpU5Agau5YXLMEHKrT5kzuATUedy</t>
  </si>
  <si>
    <t>https://drive.google.com/open?id=1GzD_qNiQmlz-MJzPvIqG-TX-rub8ZtZv https://drive.google.com/open?id=1428StBe0yrrrhOPZKigwHXlxUmCjAg68 https://drive.google.com/open?id=1EQG-2mKek0reUjPDYLt7u6lrtTzfVDLP https://drive.google.com/open?id=1Q6Nge8oPLfaaZUMnuslf</t>
  </si>
  <si>
    <t>Aldeia dos machacalis</t>
  </si>
  <si>
    <t>(11)97189-6880</t>
  </si>
  <si>
    <t>08430-430</t>
  </si>
  <si>
    <t>Esporte; Educação; Empregabilidade; Assistência Social; Cultura; Qualificação Profissional; Empreendedorismo; Saúde; Meio ambiente; Empoderamento Feminino; Negócios Sociais; Assistência Psicológica; Desenvolvimento comunitário</t>
  </si>
  <si>
    <t>Moradores de Favelas; Dependentes Químicos; Egressos sistema carcerário</t>
  </si>
  <si>
    <t>25% Eventos/Ações para captação/ Outros(BNI) e doações 75% Recursos próprios</t>
  </si>
  <si>
    <t>https://www.instagram.com/associacaopontoevirgulaoficial/</t>
  </si>
  <si>
    <t>https://www.facebook.com/associacaopontoevirgulaoficial</t>
  </si>
  <si>
    <t>https://drive.google.com/open?id=1Wo0NxkaqVGMtgDRH9XorH6WV_m9k5i1r</t>
  </si>
  <si>
    <t>https://drive.google.com/open?id=1rnQNGtmD5ABcyaGpS9qaQX1olBExEnQp</t>
  </si>
  <si>
    <t>https://drive.google.com/open?id=1_kU5nGzr_asMhttn8s_OAqg3FcLQdd8L</t>
  </si>
  <si>
    <t>https://drive.google.com/open?id=1XeuQrskmXuZX59LBUf69pOgzW18gi-uz</t>
  </si>
  <si>
    <t>https://drive.google.com/open?id=1jGlmuYr3fz_5VxV7QEDNRwF6lIyeXKFs</t>
  </si>
  <si>
    <t>https://drive.google.com/open?id=1evzexYr7GtjwUQCdCrTEGxeIM5rwtz3Y</t>
  </si>
  <si>
    <t>https://drive.google.com/open?id=1lMmsJpZBD3HvrNHGLNK5OEhWDawJzior</t>
  </si>
  <si>
    <t>32606-114</t>
  </si>
  <si>
    <t>Educação; Assistência Social; Cultura; Qualificação Profissional; Empreendedorismo; Empoderamento Feminino; Negócios Sociais; Apoio à gestão de organizações de Terceiro Setor; Defesa de Direitos</t>
  </si>
  <si>
    <t>Negócio Social; Eventos/Ações para captação; Lei Estadual da Cultura; Lei Municipal da Cultura</t>
  </si>
  <si>
    <t>50% Negocio Social 50% Lei Municipal de Incentivo a Cultura</t>
  </si>
  <si>
    <t>https://www.donaantonia.org.br</t>
  </si>
  <si>
    <t>https://instagram.com/donaantoniacultura</t>
  </si>
  <si>
    <t>https://facebook.com/donaantonia</t>
  </si>
  <si>
    <t>https://youtube.com/c/DonaAnt%C3%B4niaTV</t>
  </si>
  <si>
    <t>https://drive.google.com/open?id=1QIjsY-G34JC2kqnrbQcVhmfmLAEoKHo8</t>
  </si>
  <si>
    <t>https://drive.google.com/open?id=1DaGcHOAiVePjbXPfibDQFCTIWxEenXsy</t>
  </si>
  <si>
    <t>https://drive.google.com/open?id=15YWqifKaKdoI-HzW44R8Mp8QL_9xaaQB</t>
  </si>
  <si>
    <t>https://drive.google.com/open?id=1LzfDCwbuIOuTuAhJLJWwFMAoCGy3qU6R</t>
  </si>
  <si>
    <t>Francisco DE Assis SOARES (LOT JD América)</t>
  </si>
  <si>
    <t>(51)9814-98022</t>
  </si>
  <si>
    <t>Sapucaia do Sul</t>
  </si>
  <si>
    <t>93225-100</t>
  </si>
  <si>
    <t>Lei de Incentivo; Parceria iniciativa privada; Editais; Lei Estadual da Cultura; FIA</t>
  </si>
  <si>
    <t>https://www.instagram.com/instituto_capoeirasocial?r=nametag</t>
  </si>
  <si>
    <t>https://www.facebook.com/Institutocapoeirasocial/</t>
  </si>
  <si>
    <t>https://youtube.com/channel/UC7RfnnHLtkyjpwYMmwCwyJA</t>
  </si>
  <si>
    <t>https://drive.google.com/open?id=1K-oGoqvjJu9YY7sK9x_mcieRsXX0VboA</t>
  </si>
  <si>
    <t>https://drive.google.com/open?id=1-UNSC_J_UfWSxxplC4MCMOkI86B_02_s</t>
  </si>
  <si>
    <t>https://drive.google.com/open?id=16tF8uHc5HPFnY0dTYt5fX4Zln4Xu3uVV</t>
  </si>
  <si>
    <t>https://drive.google.com/open?id=18pM1W7qJmj7E3Tk6Txz69DAmRhLGSo5O</t>
  </si>
  <si>
    <t>Rua Primeiro de Maio n° 379</t>
  </si>
  <si>
    <t>(85)99872-5479</t>
  </si>
  <si>
    <t>60541-658</t>
  </si>
  <si>
    <t>Esporte; Educação; Empregabilidade; Assistência Social; Cultura; Qualificação Profissional; Empreendedorismo; Saúde; Assistência Psicológica; Desenvolvimento comunitário</t>
  </si>
  <si>
    <t>50% PARCERIA PRIVADA, 10% PESSOA FÍSICA, 10% EVENTOS, 20% EDITAIS, 10% DOAÇÕES, 20% RECURSOS PRÓPRIOS</t>
  </si>
  <si>
    <t>https://www.instagram.com/institutoeducamaisesporte/</t>
  </si>
  <si>
    <t>https://instagram.com/institutoeducamaisesporte?utm_medium=copy_link</t>
  </si>
  <si>
    <t>https://drive.google.com/open?id=1Yeqpj-32I5f1qRf-dE2YziHiPjqKachE</t>
  </si>
  <si>
    <t>https://drive.google.com/open?id=1SDUMMzYyt1AaI5XXNVU_1FghApz-pjHH</t>
  </si>
  <si>
    <t>https://drive.google.com/open?id=15sD1ETlqD3kFlx_qX20OdA289wRGKozU</t>
  </si>
  <si>
    <t>https://drive.google.com/open?id=1cuMphtiur0RbGyREj4VoZ2ox_96JlYMh</t>
  </si>
  <si>
    <t>https://drive.google.com/open?id=1V5wIvWgKbTfICILcMJG35CyLA6DEPaRe</t>
  </si>
  <si>
    <t>Bahia</t>
  </si>
  <si>
    <t>Esporte; Educação; Empregabilidade; Assistência Social; Cultura; Qualificação Profissional; Empreendedorismo; Saúde; Meio ambiente; Empoderamento Feminino; Assistência Psicológica</t>
  </si>
  <si>
    <t>Moradores de Favelas; Dependentes Químicos; Egressos sistema carcerário; Comunidade rural</t>
  </si>
  <si>
    <t>http://www.correntedoamor.org</t>
  </si>
  <si>
    <t>https://www.instagram.com/correntedoamormoc/</t>
  </si>
  <si>
    <t>https://pt-br.facebook.com/Correntedoamor/</t>
  </si>
  <si>
    <t>https://www.youtube.com/channel/UCGzyIqaz4wQLF_GkGCV8uzA</t>
  </si>
  <si>
    <t>https://drive.google.com/open?id=1zu74HyMwMoScn1aLcBpy-dgb4NB8ZlJh</t>
  </si>
  <si>
    <t>https://drive.google.com/open?id=1Mmyw20ReWN1gBznVWSJkpxCrjlgsrYqG</t>
  </si>
  <si>
    <t>https://drive.google.com/open?id=1MHZ7n8OOsTW--CGd4EdwRYbG3Nd0cxrs</t>
  </si>
  <si>
    <t>https://drive.google.com/open?id=1ExdhI1XN1w8GzqA6yX_QbyTd6Ymz1PD3</t>
  </si>
  <si>
    <t>https://drive.google.com/open?id=10CnIaKqB7aFh3e3p26eqfQ5Q8hKjIuK5</t>
  </si>
  <si>
    <t>https://drive.google.com/open?id=1BiXdP5J4A7uxzxVZ8moy7b-6vgzwJUGV</t>
  </si>
  <si>
    <t>(11)98443-4620</t>
  </si>
  <si>
    <t>02545-060</t>
  </si>
  <si>
    <t>Esporte; Educação; Empregabilidade; Assistência Social; Cultura; Qualificação Profissional; Empreendedorismo; Meio ambiente; Negócios Sociais</t>
  </si>
  <si>
    <t>https://institutovidart.com.br/</t>
  </si>
  <si>
    <t>https://instagram.com/institutovidart?utm_medium=copy_link</t>
  </si>
  <si>
    <t>https://www.facebook.com/profile.php?id=100008988494894</t>
  </si>
  <si>
    <t>https://drive.google.com/open?id=1p30eG3spYjTU-ExGyyjnQYA7ehhlMpWT</t>
  </si>
  <si>
    <t>https://drive.google.com/open?id=1ij-xmEKC5OeI6MktNjdiH0a3_LENOUYe</t>
  </si>
  <si>
    <t>https://drive.google.com/open?id=1bN4T6DaGqHtpQBeeaVkKqKKsiKwe5ixF</t>
  </si>
  <si>
    <t>https://drive.google.com/open?id=1FgLHTJPMMP6vOJF81K-C3ddblollYJdP</t>
  </si>
  <si>
    <t>Rua Pedra Negra 33</t>
  </si>
  <si>
    <t>(31)98688-7119</t>
  </si>
  <si>
    <t>Belo Horizonte - MG</t>
  </si>
  <si>
    <t>31985-150</t>
  </si>
  <si>
    <t>Convênio Público; Editais; Doações; FIA</t>
  </si>
  <si>
    <t>FIA 10% Convênio Público 70% Parceria iniciativa privada 10% Doações 10%</t>
  </si>
  <si>
    <t>www.herdar.org.br</t>
  </si>
  <si>
    <t>https://www.instagram.com/institutoherdar</t>
  </si>
  <si>
    <t>https://www.facebook.com/institutoherdar</t>
  </si>
  <si>
    <t>https://www.youtube.com/channel/UCV_wrE-4iqEW3McnfjK5DQg</t>
  </si>
  <si>
    <t>https://drive.google.com/open?id=1Yge0VSiP15O66SbP3NLCd-VwyIZNiPqx</t>
  </si>
  <si>
    <t>https://drive.google.com/open?id=1d4VDjSg62Jw9LJeDC1xcSa-HYhJux-nZ</t>
  </si>
  <si>
    <t>https://drive.google.com/open?id=1ZVCyeHKqrxyVXg7hVoF3TnHluvb_PBM-</t>
  </si>
  <si>
    <t>https://drive.google.com/open?id=1fBkVL8IRuKK-J-VwJoapEwJPJnyCO4NM</t>
  </si>
  <si>
    <t>https://drive.google.com/open?id=1TmrmPYJLLo-bfGgo5TYgoUyr4f2k8gQw</t>
  </si>
  <si>
    <t>https://drive.google.com/open?id=1TUs1Gy_wPYChpQa3bNDfNEhtSFHg63B-</t>
  </si>
  <si>
    <t>https://drive.google.com/open?id=1F97V0cra6Nbj0bxiKhebULXhEdh0asUy</t>
  </si>
  <si>
    <t>(31)9917-55109</t>
  </si>
  <si>
    <t>32371-120</t>
  </si>
  <si>
    <t>Educação; Assistência Social; Cultura; Empreendedorismo; Saúde; Empoderamento Feminino; Defesa de Direitos</t>
  </si>
  <si>
    <t>A maioria é criança e adolescente morador de Vila que moram apenas com a mãe recebem bolsa família e estudam na escola pública. Uma parcela significativa são moradores de vilas. pequenas que surgem ao derredor de distritos industriais marcadas por intensa violência. Contagem é a 5 cidade mais violenta do Estado de Minas e junto com Ribeirão das neves que é a 3 e Betim que é a primeira formam um cinturão da violência. Ribeirão das neves tem o presídio estadual e Contagem um presídio federal.</t>
  </si>
  <si>
    <t>Lei de incentivo- 65%. Editais 30%, 5 %</t>
  </si>
  <si>
    <t>kyrius.org.br</t>
  </si>
  <si>
    <t>https://www.instagram.com/kyriuscia/</t>
  </si>
  <si>
    <t>https://www.facebook.com/grupo.kyrius/</t>
  </si>
  <si>
    <t>https://www.youtube.com/channel/UCxljMIZlgaukOHIa-ETTZvQ/featured</t>
  </si>
  <si>
    <t>https://drive.google.com/open?id=1vvFTNGnzemtnCUe7rUxearFHXVCyVqFe</t>
  </si>
  <si>
    <t>https://drive.google.com/open?id=1AqS7LQiSp81PaR8M4AIkJbAJor62PVX6</t>
  </si>
  <si>
    <t>https://drive.google.com/open?id=1LRFgrOinRFQTEMckPfdopVlFeX6MmvxP</t>
  </si>
  <si>
    <t>https://drive.google.com/open?id=1sVSGsKaBePwZDlHp4YtWwgouo2IRtCXA</t>
  </si>
  <si>
    <t>https://drive.google.com/open?id=1e3ng2cAUsYj7fS7kiSrz3obTdifkNY-7</t>
  </si>
  <si>
    <t>Rua cento e vinte e nove</t>
  </si>
  <si>
    <t>(31)98534-6345</t>
  </si>
  <si>
    <t>35180-140</t>
  </si>
  <si>
    <t>Esporte; Educação; Assistência Social; Cultura; Qualificação Profissional; Empreendedorismo; Empoderamento Feminino; Apoio à gestão de organizações de Terceiro Setor; Defesa de Direitos; Assistência Psicológica</t>
  </si>
  <si>
    <t>Plataforma doação online - Pessoa Física; Doações; FIA</t>
  </si>
  <si>
    <t>100% FIA</t>
  </si>
  <si>
    <t>www.margaridasprojetos.org</t>
  </si>
  <si>
    <t>www.instagram.com/margaridasprojetos</t>
  </si>
  <si>
    <t>www.facebook.com/margaridasprojetos</t>
  </si>
  <si>
    <t>www.youtube.com/margaridasprojetospravida</t>
  </si>
  <si>
    <t>https://drive.google.com/open?id=1XkUuOE_4KxVIvAIyISUrU8jYGyozsRWh</t>
  </si>
  <si>
    <t>https://drive.google.com/open?id=1v2E65RBjBNvAkxTmqxY_HVvNsfnfRk2F</t>
  </si>
  <si>
    <t>https://drive.google.com/open?id=1345iboJe8HDOu17dVaVyacwxMXcvLj4z</t>
  </si>
  <si>
    <t>https://drive.google.com/open?id=1Odts0FrgKLe6kj37W_yKb7lMxpqkt8ml</t>
  </si>
  <si>
    <t>Chácara 2</t>
  </si>
  <si>
    <t>(61)99335-8340</t>
  </si>
  <si>
    <t>Fercal</t>
  </si>
  <si>
    <t>73150-150</t>
  </si>
  <si>
    <t>Esporte; Educação; Empregabilidade; Assistência Social; Cultura; Qualificação Profissional; Empreendedorismo; Meio ambiente; Empoderamento Feminino; Negócios Sociais; Apoio à gestão de organizações de Terceiro Setor; Ciência e Tecnologia; Comunicação; Desenvolvimento comunitário</t>
  </si>
  <si>
    <t>Moradores de Favelas; População LGBTQ+; Afrodescendentes; Dependentes Químicos; Comunidade rural; Outros</t>
  </si>
  <si>
    <t>Negócio Social; Eventos/Ações para captação; Editais</t>
  </si>
  <si>
    <t>25% editais 25% eventos e ações 50% negócios sociais</t>
  </si>
  <si>
    <t>http://andancasdf.com.br/</t>
  </si>
  <si>
    <t>https://www.instagram.com/invites/contact/?i=1vdoxxwmgi40y&amp;utm_content=jvwo4l7</t>
  </si>
  <si>
    <t>https://www.facebook.com/andancasdf</t>
  </si>
  <si>
    <t>https://drive.google.com/open?id=1qaUFeHSukbnlYo2NvfrH4io5oKd1KE2T</t>
  </si>
  <si>
    <t>https://drive.google.com/open?id=1ZCNc53tFuLGEEhe4Nr-CQmjol4K24lHd</t>
  </si>
  <si>
    <t>https://drive.google.com/open?id=1G7AefYIlyYudwMOEBh4mXkHvsg6lu-Va</t>
  </si>
  <si>
    <t>https://drive.google.com/open?id=1NyKF3HeYIvpwUNdXUb2M_tREMG7mBQR7</t>
  </si>
  <si>
    <t>https://drive.google.com/open?id=1QUASKN-EcneT5LK6sW-gc-3nR6YBxrfW</t>
  </si>
  <si>
    <t>https://drive.google.com/open?id=1yI4nc_xX4_5QM2Wh6hkzkskS4aSXK9Zw</t>
  </si>
  <si>
    <t>https://drive.google.com/open?id=1OtZ6hJ_1Hyj_Gap2pCsmL2Szw38aSSBc</t>
  </si>
  <si>
    <t>Rua Alcaide</t>
  </si>
  <si>
    <t>(11)97711-9607</t>
  </si>
  <si>
    <t>05882-330</t>
  </si>
  <si>
    <t>Educação; Assistência Social; Cultura; Qualificação Profissional</t>
  </si>
  <si>
    <t>Bebês (0 a 1 ano e 6 meses); Crianças bem pequenas (1 ano e 7 meses até 3 anos e 11 meses); Adolescentes (12 aos 18 anos); Jovens (18 aos 24 anos); Adultos; Idosos (60 anos ou mais)</t>
  </si>
  <si>
    <t>Moradores de Favelas; Afrodescendentes; Dependentes Químicos; Egressos sistema carcerário</t>
  </si>
  <si>
    <t>Negócio Social; Convênio Público; Eventos/Ações para captação; Plataforma doação online - Pessoa Física</t>
  </si>
  <si>
    <t>40% convênio público, 30% negócio social, 15% plataforma de doação</t>
  </si>
  <si>
    <t>http://www.libertariosdocapao.org.br</t>
  </si>
  <si>
    <t>https://instagram.com/libertariosdocapao?igshid=YmMyMTA2M2Y=</t>
  </si>
  <si>
    <t>https://m.facebook.com/LibertariosDoCapao/?locale2=pt_BR</t>
  </si>
  <si>
    <t>https://youtu.be/woAj3HNgIGY</t>
  </si>
  <si>
    <t>https://drive.google.com/open?id=17z-eM4pzIz8aS__Gf9gjtlv-WlLMxWyC</t>
  </si>
  <si>
    <t>https://drive.google.com/open?id=1qzUXOL60RatI_Bj7rPp1C-FzoeLlV6B-</t>
  </si>
  <si>
    <t>https://drive.google.com/open?id=1_b_348934nntrg_toWHWdOaro3DfmSxR</t>
  </si>
  <si>
    <t>https://drive.google.com/open?id=1x2qDLLd7sKgtlMd102Q2S8GCw-QZnls2</t>
  </si>
  <si>
    <t>https://drive.google.com/open?id=1bVQgcrposSYas1jwm4XKiWdqGvEaafq1</t>
  </si>
  <si>
    <t>RUA ALZIRA HORTÊNCIA</t>
  </si>
  <si>
    <t>PIRAUBA</t>
  </si>
  <si>
    <t>Esporte; Educação; Assistência Social; Cultura; Saúde; Assistência Psicológica</t>
  </si>
  <si>
    <t>ATUALMENTE 70% DOAÇÕES, 30%RECURSOS,  PRÓPRIOS,</t>
  </si>
  <si>
    <t>https://www.instagram.com/oficinadoesporte/</t>
  </si>
  <si>
    <t>https://www.facebook.com/projetosocialoficinadoesporte</t>
  </si>
  <si>
    <t>https://www.youtube.com/channel/UCT0FukrNZUXYaMTVbJrIDbw</t>
  </si>
  <si>
    <t>https://drive.google.com/open?id=1jwBni9SitSXaHlUmw-miG6Svw8pp2Kn0</t>
  </si>
  <si>
    <t>https://drive.google.com/open?id=1JHUS_fuRassgDW0URWmBef0PRXGmsPiF</t>
  </si>
  <si>
    <t>https://drive.google.com/open?id=13A3kx7TYgGzL9DDGhDxanwnY9lF_H0xy</t>
  </si>
  <si>
    <t>https://drive.google.com/open?id=16rGSVV51IONxCOzM0t9mCsrK5rUPAJ7X</t>
  </si>
  <si>
    <t>https://drive.google.com/open?id=1NT2LeCkX80ErjNANmoguiZv4rDV86U9_ https://drive.google.com/open?id=1ZhyrO91BKhbOWcsWdTONzmhLLOgoQdjk</t>
  </si>
  <si>
    <t>(81) 99992-4813</t>
  </si>
  <si>
    <t>Av Sigismundo Gonçalves</t>
  </si>
  <si>
    <t>53010-240</t>
  </si>
  <si>
    <t>Educação; Qualificação Profissional; Desenvolvimento comunitário</t>
  </si>
  <si>
    <t>https://www.instagram.com/movimentoinspire/</t>
  </si>
  <si>
    <t>https://drive.google.com/open?id=1HPYPstq5a6CbdraZE9_Yj9Z1wp_CXzQA</t>
  </si>
  <si>
    <t>https://drive.google.com/open?id=13HUzSL-JwD8DpmmVLw19knGuOGsK4uBJ</t>
  </si>
  <si>
    <t>https://drive.google.com/open?id=1KbcoBZnNOCbfejp9ZIdu2P99wuoXKeOu</t>
  </si>
  <si>
    <t>https://drive.google.com/open?id=1YDsaAY_pVYNlnoRb5HaeQA-FOgvKFdw7</t>
  </si>
  <si>
    <t>Rua São Julião</t>
  </si>
  <si>
    <t>(31)98872-9239</t>
  </si>
  <si>
    <t>BETIM</t>
  </si>
  <si>
    <t>32655-564</t>
  </si>
  <si>
    <t>Esporte; Educação; Assistência Social; Saúde; Defesa de Direitos; Desenvolvimento comunitário</t>
  </si>
  <si>
    <t>Não temos ainda</t>
  </si>
  <si>
    <t>https://www.instagram.com/pontinclusiva/</t>
  </si>
  <si>
    <t>https://www.</t>
  </si>
  <si>
    <t>https://www.youtube.com/channel/UCn8XG2-o9Y1PGnAQiI4Xm7A/featured</t>
  </si>
  <si>
    <t>https://drive.google.com/open?id=1qQCF1kq6ibovyj94fYwlt_E2bt51HJkw</t>
  </si>
  <si>
    <t>Paulo Ono</t>
  </si>
  <si>
    <t>08772-560</t>
  </si>
  <si>
    <t>Esporte; Empregabilidade; Cultura; Qualificação Profissional</t>
  </si>
  <si>
    <t>Negócio Social; Plataforma doação online - Pessoa Física; Parceria iniciativa privada; Lei Municipal da Cultura</t>
  </si>
  <si>
    <t>PF 10%, PJ 25%, LIC municipal 50%, Negócio 15%</t>
  </si>
  <si>
    <t>https://missaointensidade.org.br/</t>
  </si>
  <si>
    <t>https://www.instagram.com/missao_intensidade/</t>
  </si>
  <si>
    <t>https://www.facebook.com/missaointensidade</t>
  </si>
  <si>
    <t>https://www.youtube.com/channel/UCwioqcNEuza5SEqKhn2ULeA</t>
  </si>
  <si>
    <t>https://drive.google.com/open?id=14efDnN7mpPQcdKxZj3JHlnIvMFnp68CX</t>
  </si>
  <si>
    <t>https://drive.google.com/open?id=1N8BAeszZ0fhxFbOihxJDWOxITvnVTARs</t>
  </si>
  <si>
    <t>https://drive.google.com/open?id=1L9OKDCWgwmdTu7de6_RSPAvdSb3JE2zR</t>
  </si>
  <si>
    <t>https://drive.google.com/open?id=1A4SVdyWVVma3Poi0FuwJBNwH--u3THBb</t>
  </si>
  <si>
    <t>https://drive.google.com/open?id=1a089UHUCoN_QRMRuq32y3D_UXMPkHIcL</t>
  </si>
  <si>
    <t>https://drive.google.com/open?id=12oPrIFjnjf2cWI9wRr8sQlPn9AD_okFm</t>
  </si>
  <si>
    <t>https://drive.google.com/open?id=1bP_eyOwBsm4wM50bypnEFwEGHc0byj_0</t>
  </si>
  <si>
    <t>rua verde</t>
  </si>
  <si>
    <t>(21)9551-6397</t>
  </si>
  <si>
    <t>nova iguacu</t>
  </si>
  <si>
    <t>26295-093</t>
  </si>
  <si>
    <t>Esporte; Educação; Assistência Social; Cultura; Empoderamento Feminino; Assistência Psicológica</t>
  </si>
  <si>
    <t>40% doacoes 60% acoes/eventos</t>
  </si>
  <si>
    <t>http://institutomeduca.org/</t>
  </si>
  <si>
    <t>instagram.com/institutomeduca</t>
  </si>
  <si>
    <t>https://www.facebook.com/institutomeduca</t>
  </si>
  <si>
    <t>https://drive.google.com/open?id=1S-sikKoqlDZjF4xMcJ7q1Am5b8styL5o</t>
  </si>
  <si>
    <t>https://drive.google.com/open?id=1akRo4s6UoYwzfRy71UawlWE-4hILHnak</t>
  </si>
  <si>
    <t>https://drive.google.com/open?id=1VybRgD5pXBFE-u6lbr8GHCFkYzdX_n10</t>
  </si>
  <si>
    <t>https://drive.google.com/open?id=1gJHAVU-8M62AGmd7kxZs-1YD9Z217AlA</t>
  </si>
  <si>
    <t>https://drive.google.com/open?id=11SH-cTAh2Va05mMMSzlJdaAE8Ngodgq2</t>
  </si>
  <si>
    <t>https://drive.google.com/open?id=16PgG-F9DRSxaTvszZOi0MkJV_tuS9TgP</t>
  </si>
  <si>
    <t>IAMA -EDUCAÇÃO E ARTE</t>
  </si>
  <si>
    <t>Rua 128, Quadra 117 Numero 14</t>
  </si>
  <si>
    <t>Moradores de Favelas; Pessoas em situação de rua; Pessoas com Deficiência; Comunidade rural; Outros</t>
  </si>
  <si>
    <t>https://obiwan.hoostplatform.com/~iamaslzc/painel/index.php?page=hoost-dashboard</t>
  </si>
  <si>
    <t>https://www.instagram.com/p/CQXSEKlHgIM/?utm_medium=copy_link</t>
  </si>
  <si>
    <t>https://m.facebook.com/story.php?story_fbid=926957197883641&amp;id=100017081089107</t>
  </si>
  <si>
    <t>https://drive.google.com/open?id=1SXmru_mHy6G2iMYGz_LnjCjB3l34JVDB</t>
  </si>
  <si>
    <t>https://drive.google.com/open?id=1OyIhZzl8_SQQ16IY-VbbsSwpWoBFqPCr</t>
  </si>
  <si>
    <t>https://drive.google.com/open?id=1aQYCpB6THmztfT8u23NaK_k7RZ3-D0hJ</t>
  </si>
  <si>
    <t>https://drive.google.com/open?id=1suzE3VkehufwnUAQCb_LMdJs8-nLavmR</t>
  </si>
  <si>
    <t>https://drive.google.com/open?id=1m2hbeYbd0IrUyf3_631MSKcTa174kMU7</t>
  </si>
  <si>
    <t>https://drive.google.com/open?id=11ZLyYBSMoGb7Tzs5kYnd5lePr3DsIBe9</t>
  </si>
  <si>
    <t>PROJETO RECONSTRUIR - VILA LEONINA</t>
  </si>
  <si>
    <t>Geraldo Vasconcelos</t>
  </si>
  <si>
    <t>(31)99557-9665</t>
  </si>
  <si>
    <t>30494-100</t>
  </si>
  <si>
    <t>www.projetoreconstruir.org.br</t>
  </si>
  <si>
    <t>https://www.instagram.com/projetoreconstruir/</t>
  </si>
  <si>
    <t>https://www.facebook.com/reconstruir</t>
  </si>
  <si>
    <t>https://www.youtube.com/ProjetoReconstruir</t>
  </si>
  <si>
    <t>https://drive.google.com/open?id=1OHYjgGPjcdyvsIc988vJTfWE6KJ0efJH</t>
  </si>
  <si>
    <t>https://drive.google.com/open?id=1Y6Zu9jX1dkzJEEq1D_3ZYLntXDJYLan-</t>
  </si>
  <si>
    <t>https://drive.google.com/open?id=1h4fKa8ZQ1mwCZKCSAqAakdvZ03JTKj8l</t>
  </si>
  <si>
    <t>https://drive.google.com/open?id=1J0hIcEoaVx5BsPJAhG0pp_exJYfWn_3P</t>
  </si>
  <si>
    <t>https://drive.google.com/open?id=1BRiLWTIEVuQ4HGfi5C7moMDEzzHoqxd9</t>
  </si>
  <si>
    <t>https://drive.google.com/open?id=1UjZT1ATJrnQzvwPggQamCp6vdE6mBzGx</t>
  </si>
  <si>
    <t>(93)98124-5186</t>
  </si>
  <si>
    <t>Esporte; Educação; Cultura; Qualificação Profissional; Meio ambiente</t>
  </si>
  <si>
    <t>Povos Indígenas; Outros</t>
  </si>
  <si>
    <t>O público atendido em sua maioria são crianças e adolescentes e seus familiares em situação de vulnerabilidade social. Em 2020 e 2021 temos o Projeto Potência Feminina da Rede Mulher Empreendedora com o objetivo de capacitar 5.000 mulheres na área de Empreendedorismo Empregabilidade e Tecnologia. Aceleração de 120 negócios e um capital semente para 18 mulheres no valor de R$ 10.00000.</t>
  </si>
  <si>
    <t>Lei de Incentivo; Convênio Público; Editais; Lei Federal do Esporte</t>
  </si>
  <si>
    <t>Lei de Incentivo ao Esporte - 50%; Convênio Público  - 25%; Editais - 25%</t>
  </si>
  <si>
    <t>https://ier.org.br/</t>
  </si>
  <si>
    <t>https://www.instagram.com/institutoedsonroyer/</t>
  </si>
  <si>
    <t>https://www.facebook.com/InstitutoEdsonRoyer/</t>
  </si>
  <si>
    <t>https://www.youtube.com/watch?v=eWXdwGcjFPw</t>
  </si>
  <si>
    <t>https://drive.google.com/open?id=1QRf0HjShqh2Hl-6J3QKltERqED0UM8dB</t>
  </si>
  <si>
    <t>https://drive.google.com/open?id=1jZGNmb341L1LUAjke5khLenOzWXXvRRf</t>
  </si>
  <si>
    <t>https://drive.google.com/open?id=1PEkmDE8JX_9cSgd1zeNO6FPjBuG7zMS8</t>
  </si>
  <si>
    <t>https://drive.google.com/open?id=1mQAxFbyownWw1-DNA0dkG-JuIAUin1Ia</t>
  </si>
  <si>
    <t>https://drive.google.com/open?id=1TM-U2vsKclRo8juJHWM1JJx8PWSzUAZC</t>
  </si>
  <si>
    <t>https://drive.google.com/open?id=1o0cKv3ArD1sOc0fn7Zw1PhkRPJfbd1lC</t>
  </si>
  <si>
    <t>https://drive.google.com/open?id=1sPrp0ULcUKX0VIuJd8-OexvfDuAViL-g</t>
  </si>
  <si>
    <t>PRISCILLA RUBIA DE SIQUEIRA 07753823612</t>
  </si>
  <si>
    <t>Projeto PPL Pedreira Prado Lopes</t>
  </si>
  <si>
    <t>43.858.410/0001-80</t>
  </si>
  <si>
    <t>Arariba</t>
  </si>
  <si>
    <t>31110-510</t>
  </si>
  <si>
    <t>Esporte; Educação; Empregabilidade; Assistência Social; Cultura; Qualificação Profissional; Empreendedorismo; Saúde; Meio ambiente; Empoderamento Feminino; Negócios Sociais; Apoio à gestão de organizações de Terceiro Setor; Ciência e Tecnologia; Defesa de Direitos; Comunicação; Assistência Psicológica; Desenvolvimento comunitário</t>
  </si>
  <si>
    <t>Moradores de Favelas; Pessoas em situação de rua; População LGBTQ+; Afrodescendentes; Dependentes Químicos; Egressos sistema carcerário; Refugiados; Outros</t>
  </si>
  <si>
    <t>https://sambadeiras.46graus.com/</t>
  </si>
  <si>
    <t>https://www.instagram.com/projetoppl/</t>
  </si>
  <si>
    <t>https://www.facebook.com/AbadaCapoeiraPPL/</t>
  </si>
  <si>
    <t>https://drive.google.com/open?id=1f_Au0KCnw6EKGePrPxFzGoQqsyZXNQhJ</t>
  </si>
  <si>
    <t>https://drive.google.com/open?id=17Zjvi2-z4BMCWgKSdYVTYALFhAQjWFV3</t>
  </si>
  <si>
    <t>(11)96560-6533</t>
  </si>
  <si>
    <t>08247-010</t>
  </si>
  <si>
    <t>Esporte; Educação; Assistência Social; Qualificação Profissional; Saúde; Empoderamento Feminino; Desenvolvimento comunitário</t>
  </si>
  <si>
    <t>Moradores de Favelas; Pessoas em situação de rua; Afrodescendentes</t>
  </si>
  <si>
    <t>https://www.instagram.com/associacaobeneficenteamigas/</t>
  </si>
  <si>
    <t>https://www.facebook.com/ASSOCIACAOAMIGASSOLIDARIAS</t>
  </si>
  <si>
    <t>https://drive.google.com/open?id=1MsRZMc-mvNS0K361wPAUAaVfZXmWAr91</t>
  </si>
  <si>
    <t>https://drive.google.com/open?id=1GGLL_0-XR9W7oRmM3AltncpvvzlaZTN6</t>
  </si>
  <si>
    <t>https://drive.google.com/open?id=1xr0QQARj5ATTICBnwBPCf2tgEqAiiXWI</t>
  </si>
  <si>
    <t>https://drive.google.com/open?id=1zD7ZKgdUwrtS9dEClSLjqY61hKCZX4jk</t>
  </si>
  <si>
    <t>https://drive.google.com/open?id=1nUzsnL3eaImLXy-6Wa0R7lzK73vgodZ3</t>
  </si>
  <si>
    <t>https://drive.google.com/open?id=1yv3u17nJ7AVaBmt-HN836qZ97IcM76KO</t>
  </si>
  <si>
    <t>34.680.777/0001-57</t>
  </si>
  <si>
    <t>(31)98657-5234</t>
  </si>
  <si>
    <t>30490-290</t>
  </si>
  <si>
    <t>Esporte; Educação; Empregabilidade; Assistência Social; Qualificação Profissional; Empreendedorismo; Empoderamento Feminino; Comunicação; Desenvolvimento comunitário</t>
  </si>
  <si>
    <t>https://instagram.com/resilienteslum?utm_medium=copy_link</t>
  </si>
  <si>
    <t>https://www.facebook.com/resilienteslum</t>
  </si>
  <si>
    <t>https://drive.google.com/open?id=1iHnNnkqHky46uZY4Z0TOcn_DtCJsj2gO</t>
  </si>
  <si>
    <t>https://drive.google.com/open?id=1l9vRtIIexZAOD8M4tSnjNK6J5dfLRu56</t>
  </si>
  <si>
    <t>https://drive.google.com/open?id=1OBwcS6LKHh3MLxJQJL9bl2dWyItBChDw</t>
  </si>
  <si>
    <t>Rua Alberto Borges Sorveral, 50</t>
  </si>
  <si>
    <t>(11)95979-0349</t>
  </si>
  <si>
    <t>Educação; Cultura; Qualificação Profissional; Empreendedorismo; Empoderamento Feminino; Ciência e Tecnologia; Defesa de Direitos; Assistência Psicológica</t>
  </si>
  <si>
    <t>www.institutoebenezer.org</t>
  </si>
  <si>
    <t>https://instagram.com/institutosocialebenezer</t>
  </si>
  <si>
    <t>https://www.facebook.com/institutosocialebenezer/</t>
  </si>
  <si>
    <t>https://youtube.com/c/InstitutoEben%C3%A9zer</t>
  </si>
  <si>
    <t>https://drive.google.com/open?id=1tGaN8lCr8wXjTmXRcZimgtUeQFuDiNt3</t>
  </si>
  <si>
    <t>https://drive.google.com/open?id=16SwgzynCv7hTUnEllgH0qNq3DzdRls_x</t>
  </si>
  <si>
    <t>https://drive.google.com/open?id=1e5fsAY9aR3hHgfWXSleDVpxbqykOXJXn</t>
  </si>
  <si>
    <t>https://drive.google.com/open?id=1kmC0f6QIhgOa14xHlaub6H6donHIAp4b</t>
  </si>
  <si>
    <t>Rua senador Thomaz lobo</t>
  </si>
  <si>
    <t>50860-390</t>
  </si>
  <si>
    <t>Moradores de Favelas; Ribeirinhos</t>
  </si>
  <si>
    <t>https://ongceleirodebambas.wixsite.com/meusite</t>
  </si>
  <si>
    <t>https://instagram.com/celeirodebambas?igshid=YmMyMTA2M2Y=</t>
  </si>
  <si>
    <t>https://www.facebook.com/profile.php?id=100016750202918</t>
  </si>
  <si>
    <t>https://youtube.com/channel/UCr8ADfcWxzwRNd5c5uWJPJw</t>
  </si>
  <si>
    <t>https://drive.google.com/open?id=1MP3IUig69NUcbe5zkyQzpuBow3MJMqDY</t>
  </si>
  <si>
    <t>https://drive.google.com/open?id=1e-H81Z4rqUmIOJqn4wpKHbij8CvyrVFc</t>
  </si>
  <si>
    <t>https://drive.google.com/open?id=1GdP97Ghka2w7gDhm3_3jtBFIxjGHakPM</t>
  </si>
  <si>
    <t>https://drive.google.com/open?id=1FXa_os71nLnSXAHl6MxSCAf_lG601783</t>
  </si>
  <si>
    <t>https://drive.google.com/open?id=1Cfmyr3_b3jfRpqOeY_LN37WiJX1clHwz</t>
  </si>
  <si>
    <t>https://drive.google.com/open?id=1f2xGH2PziPEdtz5mJqOgwUYk1X_6pT_q</t>
  </si>
  <si>
    <t>https://drive.google.com/open?id=1z4e4iWtaXGVPJ2HkVm0gCNGsZ7gKNnJE</t>
  </si>
  <si>
    <t>75522-150</t>
  </si>
  <si>
    <t>Negócio Social; Convênio Público; Eventos/Ações para captação; Parceria iniciativa privada; Doações</t>
  </si>
  <si>
    <t>9% Negócio Social, 55% Convênio Público, 17% Eventos/Ações para Captação, 8% Parceria Iniciativa Privada, 11% Doações</t>
  </si>
  <si>
    <t>https://www.instagram.com/p/CLsPnUJDm-2/?utm_medium=copy_link</t>
  </si>
  <si>
    <t>https://www.facebook.com/AssociacaoEspiritaObreirosDoSenhor/</t>
  </si>
  <si>
    <t>https://drive.google.com/open?id=13Pz19se1I5HU2XAs0ENnNOd14sC4Qa8g</t>
  </si>
  <si>
    <t>https://drive.google.com/open?id=137UPi6zQSWI-WnCx_nEfEr4NykOTLhYQ</t>
  </si>
  <si>
    <t>https://drive.google.com/open?id=1h5tuaFSWpN_idTeF8f7pCKw3lnAsP7pk</t>
  </si>
  <si>
    <t>https://drive.google.com/open?id=1ESNZTV7Qp9ne7pPdSNkPfzTpx1gsN05D https://drive.google.com/open?id=11gBPwscVQb_SfouOXkGrxOLKtVs0fdBd</t>
  </si>
  <si>
    <t>https://drive.google.com/open?id=1JEUTausBJKwFyftnNZ-hMD7JulO9Tg2f</t>
  </si>
  <si>
    <t>ASSOCIAÇÃO CULTURAL E EDUCACIONAL VIOLETA ELIZ</t>
  </si>
  <si>
    <t>ACEVE</t>
  </si>
  <si>
    <t>Rua 12 de Outubro 33</t>
  </si>
  <si>
    <t>04814-195</t>
  </si>
  <si>
    <t>Esporte; Educação; Empreendedorismo</t>
  </si>
  <si>
    <t>http//instagram.com/violetaeliz</t>
  </si>
  <si>
    <t>http//fecebook.com/ongvioletaeliz</t>
  </si>
  <si>
    <t>https://drive.google.com/open?id=1IY1wTEutS6TaDqK7jClkTZndDGmb2d2O</t>
  </si>
  <si>
    <t>https://drive.google.com/open?id=1uNOLqtwCzygKpniPnCLH1-6UVCv5Lqrl</t>
  </si>
  <si>
    <t>https://drive.google.com/open?id=12jHVu3pN5qJU2Xxm9LOsFFoEewoBPE6m</t>
  </si>
  <si>
    <t>https://drive.google.com/open?id=1XNM5-oXlsM0Yxu0ZExYgjpoyxCzuI_TY</t>
  </si>
  <si>
    <t>https://drive.google.com/open?id=1h1LYFiQttfIxwvndUo6xVUxPIVUWkQZW</t>
  </si>
  <si>
    <t>Rua Isnard Pena</t>
  </si>
  <si>
    <t>(71)99158-3966</t>
  </si>
  <si>
    <t>Porto Seguro</t>
  </si>
  <si>
    <t>45810-000</t>
  </si>
  <si>
    <t>Porto Seguro: Rua do Dendê 143 Frei Calixto CEP: 45.810-000 - Porto Seguro/BA/Salvador: Rua Nossa Senhora do Carmo quadra A 01 Sete de Abril CEP: 41.385-650 - Salvador/BA/Itaparica: Rua São Benedito S/N Ponto Certo Casa térreo CEP 44460.000 Itaparica-BA/Jaguaripe: Povoado ilha ajuda avenida oceânica s/n JAGUARIPE BA CEP: 44.480-000/Vera Cruz: Rua Reduto do Sol loteamento agreste S/N bairro Conceição vera cruz de Itaparica-BA CEP: 44470-000.</t>
  </si>
  <si>
    <t>Esporte; Educação; Empregabilidade; Assistência Social; Cultura; Qualificação Profissional; Empreendedorismo; Saúde; Meio ambiente; Empoderamento Feminino; Negócios Sociais; Apoio à gestão de organizações de Terceiro Setor; Ciência e Tecnologia; Defesa de Direitos; Comunicação; Animais; Assistência Psicológica; Desenvolvimento comunitário</t>
  </si>
  <si>
    <t>Moradores de Favelas; Pessoas em situação de rua; Povos Indígenas; Quilombola; Afrodescendentes; Dependentes Químicos; Pessoas com Deficiência; Egressos sistema carcerário; Imigrantes; Refugiados; Ribeirinhos; Comunidade rural; Outros</t>
  </si>
  <si>
    <t>Porto Seguro: Cambolo Vila Jardim Frei Calixto Paraguai Casas Novas Vila Paraxo Vila Valdete Coroa Vermelha.
Salvador: Sete de Abril Pau da Lima Cajazeiras Fazenda Grande Marotinho São Marcos São Tomé de Paripe Jardim Esperança Nova Brasília Barragem Regional Castelo Branco.
Ilha de Itaparica: Alto de Santo Antônio Ponta de Areia Ponta Grossa.
Ilha de Vera Cruz: Areal Agreste Pela Galo Baiacu Barra Grande Pedrão Campinas Riachinho Mar Grande Barra do Gil Porrãozinho Ubes Barra do Gil Barroca.
Jaguaripe: Ilha da Ajuda Cações Muta Pirajuia Barreiras Ourives Banca Jaguaripe Camassandi Terra S</t>
  </si>
  <si>
    <t>Lei de Incentivo; Negócio Social; Eventos/Ações para captação; Parceria iniciativa privada; Editais; Doações; Lei Estadual da Cultura; Lei Municipal da Cultura; Lei Estadual do Esporte; Lei Federal do Esporte; FIA; Recursos próprios</t>
  </si>
  <si>
    <t>Estamos ainda em processo de Captação</t>
  </si>
  <si>
    <t>https://inarv.org/</t>
  </si>
  <si>
    <t>https://www.instagram.com/reel/CbI07fxpRfZ/?utm_medium=copy_link</t>
  </si>
  <si>
    <t>https://www.facebook.com/oscinarv/</t>
  </si>
  <si>
    <t>https://youtube.com/channel/UCNBqqkNbVjsefPFCKuUVeEw</t>
  </si>
  <si>
    <t>https://drive.google.com/open?id=1MhiZBpO-MVhXDTabmBHrtzeOh4Wwq4Ke</t>
  </si>
  <si>
    <t>https://drive.google.com/open?id=1aX2_Ai3bc-bIOuRfibE2XyJJUewN5MKm, https://drive.google.com/open?id=170c2NxpnuOVKjCObQwb0bKELIuGpVbCv</t>
  </si>
  <si>
    <t>https://drive.google.com/open?id=1vl3Xrwxy67zuZ-e2lcRiL6xyb9NRcFEN</t>
  </si>
  <si>
    <t>https://drive.google.com/open?id=1D4n6fxTfIxYvaDzMcTBEadrhEbGGCeJL</t>
  </si>
  <si>
    <t>08235-500</t>
  </si>
  <si>
    <t>Educação; Assistência Social; Assistência Psicológica; Desenvolvimento comunitário</t>
  </si>
  <si>
    <t>Crianças (6 a 12 anos); Adultos</t>
  </si>
  <si>
    <t>Moradores de Favelas; Afrodescendentes; Imigrantes</t>
  </si>
  <si>
    <t>https://instagram.com/institutovidaspelofuturo?utm_medium=copy_link</t>
  </si>
  <si>
    <t>https://www.facebook.com/fernandabentodasilva.silva</t>
  </si>
  <si>
    <t>https://drive.google.com/open?id=1fLVRvLNPGpqsXMKXlFW_s9yiU2ssJUGu</t>
  </si>
  <si>
    <t>https://drive.google.com/open?id=1hyviFjmk6wbEMlEhmzywJQYh7FLewU6J</t>
  </si>
  <si>
    <t>Rua Aurelino Costa, 210</t>
  </si>
  <si>
    <t>(32)99150-3670</t>
  </si>
  <si>
    <t>Carandai</t>
  </si>
  <si>
    <t>36280-003</t>
  </si>
  <si>
    <t>Eventos/Ações para captação; Parceria iniciativa privada; Doações; Lei Municipal da Cultura; FIA</t>
  </si>
  <si>
    <t>FIA 50%, Lei Municipal da Cultura 10%, doações MP 10%, captação de recursos PF 30%</t>
  </si>
  <si>
    <t>https://institutogaiia.org/</t>
  </si>
  <si>
    <t>https://instagram.com/gaiiacarandai</t>
  </si>
  <si>
    <t>https://www.facebook.com/gaiiacarandai</t>
  </si>
  <si>
    <t>https://youtube.com/channel/UCTcixmj9IQ_d5FrL7Fgc7OQ</t>
  </si>
  <si>
    <t>https://drive.google.com/open?id=1eV6drLoRkAOSQRZ-9zOZlcz_cXPjVWOC</t>
  </si>
  <si>
    <t>https://drive.google.com/open?id=1tqaCEqbZ5KtnevVD0-k3wcBSQc25U9bR</t>
  </si>
  <si>
    <t>https://drive.google.com/open?id=19-PSPIKb_9PaKr3Xb0I9tU835NeLU6E0</t>
  </si>
  <si>
    <t>https://drive.google.com/open?id=1LoeAVrb95jIpJVkcUYgQk2xNEbakeqio</t>
  </si>
  <si>
    <t>https://drive.google.com/open?id=15CUuUdTz_rAK6g312EJ52sIdjld4T1Mv</t>
  </si>
  <si>
    <t>https://drive.google.com/open?id=1H1UKTmLujGnf2xYPNNJbFc0iJJ9Vspl4</t>
  </si>
  <si>
    <t>Rua Nelson Gonçalves da Costa</t>
  </si>
  <si>
    <t>(31)98719-9524</t>
  </si>
  <si>
    <t>BH</t>
  </si>
  <si>
    <t>31578-080</t>
  </si>
  <si>
    <t>Educação; Empregabilidade; Qualificação Profissional; Saúde; Empoderamento Feminino; Assistência Psicológica; Desenvolvimento comunitário</t>
  </si>
  <si>
    <t>Moradores de Favelas; Afrodescendentes; Dependentes Químicos; Pessoas com Deficiência; Egressos sistema carcerário</t>
  </si>
  <si>
    <t>humana.mentepsi</t>
  </si>
  <si>
    <t>https://drive.google.com/open?id=1ZigyQ4O8wnECaP4RegGmKK9qJDg_LHs5</t>
  </si>
  <si>
    <t>rua 7 de Setembro,11</t>
  </si>
  <si>
    <t>69153-040</t>
  </si>
  <si>
    <t>Educação; Assistência Social; Cultura; Qualificação Profissional; Empreendedorismo; Meio ambiente; Empoderamento Feminino; Defesa de Direitos; Desenvolvimento comunitário</t>
  </si>
  <si>
    <t>Moradores de Favelas; Pessoas em situação de rua; População LGBTQ+; Povos Indígenas; Quilombola; Pessoas com Deficiência; Ribeirinhos; Comunidade rural; Outros</t>
  </si>
  <si>
    <t>Convênio Público; Parceria iniciativa privada; Editais; Outro(s); Doações; Recursos próprios</t>
  </si>
  <si>
    <t>acssus.tk</t>
  </si>
  <si>
    <t>https://www.linkedin.com/in/izabel-porto-88b88149/</t>
  </si>
  <si>
    <t>https://www.facebook.com/acssus.acssus</t>
  </si>
  <si>
    <t>https://drive.google.com/open?id=1qAJJwwoN27KyTPxHv8zaaL4-nSlpX0C7</t>
  </si>
  <si>
    <t>https://drive.google.com/open?id=1z1ZLmfH3pn6eefLIwuWApfbdVaoXEyky</t>
  </si>
  <si>
    <t>https://drive.google.com/open?id=1MqiepzoiJiGxcOEuss8_2UsXpbQyO1ai</t>
  </si>
  <si>
    <t>https://drive.google.com/open?id=1KfN8sdjv8jGi_Blu1KNZ70HoyJpNb5Fv</t>
  </si>
  <si>
    <t>https://drive.google.com/open?id=18E0soYgXPCTR2uH574wmtwUNQgk30AjB</t>
  </si>
  <si>
    <t>QN 501 CONJUNTO 16</t>
  </si>
  <si>
    <t>(61)99574-7001</t>
  </si>
  <si>
    <t>BRASÍLIA</t>
  </si>
  <si>
    <t>Esporte; Educação; Empregabilidade; Cultura; Qualificação Profissional; Empreendedorismo; Saúde</t>
  </si>
  <si>
    <t>https://coletivomotiro.org/</t>
  </si>
  <si>
    <t>https://www.instagram.com/coletivomotiro/</t>
  </si>
  <si>
    <t>https://www.facebook.com/motirocoletivo/</t>
  </si>
  <si>
    <t>https://www.youtube.com/channel/UCsauv8MgN7nVNSuyY0iCYEA/videos</t>
  </si>
  <si>
    <t>https://drive.google.com/open?id=1FuiLrCMLwsCWBijYcqxRhKzPAoaE-vPG</t>
  </si>
  <si>
    <t>https://drive.google.com/open?id=1Q9UOjxPvUB_Hgrq0FbxDTUOHhS2txnlr</t>
  </si>
  <si>
    <t>https://drive.google.com/open?id=1uMc9nqiJou8tIJ7Mja80A0lX7VaMx1xP</t>
  </si>
  <si>
    <t>https://drive.google.com/open?id=1H0k9S3Nqn1uv3JbjXgTmE4s1RZIfJ20Z</t>
  </si>
  <si>
    <t>https://drive.google.com/open?id=1PSSPay6eWHAnxm1PV-ARRV98M2V4P10T https://drive.google.com/open?id=1np41YlB8hRv8WSTKBm9V_5DoEb1nNZwJ</t>
  </si>
  <si>
    <t>https://drive.google.com/open?id=1UUyElxGa6Udx7L72CVkXsCrFBG73RGa8</t>
  </si>
  <si>
    <t>Luciana Pimentel / Gil Sacramento Da Silva</t>
  </si>
  <si>
    <t>(71)99359-1605</t>
  </si>
  <si>
    <t>41927-239</t>
  </si>
  <si>
    <t>Educação; Cultura; Meio ambiente; Empoderamento Feminino</t>
  </si>
  <si>
    <t>https://instagram.com/institutoentreaspasoficial?igshid=YmMyMTA2M2Y=</t>
  </si>
  <si>
    <t>https://www.facebook.com/entreaspasinstituto/</t>
  </si>
  <si>
    <t>https://drive.google.com/open?id=1acM1IC2qqRP4xOfC1aW414OW2G0a67vZ</t>
  </si>
  <si>
    <t>https://drive.google.com/open?id=1H8FOEtR6h5T5iQ8zy6xOhA9hNi0c113f</t>
  </si>
  <si>
    <t>https://drive.google.com/open?id=1RzyZlE8PSkAuQWhpt9wXy4D0Elt6SNG_</t>
  </si>
  <si>
    <t>CRIAMAR</t>
  </si>
  <si>
    <t>(11)98894-9209</t>
  </si>
  <si>
    <t>Esporte; Educação; Defesa de Direitos</t>
  </si>
  <si>
    <t>Crianças bem pequenas (1 ano e 7 meses até 3 anos e 11 meses); Crianças (6 a 12 anos); Adolescentes (12 aos 18 anos)</t>
  </si>
  <si>
    <t>Eventos/Ações para captação; Editais; Outro(s); Doações</t>
  </si>
  <si>
    <t>Bazar - 50%, Doações 10%, Nota Fiscal Paulista 10%, Editais 20%, Evento 10%</t>
  </si>
  <si>
    <t>criamarmaismuitomais.org</t>
  </si>
  <si>
    <t>https://www.instagram.com/accounts/login/?next=/criamar/</t>
  </si>
  <si>
    <t>www.facebook.com.br/criamarmais</t>
  </si>
  <si>
    <t>https://www.youtube.com/channel/UCPQOHSYzOTk20dUYBmRlp3w</t>
  </si>
  <si>
    <t>https://drive.google.com/open?id=12FDQODNOHX3esy1g88UGgUXPJLbpvqNo</t>
  </si>
  <si>
    <t>https://drive.google.com/open?id=1J6vq8z3nh4-YB-CAj-bfsoqnH1KpTxS3</t>
  </si>
  <si>
    <t>https://drive.google.com/open?id=16e8xdpnmh5gHJ7_KmfRGbRJp-0XX5HV7</t>
  </si>
  <si>
    <t>https://drive.google.com/open?id=1ORDtHC_ZJRR7JltjjkCyMWPO2iDqifx0</t>
  </si>
  <si>
    <t>Educação; Assistência Social; Cultura; Empreendedorismo</t>
  </si>
  <si>
    <t>https://www.instagram.com/esperancaedestino/</t>
  </si>
  <si>
    <t>https://m.facebook.com/esperancaedestino</t>
  </si>
  <si>
    <t>https://www.youtube.com/channel/UCpzVuVMjEGB1NtkWqAv3OWA</t>
  </si>
  <si>
    <t>https://drive.google.com/open?id=1QYNXXjOvpxIoyyYOdo5xiUYbtwlav9qc</t>
  </si>
  <si>
    <t>https://drive.google.com/open?id=1o7VZQ33tmJlPMN_dcBX5_tTBP_OXtbeK</t>
  </si>
  <si>
    <t>Travessa maria salete dutra</t>
  </si>
  <si>
    <t>88090-575</t>
  </si>
  <si>
    <t>Educação; Assistência Social; Qualificação Profissional; Empreendedorismo; Empoderamento Feminino; Negócios Sociais</t>
  </si>
  <si>
    <t>Moradores de Favelas; População LGBTQ+; Afrodescendentes; Egressos sistema carcerário; Imigrantes; Refugiados</t>
  </si>
  <si>
    <t>Negócio Social; Eventos/Ações para captação; Plataforma doação online - Pessoa Física; Editais</t>
  </si>
  <si>
    <t>www.associacaomulheres.com.br</t>
  </si>
  <si>
    <t>https://www.instagram.com/invites/contact/?i=1qcbdx6e1jtqz&amp;utm_content=b5n7r7y</t>
  </si>
  <si>
    <t>https://www.facebook.com/associacaomulheresdomontecristo</t>
  </si>
  <si>
    <t>https://drive.google.com/open?id=1UIWgxpPEy0XFjklYS4EUMx4gopkr7Wkl</t>
  </si>
  <si>
    <t>https://drive.google.com/open?id=1bsG-EIBi4VrqQ8ogB3beY9mkKl7J2R2H</t>
  </si>
  <si>
    <t>https://drive.google.com/open?id=1x7h8mNTSUdrsHOWzFXM4JU7Ln8iS4MJv</t>
  </si>
  <si>
    <t>https://drive.google.com/open?id=1felDPv7S8dey4LNktmYjB-AQgkbolXdG</t>
  </si>
  <si>
    <t>https://drive.google.com/open?id=1Y9yA73U71ZetyXXguMFvaWdd3c6w5IGJ</t>
  </si>
  <si>
    <t>Teixeira Ribeiro</t>
  </si>
  <si>
    <t>(21)9703-34333</t>
  </si>
  <si>
    <t>21044-251</t>
  </si>
  <si>
    <t>Educação; Empregabilidade; Assistência Social; Cultura; Qualificação Profissional; Assistência Psicológica</t>
  </si>
  <si>
    <t>Moradores de Favelas; Pessoas em situação de rua; Povos Indígenas; Afrodescendentes; Pessoas com Deficiência</t>
  </si>
  <si>
    <t>Convênio Público; Editais; Doações; Lei Rouanet</t>
  </si>
  <si>
    <t>Lei Rouanet 50%, Convênio Público 20%, Doações 20% e editais 10%.</t>
  </si>
  <si>
    <t>https://institutovidareal.org.br/</t>
  </si>
  <si>
    <t>https://instagram.com/institutovidareal?utm_medium=copy_link</t>
  </si>
  <si>
    <t>https://www.facebook.com/vida.real.7</t>
  </si>
  <si>
    <t>https://youtu.be/QAePw9g8XhY</t>
  </si>
  <si>
    <t>https://drive.google.com/open?id=1DMSCKbPbyjAf2MK2Z7eDt4sQTI3aGTCd</t>
  </si>
  <si>
    <t>https://drive.google.com/open?id=1mbEKjOA7qWsRS_mpEJdYquv4bEqnlt3h</t>
  </si>
  <si>
    <t>https://drive.google.com/open?id=1QRSdFDwzHHXBN4PyKPi66nOp-7KzUYtx</t>
  </si>
  <si>
    <t>https://drive.google.com/open?id=1_UhZXtKLXccKjkkXNRAYG6005_LYZDO3</t>
  </si>
  <si>
    <t>https://drive.google.com/open?id=1R7g72NIyWa3y_oKmE_cKOCHNuqUg8JKY</t>
  </si>
  <si>
    <t>https://drive.google.com/open?id=1BCO7vtsbdq51wQwv1D3vYZ-Y3tWeUAd1</t>
  </si>
  <si>
    <t>https://drive.google.com/open?id=1RqG2bFdfEITKyWJRvZi6_cOlqLIb8NaR</t>
  </si>
  <si>
    <t>JOSE WELLTON DE SOUZA BRITO</t>
  </si>
  <si>
    <t>Rua Teixeira de Freitas N 295</t>
  </si>
  <si>
    <t>(88)99952-6976</t>
  </si>
  <si>
    <t>Outro(s); Recursos próprios</t>
  </si>
  <si>
    <t>Recursos Próprios 50%, Pessoa Física 50%</t>
  </si>
  <si>
    <t>https://www.instagram.com/institutoprimeiroestagio/</t>
  </si>
  <si>
    <t>https://www.facebook.com/institutoprimeiroestagio</t>
  </si>
  <si>
    <t>https://drive.google.com/open?id=1MceTYEPCPj5RrwBSbVSkFM6Osh-nQ7kZ</t>
  </si>
  <si>
    <t>https://drive.google.com/open?id=1pDkJZ5fOsV3rGW--tkt_qcY-jhNexEpY</t>
  </si>
  <si>
    <t>https://drive.google.com/open?id=1CcJUSWmNH80b3L9C-ENH-88YOy69135K</t>
  </si>
  <si>
    <t>Instituto Amargen</t>
  </si>
  <si>
    <t>rua professor inacio werneck</t>
  </si>
  <si>
    <t>(32)99130-0969</t>
  </si>
  <si>
    <t>Juiz de Fora</t>
  </si>
  <si>
    <t>36025-360</t>
  </si>
  <si>
    <t>Esporte; Educação; Assistência Social; Cultura; Empreendedorismo; Meio ambiente; Empoderamento Feminino; Negócios Sociais; Defesa de Direitos; Desenvolvimento comunitário</t>
  </si>
  <si>
    <t>70% doaçoes e campanhas 30% vendas produto</t>
  </si>
  <si>
    <t>https://institutoamargen.com.br/</t>
  </si>
  <si>
    <t>https://www.instagram.com/institutoamargen/</t>
  </si>
  <si>
    <t>https://www.facebook.com/InstitutoAmargen</t>
  </si>
  <si>
    <t>https://www.youtube.com/channel/UCRHKS3KvsscSg1go8dCm8Dw</t>
  </si>
  <si>
    <t>https://drive.google.com/open?id=1-B5-NMAr4i6bh7fxIO17LXUa7KLHCXFd</t>
  </si>
  <si>
    <t>https://drive.google.com/open?id=1BzL8kurLscbFb1m8HQimiTcaqw7JhXvo</t>
  </si>
  <si>
    <t>https://drive.google.com/open?id=1Ghkbbtjh3QBL7wVVdH7Z7lIt9ck7kMQZ</t>
  </si>
  <si>
    <t>https://drive.google.com/open?id=17sXkOKJLIM_ItstVT7wqEflL9K1JMZ_V</t>
  </si>
  <si>
    <t>https://drive.google.com/open?id=1yGIsV3uadx2VpWm8B9ICnqjl44R9dBLa</t>
  </si>
  <si>
    <t>https://drive.google.com/open?id=1R7P1kKE1jU_3k5_CIFVmyVCsEmpsCG26</t>
  </si>
  <si>
    <t>rua faisão</t>
  </si>
  <si>
    <t>(31)99944-9113</t>
  </si>
  <si>
    <t>30624-080</t>
  </si>
  <si>
    <t>Educação; Cultura; Empreendedorismo; Meio ambiente; Empoderamento Feminino</t>
  </si>
  <si>
    <t>Lei Municipal da Cultura; FIA</t>
  </si>
  <si>
    <t>90% fia, 10% lei municpal de cultura</t>
  </si>
  <si>
    <t>www.institutomacunaima.org.br</t>
  </si>
  <si>
    <t>instagram.com/institutomacunaima</t>
  </si>
  <si>
    <t>facebook.com/institutomacunaima</t>
  </si>
  <si>
    <t>youtube.com/ininstitutomacunaima</t>
  </si>
  <si>
    <t>https://drive.google.com/open?id=1wcdu25VsnEuYsebUk7LbN5mu7BS9ZyiL</t>
  </si>
  <si>
    <t>https://drive.google.com/open?id=17BOmYclpI93oeFsegncBFYBYUybNF3JB</t>
  </si>
  <si>
    <t>https://drive.google.com/open?id=1NwvGS6PVZcbMgnN_071EiEPolSygyWFH</t>
  </si>
  <si>
    <t>https://drive.google.com/open?id=1iauD_ePEAsat-MHNY7t1Y6QOhCU-8cpD</t>
  </si>
  <si>
    <t>https://drive.google.com/open?id=1Dst932YocWf0lZge9MD8dDG8Dyna2DaA</t>
  </si>
  <si>
    <t>https://drive.google.com/open?id=1yHodKd2VMhRsA943WrBuDOMuF--PpF9j</t>
  </si>
  <si>
    <t>https://drive.google.com/open?id=162XIodiGm4DMXdDv77LmQ6D3DO-c8DAn</t>
  </si>
  <si>
    <t>Rua Itacaré</t>
  </si>
  <si>
    <t>(73)99866-2998</t>
  </si>
  <si>
    <t>Uruçuca</t>
  </si>
  <si>
    <t>45680-000</t>
  </si>
  <si>
    <t>Educação; Cultura; Qualificação Profissional; Empreendedorismo; Empoderamento Feminino; Desenvolvimento comunitário</t>
  </si>
  <si>
    <t>Moradores de Favelas; Povos Indígenas; Afrodescendentes; Ribeirinhos; Comunidade rural</t>
  </si>
  <si>
    <t>Atuamos nas cidades de Cachoeira e São Félix (Recôncavo da Bahia) Uruçuca Itacaré e Ilhéus (Sul da Bahia). O Recôncavo é marcado pela presença negra-quilombola sendo um território que nasceu no período escravista do Brasil. O Sul é de forte presença indígena ainda que também existam comunidades quilombolas (negros).</t>
  </si>
  <si>
    <t>www.casadebarro.org</t>
  </si>
  <si>
    <t>www.instagram.com/casadebarro</t>
  </si>
  <si>
    <t>www.facebook.com/casadebarro.org</t>
  </si>
  <si>
    <t>www.youtube.com/casadebarrocae</t>
  </si>
  <si>
    <t>https://drive.google.com/open?id=1RiHQxdwAk-txJD9advEhDqYMzCumqo_p</t>
  </si>
  <si>
    <t>https://drive.google.com/open?id=1fdrmR9UHSViC_eFadhOGfDhiKCx0Pz9F</t>
  </si>
  <si>
    <t>https://drive.google.com/open?id=1RmgjtGZg2LZo1-EgJjs1gKErokuvDRiB</t>
  </si>
  <si>
    <t>https://drive.google.com/open?id=12TN6skOD8tNFBxcYu0j2I5Mw2bXPpbVF</t>
  </si>
  <si>
    <t>https://drive.google.com/open?id=1xvUBM9QpxdAg8IEk1xCEQAWxseO2hX8S https://drive.google.com/open?id=1SSNT-gYvtL66qBhzrh3y0xCrECuGukhY</t>
  </si>
  <si>
    <t>INSTITUTO VEM SER</t>
  </si>
  <si>
    <t>(31) 98634-0926</t>
  </si>
  <si>
    <t>Rua Santo Antonio, S/N - Ginásio Poliesportivo</t>
  </si>
  <si>
    <t>(31)98634-0926</t>
  </si>
  <si>
    <t>36490-008</t>
  </si>
  <si>
    <t>Crianças e adolescentes da zona urbana e rural sem acesso a atividades esportivas culturais e ambientais no contra turno escolar devido o baixo renda financeira da família o que acarretava a permanência dos mesmos na rua ficando vulneráveis a diversas situações.</t>
  </si>
  <si>
    <t>Lei de Incentivo; Negócio Social; Convênio Público; Eventos/Ações para captação; Plataforma doação online - Pessoa Física; Parceria iniciativa privada; Editais; Doações; Lei Federal do Esporte; FIA; Recursos próprios</t>
  </si>
  <si>
    <t>28,86% Lei de Incentivo ao Esporte, 20,74% FIA, 41,16% convênio Público, 6,36% Negócio social, eventos, doações.</t>
  </si>
  <si>
    <t>https://institutomiguelfernandestorres.blogspot.com/</t>
  </si>
  <si>
    <t>www.instagran@instvemser</t>
  </si>
  <si>
    <t>https://www.facebook.com/instmiguelftorres/</t>
  </si>
  <si>
    <t>https://youtube.com/channel/UCkxZYOkyETIxcWzgBw3Flaw</t>
  </si>
  <si>
    <t>https://drive.google.com/open?id=1TijpJTi1kyh7sn5O0931vbEciacOH1e3</t>
  </si>
  <si>
    <t>https://drive.google.com/open?id=1oMOCeu9s_V-vOYIoD82bJ9ZA_F-D09BJ</t>
  </si>
  <si>
    <t>quadra f</t>
  </si>
  <si>
    <t>(61)8585-9130</t>
  </si>
  <si>
    <t>Editais; Outro(s); Recursos próprios</t>
  </si>
  <si>
    <t>https://instagram.com/associacaodespertarsabedoria?igshid=YmMyMTA2M2Y=</t>
  </si>
  <si>
    <t>https://www.facebook.com/associacaodes</t>
  </si>
  <si>
    <t>https://youtube.com/channel/UC7yd6oOWzkrTPMYaRCRMNHA</t>
  </si>
  <si>
    <t>https://drive.google.com/open?id=1mBnSieXTsfVM4rS3RkaRnY_QKb8Qvg1O</t>
  </si>
  <si>
    <t>https://drive.google.com/open?id=1nI4jnrFOsoc9XWDYV7tjEbwy_NWz1-a_</t>
  </si>
  <si>
    <t>https://drive.google.com/open?id=1WO9enUBbCWeXF5Kex4XyOD4uSXM8eKk6</t>
  </si>
  <si>
    <t>https://drive.google.com/open?id=1_2cYL7iVkZU6k9x4U_vipC4eGvt3RjLD</t>
  </si>
  <si>
    <t>https://drive.google.com/open?id=11BXYkupCdn-IrFXMZkMu0KKcOvCiKKhe https://drive.google.com/open?id=1rmlH7AEUEk-gGzv-jsgAG5bhHtElVk0Y https://drive.google.com/open?id=1ETXJ7nYQfYNmxiN2_cLVHhkGfsZ-T60w</t>
  </si>
  <si>
    <t>(33)98832-3290</t>
  </si>
  <si>
    <t>Jenipapo de Minas</t>
  </si>
  <si>
    <t>Cultura; Empreendedorismo; Empoderamento Feminino; Desenvolvimento comunitário</t>
  </si>
  <si>
    <t>Quilombola; Afrodescendentes; Comunidade rural</t>
  </si>
  <si>
    <t>30% Negócio Social; 30% Editais; 10% doações, 20% Emendas Parlamentares, 10% Parcerias privadas</t>
  </si>
  <si>
    <t>https://www.ajenai.org.br/</t>
  </si>
  <si>
    <t>https://instagram.com/tingui_org?utm_medium=copy_link</t>
  </si>
  <si>
    <t>https://www.facebook.com/mulheresdojequitinhonha/</t>
  </si>
  <si>
    <t>https://www.youtube.com/channel/UChBi3s1s1UGQtyQ88TCNVyg</t>
  </si>
  <si>
    <t>https://drive.google.com/open?id=1MHL8IXooCfsQWmdwwGsyYSOSfTFFgoti</t>
  </si>
  <si>
    <t>https://drive.google.com/open?id=1FwvgF7P32yV6DYpN_Vea4VIQ9xVs5Wib</t>
  </si>
  <si>
    <t>https://drive.google.com/open?id=1ToGOLQs-B521FLN6pZlXbRDSIsWdH9Ck</t>
  </si>
  <si>
    <t>https://drive.google.com/open?id=1EmNucKnQj2m9XkPUwBu-vLTLVwbiW4jx</t>
  </si>
  <si>
    <t>https://drive.google.com/open?id=1nsdrKyTVNQWOu2JqpCSq4SC6lkruDa7n</t>
  </si>
  <si>
    <t>https://drive.google.com/open?id=182cL4730svnbZDNxM1_vxln7tRX5MQwS</t>
  </si>
  <si>
    <t>https://drive.google.com/open?id=1daywYJZuAz6PV9ZbjwLZFtzns8TslOp-</t>
  </si>
  <si>
    <t>39.629.971/0001-30</t>
  </si>
  <si>
    <t>(31)98769-0898</t>
  </si>
  <si>
    <t>Esporte; Educação; Empregabilidade</t>
  </si>
  <si>
    <t>https://oprojetosemear.com</t>
  </si>
  <si>
    <t>https://instagram.com/oprojetosemearoficial?igshid=YmMyMTA2M2Y=</t>
  </si>
  <si>
    <t>https://www.facebook.com/Projeto-Semear-219235888680010/</t>
  </si>
  <si>
    <t>https://drive.google.com/open?id=1WIRwiiaqBeaMZUpu5OSwSoc1_cJugAwY</t>
  </si>
  <si>
    <t>https://drive.google.com/open?id=1TA9CO_kzVIGMdDz5fbqDKavjET5C3mQW</t>
  </si>
  <si>
    <t>https://drive.google.com/open?id=1r9BxGF-6-x3EKe9A6vAy9YrbivMcpGkI</t>
  </si>
  <si>
    <t>Rua Itaporanga 328</t>
  </si>
  <si>
    <t>(21)99819-4273</t>
  </si>
  <si>
    <t>rio janeiro</t>
  </si>
  <si>
    <t>21730-270</t>
  </si>
  <si>
    <t>Esporte; Educação; Assistência Social; Cultura; Qualificação Profissional; Empreendedorismo; Empoderamento Feminino; Negócios Sociais</t>
  </si>
  <si>
    <t>Negócio Social; Eventos/Ações para captação; Plataforma doação online - Pessoa Física</t>
  </si>
  <si>
    <t>https://www.instagram.com/invites/contact/?i=17n1fusdj1myt&amp;utm_content=4w092t5</t>
  </si>
  <si>
    <t>https://www.facebook.com/amigospelacaridade</t>
  </si>
  <si>
    <t>https://m.youtube.com/channel/UC6fjCRIkMsi7G4XeoH97iqA</t>
  </si>
  <si>
    <t>https://drive.google.com/open?id=1CZxbWUno3eIKFShHinkBYLj9PgvqNN4_</t>
  </si>
  <si>
    <t>https://drive.google.com/open?id=17R8AWdi-GZhJ9lat2HrcBApn1ogq9Bq7</t>
  </si>
  <si>
    <t>https://drive.google.com/open?id=1macf4_YK7IOKkZlYoziCGAkN81-0m_02</t>
  </si>
  <si>
    <t>https://drive.google.com/open?id=1C3H995nRL1qHkT92RhL0HFWbsLTNt-kj</t>
  </si>
  <si>
    <t>https://drive.google.com/open?id=1XZbUFHvFn2XpM6JTOkAJ--0lOAhiht5Y</t>
  </si>
  <si>
    <t>Conjunto Maguari Alameda 21número 2</t>
  </si>
  <si>
    <t>BELÉM</t>
  </si>
  <si>
    <t>Esporte; Educação; Cultura; Saúde; Meio ambiente</t>
  </si>
  <si>
    <t>Eventos/Ações para captação; Outro(s); Doações</t>
  </si>
  <si>
    <t>https://instagram.com/projetobodyboardpara?utm_medium=copy_link</t>
  </si>
  <si>
    <t>https://www.instagram.com/p/CamclGtrnTE/?utm_medium=copy_link</t>
  </si>
  <si>
    <t>https://drive.google.com/open?id=1YSkRZsT8_LN6_qmnT5IkWQUfuMSBqPE2</t>
  </si>
  <si>
    <t>Keila Ramos Verdeiro</t>
  </si>
  <si>
    <t>projetoponte.adm@gmail.com</t>
  </si>
  <si>
    <t>(11) 9523-22013</t>
  </si>
  <si>
    <t>Rua Mariano</t>
  </si>
  <si>
    <t>(11)95232-2013</t>
  </si>
  <si>
    <t>04235-370</t>
  </si>
  <si>
    <t>Esporte; Educação; Empregabilidade; Cultura; Qualificação Profissional; Empreendedorismo; Saúde; Empoderamento Feminino; Negócios Sociais; Defesa de Direitos; Assistência Psicológica</t>
  </si>
  <si>
    <t>https://www.instagram.com/reel/CaXHYXfjthu/?utm_medium=copy_link</t>
  </si>
  <si>
    <t>https://m.facebook.com/projetopontecp-100269195233511/?ref=page_internal</t>
  </si>
  <si>
    <t>https://youtu.be/vTIOc5eBTGY</t>
  </si>
  <si>
    <t>https://drive.google.com/open?id=1qoll7NBY8Mo6XYUH_TYh4_gwkfl8Doo-</t>
  </si>
  <si>
    <t>https://drive.google.com/open?id=1vUeoSEVJ_qVzGD7-PitbD1aFF5hJyqdj</t>
  </si>
  <si>
    <t>https://drive.google.com/open?id=1M-QZFgCEDIrC8n3tbJMEqQqQGE_5Fc4H</t>
  </si>
  <si>
    <t>https://drive.google.com/open?id=1a5ucCFavpC6A13vNK9t_a-BTSI-aH8gd</t>
  </si>
  <si>
    <t>https://drive.google.com/open?id=1zMUVDs3b-OwG6l2WX-aMKtY4W_6SogWo</t>
  </si>
  <si>
    <t>Jairo Marques Luz</t>
  </si>
  <si>
    <t>57081-596</t>
  </si>
  <si>
    <t>Esporte; Educação; Empregabilidade; Cultura; Qualificação Profissional; Empreendedorismo; Assistência Psicológica; Desenvolvimento comunitário</t>
  </si>
  <si>
    <t>Até o momento trabalhamos com as comunidades ao nosso redor mas estamos focados no Projeto Escola Social que é transformar a escola pública em um lugar de transformação social. A ideia é apoiar a gestão e os professores para uma formação humanizada solidária e integral. Ao mesmo tempo trabalharemos com as famílias desses alunos para que uma base familiar forte e o aluno possa se desenvolver na escola. Isso só será possível fazer por completo no retorno às aulas presenciais das escolas. No ano de 2020 não tivemos grandes números de matriculados por conta da pandemia de covid-19.</t>
  </si>
  <si>
    <t>95% Doações, 5% parcerias</t>
  </si>
  <si>
    <t>projetodinamus.com</t>
  </si>
  <si>
    <t>instagram.com/projetodinamus</t>
  </si>
  <si>
    <t>facebook.com/dinamusprojeto</t>
  </si>
  <si>
    <t>https://www.youtube.com/channel/UCfoEBE60PWcQnxLlE3K5F4A</t>
  </si>
  <si>
    <t>https://drive.google.com/open?id=1kNTzap2Wm7a11JWi5yRxh1ClmU-QMEn3</t>
  </si>
  <si>
    <t>https://drive.google.com/open?id=1LNkrA5fzuXZQpsFknUnBvGzcmGycjZG4</t>
  </si>
  <si>
    <t>https://drive.google.com/open?id=18pGVOWS9Eo4LGk7yVKgJLU7AYrSULOSu</t>
  </si>
  <si>
    <t>https://drive.google.com/open?id=1u0qqpQQDLp6qZrV8-88CSRFce2ziScir</t>
  </si>
  <si>
    <t>https://drive.google.com/open?id=1txwhOEQ9L9HkrYOhILue1bkA2a8rXCOV</t>
  </si>
  <si>
    <t>https://drive.google.com/open?id=1VgMeaFS7APPgfwNbobCCBr-urd4gg_k8</t>
  </si>
  <si>
    <t>(83) 99878-0123</t>
  </si>
  <si>
    <t>Rua Maria das Dores de Carvalho, 156</t>
  </si>
  <si>
    <t>Poço de José de Moura</t>
  </si>
  <si>
    <t>Esporte; Educação; Empregabilidade; Assistência Social; Cultura; Qualificação Profissional; Empreendedorismo; Negócios Sociais; Desenvolvimento comunitário</t>
  </si>
  <si>
    <t>Negócio Social; Eventos/Ações para captação; Plataforma doação online - Pessoa Física; Parceria iniciativa privada; Editais</t>
  </si>
  <si>
    <t>Editais 82% Eventos 5% Plataforma de Doação 3% Iniciativa privada 10%</t>
  </si>
  <si>
    <t>https://www.pisadadosertao.org/</t>
  </si>
  <si>
    <t>https://instagram.com/pisadadosertaopb?utm_medium=copy_link</t>
  </si>
  <si>
    <t>https://m.facebook.com/apisadadosertao/?tsid=0.4397074926726694&amp;source=result</t>
  </si>
  <si>
    <t>https://www.youtube.com/c/PisadadoSert%C3%A3o</t>
  </si>
  <si>
    <t>https://drive.google.com/open?id=1CSBZVPVBuH8Q0_GeLVxok2UrrhfUCsEL</t>
  </si>
  <si>
    <t>https://drive.google.com/open?id=1Z8z1uASdRcwkl7eEq4naoIvC5UItwSbt</t>
  </si>
  <si>
    <t>https://drive.google.com/open?id=12XAksLVQF9gmlF_ub9dl3bQrpkxTtBYP</t>
  </si>
  <si>
    <t>https://drive.google.com/open?id=11QthSJ5nQUZFq03dUG3jJ5Nr60_iBpV-</t>
  </si>
  <si>
    <t>https://drive.google.com/open?id=16NmDICMOt4R-bVZSOaQnLoHQYFGU66yF</t>
  </si>
  <si>
    <t>https://drive.google.com/open?id=1vKij_ajPKFrt2qgMEcLGN2z8qVRXlXku</t>
  </si>
  <si>
    <t>https://drive.google.com/open?id=1PSGrlqljEj-hDB494ibNJ4LIGFBcTAgI</t>
  </si>
  <si>
    <t>INSTITUTO MISSIONARIO METAMORFOSE</t>
  </si>
  <si>
    <t>INSTITUTO METAMORFOSE</t>
  </si>
  <si>
    <t>Rua Visconde do Rio Branco, 2801 Bairro: Jardim Tavora</t>
  </si>
  <si>
    <t>(85)98756-1978</t>
  </si>
  <si>
    <t>Esporte; Educação; Assistência Social; Cultura; Qualificação Profissional; Empreendedorismo; Meio ambiente; Apoio à gestão de organizações de Terceiro Setor; Defesa de Direitos; Comunicação; Desenvolvimento comunitário</t>
  </si>
  <si>
    <t>Doações 20% apadrinhamento 80%</t>
  </si>
  <si>
    <t>https://www.immetamorfose.org/</t>
  </si>
  <si>
    <t>https://www.instagram.com/immetamorfose/</t>
  </si>
  <si>
    <t>https://www.facebook.com/immetamorfose</t>
  </si>
  <si>
    <t>https://www.youtube.com/channel/UC-t1HFgGtggfXP_z-YLLdUQ/videos</t>
  </si>
  <si>
    <t>https://drive.google.com/open?id=1m_Nr4PXR1heMTWLhpzhlR3pgqKmw5i82</t>
  </si>
  <si>
    <t>https://drive.google.com/open?id=1a0E_AueCFHl8QFNh6NbMhlJ3FH8Xbzg-</t>
  </si>
  <si>
    <t>https://drive.google.com/open?id=1NxWZMB_PLoC5iTZDXbj2S28a-DQuFrKD</t>
  </si>
  <si>
    <t>https://drive.google.com/open?id=1pjBlHRVsR6zmTjb_QJhOUhRT7heNGJA8</t>
  </si>
  <si>
    <t>https://drive.google.com/open?id=1Derofvu1h-RhmYuUeBMsPPFvWaJAM2-V</t>
  </si>
  <si>
    <t>(81)98796-8014</t>
  </si>
  <si>
    <t>Educação; Empregabilidade; Assistência Social; Negócios Sociais</t>
  </si>
  <si>
    <t>http://www.ccbsocial.com/</t>
  </si>
  <si>
    <t>https://www.instagram.com/tv/CIzII2CBE5l/?utm_medium=copy_link</t>
  </si>
  <si>
    <t>https://www.instagram.com/ccb_social?r=nametag</t>
  </si>
  <si>
    <t>https://drive.google.com/open?id=17EVyvKLQduxeIOO2zjILJvUdJaOtIGr1</t>
  </si>
  <si>
    <t>https://drive.google.com/open?id=1sSW4T6MegbubHibbSkx4kN3IY_ay5CTQ</t>
  </si>
  <si>
    <t>https://drive.google.com/open?id=1vVCLuUqSGQDLrMMJ4b4qIBDAO7eiu3iV</t>
  </si>
  <si>
    <t>https://drive.google.com/open?id=1RIhyXwXRrSKag2AkbdjSTxFlIsYlTuta</t>
  </si>
  <si>
    <t>https://drive.google.com/open?id=1scoiM8n6jMsifw1eVME_0XZ8BzbysGdh</t>
  </si>
  <si>
    <t>https://drive.google.com/open?id=1huNikb5ooOe-b_uzZCpYy5RbDlBht_nh</t>
  </si>
  <si>
    <t>https://drive.google.com/open?id=1zTmS5XoMQdVBpxx7l-Q9bEbm073VCy5e</t>
  </si>
  <si>
    <t>João Ferreira de Souza</t>
  </si>
  <si>
    <t>Esporte; Educação; Cultura; Meio ambiente</t>
  </si>
  <si>
    <t>Moradores de Favelas; Povos Indígenas; Quilombola; Afrodescendentes; Comunidade rural</t>
  </si>
  <si>
    <t>Lei de Incentivo; Negócio Social; Eventos/Ações para captação; Parceria iniciativa privada; Editais; Lei Federal do Esporte</t>
  </si>
  <si>
    <t>Lei do esporte - 70% patrocínio direto 10% ações 10% negócio 10%</t>
  </si>
  <si>
    <t>http://projetoswell.com.br/</t>
  </si>
  <si>
    <t>https://instagram.com/projetoswell?utm_medium=copy_link</t>
  </si>
  <si>
    <t>https://youtube.com/channel/UCgThD_fGkMlwz3I8Mrfp7qw</t>
  </si>
  <si>
    <t>https://drive.google.com/open?id=13vfTmsdIVWQmd-slab-93MbxyC99ZuyH</t>
  </si>
  <si>
    <t>https://drive.google.com/open?id=110Java4SRQKu0Y8sZtSWkkXOJjs-SVcY</t>
  </si>
  <si>
    <t>https://drive.google.com/open?id=14AN_ycRS5blFr1ZHuGX4SH1qiVA0x0SW</t>
  </si>
  <si>
    <t>https://drive.google.com/open?id=1ULH7dzCZty-_hw3qc2yi85W5k83xRyZ4</t>
  </si>
  <si>
    <t>https://drive.google.com/open?id=1RSGOzxf6ByxPOrTsQzfizJPsfD6KGuM7</t>
  </si>
  <si>
    <t>https://drive.google.com/open?id=1r-kSBmY72ttxcErNt4WdlGHbHWrYo-Pz</t>
  </si>
  <si>
    <t>Estrada do Itararé</t>
  </si>
  <si>
    <t>(21)8469-7301</t>
  </si>
  <si>
    <t>Esporte; Assistência Social; Cultura; Saúde; Assistência Psicológica</t>
  </si>
  <si>
    <t>https://www.instagram.com/p/CZA0o_kJtEz/?utm_medium=copy_link</t>
  </si>
  <si>
    <t>https://www.facebook.com/1883550875006253/posts/4762745793753399/</t>
  </si>
  <si>
    <t>https://drive.google.com/open?id=1e2NX0Fpdt9Hz0nHzBj7HGFxk4xVFxSWC</t>
  </si>
  <si>
    <t>https://drive.google.com/open?id=1rP0DWQbExT6cRySmLUahENe9jgaZFS9r</t>
  </si>
  <si>
    <t>https://drive.google.com/open?id=1PWo5w8sF6hoLypPFA7YvU1yL9RpQwNOz</t>
  </si>
  <si>
    <t>https://drive.google.com/open?id=1gdP92UTLsS1oX_HFbJapIjbJ3Yy1rtT5</t>
  </si>
  <si>
    <t>João Ramalho nº 21 loja 2</t>
  </si>
  <si>
    <t>30880-310</t>
  </si>
  <si>
    <t>Educação; Saúde; Meio ambiente; Defesa de Direitos</t>
  </si>
  <si>
    <t>https://www.lacredobem.org.br/</t>
  </si>
  <si>
    <t>https://instagram.com/lacredobem?utm_medium=copy_link</t>
  </si>
  <si>
    <t>https://www.facebook.com/lacredobem</t>
  </si>
  <si>
    <t>https://www.youtube.com/channel/UCEwz6MG95c9KWmPYfXeQB5A</t>
  </si>
  <si>
    <t>https://drive.google.com/open?id=1q6oJzBBCp6JWVu05hdCbMphGxgheyuz3</t>
  </si>
  <si>
    <t>https://drive.google.com/open?id=1rwq6KGRfA0m8DSFCVqTjPDHrlmEGID26</t>
  </si>
  <si>
    <t>https://drive.google.com/open?id=1c4YiKSQAJFQe0xOX7uH3ao_lig6pakQ7</t>
  </si>
  <si>
    <t>https://drive.google.com/open?id=1K6kQiuqNijvYhtsCWCq7lmuZGgWHopZx</t>
  </si>
  <si>
    <t>Belo vale 166</t>
  </si>
  <si>
    <t>Juiz de fora</t>
  </si>
  <si>
    <t>36025-540</t>
  </si>
  <si>
    <t>Esporte; Educação; Assistência Social; Cultura; Qualificação Profissional; Empreendedorismo; Assistência Psicológica; Desenvolvimento comunitário</t>
  </si>
  <si>
    <t>Moradores de Favelas; População LGBTQ+; Afrodescendentes; Pessoas com Deficiência; Comunidade rural</t>
  </si>
  <si>
    <t>https://instagram.com/institutodomjf?utm_medium=copy_link</t>
  </si>
  <si>
    <t>https://www.facebook.com/institutodomjf/</t>
  </si>
  <si>
    <t>https://drive.google.com/open?id=1jiV6P1K6hExj57fLJHNuv4VeC7EZQGdW</t>
  </si>
  <si>
    <t>https://drive.google.com/open?id=1Sn89jStiovwR4BZN_8AU1D7XoR9XYepp</t>
  </si>
  <si>
    <t>https://drive.google.com/open?id=1rvTixkxgkaKi1hwqOQ0PRxJ5q6Cc_EpA</t>
  </si>
  <si>
    <t>https://drive.google.com/open?id=1PgKavqVsFgUrXdYKv1jxPlHkIi7o1nLJ</t>
  </si>
  <si>
    <t>https://drive.google.com/open?id=1rTKD_6SgxBmfHOrQysISrNKFN5J8XS-7</t>
  </si>
  <si>
    <t>Tipo de registro do contato</t>
  </si>
  <si>
    <t>Status Contato</t>
  </si>
  <si>
    <t>Tempo na RGF</t>
  </si>
  <si>
    <t>Bairro de correspondência</t>
  </si>
  <si>
    <t>Identidade de gênero</t>
  </si>
  <si>
    <t>Foto de perfil do Líder</t>
  </si>
  <si>
    <t>Contato Lideres sociais</t>
  </si>
  <si>
    <t>Dos Santos Ramos</t>
  </si>
  <si>
    <t>Segundo Semestre 2021</t>
  </si>
  <si>
    <t>antoniosabiah@gmail.com</t>
  </si>
  <si>
    <t>Preta</t>
  </si>
  <si>
    <t>Sou egresso do sistema prisional, educador social que atua dentro de comunidades, presídios e centros da Juventude. Meu trabalho é focado e direcionado para jovens e egressos.</t>
  </si>
  <si>
    <t>Ensino Superior - Incompleto</t>
  </si>
  <si>
    <t>Rua lima e silva</t>
  </si>
  <si>
    <t>Ap 16</t>
  </si>
  <si>
    <t>CLT</t>
  </si>
  <si>
    <t>https://www.linkedin.com/jobs/application-settings</t>
  </si>
  <si>
    <t>https://instagram.com/rodrigosabiah?utm_medium=copy_link</t>
  </si>
  <si>
    <t>Homem, cisgênero</t>
  </si>
  <si>
    <t>https://drive.google.com/open?id=1XwqRLzMU5KuZEEO1K9Dw_yqU0V6QN0xO</t>
  </si>
  <si>
    <t>Kelma</t>
  </si>
  <si>
    <t>Luzia Nunes Otaviano</t>
  </si>
  <si>
    <t>kelmanunes@gmail.com</t>
  </si>
  <si>
    <t>Sou uma mulher negra, de candomblé, de Fortaleza, assistente social, a primeira formada de minha família, mãe, avó e militante contra a desigualdade racial no Brasil.</t>
  </si>
  <si>
    <t>Ensino Superior - Completo</t>
  </si>
  <si>
    <t>Rua Cônego Lima Sucupira</t>
  </si>
  <si>
    <t>Itaoca</t>
  </si>
  <si>
    <t>60740-355</t>
  </si>
  <si>
    <t>Funcionário Público</t>
  </si>
  <si>
    <t>@kelmadeyemanja</t>
  </si>
  <si>
    <t>Mulher, cisgênero</t>
  </si>
  <si>
    <t>https://drive.google.com/open?id=1ZV3tSYZXLiikdDubztho0RJYO8IIoi24</t>
  </si>
  <si>
    <t>Lana</t>
  </si>
  <si>
    <t>Thaís De Abreu</t>
  </si>
  <si>
    <t>lanaabreu.94@gmail.com</t>
  </si>
  <si>
    <t>(98)98418-4743</t>
  </si>
  <si>
    <t>Branca</t>
  </si>
  <si>
    <t>Meu nome é Lana Abreu, tenho 28 anos, mãe solo de 2, sou tutora, vivo em São Luís do Maranhão. Tive uma infância difícil, com muitas faltas aos 15 anos encontrei no voluntariado a cura pra minha dor, que acabou se tornando minha missão de vida. Criei o Tamojunto em 2019 e desde então tenho levado essa árdua e doce missão de levar o alimento pra quem tem fome e dar voz a quem precisa.</t>
  </si>
  <si>
    <t>Ensino Médio - Completo</t>
  </si>
  <si>
    <t>Pública</t>
  </si>
  <si>
    <t>Quadra 72</t>
  </si>
  <si>
    <t>Funcionário Público; Desempregado</t>
  </si>
  <si>
    <t>https://instagram.com/lanadotamojunto?igshid=YmMyMTA2M2Y=</t>
  </si>
  <si>
    <t>https://drive.google.com/open?id=1SjejuQXUy6iWdTxyxt_fD3QRe8uxbYPz</t>
  </si>
  <si>
    <t>Daniele</t>
  </si>
  <si>
    <t>Buruaem Moreira</t>
  </si>
  <si>
    <t>dannyburu@gmail.com</t>
  </si>
  <si>
    <t>(13)99732-8040</t>
  </si>
  <si>
    <t>Empresária, Cubatense, 40 anos sócia fundadora da organização Leec.</t>
  </si>
  <si>
    <t>Rua Maria do Carmo</t>
  </si>
  <si>
    <t>Jardim Casqueiro</t>
  </si>
  <si>
    <t>11530-040</t>
  </si>
  <si>
    <t>Intolerância a lactose</t>
  </si>
  <si>
    <t>https://www.linkedin.com/in/danyburu</t>
  </si>
  <si>
    <t>https://www.instagram.com/danyburu</t>
  </si>
  <si>
    <t>https://drive.google.com/open?id=1ytSSF_6lXRM9WwPNS8Tj06WwhDxuGH4V</t>
  </si>
  <si>
    <t>Edi</t>
  </si>
  <si>
    <t>Souza Dos Santos</t>
  </si>
  <si>
    <t>Afastado</t>
  </si>
  <si>
    <t>coletivoverdigal@gmail.com</t>
  </si>
  <si>
    <t>127.677.348-09</t>
  </si>
  <si>
    <t>rua brás de pina</t>
  </si>
  <si>
    <t>São  Paulo</t>
  </si>
  <si>
    <t>vila carioca</t>
  </si>
  <si>
    <t>Maria Ribeiro</t>
  </si>
  <si>
    <t>franciscanenem5@gmail.com</t>
  </si>
  <si>
    <t>Comecei meus trabalhos aqui na vila Yolanda há 13 anos quando me mudei para cá, já tinha trabalhos voluntários em outro lugar, mas quando cheguei aqui que vi as dificuldades das famílias então abracei a causa, dificuldade em todos os aspectos, saúde, moradia, saneamento básico, alimentação entre outros, foi aí que tudo começou, montamos times de futebol, busca em melhorias na saúde, advogado, campanha da visão, aulas de capoeiras, campanhas do agasalho entre outros, sempre trabalho voluntário.</t>
  </si>
  <si>
    <t>Ensino Fundamental - Incompleto</t>
  </si>
  <si>
    <t>Rua flamboyant</t>
  </si>
  <si>
    <t>Conjunto habitacional sítio conceição</t>
  </si>
  <si>
    <t>08473-805</t>
  </si>
  <si>
    <t>https://drive.google.com/open?id=19v7V_CnWEUdYK2-T0nGo-Uds06acQR-4</t>
  </si>
  <si>
    <t>Mercedes</t>
  </si>
  <si>
    <t>Conceição C.S.Lopes</t>
  </si>
  <si>
    <t>mercedeslopes359@gmail.com</t>
  </si>
  <si>
    <t>(11)95882-2261</t>
  </si>
  <si>
    <t>9742447-X</t>
  </si>
  <si>
    <t>Parda</t>
  </si>
  <si>
    <t>Sou espi
Ososa, mãe  e vó resíduo no Jd. Filhos da Terra Zona Norte, estou nesta luta enfrentando desafios, para conseguir atingir os meus objetivos que é condições de vida para meu povo.</t>
  </si>
  <si>
    <t>Travessa Barreira Branca</t>
  </si>
  <si>
    <t>Na feira de domingo</t>
  </si>
  <si>
    <t>Jd Filhos da Terra</t>
  </si>
  <si>
    <t>02325-020</t>
  </si>
  <si>
    <t>Desempregado</t>
  </si>
  <si>
    <t>https://terradedireitos.org.br/notic</t>
  </si>
  <si>
    <t>https://drive.google.com/open?id=1W86-gCgDGYmxZdpB4nGkbTLTY715Ifd9</t>
  </si>
  <si>
    <t>Elenira</t>
  </si>
  <si>
    <t>Martins Pereira</t>
  </si>
  <si>
    <t>eleniramartins69@gmail.com</t>
  </si>
  <si>
    <t>Diretora</t>
  </si>
  <si>
    <t>Ensino Médio - Incompleto</t>
  </si>
  <si>
    <t>Rua Vicente da Fontoura</t>
  </si>
  <si>
    <t>Vidal de Negreiros 1628</t>
  </si>
  <si>
    <t>90640-003</t>
  </si>
  <si>
    <t>Paula dos santos modesto</t>
  </si>
  <si>
    <t>Primeiro Semestre 2022</t>
  </si>
  <si>
    <t>anaoliveiramodestobernardo@gmail.com</t>
  </si>
  <si>
    <t>23.727.128-X</t>
  </si>
  <si>
    <t>G2</t>
  </si>
  <si>
    <t>Tenho 41 anos sou líder de minha comunidade* procuro fazer o meu melhor e trazer de benefícios e projetos que os proponha novos horizontes dentro de minhas condições e parcerias* sou auxiliar de enfermagem e amo minha profissão* amo cuidar de pessoas* amo fazer o bem aos meus e a quem se permite receber o bem* sou otimista porém não admito coisas erradas estou sempre abertas a novos aprendizados e oportunidades. Bom é isso!</t>
  </si>
  <si>
    <t>Rua koichi Yoshikawa</t>
  </si>
  <si>
    <t>Pq Maria Helena</t>
  </si>
  <si>
    <t>08683-200</t>
  </si>
  <si>
    <t>Mulher transgênero</t>
  </si>
  <si>
    <t>https://drive.google.com/open?id=1H_xJFtWztK_HgBtqRBCqFxyL6EDkqjQ-</t>
  </si>
  <si>
    <t>Valeria</t>
  </si>
  <si>
    <t>Castro da silva</t>
  </si>
  <si>
    <t>valicastros@gmail.com</t>
  </si>
  <si>
    <t>Sou enfermeira atuante na área da saúde pública há mais de 13 anos.
Como conhecedora das necessidades da população e conhecimento de causa* iniciei um trabalho social a 3 anos visando atendimento integrado.
Sou gestora da ONG Remediar* atendendo a população com doação de medicamentos* suporte jurídico* psicológico* nutricional* fornecendo alimentos a mais de 50 famílias da região nordeste de BH* incluindo refugiados. Atuamos ainda com a prevenção de doenças e promoção a saúde* com as questões ambientais e educacionais.</t>
  </si>
  <si>
    <t>Hybris</t>
  </si>
  <si>
    <t>Ana Lucia</t>
  </si>
  <si>
    <t>34710-080</t>
  </si>
  <si>
    <t>www.linkedin.com/in/valeria-castro-da-silva-ab183819a</t>
  </si>
  <si>
    <t>https://www.instagram.com/p/CbQO4UrukK3nWiVe83ZNNp6k17j3yIKsV8Thr00/?utm_medium=copy_link</t>
  </si>
  <si>
    <t>Mulher cisgênero</t>
  </si>
  <si>
    <t>https://drive.google.com/open?id=1jskxjCipPTtydxtMKlaVZ7IirTlAuPsZ</t>
  </si>
  <si>
    <t>Dayse</t>
  </si>
  <si>
    <t>Portugal melo</t>
  </si>
  <si>
    <t>dayseportugalmelo@gmail.com</t>
  </si>
  <si>
    <t>Dayse* brasileira* 40 anos graduada em Administração. Atua há 19 anos em uma instituição sem fins lucrativos que assiste crianças e adolescentes em vulnerabilidade social na cidade de Itabuna-Ba. Na instituição contribuo com o setor administrativo* elaboração de projetos para captar recursos* na coordenação de projetos* entre outros serviços, contribuindo com o desenvolvimento da instituição.</t>
  </si>
  <si>
    <t>Rua São José</t>
  </si>
  <si>
    <t>Fátima</t>
  </si>
  <si>
    <t>https://drive.google.com/open?id=1zlMUS59KAGgi8gYTm8WS8kTrxqUfAjl5</t>
  </si>
  <si>
    <t>DOMINGOS</t>
  </si>
  <si>
    <t>Ferreira de lisboa filho</t>
  </si>
  <si>
    <t>lisboadomingos75@gmail.com</t>
  </si>
  <si>
    <t>CEO, VICE PRESIDENTE</t>
  </si>
  <si>
    <t>Domingos Ferreira de Lisboa filho, 38 anos Empreendedor social,  produtor rural, Líder comunitário, CEO do Projeto Prosperar.se, engajado em promover o desenvolvimento socioeconômico sustentável, atuante na busca por projetos, programas e negócios voltados a famílias em situação de  vulnerabilidade social, o que me motiva e fazer o bem</t>
  </si>
  <si>
    <t>Povoado Tigre,</t>
  </si>
  <si>
    <t>Pacatuba</t>
  </si>
  <si>
    <t>Trabalho informal, Desempregado</t>
  </si>
  <si>
    <t>https://instagram.com/domingos_lisboa_?igshid=YmMyMTA2M2Y=</t>
  </si>
  <si>
    <t>https://drive.google.com/open?id=12bq2yNKMFgFevP4NOtpDE4zTZAdaOs0T</t>
  </si>
  <si>
    <t>Edileide</t>
  </si>
  <si>
    <t>Rezende santos</t>
  </si>
  <si>
    <t>leydex@gmail.com</t>
  </si>
  <si>
    <t>09.475.733-05</t>
  </si>
  <si>
    <t>Mulher* preta *favelada* casada e mãe de um adolescente de 16 anos* nascida no sertão da Bahia ( Jacobina)* residente na capital Baiana Salvador* desde os 10 anos trabalho e aos 14 comecei com o social* participei de projetos como Abrindo espaços da UNESCO aos 16 anos * formada em Técnica de Segurança do Trabalho.</t>
  </si>
  <si>
    <t>Loteamento Condor caminho 4 setor 2</t>
  </si>
  <si>
    <t>https://www.instagram.com/p/CX_Yn-JI38r/?utm_medium=copy_link</t>
  </si>
  <si>
    <t>https://drive.google.com/open?id=18k3beDwBTDIcBmzLT6V7X7sZZ42lcbwo</t>
  </si>
  <si>
    <t>Edson</t>
  </si>
  <si>
    <t>Ramos da silva</t>
  </si>
  <si>
    <t>edsonramos.opa@gmail.com</t>
  </si>
  <si>
    <t>423314 SSP/AL</t>
  </si>
  <si>
    <t>Sou casado com a Jane que é professora* temos 3 filhos (duas meninas e um menino)* trabalho na Casa do Marechal Deodoro* e as noites fico no Avivah* instituição que iniciamos para ajudar a crianças e adolescentes.</t>
  </si>
  <si>
    <t>Rua Dona Leopoldina</t>
  </si>
  <si>
    <t>27 A</t>
  </si>
  <si>
    <t>Surdez leve/moderada</t>
  </si>
  <si>
    <t>edson.ramoss</t>
  </si>
  <si>
    <t>https://drive.google.com/open?id=1jzecVy_m4r2ael14vH8L-t37J-W5FfPJ</t>
  </si>
  <si>
    <t>Souza neto</t>
  </si>
  <si>
    <t>eduuardocomunicacoes@gmail.com</t>
  </si>
  <si>
    <t>(71)99320-1717</t>
  </si>
  <si>
    <t>Presidente</t>
  </si>
  <si>
    <t>Eduardo Neto nasceu em salvador, casado com a Camila, pai de Cecília e benjamim, cresceu em uma família pobre, aos 7 anos seu pai sofreu um AVC por conta do uso abusivo do álcool, onde sua mãe sem medo do mundo começou a trabalhar como empregada doméstica para o sustento da familia.</t>
  </si>
  <si>
    <t>Rua Jaguaribe</t>
  </si>
  <si>
    <t>Loteamento chácara do monte</t>
  </si>
  <si>
    <t>Cajazeiras 8</t>
  </si>
  <si>
    <t>41330-770</t>
  </si>
  <si>
    <t>MEI, Trabalho informal</t>
  </si>
  <si>
    <t>https://www.linkedin.com/in/eduardo-neto-18a384138</t>
  </si>
  <si>
    <t>https://instagram.com/eduuardoneto?igshid=YmMyMTA2M2Y=</t>
  </si>
  <si>
    <t>https://drive.google.com/open?id=1UWKKRQtWfJbKCoK2gR5Q8LqttjLMNdg0</t>
  </si>
  <si>
    <t>EDVALDO</t>
  </si>
  <si>
    <t>Carlos de são pedro</t>
  </si>
  <si>
    <t>edvaldocarlospdt@gmail.com</t>
  </si>
  <si>
    <t>(82)98711-9298</t>
  </si>
  <si>
    <t>Tenho 49 anos de idade, sou Natural do municipio de Arapiraca/AL, filho de agricultores,  convivo em união estável, sou pai de 03 filhos e hoje com 5 netos. Exerci a profissão de Vigilante e Agente de Saúde, sou Servidor Público no municipio da Barra de São Miguel (estou licenciado), assumi diversas funções públicas. Minha Formação é de nível Superior em Gestão de Recursos Humanos, com pós graduação em Psicologia Organizacional e do Trabalho e MBA em Segurança Pública e Privada.</t>
  </si>
  <si>
    <t>Quadra AF</t>
  </si>
  <si>
    <t>Cj. Cidade Sorriso I</t>
  </si>
  <si>
    <t>57086-056</t>
  </si>
  <si>
    <t>edvaldo carlos</t>
  </si>
  <si>
    <t>edvaldo.carlos.16</t>
  </si>
  <si>
    <t>https://drive.google.com/open?id=12EIlbhwv7Oh6PfQRBXXbGRUSfhmHsmCb</t>
  </si>
  <si>
    <t>Cristina do nascimento barreto</t>
  </si>
  <si>
    <t>elainemidianews@gmail.com</t>
  </si>
  <si>
    <t>71/991308187</t>
  </si>
  <si>
    <t>Me chamo Elaine Barreto* moro em Salvador Bahia* sou radialista por profissão* tenho 47 anos* sou mâe de 4 filhos e agora tenho 1 neto* ah sou casada.</t>
  </si>
  <si>
    <t>2º Travessa Urbano Duarte</t>
  </si>
  <si>
    <t>Monte Serrat.</t>
  </si>
  <si>
    <t>40425-181</t>
  </si>
  <si>
    <t>MEI</t>
  </si>
  <si>
    <t>https://www.instagram.com/prelainecristina/</t>
  </si>
  <si>
    <t>https://drive.google.com/open?id=1aKqIxDIHExO-Xo3Ztcl1MaOv2TWR08Qg</t>
  </si>
  <si>
    <t>Emilli</t>
  </si>
  <si>
    <t>Maciel rastelly</t>
  </si>
  <si>
    <t>emillyrastelly26@gmail.com</t>
  </si>
  <si>
    <t>71 98833-4868</t>
  </si>
  <si>
    <t>Olá mi chamo emilli Maciel Rastelly  sou de salvador do subúrbio ferroviário Moradora do bairro de fazenda coutos 3 tenho 4 filhos 2 meninas e 2 meninos sou casada e faço trabalho social na comunidade com famílias em situação de vulnerabilidade social e faço trabalho c moradores de rua também  amo o quê  faço  tudo que faço e com muita dedicação e amor</t>
  </si>
  <si>
    <t>Prefiro não responder</t>
  </si>
  <si>
    <t>Rua eixo 07 quadra 14</t>
  </si>
  <si>
    <t>40731-325</t>
  </si>
  <si>
    <t>https://drive.google.com/open?id=1iTJFsM1YYHY7c4XLdb21So1-0IsuYJFU</t>
  </si>
  <si>
    <t>Gilson</t>
  </si>
  <si>
    <t>Soares da silva</t>
  </si>
  <si>
    <t>Fundador e Vice-Presidente</t>
  </si>
  <si>
    <t>Olá, me chamo Gilson Soares da silva, 41 anos, casado, 3 filhos e uma neta. Vigilante patrimonial e Educador social, Fundador e vice presidente do Instituto Só Alegria!
Me solidarizo com a dor do outro, pois entendo que para termos um País digno, desenvolvido, digital, precisamos do envolvimento de toda sociedade, assim mandar a atual pobreza da favela pro museu e criar comunidades empreendedoras. 
Esse é o meu propósito de vida.</t>
  </si>
  <si>
    <t>Dezessete de agosto</t>
  </si>
  <si>
    <t>https://drive.google.com/open?id=1YNMnDI12WC3suyEOjoKnvKgQyU5LnFbG</t>
  </si>
  <si>
    <t>Iago</t>
  </si>
  <si>
    <t>Silva dos santos</t>
  </si>
  <si>
    <t>iagossantos@gmail.com</t>
  </si>
  <si>
    <t>Sou Iago Santos* um aprendedor e empreendedor* Designer Gráfico em constante aprendizado* Especialista em Inovação Digital pela Digital Innovation One. Mentor e consultor em comunicação e negócio* idealizador e CEO do TrazFavela (@trazfavela) e Coordenador de Inovação da AJE Bahia (Associação de Jovens Empreendedores da Bahia)</t>
  </si>
  <si>
    <t>Rua Frei Paulo</t>
  </si>
  <si>
    <t>https://www.linkedin.com/in/iagossantos2/</t>
  </si>
  <si>
    <t>https://www.instagram.com/iagossantos1/</t>
  </si>
  <si>
    <t>https://drive.google.com/open?id=1wq3GbxKYwOPTUUmJwsRsBT-FzcAZqdBz</t>
  </si>
  <si>
    <t>Ygo batista de almeida</t>
  </si>
  <si>
    <t>ygoalmeida54@gmail.com</t>
  </si>
  <si>
    <t>(79)99654-8338</t>
  </si>
  <si>
    <t>Olá, sou José Ygo Batista de Almeida e tenho 29 anos de idade, casado a nove anos tenho uma filha de cinco anos de idade. Sou filho de pescadores artesanais e, desde os meus vinte anos de idade que lido com ações sociais gerando impactos na vida de diversas famílias carentes, hoje sou empreendedor e líder social capacitado e formado pela Falcons University, a faculdade da liderança social da Gerando Falcões.</t>
  </si>
  <si>
    <t>Boa Vista</t>
  </si>
  <si>
    <t>Proximo ao colégio estadual</t>
  </si>
  <si>
    <t>https://instagram.com/ygo_tatiane?igshid=YmMyMTA2M2Y=</t>
  </si>
  <si>
    <t>https://drive.google.com/open?id=190GV41MOKCuo7fjmlP6_7sHvupPUtGrD</t>
  </si>
  <si>
    <t>Siberlly guilherme de aguiar</t>
  </si>
  <si>
    <t>siberllyaguiar18@gmail.com</t>
  </si>
  <si>
    <t>PP</t>
  </si>
  <si>
    <t>Me chamo Ana Siberlly sou do Ceará , fui religiosa por 14 anos e fiz várias missões em todo Brasil. Mas retornei a minha cidade e vi a necessidade de ter algo contra turno escolar para as crianças e adolescentes em situação de vulnerabilidade. Foi então que coloquei na minha casa um projeto social que hoje atende 156 crianças com várias atividades esportivas , culturais e educacionais.</t>
  </si>
  <si>
    <t>Em frente a pista de skate</t>
  </si>
  <si>
    <t>https://instagram.com/ana_siberlly?igshid=YmMyMTA2M2Y=</t>
  </si>
  <si>
    <t>https://drive.google.com/open?id=1pEKXiCrSuI1y5AY0grhA9piLzEreJvKL</t>
  </si>
  <si>
    <t>Antonio</t>
  </si>
  <si>
    <t>Carlos benvindo de oliveira</t>
  </si>
  <si>
    <t>(85)98550-0780</t>
  </si>
  <si>
    <t>Coordenador Adm</t>
  </si>
  <si>
    <t>Criada com o objetivo de proporcionar
uma assistência de qualidade na educação e incentivar e promover a cultura e suas
diversas artes com a finalidade de suprir inicialmente as necessidades das comunidades
dos bairros Autran Nunes e adjacências, reduzindo os índices de violência, criminalidade e
fortalecendo os laços familiares, e somente assim expandir os resultados positivos destas
ações para toda a sociedade.</t>
  </si>
  <si>
    <t>rua desembargador felismino</t>
  </si>
  <si>
    <t>@carlosbenvindo</t>
  </si>
  <si>
    <t>https://drive.google.com/open?id=1kFk9CsV0f0D4iXPyVEQ9AIL2QUa9ZcfN</t>
  </si>
  <si>
    <t>Carla</t>
  </si>
  <si>
    <t>Samya nogueira falcão</t>
  </si>
  <si>
    <t>ksamyaf@hotmail.com</t>
  </si>
  <si>
    <t>85 98809.3137</t>
  </si>
  <si>
    <t>Sou professora de educação física há mais de 15 anos e me identifiquei com o esporte para pessoa com deficiência ainda na universidade. Durante anos trabalhei em algumas instituições para pessoa com deficiência e em 2018 entrei para a ADESUL* associação que trabalha o esporte para as pessoas com deficiência e temos também outras frentes de trabalho como nas áreas da saúde* educação* empregabilidade* serviços sociais e empreendedorismo. Sempre me identifiquei com o terceiro setor como também me preocupo com as pessoas em situações de vulnerabilidade social* então na nossa associação nos preocupamos também com o entorno dos nossos locais de atividades* ajudamos com cestas* roupas e direcionamento para serviços como BPC* Auxilio emergencial ou outro tipo de bolsa financeira que tenham direito. Atualmente nossa associação atende diretamente mais de 300 pessoas com deficiência e consequentemente melhoramos a vida de toda a família daquela pessoa com deficiência. Hoje sou treinadora de atletismo e voleibol sentado e trabalhamos com sonhos* sonho de oportunizar as pessoas com deficiência melhores condições de viver em sociedade e também de serem protagonistas das suas próprias histórias.</t>
  </si>
  <si>
    <t>Rua José Cavalcante Sobrinho</t>
  </si>
  <si>
    <t>Messejana</t>
  </si>
  <si>
    <t>60871-640</t>
  </si>
  <si>
    <t>https://www.instagram.com/carla.samya.f/</t>
  </si>
  <si>
    <t>https://drive.google.com/open?id=1Z9_JhppkZ2Wj4c8OIrfad1jLgFYg_3LK</t>
  </si>
  <si>
    <t>Carleon</t>
  </si>
  <si>
    <t>Paulo de oliveira</t>
  </si>
  <si>
    <t>oliveiracarleon@gmail.com</t>
  </si>
  <si>
    <t>presiente</t>
  </si>
  <si>
    <t>morador da comunidade desde que nasci, me descobri líder social a um tempo, casado, pai de um filho, negro, vindo de uma família de agricultores. procuro através do esporte e da educação mudar a realidade da nossa comunidade e venho conseguindo.</t>
  </si>
  <si>
    <t>rua da radio</t>
  </si>
  <si>
    <t>https://drive.google.com/open?id=1pWsIHjF5Lgk-UdcdseUw5Ky7Xq37rghh</t>
  </si>
  <si>
    <t>Augusto da silva filho</t>
  </si>
  <si>
    <t>Coordenador</t>
  </si>
  <si>
    <t>Jornalista e teólogo em formação, casado, três filhos, apaixonado por livros.</t>
  </si>
  <si>
    <t>casa A</t>
  </si>
  <si>
    <t>Rodolfo Teófilo</t>
  </si>
  <si>
    <t>https://www.instagram.com/cesaraugustofilho/</t>
  </si>
  <si>
    <t>https://drive.google.com/open?id=1_1OvfdlJBqJwqoDFqOM9iGDR9R6e9Wvm</t>
  </si>
  <si>
    <t>Cristiane</t>
  </si>
  <si>
    <t>Silva de carvalho</t>
  </si>
  <si>
    <t>edoandoqueserecebe10@gmail.com</t>
  </si>
  <si>
    <t>(85)987747330</t>
  </si>
  <si>
    <t>A luta para fazer o bem* para tantas pessoas que precisam não é fácil de jeito nenhum. Mas procuro enxergar nessas dificuldades Oportunidades de Continuar e não Parar.</t>
  </si>
  <si>
    <t>https://instagram.com/lamocamodaeacessorio?utm_medium=copy_link</t>
  </si>
  <si>
    <t>https://drive.google.com/open?id=1DEHDZDM4tdR1Er_CNaNX3APZylQ1vCxm</t>
  </si>
  <si>
    <t>EUDAZIO</t>
  </si>
  <si>
    <t>Nobre de brito</t>
  </si>
  <si>
    <t>eudazio@idesq.org</t>
  </si>
  <si>
    <t>(85)98839-2359</t>
  </si>
  <si>
    <t>Gestor Adminsitrativo</t>
  </si>
  <si>
    <t>Graduado 2010 e especialista 2012 pela UNIFOR e UECE em Gestão Publica. Atua no setor social a 25 anos com diversos trabalhos em OSC's no Ceará nas áreas sociais e culturais. Atual Gestor do IDESQ. Coordenador do Ponto de Cultura Cortejos Culturais do Ancuri de 2015 a 2018 com atuação nos conselhos de cultura de Fortaleza e do Ceara. Atualmente em formação no curso de mentoria e formação de líderes da Falcons University da ong Gerando Falcões e  Facilitador de biodança em formação pela ECOMBIO.</t>
  </si>
  <si>
    <t>Avenida Isabel Bezerra</t>
  </si>
  <si>
    <t>60873-175</t>
  </si>
  <si>
    <t>CLT, Trabalho informal</t>
  </si>
  <si>
    <t>https://www.instagram.com/nobredazo/</t>
  </si>
  <si>
    <t>https://drive.google.com/open?id=1dzg8_53d_y6n4atnZZUurMaXqArr1L0Z</t>
  </si>
  <si>
    <t>Euselia</t>
  </si>
  <si>
    <t>Silveira silva dutra</t>
  </si>
  <si>
    <t>euseliadutra@gmail.com</t>
  </si>
  <si>
    <t>98 98547-1805</t>
  </si>
  <si>
    <t>Sou alegre por natureza e amo fazer o bem ao meu próximo. Gosto de fazer novas amizades e receber conhecimentos que vão agregar valores ao meu trabalho e me impulsionar na sua realização. Gosto de colocar a mão na massa* pois sou da ação.</t>
  </si>
  <si>
    <t>Avenida 14</t>
  </si>
  <si>
    <t>65050-270</t>
  </si>
  <si>
    <t>https://www.linkedin.com/in/euselia-dutra-97273084</t>
  </si>
  <si>
    <t>https://www.instagram.com/euseliadutra/</t>
  </si>
  <si>
    <t>https://drive.google.com/open?id=1RAgPd5DdIK-hiSAUxrtywNdQYVD-AUdW</t>
  </si>
  <si>
    <t>Gerlí­dia tavares</t>
  </si>
  <si>
    <t>gerlidiat@gmail.com</t>
  </si>
  <si>
    <t>Gerlídia Tavares*  42 anos* vividos na cidade de Quixadá *Sertão central do Ceará* onde desde de muito jovem mostrou suas habilidades para a arte da dança e liderança com os argumentos artísticos* culturais e sociais do sertão central.  Pedagoga* professora* bailarina* coreógrafa* fundadora e diretora da Cia de Dança Rastro* presidenta do instituto Rastro* integrante da Rede de Dança do Ceará* presidenta do Fórum de Cultura e Turismo do Sertão Central e Conselheira no Conselho Brasileiro da Dança.</t>
  </si>
  <si>
    <t>Rua Juvêncio Alves de Oliveira</t>
  </si>
  <si>
    <t>Putiú</t>
  </si>
  <si>
    <t>https://instagram.com/tavares_ger?utm_medium=copy_link</t>
  </si>
  <si>
    <t>https://drive.google.com/open?id=1dr44lHgCslqrW6jTMpxqCvKZoEccJIRG</t>
  </si>
  <si>
    <t>Luzia dos santos gomes</t>
  </si>
  <si>
    <t>luziadojp@gmail.com</t>
  </si>
  <si>
    <t>Que a felicidade do próximo seja o motivo da minha felicidade ??</t>
  </si>
  <si>
    <t>https://instagram.com/luizadssantoss?utm_medium=copy_link</t>
  </si>
  <si>
    <t>https://drive.google.com/open?id=1UaVBIpMGTvugcCNZe4DZC2_TqAtVspG2</t>
  </si>
  <si>
    <t>Selma ferreira gomes</t>
  </si>
  <si>
    <t>selmagomes3456@gmail.com</t>
  </si>
  <si>
    <t>Me chamo Selma * tenho 46 anos * moro na favela do Alto Jerusalém desde os 14 anos * idade com que comecei a ser voluntária na associação de moradores* desde então tenho me dedicado ao social* seja na comunidade* nas pastorais sociais * nos conselhos de Assistência e onde houver necessidade de uma voz em defesa dos direitos humanos e sociais. Tenho um filho ( lindo) de 22 anos que também é engajado nos projetos sociais da comunidade. Estou concluindo minha graduação em serviço social. Atualmente estou como presidente do CONJER- Conselho Comunitário do Alto Jerusalém* instituição que trabalha com diversos projetos na favela.</t>
  </si>
  <si>
    <t>Avenida Independência</t>
  </si>
  <si>
    <t>Quintino Cunha</t>
  </si>
  <si>
    <t>https://drive.google.com/open?id=1PfbGNl0JS3wD9XQbpc4Dmax5oiWgqZO4</t>
  </si>
  <si>
    <t>FRANCISCO</t>
  </si>
  <si>
    <t>Marcelo martins de lima</t>
  </si>
  <si>
    <t>marcelo.martins100721@gmail.com</t>
  </si>
  <si>
    <t>(85)92001-5697</t>
  </si>
  <si>
    <t>Francisco Marcelo Martins de Lima, solteiro pai de Luiz Ricardo  do Nascimento Martins e Maria Ester do Nascimento Martins  34 anos , nascido em Fortaleza ce no ano de 1987
Formado em tecnologia da construção deu início as ações sociais no ano de 2014 com o PROJETO PRÓ-AÇÃO no sistema prisional do estado do Ceará no intuito de reintegração de jovens e adultos recluso na sociedade.</t>
  </si>
  <si>
    <t>Sargento Barbosa</t>
  </si>
  <si>
    <t>60540-190</t>
  </si>
  <si>
    <t>@projetoproacaobj</t>
  </si>
  <si>
    <t>https://drive.google.com/open?id=1QedQ5m8Kf4XOEg7-OrrB3XjYT4HKwWo4</t>
  </si>
  <si>
    <t>Genimeire</t>
  </si>
  <si>
    <t>Bezerra da silva</t>
  </si>
  <si>
    <t>genimeire@hotmail.com</t>
  </si>
  <si>
    <t>Sou Genimeire* 38 anos* nasci em fortaleza ceara* casada a 17 anos* tenho uma filha de 14anos* trabalho com meu esposo em uma oficina mecânica automotiva a 11 anos* e a 7 anos colocamos de forma voluntaria nossa casa e o galpão da oficina a disposição da comunidade para servi-los* me descobri aqui* do que eu posso fazer e ser vai muito além de minha realidade na qual nasci. sou apaixonada por pessoas em especial crianças e adolescentes.</t>
  </si>
  <si>
    <t>Rua Lourdes Vidal Alves</t>
  </si>
  <si>
    <t>Curio</t>
  </si>
  <si>
    <t>https://www.instagram.com/genimeirebezerra/</t>
  </si>
  <si>
    <t>https://drive.google.com/open?id=1AsfuKArR241exDWT9e65CC8Va9i1SOpn</t>
  </si>
  <si>
    <t>George</t>
  </si>
  <si>
    <t>Marconi sousa silva</t>
  </si>
  <si>
    <t>georgemarconi22@gmail.com</t>
  </si>
  <si>
    <t>George Marconi Sousa Silva -  Cearense, estudante do Curso de Gestão Desportiva e de Lazer pelo Instituto Federal de Educação, Ciência e Tecnologia do Ceará – IFCE, Campus
Fortaleza. Interessou-se pelo mundo das linguagens culturais aos 12 anos.
Cursou de Gestão Cultural no IFCE - 80h, Cursou Gestão de eventos no IFCE 40h, 
Cursou Gestão de Lazer no IFCE - 40h, Cursou Sociologia do Lazer no IFCE - 40h,
Cursou Politicas Publicas do Esporte e Lazer no IFCE - 80h.</t>
  </si>
  <si>
    <t>https://www.linkedin.com/in/george-marconi-sousa-silva-898a35140/</t>
  </si>
  <si>
    <t>https://www.instagram.com/georgemarconisousa/</t>
  </si>
  <si>
    <t>https://drive.google.com/open?id=1NcFkDJp666d0gE23w4fwboFOwT-JcBLy</t>
  </si>
  <si>
    <t>Gleyson</t>
  </si>
  <si>
    <t>Anderson oliveira pereira</t>
  </si>
  <si>
    <t>gleysonprodutor23@gmail.com</t>
  </si>
  <si>
    <t>(85)99613-3820</t>
  </si>
  <si>
    <t>Diretor de Projetos</t>
  </si>
  <si>
    <t>Graduado em Gestão Pública pelo Centro Universitário Estácio, MBA em gestão de projetos pela USP - Universidade de São Paulo, produtor cultural há mais de 13 anos.</t>
  </si>
  <si>
    <t>CAUCAIA</t>
  </si>
  <si>
    <t>TABAPUÁ</t>
  </si>
  <si>
    <t>https://www.instagram.com/gleysonanderson23/</t>
  </si>
  <si>
    <t>https://drive.google.com/open?id=10xPON_uVNHGixJz7F7l-m8L-x7YfCs_N</t>
  </si>
  <si>
    <t>Gloria</t>
  </si>
  <si>
    <t>Maria silveira dos santos</t>
  </si>
  <si>
    <t>godoiamaria7@gmail.com</t>
  </si>
  <si>
    <t>Filha de mãe solteira* aos 14 anos comecei a dedicar-me a cursos na perspectiva de conquistar o primeiro emprego para ajudar na sustentabilidade da casa com 7 irmãos* todos alunos da rede pública* que por muitas vezes nosso almoço e janta era o que comíamos na escola.  Aos 17 anos conquistei o meu primeiro emprego com carteira assinada onde tive que alterar minha idade de nascimento passando apenas 2 anos com carteira assinada. Casei aos 19 anos* aos 20 tive minha primeira filha e conquistei o direito da casa própria contribuindo com a diretoria da Associação dos moradores do bairro do Tirou (Favela). Eleita presidente da SCHP - São Francisco de Assis me dediquei por tempo integral a minha vida como voluntária para a comunidade criada no Conjunto Vila velha no ano de 1992 quando construímos as casas de mutirão habitacional. Percebendo que apenas moradia não traria a dignidade a comunidade buscamos alternativas para melhorar a condição de vida de seus habitantes. Aos 35 anos tive meu segundo filho e aos 50 anos tive novamente minha carteira assinada* continuo dedicando-me ao social e tendo ainda certeza que é preciso continuar fazendo o bem.</t>
  </si>
  <si>
    <t>Rua 22</t>
  </si>
  <si>
    <t>https://drive.google.com/open?id=12SJaODvFWo7gGyc52I8n2z4lQea1JvcN</t>
  </si>
  <si>
    <t>HAMILTON</t>
  </si>
  <si>
    <t>Leite lima</t>
  </si>
  <si>
    <t>jurunapretolima@gmail.com</t>
  </si>
  <si>
    <t>VICE PRESIDENTE</t>
  </si>
  <si>
    <t>Sou Juruna Lima, tenho 41 anos, esse ano completo 25 anos de trabalhos sociais na comunidade do conjunto Ceará.
Iniciei aos 16 ANOS NO SOCIAL, MEIO QUE na brincadeira e de lá pra cá tive inúmeras experiências que me fizeram um educador preparado para os desafios que o social nos impõe diante das desigualdades.</t>
  </si>
  <si>
    <t>https://www.instagram.com/reel/CcIXWTkOVYO/?igshid=MDJmNzVkMjY=</t>
  </si>
  <si>
    <t>https://drive.google.com/open?id=1bTcF3h1NHitlMDgCERntcOL90XfPVMec</t>
  </si>
  <si>
    <t>Ismael</t>
  </si>
  <si>
    <t>Da silva pinheiro</t>
  </si>
  <si>
    <t>Diretor\ lider</t>
  </si>
  <si>
    <t>“Meu pai abandonou nossa família, tinha problemas
com álcool e batia na minha mãe. Tive que trabalhar
para levar alimento para casa. Aos 18 anos, entrei para
o quartel, e isso me amadureceu mais como pessoa. Sai
com 19 anos, consegui meu 1º emprego, mas não me
adaptei, então fui dar aula de surf, um esporte que
pratico desde os 11 anos”.
Tenho minha família, vou oficializar meu matrimônio
com minha parceira de 14 anos, Viviane, que deste fruto
foi gerado Enzo(8) e Ester(4) anos.</t>
  </si>
  <si>
    <t>Av. ZeZe Diogo</t>
  </si>
  <si>
    <t>Proximo Arenhina Do Caça Pesça</t>
  </si>
  <si>
    <t>Praia Do Futuro ||</t>
  </si>
  <si>
    <t>https://www.instagram.com/p/CfxNjLMp3nf/?igshid=YmMyMTA2M2Y=</t>
  </si>
  <si>
    <t>https://drive.google.com/open?id=1ReQVD9HA1NyycChNCe6WAQHmMCCLRbuh</t>
  </si>
  <si>
    <t>Sílvia</t>
  </si>
  <si>
    <t>Maria de paiva</t>
  </si>
  <si>
    <t>Sou Sílvia Maria de Paiva* amo Cinema* Música e Estudar* tecer Redes* ser Ponte. Faço parte de um grupo de pessoas que usam sua criatividade* inteligência e força para mudar e  tornar o Mundo melhor hoje* ajudando pessoas a se engajarem e serem as protagonistas dessa mudança*contribuindo para diminuição das desigualdades*por mais justiça e garantia de direitos.</t>
  </si>
  <si>
    <t>Rua Edmílson Bezerra de Mendonça</t>
  </si>
  <si>
    <t>https://www.instagram.com/silvinhapaiva/</t>
  </si>
  <si>
    <t>https://drive.google.com/open?id=1vuLk358vkIHig3nagLGkukl7iEYRTVDv</t>
  </si>
  <si>
    <t>Adriane</t>
  </si>
  <si>
    <t>Cristina da cruz</t>
  </si>
  <si>
    <t>MG 8824947</t>
  </si>
  <si>
    <t>Sou Adriane 45 anos mulher periférica negra e ativista social *mãe solo de 2 filhos Hellen de 27 anos e João de 13. Em defesa das minorias e de cuidar de quem cuida venho dedicando minha existência a missão de transformar a imagem dos cuidadores de uma pessoa com deficiência em algo maior que coitadinhos.</t>
  </si>
  <si>
    <t>Rua São Fidélis</t>
  </si>
  <si>
    <t>Nova vista</t>
  </si>
  <si>
    <t>Depressão</t>
  </si>
  <si>
    <t>https://instagram.com/cruz_dryka?utm_medium=copy_link</t>
  </si>
  <si>
    <t>https://drive.google.com/open?id=1Zfb-u73oD84c_bjqjmn1uC4zhw0NiuNG</t>
  </si>
  <si>
    <t>Alexsasndro</t>
  </si>
  <si>
    <t>Silva da silva</t>
  </si>
  <si>
    <t>Diretor Projeto Cais</t>
  </si>
  <si>
    <t>Sou Alex Silva, Designer, Teólogo, Pastor e Interprete de Libras. Sou casado com Geruza ha 23 anos, e pai de Abner (surdo) 21 anos e Adiel 14 anos.
Desenvolvo trabalho social com pessoas com deficiência e Surdos. Acolhimento e orientação a familiares e cuidadores de Pcd's.
Trabalho também como tradutor da Bíblia para Língua Brasileira de Sinais,.
Acessibilidade e Inclusão Social.
Trabalhamos no desenvolvimento Socio Emocional, Cultural de pessoas com Deficiencia.</t>
  </si>
  <si>
    <t>Qr 102, Conjunto 2</t>
  </si>
  <si>
    <t>Lote 123</t>
  </si>
  <si>
    <t>Bloco C Ap 807</t>
  </si>
  <si>
    <t>72300-603</t>
  </si>
  <si>
    <t>@alexministry</t>
  </si>
  <si>
    <t>https://drive.google.com/open?id=1OG6XRETFVeoof_imlJh841Gb2lDADBFO</t>
  </si>
  <si>
    <t>Alfredo</t>
  </si>
  <si>
    <t>De oliveira lima</t>
  </si>
  <si>
    <t>farelodequiat@gmail.com</t>
  </si>
  <si>
    <t>MG.12.342.155</t>
  </si>
  <si>
    <t>Alfredo Lima é professor* escritor e produtor cultural. Nasceu em Conceição do Mato Dentro* interior de Minas Gerais. Na área da Educação* ministra aulas de Literatura para o Ensino Médio há quase duas décadas. Já publicou cinco livros e desde o ano de 2013 está à frente do "Livros em todo lugar'* que nasceu como um projeto de incentivo à leitura e hoje dá nome ao instituto.</t>
  </si>
  <si>
    <t>Rua Marcassita</t>
  </si>
  <si>
    <t>https://www.instagram.com/farelodequiat/</t>
  </si>
  <si>
    <t>https://drive.google.com/open?id=1M2fZZyvhgixP9OUMxTn5kMTWXPvzvC5R</t>
  </si>
  <si>
    <t>Paula Gonçalves caldas</t>
  </si>
  <si>
    <t>anapaulacaldas32@gmail.com</t>
  </si>
  <si>
    <t>Ana Paula Caldas é estudante de moda e trabalha como consultora de estilo numa loja no mercado de luxo em Brasília.
A desigualdade social sempre foi algo que a incomodou bastante* vinda de uma família simples de Paracatu* interior de Minas Gerais* encontrou a oportunidade de ajudar o próximo através das amizades que sempre fez no seu trabalho e na vida* vendendo as peças de roupas confeccionadas pelo projeto para amigos* familiares* conhecidos e sempre revertendo o dinheiro em alguma causa social.
Em 2020 recebeu uma joia da empresa americana Tiffany e Co. Como forma de reconhecimento ao seu trabalho frente a pandemia de levar alimentos para famílias afetadas pela covid19.</t>
  </si>
  <si>
    <t>Qnj 08</t>
  </si>
  <si>
    <t>Taguatinga Norte</t>
  </si>
  <si>
    <t>https://instagram.com/anapaulacaldas32?utm_medium=copy_link</t>
  </si>
  <si>
    <t>https://drive.google.com/open?id=1t57QA4dYLiKrek4AdN5j43w-Ua1fUxQL</t>
  </si>
  <si>
    <t>Andrea</t>
  </si>
  <si>
    <t>Teixeira</t>
  </si>
  <si>
    <t>andrea.attuar@gmail.com</t>
  </si>
  <si>
    <t>M-5.623.779</t>
  </si>
  <si>
    <t>Acredito que todos tem potencial para desenvolver suas habilidades* falta apenas oportunidades. Um dia eu tive oportunidade e alguém que se dispôs a me ajudar* agora acredito ser meu dever levar a quem não tem*</t>
  </si>
  <si>
    <t>RUA CARLOS MEIRELES</t>
  </si>
  <si>
    <t>NOSSA SRA DAS GRAÇAS</t>
  </si>
  <si>
    <t>https://www.instagram.com/tv/CW1d4PoJ9i3uLim6a8kU-pTEolYDhGriBcV9d80/?utm_medium=copy_link</t>
  </si>
  <si>
    <t>https://drive.google.com/open?id=1yX6dSqsLb4mbbeget4N1u8fCSs0p3Av3</t>
  </si>
  <si>
    <t>Túlio damascena</t>
  </si>
  <si>
    <t>tuliodamascena@gmail.com</t>
  </si>
  <si>
    <t>(31)98825-2391</t>
  </si>
  <si>
    <t>Túlio Damascena é fundador e gestor do Instituto Cultural Aníbal Machado – A
Borrachalioteca – biblioteca comunitária nascida no interior de uma borracharia e sediada no bairro Caieira, em Sabará/MG.
Com formação acadêmica de foco multidisciplinar e Extensão em Empreendedorismo Cultural pelo CEFET/MG, possui prática em gestão de projetos sociais e curadoria de eventos culturais com destaque para a FLIS – Festa Literária de Sabará que chega a sua oitava edição em 2022.</t>
  </si>
  <si>
    <t>Alvarenga Peixoto</t>
  </si>
  <si>
    <t>Vila Esperança</t>
  </si>
  <si>
    <t>34505-520</t>
  </si>
  <si>
    <t>https://www.instagram.com/tulio_damascena/</t>
  </si>
  <si>
    <t>https://drive.google.com/open?id=1NcpScJnQR89BwYfeq5xujf8SrmWcrB42</t>
  </si>
  <si>
    <t>Aparecida ferreira alves</t>
  </si>
  <si>
    <t>cida.alves@uberabadigital.com.br</t>
  </si>
  <si>
    <t>MARIA APARECIDA FERREIRA ALVES. Nascida em Uberaba/MG* no dia 09 de junho de 1972* sendo filha de Joâo Batista e Vera Lucia da Silva. Casada com  Alencar Auto Alves* mãe de Alysson Ferreira Alves e Arthur F Alves. Estudou na Escola Estadual  Aurelio Luiz da Costa*  curso técnico na CEFET* onde atuou como mobilizadora em prol da permanência da escola na cidade. Cursou serviço social na UNOPAR Uberaba. Atuou na Associação de Moradores na Vila São Cristóvão em 1991* ficou afastada até 2003 e desde então * atua até  hoje junto as Associações da cidade de Uberaba. Em 2006 foi homenageado pela Camara Municipal de Uberaba* pelo trabalho realizado na periferia da cidade(recebeu um certificado). Atualmente represento o   Conselho de apoio as Associações de Uberaba* que por objetivo capacitação de lideranças e realizações de projetos nas periferias da cidade, sempre atuei em projetos e mobilizações sociais* participação em conselhos de saúde* segurança entre outros. Desde 2014* realiza a comemoração do dia do Líder* onde o líder em destaque recebe o troféu João Wagner* em reconhecimento pelos relevantes trabalho realizado para sua comunidade. Em 2020  idealizou o Projeto Meninas Kairós* na qual oferece oficinas de música* arte ecologia e tecnologia digital* para meninas em situação de vulnerabilidade social* proporcionando um espaço de cultura e protagonismo através de projetos que coordena e desenvolve na comunidade de Uberaba.</t>
  </si>
  <si>
    <t>RUA JOSÉ MARAJO DE CARVALHO</t>
  </si>
  <si>
    <t>VILA SÃO CRISTÓVÃO</t>
  </si>
  <si>
    <t>https://drive.google.com/open?id=1HPdyeRveGNA7lNEMIeeIJMj3QAzAvrxV</t>
  </si>
  <si>
    <t>Mariete</t>
  </si>
  <si>
    <t>Teixeira dos santos</t>
  </si>
  <si>
    <t>Mg-7536637</t>
  </si>
  <si>
    <t>Olá*
Meu nome é Mariete Teixeira Dos Santos* tenho 48 anos* casada* tenho três filhos* sou presidente e fundadora da ONG ABRAÇAR FILHAS DE MARIA.  A 4 anos faço trabalhos sociais para famílias de baixa vulnerabilidade* dando oportunidades de capacitação profissional. Faço meu trabalho com muito amor* carinho e dedicação* porque também na minha infância e adolescência não tive oportunidades* por isso que do oportunidades para jovens* crianças e adultos. Acredito que assim podemos transformar vidas.</t>
  </si>
  <si>
    <t>Rua Carlos Vitoriano de Sá</t>
  </si>
  <si>
    <t>Bela Vista</t>
  </si>
  <si>
    <t>https://www.instagram.com/p/CY_we9SAi8V/?utm_medium=share_sheet</t>
  </si>
  <si>
    <t>https://drive.google.com/open?id=1HkKsm0aumTPHbS1qXz45eyluI7e3m7Yj</t>
  </si>
  <si>
    <t>MATHEUS</t>
  </si>
  <si>
    <t>Fernandes gonçalves</t>
  </si>
  <si>
    <t>matheusgoncalves.pastor@gmail.com</t>
  </si>
  <si>
    <t>(38)98406-9158</t>
  </si>
  <si>
    <t>COORDENADOR GERAL</t>
  </si>
  <si>
    <t>Me chamo Matheus Fernandes Gonçalves, pastor e líder social, tenho 30 anos, casado com Patricia Ramos e sonho com uma transformação social na minha comunidade. Tenho como lema de vida: Amar a Deus e Servir Pessoas. Estou como coordenador a Associação Unaiense de Desenvolvimento e Cidadania - AUDEC desde a sua fundação em 2016 onde através do esporte, da cultura e da assistência social buscamos a transformação pessoal, social e comunitária dos nossos assistidos.</t>
  </si>
  <si>
    <t>Rua Marcos Lopes</t>
  </si>
  <si>
    <t>DIVINEIA</t>
  </si>
  <si>
    <t>38613-527</t>
  </si>
  <si>
    <t>https://instagram.com/matheusgoncalves.pastor?igshid=YmMyMTA2M2Y=</t>
  </si>
  <si>
    <t>https://drive.google.com/open?id=1PpS5wuc5fkogqW7R0mmCRtI1-XfBxAx5</t>
  </si>
  <si>
    <t>Mauro</t>
  </si>
  <si>
    <t>Jose dos santos</t>
  </si>
  <si>
    <t>maurocentral2021@gmail.com</t>
  </si>
  <si>
    <t>(31)99647-4091</t>
  </si>
  <si>
    <t>M29770167</t>
  </si>
  <si>
    <t>Mauro Jose dos Santos, 59 anos, aposentado. Casado com Valeria Cristina, pai de 2 filhos, Fernando Paulo e João Carlos trabalhei por 36 anos na Gerdau Açominas na cidade de Ouro Branco, onde desenvolvi o gosto pelo trabalho voluntario,. Neste programa fiquei responsável pela manutenção elétrica do Asilo Dr. Carlos Romeiro em minha cidade. Também fui membro do Instituto Gerdau. Gosto do que faço e penso que tenho muito ainda a fazer para diminuir a desigualdade social em nosso pais.</t>
  </si>
  <si>
    <t>Caetano Braga</t>
  </si>
  <si>
    <t>Fonte Grande</t>
  </si>
  <si>
    <t>36405-022</t>
  </si>
  <si>
    <t>CLT, MEI</t>
  </si>
  <si>
    <t>Mauro Jsoe dos Santos</t>
  </si>
  <si>
    <t>mauro.josedosantos.58</t>
  </si>
  <si>
    <t>https://drive.google.com/open?id=1NG2rCt0DzmeUosO_xTCGPdwQnL4G4xZ9</t>
  </si>
  <si>
    <t>Myrian</t>
  </si>
  <si>
    <t>Renatha silveira macedo</t>
  </si>
  <si>
    <t>myrian.silveira@yahoo.com.br</t>
  </si>
  <si>
    <t>38 anos* atuando há 7 no terceiro setor* assistente social* apaixonada por pessoas e articuladora! Acredito na força do trabalho em Rede!</t>
  </si>
  <si>
    <t>Quadra 2 conjunto E12 casa 01</t>
  </si>
  <si>
    <t>Sobradinho DF</t>
  </si>
  <si>
    <t>https://drive.google.com/open?id=1tS-Qu0P5tKLGVVIQ0NO2Ggi4TDstN7L8</t>
  </si>
  <si>
    <t>Naiara</t>
  </si>
  <si>
    <t>Rocha pereira</t>
  </si>
  <si>
    <t>Meu nome é Naiara rocha. Sou liderança na ocupação Guarani kaiowá em habita em Contagem município e de Belo Horizonte* sou liderança a 4 anos criem pojeto geração gk  por meio de ver tantas pessoas necessitadas sem ajuda e não poder fazer nada* gracas a Deus está dando certo hoje consigo ajudar os moradores da ocupação. mães gestantes* adolescentes carentes* moradores de situações de rua* entrega de enxoval para bebes* sou pessoa bem determinada a vencer</t>
  </si>
  <si>
    <t>Av. Alterosa</t>
  </si>
  <si>
    <t>Ressaca</t>
  </si>
  <si>
    <t>https://drive.google.com/open?id=1GyR81bknWt8oajozWNTUrLma3vUPQ8ul</t>
  </si>
  <si>
    <t>Nilma</t>
  </si>
  <si>
    <t>Rodrigues de oliveira</t>
  </si>
  <si>
    <t>34 988381933</t>
  </si>
  <si>
    <t>MG 2.108.264</t>
  </si>
  <si>
    <t>MINI BIO
Sou Nilma Rodrigues de Oliveira* filha de José Rodrigues Vieira e de Luzia da Silva Vieira* venho de uma família de quatro irmãos desde muito pequeno* me doía profundamente às necessidades básicas das pessoas em vulnerabilidade. O exemplo: aos oito anos no entorno de minha casa tinha um andarilho conhecido por Piruvira e desde que o vi pela primeira vez ele nunca mais sentiu fome ou frio meus pais sempre me permitiam dar a ele o necessário. Pedi ao Pe. Nilo Trabuquine que permitisse que ele dormisse dentro da igreja. Desde então me ingressei ao universo que me permite transformar vidas.
Formação: Normal Pedagógico e Administração de Empresas*  atuei como promotora de vendas por anos na Empresa Daya Internacional de Cosméticos até a aposentadoria.
Casei em 06 de maio de 1984 vivo um casamento de muita cumplicidade* amor e muita compreensão com minhas ausências (as vezes) por causa de meu trabalho. E uma parceria incondicional com a causa da ARUR. Como fruto do meu casamento tivemos apenas um filho* Daniel que me deu uma filha postiça - Kelly e uma belíssima neta – Emanuel.  Em resumo sou uma pessoa feliz* realizada e grata a DEUS pela vida que me proporciona*
Em 1994 já com sintomas de muitas dores (12 anos) conheci Dr. Roberto Ranza reumatologista que fez meu diagnóstico e iniciou meu tratamento. Ele me convidou para participar de um projeto para pessoas com doenças reumáticas que foi o divisor de águas  em minha vida.
No momento que encerrou o projeto não conseguia me ver ser o apoio e as terapias do projeto. Nasce então a ARUR em 23 de agosto de 1996 e um grande desejo que poder oferecer a mais pessoas os benefícios recebidos pelo projeto.
A ARUR É HOJE PARA MIM O PULSAR DE MEU CORAÇÃO  a cada olhar das pessoas atendidas e ou assistidas por nós enche meu coração de alegria e vontade de poder atender cada dia mais pessoas.
Esse é um breve resumo de minha vida. 
GRATIDÃO PELA VIDA.</t>
  </si>
  <si>
    <t>RUA ALFREDO MAXIMIANO ALVES</t>
  </si>
  <si>
    <t>Deficiência física</t>
  </si>
  <si>
    <t>http://linkedin.com/in/nilma-rodrigues-b1022a35</t>
  </si>
  <si>
    <t>https://instagram.com/arur.uberlandia?utm_medium=copy_link</t>
  </si>
  <si>
    <t>https://drive.google.com/open?id=1ZfaGtCC4qFo1os5_ixtgg4i1Gg3KwztB</t>
  </si>
  <si>
    <t>Pablo</t>
  </si>
  <si>
    <t>Leonardo gonçalves</t>
  </si>
  <si>
    <t>pablolgoncalves@gmail.com</t>
  </si>
  <si>
    <t>(31)98607-0400</t>
  </si>
  <si>
    <t>Pablo Leonardo Gonçalves, fundador do Instituto CL do Bem, da cidade de Conselheiro Lafaiete- MG. Jornalista, especialista em política de assistência social. Idade 42 anos, casado, pai de uma filha de 9 anos. 
Sonha em mudar o mundo a sua volta, tornar um local melhor. Propósito de vida: servir às famílias necessitadas.</t>
  </si>
  <si>
    <t>Eurides Gonçalves cunha</t>
  </si>
  <si>
    <t>https://instagram.com/pabllogoncallves?igshid=NDBlY2NjN2I=</t>
  </si>
  <si>
    <t>https://drive.google.com/open?id=16k1A_i-Qy-EFwPyOg-diBORfb3Z4WNPD</t>
  </si>
  <si>
    <t>Flávio da silveira</t>
  </si>
  <si>
    <t>rafaelflaviomkt@gmail.com</t>
  </si>
  <si>
    <t>(35)98815-5181</t>
  </si>
  <si>
    <t>Vice-presidente</t>
  </si>
  <si>
    <t>Rafael Flávio, 33 anos, morador de São Sebastião do Paraíso/MG e liderança há 10 anos na Casa São Francisco, tendo passado pela presidência, conselho fiscal e atualmente, na vice-presidência.
Graduação em Publicidade e Propaganda pela Universidade Metodista de São Paulo e atuando como analista de marketing no segmento tech e diretor de arte da agência de publicidade OC!.
Também é ex-coordenador da Escola do Legislativo da Câmara Municipal de São Sebastião do Paraíso e egresso do RenovaBR.</t>
  </si>
  <si>
    <t>Maria Abadia Amaral Malagutti</t>
  </si>
  <si>
    <t>https://www.linkedin.com/in/rafaelflavio/</t>
  </si>
  <si>
    <t>https://www.instagram.com/rafaelflavio/</t>
  </si>
  <si>
    <t>https://drive.google.com/open?id=1x-5P8-NoUm8KhCmYcXdVEIbb6LrsCS0Q</t>
  </si>
  <si>
    <t>Mendes marques</t>
  </si>
  <si>
    <t>20785134-6</t>
  </si>
  <si>
    <t>Rafael Mendes, 37 anos, nascido no Rio de Janeiro, atuou em projetos junto às comunidades carentes do Morro do Urubu e lixão de Gramacho. Atualmente, mora em Brasília e é coordenador do Chama Viva Missões Urbanas. Engajado em questões sociais e apaixonado por missões, atua como educador social, desenvolvendo trabalhos com a população de rua e atuando no combate à insegurança alimentar nas comunidades do DF.</t>
  </si>
  <si>
    <t>QNE</t>
  </si>
  <si>
    <t>Brasília (Distrito Federal)</t>
  </si>
  <si>
    <t>Taguatinga</t>
  </si>
  <si>
    <t>CLT, Desempregado</t>
  </si>
  <si>
    <t>https://www.instagram.com/rafaelmendescx/</t>
  </si>
  <si>
    <t>https://drive.google.com/open?id=1mGtZy48L_SOEgiifOFvGqZmBUKL8XHMB</t>
  </si>
  <si>
    <t>RONALDO</t>
  </si>
  <si>
    <t>Luiz de oliveira</t>
  </si>
  <si>
    <t>jeovajiredeliveryadm@gmail.com</t>
  </si>
  <si>
    <t>(31)98266-4571</t>
  </si>
  <si>
    <t>M 4 139716</t>
  </si>
  <si>
    <t>presidente</t>
  </si>
  <si>
    <t>Casado com Denise rodrigues farais de oliveira, pai de lucas rodrigues de oliveira, yuri icaro rodrigues de oliveira, Matheus felipe rodrigues de oliveira e Marcos  Gustavo rodrigues de oliveiras sou avo de Emanuell e julia sou motofrete e Pastor do ministerio casa de oraçao para todas as nacoes hoje sou lider  sicial pela gerando falcoes</t>
  </si>
  <si>
    <t>cerilo gaspar de araujo</t>
  </si>
  <si>
    <t>Belo horizonte</t>
  </si>
  <si>
    <t>aparecida 7 secao</t>
  </si>
  <si>
    <t>31250-130</t>
  </si>
  <si>
    <t>Ronaldoluizdeoliveiraoliveira</t>
  </si>
  <si>
    <t>https://drive.google.com/open?id=1sHEUX33s7RrZ0N0VAqDK0qgtfp3hLqEi</t>
  </si>
  <si>
    <t>Cardoso santos</t>
  </si>
  <si>
    <t>leandrocardosoibicarai@gmail.com</t>
  </si>
  <si>
    <t>Coordenador Pedagógico</t>
  </si>
  <si>
    <t>Bom, eu sou inquieto. Estudo Licenciatura em Matemática pela UFSB e Pedagogia pela Unifacs. Gosto de aprender coisas novas, de viajar... À frente do Instituto, cuido da parte pedagógica. Criação das oficinas, organização da papelada, cadastros, aulas. Faço tudo com muito gosto, pois gosto desta atuação.</t>
  </si>
  <si>
    <t>Avenida Itajuípe</t>
  </si>
  <si>
    <t>Apto</t>
  </si>
  <si>
    <t>45602-010</t>
  </si>
  <si>
    <t>@leocardz_</t>
  </si>
  <si>
    <t>https://drive.google.com/open?id=1aV0IOJ6qofcARetE6a3AsIvgakN2vOxw</t>
  </si>
  <si>
    <t>Leidejane</t>
  </si>
  <si>
    <t>Borges de oliveira</t>
  </si>
  <si>
    <t>leidejaneborges1@hotmail.com</t>
  </si>
  <si>
    <t>Trabalho com ação social desde os 15 anos* com foco principal na criança e no adolescente* mas o trabalho tem avançado para outras áreas.
Na área do empreendedorismo feminino e ações sociais nas ruas</t>
  </si>
  <si>
    <t>Fazenda Coutos</t>
  </si>
  <si>
    <t>https://www.instagram.com/leidedeolliveira/p/CU44lIIr6U-/?utm_medium=copy_link</t>
  </si>
  <si>
    <t>https://drive.google.com/open?id=1ZSlSagerjA3xR8idm_D1VKzx9b_GjtPR</t>
  </si>
  <si>
    <t>Leidiane</t>
  </si>
  <si>
    <t>Dos santos santos</t>
  </si>
  <si>
    <t>santosleid@gmail.com</t>
  </si>
  <si>
    <t>Comecei a fazer trabalhos por minha comunidade desde os 16 anos . Depois foi para a faculdade mas infelizmente não pude concluir . Em 2017  fundei o ProbemSalvador que é um espaço que cuida de crianças e adolescentes através da educação . Temos aula de inglês e espanhol * distribuição de cesta básica para as crianças e livros . Nos preocupamos muito com o futuro e sabemos que só através da educação teremos uma mudança verdadeira .Estamos com planos de colocar no ProbemSalvador um curso pré-vestibular * já temos alguns professores interessados em fazer parte desta corrente do bem . A luta não é fácil mas nos sentimos feliz em fazer a diferença na vida de uma criança e de sua família .</t>
  </si>
  <si>
    <t>Rua Joel Lopes</t>
  </si>
  <si>
    <t>Marechal Rondon</t>
  </si>
  <si>
    <t>Lí­via</t>
  </si>
  <si>
    <t>De oliveira martins</t>
  </si>
  <si>
    <t>livia.tropicus@gmail.com</t>
  </si>
  <si>
    <t>99001206914 SSP AL</t>
  </si>
  <si>
    <t>Alma sonhadora* incansável de espírito livre. Minha meta é realizar comunidades mais sustentáveis no Brasil* para todos. Possuo experiência em projetos* mentoria* pesquisa prática em arquitetura* urbanismo* interiores* design e canteiro de obras. Habilidades desenvolvidas em sustentabilidade no espaço habitado* análise bioclimática de edificações* design inovativo em habitação social saudável* urbanismo* edifícios eficientes e energia solar. Anseio tornar as cidades lugares melhores por meio de projetos estratégicos* com ciência* inovação e tecnologia das construções. Acredito no princípio de desenvolvimento em COMUNIDADES CONSCIENTES para diversidade e inovação. Conhecimento é poder e o poder deve estar na mão do povo.</t>
  </si>
  <si>
    <t>Doutorado</t>
  </si>
  <si>
    <t>Rua Djalma Mendonça</t>
  </si>
  <si>
    <t>Gruta de Lourdes</t>
  </si>
  <si>
    <t>https://www.linkedin.com/in/livia-martins-b908773b</t>
  </si>
  <si>
    <t>@martins.livinha</t>
  </si>
  <si>
    <t>https://drive.google.com/open?id=1Z0mMSgxXbPsaQicyZbFm562CaVblcVj8</t>
  </si>
  <si>
    <t>Lourival</t>
  </si>
  <si>
    <t>Xavier da silva neto</t>
  </si>
  <si>
    <t>netoperegrino2@gmail.com</t>
  </si>
  <si>
    <t>(82)9936-11510</t>
  </si>
  <si>
    <t>Sou o Neto o Peregrino. sou apaixonado por fazer o bem aquém mais precisar. Sou formando em desenvolvimento comunitário e Em pré-qualificação em agropecuária. E agora formado pela GF , em Empreendedorismo  Social.</t>
  </si>
  <si>
    <t>RUA PROFRESSOR ANTÔNIO FELIX DE JESUS</t>
  </si>
  <si>
    <t>ABAIXO DA PREFEITURA</t>
  </si>
  <si>
    <t>JUNQUEIRO</t>
  </si>
  <si>
    <t>https://www.instagram.com/p/Cfv9MSEOpXB/?igshid=YmMyMTA2M2Y=</t>
  </si>
  <si>
    <t>https://drive.google.com/open?id=1frMUwxJfV8frfnwKM00vkv__tHOXTxwO</t>
  </si>
  <si>
    <t>Lúcia</t>
  </si>
  <si>
    <t>Maria gomes mendes</t>
  </si>
  <si>
    <t>Somos uma junção de elos em prol de ajudar famílias e pessoas que vivem em situação de vulnerabilidade.</t>
  </si>
  <si>
    <t>Rua barra do São Francisco</t>
  </si>
  <si>
    <t>Mangabeira</t>
  </si>
  <si>
    <t>https://www.instagram.com/p/CYkbyTHO-84/?utm_medium=copy_link</t>
  </si>
  <si>
    <t>https://drive.google.com/open?id=1F9sDvK5LCJmzV7jAByB2ozTUF6Ir9316</t>
  </si>
  <si>
    <t>Lucilene</t>
  </si>
  <si>
    <t>Silva queiroz souza</t>
  </si>
  <si>
    <t>lucilenesqueiroz.souza@gmail.com</t>
  </si>
  <si>
    <t>07.643.004-90</t>
  </si>
  <si>
    <t>Lucilene* mulher parda* casada* mãe de 2 meninos lindos. Nascida na zona rural do município de Aratuípe Bahia. Filha de lavradores vim morar em Santo Antônio de Jesus aos 10 anos para iniciar meus estudos pois não tinha escola onde morava. Sou filha caçula* sendo a 18ª dos filhos de Miguel e Lídia. Formada em Administração pela Universidade do Estado da Bahia (UNEB)* fui a primeira da família a concluir o ensino superior.  Aos 17 anos comecei meu trabalho social  numa favela do município* atuando na orientação de meninas. Trabalho desde os 20 anos conciliando com os estudos. Meu esposo é Líder Social e fundador do GESCA a mais de 29 anos. A 15 anos casada* sempre colaborei no que pude com a OSC. Mas em 2015 meu esposo precisou se afastar da liderança do OSC e eu me envolvi mais diretamente. Sempre fui apaixonada por gente. Na minha profissão sempre trabalhei em setores que lidavam diretamente com público o que me ajudou a criar boas relações e a facilidade de lidar com o público. Fiz teatro 10 anos (dos 15 aos 25 anos) o que foi um divisor na minha vida porque me ajudou a  vencer mais a timidez. Canto em Coral desde os 15 anos daí a minha paixão por música e por canto coral. Me afastei do trabalho por 2 anos para me dedicar a causa social e aprender como trazer transformação para a OSC da qual sou voluntária. Tem sido um tempo extraordinário. É maravilhoso ajudar pessoas* colaborar com a transformação de jovens e ver meninos e meninas que começaram conosco* hoje* seguindo uma carreira e mudando a sua realidade. Tenho aprendido muito nesse tempo e a cada dia me descobrindo. Amo o que faço e faço e porque amo.</t>
  </si>
  <si>
    <t>Rua Cabo Luiz Cesar do Rosário</t>
  </si>
  <si>
    <t>https://www.instagram.com/lucilene_queiroz_adm/</t>
  </si>
  <si>
    <t>https://drive.google.com/open?id=1qzgzznhG6K-pdYKrLKhu5c4n9mzB-A6O</t>
  </si>
  <si>
    <t>Luzinete</t>
  </si>
  <si>
    <t>Conceição dos santos</t>
  </si>
  <si>
    <t>netymorena@hotmail.com</t>
  </si>
  <si>
    <t>Luzinete Conceição dos Santos* 44 anos* nascida e criada no Alto do Rosarinho* Cachoeira- Ba* formada em magistério pelo Colégio Estadual da Cachoeira* está atualmente como vice presidenta do Centro Comunitário do Rosarinho* organização criada por moradores* para a valorização e potencialização do bairro* bem como o seu desenvolvimento comunitário.
Como liderança no Cecor* tem coordenado e atuado nas principais atividades realizadas* como o Sopão comunitário* as ações para enfretamento da pandemia do Coronavírus* o Cineclubinho para crianças* o projeto para Horta Comunitária* o Molho Orgânico Cecor* dentre outros. Tem idealizado projetos comunitários que pautam a questão de gênero* a educação e o empreendedorismo</t>
  </si>
  <si>
    <t>Rua Tia Ciata</t>
  </si>
  <si>
    <t>Alto do Rosarinho</t>
  </si>
  <si>
    <t>https://www.instagram.com/netysantosoficial/</t>
  </si>
  <si>
    <t>https://drive.google.com/open?id=1xbChjiXENRjFS25V3LN4VmYDjHQSrQ1y</t>
  </si>
  <si>
    <t>Mirian</t>
  </si>
  <si>
    <t>Dos santos</t>
  </si>
  <si>
    <t>dossantosmirian286@gmail.com</t>
  </si>
  <si>
    <t>71 988035575</t>
  </si>
  <si>
    <t>Sou Mirian* professora de Educação física</t>
  </si>
  <si>
    <t>Rua Lellis Piedade 73</t>
  </si>
  <si>
    <t>Ribeira</t>
  </si>
  <si>
    <t>https://instagram.com/45preta?utm_medium=copy_link</t>
  </si>
  <si>
    <t>https://drive.google.com/open?id=1S6VzZQKAEYk_pZgPxr2xEelATWdRxCSl</t>
  </si>
  <si>
    <t>Natan</t>
  </si>
  <si>
    <t>Jesus da silva</t>
  </si>
  <si>
    <t>natan2.0@hotmail.com</t>
  </si>
  <si>
    <t>Presidente/ Coordenador Geral</t>
  </si>
  <si>
    <t>NatanSilva, tenho 27 anos, sou Educador e Assistente de Direção no CRIA - Centro de Referência Integral da Criança e do Adolescente e Presidente no CCM - Centro Cultural Mamulengo. Sou um jovem preto, favelado, nordestino, bissexual, artista, liderança na minha comunidade e referência para os meus.
 Em 2007, com 12 anos, iniciei a minha vida artística em uma oficina de confecção, manipulação e criação de roteiro de teatro de bonecos e acredito na arte educação como instrumento de transformação.</t>
  </si>
  <si>
    <t>Nova Brasília</t>
  </si>
  <si>
    <t>77 e</t>
  </si>
  <si>
    <t>40800-190</t>
  </si>
  <si>
    <t>https://www.instagram.com/p/CcOSQB3u0Ck/?igshid=YmMyMTA2M2Y=</t>
  </si>
  <si>
    <t>https://drive.google.com/open?id=1jMPZ7RlzVgImiEzhp5hDHIUgt5emWVj7</t>
  </si>
  <si>
    <t>Nathalha</t>
  </si>
  <si>
    <t>Regina cavalcante da silva</t>
  </si>
  <si>
    <t>nathalhacavalcante10@gmail.com</t>
  </si>
  <si>
    <t>Olá tudo bem? Me chamo Nathalha* tenho 24 anos* moro no interior de Alagoas* Boca da Mata* sou empreendedora atuou como cabeleireira* sou estudante de Letras* na Universidade Estadual de Alagoas* e sou a criadora do projeto Espalhe Cesta* tenho orgulho de quem estou me tornado e pretendo realizar muitas coisas* e ajudar muitas pessoas a terem uma vida melhor!</t>
  </si>
  <si>
    <t>Rua José leite da Silva</t>
  </si>
  <si>
    <t>https://www.instagram.com/invites/contact/?i=z1sxzp187jde&amp;utm_content=2o5t1df</t>
  </si>
  <si>
    <t>https://drive.google.com/open?id=1fmjbLoNoZml8MhtnTqIm3VE-kmmZM9yK</t>
  </si>
  <si>
    <t>Raquel</t>
  </si>
  <si>
    <t>Menezes maia</t>
  </si>
  <si>
    <t>Graduanda em Serviço Social – Ativista e mobilizadora social. Conselheira atuante no conselhos  municipais de Saúde * da Educaçãoe Igualdade Racial* também conselheira suplente do Conselho Tutelar de Lauro de Freitas . Idealizadora do NAC – Núcleo de Apoio a Comunidades* que atualmente  age nas comunidades e associações em conjunto com  agentes multiplicadores * movimentos  e outras  organizações voluntárias. Integra a  Rede de Mulheres Negras da Bahia. Desenvolve Negocios de impacto Social  / Economia Solidaria</t>
  </si>
  <si>
    <t>Rua Jorge Teles</t>
  </si>
  <si>
    <t>https://www.instagram.com/raquelmaia37/?hl=pt-br</t>
  </si>
  <si>
    <t>Jardel</t>
  </si>
  <si>
    <t>Da cunha silvestre</t>
  </si>
  <si>
    <t>jardelsilvestre775@gmail.com</t>
  </si>
  <si>
    <t>(85)98537-5401</t>
  </si>
  <si>
    <t>Me chamo Jardel da Cunha Silvestre filho da dona Luzia e Sr. Francisco , casado com a Veronizia pai do Elias do Filipe e do Tito, nascido em Fortaleza no estado do Ceara, aluno de escola publica criado com muito esforço consegui driblar todas as adversidades que tive na vida ,  fundador do Olhando pra Frente vi nesse projeto a oportunidade de transformar a garotada para que juntos possamos revolucionar a favela</t>
  </si>
  <si>
    <t>Missionário oliveira</t>
  </si>
  <si>
    <t>jangurussu</t>
  </si>
  <si>
    <t>60870-615</t>
  </si>
  <si>
    <t>https://www.instagram.com/invites/contact/?i=tg4haz6vs19d&amp;utm_content=nzp07bn</t>
  </si>
  <si>
    <t>https://drive.google.com/open?id=1g27pjYIo_MK59o7VBh2l5H5v3f3NZafM</t>
  </si>
  <si>
    <t>JOSE</t>
  </si>
  <si>
    <t>Eudes maciel mendonça junior</t>
  </si>
  <si>
    <t>(85)98535-0707</t>
  </si>
  <si>
    <t>Homem, transgênero</t>
  </si>
  <si>
    <t>Henrique rabelo</t>
  </si>
  <si>
    <t>fortaleza</t>
  </si>
  <si>
    <t>https://instagram.com/eudesjunioroficial?igshid=YmMyMTA2M2Y=</t>
  </si>
  <si>
    <t>https://drive.google.com/open?id=1CzKxzIX-HTAbUhwkS0GrOtuR1ZJm8WEj</t>
  </si>
  <si>
    <t>Wellington do nascimento coelho</t>
  </si>
  <si>
    <t>leletoalquimista@gmail.com</t>
  </si>
  <si>
    <t>Diretor Administrativo</t>
  </si>
  <si>
    <t>José Wellington, 28 anos, nasci na cidade de Monsenhor Tabosa/CE, no sertão cearense e participo da gestão do Instituto Padre Alcides Tres.
Minha trajetória no campo social começou na minha infância, quando fui assistido e acolhido pelo Padre Alcides Tres. Ele, como (mobilizador social), sempre inspirou a minha vida e hoje leva o nome da organização.
Através da convivência com ele, aprendi a mobilizar pessoas e desenvolver atividades voltadas para os cuidados com a vida.</t>
  </si>
  <si>
    <t>Rua Prof. Amsterdan Leitão Melo</t>
  </si>
  <si>
    <t>Carrapicho</t>
  </si>
  <si>
    <t>https://www.linkedin.com/in/wellington-nascimento-969a7234/</t>
  </si>
  <si>
    <t>https://www.instagram.com/leleto_alquimista/</t>
  </si>
  <si>
    <t>https://drive.google.com/open?id=1ivcu3DlTo3MRgE5wJUo_yLnaw5Ntu263</t>
  </si>
  <si>
    <t>Jozielda</t>
  </si>
  <si>
    <t>Carneiro do nascimento costa</t>
  </si>
  <si>
    <t>eldanascimento60@gmail.com</t>
  </si>
  <si>
    <t>(85)989718701</t>
  </si>
  <si>
    <t>Me chamo Jozielda carneiro*mais conhecida como Elda*Mãe esposa * Voluntária*Sou líder social e comunitária  há 10 anos*atuante em 2 comunidades de Fortaleza*que se situam em uma área de risco*Fundadora e líder do Instituto Ágape*o qual desenvolve e realiza serviços sociais*recreativos e esportivos*com crianças e suas famílias *em situações de vulnerabilidade*onde nosso maior.instuito é mudar a realidade e fazer parte da melhoria de nossas comunidade.</t>
  </si>
  <si>
    <t>Rua: Pedro Sampaio</t>
  </si>
  <si>
    <t>Jardim Guanabara</t>
  </si>
  <si>
    <t>60346-285</t>
  </si>
  <si>
    <t>https://instagram.com/elda.nascimento.7334?utm_medium=copy_link</t>
  </si>
  <si>
    <t>https://drive.google.com/open?id=1tc78ni2iSK-AiUVvkC_T-WDFjGeL4L9F</t>
  </si>
  <si>
    <t>Larissa</t>
  </si>
  <si>
    <t>Colins santos</t>
  </si>
  <si>
    <t>larissacolins23@gmail.com</t>
  </si>
  <si>
    <t>Meu nome é Larissa Colins Santos * tenho 29 anos sou nascida e criada na comunidade do Coroadinho*4° maior favela do país situada na cidade de São Luís no estado do Maranhão * sou formada em secretariado Executivo pela faculdade Pitágoras no Maranhão* tenho 4 irmãos* 5 sobrinhos e atualmente estou em um relacionamento sério .</t>
  </si>
  <si>
    <t>Rua da Felicidade</t>
  </si>
  <si>
    <t>https://www.instagram.com/p/CVO2cw2D7cS/?utm_medium=copy_link</t>
  </si>
  <si>
    <t>https://drive.google.com/open?id=1cpz2rPcnWbNs-8wibYDK4X6iIpgHF9j8</t>
  </si>
  <si>
    <t>Luan</t>
  </si>
  <si>
    <t>Nycollas martins da silva</t>
  </si>
  <si>
    <t>martinsnycollassilva@gmail.com</t>
  </si>
  <si>
    <t>Sou Luan Nycollas, moro em Fortaleza/Ce e atuo em uma ONG no Município de Caucaia. Sou pedagogo, tenho 27 anos e estou no social a 5 anos.</t>
  </si>
  <si>
    <t>Rua Felipe Fernandes Neto,</t>
  </si>
  <si>
    <t>60730-115</t>
  </si>
  <si>
    <t>https://www.instagram.com/luannykollas/</t>
  </si>
  <si>
    <t>https://drive.google.com/open?id=1PDBdoA9VRXagikCCnelIeRIk-bZ5ilTu</t>
  </si>
  <si>
    <t>Luana</t>
  </si>
  <si>
    <t>Mayara diniz pereira</t>
  </si>
  <si>
    <t>019016652001-5</t>
  </si>
  <si>
    <t>Luana Mayara Diniz Pereira* sou natural de São Luís -Maranhão. Filha de Maria Vitória Frazão e Luiz Carlos Silva* 35 anos. Pedagoga e Especialista em Educação Montessori (Educação Infantil) e proprietária do Centro de Apoio Pedagógico EducAÇÃO* licenciada pela Faculdade Santa Fé. Aqui no Centro de Apoio Pedagógico EducAÇÃO auxiliamos pedagogicamente alunos da comunidade e entorno com muito amor e dedicação ao ser humano e a educação.</t>
  </si>
  <si>
    <t>Rua Negro Cosme qdra 17</t>
  </si>
  <si>
    <t>Conjunto Maria Firmina 2</t>
  </si>
  <si>
    <t>https://www.instagram.com/invites/contact/?i=168a3n2tcdxzr&amp;utm_content=1bisy0m</t>
  </si>
  <si>
    <t>https://drive.google.com/open?id=1zA23spmbDGEXc6fhr2tPyMjgz7fY8Xzw</t>
  </si>
  <si>
    <t>Lucas</t>
  </si>
  <si>
    <t>Pinto alves</t>
  </si>
  <si>
    <t>lucas.pt.alves@gmail.com</t>
  </si>
  <si>
    <t>(85)99635-7677</t>
  </si>
  <si>
    <t>Fundador e CEO</t>
  </si>
  <si>
    <t>Sou da Terra da Luz, da Capital do Ceará, jovem periférico, sempre estiver nas lutas em defesa dos direitos humanos e buscando mais igualdade. Me chamo Lucas Alves, 24 anos, sou gay, cursando gastronomia, fundador  e CEO do Instituto S.O.S Periferia, sou ativista dos direitos humanos, fui membro do Conanda, ABMP e RENADE, e atualmente atuando com foco na gastronomia social e empreendedorismo social da população LGBT+ e territorial. Favela vai ser o centro da gastronomia social periférica.</t>
  </si>
  <si>
    <t>Bom Jardim</t>
  </si>
  <si>
    <t>60720-015</t>
  </si>
  <si>
    <t>MEI, Trabalho informal, Desempregado</t>
  </si>
  <si>
    <t>Frutos do Mar</t>
  </si>
  <si>
    <t>https://instagram.com/lucasalvesamr?igshid=YmMyMTA2M2Y=</t>
  </si>
  <si>
    <t>https://drive.google.com/open?id=10wSsTRFd-IIHQPHAx-AIJWrEVmPbOua8</t>
  </si>
  <si>
    <t>Lucyene</t>
  </si>
  <si>
    <t>Cruz costa</t>
  </si>
  <si>
    <t>lucyene.costa0206@gmail.com</t>
  </si>
  <si>
    <t>Sou filha* irmã* mãe solo* estudante de contabilidade e empregada em um escritório de advocacia, atual presidente do Instituto Batucando a Esperança* neste ano a instituição chega a marca de 5 anos.</t>
  </si>
  <si>
    <t>Avenida Sarney Filho</t>
  </si>
  <si>
    <t>Vila Palmeira</t>
  </si>
  <si>
    <t>65045-425</t>
  </si>
  <si>
    <t>https://www.linkedin.com/learning/</t>
  </si>
  <si>
    <t>https://instagram.com/_lucyenecosta?utm_medium=copy_link</t>
  </si>
  <si>
    <t>https://drive.google.com/open?id=1hTLSR6-GZo1Zve0K8rz16bx8eHgNOLiG</t>
  </si>
  <si>
    <t>De brito silva</t>
  </si>
  <si>
    <t>Lutar sempre</t>
  </si>
  <si>
    <t>Professora maria iracema lima paiva</t>
  </si>
  <si>
    <t>Novo parque iracema</t>
  </si>
  <si>
    <t>https://drive.google.com/open?id=1bQIsYyFNuqKx-ku43rDgtUKsF6ajDX9S</t>
  </si>
  <si>
    <t>MARCIO</t>
  </si>
  <si>
    <t>Silva felix</t>
  </si>
  <si>
    <t>marcio.felix1000@gmaiil.com</t>
  </si>
  <si>
    <t>Mim chamo marcio felix sou formado em pedagogia pela  UVA - Universidade Estadual Vale do Acaraú - Sobral/CE, educador social,promotor cultural onde milito por todas as areas da cultura desde a produção cultural, realização de eventos culturais participação em varios conselhos tanto estadual como municipal sou militante  da segurança alimentor e nutricional onde hoje faço parte de varios conselhos e lidero junto com minha diretoria e amigos a Associação Comunitaria Nossa Senhora do Carmo</t>
  </si>
  <si>
    <t>rua carlos gondim</t>
  </si>
  <si>
    <t>VIla Velha</t>
  </si>
  <si>
    <t>60347-066</t>
  </si>
  <si>
    <t>https://www.instagram.com/marciofelix2012/</t>
  </si>
  <si>
    <t>https://drive.google.com/open?id=1aVWsZuQKtwOb2equf8YECHz0D6mRdtSV</t>
  </si>
  <si>
    <t>Anna</t>
  </si>
  <si>
    <t>Carolina prado</t>
  </si>
  <si>
    <t>admannaprado@gmail.com</t>
  </si>
  <si>
    <t>MG8670725</t>
  </si>
  <si>
    <t>Tenho 37 anos* um filho e casada* mineira de Betim (ao lado de BH/). 
Atuando com Consultoria Organizacional e instrutora de cursos de qualificação  nas áreas de: Processos* Qualidade* Gestão de Pessoas e Atendimento ao cliente.
Especialista em Gestão da Saúde pelo Albert Einstein*  em Gestão de Negócios pela Fundação Dom Cabral e em Psicopedagogia Empresarial. Coach* Bacharel em Administração com ênfase em Recursos Humanos – CRA 38.345* Auditora líder em Gestão da Qualidade ISO9001:2015* certificado internacional (IRCA)  e Agente multiplicadora de treinamentos.
Experiência em atividades de implantação* certificação e manutenção de Sistema de Gestão Integrado (ISO 9001 e OHSAS 18001) e Programas de RH* Comunicação e Responsabilidade Social.
Coautora dos livros  #Eventos – gestão e produção (2015) e Gestão de Negócios da Prática (em andamento). Artigos no Portal dos Administradores.
Fundadora do Grupo Garra - Coaching para Mulheres.
Conteudista para cursos EAD e Videoaulas.
Atuação em vários projetos sociais desde 2008.</t>
  </si>
  <si>
    <t>RUA DISTRITO FEDERAL</t>
  </si>
  <si>
    <t>Niteroi</t>
  </si>
  <si>
    <t>32672-044</t>
  </si>
  <si>
    <t>https://www.linkedin.com/in/anna-carolina-prado</t>
  </si>
  <si>
    <t>https://drive.google.com/open?id=1kuKFqFzdXrEkPzUdcrBrkxyiRZSM9VWC</t>
  </si>
  <si>
    <t>Valdimar</t>
  </si>
  <si>
    <t>Do nascimento alves</t>
  </si>
  <si>
    <t>valdimara.cio@hotmail.com</t>
  </si>
  <si>
    <t>MG 6385552</t>
  </si>
  <si>
    <t>Natural da Cidade de Patis* Norte de Minas Gerais*  atualmente residente na cidade de Betim. 
No Centro Universitário Newton Paiva em 2010* concluiu o curso em Gestão da Tecnologia da Informação (TI) com ênfase em Gerenciamento* posteriormente em 2017* pelo Centro universitário Estácio cursou a Pós-graduação sustentabilidade de projetos sociais.
Atuou como coordenadora do projeto Cultural escola aberta * E.M. Edir Terezinha e no Projeto Vida e Verde .
Hoje tem uma ativação efetiva Coordenadora e gestora de captação e execução de projetos na Instituição* ONG Circo de Todo Mundo - Centro recreação de atendimento e defesa da criança e adolescente* unidade de Betim* também Coordenadora de Politicas Públicas pelo CMDCA - Conselho Municipal dos Direitos da Criança e do Adolescente de Betim. Faz parte da CMET–Comissão de erradicação do Trabalho Infantil.
No ano de 2020 ingressou como membro voluntario da RIEP-Radio internacional em português* onde atua na equipe de gestão .A radio de origem mineira* que atualmente está ganhando o mundo* a radio que fala a língua dos povos lusofônico.
Val Alves Betim - MG
Bio : alves__sevla</t>
  </si>
  <si>
    <t>Rua Marlene Fonseca dos Santos</t>
  </si>
  <si>
    <t>Guanabara</t>
  </si>
  <si>
    <t>http://linkedin.com/in/val-alves-10320833</t>
  </si>
  <si>
    <t>https://instagram.com/alves__sevla?utm_medium=copy_link</t>
  </si>
  <si>
    <t>https://drive.google.com/open?id=1znu1mzV1vrVerkb1oFzwn1-urt6xehFk</t>
  </si>
  <si>
    <t>Valdir</t>
  </si>
  <si>
    <t>Gonçalves brandão</t>
  </si>
  <si>
    <t>Sou Cristão, busco dentro da minha fé e convicção levar o conforto as pessoas que chegam até minha instituição, levando em consideração que todas as vidas importam.
Em minha vida sou aquele que vivenciou as dificuldades de viver em uma região
Onde tudo é mais difícil, onde as oportunidades chegam para poucos e onde crianças, jovens e adultos são adotados pelos vícios. Diante dessa situação me vi na responsabilidade de ser instrumento para o auxilio e resgate dessas pessoas.</t>
  </si>
  <si>
    <t>fazenda teiu</t>
  </si>
  <si>
    <t>teiu</t>
  </si>
  <si>
    <t>https://www.linkedin.com/in/valdir-brand%C3%A3o-50468b241/</t>
  </si>
  <si>
    <t>https://www.instagram.com/institutobrandao10/?hl=pt-br</t>
  </si>
  <si>
    <t>https://drive.google.com/open?id=10BU7j0TwYfVdCuljIv7JOKco0PI0iHne</t>
  </si>
  <si>
    <t>Victor</t>
  </si>
  <si>
    <t>Lima queiroz</t>
  </si>
  <si>
    <t>victorlqueiroz@gmail.com</t>
  </si>
  <si>
    <t>Founder/Diretor</t>
  </si>
  <si>
    <t>Profissional na área de TI
Iniciei estudos da aplicação de Tecnologia na Educação em 2007.
Realizo trabalho voluntário desde 1998.</t>
  </si>
  <si>
    <t>https://www.linkedin.com/in/victorlqueiroz/</t>
  </si>
  <si>
    <t>@victorlqueiroz</t>
  </si>
  <si>
    <t>https://drive.google.com/open?id=1V8Xk-XFQQ_K1xFlehXrJrg28hVTsJnLL</t>
  </si>
  <si>
    <t>Viviâne</t>
  </si>
  <si>
    <t>De almeida torres</t>
  </si>
  <si>
    <t>viviane.almeida.torres@gmail.com</t>
  </si>
  <si>
    <t>MG-13.803.914</t>
  </si>
  <si>
    <t>Me chamo Viviâne Tôrres sou Mestre em Sistemas de Informação e Gestão do Conhecimento pela FUMEC* finalizado em Agosto/2018. Sou pós-graduada em Gestão Estratégica de Pessoal pelo Senac – MG e graduada em Sistemas de Informação pela PUC – MG. Atuo na área de Tecnologia da Informação e sou fundadora do Projeto Flór de Lótus. Meu desejo é mais do que dar o peixe é ensinar a pescar. Tenho vontade de poder lecionar informática a comunidade que precisa de ajuda* além de proporcionar esportes* cultura* educação. É necessário dar oportunidades para que nosso público consiga seguir em frente  empoderados e mais preparados. Nesse momento devido a escassez de recursos damos o peixe (alimentos* higiene* limpeza) porque ninguém consegue seguir com fome* mas a ideia é ter a sede e preparar essas pessoas porque nossa ajuda possui tempo limitado com cada familia para que outra familia seja auxiliada. Espero com a ajuda de vocês* colocar minha cidade no mapa e preparar além de bons profissionais* cidadaos de bem. Raposos não é só enchente* droga e pequenez. Somos uma reserva natural linda* muitas cachoeiras* temos a 1ª Matriz de Minas Gerais* temos muita gente trabalhadora* ta faltando só uma oportunidade pra voarmos.</t>
  </si>
  <si>
    <t>Rua Padre Antônio Maria - Casa</t>
  </si>
  <si>
    <t>https://www.linkedin.com/in/viviane-de-almeida-torres-ti-projetos-processos-scrum-sistemas/</t>
  </si>
  <si>
    <t>https://drive.google.com/open?id=1z8C82dQUQ9psS2Z7HdHrjxfTSVZUvo5_</t>
  </si>
  <si>
    <t>Winy</t>
  </si>
  <si>
    <t>Da vitória fabiano de oliveira</t>
  </si>
  <si>
    <t>winyfabiano@gmail.com</t>
  </si>
  <si>
    <t>Sou Winy Fabiano* mulher* preta* gorda e favelada. Bacharel em Administração* CEO da Ubuntu Quitutes* Presidente do Coletivo Mulheres Unidas do Caratoira-MUCA. Atuo como educadora* produtora e ativista social/cultural.</t>
  </si>
  <si>
    <t>https://www.linkedin.com/in/winy-fabiano-42919b150</t>
  </si>
  <si>
    <t>https://instagram.com/winyfabiano?utm_medium=copy_link</t>
  </si>
  <si>
    <t>https://drive.google.com/open?id=19u1xJ430VJM_C9Dype5WgPDOC4E6t4bL</t>
  </si>
  <si>
    <t>ADONIRAN</t>
  </si>
  <si>
    <t>Paulino dos passos</t>
  </si>
  <si>
    <t>adoniran2007@gmail.com</t>
  </si>
  <si>
    <t>(81)99145-9515</t>
  </si>
  <si>
    <t>Vice presidente</t>
  </si>
  <si>
    <t>Mi chamo ADONIRAN sou casado a 15 anos tenho 2 filhos. E trabalho nessa obra social a 18 anos sou motorista de aplicativo e  faço trabalho social no bairro de jardim são Paulo e no sertão do estado de Pernambuco a 18 anos</t>
  </si>
  <si>
    <t>Rua jundiai</t>
  </si>
  <si>
    <t>Casa 04</t>
  </si>
  <si>
    <t>50790-010</t>
  </si>
  <si>
    <t>https://instagram.com/adoniranpaulinodospassos?utm_medium=copy_link</t>
  </si>
  <si>
    <t>https://drive.google.com/open?id=1iQQCVzJggVXX3WjPuawaZIkyknJcMq86</t>
  </si>
  <si>
    <t>Allana</t>
  </si>
  <si>
    <t>Tamires canuto gomes</t>
  </si>
  <si>
    <t>allana.tamires17@gmail.com</t>
  </si>
  <si>
    <t>https://www.linkedin.com/in/allana-tamires-canuto-428397197</t>
  </si>
  <si>
    <t>https://instagram.com/allana.tamires11?utm_medium=copy_link</t>
  </si>
  <si>
    <t>Amoary</t>
  </si>
  <si>
    <t>Yara garrett messeder</t>
  </si>
  <si>
    <t>amoarymesseder@gmail.com</t>
  </si>
  <si>
    <t>1.071.303 SDS PE</t>
  </si>
  <si>
    <t>Amoary Garrett Messeder psicóloga por formação.  Atuei durante 35 anos num Centro de Música vinculado ao Governo do estado de PE. Ha 8 anos trabalho com projetos sociais.</t>
  </si>
  <si>
    <t>Rua Barao de Souza Leao</t>
  </si>
  <si>
    <t>Boa Viagem</t>
  </si>
  <si>
    <t>https://drive.google.com/open?id=1TPFVdgUXsGQHE3Tpqse86yaLSrKNinGo</t>
  </si>
  <si>
    <t>ANGELO</t>
  </si>
  <si>
    <t>Magno alves da fonseca</t>
  </si>
  <si>
    <t>angelomagnopc@gmail.com</t>
  </si>
  <si>
    <t>Sou natural de Recife, casado, tenho a influencia e admiração muito grande pelo que minha mãe fez, iniciando seus negócios com a gastronomia quanto eu tinha 10 anos de idade. Desde então, vi que ali também seria onde eu ia me encontrar. Cursei o ensino superior em gastronomia, fiz pós, faço cursos de extensão, tudo para aprender cada vez mais. Hoje me sinto no dever de compartilhar o que aprendi e ajudar a mudar a vida de outras pessoas através da gastronomia, assim como aconteceu comigo.</t>
  </si>
  <si>
    <t>Jacó Velosino</t>
  </si>
  <si>
    <t>Apt 601</t>
  </si>
  <si>
    <t>Casa Forte</t>
  </si>
  <si>
    <t>52061-410</t>
  </si>
  <si>
    <t>MEI, Funcionário Público</t>
  </si>
  <si>
    <t>Angelo Magno</t>
  </si>
  <si>
    <t>@angelomagnochef</t>
  </si>
  <si>
    <t>https://drive.google.com/open?id=1x0gXBjk6O2tQpAF2s9iiugy7jdJpbruz</t>
  </si>
  <si>
    <t>CARLOS</t>
  </si>
  <si>
    <t>Gustavo do vale santos</t>
  </si>
  <si>
    <t>do.vale@yahoo.com.br</t>
  </si>
  <si>
    <t>Fundador</t>
  </si>
  <si>
    <t>Gustavo do Vale, 37 anos, administrador de empresas e fundador do Reintegra.</t>
  </si>
  <si>
    <t>Maria Carolina</t>
  </si>
  <si>
    <t>https://www.linkedin.com/in/gustavo-do-vale-68460148</t>
  </si>
  <si>
    <t>https://instagram.com/dovalinhoguga?igshid=YmMyMTA2M2Y=</t>
  </si>
  <si>
    <t>https://drive.google.com/open?id=18QyWMyBso5nKdaxJbjilalMMEEzZOq5C</t>
  </si>
  <si>
    <t>OZEIAS</t>
  </si>
  <si>
    <t>Paulo da silva</t>
  </si>
  <si>
    <t>ozeiaskf@gmail.com</t>
  </si>
  <si>
    <t>Me chamo Ozéias Paulo, tenho 38 anos, moro em Recife/PE. Iniciei como empreendedor
social desde os meus 14 anos de idade, formado em Gestão de Recursos Humanos, e Serviço Social, desenvolvei atividades com adolescentes e medidas socioeducativas (regime fechado) depois fui selecionando para ser Conselheiro Tutelar,  hoje tenho como inspiração, ver a felicidade dentro das pessoas.</t>
  </si>
  <si>
    <t>Rua Carlos Vanildo Pires</t>
  </si>
  <si>
    <t>Passarinho</t>
  </si>
  <si>
    <t>52390-020</t>
  </si>
  <si>
    <t>@ozeias.paulo</t>
  </si>
  <si>
    <t>https://drive.google.com/open?id=14lAcDOp8D9ZBiB2_Ko9Y99pH9wKQte0r</t>
  </si>
  <si>
    <t>Renata dos santos dias vitor</t>
  </si>
  <si>
    <t>prisciladiasvitor@gmail.com</t>
  </si>
  <si>
    <t>Gerente de projetos de impacto social na Verda e idealizadora do projeto Trazemos Sorrisos.</t>
  </si>
  <si>
    <t>Antônio Nogueira</t>
  </si>
  <si>
    <t>https://www.linkedin.com/in/priscila-dias-47560848/</t>
  </si>
  <si>
    <t>https://instagram.com/oxepriu?utm_medium=copy_link</t>
  </si>
  <si>
    <t>https://drive.google.com/open?id=1UJcE-m1s45fNOYMO2XmmNnYu24VyIOkE</t>
  </si>
  <si>
    <t>Renato</t>
  </si>
  <si>
    <t>Paulo dos santos</t>
  </si>
  <si>
    <t>santosrenato760@gmail.com</t>
  </si>
  <si>
    <t>(81)99674-4393</t>
  </si>
  <si>
    <t>Sou o significado do meu nome. Apaixonado pela minha cidade Caruaru. Workaholics por natureza. Pai de Laura e Théo. Casado com Taisa. Filho de pais separados. Criado por uma mulher analfabeta, que sabe todas as letras do mundo. Orgulhoso por tudo que desconstruir e construir. Enfim, Sou eu mesmo, mas sempre mudo.</t>
  </si>
  <si>
    <t>Rua Matias Sebastião de Ribeiro</t>
  </si>
  <si>
    <t>Riacho das Almas</t>
  </si>
  <si>
    <t>55000-120</t>
  </si>
  <si>
    <t>https://www.linkedin.com/in/renato-santos-ab7706197</t>
  </si>
  <si>
    <t>https://instagram.com/renators30?igshid=YmMyMTA2M2Y=</t>
  </si>
  <si>
    <t>https://drive.google.com/open?id=19UflmionzOOzm7lv8spKCJlvYGESwkja</t>
  </si>
  <si>
    <t>Roselene</t>
  </si>
  <si>
    <t>Maria de lima</t>
  </si>
  <si>
    <t>limaroselene170@gmail.com</t>
  </si>
  <si>
    <t>Roselene Maria de Lima* brasileira* acreana* 47 anos* católica praticante*  casada* mãe de 04 filhos e avó de 02 netos. Técnica em Agroecologia* Estudante de Gestão Pública* militante de Direitos Humanos* Diretora Executiva da Associação de Mulheres Negras do Acre e seus Apoiadores* Coordenadora de EPS da Cáritas da Diocese de Rio Branca* Conselheira do Conselho Municipal de Promoção da Igualdade Racial* Conselheira do Conselho Municipal dos Direitos da Mulher* Conselheira do Fórum Estadual de Saúde do Acre* Membro do GT MROSC/Ac.</t>
  </si>
  <si>
    <t>Estrada do São Francisco</t>
  </si>
  <si>
    <t>https://drive.google.com/open?id=1FZ---GTUeueSKfGN6xgMGrb5LUcOgZMA</t>
  </si>
  <si>
    <t>A santana</t>
  </si>
  <si>
    <t>rosangelaamancia@gmail.com</t>
  </si>
  <si>
    <t>13588080 74</t>
  </si>
  <si>
    <t>Sou casada a 16 anos* mãe de 2 filhos* a menina com 14 anos e um menino de 2 anos* trabalho a 7 anos* e me dedico a 3 e meio a área social* lançando campanha* arrecadando doações* cadastrando pessoas e distribuindo os resultados* sonho em trabalhar integralmente nos serviços sociais e assim aumentar os resultados.</t>
  </si>
  <si>
    <t>Sem número</t>
  </si>
  <si>
    <t>https://drive.google.com/open?id=1k6pus-pX8QhiqKifKij2u9gT5Ev_wDZC</t>
  </si>
  <si>
    <t>Tâmara</t>
  </si>
  <si>
    <t>Sales silva olivieri</t>
  </si>
  <si>
    <t>tamarassolivieri@gmail.com</t>
  </si>
  <si>
    <t>Olá sou Tâmara Olivieri tenho 35 anos sou filha de criação* sou mae de Ester que tem 17 anos*  moramos sozinhas* ao longo dos anos vem buscando essa independência de se manter* busco sempre o conhecimento ja fiz diversos cursos* manicure* depiladora* massoterapia* técnica em segurança do trabalho*  iniciei a faculdade de Engenharia de produção parei no 4 semestre* há dois anos assumir a presidência do projeto parceiros da alegria por entender que uma comunidade sofre por falta de conhecimento e oportunidades* atualmente sou autônoma trabalho com massoterapia buscando me tornar referencia em massoterapia clinica me aperfeiçoando em dores e assim consigo ter tempo para cuidar do projeto meus planos e fazer uma graduação de fisioterapia e ter meu espaço e assim ministrar cursos de massoterapia também no projeto  uma fonte de renda para as mulheres*</t>
  </si>
  <si>
    <t>Rua Engenheiro Gilson Almeida</t>
  </si>
  <si>
    <t>Abrantes</t>
  </si>
  <si>
    <t>42801-666</t>
  </si>
  <si>
    <t>@tamara.olivieri</t>
  </si>
  <si>
    <t>Tiberio</t>
  </si>
  <si>
    <t>Jorge da silva vera cruz</t>
  </si>
  <si>
    <t>diretoria@institutoamigosdasopa.org.br</t>
  </si>
  <si>
    <t>(82)99995-2020</t>
  </si>
  <si>
    <t>1.581641 SSPAL</t>
  </si>
  <si>
    <t>Tiberio Jorge, tenho 44anos,Crsitão, casado com Michelle, tenho dois filhos, Teógenes e Themístocles . Empreendedor Social. Busco Inovações e estou sempre me capacitando. Sempre  gostei da área de vendas e de fazer o social.  Com o tempo percebi que meu próposito de vida é ajuda pessoas em situação de vulnerabilidade social, desde  então ,dedico 100% do meu trabalho para ações de transformações de vida. A vinda da GF foi um divisor de águas na minha atuação no terceiro setor.</t>
  </si>
  <si>
    <t>QD C@</t>
  </si>
  <si>
    <t>Lotes 3 e 4</t>
  </si>
  <si>
    <t>57048-375</t>
  </si>
  <si>
    <t>TIBERIO JORGE</t>
  </si>
  <si>
    <t>TIBERIOJORGEE</t>
  </si>
  <si>
    <t>https://drive.google.com/open?id=1e6oD5vc4ixoG7hz-YfgqdJZURVbYIxSH</t>
  </si>
  <si>
    <t>Wanderson</t>
  </si>
  <si>
    <t>Aranda de melo valença silva</t>
  </si>
  <si>
    <t>wanderson@coneragir.org</t>
  </si>
  <si>
    <t>Diretor Executivo</t>
  </si>
  <si>
    <t>Empreendedor Social (Instituto Coneragir), Líder GEG em Maceió, Trainer  (certificado pelo Google), Psicólogo (UFAL), e Gestor de Projetos (MBA pela FGV). Executivo entusiasmado por desafios com mais de 25 anos de experiência no desenvolvimento de novos projetos em resposta às adversidades atuais. Utilizando como ferramenta chave a potencialização de pessoas no uso de novas tecnologias (TDIC) e no relacionamento interpessoal buscando maior interação entre os recursos humanos e tecnológicos.</t>
  </si>
  <si>
    <t>Rua Projetada 360</t>
  </si>
  <si>
    <t>Apto 102 - Ed. Tarrasa</t>
  </si>
  <si>
    <t>Feitosa</t>
  </si>
  <si>
    <t>57042-772</t>
  </si>
  <si>
    <t>MEI, Funcionário Público, Desempregado</t>
  </si>
  <si>
    <t>https://drive.google.com/open?id=1SxiKyqV2xOHzIIozN5Ma7V_EM0lvm5jn</t>
  </si>
  <si>
    <t>Weliton</t>
  </si>
  <si>
    <t>Simão da silva santos</t>
  </si>
  <si>
    <t>Nasci e creci na cidade de Roteiro Alagoas,  sempre estudei em escola pública e universidade pública, sou formando em Direito, casado, pai de 4 filhos desenvolvo projetos sociais desde 2008.</t>
  </si>
  <si>
    <t>Rua jõa pedro</t>
  </si>
  <si>
    <t>https://www.linkedin.com/in/welitonsimao/</t>
  </si>
  <si>
    <t>https://www.instagram.com/welitonssimao/</t>
  </si>
  <si>
    <t>https://drive.google.com/open?id=1BNEGMU58VHaM7IeFqqseoC18H8oKQ52q</t>
  </si>
  <si>
    <t>Alexsandro</t>
  </si>
  <si>
    <t>De jesus ferreira pereira</t>
  </si>
  <si>
    <t>andropereira2018@gmail.com</t>
  </si>
  <si>
    <t>É um jovem preto, favelado, morador da 4 maior favela do país, Polo Coroadinho, localizado em São Luís do Maranhão. Filho de agente de saúde Dica (grande lutadora dos movimentos sociais e na defesa do direito) com ambulante Cassiano. Hoje Engenheiro Civil pela faculdade Estácio, e atualmente presidente do instituto Dica Ferreira, na sua história de vida sempre esteve engajado nas atividades sociais, pois dentro de casa tinha uma professora militante para a vida, sua Mãe</t>
  </si>
  <si>
    <t>Rua Nossa Senhora da Guia</t>
  </si>
  <si>
    <t>65044-080</t>
  </si>
  <si>
    <t>https://www.instagram.com/alexsandro_pereira123/</t>
  </si>
  <si>
    <t>https://drive.google.com/open?id=1q-agZp08I5VaRJ1fzWpFPO5w-O5SGTix</t>
  </si>
  <si>
    <t>Neuza da silva ribeiro</t>
  </si>
  <si>
    <t>neuzagf2022@gmail.com</t>
  </si>
  <si>
    <t>36695495-4 SSP/MA</t>
  </si>
  <si>
    <t>Sou Pedagoga. especialista em Psicopedagogia* professora da Rede Pública Municipal* coordenando um projeto de Orientação Pedagógica para estudantes com Transtornos Específicos de Aprendizagem e faço parte da equipe do Instituto Mariana* fazendo articulação e mobilização de recursos. Sou umas da fundadora do Instituto* e gosto muito desse trabalho social.</t>
  </si>
  <si>
    <t>Unidade 203 Rua 09</t>
  </si>
  <si>
    <t>65058-163</t>
  </si>
  <si>
    <t>https://instagram.com/rneuzaribeiro?utm_medium=copy_link</t>
  </si>
  <si>
    <t>https://drive.google.com/open?id=1biw_yO1gJu4k-7U0RlhG0YCkMh8JKgvG</t>
  </si>
  <si>
    <t>Valdete lemos rodrigues</t>
  </si>
  <si>
    <t>dudalemosproducao@gmail.com</t>
  </si>
  <si>
    <t>Estudante do Curso de Bacharelado em Turismo do IFCE* Produtora Cultural atuante no mercado desde 2007 com expressiva experiência em festivais culturais. Vem dedicando-se desde 2019 a desenvolver projetos socioculturais  para a região dos Serões de Canindé onde reside atualmente. 
Em 2021 fundou a primeira biblioteca comunitária da cidade e coordena as ações do espaço. Tem se dedicado a aprender gestão e elaboração de projetos.</t>
  </si>
  <si>
    <t>Rua Antônio Santiago</t>
  </si>
  <si>
    <t>https://www.linkedin.com/in/duda-lemos-264ab4115/</t>
  </si>
  <si>
    <t>https://www.instagram.com/dudalemosce/</t>
  </si>
  <si>
    <t>https://drive.google.com/open?id=19YdOw9Sn-efnm--3BjtJ4miomfHQL2jt</t>
  </si>
  <si>
    <t>Meirivania</t>
  </si>
  <si>
    <t>Sá correia</t>
  </si>
  <si>
    <t>meirivaniasc@gmail.com</t>
  </si>
  <si>
    <t>Sou a Meire* 32 anos* formada em Letras e atualmente cursando Bacharelado em Biblioteconomia (UFMA). Natural de comunidade de remanescente quilombola no interior do meu Estado. Atuo em projetos sociais desde 2013* quando iniciei minha caminhada na Pastoral da Juventude e onde* desde então* tenho me dedicado a causa da defesa dos direitos humanos. Hoje sou voluntária na Rede de Bibliotecas Comunitárias de São Luís* como mediadora de Leitura. Me encontro desempregada* mas aventurando em um novo projeto de negócio na área de consultoria e escrita de projetos sociais para o 3º setor. Cofundadora e uma das coordenadoras* desde 2019* do Coletivo Mulheres Negras da Periferia* que tem trabalhado em prol da efetivação dos diretos das mulheres Negras Periféricas na Favela do Coroadinho* em São Luís.</t>
  </si>
  <si>
    <t>Rua Deputado Brayde</t>
  </si>
  <si>
    <t>Vila dos Nobres</t>
  </si>
  <si>
    <t>65044-817</t>
  </si>
  <si>
    <t>https://www.linkedin.com/in/meirivania-s%C3%A1-correia-54159b1b7/</t>
  </si>
  <si>
    <t>https://www.instagram.com/neggah_flor/</t>
  </si>
  <si>
    <t>https://drive.google.com/open?id=1iss5VPRxk2yMhdBiLeTmj31pbzJqI9qK</t>
  </si>
  <si>
    <t>Monalice</t>
  </si>
  <si>
    <t>Araújo batista fernandes</t>
  </si>
  <si>
    <t>iacceeditais@gmail.com</t>
  </si>
  <si>
    <t>stou à frente da instituição desde o ano de 2016* e desde então* tomei como missão a missão do próprio Instituto* que é a de promover a inclusão social e o desenvolvimento humano integral de pessoas em situação de vulnerabilidade social. Além disso* sou mulher e mãe e enfrento os desafios diários que surgem da tentativa de equilibrar e desenvolver bem esses três papéis. Antes de assumir a presidência do Instituto* atuei como estagiária em um escritório de contabilidade* onde pude conhecer um pouco sobre o terceiro setor. Nesse momento* auxiliando nas prestações de contas das atividades desenvolvidas pelas Organizações da Sociedade Civil – OSCs* me encantei pela possibilidade de atuar junto as comunidades* possibilitando aos moradores o acesso às políticas públicas existentes. O convite para a assumir a presidência do Instituto de Arte e Cidadania do Ceará – IAC-CE veio em seguida* e desde então venho buscado me qualificar* adentrar aos espaços de controle social (como conselhos municipais e estaduais) e conhecer melhor a comunidade em que o Instituto está inserido* tudo voltado para suprir a minha satisfação em atuar nesse setor* e principalmente em atender as necessidades das pessoas em situação de vulnerabilidade social.</t>
  </si>
  <si>
    <t>Rua George Correia Nunes</t>
  </si>
  <si>
    <t>Icaraí</t>
  </si>
  <si>
    <t>https://drive.google.com/open?id=1J_HSc8fdB1ONZwFRbb9iBarbUCwDhRQ8</t>
  </si>
  <si>
    <t>Narlize</t>
  </si>
  <si>
    <t>Costa fonseca</t>
  </si>
  <si>
    <t>narlize30@gmail.com</t>
  </si>
  <si>
    <t>Sou formada em Pedagogia a 10 anos* lecionei por 5 anos series inicias. Atuo como mediadora de leitura na Biblioteca Comunitária Semente Literária* da Rede Ilha Literária de São Luís (MA). Milito na área de políticas públicas para o livro no município de São Luís</t>
  </si>
  <si>
    <t>Rua Goverdanor Epitacio Cafeteira</t>
  </si>
  <si>
    <t>Vila dos Frades - Coradinho</t>
  </si>
  <si>
    <t>65044-030</t>
  </si>
  <si>
    <t>www.linkedin.com/in/narlize-costa-fonseca-0b78651b7</t>
  </si>
  <si>
    <t>https://www.instagram.com/narlizecf34/</t>
  </si>
  <si>
    <t>https://drive.google.com/open?id=1RwiVosia2vn_uvKa8peUmPVynYuF6tr8</t>
  </si>
  <si>
    <t>Natanael</t>
  </si>
  <si>
    <t>De souza ferreira</t>
  </si>
  <si>
    <t>natanaelcrieatividade@gmail.com</t>
  </si>
  <si>
    <t>(85)98945-9036</t>
  </si>
  <si>
    <t>Gestor</t>
  </si>
  <si>
    <t>Nascido e criado no grande Pirambu, uma das maiores e mais belas favelas do Ceará, como principais referencias mulheres e retirantes da seca que tanto devasta em muitos locais do nosso sertão e nordeste, tenho minhas avós como norteadoras no meu propósito como buscar transformar vidas por meio dos meus conhecimentos como profissional de educação física, especialista em gestão de projetos esportivos.</t>
  </si>
  <si>
    <t>rua:  três</t>
  </si>
  <si>
    <t>Altos</t>
  </si>
  <si>
    <t>60337-680</t>
  </si>
  <si>
    <t>https://instagram.com/nathancrieatividade?igshid=YmMyMTA2M2Y=</t>
  </si>
  <si>
    <t>https://drive.google.com/open?id=1k4BAIIeuXh31Ug0tfLxLra8vVJwPDPaq</t>
  </si>
  <si>
    <t>Paula</t>
  </si>
  <si>
    <t>Roberta nunes de oliveira</t>
  </si>
  <si>
    <t>GESTORA DA ASSOCIAÇÃO* LÍDER COMUNITÁRIA CARISMÁTICA  E EMPREENDEDORA.</t>
  </si>
  <si>
    <t>rua joao XXIII</t>
  </si>
  <si>
    <t>GRANJA PORTUGAL</t>
  </si>
  <si>
    <t>61661-180</t>
  </si>
  <si>
    <t>https://drive.google.com/open?id=10WaMBrY78SDtzY-BE0YNAB_tXY_R2-c1</t>
  </si>
  <si>
    <t>Mendes silva</t>
  </si>
  <si>
    <t>paulomenndessilva@gmail.com</t>
  </si>
  <si>
    <t>(88)99258-0676</t>
  </si>
  <si>
    <t>Diretor, Líder Social</t>
  </si>
  <si>
    <t>Amarela</t>
  </si>
  <si>
    <t>Sou Paulo Mendes, tenho 25 anos, sou um cara extremamente sorridente, vibrante e apaixonando pelas pessoas e por minha cidade.</t>
  </si>
  <si>
    <t>Alípio Oliveira</t>
  </si>
  <si>
    <t>Alto Santo</t>
  </si>
  <si>
    <t>Alipios</t>
  </si>
  <si>
    <t>https://instagram.com/paulomenndessilva?igshid=YmMyMTA2M2Y=</t>
  </si>
  <si>
    <t>https://drive.google.com/open?id=11xStfQIHOB1A876zLCWO3380K6HrIHbA</t>
  </si>
  <si>
    <t>Araripe da silva</t>
  </si>
  <si>
    <t>rafaelararipesilva@gmail.com</t>
  </si>
  <si>
    <t>Prefiro não declarar</t>
  </si>
  <si>
    <t>Tenho 29 anos, estou formando em Tecnólogo em Gestão Pública, natural de Fortaleza, moro no bairro Moura Brasil, o bairro com menor IDH da cidade, onde também é sediada a conhecida como "cracolândia" de Fortaleza. Comecei a fazer trabalho social desde 2012 na comunidade onde acabei expandindo para outros bairros da cidade.</t>
  </si>
  <si>
    <t>https://www.instagram.com/rafaels085/</t>
  </si>
  <si>
    <t>https://drive.google.com/open?id=1WU3jsP8P0IRYoVnD3lbFyEmSuqkcsGfn</t>
  </si>
  <si>
    <t>RAIMUNDO</t>
  </si>
  <si>
    <t>Inaldo alves araújo</t>
  </si>
  <si>
    <t>inaldoaraujomv@gmail.com</t>
  </si>
  <si>
    <t>Gestor Social</t>
  </si>
  <si>
    <t>Inaldo Araújo moro em Missão Velha, interior do Estado do Ceará, Região do Cariri. Sou formado em História, Atuo numa OSC chamada União Popular Pela Vida há 20 anos, atualmente estou na Gestão Social.</t>
  </si>
  <si>
    <t>Não Possui</t>
  </si>
  <si>
    <t>https://www.instagram.com/ojuara_ray/</t>
  </si>
  <si>
    <t>https://drive.google.com/open?id=1t8zCL03Ok-o5KYpuE57w336L1-IheByt</t>
  </si>
  <si>
    <t>Renata</t>
  </si>
  <si>
    <t>Alves dos santos bandeira</t>
  </si>
  <si>
    <t>ciroerenata@yahoo.com.br</t>
  </si>
  <si>
    <t>Me chamo Renata* nasce no dia 18 de março de 1982 na cidade de Fortaleza do estado de Ceará* sou casada com o Ciro e  tenho dois filho um de 12 anos Pedro Enrique que é Autista e o João Nicolas de 04 anos* moro no bairro de vila velha* trabalho desde de adolescente* porque o meu pai saiu de casa e como me mãe não trabalhava tinha que sustentar a casa* terminei o meu ensino médio mas não cursei faculdade porque tinha que trabalhar* sempre ajudei a minha mãe na Associação e fui tomando gosto de ajudar as pessoas e ficava muito feliz com o sorriso no rosto de cada um* principalmente das Idosas e crianças* casei e me afastei o pouco das atividades* trabalhei por 16 anos na empresa Etufor de Fiscal de ônibus e também no monitoramento das linhas* e no momento estou sem trabalhar de carteira assinada* mas trabalhando muito na Associação desde de 2020 e feliz demais por continuar o trabalho que iníciou com a minha mãe.</t>
  </si>
  <si>
    <t>Rua A</t>
  </si>
  <si>
    <t>Vila Velha IV</t>
  </si>
  <si>
    <t>https://instagram.com/renatapedroenrique?utm_medium=copy_link</t>
  </si>
  <si>
    <t>https://drive.google.com/open?id=15c1bR3HiBBg2Wkn7JBWmEREMXW6zN9Vw</t>
  </si>
  <si>
    <t>Silva guedes</t>
  </si>
  <si>
    <t>brunasguedes@gmail.com</t>
  </si>
  <si>
    <t>31 99264-2513</t>
  </si>
  <si>
    <t>MG- 11.636.649</t>
  </si>
  <si>
    <t>Olá!!! Me chamo Bruna* bacharel em Educação Física e uma apaixonada por tênis e tênis em cadeira de rodas. A paixão é tanta que hoje é minha profissão.  
Amo ler* juntar os amigos e viajar!!!</t>
  </si>
  <si>
    <t>Rua Camapuan</t>
  </si>
  <si>
    <t>183 - apartamento 04</t>
  </si>
  <si>
    <t>Alto Barroca</t>
  </si>
  <si>
    <t>30431-035</t>
  </si>
  <si>
    <t>https://www.instagram.com/brunasguedes/</t>
  </si>
  <si>
    <t>https://drive.google.com/open?id=1S2ToFED9nE09Ebig4UTkVvtoROWPtlrm</t>
  </si>
  <si>
    <t>Carmen</t>
  </si>
  <si>
    <t>Lúcia werneck</t>
  </si>
  <si>
    <t>carmemwerneck@gmail.com</t>
  </si>
  <si>
    <t>MG2875013</t>
  </si>
  <si>
    <t>Sou professora aposentada de biologia e participo do Instituto Socioambiental das Vertentes desde 2007. Atualmente sou palhaça* e também faço atendimento com ervas medicinais. Sou voluntária na Ong. Tenho 58 anos.</t>
  </si>
  <si>
    <t>Rua Professor Carlos Benjamin Gonçalves</t>
  </si>
  <si>
    <t>https://drive.google.com/open?id=1A1WYn7I1puNFY3N4w95Q2A0QefR_cIsm</t>
  </si>
  <si>
    <t>Regina da conceição de alencar</t>
  </si>
  <si>
    <t>61 992924392</t>
  </si>
  <si>
    <t>Agente cultural e social* produtora de eventos* cantora Rap e funk.</t>
  </si>
  <si>
    <t>Shsn 16 quadra 2 conjunto a casa 31</t>
  </si>
  <si>
    <t>https://www.instagram.com/mcdeboraglamurosaoficial</t>
  </si>
  <si>
    <t>https://drive.google.com/open?id=1VX6LjY5bCPKPIxMwfEjNXPk0_7w7ifIF</t>
  </si>
  <si>
    <t>Denise</t>
  </si>
  <si>
    <t>Burjack da silva de sousa</t>
  </si>
  <si>
    <t>deniseburjack7@gmail.com</t>
  </si>
  <si>
    <t>Meu nome é Denise Burjack* tenho 37 anos de idade* sou casada há 20 anos com Martim Neto* deste casamento temos duas filhas chamadas Maria Eduarda (18 anos) e Maria Clara (13 anos)* atualmente sou estudante de Pedagogia e cristã a mais de 30 anos. Trabalho com projeto social há 10 anos* cuidando de crianças da comunidade e acompanhando suas famílias* com o aumento das demandas foi criado o Instituto Antônio Coelho de Castro* o qual atualmente está sobre minha liderança.</t>
  </si>
  <si>
    <t>Quadra 1306 sul alameda 04 Qi 11 Lote 11</t>
  </si>
  <si>
    <t>N 11</t>
  </si>
  <si>
    <t>https://www.instagram.com/deniseburjack/</t>
  </si>
  <si>
    <t>https://drive.google.com/open?id=1yhjmJSHKLHQ69HPnEz6-zTM0xr_bhItu</t>
  </si>
  <si>
    <t>Modesto de a junior</t>
  </si>
  <si>
    <t>(69)99957-1800</t>
  </si>
  <si>
    <t>Formado em Comunicação e Mestre Cultura e Doutor em Políticas Públicas, desenvolve projetos Sociais no Iraque, Egito, Africa, Peru e Brasil. Atualmente é Presidente do Instituto KALEO e CEO da primeira Escola de Empreendedorismo Social da região Norte do Brasil.</t>
  </si>
  <si>
    <t>Pós-Doutorado</t>
  </si>
  <si>
    <t>Menezes FIlho</t>
  </si>
  <si>
    <t>Ji-Parana</t>
  </si>
  <si>
    <t>Jd dos Migrantes</t>
  </si>
  <si>
    <t>76900-791</t>
  </si>
  <si>
    <t>https://www.linkedin.com/in/e-modesto-jr-9b08a979/</t>
  </si>
  <si>
    <t>@profmodestojr</t>
  </si>
  <si>
    <t>https://drive.google.com/open?id=1S24f8Tf281yIwIDOzDGY9GqFv7Sug8wx</t>
  </si>
  <si>
    <t>ELVES</t>
  </si>
  <si>
    <t>Dias dos santos carvalho</t>
  </si>
  <si>
    <t>elvesc682@gmail.com</t>
  </si>
  <si>
    <t>(77)99977-6214</t>
  </si>
  <si>
    <t>PRESIDENTE</t>
  </si>
  <si>
    <t>Sou Elves Carvalho, nasci no Quilombo Tome Nunes as margens do rio São Francisco , no município de Malhada , estado da Bahia . Cheguei em Santa Luzia com 21 anos , para jogar no Clube de Futebol União Luziense , e com termino do campeonato , fiquei sem ter onde ir e se perspectiva nenhuma de vida , e com vergonha de voltar para casa dos meus pais , resolvi ficar e enfrentei muitas dificuldades na vida.</t>
  </si>
  <si>
    <t>RUA PORTO ALEGRE</t>
  </si>
  <si>
    <t>CARINHANHA</t>
  </si>
  <si>
    <t>SAO FRANCISCO</t>
  </si>
  <si>
    <t>46445-000</t>
  </si>
  <si>
    <t>https://drive.google.com/open?id=1MMXWQerkqwsIAZAz8dY_kaKkI4sXGc3s</t>
  </si>
  <si>
    <t>Flaviane</t>
  </si>
  <si>
    <t>Vieira de oliveira mendonça</t>
  </si>
  <si>
    <t>flavianevo@gmail.com</t>
  </si>
  <si>
    <t>MG13.208.499</t>
  </si>
  <si>
    <t>Flaviane Vieira nascida em Caratinga-MG no dia 10 de agosto de 1981.Sou a segunda filha de uma família de 3 irmãos* filha de João Vieira Levino (falecido) e Maria Julia de Oliveira Vieira uma família simples que sempre nos ensinou a Amar o próximo como a si mesmo* Casada com Luciano Alves Mendonça a 16 anos tendo uma filha Anna Laura de 13 anos. Ainda na juventude fui líder em vários conselhos estudantis sempre a frente liderando.Com muitas dificuldades após o termino do ensino médio tentei me engreçar na faculdade publica como não tinha muitas condições mas infelizmente não consegui assim fiz a faculdade de Pedagogia na Faculdade Unopar*finalizando fiz uma Pós em Pedagogia Social para atender melhor a nossa comunidade.Sempre me tornando uma liderança na minha comunidade assim fui presidente da Associação dos Moradores do Bairro Alvorada por 2 mandatos após finalizei e estava só com minhas ajudas ao próximo junto da minha família mas a comunidade sempre pedindo para voltar a ser a presidente do bairro* então agora em 2021 voltei a ser presidente do bairro onde temos muitas dificuldades após a pandemia com varias famílias passando por dificuldades financeiras e fome* então me vi que precisava estar mas atuante no momento para dar continuidade ao atendimento as famílias mais necessitadas. Assim me tornando exemplo para muitas mulheres e a toda a comunidade.</t>
  </si>
  <si>
    <t>Rua José Jorge Lemes</t>
  </si>
  <si>
    <t>https://drive.google.com/open?id=16Rwt9yHGLKMghRSy-Z73wPESlShzmg-a</t>
  </si>
  <si>
    <t>Galileu</t>
  </si>
  <si>
    <t>Paolo paiva</t>
  </si>
  <si>
    <t>galileupaolo@gmail.com</t>
  </si>
  <si>
    <t>Tenho 44 anos, 40 dedicados ao judo. Meu pai é professor de judo e foi com esse esporte e seus valores que formou a nossa família. Nunca passei dificuldades na vida, ao contrário dos meus pais que tiveram uma vida bem difícil. Sou formado em Direito, pós graduado em Direito Esportivo e em Judo. Fiz do judo tanto meu meio de vida quanto objetivo. Sendo esse esporte considerado pela Unesco o mais indicado a crianças e jovens levar a quem mais precisa se tornou a minha missão.</t>
  </si>
  <si>
    <t>Rua Anapurus</t>
  </si>
  <si>
    <t>31980-210</t>
  </si>
  <si>
    <t>@galileupaolo</t>
  </si>
  <si>
    <t>https://drive.google.com/open?id=1geGnNoeXC6rPFvARIRkb6yEE_z2Vkmti</t>
  </si>
  <si>
    <t>Hans</t>
  </si>
  <si>
    <t>Henrique da silva mendonça</t>
  </si>
  <si>
    <t>7geracoes@gmail.com</t>
  </si>
  <si>
    <t>Gerente Executivo</t>
  </si>
  <si>
    <t>Um sonhador com os pés no chão. Alguém que acredita que precisa pensar e discutir ideias macro e agir de modo efetivo localmente. ossui graduação em filosofia pela Faculdade São Luiz. Pós-Graduado em Psicologia e Orientação Profissional pela Uniara. Mestre em Educação pela UFLA. Atualmente é Gerente Executivo do Instituto 7 Gerações, integra o Conselho Deliberativo da Fundação Padre Dehon e é membro do Conselho Municipal do Direito da Criança e do Adolescente.</t>
  </si>
  <si>
    <t>Rua José Moreira</t>
  </si>
  <si>
    <t>37200-088</t>
  </si>
  <si>
    <t>https://www.linkedin.com/in/hans-henrique-s-mendon%C3%A7a-128589169/</t>
  </si>
  <si>
    <t>@hansmendonca</t>
  </si>
  <si>
    <t>https://drive.google.com/open?id=13Jl-sDSLcfJIM7cLtRIL1m6N0RK0Ihi4</t>
  </si>
  <si>
    <t>Iara</t>
  </si>
  <si>
    <t>Aparecida ferreira</t>
  </si>
  <si>
    <t>iaraaparecidaferreiraferreira@gmail.com</t>
  </si>
  <si>
    <t>MG 5-309570</t>
  </si>
  <si>
    <t>Iara Aparecida Ferreira é de Uberlândia* casada 35 anos com Malaquias-Preto* mãe de 3 filhos e avó de 7 netos* Com formação acadêmica em Serviço Social. Entre dezenas de cursos* destacam-se: Formação em políticas públicas* formação em gestão cultural* intercâmbio cultural do carnaval do Rio de Janeiro* III conferência Internacional do centro de estudos das culturas e línguas africanas e da Diáspora Negra* vários certificados de trabalhos comunitários* participação em seminários como: 5ª bienal de Arte Ciência e Cultura da UNE RJ. Encontro no Itamaraty de intercâmbio cultural internacional
Fundadora e coordenadora do terno de congado “Moçambique Estrela Guia” (2002)* Em 2004* recebeu um dos maiores prêmios da cultura: “O Prêmio Grande Otelo de cultura* por serviços sócio-cultural e educativo através da congada* incentivando a cultura e qualificando jovens e adultos para o mercado de trabalho* através da dança* teatro* música* artesanato e conhecimento geral da arte e cultura afro-brasileira. Fundadora do projeto Pró-mirim Estrela Guia do Amanhã.</t>
  </si>
  <si>
    <t>Rua América Viana</t>
  </si>
  <si>
    <t>https://www.linkedin.com/in/iara-preto-57132b26/</t>
  </si>
  <si>
    <t>https://www.facebook.com/iara.a.ferreira</t>
  </si>
  <si>
    <t>https://drive.google.com/open?id=1OTsLXl7ofPhXYPGJRA87hbhO5k-y0x0O</t>
  </si>
  <si>
    <t>Ivone</t>
  </si>
  <si>
    <t>Fernandes gazola aguiar</t>
  </si>
  <si>
    <t>ivonegazola.brasil@gmail.com</t>
  </si>
  <si>
    <t>1428361 SSP/DF</t>
  </si>
  <si>
    <t>Rod.DF180 Km04 Cond. Quintas do Amarante Qd:F</t>
  </si>
  <si>
    <t>Lote: 06</t>
  </si>
  <si>
    <t>https://drive.google.com/open?id=1-F6DLr7us5GRV_SVtImILAcN3s5KDwXe</t>
  </si>
  <si>
    <t>João</t>
  </si>
  <si>
    <t>Paulo rocha camargo</t>
  </si>
  <si>
    <t>joaopaulo.camargo@educacaoparaaliberdade.org</t>
  </si>
  <si>
    <t>(27)99757-0324</t>
  </si>
  <si>
    <t>Fundador e CEO (EPL)
Designer de Processos de Grupo
Facilitador Virtual
Líder (Gerando Falcões)
Diretor de Vendas e de Progr. Educacionais
Bacharel em Engenharia Civil (UFES)</t>
  </si>
  <si>
    <t>Rua Romão Gomes</t>
  </si>
  <si>
    <t>Butantã</t>
  </si>
  <si>
    <t>05502-030</t>
  </si>
  <si>
    <t>https://www.linkedin.com/in/joaopaulorochacamargo/</t>
  </si>
  <si>
    <t>https://www.instagram.com/joaopaulo_epl/</t>
  </si>
  <si>
    <t>https://drive.google.com/open?id=1t3zPR_a3R-ua7g9dt25GEXxHgrF0s7Zg</t>
  </si>
  <si>
    <t>Wilker</t>
  </si>
  <si>
    <t>Kildery costa de almeida</t>
  </si>
  <si>
    <t>pr.kildery@gmail.com</t>
  </si>
  <si>
    <t>(85)98869-4562</t>
  </si>
  <si>
    <t>Wilker Kildery Costa de Almeida, nasceu no dia 07 de junho de 1977, na cidade de Fortaleza, estado do Ceará. Filho de Estenio Rodrigues de Almeida (Motorista e vendedor) e Maria Aleide Costa de Almeida, cuja a profissão de educadora (pedagoga), me inspirou a herdar de sua vocação o tino para a Educação. Me formei em Pedagogia pela Universidade Estadual Vale do Acaraú - UVA, onde descobri a importância de ser uma pessoa não somente influente, mas também relevante nessa geração.</t>
  </si>
  <si>
    <t>Rua 24 (Cj dos Bancários)</t>
  </si>
  <si>
    <t>60348-450</t>
  </si>
  <si>
    <t>@pr.wil.kildery</t>
  </si>
  <si>
    <t>https://drive.google.com/open?id=17ivgFZ9xSNJPixxu1U3-S3ySmpIEbZ1O</t>
  </si>
  <si>
    <t>Claudionora</t>
  </si>
  <si>
    <t>Da silva ferreira</t>
  </si>
  <si>
    <t>jhupriscila@gmail.com</t>
  </si>
  <si>
    <t>Me chamo Claudionora* sou casada* tenho 03 filhas e 03 netos* minha família é a minha base* sou formada em serviço social e sou conselheira tutelar* desde nova sempre gostei de ajudar as pessoas* começando pela minha família trabalhando cedo para dar sustento as minhas irmãs e ajudar minha mãe* pretendo seguir meu caminho ajudando sempre no que eu puder aqueles que mais necessitam.</t>
  </si>
  <si>
    <t>Rua Cantora Clara Nunes</t>
  </si>
  <si>
    <t>01 quadra c</t>
  </si>
  <si>
    <t>https://www.instagram.com/kalferreira.71/</t>
  </si>
  <si>
    <t>https://drive.google.com/open?id=1D708KwqVGxig8Gfxl13p7CByiPULx5Gp</t>
  </si>
  <si>
    <t>Beserra durey</t>
  </si>
  <si>
    <t>dbdurey@gmail.com</t>
  </si>
  <si>
    <t>001139084 SSP/MS</t>
  </si>
  <si>
    <t>Me chamo Denise Beserra Durey* tenho 41 anos. De família Pernambucana* me reconheço privilegiada pois meus pais tiveram a oportunidade de priorizar meus estudos. Tenho a constante inquietação de não passar nula pelo mundo e procuro viver de modo a dar resposta a esta inquietação em todos os campos de minha vida. Na vida profissional* enquanto Arquiteta por formação*  me questionei em determinado momento sobre como poderia dar resposta e ser agente para a redução de desigualdades na minha cidade. A partir disso fundei a Dona Obra* que promove Moradia Digna na cidade do Recife a partir de reformas habitacionais para a população das classes C* D e E.</t>
  </si>
  <si>
    <t>Rua Pedro Bérgamo</t>
  </si>
  <si>
    <t>51021-320</t>
  </si>
  <si>
    <t>https://drive.google.com/open?id=18vDNDXgu1PuyjaitqGLkP_4VMAAPSlX-</t>
  </si>
  <si>
    <t>Derineudo</t>
  </si>
  <si>
    <t>De souza dos santos</t>
  </si>
  <si>
    <t>souzaderineudo@gmail.com</t>
  </si>
  <si>
    <t>Chamo-me Derineudo de Souza dos Santos, tenho 36 anos, sou casado e tenho um filho. Sou policial militar e presidente da Associação Música Amigos Solidários. Nossa instituição atende mais de 850 jovens da capital, em diversos bairros periféricos, com aulas de música, ballet, futsal, atletismo, ginástica rítmica e informática.</t>
  </si>
  <si>
    <t>N2</t>
  </si>
  <si>
    <t>69919-817</t>
  </si>
  <si>
    <t>https://instagram.com/derineudo?igshid=YmMyMTA2M2Y=</t>
  </si>
  <si>
    <t>https://drive.google.com/open?id=1krRXhYM_OgGPfYWbO4IhS1o96TfQ-GP8</t>
  </si>
  <si>
    <t>Eliane</t>
  </si>
  <si>
    <t>Rodrigues de andrade ferreira</t>
  </si>
  <si>
    <t>elirodriguesandrade@outlook.com.br</t>
  </si>
  <si>
    <t>1.329.680 SDS</t>
  </si>
  <si>
    <t>Eliane Rodrigues* casada* 64 anos* professora de formação* educadora social por opção* militante das causas sociais e das mulheres. Comecei minha  vida profissional aos 14 anos de idade* em 1972*  como voluntária do Sindicato dos Trabalhadores Rurais de Nazaré da Mata* Tracunhaém e Buenos Aires - PE* coordenando o Grupo Jovem. 
Aos 16 anos tive minha CTPS* assinada e em 1988* idealizei  e fundei  a Associação das Mulheres de Nazaré da Mata* primeira instituição da Mata Norte do Estado de Pernambuco* a  trabalhar o Protagonismo e o Enfrentamento da Violência Doméstica e Familiar de mulheres urbanas e rurais. 
Na Amunam* implantei  vários projetos voltados para o empoderamento feminino* com formação e cursos para autonomia financeira.
Para  as  crianças e adolescentes* atividades complementares à escola( educação ambiental* leitura* sexualidade* cidadania...)
Para os jovens* cursos de Preparatório para Enem* Concursos e Mercado de Trabalho. Também implantei a unica Rádio Comunitária do Municipio* concessionada pelo Ministério das Comunicações* gerida por mulheres.
Na Cultura criamos o  Maracatu Feminino de  Baque Solto Coração Nazareno* o unico do mundo* também o Grupo Cultural Flores do Coco e a Ciranda Flores da Amunam.
Também no social* realizamos o casamento comunitário* para os casais que não tem condições de arcar com as despesas do casamento civil. 
Nesses 34 anos* já deixamos nossa marca em 53 municipios do Estado de Pernambuco.
É salutar informar que todas as atividades são gratuitas. 
Minha dedicação é exclusiva e minha história acaba se confundindo com a história da instituição.  Neste percursos tive grandes inspirações* minha mãe* a Rainha Sílvia da Suécia que tive a honra de recebê-la na Sede da Amunam* no ano de 2021* nos últimos anos Jorge Paulo Lemann* porque Sonhar Grande e Sonhar Pequeno* dá o mesmo Trabalho. 
Hoje* acompanho também*  o jovem Edu Lira* que vem construindo sua  história e transformando vidas.</t>
  </si>
  <si>
    <t>Rancho Santa Rita  Km 02</t>
  </si>
  <si>
    <t>https://instagram.com/elianerodrigues9?utm_medium=copy_link</t>
  </si>
  <si>
    <t>https://drive.google.com/open?id=1N3nXPknJi3xNo9nvSfxyRzzl8__J5j6K</t>
  </si>
  <si>
    <t>Marques de araujo</t>
  </si>
  <si>
    <t>elias1802@gmail.com</t>
  </si>
  <si>
    <t>No Ano de 2009 o Elias presenciou a conversa de alguns garotos na frente da sua casa e entre estes garotos estava o seu filho Pedro com apenas 7 anos, foi quando ele percebeu que a comunidade que tinha nascido havia se tornado violenta e inadequada para criação do seu filho, a solução inicial que achou foi realizar um jogo aos sábados para conhecer melhor os garotos da comunidade Foi assim que nasceu a escolinha do Pereirinha Futebol Clube onde a bola é a ferramenta usada para formar Cidadãos.</t>
  </si>
  <si>
    <t>Agua fria</t>
  </si>
  <si>
    <t>https://drive.google.com/open?id=1USZrRkMeeWjYB7Jwk7QFhWfBKTU9icaR</t>
  </si>
  <si>
    <t>Emanuela</t>
  </si>
  <si>
    <t>Tereza betancourt ortiz ferreira</t>
  </si>
  <si>
    <t>emanuela.betancourt28@gmail.com</t>
  </si>
  <si>
    <t>Tenho 36 anos*  mãe* casada.  Responsável* proativa.</t>
  </si>
  <si>
    <t>Rua José Avelar</t>
  </si>
  <si>
    <t>https://drive.google.com/open?id=1W5EEXZrOu9b1r4kirwhWmOwoTzTF2WTJ</t>
  </si>
  <si>
    <t>Eufrásio</t>
  </si>
  <si>
    <t>Cavalcanti de sena</t>
  </si>
  <si>
    <t>senamaac.07@gmail.com</t>
  </si>
  <si>
    <t>Sou Eufrásio Sena, conhecido como Sena do MAAC, sou educador social e arte educador, ativista social e co-fundador do MAAC - Movimento de Articulação Ambiental e Cultural.</t>
  </si>
  <si>
    <t>Rua Vale do Siriji</t>
  </si>
  <si>
    <t>50979-000</t>
  </si>
  <si>
    <t>https://drive.google.com/open?id=1OFFk76uGggfu2mKwiRjLP4-xRr8NivJ4</t>
  </si>
  <si>
    <t>Felipe</t>
  </si>
  <si>
    <t>Gervásio</t>
  </si>
  <si>
    <t>Me chamo Felipe Gervásio, 35 anos, casado, usuário de cadeira de rodas, militante ativo nas causas sociais há 20 anos, palestrante, poeta, fundador e CEO da Deficiente Eficiente.</t>
  </si>
  <si>
    <t>segunda Travessa José Liberato</t>
  </si>
  <si>
    <t>https://drive.google.com/open?id=19UnzA4FBL3N8VI-o_a1ayGXC_62PPrVJ</t>
  </si>
  <si>
    <t>Angela gomes de albuquerque pinto</t>
  </si>
  <si>
    <t>fernandaangela1978@gmail.com</t>
  </si>
  <si>
    <t>Pedagoga, estudante de psicopedagogia</t>
  </si>
  <si>
    <t>Rua 96</t>
  </si>
  <si>
    <t>N.257</t>
  </si>
  <si>
    <t>Maranguape 2</t>
  </si>
  <si>
    <t>https://drive.google.com/open?id=1OVhP1ER0dEOAvtOCgpqOESk7v5BiU0N9</t>
  </si>
  <si>
    <t>Givanildo</t>
  </si>
  <si>
    <t>Amâncio da silva</t>
  </si>
  <si>
    <t>Mestrando em educação com ramificação no ensino da música para bebês tendo desenvolvido projeto de nascer com arte com música ao vivo no instante do parto* com música composta no ritmo (cadência/velocidade exclusiva de cada ser) do coração do bebê. Regente orquestral* coral* pianista* arranjador e orquestrador liderando sonho de colocar o mundo todo para cantar no mesmo dia* na mesma hora via satélite em função da paz e tolerância* mundiais - tendo como projeto piloto o Brasil.</t>
  </si>
  <si>
    <t>Rua Pastor Benoby 173 - Bomba do Hemetério Recife - PE</t>
  </si>
  <si>
    <t>https://www.linkedin.com/in/givanildo-amancio-3778b921/</t>
  </si>
  <si>
    <t>https://www.instagram.com/tv/CW_cniLJnjj/?utm_medium=copy_link</t>
  </si>
  <si>
    <t>https://drive.google.com/open?id=1Ctz_Q0XlN3K6bknRIsvn7jhkx8_si2a6</t>
  </si>
  <si>
    <t>Isis</t>
  </si>
  <si>
    <t>Monteiro cavalcanti dos santos</t>
  </si>
  <si>
    <t>isismonteiroc@gmail.com</t>
  </si>
  <si>
    <t>7336609 SDS/PE</t>
  </si>
  <si>
    <t>Sou Isis* esposa de Wlisses e mãe de João Monteiro* filha de Sula e Ivo* sou irmã e também tia.
Sou coordenadora de Projetos Sociais no Instituto Portal Social da Ponte* amo escutar histórias e de alguma forma poder solucioná-las ou levar esperança*
Amo ver pessoas transformadas através das oportunidades.</t>
  </si>
  <si>
    <t>Rua Quarenta e Quatro</t>
  </si>
  <si>
    <t>Rio Doce</t>
  </si>
  <si>
    <t>53080-450</t>
  </si>
  <si>
    <t>@isismonteiroc@gmail.co</t>
  </si>
  <si>
    <t>Israel</t>
  </si>
  <si>
    <t>Ubaldo vasconcelos neto</t>
  </si>
  <si>
    <t>mucambo2022@gmail.com</t>
  </si>
  <si>
    <t>(81)99572-5627</t>
  </si>
  <si>
    <t>Diretor Presidente</t>
  </si>
  <si>
    <t>Ativista Cultural, Educador licenciado em Filosofia e Pedagogia,
Pós graduado em Educação Especial e Técnico Braillista.
Inicia as atividades sociais culturais com a comunidade, em 2010.
Em 2015, cria um Projeto em que Geladeiras são reutilizadas como
bibliotecas nos espaços públicos.
No ano de 2017, constitui uma biblioteca comunitária  em Olinda/PE.
Em 02/02/2022, junto com um time que faz da SOLIDARIEDADE a
matéria-prima na Construção de um Outro Mundo Possível, funda
o Instituto MUCAMBO.</t>
  </si>
  <si>
    <t>Atlântico</t>
  </si>
  <si>
    <t>@israelvasconcelos_xeu</t>
  </si>
  <si>
    <t>https://drive.google.com/open?id=1V9JVxVG5jUuQCduiHSJn8HBovL8fa-26</t>
  </si>
  <si>
    <t>De oliveira duarte</t>
  </si>
  <si>
    <t>jujuduarty@hotmail.com</t>
  </si>
  <si>
    <t>Prossora de dança e atuante na area social atraves de projetos e acoes solidarias. Atual presidente da associação procultura e fundadora da conexao solidaria que ajuda familias com cestas basicas durante a pandemia.</t>
  </si>
  <si>
    <t>Afonso Pena</t>
  </si>
  <si>
    <t>https://www.instagram.com/juoliveira.coach/</t>
  </si>
  <si>
    <t>https://drive.google.com/open?id=18Y13x3v2cLA3hHIc96789Z-q0rvOxZso</t>
  </si>
  <si>
    <t>Laudilene</t>
  </si>
  <si>
    <t>Fernanda benevides</t>
  </si>
  <si>
    <t>laufb29@yahoo.com</t>
  </si>
  <si>
    <t>MG-11.419.609</t>
  </si>
  <si>
    <t>MEU NOME É LAUDILENE FERNANDA TENHO 41 ANOS* TENHO 2 FILHOS* SOU MICROEMPREENDEDORA* E COORDENADORA VOLUNTARIA NO PROJETO ITAMAR* MORO NO AGLOMERADO A 23 ANOS* DESTES 11 ANOS ATUEI DIRETAMENTE DENTRO DAS VILAS E FAVELAS COMO ENCARREGADA DE LIMPEZA URBANA* CONHECENDO BEM A REALIDADE DE CADA VILA</t>
  </si>
  <si>
    <t>BECO FELICIDADE</t>
  </si>
  <si>
    <t>SERRA (VILA NOVO SÃO LUCAS)</t>
  </si>
  <si>
    <t>https://drive.google.com/open?id=14HL6cJqBiU-3e08McYyiZ1-MQtYIJt2Q</t>
  </si>
  <si>
    <t>walisson</t>
  </si>
  <si>
    <t>Gil aguilar</t>
  </si>
  <si>
    <t>magnaaguilar@hotmail.com</t>
  </si>
  <si>
    <t>55+(31)9748-1518</t>
  </si>
  <si>
    <t>Me chamo Walisson Matos sou sobrevivente da tragédia de Brumadinho, tenho 45 anos 
e hoje dedico minha vida para ajudar pessoas, com a sede que construir com minhas próprias mãos.</t>
  </si>
  <si>
    <t>Rua Sereno</t>
  </si>
  <si>
    <t>30431-360</t>
  </si>
  <si>
    <t>Walisson matos matos</t>
  </si>
  <si>
    <t>https://drive.google.com/open?id=1kH3hPBnB8OKAq2pfwSY4yk6A7kBBbP6O</t>
  </si>
  <si>
    <t>Marcia</t>
  </si>
  <si>
    <t>Rodrigues tomaz</t>
  </si>
  <si>
    <t>marciatrodrigues@yahoo.com.br</t>
  </si>
  <si>
    <t>Mg7054370</t>
  </si>
  <si>
    <t>Sou Marcia Rodrigues Tomaz* tenho 50 anos*  casada* sou nascida e criada em  Raposos Minas Gerais* Estou no 8 período de  estudante de  Serviço Social. Sou funcionaria publica a mais de 15 anos* e atuo como voluntaria na associação Ideal do Amanha Guaycui   a mais de 4 anos.</t>
  </si>
  <si>
    <t>Rua António carlos</t>
  </si>
  <si>
    <t>Matadouro</t>
  </si>
  <si>
    <t>https://drive.google.com/open?id=1bHsGUao27GzzCvoqQtdNG0YlcaZ8r7HK</t>
  </si>
  <si>
    <t>Marco</t>
  </si>
  <si>
    <t>Tulio gomes</t>
  </si>
  <si>
    <t>Casula de sete irmãos, pai de família, líder social,  professor e atuante em ações sociais , grande sonhador um um futuro melhor para próximo através do cuidado, responsável pela ONG Cuidar</t>
  </si>
  <si>
    <t>Rua Elce Ribeiro</t>
  </si>
  <si>
    <t>São João Batista</t>
  </si>
  <si>
    <t>Prmarcotgomes</t>
  </si>
  <si>
    <t>https://drive.google.com/open?id=10FmT6Z56cOI9-urh7X1DcDVxdKjsovd0</t>
  </si>
  <si>
    <t>Marcelo mendes trindade</t>
  </si>
  <si>
    <t>marcelo@jmdinformatica.com.br</t>
  </si>
  <si>
    <t>(81)99157-5238</t>
  </si>
  <si>
    <t>Sou Ativista Social, comunicador popular e Tecnólogo em Rede de Computadores</t>
  </si>
  <si>
    <t>Doutor Armando Tavares</t>
  </si>
  <si>
    <t>https://www.instagram.com/marcelotrindadestm/</t>
  </si>
  <si>
    <t>https://drive.google.com/open?id=1_0mlwdMXkW5YSV6cRGSh2d8G4969gwQp</t>
  </si>
  <si>
    <t>JOAO</t>
  </si>
  <si>
    <t>Paulo farias costa</t>
  </si>
  <si>
    <t>PRESIDENTE/FUNDADOR</t>
  </si>
  <si>
    <t>Casado com Jocélia e pai de Clarinha, recifense, formado em teologia pelo Seminário Presbiteriano do Norte e em Publicidade e Marketing. Trabalha na TV Guararapes como editor de efeitos gráficos. Concluiu o segundo grau no Col. Presb. Agnes, onde se apaixonou pelo basketball. Admirador da criação de Deus e servo de Cristo. Maior sonho, fundar uma igreja, levar os meninos do Aurora para um intercâmbio nos Estados Unidos e colocar o Aurora na NBB.</t>
  </si>
  <si>
    <t>Rua buenos aires</t>
  </si>
  <si>
    <t>apt 801</t>
  </si>
  <si>
    <t>espinheiro</t>
  </si>
  <si>
    <t>52020-180</t>
  </si>
  <si>
    <t>https://www.linkedin.com/in/jo%C3%A3o-paulo-farias-costa-b4a03131/</t>
  </si>
  <si>
    <t>https://instagram.com/jpbabo?igshid=YmMyMTA2M2Y=</t>
  </si>
  <si>
    <t>https://drive.google.com/open?id=1PIj4L9JH-QV0Ocsv6W6PnkE1WKRUOPW2</t>
  </si>
  <si>
    <t>JOSÉ</t>
  </si>
  <si>
    <t>Deybson machado soares junior</t>
  </si>
  <si>
    <t>deybsonjunior@gmail.com</t>
  </si>
  <si>
    <t>(81)99129-0849</t>
  </si>
  <si>
    <t>Casado, Pai de MIguel e Matheus.
Aluno do Cristo, amante da vida e auxiliar da sociedade.</t>
  </si>
  <si>
    <t>Rua Major Silva Castro</t>
  </si>
  <si>
    <t>Jordão Baixo</t>
  </si>
  <si>
    <t>51240-795</t>
  </si>
  <si>
    <t>https://www.linkedin.com/in/deybsonjunior/</t>
  </si>
  <si>
    <t>https://www.instagram.com/deybsonjunior/</t>
  </si>
  <si>
    <t>https://drive.google.com/open?id=1Fz8WvRtR07h88gWr3LF_Lu_sqX8hMejS</t>
  </si>
  <si>
    <t>Josias</t>
  </si>
  <si>
    <t>Adolfo da silva netto</t>
  </si>
  <si>
    <t>josiasadolfojr@hotmail.com</t>
  </si>
  <si>
    <t>(81)99557-2541</t>
  </si>
  <si>
    <t>Presidente e Fundador</t>
  </si>
  <si>
    <t>Josias Adolfo da Silva Netto, natural de Recife/PE,  Pai de três filhos, casado com Elaine Graziela Alves de Barros, é bacharelando em Música – Trompete, na Universidade Federal de Pernambuco e Licenciado em Música na Claretiano Centro Universitário.Iniciou seus estudos musicais em 1999, na Igreja Assembleia de Deus em Jaboatão dos Guararapes. Ingressou na Escola Municipal João Pernambuco e posteriormente no Conservatório Pernambucano de Música.</t>
  </si>
  <si>
    <t>Rua Santo Aleixo</t>
  </si>
  <si>
    <t>https://www.instagram.com/josias_adolfo/</t>
  </si>
  <si>
    <t>https://drive.google.com/open?id=1bcT4BaMgaUr8CwtxDUxlHp9o6ZRHUsaG</t>
  </si>
  <si>
    <t>Sales de novaes ferreira</t>
  </si>
  <si>
    <t>jusalesnf@gmail.com</t>
  </si>
  <si>
    <t>Me chamo Juliana Novaes* sou psicóloga de formação e trabalho no Compaz* seu principal lema é reduzir a pobreza e desigualdade e tornar uma cidade mais equitativa. Sou apaixonada pelo que faço!</t>
  </si>
  <si>
    <t>Rua Dona Maria Lacerda</t>
  </si>
  <si>
    <t>Varzea</t>
  </si>
  <si>
    <t>https://www.instagram.com/p/CXeuv-YLkjdHTu3jpY5Qlrez33Z1_v6-iNVOqg0/?utm_medium=copy_link</t>
  </si>
  <si>
    <t>https://drive.google.com/open?id=1xSaNUitWCCNXUGZ-FNwECC1tkW8dI4L0</t>
  </si>
  <si>
    <t>Luciana</t>
  </si>
  <si>
    <t>Maria da silva</t>
  </si>
  <si>
    <t>luadeogum55@gmail.com</t>
  </si>
  <si>
    <t>(81)985145526</t>
  </si>
  <si>
    <t>Sou arte educadora comprometida com educação ambiental* nascida e criada em Brasília Teimosa* uma comunidade de pesca tradicional situada em área urbana. Sou filha de marceneiro com lavadeira* passei no primeiro vestibular que fiz pra veterinária* consegui me formar apesar de 4 filhos bebês* nunca exerci a profissão de veterinária pois passei no concurso para professora de escola pública municipal. Apesar de toda essa trajetória* jamais larguei a luta pelas comunidades populares. Há dois anos conclui mestrado em supervisão pedagógica numa universidade privada. Precisava rever toda a minha trajetória de prof de escola pública. A opção pelo trabalho ambiental veio desse conhecimento de 30 anos de escola pública e do amor pela natureza que veio a tona após os ataques de tubarão na década de 1990. Nesse momento consegui juntar todo conhecimento adquirido para aprender mais sobre o ecossistema no qual nossa cidade foi plantada.</t>
  </si>
  <si>
    <t>Rua Carapeba</t>
  </si>
  <si>
    <t>Brasilia Teimosa</t>
  </si>
  <si>
    <t>Antonio do nascimento</t>
  </si>
  <si>
    <t>ma.karatw@hotmail.com</t>
  </si>
  <si>
    <t>(81)98725-6158</t>
  </si>
  <si>
    <t>Marcos Nascimento, Casado,pai de 2 filhos casal.
Marcos Felipe 31, Beatriz Fernanda 30.
Avó 3 netos. Lukas 12,.Maria Isis 04, Brayan Santos 01 
Sou Recreador em uma unidade de ensino. 
Educador, Cabeleireiro, Massoterapeuta, Teólogo, Capelão, Estudante de Fisioterapia.</t>
  </si>
  <si>
    <t>Mariano Teixeira 114 Peixinhos-olinda</t>
  </si>
  <si>
    <t>Bloco 12 Ap 003</t>
  </si>
  <si>
    <t>Habitacional peixinhos 1</t>
  </si>
  <si>
    <t>Recife-pe</t>
  </si>
  <si>
    <t>53220-100</t>
  </si>
  <si>
    <t>https://instagram.com/marcos.nascimento.50364592</t>
  </si>
  <si>
    <t>https://drive.google.com/open?id=1a2TSTHZpu2lyiQ1VjD7cKEDU3mxTPZph</t>
  </si>
  <si>
    <t>Kleyton antunes bezerra</t>
  </si>
  <si>
    <t>kleyton.turmaboa@gmail.com</t>
  </si>
  <si>
    <t>Marcos Kleyton é seu nome, nascido na periferia do Coque, área central do Recife, tio kleyton onde todos conhece, começou lá em 2015 ainda muito  jovem quando executava ações e projetos culturais e esportivos na ONG AMPAC, mais profissionalmente começou em 2017 quando por amor se tornou recreador, e saiu desenvolvendo eventos lúdicos e projetos culturais e recreativos através do fábrica onde ainda é líder do projeto.</t>
  </si>
  <si>
    <t>https://www.instagram.com/tiokleyton/</t>
  </si>
  <si>
    <t>https://drive.google.com/open?id=1HK4WAnu3d0NCkSPRPQsYYUcYzf-WhLSN</t>
  </si>
  <si>
    <t>Maria de oliveira neta</t>
  </si>
  <si>
    <t>margaridaoliveira14@hotmail.com</t>
  </si>
  <si>
    <t>Amante do voluntariado* sonhadora e determinada em transformar sofrimento em alegria.</t>
  </si>
  <si>
    <t>Rua treze N 95</t>
  </si>
  <si>
    <t>Parque capibaribe</t>
  </si>
  <si>
    <t>https://www.instagram.com/p/CXqoLJDrCx0/?utm_medium=copy_link</t>
  </si>
  <si>
    <t>https://drive.google.com/open?id=1KEUn6oZtH8yxhlP16X35B-giDuWwzjg5</t>
  </si>
  <si>
    <t>De fátima sabóia</t>
  </si>
  <si>
    <t>fatimasaboia70@gmail.com</t>
  </si>
  <si>
    <t>Sou Maria de Fátima Sabóia.
Conhecida e chamada por Fátima Sabóia* fruto de ações sociais que impactou minha vida* despertando em mi o desejo de contribuir no impacto  de outras vidas.</t>
  </si>
  <si>
    <t>Rua 87 Apart.103 Qd. 65</t>
  </si>
  <si>
    <t>Maranguape 1</t>
  </si>
  <si>
    <t>NEUZA</t>
  </si>
  <si>
    <t>Elina silva de jesus</t>
  </si>
  <si>
    <t>neuzalinas@gmail.com</t>
  </si>
  <si>
    <t>(98)99982-9174</t>
  </si>
  <si>
    <t>32889094-4</t>
  </si>
  <si>
    <t>PRESIDENTE - FUNDADORA</t>
  </si>
  <si>
    <t>nascida em Caxias,  tornou-se líder comunitária, fundando do Centro Comunitário da Radional e Adjacências – Creche Escola Comunitária Cantinho da Criança, onde trabalha com crianças, jovens, adultos e idosos.</t>
  </si>
  <si>
    <t>TRAVESSA SEGUNDA</t>
  </si>
  <si>
    <t>RECANTO VERDE - CANAA</t>
  </si>
  <si>
    <t>TAJACUABA</t>
  </si>
  <si>
    <t>65010-000</t>
  </si>
  <si>
    <t>https://drive.google.com/open?id=1ruczN6p4icdlPMVL_bS2_Ed64fEe55bU</t>
  </si>
  <si>
    <t>Cláudio</t>
  </si>
  <si>
    <t>Gomes mendes</t>
  </si>
  <si>
    <t>claudiogm3@gmail.com</t>
  </si>
  <si>
    <t>(31)99138-0872</t>
  </si>
  <si>
    <t>MG10916790</t>
  </si>
  <si>
    <t>Sou Cláudio Mendes, professor e presidente  da Federação Internacional de Sorvebol. 
Sorvebol é um esporte brasileiro que vem crescendo pelo país e outras nações,  sou o criador do esporte Sorvebol,  venho promovendo ações sociais  através deste esporte.
O objetivo é levar formação na modalidade esportiva Sorvebol para os professores da rede pública e privada levando mais inovação para suas aulas de educação física.</t>
  </si>
  <si>
    <t>Rua Polônia</t>
  </si>
  <si>
    <t>Jardim Leblon</t>
  </si>
  <si>
    <t>31540-190</t>
  </si>
  <si>
    <t>https://www.instagram.com/claudio.mendes1980/</t>
  </si>
  <si>
    <t>https://drive.google.com/open?id=1HHDJ1oMa-CNRkpLdVHTCus7eLKLYLAuE</t>
  </si>
  <si>
    <t>Tatiana</t>
  </si>
  <si>
    <t>Linhares queiroz</t>
  </si>
  <si>
    <t>tatianalinhares82@gmail.com</t>
  </si>
  <si>
    <t>Sou uma mulher extrovertida* pró-ativa* comunicativa e do vamo dale. Gosto de aprender e estou sempre em busca de melhorar minha vida profissional. Trabalho no Instituto Misturaí desde 2019* iniciando como voluntária* até chegar ao cargo de coordenadora voluntária do projeto Gurizadaí* que sou desde janeiro de 2020. Alcancei ótimo resultados com o projeto* o que me deixa muito feliz. Falta pouco para concluir meu ensino médio e pretendo fazer faculdade e me tornar assistente social. Acredito que garra* persistência e força de vontade nos levam longe. O céu é o limite!</t>
  </si>
  <si>
    <t>Jacinto Gomes</t>
  </si>
  <si>
    <t>Vila Planetário - Santana</t>
  </si>
  <si>
    <t>https://www.linkedin.com/in/misturaípoa</t>
  </si>
  <si>
    <t>https://instagram.com/tatianalinharesqueiroz?utm_medium=copy_link</t>
  </si>
  <si>
    <t>https://drive.google.com/open?id=197iIb1zanrEMyLwY7frXhQ67AfPgp2i0</t>
  </si>
  <si>
    <t>Michel</t>
  </si>
  <si>
    <t>Anselmo do carmo</t>
  </si>
  <si>
    <t>Diretor Fundador</t>
  </si>
  <si>
    <t>Olá, eu sou o Michel Anselmo, tenho 39 anos, sou pai da princesa Isabella, esposo da rainha Thaís e apaixonado por ações sociais. 
Acredito no ser humano e atuo para construir um país melhor, mais justo e com igualdades de oportunidades.
Sou fundador do Instituto Semente Profissional e estou super feliz com a possibilidade de fazer parte da rede Gerando Falcões... "Sozinhos vamos rápido, juntos vamos mais longe"</t>
  </si>
  <si>
    <t>Av Embaixador Abelardo Bueno</t>
  </si>
  <si>
    <t>sl 126 office 2</t>
  </si>
  <si>
    <t>https://www.linkedin.com/in/michel-a-carmo-931b249a/</t>
  </si>
  <si>
    <t>@michelmac1</t>
  </si>
  <si>
    <t>https://drive.google.com/open?id=1Hw-oE0dFFEbDF7PnqvfrBWXxrVeGjGFH</t>
  </si>
  <si>
    <t>Natalina</t>
  </si>
  <si>
    <t>Maria barbosa</t>
  </si>
  <si>
    <t>sxandy304@gmail.com</t>
  </si>
  <si>
    <t>Sou mais conhecida como Naty* de 32 anos* sou pernambucana* moradora do Morro do Adeus* mãe do Richard* Enzo e Eloah e idealizadora do projeto Resgatando a Inocência. Criado em 2018* no Morro do Adeus* o projeto atende às crianças carentes da comunidade e tem como objetivo receber meninos moradores de rua* oferecendo a eles atividades* alimentação e muito afeto. Antes da pandemia da Covid-19* a iniciativa chegou a atender mais de 100 crianças.</t>
  </si>
  <si>
    <t>Rua capuçara</t>
  </si>
  <si>
    <t>https://instagram.com/natysilva6770?utm_medium=copy_link</t>
  </si>
  <si>
    <t>https://drive.google.com/open?id=15tfj4B3HYV2WpBN255HF3Ww7ZTqwOwN3</t>
  </si>
  <si>
    <t>Nayra</t>
  </si>
  <si>
    <t>Madeira santos</t>
  </si>
  <si>
    <t>21976754403 ou 21 966933400</t>
  </si>
  <si>
    <t>Moradora de Duque de Caxias* perdi minha mãe aos 8 anos. Fui criada pelo meu pai* com o apoio da minha família. A partir desta referência* meu herói contribuiu para a formação do meu caráter e valores. 
Ajudar ao próximo faz parte da minha essência. Seguindo meus ideais* escolhi ser professora de história. Tem sido um desafio incrível. 
A Instituição veio através da oportunidade de trabalhar em escolas e observar as injustiças sociais* mas sozinha não consigo. Através de uma corrente pelo bem* sigo buscando transformar  a sociedade em que vivo* sonhando com um mundo mais justo.</t>
  </si>
  <si>
    <t>Rua Maria Luiza Reis</t>
  </si>
  <si>
    <t>Engenho do porto</t>
  </si>
  <si>
    <t>https://instagram.com/nayra.santos90?utm_medium=copy_link</t>
  </si>
  <si>
    <t>https://drive.google.com/open?id=1NQmOvFTOd2Qfziq8z5XYBBfJCoJNU-Gc</t>
  </si>
  <si>
    <t>Pamella</t>
  </si>
  <si>
    <t>Cristina de oliveira da silva</t>
  </si>
  <si>
    <t>pamellaoliveira.adv@gmail.com</t>
  </si>
  <si>
    <t>Pamella Oliveira* ativista* advogada* empreendedora social*  fundadora do Coletivo
Pretas Ruas e integrante da Rede Nacional de Mulheres Negras contra a violência*
acredita que apenas a indignação não transforma e mobiliza redes em busca de
mudanças sociais significativas.</t>
  </si>
  <si>
    <t>Av Mosenhor Feliz 1077</t>
  </si>
  <si>
    <t>1077 AP 102 BLOCO 9</t>
  </si>
  <si>
    <t>Colégio</t>
  </si>
  <si>
    <t>https://www.linkedin.com/in/pamella-oliveira/</t>
  </si>
  <si>
    <t>https://www.instagram.com/pamellaoliveira.adv/</t>
  </si>
  <si>
    <t>https://drive.google.com/open?id=19KfG4n48fH3hdBSwO3tgOMVnmaMNYI6A</t>
  </si>
  <si>
    <t>Graciette de mesquita</t>
  </si>
  <si>
    <t>paulagmesquita@yahoo.com.br</t>
  </si>
  <si>
    <t>20.523.231-7</t>
  </si>
  <si>
    <t>Meu nome é Paula tenho 38 anos*sou nascida e criada no Pavãozinho*comunidade que fica em Copacabana*meus pais são do Ceará e moram aqui a mais de 40 anos.Venho de uma família humilde*morei em barraco de madeira e tive 2 irmãos que entraram no tráfico*um conseguiu sair o outro não.
Sempre fui muito curiosa e interessada em novas experiências*estudei a vida toda em escola pública mas sempre absorvi o máximo que me foi apresentado.
Sou casada a 16 anos tenho uma filha de 7 anos e trabalho na Rede Postinho de Saúde a 4 anos.A Rede Postinho é uma ONG de saude para mulher*no começo da pandemia começamos a entregar cestas básicas para comunidade e mantemos esse trabalho até hoje.</t>
  </si>
  <si>
    <t>Rua Saint Roman</t>
  </si>
  <si>
    <t>22.071-060</t>
  </si>
  <si>
    <t>https://www.linkedin.com/mwlite/in/paula-mesquita-590468127</t>
  </si>
  <si>
    <t>https://www.instagram.com/paulagm13</t>
  </si>
  <si>
    <t>https://drive.google.com/open?id=1UrFqjGgwUVLe0NZwcn7bk43ZrG9UCae5</t>
  </si>
  <si>
    <t>Sexto bahia</t>
  </si>
  <si>
    <t>paulosextobahia@gmail.com.br</t>
  </si>
  <si>
    <t>(21)98879-7577</t>
  </si>
  <si>
    <t>Eu sempre me envolvi nas causas sociais. No Viva Rio, atuei na coordenação do Reage Rio. Na UFRRJ implantei a Capelania; coordenei o primeiro abraço simbólico no Brasil no Maracanã, e ações na floresta da Tijuca; em Resende, fundei uma cooperativa educacional com uma escola infantil, e uma escola de taekwondo com mais de 120 alunos.
Decidi que fazer ações duráveis é o jeito certo e agora estou disposto a aprender para fazer com quem sabe fazer a fim de fazer também na minha região.</t>
  </si>
  <si>
    <t>Ravenala</t>
  </si>
  <si>
    <t>Parque Anchieta</t>
  </si>
  <si>
    <t>21620-520</t>
  </si>
  <si>
    <t>http://www.linkedin.com/in/clube-de-ajuda-b654b1230</t>
  </si>
  <si>
    <t>https://www.instagram.com/invites/contact/?i=lglce4a0w6zf&amp;utm_content=m0gavp</t>
  </si>
  <si>
    <t>https://drive.google.com/open?id=1tYyJSmrO54A7ctxwjHAYQud7l2aYEN7D</t>
  </si>
  <si>
    <t>Narciso</t>
  </si>
  <si>
    <t>raquelsnarciso@yahoo.com.br</t>
  </si>
  <si>
    <t>Sou filha de migrantes nordestinos*  formada em Serviço Social pela UFRJ(2019). Iniciou o processo de engajamento no Movimento de Mulheres em 2006.  Coordenadora do CDVida* instituição pioneira no enfrentamento e prevenção da violência contra a mulher na Baixada Fluminense* criado em 1998.
Atua no Fórum e Conselhos Municipais dos Direitos da Mulher de Mulher de Duque de Caxias.</t>
  </si>
  <si>
    <t>Rua Sete Beco do Campinho</t>
  </si>
  <si>
    <t>Campos Eliseos</t>
  </si>
  <si>
    <t>https://www.linkedin.com/in/raquel-narciso-70775a118/</t>
  </si>
  <si>
    <t>https://www.instagram.com/raquel.snarciso/</t>
  </si>
  <si>
    <t>https://drive.google.com/open?id=1YkI5xGXSvtG8TIZt1DdiDMmYNElCIN6y</t>
  </si>
  <si>
    <t>Elidi fagundes dos santos de carvalho</t>
  </si>
  <si>
    <t>elidifagundes36@gmail.com</t>
  </si>
  <si>
    <t>Mulher negra* casada* 03 filhos e três netos moradora de Comunidade que resolveu fazer a diferença em um território totalmente desacreditado por todos.</t>
  </si>
  <si>
    <t>https://drive.google.com/open?id=1IMThmpvK_CfgAsn-Bz__CxzBUVCFks4J</t>
  </si>
  <si>
    <t>Da silva azevedo</t>
  </si>
  <si>
    <t>robertaazevedo@institutoamparando.org</t>
  </si>
  <si>
    <t>Fundadora do Instituto Amparando* formada em Serviço Social* com pós-graduação em Serviço Social e Trabalho com as Família e pós-graduação em Psicopedagogia. Sou esposa do Alexandre Ditta e mãe do Jerônimo Bento* que irá fazer 2 anos em fevereiro. Atualmente* estou vice-presidente da instituição e gestora da instituição* além de responder pela parte técnica do Serviço Social. Sou consultora* mentora e palestrante pela R.A. Consulltoria* nas áreas do Terceiro Setor* Impacto Social* Voluntariado e Legalização. Minha história começou em 2014* em Jardim Gramacho* Duque de Caxias (RJ)* quando sensibilizada com a situação de risco social da população de catadores de lixo* decidi que era a hora de colocar a mão na massa e trabalhar em prol das famílias que vivem nos arredores do antigo Aterro Metropolitano de Jardim Gramacho. Em 2017* conheci a Comunidade Bico do Urubu* em Figueiras* Nova Iguaçu (RJ) e iniciei o trabalho junto àquela comunidade. Em 2021* no meio da pandemia* precisei tomar uma decisão estratégica importante e decidi* juntamente com a minha equipe* encerrar as atividades em Jardim Gramacho* tendo em vista as dificuldades existentes na localidade* principalmente relacionadas à segurança. Desde então* tenho centralizado todos os esforços para fazer crescer o Instituto Amparando em Nova Iguaçu* onde* hoje* atendemos 30 famílias e 70 crianças* oferecendo educação complementar gratuita* atendimento social* psicológico* fonoaudiológico e jurídico.</t>
  </si>
  <si>
    <t>Figueiras</t>
  </si>
  <si>
    <t>https://www.instagram.com/robertaazevedo2020/</t>
  </si>
  <si>
    <t>https://drive.google.com/open?id=114LbThhw49ODDTSx5kz04NEI_mAj5O6k</t>
  </si>
  <si>
    <t>Silvia</t>
  </si>
  <si>
    <t>Dos santos de souza</t>
  </si>
  <si>
    <t>silviasantossouzamae@gmail.com</t>
  </si>
  <si>
    <t>Sou nascida e criada na comunidade (Castelar)* onde desde cedo eu e meus irmãos  enfrentamos todos os desafios que um morador de favela pode enfrentar ao longo de sua vida. Sou filha de mãe solteira. Aos 11 anos de idade tive que sair para trabalhar em casa de família para ajudar minha mãe no sustento da casa. Hoje graças ao meu bom Deus sou casada* mãe de 4 filhos e líder da instituição Centro de Cidadania Vida Nova de Belford Roxo - Piam* ao lado de meu esposo.</t>
  </si>
  <si>
    <t>Rua Angela</t>
  </si>
  <si>
    <t>Santa cecília</t>
  </si>
  <si>
    <t>https://www.instagram.com/pra.silvia.9/p/CYxP1L9p8Z3/?utm_medium=share_sheet</t>
  </si>
  <si>
    <t>https://drive.google.com/open?id=1bdPqmzOfWhz31ZY3T1P1jLbhEolxEvT-</t>
  </si>
  <si>
    <t>Solange</t>
  </si>
  <si>
    <t>Pires revoredo</t>
  </si>
  <si>
    <t>solrevoredo@gmail.com</t>
  </si>
  <si>
    <t>21969677721 e 21 996620619</t>
  </si>
  <si>
    <t>083.490.64-9</t>
  </si>
  <si>
    <t>Me chamo Solange Pires Revorêdo* mais me chamam de Sol do GRAM.
Pertenço a diáspora de Matrizes Africanas* carioca*  mãe de dois adolescentes Igor e Hugo*  afrodescendente* empreendedora social* sobrevivente de tentativa de feminicídio* militante e ativista no combate a violência contra a mulher e idealizadora do GRAM Grupo de Apoio a Mulher*  uma rede de apoio virtual a vítimas de violência onde reunimos no WhatsApp mais de 200  mulheres vítimas de violência em todo país* temos uma rede nacional de 81 parceiros voluntários (entre profissionais liberais e Ongs) para dar apoio jurídico* psicológico e social as assistidas da nossa rede de apoio.</t>
  </si>
  <si>
    <t>Praia do Zumbi  Casa 7</t>
  </si>
  <si>
    <t>Ilha do Governador</t>
  </si>
  <si>
    <t>https://www.instagram.com/solrevoredo/</t>
  </si>
  <si>
    <t>https://drive.google.com/open?id=1-qUORzM0dfqwIkRyeX8lS50td8hES08B</t>
  </si>
  <si>
    <t>Sonia</t>
  </si>
  <si>
    <t>Maria miranda reis</t>
  </si>
  <si>
    <t>soniaam959@gmail.com</t>
  </si>
  <si>
    <t>SÔNIA MARIA MIRANDA REIS
Sou Sônia Maria Miranda Reis* tenho 61 anos* sou professora aposentada e trabalhei
como coordenadora pedagógica durante 12 anos. Comecei meus trabalhos
comunitários quando tinha 16 anos* ajudando na alfabetização de adultos pelo antigo
Mobral. Atualmente* sou coordenadora da Varanda Literária Maria de Lourdes
Miranda* que faz parte da Rede de Bibliotecas Comunitárias Tecendo Uma Rede de
Leitura. Faço parte do Grupo de Trabalho de Incidência em Políticas Públicas da Rede
Nacional de Bibliotecas Comunitárias (RNBC). Estou no segundo mandato como
suplente no Conselho Municipal de Cultura de Duque de Caxias* na cadeira de
Literatura Bibliotecas e Salas de Leitura.</t>
  </si>
  <si>
    <t>Rua José Fichiman</t>
  </si>
  <si>
    <t>Saracuruna</t>
  </si>
  <si>
    <t>https://drive.google.com/open?id=1cDfta_XQldB9qXqiDerniJ-A7sIV_OTu</t>
  </si>
  <si>
    <t>Stela</t>
  </si>
  <si>
    <t>Bonifacio da silva nascimento</t>
  </si>
  <si>
    <t>stela.bonifaciosilva@gmail.com</t>
  </si>
  <si>
    <t>Nascida e criada no município de Queimados. 
Formada em Serviço social pela Universidade Unigranrio de Duque de Caxias em 2013.
 Pós graduada em Gestão de projeto pela Universidade Estácio de Sá em 2016.
pós graduada em trabalho com famílias e sociedades em 2020.
Graduada em Pedagogia pela Universidade UERJ em 2020.
Gestora do Projeto GEM desde 2014.</t>
  </si>
  <si>
    <t>RUA RUBENS COUTINHO ROMANO</t>
  </si>
  <si>
    <t>VILA CAMARIM</t>
  </si>
  <si>
    <t>https://www.instagram.com/p/CXqqWwSg_FCP7CfFKKFFc54U_V6ly_36EKdLgk0/?utm_medium=copy_link</t>
  </si>
  <si>
    <t>https://drive.google.com/open?id=1Ou4ys0a4DIUlv3fSI92VWV6sR3NsIGFH</t>
  </si>
  <si>
    <t>Vanessa</t>
  </si>
  <si>
    <t>Regina ribeiro de oliveira dos santos</t>
  </si>
  <si>
    <t>vanessadaya@gmail.com</t>
  </si>
  <si>
    <t>10.998.870-9</t>
  </si>
  <si>
    <t>Empreendedora social* articuladora cultural e 
fundadora do Ler e Saber na Comunidade* projeto social de incentivo à leitura* acesso ao livro infantil e Biblioteca comunitária no morro da Congonha em Madureira.</t>
  </si>
  <si>
    <t>Rua Alberto de Carvalho</t>
  </si>
  <si>
    <t>Oswaldo Cruz</t>
  </si>
  <si>
    <t>https://www.instagram.com/vanessadaya04/</t>
  </si>
  <si>
    <t>https://drive.google.com/open?id=1kHA3ufOwb0v3HUfbgNM9dxqw8i37GE1r</t>
  </si>
  <si>
    <t>De araujo felizardo</t>
  </si>
  <si>
    <t>alexandrefelizardo1975@gmail.com</t>
  </si>
  <si>
    <t>Coordenador e Diretor Artístico</t>
  </si>
  <si>
    <t>Alexandre Felizardo, 47 anos
Servidor publico - Agente de Desenvolvimento Artístico e Cultural com Pós Graduado em Educação Física, professor da UNIP/PB. Dançarino(Brincante) e Coreografo há 30 anos, com atuação e formação de Grupos Folclóricos do estado da Paraíba, atuação em programas e projetos sociais.
Produtor e Ativista Cultural, responsável e Criador há 20 anos do Centro de Artes e Integração Social para Crianças e Adolescentes – CAISCA na cidade de Riacho de Santo 
Antônio/PB</t>
  </si>
  <si>
    <t>Escritor Euclides da Cunha</t>
  </si>
  <si>
    <t>Campina Grande</t>
  </si>
  <si>
    <t>Palmeira Imperial</t>
  </si>
  <si>
    <t>58418-127</t>
  </si>
  <si>
    <t>CLT, Funcionário Público</t>
  </si>
  <si>
    <t>@felizardoalexandre</t>
  </si>
  <si>
    <t>https://drive.google.com/open?id=1cq5dCiTemBLySlvlY70JxCD-9yHxVC24</t>
  </si>
  <si>
    <t>Claudia pereira soares</t>
  </si>
  <si>
    <t>ana.caups@gmail.com</t>
  </si>
  <si>
    <t>Ana Cláudia Pereira Soares brasileira Bióloga* e cursando direito estando no 7 período  reside* atualmente* na cidade de Belém Estado da Paraíba. Trabalha como  voluntária do Instintuto Portal das cores sendo também presidente desta instituição* sem fins lucrativos* e tem como objetivo  ajudar famílias em vulnerabilidade social.</t>
  </si>
  <si>
    <t>Raul Barbosa n11</t>
  </si>
  <si>
    <t>Baixa visão</t>
  </si>
  <si>
    <t>https://drive.google.com/open?id=1WRIlpync4wfmuYPaJmDS6NpQvSbSRTG6</t>
  </si>
  <si>
    <t>Brenda</t>
  </si>
  <si>
    <t>Lorany martins santana</t>
  </si>
  <si>
    <t>brendaamkl@gmail.com</t>
  </si>
  <si>
    <t>Meu nome é Brenda* tenho 21 anos* nascida e criada no interior do Rio Grande do Norte* estudante de Gestão Ambiental e apaixonada pelas pessoas e pelo desenvolvimento sustentável.</t>
  </si>
  <si>
    <t>Pansexual</t>
  </si>
  <si>
    <t>Francisco Sales Gorjão</t>
  </si>
  <si>
    <t>https://instagram.com/brendavilhosa?utm_medium=copy_link</t>
  </si>
  <si>
    <t>https://drive.google.com/open?id=1PbbIjsAeffmEXCZLf3eQUwKVEaDDVrMg</t>
  </si>
  <si>
    <t>Alberto duarte de moura filho</t>
  </si>
  <si>
    <t>Nascido na Bahia, morando em Natal desde 1998, casado com Valéria e pai de Gabriel e Felipe. Durante 21 anos fui funcionário de multinacional e hoje sou empresário e empreendedor.
Sou investidor social já mais de 20 anos e sou fundador do Instituto Educar Golandim e hoje Presidente.</t>
  </si>
  <si>
    <t>Alameda dos Bosques</t>
  </si>
  <si>
    <t>Bosque das Palmeiras Casa 219</t>
  </si>
  <si>
    <t>Parnamirim</t>
  </si>
  <si>
    <t>Parque do Jiqui</t>
  </si>
  <si>
    <t>59153-155</t>
  </si>
  <si>
    <t>https://www.linkedin.com/in/carlos-moura-272b652a</t>
  </si>
  <si>
    <t>@Carlosmoura1</t>
  </si>
  <si>
    <t>https://drive.google.com/open?id=1hccLlmbhW8G5_N-A4CZhKK_51LSWNCXu</t>
  </si>
  <si>
    <t>carlos</t>
  </si>
  <si>
    <t>Henrique da silva</t>
  </si>
  <si>
    <t>henriquecosta.potiguar@gmail.com</t>
  </si>
  <si>
    <t>vice presidente</t>
  </si>
  <si>
    <t>sou formado em comunicação social, tecnologo em comércio exterior, tecnologo em marketing, atuo com impacto social desde dos meus 20 anos , hoje tenho 34 anos e além de atuar como impactador social pelo casulo ONG que atuo também atuo em alguns mecanismos de controle social , sou conselheiro municipal de saúde e sou coordenador de instituição chamada caritas que e nivel nacional , sou lider local e coordeno qatro grupos de atuação, juventude,mulheres, e defiiente fisicos.</t>
  </si>
  <si>
    <t>Rua simoes filho</t>
  </si>
  <si>
    <t>ceará -mirim</t>
  </si>
  <si>
    <t>cohab</t>
  </si>
  <si>
    <t>Funcionário Público, Desempregado</t>
  </si>
  <si>
    <t>https://www.linkedin.com/in/henrique-costa-3a0b18121</t>
  </si>
  <si>
    <t>https://www.instagram.com/invites/contact/?i=1btzj5eu98kn7&amp;utm_content=7y0214</t>
  </si>
  <si>
    <t>https://drive.google.com/open?id=1ydpM216MGlSeF9gwi0optGF_kuGovcww</t>
  </si>
  <si>
    <t>Chirlêi</t>
  </si>
  <si>
    <t>Da conceição dos santos borges</t>
  </si>
  <si>
    <t>chirlei.sborges@gmail.com</t>
  </si>
  <si>
    <t>(91)99253-6691</t>
  </si>
  <si>
    <t>Natural de Curralinho. Morei até aos 31 anos em Breves. Na minha juventude sonhei em ser jogador de futebol ou professor. Não conseguir realizar. Em 2006, vir para Barcarena, onde formei família. Pai de 4 filhos. Funcionário Público concursado, atuando como agente de vigilância. Residente e domiciliado no Bairro Zita Cunha. Por conta dos descasos do poder público e de seus representantes e vendo a necessidade da comunidade, resolvi ser mobilizador social. Lutar por educação, saúde e et...</t>
  </si>
  <si>
    <t>@chirleiborges7</t>
  </si>
  <si>
    <t>https://drive.google.com/open?id=1ZzfyDwvCqv6eBSmjT9tb0eFED9uqwRC4</t>
  </si>
  <si>
    <t>Débora</t>
  </si>
  <si>
    <t>Conrado dos anjos</t>
  </si>
  <si>
    <t>dosanjosdebora1997@gmail.com</t>
  </si>
  <si>
    <t>Sou Evangélica* casada* mãe de um menino de 3 anos*sou técnica de Administração e técnica de análises clinicas* trabalho em um projeto social chamado Associação Beneficente HEBROM Núcleo Tefé. Que tem o objetivo de ajudar crianças* adolescentes* Jovens* idosos e familiares de vulnerabilidade social.</t>
  </si>
  <si>
    <t>Minas gerais</t>
  </si>
  <si>
    <t>https://www.instagram.com/p/CD69O5aJJQcyaGWi7B_WZ63PT1Sfqgo1fluElo0/?utm_medium=copy_link</t>
  </si>
  <si>
    <t>https://drive.google.com/open?id=1GLRGvo2xNpS1W7WOBVMItIZ0qBZukkIe</t>
  </si>
  <si>
    <t>Larissa silva de souza</t>
  </si>
  <si>
    <t>souza.dlarissa@gmail.com</t>
  </si>
  <si>
    <t>Advogada com inscrição na OABRN nº 17.209. Graduanda do curso de Administração. Estudante de MBA em Privacidade e Proteção de Dados Pessoais. Estudante de MBA em Gestão Comercial e Inteligência Competitiva. Pós graduanda em Direito Empresarial. Secretaria Adjunta da Comissão Nacional da Mulher da ABA. Membro da Comissão dos Direitos Humanos e da Mulher Advogada* pela OAB/RN. Presidente e Fundadora do Instituto Mais Mulher. Advogada Voluntária da ONG TamoJuntas e do Projeto "Mas Ele Nunca Me Bateu". Embaixadora do Projeto "Vote Nelas". Bacharel em Direito pela Universidade Estácio de Sá* Técnica em Guia de Turismo pelo Instituto Federal de Educação Ciência e Tecnologia do RN.</t>
  </si>
  <si>
    <t>Quinta Travessa João XXIII</t>
  </si>
  <si>
    <t>https://www.instagram.com/deborasouzaadv/</t>
  </si>
  <si>
    <t>https://drive.google.com/open?id=1HT4684CcpU-x676TP-UGAjLLj7HHmGvB</t>
  </si>
  <si>
    <t>Édila</t>
  </si>
  <si>
    <t>Me chamo Édila dias tenho 46 anos* em 2020 me formei em pedagogia estagiei 2 anos nas escolas. atualmente estou trabalhando em um abrigo onde acolhe crianças e adolescentes onde seus direitos foram violados e também participo do projeto sementes da fé a oito anos na comunidade onde nasce e me criei trazendo para as crianças e adolescentes esporte lazer e cultura. Sou  apaixonada por esses trabalhos sociais nas comunidades carentes e gosto de trocar ideias e experiência com os demais colegas sou muito feliz e realizada pelo que eu faço.</t>
  </si>
  <si>
    <t>rua santa helena</t>
  </si>
  <si>
    <t>novo horizonte</t>
  </si>
  <si>
    <t>https://drive.google.com/open?id=1rA2UKjTdRNMrvqo-UNcCFGemWBEHXEHS</t>
  </si>
  <si>
    <t>Batista da silva</t>
  </si>
  <si>
    <t>pregoeiroflavio@gmail.com</t>
  </si>
  <si>
    <t>Sucesso e uma questão de decisão</t>
  </si>
  <si>
    <t>Maria das dores</t>
  </si>
  <si>
    <t>936/44</t>
  </si>
  <si>
    <t>Apte</t>
  </si>
  <si>
    <t>São Geraldo</t>
  </si>
  <si>
    <t>Fláviobatista42</t>
  </si>
  <si>
    <t>https://drive.google.com/open?id=1CbNVEgi7SQumdVpdqjzYyGyvd0j6BerL</t>
  </si>
  <si>
    <t>Gisele</t>
  </si>
  <si>
    <t>Cristine silva mendes</t>
  </si>
  <si>
    <t>giselemendes7288@gmail.com</t>
  </si>
  <si>
    <t>Sou paraense* da cidade de Belém do Pará* mulher periférica e construtora de sonhos individuais e coletivos.
Carrego comigo a fé que me encoraja e me fortalece a cada dia a buscar melhorias enquanto ser humano* que gosta de missão.</t>
  </si>
  <si>
    <t>Conjunto Catarina Labouré.Alameda São Sebastião.</t>
  </si>
  <si>
    <t>Sacramenta</t>
  </si>
  <si>
    <t>https://www.instagram.com/p/CYv2Da4uKHuzBTqe-qUk55UBgeQdoAkAo3DXdc0/</t>
  </si>
  <si>
    <t>https://drive.google.com/open?id=18p5_PXIU6XPQWmXHv8NrldKY6-VRakoh</t>
  </si>
  <si>
    <t>Sebastiao</t>
  </si>
  <si>
    <t>Edemyr echague leite</t>
  </si>
  <si>
    <t>j1jardimms@gmail.com</t>
  </si>
  <si>
    <t>Presidente fundador</t>
  </si>
  <si>
    <t>Moro em Jardim, cidade turística no interior do Mato Grosso do Sul.
Morei em São Paulo entre 1998 e 2006. Ex presidiário, ex morador de rua, ex favelado, hj moro em minha cidade onde tenho o empreendimento Eventos Jardim desde 2006 quando voltei de SP, junto com meu braço social, o E.C. Arara Negra que agora com minha formação entra para a rede e pretendemos ser a equipe oficial dos projetos da Gerando Falcões.
Queremos contribuir com o processo de erradicerradicação das favelas de nosso país.</t>
  </si>
  <si>
    <t>https://drive.google.com/open?id=1AsKibMXjxCA_tuWYLgYgYw67P31MJzwk</t>
  </si>
  <si>
    <t>Terezinha</t>
  </si>
  <si>
    <t>Osmari bagatini</t>
  </si>
  <si>
    <t>culturaextremooeste@outlook.com</t>
  </si>
  <si>
    <t>Sou editora* escritora e produtora cultural. Profissional da educação desde os meus 18 anos de idade* com mais de 10 anos de atuação na sala de aula* quando* com muito zelo* fui professora de crianças e adolescentes em escolas da Educação Básica (Infantil e Anos Iniciais)* situadas em bairros e comunidades interioranas. Segui atuando na educação como diretora de escolas e coordenadora pedagógica e* naquela oportunidade* desempenhei a função de “formadora” de professores* tendo como referência básica os Programas de Alfabetização do MEC. Ocasião em que alcancei o Prêmio Além das Letras* pelo Instituto Avisa Lá/SP.
Como autora* escrevi mais de 30 histórias para crianças e adolescentes* mas apenas 09 delas até o momento foram publicadas. Desde 2011* dedico meu tempo à editora MQP* publicando novos e talentosos escritores e vinculando boa parte dessa literatura em projetos socioculturais* 09 aprovados na Lei de Incentivo à Cultura* porém nem todos foram executados por falta de captação de recursos. No ramo da literatura* sou certificada pela Mcsill Story/Londres.
Uma de minhas linhas de atuação sempre foi as parcerias de trabalho! 
Para mais detalhes* segue meu depoimento feito anos atrás à Gerando Falcões: https://www.youtube.com/watch?v=JMRfs9KvBWg&amp;t=65s</t>
  </si>
  <si>
    <t>https://www.linkedin.com/in/editora-mais-que-palavras-52a72822/</t>
  </si>
  <si>
    <t>https://www.instagram.com/maisquepalavraseditora/?hl=pt-br</t>
  </si>
  <si>
    <t>https://drive.google.com/open?id=1kdfLQFyUYD6ax3RZ8-MXrV-Dazke5ahb</t>
  </si>
  <si>
    <t>Pierrobom cordeiro</t>
  </si>
  <si>
    <t>alinepierrobom@gmail.com</t>
  </si>
  <si>
    <t>25087037x</t>
  </si>
  <si>
    <t>Tenho quase 39 anos* sou formada em Administração de empresas e pós em gastronomia. Sou mãe solo do Miguel de quase 9 anos* ser mãe e ser mãe solo mudou completamente a minha visão de mundo* embora sempre tenha gostado de contribuir aqui e ali* ganhei uma vontade de mudar o mundo* comecei a estudar* sobre política* sobre meio ambiente* aquecimento global* me tornei líder da realidade climática* e fui tendo o gostinho através do projeto da Jornada pelo Clima do gostinho de fazer essa mudança. Sou uma pessoa com dificuldade de falar não* sempre querendo ajudar nem que seja com uma carona* não tive ainda sucesso profissional financeiro ( passo perrengue ainda com os boletos)* já tentei e sigo tentando empreender no que sou apaixonada que é cozinhar* fazer as pessoas ficarem com o coração quentinho com uma boa comida. Trabalho hoje como personal chef* quando consigo algum evento* tenho uma lanchonete temporariamente na feirinha da madrugada do Brás* presto serviço pra uma empresa britânica de tintas marcadoras eventualmente e topo qualquer trabalho pra dar uma vida melhor para o meu pequeno.</t>
  </si>
  <si>
    <t>Rua João Marcelo Santoni</t>
  </si>
  <si>
    <t>Pq renato Maia</t>
  </si>
  <si>
    <t>https://www.linkedin.com/in/aline-pierrobom-cordeiro-233a8a24/</t>
  </si>
  <si>
    <t>https://www.instagram.com/alinepierrobom</t>
  </si>
  <si>
    <t>https://drive.google.com/open?id=1dkGONLBMSJ4G-fMKSAUskITLQFPX9d6e</t>
  </si>
  <si>
    <t>Alex dos santos</t>
  </si>
  <si>
    <t>garotinhogoleiro@gmail.com</t>
  </si>
  <si>
    <t>(11)95175-4765</t>
  </si>
  <si>
    <t>Alison Garotinho</t>
  </si>
  <si>
    <t>Rua campos do mondego</t>
  </si>
  <si>
    <t>6A</t>
  </si>
  <si>
    <t>Vila Rica</t>
  </si>
  <si>
    <t>03912-200</t>
  </si>
  <si>
    <t>https://drive.google.com/open?id=1yNHsfCv56GQ8sXtsAiDUlqOTl2YLJW9R</t>
  </si>
  <si>
    <t>Pereira da silva</t>
  </si>
  <si>
    <t>eddanidogobele@gmail.com</t>
  </si>
  <si>
    <t>44.825.819-5</t>
  </si>
  <si>
    <t>Meu nome é Amanda *sou casada *tenho 3 filhos *sou mãe* filha* esposa* líder* professora e apaixonada em transformação .Acredito que a educação transforma vidas *vivo desde pequena na comunidade onde atuo * sou muito grata a Deus por tudo que venha aprendendo nos últimos 7 anos desde o primeiro dia que entrei na faculdade e consegui enxergar uma vida diferente com oportunidades que trilhei .E agora fazendo parte desta equipe maravilhosa sei que não haverá limites para mim .Gratidão!!!</t>
  </si>
  <si>
    <t>Rua Maceió</t>
  </si>
  <si>
    <t>https://drive.google.com/open?id=1NXQ2UZcBcBUoQAEhuz89rUkwkghWJBXS</t>
  </si>
  <si>
    <t>Carolina de andrade</t>
  </si>
  <si>
    <t>Me chamo Carol Andrade sou mãe solo da Alanna Pillar* formada em Administração de empresas * tenho experiência no primeiro e no terceiro setor. Atualmente Mediadora Social e Analista de Comunicação.</t>
  </si>
  <si>
    <t>Rua Charles Cameron</t>
  </si>
  <si>
    <t>https://www.linkedin.com/in/ana-carolina-andrade-b104a284</t>
  </si>
  <si>
    <t>https://www.instagram.com/andrade6126?r=nametag</t>
  </si>
  <si>
    <t>Paula oliveira souza</t>
  </si>
  <si>
    <t>Projeto criado para ampliar a luta das pessoas com deficiência</t>
  </si>
  <si>
    <t>ANA PAULA OLIVEIRA SOUZA</t>
  </si>
  <si>
    <t>Jardim Angela</t>
  </si>
  <si>
    <t>Paula ribeiro</t>
  </si>
  <si>
    <t>coordenacaomaonoardo@gmail.com</t>
  </si>
  <si>
    <t>(11)94078-3222</t>
  </si>
  <si>
    <t>Me chamo Ana Paula Ribeiro tenho 43 anos ,sou de são Paulo sou uma líder social na região leste .atuo no meu trabalho social a 23 anos trazendo o empoderamento social , engajando as oficinas cultural, sporte, educação e lazer..</t>
  </si>
  <si>
    <t>Mulher, transgênero</t>
  </si>
  <si>
    <t>Rua Rio uruu número</t>
  </si>
  <si>
    <t>Casa 8</t>
  </si>
  <si>
    <t>José Bonifácio</t>
  </si>
  <si>
    <t>08215-580</t>
  </si>
  <si>
    <t>@negraRara</t>
  </si>
  <si>
    <t>https://drive.google.com/open?id=1TPONM5_mA8YyulITWmDE8J2mZ_E_Z0lg</t>
  </si>
  <si>
    <t>Jaciane</t>
  </si>
  <si>
    <t>Costa damasceno lima roberto</t>
  </si>
  <si>
    <t>jaciane.cd@gmail.com</t>
  </si>
  <si>
    <t>Ola * sou jaciane * licenciada em educação física* coach*  empreendedora social* diretora executiva da rede de ensino CIFOP* diretora da ong ACUP * mãe* esposa e sempre posta a servi.</t>
  </si>
  <si>
    <t>rua são pedro</t>
  </si>
  <si>
    <t>alto do potengi</t>
  </si>
  <si>
    <t>jacylima.oficial</t>
  </si>
  <si>
    <t>https://drive.google.com/open?id=1T-DFcSN06gNqxIw969HamOXmT9kVx_TF</t>
  </si>
  <si>
    <t>johny</t>
  </si>
  <si>
    <t>Everton firmino da silva</t>
  </si>
  <si>
    <t>Diretor</t>
  </si>
  <si>
    <t>Johny Everton Firmino da silva (Kamal), tenho 31 anos de idade, sou brasileiro, natural da cidade de Montanhas residente da cidade de Natal. Autor e Criador do  projeto de investimento social ABC Hip-Hop Kids, onde oferecemos aulas gratuitas de danças urbanas tendo em vista e como objetivo estimular e inserir crianças e adolescentes ao universo artístico através da cultura Hip-Hop,  na periferia da Zona Norte de Natal; Atualmente sou graduando do curso de L. dança pela UFRN e investidor social.</t>
  </si>
  <si>
    <t>rua joaquim luiz</t>
  </si>
  <si>
    <t>Nossa Senhora da Apresentação</t>
  </si>
  <si>
    <t>https://www.instagram.com/kamalartistapotiguar/</t>
  </si>
  <si>
    <t>https://drive.google.com/open?id=1Wpk3V6fdUQvLRQR_hBO_qYAQexmndDyX</t>
  </si>
  <si>
    <t>Edson de moura</t>
  </si>
  <si>
    <t>projetobayernzinho@gmail.com</t>
  </si>
  <si>
    <t>Gestor de Projetos</t>
  </si>
  <si>
    <t>Me chamo Edson Moura, possuo formação acadêmica em Meio Ambiente e complementar em Gestão Empresarial. Atuei na Petrobras como Gestor de Planejamento e Controle de Custos e Produção por mais de 30 anos. Me desliguei da empresa em 2017 e desde então atuo com Consultor de Negócios.
Com essa mudança profissional, ganhei tempo para atuar como investidor social. Foi assim que cheguei ao Projeto Bayernzinho, no qual estou formalmente no cargo de secretário, mas atuo como Gestor de Projetos.</t>
  </si>
  <si>
    <t>Rua do Urânio</t>
  </si>
  <si>
    <t>Lagoa Nova</t>
  </si>
  <si>
    <t>59076-390</t>
  </si>
  <si>
    <t>http://www.linkedin.com/in/jedsonmoura</t>
  </si>
  <si>
    <t>https://www.instagram.com/bpp.cc</t>
  </si>
  <si>
    <t>https://drive.google.com/open?id=1UdKEnQVdA5wRn22LAA9nGmXy-Xsl5aKY</t>
  </si>
  <si>
    <t>Julianderson</t>
  </si>
  <si>
    <t>Sou julianderson* cara apaixonado pelo esporte pelo Bodyboarding* pelo Surf* pela natureza* Tenho 33 anos* pai da Júlia tem 8 anos* casado* cara que gosta de viajar principalmente para os campeonatos e levar a molecada né da nova geração do esporte no qual venho trabalhando em projetos sócias* usando o esporte como ferramenta de inclusão social alguns anos aqui na minha comunidade. sou de Natal Rio Grande do Norte especificamente do bairro de Mãe Luíza* Tenho 33 anos* gosta de vários tipos de música* gosto de assistir filmes e  principalmente séries documentais filmes baseado em histórias reais* flamenguista* americano e nordestino de corpo e alma!</t>
  </si>
  <si>
    <t>Rua São Francisco</t>
  </si>
  <si>
    <t>Mãe luiza</t>
  </si>
  <si>
    <t>59014-250</t>
  </si>
  <si>
    <t>Ansiedade</t>
  </si>
  <si>
    <t>https://instagram.com/julianderson_bodyboard?utm_medium=copy_link</t>
  </si>
  <si>
    <t>Rugel vaz</t>
  </si>
  <si>
    <t>andersonrugelvaz@gmail.com</t>
  </si>
  <si>
    <t>(11)98039-7839</t>
  </si>
  <si>
    <t>Anderson Negrão 
Esposa da Katinha (Katia), pai de cinco filhos lindos, professor de artes marciais atleta competidor multicampeão, pentacampeão mundial jiu-jitsu pela CBJJE , um expoente de transformação nascido e criado no jaçanã periferia da Zn de São Paulo ,conseguindo vencer o assédio das drogas e da criminalidade,  se tornando um pai de família,  empresário e empreendedor social. E sendo um referencial  e diferencial para a sociedade.</t>
  </si>
  <si>
    <t>Ensino Fundamento - Completo</t>
  </si>
  <si>
    <t>Avenida Lazar Segall</t>
  </si>
  <si>
    <t>Casa 2</t>
  </si>
  <si>
    <t>Villa Celeste</t>
  </si>
  <si>
    <t>02543-010</t>
  </si>
  <si>
    <t>Anderson Negrão impactando gerações</t>
  </si>
  <si>
    <t>https://instagram.com/negrao.anderson?r=nametag</t>
  </si>
  <si>
    <t>https://drive.google.com/open?id=1i8tO4eXLd83t9Etkl39St9KyLJdW2wwg</t>
  </si>
  <si>
    <t>Andresa</t>
  </si>
  <si>
    <t>Silveira</t>
  </si>
  <si>
    <t>andresasilveira4@gmail.com</t>
  </si>
  <si>
    <t>Me chamo Andresa*tenho 46 anos*2 filhos*solteira* Psicóloga. Desde 2016 faço ações no território da Z.Norte de SP.*e criei com ajuda da minha família e uma amiga* o Instituto Silveira Marques com intuito de criar um espaço de fortalecimento de vínculos e inteligência emocional para as crianças da favela.</t>
  </si>
  <si>
    <t>Rua Itapaje</t>
  </si>
  <si>
    <t>Vl.Nova Cachoerinha</t>
  </si>
  <si>
    <t>02612 050</t>
  </si>
  <si>
    <t>www.linkedin.com/in/andresa-silveira-psicologia-clinica-junguiana-688799b0</t>
  </si>
  <si>
    <t>www.instagram.com/@_andresasiveirapsicologa</t>
  </si>
  <si>
    <t>https://drive.google.com/open?id=1T8zUC8oVVj2kuPEB7OxgzxBisBD0zJEg</t>
  </si>
  <si>
    <t>Baruc</t>
  </si>
  <si>
    <t>Vendito batista</t>
  </si>
  <si>
    <t>32035616-4</t>
  </si>
  <si>
    <t>South America director WATERisLIFE.com 
Founder and CEO WATERisLIFE Brasil
“Think Big, Start small, Act now”
The only reason I'm here, alive, is to Help People and Build a Better World together.
-Help People and Save Lives 
-Impact Communities 
-Sustainable World
-Protect our Planet 
-Be Compliance
-Be Resilience 
-Be Grateful 
-Spread Love
-The Power of WATER
"Together We Can Chang It"</t>
  </si>
  <si>
    <t>Benedito Alegre</t>
  </si>
  <si>
    <t>Estiva-Gerbi</t>
  </si>
  <si>
    <t>13857-000</t>
  </si>
  <si>
    <t>https://br.linkedin.com/in/barucvendito</t>
  </si>
  <si>
    <t>https://www.instagram.com/barucvenditto/</t>
  </si>
  <si>
    <t>https://drive.google.com/open?id=1htHs3ZkgTiiJ8Kt8SPEcQq17UfTJhsKX</t>
  </si>
  <si>
    <t>Marcondes anastacio</t>
  </si>
  <si>
    <t>brunomarcondesanastacio@hotmail.com</t>
  </si>
  <si>
    <t>34 anos, engenheiro ambiental e sanitarista e formando em Direito, além de Educador Social e Ambiental, Técnico em Segurança no Trabalho e Bombeiro Civil, BRUNO MARCONDES ANASTACIO, cria do Jardim Conceiçãozinha, Guarujá, tem como missão levar convicção para SALVAR VIDAS, principalmente aos jovens das favelas, que assim como ele podem ir além, alterando assim o destino das Comunidades do Brasil, e renovando a esperança de quem hoje só consegue pensar em como alcançar o pão de cada dia.</t>
  </si>
  <si>
    <t>https://br.linkedin.com/in/bruno-marcondes-anastacio-6b3b3b95</t>
  </si>
  <si>
    <t>instagram.com/bruno_m_anastacio</t>
  </si>
  <si>
    <t>https://drive.google.com/open?id=17C3K54sNOr8rbZBZSHiYk5RwCcEAD5eV</t>
  </si>
  <si>
    <t>Caio</t>
  </si>
  <si>
    <t>César teixeira</t>
  </si>
  <si>
    <t>caio@usinadosatos.org.br</t>
  </si>
  <si>
    <t>(11)98832-1253</t>
  </si>
  <si>
    <t>Diretor-Presidente</t>
  </si>
  <si>
    <t>Graduado em Comunicação Social com habilitação em RP e Pós-Graduado em Gestão Cultural. É educador, produtor e gestor cultural, tendo atuado em Casas de Cultura, Centros Culturais e no Projeto 1ª CENA do Instituto Usina dos Atos. É Autor e Diretor das peças “Dias de Chuva. Véspera de Sol” (2011) e “Inclassificáveis” (2014). Coordenou a Produção dos espetáculos “Cemitério dos Vivos” e “Adolescer [Indefinido] (2016), “Tempo sem Canto” e “Temporário” (2017), “Periferia Esperança” (2019). </t>
  </si>
  <si>
    <t>Aldemar</t>
  </si>
  <si>
    <t>https://www.linkedin.com/in/caioc-teixeira/</t>
  </si>
  <si>
    <t>https://www.instagram.com/caito_ct/</t>
  </si>
  <si>
    <t>https://drive.google.com/open?id=14-8OnF6QzZqnLwiej1YYcb4sYkf04LRu</t>
  </si>
  <si>
    <t>Dervage da silva</t>
  </si>
  <si>
    <t>caiodervage27@gmail.com</t>
  </si>
  <si>
    <t>(11)9677-90288</t>
  </si>
  <si>
    <t>Professor de Educação Física</t>
  </si>
  <si>
    <t>Eu sou o Caio papai do Rafael e da Clara, casado com a Camila. Sou formado em Educação Física.
Toda minha experiência profissional foi no terceiro setor, trabalhei por 02 anos com medida sócio educativa, depois inicie um projeto piloto de uma academia para portadores de hiv permaneci por 06 anos e hoje trabalho como oficineiro em um CDCM e de maneira CLT no Centro de Recuperação e Educação Nutricional.
Sou fascinado com o trabalho em grupo e com protagonismo juvenil</t>
  </si>
  <si>
    <t>Sacadura Cabral</t>
  </si>
  <si>
    <t>Casa 07</t>
  </si>
  <si>
    <t>Vila Julia</t>
  </si>
  <si>
    <t>08551-330</t>
  </si>
  <si>
    <t>@caiodervage</t>
  </si>
  <si>
    <t>https://drive.google.com/open?id=1q1dT4_8jCA8CV4bWK78gQ7gmvlb1Osfk</t>
  </si>
  <si>
    <t>Vinicius cuadrado garcia</t>
  </si>
  <si>
    <t>caiofalcons@gmail.com</t>
  </si>
  <si>
    <t>É designer gráfico com experiência de mais de 15 anos
Sempre envolvido com voluntariado, pós graduou em gestão de projetos sociais e em gestão social, políticas públicas e defesa de direitos. Atuou em organizações do terceiro setor como educador social, coordenador e comunicação.
Formado em Design Gráfico pela UMC, pós graduado em Gestão de Projetos Sociais pela Flam e pós graduado o em Gestão Social de Políticas Públicas e Defesa de Direitos pela Unopar.</t>
  </si>
  <si>
    <t>Avenida Gilberto Rodrigues de Souza</t>
  </si>
  <si>
    <t>Jardim camila</t>
  </si>
  <si>
    <t>08720-230</t>
  </si>
  <si>
    <t>https://www.linkedin.com/in/caiocuadrado</t>
  </si>
  <si>
    <t>https://www.instagram.com/caiocuadrado</t>
  </si>
  <si>
    <t>https://drive.google.com/open?id=1elfHJjbNYc5D_gUXGZ0oW7Jl2hVgc7Pr</t>
  </si>
  <si>
    <t>Cassia</t>
  </si>
  <si>
    <t>Doroti silva de farias</t>
  </si>
  <si>
    <t>Sou uma mulher super de bem com a vida* me entristeço ao ver situações causadas pela falta de oportunidades* procuro fazer a diferença na vida das pessoas onde convivo* se não posso ajudar com o material ao menos na empatia* com uma palavra de ânimo* procuro fazer a diferença no  meu local de trabalho*  deixar um pouco mais leve* sorrindo mais* fazendo as pessoas ao meu redor se sentirem bem* mais leves pois a vida já  é  tão  difícil.</t>
  </si>
  <si>
    <t>Rua Jean Meyer</t>
  </si>
  <si>
    <t>Jardim das Carmelitas</t>
  </si>
  <si>
    <t>08275-640</t>
  </si>
  <si>
    <t>Cassia/Farias</t>
  </si>
  <si>
    <t>https://drive.google.com/open?id=1XulEWimax2WJSxW_F8l37ZtUxeeFBgyR</t>
  </si>
  <si>
    <t>Cibele</t>
  </si>
  <si>
    <t>Da conceicao campos</t>
  </si>
  <si>
    <t>cibelle.campos.ca@gmail.com</t>
  </si>
  <si>
    <t>Me chamo Cibele* tenho 41 anos sou Mãe de um adolescente de 16 anos*chamado Fernando. Sou  técnica de segurança do trabalho atuante desde o ano de 2009 * Estudante do 4° ano de Direito* moro na região de Parelheiros* conhecido como Extremo Sul da capital. Mas horas vagas* gosto de ouvir músicas e conversar com amigos!</t>
  </si>
  <si>
    <t>04890-185</t>
  </si>
  <si>
    <t>www.linkedin.com/in/cibele-campos-38555035</t>
  </si>
  <si>
    <t>belle.campos</t>
  </si>
  <si>
    <t>Djalma</t>
  </si>
  <si>
    <t>Nunes ferreira</t>
  </si>
  <si>
    <t>djalmanunes.consultor@gmail.com</t>
  </si>
  <si>
    <t>Solteiro, 41 anos de idade, cristão, pai de uma filha de 11 anos e com o sonho de ter a maior Ong de distribuição gratuita de assessórios de mobilidade com recursos ambientais, matar a fome, frio e a sede de pessoas em situação de vulnerabilidade social.</t>
  </si>
  <si>
    <t>Rua Cândido José de Andrade</t>
  </si>
  <si>
    <t>03807-030</t>
  </si>
  <si>
    <t>https://www.linkedin.com/in/djalma-nunes-609a09ab/</t>
  </si>
  <si>
    <t>https://www.instagram.com/djalmanunes_/</t>
  </si>
  <si>
    <t>https://drive.google.com/open?id=1kjvfjghNti_llx9gXaHaIqXHTYhr2buE</t>
  </si>
  <si>
    <t>Douglas</t>
  </si>
  <si>
    <t>Fernando de assis silva</t>
  </si>
  <si>
    <t>douglasfernandodeassissilva@gmail.com</t>
  </si>
  <si>
    <t>Vice Preaidente</t>
  </si>
  <si>
    <t>Me chamo Douglas Fernando de Assis Silva, homem, negro, periférico. Filho, marido e pai. Morei em comunidade por 8 anos, no tempo em que as comunidades se chamavam favelas, sim fui chamado de favelado. Estive ao lado dela quando meu padrasto chegava na madrugada querendo roubar nosso botijão de gás, fui na biqueira recuperar nossa televisão que havia sido vendida em troca de pedra. Com muita dificuldade completei meus estudos.</t>
  </si>
  <si>
    <t>Burgo Paulista</t>
  </si>
  <si>
    <t>@douglasfernandoreal</t>
  </si>
  <si>
    <t>https://drive.google.com/open?id=1YKtEYbWfXWVi9pFkx6cj9GK0SqeOwAJy</t>
  </si>
  <si>
    <t>edson.japao@hotmail.com</t>
  </si>
  <si>
    <t>(11)96420-1382</t>
  </si>
  <si>
    <t>28843912-0</t>
  </si>
  <si>
    <t>Diretor de Operações</t>
  </si>
  <si>
    <t>Edson Japão, filho da dona Nil e do "seu" Abrahão, casado com a Erika, pai do Luigi e do Matheus, criado na periferia da zona sul de São Paulo, empreendedor social, criador do projeto #EuAchoUmAbsurdo em 2014, autor do livro A ESCADA, formado em Administração de Empresas, líder RenovaBR, líder Gerando Falcões, co-fundador e Diretor de Operações do Evoluir Instituto de Educação e Cidadania e prova viva de que a Educação é a porta de saída para uma Brasil melhor.</t>
  </si>
  <si>
    <t>Rua Horácio Alves da Costa</t>
  </si>
  <si>
    <t>Jd. Nosso Lar</t>
  </si>
  <si>
    <t>04401-000</t>
  </si>
  <si>
    <t>https://www.linkedin.com/edsonjapaobr</t>
  </si>
  <si>
    <t>https://instagram.com/edsonjapaobr</t>
  </si>
  <si>
    <t>https://drive.google.com/open?id=11P8gf-PVl4Hz3tyVKZU7gagoAy_vA2ot</t>
  </si>
  <si>
    <t>Luciano pizaroli</t>
  </si>
  <si>
    <t>edupizaroli@gmail.com</t>
  </si>
  <si>
    <t>Pesquisador iniciado e batizado na tradição HUNI KUIN, formado em administração de empresas.
Minha apreciação pela biodiversidade e convivência com os Povos Originários, me encorajaram a me tornar um empreendedor social, voltado para projetos que visam a conscientização, apoio às culturas indígenas e à preservação da Floresta Amazônica.
Meu   sonho   é   levar   esses   projetos   para 
todas   as   aldeias,   de   todas   as   etnias. 
Do   Brasil   para   o   mundo!    -  TETE BERU</t>
  </si>
  <si>
    <t>Antônio Arantes</t>
  </si>
  <si>
    <t>linkedin.com/in/institutonawa</t>
  </si>
  <si>
    <t>@institutonawa</t>
  </si>
  <si>
    <t>https://drive.google.com/open?id=19q4jDxBhv5lSMysDKMnqKn4pad3AEp5A</t>
  </si>
  <si>
    <t>Sayonara</t>
  </si>
  <si>
    <t>Galdino barbosa</t>
  </si>
  <si>
    <t>sara.sayonara@gmail.com</t>
  </si>
  <si>
    <t>Sayonara* 33 anos* cursando gestão das organizações do terceiro setor. inicie a carreira como voluntária do projeto sítio cipó*  e depois de 4 anos* sou líder do instituto semear!
Atualmente sou responsável pelo instituto semear e projeto sítio cipó.
Meu sonho é ver a favela transformada através da educação e do empreendedorismo!
Amo servir as pessoas!</t>
  </si>
  <si>
    <t>Cod. Crisântemo</t>
  </si>
  <si>
    <t>Quadra 37 bloco 37 AP 05</t>
  </si>
  <si>
    <t>Luiz bezerra Torres ll</t>
  </si>
  <si>
    <t>https://instagram.com/saragaldinobarbosa?utm_medium=copy_link</t>
  </si>
  <si>
    <t>https://drive.google.com/open?id=1Okes5Z737NEI0aUfQY8kQSunP_s0hF6C</t>
  </si>
  <si>
    <t>Taylor</t>
  </si>
  <si>
    <t>Alberes pontes</t>
  </si>
  <si>
    <t>Presedente</t>
  </si>
  <si>
    <t>Meu nome e Taylor alberes pontes eu só presedente do instituto judô registando vidas e tenho um grande sonho de um dia pode crescer meu projeto jutamente com a gerando falcões ser Deus quiser.</t>
  </si>
  <si>
    <t>Av Izabel de Góes</t>
  </si>
  <si>
    <t>Areais</t>
  </si>
  <si>
    <t>50870-270</t>
  </si>
  <si>
    <t>Instituto judô registando vidas</t>
  </si>
  <si>
    <t>https://drive.google.com/open?id=1HCUP9jQN26Qm0a6dVhBZU32FcDhXXP1z</t>
  </si>
  <si>
    <t>Thais</t>
  </si>
  <si>
    <t>Monique Gervásio de Moraes Wanderley</t>
  </si>
  <si>
    <t>thaismonik25@gmail.com</t>
  </si>
  <si>
    <t>Fazer o bem faz bem</t>
  </si>
  <si>
    <t>Rua bosque</t>
  </si>
  <si>
    <t>https://drive.google.com/open?id=1q7jxyRJ-znvLDQHFUadn5i-rMxxa-1AP</t>
  </si>
  <si>
    <t>THIAGO</t>
  </si>
  <si>
    <t>Alves gomes</t>
  </si>
  <si>
    <t>talvesg16@gmail.com</t>
  </si>
  <si>
    <t>(83)99649-1354</t>
  </si>
  <si>
    <t>3379988/SSDS-PB</t>
  </si>
  <si>
    <t>COLABORADOR</t>
  </si>
  <si>
    <t>Sou Thiago Alves, tenho 33 anos. A minha QUEBRADA se chama Róger e fica em Jampa, na Paraíba. Meus amigos da favela quando me veem hoje, se espantam com meu progresso: falando francês, coordenando projetos e dando aula de informática. Sou uma das crias da ONG Piollin. Tudo que aprendi se deve a este projeto social e a um ARTE-EDUCADOR CHAMADO HÉRCULES FÉLIX. Tudo que VENHO construindo nesta jornada é puramente visceral. Trabalhar com projeto social me faz esquecer o tempo e as horas.</t>
  </si>
  <si>
    <t>R. Saldanha da Gama</t>
  </si>
  <si>
    <t>AP 301</t>
  </si>
  <si>
    <t>RÓGER</t>
  </si>
  <si>
    <t>58020-240</t>
  </si>
  <si>
    <t>https://www.linkedin.com/in/thiago-alves-a20278219/</t>
  </si>
  <si>
    <t>https://www.instagram.com/tagjpa/</t>
  </si>
  <si>
    <t>https://drive.google.com/open?id=15-c3u4UvtBJAJKWCM81WMRBQVW5uTX2n</t>
  </si>
  <si>
    <t>Walleska</t>
  </si>
  <si>
    <t>Figueiredo magalhães</t>
  </si>
  <si>
    <t>walleskasocial2021@gmail.com</t>
  </si>
  <si>
    <t>Walleska  Figueiredo Magalhães *  40 anos* casada* 03 filhos* cursa o 4 periodo de serviço social* técnica de enfermagem*  função  que exercer atualmente  no hospital  universitário 
Osvaldo Cruz  e Prefeura Municipal  de Olinda  Coordena atualmente   a ONGCEJUMIC e faz   parte do grupo feminista Mulhe Art e Ação.    Conheçe de perto a realidade da periferia da comunidade  do Engenho  Maranguape* na qual atua ha mais de 20 anos .</t>
  </si>
  <si>
    <t>Rua vereador João Fonseca de Albuquerque</t>
  </si>
  <si>
    <t>Pau Amarelo</t>
  </si>
  <si>
    <t>53.423-833</t>
  </si>
  <si>
    <t>https://www.instagram.com/invites/contact/?i=d3icefuxnnhd&amp;utm_content=1lfnwwx</t>
  </si>
  <si>
    <t>https://drive.google.com/open?id=1H01Dg1GEEdDXpmkdJFCo5vw-uKJl-HLo</t>
  </si>
  <si>
    <t>Adriana</t>
  </si>
  <si>
    <t>Do amaral silva</t>
  </si>
  <si>
    <t>adrianamake@gmail.com</t>
  </si>
  <si>
    <t>874058-5-SSP/SE</t>
  </si>
  <si>
    <t>Em busca de soluções sociais para problemas que persistem* mas não mais justificam numa sociedade 5G. Sou uma mulher que somente após criar os filhos pude estudar e me especializar na área com a qual poderei contribuir de forma além empírica para a sociedade.</t>
  </si>
  <si>
    <t>Alex</t>
  </si>
  <si>
    <t>Pereira de souza</t>
  </si>
  <si>
    <t>diretor@institutonaif.org</t>
  </si>
  <si>
    <t>(21)96672-5979</t>
  </si>
  <si>
    <t>Alex Pereira
Fundador do @institutonaif 
Diretor Executivo e Empreendedor Social</t>
  </si>
  <si>
    <t>https://drive.google.com/open?id=1eofNdRdJGywYOGiJuT9mypy5nEtT8myB</t>
  </si>
  <si>
    <t>Beatriz lucio freire</t>
  </si>
  <si>
    <t>biafreiree25@gmail.com</t>
  </si>
  <si>
    <t>29.826.334-4</t>
  </si>
  <si>
    <t>Ana Beatriz* filha da Diva e do Jorge* nascida em Queimados na Baixada Fluminense e atualmente sou moradora do subúrbio carioca.
 Defensora da educação de qualidade e a escola como local de potência em territórios e vidas. Cursei meu ensino médio no I.E. Carmela Dutra* uma escola normalista que me entregou o diploma de Professora de E.I. 
Estou junto com o Projeto Jacaré Basquete* uma colaboração coletiva que vê o esporte como ferramenta de transformação de realidades. Oferecemos gratuitamente treinos de basquete para crianças e adolescentes que morem na Favela do Jacarezinho.</t>
  </si>
  <si>
    <t>Rua Vlaminck</t>
  </si>
  <si>
    <t>Del Castilho</t>
  </si>
  <si>
    <t>https://www.linkedin.com/in/anabeatriz-freire/</t>
  </si>
  <si>
    <t>https://www.instagram.com/biafree_/</t>
  </si>
  <si>
    <t>https://drive.google.com/open?id=1O_sJeycCFlGKBUuTcMGwhCNeiLPz4CkV</t>
  </si>
  <si>
    <t>Carolina dos santos nascimento</t>
  </si>
  <si>
    <t>meher.dangt@gmail.com</t>
  </si>
  <si>
    <t>26.444.213-8</t>
  </si>
  <si>
    <t>Coordenadora de projetos
Técnico em Hotelaria* Hotel Escola Bela Vista
Estudante de Relações Internacionais* na universidade Estácio de Sá
Fundadora e Diretora Geral da Rede Ablan
Coordenadora Financeira na Articulação Brasileira de Lésbicas -ABL
Conselheira fiscal no Grupo Mulheres Felipa de Sousa
Diretora financeira no Instituto Brasileiro de Lésbicas
Conselheira Municipal dos Direitos da Pessoa com Deficiência CMDPD de Quatis
Membra do Fórum Permanente de Educação - FPE de Quatis
Membra do Fórum ONG/AIDS do Estado do Rio de Janeiro.</t>
  </si>
  <si>
    <t>Rua Dr. Afonso de Freitas Lustosa</t>
  </si>
  <si>
    <t>Nossa Senhora do Rosário</t>
  </si>
  <si>
    <t>27430-040</t>
  </si>
  <si>
    <t>https://drive.google.com/open?id=1TSSX-7tp0nUxmMCLNn0vUPpyGAgpKm0Q</t>
  </si>
  <si>
    <t>Da conceição dos santos</t>
  </si>
  <si>
    <t>andersonsantosagp@gmail.com</t>
  </si>
  <si>
    <t>27309721-2</t>
  </si>
  <si>
    <t>Sou Anderson Santos natural do Rio de Janeiro, fundador do Projeto Uniao  Parque, aonde cuidamos de crianças jovens e adolescentes, em vulnerabilidade social nosso maior objetivo é mostra para esses jovens e crianças que tem como sim viver uma vida longe da violência e das drogas através da nossa oficina de futebol já encaminhamos 5 jogadores nossos para fazer avaliação no time do Fluminense e Nova Iguaçu nós acreditamos que o esporte ele tem poder de transformar vidas.</t>
  </si>
  <si>
    <t>Rua do cravo 125 parque primavera</t>
  </si>
  <si>
    <t>Itaguaí- Chapero</t>
  </si>
  <si>
    <t>23830-100</t>
  </si>
  <si>
    <t>https://www.instagram.com/p/Cc_megbpDFD/?igshid=YmMyMTA2M2Y=</t>
  </si>
  <si>
    <t>https://drive.google.com/open?id=1U1OgFxNH0exPq5yQWYiyhZyzSjn1AG92</t>
  </si>
  <si>
    <t>Da silva costa</t>
  </si>
  <si>
    <t>andersonsurfclass@gmail.com</t>
  </si>
  <si>
    <t>2197200-0543</t>
  </si>
  <si>
    <t>21.469.178-4</t>
  </si>
  <si>
    <t>Eu me chamo * Anderson tenho 33 anos e moro na comunidade do cantagalo* e eu iniciei no projeto com 8nanos de idade como aluno * e hoje sou coordenador do projeto social Favela surf clabe.</t>
  </si>
  <si>
    <t>Saint Roman</t>
  </si>
  <si>
    <t>Neto de oliveira</t>
  </si>
  <si>
    <t>netodeoliveirab@gmail.com</t>
  </si>
  <si>
    <t>ME CHAMO BIANCA* SOU CASADA* MÃE DE DOIS FILHOS* TENHO 39 ANOS* SOU MORADORA DO COMPLEXO DO ALEMÃO RJ. DESDE MUITO CEDO ME DEDICO A AÇÕES SOCIAIS* E AGORA ESTOU REALIZANDO ESSE SONHO DE TER A MINHA ONG E PODER FAZER AJUDAR MAIS PESSOAS.</t>
  </si>
  <si>
    <t>RUA ARISTÓTELES FERREIRA</t>
  </si>
  <si>
    <t>BOSUCESSO</t>
  </si>
  <si>
    <t>https://drive.google.com/open?id=1wn8v-vZMokyrYiVJLlfLldHgoQCSju4i</t>
  </si>
  <si>
    <t>ClÃ¡udia</t>
  </si>
  <si>
    <t>Alves de oliveira</t>
  </si>
  <si>
    <t>claudiacrescecomunidade@gmail.com</t>
  </si>
  <si>
    <t>Tenho 42 anos* até os meus 21 anos vivi em comunidades e nesta pequena e longa trajetória sempre vivenciei e participei de trabalhos sociais e os menos favorecidos * aprendi desde adolescente a amar o social e fazer o bem ao próximo.</t>
  </si>
  <si>
    <t>Avenida Jaime Poggi</t>
  </si>
  <si>
    <t>Jacarepaguá</t>
  </si>
  <si>
    <t>https://www.instagram.com/claudia__alves79/tv/CYSYB6XjYeg/?utm_medium=copy_link</t>
  </si>
  <si>
    <t>Rubia dantas salgado da silva</t>
  </si>
  <si>
    <t>claudiarubiah443@gmail.com</t>
  </si>
  <si>
    <t>(21)98294-2319</t>
  </si>
  <si>
    <t>07 647971-6</t>
  </si>
  <si>
    <t>Somos um projeto social que a 10 anos vem fazendo uma trabalho de Socialização com a inclusão de crianças especiais (TEA) ou qualquer tipo de Deficiência.  Já ajudamos cerca de 500 famílias Hoje, estamos com 30 crianças em atendimento psicopedagógico com terapias Sensorial com Voluntários. Nossa sede é alugada para manter o espaço faço; Rifa, almoço solidário, vendas de camisetas e canecas do projeto Anjos de Asas no Mundo Azul.</t>
  </si>
  <si>
    <t>Rua Vicente Celestino</t>
  </si>
  <si>
    <t>@Claudiarubiahdantas</t>
  </si>
  <si>
    <t>@claudiarubiah</t>
  </si>
  <si>
    <t>https://drive.google.com/open?id=1EUMQyko7rmlDjLjKa9j7hcB--MhWxDmh</t>
  </si>
  <si>
    <t>Diego</t>
  </si>
  <si>
    <t>Gomes de lima</t>
  </si>
  <si>
    <t>d.diegoglima2@gmail.com</t>
  </si>
  <si>
    <t>Iniciei meus estudos de AudioVisual no Circo Voador em 2007. Na casa gravei shows como a apresentação de Paulinho da Viola, Zeca Pagodinho e bandas como: Nação Zumbi, The Wailers e Bad Brains. Fotografo, Operador de Câmera, Editor e Produtor, participei de diversas produções de vídeo com a produtora MOOV. Rio Parada Funk, Eu Amo Baile Funk, Pimpolhos da Grande Rio, Articulação Teatro de Animação estão entre outros trabalhos que assinei. Desde 2012, idealizo e realizo o CineClube Tia Nilda.</t>
  </si>
  <si>
    <t>Rua dos Araujos</t>
  </si>
  <si>
    <t>Tijuca</t>
  </si>
  <si>
    <t>20521-000</t>
  </si>
  <si>
    <t>https://www.instagram.com/d.diegoglima2/</t>
  </si>
  <si>
    <t>https://drive.google.com/open?id=1YS0lRLaMxbnUTRGIbc7W715Vfjc7UG-M</t>
  </si>
  <si>
    <t>Luciano</t>
  </si>
  <si>
    <t>Inácio tavares</t>
  </si>
  <si>
    <t>lucianoadrcrew@gmail.com</t>
  </si>
  <si>
    <t>Luciano I Tavares
Ensino Superior: Educação Física - Especialista
o meu contato com a dança iniciou no ano de 1998 na comunidade de Mãe Luiza, bairro periférico da cidade do Natal, atuando como dançarino até 2003. Em 11 de abril de 2004, ano da fundado o grupo Art D'Rua, intitulado Amigo não Oferece Drogas, no bairro Nossa Senhora da Apresentação, Natal/RN, continuo atuando para que as comunidades onde o projeto atua, as crianças e jovens continue recebendo assistência de forma gratuita.</t>
  </si>
  <si>
    <t>segunda travessa Presidente Médici</t>
  </si>
  <si>
    <t>Igapó</t>
  </si>
  <si>
    <t>Vegetariana(o)</t>
  </si>
  <si>
    <t>https://instagram.com/prof.lucianotavares?utm_medium=copy_link</t>
  </si>
  <si>
    <t>https://drive.google.com/open?id=1AjXqd6Bd4csw8z7lEfjPI1wirSW21NLN</t>
  </si>
  <si>
    <t>Magno</t>
  </si>
  <si>
    <t>França da silva</t>
  </si>
  <si>
    <t>magnofranca518@gmail.com</t>
  </si>
  <si>
    <t>(83)98825-0153</t>
  </si>
  <si>
    <t>Tesoureiro</t>
  </si>
  <si>
    <t>Graduado em Pedagogia pela Universidade Estadual do Vale do Acaraú - UVA Estado do Ceará(2014), Cursando Jornalismo (Bacharelado) pela Universidade Federal da Paraíba. Líder social pela Falcons University, C0-Fundador da Associação ARTYÔGAPB, Foi Vice-Presidente da Associação Santo Dias, atualmente é tesoureiro da Associação dos Amigos e Residentes do Jardim 13 de Maio (Gestão 2021-2025), colaborando no desenvolvimento de Projetos socioculturais em Organizações Não Governamentais de João Pessoa.</t>
  </si>
  <si>
    <t>Rua Saldanha da Gama</t>
  </si>
  <si>
    <t>APTO 202</t>
  </si>
  <si>
    <t>Róger</t>
  </si>
  <si>
    <t>@magnofranca1984</t>
  </si>
  <si>
    <t>https://drive.google.com/open?id=1INyDHbav6rDUxOgHptfEvB-HuzSAa2fQ</t>
  </si>
  <si>
    <t>Da natividade gomes passos</t>
  </si>
  <si>
    <t>nathypassosykamiabas@gmail.com</t>
  </si>
  <si>
    <t>Artista multimídia *ativista social*coordenadora de Desenvolvimento Institucional do Gacc-RN* produtora de conteúdo de audiovisual * idealizadora do projeto As cores da Vila*que utiliza a arte do grafite como ferramenta de social de mudança para melhoria do território* como empreendedora mantemos  Berimbau hostel social que tem como propósito um turismo popular inclusivo e social.</t>
  </si>
  <si>
    <t>Rua do Currupio</t>
  </si>
  <si>
    <t>Ponta Negra</t>
  </si>
  <si>
    <t>https://instagram.com/nathypassos_5?utm_medium=copy_link</t>
  </si>
  <si>
    <t>https://drive.google.com/open?id=1vdxL8wC3TC9OQui2Gob5g8VgAYtPcmf2</t>
  </si>
  <si>
    <t>De fatima bezerra</t>
  </si>
  <si>
    <t>(84) 994171920</t>
  </si>
  <si>
    <t>Comecei minha historia de Lider em uma comunidade de familias bastantes carentes* onde eu era a parte que ajudava na organização das familias com orientações e começamos buscar aos poderes publicos nossos direitos* conseguir como representanta ir buscar projetos como a busca de construções de reservatorios de agua não so na  inha comunidade Quixaba* mas tambem fui no ano de 2003 a voz do municipio em busca de percerias com ongs* e programas  sociais para beneficiar grupos de familias comunitarias com melhorias hidricas e de moradia digna. Hoje continuo na organização de familias de comunidades carentes com orientações em busca de mudança para nesse país termos vidas dignas e acredito na organização e buscas de direitos a saúde* moradia* agua* alimentos e tudo que pode levar um ser humano a sair da miseria e ser um cidadão de bem. sou ccordenadora da organização FORUM DE ASSOCIAÇOES DE SÃO TOMÉ! mulher* mae de dois filhos criados praticamente sem o pai* sou divorciada com muito orgulho de lutar por vidas dignas.</t>
  </si>
  <si>
    <t>Rua Cremildo Crinario de Araújo</t>
  </si>
  <si>
    <t>Potengi</t>
  </si>
  <si>
    <t>https://drive.google.com/open?id=1o_tbqI4lMFvpdlvxgXC4x6WFXH5dNxbE</t>
  </si>
  <si>
    <t>Dos prazeres herculano da silva</t>
  </si>
  <si>
    <t>Lider</t>
  </si>
  <si>
    <t>Dês e fiel</t>
  </si>
  <si>
    <t>https://drive.google.com/open?id=1-px_7b9AqiI4graA-LAgL6ug5QTqwfZx</t>
  </si>
  <si>
    <t>Joseilda ferreira de brito</t>
  </si>
  <si>
    <t>Moro na cidade de Guarabira *amo viajar *sou muito de ouvir e aprender *amo minha família*tenho dois filhos *um neto e estou no projeto ensinando e aprendendo a cada dia</t>
  </si>
  <si>
    <t>Professor joåo epifanio da costa</t>
  </si>
  <si>
    <t>https://drive.google.com/open?id=1rHserEXsnAhabtHdjOhaKZk33WgqOblD</t>
  </si>
  <si>
    <t>Nelriane</t>
  </si>
  <si>
    <t>Reis pantoja araujo</t>
  </si>
  <si>
    <t>anereis2021@gmail.com</t>
  </si>
  <si>
    <t>1095283-7</t>
  </si>
  <si>
    <t>Meu nome Nelriane Reis Pantoja Araújo tenho 45 anos* moro em Manaus /AM no Bairro Colônia Terra Nova na periferia de Manaus* sou casada tenho 2 filhos adolescentes* sou Assistente Social de formação e sou pós graduada em trabalho social e assistência a família* e atuo na área de assistência social* no Instituto Mulheres em superação na Amazônia - IMES*  responsáveis pelos projetos e oficinas  que são desenvolvido no instituto com as mulheres e suas famílias.</t>
  </si>
  <si>
    <t>Breves</t>
  </si>
  <si>
    <t>Colônia Terra Nova</t>
  </si>
  <si>
    <t>https://www.instagram.com/nelriane_pantoja/</t>
  </si>
  <si>
    <t>https://drive.google.com/open?id=1pQSaaaClbh3ZFWjSdbo6bNEW1MmE7TZW</t>
  </si>
  <si>
    <t>Suelen</t>
  </si>
  <si>
    <t>Karoline prestes araújo</t>
  </si>
  <si>
    <t>suelenaraujo8@gmail.com</t>
  </si>
  <si>
    <t>2647487-5</t>
  </si>
  <si>
    <t>Assistente Social com especialização em Gestão de Políticas Sociais* entusiasta da educação* empreendedora social* presidente/fundadora do Instituto Ágape Manaus* Co-fundadora e Diretora de Desenvolvimento e Protagonismo da Iniciativa Afluentes* membro do Global Shapers Manaus e Assistente de Soluções Duradouras na Visão Mundial.</t>
  </si>
  <si>
    <t>RUA PINHEIRO BRASILEIRO</t>
  </si>
  <si>
    <t>MONTE DAS OLIVEIRAS</t>
  </si>
  <si>
    <t>https://www.linkedin.com/in/suelen-ara%C3%BAjo-15922310a/</t>
  </si>
  <si>
    <t>https://www.instagram.com/suelenaraujo__/</t>
  </si>
  <si>
    <t>https://drive.google.com/open?id=1aIakRJrrnNQI6pYM2dTa4tHlJFuSIxES</t>
  </si>
  <si>
    <t>Wilaneide</t>
  </si>
  <si>
    <t>Da silva campos</t>
  </si>
  <si>
    <t>Ex moradora de rua* mãe* empreendedora* destemida. A minha luto é contra a desigualdade social e contra a violência sobre a mulher.</t>
  </si>
  <si>
    <t>https://instagram.com/wilaneide_campos?utm_medium=copy_link</t>
  </si>
  <si>
    <t>https://drive.google.com/open?id=1qF_q3i7AnClc4oqp_gKB6lgkDG7w_U29</t>
  </si>
  <si>
    <t>Cristina medeiros de lima</t>
  </si>
  <si>
    <t>crismedeirospoa@gmail.com</t>
  </si>
  <si>
    <t>Acadêmica dos cursos de Direito e de Gestão Pública* feminista* antirracista* ativista dos direitos humanos* conselheira tutelar* integrante dos coletivos A Vez das Comunidades* DNÁfrica e Negratividade.</t>
  </si>
  <si>
    <t>Rua Cinco Cefer 2</t>
  </si>
  <si>
    <t>https://www.instagram.com/crismedeirospoa/</t>
  </si>
  <si>
    <t>https://drive.google.com/open?id=1pip8RS_O0RegGFixI5GHr8K-HFQfxkB_</t>
  </si>
  <si>
    <t>Aristonara Müller</t>
  </si>
  <si>
    <t>carla.amuller@gmail.com</t>
  </si>
  <si>
    <t>Acredito que duas coisas podem mudar as pessoas e o mundo: amor e educação. Tento colocar essas duas coisas em tudo que eu faço.</t>
  </si>
  <si>
    <t>https://instagram.com/carlamuller?utm_medium=copy_link</t>
  </si>
  <si>
    <t>https://drive.google.com/open?id=1OGkEOsC_2v9Hhk5tdonIKLlV4iG6tvlX</t>
  </si>
  <si>
    <t>Ceureci</t>
  </si>
  <si>
    <t>Fátima santiago ramos</t>
  </si>
  <si>
    <t>ceureciramos@gmail.com</t>
  </si>
  <si>
    <t>Casada* com Devanir Ramos *mãe de 3 filhos *vovó de um lindo Neto *formada em pedagogia em 1999* paranaense da cidade de Santo Antônio sudoeste*ex empresária do ramo têxtil * hoje se dedica a ong aciesp  a qual foi fundadora cuidando de mulheres vítimas de violencia doméstica e seus familiares em situação de extrema pobreza.</t>
  </si>
  <si>
    <t>Rua da Beira mar</t>
  </si>
  <si>
    <t>Copavilla ll</t>
  </si>
  <si>
    <t>79097-100</t>
  </si>
  <si>
    <t>https://www.instagram.com/invites/contact/?i=draji9vq0nl6&amp;utm_content=o0rj2q</t>
  </si>
  <si>
    <t>https://drive.google.com/open?id=1GGYFJ08MwDfc6GMEX2czdskzObwA4eFb</t>
  </si>
  <si>
    <t>Soares gerczewski</t>
  </si>
  <si>
    <t>19737535-2</t>
  </si>
  <si>
    <t>Meu nome é Eliane* sou brasileira* casada* resido em Itapecerica da Serra- SP mas nasci em São Paulo capital.
Somos uma família de  9 irmãos* perdemos nosso pai a 20 anos falecido de câncer*  e a nossa mãe a 9 meses vitima de Covid 19 .
Meu trabalho em comunidade nasceu em 1980 através de um padre Italiano época das comunidades eclesiais de base com um projeto para crianças  mantida pela Igreja católica italiana* o padre foi embora para a Amazonas em 1990 e fui junto server a Missão com ele mas não deu certo* a temperatura la era muito elevada e voltei fiquei 3 meses.
Ao retornar para São Paulo o padre alemão local me convidou para retomar o projeto com as crianças assumi junto com outros convidados do padre.
Este projeto era mantido pela Alemanha (igreja)
 Dez anos depois tivemos um problema  politico com o Pe alemão sai do projeto* as famílias não queriam deixar os filhos com a nova direção realizaram manifestações... e por isto tive que levar as crianças para dentro da minha casa* desocupei minha sala e acolhi as crianças* e com isto meu esposo me apoio e foi em busca de parceria.
Em uma lista de 10 empresas na Alemanha* 04 despertou o interesse mas não deu resposta positiva* e 1 disse sim vamos ajudar.  
Compramos um terreno de 6.338mts e realizamos a construção de 120mts2 onde hoje realizamos o nosso trabalho com a comunidade.
Nosso quadro de funcionários:03 professores* 01 cozinheira* 01 coordenadora Pedagógica* 01 aux de serviços gerais* 01 diretora.
Minha mãe era a cozinheira desde o inicio do projeto* hoje estamos em buscar de outra contração. Para nos perder a nossa mãe foi um desiquilíbrio muito grande* pois nunca esperávamos perde-la por uma doença maldita e solitária.</t>
  </si>
  <si>
    <t>RUA SANTOS DUMONT</t>
  </si>
  <si>
    <t>JARDIM JACIRA</t>
  </si>
  <si>
    <t>ellygerczewski@hotmail.com</t>
  </si>
  <si>
    <t>https://drive.google.com/open?id=14-QzNOLcw3_qC3PNnnXpvMD14rNBiiIT</t>
  </si>
  <si>
    <t>Elizabete</t>
  </si>
  <si>
    <t>Assunção da silva</t>
  </si>
  <si>
    <t>eliassuncaosilva@gmail.com</t>
  </si>
  <si>
    <t>46632945-3</t>
  </si>
  <si>
    <t>Inscrita no Conselho Regional de Contabilidade do Estado
de São Paulo sob nº 300348/O-2 e Pós Graduada em
Gestão Tributária pela Faculdade Trevisan Escola de
Negócios.
Contadora há mais de 7 anos e possuídora de excelentes
resultados em Inovação nas implantações de processos
com foco em gestão condominial. Além de uma larga
experiência nas áreas de: Gerência* Administração*
Comercial e Financeira.</t>
  </si>
  <si>
    <t>ESTRADA DOS FERNANDES</t>
  </si>
  <si>
    <t>2.000 - ap 403 bl 13</t>
  </si>
  <si>
    <t>PARQUE SANTA ROSA</t>
  </si>
  <si>
    <t>Flávia</t>
  </si>
  <si>
    <t>Araújo alves</t>
  </si>
  <si>
    <t>Sou Flávia Araújo nascida em Maio 1977 na cidade do Rio de Janeiro... tenho um esposo dedicado e 2 Filhas Lindas Annelize e Alice ... Hoje sou Mais conhecida como Tia Flávia*  desde sempre  Alegre e extrovertida com todos ao meu redor* mesmo tendo passado por momentos muito difíceis na minha Infância* tinha um Padastro Agressor e passavamos Fome Literalmente... Mas os anos passaram e com um Amor Gigante pelas Crianças quero fazer com que "elas" tenham uma Infância Feliz e Longe da Fome* essa é minha Meta... Que com muito pouco recurso* mas com muita garra já estamos fazendo pelas Crianças de 4 Favelas em Cidade Tiradentes... E  em 2022 vamos continuar a Todo Vapor em busca de mais conhecimento para a grande expansão !</t>
  </si>
  <si>
    <t>Rua Dos Têxteis</t>
  </si>
  <si>
    <t>Chacara santa Etelvina</t>
  </si>
  <si>
    <t>https://drive.google.com/open?id=1MVApdFAaNsCwnKU_vzJc2uPv9LPvf3te</t>
  </si>
  <si>
    <t>Gonçalves</t>
  </si>
  <si>
    <t>fgoncalves.fgd@gmail.com</t>
  </si>
  <si>
    <t>Meu nome é Flávia Gonçalves* tenho 39 anos* casada e com uma filha de 2 meses. Sou cirurgiã-dentista* professora universitária e pesquisadora*  trabalho com o desenvolvimento de biomateriais para odontologia. Sou diretora no JEDA a pouco mais de um ano* voluntária* e tenho o desejo que possamos de fato* fazer alguma diferença positiva na sociedade* promovendo transformação social.</t>
  </si>
  <si>
    <t>Rua Francisco Ferreira</t>
  </si>
  <si>
    <t>Vila Linda</t>
  </si>
  <si>
    <t>https://www.linkedin.com/in/flavia-goncalves-983320199/</t>
  </si>
  <si>
    <t>https://www.instagram.com/dra_flavia_goncalves/</t>
  </si>
  <si>
    <t>https://drive.google.com/open?id=1l9e5dMuuDvX7D1xI2UOLsF5PCW3ZRS7g</t>
  </si>
  <si>
    <t>Geraldo</t>
  </si>
  <si>
    <t>Dos santos barros</t>
  </si>
  <si>
    <t>geraldo@casahacker.org</t>
  </si>
  <si>
    <t>(19)99753-0403</t>
  </si>
  <si>
    <t>Analista de sistemas, empreendedor de impacto social, facilitador, educador com histórico de trabalho em inclusão digital e inovação social na região metropolitana de Campinas e também ativista da comunidade global LGBTQIA+. Atualmente trabalho na direção estratégia de uma organização da sociedade civil fundada em 2018, e também na área de inovação e pesquisa de uma fundação norte americana.</t>
  </si>
  <si>
    <t>Rua Luiz Rocatto</t>
  </si>
  <si>
    <t>Parque Valença II</t>
  </si>
  <si>
    <t>13058-576</t>
  </si>
  <si>
    <t>https://www.linkedin.com/in/geraldob/</t>
  </si>
  <si>
    <t>https://www.instagram.com/geraldobarros.png/</t>
  </si>
  <si>
    <t>https://drive.google.com/open?id=1N5tO7FkWHKIS9DyxnO6sFjCPD2KvsY5A</t>
  </si>
  <si>
    <t>Heveltton</t>
  </si>
  <si>
    <t>Luiz de paula</t>
  </si>
  <si>
    <t>heveltton6@gmail.com</t>
  </si>
  <si>
    <t>Sou uma pessoa pro ativa</t>
  </si>
  <si>
    <t>Avenida nossa senhora de Lourdes</t>
  </si>
  <si>
    <t>Jd debora</t>
  </si>
  <si>
    <t>08566-600</t>
  </si>
  <si>
    <t>https://drive.google.com/open?id=1oFyiFHrnYyo0eINwARHqXDYr84KNhtR8</t>
  </si>
  <si>
    <t>Jacqueline</t>
  </si>
  <si>
    <t>Rodrigues Souza Quiñelen</t>
  </si>
  <si>
    <t>jackquinelen@gmail.com</t>
  </si>
  <si>
    <t>Jacqueline R.S Quiñelen nascida 04 de junho 1983* sou filha da Sra Cleide S. Sousa* baiana e Sr Marcelino Q. Cayuqueo* chileno.
Sou natural  de São Paulo* somos 9 irmãos por parte se mãe  e somos 14 por parte de pai.
Tive uma infância e adolescência difícil  com a desestrutura familiar* fiquei grávida  aos 15 anos e aos 22 anos já está com 3 filhos.
Meu primeiro  emprego com registro  foi em 1999 em uma loja de  conveniência.
Meu separei do pai das crianças  em 2009 e no mesmo ano voltei para a escola para concluir o segundo e o terceiro colegial* pois ele me impedia.
Tirei minha habilitacão* profissionalmente fui promovida.
Em 2012 conheci meu atual  marido tivemos um filho no final de 2013 e casamos oficialmente  em 2018.
No mesmo ano comecei a ver as necessidades e as dificuldades que os meus  filhos  tinham de cultura* lazer e inclusão social que existe na comunidade em vivemos.
Hoje a minha luta é  para desenvolver projetos que transformem a comunidade  em um lugar melhor  para se viver.
Por que  acredito que com determinação e comprometimento podemos criar uma sociedade  melhor para as próximas  gerações.</t>
  </si>
  <si>
    <t>Jardim Nova Conquista</t>
  </si>
  <si>
    <t>https://drive.google.com/open?id=11hmuoV5By7TwSZEiox_U-pMWUecWMfTO</t>
  </si>
  <si>
    <t>Janderson</t>
  </si>
  <si>
    <t>Araujo rocha</t>
  </si>
  <si>
    <t>jandersson_rocha@hotmail.com</t>
  </si>
  <si>
    <t>43.040.316-1</t>
  </si>
  <si>
    <t>Aos 14 anos* morador do município de Guarulhos* ingressou na área da música
desenvolveu intensamente o aprendizado no instrumento de saxofone* onde teve
aulas com Jotagê Alves* Nailor Azevedo (Proveta)* Douglas Braga. Tocou ao lado de
grandes nomes da música popular Brasileira na Escola do Auditório: Edson José Alves*
José Roberto Branca* Jair Rodrigues* Fabiana Cossa* Renato Brás* Laércio de Freitas*
Elsa Soares* Mônica Salmaso* gravou o samba book do Zeca Pagodinho* entres outros.
Fez parte da criação do quarteto saxofonando* participou do concurso PRÉ ESTRÉIA
2012 veiculado pela TV cultural* ficando em 2° colocado na categoria música de
câmara. * fez parte dos projetos Orquestra pimentinhas* bem como da Orquestra
Brasileira do Auditório Ibirapuera. Acadêmico de Direito* e Gestão de projetos
culturais. Atualmente presta serviços para uma ONG na parte jurídica de leis de
incentivos* está a frente da coordenação administrativa do projeto Orquestra
Pimentinhas* Atua com planejamento e execução dos programas de interação social.
Realiza o planejamento e execução do projeto* de acordo com o plano de ação e o
cronograma. Operacionalizando eventos* bem como inscrições em lei de fomento a
cultura e editais</t>
  </si>
  <si>
    <t>Rua Feliz Deserto</t>
  </si>
  <si>
    <t>Leblon- Pimentas</t>
  </si>
  <si>
    <t>https://www.linkedin.com/in/janderson-rocha-682b37196</t>
  </si>
  <si>
    <t>https://instagram.com/jandersson_rocha?utm_medium=copy_link</t>
  </si>
  <si>
    <t>Leslie</t>
  </si>
  <si>
    <t>Cristina scarpelli ricci</t>
  </si>
  <si>
    <t>leslie.scarpelli@gmail.com</t>
  </si>
  <si>
    <t>24284781/X</t>
  </si>
  <si>
    <t>Mãe de 2* sou movida pelo esporte e pela transformação de vida com a natureza e amor aos animais e às pessoas. 
Sou Veterinária como formação (desde 1998)* com Mestrado na área de reprodução animal e MBA em adm e marketing estratégico pela FEA/USP. Dediquei meu tempo de estudos para aprimorar os conhecimentos na área e estender as expertises adquiridas ao mundo corporativo* contribuindo com a ciência* com o desenvolvimento de novos negócios e soluções integradas para a saúde animal em muitas diferentes esferas com os animais* com os humanos e sistemas corporativos. Desta maneira* foi aprendendo* refletindo* convivendo e aperfeiçoando meu “mood”/ ponto-de-vista* dentro destas grandes multinacionais* que decidi experienciar um momento sabático e de auto-conhecimento. 
Mergulhei num processo intenso e valioso de novos aprendizados voltados para o desenvolvimento social que me trouxeram de volta até aqui* uma vez que* desde pequena sempre estive envolvida em trabalhos sociais com minha mãe nas comunidades próximas de nossa casa em Santo André* município de SP. 
Chegou o momento de fazer de forma mais profunda aquilo que me encanta e intriga ao mesmo tempo: conectar pessoas, conectar historias e projetos, promover novos vôos e potencializar esse nosso caminho de evolução. 
Hoje* como uma das co-fundadoras da Associação Tonkiri Voa* busco manifestar meus dons em prol de algo maior e que poderá fazer diferença neste Planeta que vivemos. Persevero com o fim de igualar* buscando ensinamentos e transformando em oportunidades àqueles que mais necessitam!</t>
  </si>
  <si>
    <t>Rua Pequetita</t>
  </si>
  <si>
    <t>Vila Olimpia</t>
  </si>
  <si>
    <t>https://www.linkedin.com/in/lesliescarpelli/</t>
  </si>
  <si>
    <t>https://www.instagram.com/lesliescarpelli/</t>
  </si>
  <si>
    <t>https://drive.google.com/open?id=12yUzrzCvH7W-7QMEHTNLpQU8WHD_I1Jz</t>
  </si>
  <si>
    <t>Holanda martins</t>
  </si>
  <si>
    <t>lucash.2013@hotmail.com</t>
  </si>
  <si>
    <t>Meu nome é Lucas Holanda* tenho 23 anos* sou morador de São Vicente* a Primeira cidade do Brasil* sempre morei em favelas da cidade mas sempre sonhei grande e sabia que a realidade que nasci não determinava o meu futuro* desde cedo entendi que eu poderia mudar a minha realidade e a realidade de toda a comunidade a minha volta* desde os 14 anos sou envolvido em projetos sociais e hoje busco me conectar com essa rede incrível do GF pois sei que tenho muito a aprender e desenvolver um trabalho com cada vez mais qualidade para a minha favela* a minha cidade!</t>
  </si>
  <si>
    <t>Rua Gilberto Esteves Martins</t>
  </si>
  <si>
    <t>Jardim Rio Branca</t>
  </si>
  <si>
    <t>https://instagram.com/lucasholandasv?utm_medium=copy_link</t>
  </si>
  <si>
    <t>https://drive.google.com/open?id=1J1D3x4kvx06zXSdYkIWHegwJk9kcOh3D</t>
  </si>
  <si>
    <t>Lucimara</t>
  </si>
  <si>
    <t>Ribeiro costa</t>
  </si>
  <si>
    <t>+55 11 99419-3558</t>
  </si>
  <si>
    <t>Lucimara Ribeiro Costa é uma ex cabeleireira da região da zona leste de São Paulo que ao enxergar a realidade da desigualdade do bairro em que mora e marginalização de crianças e adolescentes* resolveu estudar serviço social para criar seu projeto de assistência social para crianças e adolescentes em vulnerabilidade social.</t>
  </si>
  <si>
    <t>https://www.linkedin.com/in/lucimara-ribeiro-costa-894061200</t>
  </si>
  <si>
    <t>https://instagram.com/projeto_transformacak?utm_medium=copy_link</t>
  </si>
  <si>
    <t>https://drive.google.com/open?id=1gMFPQrmwb9ahrLWTTKtHIenL053AdSIs</t>
  </si>
  <si>
    <t>Marcela</t>
  </si>
  <si>
    <t>Fernandes siqueira</t>
  </si>
  <si>
    <t>marcelafernandessiqueira@gmail.com</t>
  </si>
  <si>
    <t>Olá* Meu nome é Marcela* tenho 25 anos* taurina e sou Publicitária com uma vasta experiência na área de atendimento ao cliente e gestão de projetos* sou uma apaixonada pela comunicação. 
A busca por aprendizados é o que me move. Além disso* acredito que a solidariedade é a principal ferramenta para mudar o mundo e por isso fundei* em 2016* o Motirõ — um projeto social que leva amor e esperança para aqueles que um dia deixaram de acreditar na bondade humana.
Quer saber mais sobre mim? É só marcar um café! ,)</t>
  </si>
  <si>
    <t>Rua Paulo Alfredo hilbert</t>
  </si>
  <si>
    <t>https://instagram.com/marcelasiqueeira?utm_medium=copy_link</t>
  </si>
  <si>
    <t>https://drive.google.com/open?id=1_VmizHxq97IH7FVbnU8TNeHV0SvXI1H2</t>
  </si>
  <si>
    <t>Regina carvalho ferreira de oliveira</t>
  </si>
  <si>
    <t>carfermarcia@gmail.com</t>
  </si>
  <si>
    <t>Fav Dique do Piçarro</t>
  </si>
  <si>
    <t>Jockey Clube</t>
  </si>
  <si>
    <t>http://www.linkedin.com/in/marcia-carfer-05321847</t>
  </si>
  <si>
    <t>https://www.instagram.com/marciacarfer.prof/</t>
  </si>
  <si>
    <t>https://drive.google.com/open?id=1NyUIxCN_EMn57ez92pNa5zYn9zFdFnOJ</t>
  </si>
  <si>
    <t>Laura da costa coelho</t>
  </si>
  <si>
    <t>lauracosta_28@yahoo.com.br</t>
  </si>
  <si>
    <t>15.191.560-x</t>
  </si>
  <si>
    <t>Sou funcionária pública estadual aposentada há tres anos. Tenho 59 anos* sou viúva com um casal de filhos adultos. Minha residência é no mesmo terreno que a casa de meus pais* sendo que minha mãe faleceu em setembro do ano passado devido a alzheimer. Desde que me aposentei passei a trabalhar diariamente na ong* onde já exercia anteriormente a direção. Não me sinto capacitada o suficiente para exercer a gestão da instituição. Comecei  lá como integrante do coral* porque adoro cantar e depois passei a trabalhar na área administrativa da ong como voluntária.</t>
  </si>
  <si>
    <t>Rua Monsenhor João Lauriano</t>
  </si>
  <si>
    <t>Vila Ramos</t>
  </si>
  <si>
    <t>https://www.linkedin.com/in/maria-laura-da-costa-coelho</t>
  </si>
  <si>
    <t>instagran.com/marialauracostacoelho</t>
  </si>
  <si>
    <t>https://drive.google.com/open?id=1BcqfDOMnifC2l91kDs-IeUk9U-L005dh</t>
  </si>
  <si>
    <t>Dos santos muncao</t>
  </si>
  <si>
    <t>muncaomarisa@gmail.com</t>
  </si>
  <si>
    <t>22866801-3</t>
  </si>
  <si>
    <t>Meu nome é Marisa Muncao * mãe de 3 filhos tenho 4 netos maravilhosos* casada com George* apaixonada por serviço social * devido a muita dificuldade na infância minha mãe nordestino trouxe toda família pra SP e nossa casa era o ponto de acolhida * sou líder do núcleo capão Redondo do grupo mulheres do Brasil * coordenadora da ação da cidadania e responsável por montar grupos no projeto Dona de Mim .um pouco de mim.beijinhos</t>
  </si>
  <si>
    <t>Rua: carmelina vieira Nascimento</t>
  </si>
  <si>
    <t>Parque santo Antonio</t>
  </si>
  <si>
    <t>O5851160</t>
  </si>
  <si>
    <t>https://instagram.com/marisa.muncao?utm_medium=copy_link</t>
  </si>
  <si>
    <t>https://drive.google.com/open?id=1PFvZr5SYtMxDCEUGsGcCkFbdH0MDUZ7F</t>
  </si>
  <si>
    <t>Maura</t>
  </si>
  <si>
    <t>Dina guedes passos</t>
  </si>
  <si>
    <t>mauradinagp@gmail.com</t>
  </si>
  <si>
    <t>Pedagoga* casada a 26 anos* dois filhos adultos (20 e 21 anos)* educadora a 33 anos* diretora pedagógica em creche subvencionada* gestora de projetos sociais* líder em uma comunidade muito carente* conselheira municipal de direitos das crianças e adolescentes de Itaquaquecetuba.  Amo a educação  e luto constantemente por oportunidades e respeito para o território onde atuo.</t>
  </si>
  <si>
    <t>Rua Formosa</t>
  </si>
  <si>
    <t>https://drive.google.com/open?id=1sWpcgSLrIiiyuvcqUYmBWRvc4AN4ngMr</t>
  </si>
  <si>
    <t>Mayara</t>
  </si>
  <si>
    <t>Barbosa de oliveira</t>
  </si>
  <si>
    <t>socialmayara.barbosa@gmail.com</t>
  </si>
  <si>
    <t>Bacharel em Serviço Social pela FMU* sempre tive aptidão e muito amor pelo serviço social* a caridade e um olhar humanizado ao próximo. Mãe de 2* irmã de 6 e nascida em uma familia com hirstórico de muita militância de temas raciais e igualitarios* aos 16 anos me tornei voluntária em um centro de acolhida em São Paulo onde pude compreender um pouco sobre caridade* direitos* e sociedade. Aos 27 anos fundei a ONG DoRiso (informalmente) e hoje trabalho com assitencia a comunidades carentes e POP RUA.</t>
  </si>
  <si>
    <t>Rua Eduardo Luiz trindade</t>
  </si>
  <si>
    <t>Vila Espanhola</t>
  </si>
  <si>
    <t>https://www.linkedin.com/in/mayara-barbosa-de-oliveira-266639b0/</t>
  </si>
  <si>
    <t>https://drive.google.com/open?id=1aJOwgvCji1tbZXxgShJ7oLmk_XZW3NHQ</t>
  </si>
  <si>
    <t>Ellis</t>
  </si>
  <si>
    <t>Regina dos santos amorim</t>
  </si>
  <si>
    <t>ellis.amorim6@gmail.com</t>
  </si>
  <si>
    <t>07127702-4</t>
  </si>
  <si>
    <t>Ellis Regina dos Santos Amorim - Sou empreendedora social atuando há 23 anos no terceiro setor* atualmente coordenadora da organização da sociedade civil Associação Livre - Centro de Formação e Transformação Social (Transformar). Atuo na área de elaboração* mobilização de recursos e gestão de projetos socioculturais. Criadora e gestora dos projetos socioculturais: - Mãos que Criam Tecendo o Futuro (Valorização do artesanato brasileiro desenvolvido com adolescentes de 14 a 16 anos em Madureira - 2001), - Crescer e Aprender Brincando (Valorização do Brincar desenvolvido com crianças e adolescentes de 4 a 14 anos em Pedra de Guaratiba – 2009/2013), - Projeto Reciclavida (Oficinas de artesanato focadas no reaproveitamento de material reciclável* voltadas para mulheres residentes em Pedra de Guaratiba – 2010/2014), Nossas Histórias (Valorização da História Local de comunidades empobrecidas de Pedra de Guaratiba desenvolvido com crianças e adolescentes de 4 a 14 anos – 2012/2015), - Cantar e Contar Clementina – Outra Forma de Aprender (Resgate da vida e obra da cantora Clementina de Jesus* visando à promoção da cultura negra e valorização da autoestima de crianças e adolescentes de comunidades empobrecidas do RJ desenvolvido com crianças de 4 a 6 anos – 2014/2015), - Criadora e gestora do evento Coisas de Preto* voltado à valorização da cultura negra junto a crianças* adolescentes* educadores e responsáveis* realizado de 2012 a 2015 no mês da Consciência Negra* na Arena Cultural Abelardo Barbosa* em Pedra de Guaratiba, - Coautora e supervisora do projeto Batuque Legal (Valorização do samba carioca* desenvolvido com crianças e adolescentes de 4 a 16 anos no Engenho Novo e Pedra de Guaratiba – 2016/até atualmente), Autora e gestora do projeto Trançando a Vida (Lançado em 05/08/2021), - Assessora Cultural no projeto Piano Interativo – Uma Nota a Cada Passo em 2019.</t>
  </si>
  <si>
    <t>https://drive.google.com/open?id=1W-RbqETXkXuAJWTN4ENjH2eqhMKhtjy9</t>
  </si>
  <si>
    <t>Erica</t>
  </si>
  <si>
    <t>Mara de jesus santos</t>
  </si>
  <si>
    <t>ericamara03@gmail.com</t>
  </si>
  <si>
    <t>2195904-4342</t>
  </si>
  <si>
    <t>10.115.355-9</t>
  </si>
  <si>
    <t>Assistente Social com especialização em Atendimento à Família e Segurança Pública e Políticas Públicas. Habilidades para coordenar e desenvolver trabalhos em equipe* agregando pessoas e sempre com foco em resultados. Facilidade para desenvolver bons relacionamentos interpessoais* atingindo eficiência e eficácia nos resultados organizacionais. Senso de prioridade* organização e iniciativa* buscando sempre aperfeiçoar processos* para atingir metas e objetivos. Facilidade de adaptação às mudanças* participando do processo e disseminando positivamente novas idéias.</t>
  </si>
  <si>
    <t>Vila Telemaco</t>
  </si>
  <si>
    <t>Inhauma</t>
  </si>
  <si>
    <t>Fabiana</t>
  </si>
  <si>
    <t>Sampaio da silva alfaia</t>
  </si>
  <si>
    <t>A felicidade dos alunos ao aprender a pensar antes de agir mostra o caminho em direção a um futuro brilhante. Essa é a nossa alimentação mental e corporal!</t>
  </si>
  <si>
    <t>Rua Senador Nabuco</t>
  </si>
  <si>
    <t>https://drive.google.com/open?id=1W4v3kidhiYPXUns4-PB8GBCUW47-9Gv6</t>
  </si>
  <si>
    <t>Fatima</t>
  </si>
  <si>
    <t>Regina fortes mayer</t>
  </si>
  <si>
    <t>27.356.661-2</t>
  </si>
  <si>
    <t>Tenho 48 anos* mãe de 03 filhos* acabei de ser avó. Fiquei viúva há 05 meses* de um casamento maravilhoso* de 26 anos. Meu esposo morreu de covid. Sou psicóloga* formada desde 2017* em uma universidade privada onde eu era bolsista. Acabei de concluir a Pós em Terapia Cognitivo Comportamental. Sempre tive desejo de participar de algo que pudesse contribuir para minha comunidade* fazer algo que fizesse a diferença na vida das pessoas* algo maior. Acredito que nossa vida só tem sentindo quando fazermos sentido para outras pessoas* acredito que temos um propósito a cumprir nessa Terra. Juntei com outros amigos que tem o mesmo desejo e iniciamos um trabalho com as crianças de nossa comunidade. Sou apaixonada por Deus* pela vida* por minha família* por gente* pelas minhas crianças* enfim amo tudo que faço. Gosto de conhecer lugares novos* conhecer novas pessoas* adquirir conhecimento* amo chocolate* café.</t>
  </si>
  <si>
    <t>Rua Suassui</t>
  </si>
  <si>
    <t>Jardim Bom Pastor</t>
  </si>
  <si>
    <t>https://instagram.com/fatimafmayer?utm_medium=copy_link</t>
  </si>
  <si>
    <t>https://drive.google.com/open?id=1dR3N7cqZjrExh4_o8Ni0fBp-QlO-z1fd</t>
  </si>
  <si>
    <t>FRANKLIN</t>
  </si>
  <si>
    <t>Ferreira de melo</t>
  </si>
  <si>
    <t>franklinvila2@gmail.com</t>
  </si>
  <si>
    <t>Meu nome é Franklin Ferreira, conhecido como Franklin do Futebol. Sou presidente da ONG Craques da Vida, que atua na nossa favela há 25 anos. Sou nascido e criado na Vila Aliança, comunidade que tem 58 anos de existência. Meu avô foi o primeiro barbeiro daqui. Aí está essa minha origem, essa identidade que eu carrego com a comunidade que eu amo, e que procuro trazer oportunidades, através do futebol para jovens e adolescentes.
 Minha infância foi muito sonhadora.</t>
  </si>
  <si>
    <t>MANOEL FRANCISCO DA SILVA</t>
  </si>
  <si>
    <t>CASAC1</t>
  </si>
  <si>
    <t>21862-620</t>
  </si>
  <si>
    <t>https://www.linkedin.com/in/franklin-de-melo/</t>
  </si>
  <si>
    <t>https://drive.google.com/open?id=1mQcVqUlIlHD0mTp3BVZ00LRVRMMjJdQ3</t>
  </si>
  <si>
    <t>Igor</t>
  </si>
  <si>
    <t>Veiga fernandes</t>
  </si>
  <si>
    <t>igorfernandes586@yahoo.com.br</t>
  </si>
  <si>
    <t>(21)97908-4032</t>
  </si>
  <si>
    <t>Dono</t>
  </si>
  <si>
    <t>Sou Ígor Veiga Fernandes conhecido no mundo da luta como Igor Chatubinha , faixa preta , 1º dan de luta livre.
Iniciei em projeto social com nove anos de idade e a cada dia a luta foi transformando a minha vida, O tempo que eu dedicava ao esporte era também um tempo onde aprendi a valores, O esporte fez com que eu não trilhasse caminhos errados.Hoje viva incansável luta de proporcionar a criança e adolescente do complexo da Penha e suas famílias uma nova perspectiva de vida .</t>
  </si>
  <si>
    <t>avenida Brás de pina</t>
  </si>
  <si>
    <t>Apartamento 303</t>
  </si>
  <si>
    <t>Penha circular</t>
  </si>
  <si>
    <t>21210-673</t>
  </si>
  <si>
    <t>https://instagram.com/igorchatubinha?igshid=YmMyMTA2M2Y=</t>
  </si>
  <si>
    <t>https://drive.google.com/open?id=15OtN6zsJgny46ska-ahOvVZaNPHSlklt</t>
  </si>
  <si>
    <t>Janaina</t>
  </si>
  <si>
    <t>De andrade alves</t>
  </si>
  <si>
    <t>jana.andradealves@gmail.com</t>
  </si>
  <si>
    <t>Ceo</t>
  </si>
  <si>
    <t>Me chamo Janaina Alves moro em Cordovil nascida na favela da Cidade Alta que até hoje continuo morando, tenho 42 anos sou vó e esposa e minha vida é ser gestora social pois Creci vendo minha mãe fazendo o que hoje e minha vida.
Estou estudando serviço social e gestão no terceiro setor na universidade.</t>
  </si>
  <si>
    <t>Ed Rio comprido Apt 107 BL 02</t>
  </si>
  <si>
    <t>Eu.janainaalves</t>
  </si>
  <si>
    <t>https://drive.google.com/open?id=1LSeWpAYeYt-11CkpjLIFwsam5QN6fluS</t>
  </si>
  <si>
    <t>Luiz souto de oliveira</t>
  </si>
  <si>
    <t>feinho.oliveira@gmail.com</t>
  </si>
  <si>
    <t>Diretor presidente</t>
  </si>
  <si>
    <t>Joao Luiz Souto de oliveira , carioca ,42 anos, aprendeu o jogo de xadrez
aos 4 anos, aos 15 anos se federou e compete por até hoje representando através do
 IBC (Iguaçu Basquete Clube) Nova iguaçu na federação do estado do RJ ,
 tem registro na Confederação Brasileira de Xadrez e Federação
 internacional de Xadrez (FIDE).
 Atuei em diversos projetos e escolas lecionando xadrez desde o ano de
 2002, alguns projetos de
 xadrez aprovados pela lei de incentivo ao esporte.</t>
  </si>
  <si>
    <t>Rua sergio Sender</t>
  </si>
  <si>
    <t>Jardim nova era</t>
  </si>
  <si>
    <t>26266-170</t>
  </si>
  <si>
    <t>https://www.linkedin.com/mwlite/in/joao-oliveira-68b52450</t>
  </si>
  <si>
    <t>https://drive.google.com/open?id=1IYJSAH5GQdcbBfvhdt-tGKd58I2GUtH1</t>
  </si>
  <si>
    <t>Juberlan</t>
  </si>
  <si>
    <t>Henrique da silva costa de oliveira</t>
  </si>
  <si>
    <t>juberoliveira47@gmail.com</t>
  </si>
  <si>
    <t>Me chamo Juber Oliveira, sou presidente-fundador do Projeto Social Entrando na Linha.
Nascido e criado no Complexo de Favelas da Linha, aos 7anos de idade conheci o teatro na escola e aos 12 anos de idade ganhei uma bolsa de 100% em um curso de teatro. Posteriormente ingressei na Cia de teatro profissional em que o professor atuava como diretor, onde permaneci por 6 anos. Isso foi um divisor de águas em minha vida, foi onde descobri que existia um mundo fora da favela. 
Por isso fundei o ProSEL</t>
  </si>
  <si>
    <t>José Gomes Amado</t>
  </si>
  <si>
    <t>Bloco 3 Apartamento 502</t>
  </si>
  <si>
    <t>ARSENAL</t>
  </si>
  <si>
    <t>24755-023</t>
  </si>
  <si>
    <t>https://instagram.com/juber_prosel?igshid=YmMyMTA2M2Y=</t>
  </si>
  <si>
    <t>https://drive.google.com/open?id=1NFLh8c8ByQouWcetNaNyKR2uinpdv-xv</t>
  </si>
  <si>
    <t>Oliveira da silva maia</t>
  </si>
  <si>
    <t>maia.oliveira.juliana@gmail.com</t>
  </si>
  <si>
    <t>?+55 21 99546?0584?</t>
  </si>
  <si>
    <t>Idealizadora do Projeto Sociocultural Família Lanatanpa desde 2018 atuando com crianças e adolescentes no território. Com educação e ações culturais.</t>
  </si>
  <si>
    <t>Rouget Lisle</t>
  </si>
  <si>
    <t>https://instagram.com/julianamaiareal</t>
  </si>
  <si>
    <t>https://drive.google.com/open?id=1KZMRLmxRys9oJaJt5X5xyFNFh4UAsvto</t>
  </si>
  <si>
    <t>heveltton</t>
  </si>
  <si>
    <t>Alves nogueira</t>
  </si>
  <si>
    <t>sou uma pessoa pro ativa</t>
  </si>
  <si>
    <t>avenida nossa senhora de lourdes</t>
  </si>
  <si>
    <t>casa fundos</t>
  </si>
  <si>
    <t>poá</t>
  </si>
  <si>
    <t>jd debora</t>
  </si>
  <si>
    <t>https://www.instagram.com/llaisnogueira/</t>
  </si>
  <si>
    <t>https://drive.google.com/open?id=1H3dR8LywJB5dhzs5gZWMhNOXf6T0eiYa</t>
  </si>
  <si>
    <t>Laura</t>
  </si>
  <si>
    <t>Campos braz</t>
  </si>
  <si>
    <t>lauracamposbraz@gmail.com</t>
  </si>
  <si>
    <t>22.237.035-5</t>
  </si>
  <si>
    <t>Laura Campos Braz* nasceu na cidade de Bom Jardim* interior do Rio de Janeiro* é Atriz e Educadora* com 14 anos de carreira* sendo 10 deles de atuação nas periferias do Rio de Janeiro. 
Formada em Licenciatura em Teatro* Laura é a Diretora Fundadora do Projeto 
Cria e criadora do Método Cria* uma metodologia inovadora de ensino que une o teatro com elementos inspirados na Pedagogia Waldorf.
Atuou como atriz em diversos espetáculos e foi integrante do Grupo Cultural Afroreggae por 6 anos* onde participou do premiado espetáculo infantil "A Onça e o Bode" ganhador do FITA 2014 na categoria Melhor Espetáculo Infantil. 
Como professora de teatro* atuou por 3 anos nas Escolas Públicas do Rio de 
Janeiro e foi professora de teatro do Grupo Cultural AfroReggae* no Complexo de Favelas 
do Caju* por 2 anos. Com o fechamento do núcleo no Caju* fundou em 2018 o Projeto 
Cria.Laura nasceu em Bom Jardim* interior do Rio de Janeiro. 
Como Coordenadora do Cria* Laura participou do Co.Impacto* programa de aceleração social do Instituto Ekloos e da 5ª edição do Potencialize.
Na pandemia do Covid -19* impactou a vida de mais de 5.000 pessoas* realizando diversos projetos na comunidade do Caju e distribuindo mais de 50 toneladas de alimentos.</t>
  </si>
  <si>
    <t>Rua José Higino</t>
  </si>
  <si>
    <t>https://www.linkedin.com/in/laura-campos-braz-908957200/</t>
  </si>
  <si>
    <t>https://www.instagram.com/lauracamposbraz/</t>
  </si>
  <si>
    <t>https://drive.google.com/open?id=1jQXmdPzTBbgNUtYRc1mMWu5tOQMy8c9u</t>
  </si>
  <si>
    <t>Luiz</t>
  </si>
  <si>
    <t>Carlos de souza junior</t>
  </si>
  <si>
    <t>Casado com a Adriana há 22 anos pai do Luã e da Luísa, iniciei minha jornada profissional empreendendo como gestor de recursos humanos prestando serviços de recrutamento, seleção, treinamento e desenvolvimento. Após quebrar duas vezes, sigo empreendendo na área de representação comercial e consultoria para pequenas e médias empresas. Formado em administração de recursos humanos com MBA em gestão comercial pela UFRJ, hoje também atuo na direção do Projeto social Diamantes na Cozinha.</t>
  </si>
  <si>
    <t>Amapurus</t>
  </si>
  <si>
    <t>Bloco 4 Apto 102</t>
  </si>
  <si>
    <t>21920-120</t>
  </si>
  <si>
    <t>https://www.linkedin.com/in/souluizjr/</t>
  </si>
  <si>
    <t>https://www.instagram.com/souluizjr/</t>
  </si>
  <si>
    <t>https://drive.google.com/open?id=1Rn7yzOY7D1rUE0MVucmQ7s9RkkSmkuW7</t>
  </si>
  <si>
    <t>Maicon</t>
  </si>
  <si>
    <t>Justino de jesus</t>
  </si>
  <si>
    <t>maicon.justino@outlook.com</t>
  </si>
  <si>
    <t>Nascido na Comunidade de Manguinhos .Maicon Justino tem 30 anos . Pai adotivo do príncipe Lucca . Tem 6 irmãos . Infelizmente perdeu 2 para o tráfico . Maicon é Educador infantil e fundador do Projeto Estrelas do amanhã que a 7 anos , Realiza um trabalho social com crianças e jovens da comunidade . Educação , Esporte, Cultura e lazer .
Maicon acredita que a Educação transforma . E só através da Educação podemos contribuir na vida dessas crianças que vivem em situação vulnerável.</t>
  </si>
  <si>
    <t>Bloco 06 apt 229</t>
  </si>
  <si>
    <t>https://www.instagram.com/invites/contact/?i=1ppbywg2xzncw&amp;utm_content=n1qcaj6</t>
  </si>
  <si>
    <t>https://drive.google.com/open?id=1Iu738Axk0nHFBsolrozWt-jg78cfgSSG</t>
  </si>
  <si>
    <t>Rosane batista medeiros da fonseca</t>
  </si>
  <si>
    <t>SOU Rosane Fonseca fundadora e idealizadora do projeto social Matriarcas em AÇAO*com o objetivo de dar mas visibilidade aos moradores do Barro Vermelho* nao só  dando uma cesta basica*mas buscando a sua cidadania e criando um futuro melhor *trazendo atraves das oficinas  de trabalhos, reciclagem*artesanatos * gastronomia *embelezamento *pinturas artisticas*esporte* O projeto  vem trazendo todas modalidades onde busca  levar a possibilidade deles   obterem um aprendizado e  se capacitarem atraves das variedades  das oficinas e *workshop  que podera transformar em uma fonte financeira*para o aumento de suas rendas dando mais um auxilio financeiro*ou unico* pois muitos sao pessoas sem qualificaçaoes profissionais
Tambem a concientização dos seus deveres e direitos**atraves de palestras e rodas de conversas . *Nao podemos  deixar  de ressaltar o reforço escolar podemos lidamos com uma comunidade carente na area educacional*onde muitos nao conseguem obter o apreendizado e com o reforço escolar vem muito auxiliar as  crianças * pois tambem deparemos com uma triste realidade do analfabetismo. Temos  os encaminhamentos medicos  e  as insenções dos documentos  IDEALIZAR E REALIZAR E OBJETIVO  DO PROJETO MATRIARCAS EM AÇAO</t>
  </si>
  <si>
    <t>Rua paranapiacaba</t>
  </si>
  <si>
    <t>piedade</t>
  </si>
  <si>
    <t>https://drive.google.com/open?id=1_rj2uDOCIvcsIcToXNp2-O37cuxga6yM</t>
  </si>
  <si>
    <t>Daiane</t>
  </si>
  <si>
    <t>Kaminski de mello</t>
  </si>
  <si>
    <t>Tenho formação em Publicidade e Propaganda e Pedagogia* tenho 46 anos* três filhos e hoje me dedico integralmente ao projeto Fome de Quê? Ao longo da vida me envolvi em projetos sociais  como voluntária e sempre acreditei que poderia fazer mais. Desde o inicio da pandemia passei a organizar doações de alimentos em comunidades onde já atuava* rapidamente a rede de voluntários e ajuda cresceu* as ações se intensificaram e passaram a atingir um grande número de pessoas. Assim nasceu o Fome de Quê? idealizado por mim e apoiado por que foi se aproximando querendo ajudar. Atuamos em comunidades de extrema carência e vulnerabilidade social e alimentar.</t>
  </si>
  <si>
    <t>Rua Doutor Barbosa Gonçalves</t>
  </si>
  <si>
    <t>https://www.instagram.com/daianekm/</t>
  </si>
  <si>
    <t>https://drive.google.com/open?id=1UmbAbVLcAcQ29l7BztKsTuk7sCF5vh0P</t>
  </si>
  <si>
    <t>Davi</t>
  </si>
  <si>
    <t>Alexandre schoenardie</t>
  </si>
  <si>
    <t>davischoenardie2002@gmail.com</t>
  </si>
  <si>
    <t>Coordenador Geral</t>
  </si>
  <si>
    <t>Morador de uma comunidade rural do município de Celso Ramos/SC. Bolsista Integral do Programa Universidade para Todos  (PROUNI) e Acadêmico de Publicidade e Propaganda na Universidade do Oeste de Santa Catarina (UNOESC). Bolsista de Inovação UNOESC. Diretor de Imprensa e Relações Públicas do Diretório Central dos Estudantes (DCE) da UNOESC. Articulador do Engajamundo, membro do LabPimenta e do Podcast “Pimenta pra Jovem é Refresco”. Alumni da Latin American Leadership Academy (LALA).</t>
  </si>
  <si>
    <t>Comunidade Rural</t>
  </si>
  <si>
    <t>https://www.linkedin.com/in/davihschoenar/</t>
  </si>
  <si>
    <t>https://www.instagram.com/davihschoenar/</t>
  </si>
  <si>
    <t>https://drive.google.com/open?id=1w0HMeIkgg_Beu3Avu-vfkg6dFTDknm6Q</t>
  </si>
  <si>
    <t>Rafael cordeiro dambiski</t>
  </si>
  <si>
    <t>diego_nemari@outlook.com</t>
  </si>
  <si>
    <t>Tenho 32 anos* pai de 5 filhos* sou motorista* estudo Ciências políticas* estou como presidente da associação de moradores do bairro* faça parte de mais alguma projetos* federações e ONG's.</t>
  </si>
  <si>
    <t>Rua Euclides Bandeira</t>
  </si>
  <si>
    <t>Borda do campo</t>
  </si>
  <si>
    <t>https://drive.google.com/open?id=1I5b07gaWLpz8Ng73UwluLcV7QfYbgZHM</t>
  </si>
  <si>
    <t>Corrêa</t>
  </si>
  <si>
    <t>elainecorrea540@gmail.com</t>
  </si>
  <si>
    <t>47 999745898</t>
  </si>
  <si>
    <t>Sou a Elaine* tenho 41 anos e sou extremamente apaixonada pela vida. Eu amo viver e aprender todos os dias.
Tenho 3 filhos que são incríveis* sou casada e trabalho na área da saúde com marketing ( desses responsáveis* que cuida e zela pelas pessoas)* tenho em mim um desejo e necessidade de ajudar as pessoas* cresci vendo meus pais sempre estendendo as mãos para quem mais precisava.
Comecei a trabalhar na Conquist Odontologia em 2015 e deu match pois ambos tinham o desejo de cuidar do próximo* começamos a ser mais ativos nas ações sociais* fazendo palestras de orientação a saúde bucal* levando kits de higiene e adotando crianças e adolescentes que precisavam de tratamento odontológico e não tinham condições financeiras. 
Abrimos o Instituto para poder alcançar mais vidas e hoje estou aqui na Falcons super empolgada para fazer o nosso projeto crescer* vejam como a vida nos retribuiu o bem que fazemos. Somente gratidão ate aqui.</t>
  </si>
  <si>
    <t>Rua Joao Pessoa</t>
  </si>
  <si>
    <t>Saguaçú</t>
  </si>
  <si>
    <t>https://www.linkedin.com/in/elainecorreamkt/</t>
  </si>
  <si>
    <t>https://www.instagram.com/nanicorrea/</t>
  </si>
  <si>
    <t>https://drive.google.com/open?id=1pqnyuJ25omkallO4lvBzIKmqUAvtSB7B</t>
  </si>
  <si>
    <t>Fernandes</t>
  </si>
  <si>
    <t>Vieira dos santos</t>
  </si>
  <si>
    <t>fernandes1208@gmail.com</t>
  </si>
  <si>
    <t>Sou educador social* já lecionei no ensino fundamental e supletivo de ensino medio* fui conselheiro tutelar* atualmento sou gestor social na ABEFI Lar Padilha*  organização social que realiza acolhimento institucional de crianças* adolescentes e jovens na modalidade de Republica. Sou formado em Direito* cursei um tempo Filosofia e atualmente sou acadêmico de Mestrado em Desenvolvimento Regional na Faccat. Sou casado e tenho duas filhas do coração* e no meu tempo livre gosto de ficar em casa com minha família ou fazendo passeios com ela.</t>
  </si>
  <si>
    <t>Rua Marechal Rondon</t>
  </si>
  <si>
    <t>Cruzeiro do Sul</t>
  </si>
  <si>
    <t>https://drive.google.com/open?id=1PgWD4jcAcrOt_AZvc55tkme3sK6f0_6_</t>
  </si>
  <si>
    <t>Gomes eufigenio dos santos</t>
  </si>
  <si>
    <t>fernandoeufigenio@hotmail.com</t>
  </si>
  <si>
    <t>Tenho 32 anos* sou professor de Química na rede particular e estadual de ensino do Mato Grosso do Sul* sou sócio da Inovar Produções* empresa que realiza festas e eventos. Além disso sou presidente e fundador do Instituto Causadores da Alegria criado há mais de nove anos. Gosto muito de conversar* conhecer e ajudar as pessoas. Tenho bastante facilidade em aprender coisas novas. Adoro ouvir música e viajar.</t>
  </si>
  <si>
    <t>Rua Júlio Dittmar</t>
  </si>
  <si>
    <t>Monte Castelo</t>
  </si>
  <si>
    <t>https://www.instagram.com/fernando_eufigenio/p/CXs3iaQLd4O/?utm_medium=copy_link</t>
  </si>
  <si>
    <t>https://drive.google.com/open?id=14OYEeXNPDyuO4L63ffRh9V8L_Ov9s7nP</t>
  </si>
  <si>
    <t>Francine</t>
  </si>
  <si>
    <t>Conde cabral</t>
  </si>
  <si>
    <t>fcondecabral@gmail.com</t>
  </si>
  <si>
    <t>Produtora cultural* bibliotecária graduada pela UFRGS* mestranda em Ciência da Informação pela UFRGS/PPGCIN e presidenta da ONG Colaí Movimento de Cultura. Liderança comunitária da região das ilhas de Porto Alegre. Atua como mediadora de leitura na Biblioteca Comunitária Marginal Ilha do Saber* onde desenvolve projetos de incentivo à leitura e acesso à informação. Trajetória reconhecida no Prêmio Trajetórias Culturais Plano Municipal do Livro e Leitura de Porto Alegre em 2021.</t>
  </si>
  <si>
    <t>Avenida Presidente Vargas</t>
  </si>
  <si>
    <t>https://www.linkedin.com/in/francine-cabral-56a203157/</t>
  </si>
  <si>
    <t>www.instagram.com/franccc___</t>
  </si>
  <si>
    <t>https://drive.google.com/open?id=1sHyVqtOgGEZolkW9W01JGPuN42Lh50xz</t>
  </si>
  <si>
    <t>Gicele</t>
  </si>
  <si>
    <t>De azevedo melo</t>
  </si>
  <si>
    <t>gicele.falcons@gmail.com</t>
  </si>
  <si>
    <t>Sou Gicele Melo *45 anos *casada há 28 anos *mãe de dois filhos e avó de dois netos *fundadora e tesoureira  da Associação Projeto Surfar há 22 anos*liderança comunitária *professora de capoeira *tenho o titulo de mulher cidadã do estado do RS no ano de 2019 *palestrante em cursos e faculdades sobre empoderamento humano e feminino e sobre sustentabilidade *atendo na instituição mais de 400 famílias em situação de vulnerabilidade social e baixa renda.Amo me engajar em diferentes causas com o propósito de obter resultados efetivos e positivos*na mudança de vida das pessoas que muito precisam *apresentando soluções que vão além do lugar comum .Amo o meu trabalho !</t>
  </si>
  <si>
    <t>Rua Borborema</t>
  </si>
  <si>
    <t>Partenon</t>
  </si>
  <si>
    <t>gi.surfar</t>
  </si>
  <si>
    <t>https://drive.google.com/open?id=1tVdspMTRBzD-0sYYoZNtp9RBCocTsDq4</t>
  </si>
  <si>
    <t>Gilsimara</t>
  </si>
  <si>
    <t>Borges de lima</t>
  </si>
  <si>
    <t>gilsimara.lima@gmail.com</t>
  </si>
  <si>
    <t>Graduada em Secretariado Executivo (UNINTER),
Pós-graduada em Empreendedorismo e Novos Negócios (Universidade Católica Dom Bosco -UCDB),
Formação em Coach (Universidade Escolha sua Vida - UCESV),
Terapeuta Thetahealing,
Fundadora Espaço Conexão com Coração, e
Voluntária Arte de Viver.</t>
  </si>
  <si>
    <t>Rua Costa Rica</t>
  </si>
  <si>
    <t>Bacacheri</t>
  </si>
  <si>
    <t>https://www.linkedin.com/in/gilsimaralima/</t>
  </si>
  <si>
    <t>https://instagram.com/gilsimaralima?utm_medium=copy_link</t>
  </si>
  <si>
    <t>https://drive.google.com/open?id=1qHiWuou3ZlcJzMiBF3ERMC3aDTI30Q9g</t>
  </si>
  <si>
    <t>Nair</t>
  </si>
  <si>
    <t>Omena da costa</t>
  </si>
  <si>
    <t>projetoreggarte@gmail.com</t>
  </si>
  <si>
    <t>Compositora* vocalista* ex locutora rádio web Planeta Reggae RJ entre os anos de 2017/2019* atual locutora da rádio web Point do Reggae* de Salvador BA* apresentando o programa “Ômega Sing Songs” dando voz e vez a mulher* dentro da linguagem reggae music.
Selecta* produtora cultural* artística e musical.
Ex conselheira no Conselho Municipal da Pessoa Com Deficiência* Agente Comunitária de Cultura da Cidade de São Paulo nos períodos 2014-2016* Ativista.
Responsável pelo musical Adoradores com a dança de cadeira de rodas* pela Lei de Fomento à Cultura da Periferia da Secretaria Municipal de Cultura de São Paulo em 2019* com músicas autorais e independente. 
Com o coletivo ReggArte* ganhou o VAI2 em 2020 onde produziu e apresentou o Fórum Temático de Cultura PCD* com o musical Jogue Fora o Preconceito com músicas autorais e independentes e a dança de cadeira de rodas.
Presidente do Instituto ReggArte.</t>
  </si>
  <si>
    <t>Rua Sebastião Sisson</t>
  </si>
  <si>
    <t>https://www.instagram.com/nanaroots/</t>
  </si>
  <si>
    <t>https://drive.google.com/open?id=1aREbOJyNzqsVVj6ge87C6rRmAV5tJOXG</t>
  </si>
  <si>
    <t>Nelson</t>
  </si>
  <si>
    <t>Mendes gouvea</t>
  </si>
  <si>
    <t>(11)95705-7234</t>
  </si>
  <si>
    <t>21410531-3</t>
  </si>
  <si>
    <t>CEO Fundador</t>
  </si>
  <si>
    <t>ativista no tripe droga dição, sistema prisional, e situação de rua, onde viveu e conviveu a maior pate de sua vida neste contexto. De traficante a usuário, de presidiário por 17 anos entre vindas e idas; hoje um visitador e idealizador do projeto lapidando diamantes, com o objetivo de ser uma mão estendida a todos que querem sair da criminalidade; da droga dição, e das ruas.</t>
  </si>
  <si>
    <t>vila Andeyara</t>
  </si>
  <si>
    <t>www.instagram.com</t>
  </si>
  <si>
    <t>https://drive.google.com/open?id=1loJJUyGsE_giTAc2AGPLlRyMdQD6ucbs</t>
  </si>
  <si>
    <t>Ozeias</t>
  </si>
  <si>
    <t>Paes de lira</t>
  </si>
  <si>
    <t>(11)94798-4721</t>
  </si>
  <si>
    <t>trabalhar em pró a comunidade com excelência</t>
  </si>
  <si>
    <t>https://drive.google.com/open?id=1hg-hD2uUbXq64sKLniFoZ_8gEszACpl9</t>
  </si>
  <si>
    <t>Rodrigo da silva lima</t>
  </si>
  <si>
    <t>pedagogo.lima27@gmail.com</t>
  </si>
  <si>
    <t>Formado em Pedagogia, com especialização em Psicopedagogia e atuante na área social, tendo 15 anos de caminhada e trabalho sólido, buscando com responsabilidade social fazer a diferença na vida das pessoas.</t>
  </si>
  <si>
    <t>Rua Manuel Rodrigues da Rocha, Vila Curuçá</t>
  </si>
  <si>
    <t>Apartamento 11 BLOCO 1</t>
  </si>
  <si>
    <t>Vila Curuça Velha</t>
  </si>
  <si>
    <t>08150-060</t>
  </si>
  <si>
    <t>https://www.linkedin.com/in/pablo-lima-03848b103/</t>
  </si>
  <si>
    <t>https://drive.google.com/open?id=1fwwoX-CiBbIU-FfUN-XybkGTBiW5DwYN</t>
  </si>
  <si>
    <t>Patrícia</t>
  </si>
  <si>
    <t>De oliveira santos</t>
  </si>
  <si>
    <t>patriciassistente.social25@gmail.com</t>
  </si>
  <si>
    <t>Me chamo Patrícia *tenho 35 anos * sou assistente social *pós graduada em Gestão de Projetos * trabalho  alguns anos no social e sou apaixonada pelo terceiro setor!</t>
  </si>
  <si>
    <t>Rua Assembléias de Deus</t>
  </si>
  <si>
    <t>Novo colorado</t>
  </si>
  <si>
    <t>https://www.instagram.com/patypaty_santos/</t>
  </si>
  <si>
    <t>https://drive.google.com/open?id=17X5HjidGw1K4d46R3x0DJcYYU8YapJ0C</t>
  </si>
  <si>
    <t>Raimunda</t>
  </si>
  <si>
    <t>Elaine correia silva</t>
  </si>
  <si>
    <t>raimundaelaine21@gmail.com</t>
  </si>
  <si>
    <t>Vice-Presidente</t>
  </si>
  <si>
    <t>Sou Mulher, nordestina, filha de lideres comunitário, tenho 54 anos, mãe, avó, agente de desenvolvimento local e estou vice-presidente no Instituto Social Novo Olhar.</t>
  </si>
  <si>
    <t>Rua Canção Agalopada</t>
  </si>
  <si>
    <t>Quadra C - casa 1</t>
  </si>
  <si>
    <t>Cidade AE Carvalho</t>
  </si>
  <si>
    <t>08225-500</t>
  </si>
  <si>
    <t>https://www.linkedin.com/in/elaine-correia-silva</t>
  </si>
  <si>
    <t>https://www.instagram.com/correiasilvaelaine</t>
  </si>
  <si>
    <t>https://drive.google.com/open?id=1smA-5eLgbZ3yegS-NscyXZ2MxSzaWxi4</t>
  </si>
  <si>
    <t>Roseli</t>
  </si>
  <si>
    <t>Pinheiro de lima</t>
  </si>
  <si>
    <t>roseli.pinheiro0421@gmail.com</t>
  </si>
  <si>
    <t>Sou extrovertida* dedicada às ações sociais que faço</t>
  </si>
  <si>
    <t>Rua Luís Antônio Pereira</t>
  </si>
  <si>
    <t>rosel.pinheiro</t>
  </si>
  <si>
    <t>https://drive.google.com/open?id=1tbkTpU_ZLQO61kdGA9EGBAUC9Yts0Sb-</t>
  </si>
  <si>
    <t>Shirley</t>
  </si>
  <si>
    <t>Aparecida café ribeiro</t>
  </si>
  <si>
    <t>shirleycafe00@gmail.com</t>
  </si>
  <si>
    <t>29.195.177-6</t>
  </si>
  <si>
    <t>Sou Shirley Aparecida café Ribeiro * faço parte da ONG Instituto vitória de Sá dez 2010 sempre tive como referência o amor ao próximo a fazer um trabalho social digno para essas famílias que precisam de nossa ajuda e uma capitação .</t>
  </si>
  <si>
    <t>Rua Boa Vista do tupim jd Centenário</t>
  </si>
  <si>
    <t>Pimentas Guarulhos</t>
  </si>
  <si>
    <t>07270-070</t>
  </si>
  <si>
    <t>https://drive.google.com/open?id=11FAnuy-HeqviqES3pVRYGPWki54mEJ73</t>
  </si>
  <si>
    <t>Silvaneide</t>
  </si>
  <si>
    <t>Martins da silva</t>
  </si>
  <si>
    <t>silvanneidemartins@gmail.com</t>
  </si>
  <si>
    <t>11 98189-0065</t>
  </si>
  <si>
    <t>36.814.321-1</t>
  </si>
  <si>
    <t>Tenho como meta na minha vida *ajudar pessoas e tornar aminha comunidade um bom lugar para se viver.</t>
  </si>
  <si>
    <t>Estrada Manoel de Oliveira Ramos</t>
  </si>
  <si>
    <t>322-A</t>
  </si>
  <si>
    <t>Vila Yolanda II</t>
  </si>
  <si>
    <t>08736-050</t>
  </si>
  <si>
    <t>https://drive.google.com/open?id=15bopVaqw2uyOnMBBXcQTw-L-5AEnTxfN</t>
  </si>
  <si>
    <t>Dos reis fernandes</t>
  </si>
  <si>
    <t>tamarafernandes45@gmail.com</t>
  </si>
  <si>
    <t>Sou a Tamara tenho 38 anos sou casada tenho 04 filhos* estou na área social já deis do meus 14 anos pois acompanho o trabalho de minha mães* na ONG e hoje eu sou a representante legal da ONG dando continuidade ao trabalho social.</t>
  </si>
  <si>
    <t>Rua: Marino Silvani</t>
  </si>
  <si>
    <t>Cidade Líder</t>
  </si>
  <si>
    <t>https://instagram.com/tamy7827?utm_medium=copy_link</t>
  </si>
  <si>
    <t>https://drive.google.com/open?id=1hCbRZXvX9Iv2HQy29ZNQtYNkvqsc3ofA</t>
  </si>
  <si>
    <t>Tiago</t>
  </si>
  <si>
    <t>Pereira rodrigues</t>
  </si>
  <si>
    <t>tigo.unificacaodasquebradas@gmail.com</t>
  </si>
  <si>
    <t>Tiago Pereira 
Produtor Cultural  na Quebrada , Articulador Social , Investidor Social , CEO da  Unificação das Quebradas Ong que tem  tem como  missão  dar visibilidade e impulsionar os protagonistas das periferias por intermédio de ações  culturais  desenvolvendo ações sociais</t>
  </si>
  <si>
    <t>Pinhal do Miranda/Fabril</t>
  </si>
  <si>
    <t>https://www.linkedin.com/in/tiago-pereira-6523b7199/</t>
  </si>
  <si>
    <t>https://www.instagram.com/tigopereira/</t>
  </si>
  <si>
    <t>https://drive.google.com/open?id=1Fz933v8wx-2nWaslhEt_XUHND3x5Y15I</t>
  </si>
  <si>
    <t>Franciele lopes de oliveira</t>
  </si>
  <si>
    <t>tuany.franciele@gmail.com</t>
  </si>
  <si>
    <t>(11)95179-8086</t>
  </si>
  <si>
    <t>44983931-x</t>
  </si>
  <si>
    <t>Sou Tuany, moro na zona leste de São Paulo – Itaim Paulista. 
Uma menina mulher, mãe, amiga e justa. 
Empreendedora social, pedagoga , dançarina, fundadora e proprietária da Instituição Transmutar Geração . 
Apaixonada por relações sociais, amante da cultura corporal, que uni estes dois fatores com objetivo de tornar um hospital para cura  das feridas causada pela diferenças e desigualdade social por meio da arte.</t>
  </si>
  <si>
    <t>Erva Botão</t>
  </si>
  <si>
    <t>Jd dos Ypes</t>
  </si>
  <si>
    <t>08161-270</t>
  </si>
  <si>
    <t>https://www.instagram.com/reel/Cft8Vl_O5hl/?utm_source=ig_web_copy_link</t>
  </si>
  <si>
    <t>https://drive.google.com/open?id=1YUXXGrUr90tGP5PhxkyqYR__fXEeePM7</t>
  </si>
  <si>
    <t>Silveira lasserre</t>
  </si>
  <si>
    <t>techgirlsbr@gmail.com</t>
  </si>
  <si>
    <t>A desenvolvedora de software e educadora digital Gisele Lasserre obteve o 1o lugar do Prêmio Empreendedora Curitibana 2021* na categoria Empresa de Impacto Socioambiental* connedida pela Prefeitura Municipal de Curitiba. 
Nascida em Curitiba- PR* tem 44 anos* construiu carreira corporativa por 17 anos em São Paulo e no Canadá.  Fundou em 2017* o negócio de impacto socioambiental Tech Girls* momento em que concluiu sua segunda graduação e quando fez a migração para a área de TI* já na sua crise de meia idade ( 40 anos). Graduada em Tecnologia da Informação-Management (SENAC-SP) e Comunicação (PUC-PR)* além de especialização em Administração (FGV-SP CEAG) e Marketing ( FAE-Business School).</t>
  </si>
  <si>
    <t>R Sete e Abril</t>
  </si>
  <si>
    <t>Alto xv</t>
  </si>
  <si>
    <t>https://www.linkedin.com/in/gisele.lasserre</t>
  </si>
  <si>
    <t>https://www.instagram.com/giselelasserre/</t>
  </si>
  <si>
    <t>https://drive.google.com/open?id=1Sg-gNg0LwNeZE7F82Gh1sjoPo3FtSsBq</t>
  </si>
  <si>
    <t>Helena</t>
  </si>
  <si>
    <t>Fagundes Assumpção</t>
  </si>
  <si>
    <t>helenafagundesassumpcao@gmail.com</t>
  </si>
  <si>
    <t>Helena é casada* mãe do Ivo* empreendeu aos 19 anos em diversas áreas* atuou na captação de recursos para eventos e na gestão de uma Agência de Publicidade. Foi a primeira mulher a ser Presidente da Associação de Jovens Empreendedores de Bagé* é idealizadora do Empreende Menina* projeto social que tem como propósito dar voz a meninas em vulnerabilidade social desenvolvendo autoestima e liberdade através do empoderamento econômico e é fundadora do Núcleo Bagé do Grupo Mulheres do Brasil. 
Pós Graduada em Vendas Negociações e Resultados de Alta Performance pela PUCRS* atualmente gerencia um canal de vendas na área de Educação com mais de 2800 consultores independentes.
"Empreender e fazer voluntariado me ensinou a fazer do limão uma limonada e eu acredito que sempre é possível fazer mais e melhor. Sou apaixonada por gerar resultado por onde passo* meu propósito é me realizar e gerar impacto positivo no mundo!"</t>
  </si>
  <si>
    <t>Marechal Floriano</t>
  </si>
  <si>
    <t>linkedin.com/in/helenaassumpção</t>
  </si>
  <si>
    <t>https://www.instagram.com/helena_assumpcao/</t>
  </si>
  <si>
    <t>https://drive.google.com/open?id=1vhTDJVb0ziojcXV-YhtumfArGYATymAt</t>
  </si>
  <si>
    <t>HUGUENEY</t>
  </si>
  <si>
    <t>Gomes dos santos</t>
  </si>
  <si>
    <t>PRESIDENTE - FUNDADOR</t>
  </si>
  <si>
    <t>Estudante de  Eng° Produção com Formação: Técnico Segurança Trabalho e Técnico Meio Ambiente.Apaixonado  por Ministrar Treinamento de qualificação Profissional. Parte da  vida criado por mãe solo ..quando adolescente grandes dificuldade para sobreviver e ingressar no mercado de trabalho. Quando em um projeto social conseguiu o primeiro emprego como menor aprendiz. As dificuldade o levou para as gangues um outro projeto social de Hip-Hop tirou das ruas e apresentou a cultura a Musica.</t>
  </si>
  <si>
    <t>Marcos Ferrez</t>
  </si>
  <si>
    <t>108/</t>
  </si>
  <si>
    <t>campo grande</t>
  </si>
  <si>
    <t>conjunto José Abrão</t>
  </si>
  <si>
    <t>https://www.linkedin.com/in/hugueney-gomes-49b00b84/</t>
  </si>
  <si>
    <t>https://drive.google.com/open?id=1e32fkozuD90R7Y0QO35bq2AOVv34I9Kt</t>
  </si>
  <si>
    <t>Junior teixeira</t>
  </si>
  <si>
    <t>José Junior Teixeira, Cristão, casado com Francisca, Pai de Yasmin, natural de amontada CE. Estou morando em Navegantes SC desde 2004. sou praticante do Judô em 2002, iniciamos o projeto social em 2018 com 15 criança e adolescente, hoje estamos atendendo 110 alunos do município de navegantes SC.</t>
  </si>
  <si>
    <t>Rua:Vereador Adelson Machado de Oliveira</t>
  </si>
  <si>
    <t>Navegantes</t>
  </si>
  <si>
    <t>são paulo</t>
  </si>
  <si>
    <t>https://www.linkedin.com/feed/</t>
  </si>
  <si>
    <t>https://instagram.com/teixeira_judo?igshid=YmMyMTA2M2Y=</t>
  </si>
  <si>
    <t>https://drive.google.com/open?id=1on4aWaykZfnvbdM3YJcKsN55JyXT8hmu</t>
  </si>
  <si>
    <t>Júlia</t>
  </si>
  <si>
    <t>Saldanha goulart</t>
  </si>
  <si>
    <t>juliasaldanhagoulart@gmail.com</t>
  </si>
  <si>
    <t>Sou jornalista e fotógrafa* apaixonada por voluntariado e projetos sociais. Atualmente* faço parte da equipe de voluntário do IYD Brasil* como líder de comunicação e do time de marketing do Instituto Weducare* duas instituições sem fins lucrativos que lidam com a juventude e as necessidades desses jovens* seja na educação ou em outras temáticas.
Acredito muito no poder da comunicação para mudar a realidade e termos uma sociedade melhor* por isso tenha me capacitado e tentado direcionar a minha carreira para a área de impacto.</t>
  </si>
  <si>
    <t>Rua Risieri Mafacioli</t>
  </si>
  <si>
    <t>33 apto 905</t>
  </si>
  <si>
    <t>www.linkedin.com/in/juliasgoulart</t>
  </si>
  <si>
    <t>www.instagram.com/juliasgoulart</t>
  </si>
  <si>
    <t>https://drive.google.com/open?id=1XHU-NepH1WwzgMqf_Vh1td87fyy0WcJl</t>
  </si>
  <si>
    <t>Duarte da silva</t>
  </si>
  <si>
    <t>lucasubuntu2020@gmail.com</t>
  </si>
  <si>
    <t>(51)98486-8136</t>
  </si>
  <si>
    <t>Fundador e diretor</t>
  </si>
  <si>
    <t>Desde os meus 15 anos trabalho com projeto social, mas a 7 anos atras resolvi profissionalizar isso, fundei a Associação Cultural e Social Vila Nova um intuito de oportunizar as pessoas principalmente os adolescentes da minha comunidade.
Hoje minha meta é poder ser remunerada para que eu possa dar exclusividade ao projeto e sim ter tempo para conseguir oportunizar o maior numero de pessoas que Deus me permitir.
Atendemos mais de 300 jovens e 200 adultos, ofertando oficinas e cursos gratuitos.</t>
  </si>
  <si>
    <t>Aurora</t>
  </si>
  <si>
    <t>91750-820</t>
  </si>
  <si>
    <t>https://www.instagram.com/lucas.duarte85/</t>
  </si>
  <si>
    <t>https://drive.google.com/open?id=1SzUFRV30O5IPwgN01E23-IjIH24vHzIN</t>
  </si>
  <si>
    <t>Mario</t>
  </si>
  <si>
    <t>Renato lima marques</t>
  </si>
  <si>
    <t>mariorlm3@gmail.com</t>
  </si>
  <si>
    <t>(51)99603-7709</t>
  </si>
  <si>
    <t>Diretor de Núcleos</t>
  </si>
  <si>
    <t>Mario Marques, 31 anos, disco-jóquei, produtor cultural, graduado em Arquivologia na (UFRGS), Graduado em Analise e desenvolvimento de sistemas (FADERGS). Técnico em Sonorização e iluminação profissional, Participante da Feira de tecnologias e soluções para eventos e mostras culturais e artísticas 2013 em Paris na França, Pesquisador de novas Tecnologias e formas na produção de eventos e mostras culturais, e Pesquisa a Informação de Arquivos Históricos dos Quilombos Urbanos de Porto Alegre.</t>
  </si>
  <si>
    <t>Millo Raffin</t>
  </si>
  <si>
    <t>@mariorlmm</t>
  </si>
  <si>
    <t>https://www.instagram.com/djmariorlmm/</t>
  </si>
  <si>
    <t>https://drive.google.com/open?id=1GHU33DyiihLAtmGODHY45pZUeJkomseN</t>
  </si>
  <si>
    <t>Matheus</t>
  </si>
  <si>
    <t>Daudt wunsch</t>
  </si>
  <si>
    <t>matheus@returnprojects.com</t>
  </si>
  <si>
    <t>Líder de projetos</t>
  </si>
  <si>
    <t>Sou um apaixonado por conexões, entre pessoas, negócios e todas conexões que possam gerar transformações. Sou um curioso de mim mesmo e das coisas que acontecem fora de mim. Acredito muito no poder do acesso. Penso que poder gerar acesso é uma das maiores bençãos que foi me dado. Então dedico meu tempo atualmente buscando soluções para gerar acesso para crianças e jovens em situação de vulnerabilidade.</t>
  </si>
  <si>
    <t>Rod Dr Luiz Antonio Moura Gonzaga</t>
  </si>
  <si>
    <t>Casa 108</t>
  </si>
  <si>
    <t>https://www.linkedin.com/in/matheus-daudt-14114349/</t>
  </si>
  <si>
    <t>instagram.com/daudtm</t>
  </si>
  <si>
    <t>https://drive.google.com/open?id=1P8Eb0yUwwwtorf5hczvcG748-RM3B7Zl</t>
  </si>
  <si>
    <t>Suzi da silva</t>
  </si>
  <si>
    <t>raquel.suzi10@gmail.com</t>
  </si>
  <si>
    <t>Me considero visionária e sonhadora. Sempre tive o senso de justiça aflorado e olhar voltado as minorias. Liderança teve um outro significado quando esse papel foi incumbido a mim e o assumi como missão de vida. O Instituto Somos Ágape nasceu dentro de um âmbito religioso* num grupo de jovens católico a qual era coordenadora. Nas primeiras ações do Somos Ágape percebi uma realidade desconhecida até então* que me causou extremo incômodo* principalmente por perceber um esquecimento da sociedade civil no geral com aquelas comunidades que iniciamos os trabalhos. Desde a primeira ação eu senti que eu não poderia cruzar os braços e esquecer* que ali estava uma missão maior. Divido minha carga-horária com minha carreira profissional que iniciou dentro do âmbito comercial/pós-vendas e concomitante* com a caminhada acadêmica no Direito. O comercial me encantou com seu dinamismo* possibilidade de ser ponte entre a necessidade e serviço/produto* gerir expectativas* objeções e gerar valor ao cliente. Já a caminhada no Direito reafirmou meu senso de justiça e papel social* defendendo o direito de minorias e sendo ferramenta de transformação. Atualmente sigo compartilhando essas funções como Fundadora/CEO do Instituto Somos Ágape* cujo objetivo é oportunizar o acesso à educação* arte* esporte e cultura para crianças e jovens em situação de vulnerabilidade social em Joinville/SC* através de projetos que aproximem o público beneficiado de oportunidade que proporcionem a melhora na qualidade de vida. Ágape - palavra de origem grega que corresponde ao amor incondicional ao próximo* o ápice do amor* da entrega e doação. Liderar e construir o Instituto Somos Ágape é o que faz meu coração vibrar* que brilha meus olhos ao falar da missão. Levar o mais longe possível e ser ponte do Amor Ágape é o que desejo para minha vida!</t>
  </si>
  <si>
    <t>Rua Veroni Pedro Graciano</t>
  </si>
  <si>
    <t>https://www.linkedin.com/in/raquelsuzi/</t>
  </si>
  <si>
    <t>https://instagram.com/raquelsuzi</t>
  </si>
  <si>
    <t>https://drive.google.com/open?id=1tpqRxDesCZquAPPMJ3quJEmON3JDibP1</t>
  </si>
  <si>
    <t>Regina</t>
  </si>
  <si>
    <t>Santos da silva</t>
  </si>
  <si>
    <t>Ativista Direitos Humanos
Presidenta Coletivo Mulheres do Brasil em ação CMBA 
Farmacêutica
Gerente de Farmácia
Promotora Legal Popular 
Embaixadora do Âmago
Conselheira do Conselho Municipal de Direito da Mulher de Penha e Navegantes
Conselheira Municipal de Assistência Social de Penha 
Técnica de escuta qualificada a mulheres e crianças Vítimas de Violência Doméstica</t>
  </si>
  <si>
    <t>Rua Santina Rosa da Costa</t>
  </si>
  <si>
    <t>https://drive.google.com/open?id=1MUOPxSkLt5jxq_OGVSu9q9nYKUkXoOv0</t>
  </si>
  <si>
    <t>Rosely</t>
  </si>
  <si>
    <t>Maria de oliveira</t>
  </si>
  <si>
    <t>rosely.oliveira@terra.com.br</t>
  </si>
  <si>
    <t>Rua desemb. Nelson Nunes Guimaraes</t>
  </si>
  <si>
    <t>Atiradores</t>
  </si>
  <si>
    <t>https://www.instagram.com/roselymaria.oliveira/</t>
  </si>
  <si>
    <t>https://drive.google.com/open?id=1knf9y3pOdm4Qi-UakzEVPYcG-jYz-p3s</t>
  </si>
  <si>
    <t>Brasileiro gama</t>
  </si>
  <si>
    <t>vbgamalemann@gmail.com</t>
  </si>
  <si>
    <t>30.294.108-3</t>
  </si>
  <si>
    <t>Sou Vanessa Gama* psicóloga* pedagoga* concluinte de um MBA em Gestão Escolar pela USP. Estou à frente de um projeto Social no Jardim Elba desde 2012* atuo como coordenadora dos projetos educacional e vice-presidente da ONG. Gosto muito de ler* sou mãe da Mariana. 
E acredito que só a educação de qualidade pode diminuir a desigualdade que vem de berço....</t>
  </si>
  <si>
    <t>RUA LOMBARDA</t>
  </si>
  <si>
    <t>PARQUE CAPUAVA</t>
  </si>
  <si>
    <t>Admilson</t>
  </si>
  <si>
    <t>Santos junior</t>
  </si>
  <si>
    <t>Administrador</t>
  </si>
  <si>
    <t>Sou Admilson Júnior gosto de apoiar iniciativas que promovam o desenvolvimento de vulneráveis com expertise com trabalho de jovens processo de inserção socioprodutiva.</t>
  </si>
  <si>
    <t>Rua dos Carvões</t>
  </si>
  <si>
    <t>Santo Antônio Além do Carmo</t>
  </si>
  <si>
    <t>https://www.linkedin.com/in/admilson-fuca</t>
  </si>
  <si>
    <t>https://www.instagram.com/asjr.professor/</t>
  </si>
  <si>
    <t>https://drive.google.com/open?id=1yxX85NXSxXoEzTJyrlXw7eYxy4Jmw-R-</t>
  </si>
  <si>
    <t>alinemcajc48@gmail.com</t>
  </si>
  <si>
    <t>SOU ALINE MARIA DA SILVA* MULHER ESPOSA E MÃE* DE 4 FILHOS* TRÊS MENINAS E UM MENINO, SOU A 3º DE SETE FILHOS DOS MEUS PAIS, NASCI EM FAMÍLIA POBRE* EM UMA CIDADE RICA EM RECURSOS NATURAIS, TERRA E ÁGUA BOA* COM POPULAÇÃO* MAJORITÁRIA NEGRA* POREM UMA CIDADE RACISTA E PRECONCEITUOSA. ACREDITO NA EDUCAÇÃO COMO UMA FORMA DE LIBERTAÇÃO PARA O SUJEITO* EDUCAÇÃO FEITA DENTRO E FORA DAS QUATRO PAREDES.</t>
  </si>
  <si>
    <t>QUILOMBO PEDRA DO AMOLAR</t>
  </si>
  <si>
    <t>QUILOMBO</t>
  </si>
  <si>
    <t>https://instagram.com/aline_assistente_social?utm_medium=copy_link</t>
  </si>
  <si>
    <t>Aluisio</t>
  </si>
  <si>
    <t>Ferreira gomes</t>
  </si>
  <si>
    <t>aluisiogomes.aluisio@gmail.com</t>
  </si>
  <si>
    <t>(87)98806-0620</t>
  </si>
  <si>
    <t>Professor Dr. em Educação pela Uncuyo - Universidad Nacional de Cuyo, Mendoza, Argentina.
Presidente na empresa Oscip Jovem Sertão
Sócio Proprietário na empresa Eldorado Outdoor
Professor na empresa Facape - Faculdade de Ciências Aplicadas e Sociais de Petrolina
Trabalhou como Diretor de Gestão Ambiental e Sustentabilidade na Prefeitura de Petrolina na empresa Prefeitura de Petrolina
Trabalhou como Secretário de Governo e Comunicação na empresa Prefeitura Municipal de Petrolina</t>
  </si>
  <si>
    <t>Do Cajueiro</t>
  </si>
  <si>
    <t>@aluisiogomes</t>
  </si>
  <si>
    <t>https://drive.google.com/open?id=1IC_xNtVEGCvac2r8WTFQEp236RM3NI4I</t>
  </si>
  <si>
    <t>Célia pereira da conceição passos</t>
  </si>
  <si>
    <t>celiapassosana715@gmail.com</t>
  </si>
  <si>
    <t>Sou Ana Célia Pereira da Conceição Passos* mulher negra*viúva mãe de um casal de filhos.sou Pós ós graduada em políticas públicas na edução básica* tenho uma segunda pós graduação em Ensino de Sociologia no Ensino Médio* Estou no terceiro mandato como conselheira tutelar. Amo o trabalho social estou atuando na ONG Sagrada Família há mais de 20 anos sempre na luta buscando o melhor para as crianças adolescentes e as famílias de minha comunidade.</t>
  </si>
  <si>
    <t>https://www.linkedin.com/in/ana-c%C3%A9lia-passos-7032776a/</t>
  </si>
  <si>
    <t>https://www.instagram.com/ana.passos.315/</t>
  </si>
  <si>
    <t>https://drive.google.com/open?id=12eipfxlQ-9jFTzg4dTPITGKQMopChRb2</t>
  </si>
  <si>
    <t>ANTONIO</t>
  </si>
  <si>
    <t>Andre lima muniz</t>
  </si>
  <si>
    <t>(82)99920-3045</t>
  </si>
  <si>
    <t>Presidente/Diretor</t>
  </si>
  <si>
    <t>Andre Muniz, nasceu na cidade de Duque de Caxias/RJ em 18 de maio de 1973. Aos 22 anos de idade começou a se mover juntamente com grupos de assistência social, da Igreja que congregava, à ajudar pessoas nas comunidades carentes do Rio de Janeiro. 
Foi morar em Maceió em 2005. Entre os anos de 2008 à 2012, fez um trabalho de assistência aos moradores em situação de rua. Foi consagrado pastor em de outubro 2012, e em 2013 deu inicio a um sonho: fundou a OSC Instituto Mais Vida.</t>
  </si>
  <si>
    <t>Maragogi</t>
  </si>
  <si>
    <t>Canaã</t>
  </si>
  <si>
    <t>57080-110</t>
  </si>
  <si>
    <t>https://drive.google.com/open?id=1lGGlJ-rg5gxqhNDJ3HqFa3cspLRUQdMV</t>
  </si>
  <si>
    <t>Aucília</t>
  </si>
  <si>
    <t>Maria santana silva</t>
  </si>
  <si>
    <t>Rua Doutor Odilon Machado  Condomínio Jardim Santa Mônica - Edifício Patricia</t>
  </si>
  <si>
    <t>Nº 657</t>
  </si>
  <si>
    <t>www.linkedin.com/in/auc%C3%ADlia-maria-silva-51a966161/</t>
  </si>
  <si>
    <t>www.instagram.com/auciliamaria_27/?hl=pt-br</t>
  </si>
  <si>
    <t>https://drive.google.com/open?id=1w7ZIPdjBfE10twZRAsU8knj-QGt-mRFB</t>
  </si>
  <si>
    <t>Claudimar</t>
  </si>
  <si>
    <t>Dos santos dantas</t>
  </si>
  <si>
    <t>Sou um líder proatividade, comunicativo e determinado, minha luta é conta a pobreza e a desigualdade.</t>
  </si>
  <si>
    <t>Rua Rio madeira</t>
  </si>
  <si>
    <t>https://drive.google.com/open?id=1SH_DbYSC2GiQnWhbzfCh39xmTAEfzKcJ</t>
  </si>
  <si>
    <t>Oliveira santos herculian</t>
  </si>
  <si>
    <t>crisherculian@gmail.com</t>
  </si>
  <si>
    <t>3.216.885-38</t>
  </si>
  <si>
    <t>Sou mãe* casada* advogada de formação. Me dedico com as possibilidades que encontro e habilidades que adquiri a ser útil à minha comunidade.</t>
  </si>
  <si>
    <t>Rua Pedro Longo</t>
  </si>
  <si>
    <t>https://instagram.com/crisherculian</t>
  </si>
  <si>
    <t>https://drive.google.com/open?id=1Uz0kNTO4gYqQ5xDsg87M2rxEFgS8BmiX</t>
  </si>
  <si>
    <t>Dos santos pires</t>
  </si>
  <si>
    <t>shamah1473@gmail.com</t>
  </si>
  <si>
    <t>71 98501-5206</t>
  </si>
  <si>
    <t>Daiane pires 35 anos* casada graduada em enfermagem*  mãe de 3 meninas* 9 anos de trabalho  social</t>
  </si>
  <si>
    <t>Rua b caminho 2</t>
  </si>
  <si>
    <t>https://instagram.com/__daydias?utm_medium=copy_link</t>
  </si>
  <si>
    <t>https://drive.google.com/open?id=1C6ewJpuHyQUU-kJqMvL2-fOTMl9fp52d</t>
  </si>
  <si>
    <t>Daianny</t>
  </si>
  <si>
    <t>Teles gomes cordeiro ismerim</t>
  </si>
  <si>
    <t>daiannyaurbanista@gmail.com</t>
  </si>
  <si>
    <t>Sou mãe de 3 criancas* esposa e filha dedicada e atenciosa. Adoro estudar e com o conhecimento adiquirido poder levar para outras pessoa. Uma eterna apaixonada pela vida e as aventuras que ela proporciona. Fiz três graduações* uma especialização e um mestrado. Estou me organizando para fazer meu doutorado e puder leva as ações sociais que durante mais de 10 anos nortearam minha historia profissional e de vida. Arquiteta Urbanista e Bióloga* especialista em desenho e agora Mestra em Planejamento Territorial. Valorizo muito o homem e mulher do campo (áreas rurais)* trabalho como Artquiteta levando minha experiências para todos* por acreditar que moradia é direito de todos.</t>
  </si>
  <si>
    <t>Rua Rollin Popino</t>
  </si>
  <si>
    <t>Santo Antonio dos Prazeres</t>
  </si>
  <si>
    <t>linkedin.com/in/daianny-teles-3a399113a</t>
  </si>
  <si>
    <t>https://www.instagram.com/daiannyteles.arquiteta/?hl=pt-br</t>
  </si>
  <si>
    <t>https://drive.google.com/open?id=1aoeco4DT1rOK7tfWD-uT-laPA73OpPuK</t>
  </si>
  <si>
    <t>Kelly</t>
  </si>
  <si>
    <t>Cristina De Aguiar Silva</t>
  </si>
  <si>
    <t>kellylibras22@gmail.com</t>
  </si>
  <si>
    <t>(13)9741-0758</t>
  </si>
  <si>
    <t>Sagitariana, decidida e engajada em tudo o que acredita e ama. Casada á 27 anos, mãe de 4 jovens adultos, e em breve serei vó. Luto á mais de 23 anos na Comunidade Surda, sou militante ativista dos direitos das pessoas com deficiência, pedagoga e interprete de libras atuo na rede de ensino do estado de SP e sou coordenadora do Instituto Almas Azuis. Tenho como base da minha vida a filosofia humanista da Soka Gakkai e de Nitiren Sonho com uma cultura de paz, cultura e educação.</t>
  </si>
  <si>
    <t>Fernando Sanches Carneiro</t>
  </si>
  <si>
    <t>Jardim Quietude</t>
  </si>
  <si>
    <t>11718-230</t>
  </si>
  <si>
    <t>@kellylibras</t>
  </si>
  <si>
    <t>https://drive.google.com/open?id=1NaqmSUJToXATbOubX9BhwaQha-rH2Hp5</t>
  </si>
  <si>
    <t>Pinheiro Dos Reis</t>
  </si>
  <si>
    <t>elainepinheiro795@gmail.com</t>
  </si>
  <si>
    <t>Meu nome é Elaine Pinheiro, 38anos, casada, mãe de 2 filhas, formada em Direito, pós graduanda em Direito Penal e Processo Penal, voluntária no EAM, representante da Comissão local CORAS,
Conselheira Municipal Suplente representando a regional Centro Sul de BH, representante da Comissão de Sistema de Justiça e Garantia de Direitos - SGD e SJ, pelo Conselho Municipal de Assistência Social-CMAS, Voluntária da Justiça Restaurativa, Vice-presidente do CDC, presidente e CEO do instituto 100% Morro.</t>
  </si>
  <si>
    <t>Beco São Miguel</t>
  </si>
  <si>
    <t>Rua Bolívia</t>
  </si>
  <si>
    <t>30335-250</t>
  </si>
  <si>
    <t>Trabalho informal; Desempregado</t>
  </si>
  <si>
    <t>@pinheiro.elaine</t>
  </si>
  <si>
    <t>https://drive.google.com/open?id=1qPlGqS03kcODDXb1OvWZMlJIT5qPjU21</t>
  </si>
  <si>
    <t>Sônia</t>
  </si>
  <si>
    <t>Bernardi Benini Soranhi</t>
  </si>
  <si>
    <t>soniabernardibenini@gmail.com</t>
  </si>
  <si>
    <t>(11)98447-4876</t>
  </si>
  <si>
    <t>Sou brasileira, paulistana, assistente social de formação, apaixonada e atuante na área social há mais de 30 anos, em favelas de Diadema, na Grande São Paulo. Casada e mãe de dois filhos do coração, e defensora da Inclusão Social, há 04 anos estou no Instituto Lira de Inclusão Social  coordenando a área de projetos, fortalecimento institucional e articulações, na busca de um mundo mais justo e igualitário.</t>
  </si>
  <si>
    <t>Av Eng Armando de Arruda Pereira</t>
  </si>
  <si>
    <t>Q2 Bloco 8 Ap 11</t>
  </si>
  <si>
    <t>Jabaquara</t>
  </si>
  <si>
    <t>04309-011</t>
  </si>
  <si>
    <t>http://linkedin.com/in/sonia-bernardi-benini-070a9a75</t>
  </si>
  <si>
    <t>https://instagram.com/sonia_bernardi_benini_soranhi?utm_medium=copy_link</t>
  </si>
  <si>
    <t>https://drive.google.com/open?id=13oh3tORHU2YU_TcyCrP3lqe0ACn3qatv</t>
  </si>
  <si>
    <t>Zilda</t>
  </si>
  <si>
    <t>Amélia Costa De Souza</t>
  </si>
  <si>
    <t>zillzootecnia@gmail.com</t>
  </si>
  <si>
    <t>(75)98140-8242</t>
  </si>
  <si>
    <t>14087371-67</t>
  </si>
  <si>
    <t>Zilda Souza, mulher preta, mãe de Imaní,  Nascida em Itaberaba-Ba, e mestre em Ciência Animal pela UFRB, tem movimentado a cena cultural e comunitaria no Recôncavo da Bahia atuando como produtora cultural, tenho o trabalho comunitário como modo de vida.</t>
  </si>
  <si>
    <t>31 de agosto, bairro Ana Lucia</t>
  </si>
  <si>
    <t>261F</t>
  </si>
  <si>
    <t>em frente ao salão de Dori e lavajato do Geny</t>
  </si>
  <si>
    <t>peixes de couro, abobora, fruta pão, jaca, umbu</t>
  </si>
  <si>
    <t>https://www.linkedin.com/in/zilda-souza-940792224/</t>
  </si>
  <si>
    <t>https://www.instagram.com/zilldasouza/</t>
  </si>
  <si>
    <t>https://drive.google.com/open?id=1-qvgmOicpJPtEdLI1ygh-OGRYsMVFqZ1</t>
  </si>
  <si>
    <t>Washington</t>
  </si>
  <si>
    <t>Da Silva</t>
  </si>
  <si>
    <t>oaprisco.liderwashington@outlook.com</t>
  </si>
  <si>
    <t>CEO Fundador da associação o  aprisco</t>
  </si>
  <si>
    <t>Meu nome é Washington Tadeu da silva,
Sou empreendedor social tenho 43 anos, gestor e  fundador da associação o aprisco um projeto que agrega, reúne, organiza e promover ações com objetivo de resgatar vidas. Uma instituição do 3º setor  situada no morro do sase, Itaguaí,Rj
Fui dependente químico, dos 13 aos 22 anos de idade. Em 2010 com muito esforço conclui meus estudos  cursando minha Faculdade.</t>
  </si>
  <si>
    <t>Coronel costa pereira</t>
  </si>
  <si>
    <t>260 FT</t>
  </si>
  <si>
    <t>Centro Itaguaí</t>
  </si>
  <si>
    <t>23815-040</t>
  </si>
  <si>
    <t>Não utiliza desda plataforma.</t>
  </si>
  <si>
    <t>https://instagram.com/washington.tadeu.1?utm_medium=copy_link</t>
  </si>
  <si>
    <t>https://drive.google.com/open?id=10WLmah_jIu_mOuDf9rNcoZ2JYVUTpoKa</t>
  </si>
  <si>
    <t>Esteves</t>
  </si>
  <si>
    <t>Santo Antônio Betim</t>
  </si>
  <si>
    <t>Alves Da Silva</t>
  </si>
  <si>
    <t>Sou psicóloga, líder social que acredita na transformação do mundo através do desenvolvimento integral do ser humano.</t>
  </si>
  <si>
    <t>Guilherme Cechini</t>
  </si>
  <si>
    <t>Residencial Nova Canaã</t>
  </si>
  <si>
    <t>https://www.linkedin.com/in/projeto-os-sonhadores-fernand%C3%B3polis-214b35200/</t>
  </si>
  <si>
    <t>https://www.instagram.com/juhalves98/</t>
  </si>
  <si>
    <t>https://drive.google.com/open?id=1yPAfU7NiOiHCtCgAYlXpFLL2cCYucTG-</t>
  </si>
  <si>
    <t>Regina Da Costa Serra</t>
  </si>
  <si>
    <t>Fui vítima de pedofilia dos 5 aos 12 anos, engravidei aos 16 anos, fui mãe aos 17. Me separei aos 23 anos, após uma tentativa de feminicídio. Consegui estudar e me formar numa universidade pública, apesar de todas as adversidades.
Aos 27 anos casei com o amor da minha vida e meus três filhos são meu melhor case de sucesso, eles me fizeram compartilhar o desejo de transformação pela arte e educação, criando o Vidançar em 2010, tendo mais de 1.500 filhos do coração.</t>
  </si>
  <si>
    <t>Astreia</t>
  </si>
  <si>
    <t>Higienópolis</t>
  </si>
  <si>
    <t>Aveia</t>
  </si>
  <si>
    <t>@ellen_vidancar</t>
  </si>
  <si>
    <t>https://drive.google.com/open?id=1C3W8E_PlOzSUICGDKY70cjR9fMrFEiqx</t>
  </si>
  <si>
    <t>Sandro Das Neves Santos</t>
  </si>
  <si>
    <t>contato@sandrosantos.eti.br</t>
  </si>
  <si>
    <t>Graduado Tecnólogo em Análise e Desenvolvimento de Sistemas e Licenciatura em informática, com especialização em Segurança em Redes e Computação Forense pela Universidade Mauricio de Nassau. Tem uma grande experiência em captação de recursos, articulação e mobilização de parcerias e na área da infância, juventude e desenvolvimento local. Atualmente é coordenador executivo do Instituto Girassol de Desenvolvimento Social.</t>
  </si>
  <si>
    <t>Rua José Duda Silva</t>
  </si>
  <si>
    <t>https://www.linkedin.com/in/sandroigds/</t>
  </si>
  <si>
    <t>https://www.instagram.com/sandroczq/</t>
  </si>
  <si>
    <t>https://drive.google.com/open?id=1Z-8UdHpGj_EhFWxZ-Eu759XUryXw26ji</t>
  </si>
  <si>
    <t>Costa Mendes Da Silva</t>
  </si>
  <si>
    <t>brunnamendes138@gmail.com</t>
  </si>
  <si>
    <t>Sou Bruna Mendes 25 anos, mãe de duas meninas, Helô de 6 anos e Valentina Luz de 2 anos, esposa do Gláucio e apaixonada por esportes, em especial Artes Marciais. Acredito que a educação aliado ao esporte é TRANSFORMAÇÃO SOCIAL.</t>
  </si>
  <si>
    <t>Celio nascimento</t>
  </si>
  <si>
    <t>benfica</t>
  </si>
  <si>
    <t>https://www.instagram.com/p/Ca0wX3FO9f4/?utm_medium=copy_link</t>
  </si>
  <si>
    <t>https://drive.google.com/open?id=1DKY-InFZXUqBBZyOmp_kqN5PD8sCjywv</t>
  </si>
  <si>
    <t>Jaciara De Oliveira Roberto</t>
  </si>
  <si>
    <t>Maria Jaciara de Oliveira Roberto, (34 anos), casada, mãe, assistente social e líder do Instituto Pra Todo Mundo.</t>
  </si>
  <si>
    <t>Lelivéldia</t>
  </si>
  <si>
    <t>https://www.instagram.com/jacyoliveira_iptm/</t>
  </si>
  <si>
    <t>https://drive.google.com/open?id=1Z7KbZmjiLEaN79ADvCm9CubfaAzU67_G</t>
  </si>
  <si>
    <t>Costa</t>
  </si>
  <si>
    <t>www.linkedin.com/in/pedroarocha</t>
  </si>
  <si>
    <t>instagram.com/pedrorochacosta</t>
  </si>
  <si>
    <t>Alcinesio</t>
  </si>
  <si>
    <t>José De Santana Filho</t>
  </si>
  <si>
    <t>alcinesiofilho@gmail.com</t>
  </si>
  <si>
    <t>70579530-0</t>
  </si>
  <si>
    <t>Olá, sou o Alcinésio Santana, apaixonado por  filmes, viagens e livros, formado em Publicidade e Propaganda, Pós Graduado em Marketing, Design Gráfico, fotografia. Mas só encontrei o meu lugar no mundo ao trabalhar com o  empreendedorismo social.</t>
  </si>
  <si>
    <t>Rua Umburetama</t>
  </si>
  <si>
    <t>50960-050</t>
  </si>
  <si>
    <t>https://www.linkedin.com/in/alcinesio-santana-filho-3b8711112/</t>
  </si>
  <si>
    <t>https://www.instagram.com/neo_cb1/</t>
  </si>
  <si>
    <t>https://drive.google.com/open?id=1GY4nANPksxjm0L13hCM1n4v_7wwub2B6</t>
  </si>
  <si>
    <t>Betania</t>
  </si>
  <si>
    <t>Gonçalves Da Silva</t>
  </si>
  <si>
    <t>betania.emcena@gmail.com</t>
  </si>
  <si>
    <t>(81)99601-4500</t>
  </si>
  <si>
    <t>03290626-0</t>
  </si>
  <si>
    <t>Betania Gonçalves, 49 anos, uma mulheres que a dança, aprender línguas estrangeiras e política. Inspirada pelo trabalho de meus pais que eram membros da Comissão de Justiça e Paz admiradores do Dom da Paz, o Dom Helder Câmara. A Em Cena Arte e Cidadania começou em  1998, como o sonho de duas jovens, uma bailarina e eu, professora de teatro. Hoje estou como coordenadora executiva responsável por  liderar equipe, mobilizar recursos, representar a organização e etc.</t>
  </si>
  <si>
    <t>Avenida dezessete de Agosto</t>
  </si>
  <si>
    <t>Apto 308</t>
  </si>
  <si>
    <t>52060-335</t>
  </si>
  <si>
    <t>https://www.linkedin.com/in/betania-silva-261930b0/</t>
  </si>
  <si>
    <t>https://drive.google.com/open?id=13Ez0cfIDcPir9sGobJV1LfgzKYdfOt1Z</t>
  </si>
  <si>
    <t>Teodoro</t>
  </si>
  <si>
    <t>Azevedo Neto</t>
  </si>
  <si>
    <t>teodorocapoeira@gmail.com</t>
  </si>
  <si>
    <t>Mestre Teodoro Francisco Azevedo Neto; Nasceu em 19 de julho de 1976 em Salvador Bahia;; Filho de: Mariléia Times Oliveira e Silvio Francisco Azevedo;;  iniciou na capoeira com 13 anos sendo aluno do grande Mestre Pedro Pé de Ferro – In memorian; Seu nome de guerra era Maestro;; mas a pedido do próprio foi trocado para Mestre Teodoro; Fundou o grupo em 2003 com o nome Associação Internacional de Capoeira Os Bambas do Sol Nascente;; com objetivo de implantar um projeto social que ocupasse a mente de crianças e adolescentes ociosos oferecendo atividades socio culturais em contra turnos escolares;</t>
  </si>
  <si>
    <t>RUA PAPA CLEMENTE X;</t>
  </si>
  <si>
    <t>https://www.instagram.com/teodoromestre/</t>
  </si>
  <si>
    <t>https://drive.google.com/open?id=1yAAeHBAT6BO0GDR_tu-UAM5HRhOMV9n4</t>
  </si>
  <si>
    <t>Seabra Pantoja Junior</t>
  </si>
  <si>
    <t>seabrapantoja@gmail.com</t>
  </si>
  <si>
    <t>Alguém que sempre foi inconformado com a realidade social em que se encontrava, que hoje, pensa todos os dias em formas de resolver ou ao menos minimizar a dificuldades no entorno de si!</t>
  </si>
  <si>
    <t>entre Marechal e Juscelino</t>
  </si>
  <si>
    <t>linkedin.com/in/antonio-pantoja-70267485</t>
  </si>
  <si>
    <t>https://www.instagram.com/seabrapantoja/</t>
  </si>
  <si>
    <t>https://drive.google.com/open?id=1Gssnn35jMpTcNOtvFuM6csVgnIEkJaPL</t>
  </si>
  <si>
    <t>Robson</t>
  </si>
  <si>
    <t>Machado Bezerra</t>
  </si>
  <si>
    <t>Robson Machado Bezerra, Agricultor familiar da cidade de Nisia Floresta RN;; 36 anos ;; Casado;; Líder Social;; Educador Popular;; Mestre de Capoeira;; Sensei Faixa Preta de Karatê;; Instrutor de Krav Maga;; Professor de Música;;;;;;sonho em ter um cidade melhor de se Viver;; onde possa vê meus alunos adolescentes ter a oportunidade de serem adultos;</t>
  </si>
  <si>
    <t>https://instagram.com/mestrenordestino?utm_medium=copy_link</t>
  </si>
  <si>
    <t>https://drive.google.com/open?id=1gcgliDhEdM_0prKU-Gej3zxAbI3H8c_q</t>
  </si>
  <si>
    <t>Elivânia</t>
  </si>
  <si>
    <t>Tiago Bruno Da Silva</t>
  </si>
  <si>
    <t>(88)99309-3510</t>
  </si>
  <si>
    <t>Tiago Bruno da Silva, Negro, brasileiro, formado em saúde pública pela UVA, como especialidade em gestão Humana, estudante de liderança pela universidade Falcons, ceo da educação ambiental, ambientalista, e em busca de novos conhecimentos.</t>
  </si>
  <si>
    <t>Privada</t>
  </si>
  <si>
    <t>Rua da Lavanderia</t>
  </si>
  <si>
    <t>Alto alegre</t>
  </si>
  <si>
    <t>https://www.instagram.com/thiagobruno_medeirosilva/</t>
  </si>
  <si>
    <t>https://drive.google.com/open?id=1Ece9Gn3YjBjv7zPMv3WJzuOfuTsEInmy</t>
  </si>
  <si>
    <t>Antônio</t>
  </si>
  <si>
    <t>Carlos Oliveira De Sousa</t>
  </si>
  <si>
    <t>oliveiracarlosantonio133@gmail.com</t>
  </si>
  <si>
    <t>(85)91555624</t>
  </si>
  <si>
    <t>Meu nome e Antônio Carlos casado com suziane tenho três filhos Arthur, María Laura e Adriel moro no conjunto esperança , tenho meu  projeto dês de 2014 nosso primeira ação foi nosso quero brincar hoje nosso projeto beneficia 85 famílias</t>
  </si>
  <si>
    <t>Rua 109</t>
  </si>
  <si>
    <t>Conjunto esperança</t>
  </si>
  <si>
    <t>60763-580</t>
  </si>
  <si>
    <t>@projetoqueroajudar</t>
  </si>
  <si>
    <t>https://drive.google.com/open?id=1q48-yS8uezvraaagbt8CYDO5WX6i6IjP</t>
  </si>
  <si>
    <t>Elisabete Amaral Da Silva</t>
  </si>
  <si>
    <t>rreginamarall@gmail.com</t>
  </si>
  <si>
    <t>(81)98736-6100</t>
  </si>
  <si>
    <t>Natural de Olinda/PE, residente em Paulista/PE, onde a ONG tem sua sede. Casada, mãe de 2 pessoinhas maravilhosas, completamente apaixonada pelas causas sociais. Atuação na ONG como coordenadora de projetos, educadora social. Também é membro do Conselho da Criança e do Adolescente do Município na promoção de políticas públicas dessa parcela da população e suas famílias.</t>
  </si>
  <si>
    <t>Primeira Travessa da Rua Cento e Vinte e Seis</t>
  </si>
  <si>
    <t>53407-481</t>
  </si>
  <si>
    <t>@regina.amaral.127</t>
  </si>
  <si>
    <t>https://drive.google.com/open?id=1tfRd7vxv3MUeINOaP4eYdLqqEWk8xwCt</t>
  </si>
  <si>
    <t>Saryne</t>
  </si>
  <si>
    <t>Teixeira Santana Fernandes</t>
  </si>
  <si>
    <t>sarynefernandes@gmail.com</t>
  </si>
  <si>
    <t>Saryne Fernandes nasceu numa família disfuncional abusos e escassez sempre fizeram parte de sua vida, em 2012 na Favela do Japão teve seu primeiro insight através da arte e cultura dar protagonismo a outras crianças e finalmente em meio a uma pandemia mundial em 2021 nasce o projeto Balé da Ralé.</t>
  </si>
  <si>
    <t>Travessa Santa Helena</t>
  </si>
  <si>
    <t>Escadaria</t>
  </si>
  <si>
    <t>https://drive.google.com/open?id=14jd-qqED4QMWqUkD6nVgzFvP7M_3_29n</t>
  </si>
  <si>
    <t>Fabiane</t>
  </si>
  <si>
    <t>Fernandes Mota</t>
  </si>
  <si>
    <t>fabykauan@hotmail.com</t>
  </si>
  <si>
    <t>(71)98763-9432</t>
  </si>
  <si>
    <t>Se você não viver pra servir, você não servi pra viver.</t>
  </si>
  <si>
    <t>Rua José Inácio do Amaral N24e</t>
  </si>
  <si>
    <t>E</t>
  </si>
  <si>
    <t>Nordeste de Amaralina</t>
  </si>
  <si>
    <t>41905-370</t>
  </si>
  <si>
    <t>@patrulhadobem1</t>
  </si>
  <si>
    <t>https://drive.google.com/open?id=11JTgCWa_kDUdF00hQ-Gj0EpC6bco3ilX</t>
  </si>
  <si>
    <t>Santiago Machado</t>
  </si>
  <si>
    <t>santiagomachadorafael@gmail.com</t>
  </si>
  <si>
    <t>Sou Rafael, nascido e criado na periferia de Salvador- Bahia, em um bairro com alto índice de vulnerabilidade social e desigualdade socioeconômica, sou o filho casula da dona Val, conseguir crescer em meio aos desafios e obstáculos sociais e educacionais, fui aluno de projeto social, me tornei pai aos 25 anos, conseguir me formar aos 32, comecei um trabalho educacional dando aula de matemática as crianças do bairro, e hoje junto a um time de amigos voluntários montamos um time</t>
  </si>
  <si>
    <t>Rua Paulo Sergio Macedo</t>
  </si>
  <si>
    <t>Segunda Travessa Fábio Chagas</t>
  </si>
  <si>
    <t>41270-540</t>
  </si>
  <si>
    <t>MEI; Trabalho informal; Desempregado</t>
  </si>
  <si>
    <t>https://www.linkedin.com/in/rafael-santiago-machado-0b1b67186</t>
  </si>
  <si>
    <t>https://instagram.com/eng.rafaelsantiago?utm_medium=copy_link</t>
  </si>
  <si>
    <t>https://drive.google.com/open?id=1XUzHhlQDth3QLTll_kXA8v-OdFga_dyd</t>
  </si>
  <si>
    <t>Carlos Veneranda Da Silva</t>
  </si>
  <si>
    <t>carlosveneranda@gmail.com</t>
  </si>
  <si>
    <t>(85)98568-1081</t>
  </si>
  <si>
    <t>https://drive.google.com/file/d/1yyWVo6-zEvSPLdaGus3hnUphF-01kGcV/view?usp=sharing</t>
  </si>
  <si>
    <t>Rua Granja São Francisco</t>
  </si>
  <si>
    <t>José de Alencar</t>
  </si>
  <si>
    <t>60830-155</t>
  </si>
  <si>
    <t>@carlosveneranda</t>
  </si>
  <si>
    <t>https://drive.google.com/open?id=1QEjlMADsuWE6DtKaz5gbbpdtDrTR18Yk</t>
  </si>
  <si>
    <t>Angélica</t>
  </si>
  <si>
    <t>Maria Moreira Da Costa</t>
  </si>
  <si>
    <t>angelicaclucena2@gmail.com</t>
  </si>
  <si>
    <t>(83)99982-0709</t>
  </si>
  <si>
    <t>Economista, Gestora em Finanças, Empreendedora Social , Militante dos Movimentos de Mulheres, Mães, Mentora de Projetos voltados ao  empoderamento feminino e Geração de Renda.Dedica sua vida a Potencializar a vida de outras mulheres na Paraiba.  Como palestrante e multiplicadora já capacitou mais de 4000 mulheres pelo Brasil, Empreendedora Social como 
Presidente da ONG ARC Ações Solidárias é líder do comitê de Empreendedoras, conselheira municipal no Conselho da Pessoa idosa de João Pessoa.</t>
  </si>
  <si>
    <t>Severino Massa Spinelli</t>
  </si>
  <si>
    <t>Apt 2401</t>
  </si>
  <si>
    <t>Tambau</t>
  </si>
  <si>
    <t>58039-210</t>
  </si>
  <si>
    <t>MEI; Funcionário Público</t>
  </si>
  <si>
    <t>https://www.linkedin.com/in/angelica-costa-0171b815</t>
  </si>
  <si>
    <t>https://www.instagram.com/p/CbkiBu3u8e-/?utm_medium=copy_link</t>
  </si>
  <si>
    <t>https://drive.google.com/open?id=1DopXQ2Kbw48Rot2Z5_SrFY-HRZPesqcY</t>
  </si>
  <si>
    <t>Eraldo</t>
  </si>
  <si>
    <t>Noronha Lima Junior</t>
  </si>
  <si>
    <t>eraldo@associacaovoar.org</t>
  </si>
  <si>
    <t>(85)99731-6368</t>
  </si>
  <si>
    <t>Sou natural de Tauá-CE, cidade do interior no Sertão dos Inhamuns. Por intermédio do apadrinhamento de um casal de americanos, tive os meus estudos financiados dos 03 aos 12 anos de idade. Em 2013 comecei minha trajetória na Associação Voar como voluntário. Posteriormente assumi as funções de Educador Social, Diretor de Relacionamento Institucional e hoje como Diretor Executivo e Presidente da organização. Além disso, sou o Líder do Movimento União CE, que está ligado ao Movimento União BR.</t>
  </si>
  <si>
    <t>Paulo Roberto Pinheiro</t>
  </si>
  <si>
    <t>APT 203</t>
  </si>
  <si>
    <t>Edson Queiroz</t>
  </si>
  <si>
    <t>60810-100</t>
  </si>
  <si>
    <t>https://www.linkedin.com/in/eraldonoronha/</t>
  </si>
  <si>
    <t>https://www.instagram.com/eraldonoronha/</t>
  </si>
  <si>
    <t>https://drive.google.com/open?id=1Hle8CRXKdAaaawFhmWzB0FZHkkdF2154</t>
  </si>
  <si>
    <t>Rita</t>
  </si>
  <si>
    <t>De Cássia Ferreira Do Sacramento</t>
  </si>
  <si>
    <t>(71)99227-6880</t>
  </si>
  <si>
    <t>Rita Sacramento, Gestora Social que atua a partir do coletivo na OSC Ponto Social, contribuindo nas ações que possibilitem as mulheres negras das periferias obterem informações qualificadas, conhecimentos e técnicas para oportunidades, de trabalho e geração renda. Assim busco valorizar as práticas inovadoras, comunitárias e coletivas.
Nessa atuação temos resultados de intervir através dos eixos automia e liberdade e a valorização da identidade territorial .</t>
  </si>
  <si>
    <t>Curuzu</t>
  </si>
  <si>
    <t>@maesempreendedorasdafavela</t>
  </si>
  <si>
    <t>https://drive.google.com/open?id=1474di_mZjxJXashfmEj3vgYAsZq5yuvO</t>
  </si>
  <si>
    <t>Jaqueline De Oliveira</t>
  </si>
  <si>
    <t>jaquelineoliveirajuv231@gmail.com</t>
  </si>
  <si>
    <t>Jaqueline Oliveira;; 33 anos jovem mulher do campo;; Técnica agrícola;;militante;; feminista;; educadora social;; graduanda em pedagogia; Filha de mãe solo;; aos seus 11 anos;; precisou pedir esmola para garantir ao menos uma refeição para os seus 6 irmãos;Sempre viveu no campo e acreditava que mesmo com tão pouco conseguiria ajudar a transformar o mundo; Sempre lutou por igualdade;; equidade e qualidade de vida; Sonhadora;; militante a 10 anos nas causas sociais;O que me impulsiona é a busca de dias melhores;; é resgatar jovens e torna-los protagonistas das suas próprias histórias;</t>
  </si>
  <si>
    <t>Sítio Agostinho</t>
  </si>
  <si>
    <t>Feira Nova</t>
  </si>
  <si>
    <t>https://www.linkedin.com/in/jaqueline-oliveira-90664a1b5/?midToken=AQHIDWjkjLIB5g&amp;midSig=3fVuhkKMUVEpQ1&amp;trk=eml-email_job_alert_digest_01-header-40-profile&amp;trkEmail=eml-email_job_alert_digest_01-header-40-profile-null-dwi6c6%7Ekr6nedsj%7E51-null-neptune%2</t>
  </si>
  <si>
    <t>https://www.instagram.com/p/CRZT2CLMWFA1OaZiaF6TtyWRCqhb7_fo8Iy0dU0/?utm_medium=copy_link</t>
  </si>
  <si>
    <t>https://drive.google.com/open?id=1WCZzKrLUz4iUv3863d4f8aBtA20p6fwz</t>
  </si>
  <si>
    <t>Rafaelle</t>
  </si>
  <si>
    <t>Nascimento Bragança</t>
  </si>
  <si>
    <t>rafaelle.rnc@gmail.com</t>
  </si>
  <si>
    <t>Administradora, Empreendedora Social, Presidente do Instituto Tchibum, Co-fundadora e Gestora de Comunidades na iniciativa Afluentes, Líder em Manaus do WCD 2020 e 2022, membro da rede de Líderes da Falcons University 2021.
Hoje, atua com gestão de comunidades e relacionamento na Bemol Digital. 
Acredita na educação, humanização, criatividade, inovação e tecnologia como ferramentas de desenvolvimento pessoal e transformação social.</t>
  </si>
  <si>
    <t>Jose Edno</t>
  </si>
  <si>
    <t>30A</t>
  </si>
  <si>
    <t>Morro da Liberdade</t>
  </si>
  <si>
    <t>69074-810</t>
  </si>
  <si>
    <t>https://www.linkedin.com/in/rafaelle-bragan%C3%A7a-44543896/</t>
  </si>
  <si>
    <t>https://www.instagram.com/rafaellernc/?hl=pt-br</t>
  </si>
  <si>
    <t>https://drive.google.com/open?id=1W1lbUSwcJ_6XMzLP1lRRITqh7ihX7Kcr</t>
  </si>
  <si>
    <t>Cristina Araújo Santos</t>
  </si>
  <si>
    <t>cristinaaraujoinstituto2020@gmail.com</t>
  </si>
  <si>
    <t>Filha de Sebastião José dos Santos e Adélia Araújo Santos, mãe de 2 filhos Michel e Fred, nascida em Ibicarai, sul da Bahia de família classe média, mas sempre atuante em ajudar o próximo. Muito nova ainda menor 14 anos, fui trabalhar num bairro periférico de minha cidade, primeiro professora do Mobral, pessoas idosas. Casei fui morar na capital do estado e comecei a me envolver com ONGs, fiz formação no Projeto Axé de educadora Social</t>
  </si>
  <si>
    <t>Rua Lagoa Bela</t>
  </si>
  <si>
    <t>Casa 1° andar</t>
  </si>
  <si>
    <t>Pituaçu</t>
  </si>
  <si>
    <t>41741-180</t>
  </si>
  <si>
    <t>crisaraujo67</t>
  </si>
  <si>
    <t>https://drive.google.com/open?id=1CoTJKhEOrxeitfu_kK6SptISmJnSCD9Z</t>
  </si>
  <si>
    <t>Andreia</t>
  </si>
  <si>
    <t>andreiaaraujo.bio@gmail.com</t>
  </si>
  <si>
    <t>(71)98802-5350</t>
  </si>
  <si>
    <t>Mim chamo Andria Araujo, tenho 37 anos, formada em Gestão Ambiental, tenho um de 10 anos chamado Ronald Filipe, moro em Salvador Bahia no bairro do Uruguai onde faço trabalho social desde os 16 aos de idade.</t>
  </si>
  <si>
    <t>Rua Silvino Pereira</t>
  </si>
  <si>
    <t>Segundo Andar</t>
  </si>
  <si>
    <t>40454-129</t>
  </si>
  <si>
    <t>https://www.instagram.com/invites/contact/?i=1dh60zljmycae&amp;utm_content=7aex5q6</t>
  </si>
  <si>
    <t>https://drive.google.com/open?id=1eI4arBSINrxK9YZONG69Asaa5SjbLiyl</t>
  </si>
  <si>
    <t>Jorgenei</t>
  </si>
  <si>
    <t>Gomes Dos Santos</t>
  </si>
  <si>
    <t>neipontao@gmail.com</t>
  </si>
  <si>
    <t>(71)99401-2220</t>
  </si>
  <si>
    <t>Nei Pontão 
Fundador e Coordenador do Ponto de Cultura do Estado da Bahia Muleki é Tu / Fundador, Vocalista e Cavaquinista da Banda Samba de Criol²o / Produtor Cultural / Músico Multi-instrumentista / Produtor Fonográfico / Compositor / Professor de Capoeira / Representante do Grupo de Capoeira Ginga Mundo na Cidade de Cachoeira / Idealizador do Nzila Keuala - Capoeira e outras Manifestações Culturais, 1 curinga e 4 Damas, Música de Boteco / Coordenador de 3 Turnês Internacionais / Kambondu</t>
  </si>
  <si>
    <t>26 de Junho</t>
  </si>
  <si>
    <t>Fabrica de Marmore</t>
  </si>
  <si>
    <t>Julião omes</t>
  </si>
  <si>
    <t>https://br.linkedin.com/in/nei-pont%C3%A3o-4745453b</t>
  </si>
  <si>
    <t>https://www.instagram.com/neipontao/</t>
  </si>
  <si>
    <t>https://drive.google.com/open?id=1XKgrKR1BGz63HlSzzh56Z8OCaWRwZ6Bj</t>
  </si>
  <si>
    <t>Fabio De Lima Freire</t>
  </si>
  <si>
    <t>profissionalcaiolima@gmail.com</t>
  </si>
  <si>
    <t>(85)98630-1522</t>
  </si>
  <si>
    <t>2007674753-5</t>
  </si>
  <si>
    <t>Oi, tudo bom? Espero que sim! Me chamo Caio, tenho 25 anos. Sou presidente do Instituto Amor ao Próximo. 
Sou um dos líderes que acredita no fim da miséria existente nas favelas e luta para que isso aconteça. Acredito que crianças e adolescente das favelas são o futuro e precisam saber disso. 
Tenho um time incansável e PREPARADO! Na disputa em acabar com a miséria nas favelas meu time é atacante, goleador. E do time atacante, eu sou o capitão! 
A próxima parada? Parar o mundo!</t>
  </si>
  <si>
    <t>Travessa Arthur Borges</t>
  </si>
  <si>
    <t>60345-820</t>
  </si>
  <si>
    <t>https://instagram.com/ca1olima?utm_medium=copy_link</t>
  </si>
  <si>
    <t>https://drive.google.com/open?id=1_kc8tmQv-q03Dp2MDK56rQjWYl55VBBg</t>
  </si>
  <si>
    <t>Selmara</t>
  </si>
  <si>
    <t>Melina Da Silva Gomes</t>
  </si>
  <si>
    <t>selmaramelina@gmail.com</t>
  </si>
  <si>
    <t>Professora de Língua Portuguesa, artesã, empreendedora e líder social.</t>
  </si>
  <si>
    <t>Av. Manoel dias da Silva</t>
  </si>
  <si>
    <t>Apt. 303</t>
  </si>
  <si>
    <t>41830-000</t>
  </si>
  <si>
    <t>@selmaramelina</t>
  </si>
  <si>
    <t>https://drive.google.com/open?id=1cXF_Nq_oxUqIxORGcpK3B7r5HZZ3ZcN5</t>
  </si>
  <si>
    <t>Davidson</t>
  </si>
  <si>
    <t>Moreira Carvalho Silva</t>
  </si>
  <si>
    <t>davidsoncarvalhocbjr@gmail.com</t>
  </si>
  <si>
    <t>(85)98746-8262</t>
  </si>
  <si>
    <t>Trabalho democratizando a educação, cultura, esporte e a comunicação nas favelas, com o objetivo de acabar com todo tipo de pobreza existente.</t>
  </si>
  <si>
    <t>Alberto Ferreira</t>
  </si>
  <si>
    <t>Casa 6 altos</t>
  </si>
  <si>
    <t>Jardim Iracema</t>
  </si>
  <si>
    <t>60341-140</t>
  </si>
  <si>
    <t>MEI; Trabalho informal</t>
  </si>
  <si>
    <t>https://www.linkedin.com/in/davidson-carvalho-429214236/</t>
  </si>
  <si>
    <t>https://instagram.com/davidsoncrvlho?utm_medium=copy_link</t>
  </si>
  <si>
    <t>https://drive.google.com/open?id=1A1I10djPHRKN57w2nAJXsreZUlIrHIZN</t>
  </si>
  <si>
    <t>Stefany</t>
  </si>
  <si>
    <t>Miranda Da Silva</t>
  </si>
  <si>
    <t>stefanymmiranda@gmail.com</t>
  </si>
  <si>
    <t>05946309404</t>
  </si>
  <si>
    <t>Mãe, Empreend Social, Artista Visual, Jurista Popular. Pintora Letrista, Produtora, Graduada em Mkt, Serviço Social, MBA em Gestão de Pessoas expertise atendimento cliente e gestão. Parte acervo Museu da Pessoa com projeto que gerou e gera soluções inovadoras para enfrentamento da pandemia Covid-19 nas comunidades.Prêmio "Tamo Junto" da Aliança Empreendedora categoria Mkt2021Pres. Associação de Mulheres Empreendedoras da ParaíbaFund. Jampa InvisívelFund. Coletivo PavilhãoEmbaix ADG BrasilParaíba</t>
  </si>
  <si>
    <t>Rua SEVERINO NUNES CORREIA</t>
  </si>
  <si>
    <t>https://br.linkedin.com/in/stefany-miranda-846776198</t>
  </si>
  <si>
    <t>https://instagram.com/fanycaligrafia?igshid=YmMyMTA2M2Y=</t>
  </si>
  <si>
    <t>https://drive.google.com/open?id=1KuJRrz0LJjkCms2jb4KlyhM15hnjx4Ru</t>
  </si>
  <si>
    <t>Nobre De Lima Silva</t>
  </si>
  <si>
    <t>Gestora ambiental que a mais de 5 anos tem um projeto voltado para culinária Sustentável que é o aproveitamento integral do alimento e usa esse instrumento para o combate a fome, a promoção de sustentabilidade e minimização e vulnerabilidade social.</t>
  </si>
  <si>
    <t>Cada Amarela</t>
  </si>
  <si>
    <t>52070-006</t>
  </si>
  <si>
    <t>angudasartes</t>
  </si>
  <si>
    <t>https://drive.google.com/open?id=1jI7U6TCxRrBLFWchVmlJfmEjWgg3mTPt</t>
  </si>
  <si>
    <t>Girleno</t>
  </si>
  <si>
    <t>Menezes Barbosa</t>
  </si>
  <si>
    <t>Profeesor, responssavél da Associação Educacional Voz Ativa, pós graduado em Educação Pobreza e Desiguadade Social,  casado , pai de treas filhos.
Faço parte da rede de lideres da Fundação Lemann, Craitivos da Escola e União Brasil.</t>
  </si>
  <si>
    <t>Rua 175</t>
  </si>
  <si>
    <t>Cidade Nova 3</t>
  </si>
  <si>
    <t>Novo Aleixo</t>
  </si>
  <si>
    <t>https://www.facebook.com/professorgirleno1252/?ref=pages_you_manage</t>
  </si>
  <si>
    <t>aeva.vozativa</t>
  </si>
  <si>
    <t>https://drive.google.com/open?id=1-yhuPECC0S6LQZMkVrL4__fXQKLfOkYa</t>
  </si>
  <si>
    <t>Leila</t>
  </si>
  <si>
    <t>Da Silva Campos</t>
  </si>
  <si>
    <t>(71)98762-2605</t>
  </si>
  <si>
    <t>Meu nome é Leila Campos, tenho 48 anos, tenho formação em pedagogia, sou fundadora e diretora do CELV- Centro Educacional Larúzia Valença e presidente fundadora da CAAS-Central de Apoio dos Amigos Solidários no qual atualmente temos 9.675. Sou soteropolitana, mãe de quatro filhos e uma neta. Minha filosofia de vida é cuidar de pessoas.</t>
  </si>
  <si>
    <t>linkedin.com/in/leila-campos-62485822</t>
  </si>
  <si>
    <t>https://drive.google.com/open?id=1D-DtTq4pgJzoj3WYPPmUe6JkYLdKJ62_</t>
  </si>
  <si>
    <t>Hugo De Oliveira Bigoli</t>
  </si>
  <si>
    <t>33853409X</t>
  </si>
  <si>
    <t>Atuando há 20 anos na área social, especialista em Epidemiologista e Sanitarista, mestre e doutorando em Psicologia da Saúde e Social com ênfase em comunidades vulneráveis, fotógrafo humanitário. Realiza projetos na area da saude, educação, geração de renda e tecnologia em comunidades tradicionais brasileiras e em países da América Latina, Central e em países do continente Africano.</t>
  </si>
  <si>
    <t>Rua Ivaí</t>
  </si>
  <si>
    <t>Apto 42</t>
  </si>
  <si>
    <t>Santa Maria</t>
  </si>
  <si>
    <t>09560-570</t>
  </si>
  <si>
    <t>@PROFVHB</t>
  </si>
  <si>
    <t>https://drive.google.com/open?id=1-_tSIf9D9gzdv6IZk3xXWeLHveo1BG-j</t>
  </si>
  <si>
    <t>Érica</t>
  </si>
  <si>
    <t>Paula Do Vale Ferreira</t>
  </si>
  <si>
    <t>Apaixonada por trabalhar com pessoas e gerar impacto positivo na sociedade.
Co-fundadora e Presidente do Instituto Emprega +, coordenadora do Espaço Cultura e Vida Dorotéias, Alumni Mentora do time Enactus Unicamp Limeira e Fellows Gerando Falcões.</t>
  </si>
  <si>
    <t>Av H,</t>
  </si>
  <si>
    <t>Apto D</t>
  </si>
  <si>
    <t>Conjunto Ceará</t>
  </si>
  <si>
    <t>60533-664</t>
  </si>
  <si>
    <t>https://www.linkedin.com/in/ericadovale/</t>
  </si>
  <si>
    <t>https://www.instagram.com/stories/_ericadovale</t>
  </si>
  <si>
    <t>https://drive.google.com/open?id=1AxWHKAn-mY2FmEIRB84FwM0NvERgP7Fm</t>
  </si>
  <si>
    <t>anacaminha17@gmail.com</t>
  </si>
  <si>
    <t>(71)99106-1362</t>
  </si>
  <si>
    <t>Ana Caminha - Mulher preta, moradora e atuante na comunidade tradicional de pescadoras e pescadores da Gamboa Baixo (Salvador/BA), graduada em pedagogia pela Unijorge, integrante da Articulação dos Movimentos e Comunidades do Centro Antigo de Salvador e presidente da Associação e Amigos de Gegê dos Moradores da  Gamboa de Baixo.</t>
  </si>
  <si>
    <t>Hamilton Sapucaia</t>
  </si>
  <si>
    <t>Av. Avenida Lafaiete Coutinho -Av. Do Contirno</t>
  </si>
  <si>
    <t>40060-155</t>
  </si>
  <si>
    <t>@anacaminha17</t>
  </si>
  <si>
    <t>https://drive.google.com/open?id=1S2vAcVF5pEr6D4ag9I9rlhCrOE-SoiOx</t>
  </si>
  <si>
    <t>Joelma</t>
  </si>
  <si>
    <t>Andrade De Lima</t>
  </si>
  <si>
    <t>joelmalima.andrade13@gmail.com</t>
  </si>
  <si>
    <t>O centro comunitário Mário Andrade é em homenagem ao meu filho Mário Andrade que foi morto por um PM aqui em Recife , próximo onde moravamos,passei dois anos e meses até provar a inocência do meu filho,o EX PM foi expulso e levado a júri popular,onde o mesmo foi condenado a 30 anos em regime fechado. Então no dia 6 de novembro de 2018, dia em que o ex PM foi condenado, decidir fazer a minha casa o centro comunitário Mário Andrade pra poder dar continuidade aos sonhos do meu filho e meus.</t>
  </si>
  <si>
    <t>https://drive.google.com/open?id=19X1sPLlyVzh2E2IqH_daxOk0Rsz3rzLK</t>
  </si>
  <si>
    <t>Joao</t>
  </si>
  <si>
    <t>Marcos Valvassori Ferreira</t>
  </si>
  <si>
    <t>jmvalvassori88@gmail.com</t>
  </si>
  <si>
    <t>Sou João Ferreira, 33 anos, casado, pai da princesinha Eliz, residente atualmente em Vila Velha, natural de Curitiba Paraná,  e sou fundador e coordenador do Instituto Maltrapilho.</t>
  </si>
  <si>
    <t>Debret</t>
  </si>
  <si>
    <t>barra do jucu</t>
  </si>
  <si>
    <t>29125-082</t>
  </si>
  <si>
    <t>https://www.instagram.com/joao_oninguem/</t>
  </si>
  <si>
    <t>https://drive.google.com/open?id=1UulyPyr83IFyDILsTaduL1o7Cwf66gbP</t>
  </si>
  <si>
    <t>Ferreira De Alcântara</t>
  </si>
  <si>
    <t>Me chamo Diogo, e sou o líder do projeto social boa safra Team.</t>
  </si>
  <si>
    <t>Rua Prefeito João Felipe 9 casa 10</t>
  </si>
  <si>
    <t>Casa 10</t>
  </si>
  <si>
    <t>Santa Teresa</t>
  </si>
  <si>
    <t>20251-140</t>
  </si>
  <si>
    <t>Instagram.com/diogobandock</t>
  </si>
  <si>
    <t>https://drive.google.com/open?id=18wB2Y4ClSBeKimJ7jGVlT1t0M9MQxK7z</t>
  </si>
  <si>
    <t>Thaisa</t>
  </si>
  <si>
    <t>Da Silva Muniz Santarem</t>
  </si>
  <si>
    <t>thaamunizz@gmail.com</t>
  </si>
  <si>
    <t>casada, mae de duas meninas, infancia pobre mas feliz em Vigario geral, acredito na transformacao e me vejo como agente de mudança. Meu chamado e fortalecer mulheres e seus entornos para que tenha independencia financeira e emocional  para se tornarem quem elas quiserem ser!</t>
  </si>
  <si>
    <t>N s das merces</t>
  </si>
  <si>
    <t>Qd 52 lt 27</t>
  </si>
  <si>
    <t>Praia de itaipuacu</t>
  </si>
  <si>
    <t>24936-775</t>
  </si>
  <si>
    <t>CLT; Trabalho informal</t>
  </si>
  <si>
    <t>https://www.instagram.com/p/Cb-FQDXO-0_/?utm_medium=copy_link</t>
  </si>
  <si>
    <t>https://drive.google.com/open?id=1eCRYkiskFARK3qIkF4Wg1CAaeApK2zrJ</t>
  </si>
  <si>
    <t>Soares Tomaz</t>
  </si>
  <si>
    <t>ls.tomazg@gmail.com</t>
  </si>
  <si>
    <t>10188500-2</t>
  </si>
  <si>
    <t>Amo esportes, praia, viajar e resenhar com os amigos.  A família é o que tenho de mais valioso!
Gestor Tererê Kids Project 
Coordenador Centro de Referência da Juventude na Comunidade do Cantagalo RJ - Gov RJ</t>
  </si>
  <si>
    <t>201 C</t>
  </si>
  <si>
    <t>https://www.linkedin.com/in/leandro-soares-358215113</t>
  </si>
  <si>
    <t>https://instagram.com/leandrosoaresfla?utm_medium=copy_link</t>
  </si>
  <si>
    <t>https://drive.google.com/open?id=1GdhM8E50ilAGy_4jRE98zBEdFQKR8qZ2</t>
  </si>
  <si>
    <t>Bemvindo Dos Santos</t>
  </si>
  <si>
    <t>janainabemvindo@gmail.com</t>
  </si>
  <si>
    <t>13191554-8</t>
  </si>
  <si>
    <t>Sou Janaina Bemvindo, mas gosto ser chamada de Jana! 
Carioca da gema, mãe do Antônio, da Inae e da Hellen, esposa do Romildo (Mestre Jagunço), capoeirista, entusiasta da cultura popular brasileira, jornalista , gestora de RH e Produtora Cultural por formação e empreendedora social por um propósito.
Já comandei uma autorizada de uma grande Empresa Telecom, mas encontrei meu lugar ao me por na gestão de uma organização social. Este trabalho me completa!</t>
  </si>
  <si>
    <t>Estrada do Porto Velho</t>
  </si>
  <si>
    <t>21012-140</t>
  </si>
  <si>
    <t>@eujanabemvindo</t>
  </si>
  <si>
    <t>https://drive.google.com/open?id=1ciExeS93bvtZmp1KaSLHTt0GX_Dcaoj9</t>
  </si>
  <si>
    <t>Simãozinho Da Silva</t>
  </si>
  <si>
    <t>luciana.simaozinho@gmail.com</t>
  </si>
  <si>
    <t>(21)96412-1810</t>
  </si>
  <si>
    <t>EXG3</t>
  </si>
  <si>
    <t>Sou Luciana Simãozinho moradora do conjunto Dom Jaime Cámara do bairro de Padre Miguel, nascida na baixada fluminense, mãe de duas filhas e avó.Fazendo formação em comunicação.
Sonhadora e empreendedora social, tudo que aprendi na vida sobre trabalho social e a importância de fazer a diferença na vida das pessoas, aprendi com minhas sobrinhas Bianca Simãozinho e Bruna Simãozinho, hoje toda a minha experiência eu devo a fundação e idealização dos sonhos de Bianca e hoje sou grata.</t>
  </si>
  <si>
    <t>Matriz de Camaragipe</t>
  </si>
  <si>
    <t>Apt 103</t>
  </si>
  <si>
    <t>21870-370</t>
  </si>
  <si>
    <t>https://www.linkedin.com/in/luciana-sim%C3%A3ozinho-84943426</t>
  </si>
  <si>
    <t>https://www.instagram.com/p/CRHw61GH1gO/?utm_medium=copy_link</t>
  </si>
  <si>
    <t>https://drive.google.com/open?id=1rRiKpQEnzM8Ile6DC--zLasxwPkm7spI</t>
  </si>
  <si>
    <t>Marques Machado De Oliveira</t>
  </si>
  <si>
    <t>marquesamand@gmail.com</t>
  </si>
  <si>
    <t>Professora, casada, mãe de duas meninas, hoje com 39 anos, criada em comunidade, vivi todas as realidades de uma favela. 
Com o desejo de mudar a realidade das famílias ao meu redor, iniciei um trabalho educacional e pedagógico com as crianças da favela, assim nascia o projeto DOA💓AÇÃO.</t>
  </si>
  <si>
    <t>Rua Manuel Correia</t>
  </si>
  <si>
    <t>Piedade</t>
  </si>
  <si>
    <t>20381-400</t>
  </si>
  <si>
    <t>https://instagram.com/amanda.marques.3781?utm_medium=copy_link</t>
  </si>
  <si>
    <t>https://drive.google.com/open?id=1HdsfVH9xyWjPzEDHcAiTdF3JxOmmHCNt</t>
  </si>
  <si>
    <t>Thalita</t>
  </si>
  <si>
    <t>Oliveira De Almeida Garcia</t>
  </si>
  <si>
    <t>thalitaoliveiragarcia@gmail.com</t>
  </si>
  <si>
    <t>(21)96419-8866</t>
  </si>
  <si>
    <t>Trabalho desde 2010 na área social, com atuações em Núcleos de Responsabilidades, onde começou como assistente de Programas Sociais. Sou graduada em Pedagogia pela UERJ e MBA em Gestão Estratégica de Responsabilidade Socioambiental e atualmente curso MBA em Gestão de Projetos. Conta com habilidades de gerenciamento de unidades, elaboração, monitoramento, supervisão e avaliação de projetos e programas sociais e atuação no acompanhamento pedagógico e de atendimento as famílias.</t>
  </si>
  <si>
    <t>Avenida Vice Presidente Jose de Alencar</t>
  </si>
  <si>
    <t>bloco 2 apt 102</t>
  </si>
  <si>
    <t>Jacarepagua</t>
  </si>
  <si>
    <t>22775-033</t>
  </si>
  <si>
    <t>https://www.instagram.com/thalita_o_garcia/</t>
  </si>
  <si>
    <t>https://drive.google.com/open?id=1FQn-u5aB9dAV8_kIWDfnz0oRRDP_dTfk</t>
  </si>
  <si>
    <t>Evandro</t>
  </si>
  <si>
    <t>Evandro Divino machado</t>
  </si>
  <si>
    <t>evandromachadoator@gmail.com</t>
  </si>
  <si>
    <t>(21)99179-9074</t>
  </si>
  <si>
    <t>Evandro Machado 44 anos ator nascido em Viçosa Minas Gerais veio para o morro do Turano aos 8 anos de idade na qual se tornou um ativista social e a tua coordenando o espaço cultural fazendo arte é fundador do projeto que atua mais de 15 anos na mesma comunidade.</t>
  </si>
  <si>
    <t>Aureliano Portugal</t>
  </si>
  <si>
    <t>20261-004</t>
  </si>
  <si>
    <t>Evandro Machado</t>
  </si>
  <si>
    <t>@evandromachado</t>
  </si>
  <si>
    <t>https://drive.google.com/open?id=19i9F9BL9KltGy5VJs45Yxgjfi3WvziZ5</t>
  </si>
  <si>
    <t>Fatima Queiroz De Oliveira</t>
  </si>
  <si>
    <t>mfqdeoliveira@yahoo.com.br</t>
  </si>
  <si>
    <t>(21)96448-4201</t>
  </si>
  <si>
    <t>Direção Pedagógica na empresa Amor e Vida
Estudou Pedagogia - Administração e Planejamento na instituição de ensino UniverCidade - Centro Universitário da Cidade
Estudou Psicopedagogia Institucional, Clinica na instituição de ensino UniverCidade - Centro Universitário da Cidade
Frequentou Escola Estadual Professor Daltro Santos
Estudou Pós em Gestão de Políticas Sociais na instituição de ensino Universidade Presbiteriana Mackenzie
Estudou Mestrado Em Educação na instituição de ensino UERJ</t>
  </si>
  <si>
    <t>Rua Migue Angelo</t>
  </si>
  <si>
    <t>apt 1009</t>
  </si>
  <si>
    <t>20785-224</t>
  </si>
  <si>
    <t>https://www.linkedin.com/in/maria-de-f%C3%A1tima-queiroz-de-oliveira-0383a94b/</t>
  </si>
  <si>
    <t>https://www.instagram.com/fatima.queiroz1/</t>
  </si>
  <si>
    <t>https://drive.google.com/open?id=136bJYA3A0y08GtqDJdT6hIBsjxFnCoBQ</t>
  </si>
  <si>
    <t>Valquíria</t>
  </si>
  <si>
    <t>Santos Da Silva Matos</t>
  </si>
  <si>
    <t>valvsm20@gmail.com</t>
  </si>
  <si>
    <t>(27)99998-0722</t>
  </si>
  <si>
    <t>Valquíria Santos da Silva Matos,mãe de Pedro e Lucas ,esposa,moradora de quebrada ,ativista social,  professora da Educação Infantil efetiva
de Vitória/E.S.Atuei como educadora social pelo Centro Popular de Cultura e Desenvolvimento no Bairro  Resistências -Vitória /ES.
Exerci a função de Conselheira Tutelar por dois mandatos consecutivos. 
Atuei no abrigo de Mulheres vítimas de violência doméstica como pedagoga.
Ceo do Instituto  Quadro de Esperança e Fellow da Gerando Falcões .</t>
  </si>
  <si>
    <t>CLAUDIO PASSOS</t>
  </si>
  <si>
    <t>Final da rua</t>
  </si>
  <si>
    <t>CABRAL</t>
  </si>
  <si>
    <t>29040-025</t>
  </si>
  <si>
    <t>Valquíria Silva</t>
  </si>
  <si>
    <t>https://drive.google.com/open?id=18IIVpl92yAeK0kOIlec4xJFmm9zf0RHm</t>
  </si>
  <si>
    <t>Abel</t>
  </si>
  <si>
    <t>Colberth De Souza Gomes</t>
  </si>
  <si>
    <t>(21)99202-6071</t>
  </si>
  <si>
    <t>Abel Gomes é filho de um Nordestino e uma carioca, e viveu de perto a pobreza desde criança. Graças à educação teve sua vida transformada, e hoje é um assistente social que luta para promover a educação e transformar a vida de outras crianças que passaram pela mesma situação que ele.</t>
  </si>
  <si>
    <t>Casa 77</t>
  </si>
  <si>
    <t>https://www.linkedin.com/in/abel-gomes-9820221b9</t>
  </si>
  <si>
    <t>https://drive.google.com/open?id=1hFpaQh1Er-ptYpVeMbd2ZFSsKNu2SNTW</t>
  </si>
  <si>
    <t>Pereira Da Costa</t>
  </si>
  <si>
    <t>projetodancateatro@gmail.com</t>
  </si>
  <si>
    <t>11964159-5</t>
  </si>
  <si>
    <t>Sou Amanda Pereira da costa tenho 43 anos . Nascida em uma família pobre ,com 6 irmãs,com um pai Alcolatra e vó q sustentava a casa,com 6 meses de nascida quase morri,tive pneumonia e sarampo  e o médico mandou levar pra casa para morrer em casa,fui batizada para não morrer pagã.E a vida seguiu e a 14 anos atrás por erro médico perdi minha visão esquerda ,estou na área artística a 28 anos ,trabalhava em projeto sociais de outras pessoas e ai resolvi montar o meu.Arte minha vida.</t>
  </si>
  <si>
    <t>Ria mario ferramentas</t>
  </si>
  <si>
    <t>Galpao do Instituto</t>
  </si>
  <si>
    <t>Cegueira</t>
  </si>
  <si>
    <t>Carne vermelha</t>
  </si>
  <si>
    <t>Nao tenho</t>
  </si>
  <si>
    <t>https://instagram.com/amandavisan?utm_medium=copy_link</t>
  </si>
  <si>
    <t>https://drive.google.com/open?id=1NUDBxclDMFM_DIHhU1rrU_Ismp_pkflF</t>
  </si>
  <si>
    <t>Eliana</t>
  </si>
  <si>
    <t>Mara Carnavos</t>
  </si>
  <si>
    <t>Me chamo Eliana Mara Carnavos;; formada no antigo normal;; Assistente Social;; especializada
em crianca e adolescente;; especializada em saude mental e familia;; pos-graduada em Gerontologia;
Formada desde 1990;</t>
  </si>
  <si>
    <t>Engenheiro Gama Lobo 183/201</t>
  </si>
  <si>
    <t>https://drive.google.com/open?id=1dx6OilGI5hmvXndQWUC9nmaQYo6rbARY</t>
  </si>
  <si>
    <t>Danielle Cassiano</t>
  </si>
  <si>
    <t>dani.cassiano24@gmail.com</t>
  </si>
  <si>
    <t>(21)97493-6178</t>
  </si>
  <si>
    <t>Danielle Cassiano coordenadora do projeto Instituto Rosa Reviver profissional de saúde Pos em Psicanalise e Gestão Recursos Humanos  implementou o projeto de Alfabetização de crianças em Dondo Africa</t>
  </si>
  <si>
    <t>Rua Afonso Costa</t>
  </si>
  <si>
    <t>25230-274</t>
  </si>
  <si>
    <t>https://drive.google.com/open?id=10eVEvJ6j6zTtL0hh7Atg8eoNSlKc52Vw</t>
  </si>
  <si>
    <t>Santos Almeida</t>
  </si>
  <si>
    <t>amanda@movervidas.org</t>
  </si>
  <si>
    <t>23492438-9</t>
  </si>
  <si>
    <t>Sou uma mulher negra, de 32 anos. Mãe solo da Gabi. Tive uma trajetória de vida com muitos obstáculos e superação, não foi fácil chegar até aqui, mas com muita gara e determinação sei que posso fazer uma mudança genuína, e ajudar na transformação social do mundo em que vivermos.</t>
  </si>
  <si>
    <t>Trasmontana</t>
  </si>
  <si>
    <t>26453-230</t>
  </si>
  <si>
    <t>https://instagram.com/amanda.almeidarjj?utm_medium=copy_link</t>
  </si>
  <si>
    <t>https://drive.google.com/open?id=10HmRR2kNQVdcqv2JpNC4J7KT37I9V62T</t>
  </si>
  <si>
    <t>Rangel Do Nascimento</t>
  </si>
  <si>
    <t>paularangel1987@gmail.com</t>
  </si>
  <si>
    <t>(21)99280-4984</t>
  </si>
  <si>
    <t>10966057+1</t>
  </si>
  <si>
    <t>Sou solteira,tenho três filhos, pedagoga,morena clara, trabalho a 20 anos no projeto Efraim fazendo parte desta instituição social,o qual vem trazer uma vida e digna para comunidade que atuamos.Estou buscando me aperfeiçoar projetos e em liderança para que possa dar o meu melhor nesta imersão social.
Moro em Mesquita desde nascida,estudei em Mesquita até o segundo grau.</t>
  </si>
  <si>
    <t>Avenida união</t>
  </si>
  <si>
    <t>Apto 101</t>
  </si>
  <si>
    <t>Paularangel43</t>
  </si>
  <si>
    <t>https://drive.google.com/open?id=14d4q5zPEwsp1mxuQ2iu1mYadHMbnDv9X</t>
  </si>
  <si>
    <t>Paula Da Cruz</t>
  </si>
  <si>
    <t>(21)99844-3042</t>
  </si>
  <si>
    <t>10040711-3</t>
  </si>
  <si>
    <t>Sou uma pessoa alegre, que busca sempre ver o melhor do meu próximo que acredita no ser humano, acredito em sonhos e trabalho para realizar, acredito na solidariedade e creio que a solidariedade, união,força de vontade e muito trabalho pode-se construir um mundo melhor.</t>
  </si>
  <si>
    <t>Freguesia - Ilha do Governador</t>
  </si>
  <si>
    <t>https://drive.google.com/open?id=135d4VKhf6FlL7nUTQdVQxHDqQidHnQMO</t>
  </si>
  <si>
    <t>Daiene</t>
  </si>
  <si>
    <t>Brandão Santos</t>
  </si>
  <si>
    <t>Me Chamo Daiene Brandão tenho 32 anos;; casada;; 2 filhos da barriga e 1 do coração, Desde meus 14 anos sou voluntária na Fundação Jesus de Nazaré;; em diversos setores;; hoje estou como membro da diretoria;; no cargo de tesoureira;; e na busca incansável de capacitação para melhor ajudar minha comunidade através dos trabalhos ofertados pela Jesus de Nazaré;; captação e gestão de recurso também são parte da minha atribuição; hoje sou empresária no ramo de sapatos femininos;; mas já fui muito abençoada pelos projetos sociais e me vejo na responsabilidade de multiplicar para mais famílias essa ajuda; Tem orgulho de dizer nas palestras que: _ Eu precisei de apoio;; e agora sou eu que apoio;; e um dia serão vocês a multiplicar essa ação de amor ao próximo!</t>
  </si>
  <si>
    <t>Daiene Brandão Santos</t>
  </si>
  <si>
    <t>casa 51 Condomínio América</t>
  </si>
  <si>
    <t>Chácara Arcampo</t>
  </si>
  <si>
    <t>Obesidade</t>
  </si>
  <si>
    <t>instagram.com/vai_daiene</t>
  </si>
  <si>
    <t>https://drive.google.com/open?id=1KLrJUgdGXcZfDlu-VjLqYiL--mx8WG1G</t>
  </si>
  <si>
    <t>Aparecida Felix De Almeida</t>
  </si>
  <si>
    <t>Esposa, mãe,pastora e cria do Pantanal, em Duque de Caxias. Assistente Social, Especialista em Promoção da Saúde e Desenvolvimento, Social, Idealizara e Coordenadora do Instituto Maloca da Cidadania.</t>
  </si>
  <si>
    <t>Sambaitiba</t>
  </si>
  <si>
    <t>Lt 26 Qd 57</t>
  </si>
  <si>
    <t>Vila Rosário</t>
  </si>
  <si>
    <t>25041-170</t>
  </si>
  <si>
    <t>MEI; Desempregado</t>
  </si>
  <si>
    <t>https://instagram.com/anafelix2019?utm_medium=copy_link</t>
  </si>
  <si>
    <t>https://drive.google.com/open?id=1jePFUYdDBAn4RqRWXOOgSQuBTVep3YGp</t>
  </si>
  <si>
    <t>Fabrício</t>
  </si>
  <si>
    <t>Silvestre De Oliveira</t>
  </si>
  <si>
    <t>fabricio@grupoculturaurbana.org</t>
  </si>
  <si>
    <t>(21)98072-8803</t>
  </si>
  <si>
    <t>Fabrício Silvestre, é um empreendedor social goiano que reside no Rio de Janeiro desde 2006. Foi no Rio que nasceu o desejo de promover a inclusão social através da arte e da cultura. Fundou a ONG Cultura Urbana e criou diversos projetos  que vem impactando centenas de jovens cariocas.</t>
  </si>
  <si>
    <t>Aroazes</t>
  </si>
  <si>
    <t>B 2 - Apt 1005</t>
  </si>
  <si>
    <t>22775-060</t>
  </si>
  <si>
    <t>https://br.linkedin.com/in/fabr%C3%ADcio-silvestre-94b35b20a</t>
  </si>
  <si>
    <t>www.instagram.com/fabriciosilvestre</t>
  </si>
  <si>
    <t>https://drive.google.com/open?id=1n3xSctsNxYHgzB6nSco9yWYHAI3fAb6r</t>
  </si>
  <si>
    <t>Rennan</t>
  </si>
  <si>
    <t>Leta Da Silva Pereira</t>
  </si>
  <si>
    <t>rennanleta@gmail.com</t>
  </si>
  <si>
    <t>(21)99241-7622</t>
  </si>
  <si>
    <t>27041637-3</t>
  </si>
  <si>
    <t>Jornalista, fundador do Favela em Desenvolvimento, autor do livro Palavras do Mundo (2017). Passagem de três anos e meio pelo Voz das Comunidades. Integrante do Conselho da Cidade do Rio de Janeiro na gestão atual. Em 2021, ganhou uma Moção de Reconhecimento e Louvor da Câmara dos Vereadores do Rio pelo mês da Juventude.</t>
  </si>
  <si>
    <t>Rua João Dalton</t>
  </si>
  <si>
    <t>21230-065</t>
  </si>
  <si>
    <t>CLT; MEI; Trabalho informal</t>
  </si>
  <si>
    <t>https://www.linkedin.com/in/rennan-leta/</t>
  </si>
  <si>
    <t>https://www.instagram.com/rennanleta/</t>
  </si>
  <si>
    <t>https://drive.google.com/open?id=1Jgsj2EMzkF0aRnL7_hHF34vHXyHTJeSn</t>
  </si>
  <si>
    <t>Dalilla</t>
  </si>
  <si>
    <t>Dos Santos Pereira</t>
  </si>
  <si>
    <t>De projeto social de vela, nascida e criada na comunidade de Santa Martha, passou a juventude fora da comunidade para estudar, fazer cursos e aos 30 anos retornou para cuidar (principalmente) daqueles a sua volta: As crianças. De pais casados, casa estruturada encontrei desafios por ser uma criança diferente, que fugia do padrão de filha. Hoje vejo a necessidade de fazer com que as crianças se sintam aceitas e que tenham boas referencias para seguir.</t>
  </si>
  <si>
    <t>Laury Tavares</t>
  </si>
  <si>
    <t>Santa Martha</t>
  </si>
  <si>
    <t>29046-590</t>
  </si>
  <si>
    <t>https://www.instagram.com/pereiradalilla/</t>
  </si>
  <si>
    <t>https://drive.google.com/open?id=1MWcxDyY72LE5a0FAEkrRPESAhcbkJKea</t>
  </si>
  <si>
    <t>Marilda</t>
  </si>
  <si>
    <t>Nunes Gomes</t>
  </si>
  <si>
    <t>marilda.ngomes87@gmail.com</t>
  </si>
  <si>
    <t>Me chamo Marilda, tenho 34 anos, sou casada e mãe de pets. 
Sou Formada em Marketing e curso o 4° período de Assistência Social. 
Entrei como voluntária do Amigos da Solidariedade RJ em Maio de 2020 e me tornei gestora dele em Outubro/2020. 
Entrar na Falcons University foi uma virada de chave para mim. Foi onde consegui aplicar as técnicas ensinadas no projeto e desde lá estamos nos desenvolvendo cada vez mais.</t>
  </si>
  <si>
    <t>CLT; Desempregado</t>
  </si>
  <si>
    <t>https://instagram.com/mari.nunes.gomes</t>
  </si>
  <si>
    <t>https://drive.google.com/open?id=1D3FMm5EPMy9xxomtp0Q5GT3_QKiB4PC3</t>
  </si>
  <si>
    <t>Fernandes Monteiro De Souza</t>
  </si>
  <si>
    <t>gfmsouza@gmail.com</t>
  </si>
  <si>
    <t>(21)99344-6273</t>
  </si>
  <si>
    <t>Gera, 36 anos, Niterói-RJ. Filho da Marcinha e do Guigui (que saudade), irmão do André e do Renato. Pai do Guigui e muito bem casado com a Bruna. A família é o que tenho de mais precioso na vida. Amo esportes, praia e estar com pessoas. Graduado em administração e pedagogia. MBA em Gestão Empresarial e Gestão Escolar. Fiz uma mudança profissional por vocação e convicção do importante papel que tenho na sociedade. Sou um empreendedor social e amo trabalhar e servir no Projeto Avante.</t>
  </si>
  <si>
    <t>Rua Guararapes</t>
  </si>
  <si>
    <t>24360-150</t>
  </si>
  <si>
    <t>https://www.linkedin.com/in/geraldo-fernandes-monteiro-de-souza-7b13a4163/</t>
  </si>
  <si>
    <t>https://www.instagram.com/gfmsouza/</t>
  </si>
  <si>
    <t>https://drive.google.com/open?id=16nB59OzPcYxZ1HjcyXMdk0NL2tSBXE1t</t>
  </si>
  <si>
    <t>Daniela</t>
  </si>
  <si>
    <t>Carla Araujo Alves Generoso</t>
  </si>
  <si>
    <t>psicologadanielageneroso@gmail.com</t>
  </si>
  <si>
    <t>(21)98621-5069</t>
  </si>
  <si>
    <t>Sou uma mulher que acredita que é possível sonhar mesmo em meio a dor e Ressignificar doando amor, tenho 41 anos, sou mãe de dois filhos, casada, neuropsicóloga, preta, da periferia que já foi moradora de rua e venceu estudando. Mas que hoje luta contra um câncer de mama metastático, no fígado, ossos, pulmão e no cérebro. 
Que vai vencer tudo porque eu preciso muito do Instituto é Possível Sonhar e o instituto precisa de mim.</t>
  </si>
  <si>
    <t>Estrada do Barro vermelho</t>
  </si>
  <si>
    <t>Apt 203</t>
  </si>
  <si>
    <t>Rocha Miranda</t>
  </si>
  <si>
    <t>21540-500</t>
  </si>
  <si>
    <t>https://www.linkedin.com/in/daniela-generoso-63671a1a5</t>
  </si>
  <si>
    <t>https://instagram.com/psidanielageneroso?utm_medium=copy_link</t>
  </si>
  <si>
    <t>https://drive.google.com/open?id=1RPiNrFgwIbj924CRPuiMfmwuDj4DYHxo</t>
  </si>
  <si>
    <t>Da Encarnação Ferreira Da Silva</t>
  </si>
  <si>
    <t>Me chamo Érica Encarnação, tenho 43 anos,casada com Fábioj,mãe de 4 filhos,preta,moradora da Baixada Fluminense,na favela do Jardim Ana Clara.Estou á 4 anos no Projeto Nova História, junto com meu esposo,e á 3 anos a frente da Rede de Mulheres Girassol.,onde temos assistido as crianças e mulheres do nosso território.</t>
  </si>
  <si>
    <t>Espírito Santo</t>
  </si>
  <si>
    <t>Jardim Ana Clara-Duque de Caxias</t>
  </si>
  <si>
    <t>25221-100</t>
  </si>
  <si>
    <t>https://drive.google.com/open?id=122zLIQeEN1TpSNcW7kQt6mDg03mTynTL</t>
  </si>
  <si>
    <t>Mara</t>
  </si>
  <si>
    <t>Cláudia Ribeiro Ezequiel</t>
  </si>
  <si>
    <t>(21)99400-6895</t>
  </si>
  <si>
    <t>Sou Mara Ribeiro, moradora do município de B Roxo, na Baixada Fluminense, Professora, Graduada em Letras, com Licenciatura Plena em Língua Portuguesa, com Habilitação em Língua Estrangeira - Inglês e Literaturas; Especialista em Educação das Relações Étnico-Raciais no Ensino Básico - EREREBÁ – Colégio Pedro II; Co - Fundadora e Vice – Presidenta do Instituto de Mulheres Negras Herdeiras de Candaces; Conselheira Municipal dos Direitos da Mulher de Belford Roxo</t>
  </si>
  <si>
    <t>Laguna</t>
  </si>
  <si>
    <t>Nova Piam</t>
  </si>
  <si>
    <t>Alimentos muito gordurosos</t>
  </si>
  <si>
    <t>www.linkedin.com/mararibeirosocial.rj</t>
  </si>
  <si>
    <t>www.instagram.com/mararibeirorj</t>
  </si>
  <si>
    <t>https://drive.google.com/open?id=1WXCYkzMdFZYxaU475d8DQTf44nlW1gf1</t>
  </si>
  <si>
    <t>Silva Dalvi</t>
  </si>
  <si>
    <t>brunodalvitec@gmail.com</t>
  </si>
  <si>
    <t>Pedagogo;; Professor da rede pública;; Educador Social;; 40 anos morador da Baixada Fluminense RJ;</t>
  </si>
  <si>
    <t>beira rio</t>
  </si>
  <si>
    <t>são bento</t>
  </si>
  <si>
    <t>https://drive.google.com/open?id=1Sc5EggRHr87NsYCkct6JhcHUD2SQOdOC</t>
  </si>
  <si>
    <t>Marly</t>
  </si>
  <si>
    <t>Rodrigues Gabriel</t>
  </si>
  <si>
    <t>rodriguesgmarly@gmail.com</t>
  </si>
  <si>
    <t>(27)99939-9580</t>
  </si>
  <si>
    <t>Apaixonada pelo Território do Bem, tem 38 anos é cria do Morro São Benedito. É Pedagoga, Educadora, e Empreendedora Social,  possui uma longa experiência com trabalho social em Organizações Sociais do Território do Bem desde 2005. É membra do Conselho Municipal de Juventude de Vitória, co-fundadora do Coletivo Viella Films e do Fórum de Juventudes do Território do Bem. Sua rede de relações é enorme no Território do Bem, em especial com os Coletivos de Jovens e lideranças comunitárias.</t>
  </si>
  <si>
    <t>Escadaria do Cafezal</t>
  </si>
  <si>
    <t>São Benedito - Território do Bem</t>
  </si>
  <si>
    <t>https://www.instagram.com/marlyroodrigues/</t>
  </si>
  <si>
    <t>https://drive.google.com/open?id=1TbReOcBxZf4O0ucSfR_EtBicRG66lffB</t>
  </si>
  <si>
    <t>Caroline Dos Santos Ferraz</t>
  </si>
  <si>
    <t>ana.caroline.empregos@gmail.com</t>
  </si>
  <si>
    <t>Pedagoga formada pela Unicarioca, educadora social atuo há mais de cinco anos como gestora do Educar+, realizo a gestão de voluntariado e capacitações, lidero o planejamento e a execução das atividades educativas e culturais. Além da articulação em rede com projetos locais para o fortalecimento e geração de impacto para a nossa região.</t>
  </si>
  <si>
    <t>Luis Reis</t>
  </si>
  <si>
    <t>21645-350</t>
  </si>
  <si>
    <t>https://www.linkedin.com/in/carol-santos-734382132/</t>
  </si>
  <si>
    <t>https://www.instagram.com/carols2antos/</t>
  </si>
  <si>
    <t>https://drive.google.com/open?id=1j8cxmOqbvNfenrC8kGyhg1jUDiIJkIMQ</t>
  </si>
  <si>
    <t>Carlos</t>
  </si>
  <si>
    <t>André Do Nascimento</t>
  </si>
  <si>
    <t>Artista Urbano;; iniciou na arte Underground (Pichação) no final da década de 80 deixando-a de lado no inicio de 2000;; buscando o lado Mainstream como  Escultor e Grafiteiro;; usa tecnicas de "Graffiti Sustentabilism" com idealizações próprias e originais se tornou Conselheiro de Cultura Urbana no RJ no periodo de 2016/2018 criador do 1°Museu do Graffiti do Mundo;; criou  tambem a Biblioteca de Arte Urbana Baú do Gentileza (José Datrino) pra registrar a história dos artistas de rua e suas vertentes como Funk e Hip Hop e trajetória da arte Urbana desde as artes rupestres;; pichações e graffiti no livro de autoria própria (dicionário) chamado  de CHARPILOGIA o estudo e as decifrações da lógica das pichações e graffiti os dizeres Indiziveis;; criando as expressões científicas CHARPIARTE e CHARPIGRAFIA;; para estudos específicos do (CHARPI) forma de se expressar da rua;; fundou tambem o Institution Rongo-RJ (Association of National Organized Graffiti Workshop Region) no Rio de Janeiro;</t>
  </si>
  <si>
    <t>Rua palas</t>
  </si>
  <si>
    <t>LOTE 4 CASA 1</t>
  </si>
  <si>
    <t>https://instagram.com/andrerongo?utm_medium=copy_link</t>
  </si>
  <si>
    <t>https://drive.google.com/open?id=1VYbojSupCHwEjukFnAKTdCasdniOeQTt</t>
  </si>
  <si>
    <t>Jocelino</t>
  </si>
  <si>
    <t>Da Conceição Silva Junior</t>
  </si>
  <si>
    <t>Jocelino Júnior, é professor, mestre em educação pela UFES, atua no Instituto Raízes na cidade de Vitória, desenvolvendo projetos e ações a partir do samba capixaba e das comunidades em situação de vulnerabilidade social.</t>
  </si>
  <si>
    <t>NESTOR GOMES</t>
  </si>
  <si>
    <t>APTO 201</t>
  </si>
  <si>
    <t>29015-150</t>
  </si>
  <si>
    <t>https://instagram.com/profjocelino?utm_medium=copy_link</t>
  </si>
  <si>
    <t>https://drive.google.com/open?id=14bXU21bXR6FHq480vfUXu9DUlP3nHY-A</t>
  </si>
  <si>
    <t>Tânia Alves Dos Santos</t>
  </si>
  <si>
    <t>3311627426-2</t>
  </si>
  <si>
    <t>Sua Tânia dona e treinadora do projeto colorado quer foi criado no Rio de Janeiro dia 18/01/2011 no bairro do Coelho São Gonçalo E depois de 11 anos no Rio de Janeiro hoje me encontro no município da barra de santo Antônio em Alagoas devido a violência do tráfico mais graças a deus pude recomeçar o meu projeto é hoje tenho 125 crianças de 07 a 17 anos</t>
  </si>
  <si>
    <t>Rua do buri taxista</t>
  </si>
  <si>
    <t>Projetocoloradofutebolclube</t>
  </si>
  <si>
    <t>https://drive.google.com/open?id=1RWdk7FQXqbO27ZKAu6jB9Jf3DgqwxSJp</t>
  </si>
  <si>
    <t>Veras De Moraes</t>
  </si>
  <si>
    <t>gabriela@semprecrianca.org</t>
  </si>
  <si>
    <t>(21)99934-9462</t>
  </si>
  <si>
    <t>Tenho formação  em Biomedicina tendo atuado na área acadêmica desde a graduação, sempre com ênfase em Microbiologia e Saúde Pública. 
No entanto, desde agosto 2007 vivencio diariamente o voluntariado em prol da transformação social pelo Sempre Criança, sobretudo na divulgação do voluntariado e da cultura da doação entre voluntários e empresas, além do apoio à cultura, esporte e educação.</t>
  </si>
  <si>
    <t>Geraldo Martins</t>
  </si>
  <si>
    <t>24220-380</t>
  </si>
  <si>
    <t>https://www.linkedin.com/in/gabriela-veras-3b2879108/</t>
  </si>
  <si>
    <t>https://www.instagram.com/gabiiveras/</t>
  </si>
  <si>
    <t>https://drive.google.com/open?id=1JX1j7zdYz78QRqW-MRqw8f307d1MX0BT</t>
  </si>
  <si>
    <t>Flavia</t>
  </si>
  <si>
    <t>Ferreira Da Silva</t>
  </si>
  <si>
    <t>flaviasimonsen@gmail.com</t>
  </si>
  <si>
    <t>(21)97638-3681</t>
  </si>
  <si>
    <t>Meu nome é Flavia Silva, presidente e fundadora da Associação Prover, membro da comissão de projetos humanitários do Rotary Club RJ São Cristóvão-RJ. Desde 2001 trabalho em instituições ligadas ao terceiro setor como coordenadora pedagógica e gestora de projetos sociais. Acredito que juntos podemos fazer a diferença na vida das pessoas. 
"Solidariedade é o que me move!"</t>
  </si>
  <si>
    <t>Alameda Don Sebastião Leme</t>
  </si>
  <si>
    <t>lote 08</t>
  </si>
  <si>
    <t>Quadra 27</t>
  </si>
  <si>
    <t>Jardim Primavera</t>
  </si>
  <si>
    <t>25214-355</t>
  </si>
  <si>
    <t>https://www.linkedin.com/in/flavia-silva-93b538230/</t>
  </si>
  <si>
    <t>https://www.instagram.com/flaviasimonsen/</t>
  </si>
  <si>
    <t>https://drive.google.com/open?id=1Y3QGHCbTo8ym3hVSVASmIi_iWDz-znC0</t>
  </si>
  <si>
    <t>Santos Da Silva</t>
  </si>
  <si>
    <t>11544333-5</t>
  </si>
  <si>
    <t>Eu sou André Santos, nascido no Rio de janeiro, morador do complexo da Penha, conhecido no mundo das artes marciais como André Chatuba,  lutador internacional de mma.  Fundei o projeto em sua comunidade no ano de 2012, logo após criar um espaço para reforçar os meus treinos profissional. A partir daí percebi a referência que havia me tornado para minha comunidade.</t>
  </si>
  <si>
    <t>Rua Paul muller</t>
  </si>
  <si>
    <t>101 fundos</t>
  </si>
  <si>
    <t>21070-550</t>
  </si>
  <si>
    <t>https://instagram.com/andrechatubamma?utm_medium=copy_link</t>
  </si>
  <si>
    <t>https://drive.google.com/open?id=1BlrfQHTbmqa4C4XH0KoP17kROuhqCxWo</t>
  </si>
  <si>
    <t>Almeida Da Cunha</t>
  </si>
  <si>
    <t>(21)97657-9727</t>
  </si>
  <si>
    <t>099449469-7</t>
  </si>
  <si>
    <t>Me chamo Sara Almeida, 50 anos, filha única Dn.Edna casada 26 anos com Gilberto e mãe Alvinho 24 e Gustavo 16 .Família Porto Seguro .
Graduando Serviço Social e na  Década 90 conclui  Técnico Patologia Clinica após planilha territorial altos índices Gravidez na Adolescência iniciamos  palestras Educaticas e preventivas ocasionando Impacto social 93% dos casos. No periodo Chacina Vigario Geral idealizamos Projeto Ágape nasComunidades Rj , com principal  objetivo estimular autoestima infantil</t>
  </si>
  <si>
    <t>Rua Vitalino Ribeiro</t>
  </si>
  <si>
    <t>Colegio</t>
  </si>
  <si>
    <t>21235-415</t>
  </si>
  <si>
    <t>Em construcao</t>
  </si>
  <si>
    <t>Em construção ( Pq conseguimos realizar  sonho da 1° creche da favela e assim em andamento )</t>
  </si>
  <si>
    <t>https://drive.google.com/open?id=1YCUTags12IeOmwiyZ47diFhl9c3EeLhb</t>
  </si>
  <si>
    <t>Kauanna</t>
  </si>
  <si>
    <t>Batista Ferreira Toppa</t>
  </si>
  <si>
    <t>kauanna@odph.org.br</t>
  </si>
  <si>
    <t>(41)99793-4159</t>
  </si>
  <si>
    <t>Kauanna, 30 anos, formada em Jornalismo e com pós em Políticas Públicas e Direitos Socais. Aos 16 anos fundei Organização de Desenvolvimento do Potencial Humano, na comunidade Vila Torres em Curitiba – PR. Instituição social que tem como propósito promover o desenvolvimento humano por meio da educação para pessoas em situação de vulnerabilidade e exclusão social.  Busco compartilhar a importância da Educação para a transformação social em nossa sociedade, promovendo a equidade e igualdade.</t>
  </si>
  <si>
    <t>Rua Luiz Tramontin</t>
  </si>
  <si>
    <t>AP 34 UN 01</t>
  </si>
  <si>
    <t>Campo Comprido</t>
  </si>
  <si>
    <t>81230-161</t>
  </si>
  <si>
    <t>https://www.linkedin.com/in/kauannatoppa/</t>
  </si>
  <si>
    <t>https://instagram.com/kauannatoppa?utm_medium=copy_link</t>
  </si>
  <si>
    <t>https://drive.google.com/open?id=1CxRMOUQnqZx3X_S3u08gR9_a5CBPTNHw</t>
  </si>
  <si>
    <t>De Arruda Teodoro</t>
  </si>
  <si>
    <t>alexteodoro.educacao@gmail.com</t>
  </si>
  <si>
    <t>(11)96284-9017</t>
  </si>
  <si>
    <t>41781769 -7</t>
  </si>
  <si>
    <t>Alex Teodoro , 39 anos , casado, pai de três filhos , pedagogo , ex-conselheiro tutelar e hoje assume a Presidência da Associação Jardim São Bernardo 
Sua maior luta é a defesa dos direitos da criança e do adolescente.</t>
  </si>
  <si>
    <t>João Amos Comenius</t>
  </si>
  <si>
    <t>Casa 4</t>
  </si>
  <si>
    <t>Não infornado</t>
  </si>
  <si>
    <t>https://instagram.com/ong_jardimsaobernardo?utm_medium=copy_link</t>
  </si>
  <si>
    <t>https://drive.google.com/open?id=1yvpmgaR7_4STXkh3M9QnI-8WTl4wX9hz</t>
  </si>
  <si>
    <t>Wellington</t>
  </si>
  <si>
    <t>Sousa Matos</t>
  </si>
  <si>
    <t>36 anos, casado com a Carolina e pai do Ryan (uma fofura de 7 anos) moro no extremo leste de São Paulo em Cidade Tiradentes, sou graduado em ciência da computação e desde 2007 trabalho  montadora, atuo desde inicio de 2020 na Organização Social Identidade Periférica, lugar que cheguei como voluntário e depois de um ano intenso de engajamento na parte de segurança alimentar devido a pandemia do COVID19</t>
  </si>
  <si>
    <t>Barão Antônio de Benfica</t>
  </si>
  <si>
    <t>Bloco A ap22</t>
  </si>
  <si>
    <t>Cidade Tiraadentes</t>
  </si>
  <si>
    <t>08472-724</t>
  </si>
  <si>
    <t>https://www.linkedin.com/in/wellingtonsmatos/</t>
  </si>
  <si>
    <t>https://www.instagram.com/wellsmatos/</t>
  </si>
  <si>
    <t>https://drive.google.com/open?id=1HmDukN8uFLVRocaTw_PAt9TnTZF2xu2M</t>
  </si>
  <si>
    <t>Samuel</t>
  </si>
  <si>
    <t>Soares Da Silva</t>
  </si>
  <si>
    <t>sasoasi68@yaho.com.br</t>
  </si>
  <si>
    <t>Meu nome é Samuel Soares da Silva natural do Rio de Janeiro em São Paulo desde 75
Tenho 54 anos casado 1 filho</t>
  </si>
  <si>
    <t>Rua diaulas Parreira</t>
  </si>
  <si>
    <t>Casa 6</t>
  </si>
  <si>
    <t>Guaianazes</t>
  </si>
  <si>
    <t>08410-490</t>
  </si>
  <si>
    <t>https://drive.google.com/open?id=1YHylL6BWm1hitVgQJT8vmbey2vqKuPVh</t>
  </si>
  <si>
    <t>Daisy</t>
  </si>
  <si>
    <t>Cristina Martins Dos Santos</t>
  </si>
  <si>
    <t>daitins63@gmail.com</t>
  </si>
  <si>
    <t>(51)9845-82931</t>
  </si>
  <si>
    <t>Sou moradora do morro da polícia em Porto  Alegre, desde que nasci tenho 38 anos casada, 3 filhos.
Cansada de viver em meio a criminalidade e pobreza, resolvi arregaçar as mangas e trabalhar no combate a pobreza, junto a rede GF, me tranformei empreendedoras social e o trabalho é duro, mas estou disposta a vivenciar os desafios diário de ser pobre e favelada.</t>
  </si>
  <si>
    <t>Alto do morro</t>
  </si>
  <si>
    <t>Aparício Borges</t>
  </si>
  <si>
    <t>https://www.linkedin.com/in/daisy-cristina-martins-dos-santos-42440b200</t>
  </si>
  <si>
    <t>https://www.instagram.com/p/Ca3UleMOwWn/?utm_medium=copy_link</t>
  </si>
  <si>
    <t>https://drive.google.com/open?id=1Wk4VMVGXbvnh2_DC_ZcdHASXIERgcHx4</t>
  </si>
  <si>
    <t>msuzaribeiro@hotmail.com</t>
  </si>
  <si>
    <t>(11)95125-4535</t>
  </si>
  <si>
    <t>Nascida e criada no Jd Angela, vi minha vida  e meus sonhos mudarem quando fui diagnostica com câncer, um Linfoma avançado. Entre um internação e outra conheci uma garota que também estava passando por um tratamento de CA, nos tornamos amigas e então decidimos que queriamos fazer algo que ajudasse os demais jovens que estavam enfrentando o mesmo. Infelizmente ela faleceu no final de 2016, e então, em Agosto de 2017 nasceu o Entregue Sorrisos</t>
  </si>
  <si>
    <t>Alberto Borges Soveral,</t>
  </si>
  <si>
    <t>Pq independência</t>
  </si>
  <si>
    <t>https://instagram.com/sulasouza?utm_medium=copy_link</t>
  </si>
  <si>
    <t>https://drive.google.com/open?id=1qvE8fN0aN5hVDltkRttTK1zfrul3EATd</t>
  </si>
  <si>
    <t>Alisson</t>
  </si>
  <si>
    <t>Baptista De Souza</t>
  </si>
  <si>
    <t>alisson.fp.4.13@hotmail.com</t>
  </si>
  <si>
    <t>(11)94735-8144</t>
  </si>
  <si>
    <t>Sou Atleta Profissional de MMA, Fundador do Instituto União Marcial Mauá, tenho 28 anos, casado, tenho 2 filhas.</t>
  </si>
  <si>
    <t>Av do manacá</t>
  </si>
  <si>
    <t>Jd Primavera</t>
  </si>
  <si>
    <t>Abacaxi, carambola e carne suina</t>
  </si>
  <si>
    <t>@thesilencemma</t>
  </si>
  <si>
    <t>https://drive.google.com/open?id=1Q0RvFzw0SyAaJcMQ1sO3EByH4MOcnRWl</t>
  </si>
  <si>
    <t>Ferreira Costa Theodoro</t>
  </si>
  <si>
    <t>fcs.dani@gmail.com</t>
  </si>
  <si>
    <t>(19)99331-8097</t>
  </si>
  <si>
    <t>49527797-6</t>
  </si>
  <si>
    <t>Meu nome é Danielle, sou filha da Dulce e do Edvaldo, esposa do Vinicius, líder e fundadora do Projeto Filhos Campinas, formada em Ciências Contábeis na PUC Campinas. Amo ajudar as pessoas e contribuir para o seu sucesso.</t>
  </si>
  <si>
    <t>Edilson Scareli Junior</t>
  </si>
  <si>
    <t>13091-208</t>
  </si>
  <si>
    <t>https://www.instagram.com/daniellecft</t>
  </si>
  <si>
    <t>https://drive.google.com/open?id=1iPrd19Im6yCS6AHpCTiYkgistjLG-B3y</t>
  </si>
  <si>
    <t>Rodrilla</t>
  </si>
  <si>
    <t>gilbertorodrilla@gmail.com</t>
  </si>
  <si>
    <t>Não resido na Favela mas atuo em causas sociais há mais de 20 anos.</t>
  </si>
  <si>
    <t>Rua Paulo Lício Rizzo</t>
  </si>
  <si>
    <t>Apto 81</t>
  </si>
  <si>
    <t>06018-010</t>
  </si>
  <si>
    <t>www.linkedin.com/in/  gilberto-rodrilla-6980882a</t>
  </si>
  <si>
    <t>https://drive.google.com/open?id=1w2x1FOnVpdxpl-AREkdjJx6S9wTz_fKS</t>
  </si>
  <si>
    <t>Valdecir</t>
  </si>
  <si>
    <t>Camera (Passarinho)</t>
  </si>
  <si>
    <t>institutonuapassarinho@gmail.com</t>
  </si>
  <si>
    <t>(11)99749-1433</t>
  </si>
  <si>
    <t>16431697-8</t>
  </si>
  <si>
    <t>Músico, líder comunitário, arte educador.
Trabalho com  jovens desde 82 como percussionista.
Atuou em gestão na secretaria de cultura de São Paulo, Suzano e Guarulhos e Secretaria de educação</t>
  </si>
  <si>
    <t>Rua Líbero Ancona Lopes</t>
  </si>
  <si>
    <t>08070-280</t>
  </si>
  <si>
    <t>https://drive.google.com/open?id=1BSNyKWHVnZWy2IoTRtbhyWgbB_qW3tWL</t>
  </si>
  <si>
    <t>Da Siva Zabotto</t>
  </si>
  <si>
    <t>profalinezabotto2020@gmail.com</t>
  </si>
  <si>
    <t>(11)96763-4091</t>
  </si>
  <si>
    <t>Me chamo Aline, tenho 28 anos sou Professora de Educação Física e Capoeira, moradora da comunidade do Canta galo Pirituba Sp.
Presidente do Instituto M.V e meu maior sonho é transformar a pobreza da favela</t>
  </si>
  <si>
    <t>rua portuaria</t>
  </si>
  <si>
    <t>02981-020</t>
  </si>
  <si>
    <t>https://www.instagram.com/rasta.prof/</t>
  </si>
  <si>
    <t>https://drive.google.com/open?id=1vkyUXgOiy90ukB99Kobu_KVZEsRsIeIb</t>
  </si>
  <si>
    <t>Sarah</t>
  </si>
  <si>
    <t>Marques</t>
  </si>
  <si>
    <t>sarahmarquesnascimento727@gmail.com</t>
  </si>
  <si>
    <t>Sarah Marques, mulher negra com mais de 15 anos de militância em defesa do território, cria da comunidade Caranguejo Tabaiares, aprendeu com seu pai, liderança comunitária desde criança a lutar em defesa da sua comunidade. 
Há quatro anos fundou junto com outros moradores, o Coletivo Caranguejo Tabaiares Resiste, enfrentando a Prefeitura da cidade e as grandes empreiteiras, conseguindo garantir que várias famílias não fossem despejadas das suas casas.</t>
  </si>
  <si>
    <t>Rua Felipe Moura</t>
  </si>
  <si>
    <t>@sarah_marques10</t>
  </si>
  <si>
    <t>https://drive.google.com/open?id=1amuHR4WwW8X01en8zblNGrBzpzCUyuQh</t>
  </si>
  <si>
    <t>Baptista Lino Neto</t>
  </si>
  <si>
    <t>jlmcpo@terra.com.br</t>
  </si>
  <si>
    <t>Tenho 61 anos, sou casado e atualmente trabalho com desenvolvimento de projetos educacionais. O site PPeP ou Para Pais e Professores está funcionando há 10 anos e possui mais de 1.300 atividades com acesso gratuito. No momento estou trabalhando em um projeto para conseguir recursos financeiros de forma recorrente para as ONGs no Brasil.</t>
  </si>
  <si>
    <t>bloco 9 apto 51</t>
  </si>
  <si>
    <t>tatuapé</t>
  </si>
  <si>
    <t>CLT; MEI; Funcionário Público</t>
  </si>
  <si>
    <t>https://www.instagram.com/joaolino1001/</t>
  </si>
  <si>
    <t>https://drive.google.com/open?id=1avbizm6xs9ArRVa9-hvXirRX9eWFrjpO</t>
  </si>
  <si>
    <t>Monalisa</t>
  </si>
  <si>
    <t>pedagogamonalisa@gmail.com</t>
  </si>
  <si>
    <t>(11)94681-1387</t>
  </si>
  <si>
    <t>34148846x</t>
  </si>
  <si>
    <t>Monalisa , evangélica 39 anos fundadora da Associação Infância e Familia , Formada em Pedagogia atualmente trabalho como Coordenadora Pedagógica em um Centro de Educação Infantil em período integral.
Exerço a função de líder comunitária pela Infam.
Agora Fellow da GF.</t>
  </si>
  <si>
    <t>Rua Alto Araguaia</t>
  </si>
  <si>
    <t>Vila Nhocune</t>
  </si>
  <si>
    <t>03561-060</t>
  </si>
  <si>
    <t>https://drive.google.com/open?id=1hNKiHNXNVBUVNa-9i0cn26bPYHXyIEzf</t>
  </si>
  <si>
    <t>Estevam Lima De Freitas</t>
  </si>
  <si>
    <t>lucas.estevam.freitas@gmail.com</t>
  </si>
  <si>
    <t>(11)99002-1567</t>
  </si>
  <si>
    <t>42747059-6</t>
  </si>
  <si>
    <t>Lucas cresceu nas comunidades da zona leste de São Paulo, criado por uma mãe costureira que sempre buscou nunca deixar faltar comida na mesa. Aos 18 anos começou a atuar em projetos voluntários, aos 20 anos desenvolveu um projeto para a secretária municipal de cultura de São Paulo para apoiar artistas da comunidade LGBTQIA+. Desde 2014, está no time da Casa de Apoio Vida Divina buscando o melhor para as famílias que são acolhidas
em São Paulo.</t>
  </si>
  <si>
    <t>Monte Car</t>
  </si>
  <si>
    <t>A E Carvalho</t>
  </si>
  <si>
    <t>08226-010</t>
  </si>
  <si>
    <t>https://www.linkedin.com/in/lucas-estevam-a72ba749/</t>
  </si>
  <si>
    <t>https://www.instagram.com/oiestevam/</t>
  </si>
  <si>
    <t>https://drive.google.com/open?id=1weUZCZS_PVcl6rJKWbsmcf8TkodO0mcM</t>
  </si>
  <si>
    <t>Ailton Odorico</t>
  </si>
  <si>
    <t>rorberti12345odorico@gmail.com</t>
  </si>
  <si>
    <t>Anderson, também conhecido como Alemão, 
aos 4 anos de idade foi morar no Jd. Aracati. Lá 
aos 7 anos foi apresentado à maconha, aos 11 já 
traficava e aos 14 sofreu uma overdose. Ele 
usava drogas com a própria mãe, e junto com 
sua família eram rejeitados dentro da 
comunidade por serem usuários. 
Graças ao apoio de um projeto social, e de 
amigos que o encaminharam, conseguiu se 
livrar das drogas. Graças à sua força de 
superação, se aproximou de pessoas que o 
ajudaram</t>
  </si>
  <si>
    <t>Rua Paulo Sérgio Costa Bile Cebola</t>
  </si>
  <si>
    <t>Guarapiranga</t>
  </si>
  <si>
    <t>Jardim São Francisco</t>
  </si>
  <si>
    <t>04918-285</t>
  </si>
  <si>
    <t>https://drive.google.com/open?id=1FLmqsKGXy2cVgef1wEqEUMcklpG9cCor</t>
  </si>
  <si>
    <t>Leda</t>
  </si>
  <si>
    <t>Brito Dos Santos</t>
  </si>
  <si>
    <t>ledasantosbahia@gmail.com</t>
  </si>
  <si>
    <t>28212188-2</t>
  </si>
  <si>
    <t>Leda Brito, líder e fundadora do Espaço Cultural Nova Bonsucesso. Casada, mãe de 2 filhos, nascida em Feira de Santana, Bahia e como muitos retirantes deixei minha terra natal em busca de uma vida melhor. Chegando aqui em 1989, São Paulo percebi que as desigualdades sociais eram as mesmas. Inconformada com tal situação, voltei a estudarem 2016 onde fiz minha primeira graduação em Licenciatura em Pedagogia, logo decidi 
 pontar uma Associação para amenizar as dores dos meus vizinhos.</t>
  </si>
  <si>
    <t>Tenry</t>
  </si>
  <si>
    <t>bloco 3C, ap 44</t>
  </si>
  <si>
    <t>Vila Nova Bonsucesso</t>
  </si>
  <si>
    <t>07176-455</t>
  </si>
  <si>
    <t>não tenho</t>
  </si>
  <si>
    <t>https://www.instagram.com/ledabritodos/</t>
  </si>
  <si>
    <t>https://drive.google.com/open?id=1G8weItdmvo3bWZTbPvteV4dNycEqznAQ</t>
  </si>
  <si>
    <t>Neves Galdino Pereira</t>
  </si>
  <si>
    <t>(11)95283-4372</t>
  </si>
  <si>
    <t>Casado, 42 anos, pai da Isabelle e da Rafaella , Tecnico Eletricista , vencedor do vicio das drogas ha 11anos. Hoje secretario e presidente do Projeto Pela Rua Pelo Reino onde procura trabalhar a base as nossas crianças, desenvolvendo oportunidades para que elas possam ter um destino, e não chegar onde eu estive um dia.</t>
  </si>
  <si>
    <t>Rua Mario Pernambuco</t>
  </si>
  <si>
    <t>apt 02 bloc 02</t>
  </si>
  <si>
    <t>Vila Mazzei</t>
  </si>
  <si>
    <t>02314-001</t>
  </si>
  <si>
    <t>https://www.instagram.com/prdouglas_galdino/</t>
  </si>
  <si>
    <t>https://drive.google.com/open?id=1eFigh2xLItmVcciIouJGq0Jd_ywTEubS</t>
  </si>
  <si>
    <t>Isabel Da Silva Paganotti</t>
  </si>
  <si>
    <t>sarapaganotti16@gmail.com</t>
  </si>
  <si>
    <t>(11)94089-5839</t>
  </si>
  <si>
    <t>Sara Pavarotti
39 anos, 
Investidora Social,
Mãe da Maria Eduarda e Zoe Emanlly,
CEO da ONG ABC Juntos Somos Fortes
Presidente da FEMESP
Formada em Administração com pós  graduação em Gestão do Terceiro Setor.
Mulher, determinada e muito persistente, desde cedo desempenhando meu papel na comunidade por meio do trabalho social.
Superei vários obstáculos 
Tenho  pretendo alcançar a todos, minha meta é chegar ao topo e disseminar o meu trabalho para que todos reconheçam</t>
  </si>
  <si>
    <t>Rua rioshim hasegawa</t>
  </si>
  <si>
    <t>Jardim perola</t>
  </si>
  <si>
    <t>08544-430</t>
  </si>
  <si>
    <t>https://drive.google.com/open?id=1_b8ujrLq-u8LqVIkB83dUkpYWwi8QLs5</t>
  </si>
  <si>
    <t>Júlia Xavier</t>
  </si>
  <si>
    <t>mariajuliadovovovitorino@gmail.com</t>
  </si>
  <si>
    <t>(41)98455-1787</t>
  </si>
  <si>
    <t>Maria Júlia assistente social, pedagoga e historiadora, coordenadora de projetos, 30 anos no terceiro setor, amo muito o que faço.</t>
  </si>
  <si>
    <t>Jardim da ordem</t>
  </si>
  <si>
    <t>https://drive.google.com/open?id=1_UbojC7Fh8veCvRc0lsyvMkEKEaqBwfy</t>
  </si>
  <si>
    <t>Wagner</t>
  </si>
  <si>
    <t>Gonçalves Ramalho</t>
  </si>
  <si>
    <t>pratoverde@gmail.com</t>
  </si>
  <si>
    <t>Formado em Gestão Ambiental e Geografia formações complementares em arte dramática, jardinagem e geografia política e meio ambiente. Prof. de Geografia e Conselheiro Meio Ambiente, Desenvolvimento Sustentável e Cultura de Paz. Coor. do Prato Verde Sustentável, projeto premiado pela Assoc. Brasileira dos Profissionais pelo Desenvolvimento Sustentável em 2018.</t>
  </si>
  <si>
    <t>RUA ANGELO ALUIZIO</t>
  </si>
  <si>
    <t>APTO 42</t>
  </si>
  <si>
    <t>JD. GUAPIRA</t>
  </si>
  <si>
    <t>https://www.linkedin.com/in/wagner-ramalho-6783251b2/</t>
  </si>
  <si>
    <t>https://www.instagram.com/wagnerramalhoguaranikaiowa/</t>
  </si>
  <si>
    <t>https://drive.google.com/open?id=1vkqrEIZc5-jqLocz1G84drs8n9Dl53G3</t>
  </si>
  <si>
    <t>Jhonata</t>
  </si>
  <si>
    <t>De Sousa Pereira</t>
  </si>
  <si>
    <t>jhow.roots28@gmail.com</t>
  </si>
  <si>
    <t>Pós Graduação ADM/FGV SP
Orientação comunitária - FEUSP
Fundador e CEO do Instituto Eclésia e
Fellows Gerando Falcoes</t>
  </si>
  <si>
    <t>Rua Pereiras</t>
  </si>
  <si>
    <t>Munhoz Junior</t>
  </si>
  <si>
    <t>06240-140</t>
  </si>
  <si>
    <t>https://www.linkedin.com/in/jhonata-pereira-28b32654/</t>
  </si>
  <si>
    <t>https://www.instagram.com/jhowroots17/</t>
  </si>
  <si>
    <t>https://drive.google.com/open?id=1FmFANdpkSLGdP-0QEfMSlQjD_rx3l5Sy</t>
  </si>
  <si>
    <t>Valeria De Oliveira</t>
  </si>
  <si>
    <t>30937244-6</t>
  </si>
  <si>
    <t>Sou Valéria de Oliveira, 46 anos, casada, mãe, fundadora da Associação Missão em Ação Social - AMEAS,ducadora sócioeducativa, empreendedora social e líder pastoral. Tudo originou-se no ano de 1997 onde começei a dar os primeiros passos na área sócial onde me levou a fundar a ASSOCIAÇÃO AMEAS em 2013.</t>
  </si>
  <si>
    <t>Dardo Rocha</t>
  </si>
  <si>
    <t>Jrdim Damasceno</t>
  </si>
  <si>
    <t>alimentos gordurosos</t>
  </si>
  <si>
    <t>https://drive.google.com/open?id=1YX1oCdV1-fvX_FfEEC9aunyzpGYhmqEi</t>
  </si>
  <si>
    <t>Eliane Aparecida de Oliveira Moretti de Souza</t>
  </si>
  <si>
    <t>elianamoretti688@gmail.com</t>
  </si>
  <si>
    <t>(14)98178-9087</t>
  </si>
  <si>
    <t>Eu trabalho de Assistente Social em dois lugares 
No Patronato Juvenil Garcense e no Hospital André Luis. Amo o meu trabalho e estou aprendendo a cada dia.</t>
  </si>
  <si>
    <t>São Carlos</t>
  </si>
  <si>
    <t>Ferraropolis</t>
  </si>
  <si>
    <t>17400-108</t>
  </si>
  <si>
    <t>CLT; Funcionário Público</t>
  </si>
  <si>
    <t>https://drive.google.com/open?id=1T30YbF4PBNFeNwY5kaD87npAfuq5mKFf</t>
  </si>
  <si>
    <t>Bárbara</t>
  </si>
  <si>
    <t>Manuela</t>
  </si>
  <si>
    <t>estudodavida.bms@gmail.com</t>
  </si>
  <si>
    <t>(11)94892-0749</t>
  </si>
  <si>
    <t>Bárbara Manuela, bióloga e co-fundadora do Instituto Zedakah e hoje atua como voluntária em projetos sociais. Ama animais, crianças e natureza! Foi picada pelo terceiro setor em 2007 e desde então não parou mais em atuar na área e querendo transformar o mundo e causar um impacto positivo na sociedade.</t>
  </si>
  <si>
    <t>André Saraiva</t>
  </si>
  <si>
    <t>Casa 02</t>
  </si>
  <si>
    <t>05626-001</t>
  </si>
  <si>
    <t>http://www.linkedin.com/in/bárbara-manuela-6781b2b6</t>
  </si>
  <si>
    <t>http://www.instagram.com/bah.manuela</t>
  </si>
  <si>
    <t>https://drive.google.com/open?id=1x-SQgMPAtqmYOUYXrwxgwElbXCfYkog2</t>
  </si>
  <si>
    <t>Welton</t>
  </si>
  <si>
    <t>Cardoso</t>
  </si>
  <si>
    <t>welton.morais84@gmail.com</t>
  </si>
  <si>
    <t>Welton e hoje um homem que cresceu sem pai em uma pequena cidade do sudoeste da Bahia, passou muitas necessidades até fome,quando aos 15 anos veio para São Paulo e viu nesta cidade a oportunidade de virar o jogo (decidiu que faria da sua dor uma causa) e com este pensamento tens dedicado seus dias em trazer mudanças para as comunidades. 
A metanoia precisa fazer parte da favela.</t>
  </si>
  <si>
    <t>Rua arataiacu</t>
  </si>
  <si>
    <t>Jardim vista alegre</t>
  </si>
  <si>
    <t>https://drive.google.com/open?id=1j3ocwGuXf_hFfgjnpWzTk-sxToinevq_</t>
  </si>
  <si>
    <t>Costa Martins</t>
  </si>
  <si>
    <t>douglascostamartins75@gmail.com</t>
  </si>
  <si>
    <t>(17)99132-6851</t>
  </si>
  <si>
    <t>Sou Douglas casado com Maria do Carmo, pai do Lucas Isabella e Pedro Emmanuel, Engenheiro Agrônomo e Líder Social na Associação Comunitária Maria João de Deus no interior de São Paulo,  atuamos com crianças de zero a quinze anos na periferia de Fernandópolis.</t>
  </si>
  <si>
    <t>Artibano Mota</t>
  </si>
  <si>
    <t>COHAB João Pimenta</t>
  </si>
  <si>
    <t>15610-354</t>
  </si>
  <si>
    <t>https://www.linkedin.com/in/douglas-costa-martins-57b470214</t>
  </si>
  <si>
    <t>https://instagram.com/douglascostamartins?utm_medium=copy_link</t>
  </si>
  <si>
    <t>https://drive.google.com/open?id=1u9UpjxpQETbNQ6ah3PYU11qE6TFnMDXM</t>
  </si>
  <si>
    <t>Janeide</t>
  </si>
  <si>
    <t>Barbosa Da Silva</t>
  </si>
  <si>
    <t>janeide2892@gmail.com</t>
  </si>
  <si>
    <t>Janeide Barbosa é uma mulher, mãe, empresária, sonhadora e líder comunitária. Atuando desde 2018 em sua comunidade, ela faz acontecer na vida dos moradores do Jardim das Camélias. 
Sua maior motivação para ser uma líder, foi seu filho com necessidades especiais, que transformou seu olhar sobre o mundo e as dificuldades.</t>
  </si>
  <si>
    <t>Av. Laranja da china</t>
  </si>
  <si>
    <t>https://drive.google.com/open?id=10ctxV8nMn9fVaTyawjHOr35WgafNvNJD</t>
  </si>
  <si>
    <t>Valquiria</t>
  </si>
  <si>
    <t>Leite Gonçalves Moraes</t>
  </si>
  <si>
    <t>valquiria.moraes@pequenocidadao.org.br</t>
  </si>
  <si>
    <t>(11)99155-3934</t>
  </si>
  <si>
    <t>11718805-00</t>
  </si>
  <si>
    <t>Fundadora do Núcleo de Apoio ao Pequeno Cidadão, tenho 61 anos , sou de família humilde que acredita no poder da educação. Formada em psicologia graças ao apoio de uma empresa que patrocinou toda minha formação. O desejo de estimular crianças e jovens da periferia a terem oportunidade de alcançarem os seus sonhos, por meio da educação, me levou a organizar a Ong, pois acredito que as comunidades são um “berço” de talentos. "Eduquem as crianças e não será necessário castigar os homens" Pitágoras</t>
  </si>
  <si>
    <t>Praça Antonio Pinheiro Costa</t>
  </si>
  <si>
    <t>Apto 102 - Bloco 04</t>
  </si>
  <si>
    <t>Vila Gonçalves</t>
  </si>
  <si>
    <t>09725-120</t>
  </si>
  <si>
    <t>@valquiria.moraes.1238</t>
  </si>
  <si>
    <t>https://drive.google.com/open?id=1ttgFAwuIeCw47J68v5MCzz0XeRZj0maB</t>
  </si>
  <si>
    <t>Elias De Souza</t>
  </si>
  <si>
    <t>(16)99366-0385</t>
  </si>
  <si>
    <t>Meu nome é Geraldo Souza. Sou pai da Vitórya (20 anos), Davi (11 anos) e Laura (9 anos). Casado com Érica. Me formei em marketing e sou apaixonado por empreendedorismo social. Atualmente sou presidente do instituto Fábrica de Vencedor, no qual sou fundador e gestor dos projetos desenvolvidos.
Nasci em Araraquara em 06 de fevereiro de 1980. Filho de Maria Isabel Petito e Pedro Carlos de Souza, falecido em 2000, vítima do alcoolismo. Sou de uma família muito simples. A pobreza me forjou.</t>
  </si>
  <si>
    <t>Rua Manoel Rodrigues Jacob</t>
  </si>
  <si>
    <t>CLT; MEI</t>
  </si>
  <si>
    <t>https://www.linkedin.com/in/geraldo-souza-52863a134/</t>
  </si>
  <si>
    <t>@geraldoesouza</t>
  </si>
  <si>
    <t>https://drive.google.com/open?id=1xgcb30nm2w755Xhxo_7gMJbd5bi1ggI2</t>
  </si>
  <si>
    <t>Dayana</t>
  </si>
  <si>
    <t>Aparecida Domingues</t>
  </si>
  <si>
    <t>1195941-7586</t>
  </si>
  <si>
    <t>Sou representante da Associação Elisabeth Bruyere, atuava diretamente lá dando aulas de Educação Física para as crianças cadastradas e acompanhava de perto a evolução da periferia ao redor</t>
  </si>
  <si>
    <t>Rua Juramento 428</t>
  </si>
  <si>
    <t>Parque Brasilia</t>
  </si>
  <si>
    <t>07243-010</t>
  </si>
  <si>
    <t>Não, não tenho nenhuma restrição alimentar</t>
  </si>
  <si>
    <t>De Almeida Deus Dara Dos Santos</t>
  </si>
  <si>
    <t>cristianesantos@asbramebrasil.org</t>
  </si>
  <si>
    <t>(11)97504-7942</t>
  </si>
  <si>
    <t>Sou empreendedora social ,mãe e esposa que busca por mudanças continuas na vida ,determinada ,observadora e conservadora .Vivo o hoje como se não houvesse amanhã .</t>
  </si>
  <si>
    <t>Rua caxiu</t>
  </si>
  <si>
    <t>Ae Carvalho</t>
  </si>
  <si>
    <t>@asbramebrasil</t>
  </si>
  <si>
    <t>https://drive.google.com/open?id=1VQeGKAX9VqtC9FXxlon37W_owWZT8krx</t>
  </si>
  <si>
    <t>Leopoldo</t>
  </si>
  <si>
    <t>Matias</t>
  </si>
  <si>
    <t>leopoldo.matiass@gmail.com</t>
  </si>
  <si>
    <t>Nascido e criado na Região do Vida Nova em Campinas-SP,  desde criança passei por dificuldades devido a minha condição social e por essas experiências de ausências e impedimentos resolvi dar a volta por cima e mudar a realidade aonde vivo.</t>
  </si>
  <si>
    <t>Waldemar Silveira</t>
  </si>
  <si>
    <t>Vida nova</t>
  </si>
  <si>
    <t>13057-500</t>
  </si>
  <si>
    <t>https://instagram.com/leopoldo_matiass</t>
  </si>
  <si>
    <t>https://drive.google.com/open?id=1ddE_J2H98RAfPg0mMgAHBLfCso0QoErV</t>
  </si>
  <si>
    <t>Sinara</t>
  </si>
  <si>
    <t>Sonallio</t>
  </si>
  <si>
    <t>(51)99517-8730</t>
  </si>
  <si>
    <t>Nasci em SC, morei no PR dos 7 aos 22 e desde 2010 no RS, 45 anos.
Filha da Luiza e do Eliseu (já no céu), irmã do Fabio e do Fagner, cunhada da Denise e da Anna, tia do Gustavo e da Catharina e mãe de uma gata de 4 patas. Solteira e por enquanto sem filhos humanos.
Produtora audiovisual, apaixonada por vôlei, chimarrão, bike, vilas e viciada nas crianças da minha ONG. Há quem encontre um propósito de vida aos 20, 40, ou, ainda siga procurando. Eu encontrei o meu em 2015, ano de Fundação da ONG.</t>
  </si>
  <si>
    <t>90130-060</t>
  </si>
  <si>
    <t>https://instagram.com/nara_sonallio?igshid=YmMyMTA2M2Y=</t>
  </si>
  <si>
    <t>https://drive.google.com/open?id=1uZ7aENswb1PuUtQw8-h2ccrObgSO7Rgx</t>
  </si>
  <si>
    <t>fercampanile@gmail.com</t>
  </si>
  <si>
    <t>(11)99504-1337</t>
  </si>
  <si>
    <t>26 anos e brasileira, nascida em São Paulo e hoje residente de Suzano, na vontade de ser parte da solução do combate à fome fundei o Junta que ajuda, primeira ong no Brasil a reciclar lacres por alimento. Através da sustentabilidade combatemos a fome e mobilizamos cidades e centenas de pessoas nessa causa.</t>
  </si>
  <si>
    <t>27 de outubro, 224</t>
  </si>
  <si>
    <t>Instagram.com/fecampanile</t>
  </si>
  <si>
    <t>https://drive.google.com/open?id=1C-mYkiCXLYAyKMWJ2tWkQHSvO_GzLGX7</t>
  </si>
  <si>
    <t>Augusto Beijo</t>
  </si>
  <si>
    <t>contatoedubeijo@gmail.com</t>
  </si>
  <si>
    <t>(14)98820-4329</t>
  </si>
  <si>
    <t>27803370-2</t>
  </si>
  <si>
    <t>Eduardo Augusto, Empreendedor Social,  infelismente é que cabe nessa mini da mini bio</t>
  </si>
  <si>
    <t>Jose costa ribeiro</t>
  </si>
  <si>
    <t>1-75</t>
  </si>
  <si>
    <t>Jd. Vania maria</t>
  </si>
  <si>
    <t>https://instagram.com/eduardobeijo?utm_medium=copy_link</t>
  </si>
  <si>
    <t>https://drive.google.com/open?id=1-j9s7QePGLTyWOuXHV7NoblF8HsDWPQF</t>
  </si>
  <si>
    <t>Rogerio</t>
  </si>
  <si>
    <t>rogeriorofer@gmail.com</t>
  </si>
  <si>
    <t>(13)99613-2034</t>
  </si>
  <si>
    <t>Sou Rogério Fernandes, filho do Marcos e Eliane, tenho 36 anos, nascido em São Paulo (Capital), cresci na Zona Sul (Capão Redondo, Jd Ângela), mudei para Pariquera-Açu (Vale do Ribeira) em 1997, sou casado com Gislene e tenho dois filhos, Stephani de 20 anos (primeiro casamento) e Gustavo de 1 ano. Sou avô da Beatrice de 2 anos. Sou católico, palmeirense e trabalho como chefe de tesouraria no Consaúde (hospital), onde estou há 19 anos, sou formado em Gestão Financeira pela UNISA.</t>
  </si>
  <si>
    <t>Narciso Adrião</t>
  </si>
  <si>
    <t>Vila Palmira</t>
  </si>
  <si>
    <t>https://drive.google.com/open?id=18AJLVY3WdYRScJ0APoTXYcst3A1emt2l</t>
  </si>
  <si>
    <t>Maria Félix Da Silva Santos</t>
  </si>
  <si>
    <t>felixppp74@gmail.com</t>
  </si>
  <si>
    <t>Associação sem fins lucrativo com projetos no papel a ser realizado de grande impacto social porém sem ajuda de parceiro .</t>
  </si>
  <si>
    <t>Altos do oiti</t>
  </si>
  <si>
    <t>Vila Helena</t>
  </si>
  <si>
    <t>08081-410</t>
  </si>
  <si>
    <t>https://www.instagram.com/p/CZUqsP6pdOo/?utm_medium=copy_lin</t>
  </si>
  <si>
    <t>https://drive.google.com/open?id=1D85jdlN2kCRG8kg6bH3r0BrlNem9yhzr</t>
  </si>
  <si>
    <t>De Jesus Santos</t>
  </si>
  <si>
    <t>(11)98931-6491</t>
  </si>
  <si>
    <t>Empreendedor Social e Administrador - Sou de Taboão da Serra - SP</t>
  </si>
  <si>
    <t>Guararema</t>
  </si>
  <si>
    <t>06786-410</t>
  </si>
  <si>
    <t>https://br.linkedin.com/in/eduardo-de-jesus-santos-aa554a11a</t>
  </si>
  <si>
    <t>https://www.instagram.com/dhujesus/</t>
  </si>
  <si>
    <t>https://drive.google.com/open?id=1k4ZYioVvl1zheiSss8wPkYSzfL12DhI2</t>
  </si>
  <si>
    <t>Marilene</t>
  </si>
  <si>
    <t>Balbino Rodrigues</t>
  </si>
  <si>
    <t>Inativo</t>
  </si>
  <si>
    <t>marilene_rodrigues15@hotmail.com</t>
  </si>
  <si>
    <t>Educadora Social engajada atuando desde 2011 no Terceiro Setor com oficinas socioeducativas para crianças;; adolescentes e jovens em vulnerabilidade;; promovendo o fortalecimento de vínculos entre participantes;; escolas;; famílias e comunidades;; além de ações de fomento ao desenvolvimento territorial e às lideranças juvenis em Mogi Mirim; Desde 2016 à frente da elaboração e execução do Projeto Garatujas na Escola Estadual Valério Strang com oficinas de Educação Social e Pedagogia de Projetos pela Instituição ICA de Mogi Mirim; Tive a oportunidade de desenvolver oficinas Arte e Cultura durante 2 anos para adolescentes em cumprimento de Medida Socioeducativa de internação na Fundação CASA;; experiência que me oportunizou ampliar meus conhecimentos acerca do ECA e SINASE; Ministrei oficinas de Expressão Corporal e Teatro por 2 anos no Centro de Convivência Infantil de Mogi Mirim;; desenvolvendo também;; pequenas produções culturais com as crianças atendidas; Durante quase 2 anos;; estive responsável pela biblioteca de pequeno porte da Instituição ICA;; desenvolvendo ações de fomento à leitura;; além de promover formações de Mediadores de Leitura;; simultaneamente atuando em oficinas de apoio escolar; Sou Voluntária;; desde 2013;; do Centro de Voluntariado de Mogi Mirim;; tendo;; por diversas vezes;; o prazer de contribuir em ações sociais pontuais desenvolvidas pelas Instituições e Entidades parceiras;</t>
  </si>
  <si>
    <t>Cesarino Stort</t>
  </si>
  <si>
    <t>Parque das Laranjeiras</t>
  </si>
  <si>
    <t>https://www.linkedin.com/in/marilene-rodrigues-a74774115/</t>
  </si>
  <si>
    <t>https://www.instagram.com/mrdrgs_/?utm_medium=copy_link</t>
  </si>
  <si>
    <t>https://drive.google.com/open?id=1FS1cYvmyQ1TCh2s1iBCFGARCtzywTJM7</t>
  </si>
  <si>
    <t>Luciane</t>
  </si>
  <si>
    <t>Souza Bomfim</t>
  </si>
  <si>
    <t>Eu sou a Luciane Bomfim,  filha de baianos, trabalhadores rurais que vieram tentar uma oportunidade na "Cidade Grande". Minha mãe analfabeta, meu pai alcóolatra. Morávamos em um barraco próximo a favela do São Pedro uma das mais violentas na época. 
Desde criança, eu tive que aprender a conviver com a exclusão por ser mulher, negra e moradora da periferia. Mas foi através da  maternidade atípica que encontrei forças para agir em favor da inclusão. Através do Instituto AME</t>
  </si>
  <si>
    <t>ap 16 bc 2</t>
  </si>
  <si>
    <t>06410-400</t>
  </si>
  <si>
    <t>https://drive.google.com/open?id=1z3SgdU1kHKHG-_eJjqHvFpJBI03WjvaQ</t>
  </si>
  <si>
    <t>Cristina De Moraes Marcondes</t>
  </si>
  <si>
    <t>elaine.morac@gmail.com</t>
  </si>
  <si>
    <t>Tenho 52 anos tenho 2 filhos formada em enfermagem obstetrícia
Trabalho c serviço social a mais de dez anos</t>
  </si>
  <si>
    <t>Rua sargento claudiner Evaristo dias</t>
  </si>
  <si>
    <t>Jd Colorado</t>
  </si>
  <si>
    <t>https://instagram.com/elainecmmarcondes?utm_medium=copy_link</t>
  </si>
  <si>
    <t>https://drive.google.com/open?id=1OFT6kzVB68N37t5wv7oU6Z29Ty40EB9E</t>
  </si>
  <si>
    <t>Cavalcante Curcino De</t>
  </si>
  <si>
    <t>paty.cavalcante@yahoo.com.br</t>
  </si>
  <si>
    <t>(11)98501-0632</t>
  </si>
  <si>
    <t>Pedagoga, líder e empreendedora social, sempre em busca de melhores oportunidades e resultados de impacto nas vidas das pessoas</t>
  </si>
  <si>
    <t>Rua luiz novaes</t>
  </si>
  <si>
    <t>Vila santa margarida</t>
  </si>
  <si>
    <t>08543-190</t>
  </si>
  <si>
    <t>https://drive.google.com/open?id=11zzJToPXQ-cUXL1YCLigTvgbPzkWwDrz</t>
  </si>
  <si>
    <t>Marlene</t>
  </si>
  <si>
    <t>Lima De Carvalho Marques</t>
  </si>
  <si>
    <t>marlenemarques714@gmail.com</t>
  </si>
  <si>
    <t>(17)99734-2615</t>
  </si>
  <si>
    <t>Marlene Marques, formada em Geografia e Serviços Sociais, atualmente desenvolvo atividades na área social com a função de coordenadora junto a OSC CAEFA - Centro de Apoio a Educação e Formação do Adolescente, sendo que de 2009 a 2016 estive como Assistente Social, sou casada, tenho um filho, cristã e gosto de atividades ao ar livre. Fui militante de Conselho de Direitos por 15 anos, (CMDCA /CMAS). Gosto de estar envolvida em causas sociais e fazendo a diferença na vida do outro.</t>
  </si>
  <si>
    <t>Brasilândia</t>
  </si>
  <si>
    <t>15606-612</t>
  </si>
  <si>
    <t>Carne de porco</t>
  </si>
  <si>
    <t>https://www.instagram.com/marlenemarques7.1.4/</t>
  </si>
  <si>
    <t>https://drive.google.com/open?id=1GWC2tXOiT-F5OV5Lc-zwso3yFJpkOiI_</t>
  </si>
  <si>
    <t>Danilo Da Silva</t>
  </si>
  <si>
    <t>ze.daniloguerra@gmail.com</t>
  </si>
  <si>
    <t>Zé Danilo Guerra, nascido e criado na segunda maior Favela de São Paulo, Paraisópolis. Um homem negro que versa seu trabalho entre a produção cultural e trabalhos sociais. Coordenador do Sarau de Paraisópolis e Presidente do Projeto Peralta, desenvolve ações e projetos voltados a proteção social e a valorização cultural e social da periferia.</t>
  </si>
  <si>
    <t>Francisco Vergueiro Porto</t>
  </si>
  <si>
    <t>ap 06</t>
  </si>
  <si>
    <t>Doroteia</t>
  </si>
  <si>
    <t>04474-300</t>
  </si>
  <si>
    <t>https://www.instagram.com/zedanilo.guerra/</t>
  </si>
  <si>
    <t>https://drive.google.com/open?id=1lZWPbo1hBD_MNS4-Js3URYnQZJ3bny1S</t>
  </si>
  <si>
    <t>Nascimento Goularte</t>
  </si>
  <si>
    <t>ggoularte1@gmail.com</t>
  </si>
  <si>
    <t>Guilherme Goularte</t>
  </si>
  <si>
    <t>Avenida Coronel Antonino</t>
  </si>
  <si>
    <t>Coronel Antonino</t>
  </si>
  <si>
    <t>79010-000</t>
  </si>
  <si>
    <t>instagram.com/guilhermengoularte</t>
  </si>
  <si>
    <t>https://drive.google.com/open?id=1K0uPLD82Xv86MaKjBfjcq-65Vyzl8-Pa</t>
  </si>
  <si>
    <t>Felipe Pereira De Carvalho</t>
  </si>
  <si>
    <t>acarvalho@papeldemenino.org.br</t>
  </si>
  <si>
    <t>(11)96700-6737</t>
  </si>
  <si>
    <t>49550340X</t>
  </si>
  <si>
    <t>Anderson Carvalho,  é  casado e pai de 5 filhos sendo 4 meninas e 1 menino.
Passei 4 vezes pela Fundação Casa (antiga FEBEM), e hj as vezes é inacreditável olhar para o passado e ver que tudo que eu passei indicava que eu não chegaria aos 18 anos.
Hoje aos 26 anos, com uma família linda e como coordenador de projetos no Instituto Papel de Menino, eu me sinto realizado em poder contar e levar minha experiência como exemplo de que é possível escrever novas histórias.</t>
  </si>
  <si>
    <t>Rua Jerônimo da Costa</t>
  </si>
  <si>
    <t>Jardim Cachoeira</t>
  </si>
  <si>
    <t>02762-090</t>
  </si>
  <si>
    <t>https://www.linkedin.com/in/anderson-carvalho-249bba114</t>
  </si>
  <si>
    <t>@andersoncarvalhooficial</t>
  </si>
  <si>
    <t>https://drive.google.com/open?id=1wZ0KsYzFj1-ILHzvgKn6-t_PzMrH0b5d</t>
  </si>
  <si>
    <t>Edna</t>
  </si>
  <si>
    <t>Bezerra Padilha</t>
  </si>
  <si>
    <t>50 anos
Mãe da Evellyn, Gabrielly, Isabelly
Avó do  Pablo
Empreendedora Social
Ceo da Associação Tabernaculo
Idealizadora do Projeto Comida de Marmita
Idealizadora do Projeto de sustentabilidade Solo Limpo Natureza Fértil
Secretaria Geral da FEMESP
Diretora coordenadora de projetos Associação FutAlegria
CEO RENOVE assessoria social
Filha de nordestinos, apaixonada pelas causas sociais a minha MISSÃO a verdadeira JORNADA de minha vida.</t>
  </si>
  <si>
    <t>Rua Giovanni Quadri</t>
  </si>
  <si>
    <t>08255-500</t>
  </si>
  <si>
    <t>https://www.linkedin.com/in/edna-padilha-93a183151/</t>
  </si>
  <si>
    <t>https://www.instagram.com/padilhaedna/</t>
  </si>
  <si>
    <t>https://drive.google.com/open?id=1NREC90Vapi9Pd3c3Qr7eTyVww-QgS0q5</t>
  </si>
  <si>
    <t>Gustavo</t>
  </si>
  <si>
    <t>Gustavo Santiago</t>
  </si>
  <si>
    <t>kgustavosantiago@gmail.com</t>
  </si>
  <si>
    <t>(48)99990-6256</t>
  </si>
  <si>
    <t>Me chamo Gustavo Santiago, nasci em 02 de junho de 1987 na cidade de Florianópolis (SC), trabalho com a causa social desde o ano de 2012. Sou atleta  e professor de Jiu-Jitsu há 20 anos e atualmente coordeno uma ONG entre as comunidade do Morro da Nova Trento e Morro do 25 no Bairro Agronômica em Florianópolis. A ONG Vivendo a Arte é uma ONG esportiva, cultural e seu carro chefe é a modalidade de JIu-JItsu</t>
  </si>
  <si>
    <t>Dante de Pata</t>
  </si>
  <si>
    <t>apt 102 bloco A</t>
  </si>
  <si>
    <t>Ingleses</t>
  </si>
  <si>
    <t>88058-510</t>
  </si>
  <si>
    <t>https://instagram.com/k_g_s_?utm_medium=copy_link</t>
  </si>
  <si>
    <t>https://drive.google.com/open?id=1WqrhfnHkU7vVe6glLWce31NU2cSTN0U5</t>
  </si>
  <si>
    <t>Daniella</t>
  </si>
  <si>
    <t>Cristina Rodrigues Barbosa</t>
  </si>
  <si>
    <t>danielladespertandoamor@gmail.com</t>
  </si>
  <si>
    <t>Me chamo Daniella Cristina Rodrigues Barbosa, tenho 28 anos, sou de Lorena interior de SP, filha de mãe solo, cristã, casada, mamãe de dois meninos, pedagoga, empreendedora social, fundadora/ presidente da OS Despertando AMOR HOJE, hoje parte da rede gerando falcões, vamos juntos despertar vidas, alimentar a esperança e criar oportunidades! 
"A maior tragédia na vida não é morrer, é viver sem propósito!"</t>
  </si>
  <si>
    <t>Mario Prudente de Aquino filho</t>
  </si>
  <si>
    <t>Vila Passos</t>
  </si>
  <si>
    <t>12605-290</t>
  </si>
  <si>
    <t>https://www.instagram.com/tiadani_despertandoamor/</t>
  </si>
  <si>
    <t>https://drive.google.com/open?id=1Wchw9b415gHMsWNW9a3oPIkk-m4YVYWm</t>
  </si>
  <si>
    <t>Letícia</t>
  </si>
  <si>
    <t>Witzki Morona</t>
  </si>
  <si>
    <t>leticiawitzkimorona@gmail.com</t>
  </si>
  <si>
    <t>12912421-0</t>
  </si>
  <si>
    <t>Curitibana, 26 anos, apaixonada por causas sociais, educação e pessoas. Professora, recreacionista e palhaça. Fundadora e Presidente da Associação Semeando Amor, uma organização sem fins lucrativos que realiza trabalhos voluntários em ambientes de vulnerabilidade social e emocional.</t>
  </si>
  <si>
    <t>Dr Estevam Ribeiro de Souza Neto</t>
  </si>
  <si>
    <t>https://www.linkedin.com/in/leticiawitzki/</t>
  </si>
  <si>
    <t>www.instagram.com/lecawitzki</t>
  </si>
  <si>
    <t>https://drive.google.com/open?id=1N6xx9C0ReN1U5tj8svm4_RcSBKrLDgVh</t>
  </si>
  <si>
    <t>Abel Trindade Baldez Junior</t>
  </si>
  <si>
    <t>(18)98109-2064</t>
  </si>
  <si>
    <t>Sou um empreendedor que adora solidariedade já que desde cedo aprendi em casa que servir é melhor que ser servido.</t>
  </si>
  <si>
    <t>Av 11 de Maio</t>
  </si>
  <si>
    <t>19050-050</t>
  </si>
  <si>
    <t>@juninhobaldez</t>
  </si>
  <si>
    <t>https://drive.google.com/open?id=17ZG_6zNDm8WYy3yyleKlYnErdOswbd6d</t>
  </si>
  <si>
    <t>Stungis</t>
  </si>
  <si>
    <t>leilastungis@gmail.com</t>
  </si>
  <si>
    <t>(11)96552-5786</t>
  </si>
  <si>
    <t>Atuo no terceiro setor desde 2007, hoje como Coordenadora de projetos de apoio e formação para refugiados e imigrantes na cidade de São Paulo. Tenho experiência em projetos para disseminação de conhecimentos sobre prevenção à ISTs, Hepatites Virais e HIV/Aids e direitos de pessoas vivendo com HIV/Aids. Integrei a equipe do Centro de Referência e Defesa da Diversidade como Técnica Especializada, a organização Ação Fome Zero como Analista de Comunicação e a Fundação Dorina Nowill para Cegos.</t>
  </si>
  <si>
    <t>Avenida Barro Branco</t>
  </si>
  <si>
    <t>Vila do Encontro</t>
  </si>
  <si>
    <t>04324-090</t>
  </si>
  <si>
    <t>https://www.linkedin.com/in/leila-stungis/</t>
  </si>
  <si>
    <t>@leilastungis</t>
  </si>
  <si>
    <t>https://drive.google.com/open?id=1aJMhjSJo7bimfXEZeE06v_OkJuecINRE</t>
  </si>
  <si>
    <t>Alcides</t>
  </si>
  <si>
    <t>Paes Do Prado Junior</t>
  </si>
  <si>
    <t>alcides.paes@uol.com.br</t>
  </si>
  <si>
    <t>(11)97180-7989</t>
  </si>
  <si>
    <t>Empreendedor social, conselheiro dos direitos da criança e do Adolescente do Município de São Paulo e do Estado de São Paulo. Residente no distrito com pior IDH da capital, atuante direto em políticas públicas voltadas a promoção social e empreendedorismo.</t>
  </si>
  <si>
    <t>04482-020</t>
  </si>
  <si>
    <t>http/www.instagram.com/junioor_paes</t>
  </si>
  <si>
    <t>https://drive.google.com/open?id=1-fjnPuj43pm9ct49n8NqWddiJ9p67DRX</t>
  </si>
  <si>
    <t>negracarlams@gmail.com</t>
  </si>
  <si>
    <t>(67)99275-7723</t>
  </si>
  <si>
    <t>Carla Rodrigues,mulher,negra,mãe,esposa,Cristã, Empreendedora Social, militante de direitos humanos principalmente no que tange o direito de crianças e adolescentes. Atualmente vice-presidente do Conselho Estadual do Direito da Criança e Adolescente, Membro do Conselho Municipal do Direito da Criança e Adolescente de CG. Representante Regional do Movimento Nacional Pró Convivência Familiar e Comunitária. Está presidente do Instituto Maná do Céu. Carla Rodrigues é líder Fellow da Gerando Falcões.</t>
  </si>
  <si>
    <t>Juacema</t>
  </si>
  <si>
    <t>Parque Novos Estados</t>
  </si>
  <si>
    <t>79034-210</t>
  </si>
  <si>
    <t>Instagram.com/carla.rodriguesms</t>
  </si>
  <si>
    <t>https://drive.google.com/open?id=16c95grNRgvjKFGcyS0g157IQSFrActyP</t>
  </si>
  <si>
    <t>Santos De Campos</t>
  </si>
  <si>
    <t>alexdecampos17@gmail.com</t>
  </si>
  <si>
    <t>48833964-9</t>
  </si>
  <si>
    <t>Chamado para uma missão, buscando dia após dia cumpri-la, que é ajudar a revolucionar a realidade de minha comunidade.  Sempre associado a minha família e amigos, que juntos vamos tranformar o contexto de nossa comunidade.</t>
  </si>
  <si>
    <t>Sérgio Luiz de Souza</t>
  </si>
  <si>
    <t>https://www.instagram.com/alexdecampos92/</t>
  </si>
  <si>
    <t>https://drive.google.com/open?id=1O6rFTlh8KxWKAlRG7YDQg8JxxY2xNguD</t>
  </si>
  <si>
    <t>Mira Dos Santos</t>
  </si>
  <si>
    <t>anaiculmira@gmail.com</t>
  </si>
  <si>
    <t>(15)99109-1238</t>
  </si>
  <si>
    <t>Meu nome é Luciana Mira dos Santos, possuo a graduação em Serviço Social Sou uma das fundadoras de uma Osc de humanização hospitalar que utiliza a figura do palhaço para desenvolver suas ações, os SuperPalhaços. Hoje, trabalho na Associação Criança Feliz de Sorocaba, como assistente social e também com a elaboração de projetos. A ACFS atende crianças e adolescentes de 06 a 18 anos em situação de vulnerabilidade e risco social, com transtornos de aprendizagem.</t>
  </si>
  <si>
    <t>Marilia</t>
  </si>
  <si>
    <t>Jd Iguatemi</t>
  </si>
  <si>
    <t>18085-530</t>
  </si>
  <si>
    <t>https://www.linkedin.com/in/luciana-mira-b97b34236/</t>
  </si>
  <si>
    <t>https://instagram.com/miralucianah?igshid=YmMyMTA2M2Y=</t>
  </si>
  <si>
    <t>https://drive.google.com/open?id=1ztvguk7CYKaQV_XpTEEXr4TBWqPXhJc1</t>
  </si>
  <si>
    <t>De Souza Costa</t>
  </si>
  <si>
    <t>rs4218206@gmail.com</t>
  </si>
  <si>
    <t>Olá sou Renato de Souza costa nascido 09/02/1981 formado em educação física,filho de pais Baianos,fui atleta profissional de futebol durante 25 anos hoje atuo no terceiro setor tentando levar um pouco de dignidade, respeito e oportunidades a todos aqueles que tem sonhos e projetos.</t>
  </si>
  <si>
    <t>Rua orlando zanfelice</t>
  </si>
  <si>
    <t>Jd.Romano</t>
  </si>
  <si>
    <t>Funcionário Público; Trabalho informal; Desempregado</t>
  </si>
  <si>
    <t>souzanego@hotmail.com</t>
  </si>
  <si>
    <t>https://drive.google.com/open?id=1xQ17y6EOk8rXGMeFp_zlon9K2-t2RZJs</t>
  </si>
  <si>
    <t>Gilvanete</t>
  </si>
  <si>
    <t>Dos Santos Silva Reis</t>
  </si>
  <si>
    <t>Somos uma instituiçao com finalidade de buscar
Ajuda para diminuir a fome e a pobreza da favela
Onde o poder puplico nao chega nois juntos com nossos parceiros fazemos a diferença na comunidade</t>
  </si>
  <si>
    <t>Maria Carlota</t>
  </si>
  <si>
    <t>Bloco G 107</t>
  </si>
  <si>
    <t>Vila Esperança Penha</t>
  </si>
  <si>
    <t>03647-000</t>
  </si>
  <si>
    <t>Vitoriarca@hotmail.com</t>
  </si>
  <si>
    <t>Gilvanetereis57</t>
  </si>
  <si>
    <t>https://drive.google.com/open?id=1r1Y5LGZIy7sF3W48UJij1M-d6K9CLeJ4</t>
  </si>
  <si>
    <t>Aparecida De França Santos</t>
  </si>
  <si>
    <t>danielasolnascente@gmail.com</t>
  </si>
  <si>
    <t>(11)98264-0059</t>
  </si>
  <si>
    <t>Eu sou filha Nordestinos, que saíram do Piauí em busca de oportunidade na “Terra da Garoa”. Minha  mãe foi operadora de caixa e o meu pai fiscal de ônibus. Morávamos na favela do Jd. Peri, zona norte de São Paulo. Sou a penúltima de 6 irmãos, sempre fomos muito unidos. Infelizmente meu irmão se envolveu com tráfico de drogas , e foi jurado de morte, até que no ano de 2000 a promessa se cumpriu, perdi meu irmão e o meu pai assassinados. Hoje, o meu sonho é ajudar as pessoas.</t>
  </si>
  <si>
    <t>Soldado José Vicente de Paula</t>
  </si>
  <si>
    <t>Apto 112</t>
  </si>
  <si>
    <t>Parque Novo Mundo</t>
  </si>
  <si>
    <t>02180-020</t>
  </si>
  <si>
    <t>https://drive.google.com/open?id=1qDnQNuubPMMRK0-BUfbjvR3EfafGSjWU</t>
  </si>
  <si>
    <t>Tatiane</t>
  </si>
  <si>
    <t>Vasconcellos De Oliveira</t>
  </si>
  <si>
    <t>tatianevasconcellos2012@gmail.com</t>
  </si>
  <si>
    <t>(11)97462-6340</t>
  </si>
  <si>
    <t>Graduada em Educação Física, Pós Graduada em Gestão de Projetos Sociais e Estudante do curso de Liderança’s da GF. Sou uma de cinco filhos de mãe solteira, nasci e cresci em uma comunidade chamada Jundiapeba, com muita violência e tráfico de drogas. Em 2014 tive a oportunidade de iniciar como Educadora Social na ONG Visão Mundial, o atendimento no Conj Jefferson, onde atuo até hoje, mas agora na posição de coordenação. Lutamos contra as desigualdades e criamos possibilidades de novos caminhos.</t>
  </si>
  <si>
    <t>Francisco Gouveia Réis Júnior</t>
  </si>
  <si>
    <t>Bloco A Apto 94</t>
  </si>
  <si>
    <t>Conj Residencial Brás Cubas</t>
  </si>
  <si>
    <t>08725-190</t>
  </si>
  <si>
    <t>https://www.linkedin.com/in/tatiane-vasconcellos-de-oliveira-2309a2104</t>
  </si>
  <si>
    <t>https://www.instagram.com/reel/Cc8Og9xvizY/?igshid=YmMyMTA2M2Y=</t>
  </si>
  <si>
    <t>https://drive.google.com/open?id=1GGOLUuuZN7XCOZ20_eXS-cdmAEO4RuJA</t>
  </si>
  <si>
    <t>Jouse</t>
  </si>
  <si>
    <t>Barata De Queiroz</t>
  </si>
  <si>
    <t>Jouse Barata é arte educadora, turismóloga e grafiteira, presidente do movimento Cores do Amanhã e grupo Cores femininas</t>
  </si>
  <si>
    <t>Carolina Martins Sobral</t>
  </si>
  <si>
    <t>Antiga rua G</t>
  </si>
  <si>
    <t>Sancho</t>
  </si>
  <si>
    <t>50920-832</t>
  </si>
  <si>
    <t>@jousebarata</t>
  </si>
  <si>
    <t>https://drive.google.com/open?id=1J4W7qCOEiSAjT49HUy1qeLgAGaugVMmn</t>
  </si>
  <si>
    <t>Ilaci</t>
  </si>
  <si>
    <t>De Oliveira Luiz</t>
  </si>
  <si>
    <t>oliveirailaci@gmail.com</t>
  </si>
  <si>
    <t>(21)96454-4555</t>
  </si>
  <si>
    <t>Sou educadora social comunitaria, ha 29 anos ,agente religioso prisional  21 anos, organizadora de uma coperativa de reciciclagemha 08 na penha , organizadora de costureira ha 4 anos  e cozinha comunitaria  para populacao de rua,ha 3anos</t>
  </si>
  <si>
    <t>Rua;Dr Geraldo Moreira</t>
  </si>
  <si>
    <t>Vila Cruzeiro</t>
  </si>
  <si>
    <t>penha</t>
  </si>
  <si>
    <t>21071-530</t>
  </si>
  <si>
    <t>ainda nao tenho</t>
  </si>
  <si>
    <t>@ilacioliver</t>
  </si>
  <si>
    <t>https://drive.google.com/open?id=1wJwSJPiq4lSd8stGKR8xZaWVvFD-7yaq</t>
  </si>
  <si>
    <t>Daiani</t>
  </si>
  <si>
    <t>Ferreira Soares</t>
  </si>
  <si>
    <t>Daiani Soares é empreendedora e fotógrafa, CoFundadora da Ong Esperança. Movida pelo propósito de fazer a diferença na vida das pessoas e nos meios sociais e profissionais em que vive, criou, juntamente com seu esposo, a ONG Esperança. Iniciou atendendo escolas municipais com um programa de apadrinhamento a crianças de baixa renda. Com sua visão estratégica e planejamento, ampliou os trabalhos. Em 2022 já foram mais de 5 mil famílias atendidas com alimentação e 19 casas construídas.</t>
  </si>
  <si>
    <t>Rua Coronel Vieira</t>
  </si>
  <si>
    <t>Jardim Iririu</t>
  </si>
  <si>
    <t>https://www.linkedin.com/in/daiani-ferreira-soares-58973534</t>
  </si>
  <si>
    <t>https://instagram.com/daianisoares_?utm_medium=copy_link</t>
  </si>
  <si>
    <t>https://drive.google.com/open?id=1lVruTCt34Gfcu971bDo1y0-xo6P41EPF</t>
  </si>
  <si>
    <t>Madalena Araujo Silva De Assis</t>
  </si>
  <si>
    <t>dalena.lurdes@live.com</t>
  </si>
  <si>
    <t>50574746 7</t>
  </si>
  <si>
    <t>Sou Madá  Professora da rede Estadual tenho 4 filhos e Fundadora do Instituto Dah Araujo</t>
  </si>
  <si>
    <t>Antolin Garcia</t>
  </si>
  <si>
    <t>Jd Castro Alves</t>
  </si>
  <si>
    <t>04642-490</t>
  </si>
  <si>
    <t>Artrite Psoriática</t>
  </si>
  <si>
    <t>https://instagram.com/dah.7674?igshid=YmMyMTA2M2Y=</t>
  </si>
  <si>
    <t>https://drive.google.com/open?id=1ZH678H0YJevNusdsU4QirS0KmALi7kLa</t>
  </si>
  <si>
    <t>Soraia</t>
  </si>
  <si>
    <t>Maria Tomaz</t>
  </si>
  <si>
    <t>soraiatoedfisica@gmail.com</t>
  </si>
  <si>
    <t>Nasci no Sul de Minas Gerais;; me formei em Educação Física;; em 1991 me mudei para o estado do Tocantins e iniciei meu trabalho com pessoas com deficiencia;; até criar o Instituto Reviver;; que já existe a 06 anos;; instituto que luta por uma sociedade mais justa e igualitária para pessoas com deficiência ;; utilizando o esporte como ferramentas para promover a inclusão;  Sou divorciada;; mais de duas filhas e recentemente avó;; me aposentei em 2020 e atualmente me dedico exclusivamente ao Instituto Reviver; Sou grata pela oportunidade de participar deste novo grupo que certamente irei me identificar muito;</t>
  </si>
  <si>
    <t>Quadra 806 Sul Alameda 20</t>
  </si>
  <si>
    <t>https://www.instagram.com/soraiatomaz/</t>
  </si>
  <si>
    <t>https://drive.google.com/open?id=1IwtHABHd2XuDwSQAlpCIHUBuVGuM9z67</t>
  </si>
  <si>
    <t>Sebastião</t>
  </si>
  <si>
    <t>Junio Da</t>
  </si>
  <si>
    <t>pastortiaozinho@gmail.com</t>
  </si>
  <si>
    <t>Mg12137934</t>
  </si>
  <si>
    <t>Sebastião junio da Silva casado com Débora Lima, nascido e criado em Carmópolis de Minas Gerais. Teólogo, pastor Batista, empreendedor social. Fundador da Associação Casa up, Rede Meta é membro do Cmdc local. Trabalho duro em prol de oportunidades para a juventude!</t>
  </si>
  <si>
    <t>Rua Maria Cirilo</t>
  </si>
  <si>
    <t>Ap 03</t>
  </si>
  <si>
    <t>https://instagram.com/prtiaozinhosilva?utm_medium=copy_link</t>
  </si>
  <si>
    <t>https://drive.google.com/open?id=1QASxU1JNZM-N0hbcaswRXGfOFON-bSOV</t>
  </si>
  <si>
    <t>Leandro Grabiel coelho pereira</t>
  </si>
  <si>
    <t>(31)98432-7588</t>
  </si>
  <si>
    <t>Leandro Gabriel nasceu em Belo Horizonte/MG , artista plástico  formado na  Escola Guignard, Idealizador do  ong. viaduto das artes.</t>
  </si>
  <si>
    <t>rua lucio dos santos</t>
  </si>
  <si>
    <t>barreiro</t>
  </si>
  <si>
    <t>30640-150</t>
  </si>
  <si>
    <t>https://www.instagram.com/leandro_gabriel_escultor/</t>
  </si>
  <si>
    <t>https://drive.google.com/open?id=1JYRVtljWjcJx8uAVYayPNz31Aw8vCF2a</t>
  </si>
  <si>
    <t>Wanderley</t>
  </si>
  <si>
    <t>Benedito Souza</t>
  </si>
  <si>
    <t>(65)99982-3594</t>
  </si>
  <si>
    <t>Objetivo:
Trabalhar para fomentar as práticas esportivas em crianças e adolescentes em situação de vulnerabilidade social. Divulgar e fortalecer o Instituto Futsal Sem Drogas.
Graduado em contabilidade pela Escola Cezario Neto – Cuiabá/MT, Wanderley Benedito Souza está a frente do Instituto Futsal Sem Drogas desde o ano de sua fundação em 15/06/2011, passando pelo período de sua informalidade, até a sua legalização.</t>
  </si>
  <si>
    <t>Rua Valdomiro Nascimento</t>
  </si>
  <si>
    <t>quadra 33</t>
  </si>
  <si>
    <t>Cohab Cristo Rei</t>
  </si>
  <si>
    <t>https://www.instagram.com/futsal_sem_drogas/?hl=pt-br</t>
  </si>
  <si>
    <t>https://drive.google.com/open?id=1P6wpHD7tOkz9wHxIZpwnAvA80x2YF1ce</t>
  </si>
  <si>
    <t>Gleison</t>
  </si>
  <si>
    <t>Emerson Dos Santos Batista</t>
  </si>
  <si>
    <t>Mg15598049</t>
  </si>
  <si>
    <t>Sou gleison morador de nova contagem/contagem Mg sou o filho mais novo de uma família de 4 irmãos onde a minha mãe sempre lutou para dar o seu melhor pra nós..
Com 15 anos comecei a participar de projetos  na minha comunidade, com 18 anos comecei a ministrar oficina de Percussão com crianças e adolescentes ..</t>
  </si>
  <si>
    <t>Rua vl 17</t>
  </si>
  <si>
    <t>Nova contagem</t>
  </si>
  <si>
    <t>32050-250</t>
  </si>
  <si>
    <t>@gleison_emerson</t>
  </si>
  <si>
    <t>https://drive.google.com/open?id=1o9uKn8ORtRdt8GhbwSLK3vvafQ80I8hi</t>
  </si>
  <si>
    <t>Julia</t>
  </si>
  <si>
    <t>Fernanda Musse Silva</t>
  </si>
  <si>
    <t>julia@cheganca.com.br</t>
  </si>
  <si>
    <t>(34)99944-9663</t>
  </si>
  <si>
    <t>Sou educadora, missionária e empreendedora social. Acredito que podemos dar uma infância plena para crianças em vulnerabilidade através da educação, do livre brincar e do contato com a natureza.</t>
  </si>
  <si>
    <t>BR 452</t>
  </si>
  <si>
    <t>Km 140</t>
  </si>
  <si>
    <t>Zona rural</t>
  </si>
  <si>
    <t>38405-230</t>
  </si>
  <si>
    <t>https://www.instagram.com/p/CXpRynLtzzeTcODTMb-_kmpF5seg2dU57726yQ0/?utm_medium=copy_link</t>
  </si>
  <si>
    <t>https://drive.google.com/open?id=1zLNe-CChHSg0_Q3vP0Jr4yPPWJmt0j8G</t>
  </si>
  <si>
    <t>Angela</t>
  </si>
  <si>
    <t>Da Silva Juscelino</t>
  </si>
  <si>
    <t>Mãe Solo da Larissa e avó da Lara Valentina. Moradora do Aglomerado Morro das Pedras , é educadora, foi professora da educação infantil , orientadora social no Serviço de Convivência e Fortalecimento de Vínculos para JOVENS do Morro das Pedras.  Desde os 19 anos, quando as creches ainda eram comunitárias e não  tinham parcerias com o município. Conselheira Tutelar em 2007à 2009, gerente de eventos esportivos na PBH. Atualmente gestora na ONG ÉH TUDO NOSSO, agente de ações sociais na saude mental</t>
  </si>
  <si>
    <t>Rua Cachoeira de Minas</t>
  </si>
  <si>
    <t>Vila Antena</t>
  </si>
  <si>
    <t>Morro das Pedras</t>
  </si>
  <si>
    <t>30441-190</t>
  </si>
  <si>
    <t>angela_juscelino</t>
  </si>
  <si>
    <t>https://drive.google.com/open?id=1VOuzwniU_as2i_QKJJe44rk9EDy8WEju</t>
  </si>
  <si>
    <t>Virginia</t>
  </si>
  <si>
    <t>O Porto Leles</t>
  </si>
  <si>
    <t>M2091579</t>
  </si>
  <si>
    <t>Fundadora da Apat, atual Coordenadora Tecnica. 
Pós graduada em gestão de terceiro setor e responsabilidade social.
Graduada   em Educação Física e  letras. 
Gosta de leitura gastronomia esportes</t>
  </si>
  <si>
    <t>Av cónego luis Vieira</t>
  </si>
  <si>
    <t>Inconfidentes</t>
  </si>
  <si>
    <t>http://linkedin.com/in/virginia-porto-leles-b5396429</t>
  </si>
  <si>
    <t>Virgínia leles</t>
  </si>
  <si>
    <t>https://drive.google.com/open?id=1mO7dWomP8-pxQ6uFq8gty9Um1bkQvxIL</t>
  </si>
  <si>
    <t>Jessica</t>
  </si>
  <si>
    <t>Brenda Da Cunha Pereira</t>
  </si>
  <si>
    <t>jessicabrendacp@gmail.com</t>
  </si>
  <si>
    <t>(51)8566-4806</t>
  </si>
  <si>
    <t>Acreana. Coordenadora de Aceleração pelo Impact Hub São Paulo - IdeiaGov. Alumni Vetor Brasil. Co-fundadora e Diretora de Relacionamento do Actum. Advogada com experiência em gestão pública e gestão de projetos do terceiro setor. Young Leader pela Women Deliver e Mentora do programa Inspire for Greatness. Líder Social Gerando Falcões.</t>
  </si>
  <si>
    <t>Rua Valdomiro Lopes</t>
  </si>
  <si>
    <t>Nova Estação</t>
  </si>
  <si>
    <t>69918-404</t>
  </si>
  <si>
    <t>@jskbrenda</t>
  </si>
  <si>
    <t>@jessbpereira</t>
  </si>
  <si>
    <t>https://drive.google.com/open?id=1qKTwgHROY_jcpuXYbHKzxUjCyoRRLB8y</t>
  </si>
  <si>
    <t>Paula Almeida Rodrigues</t>
  </si>
  <si>
    <t>anapaula.almeidarodrigues@gmail.com</t>
  </si>
  <si>
    <t>Nascida em Belo Horizonte, filha do Saulo e Marinalva, casada com o Jonnatha, formada em Ciências Sociais e graduanda em Serviço social, viajou o brasil com os pais missionários e fiz morada em Contagem- MG.
Atuo no terceiro setor e com comunidades desde o 1° emprego. 
Enquanto muitos buscam seu propósito, eu me sinto privilegiada por descobrir e viver o meu propósito, antes mesmo de descobrir o significado desta palavra.</t>
  </si>
  <si>
    <t>Silvestone</t>
  </si>
  <si>
    <t>Parque Ayrton Senna</t>
  </si>
  <si>
    <t>32141-010</t>
  </si>
  <si>
    <t>https://www.linkedin.com/in/ana-paula-almeida-rodrigues-b9002b44</t>
  </si>
  <si>
    <t>https://instagram.com/anapaula.almeidarodrigues?utm_medium=copy_link</t>
  </si>
  <si>
    <t>https://drive.google.com/open?id=11uUQOTvq0vidwHYMUQOADdzirZbRyUnh</t>
  </si>
  <si>
    <t>Cristina De Souza Pereira</t>
  </si>
  <si>
    <t>(31)99275-3111</t>
  </si>
  <si>
    <t>MG11695414</t>
  </si>
  <si>
    <t>Gestora do Instituto Esperança há 9 anos tem uma história de empreendedorismo social e novos desafios no Município de Santa Luzia. Presente nos conselhos de Direitos, atua em várias áreas da assistência social</t>
  </si>
  <si>
    <t>Jairo Brito dos Santos,</t>
  </si>
  <si>
    <t>31970-598</t>
  </si>
  <si>
    <t>Funcionário Público; Trabalho informal</t>
  </si>
  <si>
    <t>alinespereira1</t>
  </si>
  <si>
    <t>https://drive.google.com/open?id=1mMffRIe5BYQ4hHXtx6OkSMkjyXX_ndYh</t>
  </si>
  <si>
    <t>Vieira De Lima Gomes</t>
  </si>
  <si>
    <t>marisalimacanta@gmail.com</t>
  </si>
  <si>
    <t>Nasci em 29/09/1978, mais velha de 4 irmãos. Venho de uma família muito humilde, que  venceu muita dificuldade pra sobreviver. Fui privada dos estudos muito cedo, contra minha vontade, com 11 anos já trabalhava para ajudar em casa.  me casei há 23 anos,  dois filhos, Thiago Melke de 21 anos, e Gustavo Beni de 15.
Sempre acreditei na educação como poder transformador, em meio as dificuldades terminei meus estudos, sou professora efetiva e vi no Instituto Zoe a oportunidade de  transformar vidas.</t>
  </si>
  <si>
    <t>AURELIANO GOMES</t>
  </si>
  <si>
    <t>2º ANDAR</t>
  </si>
  <si>
    <t>36887-137</t>
  </si>
  <si>
    <t>https://www.linkedin.com/in/per-marisa-limaoficial</t>
  </si>
  <si>
    <t>https://instagram.com/marisalimalight?utm_medium=copy_link</t>
  </si>
  <si>
    <t>https://drive.google.com/open?id=1T0NcV3efBT3pztjch7zZZ2AcPYK8xNht</t>
  </si>
  <si>
    <t>Odete</t>
  </si>
  <si>
    <t>Avelino De Aquino</t>
  </si>
  <si>
    <t>(38)99150-0060</t>
  </si>
  <si>
    <t>Odete Avelino de Aquino, Assistente Social e fundadora da Instituição Social de Amor Cristão-ISAC, onde atua voluntariamente como presidente e coordenadora desde 2011. Odete é casada, mãe de duas filhas e avó de um neto. Nas comunidades que assiste em Montes Claros- Norte de Minas Gerais é líder de destaque com formação na Falcons University.</t>
  </si>
  <si>
    <t>Cristiano do O</t>
  </si>
  <si>
    <t>Vila Guilhermina</t>
  </si>
  <si>
    <t>39400-465</t>
  </si>
  <si>
    <t>https://www.linkedin.com/in/odete-aquino-47946b236</t>
  </si>
  <si>
    <t>https://instagram.com/detinha_aquino?utm_medium=copy_link</t>
  </si>
  <si>
    <t>https://drive.google.com/open?id=1bGwzS2FbXBNqxyIOHeu_sV2tLssT2zBu</t>
  </si>
  <si>
    <t>Pedro Gabriel Fernandes</t>
  </si>
  <si>
    <t>jpgabriel.fernandes@gmail.com</t>
  </si>
  <si>
    <t>(61)99300-7089</t>
  </si>
  <si>
    <t>26 anos, Valparaíso de Goiás, empreendedor e estudante administração de empresas.</t>
  </si>
  <si>
    <t>CR 10 Bloco C Apto</t>
  </si>
  <si>
    <t>Parque das Cachoeiras</t>
  </si>
  <si>
    <t>https://instagram.com/gfernand_s?igshid=YmMyMTA2M2Y=</t>
  </si>
  <si>
    <t>https://drive.google.com/open?id=1CFZ13sshI8_sczLZpd7M7iM8WVUxmUy8</t>
  </si>
  <si>
    <t>Núria</t>
  </si>
  <si>
    <t>Bispo Vieira</t>
  </si>
  <si>
    <t>nuriabispo@gmail.com</t>
  </si>
  <si>
    <t>(31)99247-2249</t>
  </si>
  <si>
    <t>MG 13820314</t>
  </si>
  <si>
    <t>Meu nome é Núria Vieira, tenho 35 anos, nasci rm Belo Horizonte, hoje vivo em Raposos. Nasci em uma família questionadora das desigualdades sociais. Sou casada e tenho uma filha de 2 anos. Formei em Psicologia na UFMG, onde tive a oportunidade de estar com professores que desenvolviam trabalhos nas áreas sociais. Em 2012 que tive a oportunidade de iniciar um trabalho prático na área social através da criação de um espaço junto ao meu companheiro e outros amigos, a Casa de Gentil.</t>
  </si>
  <si>
    <t>Vereador Felipe Alves da Rocha</t>
  </si>
  <si>
    <t>Morro das Bicas</t>
  </si>
  <si>
    <t>https://drive.google.com/open?id=1fBPm0GzJ9e-Qz-t0nTTt1g9arZiDDEsP</t>
  </si>
  <si>
    <t>Aguida</t>
  </si>
  <si>
    <t>Alves De Oliveira</t>
  </si>
  <si>
    <t>aguida.alves.oliveira@gmail.com</t>
  </si>
  <si>
    <t>(31)98626-1951</t>
  </si>
  <si>
    <t>MG 7530064</t>
  </si>
  <si>
    <t>Sou Aguida Alves, mãe,  contadora de histórias,  brincante e idealizadora e coordenadora do Coletivo Arautos da Poesia há 13 anos.</t>
  </si>
  <si>
    <t>Águas férreas</t>
  </si>
  <si>
    <t>@aguidaalvesalves</t>
  </si>
  <si>
    <t>https://drive.google.com/open?id=1x_uktOXZMxP5VmOS6NogyBCAnDfo0jIS</t>
  </si>
  <si>
    <t>Jose Marques</t>
  </si>
  <si>
    <t>marquesdudu35@icloud.com</t>
  </si>
  <si>
    <t>Filho da D. Nazaré faxineira e Sr. Benedicto coletor. Me chamo Eduardo Marques pai de 4 filhos e acima de tudo um agente transformador que a longo prazo também ajudará a mudar o mundo!!!!</t>
  </si>
  <si>
    <t>Santa Cruz De Andre 1314</t>
  </si>
  <si>
    <t>08840-220</t>
  </si>
  <si>
    <t>https://instagram.com/du_marques_oficial</t>
  </si>
  <si>
    <t>https://drive.google.com/open?id=1zBbqQgovEpM2hewmqvqrPi23fPj1LyeD</t>
  </si>
  <si>
    <t>Daniely Gomes De Melo</t>
  </si>
  <si>
    <t>alinemelo@motivar.ong.br</t>
  </si>
  <si>
    <t>Aline Melo idealizadora e CEO da ONG Motivar, é uma ex atleta profissional e moradora da Comunidade da Vila de Ponta Negra em Natal-RN, após ter 6 amigos assassinados e outros tantos hoje presidiários nasceu em seu coração o desejo de transformar sua Comunidade, e por não acreditar que terceirizar o problema seja uma solução, ela fundou em 2012 o Motivar como uma proposta de transformação social para aquela região urbana marginalizada.</t>
  </si>
  <si>
    <t>Morro do Careca</t>
  </si>
  <si>
    <t>ponta Negra</t>
  </si>
  <si>
    <t>59090-230</t>
  </si>
  <si>
    <t>https://www.linkedin.com/in/empreendedoraalinemelo/</t>
  </si>
  <si>
    <t>https://www.instagram.com/empreendedoraalinemelo/</t>
  </si>
  <si>
    <t>https://drive.google.com/open?id=1CzrTd6hgyZQCiwAJUaPchLWETLdrHNi_</t>
  </si>
  <si>
    <t>alanduartegerandofalcoes@gmail.com</t>
  </si>
  <si>
    <t>Alan Duarte, nasceu e cresceu no Complexo do Alemão. Sua infância e adolescência foi marcada por uma guerra intensa entre gangues rivais, polícia e BOPE. Os inúmeros tiroteios pelo qual ele passou muitas vezes mataram amigos e familiares, além daqueles que se envolveram diretamente com o crime. O aliciamento de crianças e jovens pelo tráfico sempre foi muito forte. Ao ter sua vida transformada por um projeto social que usou a luta, Alan resolveu trazer o mesmo benefício para sua comunidade.</t>
  </si>
  <si>
    <t>Av itaoca</t>
  </si>
  <si>
    <t>sobrado</t>
  </si>
  <si>
    <t>bonsucesso</t>
  </si>
  <si>
    <t>https://www.linkedin.com/feed/?trk=BR-SEM_google-adwords_Jordan-brand-sign-up</t>
  </si>
  <si>
    <t>@alanluizduarte</t>
  </si>
  <si>
    <t>https://drive.google.com/open?id=1h1qlCUFI58Js3zwIeCCbE0rzom-YW0cT</t>
  </si>
  <si>
    <t>Aron Ramos, assim como muitos dos alunos atendidos no Instituto, teve uma trajetória de vida cheia de desafios.Seu contato com as drogas começou ainda bem cedo. Por falta de estrutura familiar, embarcou no submundo das drogras e delitos aos 14 anos. Sua vida mudou quando o seu tio Valter lhe deu uma oportunidade. Com isso, sua história mudou, outras oportunidades surgiram. Hoje, formado na universidade, fundou o Resgatando Vidas com o objetivo de gerar oportunidades para jovens da periferia!</t>
  </si>
  <si>
    <t>Augusto Gil</t>
  </si>
  <si>
    <t>Vila Dionísia</t>
  </si>
  <si>
    <t>https://www.instagram.com/p/Cbd_w16rh8J/?utm_medium=copy_link</t>
  </si>
  <si>
    <t>https://drive.google.com/open?id=1qia0QiSELP4YAoVAki4Q40V_SLiqTYKu</t>
  </si>
  <si>
    <t>Nascido e criado no Morro das Pedras, região Oeste de Belo Horizonte, Anderson Silva também é conhecido por Dodó, pai da Isabella e da Isadora, marido da Ana Carolina, iniciou sua carreira musical com 8 anos de idade e aos 13 anos fundou o Grupo Cultural Arautos do Gueto, tocou com vários artistas mineiros, se tornou arte educador em percussão. Em 2020 entrou como acelerado na maior rede de lideres sociais do Brasil, a rede GERANDO FALCÕES. De um jovem sonhador e um jovem que vive seu sonho.</t>
  </si>
  <si>
    <t>Rua marechal jofre</t>
  </si>
  <si>
    <t>apto 202</t>
  </si>
  <si>
    <t>nova granada</t>
  </si>
  <si>
    <t>30431-370</t>
  </si>
  <si>
    <t>https://instagram.com/dodo_silva.of?utm_medium=copy_link</t>
  </si>
  <si>
    <t>https://drive.google.com/open?id=1EKY3CYmJx8lpAODcH9_s8EHaiUhRnlGH</t>
  </si>
  <si>
    <t>Assistente Social, idealizadora do Instituto Cores do Mará</t>
  </si>
  <si>
    <t>Rua Tarquínio Lopes</t>
  </si>
  <si>
    <t>Prox ao Comercial Leão</t>
  </si>
  <si>
    <t>Cruzeiro do Anil</t>
  </si>
  <si>
    <t>https://www.instagram.com/ducifpereira/</t>
  </si>
  <si>
    <t>https://drive.google.com/open?id=1Z7g0O8jNzhBBXqpVxRAfTjxnSBfS2s8p</t>
  </si>
  <si>
    <t>Léo Martins, natural de Salinas/MG, cresceu em um contexto de vulnerabilidade social. Se tornou Designer, profissão que deixou de lado para se dedicar a transformar vidas através do terceiro setor. Léo é empreendedor social, casado, pai de duas filhas, missionário, fundador e CEO do Instituto O Grito, que tem como propósito dar voz a quem não tem. Lidera os negócios sociais do Grito, é mentor e palestrante. Ganhou premiações em reconhecimento de sua liderança e expertise em impacto social.</t>
  </si>
  <si>
    <t>Apto 204 BL 04</t>
  </si>
  <si>
    <t>32145-700</t>
  </si>
  <si>
    <t>www.linkedin.com/in/léo-martins-81a296b6</t>
  </si>
  <si>
    <t>https://instagram.com/leoogrito?r=nametag</t>
  </si>
  <si>
    <t>Marcelino De Oliveira</t>
  </si>
  <si>
    <t>coordenador@sete.org.br</t>
  </si>
  <si>
    <t>Um cara determinado, resiliente e norteado pelo justo. Não uma justiça igualitária, mas uma justiça pautada na equidade! 
“Devemos tratar igualmente os iguais e desigualmente os desiguais na medida de sua desigualdade” Aristóteles.</t>
  </si>
  <si>
    <t>Da Charita</t>
  </si>
  <si>
    <t>Residencial New Liberty, Aptº 702 Jequitibá</t>
  </si>
  <si>
    <t>Jardim Atlântico</t>
  </si>
  <si>
    <t>74843-390</t>
  </si>
  <si>
    <t>https://www.linkedin.com/in/rafaelmarcelinooliver/</t>
  </si>
  <si>
    <t>https://www.instagram.com/rafaelmarcelinooliveira/</t>
  </si>
  <si>
    <t>https://drive.google.com/open?id=1LzwquS-Xehn6P_m5tLz5z6dJgq6SBz4-</t>
  </si>
  <si>
    <t>Lisania</t>
  </si>
  <si>
    <t>Pereira Da Silva Pascoal</t>
  </si>
  <si>
    <t>Nascida em Maceió – Alagoas. Pós-graduada em gestão estratégica, graduada em administração, experiência de 8 anos atuando na área financeira, sendo destes, dois anos no terceiro setor em projeto social e cultural. Palestrante, empreendedora social, líder e coordenadora do Projeto Manda Ver no Vergel desde 2021, quando passou de coordenadora financeira para presidente do instituto. Desde sua atuação como gestora a organização conseguiu dois reconhecimentos de excelência gestão e transparência.</t>
  </si>
  <si>
    <t>Avenida monte castelo 320B</t>
  </si>
  <si>
    <t>Vergel do Lago</t>
  </si>
  <si>
    <t>57015 130</t>
  </si>
  <si>
    <t>Camarão, pimenta e pimentão.</t>
  </si>
  <si>
    <t>https://www.instagram.com/lisaniapereira/</t>
  </si>
  <si>
    <t>https://drive.google.com/open?id=1D7ViBDXw-_JVM4lzWBT0jO0bCzYrx0Bn</t>
  </si>
  <si>
    <t>Cleber Cáceres</t>
  </si>
  <si>
    <t>Sou Ronaldo Cléber Cáceres, nasci em Foz do Iguaçu. 
Sou casado e tenho 2 filhos. 
Sou líder comunitário desde 2005. Deixei meu trabalho para ser empreendedor social na minha comunidade, e junto com toda a minha equipe fazer a verdadeira transformação social e colocar a favela no museu.</t>
  </si>
  <si>
    <t>Rua Prudêncio Sotelo</t>
  </si>
  <si>
    <t>Porto Belo</t>
  </si>
  <si>
    <t>85867-516</t>
  </si>
  <si>
    <t>https://instagram.com/ronaldoclebercaceres?igshid=YmMyMTA2M2Y=</t>
  </si>
  <si>
    <t>https://drive.google.com/open?id=1sMMP8sT5YFep0Zd9Mv9yDGZWZNCbqBt6</t>
  </si>
  <si>
    <t>Sou papai do Francisco, esposo da Jéssica, professor e diretor geral na AMA Itirapina.</t>
  </si>
  <si>
    <t>Tupiniquins</t>
  </si>
  <si>
    <t>Jd. Nova Itirapina</t>
  </si>
  <si>
    <t>https://www.linkedin.com/in/nilton-sales-s%C3%A1vio-876357172/</t>
  </si>
  <si>
    <t>https://www.instagram.com/nsalessavio/</t>
  </si>
  <si>
    <t>https://drive.google.com/open?id=1DeK0x2m-rWiqPmGPO-v-09b41HlSzC8u</t>
  </si>
  <si>
    <t>(41)99758-5118</t>
  </si>
  <si>
    <t>Desde pequena apaixonada por arte, minha dedicação e força de vontade foram fundamentais na realização de inúmeras produções culturais e eventos em meus 10 anos de caminhada como coreógrafa do Grupo de Dança Senses, que em 2017 se transformou no Incanto - Instituto de Cultura, Arte e Novas Tecnologias.  O Incanto é uma Ong que transforma a vida de crianças e adolescentes, em vulnerabilidade social em Curitiba e Região, por meio da arte e da cultura como ferramentas de transformação &lt;3</t>
  </si>
  <si>
    <t>Rua Rezala Simão</t>
  </si>
  <si>
    <t>Casa fundos</t>
  </si>
  <si>
    <t>80330-180</t>
  </si>
  <si>
    <t>https://www.linkedin.com/in/camilaincanto/</t>
  </si>
  <si>
    <t>https://www.instagram.com/camilaincanto/</t>
  </si>
  <si>
    <t>https://drive.google.com/open?id=1_nn4G9CZQ-pjqVsCxboy1vZs5RUBpf6i</t>
  </si>
  <si>
    <t>Otero De Sousa</t>
  </si>
  <si>
    <t>thiago@sementesdovale.org</t>
  </si>
  <si>
    <t>Thiago Otero; 29 anos; casado; é presidente e fundador do Sementes do Vale e sonha todos os dias com um mundo onde não exista desigualdade social. É formado em Análise e Desenvolvimento de Sistema e Pós-Graduado em Gestão de Projetos e Programas Sociais.</t>
  </si>
  <si>
    <t>Rua Delfina Marques dos Santos</t>
  </si>
  <si>
    <t>https://www.linkedin.com/in/thiago-otero-100604203/</t>
  </si>
  <si>
    <t>https://instagram.com/thiagooteromg</t>
  </si>
  <si>
    <t>https://drive.google.com/open?id=1ynOIQxRm5-YHrV4WZ3v3NyjEK_rlcWBW</t>
  </si>
  <si>
    <t>Sou mãe, avó, mulher e líder social de uma das ONGs em maior expansão em Recife. Estou Gestora do Projeto Amor e Esperança que já atua há 18 anos na comunidade de Nova Descoberta. Levamos o conhecimento através de projetos educacionais para Crianças, Jovens e adultos e assim desenvolvemos o cidadão para que ele tenha seu lugar no mundo.</t>
  </si>
  <si>
    <t>Arapoema</t>
  </si>
  <si>
    <t>Casa B</t>
  </si>
  <si>
    <t>https://www.instagram.com/p/CIeDBOhBvFF/?utm_medium=copy_link</t>
  </si>
  <si>
    <t>https://drive.google.com/open?id=1IXSpphApgiOhfjqdwglDlDsHeEw5_wQ0</t>
  </si>
  <si>
    <t>Idealizadora do Instituto Emaus juntamento com Padre Ademir, atentos a dor d emuitas pessoas vulnerabilidade e invisíveis na sociedade. Criando pontes entre voluntários e usuários fomentando a solidariedade e a transformação social.</t>
  </si>
  <si>
    <t>Maria Helena</t>
  </si>
  <si>
    <t>Calmon viana</t>
  </si>
  <si>
    <t>Só o da Associação</t>
  </si>
  <si>
    <t>https://drive.google.com/open?id=1F0qWftRinH5tEMXSP6o8b_yxlIb_wmg8</t>
  </si>
  <si>
    <t>Conhecido como "MiQ", 32 anos, baiano, pai, 9 anos de experiência no mercado cultural e social, artista visual, músico, empreendedor social pela Falcon 's University, diretor fundador
Instituto Aprender Cultura - IAC e Grupo Act Brasil.
Indicado ao prêmio Pretxs Empreendedores ES 2020
Líder fellow da Rede Gerando Falcões</t>
  </si>
  <si>
    <t>Getúlio Vargas</t>
  </si>
  <si>
    <t>29146-200</t>
  </si>
  <si>
    <t>https://www.linkedin.com/in/miqgonçalves/</t>
  </si>
  <si>
    <t>https://www.instagram.com/miqiac/</t>
  </si>
  <si>
    <t>https://drive.google.com/open?id=1DaVXQ2ZlBNvwQllm5oTv-_0QHlRR0xRn</t>
  </si>
  <si>
    <t>Katiana Pena é empreendedora social de destaque no Ceará  e fundadora do Instituto Katiana Pena, localizado no bairro Bom Jardim, onde oferece cursos de transformação através da arte para mais de 800 crianças e jovens. É bailarina e coreógrafa por formação e diretora do grupo Corpo Mudança.</t>
  </si>
  <si>
    <t>Rua Mirtes cordeiro</t>
  </si>
  <si>
    <t>60540-600</t>
  </si>
  <si>
    <t>https://www.linkedin.com/in/katiana-pena-morais-984186193</t>
  </si>
  <si>
    <t>https://www.instagram.com/invites/contact/?i=a78487lju8t2&amp;utm_content=1o0ucpe</t>
  </si>
  <si>
    <t>https://drive.google.com/open?id=1myNI-9maAdB6jja7rCkomKgVBCl2OODy</t>
  </si>
  <si>
    <t>Agostinho</t>
  </si>
  <si>
    <t>Anderson, mais conhecido como Buiu, casado com Elisa, pai da Helena e morador da comunidade do Jardim Ibirapuera. Desde cedo escolheu correr atrás dos seus sonhos e é isso que o move. É empreendedor na Viela Veste e Presidente/Fundador do Projeto Viela.</t>
  </si>
  <si>
    <t>Rua Macedônio Fernandes.</t>
  </si>
  <si>
    <t>Jardim Leni</t>
  </si>
  <si>
    <t>https://www.linkedin.com/feed</t>
  </si>
  <si>
    <t>https://drive.google.com/open?id=1NRjzM0YzW6TXzUa1JGnOpRDWj5AvAFYO</t>
  </si>
  <si>
    <t>Residencial Parque Casa Branca</t>
  </si>
  <si>
    <t>https://www.linkedin.com/in/miqu%C3%A9ias-costa-b578b18a/</t>
  </si>
  <si>
    <t>https://www.instagram.com/miqueiascoosta/</t>
  </si>
  <si>
    <t>thiago.nascimento@gerandofalcoes.com</t>
  </si>
  <si>
    <t>Itaim Paulista</t>
  </si>
  <si>
    <t>https://www.linkedin.com/in/thiago-nascimento-7486b1215/</t>
  </si>
  <si>
    <t>https://www.instagram.com/thiagonascimentogf/</t>
  </si>
  <si>
    <t>https://drive.google.com/open?id=1ZJ8RT5Ibx-6FU8cWWftRtYjZCNcM9Z2a</t>
  </si>
  <si>
    <t>Marcos Xavier</t>
  </si>
  <si>
    <t>Dener Marcos Xavier, 29 anos. Líder Comunitário, nascido e criado na Vila Margarida. Co-Fundador e Produtor Cultural no Instituto Chegados. Empreendedor Social,  Co-Fundador da Globalhood, escola de idiomas presente no Brasil, Itália, Sérvia e Estados Unidos.</t>
  </si>
  <si>
    <t>Dona Libânia de Lima Croock</t>
  </si>
  <si>
    <t>Vila Margarida</t>
  </si>
  <si>
    <t>CLT; MEI; Trabalho informal; Desempregado</t>
  </si>
  <si>
    <t>https://www.instagram.com/dener_marcos_xavier/</t>
  </si>
  <si>
    <t>https://drive.google.com/open?id=1qJOYwb1C9NFlkPliwPxCjsfAUa85gc9S</t>
  </si>
  <si>
    <t>Gabriela De Assis Machado</t>
  </si>
  <si>
    <t>Joana nasceu em um lar cristão e sempre foi criada de acordo com os ensinamentos do evangelho. Antes de seus pais se converterem, eles viviam no mundo das drogas. Joana pediu que Deus mostrasse o que desejava e Ele falou com ela através de um sonho e a fez ouvir o clamor que vinha do coração das crianças. Veio da Bahia decidida a passar 6 meses em São Paulo e acabou ficando mais 1 ano, pois aprendeu a renunciar suas vontades, sonhos, planos e já são 12 anos transformando a região da Cracolândia.</t>
  </si>
  <si>
    <t>Vitorino Carmilo</t>
  </si>
  <si>
    <t>apto 11</t>
  </si>
  <si>
    <t>Barra Funda</t>
  </si>
  <si>
    <t>https://instagram.com/joanagabi?utm_medium=copy_link</t>
  </si>
  <si>
    <t>https://drive.google.com/open?id=1S8z7NAzFJ9FUQGYX3CtXHfHbnEoKP_ik</t>
  </si>
  <si>
    <t>Luiz De Oliveira Valença</t>
  </si>
  <si>
    <t>Campão do Mundo Fifa Seleção Brasileira de Beach Soccer 2017, fundou o Instituto Geração 4, como uma promessa para amenizar todas as dificuldades pessoais e profissionais que teve na sua infância. Hoje cuida de quase 600 crianças, divididos em 11 Núcleos Esportivos/Educacionais em 04 cidades pernambucanas.</t>
  </si>
  <si>
    <t>Rua Barão de Souza Leão</t>
  </si>
  <si>
    <t>51030-300</t>
  </si>
  <si>
    <t>https://www.linkedin.com/in/fernando-ddi-802698229/</t>
  </si>
  <si>
    <t>https://www.instagram.com/fernandoddi/</t>
  </si>
  <si>
    <t>https://drive.google.com/open?id=191Qwezuicdw_GVKGLTd_BLjRldNLNTAp</t>
  </si>
  <si>
    <t>Rogério Rodrigues Da Silva</t>
  </si>
  <si>
    <t>fabbiorrs@hotmail.com</t>
  </si>
  <si>
    <t>Empreendedor social,  presidente da ONG ACESA, articulador da Releitura- Bibliotecas Comunitárias em Redes, formado em Educação Física e  arte educadores</t>
  </si>
  <si>
    <t>Rua Artur Cerpa</t>
  </si>
  <si>
    <t>FRAGOSO</t>
  </si>
  <si>
    <t>53250-355</t>
  </si>
  <si>
    <t>https://drive.google.com/open?id=1aT5Zp-0ZU4R8xA6SUmPvudXpAHz6zP6i</t>
  </si>
  <si>
    <t>Da Silva Ferreira</t>
  </si>
  <si>
    <t>Rafael Ferreira, 31 anos, Pedagogo, Missionário e Empreendedor Social.</t>
  </si>
  <si>
    <t>Joaquim Ribeiro</t>
  </si>
  <si>
    <t>Morro grande</t>
  </si>
  <si>
    <t>02809-000</t>
  </si>
  <si>
    <t>De Camargo Silva Rodrigues</t>
  </si>
  <si>
    <t>Luma Camargo é uma influenciadora digital, criadora de conteúdo para mulheres em situação de autoajuda. Em suas atividades além disso, é fundadora do Instituto Cristiane Camargo.
Através de seu ativismo, no apoio contra a patologia do câncer infantil, conscientização sobre o autismo, além de estender as portas de sua entidade para atendimento a pessoas da comunidade em situação vulnerável, favorecendo pessoas a conhecerem seus direitos e deveres como cidadãos.</t>
  </si>
  <si>
    <t>Noitibo</t>
  </si>
  <si>
    <t>Vila nova curuca</t>
  </si>
  <si>
    <t>08031-150</t>
  </si>
  <si>
    <t>@lumacamargoz</t>
  </si>
  <si>
    <t>Rezende</t>
  </si>
  <si>
    <t>simone.rezende@vivendadacrianca.org.br</t>
  </si>
  <si>
    <t>Sou a Simone Rezende, 42 anos, filha do Joel e da Geni, mãe do Enrico e esposa do Alexandre.Me formei em Psicologia, extensão em Dependência Química e álcool, pós graduada em Psicologia Organizacional. Há 13 anos atuando na Vivenda da Criança,hoje estou como diretora de Operações,  além da administração geral da instituição, atuo no gerenciamento dos funcionários , coordeno elaboração de projetos para captação de recursos, busca de parcerias e gestão estratégica da instituição.</t>
  </si>
  <si>
    <t>Miguel Yunes</t>
  </si>
  <si>
    <t>Torre 1 apto 161</t>
  </si>
  <si>
    <t>Interlagos</t>
  </si>
  <si>
    <t>04444-000</t>
  </si>
  <si>
    <t>Simone Rezende Klaussner</t>
  </si>
  <si>
    <t>simone.rezende</t>
  </si>
  <si>
    <t>https://drive.google.com/open?id=1SGUef26sFJHWhRHQIcix6448u72adioe</t>
  </si>
  <si>
    <t>Psicóloga social/ empreendedora social 
Líder do projeto geração da Chico</t>
  </si>
  <si>
    <t>Francisco Pedro Machado</t>
  </si>
  <si>
    <t>Barreiros</t>
  </si>
  <si>
    <t>@krol_diass</t>
  </si>
  <si>
    <t>https://drive.google.com/open?id=1nZQ49SabNU3Vm4VK3EyQyAtHKI-Qn1Y-</t>
  </si>
  <si>
    <t>André das Águias, jovem da periferia de Fortaleza, estudante de escola pública. Fundador e CEO do Instituto das Águias o instituto de maior impacto social na Serrinha, Fortaleza-Ce.</t>
  </si>
  <si>
    <t>Tenente Renato Aguiar</t>
  </si>
  <si>
    <t>altos</t>
  </si>
  <si>
    <t>https://www.linkedin.com/in/andr%C3%A9-felipe-0baa0a1a4/</t>
  </si>
  <si>
    <t>https://instagram.com/andredasaguias?utm_medium=copy_link</t>
  </si>
  <si>
    <t>https://drive.google.com/open?id=1pCja-Trkck6fHB43ploI9confDloy1fD</t>
  </si>
  <si>
    <t>Cristiano Lima Santos nasceu no município de Aracaju, capital de Sergipe. Aos 18 anos de idade ele deixou a família para ingressar na Ordem dos Frades Menores Capuchinhos. No final do ano de 2000, deixou a ordem para viver no Complexo Santa Maria fundando o Instituto Rahamim que, além de sua sede, também está presente em mais dois municípios: Salgado e Laranjeiras. Cristiano é empreendedor social há 21 anos, produtor cultural, ator, bailarino, coreógrafo e teólogo.</t>
  </si>
  <si>
    <t>@cristiano.inst.rahamim</t>
  </si>
  <si>
    <t>https://drive.google.com/open?id=1yr28zThW-mDXvlbi7IFR7zTXVD0J4SWk</t>
  </si>
  <si>
    <t>Meu nome é Jeferson costa conhecido como shaolin meu senhor e salvar o máximo de vidas aqui no complexo da maré</t>
  </si>
  <si>
    <t>Rua Juscelino Caetano</t>
  </si>
  <si>
    <t>Nova Holanda</t>
  </si>
  <si>
    <t>Mare</t>
  </si>
  <si>
    <t>https://www.instagram.com/shaolinbjj/</t>
  </si>
  <si>
    <t>https://instagram.com/shaolinbjj?r=nametag</t>
  </si>
  <si>
    <t>https://drive.google.com/open?id=1nDYm1I-lZAJn9X0O6BanBlGUOH2Es6LQ</t>
  </si>
  <si>
    <t>jeff@prototipandoaquebrada.org</t>
  </si>
  <si>
    <t>Oi! Eu sou o Jeff;
Venho lá das quebradas de São Paulo e penso que a Educação muda a vida das pessoas, afinal mudou a minha. Idealizei o Prototipando a Quebrada e notei como a tecnologia impacta, e encanta, as crianças e jovens. Entrando no mundo de inovação e empreendedorismo saquei que podia juntar as duas coisas a favela e os espaços de tecnologia. Assim resolvi levar o projeto para dezenas de comunidades desde 2018.
Tenho uma meta com o PAQ, formar a próxima geração de jovens na tecnologia.</t>
  </si>
  <si>
    <t>Ponte do Imaruim</t>
  </si>
  <si>
    <t>https://www.linkedin.com/in/jefferson-lima-prototipandoaquebrada/</t>
  </si>
  <si>
    <t>https://www.instagram.com/lima3d/</t>
  </si>
  <si>
    <t>https://drive.google.com/open?id=15CiDDWKxQs0xbQ9ENJ13_Gr6Y78YXFgB</t>
  </si>
  <si>
    <t>Simãozinho Carvalho Morais</t>
  </si>
  <si>
    <t>bruna@institutomundonovo.org.br</t>
  </si>
  <si>
    <t>Meu nome é Bruna Simãozinho, tenho 38 anos, sou casada com o Flávio e mãe da Maria Clara (17 anos) e Ana Clara (11 anos).  Sou moradora da Chatuba de Mesquita - Baixada Fluminense/ RJ. Empreendedora Social, Co-fundadora e Diretora Executiva do Instituto Mundo Novo. O que me move é transformar a vida das pessoas através da Educação e Cultura. O que me move é saber que através do meu trabalho em rede, em breve a pobreza da Favela será levada para o museu. Vamos pra cima com tudo!</t>
  </si>
  <si>
    <t>Abel de Alvarenga</t>
  </si>
  <si>
    <t>https://www.linkedin.com/in/bruna-simãozinho-97980826</t>
  </si>
  <si>
    <t>https://www.instagram.com/brunasimaozinho</t>
  </si>
  <si>
    <t>https://drive.google.com/open?id=1n5agb_poi6fuwnrxEbn_hl_fupKxo6mT</t>
  </si>
  <si>
    <t>Monteiro</t>
  </si>
  <si>
    <t>Amante do Basquete, conheceu o Esporte aos 10 anos, mas teve sua jornada interrompida pelo uso compulsivo de Drogas. Amargou consequências ruins até seus 24 anos, quando decidiu parar de usar. Deu a volta por cima, e depois de muito tempo resolveu retribuir tudo que recebeu, criando o Instituto PEB. Hoje é Pai de Nicolas, adolescente gente boa com 16 anos, e é casado com Giovana, Psicóloga Clinica. Se dedica 100% ao Instituto e ama o que faz.</t>
  </si>
  <si>
    <t>DOS TUCANOS</t>
  </si>
  <si>
    <t>EURICO SALLES</t>
  </si>
  <si>
    <t>29160-168</t>
  </si>
  <si>
    <t>@CLAUDIOMENDESMONTEIRO</t>
  </si>
  <si>
    <t>https://drive.google.com/open?id=1bCYUxkM6ef8l_7RI17KrR9O3lpwXIry7</t>
  </si>
  <si>
    <t>markim.transformacao@gmail.com</t>
  </si>
  <si>
    <t>Transformado para transformar, não consigo falar do Marcus sem falar de transformação, porque nasci na favela, sem estrutura familiar e sem condições financeiras, fui criado no meio de um caos e mesmo com grandes chances de dar errado, Deus fez da certo e não só fez dar certo como tem me feito agente de transformação para mais de 200 famílias aqui na comunidade, sou inspetor de qualidade em equipamentos industriais e mecânico de manutenção, sou pai de um lindo filho de 11 anos e casado a 14 anos</t>
  </si>
  <si>
    <t>Rua serenata</t>
  </si>
  <si>
    <t>Casa em cima do açougue do Paulo</t>
  </si>
  <si>
    <t>Vila Santana do cafezal</t>
  </si>
  <si>
    <t>https://www.linkedin.com/in/marcus-vinicius-do-nascimento-a0ab634b</t>
  </si>
  <si>
    <t>https://www.instagram.com/reel/CbyAZQEu3ls/?utm_medium=copy_link</t>
  </si>
  <si>
    <t>https://drive.google.com/open?id=10XvDRwTJMfsKkC0kFu7xTWh5ePdPnqvW</t>
  </si>
  <si>
    <t>ZEIZA DOJO
ATUA HÁ  25 ANOS  EM PROJETOS  SOCIAIS . EMPRESÁRIA DO SETOR  DE ATIVIDADES  FÍSICAS. MILITANTE DA CAUSA DAS PESSOAS COM DEFICIÊNCIA. 
DIRETORA DA ASSOCIAÇÃO  DE MORADORES  DO  BAIRRO GRANADA.
ATUOU COMO  ASSESSORA PARLAMENTAR. PROFESSORA  DE  ARTES MARCIAIS  ESPECIALIZADA EM PESSOAS COM DEFICIÊNCIA. 
MÃE  MULHER DE TRIPLA JORNADA. 
PALESTRANTE  SOBRE A CAUSA AUTISTA  
MÃE  DE AUTISTA  E  MOBILIZADORA SOCIAL. FAIXA PRETA DE KARATÊ  QUINTO DAN
PENTACAMPEÃ BRASILEIRA 
 VICE SULAMERICANA</t>
  </si>
  <si>
    <t>GRACIANO FARIA ARANTES</t>
  </si>
  <si>
    <t>Granada</t>
  </si>
  <si>
    <t>zeizaadm</t>
  </si>
  <si>
    <t>Vaikida2022</t>
  </si>
  <si>
    <t>https://drive.google.com/open?id=1-8hsmZHCCDQsyBGm3_P4SccI4B8TZnRd</t>
  </si>
  <si>
    <t>ritiralexandre@gmail.com</t>
  </si>
  <si>
    <t>Meu nome é Salete, tenho 38 anos, fui mãe aos 16 anos, comecei a namorar aos 13 anos, e estamos juntos até hoje, tenho 3 filhos, Michael de 22 anos, Mickael 18, mickaely 14. Aos 10 anos minha mãe fugiu de casa com 4 filhos, só com a roupa do corpo, vítima de violência doméstica, fomos morar na casa da irmã dela, uma casa de 3 por 6 metros, éramos 10, comecei vender feijão nós semáforos e mercados para comprar comida, hoje está a frente do Projeto Brejal é a construção do meu propósito de vida.</t>
  </si>
  <si>
    <t>Rua Democrito Gracindo</t>
  </si>
  <si>
    <t>Ponta Grossa</t>
  </si>
  <si>
    <t>Estou no Instagram como saletealexandreritir. Instale o aplicativo para seguir minhas fotos e vídeos. https://www.instagram.com/invites/contact/?i=j7j4dcw1bd6b&amp;utm_content=5gind41</t>
  </si>
  <si>
    <t>https://drive.google.com/open?id=1AMRHtPSw4gVAuQfpb6HPdKx_XHrGK0hJ</t>
  </si>
  <si>
    <t>ninacardoso@ascendendomentes.org.br</t>
  </si>
  <si>
    <t>Pedagoga, ativista , líder e empreendedora social! Nos 20 anos em que  VIVO o 3º Setor, já liderei projetos na Proteção Social da baixa até a alta complexidade! Acredito que cada ser humano é um tesouro precioso e único. Meu propósito é transformar vidas, atuando como uma facilitadora para que cada um possa se ver como peça única a movimentar esta energia positiva e maravilhosa que move o mundo. Sonho e trabalho duro por um mundo mais justo, inclusivo, pacifico, harmonioso e tolerante!</t>
  </si>
  <si>
    <t>Elias Cirne Lima</t>
  </si>
  <si>
    <t>https://www.linkedin.com/in/nina-cardoso</t>
  </si>
  <si>
    <t>https://instagram.com/nina.cardoso.dias?utm_medium=copy_link</t>
  </si>
  <si>
    <t>https://drive.google.com/open?id=1PY0kMS1OR8X1jAKlWyIYLPZQbzdw4osp</t>
  </si>
  <si>
    <t>Lima Dos Santos</t>
  </si>
  <si>
    <t>Gilmar Lima. CEO e fundador da Rede Protagonista. 
39 anos, quando criança era aluno do projeto social vale da Esperança, onde se desenvolveu e foi sua faculdade da vida. Desde 2000 vem atuando na comunidade através de ações para melhorar o desenvolvimento da comunidade e levar oportunidades transformadoras para dentro das comunidades periféricas do ES.</t>
  </si>
  <si>
    <t>Ao lado do estacionamento do CMEI Anizio Spindola Texeira</t>
  </si>
  <si>
    <t>Resistência</t>
  </si>
  <si>
    <t>https://www.linkedin.com/in/gilmar-lima-a34b45161</t>
  </si>
  <si>
    <t>https://instagram.com/gilmarlimafoco?utm_medium=copy_link</t>
  </si>
  <si>
    <t>https://drive.google.com/open?id=1WRxtyLgynDfR3A3pp3GuqarNaGfwgt-8</t>
  </si>
  <si>
    <t>tuanynasc@napontadospes.com.br</t>
  </si>
  <si>
    <t>Tuany Nascimento moradora do Morro do Adeus/Complexo do Alemão, a primeira mulher preta a construir uma escola de balé no alto da sua própria favela. A jovem de 28 anos é formada em educação física licenciada, bailarina da Cia Rec e  ganhadora da maior premiação feminina da América Latina em 2019 (Prêmio Cláudia 2019) na categoria Cultura, idealizou o projeto Na Ponta dos Pés aos 18 anos.</t>
  </si>
  <si>
    <t>Rua Oricá,</t>
  </si>
  <si>
    <t>casa 1250</t>
  </si>
  <si>
    <t>Brás de Pina</t>
  </si>
  <si>
    <t>21215-260</t>
  </si>
  <si>
    <t>https://www.instagram.com/tuany_nascimentoo/</t>
  </si>
  <si>
    <t>https://drive.google.com/open?id=1Dw5zMvYnku585HPzOf1EfuBPYFd4oA0R</t>
  </si>
  <si>
    <t>(21)96820-9843</t>
  </si>
  <si>
    <t>Assistente social por formação, especialista em elaboração e gestão de projetos sociais, especialista em gestão de políticas públicas para a família, criança e adolescente, especialista em direitos humanos, cidadania global e responsabilidade social e mestranda em desenvolvimento local. Fundadora e gestora da ONG Anjos da Tia Stellinha. Consultora e mentora do Terceiro setor e de responsabilidade social. E criadora de tecnologias sociais.</t>
  </si>
  <si>
    <t>Bloco 2 apt 802</t>
  </si>
  <si>
    <t>20715-200</t>
  </si>
  <si>
    <t>Stellinha Moraes</t>
  </si>
  <si>
    <t>https://drive.google.com/open?id=160KSnZ325d9Gqzne1yqUQsimzYRWZtI2</t>
  </si>
  <si>
    <t>Gouveia Da Silva</t>
  </si>
  <si>
    <t>Cesar Gouveia, empreendedor social e jornalista, nascido e criado na favela mais antiga de São Paulo, a Favela da Vila Prudente, viveu 29 anos na favela, e aos 21 anos criou o Vozes das Periferias, uma plataforma que atua na cultura, esporte, qualificação profissional, geração de renda e comunicação comunitária nas favelas da Vila Prudente e Jd. Sinhá. O Cesar Gouveia é o primeiro líder da Rede Gerando Falcões, embarcado no ecossistema de transformação das favelas em 2018.</t>
  </si>
  <si>
    <t>Av Casa Grande, 900 - apto 123C</t>
  </si>
  <si>
    <t>Vila Cunha Bueno</t>
  </si>
  <si>
    <t>https://www.linkedin.com/in/cesar-gouveia-0956535b/</t>
  </si>
  <si>
    <t>instagram.com/gouveiia</t>
  </si>
  <si>
    <t>https://drive.google.com/open?id=1eghUesdQZNwrSxd8N_x75ax79gVQ3PtQ</t>
  </si>
  <si>
    <t>marcelodiasdaong@gmail.com</t>
  </si>
  <si>
    <t>Marcelo Dias 42 anos, jovem negro ativista, educador e 
fundador da ONG Novos Herdeiros Humanísticos. É 
morador da Vila Brasilina, zona sul de São Paulo Ipiranga. 
Marcelo teve uma infância difícil e solitária, impedido de 
conviver com seu pai presidiário e sua mãe empregada 
doméstica que dormia na casa da patroa. Participou de um Projeto Social 
onde conheceu seu treinador, figura paterna.
 Em 1998, fundou a ONG Novos Herdeiros Humanísticos, 
que desde então já atendeu mais de 900 familias</t>
  </si>
  <si>
    <t>IRANI</t>
  </si>
  <si>
    <t>VILA BRASILINA</t>
  </si>
  <si>
    <t>04161-090</t>
  </si>
  <si>
    <t>@marcelodiasdaong</t>
  </si>
  <si>
    <t>https://drive.google.com/open?id=11jM0D2-eDqegvOr3aUAzIJCtI5f2t2zq</t>
  </si>
  <si>
    <t>De Aquino Wenceslau</t>
  </si>
  <si>
    <t>Maiara Wenceslau viveu a infância na favela
do Maracanã (Contagem, MG). Iniciou sua
atuação como líder social aos 23 anos,
coordenando um projeto social, em dez
comunidades diferentes. Em 2016, fundou
a Fortini - Investimento Social, associação
sem fins lucrativos que tem como objetivo
proporcionar o acesso ao esporte, cultura
e a uma educação inclusiva e mais cidadã
para crianças e adolescentes estudantes de
escolas públicas da região metropolitana de
Belo Horizonte.</t>
  </si>
  <si>
    <t>Papa Paulo VI</t>
  </si>
  <si>
    <t>32260-370</t>
  </si>
  <si>
    <t>https://www.linkedin.com/in/maiarawenceslau/</t>
  </si>
  <si>
    <t>wenceslau.maiara</t>
  </si>
  <si>
    <t>https://drive.google.com/open?id=1m32qZqSFa1DIecIL-GkrHBaQr9pZwA-T</t>
  </si>
  <si>
    <t>Priscila Oliveira Da Silva</t>
  </si>
  <si>
    <t>Amanda Olliveira  nasceu em uma favela,  viu sua vida mudar por meio da musica, que vinham das salas de aula de um projeto social, cresceu e resolveu múltiplicar o impacto, portanto é fundadora e CEO do Valquirias World, uma holding de iniciativas que geram impacto social , escritora prestes a lançar seu primeiro livro, já recebeu vinte e oito premiações e trabalha para que o tema Desigualdade Social e de gênero sejam muito em breve vistos somente nos livros de história.</t>
  </si>
  <si>
    <t>Walterio de oliveira Verdi</t>
  </si>
  <si>
    <t>Condomínio</t>
  </si>
  <si>
    <t>Parque Industrial- Campo Verde</t>
  </si>
  <si>
    <t>15076-130</t>
  </si>
  <si>
    <t>https://br.linkedin.com/in/amanda-oliveira-b197a2178</t>
  </si>
  <si>
    <t>https://instagram.com/amandaoliveiravw?utm_medium=copy_link</t>
  </si>
  <si>
    <t>Araújo De Oliveira Neto</t>
  </si>
  <si>
    <t>Me chamo Odilon Araújo tenho 34 anos
Ainda criança, perdi meu pai e fui morar na casa de parentes. Na minha juventude me envolvi com drogas e no alcoolismo , mas graças ao esporte e a fé eu venci o vício e principalmente o medo de sonhar. Hoje, sou formado em Educação Física, lidero uma ONG que contribui na vida de crianças e adolescentes da favela de Cumbica a sonhar e acreditar que tudo e possível. Basta SONHAR ALTO!</t>
  </si>
  <si>
    <t>Bloco 2 apt 402</t>
  </si>
  <si>
    <t>Água chata</t>
  </si>
  <si>
    <t>07251-000</t>
  </si>
  <si>
    <t>https://www.linkedin.com/in/odilon-ara%C3%BAjo-a188b9a0/</t>
  </si>
  <si>
    <t>https://instagram.com/odilonnaraujo?utm_medium=copy_link</t>
  </si>
  <si>
    <t>https://drive.google.com/open?id=1cmrF3r8WtBxT9meVWvBdfxgeNVlQM1Fs</t>
  </si>
  <si>
    <t>rutenioce@gmail.com</t>
  </si>
  <si>
    <t>Rutênio, 22 anos, casado, pai da Maria Elisa, fundador e gestor do Instituto Pensando. Nascido e criado na favela do inferninho, em Fortaleza-CE. Aos 18 anos quis mudar a realidade do local onde nasceu e com isso, iniciou o instituto que tem como objetivo levar a transformação de dentro para fora, também levando educação, esporte, cultura e profissionalização para seus atendidos.</t>
  </si>
  <si>
    <t>https://www.linkedin.com/in/rutenio-florencio-0304431a3</t>
  </si>
  <si>
    <t>https://instagram.com/ruteniof?utm_medium=copy_link</t>
  </si>
  <si>
    <t>https://drive.google.com/open?id=1hRSPSXM1WA4ZhHB5rg8ys_zp_D8vXBdc</t>
  </si>
  <si>
    <t>Cintia Santana é cria do Morro da Providência. Atriz formada pela Escola Técnica Estadual de Teatro Martins Pena, ficou oito anos no grupo de teatro de rua Tá Na Rua. Cofundadora da Companhia Horizontal de Arte Pública.  Em 2011 fundou o Entre o Céu e a Favela e em 2016 o grupo Bando Teatro favela. Empreendedora social, arte educadora e produtora cultural autodidata. Se formou na Falcons University  do Instituto Gerando Falcões. Licencianda Universidade Federal do Estado do Rio de Janeiro.</t>
  </si>
  <si>
    <t>Travessa da Felicidade</t>
  </si>
  <si>
    <t>casa 04</t>
  </si>
  <si>
    <t>Gamboa</t>
  </si>
  <si>
    <t>20221-270</t>
  </si>
  <si>
    <t>https://www.linkedin.com/in/cintiasantanna1/</t>
  </si>
  <si>
    <t>https://instagram.com/cinsantanaecf?utm_medium=copy_link</t>
  </si>
  <si>
    <t>https://drive.google.com/open?id=149-t5KDdU-ThjbJi8Q__rsau8Il3CISt</t>
  </si>
  <si>
    <t>Ana Paula</t>
  </si>
  <si>
    <t>Paula Silva De Souza</t>
  </si>
  <si>
    <t>A história do Instituto se mistura com a história da líder Ana Paula Silva de Souza, idealizadora e CEO do Instituto Família Criativa do Campo. Natural de Fortaleza, teve uma infância marcada por dificuldades. Após ser vítima de violência doméstica, agressões e abusos do pai, Ana Paula decidiu ir morar sozinha ainda aos 9 anos. Esteve em situação de rua até os 15 e, enquanto as probabilidades a deixavam sem alternativas, ela começou a mudar sua própria realidade.</t>
  </si>
  <si>
    <t>Assentamento Passagem do Juazeiro</t>
  </si>
  <si>
    <t>Assentamento</t>
  </si>
  <si>
    <t>https://www.linkedin.com/in/ana-paula-de-souza-5b7a7b216/</t>
  </si>
  <si>
    <t>https://www.instagram.com/anapaulasouza_rn/</t>
  </si>
  <si>
    <t>https://drive.google.com/open?id=1WC5XX3ZVNeAUzSqrW9n9PbtAnflJkpq3</t>
  </si>
  <si>
    <t>jeffquirino@favelaradical.com.br</t>
  </si>
  <si>
    <t>Sou nascido e criado na comunidade do Turano, na Zona Norte do Rio de Janeiro, durante a minha adolescência e  juventude eu fiz partes das estatísticas negativas registradas em minha comunidade.
No ano de 2010 após conquistar minha liberdade,  eu tive um contato próximo com as demandas sociais da minha Favela, e percebi a necessidade de ter  um projeto no centro da comunidade, que pudesse criar uma revolução de dentro para fora  e transformar a realidade atual do Turano.</t>
  </si>
  <si>
    <t>Rua do Bispo</t>
  </si>
  <si>
    <t>alameda da luz casa 6</t>
  </si>
  <si>
    <t>20261-163</t>
  </si>
  <si>
    <t>https://br.linkedin.com/in/jefferson-quirino-44780a185</t>
  </si>
  <si>
    <t>https://www.instagram.com/jeffersonfquirino/</t>
  </si>
  <si>
    <t>https://drive.google.com/open?id=1JHepvg1jatmx6voECdYhnDBsZMz9X1Y7</t>
  </si>
  <si>
    <t>Moraes Precioso</t>
  </si>
  <si>
    <t>Leonardo Precioso, 39 anos, foi preso em 2008, 
passou 7 anos e 13 dias no cárcere. 
Em 2016, foi o primeiro ex-presidiário da história 
a ganhar o prêmio Jovem Brasileiro na categoria Social. 
Cursou a graduação de Educação Física e 
é fundador do Instituto Recomeçar, que apoia o desenvolvimento e preparação de egressos(as) para o mercado de trabalho, através de qualificação, e treinamentos e aperfeiçoamento empreendedor.​</t>
  </si>
  <si>
    <t>Baltazar Lemos Navarro</t>
  </si>
  <si>
    <t>Jardim das Oliveiras</t>
  </si>
  <si>
    <t>08122-050</t>
  </si>
  <si>
    <t>https://www.linkedin.com/in/leonardo-precioso-b1a063157</t>
  </si>
  <si>
    <t>https://instagram.com/leonardomoraesprecioso?utm_medium=copy_link</t>
  </si>
  <si>
    <t>https://drive.google.com/open?id=1XPna0RseEvDFPWGSmRqqa7d3l5GJ32ee</t>
  </si>
  <si>
    <t>dudugaditas@gmail.com</t>
  </si>
  <si>
    <t>eduardo oliveira rodrigues , nascido dia 28 de feveiro de 1985 em porto alegre /rs estudei em duas escolas publicas ,criado no bairro jardins das palmeiras aonde passei toda minha infancia ,uma parte marcante da minha vida foi quando resolvi mudar de vida aos 21 anos de idade ,aonde larguei as drogas e iniciei uma nova vida</t>
  </si>
  <si>
    <t>coronel aristides</t>
  </si>
  <si>
    <t>camaqua</t>
  </si>
  <si>
    <t>@eduardogaditas</t>
  </si>
  <si>
    <t>https://drive.google.com/open?id=1DY7gtg5wo2GJ5wyabicCFWsbWJOlco4k</t>
  </si>
  <si>
    <t>Machado</t>
  </si>
  <si>
    <t>Mulher preta, periférica, pcd, empreendedora social, mãe, esposa e apaixonada por gente.
Atua no terceiro setor desde 1998, quando fundou a ONG Mensageiros da Esperança.
Educadora Social de empreendedorismo e facilitadora de grupos de mulheres com foco em desenvolvimento humano e comportamento.
É terapeuta sistêmica usando a constelação sistêmica familiar como ferramenta.
É mentora sistêmica e de empreendedorismo.
Ama o que faz e acredita que todo mundo pode ser o que quiser agindo!</t>
  </si>
  <si>
    <t>Jardim Maracanã - Brasilândia</t>
  </si>
  <si>
    <t>https://instagram.com/veronicamachadoempreendedora?utm_medium=copy_link</t>
  </si>
  <si>
    <t>https://drive.google.com/open?id=1Mq7IQuay9vLxj7j4giSWSWXbDws6rgch</t>
  </si>
  <si>
    <t>Patricia Santana Oliveira</t>
  </si>
  <si>
    <t>Patrícia Oliveira, 29 anos, Empreendedora Social, Graduanda em Marketing Digital, mora no Assentamento Caima  Município de Adustina Bahia, desde os 9 anos já tinha o perfil de liderança na comunidade assumindo papeis de responsabilidade, com toda trajetória e dificuldade no semiárido, colocou-se como propósito em sua vida tornar mais digna a vida dos sertanejos com educação de qualidade, tecnologia, cultura e economia sustentável.</t>
  </si>
  <si>
    <t>https://www.linkedin.com/in/maria-patr%C3%ADcia-b3219913b/</t>
  </si>
  <si>
    <t>https://www.instagram.com/patriciaoliveirasc/</t>
  </si>
  <si>
    <t>https://drive.google.com/open?id=1g0owkhywxZp81VbSXi3F8J5_z5kZIHYc</t>
  </si>
  <si>
    <t>Apaixonada por esporte, inquieta com os problemas sociais e intolerante à injustiça. Co-fundadora e Diretora Executiva do Instituto Esporte Mais, trabalha com o propósito de reduzir as barreiras enfrentadas pelas meninas no esporte. Com um olhar humano e empático, ela lidera a equipe e está sempre em busca de melhorias e oportunidades para a organização que só cresce. Além disso, está na Coordenação de Formação e Esportes do Centro de Formação Olímpica - CFO, o maior equipamento deesportes doNE</t>
  </si>
  <si>
    <t>jessycarlopes</t>
  </si>
  <si>
    <t>https://drive.google.com/open?id=1DbeysCamRKbMPNKy6N8-CB_ga-BzCG6x</t>
  </si>
  <si>
    <t>Anália Timbó Catunda</t>
  </si>
  <si>
    <t>analiatimbo@vidanca.org</t>
  </si>
  <si>
    <t>Professora, bailarina, coreógrafa, atualmente é presidente da Associação Vidança Cia de Danças do Ceará, entidade que fundou há 41 anos, sediada no Bairro Vila Velha. Tendo exercido diversas atividades no campo cultural ao longo dos anos, hoje se dedica as atividades de funcionamento e coordenações dos projetos da Vidança, com a qual produziu diversos espetáculos, como Catu Macã,, Memórias do Mangue, A Alma Nua de Maria, etc..</t>
  </si>
  <si>
    <t>Pereira Valente</t>
  </si>
  <si>
    <t>AP 2003</t>
  </si>
  <si>
    <t>Meireles</t>
  </si>
  <si>
    <t>60160-250</t>
  </si>
  <si>
    <t>https://www.instagram.com/analiatimbo/</t>
  </si>
  <si>
    <t>https://drive.google.com/open?id=1GYVUOCb955xDBO36TxivcsqaWfvklovH</t>
  </si>
  <si>
    <t>Luzia Da Silva</t>
  </si>
  <si>
    <t>Mãe da Duda e da Nanda, filha do senhor Izaias e da dona Iramir, empreendedora social, fundadora Instituto Izaias Luzia, sofreu racismo e bulying na infância, passou por 02 Anos de depressão profunda, TOC e 02 tentativas de suicídio decorrentes de um casamento abusivo. Foi em frente a um espelho que decidiu que sua vida seria para motivar e incentivar pessoas.</t>
  </si>
  <si>
    <t>Rua Serra do Mar</t>
  </si>
  <si>
    <t>Apto 64</t>
  </si>
  <si>
    <t>Guaianases</t>
  </si>
  <si>
    <t>https://instagram.com/luzia_dani?utm_medium=copy_link</t>
  </si>
  <si>
    <t>https://drive.google.com/open?id=1VXnl6c2rksCP0gUrLtLx5IKgIylW5Psa</t>
  </si>
  <si>
    <t>Luan Moraes De Jesus</t>
  </si>
  <si>
    <t>Dener Moraes, 26 anos de idade, morador da Cid A E Carvalho, bacharel em direito, ceo e fundador dos BLACK'S URBANO</t>
  </si>
  <si>
    <t>Avenida Caititu</t>
  </si>
  <si>
    <t>Cid A E Carvalho</t>
  </si>
  <si>
    <t>https://www.linkedin.com/in/dener-moraes-06287818b</t>
  </si>
  <si>
    <t>https://instagram.com/dener.moraes.dr?utm_medium=copy_link</t>
  </si>
  <si>
    <t>https://drive.google.com/open?id=1-BpQ0bchbt2m5DSsiADV8OLRLQK7jo5X</t>
  </si>
  <si>
    <t>Mauricio Alexandre Pérez Draghi, 42 anos, brasileiro, casado com Marcia Muller, pai da Mari, filho de Edgardo e da Mirta .
Aos 15 anos tive minha primeira convocação para a Seleção Brasileira Juvenil de Rugby, daí virei atleta.
Aos 18, entrei na PUC em Administração de Empresas, tranquei e fui morar no Canadá em uma fazenda modelo, onde fiz especialização. Em 2004, iniciei o projeto Rugby Para Todos e desde então sou empreendedor social.</t>
  </si>
  <si>
    <t>Rua Comendador Gabriel Calfat</t>
  </si>
  <si>
    <t>Jd. Leonor</t>
  </si>
  <si>
    <t>05621-000</t>
  </si>
  <si>
    <t>CLT; MEI; Desempregado</t>
  </si>
  <si>
    <t>www.linkedin.com/company/institutorugbyparatodos/</t>
  </si>
  <si>
    <t>Mauricio Draghi @mau_draghi</t>
  </si>
  <si>
    <t>https://drive.google.com/open?id=1FQcTfWw_IHIbnu7jcLcrFAD0m65O-F-S</t>
  </si>
  <si>
    <t>Ferreira De Castro</t>
  </si>
  <si>
    <t>Lenir de Castro, 62 anos, mineira, atriz, produtora Cultural, Líder Social e  Idealizadora do  Projeto Fazendo Arte  criado em 2003 com a intenção de melhorar a vida de Crianças e adolescentes em risco social.  Representou o Brasil em 9  países da América latina e Europa apresentando sua metodologia. foram Mais de 60  mil vidas transformadas.   também Fundadora da Instituição ACESA em 2011
Meu sonho é acabar com a desigualdade social e me fortalecer mais como uma Falcão.</t>
  </si>
  <si>
    <t>Santa Rosa</t>
  </si>
  <si>
    <t>35500-533</t>
  </si>
  <si>
    <t>https://instagram.com/castro.lenir?utm_medium=copy_link</t>
  </si>
  <si>
    <t>https://drive.google.com/open?id=19N-BAhI0QxbC20xGgfv22Lg2UarZ6gzl</t>
  </si>
  <si>
    <t>Nill Santos</t>
  </si>
  <si>
    <t>Me chamo Nill Santos, tenho 51 anos, três filhos, e sou casada. Sou empreendedora e mobilizadora Social, palestrante e presidente da AMAC. Depois de sair de um relacionamento abusivo e com depressão resolvi criar um projeto de futebol com as crianças da comunidade em 2011, passei a realizar rodas de conversa sobre violência doméstica, Hoje temos uma sede na comunidade do Dick da vila Alzira.</t>
  </si>
  <si>
    <t>Parque Alvorada</t>
  </si>
  <si>
    <t>linkedin.com/in/nill-santos-a7b99b183</t>
  </si>
  <si>
    <t>@nillsantosamac</t>
  </si>
  <si>
    <t>https://drive.google.com/open?id=1RkfNYXBtUuIL9pgGN80itoRssZCq91VG</t>
  </si>
  <si>
    <t>Do Espírito Santo Da Silva</t>
  </si>
  <si>
    <t>debora.simeusoudomeio@gmail.com</t>
  </si>
  <si>
    <t>Mulher negra, Esposa, mãe, professora, graduanda em Serviço Social pela UFRJ, conselheira da Secretaria da Mulher e Emprego, renda e Economia Solidária, idealizadora e fundadora da ong Sim! Eu Sou do Meio em Belford Roxo, Baixada Fluminense - RJ. Uma inconformada que luta contra as desigualdades e injustiças Sociais.</t>
  </si>
  <si>
    <t>Santo Antônio da Prata</t>
  </si>
  <si>
    <t>26130-670</t>
  </si>
  <si>
    <t>https://www.instagram.com/p/CaUwygILU-A/?utm_medium=copy_link</t>
  </si>
  <si>
    <t>https://drive.google.com/open?id=1eNS6tPUNEcdgPuCchr41AlQzZ7tREe4u</t>
  </si>
  <si>
    <t>De Freitas Costa</t>
  </si>
  <si>
    <t>Sou Rosangela, filha, irmã, esposa , designer , capoeirista e empreendedora na vida. Floripa é minha casa , fundadora e CEO do Instituto Reverbera. Nosso propósito,  é dar voz e visibilidade as potencialidades da periferia, principalmente as mulheres negras.</t>
  </si>
  <si>
    <t>Servidão farias</t>
  </si>
  <si>
    <t>https://www.linkedin.com/in/ro-freitas/</t>
  </si>
  <si>
    <t>@rofreitas7</t>
  </si>
  <si>
    <t>https://drive.google.com/open?id=1ThyReMFg1rZjRhb7CIxAPWVlY8_DDBdZ</t>
  </si>
  <si>
    <t>De Jesus</t>
  </si>
  <si>
    <t>jojo@projetoondas.org.br</t>
  </si>
  <si>
    <t>50105087-5</t>
  </si>
  <si>
    <t>Jocelio de Jesus, conhecido como Jojo de Olivença, Baiano de Ipiaú, foi morar no litoral sul de Ilhéus ainda de colo com sua mãe e irmão em busca de uma melhora de vida. aos 11 anos teve seu primeiro contato com o surf com prancha emprestada. conquistou seu primeiro titulo nacional em 1988 e em 1989 veio morar em Guarujá SP. em 1992 conquistou seu segundo título nacional e entre 93 e 98 participou do circuito mundial de surf (WSL)</t>
  </si>
  <si>
    <t>José Alves de Oliveira</t>
  </si>
  <si>
    <t>Jd las palmas</t>
  </si>
  <si>
    <t>11420-445</t>
  </si>
  <si>
    <t>@jojodeolivenca67</t>
  </si>
  <si>
    <t>https://drive.google.com/open?id=1ayBZhrzuq5Zs4dq8iitt6RlqmoscT9YK</t>
  </si>
  <si>
    <t>Heliomar Medeiros De Souza</t>
  </si>
  <si>
    <t>Nasci no Sertão da Paraíba. Como muitos jovens, fui para o Rio de Janeiro com 20 anos de idade. Lá a saudade era grande e já havia em mim, projetos e sonhos na vida, na escola e nas comunidades que eu já visitava, o que me fez voltar depois de um ano. Aqui, junto com outros jovens fundamos várias Associações Comunitárias e destas, nasceu o Centro Cidadania. Me formei em Geografia, área onde lecionei por alguns anos e ai me apaixonei por educar, formar pessoas para que possam viver melhor.</t>
  </si>
  <si>
    <t>Maria Eunice Diniz</t>
  </si>
  <si>
    <t>https://www.linkedin.com/in/emanuel-medeiros-72999369/</t>
  </si>
  <si>
    <t>https://www.instagram.com/emanuelheliomar/?hl=pt-br</t>
  </si>
  <si>
    <t>https://drive.google.com/open?id=1NMoH-HaLbSlankgw1qpkiKWHG4h1b63U</t>
  </si>
  <si>
    <t>Da Silva Pereira</t>
  </si>
  <si>
    <t>Anderson Silva, é cria da Baixada Fluminense RJ, já fez de tudo um pouco nessa vida. Empreendedor social apaixonado, CEO e Fundador do Instituto SOS Reviver. É casado, pai de 3 filhos, ama o que faz e não desiste nunca dos seus sonhos.</t>
  </si>
  <si>
    <t>Araci</t>
  </si>
  <si>
    <t>Éden</t>
  </si>
  <si>
    <t>https://instagram.com/anderson_silvap?utm_medium=copy_link</t>
  </si>
  <si>
    <t>https://drive.google.com/open?id=12T2RZEMCRq54DKV9Mb-AJziXv-aX7_Qg</t>
  </si>
  <si>
    <t>César Da Silva (Nil</t>
  </si>
  <si>
    <t>Morro do Papagaio</t>
  </si>
  <si>
    <t>planetloboazul.2015@gmail.com</t>
  </si>
  <si>
    <t>Sou uma pessoa alegre, e mesmo nas dificuldades, procuro sorrir. ... mas nao desisto dos meus sonhos, sou perseverante. Se Deus me deixa sonhar,então sonho sem medo ... "As coisas que amo as deixo livre, pois se voltarem foi porque realmente as conquistei e se não voltarem é porque eu nunca as possui realmente".</t>
  </si>
  <si>
    <t>Rua Dr Mário Moura viela 5</t>
  </si>
  <si>
    <t>08240-480</t>
  </si>
  <si>
    <t>https://drive.google.com/open?id=1YNt-u9Yp81MTHmhUGELZbm0kIuk0xDO3</t>
  </si>
  <si>
    <t>Magno Batista Ferreira</t>
  </si>
  <si>
    <t>Filho de um pedreiro e uma empregada doméstica , morador de periferias da cidade de Natal/RN, estudou nas escolas públicas e conseguiu passar no vestibular para a universidade Estadual do RN, fez especialização em educação física escola na Universidade federal do RN. Foi no Esporte que conseguiu alcançar os seus objetivos, foi no judo que fez a sua carreira profissional. Hoje faz o trabalho com crianças e jovens através do
Ensino das artes marciais.</t>
  </si>
  <si>
    <t>Rua Manoel de castro</t>
  </si>
  <si>
    <t>Cidade da esperança</t>
  </si>
  <si>
    <t>@alexandresensey</t>
  </si>
  <si>
    <t>https://drive.google.com/open?id=1CU1IEK8P-Xbi3pJFi5C5NqoN5412bsr5</t>
  </si>
  <si>
    <t>Dayane Batista De Andrade</t>
  </si>
  <si>
    <t>fundadora do Circuito Inclusão – uma agencia de transformação social , ao lazer, esporte e desenvolvimento social da infância a fase adulta e suas famílias, sendo uma distribuidora de oportunidades para as pessoas com deficiência , primeiro projeto no estado de Minas gerais a possuir um parque móvel onde todos brincam juntos sem distinção, profissional da Inclusão social, palestrante, investidora social na mudança de mentalidade, visionaria.</t>
  </si>
  <si>
    <t>rua das chacaras</t>
  </si>
  <si>
    <t>bloco 07 apt102</t>
  </si>
  <si>
    <t>lua nova da pampulha</t>
  </si>
  <si>
    <t>https://www.linkedin.com/in/debora-batista-04a18614a/</t>
  </si>
  <si>
    <t>https://www.instagram.com/deborabatistacis/</t>
  </si>
  <si>
    <t>https://drive.google.com/open?id=1b4BnSDZahVdwCvx840gyqYE8BFruvPLE</t>
  </si>
  <si>
    <t>Elaine Bassi, com 42 anos, casada, mãe de 2 filhos, síndica profissional, educadora social, Pastora Capelã. Em 2019 Buscou formação no curso de Coordenação de Projetos, Educador Social, ambos pelo SENAC e passou pelo processo de formação em 2021 na Falcons University. Fundou o Projeto Ponto e Vírgula, tendo como inspiração a crença de que toda história pode continuar sendo escrita de uma forma inspiradora , cheia de sonhos e realizações através de oportunidades.</t>
  </si>
  <si>
    <t>Massato sakai</t>
  </si>
  <si>
    <t>bl 04 apto 32 manaca</t>
  </si>
  <si>
    <t>Jd Triangulo</t>
  </si>
  <si>
    <t>www.linkedin.com/in/elainecbassi</t>
  </si>
  <si>
    <t>https://www.instagram.com/elainecristinabassi/</t>
  </si>
  <si>
    <t>https://drive.google.com/open?id=1vBmHq5mbtidoLd_SqXh7-F3ZdnOnYiBW</t>
  </si>
  <si>
    <t>sergiomartins@donaantonia.org.br</t>
  </si>
  <si>
    <t>Musico, advogado, Co Fundador e CEO do Centro Cultural Dona Antônia. Pós graduando em Advocacia Pública, membro da Comissão de Promoção da Igualde Racial da OAB Betim, membro da Comissão do Terceiro Setor da OAB MG e Conselheiro de Direitos CMCDA Betim.</t>
  </si>
  <si>
    <t>Saraiva</t>
  </si>
  <si>
    <t>www.linkedin.com/in/sergiomartins-269018212</t>
  </si>
  <si>
    <t>@sergiomartinsccda</t>
  </si>
  <si>
    <t>https://drive.google.com/open?id=1_DeuH8b_5YLJ0RegHqFyg1qrLNAygTBT</t>
  </si>
  <si>
    <t>tom.abadacapoeira@gmail.com</t>
  </si>
  <si>
    <t>Meu nome é Elias-Tom, tenho 33 anos, faço Capoeira desde dos 6 anos, sou instrutor de capoeira, estudante de serviço social empreendedor social, com a motivação de liderar transformações.</t>
  </si>
  <si>
    <t>Rosinha Joaquina</t>
  </si>
  <si>
    <t>Vargas</t>
  </si>
  <si>
    <t>https://instagram.com/tom_maiorcapoeira?utm_medium=copy_link</t>
  </si>
  <si>
    <t>https://drive.google.com/open?id=1yKXW_luhABrCjqiUS_lGWIKVsh0WDc4G</t>
  </si>
  <si>
    <t>educamaisesporte@outlook.com</t>
  </si>
  <si>
    <t>Raquel Souza, 27 anos, é líder da ONG INSTITUTO EDUCA MAIS ESPORTE, aluna do curso de Direito pelo Prouni, mulher periférica, que superou a desigualdade social através da educação. Aos 13 anos teve seu primeiro trabalho como babá e aos 16 anos já assumia a responsabilidade financeira da casa ao mesmo tempo que iniciava o ensino média integrado no IFCE ( Instituto Federal do Ceará), onde se formou como técnica em química.</t>
  </si>
  <si>
    <t>https://www.linkedin.com/in/maria-raquel-9a561b112/</t>
  </si>
  <si>
    <t>https://instagram.com/ma.raquelcabral?igshid=YmMyMTA2M2Y=</t>
  </si>
  <si>
    <t>https://drive.google.com/open?id=1MEwwFouE4hHuMneSc9kUDlcYFqZNEA3Y</t>
  </si>
  <si>
    <t>Minha vida é a minha missão, adoro estar ajudando o próximo. Durante minha caminhada Deus colocou várias pessoas para mim ajudar , hoje sinto que preciso retribuir. A corrente do amor é como um filho pra mim . E tudo que faço em em prol da instituição. Passei por muitos problemas financeiros depois da pandemia,  mas não desisto do meu sonho de ajudar o meu semelhante .</t>
  </si>
  <si>
    <t>Morrinhos</t>
  </si>
  <si>
    <t>https://www.instagram.com/lidinalva.fernandes/</t>
  </si>
  <si>
    <t>https://drive.google.com/open?id=1nSlxtr6X-kMg8N04IoD0xfOEHKifbVG5</t>
  </si>
  <si>
    <t>Maia De Souza</t>
  </si>
  <si>
    <t>Patricia Maia, 36 anos. Nascida na Zona Norte de SP. Pós Graduada em Educação Física Escolar, com cursos de especialização em Jazz, Ballet e Teatro. Filha do Sr Luiz e Sra Marlene, é a caçula de quatro filhos.
Aos 16 anos tornou-se Professora Voluntária em Escolas Públicas. Em 2013 fundou seu Negócio Social Vid'Art Centro Artístico e em 2020 fundou o Instituto Vid'Art.Minha maior missão é tornar a Arte, Cultura, Educação, Esporte e Empreendedorismo acessível às Famílias em situação Vulnerável</t>
  </si>
  <si>
    <t>Nicolau Tolentino de Almeida</t>
  </si>
  <si>
    <t>24 K</t>
  </si>
  <si>
    <t>https://www.linkedin.com/in/patricia-maia-485200217</t>
  </si>
  <si>
    <t>https://instagram.com/patymaiav?utm_medium=copy_link</t>
  </si>
  <si>
    <t>https://drive.google.com/open?id=1Z5oxvsM6OAY_yHO6T_1je5Av2ORcChto</t>
  </si>
  <si>
    <t>Olá sou a Poliana Rodrigues, Presidente/ CEO do Instituto Herdar, por aqui combatemos a desigualdade social por meio da educação a crianças adolescentes e jovens. Apaixonada por desenvolver pessoas e processos, por meio da consultoria especializada e humanizada nos campos de gestão, captação de recursos, e planejamento estratégico para organizações sociais.</t>
  </si>
  <si>
    <t>https://www.linkedin.com/in/rodrigues-poliana/</t>
  </si>
  <si>
    <t>@rodriguespolyeli</t>
  </si>
  <si>
    <t>https://drive.google.com/open?id=1FYt5O94lWRvFu-Qc_f3HZwJ2wOPTEf_A</t>
  </si>
  <si>
    <t>Eu sou a Katia Soares. Sou mulher do Nilton, e mãe da Luísa, Lucas e Luís.  Sou líder social,  idealizadora e gestora da Kyrius Cia de Artes, que tem como finalidade a democratização do acesso à cultura. Sou atriz profissional e estou conselheira de direitos do CMDCAC -contagem, MG. Sou Mestranda em Linguística e Língua Portuguesa pela PUC Minas e graduanda em Letras pela UFMG.  Especialista em Pesquisa e Ensino em Arte e Cultura pela UEMG-2009 e antropóloga pela UFMG 2000</t>
  </si>
  <si>
    <t>Flamboyant</t>
  </si>
  <si>
    <t>Eldorado</t>
  </si>
  <si>
    <t>https://www.linkedin.com/in/katia-soares-38359858/</t>
  </si>
  <si>
    <t>https://www.instagram.com/kajesoares/</t>
  </si>
  <si>
    <t>https://drive.google.com/open?id=1MZOmvzs-8GIKlPZRjuPt2xc_okVXzWI5</t>
  </si>
  <si>
    <t>thamirescastromargaridas@gmail.com</t>
  </si>
  <si>
    <t>Thamires Castro, 28 anos, Advogada, Designer de Moda e Co-fundadora do Projeto Social Margaridas em Projetos pra vida de Timóteo - Minas Gerais.</t>
  </si>
  <si>
    <t>Margarida Menezes</t>
  </si>
  <si>
    <t>Casa (portão azul)</t>
  </si>
  <si>
    <t>35180-084</t>
  </si>
  <si>
    <t>https://www.linkedin.com/in/thamires-castro-03901810a</t>
  </si>
  <si>
    <t>www.instagram.com/thamirescastroa</t>
  </si>
  <si>
    <t>https://drive.google.com/open?id=1hB8NALZw1WGjiC7E-TLSfCaz6b42uXKz</t>
  </si>
  <si>
    <t>Do Carmo Araújo</t>
  </si>
  <si>
    <t>Mãe, esposa, amiga e empreendedora social. Sou articuladora territorial do Coletivo Andanças DF e Produtora cultural, coordeno 2 projetos um de arte e cultura outro de comunicação comunitária. Desde 2002 invisto na minha missão de contribuir para as pessoas da minha comunidade, em 2012 estive na Rio +20 e diante de muitas pessoas  renovei os votos que sempre falei, contribuir para o desenvolvimento locai, integrado e sustentável da minha terra, onde quer que eu vá levo essa missão. Gratidão!</t>
  </si>
  <si>
    <t>Quadra 16, Conjunto L, casa</t>
  </si>
  <si>
    <t>https://www.instagram.com/invites/contact/?i=1uk5pbe1kwr06&amp;utm_content=xtb5ir</t>
  </si>
  <si>
    <t>https://drive.google.com/open?id=1TcROEbaTNfzIZObWw0Dl61m2sB9SiUWG</t>
  </si>
  <si>
    <t>Gomes Pereira</t>
  </si>
  <si>
    <t>Ele se chama Rafael. Nasceu em 1979 no hospital público Piratininga, no Capão Redondo, São Paulo. Morou quatro anos na Bahia e, ao voltar para o bairro de origem com 15 anos de idade, o lugar mais distante para onde viajou foi Santos, litoral paulista. Trabalha como vigia, é casado e tem dois filhos.
Na década de 1990, Rafael e alguns amigos montaram o grupo de rap Libertários. 
E logo em seguida montaram a Organização Libertarios do Capão Redondo.</t>
  </si>
  <si>
    <t>Aviadora Anésia Pinheiro Machado</t>
  </si>
  <si>
    <t>AP 207 Bloco A</t>
  </si>
  <si>
    <t>Conjunto Habitacional Valo Velho</t>
  </si>
  <si>
    <t>https://www.linkedin.com/in/ong-libertarios-do-cap%C3%A3o-redondo-0a58b157</t>
  </si>
  <si>
    <t>https://www.instagram.com/invites/contact/?i=g7usp6zbyvhn&amp;utm_content=z7gkh3</t>
  </si>
  <si>
    <t>https://drive.google.com/open?id=1KorlG8qX409Y2t7dYvW9r34Z4AD0Roxp</t>
  </si>
  <si>
    <t>Meu nome é Johnny Santana, sou noivo da Ju e filho da Dona Diquinha, nasci em São Paulo em 27 de maio de 1989, atualmente moro na cidade de Piraúba, interior da zona da mata de Minas Gerais há 20 anos. Sou voluntário/co-fundador do Oficina do Esporte, um projeto social que há 6  anos atende crianças e adolescentes oferecendo gratuitamente esporte, educação e cultura juntamente com ações de serviço social.</t>
  </si>
  <si>
    <t>LEITO DA ANTIGA LINHA FÉRREA</t>
  </si>
  <si>
    <t>https://www.linkedin.com/in/johnny-santana-014aa0216/</t>
  </si>
  <si>
    <t>@johnnysantana89</t>
  </si>
  <si>
    <t>https://drive.google.com/open?id=14xpruNU-JEMcPzizwIYGukmehxhTWnS4</t>
  </si>
  <si>
    <t>Maria Pessoa Maranhao De Lima</t>
  </si>
  <si>
    <t>43 anos, moradora de Olinda e apaixonada pela sua cidade. Mãe de Lucas, 16 anos. Em 2018 fundou o Movimento Inspire para realizar ações sociais e até Julho de 2019 atuou sem objetivo definido. Até então, desconhecia a realidade de milhares de olindenses. Ao entrar pela primeira vez em uma favela, descobriu seu propósito de vida: ACABAR COM A MISÉRIA. Formou-se pela Falcons University e trouxe para Pernambuco a primeira franquia social da GF. Hoje, dedica-se exclusivamente ao propósito.</t>
  </si>
  <si>
    <t>Apto 106</t>
  </si>
  <si>
    <t>robertamaranhao.pe</t>
  </si>
  <si>
    <t>/roberta_inspire</t>
  </si>
  <si>
    <t>https://drive.google.com/open?id=1-Lys8KRyJab7v9y6Vry3eNjJLwmnS8GO</t>
  </si>
  <si>
    <t>César Trindade Pereira</t>
  </si>
  <si>
    <t>Sou professor, tenho 39 anos, pai da Maria Heloísa e marido da Tatiane. Atualmente atou como profissional de Educação Física para PESSOAS com deficiência. E realizo trabalho social desde adolescente. E por isso fundei a PONTINCLUSIVA, no intuito de garantir os direitos das PESSOAS com deficiência.</t>
  </si>
  <si>
    <t>Ney Werneck, 117</t>
  </si>
  <si>
    <t>Casa dos Fundos</t>
  </si>
  <si>
    <t>Jardim Alvorada</t>
  </si>
  <si>
    <t>CLT; Funcionário Público; Desempregado</t>
  </si>
  <si>
    <t>https://www.linkedin.com/in/danilo-c%C3%A9sar-trindade-pereir</t>
  </si>
  <si>
    <t>https://www.instagram.com/dancesar.tp/</t>
  </si>
  <si>
    <t>https://drive.google.com/open?id=1sW1HQrdD0H61CN5rMoErLj_bQC4xTJhg</t>
  </si>
  <si>
    <t>professorrodrigao@hotmail.com</t>
  </si>
  <si>
    <t>Após nascer, crescer e viver os vários desafios de se morar na periferia com uma família disfuncional consegui fazer faculdade, pós graduação, casar, ter dois filhos, comprar minha casa, meu carro e ser referencial para crianças, adolescentes e jovens de periferia. Casado, pai, professor, missionário, empreendedor social fundador e diretor na ONG Missão Intensidade. Não é uma questão de ter é uma questão de ser!</t>
  </si>
  <si>
    <t>Maria Piedade da Silva</t>
  </si>
  <si>
    <t>Caputera</t>
  </si>
  <si>
    <t>https://www.linkedin.com/feed/?trk=homepage-basic_google-one-tap-submit</t>
  </si>
  <si>
    <t>https://www.instagram.com/invites/contact/?i=38p196ub57as&amp;utm_content=x51893</t>
  </si>
  <si>
    <t>https://drive.google.com/open?id=1Xa9gr2KQpqkvkHJU3j16rvZTr6G3yksI</t>
  </si>
  <si>
    <t>Bacharel em Direito
Bacharel em  Teologia
Pos Graduado em Gestao Publica
Mestrado em Psicologia Pastoral
Estratégia - ADESG-RJ
Gestao de Projetos Socio comunitários - FIOCRUZ</t>
  </si>
  <si>
    <t>rua jose venancio de souza</t>
  </si>
  <si>
    <t>california</t>
  </si>
  <si>
    <t>26225-340</t>
  </si>
  <si>
    <t>https://www.linkedin.com/in/sadraque-albino-de-souza-57600871/</t>
  </si>
  <si>
    <t>instagram.com/sadraquealbino</t>
  </si>
  <si>
    <t>https://drive.google.com/open?id=1P-KQuNedF15j1__Lyg8wOUMl6U3_f0H2</t>
  </si>
  <si>
    <t>Sara Abreu Silva 
É Pedagoga, presidente da ONG IAMA-INSTITUTO de APRENDIZAGEM MESSY ABREU
Luta pelo mundo sem desigualdades sociais</t>
  </si>
  <si>
    <t>Rua D Quadra 7</t>
  </si>
  <si>
    <t>Sitio Natureza</t>
  </si>
  <si>
    <t>@oficialiama2022</t>
  </si>
  <si>
    <t>https://drive.google.com/open?id=1avIcYCsxnm2gukfdoKNyoETt28xSY7oT</t>
  </si>
  <si>
    <t>Vale do Sol</t>
  </si>
  <si>
    <t>linkedin.com/in/saimon-dias-946881178</t>
  </si>
  <si>
    <t>https://www.instagram.com/green_dias/</t>
  </si>
  <si>
    <t>https://drive.google.com/open?id=1Z3HBzY_hwLhy4AsANC9NRkSgranDK1s4</t>
  </si>
  <si>
    <t>Sara, líder social do Instituto Edson Royer, formada pela Falcons University, pedagoga, com especialização em Didática e Metodologia do Ensino Médio e Superior. Mãe de dois filhos, engenheiro civil e advogada (in memorian), esposa e avó. Com 53 anos de idade, muita disposição para o trabalho com ênfase na educação, acreditando ser este o caminho para a transformação social.</t>
  </si>
  <si>
    <t>das Acácias</t>
  </si>
  <si>
    <t>https://www.instagram.com/sararoyernp/</t>
  </si>
  <si>
    <t>https://drive.google.com/open?id=1f9eXomrR741q31ASOtg_LXlgCekiEKiD</t>
  </si>
  <si>
    <t>Lindeia</t>
  </si>
  <si>
    <t>https://www.google.com/url?sa=t&amp;source=web&amp;rct=j&amp;url=https://br.linkedin.com/in/priscilla-siqueira-841959137&amp;ved=2ahUKEwi8i6TJuqLxAhUllZUCHTnoCLgQjjgwAHoECAQQAg&amp;usg=AOvVaw3ilHL_Q4gf10IKc3aa-P_4</t>
  </si>
  <si>
    <t>https://www.instagram.com/p/CQR0-4gF0moYnAf6RNobcLW1ZODNR1lrvNKSo80/?utm_medium=copy_link</t>
  </si>
  <si>
    <t>Meu nome é Silvana, sou estudante de assistente social e líder social na região de Itaquera zona leste. Constitui a associação a 4 anos para ajudar famílias vulneráveis buscando melhoria da comunidade, criança e famílias possibilitando para uma transformação social e criando pontes para realização de sonhos. Tenho orgulhos e prazer no que faço.</t>
  </si>
  <si>
    <t>Jardim Silvia</t>
  </si>
  <si>
    <t>https://www.linkedin.com/in/silvana-alves-01454a216/</t>
  </si>
  <si>
    <t>https://drive.google.com/open?id=1MgF852aFaMB51VVmWH8bplH3oAfnxAn7</t>
  </si>
  <si>
    <t>Meu nome é Fabio Anacleto, sou morador da Vila Ventosa, região oeste de Belo Horizonte - MG e amo atuar no social.
No decorrer dos anos, surgirão situações que exigiram que eu agisse com equilíbrio, empatia, determinação, força e muita resiliência.  
Não é fácil ser um jovem negro no Brasil mas acredito que é possível viver uma vida diferente daquela que a sociedade vê para um jovem periférico. 
Eu escolhi ser a diferença e quero que outros jovens sejam essa diferença também.</t>
  </si>
  <si>
    <t>Ventosa</t>
  </si>
  <si>
    <t>https://instagram.com/fabiioanacleto?utm_medium=copy_link</t>
  </si>
  <si>
    <t>https://drive.google.com/open?id=18CsNI9jKYWszx6L-o82lHWzOq_VepQ_D</t>
  </si>
  <si>
    <t>Tenho 36 anos, sou Psicólogo. Desde a minha infância moro no distrito que nos anos 90 foi considerado o distrito mais violento do mundo pela ONU, Jardim Ângela, extremo Sul de São Paulo. Em 2017 fundei a ONG Instituto Ebenézer que atende pessoas em situação de extrema vulnerabilidade social em seis favelas no Jardim Ângela. No ano de 2019 recebi o troféu Marco da Paz por ser um dos 30 jovens que destacaram em São Paulo em ações em prol da sociedade e que contribuíram para o alcance da paz.</t>
  </si>
  <si>
    <t>Rua Antônio de Melo Freitas,</t>
  </si>
  <si>
    <t>https://www.linkedin.com/in/uelitonrocha</t>
  </si>
  <si>
    <t>https://www.instagram.com/uelitonrochaoficial</t>
  </si>
  <si>
    <t>https://drive.google.com/open?id=1AvS6wJ80UsYBqa4RUeBU_ww6Mb6VcdWw</t>
  </si>
  <si>
    <t>Nascida no dia 11/12/1975,  Recife/PE. Sou a sexta filha de um casal que teve oito filhos com muita dificuldade, viloencia e algolismo. Aos meus 10 anos eles se separam e foram reconstruir outra família. Ficando eu e meus três irmãos. Sair de casa aos 16 anos, e meu namorado com  19 tivemos nosso primeiro filho. Hoje casada a 30 anos, concluindo a faculdade em  Serviço Social, pais de dois filhos e uma neta. Moro  na mesma favela que em 2012 abrimos nossa ONG, criando possibilidades.</t>
  </si>
  <si>
    <t>Rua dos prazeres</t>
  </si>
  <si>
    <t>Areias</t>
  </si>
  <si>
    <t>https://www.linkedin.com/in/adilma-gonçalves-0726a2215/</t>
  </si>
  <si>
    <t>https://instagram.com/adilmadaong?utm_medium=copy_link</t>
  </si>
  <si>
    <t>https://drive.google.com/open?id=1UEfAJhTvSofIwvU0ljef0BsUyWDyn5vo</t>
  </si>
  <si>
    <t>Eu Elisandra, nasci em Itumbiara Goiás, cresci na fazenda lagoa município de Panamá Goiás, fui alfabetizada em Grupo Escolar da Zona Rural, cursei o ensino fundamental segunda fase e o ensino médio em escolas públicas, sou casada, mãe de duas filhas, minha religião é espírita, sou confundadora da OSC (OSCEOS), no qual estou presidente e gestora executiva dos programas e projetos desenvolvidos na OSC, formada em serviço social e finalizando o curso de pedagogia.</t>
  </si>
  <si>
    <t>https://www.linkedin.com/in/elisandra-aparecida-martins-melo-367843215/</t>
  </si>
  <si>
    <t>https://drive.google.com/open?id=1mpT_OZt3DRBDicUM1bdyDPaLt-5zPx_w</t>
  </si>
  <si>
    <t>Santos</t>
  </si>
  <si>
    <t>eliz_santos@outlook.com</t>
  </si>
  <si>
    <t>Sou Elizângela Santos trabalhei 2 anos para rede GF acho que já me conhecem</t>
  </si>
  <si>
    <t>Sé</t>
  </si>
  <si>
    <t>00103-001</t>
  </si>
  <si>
    <t>https://www.instagram.com/pretaeliz</t>
  </si>
  <si>
    <t>https://drive.google.com/open?id=1-gtEyyewmK0c6XfyRnXDbXLS_8VKo2Rw</t>
  </si>
  <si>
    <t>doutoreliseusantos@gmail.com</t>
  </si>
  <si>
    <t>Eu, Elizeu da Silva Santos, Solteiro, 38 anos, Empreendedor Social, Contador, fundador e CEO do Instituto Resgatando Vidas, nascido e criado em Salvador/BA na Favela de Sete de Abril, Cristão, porém minha religião é o AMOR, durmo e acordo pensando como melhorar a vida das comunidades que atuamos e procuro todos os dias ser luz e sal na vida do meu próximo.</t>
  </si>
  <si>
    <t>Buri, Sete de Abril</t>
  </si>
  <si>
    <t>121E</t>
  </si>
  <si>
    <t>Sete de Abril</t>
  </si>
  <si>
    <t>https://www.linkedin.com/in/elizeu-silva-2bb139101</t>
  </si>
  <si>
    <t>https://www.instagram.com/reel/CbGonoWJE-m/?utm_medium=copy_link</t>
  </si>
  <si>
    <t>https://drive.google.com/open?id=15Hz5P0NoGMuUx7CMojEz98gbyl3gz4KE</t>
  </si>
  <si>
    <t>Sou uma mulher que luta para que outras se tornem protagonistas da sua própria estoria</t>
  </si>
  <si>
    <t>Rua Harry Dannnenberg</t>
  </si>
  <si>
    <t>8 andar</t>
  </si>
  <si>
    <t>08270-010</t>
  </si>
  <si>
    <t>https://www.linkedin.com/in/fernanda-bento-silva-82b93816a</t>
  </si>
  <si>
    <t>@fernanda.bento003</t>
  </si>
  <si>
    <t>https://drive.google.com/open?id=1BM8TrrQ7mXDV6Qh3bkAdy6v2fGHLqCYw</t>
  </si>
  <si>
    <t>N|Unes Araújo Melo</t>
  </si>
  <si>
    <t>Casada há 23 anos, mãe de dois filhos adolescentes. Assistente social na prefeitura municipal de Carandai e na APAE, assistente social e coordenadora do centro dia de referência para pessoas com deficiência, cofundadora e atual presidente do Instituto GAIIA.</t>
  </si>
  <si>
    <t>Juca Fonseca</t>
  </si>
  <si>
    <t>36284-085</t>
  </si>
  <si>
    <t>https://www.linkedin.com/in/francilaine-melo-856922212</t>
  </si>
  <si>
    <t>francilaine_melo</t>
  </si>
  <si>
    <t>https://drive.google.com/open?id=16IYy5qXBrxY-OwS5phXTVQvS2aEbgIna</t>
  </si>
  <si>
    <t>Ana Maria Oliveira, 39 anos, Psicóloga, mãe de 4 crianças, apaixonada por servir encontrei na psicologia a possibilidade de fazer a diferença na vida de muitos. Com um projeto pioneiro levo com o time humana.MENTE  os fazeres da psicologia para dentro das vilas e favelas a fim de fortalecer o protagonismo do sujeito de periferia que não se percebe no direito de ter saúde mental de qualidade. Solidariedade está para além de  matar a fome, está para dar voz e  ouvidos a esses atores “invisíveis “</t>
  </si>
  <si>
    <t>Marrocos</t>
  </si>
  <si>
    <t>apto 204</t>
  </si>
  <si>
    <t>31540-230</t>
  </si>
  <si>
    <t>Ana Maria Oliveira</t>
  </si>
  <si>
    <t>@ana.oliveirapsi</t>
  </si>
  <si>
    <t>https://drive.google.com/open?id=1CmKPbPO66niLZ8l2D8MHK5sNWaKsYBBW</t>
  </si>
  <si>
    <t>Francisca Izabel Castro Porto 54 anos,amazonense, professora, líder social Fellows, gestora de projetos, Licenc. em Filosofia, Esp. em Metodologia do Ensino Superior, cantora, fundadora e Ceo da ACSSUS- Associação Cidadania Social e Sustentabilidade, OSC voltada às causas sociais de caráter educacional, cultural, inclusivo e ambiental que existe  há 11 anos, Conselheira de Meio Ambiente, mãe de dois filhos, atua em projetos sociais e educacionais há mais de 20 anos, ocupa a cadeira N°37 ACEBRA.</t>
  </si>
  <si>
    <t>https://drive.google.com/open?id=1ZkAetUpeyq7Ov8oNLUZlQXoPKPTlQaXZ</t>
  </si>
  <si>
    <t>flavioalmeidaf3@gmail.com</t>
  </si>
  <si>
    <t>Gestor de projetos sociais, desde 2008 trabalhando com famílias em situação de vulnerabilidade social e moradores em situação de rua, combatendo o uso de drogas e realizando a inclusão social. 
Diretor presidente na Associação Coletivo Motirõ, desde maio de 2018.
Do tupi-guarani, MOTIRÕ significa "reunião de pessoas para colher ou construir algo juntos, uns ajudando os outros".
Atuamos com projetos com foco na educação, esporte, cultura, qualificação e saúde mental nas as comunidades.</t>
  </si>
  <si>
    <t>QN 501 Conjunto 16 lotes</t>
  </si>
  <si>
    <t>https://www.linkedin.com/in/fl%C3%A1vio-almeida-729a731ba/</t>
  </si>
  <si>
    <t>https://www.instagram.com/flavioalmeidaf3/</t>
  </si>
  <si>
    <t>https://drive.google.com/open?id=1JKzcJkJTeqEu77Z1EPRvVpIVwSk9emuO</t>
  </si>
  <si>
    <t>Pereira Pimentel</t>
  </si>
  <si>
    <t>luartepimentel@hotmail.com</t>
  </si>
  <si>
    <t>Professora de artes nascida em Salvador em 12 de outubro de 1966, alegre amante da vida, mais de 20 anos na área de educação, acredito total que a educação é a maior e melhor recurso transformador de uma sociedade.</t>
  </si>
  <si>
    <t>Rua Presidente Kennedy</t>
  </si>
  <si>
    <t>41927-040</t>
  </si>
  <si>
    <t>https://meet.google.com/cvq-zyft-nqx Para participar por telefone disque +55 41 4560-9564 e digite este PIN: 974 208 190# Para ver mais números de telefone clique neste link: https://tel.meet/cvq-zyft-nqx?hs=5</t>
  </si>
  <si>
    <t>@institutoentreaspasoficial</t>
  </si>
  <si>
    <t>https://drive.google.com/open?id=1zcknCxc03z_TIXMQQX0ezbsILS9ev3RC</t>
  </si>
  <si>
    <t>gislainegimenez@gmail.com</t>
  </si>
  <si>
    <t>Moradora do Jardim Peri Alto desde a infância, vive na pele a desigualdade social, como muitas mães, ela precisou voltar ao trabalho após 15 dias do nascimento de sua filha. Acredita no potencial da criança como um ser perfeito, justo e solidário e que uma sociedade organizada pode ser protagonista de sua transformação.</t>
  </si>
  <si>
    <t>Jd. Santa Cruz</t>
  </si>
  <si>
    <t>https://www.linkedin.com/in/girlane-souza-do-nascimento-salarini-gimenez-894491236/</t>
  </si>
  <si>
    <t>https://instagram.com/gigimenez6?utm_medium=copy_link</t>
  </si>
  <si>
    <t>https://drive.google.com/open?id=1kTitGE2p4epe-BTHjqODYSpQUQYmNHlK</t>
  </si>
  <si>
    <t>Graziella Porfirio da Silva Baptista</t>
  </si>
  <si>
    <t>(11)99673-1642</t>
  </si>
  <si>
    <t>Sou Grazi, tenho 41 anos, mamãe do Davi Israel e da Debora, as duas pessoas que me ensinam que a vida é feita de momentos, de escolhas e que me inspiram a deixar um legado nessa terra. Sou Pedagoga por profissão e gestora social por insistencia, tenho grandes sonhos, e vou realizar todos eles com Esperança e Destino. Gosto de corrida de rua, é meu momento de conexão comigo, acredito em Deus e na força do teu poder em minha vida..</t>
  </si>
  <si>
    <t>Vila Figueira</t>
  </si>
  <si>
    <t>https://www.linkedin.com/in/graziella-porfirio-263b68190/</t>
  </si>
  <si>
    <t>https://instagram.com/grazi_porfirio?igshid=YmMyMTA2M2Y=</t>
  </si>
  <si>
    <t>https://drive.google.com/open?id=1j_c5zG_-8ONLfMZ5dwYyxoYOZW4-SWPZ</t>
  </si>
  <si>
    <t>Sou a jack que vive a vida com alegria e energia 
Que não tira o sorriso do rosto ,que luta para acabar com a desigualdade social do lugar que me acolheu e me deu tantas oportunidades, sou  a mãe dos 5 filhos na terra e do anjo no céu, que sonha alto e grande ,que acredita no poder do amor ,e que vive todo dia o conto de fadas ,sim o conto de fadas existe todos os dias .
Fundadora da associação de mulheres empoderadas, que acredita na transformação por meio da oportunidade.</t>
  </si>
  <si>
    <t>Servidão Anjo Gabriel</t>
  </si>
  <si>
    <t>Monte cristo</t>
  </si>
  <si>
    <t>https://www.linkedin.com/in/jaqueline-ribeiro-5265751ab</t>
  </si>
  <si>
    <t>Estou no Instagram como @jacksousa25. Instale o aplicativo para seguir minhas fotos e vídeos. https://www.instagram.com/invites/contact/?utm_source=ig_contact_invite&amp;utm_medium=user_system_sheet&amp;utm_content=hdgjth⁸</t>
  </si>
  <si>
    <t>https://drive.google.com/open?id=12ACJNZM-_xQE_XPZsWU4x1rlI_3_zRCB</t>
  </si>
  <si>
    <t>https://www.instagram.com/andre2294/</t>
  </si>
  <si>
    <t>https://drive.google.com/open?id=1vlNrTAXCkRIb0hnx_m2iKgGvGQYF3_P4</t>
  </si>
  <si>
    <t>jwsbpersonal@hotmail.com</t>
  </si>
  <si>
    <t>Wellton Brito, tenho 34 anos, investidor social, professor e sobretudo uma pessoa que acredita no potencial da turma que está sofrendo lá na ponta. 
Nordestino com orgulho, desde sempre entendi que minha missão é levar oportunidades para crianças e adolescentes da periferia e zona rural , do "interior do interior".</t>
  </si>
  <si>
    <t>https://www.linkedin.com/in/wellton-brito-092536216/</t>
  </si>
  <si>
    <t>https://www.instagram.com/wellton_brito/?hl=pt-br</t>
  </si>
  <si>
    <t>https://drive.google.com/open?id=1ONGUQeiHwav2gp4j1cpCsg_V2fZqdWLy</t>
  </si>
  <si>
    <t>Fundadora e CEO do Instituto Amargen, filha da Rose e do Sérgio, irmã do Arthur, namorada do Leo e mãe da Jade (filha de quatro patas). Formada academicamente em direito e formada pela vida como empreendedora social. Vivo e trabalho diariamente investindo minha vida, meu amor e todo meu conhecimento em pessoas por acreditar em um mundo transformado socialmente, de forma mais digna, mais humana, mais justa e mais feliz.</t>
  </si>
  <si>
    <t>rua augustinho guerra pontes</t>
  </si>
  <si>
    <t>Santa Efigênia</t>
  </si>
  <si>
    <t>https://www.instagram.com/liviasilveiraa/?hl=pt-br</t>
  </si>
  <si>
    <t>https://www.instagram.com/liviasilveiraa/</t>
  </si>
  <si>
    <t>https://drive.google.com/open?id=1kHOJza-pShgYhPJVrQCFpf0zSdCllfSP</t>
  </si>
  <si>
    <t>Rodrigo Zacarias fundador do Instituto Macunaíma, onde atua na valorização cultural da regional Barreiro, demonstrando a riqueza histórica cultural dessa região. É Coordenador de Projetos Sociais certificado em Gerenciamento de Projetos para Profissionais de Desenvolvimento pela APMG International. Atualmente ocupa a Presidência  do Conselho Municipal dos Direitos da Criança e Adolescente de Belo Horizonte.</t>
  </si>
  <si>
    <t>rua josé forçal</t>
  </si>
  <si>
    <t>santa helena</t>
  </si>
  <si>
    <t>https://www.linkedin.com/in/rodrigo-zacarias-23a8a81b3/</t>
  </si>
  <si>
    <t>instagram.com/sidaomacunaima</t>
  </si>
  <si>
    <t>https://drive.google.com/open?id=19gdmX7R4KOcvUbBvKjUmw37JQQLdNVMQ</t>
  </si>
  <si>
    <t>00003011593</t>
  </si>
  <si>
    <t>Luísa Mahin atua na área social desde 2001 (ainda adolescente). Quando jovem fundou junto com outres o Instituto Casa de Barro. É Mestre em Desenvolvimento e Gestão Social e em Ciências Sociais. Atua nas áreas de desenvolvimento humano e social, empreendedorismo e empoderamento feminino. Atualmente dedica-se ao projeto Irmandade, iniciativa que acolhe, empodera e cria tecnologias sociais de desenvolvimento para mães e filhos socialmente vulneráveis.</t>
  </si>
  <si>
    <t>Rua Rio Tijuípe</t>
  </si>
  <si>
    <t>Lote 22</t>
  </si>
  <si>
    <t>Vila Floresta</t>
  </si>
  <si>
    <t>Serra Grande</t>
  </si>
  <si>
    <t>https://br.linkedin.com/</t>
  </si>
  <si>
    <t>www.instagram.com/luisamahin</t>
  </si>
  <si>
    <t>https://drive.google.com/open?id=1va0Ijtnwt9-5pEa-NfHCPOP3fE5wPnuk</t>
  </si>
  <si>
    <t>Geralda Aparecida do Socorro Silveira-  56 anos  Pedagoga  e   Psicopedagoga. Durante minha trajetória passei por muitas dificuldades sociais e financeiras.  Com 16 anos, comecei trabalhar. Trabalhei 35 anos na área de Educação. Em  2002, fundei o Instituto Vem Ser.Acredito no poder transformador da educação e da solidariedade e tenho certeza que essa é a minha missão na vida: ser pedagoga por formação e líder do Vem Ser por amor.</t>
  </si>
  <si>
    <t>Celestino Euzébio Fernandes</t>
  </si>
  <si>
    <t>36490-106</t>
  </si>
  <si>
    <t>https://www.linkedin.com/in/socorro-silveira-silveira-25593067</t>
  </si>
  <si>
    <t>Socorrosilveira50</t>
  </si>
  <si>
    <t>https://drive.google.com/open?id=1disDhNks-CU26hJlJU8ef5S2w1FsT2iN</t>
  </si>
  <si>
    <t>Saí do nordeste para tentar um vida na capital do nosso país, achei que não havia favela em Brasília. Meu ex-marido não se adaptou e fiquei sozinha com dois filhos pequenos. Sem dinheiro, não me fiz de rogado, trabalhei no serviço de limpeza urbana e empregada doméstica. Fiz o possível para criar os meus filhos. O único lugar que pude comprar um terreno foi no Sol Nascente, hoje considerado a maior favela da América Latina. E assim, comecei a cuidar de crianças.  Nascendo a ADSSN.</t>
  </si>
  <si>
    <t>Quadra F</t>
  </si>
  <si>
    <t>Chocará 05</t>
  </si>
  <si>
    <t>condomínio genesis</t>
  </si>
  <si>
    <t>https://www.linkedin.com/in/margarida-minervina-da-silva-790661169</t>
  </si>
  <si>
    <t>https://instagram.com/margaridamilech?igshid=YmMyMTA2M2Y=</t>
  </si>
  <si>
    <t>https://drive.google.com/open?id=1DIeaX3NqyOOH23coh_ArwkyIHy-jRA-R</t>
  </si>
  <si>
    <t>Nascida em comunidade rural, Elisângela, encarou os desafios de uma infância pobre, mas não fez disso impecílio para galgar no caminho do trabalho comunitário. Aos 11 anos iniciou o trabalho de doméstica em troca de hospedagem para estudar. Aos 18 anos foi mãe, aos 19 concluiu o ensino médio e aos 32 a primeira graduação. No ano de 1999 ajuda no processo de fundação da AJENAI e coordena a organização desde então, a qual, hoje chama-se Associação Tingui. Casada, mãe de 3 filhos e vó de 1 Neta.</t>
  </si>
  <si>
    <t>Ceará</t>
  </si>
  <si>
    <t>Lagoinha</t>
  </si>
  <si>
    <t>CLT; Funcionário Público; Trabalho informal</t>
  </si>
  <si>
    <t>https://www.linkedin.com/in/elisangela-li-6b4865217</t>
  </si>
  <si>
    <t>https://instagram.com/elisangelapedrosolopes?utm_medium=copy_link</t>
  </si>
  <si>
    <t>https://drive.google.com/open?id=1-aKVwh3CLvsF_ErH9avirRNDRtJNuc5L</t>
  </si>
  <si>
    <t>O Projeto Semear nasceu em 2017 e é presidido por André Luiz de Macedo Silva. Nós temos como objetivo ajudar as famílias da Vila Sumaré a não passarem necessidade básica e trazer um futuro melhor para as crianças através de cursos e parcerias firmadas com empresas da nossa cidade.</t>
  </si>
  <si>
    <t>Aparecida</t>
  </si>
  <si>
    <t>https://www.linkedin.com/in/andré-luiz-de-macedo-silva-627262219</t>
  </si>
  <si>
    <t>https://instagram.com/andreluizmacedosilva?igshid=YmMyMTA2M2Y=</t>
  </si>
  <si>
    <t>https://drive.google.com/open?id=1JH9Zl3ocEMYpkI4w4mW-W6R1yIm9nBzS</t>
  </si>
  <si>
    <t>Meu Nome é Agnes Ribeiro, tenho 35 anos, Bióloga de formação, estudante de Serviço Social. 
Fundei da ONG Amigos pela Caridade na comunidade do Batan na Zona Oeste do Rio de Janeiro e essa historia começou na minha infância quando sofri abuso sexual nessa mesma comunidade. Minha mãe precisava trabalhar e eu precisava ficar por um período sozinha, por falta de rede de apoio durante esse período que ficava vulnerável acabei sofrendo essa violação de direito.</t>
  </si>
  <si>
    <t>vila da penha</t>
  </si>
  <si>
    <t>https://www.linkedin.com/feed/?trk=guest_homepage-basic_nav-header-signin</t>
  </si>
  <si>
    <t>https://www.instagram.com/invites/contact/?i=1sxetkgq92a07&amp;utm_content=pj9c0l</t>
  </si>
  <si>
    <t>https://drive.google.com/open?id=1_c8nL4_YRIV1BvnHxWU4rhZDih-YmxRj</t>
  </si>
  <si>
    <t>Ereiro</t>
  </si>
  <si>
    <t>Eu me chamo Alexandra Sou atleta profissional de Bodyboard 
E CEO do projeto bodyboard Pará.</t>
  </si>
  <si>
    <t>Conjunto Maguari Alameda 21</t>
  </si>
  <si>
    <t>https://www.instagram.com/p/CRAg6gKs8Lz/?utm_medium=copy_link</t>
  </si>
  <si>
    <t>https://www.instagram.com/p/Cbr6uZVLlXL/?utm_medium=copy_link</t>
  </si>
  <si>
    <t>https://drive.google.com/open?id=1rrLLVE3wghtQpyvPEqwpzDA7JHkOGbMw</t>
  </si>
  <si>
    <t>Nasci e cresci na maior favela de São Paulo - Heliópolis .Com 14 anos trabalhei entregando papel na rua, não conseguia enxergar outras possibilidades, foi no emprego de cobradora de uma perua que minha visão ampliou, todos os dias eu transportava diversas pessoas e cada uma com tipo de profissão, meu repertório foi aumentando, pessoas que quebram minhas cresças e me motivaram a um dia ter uma profissão, me formei e hoje quero entregar para comunidade a informação que recebi na perua.</t>
  </si>
  <si>
    <t>Estrada das lágrimas</t>
  </si>
  <si>
    <t>Heliopolis</t>
  </si>
  <si>
    <t>04232-901</t>
  </si>
  <si>
    <t>https://www.linkedin.com/in/alcione-rodrigues-b22213121</t>
  </si>
  <si>
    <t>https://www.instagram.com/reel/CXyV4P5gQd-x0B0UQDh5Q8NEPswBr12-gy_xWs0/?utm_medium=copy_link</t>
  </si>
  <si>
    <t>https://drive.google.com/open?id=1x6dXVupTpE0-r0Yz9ttId9f3ZQAH-Rhy</t>
  </si>
  <si>
    <t>alexandre@projetodinamus.com</t>
  </si>
  <si>
    <t>Educador por amor. Formado em Licenciatura em Matemática, acredito na educação pública como o meio mais eficaz de combater a pobresa. Fundei o Projeto Dínamus em 2018 com a intenção de levar atividades extracurriculares para os alunos das escolas públicas. Hoje trabalhamos dentro delas e apoiamos educadores e gestores no processo de melhoria da educação.</t>
  </si>
  <si>
    <t>DOUTOR GASTAO MACHADO PONTES DE MIRANDA</t>
  </si>
  <si>
    <t>apto 104</t>
  </si>
  <si>
    <t>57073-430</t>
  </si>
  <si>
    <t>https://www.linkedin.com/in/alexandre-tuller-461a841a9/</t>
  </si>
  <si>
    <t>instagram.com/alexandretuller</t>
  </si>
  <si>
    <t>https://drive.google.com/open?id=1a8B8SdyykY0i67bSJBJ90HrSbK0Gk-m2</t>
  </si>
  <si>
    <t>Mulher nordestina e sertaneja fundadora da Pisada do Sertão. Acredita no poder da educação para transformar a sociedade, aliada a cultura como vetor desse desenvolvimento. Formada em Licenciatura em Letras e Bacharel em Administração. 
É sonhadora e realizadora, pois acredita que devemos construir no presente o futuro desejado. Sonha com o sertão como um território de oportunidades, no qual os jovens não precisem ir embora para realizar seus sonhos.</t>
  </si>
  <si>
    <t>Ana Neiry Moura</t>
  </si>
  <si>
    <t>https://www.linkedin.com/in/ana-neiry-moura-a50781196</t>
  </si>
  <si>
    <t>https://drive.google.com/open?id=1TuH7oeOiV50eTT_bsxMw4LZa4Ed0wqbS</t>
  </si>
  <si>
    <t>Sou um sonhador que transforma a realidades de outras pessoas. Sou original de Fortaleza/CE. Casado com a Lívia, somos pais do Nicolas. Sou missionário, graduado em Serviço Social e cursando MBA executivo em Gerenciamento de Projetos. Minhas características é de visionário, sou um empreendedor social e fundei o Instituto Metamorfose. O sentimento de gratidão é o que me impulsiona a fazer o que eu faço, costumo fazer aquilo que as pessoas fizeram por mim, ou seja, compartilho aquilo que recebo.</t>
  </si>
  <si>
    <t>Cais do Porto</t>
  </si>
  <si>
    <t>https://www.linkedin.com/in/anailton-fernandes-748899b1/</t>
  </si>
  <si>
    <t>https://www.instagram.com/anailton.fer/</t>
  </si>
  <si>
    <t>https://drive.google.com/open?id=1wqdRVNgdM9vY4wBXyQsneRFNwDcqiIb7</t>
  </si>
  <si>
    <t>casadacomunidade@yahoo.com</t>
  </si>
  <si>
    <t>Recifense da comunidade do Berardo no Recife, Angelo Felipe, casado pai de quatro filhos, licenciado em História e pós-graduado em Gestão Ambiental. Há mais de 20 anos tem contribuído na busca da melhoria da qualidade das pessoas. Participou e protagonizou de varias lutas e conquistas: creche, escola, saneamento, praça, Compaz - Centro Comunitário da Paz. Em 2014, fundou a CCB SOCIAL - Casa da Comunidade do Berardo, voltando seus esforços para o empreendedorismo social.</t>
  </si>
  <si>
    <t>Rua Dr. José Machado</t>
  </si>
  <si>
    <t>Apto. 101</t>
  </si>
  <si>
    <t>Prado</t>
  </si>
  <si>
    <t>50630-420</t>
  </si>
  <si>
    <t>https://www.linkedin.com/in/angelo-felipe-1261281b2</t>
  </si>
  <si>
    <t>@ANGELOFELIPE_CCB</t>
  </si>
  <si>
    <t>https://drive.google.com/open?id=1WrtpTPBbQI9kd-un0pVCI2OgLmT_RNMx</t>
  </si>
  <si>
    <t>Carioca, neta e filha de nordestinas, carioca, mãe de 4, Pedagoga, funcionária pública estadual, empreendedora social, líder, mulher, esposa, Diretora Presidente da Missão mais transformadora e impactante depois da maternidade!</t>
  </si>
  <si>
    <t>https://www.linkedin.com/in/barbaraprojetoswell</t>
  </si>
  <si>
    <t>https://instagram.com/barbaracoelho_3?utm_medium=copy_link</t>
  </si>
  <si>
    <t>https://drive.google.com/open?id=1NLWnQ4yd9EY_JJPhzaC6UQJoloADfSn1</t>
  </si>
  <si>
    <t>Atuando no Complexo do Alemão há 20 anos, sinto orgulho de dizer que somos uma OnG que se empenha em cuidar da saúde física e mental dos atendidos. Temos um trabalho constante e conhecido nesse lugar, pois buscamos atender as  famílias em todas as necessidades.</t>
  </si>
  <si>
    <t>690/ b 1</t>
  </si>
  <si>
    <t>Bloco 1/202</t>
  </si>
  <si>
    <t>https://www.linkedin.com/in/claudia-souza-da-silva-189060204</t>
  </si>
  <si>
    <t>https://www.instagram.com/p/CaE46CzuSzv/?utm_medium=copy_link</t>
  </si>
  <si>
    <t>https://drive.google.com/open?id=1Zp_IvgzRTSUdoH-GoiZZXzO6ybjqgyss</t>
  </si>
  <si>
    <t>Sou Gestora Social da Associação Lacre do Bem, formada em Administração de Empresas, Pós Graduação em Gestão do Varejo, casada, mãe de 2 meninas, artista plástica.</t>
  </si>
  <si>
    <t>Padre Nóbrega</t>
  </si>
  <si>
    <t>Minas Brasil</t>
  </si>
  <si>
    <t>https://www.linkedin.com/in/ivette-rodrigues-de-macedo-8070bb120/</t>
  </si>
  <si>
    <t>https://instagram.com/ivette.macedo?utm_medium=copy_link</t>
  </si>
  <si>
    <t>https://drive.google.com/open?id=1Uq4uWmvj39wquK7N7NutG5SWepmVaT7s</t>
  </si>
  <si>
    <t>edmarufjf@gmail.com</t>
  </si>
  <si>
    <t>Instituto DOM é uma organização social, com sede a rua Belo vale,166, Dom Bosco, MG. Nossa missão é ampliar o acesso a comunidades em situações de vulnerabilidade social, visando interromper o ciclo da pobreza.</t>
  </si>
  <si>
    <t>Rua Silvério da silveira</t>
  </si>
  <si>
    <t>Dom bosco</t>
  </si>
  <si>
    <t>cassimiro.edmar</t>
  </si>
  <si>
    <t>CASSIMIRO.edmar</t>
  </si>
  <si>
    <t>https://drive.google.com/open?id=1Rmdbt8O7YB11o-idYSMZeghnTIyBbsjE</t>
  </si>
  <si>
    <t>Categorização</t>
  </si>
  <si>
    <t>Fase Inicial</t>
  </si>
  <si>
    <t>(83)98825-8585</t>
  </si>
  <si>
    <t>Fase Avançada</t>
  </si>
  <si>
    <t>Fase Estruturação</t>
  </si>
  <si>
    <t>(37)99903-1506</t>
  </si>
  <si>
    <t>(27)99779-7663</t>
  </si>
  <si>
    <t>(37)9198-8847</t>
  </si>
  <si>
    <t>(51)98149-8022</t>
  </si>
  <si>
    <t>(21)99807-8422</t>
  </si>
  <si>
    <t>ASSOCIACAO DO APICULTORES E PRODUTORES DE MEL DO POTENGI</t>
  </si>
  <si>
    <t>(21)9689-29016</t>
  </si>
  <si>
    <t>(32)9932-1867</t>
  </si>
  <si>
    <t>(32)99936-1572</t>
  </si>
  <si>
    <t>(27)99311-3473</t>
  </si>
  <si>
    <t>(21)98941-8646 / (21)979366521</t>
  </si>
  <si>
    <t>(11)96726-1663</t>
  </si>
  <si>
    <t>alex.silva281179@gmail.com</t>
  </si>
  <si>
    <t>(45)3577-9763</t>
  </si>
  <si>
    <t>(85)3262-7599</t>
  </si>
  <si>
    <t>(31)9937-1401</t>
  </si>
  <si>
    <t>(71)3241-0034</t>
  </si>
  <si>
    <t>(81)98609-0434</t>
  </si>
  <si>
    <t>(11)99304-0026</t>
  </si>
  <si>
    <t>Ceará Mirim</t>
  </si>
  <si>
    <t>(83)99902-5942</t>
  </si>
  <si>
    <t>(31)97190-2536</t>
  </si>
  <si>
    <t>(21)99474-8469</t>
  </si>
  <si>
    <t>cidaferreiraalves1@gmail.com</t>
  </si>
  <si>
    <t>(14)3232-2786</t>
  </si>
  <si>
    <t>(13)97419-0758</t>
  </si>
  <si>
    <t>(11)95793-7393</t>
  </si>
  <si>
    <t>(71)99359-5307</t>
  </si>
  <si>
    <t>(17)3442-7666</t>
  </si>
  <si>
    <t>11 987069102</t>
  </si>
  <si>
    <t>(11)2737-6124</t>
  </si>
  <si>
    <t>eudesjrbar@gmail.com</t>
  </si>
  <si>
    <t>(85)99435-7303</t>
  </si>
  <si>
    <t>(21)99175-2377</t>
  </si>
  <si>
    <t>INSTITUTO MUCAMBO</t>
  </si>
  <si>
    <t>27 997016384</t>
  </si>
  <si>
    <t>Ntenho</t>
  </si>
  <si>
    <t>55 (11)97711-9607</t>
  </si>
  <si>
    <t>(14)98168-9087</t>
  </si>
  <si>
    <t>(13)98831-7598</t>
  </si>
  <si>
    <t>saudenosbairros2021@gmail.com</t>
  </si>
  <si>
    <t>(11)94153-6543</t>
  </si>
  <si>
    <t>Nordeste</t>
  </si>
  <si>
    <t>(75)9990-1263</t>
  </si>
  <si>
    <t>21 99934-9462</t>
  </si>
  <si>
    <t>Conta: IDConta(18)</t>
  </si>
  <si>
    <t>Nome da unidade</t>
  </si>
  <si>
    <t>Conta: Status</t>
  </si>
  <si>
    <t>Conta: Tipo de Programa</t>
  </si>
  <si>
    <t>Nota auditoria</t>
  </si>
  <si>
    <t>Num. Funcionários</t>
  </si>
  <si>
    <t>Num. Frentes ativas</t>
  </si>
  <si>
    <t>Valor anual captado</t>
  </si>
  <si>
    <t>Num. Atendidos</t>
  </si>
  <si>
    <t>Valor total</t>
  </si>
  <si>
    <t>CTG Nota auditoria</t>
  </si>
  <si>
    <t>CTG Num. Funcionários</t>
  </si>
  <si>
    <t>CTG Num. Frentes ativas</t>
  </si>
  <si>
    <t>CTG Valor anual captado</t>
  </si>
  <si>
    <t>CTG Num. Atendidos</t>
  </si>
  <si>
    <t>Conta: E-mail ONG</t>
  </si>
  <si>
    <t>Categorização: Data de criação</t>
  </si>
  <si>
    <t xml:space="preserve"> 100% MORRO</t>
  </si>
  <si>
    <t xml:space="preserve"> ALMAS AZUIS</t>
  </si>
  <si>
    <t>ORGANIZAÇÃO NOVOS HERDEIROS HUMANÍSTICOS</t>
  </si>
  <si>
    <t>FORTINI INVESTIMENTO SOCIAL</t>
  </si>
  <si>
    <t xml:space="preserve"> AS VALQUIRIAS</t>
  </si>
  <si>
    <t xml:space="preserve"> SONHAR ALTO</t>
  </si>
  <si>
    <t xml:space="preserve"> ENTRE O CÉU E A FAVELA PARA ARTE EDUCAÇÃO E CIDADANIA</t>
  </si>
  <si>
    <t xml:space="preserve"> FAMÍLIA CRIATIVA DO CAMPO</t>
  </si>
  <si>
    <t xml:space="preserve"> RECOMEÇAR</t>
  </si>
  <si>
    <t>ASSOCIAÇAO PROJETO GADITAS</t>
  </si>
  <si>
    <t xml:space="preserve"> INOVAÇÃO SUSTENTÁVEL - ONG MENSAGEIROS DA ESPERANÇA</t>
  </si>
  <si>
    <t xml:space="preserve"> DE DESENVOLVIMENTO HUMANO E SOCIAL PELO ESPORTE EDUCAÇÃO CULTURA E CIDADANIA</t>
  </si>
  <si>
    <t>ASSOCIAÇÃO VIDANÇA COMPANHIA DE DANÇAS DO CEARÁ</t>
  </si>
  <si>
    <t>ORGANIZAÇÃO DA SOCIEDADE CIVIL IZAIAS LUZIA DA SILVA</t>
  </si>
  <si>
    <t>ASSOCIAÇÃO SOCIAL BLACK'S URBANO</t>
  </si>
  <si>
    <t xml:space="preserve"> RUGBY PARA TODOS</t>
  </si>
  <si>
    <t>ASSOCIAÇÃO CULTURAL DE EDUCAÇÃO SOCIAL E ARTÍSTICA - ACESA</t>
  </si>
  <si>
    <t>ASSOCIAÇÃO DE MULHERES DE ATITUDE E COMPROMISSO SOCIAL</t>
  </si>
  <si>
    <t>PROGRAMA SOCIAL SIM! EU SOU DO MEIO (SESM)</t>
  </si>
  <si>
    <t xml:space="preserve"> REVERBERA</t>
  </si>
  <si>
    <t>PROJETO ONDAS</t>
  </si>
  <si>
    <t>CENTRO CIDADANIA AÇÃO E EDUCAÇÃO SOCIOAMBIENTAL</t>
  </si>
  <si>
    <t xml:space="preserve"> SOS REVIVER</t>
  </si>
  <si>
    <t>ASSOCIAÇÃO CULTURAL CASA DO BECO</t>
  </si>
  <si>
    <t>VILA EM PROGRESSO</t>
  </si>
  <si>
    <t>ASSOCIAÇÃO FUTURO CAMPEÃO</t>
  </si>
  <si>
    <t xml:space="preserve"> EDUCA MAIS ESPORTE</t>
  </si>
  <si>
    <t>ICEF-  DOM</t>
  </si>
  <si>
    <t>PROJETO VIDANÇAR</t>
  </si>
  <si>
    <t xml:space="preserve"> GIRASSOL DE DESENVOLVIMENTO SOCIAL</t>
  </si>
  <si>
    <t xml:space="preserve"> SONHE</t>
  </si>
  <si>
    <t xml:space="preserve"> GERAÇÃO 4</t>
  </si>
  <si>
    <t>ASSOCIAÇÃO CULTURAL ESPORTIVA SOCIAL AMIGOS - ACESA</t>
  </si>
  <si>
    <t>ASSOCIAÇÃO MÚSICA DE BAIRRO</t>
  </si>
  <si>
    <t xml:space="preserve"> CRISTIANE CAMARGO</t>
  </si>
  <si>
    <t>ASSOCIAÇÃO BENEFICENTE VIVENDA DA CRIANÇA</t>
  </si>
  <si>
    <t xml:space="preserve"> DAS ÁGUIAS</t>
  </si>
  <si>
    <t xml:space="preserve"> RAHAMIM</t>
  </si>
  <si>
    <t xml:space="preserve"> MUNDO NOVO DA CULTURA VIVA</t>
  </si>
  <si>
    <t xml:space="preserve"> PEB _PROJETO EDUCA BASQUETE</t>
  </si>
  <si>
    <t>SOCIEDADE CULTURAL PROJETO LUAR</t>
  </si>
  <si>
    <t>PROJETO BREJAL</t>
  </si>
  <si>
    <t xml:space="preserve"> ASCENDENDO MENTES</t>
  </si>
  <si>
    <t>ASSOCIAÇÃO CULTURAL EDUCACIONAL E ESPORTIVA NA PONTA DOS PÉS</t>
  </si>
  <si>
    <t>GRUPO ANJOS DA TIA STELLINHA</t>
  </si>
  <si>
    <t xml:space="preserve"> SOCIAL CORRENTE DO AMOR</t>
  </si>
  <si>
    <t xml:space="preserve"> VID'ART</t>
  </si>
  <si>
    <t xml:space="preserve"> HERDAR</t>
  </si>
  <si>
    <t xml:space="preserve"> DE EDUCACAO CULTURA E MINISTERIO EDUCARE</t>
  </si>
  <si>
    <t xml:space="preserve"> EDSON ROYER</t>
  </si>
  <si>
    <t xml:space="preserve"> DE CULTURA E LAZER EBENÉZER</t>
  </si>
  <si>
    <t xml:space="preserve"> RESGATANDO VIDAS</t>
  </si>
  <si>
    <t xml:space="preserve"> VIDAS PELO FUTURO</t>
  </si>
  <si>
    <t>ASSOCIAÇÃO CIDADANIA SOCIAL E SUSTENTABILIDADE</t>
  </si>
  <si>
    <t xml:space="preserve"> ENTRE ASPAS DE AÇÃO COMUNITARIA</t>
  </si>
  <si>
    <t xml:space="preserve"> VIDA REAL</t>
  </si>
  <si>
    <t xml:space="preserve"> PRIMEIRO ESTÁGIO DE ESPORTE CULTURA E EDUCAÇÃO</t>
  </si>
  <si>
    <t xml:space="preserve"> AMARGEN</t>
  </si>
  <si>
    <t xml:space="preserve"> MACUNAÍMA DE CULTURA - ESCOLA DE CIDADANIA</t>
  </si>
  <si>
    <t xml:space="preserve"> CASA DE BARRO - CULTURA ARTE EDUCAÇÃO</t>
  </si>
  <si>
    <t xml:space="preserve"> MIGUEL FERNANDES TORRES</t>
  </si>
  <si>
    <t xml:space="preserve"> MISSIONARIO METAMORFOSE</t>
  </si>
  <si>
    <t>RECICLANDO VIDAS</t>
  </si>
  <si>
    <t>COLETIVO AYOKÁ</t>
  </si>
  <si>
    <t>PROJETO TAMO JUNTO</t>
  </si>
  <si>
    <t>ASSOCIAÇÃO DE LAZER ESPORTE EDUCAÇÃO E CULTURA - LEEC</t>
  </si>
  <si>
    <t>VILA CARIOCA FERTIL</t>
  </si>
  <si>
    <t>ASSOCIAÇÃO SÃO VICENTE DE PAULO DO JD VITÓRIA</t>
  </si>
  <si>
    <t>ASSOC. C. RAIO DE CRISTAL</t>
  </si>
  <si>
    <t>COLETIVO AUTÔNOMO MORRO DA CRUZ</t>
  </si>
  <si>
    <t xml:space="preserve"> LIRA DE INCLUSÃO SOCIAL - ILIS</t>
  </si>
  <si>
    <t xml:space="preserve"> EGBE DÚDÚ</t>
  </si>
  <si>
    <t xml:space="preserve"> ÁRVORE DA VIDA</t>
  </si>
  <si>
    <t xml:space="preserve"> DE DESENVOLVIMENTO PESSOAL E SOCIAL OS SONHADORES</t>
  </si>
  <si>
    <t xml:space="preserve"> PRA TODO MUNDO</t>
  </si>
  <si>
    <t>PROJETO CABE +1</t>
  </si>
  <si>
    <t>EM CENA ARTE E CIDADANIA</t>
  </si>
  <si>
    <t>COMPLEXO ENCANTO GRUPO DE APOIO SOCIAL - CEGAS</t>
  </si>
  <si>
    <t xml:space="preserve"> MESTRE NORDESTINO</t>
  </si>
  <si>
    <t>ASSOCIAÇÃO COMUNITÁRIA DE AGENTES AMBIENTAIS</t>
  </si>
  <si>
    <t>PROJETO QUERO AJUDAR</t>
  </si>
  <si>
    <t>CRECHE ESCOLA MARIA DE NAZARÉ</t>
  </si>
  <si>
    <t>BALÉ DA RALE</t>
  </si>
  <si>
    <t>PROJETO SOCIAL PATRULHA DO BEM</t>
  </si>
  <si>
    <t>BRINCAR E APRENDER</t>
  </si>
  <si>
    <t>ASSOCIAÇÃO NOSSA CASA MÃE ÁFRICA ESTUDOS E COMUNICAÇÃO</t>
  </si>
  <si>
    <t>ARC -ASSOCIAÇÃO RECREATIVA E CULTURAL DO JARDIM TREZE DE MAIO</t>
  </si>
  <si>
    <t>ASSOCIAÇÃO VOAR</t>
  </si>
  <si>
    <t>CASA DAS JUVENTUDES / ASSOCIAÇÃO SANTO AGOSTINHO</t>
  </si>
  <si>
    <t xml:space="preserve"> TCHIBUM</t>
  </si>
  <si>
    <t xml:space="preserve"> TRANSFORMAR</t>
  </si>
  <si>
    <t>CAMA-CENTRO DE ARTE E MEIO AMBIENTE</t>
  </si>
  <si>
    <t>ASSOCIAÇÃO DE CAPOEIRA MULEKI É TU</t>
  </si>
  <si>
    <t xml:space="preserve"> DE CIDADANIA AMOR AO PRÓXIMO</t>
  </si>
  <si>
    <t xml:space="preserve"> DE ARTE E EDUCAÇÃO DA BAHIA</t>
  </si>
  <si>
    <t>VOZ NAS COMUNIDADES</t>
  </si>
  <si>
    <t>JAMPA INVISÍVEL</t>
  </si>
  <si>
    <t>ANGU DAS ARTES</t>
  </si>
  <si>
    <t>ASSOCIAÇÃO EDUCACIONAL ESPORTIVA E SOCIAL VOZ ATIVA</t>
  </si>
  <si>
    <t xml:space="preserve"> BRASILEIRO DE EXPEDIÇÕES SOCIAIS</t>
  </si>
  <si>
    <t xml:space="preserve"> EMPREGA+</t>
  </si>
  <si>
    <t>ASSOCIAÇÃO AMIGOS DE GEGÊ  FOS MORADORES DA GAMBOA DE BAIXO</t>
  </si>
  <si>
    <t>CENTRO COMUNITÁRIO MÁRIO ANDRADE</t>
  </si>
  <si>
    <t>ASSOCIAÇÃO PROJETO MALTRAPILHO</t>
  </si>
  <si>
    <t>TERERÊ KIDS PROJECT</t>
  </si>
  <si>
    <t>ASSOCIAÇÃO DE CULTURA E ARTES CASA DE BAMBAS</t>
  </si>
  <si>
    <t xml:space="preserve"> GERANDO SONHOS</t>
  </si>
  <si>
    <t xml:space="preserve"> FLORIANO PEÇANHA DOS SANTOS</t>
  </si>
  <si>
    <t>CENTRO COMUNITÁRIO MANOEL VITORINO</t>
  </si>
  <si>
    <t>ASSOCIAÇÃO AMOR E VIDA</t>
  </si>
  <si>
    <t xml:space="preserve"> QUADRO DE ESPERANÇA</t>
  </si>
  <si>
    <t>NEAC - NÚCLEO ESPECIAL DE ATENÇÃO À CRIANÇA</t>
  </si>
  <si>
    <t xml:space="preserve"> VERDE CRIANDO VIDAS</t>
  </si>
  <si>
    <t xml:space="preserve"> EMARCA DE PESQUISA E EDUCACAO PROFESSIONAL</t>
  </si>
  <si>
    <t xml:space="preserve"> ROSA REVIVER</t>
  </si>
  <si>
    <t xml:space="preserve"> MOVER VIDAS</t>
  </si>
  <si>
    <t>BOA SAFRA TEAM</t>
  </si>
  <si>
    <t>VOLUNTÁRIOS FAZENDO CRIANÇA SORRIR</t>
  </si>
  <si>
    <t>FUNDAÇÃO BENEFICENTE EVANGÉLICA JESUS DE NAZARÉ</t>
  </si>
  <si>
    <t>M.A.L.O.C.A.( MOVIMENTO ARTICULADO LIBERTÁRIO ORGANIZADO EM PROL DA CIDADANIA E DO APOIO SOCIAL)</t>
  </si>
  <si>
    <t>GRUPO CENTRAL CULTURA URBANA</t>
  </si>
  <si>
    <t>CENTRO SOCIAL COMUNITÁRIO FAVELA EM DESENVOLVIMENTO</t>
  </si>
  <si>
    <t xml:space="preserve"> AME MAIS</t>
  </si>
  <si>
    <t>AMIGOS DA SOLIDARIEDADE RJ</t>
  </si>
  <si>
    <t>PROJETO AVANTE</t>
  </si>
  <si>
    <t xml:space="preserve"> É POSSÍVEL SONHAR</t>
  </si>
  <si>
    <t>ASSOCIAÇÃO  DE MULHERES NEGRAS HERDEIRAS DE CANDACES</t>
  </si>
  <si>
    <t>CANTINHO DA BELINHA</t>
  </si>
  <si>
    <t>FÓRUM DE JUVENTUDES DO TERRITÓRIO DO BEM</t>
  </si>
  <si>
    <t>CENTRO CULTURAL RITA DE CASSIA</t>
  </si>
  <si>
    <t>ASSOCIAÇÃO RAÍZES DE GERICINÓ</t>
  </si>
  <si>
    <t>RONGO-RJ - ASSOCIAÇÃO REGIÃO DE OFICINA NACIONAL DE GRAFITE ORGANIZADO DO RIO DE JANEIRO</t>
  </si>
  <si>
    <t xml:space="preserve"> RAÍZES</t>
  </si>
  <si>
    <t>INSTUTUTO CULTURAL E SOCIAL COLORADO</t>
  </si>
  <si>
    <t>SEMPRE CRIANÇA</t>
  </si>
  <si>
    <t>ASSOCIAÇÃO PROVER</t>
  </si>
  <si>
    <t>CAÇADORES</t>
  </si>
  <si>
    <t xml:space="preserve"> ÁGAPE</t>
  </si>
  <si>
    <t>ORGANIZAÇÃO DE DESENVOLVIMENTO DO POTENCIAL HUMANO</t>
  </si>
  <si>
    <t>ASSOCIAÇÃO COMUNIDADE SOLIDÁRIA DO JARDIM SÃO BERNARDO</t>
  </si>
  <si>
    <t>JUDO UNIAO DE GUAIANASES</t>
  </si>
  <si>
    <t>MULTIPLICAR O AMOR INCLUIR O SABER</t>
  </si>
  <si>
    <t>ENTREGUE SORRISOS</t>
  </si>
  <si>
    <t>UNIÃO MARCIAL MAUÁ</t>
  </si>
  <si>
    <t>ASSOCIAÇÃO ARTE DE AMAR</t>
  </si>
  <si>
    <t>IMPACTAÇÃO TRANSFORMAÇÃO SOCIAL</t>
  </si>
  <si>
    <t xml:space="preserve"> NOVA UNIÃO DA ARTE</t>
  </si>
  <si>
    <t xml:space="preserve"> MOVIMENTO PARA A VIDA</t>
  </si>
  <si>
    <t>COLETIVO CARANGUEJO TABAIARES RESISTE</t>
  </si>
  <si>
    <t>LEIA E APRENDA</t>
  </si>
  <si>
    <t>ASSOCIAÇAO INFANCIA E FAMILIA</t>
  </si>
  <si>
    <t>CASA DE APOIO À CRIANÇA COM CÂNCER VIDA DIVINA</t>
  </si>
  <si>
    <t xml:space="preserve"> NOVA CHANCE</t>
  </si>
  <si>
    <t>ESPAÇO CULTURAL NOVA BONSUCESSO</t>
  </si>
  <si>
    <t>PROJETO PELA RUA PELO REINO</t>
  </si>
  <si>
    <t>ABC MUNDO NOVO</t>
  </si>
  <si>
    <t>ASSOCIAÇÃO DE PROTEÇÃO À INFÂNCIA VOVÔ VITORINO</t>
  </si>
  <si>
    <t>ASSOCIAÇÃO ETHOS SUSTENTÁVEL</t>
  </si>
  <si>
    <t xml:space="preserve"> ECLESIA MOVEMENT</t>
  </si>
  <si>
    <t>ASSOCIAÇÃO MISSÃO EM AÇÃO SOCIAL - AMEAS</t>
  </si>
  <si>
    <t>PATRONATO JUVENIL GARCENSE</t>
  </si>
  <si>
    <t>ASSOCIAÇÃO ZEDAKAH DE JUSTIÇA SOCIAL</t>
  </si>
  <si>
    <t>ASSOCIAÇÃO SERVOS</t>
  </si>
  <si>
    <t>ASSOCIAÇÃO COMUNITÁRIA MARIA JOÃO DE DEUS</t>
  </si>
  <si>
    <t>ASSOCIAÇÃO DE APOIO ÀS FAMÍLIAS VULNERÁVEIS</t>
  </si>
  <si>
    <t>NÚCLEO DE APOIO AO PEQUENO CIDADÃO</t>
  </si>
  <si>
    <t xml:space="preserve"> FÁBRICA DE VENCEDOR</t>
  </si>
  <si>
    <t>ASSOCIACAO ELISABETH BRUYERE</t>
  </si>
  <si>
    <t>ASSOCIAÇÃO BRASILEIRA MISSÃO E ESPERANÇA (ASBRAME)</t>
  </si>
  <si>
    <t>COLETIVO VIDA NOVA</t>
  </si>
  <si>
    <t xml:space="preserve"> CRIANÇA MAIS FELIZ RS</t>
  </si>
  <si>
    <t xml:space="preserve"> FELIZ CIDADE</t>
  </si>
  <si>
    <t>INSTITUIÇÃO DE INCENTIVO À CRIANÇA E AO ADOLESCENTE DE MOGI MIRIM</t>
  </si>
  <si>
    <t>ASSOCIAÇÃO DE APOIO A MÃES DE ESPECIAIS-  AME</t>
  </si>
  <si>
    <t>FUNDAÇÃO GETSÊMANI</t>
  </si>
  <si>
    <t>C.A.E.F.A - CENTRO DE APOIO A EDUCAÇÃO E FORMAÇÃO DO ADOLESCENTE</t>
  </si>
  <si>
    <t>PERALTA</t>
  </si>
  <si>
    <t>DOA CG</t>
  </si>
  <si>
    <t xml:space="preserve"> PAPEL DE MENINO</t>
  </si>
  <si>
    <t>JUNTA QUE AJUDA</t>
  </si>
  <si>
    <t>INSPIRANDO GERAÇÕES EM AMOR</t>
  </si>
  <si>
    <t>ASSOCIAÇÃO BENEFICENTE EDUCACIONAL TABERNACULO</t>
  </si>
  <si>
    <t>ASSOCIAÇÃO VIVENDO A ARTE</t>
  </si>
  <si>
    <t>DESPERTANDO AMOR HOJE</t>
  </si>
  <si>
    <t>ASSOCIAÇÃO SEMEANDO AMOR</t>
  </si>
  <si>
    <t>ASSOCIAÇÃO PROJETO ESPERANÇA DO BRASIL</t>
  </si>
  <si>
    <t>SOCIEDADE BENEFICIENTE ISRAELITA BRASILEIRA TALMUD THORA</t>
  </si>
  <si>
    <t xml:space="preserve"> PRO MAIS</t>
  </si>
  <si>
    <t xml:space="preserve"> DE DESENVOLVIMENTO HUMANO,SOCIAL,ECONÔMICO E CULTURAL "MANÁ DO CÉU PARA OS POVOS"</t>
  </si>
  <si>
    <t>CASA DA REVOLUÇÃO/PROJETO ESMERALDA</t>
  </si>
  <si>
    <t>ASSOCIAÇÃO CRIANÇA FELIZ DE SOROCABA</t>
  </si>
  <si>
    <t>PROJETO DESAFIANDO GIGANTES</t>
  </si>
  <si>
    <t>ASOCIAÇÃO BENEFICIENTE ARCA DA VITORIA</t>
  </si>
  <si>
    <t>PROGRAMA DE ASSISTÊNCIA AS CRIANÇAS E ADOLESCENTES</t>
  </si>
  <si>
    <t xml:space="preserve"> SEMENTINHA PARA EDUCAÇÃO E PROTEÇÃO A CRIANÇA E AO ADOLESCENTE</t>
  </si>
  <si>
    <t xml:space="preserve"> NACIONAL LAR DOS SONHOS</t>
  </si>
  <si>
    <t>ONG ESPERANÇA BRASIL</t>
  </si>
  <si>
    <t xml:space="preserve"> DAH ARAUJO</t>
  </si>
  <si>
    <t xml:space="preserve"> REVIVER</t>
  </si>
  <si>
    <t>ASSOCIAÇÃO CASA UP</t>
  </si>
  <si>
    <t xml:space="preserve"> F.S.D.</t>
  </si>
  <si>
    <t>BATUCARTE</t>
  </si>
  <si>
    <t>CHEGANÇA ESCOLA</t>
  </si>
  <si>
    <t>ESPAÇO SOCIAL E CULTURAL É TUDO NOSSO</t>
  </si>
  <si>
    <t>APAT - ASSOCIAÇÃO DE PAIS E AMIGOS DOS TENISTAS DE OURO BRANCO</t>
  </si>
  <si>
    <t>ACTUM BRAZIL</t>
  </si>
  <si>
    <t>O BOM SAMARITANO CONTAGEM</t>
  </si>
  <si>
    <t xml:space="preserve"> ESPERANÇA</t>
  </si>
  <si>
    <t xml:space="preserve"> ZOE DE MURIAÉ</t>
  </si>
  <si>
    <t>ASSOCIAÇÃO JOGANDO PELO REINO</t>
  </si>
  <si>
    <t>ASSOCIAÇÃO CASA DE GENTIL CULTURAS E CONVÍVIOS</t>
  </si>
  <si>
    <t>COLETIVO ARAUTOS DA POESIA</t>
  </si>
  <si>
    <t>VIADUTO DAS ARTES</t>
  </si>
  <si>
    <t>ASSOCIAÇÃO PROJETO PRÓ BEM</t>
  </si>
  <si>
    <t>ASSOCIAÇÃO BRASILEIRA FEMININA DE BODYBOARDING</t>
  </si>
  <si>
    <t>ASSOCIAÇÃO ESPORTIVA CULTURAL E E EDUCACIONAL ABRAÇO CAMPEÃO</t>
  </si>
  <si>
    <t xml:space="preserve"> RESGATANDO VIDAS PARA VIDA</t>
  </si>
  <si>
    <t>ASSOCIAÇÃO CULTURAL ARAUTOS DO GUETO</t>
  </si>
  <si>
    <t xml:space="preserve"> CORES DO MARÁ</t>
  </si>
  <si>
    <t xml:space="preserve"> DE CAPACITAÇÃO E AÇÃO SOCIAL O GRITO</t>
  </si>
  <si>
    <t>SOCIEDADE ESPÍRITA TRABALHO E ESPERANÇA</t>
  </si>
  <si>
    <t xml:space="preserve"> MANDAVER</t>
  </si>
  <si>
    <t>ASSOCIAÇÃO UM CHUTE PARA O FUTURO</t>
  </si>
  <si>
    <t>ASSOCIAÇÃO MENINOS DA ARACY</t>
  </si>
  <si>
    <t>INCANTO -  DE CULTURA ARTE E NOVAS TECNOLOGIAS</t>
  </si>
  <si>
    <t>ASSOCIAÇÃO SEMENTES DO VALE</t>
  </si>
  <si>
    <t>PROJETO AMOR E ESPERANÇA/ ASSOCIAÇÃO CONSTRUINDO A CIDADANIA</t>
  </si>
  <si>
    <t>ASSOCIAÇÃO EMAÚS</t>
  </si>
  <si>
    <t xml:space="preserve"> KATIANA PENA</t>
  </si>
  <si>
    <t xml:space="preserve"> GERANDO FALCÕES - UNIDADE POÁ</t>
  </si>
  <si>
    <t xml:space="preserve"> GERANDO FALCÕES - UNIDADE SUZANO</t>
  </si>
  <si>
    <t xml:space="preserve"> GERANDO FALCÕES - UNIDADE FERRAZ</t>
  </si>
  <si>
    <t xml:space="preserve"> FAMÍLIA CHEGADOS</t>
  </si>
  <si>
    <t>BIBLIOTECA COMUNITÁRIA ESPAÇO LITERÁRIO LIVRO LIVRE</t>
  </si>
  <si>
    <t>ASSOCIAÇÃO DOS CUIDADORES DE PESSOAS EM SITUAÇÃO DE VULNERABILIDADE NA BAHIA</t>
  </si>
  <si>
    <t xml:space="preserve"> 7 GERAÇÕES</t>
  </si>
  <si>
    <t>BUTIJA SOCIAL ESPORTE E CULTURA</t>
  </si>
  <si>
    <t>ASSOCIACAO CENTRO DE APOIO ACOLHER</t>
  </si>
  <si>
    <t>ASSOCIAÇÃO DE MULHERES NEGRAS DO ACRE E SEUS APOIADORES</t>
  </si>
  <si>
    <t>ASSOCIAÇÃO CASA HACKER</t>
  </si>
  <si>
    <t>ASSOCIAÇÃO CIVIL PROJETO JUVENTUDE ESPERANÇA DO AMANHÃ</t>
  </si>
  <si>
    <t>PROJETO TERNURA</t>
  </si>
  <si>
    <t xml:space="preserve"> RASTRO</t>
  </si>
  <si>
    <t xml:space="preserve"> MAIS VIDA</t>
  </si>
  <si>
    <t xml:space="preserve"> QUINTAL TIA JURA</t>
  </si>
  <si>
    <t>ASSOCIAÇÃO SOCIAL SAGRADA FAMÍLIA</t>
  </si>
  <si>
    <t>EXTRAORDINÁRIOS</t>
  </si>
  <si>
    <t>MUCA - MULHERES UNIDAS DO CARATOIRA</t>
  </si>
  <si>
    <t>CENTRO DE CIDADANIA VIDA NOVA BELFORD ROXO PIAM</t>
  </si>
  <si>
    <t xml:space="preserve"> SOCIAL CULTURAL DE APOIO À VIDA PADRE ALCIDES TRES</t>
  </si>
  <si>
    <t>PATRONATO SANTANA</t>
  </si>
  <si>
    <t>ASSOCIAÇÃO CULTURAL E SOCIAL VILA NOVA</t>
  </si>
  <si>
    <t xml:space="preserve"> JUDO REGASTANDO VIDAS</t>
  </si>
  <si>
    <t xml:space="preserve"> DESENVOLVIMENTO ESPERANÇA</t>
  </si>
  <si>
    <t>AMIGUINHOS DE JESUS CURIO</t>
  </si>
  <si>
    <t>IDEAL DO AMANHÃ GUAICUY</t>
  </si>
  <si>
    <t>PROJETO SOCIAL E CULTURAL REGATY</t>
  </si>
  <si>
    <t>ASSOCIAÇÃO DE MORADORES DA RUA TRAVASSOS</t>
  </si>
  <si>
    <t>TEREZINHA OSMARI BAGATINI</t>
  </si>
  <si>
    <t>INSTITUIÇÃO SOCIEDADE PLURAL SÃO JOÃO BATISTA / ISP-SJB</t>
  </si>
  <si>
    <t>ASSOCIAÇÃO NÚCLEO DE EDUCAÇÃO COMUNITÁRIA DO COROADINHO</t>
  </si>
  <si>
    <t xml:space="preserve"> DICA FERREIRA</t>
  </si>
  <si>
    <t xml:space="preserve"> CONQUIST</t>
  </si>
  <si>
    <t xml:space="preserve"> ATITUDE SP</t>
  </si>
  <si>
    <t xml:space="preserve"> SOCIOAMBIENTAL DAS VERTENTES</t>
  </si>
  <si>
    <t xml:space="preserve"> PROJETO CRIA - CULTURA E EDUCAÇÃO</t>
  </si>
  <si>
    <t>COMUNIDADE PORTA DA ESPERANÇA DO BAIRRO PADRE ANDRADE</t>
  </si>
  <si>
    <t>ONG HERÓIS DOS LACRES</t>
  </si>
  <si>
    <t xml:space="preserve"> JOSEFINA BAKHITA</t>
  </si>
  <si>
    <t xml:space="preserve"> SOCIAL NOVO OLHAR</t>
  </si>
  <si>
    <t>SOMOS TODOS MURIBECA - STM</t>
  </si>
  <si>
    <t>PROJETO SITIO CIPÓ</t>
  </si>
  <si>
    <t>FAMÍLIA LANATANPA</t>
  </si>
  <si>
    <t>ONG  VITÓRIA DE SÁ</t>
  </si>
  <si>
    <t>AGENTES DE TRANSFORMAÇÃO ASSOCIAÇÃO CIVIL</t>
  </si>
  <si>
    <t>GESCA - GRÊMIO EDUCACIONAL* SOCIAL E CULTURAL ÁGUIAS DE SANTO ANTÔNIO DE JESUS</t>
  </si>
  <si>
    <t xml:space="preserve"> BATUCANDO A ESPERANÇA</t>
  </si>
  <si>
    <t>ASSOCIAÇÃO MÃO NO ARADO</t>
  </si>
  <si>
    <t xml:space="preserve"> SOCIAL DE ASSISTÊNCIA COMUNITÁRIA MÃO AMIGA</t>
  </si>
  <si>
    <t xml:space="preserve"> S.O.S PERIFERIA</t>
  </si>
  <si>
    <t>ASSOCIAÇÃO DEFICIÊNCIA SUPERANDO LIMITES - ADESUL</t>
  </si>
  <si>
    <t>COLETIVO OLHANDO PRA FRENTE</t>
  </si>
  <si>
    <t xml:space="preserve"> CONERAGIR</t>
  </si>
  <si>
    <t>PROJETO SEMENTES DA FÉ</t>
  </si>
  <si>
    <t xml:space="preserve"> DE DESENVOLVIMENTO ARTÍSTICO E CULTURAL DO CEARÁ</t>
  </si>
  <si>
    <t xml:space="preserve"> PATERNUS</t>
  </si>
  <si>
    <t>ENCANTOS  SÓCIO CULTURAL E BENEFICENTE</t>
  </si>
  <si>
    <t xml:space="preserve"> DONA MARIA</t>
  </si>
  <si>
    <t>ASSOCIAÇÃO EDUCACIONAL* CULTURAL E SOCIAL APRENDER</t>
  </si>
  <si>
    <t xml:space="preserve"> MARIANA</t>
  </si>
  <si>
    <t>ASSOCIAÇÃO COMUNITARIA TRANSFORMAR</t>
  </si>
  <si>
    <t>COLETIVO MULHERES DO BRASIL EM AÇÃO CMBA</t>
  </si>
  <si>
    <t xml:space="preserve"> SUBLIM</t>
  </si>
  <si>
    <t xml:space="preserve"> SOCIAL DE TODO CORAÇÃO</t>
  </si>
  <si>
    <t>ONG CENTRO  ZUMBI DOS PALMARES</t>
  </si>
  <si>
    <t>ENSINAR XADREZ PARA AS CRIANÇAS QUE NECESSITAM UM FUTURO MELHOR</t>
  </si>
  <si>
    <t>DELÍ­CIAS CASEIRAS</t>
  </si>
  <si>
    <t xml:space="preserve"> ANTÔNIO COELHO DE CASTRO</t>
  </si>
  <si>
    <t>CENTRO DE INTEGRAÇÃO SOCIAL E CULTURAL  - CISC "UMA CHANCE"</t>
  </si>
  <si>
    <t xml:space="preserve"> PASSO DE ANJO</t>
  </si>
  <si>
    <t xml:space="preserve"> LIVROS EM TODO LUGAR</t>
  </si>
  <si>
    <t xml:space="preserve"> GERAÇÃO TATAMI</t>
  </si>
  <si>
    <t>PROJETO SOCIAL SIM! EU SOU DE SANTA TEREZA</t>
  </si>
  <si>
    <t>PROJETO ESPALHE CESTAS</t>
  </si>
  <si>
    <t>CORRENTE DO BEMFSA</t>
  </si>
  <si>
    <t>ASSOCIAÇÃO PROJETO SURFAR</t>
  </si>
  <si>
    <t>PROJETO SOCIAL FAZER O BEM FAZ BEM A VIDA</t>
  </si>
  <si>
    <t xml:space="preserve"> MAIS MULHER</t>
  </si>
  <si>
    <t xml:space="preserve"> CAUSADORES DA ALEGRIA</t>
  </si>
  <si>
    <t>CENTRO DE RECUPERAÇÃO E EDUCAÇÃO NUTRICIONAL</t>
  </si>
  <si>
    <t>CIDADELA CENTRO CULTURAL E AMBIENTAL</t>
  </si>
  <si>
    <t>PROJETO SAUDE NOS BAIRROS</t>
  </si>
  <si>
    <t>ASSOCIAÇÃO CIDADANIA* DESPORTO* LAZER E CULTURA- CELC</t>
  </si>
  <si>
    <t xml:space="preserve"> TIA FLÁVIA</t>
  </si>
  <si>
    <t xml:space="preserve"> CARANGONDÉ CIDADANIA</t>
  </si>
  <si>
    <t xml:space="preserve"> SÓ ALEGRIA</t>
  </si>
  <si>
    <t>REDE POSTINHO DE SAÚDE ORGANIZAÇÃO DE SAÚDE PREVENTIVA MULTIDISCIPLINAR SOCIAL</t>
  </si>
  <si>
    <t xml:space="preserve"> SAINT NICHOLAS CARE</t>
  </si>
  <si>
    <t>ASSOCIAÇÃO SOCIOCULTURAL DO BOM JARDIM</t>
  </si>
  <si>
    <t>COLAÍ MOVIMENTO DE CULTURA</t>
  </si>
  <si>
    <t>ASSOCIAÇÃO DOS REUMÁTICOS DE UBERLÂNDIA E REGIÃO - ARUR</t>
  </si>
  <si>
    <t>NUCLEO DE APOIO A COMUNIDADES</t>
  </si>
  <si>
    <t>ASSOCIAÇÃO ONG DO RISO</t>
  </si>
  <si>
    <t xml:space="preserve"> PORTAL DAS CORES</t>
  </si>
  <si>
    <t>ASSOCIAÇÃO LER E SABER NA COMUNIDADE</t>
  </si>
  <si>
    <t xml:space="preserve"> PORTAL SOCIAL DA PONTE</t>
  </si>
  <si>
    <t>PROJETO BRIGADA SOLIDÁRIA</t>
  </si>
  <si>
    <t>ASSOCIAÇÃO DOS MORADORES DA COMUNIDADE DO BAIRRO ZITA CUNHA</t>
  </si>
  <si>
    <t>BERIMBAU HOSTEL E COZINHA ARTESANAL</t>
  </si>
  <si>
    <t>THAIS MONIQUE GERVÁSIO DE MORAES WANDERLEY</t>
  </si>
  <si>
    <t>PROJETO SOCIAL</t>
  </si>
  <si>
    <t>CRIEATIVIDADE GESTÃO ESPORTIVA EMPRESARIAL LTDA</t>
  </si>
  <si>
    <t>ONG POTIARTE EDUCAÇÃO PAE PROJETO ABC HIP HOP KIDS</t>
  </si>
  <si>
    <t>ASSOCIAÇÃO SHOTO KARATÊ DO KAI</t>
  </si>
  <si>
    <t>CENTRO COMUNITÁRIO DO RADIONAL E ADJACÊNCIAS</t>
  </si>
  <si>
    <t>ASSOCIAÇÃO COMUNITÁRIA DE CONSTRUÇÃO NOVO AMANHECER</t>
  </si>
  <si>
    <t>ASSOCIAÇÃO DAS MULHERES DE NAZARÉ DA MATA</t>
  </si>
  <si>
    <t>COMUNIDADE PRO MORADIA</t>
  </si>
  <si>
    <t>ASSOCIAÇÃO INTEGRANDO E CONSTRUINDO O CONHECIMENTO-AICC</t>
  </si>
  <si>
    <t xml:space="preserve"> MUCAMBO</t>
  </si>
  <si>
    <t>MULHERES EM SUPERAÇÃO NA AMAZÔNIA</t>
  </si>
  <si>
    <t>CONJER - CONSELHO COMUNITÁRIO DO ALTO JERUSALÉM</t>
  </si>
  <si>
    <t>NÃO POSSUI</t>
  </si>
  <si>
    <t xml:space="preserve"> SEMEAR PLANTAR E TRANSFORMAR</t>
  </si>
  <si>
    <t>CECRE CENTRO EDUCACIONAL COMUNITÁRIO REDENÇÃO</t>
  </si>
  <si>
    <t xml:space="preserve"> EDUCAR GOLANDIM</t>
  </si>
  <si>
    <t>ASSOCIAÇÃO ESPORTIVA CULTURAL E EDUCACIONAL  IGOR CHATUBINHA</t>
  </si>
  <si>
    <t>MOTIRÔ</t>
  </si>
  <si>
    <t xml:space="preserve"> MISTURAÍ</t>
  </si>
  <si>
    <t>PROJETO RESGATE UMA VIDA</t>
  </si>
  <si>
    <t>EMANUELA TEREZA BETANCOURT ORTIZ FERREIRA</t>
  </si>
  <si>
    <t>ONG RESGATANDO A INOCENCIA</t>
  </si>
  <si>
    <t>CCM - CENTRO CULTURAL MAMULENGO</t>
  </si>
  <si>
    <t>GRUPO COMUNITÁRIO SEMENTE DA ESPERANÇA</t>
  </si>
  <si>
    <t xml:space="preserve"> DE DESENVOLVIMENTO E PROTEÇÃO SOCIAL</t>
  </si>
  <si>
    <t>CENTRO COMUNITÁRIO DO ROSARINHO</t>
  </si>
  <si>
    <t>MAAC - MOVIMENTO DE ARTICULAÇÃO AMBIENTAL E CULTURAL</t>
  </si>
  <si>
    <t>SOCIEDADE UNIÃO DA VILA DOS EUCALIPTOS - SUVE</t>
  </si>
  <si>
    <t xml:space="preserve"> AMAR</t>
  </si>
  <si>
    <t>ASSOIAÇÃO MÃES QUE INFORMAM</t>
  </si>
  <si>
    <t>CHEF ANGELO MAGNO</t>
  </si>
  <si>
    <t xml:space="preserve"> CPL PARÁ DE MINAS</t>
  </si>
  <si>
    <t>ASSOCIAÇÃO PARCEIROS DA ALEGRIA</t>
  </si>
  <si>
    <t xml:space="preserve"> BRASILEIRO DE EXECUTIVOS DE FINANÇAS DO PARANÁ</t>
  </si>
  <si>
    <t>ASSOCIAÇÃO REMEDIAR</t>
  </si>
  <si>
    <t>ASSOCIAÇÃO DE MORADORES DE MONTE CRISTO</t>
  </si>
  <si>
    <t>SOFTWARE E PROCESSOS LTDA</t>
  </si>
  <si>
    <t xml:space="preserve"> SOMOS ÁGAPE</t>
  </si>
  <si>
    <t>CENTRO DOS JOVENS UNIDOS NA MILITANCIA COMUNITARIA DE PAULISTA</t>
  </si>
  <si>
    <t>PROJETO UNIÃO PARQUE</t>
  </si>
  <si>
    <t>PROJETO FLOR DE LÓTUS</t>
  </si>
  <si>
    <t>ARCANJO GABRIEL</t>
  </si>
  <si>
    <t>COMISSÃO SOLIDÁRIA VILA DA BARCA</t>
  </si>
  <si>
    <t>JOSÉ JUNIOR TEIXEIRA</t>
  </si>
  <si>
    <t>ASSOCIAÇÃO ESTRELAS DO AMANHÃ</t>
  </si>
  <si>
    <t xml:space="preserve"> CONFORME</t>
  </si>
  <si>
    <t xml:space="preserve"> DE ESTUDOS E PRESERVAÇÃO DAS CULTURAS INDÊ­GENAS BRASILEIRAS</t>
  </si>
  <si>
    <t>PROJETO ASSISTENCIAL SEMENTES DE ESPERANÇA</t>
  </si>
  <si>
    <t>GERAÇÃO GK</t>
  </si>
  <si>
    <t>CAISCA - CENTRO DE ARTES E INTEGRAÇÃO SOCIAL PARA CRIANÇAS E ADOLESCENTE</t>
  </si>
  <si>
    <t>CONSELHO COMUNITÁRIO DE AÇÕES SOCIAIS DO CONJUNTO VILA VELHA</t>
  </si>
  <si>
    <t>OSCIP JOVEM SERTÃO</t>
  </si>
  <si>
    <t>ASSOCIAÇÃO LIVRE - CENTRO DE FORMAÇÃO E TRANSFORMAÇÃO SOCIAL (TRANSFORMAR)</t>
  </si>
  <si>
    <t xml:space="preserve"> JUNTOS SOMOS MAIS FORTES</t>
  </si>
  <si>
    <t>NOSSA RAZÃO E UMA SOCIEDADE IGUAL PARA TODOS ! QUE FAMÍLIA CARENTES TENHA DIRETO ALIMENTAÇÃO DIGNA E EDUCAÇÃO PARA TODOS PARA UM FUTURO COM MAS IGUALDADE!</t>
  </si>
  <si>
    <t xml:space="preserve"> CULTURAL ANÍBAL MACHADO</t>
  </si>
  <si>
    <t xml:space="preserve"> BATISTA SIMON PR SIMON HORBACZYK</t>
  </si>
  <si>
    <t xml:space="preserve"> NACIONAL DE DESENVOLVIMENTO SOCIAL E QUALIFICAÇÃO PROFISSIONAL</t>
  </si>
  <si>
    <t xml:space="preserve"> AMPARANDO</t>
  </si>
  <si>
    <t xml:space="preserve"> SILVEIRA MARQUES</t>
  </si>
  <si>
    <t>PRÓ-AÇÃO DE APOIO A EDUCAÇÃO E CIDADANIA</t>
  </si>
  <si>
    <t xml:space="preserve"> KALEO</t>
  </si>
  <si>
    <t>PROJETO FORÇA JOVEM</t>
  </si>
  <si>
    <t xml:space="preserve"> REGGARTE</t>
  </si>
  <si>
    <t xml:space="preserve"> JOAQUIM TÁVORA</t>
  </si>
  <si>
    <t>ASSOCIAÇÃO BENEFICENTE HEBROM (NÚCLEO TEFÉ AM)</t>
  </si>
  <si>
    <t>ASSOCIAÇÃO BENEFICENTE DA CRIANÇA E DO ADOLESCENTE</t>
  </si>
  <si>
    <t xml:space="preserve"> DE DESENVOLVIMENTO ESPORTIVO* SOCIAL E CULTURAL IMPACTANDO GERAÇÕES</t>
  </si>
  <si>
    <t xml:space="preserve"> USINA DOS ATOS</t>
  </si>
  <si>
    <t>ASSOCIAÇÃO COMUNITÁRIA UNIÃO POTENGI</t>
  </si>
  <si>
    <t>COLETIVO CULTURAL E SOCIAL SOL NASCENTE</t>
  </si>
  <si>
    <t xml:space="preserve"> DE ARTE E CIDADANIA DO CEARÁ</t>
  </si>
  <si>
    <t>SEBASTIÃO EDEMYR E. LEITE-ME</t>
  </si>
  <si>
    <t xml:space="preserve">ZHALUART </t>
  </si>
  <si>
    <t>ASSOCIAÇÃO ELAS PODEM RN</t>
  </si>
  <si>
    <t>ASSOCIAÇÃO TONKIRI VOA</t>
  </si>
  <si>
    <t>TRANSFORMADO VIDAS E MUDANDO A SOCIEDADE! PRINCÍPIOS BÍBLICOS / EDUCAÇÃO / CULTURA / ESPORTE / QUALIFICAÇÃO/ INOVAÇÃO /TECNOLOGIA /</t>
  </si>
  <si>
    <t>CENTRO ESCOLA MANGUE</t>
  </si>
  <si>
    <t>validacao_ctg</t>
  </si>
  <si>
    <t>Record ID</t>
  </si>
  <si>
    <t>Result</t>
  </si>
  <si>
    <t>Timestamp</t>
  </si>
  <si>
    <t>OK</t>
  </si>
  <si>
    <t>2022-09-13 13:01</t>
  </si>
  <si>
    <t>Estado</t>
  </si>
  <si>
    <t xml:space="preserve">E-mail </t>
  </si>
  <si>
    <t>Nome Líder</t>
  </si>
  <si>
    <t>Endereço</t>
  </si>
  <si>
    <t>Cidade</t>
  </si>
  <si>
    <t>Razão Social</t>
  </si>
  <si>
    <t>ASSOCIAÇÃO ANAJÔ</t>
  </si>
  <si>
    <t>ASSOCIAÇÃO BENEFICENTE EVANGÉLICA DA FLORESTA IMPERIAL DE NOVO HAMBURGO</t>
  </si>
  <si>
    <t>ASSOCIAÇÃO DE APOIO A MÃES DE ESPECIAIS- INSTITUTO AME</t>
  </si>
  <si>
    <t>ASSOCIAÇÃO DE MORADORES DO JARDIM NEMARI E VILA MARTINS</t>
  </si>
  <si>
    <t>ASSOCIAÇÃO DE SURF DA PRAIA DE MIAMI E AREIA PRETA</t>
  </si>
  <si>
    <t>ASSOCIAÇÃO ENSINANDO A PESCAR</t>
  </si>
  <si>
    <t>ASSOCIAÇÃO ESPORTIVA CULTURAL E EDUCACIONAL INSTITUTO IGOR CHATUBINHA</t>
  </si>
  <si>
    <t>ASSOCIAÇÃO INSTITUTO DE MULHERES NEGRAS HERDEIRAS DE CANDACES</t>
  </si>
  <si>
    <t>ASSOCIAÇÃO PLENITUDE DO AMOR (APA)</t>
  </si>
  <si>
    <t>AVGG - ASSOCIAÇÃO DE VOLUNTÁRIOS GRUPO GOIANIANIA</t>
  </si>
  <si>
    <t>CENTRO COMUNITÁRIO DA PAZ</t>
  </si>
  <si>
    <t>ESPORTE E EDUCAÇÃO</t>
  </si>
  <si>
    <t>FAVELA SURF CLUBE</t>
  </si>
  <si>
    <t>FAZER A DIFERENÇA</t>
  </si>
  <si>
    <t>INCANTO - INSTITUTO DE CULTURA ARTE E NOVAS TECNOLOGIAS</t>
  </si>
  <si>
    <t>INSTITUIÇÃO CULTURAL TRANSMUTAR GERAÇÃO</t>
  </si>
  <si>
    <t>INSTITUTO 100% MORRO</t>
  </si>
  <si>
    <t>INSTITUTO 7 GERAÇÕES</t>
  </si>
  <si>
    <t>INSTITUTO ÁGAPE</t>
  </si>
  <si>
    <t>INSTITUTO ALMAS AZUIS</t>
  </si>
  <si>
    <t>INSTITUTO AME MAIS</t>
  </si>
  <si>
    <t>INSTITUTO ANTÔNIO COELHO DE CASTRO</t>
  </si>
  <si>
    <t>INSTITUTO ÁRVORE DA VIDA</t>
  </si>
  <si>
    <t>INSTITUTO AS VALQUIRIAS</t>
  </si>
  <si>
    <t>INSTITUTO BATISTA SIMON PR SIMON HORBACZYK</t>
  </si>
  <si>
    <t>INSTITUTO BATUCANDO A ESPERANÇA</t>
  </si>
  <si>
    <t>INSTITUTO BRASILEIRO DE EXECUTIVOS DE FINANÇAS DO PARANÁ</t>
  </si>
  <si>
    <t>INSTITUTO CARANGONDÉ CIDADANIA</t>
  </si>
  <si>
    <t>INSTITUTO CONERAGIR</t>
  </si>
  <si>
    <t>INSTITUTO CONQUIST</t>
  </si>
  <si>
    <t>INSTITUTO CORES DO MARÁ</t>
  </si>
  <si>
    <t>INSTITUTO CRIANÇA MAIS FELIZ RS</t>
  </si>
  <si>
    <t>INSTITUTO CRISTIANE CAMARGO</t>
  </si>
  <si>
    <t>INSTITUTO CULTURAL ANÍBAL MACHADO</t>
  </si>
  <si>
    <t>INSTITUTO DAH ARAUJO</t>
  </si>
  <si>
    <t>INSTITUTO DE ARTE E CIDADANIA DO CEARÁ</t>
  </si>
  <si>
    <t>INSTITUTO DE ARTE E EDUCAÇÃO DA BAHIA</t>
  </si>
  <si>
    <t>INSTITUTO DE CAPACITAÇÃO E AÇÃO SOCIAL O GRITO</t>
  </si>
  <si>
    <t>INSTITUTO DE CIDADANIA AMOR AO PRÓXIMO</t>
  </si>
  <si>
    <t>INSTITUTO DE DESENVOLVIMENTO E PROTEÇÃO SOCIAL</t>
  </si>
  <si>
    <t>INSTITUTO DE DESENVOLVIMENTO ESPORTIVO* SOCIAL E CULTURAL IMPACTANDO GERAÇÕES</t>
  </si>
  <si>
    <t>INSTITUTO DE DESENVOLVIMENTO HUMANO E SOCIAL PELO ESPORTE EDUCAÇÃO CULTURA E CIDADANIA</t>
  </si>
  <si>
    <t>INSTITUTO DE DESENVOLVIMENTO PESSOAL E SOCIAL OS SONHADORES</t>
  </si>
  <si>
    <t>INSTITUTO DE ESTUDOS E PRESERVAÇÃO DAS CULTURAS INDÊ­GENAS BRASILEIRAS</t>
  </si>
  <si>
    <t>INSTITUTO DESENVOLVIMENTO ESPERANÇA</t>
  </si>
  <si>
    <t>INSTITUTO ECLESIA MOVEMENT</t>
  </si>
  <si>
    <t>INSTITUTO EGBE DÚDÚ</t>
  </si>
  <si>
    <t>INSTITUTO EMARCA DE PESQUISA E EDUCACAO PROFESSIONAL</t>
  </si>
  <si>
    <t>INSTITUTO EMPREGA+</t>
  </si>
  <si>
    <t>INSTITUTO ENTRE O CÉU E A FAVELA PARA ARTE EDUCAÇÃO E CIDADANIA</t>
  </si>
  <si>
    <t>INSTITUTO ESPERANÇA</t>
  </si>
  <si>
    <t>INSTITUTO FÁBRICA DE VENCEDOR</t>
  </si>
  <si>
    <t>INSTITUTO FAMÍLIA CHEGADOS</t>
  </si>
  <si>
    <t>INSTITUTO FAMÍLIA CRIATIVA DO CAMPO</t>
  </si>
  <si>
    <t>INSTITUTO FELIZ CIDADE</t>
  </si>
  <si>
    <t>INSTITUTO FLORIANO PEÇANHA DOS SANTOS</t>
  </si>
  <si>
    <t>INSTITUTO GERAÇÃO 4</t>
  </si>
  <si>
    <t>INSTITUTO GERAÇÃO TATAMI</t>
  </si>
  <si>
    <t>INSTITUTO GERANDO SONHOS</t>
  </si>
  <si>
    <t>INSTITUTO GIRASSOL DE DESENVOLVIMENTO SOCIAL</t>
  </si>
  <si>
    <t>INSTITUTO INOVAÇÃO SUSTENTÁVEL - ONG MENSAGEIROS DA ESPERANÇA</t>
  </si>
  <si>
    <t>INSTITUTO JUNTOS SOMOS MAIS FORTES</t>
  </si>
  <si>
    <t>INSTITUTO KATIANA PENA</t>
  </si>
  <si>
    <t>INSTITUTO LIRA DE INCLUSÃO SOCIAL - ILIS</t>
  </si>
  <si>
    <t>INSTITUTO MANDAVER</t>
  </si>
  <si>
    <t>INSTITUTO MESTRE NORDESTINO</t>
  </si>
  <si>
    <t>INSTITUTO MISTURAÍ</t>
  </si>
  <si>
    <t>INSTITUTO MOVER VIDAS</t>
  </si>
  <si>
    <t>INSTITUTO MOVIMENTO PARA A VIDA</t>
  </si>
  <si>
    <t>INSTITUTO MUNDO NOVO DA CULTURA VIVA</t>
  </si>
  <si>
    <t>INSTITUTO NOVA CHANCE</t>
  </si>
  <si>
    <t>INSTITUTO NOVA UNIÃO DA ARTE</t>
  </si>
  <si>
    <t>INSTITUTO PEB _PROJETO EDUCA BASQUETE</t>
  </si>
  <si>
    <t>INSTITUTO PELICANO</t>
  </si>
  <si>
    <t>INSTITUTO PORTAL SOCIAL DA PONTE</t>
  </si>
  <si>
    <t>INSTITUTO PRA TODO MUNDO</t>
  </si>
  <si>
    <t>INSTITUTO PROJETO CRIA - CULTURA E EDUCAÇÃO</t>
  </si>
  <si>
    <t>INSTITUTO PRO MAIS</t>
  </si>
  <si>
    <t>INSTITUTO QUADRO DE ESPERANÇA</t>
  </si>
  <si>
    <t>INSTITUTO RECOMEÇAR</t>
  </si>
  <si>
    <t>INSTITUTO REGGARTE</t>
  </si>
  <si>
    <t>INSTITUTO RESGATANDO VIDAS PARA VIDA</t>
  </si>
  <si>
    <t>INSTITUTO REVERBERA</t>
  </si>
  <si>
    <t>INSTITUTO REVIVER</t>
  </si>
  <si>
    <t>INSTITUTO ROSA REVIVER</t>
  </si>
  <si>
    <t>INSTITUTO RUGBY PARA TODOS</t>
  </si>
  <si>
    <t>INSTITUTO S.O.S PERIFERIA</t>
  </si>
  <si>
    <t>INSTITUTO SEMEAR PLANTAR E TRANSFORMAR</t>
  </si>
  <si>
    <t>INSTITUTO SOCIAL CULTURAL DE APOIO À VIDA PADRE ALCIDES TRES</t>
  </si>
  <si>
    <t>INSTITUTO SOCIAL DE TODO CORAÇÃO</t>
  </si>
  <si>
    <t>INSTITUTO SOCIAL NOVO OLHAR</t>
  </si>
  <si>
    <t>INSTITUTO SOCIOAMBIENTAL DAS VERTENTES</t>
  </si>
  <si>
    <t>INSTITUTO SOMOS ÁGAPE</t>
  </si>
  <si>
    <t>INSTITUTO SONHAR ALTO</t>
  </si>
  <si>
    <t>INSTITUTO SONHE</t>
  </si>
  <si>
    <t>INSTITUTO SOS REVIVER</t>
  </si>
  <si>
    <t>INSTITUTO TRANSFORMAR</t>
  </si>
  <si>
    <t>INSTITUTO USINA DOS ATOS</t>
  </si>
  <si>
    <t>INSTITUTO VERDE CRIANDO VIDAS</t>
  </si>
  <si>
    <t>INSTITUTO ZOE DE MURIAÉ</t>
  </si>
  <si>
    <t>MÃO AMIGA</t>
  </si>
  <si>
    <t>ONG INSTITUTO VITÓRIA DE SÁ</t>
  </si>
  <si>
    <t>PROJETO EDUCA SURF SOCIAL</t>
  </si>
  <si>
    <t>TRAZFAVELA ATIVIDADES DE INTERMEDIACAO E AGENCIAMENTO DE SERVICOS E NEGOCIOS EM GERAL LTDA</t>
  </si>
  <si>
    <t>UNIVERSUS ESC ART POD ART CULTURAL</t>
  </si>
  <si>
    <t>INSTITUTO DE RESPONSABILIDADE E INVESTIMENTO SOCIAL IRIS</t>
  </si>
  <si>
    <t>Sara Izabel Da Silva Paganotti</t>
  </si>
  <si>
    <t>Devanir De Souza Ramos</t>
  </si>
  <si>
    <t>Neusa De Fátima Assis Ribeiro Da Silva</t>
  </si>
  <si>
    <t>Deuzanir De Assis Da Silva Rocha</t>
  </si>
  <si>
    <t>Ana Paula Oliveira Souza</t>
  </si>
  <si>
    <t>Angelica Nobre De Lima Silva</t>
  </si>
  <si>
    <t>Claudia Rubiah Dantas Salgado Da Silva</t>
  </si>
  <si>
    <t>Ronaldo Leles De Paula</t>
  </si>
  <si>
    <t>Ana Siberlly Guilherme De Aguiar</t>
  </si>
  <si>
    <t>Angelica Maria Moreira Da Costa</t>
  </si>
  <si>
    <t>Gilvanete Dos Santos Silva Reis</t>
  </si>
  <si>
    <t>Ana Cristina Da Silva Caminha</t>
  </si>
  <si>
    <t>Izaias De Sousa Maciel</t>
  </si>
  <si>
    <t>Patrícia Cavalcante Curcino De Eça</t>
  </si>
  <si>
    <t>Ozeias Paes De Lira</t>
  </si>
  <si>
    <t>Alison Alex Dos Santos</t>
  </si>
  <si>
    <t>Cristiane De Almeida Deus Dara Dos Santos</t>
  </si>
  <si>
    <t>Geraldo Dos Santos Barros</t>
  </si>
  <si>
    <t>Sebastião Junio Da Silva</t>
  </si>
  <si>
    <t>Walisson Matos Araujo</t>
  </si>
  <si>
    <t>Milka Emidio Soares</t>
  </si>
  <si>
    <t>Roberto De Carvalho</t>
  </si>
  <si>
    <t>Emerson Carlos Bispo Ribeiro</t>
  </si>
  <si>
    <t>Maria Jose Fernandes Alves</t>
  </si>
  <si>
    <t>Maria Jacqueline Bezerra</t>
  </si>
  <si>
    <t>Iara Gonçalves Da Silva</t>
  </si>
  <si>
    <t>Roberta De Araújo Silva</t>
  </si>
  <si>
    <t>Luciane Souza Bomfim</t>
  </si>
  <si>
    <t>Janeide Barbosa Da Silva</t>
  </si>
  <si>
    <t>Iracema Dos Santos Lisboa Teixeira</t>
  </si>
  <si>
    <t>José Romildo Dos Santos</t>
  </si>
  <si>
    <t>Alex Pereira De Souza</t>
  </si>
  <si>
    <t>Silvaneide Martins Da Silva</t>
  </si>
  <si>
    <t>Flaviane Vieira De Oliveira Mendonça</t>
  </si>
  <si>
    <t>Almerinda De Souza Cunha Oliveira</t>
  </si>
  <si>
    <t>Julianderson Pereira Da Silva</t>
  </si>
  <si>
    <t>Angel Almeida Da Silva</t>
  </si>
  <si>
    <t>João Augusto Dos Santos Batista</t>
  </si>
  <si>
    <t>Daiane Dos Santos Pires</t>
  </si>
  <si>
    <t>Silvana De Fátima Farias Dos Anjos</t>
  </si>
  <si>
    <t>Nilma Rodrigues De Oliveira</t>
  </si>
  <si>
    <t>Wilaneide Da Silva Campos</t>
  </si>
  <si>
    <t>Renan De Oliveira Manoel</t>
  </si>
  <si>
    <t>Flávio Batista Da Silva</t>
  </si>
  <si>
    <t>Simone Marinho Da Silva</t>
  </si>
  <si>
    <t>Wagner Gonçalves Ramalho</t>
  </si>
  <si>
    <t>Antonio Cruz De Jesus</t>
  </si>
  <si>
    <t>Teodoro Francisco Azevedo Neto</t>
  </si>
  <si>
    <t>Laudilene Fernanda Benevides</t>
  </si>
  <si>
    <t>Ernesto Ferreira Vasconcellos</t>
  </si>
  <si>
    <t>Jose Arimateia Da Costa Araujo</t>
  </si>
  <si>
    <t>Vanessa Regina Ribeiro De Oliveira Dos Santos</t>
  </si>
  <si>
    <t>Sergio Paulo De Almeida Pereira Junior</t>
  </si>
  <si>
    <t>Pablo Rodrigo Da Silva Lima</t>
  </si>
  <si>
    <t>Elizabete Assunção Da Silva</t>
  </si>
  <si>
    <t>Rafael Araripe Da Silva</t>
  </si>
  <si>
    <t>Roseli Machado Ribeiro</t>
  </si>
  <si>
    <t>Derineudo De Souza Dos Santos</t>
  </si>
  <si>
    <t>Sislaine Dias Simões Da Silva</t>
  </si>
  <si>
    <t>Washington Tadeu Da Silva</t>
  </si>
  <si>
    <t>Mayara Barbosa De Oliveira</t>
  </si>
  <si>
    <t>Tâmara Sales Silva Olivieri</t>
  </si>
  <si>
    <t>A Mesma.</t>
  </si>
  <si>
    <t>Juliana De Oliveira Duarte</t>
  </si>
  <si>
    <t>Gustavo Adolfo Abs Da Cruz Rocha</t>
  </si>
  <si>
    <t>Flavia Ferreira Da Silva</t>
  </si>
  <si>
    <t>Auricelia Padilha Merces</t>
  </si>
  <si>
    <t>Valéria Castro Da Silva</t>
  </si>
  <si>
    <t>Joao Batista Lucas Da Silva</t>
  </si>
  <si>
    <t>Welton Cardoso</t>
  </si>
  <si>
    <t>Dener Luan Moraes De Jesus</t>
  </si>
  <si>
    <t>Ana Cláudia De Carvalho Rocha</t>
  </si>
  <si>
    <t>Ana Célia Pereira Da Conceição Passos</t>
  </si>
  <si>
    <t>Andre Dos Santos Mross</t>
  </si>
  <si>
    <t>Tathiana Mancini* Uma Das Co-Fundadoras</t>
  </si>
  <si>
    <t>Jose Donizete Lemos Do Prado</t>
  </si>
  <si>
    <t>Vanessa Mauricio Bittencourt</t>
  </si>
  <si>
    <t>Adriane Cristina Da Cruz</t>
  </si>
  <si>
    <t>Ana Cristina Medeiros De Lima</t>
  </si>
  <si>
    <t>Saryne Teixeira Santana Fernandes</t>
  </si>
  <si>
    <t>Gleison Emerson Dos Santos Batista</t>
  </si>
  <si>
    <t>Tuany Franciele Lopes De Oliveira</t>
  </si>
  <si>
    <t>Heveltton Luiz De Paula</t>
  </si>
  <si>
    <t>Leonardo De Oliveira</t>
  </si>
  <si>
    <t>José Luis Pereira Da Silva</t>
  </si>
  <si>
    <t>Andre Santos Da Silva</t>
  </si>
  <si>
    <t>Marcia Kaline Ferreira Da Silva</t>
  </si>
  <si>
    <t>Andreia Do Carmo Araujo</t>
  </si>
  <si>
    <t>Luzineia Silva Dalvi</t>
  </si>
  <si>
    <t>Marcia Regina Carvalho Ferreira De Oliveira</t>
  </si>
  <si>
    <t>Alex Santos De Campos</t>
  </si>
  <si>
    <t>Maria Jaqueline De Oliveira</t>
  </si>
  <si>
    <t>Marli Francisca De Souza Silva</t>
  </si>
  <si>
    <t>Rayane Pricila  Fernandes Da Silva</t>
  </si>
  <si>
    <t>Natan Jesus Da Silva</t>
  </si>
  <si>
    <t>Alcione Maria Da Conceição Do Nascimento</t>
  </si>
  <si>
    <t>Mauro Jose Dos Santos</t>
  </si>
  <si>
    <t>Leila Da Silva Campos</t>
  </si>
  <si>
    <t>Secretaria De Segurança Cidadã - Murilo Cavalcanti</t>
  </si>
  <si>
    <t>Neuza Elina Silva De Jesus</t>
  </si>
  <si>
    <t>Antonio Roque Dos Santos Silva</t>
  </si>
  <si>
    <t>Evandro Divino Machado</t>
  </si>
  <si>
    <t>Joelma Andrade De Lima</t>
  </si>
  <si>
    <t>Ana Caroline Dos Santos</t>
  </si>
  <si>
    <t>Sebastian Carlos Araújo De Souza</t>
  </si>
  <si>
    <t>Franklin Ferreira De Melo</t>
  </si>
  <si>
    <t>José Diogo Silva Xavier De Macêdo</t>
  </si>
  <si>
    <t>Maria Eneide Teixeira Presidente E Jose Luiz Nasciemnto Pinto -Secretario</t>
  </si>
  <si>
    <t>Angelo Magno Alves Da Fonseca</t>
  </si>
  <si>
    <t>Diego Gomes De Lima</t>
  </si>
  <si>
    <t>Fabiana Sampaio De Souza Da Silva</t>
  </si>
  <si>
    <t>Priscila Do Carmo Araújo</t>
  </si>
  <si>
    <t>Tamires Santana De Paula</t>
  </si>
  <si>
    <t>Mariana Kalenna Otaviano De Carvalho</t>
  </si>
  <si>
    <t>Paulo Sérgio De Souza</t>
  </si>
  <si>
    <t>Regina Santos Da Silva</t>
  </si>
  <si>
    <t>Jardel Da Cunha Silvestre</t>
  </si>
  <si>
    <t>Ana Gleice De Oliveira Freitas</t>
  </si>
  <si>
    <t>Rita De Cássia Pantoja Cravo</t>
  </si>
  <si>
    <t>Renata Alves Dos Santos Bandeira</t>
  </si>
  <si>
    <t>Francisca Selma Ferreira Gomes</t>
  </si>
  <si>
    <t>Glória Maria Silveira Dos Santos</t>
  </si>
  <si>
    <t>Lúcia Maria Gomes Mendes</t>
  </si>
  <si>
    <t>Terezinha Farias De Lima</t>
  </si>
  <si>
    <t>Natanael De Souza Ferreira</t>
  </si>
  <si>
    <t>Marco Túlio Gomes</t>
  </si>
  <si>
    <t>Mirian Dos Santos</t>
  </si>
  <si>
    <t>Cesar Augusto Da Silva Filho</t>
  </si>
  <si>
    <t>Amanda Marques Machado De Oliveira</t>
  </si>
  <si>
    <t>Adriana Do Amaral Silva</t>
  </si>
  <si>
    <t>Helena Fagundes Assumpção</t>
  </si>
  <si>
    <t>Maria Laura Da Costa Coelho</t>
  </si>
  <si>
    <t>Valdir Gonçalves Brandão</t>
  </si>
  <si>
    <t>Luiz Carlos De Oliveira</t>
  </si>
  <si>
    <t>Angela Da Silva Juscelino</t>
  </si>
  <si>
    <t>Renato Paulo Dos Santos</t>
  </si>
  <si>
    <t>Juliana Oliveira Da Silva Maia</t>
  </si>
  <si>
    <t>Maria Dos Prazeres Herculano Da</t>
  </si>
  <si>
    <t>Claudia Abreu Brandão Santos</t>
  </si>
  <si>
    <t>Manoela De Jesus Santos</t>
  </si>
  <si>
    <t>Fabrício Silvestre De Oliveira</t>
  </si>
  <si>
    <t>Helena De Jesus Dos Santos</t>
  </si>
  <si>
    <t>Tiberio Jorge Da S. Vera Cruz</t>
  </si>
  <si>
    <t>Odete Avelino De Aquino</t>
  </si>
  <si>
    <t>Suelen Karoline Prestes Araujo</t>
  </si>
  <si>
    <t>Dalilla Dos Santos Pereira</t>
  </si>
  <si>
    <t>Denise Burjack Da Silva De Sousa</t>
  </si>
  <si>
    <t>Edson Ramos Da Silva</t>
  </si>
  <si>
    <t>Victor Hugo De Oliveira Bigoli</t>
  </si>
  <si>
    <t>Jose Reginaldo Cordeiro</t>
  </si>
  <si>
    <t>Fernando Gomes Eufigenio Dos Santos</t>
  </si>
  <si>
    <t>Wanderson Aranda De Melo Valença Silva</t>
  </si>
  <si>
    <t>Evaldo Duque Estrada</t>
  </si>
  <si>
    <t>Aline Dayse Pacheco</t>
  </si>
  <si>
    <t>Leidiane Silva Sampaio</t>
  </si>
  <si>
    <t>Edvaldo Carlos De Sao Pedro</t>
  </si>
  <si>
    <t>Janaina De Andrade Alves</t>
  </si>
  <si>
    <t>Alexsandro De Jesus Ferreira Pereira</t>
  </si>
  <si>
    <t>Cristiane Silva De Carvalho</t>
  </si>
  <si>
    <t>Weliton Simão Da Silva Santos</t>
  </si>
  <si>
    <t>Jhonata De Sousa Pereira</t>
  </si>
  <si>
    <t>Carlos Alberto Duarte De Moura Filho</t>
  </si>
  <si>
    <t>Zilda Amélia Costa De Souza</t>
  </si>
  <si>
    <t>Eliana Mara Carnavos</t>
  </si>
  <si>
    <t>Érica Paula Do Vale Ferreira</t>
  </si>
  <si>
    <t>Daniela Carla Araujo Alves Generoso</t>
  </si>
  <si>
    <t>Lindaura Ferreira De Souza</t>
  </si>
  <si>
    <t>Wanderley Benedito Souza</t>
  </si>
  <si>
    <t>Geraldo Elias De Souza</t>
  </si>
  <si>
    <t>Cesar Augusto De Siervi</t>
  </si>
  <si>
    <t>Taylor Alberes Pontes</t>
  </si>
  <si>
    <t>Edson Modesto De A Junior</t>
  </si>
  <si>
    <t>Alfredo De Oliveira Lima</t>
  </si>
  <si>
    <t>Débora Larissa Silva De Souza</t>
  </si>
  <si>
    <t>Antonio Andre Lima Muniz</t>
  </si>
  <si>
    <t>Aline Da Silva Zabotto</t>
  </si>
  <si>
    <t>Nelriane Reis Pantoja Araújo</t>
  </si>
  <si>
    <t>Antonia Aurineuda Da Silva</t>
  </si>
  <si>
    <t>Ilaci De Oliveira Luiz</t>
  </si>
  <si>
    <t>Valdecir Camera</t>
  </si>
  <si>
    <t>Inaldo Spok Cavalcanti De Albuquerque</t>
  </si>
  <si>
    <t>Wilker Kildery Costa De Almeida</t>
  </si>
  <si>
    <t>Ana Claudia Pereira Soared</t>
  </si>
  <si>
    <t>Jose Wellton De Souza Brito</t>
  </si>
  <si>
    <t>Alcides Paes Do Prado Junior</t>
  </si>
  <si>
    <t>Valquiria Santos Da Silva Matos</t>
  </si>
  <si>
    <t>Hugueney Gomes Dos Santos</t>
  </si>
  <si>
    <t>Jocelino Da Conceição Silva Junior</t>
  </si>
  <si>
    <t>Nair Omena Da Costa</t>
  </si>
  <si>
    <t>Rosangela De Freitas Costa</t>
  </si>
  <si>
    <t>Amanda Pereira Da Silva</t>
  </si>
  <si>
    <t>Wellington De Souza Morais</t>
  </si>
  <si>
    <t>Ana Lúcia Souza Do Nascimento</t>
  </si>
  <si>
    <t>Elves Dias Dos Santos Carvalho</t>
  </si>
  <si>
    <t>Rita Vanderlucia Da Silva Castro</t>
  </si>
  <si>
    <t>Efigênia Simplicio Da Costa</t>
  </si>
  <si>
    <t>Raquel Suzi Da Silva</t>
  </si>
  <si>
    <t>Ana Carolina De Andrade</t>
  </si>
  <si>
    <t>Amanda Pereira Da Costa</t>
  </si>
  <si>
    <t>Marisa Vieira De Lima Gomes</t>
  </si>
  <si>
    <t>Stela Bonifácio Da Silva Nascimento</t>
  </si>
  <si>
    <t>Eduardo Souza Neto</t>
  </si>
  <si>
    <t>Stefany Miranda Da Silva</t>
  </si>
  <si>
    <t>Samuel Soares Da Silva</t>
  </si>
  <si>
    <t>Denise Beserra Durey</t>
  </si>
  <si>
    <t>Ana Aparecida Felix De Almeida</t>
  </si>
  <si>
    <t>Eufrásio Cavalcanti De Sena</t>
  </si>
  <si>
    <t>Maria  Rosane Batista Medeiros Da Fonseca</t>
  </si>
  <si>
    <t>Adoniran Paulino Dos Passos</t>
  </si>
  <si>
    <t>Jouse Barata De Queiroz</t>
  </si>
  <si>
    <t>Winy Da Vitória Fabiano De Oliveira</t>
  </si>
  <si>
    <t>Abel Colberth De Souza Gomes</t>
  </si>
  <si>
    <t>Luzyrene De Brito Silva</t>
  </si>
  <si>
    <t>Mariete Teixeira Dos Santos</t>
  </si>
  <si>
    <t>Aline Maria Da Silva</t>
  </si>
  <si>
    <t>Fernanda Angela</t>
  </si>
  <si>
    <t>Leandro Diogo Soares</t>
  </si>
  <si>
    <t>Johny Everton Firmino Da Silva</t>
  </si>
  <si>
    <t>Natalina Maria Barbosa</t>
  </si>
  <si>
    <t>Wellington Sousa Matos</t>
  </si>
  <si>
    <t>Geraldo Luís Alves De Oliveira E Cláudia Alves De Oliveira</t>
  </si>
  <si>
    <t>Francisco De Assis Balbino Sobrinho</t>
  </si>
  <si>
    <t>Rocilene Do Socorro Souza Barbosa</t>
  </si>
  <si>
    <t>José Danilo Da Silva</t>
  </si>
  <si>
    <t>Elias Marques De Araujo</t>
  </si>
  <si>
    <t>Pamella Cristina De Oliveira Da Silva</t>
  </si>
  <si>
    <t>Francisco Marcelo Martins De Lima</t>
  </si>
  <si>
    <t>Joao Paulo Farias Costa</t>
  </si>
  <si>
    <t>Geraldo Fernandes Monteiro De Souza</t>
  </si>
  <si>
    <t>Julio De Arimateia Leão</t>
  </si>
  <si>
    <t>Alcinesio José De Santana Filho</t>
  </si>
  <si>
    <t>Maria Dos Prazeres Herculano Da Silva</t>
  </si>
  <si>
    <t>Eliezio Antonio De Oliveira</t>
  </si>
  <si>
    <t>Kely De Souza Costa</t>
  </si>
  <si>
    <t>Ismael Da Silva Pinheiro</t>
  </si>
  <si>
    <t>Leidejane Borges De Oliveira</t>
  </si>
  <si>
    <t>Lidia Rangel Dos Santos Muller</t>
  </si>
  <si>
    <t>Nathalha Regina Cavalcante Da Silva</t>
  </si>
  <si>
    <t>Fatima Regina Fortes Mayer</t>
  </si>
  <si>
    <t>Viviâne De Almeida Tôrres</t>
  </si>
  <si>
    <t>Carleon Paulo De Oliveira</t>
  </si>
  <si>
    <t>Bianca Neto De Oliveira</t>
  </si>
  <si>
    <t>Fabio Ferreira Da Silva</t>
  </si>
  <si>
    <t>Antônio Carlos Oliveira De Sousa</t>
  </si>
  <si>
    <t>Roseli Pinheiro De Lima</t>
  </si>
  <si>
    <t>José Ribamar Gomes Da Silvia</t>
  </si>
  <si>
    <t>Édila Dias</t>
  </si>
  <si>
    <t>Danilo Dos Santos Nascimento Moura</t>
  </si>
  <si>
    <t>Francisca Luzia Dos Santos Gomes</t>
  </si>
  <si>
    <t>Claudimar Dos Santos Dantas</t>
  </si>
  <si>
    <t>Juberlan Henrique Da Silva Costa De Oliveira</t>
  </si>
  <si>
    <t>Leidiane Dos Santos Santos</t>
  </si>
  <si>
    <t>Renata Elidi Fagundes Dos Santos De Carvalho</t>
  </si>
  <si>
    <t>Edson Francisco Da Silva</t>
  </si>
  <si>
    <t>Lana Thaís De Abreu</t>
  </si>
  <si>
    <t>Ozéias Paulo Da Silva</t>
  </si>
  <si>
    <t>Anderson Da Conceição Dos Santos</t>
  </si>
  <si>
    <t>Paula Roberta Nunes De Oliveira</t>
  </si>
  <si>
    <t>Ronaldo Luiz De Oliveira</t>
  </si>
  <si>
    <t>Rodrigo Dos Santos Ramos</t>
  </si>
  <si>
    <t>Ana Carolina Dos Santos Nascimento</t>
  </si>
  <si>
    <t>Gustavo Do Vale</t>
  </si>
  <si>
    <t>Carlos André Do Nascimento</t>
  </si>
  <si>
    <t>Michel Anselmo Do Carmo</t>
  </si>
  <si>
    <t>Gabriela Veras De Moraes</t>
  </si>
  <si>
    <t>Rosângela Amancia De Santana</t>
  </si>
  <si>
    <t>Fabrício Da Silva Tavares Da Conceição</t>
  </si>
  <si>
    <t>Thais Monique Gercasio De Moraes Wanderley</t>
  </si>
  <si>
    <t>João Luiz Souto De Oliveira</t>
  </si>
  <si>
    <t>Iago Silva Dos Santos</t>
  </si>
  <si>
    <t>Margareth Machado De Andrade</t>
  </si>
  <si>
    <t>Alisson Baptista De Souza</t>
  </si>
  <si>
    <t>Socorro Zacarias Dos Santos</t>
  </si>
  <si>
    <t>Givanildo Amâncio Da Silva</t>
  </si>
  <si>
    <t>José Ygo Batista De Almeida</t>
  </si>
  <si>
    <t>Ana Paula Da Cruz</t>
  </si>
  <si>
    <t>Josias Adolfo Da Silva Netto</t>
  </si>
  <si>
    <t>Itapecerica Da Serra</t>
  </si>
  <si>
    <t>Carmópolis De Minas</t>
  </si>
  <si>
    <t>São Paulo Do Potengi</t>
  </si>
  <si>
    <t>Nazaré Da Mata</t>
  </si>
  <si>
    <t>Cotia</t>
  </si>
  <si>
    <t>São José Dos Pinhais</t>
  </si>
  <si>
    <t>Duque De Caxias</t>
  </si>
  <si>
    <t>Tibau Do Sul</t>
  </si>
  <si>
    <t>Taboão Da Serra</t>
  </si>
  <si>
    <t>Valparaíso De Goiás</t>
  </si>
  <si>
    <t>Monte Santo De Minas</t>
  </si>
  <si>
    <t>Tiradentes</t>
  </si>
  <si>
    <t>Cabaceiras Do Paraguaçu</t>
  </si>
  <si>
    <t>Foz Do Iguaçu</t>
  </si>
  <si>
    <t>Unaí</t>
  </si>
  <si>
    <t>Riacho De Santo Antônio</t>
  </si>
  <si>
    <t>São Sebastião Do Paraíso</t>
  </si>
  <si>
    <t>Ceilândia</t>
  </si>
  <si>
    <t>Feira De Santana</t>
  </si>
  <si>
    <t>Jaboatão Dos Guararapes</t>
  </si>
  <si>
    <t>Santo Antônio De Jesus</t>
  </si>
  <si>
    <t>São José Do Rio Preto</t>
  </si>
  <si>
    <t>Euclides Da Cunha</t>
  </si>
  <si>
    <t>Para De Minas</t>
  </si>
  <si>
    <t>Ribeirão Das Neves</t>
  </si>
  <si>
    <t>São Gonçalo Do Amarante</t>
  </si>
  <si>
    <t>Cruz Das Almas</t>
  </si>
  <si>
    <t>Senador Elói De Souza</t>
  </si>
  <si>
    <t>Boca Da Mata</t>
  </si>
  <si>
    <t>Abreu E Lima</t>
  </si>
  <si>
    <t>Muriaé</t>
  </si>
  <si>
    <t>Barra De Santo Antonio</t>
  </si>
  <si>
    <t>Queimados</t>
  </si>
  <si>
    <t>Lauro De Freitas</t>
  </si>
  <si>
    <t>São Bernardo Do Campo</t>
  </si>
  <si>
    <t>Senador Pompeu</t>
  </si>
  <si>
    <t>São Lourenço Da Mata</t>
  </si>
  <si>
    <t>Oiahui</t>
  </si>
  <si>
    <t>Jaboatao Dos Guararapes</t>
  </si>
  <si>
    <t>São Miguel Do Oeste</t>
  </si>
  <si>
    <t>Missão Velha</t>
  </si>
  <si>
    <t>Porto Da Folha</t>
  </si>
  <si>
    <t>Jardim Loyrdes</t>
  </si>
  <si>
    <t>Monte Cristo- Comunidade Chico Mendes</t>
  </si>
  <si>
    <t>Engenho De Dentro</t>
  </si>
  <si>
    <t>Curió</t>
  </si>
  <si>
    <t>Treze De Maio</t>
  </si>
  <si>
    <t>Jd. Filhos Da Terra/Guapira</t>
  </si>
  <si>
    <t>Gamboa De Baixo</t>
  </si>
  <si>
    <t>Parada Xv De Novembro</t>
  </si>
  <si>
    <t>Vila Bancária</t>
  </si>
  <si>
    <t>Vila De Ponta Negra</t>
  </si>
  <si>
    <t>Várzea Do Sitio</t>
  </si>
  <si>
    <t>Sao Jorge</t>
  </si>
  <si>
    <t>Palmares</t>
  </si>
  <si>
    <t>Lua Nova Pampulha</t>
  </si>
  <si>
    <t>Ibura De Baixo</t>
  </si>
  <si>
    <t>Jardim Alterosas 2 Seçao</t>
  </si>
  <si>
    <t>Nossa Senhora De Fátima</t>
  </si>
  <si>
    <t>Lomba Da Palmeira</t>
  </si>
  <si>
    <t>Jardim Das Camélias</t>
  </si>
  <si>
    <t>Centro Histórico</t>
  </si>
  <si>
    <t>Conjunto Habitacional Sitio Conceição</t>
  </si>
  <si>
    <t>Borda Do Campo</t>
  </si>
  <si>
    <t>13 De Maio</t>
  </si>
  <si>
    <t>Jardim Santo Inacio</t>
  </si>
  <si>
    <t>Não Possuimos Espaço Físico</t>
  </si>
  <si>
    <t>Parque Santa Rita De Cássia</t>
  </si>
  <si>
    <t>Nas Ruas</t>
  </si>
  <si>
    <t>Mudamos Recentemente Para Cidade Líder</t>
  </si>
  <si>
    <t>Vila Santa Maria</t>
  </si>
  <si>
    <t>Jd Botânico/Nelson Ramos</t>
  </si>
  <si>
    <t>Jd Etelvina</t>
  </si>
  <si>
    <t>Tambiá</t>
  </si>
  <si>
    <t>Jardim Pérola 2</t>
  </si>
  <si>
    <t>Mamoeiro</t>
  </si>
  <si>
    <t>Agronomica</t>
  </si>
  <si>
    <t>Jardim Fanganiello – São Paulo/Sp</t>
  </si>
  <si>
    <t>Campinas De Pirajá</t>
  </si>
  <si>
    <t>Pq Muisa</t>
  </si>
  <si>
    <t>São Tomé De Paripe</t>
  </si>
  <si>
    <t>Campina Do Barreto</t>
  </si>
  <si>
    <t>Radional</t>
  </si>
  <si>
    <t>Vila Aliança Bangu</t>
  </si>
  <si>
    <t>Alto Da Boa Vista</t>
  </si>
  <si>
    <t>Tabuleiro Dos Martins</t>
  </si>
  <si>
    <t>Taguatinga-Df</t>
  </si>
  <si>
    <t>Não Definido</t>
  </si>
  <si>
    <t>Rua Do Mato/Fercal</t>
  </si>
  <si>
    <t>Ilha Do Retiro</t>
  </si>
  <si>
    <t>Iapi</t>
  </si>
  <si>
    <t>Quintno Cunha</t>
  </si>
  <si>
    <t>Vila Velha 2</t>
  </si>
  <si>
    <t>Jardim Botânico</t>
  </si>
  <si>
    <t>Pq Independencia</t>
  </si>
  <si>
    <t>Lagoa</t>
  </si>
  <si>
    <t>Morro Das Pedras</t>
  </si>
  <si>
    <t>Riacho Das Pedras</t>
  </si>
  <si>
    <t>Território Do Bem</t>
  </si>
  <si>
    <t>V Formosa</t>
  </si>
  <si>
    <t>Nao Temos Sede</t>
  </si>
  <si>
    <t>Vargem Grande Ii</t>
  </si>
  <si>
    <t>Santa Rita De Cássia</t>
  </si>
  <si>
    <t>Monte Das Oliveiras</t>
  </si>
  <si>
    <t>Figueira Ii</t>
  </si>
  <si>
    <t>Olimpico</t>
  </si>
  <si>
    <t>Lagoa Salgada</t>
  </si>
  <si>
    <t>Serra Grande (Distrito)</t>
  </si>
  <si>
    <t>Morro Do Meio</t>
  </si>
  <si>
    <t>Padre Liberio</t>
  </si>
  <si>
    <t>Caminho Das Árvores</t>
  </si>
  <si>
    <t>Tabapua Brasilia</t>
  </si>
  <si>
    <t>Benedito Bentes Ii</t>
  </si>
  <si>
    <t>Marapicu</t>
  </si>
  <si>
    <t>Barreira Do Vasco</t>
  </si>
  <si>
    <t>Jardim Das Acacias</t>
  </si>
  <si>
    <t>Conjunto Jose Abrao</t>
  </si>
  <si>
    <t>Costa E Silva</t>
  </si>
  <si>
    <t>Adrianopolis</t>
  </si>
  <si>
    <t>João Batista De Asis -Duque De Caxias</t>
  </si>
  <si>
    <t>Engenho Da Rainha</t>
  </si>
  <si>
    <t>Cid Ae Carvalho</t>
  </si>
  <si>
    <t>Tres Fontes</t>
  </si>
  <si>
    <t>Bomba Do Hemetério</t>
  </si>
  <si>
    <t>Ur-07 Várzea</t>
  </si>
  <si>
    <t>Barro Vermelho</t>
  </si>
  <si>
    <t>Não Temos Filial</t>
  </si>
  <si>
    <t>Águas Claras</t>
  </si>
  <si>
    <t>Cidade Nova Heliópolis</t>
  </si>
  <si>
    <t>Santo Antonio Além Do Carmo</t>
  </si>
  <si>
    <t>Jd. São Bento Novo</t>
  </si>
  <si>
    <t>Morro Nossa Senhora Da Conceição</t>
  </si>
  <si>
    <t>Não Possui Sede Ainda</t>
  </si>
  <si>
    <t>Ainda Não Temos Sede</t>
  </si>
  <si>
    <t>Brejo Do Beberibe</t>
  </si>
  <si>
    <t>Incra 9</t>
  </si>
  <si>
    <t>Poço Da Panela</t>
  </si>
  <si>
    <t>Jd.Célia</t>
  </si>
  <si>
    <t>Praia Do Futuro Ii</t>
  </si>
  <si>
    <t>Alto De Coutos</t>
  </si>
  <si>
    <t>Bom Pastor</t>
  </si>
  <si>
    <t>Chácara Das Pedras</t>
  </si>
  <si>
    <t>Bonfim Km20</t>
  </si>
  <si>
    <t>Vila Nova Curuça</t>
  </si>
  <si>
    <t>Vila Cipó</t>
  </si>
  <si>
    <t>Rio Do Ouro</t>
  </si>
  <si>
    <t>Porque Capibaribe</t>
  </si>
  <si>
    <t>Brejo Da Guabiraba</t>
  </si>
  <si>
    <t>Parque Primavera</t>
  </si>
  <si>
    <t>Complexo Do Alemão</t>
  </si>
  <si>
    <t>816</t>
  </si>
  <si>
    <t>Barra Da Tijuca</t>
  </si>
  <si>
    <t>Setor Madre Germana Ii</t>
  </si>
  <si>
    <t>Maternidade</t>
  </si>
  <si>
    <t>Pinhal Do Miranda</t>
  </si>
  <si>
    <t>Pov. Ilha Do Ouro</t>
  </si>
  <si>
    <t>Freguesia- Ilha Do Governador</t>
  </si>
  <si>
    <t>Estrada Dom Joao Nery</t>
  </si>
  <si>
    <t>Inocência  Moreira Dos Santos</t>
  </si>
  <si>
    <t>Servidao Pétalas Dumont</t>
  </si>
  <si>
    <t>Estrada Da Cumbica 479</t>
  </si>
  <si>
    <t>Rua Vitoriano Veloso 200</t>
  </si>
  <si>
    <t>Rua Cumai 97</t>
  </si>
  <si>
    <t>Rua Cabo Pm José Carlos Rodrigues Da Silva</t>
  </si>
  <si>
    <t>Estr De Sepetiba</t>
  </si>
  <si>
    <t>Av. Nossa Senhora Da Penha</t>
  </si>
  <si>
    <t>Rua Simone Martini</t>
  </si>
  <si>
    <t>Altos Do Oiti 651</t>
  </si>
  <si>
    <t>Estrada Passo Da Ilha</t>
  </si>
  <si>
    <t>Rua Dos Banqueiros</t>
  </si>
  <si>
    <t>Tv. Santa Bárbara, 25</t>
  </si>
  <si>
    <t>Rua Caxiu 201</t>
  </si>
  <si>
    <t>R. Luverci Pereira De Souza</t>
  </si>
  <si>
    <t>Rua Alonso Teixeira Marra 658</t>
  </si>
  <si>
    <t>Rua 1004</t>
  </si>
  <si>
    <t>Rua 7 De Setembro,11</t>
  </si>
  <si>
    <t>Rua Paulo Cesar De Mendonça</t>
  </si>
  <si>
    <t>Qn 501 Conjunto 16</t>
  </si>
  <si>
    <t>Travessa Iguatu</t>
  </si>
  <si>
    <t>: Rua J Conj. Vila Velha Iv</t>
  </si>
  <si>
    <t>Rua Potengi</t>
  </si>
  <si>
    <t>Paes De Linhares</t>
  </si>
  <si>
    <t>Francisco De Assis Soares (Lot Jd América)</t>
  </si>
  <si>
    <t>Rua 12 De Outubro 33</t>
  </si>
  <si>
    <t>Ria Alto Da Conquista</t>
  </si>
  <si>
    <t>Rua Maria Das Dores De Carvalho, 156</t>
  </si>
  <si>
    <t>Estrada Dos Galdinos</t>
  </si>
  <si>
    <t>Avenida Laranja Da China</t>
  </si>
  <si>
    <t>Praça Da Aclamação</t>
  </si>
  <si>
    <t>Erua Manoel De Oliveira Ramos</t>
  </si>
  <si>
    <t>Rua Edesio Fernandes De Morais  N 71</t>
  </si>
  <si>
    <t>Rodovia Br-277</t>
  </si>
  <si>
    <t>Rua Tenente Coronel Manoel Eufrásio De Assumpção</t>
  </si>
  <si>
    <t>Rua Senador Thomaz Lobo</t>
  </si>
  <si>
    <t>Rua José Mesquista,</t>
  </si>
  <si>
    <t>Rua Lopes Da Cruz</t>
  </si>
  <si>
    <t>Rua Pereira Lopes</t>
  </si>
  <si>
    <t>Rua  Caminho 2 N 37C</t>
  </si>
  <si>
    <t>Estrada Do Furuyama</t>
  </si>
  <si>
    <t>Vila Rabelo Quadra 4 Avenida Central Lote 145</t>
  </si>
  <si>
    <t>Rua Ozeias Mota 48</t>
  </si>
  <si>
    <t>Rua Serenata 14</t>
  </si>
  <si>
    <t>Avenida Dom Hélder Câmara</t>
  </si>
  <si>
    <t>Angelo Aluizio</t>
  </si>
  <si>
    <t>Rua Sati Nakamura, 200</t>
  </si>
  <si>
    <t>Rua Edmilson Bezerra De Mendonça</t>
  </si>
  <si>
    <t>Avenida São Roque</t>
  </si>
  <si>
    <t>Serenata</t>
  </si>
  <si>
    <t>Cr 10 Bloco B Apto 708</t>
  </si>
  <si>
    <t>João Ramalho Nº 21 Loja 2</t>
  </si>
  <si>
    <t>Na Rua</t>
  </si>
  <si>
    <t>Rua Fraiburgo</t>
  </si>
  <si>
    <t>Rua Vicente Antônio De Oliveira 202</t>
  </si>
  <si>
    <t>Rua Alzira Hortência</t>
  </si>
  <si>
    <t>Rua Simão Sobral</t>
  </si>
  <si>
    <t>Rua Doutor Mário Augusto Teixeira De Freitas</t>
  </si>
  <si>
    <t>Rua Olímpio Bento Da Silva</t>
  </si>
  <si>
    <t>Av. Jk</t>
  </si>
  <si>
    <t>Coronel Aristides 180</t>
  </si>
  <si>
    <t>Ayrton Sena</t>
  </si>
  <si>
    <t>Aldeia Dos Machacalis</t>
  </si>
  <si>
    <t>Rua Do Rosário 411</t>
  </si>
  <si>
    <t>Rua Borborema,687 E 691</t>
  </si>
  <si>
    <t>R Bocaiuva</t>
  </si>
  <si>
    <t>Campo De São Cristóvão</t>
  </si>
  <si>
    <t>Rua Pitanga Do Gericino</t>
  </si>
  <si>
    <t>Ferreira De Aguiar 289 Nazaré</t>
  </si>
  <si>
    <t>Av Dep Odon Bezerra</t>
  </si>
  <si>
    <t>Rua Travessa Cachoeira De Paulo Afonso, 25</t>
  </si>
  <si>
    <t>Rua Dr Estevam Ribeiro De Souza Neto</t>
  </si>
  <si>
    <t>Rua Apaiari 99</t>
  </si>
  <si>
    <t>Rua Xavier Da Silveira</t>
  </si>
  <si>
    <t>João Ferreira De Souza</t>
  </si>
  <si>
    <t>Rua Elson Gabriel De Paulo</t>
  </si>
  <si>
    <t>Rua José Pedro Gil</t>
  </si>
  <si>
    <t>Rua Manuel De Jesus Fernandes</t>
  </si>
  <si>
    <t>Rio Das Lavadeiras</t>
  </si>
  <si>
    <t>Rua Vl 08 33</t>
  </si>
  <si>
    <t>Quadra Do Fogueteiro Sem Número</t>
  </si>
  <si>
    <t>Rua Baia De Marajó N° 10</t>
  </si>
  <si>
    <t>Estrava Velha Lobato/ Campinas</t>
  </si>
  <si>
    <t>Av. Libero De Almeida Silvares, 2906</t>
  </si>
  <si>
    <t>Rua São Vicente De Paula</t>
  </si>
  <si>
    <t>Final De Linha Do Uruguai,Sn Anexo Ao Espaço Cultural Alagados</t>
  </si>
  <si>
    <t>Iris</t>
  </si>
  <si>
    <t>Rua Professor Lins E Silva</t>
  </si>
  <si>
    <t>Rua Sérgio Luiz De Souza, 365</t>
  </si>
  <si>
    <t>Martinho De Sousa, 294</t>
  </si>
  <si>
    <t>Rua Maria Quiteria</t>
  </si>
  <si>
    <t>Rua João Praxedes De Oliveira Filho</t>
  </si>
  <si>
    <t>Central Da Solidariedade</t>
  </si>
  <si>
    <t>Rua Do Paraíso</t>
  </si>
  <si>
    <t>Rua N</t>
  </si>
  <si>
    <t>20 De Novembro</t>
  </si>
  <si>
    <t>Rua Aureliano Portugal</t>
  </si>
  <si>
    <t>Rua Professor José Brasileiro Vila Nova</t>
  </si>
  <si>
    <t>Maria De Lourdes</t>
  </si>
  <si>
    <t>Rua Rita De Cassia</t>
  </si>
  <si>
    <t>Rua Do Libretista 2</t>
  </si>
  <si>
    <t>Estrada Guandu Do Sena</t>
  </si>
  <si>
    <t>Rua : Das Azaleas N244</t>
  </si>
  <si>
    <t>Rua Cícero Rabelo De Vasconcelos</t>
  </si>
  <si>
    <t>Qne 30</t>
  </si>
  <si>
    <t>Sem Endereço Fixo, Atuamos De Forma Itinerante Em Outros Projetos Que Já Atuam Em Comunidade Do Recife</t>
  </si>
  <si>
    <t>Rua Correia De Oliveira</t>
  </si>
  <si>
    <t>Rua Eurídes Gonçalves Da Cunha</t>
  </si>
  <si>
    <t>Rua Águas Férreas, 81</t>
  </si>
  <si>
    <t>Rua Vidal De Negreiros</t>
  </si>
  <si>
    <t>Rua Vila Canal</t>
  </si>
  <si>
    <t>Shsn 16 Quadra 2 Conjunto A Casa 31</t>
  </si>
  <si>
    <t>Rua Santina Rosa Da Costa</t>
  </si>
  <si>
    <t>Av. José Sarney, Nº 1, Qd 07</t>
  </si>
  <si>
    <t>R Prof Cardoso De Menezes 120</t>
  </si>
  <si>
    <t>José Marajo De Carvalho</t>
  </si>
  <si>
    <t>Barra Do São Francisco</t>
  </si>
  <si>
    <t>Rua Cinquenta E Um</t>
  </si>
  <si>
    <t>Estrada Velha De Campinas</t>
  </si>
  <si>
    <t>Travessa Vileta</t>
  </si>
  <si>
    <t>Avenida Nossa Senhora Da Penha</t>
  </si>
  <si>
    <t>Rua Eloy Domingues Da Silva</t>
  </si>
  <si>
    <t>Fazenda Teiu</t>
  </si>
  <si>
    <t>Estrada Do Itararé</t>
  </si>
  <si>
    <t>Rua Nelson Gonçalves Da Costa</t>
  </si>
  <si>
    <t>Rua Marcelo De Araújo Braga 473</t>
  </si>
  <si>
    <t>Avenida Rubem Florêncio De Moura</t>
  </si>
  <si>
    <t>Rua Infante De Sagres</t>
  </si>
  <si>
    <t>Rua Alberto De Campos</t>
  </si>
  <si>
    <t>Sitio Maxixi</t>
  </si>
  <si>
    <t>Escadaria Do Cafezal, 39</t>
  </si>
  <si>
    <t>3</t>
  </si>
  <si>
    <t>Rua Emanuelita Chaves</t>
  </si>
  <si>
    <t>O Gram  Nao Tem Sede</t>
  </si>
  <si>
    <t>Segunda Travessa Presidente Médici</t>
  </si>
  <si>
    <t>Rua Allan Kardec,</t>
  </si>
  <si>
    <t>Belo Vale 166</t>
  </si>
  <si>
    <t>Bolivar De Freitas</t>
  </si>
  <si>
    <t>Sem Sede</t>
  </si>
  <si>
    <t>Rua Adalberto Gil Da Silva</t>
  </si>
  <si>
    <t>Rua São Tomaz De Aquino</t>
  </si>
  <si>
    <t>Rua Pedro Birges De Freitas</t>
  </si>
  <si>
    <t>Rua: Maria Martins Baptista, 1642 Vila Sônia/Praia Grande Sp</t>
  </si>
  <si>
    <t>Rua Professor Inacio Werneck</t>
  </si>
  <si>
    <t>Estrada Do Cassiano</t>
  </si>
  <si>
    <t>Rua, Duque De Caxias 956</t>
  </si>
  <si>
    <t>Rua Barra De São Miguel</t>
  </si>
  <si>
    <t>Rua Dom Pedro Ii</t>
  </si>
  <si>
    <t>Avenida Co Contorno</t>
  </si>
  <si>
    <t>R Monsenhor Celso</t>
  </si>
  <si>
    <t>Rua Do Campo 315</t>
  </si>
  <si>
    <t>Rua Xv De Novembro</t>
  </si>
  <si>
    <t>Rua Da Borboleta</t>
  </si>
  <si>
    <t>Ibraim Severino Ribeiro</t>
  </si>
  <si>
    <t>Ipu</t>
  </si>
  <si>
    <t>Rua Verde</t>
  </si>
  <si>
    <t>Rua Antonio Arantes</t>
  </si>
  <si>
    <t>Rua Ponto Chique</t>
  </si>
  <si>
    <t>Rua 6, Alto Do Parque Timbira- Bom Jesus</t>
  </si>
  <si>
    <t>Rua João Pedro</t>
  </si>
  <si>
    <t>Rua Primeiro De Maio N° 379</t>
  </si>
  <si>
    <t>31 De Agosto, 261 F</t>
  </si>
  <si>
    <t>Praca Carmela Dutra</t>
  </si>
  <si>
    <t>412</t>
  </si>
  <si>
    <t>Rua Paulo Vi</t>
  </si>
  <si>
    <t>Ladeira Do Faria</t>
  </si>
  <si>
    <t>Estrada Do Bananal,</t>
  </si>
  <si>
    <t>Rua Libania De Lima Croock</t>
  </si>
  <si>
    <t>Rua Da Quitanda</t>
  </si>
  <si>
    <t>5</t>
  </si>
  <si>
    <t>Av. Dos Multirantes, S/N</t>
  </si>
  <si>
    <t>Rua Major José Tenório Da Silva</t>
  </si>
  <si>
    <t>Rua: Carmelina Vieira Nascimento</t>
  </si>
  <si>
    <t>Rua Da Assembleia De Deus</t>
  </si>
  <si>
    <t>Qs 01 Rua 212 Lotes 21 E 23 Bloco D Parte A 268 Pvmto 11</t>
  </si>
  <si>
    <t>Rua Mirtes Cordeiro 3147</t>
  </si>
  <si>
    <t>Travessa João Xxiii</t>
  </si>
  <si>
    <t>11</t>
  </si>
  <si>
    <t>Rua Do Poço</t>
  </si>
  <si>
    <t>Rua Visconde Do Rio Branco, 2801 Bairro: Jardim Tavora</t>
  </si>
  <si>
    <t>Rua Ivan De Azevedo</t>
  </si>
  <si>
    <t>Rua Breves</t>
  </si>
  <si>
    <t>Adolfo De Albuquerque</t>
  </si>
  <si>
    <t>Rua Santa Teresina</t>
  </si>
  <si>
    <t>Avenida M Boi Guaçu</t>
  </si>
  <si>
    <t>Rua Dos Colibris, Sn</t>
  </si>
  <si>
    <t>Rua Valdemir Pereira De Oliveira</t>
  </si>
  <si>
    <t>Rua José  Da Silva Lucena</t>
  </si>
  <si>
    <t>Avenida Nossa Senhora Dos Pobres</t>
  </si>
  <si>
    <t>Rua Teixeira De Freitas N 295</t>
  </si>
  <si>
    <t>Rua Lucidato Vieira Falcão</t>
  </si>
  <si>
    <t>32</t>
  </si>
  <si>
    <t>Rua Do Rosário</t>
  </si>
  <si>
    <t>Rua Teixeira Alves Lt 17 Q 7</t>
  </si>
  <si>
    <t>Avenida General Osório De Paiva</t>
  </si>
  <si>
    <t>Rua Vinte E Sete De Outubro</t>
  </si>
  <si>
    <t>Rua Dezessete De Agosto</t>
  </si>
  <si>
    <t>Rua Manoel Cursino De Melo</t>
  </si>
  <si>
    <t>Comunidade Quilombola Tome Nunes</t>
  </si>
  <si>
    <t>Rua Belo Horizonte,</t>
  </si>
  <si>
    <t>Rua São João De Ávila</t>
  </si>
  <si>
    <t>Rua Projetada  S/N</t>
  </si>
  <si>
    <t>Ria Mario Ferreira</t>
  </si>
  <si>
    <t>Loteamento Rume Farias</t>
  </si>
  <si>
    <t>Rua Cirene De Moraes</t>
  </si>
  <si>
    <t>Rua Vivência Francisca</t>
  </si>
  <si>
    <t>Rua Vereador A Delsom Machado De Oliveira</t>
  </si>
  <si>
    <t>Avenida 9 De Julho</t>
  </si>
  <si>
    <t>Av. Celso Garcia</t>
  </si>
  <si>
    <t>Rua Vale Do Siriji,30</t>
  </si>
  <si>
    <t>Rua Elgin</t>
  </si>
  <si>
    <t>Rua Cento E Vinte E Nove</t>
  </si>
  <si>
    <t>Rua Catas Altas</t>
  </si>
  <si>
    <t>Rua Abílio Secundido Leite</t>
  </si>
  <si>
    <t>Garota De Ipanema 03</t>
  </si>
  <si>
    <t>Escadaria Alarico Pereira Do Sacramento</t>
  </si>
  <si>
    <t>Rua Dos Carvoes</t>
  </si>
  <si>
    <t>Rua Tenente Serpa</t>
  </si>
  <si>
    <t>Rua Machado De Assis</t>
  </si>
  <si>
    <t>Rua Carlos Vitoriano De Sá</t>
  </si>
  <si>
    <t>Av D</t>
  </si>
  <si>
    <t>Rua Industrial</t>
  </si>
  <si>
    <t>Rua Capucara N 241</t>
  </si>
  <si>
    <t>Rua Manoel Martins De Abreu</t>
  </si>
  <si>
    <t>Mario Grazini</t>
  </si>
  <si>
    <t>Rua Do Cajueiro</t>
  </si>
  <si>
    <t>Rua Do Curuzu</t>
  </si>
  <si>
    <t>Rua 45 - Conj. Dos Bancarios</t>
  </si>
  <si>
    <t>Realizamos Encontros Em Espaços Parceiros</t>
  </si>
  <si>
    <t>Df 180 Cond. Quintas Do Amarante Quadra:F Lote:06</t>
  </si>
  <si>
    <t>Conjunto Maguari Alameda 21Número 2</t>
  </si>
  <si>
    <t>João Da Silva De Moraes</t>
  </si>
  <si>
    <t>Rua In Aldo Bartolomeu De Carvalho</t>
  </si>
  <si>
    <t>Rua Orlando Zanfelice</t>
  </si>
  <si>
    <t>Rua 15 De Novembro, N 260</t>
  </si>
  <si>
    <t>Avenida União 96 C/1</t>
  </si>
  <si>
    <t>Rua Francisca Angélica De Novaes</t>
  </si>
  <si>
    <t>Rua Das Crianças</t>
  </si>
  <si>
    <t>Rua Darado</t>
  </si>
  <si>
    <t>Estrada De Furnas 262</t>
  </si>
  <si>
    <t>Rua Alves De Lima 375</t>
  </si>
  <si>
    <t>Rua Dos Pinheiros</t>
  </si>
  <si>
    <t>Rua Reis De Abreu</t>
  </si>
  <si>
    <t>Tv Cipo, 57</t>
  </si>
  <si>
    <t>Rua Rio Madeira 19 É</t>
  </si>
  <si>
    <t>Rua José Inácio Do Amaral, 24</t>
  </si>
  <si>
    <t>Rua Treze</t>
  </si>
  <si>
    <t>Rua Rosário Do Oeste</t>
  </si>
  <si>
    <t>Travessa Rio Doce</t>
  </si>
  <si>
    <t>Rua João Xxiii</t>
  </si>
  <si>
    <t>Rua Lima E Silva</t>
  </si>
  <si>
    <t>Rua Alfem Ferreira De Oliveira 256</t>
  </si>
  <si>
    <t>Estrada Do Cantagalo</t>
  </si>
  <si>
    <t>Rua Nicolina De Lima</t>
  </si>
  <si>
    <t>Assentamento Caimã Ponta Da Serra</t>
  </si>
  <si>
    <t>Rua Pe Manoel Da Nobrega</t>
  </si>
  <si>
    <t>Rua Trinta E Cinco S/N</t>
  </si>
  <si>
    <t>Lalaal</t>
  </si>
  <si>
    <t>São Vicente Esq. Com Av. José Barbosa Reis</t>
  </si>
  <si>
    <t>Rua Da Torre</t>
  </si>
  <si>
    <t>Alberto De Campos 12</t>
  </si>
  <si>
    <t>Rua Bosque</t>
  </si>
  <si>
    <t>Rua Dr. Arino De Oliveira 85</t>
  </si>
  <si>
    <t>Adelmo 1</t>
  </si>
  <si>
    <t>Rua: Soldado Jose Pires Barbosa Filho</t>
  </si>
  <si>
    <t>Avenida José Sobreira Da Cruz</t>
  </si>
  <si>
    <t>Rua Faixa Do Óleo Duto</t>
  </si>
  <si>
    <t>Rua Da Palha</t>
  </si>
  <si>
    <t>O Mesmo Do Líder</t>
  </si>
  <si>
    <t>Rua Professora Maria Clara</t>
  </si>
  <si>
    <t>Rua Da Mooca 3156</t>
  </si>
  <si>
    <t>(82)999575865</t>
  </si>
  <si>
    <t>(21)3835-1044</t>
  </si>
  <si>
    <t>(71)98244-0849</t>
  </si>
  <si>
    <t>(11)97591-1225</t>
  </si>
  <si>
    <t>(77)99977-1462</t>
  </si>
  <si>
    <t>(63)98106-8048</t>
  </si>
  <si>
    <t>(11)98328-6001</t>
  </si>
  <si>
    <t>(84)98138-3486</t>
  </si>
  <si>
    <t>(21)992600720</t>
  </si>
  <si>
    <t>(67)99252-5318</t>
  </si>
  <si>
    <t>(31)97311-7450</t>
  </si>
  <si>
    <t>(92)99498-8675</t>
  </si>
  <si>
    <t>(11)94728-4220</t>
  </si>
  <si>
    <t>(21)97890-0996</t>
  </si>
  <si>
    <t>(98)98873-8630</t>
  </si>
  <si>
    <t>(81)99446-7933</t>
  </si>
  <si>
    <t>(81)98373-1998</t>
  </si>
  <si>
    <t>(83)98856-7721</t>
  </si>
  <si>
    <t>(11)93003-0803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</si>
</sst>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yyyy"/>
    <numFmt numFmtId="165" formatCode="mm/dd/yyyy\ hh:mm:ss"/>
    <numFmt numFmtId="166" formatCode="&quot;R$&quot;#,##0"/>
    <numFmt numFmtId="167" formatCode="d/m"/>
    <numFmt numFmtId="168" formatCode="[&lt;=9999999]###\-####;\(###\)\ ###\-####"/>
  </numFmts>
  <fonts count="16" x14ac:knownFonts="1">
    <font>
      <sz val="10"/>
      <color rgb="FF000000"/>
      <name val="Arial"/>
      <scheme val="minor"/>
    </font>
    <font>
      <b/>
      <sz val="10"/>
      <color theme="1"/>
      <name val="Arial"/>
      <family val="2"/>
      <scheme val="minor"/>
    </font>
    <font>
      <sz val="10"/>
      <color theme="1"/>
      <name val="Arial"/>
      <family val="2"/>
      <scheme val="minor"/>
    </font>
    <font>
      <u/>
      <sz val="10"/>
      <color rgb="FF0000FF"/>
      <name val="Arial"/>
      <family val="2"/>
    </font>
    <font>
      <b/>
      <sz val="11"/>
      <color rgb="FFFFFFFF"/>
      <name val="Roboto"/>
    </font>
    <font>
      <sz val="10"/>
      <color theme="1"/>
      <name val="Roboto"/>
    </font>
    <font>
      <sz val="10"/>
      <color rgb="FFFFFFFF"/>
      <name val="Roboto"/>
    </font>
    <font>
      <b/>
      <sz val="10"/>
      <color rgb="FF1155CC"/>
      <name val="Roboto"/>
    </font>
    <font>
      <u/>
      <sz val="10"/>
      <color rgb="FF0000FF"/>
      <name val="Arial"/>
      <family val="2"/>
    </font>
    <font>
      <b/>
      <sz val="10"/>
      <color theme="0"/>
      <name val="Arial"/>
      <family val="2"/>
      <scheme val="minor"/>
    </font>
    <font>
      <sz val="10"/>
      <color rgb="FF000000"/>
      <name val="Arial"/>
      <family val="2"/>
      <scheme val="minor"/>
    </font>
    <font>
      <sz val="11"/>
      <color rgb="FF000000"/>
      <name val="Arial"/>
      <family val="2"/>
      <scheme val="minor"/>
    </font>
    <font>
      <b/>
      <sz val="11"/>
      <name val="Calibri"/>
      <family val="2"/>
    </font>
    <font>
      <sz val="8"/>
      <name val="Arial"/>
      <family val="2"/>
      <scheme val="minor"/>
    </font>
    <font>
      <sz val="10"/>
      <color theme="1"/>
      <name val="Bradesco Sans"/>
    </font>
    <font>
      <sz val="10"/>
      <color rgb="FF000000"/>
      <name val="Bradesco Sans"/>
    </font>
  </fonts>
  <fills count="10">
    <fill>
      <patternFill patternType="none"/>
    </fill>
    <fill>
      <patternFill patternType="gray125"/>
    </fill>
    <fill>
      <patternFill patternType="solid">
        <fgColor rgb="FFF3F3F3"/>
        <bgColor rgb="FFF3F3F3"/>
      </patternFill>
    </fill>
    <fill>
      <patternFill patternType="solid">
        <fgColor rgb="FF1A73E8"/>
        <bgColor rgb="FF1A73E8"/>
      </patternFill>
    </fill>
    <fill>
      <patternFill patternType="solid">
        <fgColor rgb="FFD9EAD3"/>
        <bgColor rgb="FFD9EAD3"/>
      </patternFill>
    </fill>
    <fill>
      <patternFill patternType="solid">
        <fgColor rgb="FF2677F1"/>
        <bgColor rgb="FF2677F1"/>
      </patternFill>
    </fill>
    <fill>
      <patternFill patternType="solid">
        <fgColor rgb="FFDAEDFF"/>
        <bgColor rgb="FFDAEDFF"/>
      </patternFill>
    </fill>
    <fill>
      <patternFill patternType="solid">
        <fgColor theme="6"/>
        <bgColor theme="6"/>
      </patternFill>
    </fill>
    <fill>
      <patternFill patternType="solid">
        <fgColor theme="9"/>
        <bgColor theme="9"/>
      </patternFill>
    </fill>
    <fill>
      <patternFill patternType="solid">
        <fgColor theme="2" tint="-0.34998626667073579"/>
        <bgColor rgb="FFDAEDFF"/>
      </patternFill>
    </fill>
  </fills>
  <borders count="11">
    <border>
      <left/>
      <right/>
      <top/>
      <bottom/>
      <diagonal/>
    </border>
    <border>
      <left style="thin">
        <color rgb="FF2677F1"/>
      </left>
      <right style="thin">
        <color rgb="FF2677F1"/>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59">
    <xf numFmtId="0" fontId="0" fillId="0" borderId="0" xfId="0" applyFont="1" applyAlignment="1"/>
    <xf numFmtId="0" fontId="1" fillId="0" borderId="0" xfId="0" applyFont="1" applyAlignment="1"/>
    <xf numFmtId="0" fontId="1" fillId="2" borderId="0" xfId="0" applyFont="1" applyFill="1" applyAlignment="1"/>
    <xf numFmtId="0" fontId="2" fillId="0" borderId="0" xfId="0" applyFont="1" applyAlignment="1"/>
    <xf numFmtId="0" fontId="2" fillId="0" borderId="0" xfId="0" quotePrefix="1" applyFont="1" applyAlignment="1"/>
    <xf numFmtId="9" fontId="2" fillId="0" borderId="0" xfId="0" applyNumberFormat="1" applyFont="1" applyAlignment="1"/>
    <xf numFmtId="14" fontId="2" fillId="0" borderId="0" xfId="0" applyNumberFormat="1" applyFont="1" applyAlignment="1"/>
    <xf numFmtId="0" fontId="3" fillId="0" borderId="0" xfId="0" applyFont="1" applyAlignment="1"/>
    <xf numFmtId="164" fontId="2" fillId="0" borderId="0" xfId="0" applyNumberFormat="1" applyFont="1" applyAlignment="1"/>
    <xf numFmtId="0" fontId="2" fillId="0" borderId="0" xfId="0" applyFont="1" applyAlignment="1"/>
    <xf numFmtId="3" fontId="2" fillId="0" borderId="0" xfId="0" applyNumberFormat="1" applyFont="1" applyAlignment="1"/>
    <xf numFmtId="0" fontId="4" fillId="3" borderId="0" xfId="0" applyFont="1" applyFill="1" applyAlignment="1"/>
    <xf numFmtId="165" fontId="5" fillId="0" borderId="0" xfId="0" applyNumberFormat="1" applyFont="1" applyAlignment="1"/>
    <xf numFmtId="0" fontId="5" fillId="0" borderId="0" xfId="0" applyFont="1" applyAlignment="1"/>
    <xf numFmtId="0" fontId="5" fillId="0" borderId="0" xfId="0" applyFont="1" applyAlignment="1">
      <alignment wrapText="1"/>
    </xf>
    <xf numFmtId="0" fontId="5" fillId="4" borderId="0" xfId="0" applyFont="1" applyFill="1" applyAlignment="1"/>
    <xf numFmtId="0" fontId="5" fillId="0" borderId="0" xfId="0" applyFont="1"/>
    <xf numFmtId="0" fontId="5" fillId="0" borderId="0" xfId="0" applyFont="1" applyAlignment="1">
      <alignment wrapText="1"/>
    </xf>
    <xf numFmtId="0" fontId="6" fillId="5" borderId="1" xfId="0" applyFont="1" applyFill="1" applyBorder="1" applyAlignment="1">
      <alignment vertical="center"/>
    </xf>
    <xf numFmtId="0" fontId="6" fillId="5" borderId="0" xfId="0" applyFont="1" applyFill="1" applyAlignment="1">
      <alignment vertical="center"/>
    </xf>
    <xf numFmtId="0" fontId="7" fillId="6" borderId="0" xfId="0" applyFont="1" applyFill="1" applyAlignment="1">
      <alignment vertical="center"/>
    </xf>
    <xf numFmtId="0" fontId="8" fillId="0" borderId="0" xfId="0" applyFont="1"/>
    <xf numFmtId="11" fontId="2" fillId="0" borderId="0" xfId="0" applyNumberFormat="1" applyFont="1" applyAlignment="1"/>
    <xf numFmtId="166" fontId="2" fillId="0" borderId="0" xfId="0" applyNumberFormat="1" applyFont="1" applyAlignment="1"/>
    <xf numFmtId="167" fontId="2" fillId="0" borderId="0" xfId="0" applyNumberFormat="1" applyFont="1" applyAlignment="1"/>
    <xf numFmtId="0" fontId="6" fillId="5" borderId="1" xfId="0" applyFont="1" applyFill="1" applyBorder="1" applyAlignment="1">
      <alignment vertical="center"/>
    </xf>
    <xf numFmtId="0" fontId="2" fillId="0" borderId="0" xfId="0" applyFont="1" applyAlignment="1">
      <alignment vertical="center"/>
    </xf>
    <xf numFmtId="0" fontId="2" fillId="0" borderId="0" xfId="0" applyFont="1"/>
    <xf numFmtId="0" fontId="2" fillId="7" borderId="0" xfId="0" applyFont="1" applyFill="1"/>
    <xf numFmtId="14" fontId="2" fillId="0" borderId="0" xfId="0" applyNumberFormat="1" applyFont="1"/>
    <xf numFmtId="164" fontId="2" fillId="0" borderId="0" xfId="0" applyNumberFormat="1" applyFont="1"/>
    <xf numFmtId="9" fontId="2" fillId="0" borderId="0" xfId="0" applyNumberFormat="1" applyFont="1"/>
    <xf numFmtId="166" fontId="2" fillId="0" borderId="0" xfId="0" applyNumberFormat="1" applyFont="1"/>
    <xf numFmtId="167" fontId="2" fillId="0" borderId="0" xfId="0" applyNumberFormat="1" applyFont="1"/>
    <xf numFmtId="11" fontId="2" fillId="0" borderId="0" xfId="0" applyNumberFormat="1" applyFont="1"/>
    <xf numFmtId="3" fontId="2" fillId="0" borderId="0" xfId="0" applyNumberFormat="1" applyFont="1"/>
    <xf numFmtId="0" fontId="1" fillId="0" borderId="0" xfId="0" applyFont="1"/>
    <xf numFmtId="0" fontId="9" fillId="8" borderId="0" xfId="0" applyFont="1" applyFill="1" applyAlignment="1"/>
    <xf numFmtId="0" fontId="2" fillId="0" borderId="0" xfId="0" quotePrefix="1" applyFont="1" applyAlignment="1"/>
    <xf numFmtId="0" fontId="11" fillId="0" borderId="0" xfId="0" applyFont="1" applyAlignment="1"/>
    <xf numFmtId="0" fontId="14" fillId="0" borderId="3" xfId="0" applyFont="1" applyBorder="1" applyAlignment="1"/>
    <xf numFmtId="0" fontId="14" fillId="0" borderId="2" xfId="0" applyFont="1" applyBorder="1" applyAlignment="1"/>
    <xf numFmtId="168" fontId="14" fillId="0" borderId="2" xfId="0" applyNumberFormat="1" applyFont="1" applyBorder="1" applyAlignment="1">
      <alignment horizontal="center"/>
    </xf>
    <xf numFmtId="0" fontId="14" fillId="0" borderId="2" xfId="0" applyFont="1" applyBorder="1" applyAlignment="1">
      <alignment horizontal="left"/>
    </xf>
    <xf numFmtId="0" fontId="15" fillId="0" borderId="2" xfId="0" applyFont="1" applyBorder="1" applyAlignment="1"/>
    <xf numFmtId="168" fontId="15" fillId="0" borderId="2" xfId="0" applyNumberFormat="1" applyFont="1" applyBorder="1" applyAlignment="1">
      <alignment horizontal="center"/>
    </xf>
    <xf numFmtId="0" fontId="14" fillId="0" borderId="2" xfId="0" applyNumberFormat="1" applyFont="1" applyBorder="1" applyAlignment="1">
      <alignment horizontal="left"/>
    </xf>
    <xf numFmtId="0" fontId="14" fillId="0" borderId="8" xfId="0" applyFont="1" applyBorder="1" applyAlignment="1"/>
    <xf numFmtId="0" fontId="14" fillId="0" borderId="9" xfId="0" applyFont="1" applyBorder="1" applyAlignment="1"/>
    <xf numFmtId="168" fontId="14" fillId="0" borderId="9" xfId="0" applyNumberFormat="1" applyFont="1" applyBorder="1" applyAlignment="1">
      <alignment horizontal="center"/>
    </xf>
    <xf numFmtId="0" fontId="14" fillId="0" borderId="9" xfId="0" applyFont="1" applyBorder="1" applyAlignment="1">
      <alignment horizontal="left"/>
    </xf>
    <xf numFmtId="0" fontId="15" fillId="0" borderId="0" xfId="0" applyFont="1" applyAlignment="1"/>
    <xf numFmtId="0" fontId="15" fillId="0" borderId="0" xfId="0" applyFont="1" applyAlignment="1">
      <alignment horizontal="center"/>
    </xf>
    <xf numFmtId="0" fontId="15" fillId="0" borderId="0" xfId="0" applyFont="1" applyAlignment="1">
      <alignment horizontal="left"/>
    </xf>
    <xf numFmtId="0" fontId="14" fillId="0" borderId="4" xfId="0" applyFont="1" applyBorder="1" applyAlignment="1">
      <alignment horizontal="center"/>
    </xf>
    <xf numFmtId="0" fontId="14" fillId="0" borderId="10" xfId="0" applyFont="1" applyBorder="1" applyAlignment="1">
      <alignment horizontal="center"/>
    </xf>
    <xf numFmtId="0" fontId="12" fillId="9" borderId="5" xfId="0" applyFont="1" applyFill="1" applyBorder="1" applyAlignment="1">
      <alignment vertical="center"/>
    </xf>
    <xf numFmtId="0" fontId="12" fillId="9" borderId="6" xfId="0" applyFont="1" applyFill="1" applyBorder="1" applyAlignment="1">
      <alignment vertical="center"/>
    </xf>
    <xf numFmtId="0" fontId="12" fillId="9" borderId="7" xfId="0" applyFont="1" applyFill="1" applyBorder="1" applyAlignment="1">
      <alignment vertical="center"/>
    </xf>
  </cellXfs>
  <cellStyles count="1">
    <cellStyle name="Normal" xfId="0" builtinId="0"/>
  </cellStyles>
  <dxfs count="21">
    <dxf>
      <font>
        <b/>
        <i val="0"/>
        <strike val="0"/>
        <condense val="0"/>
        <extend val="0"/>
        <outline val="0"/>
        <shadow val="0"/>
        <u val="none"/>
        <vertAlign val="baseline"/>
        <sz val="11"/>
        <color auto="1"/>
        <name val="Calibri"/>
        <family val="2"/>
        <scheme val="none"/>
      </font>
      <fill>
        <patternFill patternType="solid">
          <fgColor rgb="FFDAEDFF"/>
          <bgColor theme="2" tint="-0.34998626667073579"/>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none"/>
      </font>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Bradesco Sans"/>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Bradesco Sans"/>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Bradesco Sans"/>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Bradesco Sans"/>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Bradesco Sans"/>
        <scheme val="none"/>
      </font>
      <numFmt numFmtId="168" formatCode="[&lt;=9999999]###\-####;\(###\)\ ###\-####"/>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Bradesco Sans"/>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Bradesco Sans"/>
        <scheme val="none"/>
      </font>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none"/>
      </font>
      <alignment horizontal="general"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Bradesco Sans"/>
        <scheme val="none"/>
      </font>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Bradesco Sans"/>
        <scheme val="none"/>
      </font>
    </dxf>
    <dxf>
      <border outline="0">
        <bottom style="thin">
          <color indexed="64"/>
        </bottom>
      </border>
    </dxf>
  </dxfs>
  <tableStyles count="0" defaultTableStyle="TableStyleMedium2" defaultPivotStyle="PivotStyleLight16"/>
  <colors>
    <mruColors>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47625</xdr:colOff>
      <xdr:row>0</xdr:row>
      <xdr:rowOff>47625</xdr:rowOff>
    </xdr:from>
    <xdr:ext cx="304800" cy="304800"/>
    <xdr:pic>
      <xdr:nvPicPr>
        <xdr:cNvPr id="2" name="image1.png" title="coeff__dataSourceIm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666750</xdr:colOff>
      <xdr:row>0</xdr:row>
      <xdr:rowOff>95250</xdr:rowOff>
    </xdr:from>
    <xdr:ext cx="885825" cy="228600"/>
    <xdr:pic>
      <xdr:nvPicPr>
        <xdr:cNvPr id="3" name="image4.png" title="coeff__openSidePanelByHeader">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1714500</xdr:colOff>
      <xdr:row>0</xdr:row>
      <xdr:rowOff>95250</xdr:rowOff>
    </xdr:from>
    <xdr:ext cx="857250" cy="228600"/>
    <xdr:pic>
      <xdr:nvPicPr>
        <xdr:cNvPr id="4" name="image3.png" title="coeff__onsheetRunDataImport">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0</xdr:row>
      <xdr:rowOff>114300</xdr:rowOff>
    </xdr:from>
    <xdr:ext cx="1590675" cy="190500"/>
    <xdr:pic>
      <xdr:nvPicPr>
        <xdr:cNvPr id="5" name="image2.png" title="coeff__poweredIm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47625</xdr:rowOff>
    </xdr:from>
    <xdr:ext cx="304800" cy="304800"/>
    <xdr:pic>
      <xdr:nvPicPr>
        <xdr:cNvPr id="2" name="image8.png" title="coeff__dataSourceIm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666750</xdr:colOff>
      <xdr:row>0</xdr:row>
      <xdr:rowOff>95250</xdr:rowOff>
    </xdr:from>
    <xdr:ext cx="885825" cy="228600"/>
    <xdr:pic>
      <xdr:nvPicPr>
        <xdr:cNvPr id="3" name="image7.png" title="coeff__openSidePanelByHeader">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1714500</xdr:colOff>
      <xdr:row>0</xdr:row>
      <xdr:rowOff>95250</xdr:rowOff>
    </xdr:from>
    <xdr:ext cx="857250" cy="228600"/>
    <xdr:pic>
      <xdr:nvPicPr>
        <xdr:cNvPr id="4" name="image6.png" title="coeff__onsheetRunDataImport">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0</xdr:row>
      <xdr:rowOff>114300</xdr:rowOff>
    </xdr:from>
    <xdr:ext cx="1590675" cy="190500"/>
    <xdr:pic>
      <xdr:nvPicPr>
        <xdr:cNvPr id="5" name="image5.png" title="coeff__poweredIm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47625</xdr:rowOff>
    </xdr:from>
    <xdr:ext cx="304800" cy="304800"/>
    <xdr:pic>
      <xdr:nvPicPr>
        <xdr:cNvPr id="2" name="image13.png" title="coeff__dataSourceIm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666750</xdr:colOff>
      <xdr:row>0</xdr:row>
      <xdr:rowOff>95250</xdr:rowOff>
    </xdr:from>
    <xdr:ext cx="885825" cy="228600"/>
    <xdr:pic>
      <xdr:nvPicPr>
        <xdr:cNvPr id="3" name="image16.png" title="coeff__openSidePanelByHeader">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1714500</xdr:colOff>
      <xdr:row>0</xdr:row>
      <xdr:rowOff>95250</xdr:rowOff>
    </xdr:from>
    <xdr:ext cx="857250" cy="228600"/>
    <xdr:pic>
      <xdr:nvPicPr>
        <xdr:cNvPr id="4" name="image15.png" title="coeff__onsheetRunDataImport">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0</xdr:colOff>
      <xdr:row>0</xdr:row>
      <xdr:rowOff>114300</xdr:rowOff>
    </xdr:from>
    <xdr:ext cx="1590675" cy="190500"/>
    <xdr:pic>
      <xdr:nvPicPr>
        <xdr:cNvPr id="5" name="image14.png" title="coeff__poweredIm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974C97-A7E6-4389-A84B-41697E40B89E}" name="Tabela2" displayName="Tabela2" ref="A1:H600" totalsRowShown="0" headerRowDxfId="0" dataDxfId="19" headerRowBorderDxfId="20" tableBorderDxfId="18" totalsRowBorderDxfId="17">
  <autoFilter ref="A1:H600" xr:uid="{6C974C97-A7E6-4389-A84B-41697E40B89E}"/>
  <tableColumns count="8">
    <tableColumn id="1" xr3:uid="{89249290-47AF-484E-8567-F6FB1B6CE540}" name="Razão Social" dataDxfId="16" totalsRowDxfId="15"/>
    <tableColumn id="2" xr3:uid="{B55BD5B1-06CE-47B2-BD7B-57BF997B51D7}" name="Nome Líder" dataDxfId="14" totalsRowDxfId="13"/>
    <tableColumn id="3" xr3:uid="{F1809A6C-03F5-4023-8250-142D47637C17}" name="E-mail " dataDxfId="12" totalsRowDxfId="11"/>
    <tableColumn id="4" xr3:uid="{29B2D0E0-E5BF-440A-AAAE-1824E0E90E19}" name="Telefone" dataDxfId="10" totalsRowDxfId="9"/>
    <tableColumn id="5" xr3:uid="{4E463D5B-84C3-46B9-B32E-54963DA8D807}" name="Endereço" dataDxfId="8" totalsRowDxfId="7"/>
    <tableColumn id="6" xr3:uid="{E2781DAB-7562-4078-B817-64107C76B4AC}" name="Bairro" dataDxfId="6" totalsRowDxfId="5"/>
    <tableColumn id="7" xr3:uid="{717F2739-D701-4187-9D9B-9EF4621A247E}" name="Cidade" dataDxfId="4" totalsRowDxfId="3"/>
    <tableColumn id="8" xr3:uid="{F129B2DF-A0CE-4D69-9466-C7AC1FE08C69}" name="Estado" dataDxfId="2" totalsRowDxfId="1"/>
  </tableColumns>
  <tableStyleInfo name="TableStyleLight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instagram.com/projetonapontadospes/" TargetMode="External"/><Relationship Id="rId18" Type="http://schemas.openxmlformats.org/officeDocument/2006/relationships/hyperlink" Target="https://instagram.com/institutoizaiasluzia?igshid=je5vxzpfwoys" TargetMode="External"/><Relationship Id="rId26" Type="http://schemas.openxmlformats.org/officeDocument/2006/relationships/hyperlink" Target="https://linktr.ee/ier" TargetMode="External"/><Relationship Id="rId3" Type="http://schemas.openxmlformats.org/officeDocument/2006/relationships/hyperlink" Target="https://www.facebook.com/UmChuteParaOFuturo/" TargetMode="External"/><Relationship Id="rId21" Type="http://schemas.openxmlformats.org/officeDocument/2006/relationships/hyperlink" Target="https://circuitoinclusao.wordpress.com/" TargetMode="External"/><Relationship Id="rId7" Type="http://schemas.openxmlformats.org/officeDocument/2006/relationships/hyperlink" Target="https://www.facebook.com/projetomirantecultural" TargetMode="External"/><Relationship Id="rId12" Type="http://schemas.openxmlformats.org/officeDocument/2006/relationships/hyperlink" Target="http://www.instagram.com/projeto.brejal/" TargetMode="External"/><Relationship Id="rId17" Type="http://schemas.openxmlformats.org/officeDocument/2006/relationships/hyperlink" Target="https://www.instagram.com/ciavidanca/?hl=pt-br" TargetMode="External"/><Relationship Id="rId25" Type="http://schemas.openxmlformats.org/officeDocument/2006/relationships/hyperlink" Target="https://www.linkedin.com/company/projeto-reconstruir" TargetMode="External"/><Relationship Id="rId33" Type="http://schemas.openxmlformats.org/officeDocument/2006/relationships/comments" Target="../comments1.xml"/><Relationship Id="rId2" Type="http://schemas.openxmlformats.org/officeDocument/2006/relationships/hyperlink" Target="https://www.instagram.com/p/CJo8BC3pwOA/?igshid=1c3fpf13uoo6o" TargetMode="External"/><Relationship Id="rId16" Type="http://schemas.openxmlformats.org/officeDocument/2006/relationships/hyperlink" Target="http://ww.recomecar360.org/" TargetMode="External"/><Relationship Id="rId20" Type="http://schemas.openxmlformats.org/officeDocument/2006/relationships/hyperlink" Target="https://www.facebook.com/vilaemprogressooficial/" TargetMode="External"/><Relationship Id="rId29" Type="http://schemas.openxmlformats.org/officeDocument/2006/relationships/hyperlink" Target="https://l.instagram.com/?u=https%3A%2F%2Fm.facebook.com%2Fprojetobodyboardpara%2F%3Fref%3Dbookmarks&amp;e=ATO1k_MIeNJibr-1SYF8-pyPejAdyo2g1XkNaHEYoxX2AIY-SwyN5vLnGi4UyJXJ-egV3aIx9fKfqVaR-tFajT81bZE86SKPFv7rLA&amp;s=1" TargetMode="External"/><Relationship Id="rId1" Type="http://schemas.openxmlformats.org/officeDocument/2006/relationships/hyperlink" Target="https://instagram.com/arautosdogueto?igshid=be3ahhsdp4nn" TargetMode="External"/><Relationship Id="rId6" Type="http://schemas.openxmlformats.org/officeDocument/2006/relationships/hyperlink" Target="https://www.instagram.com/geracao4/?hl=pt-br" TargetMode="External"/><Relationship Id="rId11" Type="http://schemas.openxmlformats.org/officeDocument/2006/relationships/hyperlink" Target="https://www.instagram.zeizadojo/" TargetMode="External"/><Relationship Id="rId24" Type="http://schemas.openxmlformats.org/officeDocument/2006/relationships/hyperlink" Target="https://www.linkedin.com/company/74515929/admin/" TargetMode="External"/><Relationship Id="rId32" Type="http://schemas.openxmlformats.org/officeDocument/2006/relationships/vmlDrawing" Target="../drawings/vmlDrawing1.vml"/><Relationship Id="rId5" Type="http://schemas.openxmlformats.org/officeDocument/2006/relationships/hyperlink" Target="https://facebook.com/427825447255450/posts/3657667217604574/" TargetMode="External"/><Relationship Id="rId15" Type="http://schemas.openxmlformats.org/officeDocument/2006/relationships/hyperlink" Target="https://www.instagram.com/pensandobemof/" TargetMode="External"/><Relationship Id="rId23" Type="http://schemas.openxmlformats.org/officeDocument/2006/relationships/hyperlink" Target="https://www.facebook.com/kyriuscia" TargetMode="External"/><Relationship Id="rId28" Type="http://schemas.openxmlformats.org/officeDocument/2006/relationships/hyperlink" Target="https://www.linkedin.com/company/institutomiguelfernandest%C3%B4rres" TargetMode="External"/><Relationship Id="rId10" Type="http://schemas.openxmlformats.org/officeDocument/2006/relationships/hyperlink" Target="https://www.linkedin.com/company/70932617" TargetMode="External"/><Relationship Id="rId19" Type="http://schemas.openxmlformats.org/officeDocument/2006/relationships/hyperlink" Target="https://linktr.ee/AmacAtitudes" TargetMode="External"/><Relationship Id="rId31" Type="http://schemas.openxmlformats.org/officeDocument/2006/relationships/printerSettings" Target="../printerSettings/printerSettings1.bin"/><Relationship Id="rId4" Type="http://schemas.openxmlformats.org/officeDocument/2006/relationships/hyperlink" Target="http://www.facebook.com/SementesdoVale" TargetMode="External"/><Relationship Id="rId9" Type="http://schemas.openxmlformats.org/officeDocument/2006/relationships/hyperlink" Target="https://www.instagram.com/p/CKVHTFcDqNA/?igshid=1lf3r1c2nl3sg" TargetMode="External"/><Relationship Id="rId14" Type="http://schemas.openxmlformats.org/officeDocument/2006/relationships/hyperlink" Target="https://instagram.com/institutosonharalto?igshid=cmfcehfrlrk4" TargetMode="External"/><Relationship Id="rId22" Type="http://schemas.openxmlformats.org/officeDocument/2006/relationships/hyperlink" Target="https://www.linkedin.com/company/instituto-herdar/" TargetMode="External"/><Relationship Id="rId27" Type="http://schemas.openxmlformats.org/officeDocument/2006/relationships/hyperlink" Target="https://instagram.com/acssusacssus/" TargetMode="External"/><Relationship Id="rId30" Type="http://schemas.openxmlformats.org/officeDocument/2006/relationships/hyperlink" Target="https://www.linkedin.com/company/projetodinamus-ong" TargetMode="External"/><Relationship Id="rId8" Type="http://schemas.openxmlformats.org/officeDocument/2006/relationships/hyperlink" Target="https://drive.google.com/open?id=1Uv3cu0nH37IgpJV0eWmwgvS4yC8CCCOA"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827" Type="http://schemas.openxmlformats.org/officeDocument/2006/relationships/hyperlink" Target="http://facebook.com/projetocerzindo" TargetMode="External"/><Relationship Id="rId170" Type="http://schemas.openxmlformats.org/officeDocument/2006/relationships/hyperlink" Target="http://instagran.com/instpadreliberio?igshid=YmMyMTA2M2Y=" TargetMode="External"/><Relationship Id="rId987" Type="http://schemas.openxmlformats.org/officeDocument/2006/relationships/hyperlink" Target="https://drive.google.com/open?id=1FjhPpo6loKyWy9G1oufWJigfxyfP8M1r" TargetMode="External"/><Relationship Id="rId2668" Type="http://schemas.openxmlformats.org/officeDocument/2006/relationships/hyperlink" Target="https://drive.google.com/open?id=1kNTzap2Wm7a11JWi5yRxh1ClmU-QMEn3" TargetMode="External"/><Relationship Id="rId847" Type="http://schemas.openxmlformats.org/officeDocument/2006/relationships/hyperlink" Target="https://www.instagram.com/usinadosatos/" TargetMode="External"/><Relationship Id="rId1477" Type="http://schemas.openxmlformats.org/officeDocument/2006/relationships/hyperlink" Target="https://drive.google.com/open?id=1pbiL8-HF2Xiof_YBeRgu0EcQU7iaHdEX" TargetMode="External"/><Relationship Id="rId1684" Type="http://schemas.openxmlformats.org/officeDocument/2006/relationships/hyperlink" Target="https://www.institutoeclesia.org.br/" TargetMode="External"/><Relationship Id="rId1891" Type="http://schemas.openxmlformats.org/officeDocument/2006/relationships/hyperlink" Target="https://www.futsalsemdrogas.com/" TargetMode="External"/><Relationship Id="rId2528" Type="http://schemas.openxmlformats.org/officeDocument/2006/relationships/hyperlink" Target="https://drive.google.com/open?id=1MqiepzoiJiGxcOEuss8_2UsXpbQyO1ai" TargetMode="External"/><Relationship Id="rId2735" Type="http://schemas.openxmlformats.org/officeDocument/2006/relationships/printerSettings" Target="../printerSettings/printerSettings4.bin"/><Relationship Id="rId707" Type="http://schemas.openxmlformats.org/officeDocument/2006/relationships/hyperlink" Target="https://drive.google.com/open?id=1iAa8H3uc5_OGeC_YlqgxdD29wTfR_FJI" TargetMode="External"/><Relationship Id="rId914" Type="http://schemas.openxmlformats.org/officeDocument/2006/relationships/hyperlink" Target="https://drive.google.com/open?id=1_495mVZ4nlUgtUdTjFM-GD8a8hb-HqW6" TargetMode="External"/><Relationship Id="rId1337" Type="http://schemas.openxmlformats.org/officeDocument/2006/relationships/hyperlink" Target="https://drive.google.com/open?id=1CnLUmFbkuxFbjry_FnYqe4AM0s0TX_PP" TargetMode="External"/><Relationship Id="rId1544" Type="http://schemas.openxmlformats.org/officeDocument/2006/relationships/hyperlink" Target="https://www.facebook.com/institutoepossivelsonhar/" TargetMode="External"/><Relationship Id="rId1751" Type="http://schemas.openxmlformats.org/officeDocument/2006/relationships/hyperlink" Target="https://drive.google.com/open?id=1IUfSiX0TPttkfVp0rqVeDCRfhP0cbBe-" TargetMode="External"/><Relationship Id="rId43" Type="http://schemas.openxmlformats.org/officeDocument/2006/relationships/hyperlink" Target="https://drive.google.com/open?id=14-lFZvdeXIJXqpWcLZ0VmPxQENFMPOA0" TargetMode="External"/><Relationship Id="rId1404" Type="http://schemas.openxmlformats.org/officeDocument/2006/relationships/hyperlink" Target="https://drive.google.com/open?id=1Oz4VqgTEuT2sRnHy-R_2w-h1Upv6zXmr" TargetMode="External"/><Relationship Id="rId1611" Type="http://schemas.openxmlformats.org/officeDocument/2006/relationships/hyperlink" Target="https://www.facebook.com/samuel.soares.716195" TargetMode="External"/><Relationship Id="rId497" Type="http://schemas.openxmlformats.org/officeDocument/2006/relationships/hyperlink" Target="https://www.facebook.com/EstrelaGuiaT/" TargetMode="External"/><Relationship Id="rId2178" Type="http://schemas.openxmlformats.org/officeDocument/2006/relationships/hyperlink" Target="https://www.instagram.com/pensandobemof/" TargetMode="External"/><Relationship Id="rId2385" Type="http://schemas.openxmlformats.org/officeDocument/2006/relationships/hyperlink" Target="https://www.facebook.com/projetosocialoficinadoesporte" TargetMode="External"/><Relationship Id="rId357" Type="http://schemas.openxmlformats.org/officeDocument/2006/relationships/hyperlink" Target="https://drive.google.com/open?id=1COZt3iXfe6o9ZPb9XiN8bblQcQQjDUwb" TargetMode="External"/><Relationship Id="rId1194" Type="http://schemas.openxmlformats.org/officeDocument/2006/relationships/hyperlink" Target="https://drive.google.com/open?id=1E-oBz_s3BM2S8g5xmUQtiGw6w2jOPoch" TargetMode="External"/><Relationship Id="rId2038" Type="http://schemas.openxmlformats.org/officeDocument/2006/relationships/hyperlink" Target="https://www.facebook.com/GerandoFalcoes" TargetMode="External"/><Relationship Id="rId2592" Type="http://schemas.openxmlformats.org/officeDocument/2006/relationships/hyperlink" Target="http://www.institutomacunaima.org.br/" TargetMode="External"/><Relationship Id="rId217" Type="http://schemas.openxmlformats.org/officeDocument/2006/relationships/hyperlink" Target="https://drive.google.com/open?id=1RH8j8hPECS7KYC8sI-xspY5j4vrmnFWe" TargetMode="External"/><Relationship Id="rId564" Type="http://schemas.openxmlformats.org/officeDocument/2006/relationships/hyperlink" Target="https://instagram.com/abraoportal?igshid=YmMyMTA2M2Y=" TargetMode="External"/><Relationship Id="rId771" Type="http://schemas.openxmlformats.org/officeDocument/2006/relationships/hyperlink" Target="https://www.instagram.com/maisquepalavraseditora/" TargetMode="External"/><Relationship Id="rId2245" Type="http://schemas.openxmlformats.org/officeDocument/2006/relationships/hyperlink" Target="http://www.simeusoudomeio.com.br/" TargetMode="External"/><Relationship Id="rId2452" Type="http://schemas.openxmlformats.org/officeDocument/2006/relationships/hyperlink" Target="https://sambadeiras.46graus.com/" TargetMode="External"/><Relationship Id="rId424" Type="http://schemas.openxmlformats.org/officeDocument/2006/relationships/hyperlink" Target="https://drive.google.com/open?id=1emXmcFbAgUZqhlQZ2Oj4irM15u_-szR6" TargetMode="External"/><Relationship Id="rId631" Type="http://schemas.openxmlformats.org/officeDocument/2006/relationships/hyperlink" Target="https://drive.google.com/open?id=1K0nV3CSbAusb16g--ibe7XXciP9zXOGW" TargetMode="External"/><Relationship Id="rId1054" Type="http://schemas.openxmlformats.org/officeDocument/2006/relationships/hyperlink" Target="https://drive.google.com/open?id=1WIuCeoh43dwJnjDLdBqAWr2yTcZmfPwu" TargetMode="External"/><Relationship Id="rId1261" Type="http://schemas.openxmlformats.org/officeDocument/2006/relationships/hyperlink" Target="https://youtube.com/channel/UCiJr5nsfVwhEGni0nFUVHlQ" TargetMode="External"/><Relationship Id="rId2105" Type="http://schemas.openxmlformats.org/officeDocument/2006/relationships/hyperlink" Target="https://drive.google.com/open?id=1N947VLqUILSpjrI_AB7EXxDH9jkI59HA" TargetMode="External"/><Relationship Id="rId2312" Type="http://schemas.openxmlformats.org/officeDocument/2006/relationships/hyperlink" Target="https://instagram.com/institutoeducamaisesporte?utm_medium=copy_link" TargetMode="External"/><Relationship Id="rId1121" Type="http://schemas.openxmlformats.org/officeDocument/2006/relationships/hyperlink" Target="https://drive.google.com/open?id=1o2aJXM1cCuRXLl0QskeILFDYgELBxM8G" TargetMode="External"/><Relationship Id="rId1938" Type="http://schemas.openxmlformats.org/officeDocument/2006/relationships/hyperlink" Target="https://www.youtube.com/channel/UCDd0Tl-rM03PrBScs05o9Yg" TargetMode="External"/><Relationship Id="rId281" Type="http://schemas.openxmlformats.org/officeDocument/2006/relationships/hyperlink" Target="https://drive.google.com/open?id=1bS98VD6A8xmtKQXV8F2CwjpN7ukubnZL" TargetMode="External"/><Relationship Id="rId141" Type="http://schemas.openxmlformats.org/officeDocument/2006/relationships/hyperlink" Target="https://www.facebook.com/ong.aicc/" TargetMode="External"/><Relationship Id="rId7" Type="http://schemas.openxmlformats.org/officeDocument/2006/relationships/hyperlink" Target="http://www.instagram.com/organizacaoleec" TargetMode="External"/><Relationship Id="rId958" Type="http://schemas.openxmlformats.org/officeDocument/2006/relationships/hyperlink" Target="https://www.anajo.org/" TargetMode="External"/><Relationship Id="rId1588" Type="http://schemas.openxmlformats.org/officeDocument/2006/relationships/hyperlink" Target="https://drive.google.com/open?id=1b-E6uVnAhuK4HYR9UkyxsCY4E22d4gQe" TargetMode="External"/><Relationship Id="rId1795" Type="http://schemas.openxmlformats.org/officeDocument/2006/relationships/hyperlink" Target="https://www.instagram.com/caefa.fernandopolis/" TargetMode="External"/><Relationship Id="rId2639" Type="http://schemas.openxmlformats.org/officeDocument/2006/relationships/hyperlink" Target="https://drive.google.com/open?id=1TA9CO_kzVIGMdDz5fbqDKavjET5C3mQW" TargetMode="External"/><Relationship Id="rId87" Type="http://schemas.openxmlformats.org/officeDocument/2006/relationships/hyperlink" Target="http://detodocoracao.com/" TargetMode="External"/><Relationship Id="rId818" Type="http://schemas.openxmlformats.org/officeDocument/2006/relationships/hyperlink" Target="https://instagram.com/asmaprn2022?utm_medium=copy_link" TargetMode="External"/><Relationship Id="rId1448" Type="http://schemas.openxmlformats.org/officeDocument/2006/relationships/hyperlink" Target="https://www.facebook.com/TerereKidsProject501c/" TargetMode="External"/><Relationship Id="rId1655" Type="http://schemas.openxmlformats.org/officeDocument/2006/relationships/hyperlink" Target="https://www.instagram.com/umanovachance_aracati/" TargetMode="External"/><Relationship Id="rId2706" Type="http://schemas.openxmlformats.org/officeDocument/2006/relationships/hyperlink" Target="https://instagram.com/projetoswell?utm_medium=copy_link" TargetMode="External"/><Relationship Id="rId1308" Type="http://schemas.openxmlformats.org/officeDocument/2006/relationships/hyperlink" Target="https://www.instagram.com/institutoegbedudu/" TargetMode="External"/><Relationship Id="rId1862" Type="http://schemas.openxmlformats.org/officeDocument/2006/relationships/hyperlink" Target="https://www.instagram.com/coresdoamanha/" TargetMode="External"/><Relationship Id="rId1515" Type="http://schemas.openxmlformats.org/officeDocument/2006/relationships/hyperlink" Target="https://drive.google.com/open?id=19_HLJdZb-emqTQmA_dcvRH3EfxS604UN" TargetMode="External"/><Relationship Id="rId1722" Type="http://schemas.openxmlformats.org/officeDocument/2006/relationships/hyperlink" Target="https://drive.google.com/open?id=14rBZ036ZqAvjD8RI6pAIVj7FP-W7-nRi" TargetMode="External"/><Relationship Id="rId14" Type="http://schemas.openxmlformats.org/officeDocument/2006/relationships/hyperlink" Target="https://coletivomdc.org/" TargetMode="External"/><Relationship Id="rId2289" Type="http://schemas.openxmlformats.org/officeDocument/2006/relationships/hyperlink" Target="https://drive.google.com/open?id=1Wo0NxkaqVGMtgDRH9XorH6WV_m9k5i1r" TargetMode="External"/><Relationship Id="rId2496" Type="http://schemas.openxmlformats.org/officeDocument/2006/relationships/hyperlink" Target="https://drive.google.com/open?id=1uNOLqtwCzygKpniPnCLH1-6UVCv5Lqrl" TargetMode="External"/><Relationship Id="rId468" Type="http://schemas.openxmlformats.org/officeDocument/2006/relationships/hyperlink" Target="https://www.instagram.com/kaleoinstituto/" TargetMode="External"/><Relationship Id="rId675" Type="http://schemas.openxmlformats.org/officeDocument/2006/relationships/hyperlink" Target="https://cdvida.org.br/" TargetMode="External"/><Relationship Id="rId882" Type="http://schemas.openxmlformats.org/officeDocument/2006/relationships/hyperlink" Target="https://www.youtube.com/channel/UChEnqHtlqOmRGd1wTCJoMUQ/featured" TargetMode="External"/><Relationship Id="rId1098" Type="http://schemas.openxmlformats.org/officeDocument/2006/relationships/hyperlink" Target="https://drive.google.com/open?id=1yV8_QFk1dd6ww4wnNIrNSvhUr6mmmOPL" TargetMode="External"/><Relationship Id="rId2149" Type="http://schemas.openxmlformats.org/officeDocument/2006/relationships/hyperlink" Target="https://www.vozesdasperiferias.com/" TargetMode="External"/><Relationship Id="rId2356" Type="http://schemas.openxmlformats.org/officeDocument/2006/relationships/hyperlink" Target="https://drive.google.com/open?id=1e3ng2cAUsYj7fS7kiSrz3obTdifkNY-7" TargetMode="External"/><Relationship Id="rId2563" Type="http://schemas.openxmlformats.org/officeDocument/2006/relationships/hyperlink" Target="https://drive.google.com/open?id=1x7h8mNTSUdrsHOWzFXM4JU7Ln8iS4MJv" TargetMode="External"/><Relationship Id="rId328" Type="http://schemas.openxmlformats.org/officeDocument/2006/relationships/hyperlink" Target="https://drive.google.com/open?id=1sO-Xykt-h3KPf7BNXIZ1Gm5mXCf0rXY_" TargetMode="External"/><Relationship Id="rId535" Type="http://schemas.openxmlformats.org/officeDocument/2006/relationships/hyperlink" Target="http://www.youtube.com/user/amunam2011/videos" TargetMode="External"/><Relationship Id="rId742" Type="http://schemas.openxmlformats.org/officeDocument/2006/relationships/hyperlink" Target="https://drive.google.com/open?id=1EZ7iz4en2kzfztg5jg4qq8foXouOVca5" TargetMode="External"/><Relationship Id="rId1165" Type="http://schemas.openxmlformats.org/officeDocument/2006/relationships/hyperlink" Target="http://www.facebook.com/abaa.servicosocial/" TargetMode="External"/><Relationship Id="rId1372" Type="http://schemas.openxmlformats.org/officeDocument/2006/relationships/hyperlink" Target="https://www.instagram.com/arc.acoesolidarias/" TargetMode="External"/><Relationship Id="rId2009" Type="http://schemas.openxmlformats.org/officeDocument/2006/relationships/hyperlink" Target="https://drive.google.com/open?id=1OmFyxF1gZkb6xWhTy8_diPDHv6SgyvxS" TargetMode="External"/><Relationship Id="rId2216" Type="http://schemas.openxmlformats.org/officeDocument/2006/relationships/hyperlink" Target="https://www.instagram.com/ciavidanca/" TargetMode="External"/><Relationship Id="rId2423" Type="http://schemas.openxmlformats.org/officeDocument/2006/relationships/hyperlink" Target="https://drive.google.com/open?id=1SXmru_mHy6G2iMYGz_LnjCjB3l34JVDB" TargetMode="External"/><Relationship Id="rId2630" Type="http://schemas.openxmlformats.org/officeDocument/2006/relationships/hyperlink" Target="https://drive.google.com/open?id=1ToGOLQs-B521FLN6pZlXbRDSIsWdH9Ck" TargetMode="External"/><Relationship Id="rId602" Type="http://schemas.openxmlformats.org/officeDocument/2006/relationships/hyperlink" Target="https://drive.google.com/open?id=1bMcoiOgg6c1iLNQxC7RkGk2kqe0MTJLk" TargetMode="External"/><Relationship Id="rId1025" Type="http://schemas.openxmlformats.org/officeDocument/2006/relationships/hyperlink" Target="https://instagram.com/psggoiania?utm_medium=copy_link" TargetMode="External"/><Relationship Id="rId1232" Type="http://schemas.openxmlformats.org/officeDocument/2006/relationships/hyperlink" Target="https://drive.google.com/open?id=1c6GgLBHFLqTNYUspVocaIBomek-EqGr_" TargetMode="External"/><Relationship Id="rId185" Type="http://schemas.openxmlformats.org/officeDocument/2006/relationships/hyperlink" Target="https://drive.google.com/open?id=1Hc4dVAOVLrUP5e54xX8jHc9BCYBuTEyu" TargetMode="External"/><Relationship Id="rId1909" Type="http://schemas.openxmlformats.org/officeDocument/2006/relationships/hyperlink" Target="https://www.instagram.com/actumbrazil/" TargetMode="External"/><Relationship Id="rId392" Type="http://schemas.openxmlformats.org/officeDocument/2006/relationships/hyperlink" Target="https://www.instagram.com/institutodonamaria/" TargetMode="External"/><Relationship Id="rId2073" Type="http://schemas.openxmlformats.org/officeDocument/2006/relationships/hyperlink" Target="https://drive.google.com/open?id=11vfLOR7un6ZfD7ZpIIiY7-suEOw2OZIb" TargetMode="External"/><Relationship Id="rId2280" Type="http://schemas.openxmlformats.org/officeDocument/2006/relationships/hyperlink" Target="https://m.facebook.com/circuitoinclusao/" TargetMode="External"/><Relationship Id="rId252" Type="http://schemas.openxmlformats.org/officeDocument/2006/relationships/hyperlink" Target="http://www.gesca.org.br/" TargetMode="External"/><Relationship Id="rId2140" Type="http://schemas.openxmlformats.org/officeDocument/2006/relationships/hyperlink" Target="https://www.napontadospes.com.br/" TargetMode="External"/><Relationship Id="rId112" Type="http://schemas.openxmlformats.org/officeDocument/2006/relationships/hyperlink" Target="https://www.instagram.com/ascbj.ascbj/" TargetMode="External"/><Relationship Id="rId1699" Type="http://schemas.openxmlformats.org/officeDocument/2006/relationships/hyperlink" Target="http://www.institutozedakah.com/" TargetMode="External"/><Relationship Id="rId2000" Type="http://schemas.openxmlformats.org/officeDocument/2006/relationships/hyperlink" Target="https://www.instagram.com/institutoincanto/" TargetMode="External"/><Relationship Id="rId929" Type="http://schemas.openxmlformats.org/officeDocument/2006/relationships/hyperlink" Target="https://drive.google.com/open?id=1R6_bILZoOHe_XmAR8sjo35uyD8u_tE0z" TargetMode="External"/><Relationship Id="rId1559" Type="http://schemas.openxmlformats.org/officeDocument/2006/relationships/hyperlink" Target="https://drive.google.com/open?id=1g7eS0T-eL_SC_oue1O91q6gMTAA2xytj" TargetMode="External"/><Relationship Id="rId1766" Type="http://schemas.openxmlformats.org/officeDocument/2006/relationships/hyperlink" Target="https://instagram.com/abeducacional?utm_medium=copy_link" TargetMode="External"/><Relationship Id="rId1973" Type="http://schemas.openxmlformats.org/officeDocument/2006/relationships/hyperlink" Target="https://www.youtube.com/channel/UCZTWknNcIsHD7B7ryXhI-Qw" TargetMode="External"/><Relationship Id="rId58" Type="http://schemas.openxmlformats.org/officeDocument/2006/relationships/hyperlink" Target="https://institutoarcanjogabriel.org.br/" TargetMode="External"/><Relationship Id="rId1419" Type="http://schemas.openxmlformats.org/officeDocument/2006/relationships/hyperlink" Target="https://youtu.be/p0-zoZ7kVug" TargetMode="External"/><Relationship Id="rId1626" Type="http://schemas.openxmlformats.org/officeDocument/2006/relationships/hyperlink" Target="https://www.facebook.com/Impacta%C3%A7%C3%A3o-Social-101892151714942/" TargetMode="External"/><Relationship Id="rId1833" Type="http://schemas.openxmlformats.org/officeDocument/2006/relationships/hyperlink" Target="https://drive.google.com/open?id=1cr-9ui-pehppDTXk92TBtONApB6RItGH" TargetMode="External"/><Relationship Id="rId1900" Type="http://schemas.openxmlformats.org/officeDocument/2006/relationships/hyperlink" Target="http://chegancaescola.com.br/" TargetMode="External"/><Relationship Id="rId579" Type="http://schemas.openxmlformats.org/officeDocument/2006/relationships/hyperlink" Target="https://www.instagram.com/p/CfwFpHbOADJ/?igshid=MDJmNzVkMjY=" TargetMode="External"/><Relationship Id="rId786" Type="http://schemas.openxmlformats.org/officeDocument/2006/relationships/hyperlink" Target="https://drive.google.com/open?id=1s4983svdbDrVcH0hidtpD_UP612ZPQRj" TargetMode="External"/><Relationship Id="rId993" Type="http://schemas.openxmlformats.org/officeDocument/2006/relationships/hyperlink" Target="https://projetojeda.org.br/" TargetMode="External"/><Relationship Id="rId2467" Type="http://schemas.openxmlformats.org/officeDocument/2006/relationships/hyperlink" Target="https://drive.google.com/open?id=1iHnNnkqHky46uZY4Z0TOcn_DtCJsj2gO" TargetMode="External"/><Relationship Id="rId2674" Type="http://schemas.openxmlformats.org/officeDocument/2006/relationships/hyperlink" Target="https://www.pisadadosertao.org/" TargetMode="External"/><Relationship Id="rId439" Type="http://schemas.openxmlformats.org/officeDocument/2006/relationships/hyperlink" Target="https://drive.google.com/open?id=10tAAs0tRlLf1Tvxx7YC10a8Aml3wOdPQ" TargetMode="External"/><Relationship Id="rId646" Type="http://schemas.openxmlformats.org/officeDocument/2006/relationships/hyperlink" Target="https://www.instagram.com/p/Cfzc_ZduVOe/?igshid=YmMyMTA2M2Y=" TargetMode="External"/><Relationship Id="rId1069" Type="http://schemas.openxmlformats.org/officeDocument/2006/relationships/hyperlink" Target="https://instagram.com/transformadores.sociais?igshid=YmMyMTA2M2Y=" TargetMode="External"/><Relationship Id="rId1276" Type="http://schemas.openxmlformats.org/officeDocument/2006/relationships/hyperlink" Target="https://drive.google.com/open?id=1quql5HbUwsI8e89f8Jff-1do9v9DuWsp" TargetMode="External"/><Relationship Id="rId1483" Type="http://schemas.openxmlformats.org/officeDocument/2006/relationships/hyperlink" Target="https://instagram.com/ong.neac?utm_medium=copy_link" TargetMode="External"/><Relationship Id="rId2327" Type="http://schemas.openxmlformats.org/officeDocument/2006/relationships/hyperlink" Target="https://drive.google.com/open?id=1BiXdP5J4A7uxzxVZ8moy7b-6vgzwJUGV" TargetMode="External"/><Relationship Id="rId506" Type="http://schemas.openxmlformats.org/officeDocument/2006/relationships/hyperlink" Target="https://drive.google.com/open?id=189NWk3tMQ2X0WlBw23UrXAhKsg8aq4ip" TargetMode="External"/><Relationship Id="rId853" Type="http://schemas.openxmlformats.org/officeDocument/2006/relationships/hyperlink" Target="http://cren.org/" TargetMode="External"/><Relationship Id="rId1136" Type="http://schemas.openxmlformats.org/officeDocument/2006/relationships/hyperlink" Target="http://www.causadoresdaalegria.org/" TargetMode="External"/><Relationship Id="rId1690" Type="http://schemas.openxmlformats.org/officeDocument/2006/relationships/hyperlink" Target="https://www.linkedin.com/in/valeria-oliveira-campelo-32716964" TargetMode="External"/><Relationship Id="rId2534" Type="http://schemas.openxmlformats.org/officeDocument/2006/relationships/hyperlink" Target="https://www.youtube.com/channel/UCsauv8MgN7nVNSuyY0iCYEA/videos" TargetMode="External"/><Relationship Id="rId713" Type="http://schemas.openxmlformats.org/officeDocument/2006/relationships/hyperlink" Target="https://drive.google.com/open?id=13aJ59aSuDsE0nx7SEyIyAac1d6N6XkWL" TargetMode="External"/><Relationship Id="rId920" Type="http://schemas.openxmlformats.org/officeDocument/2006/relationships/hyperlink" Target="https://instagram.com/uniaoparque_2015?igshid=YmMyMTA2M2Y=" TargetMode="External"/><Relationship Id="rId1343" Type="http://schemas.openxmlformats.org/officeDocument/2006/relationships/hyperlink" Target="https://drive.google.com/open?id=1kzDSTQvNaC_nxlteRwpwWqpAA1QWDTkS" TargetMode="External"/><Relationship Id="rId1550" Type="http://schemas.openxmlformats.org/officeDocument/2006/relationships/hyperlink" Target="https://www.facebook.com/institutocandaces/" TargetMode="External"/><Relationship Id="rId2601" Type="http://schemas.openxmlformats.org/officeDocument/2006/relationships/hyperlink" Target="https://drive.google.com/open?id=1yHodKd2VMhRsA943WrBuDOMuF--PpF9j" TargetMode="External"/><Relationship Id="rId1203" Type="http://schemas.openxmlformats.org/officeDocument/2006/relationships/hyperlink" Target="https://drive.google.com/open?id=1a0OeAMRcjrpSv5aofYHNIdFY5F9su7r0" TargetMode="External"/><Relationship Id="rId1410" Type="http://schemas.openxmlformats.org/officeDocument/2006/relationships/hyperlink" Target="https://voznascomunidades.webnode.com/" TargetMode="External"/><Relationship Id="rId296" Type="http://schemas.openxmlformats.org/officeDocument/2006/relationships/hyperlink" Target="https://instagram.com/neducma?igshid=YmMyMTA2M2Y=" TargetMode="External"/><Relationship Id="rId2184" Type="http://schemas.openxmlformats.org/officeDocument/2006/relationships/hyperlink" Target="https://drive.google.com/open?id=1phqmSll2PBDZDSmVerQdq4PMK8-IRYwg" TargetMode="External"/><Relationship Id="rId2391" Type="http://schemas.openxmlformats.org/officeDocument/2006/relationships/hyperlink" Target="https://www.instagram.com/movimentoinspire/" TargetMode="External"/><Relationship Id="rId156" Type="http://schemas.openxmlformats.org/officeDocument/2006/relationships/hyperlink" Target="https://web.facebook.com/CAISProjeto/?ref=page_internal" TargetMode="External"/><Relationship Id="rId363" Type="http://schemas.openxmlformats.org/officeDocument/2006/relationships/hyperlink" Target="https://youtube.com/channel/UCkx1soXRO_1mhfFKyZEYirQ" TargetMode="External"/><Relationship Id="rId570" Type="http://schemas.openxmlformats.org/officeDocument/2006/relationships/hyperlink" Target="https://drive.google.com/open?id=1rwWVjsWWNaTpfjxkM4rfLN9dTfDfb0hj" TargetMode="External"/><Relationship Id="rId2044" Type="http://schemas.openxmlformats.org/officeDocument/2006/relationships/hyperlink" Target="https://www.youtube.com/results?search_query=gerando+falc%C3%B5es" TargetMode="External"/><Relationship Id="rId2251" Type="http://schemas.openxmlformats.org/officeDocument/2006/relationships/hyperlink" Target="https://drive.google.com/open?id=1nL5QvRWCHqU-q5j1bbRsABMLMlGs6XSM" TargetMode="External"/><Relationship Id="rId223" Type="http://schemas.openxmlformats.org/officeDocument/2006/relationships/hyperlink" Target="https://drive.google.com/open?id=1nP5p4NhVnL2CDJmRiEV2WS-3MWGpa_2n" TargetMode="External"/><Relationship Id="rId430" Type="http://schemas.openxmlformats.org/officeDocument/2006/relationships/hyperlink" Target="https://www.facebook.com/crieatividadegestaoesportiva/" TargetMode="External"/><Relationship Id="rId1060" Type="http://schemas.openxmlformats.org/officeDocument/2006/relationships/hyperlink" Target="https://www.youtube.com/watch?v=XCZEYGejl54" TargetMode="External"/><Relationship Id="rId2111" Type="http://schemas.openxmlformats.org/officeDocument/2006/relationships/hyperlink" Target="https://drive.google.com/open?id=12JUif4IiB7BVM1EweNuQn9AygXUy3vLE" TargetMode="External"/><Relationship Id="rId1877" Type="http://schemas.openxmlformats.org/officeDocument/2006/relationships/hyperlink" Target="https://institutorevivertocantins.ong.br/" TargetMode="External"/><Relationship Id="rId1737" Type="http://schemas.openxmlformats.org/officeDocument/2006/relationships/hyperlink" Target="https://sites.google.com/asbramebrasil.org/asbramebrasil" TargetMode="External"/><Relationship Id="rId1944" Type="http://schemas.openxmlformats.org/officeDocument/2006/relationships/hyperlink" Target="https://www.facebook.com/Pro.Bem.Botujuru" TargetMode="External"/><Relationship Id="rId29" Type="http://schemas.openxmlformats.org/officeDocument/2006/relationships/hyperlink" Target="https://instagram.com/mulheresarretadasdafavela?igshid=YmMyMTA2M2Y=" TargetMode="External"/><Relationship Id="rId1804" Type="http://schemas.openxmlformats.org/officeDocument/2006/relationships/hyperlink" Target="https://drive.google.com/open?id=1ND0tkNHLp9q2wh9sh44xGTdpXEkNMScJ" TargetMode="External"/><Relationship Id="rId897" Type="http://schemas.openxmlformats.org/officeDocument/2006/relationships/hyperlink" Target="https://instagram.com/ongcejumic" TargetMode="External"/><Relationship Id="rId2578" Type="http://schemas.openxmlformats.org/officeDocument/2006/relationships/hyperlink" Target="https://www.facebook.com/institutoprimeiroestagio" TargetMode="External"/><Relationship Id="rId757" Type="http://schemas.openxmlformats.org/officeDocument/2006/relationships/hyperlink" Target="https://drive.google.com/open?id=1NNWlDPZZBV3etedql9VMT546yl8CZ3Z8" TargetMode="External"/><Relationship Id="rId964" Type="http://schemas.openxmlformats.org/officeDocument/2006/relationships/hyperlink" Target="https://www.instagram.com/mulheres.em.superacao/" TargetMode="External"/><Relationship Id="rId1387" Type="http://schemas.openxmlformats.org/officeDocument/2006/relationships/hyperlink" Target="https://www.facebook.com/institutotchibum/" TargetMode="External"/><Relationship Id="rId1594" Type="http://schemas.openxmlformats.org/officeDocument/2006/relationships/hyperlink" Target="https://drive.google.com/open?id=19kMAxlf7TITTxvp7l7W62_ERDx_qnNUy" TargetMode="External"/><Relationship Id="rId2438" Type="http://schemas.openxmlformats.org/officeDocument/2006/relationships/hyperlink" Target="https://drive.google.com/open?id=1BRiLWTIEVuQ4HGfi5C7moMDEzzHoqxd9" TargetMode="External"/><Relationship Id="rId2645" Type="http://schemas.openxmlformats.org/officeDocument/2006/relationships/hyperlink" Target="https://drive.google.com/open?id=17R8AWdi-GZhJ9lat2HrcBApn1ogq9Bq7" TargetMode="External"/><Relationship Id="rId93" Type="http://schemas.openxmlformats.org/officeDocument/2006/relationships/hyperlink" Target="https://instagram.com/institutorastro?igshid=YmMyMTA2M2Y=" TargetMode="External"/><Relationship Id="rId617" Type="http://schemas.openxmlformats.org/officeDocument/2006/relationships/hyperlink" Target="https://www.facebook.com/marcos.nascimento.50364592" TargetMode="External"/><Relationship Id="rId824" Type="http://schemas.openxmlformats.org/officeDocument/2006/relationships/hyperlink" Target="https://drive.google.com/open?id=1TokkCEYQ5rDLldiiiZifH-e3fQxmam_K" TargetMode="External"/><Relationship Id="rId1247" Type="http://schemas.openxmlformats.org/officeDocument/2006/relationships/hyperlink" Target="https://drive.google.com/open?id=1G7uLltwkEbFQ2QDfeaV1pqy7VXlRI2oI" TargetMode="External"/><Relationship Id="rId1454" Type="http://schemas.openxmlformats.org/officeDocument/2006/relationships/hyperlink" Target="https://drive.google.com/open?id=1SzlEygbB37msZEejBZvFuudOiStUnaIN" TargetMode="External"/><Relationship Id="rId1661" Type="http://schemas.openxmlformats.org/officeDocument/2006/relationships/hyperlink" Target="https://drive.google.com/open?id=1nKslTCiR7MOIap3kuYI5hXKi1JvsCNWF" TargetMode="External"/><Relationship Id="rId2505" Type="http://schemas.openxmlformats.org/officeDocument/2006/relationships/hyperlink" Target="https://drive.google.com/open?id=1vl3Xrwxy67zuZ-e2lcRiL6xyb9NRcFEN" TargetMode="External"/><Relationship Id="rId2712" Type="http://schemas.openxmlformats.org/officeDocument/2006/relationships/hyperlink" Target="https://drive.google.com/open?id=1RSGOzxf6ByxPOrTsQzfizJPsfD6KGuM7" TargetMode="External"/><Relationship Id="rId1107" Type="http://schemas.openxmlformats.org/officeDocument/2006/relationships/hyperlink" Target="https://drive.google.com/open?id=1jXJyzg-G4K7nd-9R8YO3txU9ufBMf1uI" TargetMode="External"/><Relationship Id="rId1314" Type="http://schemas.openxmlformats.org/officeDocument/2006/relationships/hyperlink" Target="https://drive.google.com/open?id=166PhR_4Vm8ir33_pL094TDEvPZBI-tpI" TargetMode="External"/><Relationship Id="rId1521" Type="http://schemas.openxmlformats.org/officeDocument/2006/relationships/hyperlink" Target="https://www.youtube.com/channel/UCiqXjKMGGl0XrEjZvphKcFA" TargetMode="External"/><Relationship Id="rId20" Type="http://schemas.openxmlformats.org/officeDocument/2006/relationships/hyperlink" Target="https://instagram.com/espeducativo?igshid=YmMyMTA2M2Y=" TargetMode="External"/><Relationship Id="rId2088" Type="http://schemas.openxmlformats.org/officeDocument/2006/relationships/hyperlink" Target="https://drive.google.com/open?id=1Hk4QQ4Zt1Ylx8V0YFUJCXl5FNh-TqeCI" TargetMode="External"/><Relationship Id="rId2295" Type="http://schemas.openxmlformats.org/officeDocument/2006/relationships/hyperlink" Target="https://drive.google.com/open?id=1lMmsJpZBD3HvrNHGLNK5OEhWDawJzior" TargetMode="External"/><Relationship Id="rId267" Type="http://schemas.openxmlformats.org/officeDocument/2006/relationships/hyperlink" Target="https://instagram.com/projeto_evoluir2021?igshid=YmMyMTA2M2Y=" TargetMode="External"/><Relationship Id="rId474" Type="http://schemas.openxmlformats.org/officeDocument/2006/relationships/hyperlink" Target="https://www.instagram.com/projetosocialmaoamiga3/" TargetMode="External"/><Relationship Id="rId2155" Type="http://schemas.openxmlformats.org/officeDocument/2006/relationships/hyperlink" Target="https://novosherdeiros.com.br/" TargetMode="External"/><Relationship Id="rId127" Type="http://schemas.openxmlformats.org/officeDocument/2006/relationships/hyperlink" Target="https://drive.google.com/open?id=1xt2EQKDowKbqZE_rfGueMRTOCpbpltMJ" TargetMode="External"/><Relationship Id="rId681" Type="http://schemas.openxmlformats.org/officeDocument/2006/relationships/hyperlink" Target="https://drive.google.com/open?id=1JyAA3FxfKYTcwwcJK9ZWPmqi672UOuwF" TargetMode="External"/><Relationship Id="rId2362" Type="http://schemas.openxmlformats.org/officeDocument/2006/relationships/hyperlink" Target="https://drive.google.com/open?id=1v2E65RBjBNvAkxTmqxY_HVvNsfnfRk2F" TargetMode="External"/><Relationship Id="rId334" Type="http://schemas.openxmlformats.org/officeDocument/2006/relationships/hyperlink" Target="https://drive.google.com/open?id=1xZRAMOZwNy43fH1bGWCvFVPKKuoeymIL" TargetMode="External"/><Relationship Id="rId541" Type="http://schemas.openxmlformats.org/officeDocument/2006/relationships/hyperlink" Target="https://drive.google.com/open?id=1L1DD8U05qX3eIM7O8NnZUtB7_JpN9n_C" TargetMode="External"/><Relationship Id="rId1171" Type="http://schemas.openxmlformats.org/officeDocument/2006/relationships/hyperlink" Target="https://drive.google.com/open?id=1xUyRjjISySnDdEx1QQpRLGdcXyXjGJh6" TargetMode="External"/><Relationship Id="rId2015" Type="http://schemas.openxmlformats.org/officeDocument/2006/relationships/hyperlink" Target="https://www.instagram.com/instituto.emaus/" TargetMode="External"/><Relationship Id="rId2222" Type="http://schemas.openxmlformats.org/officeDocument/2006/relationships/hyperlink" Target="https://www.instagram.com/institutoizaiasluzia/" TargetMode="External"/><Relationship Id="rId401" Type="http://schemas.openxmlformats.org/officeDocument/2006/relationships/hyperlink" Target="https://drive.google.com/open?id=1Uatc2YsRw3wkIlhX10o93dQDipLVotCD" TargetMode="External"/><Relationship Id="rId1031" Type="http://schemas.openxmlformats.org/officeDocument/2006/relationships/hyperlink" Target="http://www.naotenho.org.br/" TargetMode="External"/><Relationship Id="rId1988" Type="http://schemas.openxmlformats.org/officeDocument/2006/relationships/hyperlink" Target="https://drive.google.com/open?id=1bO016TAglKIOG61yNHb3wLS4K2wmjn4S" TargetMode="External"/><Relationship Id="rId1848" Type="http://schemas.openxmlformats.org/officeDocument/2006/relationships/hyperlink" Target="https://drive.google.com/open?id=1mnOU4Dyg_EWjCzn3To7Hvs1GFyKI-jb7" TargetMode="External"/><Relationship Id="rId191" Type="http://schemas.openxmlformats.org/officeDocument/2006/relationships/hyperlink" Target="https://www.facebook.com/104174084547162/posts/468672758097291/?sfnsn=wiwspmo" TargetMode="External"/><Relationship Id="rId1708" Type="http://schemas.openxmlformats.org/officeDocument/2006/relationships/hyperlink" Target="https://drive.google.com/open?id=1ih-Hss6LAD6hoBo9WX7QuqTOgnFNbHiE" TargetMode="External"/><Relationship Id="rId1915" Type="http://schemas.openxmlformats.org/officeDocument/2006/relationships/hyperlink" Target="https://www.instagram.com/esperancainstituto/" TargetMode="External"/><Relationship Id="rId2689" Type="http://schemas.openxmlformats.org/officeDocument/2006/relationships/hyperlink" Target="https://drive.google.com/open?id=1m_Nr4PXR1heMTWLhpzhlR3pgqKmw5i82" TargetMode="External"/><Relationship Id="rId868" Type="http://schemas.openxmlformats.org/officeDocument/2006/relationships/hyperlink" Target="http://www.agentesdetransformacao.com/" TargetMode="External"/><Relationship Id="rId1498" Type="http://schemas.openxmlformats.org/officeDocument/2006/relationships/hyperlink" Target="https://drive.google.com/open?id=13ZAvaxauev8U7AdPiHbLTjJHXGuirLeA" TargetMode="External"/><Relationship Id="rId2549" Type="http://schemas.openxmlformats.org/officeDocument/2006/relationships/hyperlink" Target="https://drive.google.com/open?id=12FDQODNOHX3esy1g88UGgUXPJLbpvqNo" TargetMode="External"/><Relationship Id="rId728" Type="http://schemas.openxmlformats.org/officeDocument/2006/relationships/hyperlink" Target="https://www.instagram.com/p/CHSxAqQF5YR/?utm_medium=copy_link" TargetMode="External"/><Relationship Id="rId935" Type="http://schemas.openxmlformats.org/officeDocument/2006/relationships/hyperlink" Target="https://drive.google.com/open?id=1m1BzRv7E2gKb2Dulve9zrp2i7G5SLksd" TargetMode="External"/><Relationship Id="rId1358" Type="http://schemas.openxmlformats.org/officeDocument/2006/relationships/hyperlink" Target="https://instagram.com/baledarale?utm_medium=copy_link" TargetMode="External"/><Relationship Id="rId1565" Type="http://schemas.openxmlformats.org/officeDocument/2006/relationships/hyperlink" Target="https://www.instagram.com/raizesdegericino" TargetMode="External"/><Relationship Id="rId1772" Type="http://schemas.openxmlformats.org/officeDocument/2006/relationships/hyperlink" Target="https://www.gibiesporteeducacao.org.br/" TargetMode="External"/><Relationship Id="rId2409" Type="http://schemas.openxmlformats.org/officeDocument/2006/relationships/hyperlink" Target="https://drive.google.com/open?id=12oPrIFjnjf2cWI9wRr8sQlPn9AD_okFm" TargetMode="External"/><Relationship Id="rId2616" Type="http://schemas.openxmlformats.org/officeDocument/2006/relationships/hyperlink" Target="https://drive.google.com/open?id=1oMOCeu9s_V-vOYIoD82bJ9ZA_F-D09BJ" TargetMode="External"/><Relationship Id="rId64" Type="http://schemas.openxmlformats.org/officeDocument/2006/relationships/hyperlink" Target="https://drive.google.com/open?id=1XET_VxbpYOI7LHiJcQwmHsJiR2_avZjK" TargetMode="External"/><Relationship Id="rId1218" Type="http://schemas.openxmlformats.org/officeDocument/2006/relationships/hyperlink" Target="https://drive.google.com/open?id=1s4ZIMoTocdHQ-ibXpCFZaPkTgST7bxvP" TargetMode="External"/><Relationship Id="rId1425" Type="http://schemas.openxmlformats.org/officeDocument/2006/relationships/hyperlink" Target="https://drive.google.com/open?id=1pxvHWNCGX5SOOaONnXBYSj6oG_Amh0L-" TargetMode="External"/><Relationship Id="rId1632" Type="http://schemas.openxmlformats.org/officeDocument/2006/relationships/hyperlink" Target="https://www.youtube.com/channel/UCe1XZ_CoMPfsE9Lq8DSSvxw" TargetMode="External"/><Relationship Id="rId2199" Type="http://schemas.openxmlformats.org/officeDocument/2006/relationships/hyperlink" Target="http://ww.recomecar360.org/" TargetMode="External"/><Relationship Id="rId378" Type="http://schemas.openxmlformats.org/officeDocument/2006/relationships/hyperlink" Target="http://www.institutoamigosdasopa.org.br/" TargetMode="External"/><Relationship Id="rId585" Type="http://schemas.openxmlformats.org/officeDocument/2006/relationships/hyperlink" Target="https://drive.google.com/open?id=1Hx4q2yaWeTY0MnS_PCjZ2syLdgKTWAK5" TargetMode="External"/><Relationship Id="rId792" Type="http://schemas.openxmlformats.org/officeDocument/2006/relationships/hyperlink" Target="https://drive.google.com/open?id=1nI4DPE2oFqb42A-j2piiUECTSpq15jpH" TargetMode="External"/><Relationship Id="rId2059" Type="http://schemas.openxmlformats.org/officeDocument/2006/relationships/hyperlink" Target="https://instagram.com/acesaong?utm_medium=copy_link" TargetMode="External"/><Relationship Id="rId2266" Type="http://schemas.openxmlformats.org/officeDocument/2006/relationships/hyperlink" Target="https://www.instagram.com/accounts/login/?next=/casa_dobeco/" TargetMode="External"/><Relationship Id="rId2473" Type="http://schemas.openxmlformats.org/officeDocument/2006/relationships/hyperlink" Target="https://youtube.com/c/InstitutoEben%C3%A9zer" TargetMode="External"/><Relationship Id="rId2680" Type="http://schemas.openxmlformats.org/officeDocument/2006/relationships/hyperlink" Target="https://drive.google.com/open?id=12XAksLVQF9gmlF_ub9dl3bQrpkxTtBYP" TargetMode="External"/><Relationship Id="rId238" Type="http://schemas.openxmlformats.org/officeDocument/2006/relationships/hyperlink" Target="https://www.facebook.com/groups/541150592741309/?ref=share" TargetMode="External"/><Relationship Id="rId445" Type="http://schemas.openxmlformats.org/officeDocument/2006/relationships/hyperlink" Target="https://drive.google.com/open?id=1i3otF_aBCap3yqEJsYBxmQo4fwOlV-X2" TargetMode="External"/><Relationship Id="rId652" Type="http://schemas.openxmlformats.org/officeDocument/2006/relationships/hyperlink" Target="https://instagram.com/sociedadeplural?igshid=YmMyMTA2M2Y=" TargetMode="External"/><Relationship Id="rId1075" Type="http://schemas.openxmlformats.org/officeDocument/2006/relationships/hyperlink" Target="https://www.instagram.com/franklindofutebol/" TargetMode="External"/><Relationship Id="rId1282" Type="http://schemas.openxmlformats.org/officeDocument/2006/relationships/hyperlink" Target="https://drive.google.com/open?id=1IwHejHvm3eoyIkaAe79XE6sNX6fGKHYR" TargetMode="External"/><Relationship Id="rId2126" Type="http://schemas.openxmlformats.org/officeDocument/2006/relationships/hyperlink" Target="https://drive.google.com/open?id=18PdTFvQ0nhywoIHByZStZcvhka58TO41" TargetMode="External"/><Relationship Id="rId2333" Type="http://schemas.openxmlformats.org/officeDocument/2006/relationships/hyperlink" Target="https://drive.google.com/open?id=1bN4T6DaGqHtpQBeeaVkKqKKsiKwe5ixF" TargetMode="External"/><Relationship Id="rId2540" Type="http://schemas.openxmlformats.org/officeDocument/2006/relationships/hyperlink" Target="https://instagram.com/institutoentreaspasoficial?igshid=YmMyMTA2M2Y=" TargetMode="External"/><Relationship Id="rId305" Type="http://schemas.openxmlformats.org/officeDocument/2006/relationships/hyperlink" Target="https://drive.google.com/open?id=1lUgmQ6dUVfLoHco7BGClzNF5kzd8RpYJ" TargetMode="External"/><Relationship Id="rId512" Type="http://schemas.openxmlformats.org/officeDocument/2006/relationships/hyperlink" Target="https://www.facebook.com/institutopaternuss" TargetMode="External"/><Relationship Id="rId1142" Type="http://schemas.openxmlformats.org/officeDocument/2006/relationships/hyperlink" Target="https://drive.google.com/open?id=1IZXJY5jSXFWMEoBjMDmbl1BHu4hv1rLn" TargetMode="External"/><Relationship Id="rId2400" Type="http://schemas.openxmlformats.org/officeDocument/2006/relationships/hyperlink" Target="https://www.instagram.com/missao_intensidade/" TargetMode="External"/><Relationship Id="rId1002" Type="http://schemas.openxmlformats.org/officeDocument/2006/relationships/hyperlink" Target="https://www.youtube.com/c/CasaHacker" TargetMode="External"/><Relationship Id="rId1959" Type="http://schemas.openxmlformats.org/officeDocument/2006/relationships/hyperlink" Target="https://drive.google.com/open?id=1bFdi2Sk8Q5MHpbGjZpH-7MXT-QLoJnmk" TargetMode="External"/><Relationship Id="rId1819" Type="http://schemas.openxmlformats.org/officeDocument/2006/relationships/hyperlink" Target="http://www.youtube.com/associacaosemeandoamor" TargetMode="External"/><Relationship Id="rId2190" Type="http://schemas.openxmlformats.org/officeDocument/2006/relationships/hyperlink" Target="https://drive.google.com/open?id=1yYwua9M2hHQY9ynOzBohcxIsiS4l059v" TargetMode="External"/><Relationship Id="rId162" Type="http://schemas.openxmlformats.org/officeDocument/2006/relationships/hyperlink" Target="https://drive.google.com/open?id=1CVkWTrHsYGqWI3LE5frt-IdFXw-flb3i" TargetMode="External"/><Relationship Id="rId2050" Type="http://schemas.openxmlformats.org/officeDocument/2006/relationships/hyperlink" Target="https://www.youtube.com/channel/UCsnrTrx5BQ9fBCdkZbUsVEA" TargetMode="External"/><Relationship Id="rId979" Type="http://schemas.openxmlformats.org/officeDocument/2006/relationships/hyperlink" Target="https://www.diadoamor.org.br/" TargetMode="External"/><Relationship Id="rId839" Type="http://schemas.openxmlformats.org/officeDocument/2006/relationships/hyperlink" Target="https://drive.google.com/open?id=1kJmjg2CjEmWdydvFwEVLZv6thwo-8bil" TargetMode="External"/><Relationship Id="rId1469" Type="http://schemas.openxmlformats.org/officeDocument/2006/relationships/hyperlink" Target="http://www.fazendoarte.org.br/" TargetMode="External"/><Relationship Id="rId1676" Type="http://schemas.openxmlformats.org/officeDocument/2006/relationships/hyperlink" Target="https://drive.google.com/open?id=1G8060icRd-qqqc-fn0FkRBUPRELKkZSo" TargetMode="External"/><Relationship Id="rId1883" Type="http://schemas.openxmlformats.org/officeDocument/2006/relationships/hyperlink" Target="https://instagram.com/casaupadl?utm_medium=copy_link" TargetMode="External"/><Relationship Id="rId2727" Type="http://schemas.openxmlformats.org/officeDocument/2006/relationships/hyperlink" Target="https://drive.google.com/open?id=1K6kQiuqNijvYhtsCWCq7lmuZGgWHopZx" TargetMode="External"/><Relationship Id="rId906" Type="http://schemas.openxmlformats.org/officeDocument/2006/relationships/hyperlink" Target="https://www.instagram.com/naifoficial/" TargetMode="External"/><Relationship Id="rId1329" Type="http://schemas.openxmlformats.org/officeDocument/2006/relationships/hyperlink" Target="https://drive.google.com/open?id=1_s1FDDsDx_g_4WE6n2No-mTgajVsUyY8" TargetMode="External"/><Relationship Id="rId1536" Type="http://schemas.openxmlformats.org/officeDocument/2006/relationships/hyperlink" Target="http://instagram.com/amigosdasolidariedaderj" TargetMode="External"/><Relationship Id="rId1743" Type="http://schemas.openxmlformats.org/officeDocument/2006/relationships/hyperlink" Target="https://instagram.com/coletivovidanova" TargetMode="External"/><Relationship Id="rId1950" Type="http://schemas.openxmlformats.org/officeDocument/2006/relationships/hyperlink" Target="https://www.facebook.com/projetomotivar" TargetMode="External"/><Relationship Id="rId35" Type="http://schemas.openxmlformats.org/officeDocument/2006/relationships/hyperlink" Target="https://instagram.com/investidoresdaesperanca?igshid=YmMyMTA2M2Y=" TargetMode="External"/><Relationship Id="rId1603" Type="http://schemas.openxmlformats.org/officeDocument/2006/relationships/hyperlink" Target="https://drive.google.com/open?id=1v5PocN_S-4uU7ZnN1RCIpK235_g4Fv4w" TargetMode="External"/><Relationship Id="rId1810" Type="http://schemas.openxmlformats.org/officeDocument/2006/relationships/hyperlink" Target="https://instagram.com/psvivendoaarte?utm_medium=copy_link" TargetMode="External"/><Relationship Id="rId489" Type="http://schemas.openxmlformats.org/officeDocument/2006/relationships/hyperlink" Target="https://www.instagram.com/7geracoes/" TargetMode="External"/><Relationship Id="rId696" Type="http://schemas.openxmlformats.org/officeDocument/2006/relationships/hyperlink" Target="https://instagram.com/ccvnpiam?igshid=YmMyMTA2M2Y=" TargetMode="External"/><Relationship Id="rId2377" Type="http://schemas.openxmlformats.org/officeDocument/2006/relationships/hyperlink" Target="https://m.facebook.com/LibertariosDoCapao/?locale2=pt_BR" TargetMode="External"/><Relationship Id="rId2584" Type="http://schemas.openxmlformats.org/officeDocument/2006/relationships/hyperlink" Target="https://www.facebook.com/InstitutoAmargen" TargetMode="External"/><Relationship Id="rId349" Type="http://schemas.openxmlformats.org/officeDocument/2006/relationships/hyperlink" Target="https://drive.google.com/open?id=106HqvteyarnFgyOhYIMVPXOIAxJCT_Ye" TargetMode="External"/><Relationship Id="rId556" Type="http://schemas.openxmlformats.org/officeDocument/2006/relationships/hyperlink" Target="http://ceapolman.blogspot.com/2010/12/docs-centro-estudos-astronomicos-de.html" TargetMode="External"/><Relationship Id="rId763" Type="http://schemas.openxmlformats.org/officeDocument/2006/relationships/hyperlink" Target="https://instagram.com/amoraoproximo.proj?igshid=YmMyMTA2M2Y=" TargetMode="External"/><Relationship Id="rId1186" Type="http://schemas.openxmlformats.org/officeDocument/2006/relationships/hyperlink" Target="https://drive.google.com/open?id=1du4w3IXaetFr0HWR-ZJdoziaOxG3TxCj" TargetMode="External"/><Relationship Id="rId1393" Type="http://schemas.openxmlformats.org/officeDocument/2006/relationships/hyperlink" Target="https://drive.google.com/open?id=1BLlNe5jC3c7l69ekVgguywM21bCaRUNf" TargetMode="External"/><Relationship Id="rId2237" Type="http://schemas.openxmlformats.org/officeDocument/2006/relationships/hyperlink" Target="https://www.facebook.com/fazendoarte.acesa" TargetMode="External"/><Relationship Id="rId2444" Type="http://schemas.openxmlformats.org/officeDocument/2006/relationships/hyperlink" Target="https://linktr.ee/ier" TargetMode="External"/><Relationship Id="rId209" Type="http://schemas.openxmlformats.org/officeDocument/2006/relationships/hyperlink" Target="https://drive.google.com/open?id=1sLTXAUCuWUUjZAEQ8S68MBICtfZg_apX" TargetMode="External"/><Relationship Id="rId416" Type="http://schemas.openxmlformats.org/officeDocument/2006/relationships/hyperlink" Target="https://www.iacce.org.br/" TargetMode="External"/><Relationship Id="rId970" Type="http://schemas.openxmlformats.org/officeDocument/2006/relationships/hyperlink" Target="https://drive.google.com/open?id=1R_zc0kBa_idJtnQ2onkA53JpRBBy_KQH" TargetMode="External"/><Relationship Id="rId1046" Type="http://schemas.openxmlformats.org/officeDocument/2006/relationships/hyperlink" Target="https://drive.google.com/open?id=1s_0Hv1BaL091_vTuZB6Ad5n7RuPhIYMD" TargetMode="External"/><Relationship Id="rId1253" Type="http://schemas.openxmlformats.org/officeDocument/2006/relationships/hyperlink" Target="https://drive.google.com/open?id=17w9HXupxyGYul4VRmomp5nbeCy4f99YT" TargetMode="External"/><Relationship Id="rId2651" Type="http://schemas.openxmlformats.org/officeDocument/2006/relationships/hyperlink" Target="https://l.instagram.com/?u=https%3A%2F%2Fm.facebook.com%2Fprojetobodyboardpara%2F%3Fref%3Dbookmarks&amp;e=ATO1k_MIeNJibr-1SYF8-pyPejAdyo2g1XkNaHEYoxX2AIY-SwyN5vLnGi4UyJXJ-egV3aIx9fKfqVaR-tFajT81bZE86SKPFv7rLA&amp;s=1" TargetMode="External"/><Relationship Id="rId623" Type="http://schemas.openxmlformats.org/officeDocument/2006/relationships/hyperlink" Target="https://drive.google.com/open?id=1_05s2jRSllD0eP45wkQpCLObiXdry6Tx" TargetMode="External"/><Relationship Id="rId830" Type="http://schemas.openxmlformats.org/officeDocument/2006/relationships/hyperlink" Target="https://drive.google.com/open?id=1GCs3M5Xc7loXR3VAtm37xVJBktTVXpDq" TargetMode="External"/><Relationship Id="rId1460" Type="http://schemas.openxmlformats.org/officeDocument/2006/relationships/hyperlink" Target="https://drive.google.com/open?id=11b_vl7DCp1E73ABYXmzVL_-hl2ApC7b0" TargetMode="External"/><Relationship Id="rId2304" Type="http://schemas.openxmlformats.org/officeDocument/2006/relationships/hyperlink" Target="https://www.instagram.com/instituto_capoeirasocial?r=nametag" TargetMode="External"/><Relationship Id="rId2511" Type="http://schemas.openxmlformats.org/officeDocument/2006/relationships/hyperlink" Target="https://institutogaiia.org/" TargetMode="External"/><Relationship Id="rId1113" Type="http://schemas.openxmlformats.org/officeDocument/2006/relationships/hyperlink" Target="https://drive.google.com/open?id=1Kok9cHQWKEYz9v1HDbGICMYtvQNdNZXl" TargetMode="External"/><Relationship Id="rId1320" Type="http://schemas.openxmlformats.org/officeDocument/2006/relationships/hyperlink" Target="https://www.instagram.com/p/CbOBO5kuUDD/?utm_medium=copy_link" TargetMode="External"/><Relationship Id="rId2094" Type="http://schemas.openxmlformats.org/officeDocument/2006/relationships/hyperlink" Target="https://drive.google.com/open?id=1XAm_fzMGYjO3Iho8LINJckWAuP4vp3nm" TargetMode="External"/><Relationship Id="rId273" Type="http://schemas.openxmlformats.org/officeDocument/2006/relationships/hyperlink" Target="https://drive.google.com/open?id=1q_zltoASbhbdC7dsZARO1vjIh0YyT6ke" TargetMode="External"/><Relationship Id="rId480" Type="http://schemas.openxmlformats.org/officeDocument/2006/relationships/hyperlink" Target="https://drive.google.com/open?id=1TpmfJVTxFhQI9Sa1kfvU9eCgAVrJOWfV" TargetMode="External"/><Relationship Id="rId2161" Type="http://schemas.openxmlformats.org/officeDocument/2006/relationships/hyperlink" Target="https://www.instagram.com/fortinisocial/" TargetMode="External"/><Relationship Id="rId133" Type="http://schemas.openxmlformats.org/officeDocument/2006/relationships/hyperlink" Target="https://www.instagram.com/reel/CfPcZUkAhK5/?igshid=MDJmNzVkMjY=" TargetMode="External"/><Relationship Id="rId340" Type="http://schemas.openxmlformats.org/officeDocument/2006/relationships/hyperlink" Target="https://drive.google.com/open?id=1NGowmBsMws4ziyjSlwoXB6pfkQFj83Fd" TargetMode="External"/><Relationship Id="rId2021" Type="http://schemas.openxmlformats.org/officeDocument/2006/relationships/hyperlink" Target="https://www.facebook.com/AprenderCultura/" TargetMode="External"/><Relationship Id="rId200" Type="http://schemas.openxmlformats.org/officeDocument/2006/relationships/hyperlink" Target="https://drive.google.com/open?id=1W_iqdWjlULA526A7dG0WucQ2TAnWPZxS" TargetMode="External"/><Relationship Id="rId1787" Type="http://schemas.openxmlformats.org/officeDocument/2006/relationships/hyperlink" Target="https://youtube.com/channel/UCQKRqZrqILD4it2See2Xcqg" TargetMode="External"/><Relationship Id="rId1994" Type="http://schemas.openxmlformats.org/officeDocument/2006/relationships/hyperlink" Target="https://www.meninosdaaracy.org.br/" TargetMode="External"/><Relationship Id="rId79" Type="http://schemas.openxmlformats.org/officeDocument/2006/relationships/hyperlink" Target="https://www.facebook.com/DoandoQueSeRecebe/" TargetMode="External"/><Relationship Id="rId1647" Type="http://schemas.openxmlformats.org/officeDocument/2006/relationships/hyperlink" Target="http://www.instagram.com/casavidadivina" TargetMode="External"/><Relationship Id="rId1854" Type="http://schemas.openxmlformats.org/officeDocument/2006/relationships/hyperlink" Target="https://instagram.com/paca.ippenha?utm_medium=copy_link" TargetMode="External"/><Relationship Id="rId1507" Type="http://schemas.openxmlformats.org/officeDocument/2006/relationships/hyperlink" Target="https://drive.google.com/open?id=1jHJsbNyr0SCLTTImmDKwpdRjk_UyGWNH" TargetMode="External"/><Relationship Id="rId1714" Type="http://schemas.openxmlformats.org/officeDocument/2006/relationships/hyperlink" Target="https://drive.google.com/open?id=1WuHIN3UnkqiXqBRsJgKtzyZhbfCOd8oC" TargetMode="External"/><Relationship Id="rId1921" Type="http://schemas.openxmlformats.org/officeDocument/2006/relationships/hyperlink" Target="https://instagram.com/institutozoemuriae?utm_medium=copy_link" TargetMode="External"/><Relationship Id="rId2488" Type="http://schemas.openxmlformats.org/officeDocument/2006/relationships/hyperlink" Target="https://drive.google.com/open?id=1z4e4iWtaXGVPJ2HkVm0gCNGsZ7gKNnJE" TargetMode="External"/><Relationship Id="rId1297" Type="http://schemas.openxmlformats.org/officeDocument/2006/relationships/hyperlink" Target="https://drive.google.com/open?id=1nMQsoOB6NhoW-VzHA9EdGoSQCPkvMPq6" TargetMode="External"/><Relationship Id="rId2695" Type="http://schemas.openxmlformats.org/officeDocument/2006/relationships/hyperlink" Target="https://www.instagram.com/tv/CIzII2CBE5l/?utm_medium=copy_link" TargetMode="External"/><Relationship Id="rId667" Type="http://schemas.openxmlformats.org/officeDocument/2006/relationships/hyperlink" Target="https://www.facebook.com/155608477826080/posts/4686047371448812/" TargetMode="External"/><Relationship Id="rId874" Type="http://schemas.openxmlformats.org/officeDocument/2006/relationships/hyperlink" Target="https://drive.google.com/open?id=1m4nxcEE_ga_Nz7SVKbilj2S4Rinoknh-" TargetMode="External"/><Relationship Id="rId2348" Type="http://schemas.openxmlformats.org/officeDocument/2006/relationships/hyperlink" Target="https://www.instagram.com/kyriuscia/" TargetMode="External"/><Relationship Id="rId2555" Type="http://schemas.openxmlformats.org/officeDocument/2006/relationships/hyperlink" Target="https://www.youtube.com/channel/UCpzVuVMjEGB1NtkWqAv3OWA" TargetMode="External"/><Relationship Id="rId527" Type="http://schemas.openxmlformats.org/officeDocument/2006/relationships/hyperlink" Target="https://instagram.com/amigossolidariosac?igshid=YmMyMTA2M2Y=" TargetMode="External"/><Relationship Id="rId734" Type="http://schemas.openxmlformats.org/officeDocument/2006/relationships/hyperlink" Target="https://drive.google.com/open?id=1GmvjrLucwWTTuKCPms2u9-HcosWsRp-L" TargetMode="External"/><Relationship Id="rId941" Type="http://schemas.openxmlformats.org/officeDocument/2006/relationships/hyperlink" Target="https://drive.google.com/open?id=1lNcZQI6YUiGJj-x5_B7Iub9f9bPLdQfx" TargetMode="External"/><Relationship Id="rId1157" Type="http://schemas.openxmlformats.org/officeDocument/2006/relationships/hyperlink" Target="https://www.youtube.com/channel/UCsnKXrVRhEKSXtd9gFsX2NA" TargetMode="External"/><Relationship Id="rId1364" Type="http://schemas.openxmlformats.org/officeDocument/2006/relationships/hyperlink" Target="https://instagram.com/ong_brincareaprender?utm_medium=copy_link" TargetMode="External"/><Relationship Id="rId1571" Type="http://schemas.openxmlformats.org/officeDocument/2006/relationships/hyperlink" Target="https://drive.google.com/open?id=1ZviCjf6rIVyP-26rRfouQKGFkAxrx-GE" TargetMode="External"/><Relationship Id="rId2208" Type="http://schemas.openxmlformats.org/officeDocument/2006/relationships/hyperlink" Target="https://drive.google.com/open?id=1WKZm_ft0me-r5VAb1Z8DYk6YtJpTSSqD" TargetMode="External"/><Relationship Id="rId2415" Type="http://schemas.openxmlformats.org/officeDocument/2006/relationships/hyperlink" Target="https://drive.google.com/open?id=1akRo4s6UoYwzfRy71UawlWE-4hILHnak" TargetMode="External"/><Relationship Id="rId2622" Type="http://schemas.openxmlformats.org/officeDocument/2006/relationships/hyperlink" Target="https://drive.google.com/open?id=1WO9enUBbCWeXF5Kex4XyOD4uSXM8eKk6" TargetMode="External"/><Relationship Id="rId70" Type="http://schemas.openxmlformats.org/officeDocument/2006/relationships/hyperlink" Target="https://www.facebook.com/associacaoadesul" TargetMode="External"/><Relationship Id="rId801" Type="http://schemas.openxmlformats.org/officeDocument/2006/relationships/hyperlink" Target="https://drive.google.com/open?id=1cx22ieVevFqZqbKGlXR5ssMJiRYNomSH" TargetMode="External"/><Relationship Id="rId1017" Type="http://schemas.openxmlformats.org/officeDocument/2006/relationships/hyperlink" Target="https://drive.google.com/open?id=1SnaTKee_vUzPmhmXNUcX9Ndn3eOhn0wU" TargetMode="External"/><Relationship Id="rId1224" Type="http://schemas.openxmlformats.org/officeDocument/2006/relationships/hyperlink" Target="https://drive.google.com/open?id=1p4aPYzua5JeAwFarIIlmZKoNwhQdgzVh" TargetMode="External"/><Relationship Id="rId1431" Type="http://schemas.openxmlformats.org/officeDocument/2006/relationships/hyperlink" Target="http://www.ibes.org.br/" TargetMode="External"/><Relationship Id="rId177" Type="http://schemas.openxmlformats.org/officeDocument/2006/relationships/hyperlink" Target="https://www.facebook.com/borrachaliotecasabara" TargetMode="External"/><Relationship Id="rId384" Type="http://schemas.openxmlformats.org/officeDocument/2006/relationships/hyperlink" Target="https://drive.google.com/open?id=1Dddt9hNx2xoSrezWHBEQj-MA7ofIApiO" TargetMode="External"/><Relationship Id="rId591" Type="http://schemas.openxmlformats.org/officeDocument/2006/relationships/hyperlink" Target="https://www.youtube.com/user/muribecaelogo/videos" TargetMode="External"/><Relationship Id="rId2065" Type="http://schemas.openxmlformats.org/officeDocument/2006/relationships/hyperlink" Target="https://www.facebook.com/projetomirantecultural" TargetMode="External"/><Relationship Id="rId2272" Type="http://schemas.openxmlformats.org/officeDocument/2006/relationships/hyperlink" Target="https://www.facebook.com/vilaemprogressooficial/" TargetMode="External"/><Relationship Id="rId244" Type="http://schemas.openxmlformats.org/officeDocument/2006/relationships/hyperlink" Target="https://www.instagram.com/probemsalvador/" TargetMode="External"/><Relationship Id="rId1081" Type="http://schemas.openxmlformats.org/officeDocument/2006/relationships/hyperlink" Target="https://www.instagram.com/invites/contact/?i=ba7old7qocnn&amp;utm_content=o0nv3pn" TargetMode="External"/><Relationship Id="rId451" Type="http://schemas.openxmlformats.org/officeDocument/2006/relationships/hyperlink" Target="https://www.instagram.com/uppvmissaovelha/" TargetMode="External"/><Relationship Id="rId2132" Type="http://schemas.openxmlformats.org/officeDocument/2006/relationships/hyperlink" Target="https://www.ascendendomentes.org.br/" TargetMode="External"/><Relationship Id="rId104" Type="http://schemas.openxmlformats.org/officeDocument/2006/relationships/hyperlink" Target="https://drive.google.com/open?id=14Hfs0Y81DL682cpgXVvTvM-FY1YTgsJa" TargetMode="External"/><Relationship Id="rId311" Type="http://schemas.openxmlformats.org/officeDocument/2006/relationships/hyperlink" Target="https://drive.google.com/open?id=1FOe3lCAnnQu8KoLgvFxyYG5931PAZTwB" TargetMode="External"/><Relationship Id="rId1898" Type="http://schemas.openxmlformats.org/officeDocument/2006/relationships/hyperlink" Target="https://www.instagran.com/BATUCARTE/" TargetMode="External"/><Relationship Id="rId1758" Type="http://schemas.openxmlformats.org/officeDocument/2006/relationships/hyperlink" Target="https://instagram.com/inspirandogeracoesemamor?utm_medium=copy_link" TargetMode="External"/><Relationship Id="rId1965" Type="http://schemas.openxmlformats.org/officeDocument/2006/relationships/hyperlink" Target="https://arautosdogueto.com.br/" TargetMode="External"/><Relationship Id="rId1618" Type="http://schemas.openxmlformats.org/officeDocument/2006/relationships/hyperlink" Target="http://www.projetofilhoscampinas.org/" TargetMode="External"/><Relationship Id="rId1825" Type="http://schemas.openxmlformats.org/officeDocument/2006/relationships/hyperlink" Target="http://www.cerzindo.org.br/" TargetMode="External"/><Relationship Id="rId2599" Type="http://schemas.openxmlformats.org/officeDocument/2006/relationships/hyperlink" Target="https://drive.google.com/open?id=1iauD_ePEAsat-MHNY7t1Y6QOhCU-8cpD" TargetMode="External"/><Relationship Id="rId778" Type="http://schemas.openxmlformats.org/officeDocument/2006/relationships/hyperlink" Target="http://www.naotemos.com.br/" TargetMode="External"/><Relationship Id="rId985" Type="http://schemas.openxmlformats.org/officeDocument/2006/relationships/hyperlink" Target="http://www.aciesp.ong.br/" TargetMode="External"/><Relationship Id="rId2459" Type="http://schemas.openxmlformats.org/officeDocument/2006/relationships/hyperlink" Target="https://drive.google.com/open?id=1MsRZMc-mvNS0K361wPAUAaVfZXmWAr91" TargetMode="External"/><Relationship Id="rId2666" Type="http://schemas.openxmlformats.org/officeDocument/2006/relationships/hyperlink" Target="https://www.youtube.com/channel/UCfoEBE60PWcQnxLlE3K5F4A" TargetMode="External"/><Relationship Id="rId638" Type="http://schemas.openxmlformats.org/officeDocument/2006/relationships/hyperlink" Target="http://www.facebook.com/misturaipoa" TargetMode="External"/><Relationship Id="rId845" Type="http://schemas.openxmlformats.org/officeDocument/2006/relationships/hyperlink" Target="https://drive.google.com/open?id=1gsgniGIUuPKQokCnCoS-o9Ivqc0KzPun" TargetMode="External"/><Relationship Id="rId1268" Type="http://schemas.openxmlformats.org/officeDocument/2006/relationships/hyperlink" Target="https://drive.google.com/open?id=1uvz1utnYSxdtHgjKCtfhGr7b9KNhSDWh" TargetMode="External"/><Relationship Id="rId1475" Type="http://schemas.openxmlformats.org/officeDocument/2006/relationships/hyperlink" Target="https://www.facebook.com/aamorevida" TargetMode="External"/><Relationship Id="rId1682" Type="http://schemas.openxmlformats.org/officeDocument/2006/relationships/hyperlink" Target="https://drive.google.com/open?id=1l1toR_Ox5BnwCz3SlhnejvMKSENI0Q6s" TargetMode="External"/><Relationship Id="rId2319" Type="http://schemas.openxmlformats.org/officeDocument/2006/relationships/hyperlink" Target="https://www.instagram.com/correntedoamormoc/" TargetMode="External"/><Relationship Id="rId2526" Type="http://schemas.openxmlformats.org/officeDocument/2006/relationships/hyperlink" Target="https://drive.google.com/open?id=1qAJJwwoN27KyTPxHv8zaaL4-nSlpX0C7" TargetMode="External"/><Relationship Id="rId2733" Type="http://schemas.openxmlformats.org/officeDocument/2006/relationships/hyperlink" Target="https://drive.google.com/open?id=1PgKavqVsFgUrXdYKv1jxPlHkIi7o1nLJ" TargetMode="External"/><Relationship Id="rId705" Type="http://schemas.openxmlformats.org/officeDocument/2006/relationships/hyperlink" Target="https://www.instagram.com/reel/Cf42yS3pV9e/?igshid=YmMyMTA2M2Y=" TargetMode="External"/><Relationship Id="rId1128" Type="http://schemas.openxmlformats.org/officeDocument/2006/relationships/hyperlink" Target="https://drive.google.com/open?id=1hVDq_yxD1YWqcx9QUzY52aqZ3FJc_rNK" TargetMode="External"/><Relationship Id="rId1335" Type="http://schemas.openxmlformats.org/officeDocument/2006/relationships/hyperlink" Target="https://www.facebook.com/emcenarecife/" TargetMode="External"/><Relationship Id="rId1542" Type="http://schemas.openxmlformats.org/officeDocument/2006/relationships/hyperlink" Target="http://www.institutoepossivelsonhar.com.br/" TargetMode="External"/><Relationship Id="rId912" Type="http://schemas.openxmlformats.org/officeDocument/2006/relationships/hyperlink" Target="https://www.instagram.com/jacare.basquete/" TargetMode="External"/><Relationship Id="rId41" Type="http://schemas.openxmlformats.org/officeDocument/2006/relationships/hyperlink" Target="https://drive.google.com/open?id=192C45crlXx_8hbY6wvRJVKsA2BbgQ8dJ" TargetMode="External"/><Relationship Id="rId1402" Type="http://schemas.openxmlformats.org/officeDocument/2006/relationships/hyperlink" Target="https://drive.google.com/open?id=1mfLdz9EfasF0E0r8W6S-2VXKI8ufamCo" TargetMode="External"/><Relationship Id="rId288" Type="http://schemas.openxmlformats.org/officeDocument/2006/relationships/hyperlink" Target="https://drive.google.com/open?id=1mGWJy_NWz209ZDieO74AV56DmfE6aPMf" TargetMode="External"/><Relationship Id="rId495" Type="http://schemas.openxmlformats.org/officeDocument/2006/relationships/hyperlink" Target="https://drive.google.com/open?id=1p6M3AW9rsh1mGDreFEM5CsEfdmAopYTJ" TargetMode="External"/><Relationship Id="rId2176" Type="http://schemas.openxmlformats.org/officeDocument/2006/relationships/hyperlink" Target="https://www.facebook.com/institutopensandobem" TargetMode="External"/><Relationship Id="rId2383" Type="http://schemas.openxmlformats.org/officeDocument/2006/relationships/hyperlink" Target="https://drive.google.com/open?id=1bVQgcrposSYas1jwm4XKiWdqGvEaafq1" TargetMode="External"/><Relationship Id="rId2590" Type="http://schemas.openxmlformats.org/officeDocument/2006/relationships/hyperlink" Target="https://drive.google.com/open?id=1yGIsV3uadx2VpWm8B9ICnqjl44R9dBLa" TargetMode="External"/><Relationship Id="rId148" Type="http://schemas.openxmlformats.org/officeDocument/2006/relationships/hyperlink" Target="https://www.instagram.com/p/Cgbr6IauKJc/?igshid=MDJmNzVkMjY=" TargetMode="External"/><Relationship Id="rId355" Type="http://schemas.openxmlformats.org/officeDocument/2006/relationships/hyperlink" Target="https://drive.google.com/open?id=1ksXDbaLzZwj7KsplIkRiChL99h2-fFLy" TargetMode="External"/><Relationship Id="rId562" Type="http://schemas.openxmlformats.org/officeDocument/2006/relationships/hyperlink" Target="https://drive.google.com/open?id=1ohQzKJvEj4KjAqtUyNqZmwv9ZDOD_yeY" TargetMode="External"/><Relationship Id="rId1192" Type="http://schemas.openxmlformats.org/officeDocument/2006/relationships/hyperlink" Target="https://drive.google.com/open?id=1xLg55DhsYKPwNRDGrtm8y1jUq32DP70t" TargetMode="External"/><Relationship Id="rId2036" Type="http://schemas.openxmlformats.org/officeDocument/2006/relationships/hyperlink" Target="https://gerandofalcoes.com/" TargetMode="External"/><Relationship Id="rId2243" Type="http://schemas.openxmlformats.org/officeDocument/2006/relationships/hyperlink" Target="https://drive.google.com/open?id=1slvVfVXGFvUPrP5ERIXuIbNCaOLvDZJd" TargetMode="External"/><Relationship Id="rId2450" Type="http://schemas.openxmlformats.org/officeDocument/2006/relationships/hyperlink" Target="https://drive.google.com/open?id=1o0cKv3ArD1sOc0fn7Zw1PhkRPJfbd1lC" TargetMode="External"/><Relationship Id="rId215" Type="http://schemas.openxmlformats.org/officeDocument/2006/relationships/hyperlink" Target="https://drive.google.com/open?id=11WrZS-CUztc9cn-hubPNHLiu7Qk5QZlT" TargetMode="External"/><Relationship Id="rId422" Type="http://schemas.openxmlformats.org/officeDocument/2006/relationships/hyperlink" Target="https://www.facebook.com/gcsesemente/photos/a.963841623707394/963841593707397/" TargetMode="External"/><Relationship Id="rId1052" Type="http://schemas.openxmlformats.org/officeDocument/2006/relationships/hyperlink" Target="https://youtube.com/channel/UC7hF3Quv4Dl5Z3EiIOg0KWg" TargetMode="External"/><Relationship Id="rId2103" Type="http://schemas.openxmlformats.org/officeDocument/2006/relationships/hyperlink" Target="https://drive.google.com/open?id=1TGTiVMVrl1fOBcUEY4wBiC_5cyXrW7Og" TargetMode="External"/><Relationship Id="rId2310" Type="http://schemas.openxmlformats.org/officeDocument/2006/relationships/hyperlink" Target="https://drive.google.com/open?id=18pM1W7qJmj7E3Tk6Txz69DAmRhLGSo5O" TargetMode="External"/><Relationship Id="rId1869" Type="http://schemas.openxmlformats.org/officeDocument/2006/relationships/hyperlink" Target="https://drive.google.com/open?id=1MPSv_LdZpoWaxss25pRwo6lxj4i_GWXt" TargetMode="External"/><Relationship Id="rId1729" Type="http://schemas.openxmlformats.org/officeDocument/2006/relationships/hyperlink" Target="https://drive.google.com/open?id=1RtJi9QnTuO3aVw3v4jzEFS5d-hrWWYQG" TargetMode="External"/><Relationship Id="rId1936" Type="http://schemas.openxmlformats.org/officeDocument/2006/relationships/hyperlink" Target="https://www.instagram.com/casadegentil/" TargetMode="External"/><Relationship Id="rId5" Type="http://schemas.openxmlformats.org/officeDocument/2006/relationships/hyperlink" Target="https://instagram.com/_projetotamojunto?igshid=YmMyMTA2M2Y=" TargetMode="External"/><Relationship Id="rId889" Type="http://schemas.openxmlformats.org/officeDocument/2006/relationships/hyperlink" Target="https://drive.google.com/open?id=1zqnWDrUYOL_cOMjJMfOltsXq07SWoUhY" TargetMode="External"/><Relationship Id="rId749" Type="http://schemas.openxmlformats.org/officeDocument/2006/relationships/hyperlink" Target="https://drive.google.com/open?id=1gmi1T1JR_y12cLVjPnIHEOSrkJPdkIkb" TargetMode="External"/><Relationship Id="rId1379" Type="http://schemas.openxmlformats.org/officeDocument/2006/relationships/hyperlink" Target="https://www.facebook.com/associacaovoar" TargetMode="External"/><Relationship Id="rId1586" Type="http://schemas.openxmlformats.org/officeDocument/2006/relationships/hyperlink" Target="https://www.youtube.com/channel/UC26YjJ4CyZFHoKqyc_F9rXA/featured" TargetMode="External"/><Relationship Id="rId609" Type="http://schemas.openxmlformats.org/officeDocument/2006/relationships/hyperlink" Target="https://instagram.com/compazrecife?utm_medium=copy_link" TargetMode="External"/><Relationship Id="rId956" Type="http://schemas.openxmlformats.org/officeDocument/2006/relationships/hyperlink" Target="https://drive.google.com/open?id=1WtNXdlrwX01rrxKw0tdi5g1ZBKG9aOL-" TargetMode="External"/><Relationship Id="rId1239" Type="http://schemas.openxmlformats.org/officeDocument/2006/relationships/hyperlink" Target="https://drive.google.com/open?id=1q1Tl22IMpv5v4FAgQxMyOmFbC54gNvmL" TargetMode="External"/><Relationship Id="rId1793" Type="http://schemas.openxmlformats.org/officeDocument/2006/relationships/hyperlink" Target="https://drive.google.com/open?id=1eJXUZ8W0nQ_-WdEfZ65I6itLOktKSWTu" TargetMode="External"/><Relationship Id="rId2637" Type="http://schemas.openxmlformats.org/officeDocument/2006/relationships/hyperlink" Target="https://www.facebook.com/Projeto-Semear-219235888680010/" TargetMode="External"/><Relationship Id="rId85" Type="http://schemas.openxmlformats.org/officeDocument/2006/relationships/hyperlink" Target="https://www.facebook.com/idesq/" TargetMode="External"/><Relationship Id="rId816" Type="http://schemas.openxmlformats.org/officeDocument/2006/relationships/hyperlink" Target="https://drive.google.com/open?id=1HB9tRcrnfN_dFkamMjqJ7jwN838UFOJm" TargetMode="External"/><Relationship Id="rId1446" Type="http://schemas.openxmlformats.org/officeDocument/2006/relationships/hyperlink" Target="https://pt.tererekidsproject.org/" TargetMode="External"/><Relationship Id="rId1653" Type="http://schemas.openxmlformats.org/officeDocument/2006/relationships/hyperlink" Target="https://www.instagram.com/umanovachance_aracati/" TargetMode="External"/><Relationship Id="rId1860" Type="http://schemas.openxmlformats.org/officeDocument/2006/relationships/hyperlink" Target="https://drive.google.com/open?id=1FN4DUM1RnYy4FI44tquvzmyyuJbcHQgX" TargetMode="External"/><Relationship Id="rId2704" Type="http://schemas.openxmlformats.org/officeDocument/2006/relationships/hyperlink" Target="http://projetoswell.com.br/" TargetMode="External"/><Relationship Id="rId1306" Type="http://schemas.openxmlformats.org/officeDocument/2006/relationships/hyperlink" Target="https://instagram.com/ilisdiadema?utm_medium=copy_link" TargetMode="External"/><Relationship Id="rId1513" Type="http://schemas.openxmlformats.org/officeDocument/2006/relationships/hyperlink" Target="https://drive.google.com/open?id=1qclr2GqihFyVb6sRuDVpKggRmCAmPLi-" TargetMode="External"/><Relationship Id="rId1720" Type="http://schemas.openxmlformats.org/officeDocument/2006/relationships/hyperlink" Target="https://www.facebook.com/ongpequenocidadao" TargetMode="External"/><Relationship Id="rId12" Type="http://schemas.openxmlformats.org/officeDocument/2006/relationships/hyperlink" Target="https://www.instagram.com/coletivomdc/" TargetMode="External"/><Relationship Id="rId399" Type="http://schemas.openxmlformats.org/officeDocument/2006/relationships/hyperlink" Target="https://www.facebook.com/InstitutoDicaFerreira" TargetMode="External"/><Relationship Id="rId2287" Type="http://schemas.openxmlformats.org/officeDocument/2006/relationships/hyperlink" Target="https://www.instagram.com/associacaopontoevirgulaoficial/" TargetMode="External"/><Relationship Id="rId2494" Type="http://schemas.openxmlformats.org/officeDocument/2006/relationships/hyperlink" Target="https://drive.google.com/open?id=1JEUTausBJKwFyftnNZ-hMD7JulO9Tg2f" TargetMode="External"/><Relationship Id="rId259" Type="http://schemas.openxmlformats.org/officeDocument/2006/relationships/hyperlink" Target="https://drive.google.com/open?id=1Al6l7ENTgBM7_KtIewFYlqj2ISAR-hDt" TargetMode="External"/><Relationship Id="rId466" Type="http://schemas.openxmlformats.org/officeDocument/2006/relationships/hyperlink" Target="https://drive.google.com/open?id=1WDZ7XD-9s0Ob6-bRh5KmQgfAY1uPChWO" TargetMode="External"/><Relationship Id="rId673" Type="http://schemas.openxmlformats.org/officeDocument/2006/relationships/hyperlink" Target="https://youtube.com/channel/UC6XJdb1XUBg9YPPskqtg6Gw" TargetMode="External"/><Relationship Id="rId880" Type="http://schemas.openxmlformats.org/officeDocument/2006/relationships/hyperlink" Target="https://instagram.com/institutonawa?igshid=YmMyMTA2M2Y=" TargetMode="External"/><Relationship Id="rId1096" Type="http://schemas.openxmlformats.org/officeDocument/2006/relationships/hyperlink" Target="https://youtube.com/channel/UCsRu0ifIybW242x8Kr6jXXA" TargetMode="External"/><Relationship Id="rId2147" Type="http://schemas.openxmlformats.org/officeDocument/2006/relationships/hyperlink" Target="https://drive.google.com/open?id=1qD8ar851S23nrXls_XmQAqBl-DzYk_YW" TargetMode="External"/><Relationship Id="rId2354" Type="http://schemas.openxmlformats.org/officeDocument/2006/relationships/hyperlink" Target="https://drive.google.com/open?id=1LRFgrOinRFQTEMckPfdopVlFeX6MmvxP" TargetMode="External"/><Relationship Id="rId2561" Type="http://schemas.openxmlformats.org/officeDocument/2006/relationships/hyperlink" Target="https://drive.google.com/open?id=1UIWgxpPEy0XFjklYS4EUMx4gopkr7Wkl" TargetMode="External"/><Relationship Id="rId119" Type="http://schemas.openxmlformats.org/officeDocument/2006/relationships/hyperlink" Target="https://drive.google.com/open?id=1RDH4a0BIrp9Y95xO0B2QC8QCd1OpAG6g" TargetMode="External"/><Relationship Id="rId326" Type="http://schemas.openxmlformats.org/officeDocument/2006/relationships/hyperlink" Target="https://drive.google.com/open?id=1F7kRGg58oyx9bJAtaZGqc7kTgyOn_d66" TargetMode="External"/><Relationship Id="rId533" Type="http://schemas.openxmlformats.org/officeDocument/2006/relationships/hyperlink" Target="https://instagram.com/ong_amunam?igshid=1011493xdedue" TargetMode="External"/><Relationship Id="rId1163" Type="http://schemas.openxmlformats.org/officeDocument/2006/relationships/hyperlink" Target="https://missaoebedemeleque.wixsite.com/my-site" TargetMode="External"/><Relationship Id="rId1370" Type="http://schemas.openxmlformats.org/officeDocument/2006/relationships/hyperlink" Target="https://drive.google.com/open?id=1htfDWCHZXTKmKKWrWEVSEpRfJmK6XXBW" TargetMode="External"/><Relationship Id="rId2007" Type="http://schemas.openxmlformats.org/officeDocument/2006/relationships/hyperlink" Target="https://www.facebook.com/SementesDoVale/" TargetMode="External"/><Relationship Id="rId2214" Type="http://schemas.openxmlformats.org/officeDocument/2006/relationships/hyperlink" Target="https://drive.google.com/open?id=1OLJQX9RTTIh3Ai1_YY6Xsctjuk5sZVw5" TargetMode="External"/><Relationship Id="rId740" Type="http://schemas.openxmlformats.org/officeDocument/2006/relationships/hyperlink" Target="https://drive.google.com/open?id=1lINSTE4Qh1U08LY-EDQONST5PV2Ti9Dp" TargetMode="External"/><Relationship Id="rId1023" Type="http://schemas.openxmlformats.org/officeDocument/2006/relationships/hyperlink" Target="https://drive.google.com/open?id=13ILDPkXxudOnkMBYUNVx9Fuu57bJ0Iy8" TargetMode="External"/><Relationship Id="rId2421" Type="http://schemas.openxmlformats.org/officeDocument/2006/relationships/hyperlink" Target="https://www.instagram.com/p/CQXSEKlHgIM/?utm_medium=copy_link" TargetMode="External"/><Relationship Id="rId600" Type="http://schemas.openxmlformats.org/officeDocument/2006/relationships/hyperlink" Target="https://drive.google.com/open?id=1cuporsBBiu29BxVZH9bgzQWKsNncAu3z" TargetMode="External"/><Relationship Id="rId1230" Type="http://schemas.openxmlformats.org/officeDocument/2006/relationships/hyperlink" Target="https://drive.google.com/open?id=1_HGxGKUpjXW4FoyJv_AmNH6yTEHpx2Nm" TargetMode="External"/><Relationship Id="rId183" Type="http://schemas.openxmlformats.org/officeDocument/2006/relationships/hyperlink" Target="https://www.bing.com/search?q=%40conselhouberaba&amp;cvid=dfee1535e9b94f16905c579e579e4d11&amp;aqs=edge..69i57j69i60.15180j0j1&amp;pglt=43&amp;FORM=ANNTA1&amp;PC=HCTS" TargetMode="External"/><Relationship Id="rId390" Type="http://schemas.openxmlformats.org/officeDocument/2006/relationships/hyperlink" Target="https://drive.google.com/open?id=1ocdRk0HI9q8C0MC8vaIY_mLDyl_u0JNJ" TargetMode="External"/><Relationship Id="rId1907" Type="http://schemas.openxmlformats.org/officeDocument/2006/relationships/hyperlink" Target="https://drive.google.com/open?id=1g4bte2c5zhNXroi8RNvUmfMenvxmRYoK" TargetMode="External"/><Relationship Id="rId2071" Type="http://schemas.openxmlformats.org/officeDocument/2006/relationships/hyperlink" Target="https://www.youtube.com/c/VivendadaCrian%C3%A7a" TargetMode="External"/><Relationship Id="rId250" Type="http://schemas.openxmlformats.org/officeDocument/2006/relationships/hyperlink" Target="https://drive.google.com/open?id=1MO10YT0HCtJWx-QFtbL3UmdFgSV_UE4b" TargetMode="External"/><Relationship Id="rId110" Type="http://schemas.openxmlformats.org/officeDocument/2006/relationships/hyperlink" Target="https://drive.google.com/open?id=1MUUAJZC82MLd_Owxs5-YJtJ24LGrm9LE" TargetMode="External"/><Relationship Id="rId1697" Type="http://schemas.openxmlformats.org/officeDocument/2006/relationships/hyperlink" Target="https://drive.google.com/open?id=1urvTV27HFX4MZidYHpTxM_cpdOl56Sko" TargetMode="External"/><Relationship Id="rId927" Type="http://schemas.openxmlformats.org/officeDocument/2006/relationships/hyperlink" Target="https://drive.google.com/open?id=1o2F1fN8C12G_FXqkZe0GeGVpmqwCCiPg" TargetMode="External"/><Relationship Id="rId1557" Type="http://schemas.openxmlformats.org/officeDocument/2006/relationships/hyperlink" Target="https://www.instagram.com/fjtb.oficial/" TargetMode="External"/><Relationship Id="rId1764" Type="http://schemas.openxmlformats.org/officeDocument/2006/relationships/hyperlink" Target="https://drive.google.com/open?id=1vXtLK4mRxhj3HDwGveQfgIw_JnhV6DlI" TargetMode="External"/><Relationship Id="rId1971" Type="http://schemas.openxmlformats.org/officeDocument/2006/relationships/hyperlink" Target="https://www.instagram.com/coresdomara/" TargetMode="External"/><Relationship Id="rId2608" Type="http://schemas.openxmlformats.org/officeDocument/2006/relationships/hyperlink" Target="https://drive.google.com/open?id=1fdrmR9UHSViC_eFadhOGfDhiKCx0Pz9F" TargetMode="External"/><Relationship Id="rId56" Type="http://schemas.openxmlformats.org/officeDocument/2006/relationships/hyperlink" Target="https://instagram.com/institutomarnosertao?igshid=YmMyMTA2M2Y=" TargetMode="External"/><Relationship Id="rId1417" Type="http://schemas.openxmlformats.org/officeDocument/2006/relationships/hyperlink" Target="https://instagram.com/angudasartes?utm_medium=copy_link" TargetMode="External"/><Relationship Id="rId1624" Type="http://schemas.openxmlformats.org/officeDocument/2006/relationships/hyperlink" Target="http://www.semsite.com.br/" TargetMode="External"/><Relationship Id="rId1831" Type="http://schemas.openxmlformats.org/officeDocument/2006/relationships/hyperlink" Target="http://institutopromais.org/" TargetMode="External"/><Relationship Id="rId2398" Type="http://schemas.openxmlformats.org/officeDocument/2006/relationships/hyperlink" Target="https://drive.google.com/open?id=1qQCF1kq6ibovyj94fYwlt_E2bt51HJkw" TargetMode="External"/><Relationship Id="rId577" Type="http://schemas.openxmlformats.org/officeDocument/2006/relationships/hyperlink" Target="https://drive.google.com/open?id=1uInA9-VeAPJpAAbMXwwO45NALlW5Y4sI" TargetMode="External"/><Relationship Id="rId2258" Type="http://schemas.openxmlformats.org/officeDocument/2006/relationships/hyperlink" Target="https://www.instagram.com/centrocidadania/?hl=pt-br" TargetMode="External"/><Relationship Id="rId784" Type="http://schemas.openxmlformats.org/officeDocument/2006/relationships/hyperlink" Target="https://www.facebook.com/Institutospt/" TargetMode="External"/><Relationship Id="rId991" Type="http://schemas.openxmlformats.org/officeDocument/2006/relationships/hyperlink" Target="http://www.maishumanos.org/" TargetMode="External"/><Relationship Id="rId1067" Type="http://schemas.openxmlformats.org/officeDocument/2006/relationships/hyperlink" Target="https://www.instagram.com/explore/tags/cantinhodaamizade??/" TargetMode="External"/><Relationship Id="rId2465" Type="http://schemas.openxmlformats.org/officeDocument/2006/relationships/hyperlink" Target="https://instagram.com/resilienteslum?utm_medium=copy_link" TargetMode="External"/><Relationship Id="rId2672" Type="http://schemas.openxmlformats.org/officeDocument/2006/relationships/hyperlink" Target="https://drive.google.com/open?id=1txwhOEQ9L9HkrYOhILue1bkA2a8rXCOV" TargetMode="External"/><Relationship Id="rId437" Type="http://schemas.openxmlformats.org/officeDocument/2006/relationships/hyperlink" Target="https://instagram.com/associacao_queira_o_bem?igshid=YmMyMTA2M2Y=" TargetMode="External"/><Relationship Id="rId644" Type="http://schemas.openxmlformats.org/officeDocument/2006/relationships/hyperlink" Target="http://www.sementeprofissional.com.br/" TargetMode="External"/><Relationship Id="rId851" Type="http://schemas.openxmlformats.org/officeDocument/2006/relationships/hyperlink" Target="https://drive.google.com/open?id=13sT9QlDa1WlNV-glcmo0YBVlVJlW_Cax" TargetMode="External"/><Relationship Id="rId1274" Type="http://schemas.openxmlformats.org/officeDocument/2006/relationships/hyperlink" Target="https://drive.google.com/open?id=1Dg4yUB0JGTS1wVB1GLRYXa-RQvJperFL" TargetMode="External"/><Relationship Id="rId1481" Type="http://schemas.openxmlformats.org/officeDocument/2006/relationships/hyperlink" Target="https://drive.google.com/open?id=1GhiM7vJd_TSAcZ0oRxnpECsZ3a_Cp_aN" TargetMode="External"/><Relationship Id="rId2118" Type="http://schemas.openxmlformats.org/officeDocument/2006/relationships/hyperlink" Target="https://drive.google.com/open?id=1XqlXB2MiwE1s0xbALhzk0H78fptG6z66" TargetMode="External"/><Relationship Id="rId2325" Type="http://schemas.openxmlformats.org/officeDocument/2006/relationships/hyperlink" Target="https://drive.google.com/open?id=1ExdhI1XN1w8GzqA6yX_QbyTd6Ymz1PD3" TargetMode="External"/><Relationship Id="rId2532" Type="http://schemas.openxmlformats.org/officeDocument/2006/relationships/hyperlink" Target="https://www.instagram.com/coletivomotiro/" TargetMode="External"/><Relationship Id="rId504" Type="http://schemas.openxmlformats.org/officeDocument/2006/relationships/hyperlink" Target="https://drive.google.com/open?id=1OrnNEs2ohtKg1qWG13aba1qNdFHU9VgY" TargetMode="External"/><Relationship Id="rId711" Type="http://schemas.openxmlformats.org/officeDocument/2006/relationships/hyperlink" Target="https://www.facebook.com/569321129826299/posts/4673851379373233/" TargetMode="External"/><Relationship Id="rId1134" Type="http://schemas.openxmlformats.org/officeDocument/2006/relationships/hyperlink" Target="https://drive.google.com/open?id=1vCY37C9KDh9rOZk-m5-gCoBLmBo_pPhF" TargetMode="External"/><Relationship Id="rId1341" Type="http://schemas.openxmlformats.org/officeDocument/2006/relationships/hyperlink" Target="https://www.instagram.com/osbambassolnascente/" TargetMode="External"/><Relationship Id="rId1201" Type="http://schemas.openxmlformats.org/officeDocument/2006/relationships/hyperlink" Target="https://studio.youtube.com/channel/UC729kKI---z4YGjdV2MMokg/videos/upload?filter=%5B%5D&amp;sort=%7B%22columnType%22%3A%22date%22%2C%22sortOrder%22%3A%22DESCENDING%22%7D" TargetMode="External"/><Relationship Id="rId294" Type="http://schemas.openxmlformats.org/officeDocument/2006/relationships/hyperlink" Target="https://drive.google.com/open?id=1azXQFW7xg6qBq5c54mgC6u5DoUsYySXL" TargetMode="External"/><Relationship Id="rId2182" Type="http://schemas.openxmlformats.org/officeDocument/2006/relationships/hyperlink" Target="https://pt-br.facebook.com/Entreoceueafavela/" TargetMode="External"/><Relationship Id="rId154" Type="http://schemas.openxmlformats.org/officeDocument/2006/relationships/hyperlink" Target="https://projetocais.org/" TargetMode="External"/><Relationship Id="rId361" Type="http://schemas.openxmlformats.org/officeDocument/2006/relationships/hyperlink" Target="https://drive.google.com/open?id=1vSGRTQC5JY25bfTK7KZDp_lVpLpg208h" TargetMode="External"/><Relationship Id="rId2042" Type="http://schemas.openxmlformats.org/officeDocument/2006/relationships/hyperlink" Target="https://www.instagram.com/gerandofalcoes/" TargetMode="External"/><Relationship Id="rId221" Type="http://schemas.openxmlformats.org/officeDocument/2006/relationships/hyperlink" Target="http://youtube.com/c/ARURUberkandia/featured" TargetMode="External"/><Relationship Id="rId1668" Type="http://schemas.openxmlformats.org/officeDocument/2006/relationships/hyperlink" Target="https://instagram.com/ongabcjuntossomosfortes" TargetMode="External"/><Relationship Id="rId1875" Type="http://schemas.openxmlformats.org/officeDocument/2006/relationships/hyperlink" Target="https://instagram.com/institutodaharaujo?igshid=YmMyMTA2M2Y=" TargetMode="External"/><Relationship Id="rId2719" Type="http://schemas.openxmlformats.org/officeDocument/2006/relationships/hyperlink" Target="https://drive.google.com/open?id=1gdP92UTLsS1oX_HFbJapIjbJ3Yy1rtT5" TargetMode="External"/><Relationship Id="rId1528" Type="http://schemas.openxmlformats.org/officeDocument/2006/relationships/hyperlink" Target="https://drive.google.com/open?id=1m7Oo9CU1GxBXpgBMERfTlyLqW_TIYo8h" TargetMode="External"/><Relationship Id="rId1735" Type="http://schemas.openxmlformats.org/officeDocument/2006/relationships/hyperlink" Target="https://drive.google.com/open?id=1-rpIVYMm25k_RGohm0PZkleLU1xl57Hc" TargetMode="External"/><Relationship Id="rId1942" Type="http://schemas.openxmlformats.org/officeDocument/2006/relationships/hyperlink" Target="http://www.projetoprobem.org.com/" TargetMode="External"/><Relationship Id="rId27" Type="http://schemas.openxmlformats.org/officeDocument/2006/relationships/hyperlink" Target="https://drive.google.com/open?id=1ly3tcgBTIxFmjPFoCOPurKZnKUKJ5ahX" TargetMode="External"/><Relationship Id="rId1802" Type="http://schemas.openxmlformats.org/officeDocument/2006/relationships/hyperlink" Target="http://www.papeldemenino.org.br/" TargetMode="External"/><Relationship Id="rId688" Type="http://schemas.openxmlformats.org/officeDocument/2006/relationships/hyperlink" Target="http://www.institutoamparando.org/" TargetMode="External"/><Relationship Id="rId895" Type="http://schemas.openxmlformats.org/officeDocument/2006/relationships/hyperlink" Target="https://drive.google.com/open?id=1nTzy_KegEvvIPJGWcrHTDaPfaEe-jnwy" TargetMode="External"/><Relationship Id="rId2369" Type="http://schemas.openxmlformats.org/officeDocument/2006/relationships/hyperlink" Target="https://drive.google.com/open?id=1ZCNc53tFuLGEEhe4Nr-CQmjol4K24lHd" TargetMode="External"/><Relationship Id="rId2576" Type="http://schemas.openxmlformats.org/officeDocument/2006/relationships/hyperlink" Target="https://drive.google.com/open?id=1RqG2bFdfEITKyWJRvZi6_cOlqLIb8NaR" TargetMode="External"/><Relationship Id="rId548" Type="http://schemas.openxmlformats.org/officeDocument/2006/relationships/hyperlink" Target="https://facebook.com/maacrecife" TargetMode="External"/><Relationship Id="rId755" Type="http://schemas.openxmlformats.org/officeDocument/2006/relationships/hyperlink" Target="https://drive.google.com/open?id=1atebvnR8yzjMaJs4McxvXmZaAuN1v2cU" TargetMode="External"/><Relationship Id="rId962" Type="http://schemas.openxmlformats.org/officeDocument/2006/relationships/hyperlink" Target="https://drive.google.com/open?id=1G-kwAljn6AEyZ7mXTc9Y-5pZzllIV8Qn" TargetMode="External"/><Relationship Id="rId1178" Type="http://schemas.openxmlformats.org/officeDocument/2006/relationships/hyperlink" Target="https://drive.google.com/open?id=1etliifcvZ88soB9bcWTY19pB8IPEeux5" TargetMode="External"/><Relationship Id="rId1385" Type="http://schemas.openxmlformats.org/officeDocument/2006/relationships/hyperlink" Target="https://www.institutotchibum.com/" TargetMode="External"/><Relationship Id="rId1592" Type="http://schemas.openxmlformats.org/officeDocument/2006/relationships/hyperlink" Target="https://www.facebook.com/OdphVilatorres" TargetMode="External"/><Relationship Id="rId2229" Type="http://schemas.openxmlformats.org/officeDocument/2006/relationships/hyperlink" Target="https://www.youtube.com/channel/UCUvXpvz50B0wTcJcCpRIxDA" TargetMode="External"/><Relationship Id="rId2436" Type="http://schemas.openxmlformats.org/officeDocument/2006/relationships/hyperlink" Target="https://drive.google.com/open?id=1h4fKa8ZQ1mwCZKCSAqAakdvZ03JTKj8l" TargetMode="External"/><Relationship Id="rId2643" Type="http://schemas.openxmlformats.org/officeDocument/2006/relationships/hyperlink" Target="https://m.youtube.com/channel/UC6fjCRIkMsi7G4XeoH97iqA" TargetMode="External"/><Relationship Id="rId91" Type="http://schemas.openxmlformats.org/officeDocument/2006/relationships/hyperlink" Target="https://drive.google.com/open?id=1CYp239plyJX3z_eGCZO8JRxjn1LsKnqy" TargetMode="External"/><Relationship Id="rId408" Type="http://schemas.openxmlformats.org/officeDocument/2006/relationships/hyperlink" Target="https://drive.google.com/open?id=1P6p2qLDWr9U8hLCSj5Z-iYLyKdXePfrN" TargetMode="External"/><Relationship Id="rId615" Type="http://schemas.openxmlformats.org/officeDocument/2006/relationships/hyperlink" Target="https://youtube.com/user/mkarate1" TargetMode="External"/><Relationship Id="rId822" Type="http://schemas.openxmlformats.org/officeDocument/2006/relationships/hyperlink" Target="https://drive.google.com/open?id=1jVYtSMlaZ9fC5_HqELiD80Adf3nuGndh" TargetMode="External"/><Relationship Id="rId1038" Type="http://schemas.openxmlformats.org/officeDocument/2006/relationships/hyperlink" Target="https://drive.google.com/open?id=1dYFCeDq2EsDsL4bCrt07jsQaq4-qTwkR" TargetMode="External"/><Relationship Id="rId1245" Type="http://schemas.openxmlformats.org/officeDocument/2006/relationships/hyperlink" Target="https://drive.google.com/open?id=1mwxuTV8-Guapj-zFWe-1fmOjxNIGNXxY" TargetMode="External"/><Relationship Id="rId1452" Type="http://schemas.openxmlformats.org/officeDocument/2006/relationships/hyperlink" Target="https://www.facebook.com/ACA.CASADEBAMBAS" TargetMode="External"/><Relationship Id="rId2503" Type="http://schemas.openxmlformats.org/officeDocument/2006/relationships/hyperlink" Target="https://youtube.com/channel/UCNBqqkNbVjsefPFCKuUVeEw" TargetMode="External"/><Relationship Id="rId1105" Type="http://schemas.openxmlformats.org/officeDocument/2006/relationships/hyperlink" Target="https://drive.google.com/open?id=1_ND9j6DuyQcB_CICEEWz5u6lFVC1kSZY" TargetMode="External"/><Relationship Id="rId1312" Type="http://schemas.openxmlformats.org/officeDocument/2006/relationships/hyperlink" Target="https://www.youtube.com/channel/UCjbAYBdpYIgDm7brFhf0DtA" TargetMode="External"/><Relationship Id="rId2710" Type="http://schemas.openxmlformats.org/officeDocument/2006/relationships/hyperlink" Target="https://drive.google.com/open?id=14AN_ycRS5blFr1ZHuGX4SH1qiVA0x0SW" TargetMode="External"/><Relationship Id="rId49" Type="http://schemas.openxmlformats.org/officeDocument/2006/relationships/hyperlink" Target="https://drive.google.com/open?id=1p6wje20G3mQWLc79IoSeoDUBBrrv_5Tk" TargetMode="External"/><Relationship Id="rId1617" Type="http://schemas.openxmlformats.org/officeDocument/2006/relationships/hyperlink" Target="http://www.youtube.com/" TargetMode="External"/><Relationship Id="rId1824" Type="http://schemas.openxmlformats.org/officeDocument/2006/relationships/hyperlink" Target="https://drive.google.com/open?id=1Ut0Wu0cXSS9FJe96fG3HBj5n-TdBLNLx" TargetMode="External"/><Relationship Id="rId198" Type="http://schemas.openxmlformats.org/officeDocument/2006/relationships/hyperlink" Target="https://www.youtube.com/channel/UCOSAAedqZOhGwKz1JhM8kOQ" TargetMode="External"/><Relationship Id="rId2086" Type="http://schemas.openxmlformats.org/officeDocument/2006/relationships/hyperlink" Target="https://www.facebook.com/institutodasaguias" TargetMode="External"/><Relationship Id="rId2293" Type="http://schemas.openxmlformats.org/officeDocument/2006/relationships/hyperlink" Target="https://drive.google.com/open?id=1jGlmuYr3fz_5VxV7QEDNRwF6lIyeXKFs" TargetMode="External"/><Relationship Id="rId2598" Type="http://schemas.openxmlformats.org/officeDocument/2006/relationships/hyperlink" Target="https://drive.google.com/open?id=1NwvGS6PVZcbMgnN_071EiEPolSygyWFH" TargetMode="External"/><Relationship Id="rId265" Type="http://schemas.openxmlformats.org/officeDocument/2006/relationships/hyperlink" Target="https://drive.google.com/open?id=1y68sfcVcO2QfmKYqEntmo2abpjPtxqUm" TargetMode="External"/><Relationship Id="rId472" Type="http://schemas.openxmlformats.org/officeDocument/2006/relationships/hyperlink" Target="https://drive.google.com/open?id=1nWuZCbAe38Wpg0NUr7-eZrMrVx3-Ru3f" TargetMode="External"/><Relationship Id="rId2153" Type="http://schemas.openxmlformats.org/officeDocument/2006/relationships/hyperlink" Target="https://drive.google.com/open?id=1QuUvY6uah6_zIgPUaXTLWVl-Dk_olpXz" TargetMode="External"/><Relationship Id="rId2360" Type="http://schemas.openxmlformats.org/officeDocument/2006/relationships/hyperlink" Target="http://www.youtube.com/margaridasprojetospravida" TargetMode="External"/><Relationship Id="rId125" Type="http://schemas.openxmlformats.org/officeDocument/2006/relationships/hyperlink" Target="https://drive.google.com/open?id=153tOiCxlcxxw1vLyDF_oCvpvSn8-QA9w" TargetMode="External"/><Relationship Id="rId332" Type="http://schemas.openxmlformats.org/officeDocument/2006/relationships/hyperlink" Target="https://drive.google.com/open?id=1FiLnZIx6uU2MecenA17J95wke2I-HClO" TargetMode="External"/><Relationship Id="rId777" Type="http://schemas.openxmlformats.org/officeDocument/2006/relationships/hyperlink" Target="https://drive.google.com/open?id=1ePS4d6ePCopfOmx0vDjt0Kfwu8Nll1rd" TargetMode="External"/><Relationship Id="rId984" Type="http://schemas.openxmlformats.org/officeDocument/2006/relationships/hyperlink" Target="http://www.aciesp.ong.br/" TargetMode="External"/><Relationship Id="rId2013" Type="http://schemas.openxmlformats.org/officeDocument/2006/relationships/hyperlink" Target="https://drive.google.com/open?id=1AlvIvwDWe1QR4bTQnpMx4ahx5ANOmoP1" TargetMode="External"/><Relationship Id="rId2220" Type="http://schemas.openxmlformats.org/officeDocument/2006/relationships/hyperlink" Target="https://drive.google.com/open?id=1ifnr2TlRa15l5Mw9Uj3NyUaUSQavlFLq" TargetMode="External"/><Relationship Id="rId2458" Type="http://schemas.openxmlformats.org/officeDocument/2006/relationships/hyperlink" Target="https://www.facebook.com/ASSOCIACAOAMIGASSOLIDARIAS" TargetMode="External"/><Relationship Id="rId2665" Type="http://schemas.openxmlformats.org/officeDocument/2006/relationships/hyperlink" Target="http://facebook.com/dinamusprojeto" TargetMode="External"/><Relationship Id="rId637" Type="http://schemas.openxmlformats.org/officeDocument/2006/relationships/hyperlink" Target="http://www.misturai.com/" TargetMode="External"/><Relationship Id="rId844" Type="http://schemas.openxmlformats.org/officeDocument/2006/relationships/hyperlink" Target="https://drive.google.com/open?id=1bIDAKJfBtvMOwaKlw95OBq-MIPHPLJxH" TargetMode="External"/><Relationship Id="rId1267" Type="http://schemas.openxmlformats.org/officeDocument/2006/relationships/hyperlink" Target="http://www.oscipjovemsetao.org.br/" TargetMode="External"/><Relationship Id="rId1474" Type="http://schemas.openxmlformats.org/officeDocument/2006/relationships/hyperlink" Target="https://drive.google.com/open?id=1r48r53b7JuY6MPL2sLqzeutz0Hg2_uhX" TargetMode="External"/><Relationship Id="rId1681" Type="http://schemas.openxmlformats.org/officeDocument/2006/relationships/hyperlink" Target="https://drive.google.com/open?id=1l4PxbMMhKTz4_NK4pP9pKblbe0vUdIJ-" TargetMode="External"/><Relationship Id="rId2318" Type="http://schemas.openxmlformats.org/officeDocument/2006/relationships/hyperlink" Target="http://www.correntedoamor.org/" TargetMode="External"/><Relationship Id="rId2525" Type="http://schemas.openxmlformats.org/officeDocument/2006/relationships/hyperlink" Target="https://instagram.com/acssusacssus/" TargetMode="External"/><Relationship Id="rId2732" Type="http://schemas.openxmlformats.org/officeDocument/2006/relationships/hyperlink" Target="https://drive.google.com/open?id=1rvTixkxgkaKi1hwqOQ0PRxJ5q6Cc_EpA" TargetMode="External"/><Relationship Id="rId704" Type="http://schemas.openxmlformats.org/officeDocument/2006/relationships/hyperlink" Target="https://drive.google.com/open?id=1UkQTJW4XgwIUfAQR9I_BV-qLqpIGGSja" TargetMode="External"/><Relationship Id="rId911" Type="http://schemas.openxmlformats.org/officeDocument/2006/relationships/hyperlink" Target="https://drive.google.com/open?id=1KqO2zCKhffR-btLDOPuMunmFRz06PzgB" TargetMode="External"/><Relationship Id="rId1127" Type="http://schemas.openxmlformats.org/officeDocument/2006/relationships/hyperlink" Target="https://www.instagram.com/escolapublicapresente/" TargetMode="External"/><Relationship Id="rId1334" Type="http://schemas.openxmlformats.org/officeDocument/2006/relationships/hyperlink" Target="https://www.instagram.com/emcenarecife" TargetMode="External"/><Relationship Id="rId1541" Type="http://schemas.openxmlformats.org/officeDocument/2006/relationships/hyperlink" Target="https://drive.google.com/open?id=1lburbghyE8jBjZhJa4wF0Us-uwIQNOoF" TargetMode="External"/><Relationship Id="rId1779" Type="http://schemas.openxmlformats.org/officeDocument/2006/relationships/hyperlink" Target="https://www.instagram.com/instituicaoica/" TargetMode="External"/><Relationship Id="rId1986" Type="http://schemas.openxmlformats.org/officeDocument/2006/relationships/hyperlink" Target="https://youtube.com/channel/UClKAx-joeTrcrxQFRxh3EIw" TargetMode="External"/><Relationship Id="rId40" Type="http://schemas.openxmlformats.org/officeDocument/2006/relationships/hyperlink" Target="https://drive.google.com/open?id=1VR9YK715fXnJEM0B-70garJw-OBxSnIH" TargetMode="External"/><Relationship Id="rId1401" Type="http://schemas.openxmlformats.org/officeDocument/2006/relationships/hyperlink" Target="https://drive.google.com/open?id=1_PjxA3vU5lKgBvPC2PEG_Gu0QSy-1LbZ" TargetMode="External"/><Relationship Id="rId1639" Type="http://schemas.openxmlformats.org/officeDocument/2006/relationships/hyperlink" Target="https://www.facebook.com/parapaiseprofessores" TargetMode="External"/><Relationship Id="rId1846" Type="http://schemas.openxmlformats.org/officeDocument/2006/relationships/hyperlink" Target="https://drive.google.com/open?id=1nir1p_NrtrC3fQt4hyu95kL0cx-xmJVf" TargetMode="External"/><Relationship Id="rId1706" Type="http://schemas.openxmlformats.org/officeDocument/2006/relationships/hyperlink" Target="https://fb.watch/6iZYK4A8sc/" TargetMode="External"/><Relationship Id="rId1913" Type="http://schemas.openxmlformats.org/officeDocument/2006/relationships/hyperlink" Target="https://www.facebook.com/obomsamaritanocontagem/" TargetMode="External"/><Relationship Id="rId287" Type="http://schemas.openxmlformats.org/officeDocument/2006/relationships/hyperlink" Target="https://drive.google.com/open?id=1sczk9Q2NSSbAsG1GZJzkDnBNrKu-4Zqf" TargetMode="External"/><Relationship Id="rId494" Type="http://schemas.openxmlformats.org/officeDocument/2006/relationships/hyperlink" Target="https://drive.google.com/open?id=1_LnXCk89EHiIKLJu68jq7fN3umUE5EW8" TargetMode="External"/><Relationship Id="rId2175" Type="http://schemas.openxmlformats.org/officeDocument/2006/relationships/hyperlink" Target="https://instagram.com/pensandobemof?utm_medium=copy_link" TargetMode="External"/><Relationship Id="rId2382" Type="http://schemas.openxmlformats.org/officeDocument/2006/relationships/hyperlink" Target="https://drive.google.com/open?id=1x2qDLLd7sKgtlMd102Q2S8GCw-QZnls2" TargetMode="External"/><Relationship Id="rId147" Type="http://schemas.openxmlformats.org/officeDocument/2006/relationships/hyperlink" Target="https://www.instagram.com/p/Cgbr6IauKJc/?igshid=MDJmNzVkMjY=" TargetMode="External"/><Relationship Id="rId354" Type="http://schemas.openxmlformats.org/officeDocument/2006/relationships/hyperlink" Target="https://drive.google.com/open?id=1KE5rMNHUUv2M-bX4pVkiucZYRDfXFN9l" TargetMode="External"/><Relationship Id="rId799" Type="http://schemas.openxmlformats.org/officeDocument/2006/relationships/hyperlink" Target="https://www.facebook.com/acup.rn" TargetMode="External"/><Relationship Id="rId1191" Type="http://schemas.openxmlformats.org/officeDocument/2006/relationships/hyperlink" Target="https://www.facebook.com/Ong-Grupo-de-M%C3%A3es-Novo-Amanhecer-1006553249379936/" TargetMode="External"/><Relationship Id="rId2035" Type="http://schemas.openxmlformats.org/officeDocument/2006/relationships/hyperlink" Target="http://www.gerandofalcoes.com/" TargetMode="External"/><Relationship Id="rId2687" Type="http://schemas.openxmlformats.org/officeDocument/2006/relationships/hyperlink" Target="https://www.facebook.com/immetamorfose" TargetMode="External"/><Relationship Id="rId561" Type="http://schemas.openxmlformats.org/officeDocument/2006/relationships/hyperlink" Target="https://drive.google.com/open?id=1RTq0WkobnOOb2eR5Beg07JQFrz5cVmN6" TargetMode="External"/><Relationship Id="rId659" Type="http://schemas.openxmlformats.org/officeDocument/2006/relationships/hyperlink" Target="https://www.instagram.com/pretas_ruas/" TargetMode="External"/><Relationship Id="rId866" Type="http://schemas.openxmlformats.org/officeDocument/2006/relationships/hyperlink" Target="https://drive.google.com/open?id=1cTaQrv-z5_hbmbXAaECfp28trYZHTAAq" TargetMode="External"/><Relationship Id="rId1289" Type="http://schemas.openxmlformats.org/officeDocument/2006/relationships/hyperlink" Target="https://instagram.com/casadocontoitacare?igshid=YmMyMTA2M2Y=" TargetMode="External"/><Relationship Id="rId1496" Type="http://schemas.openxmlformats.org/officeDocument/2006/relationships/hyperlink" Target="https://instagram.com/institutorosareviver?utm_medium=copy_link." TargetMode="External"/><Relationship Id="rId2242" Type="http://schemas.openxmlformats.org/officeDocument/2006/relationships/hyperlink" Target="https://linktr.ee/AmacAtitudes" TargetMode="External"/><Relationship Id="rId2547" Type="http://schemas.openxmlformats.org/officeDocument/2006/relationships/hyperlink" Target="http://www.facebook.com.br/criamarmais" TargetMode="External"/><Relationship Id="rId214" Type="http://schemas.openxmlformats.org/officeDocument/2006/relationships/hyperlink" Target="https://drive.google.com/open?id=12a7zYjLibuoZ22N32bl_BmDto9FEb688" TargetMode="External"/><Relationship Id="rId421" Type="http://schemas.openxmlformats.org/officeDocument/2006/relationships/hyperlink" Target="https://www.instagram.com/p/CfaNGlOOGan/?igshid=YmMyMTA2M2Y=" TargetMode="External"/><Relationship Id="rId519" Type="http://schemas.openxmlformats.org/officeDocument/2006/relationships/hyperlink" Target="https://drive.google.com/open?id=1Plia2i2i2tIgTvawxmCdNFzqh9Zx_54n" TargetMode="External"/><Relationship Id="rId1051" Type="http://schemas.openxmlformats.org/officeDocument/2006/relationships/hyperlink" Target="https://www.facebook.com/aprendersocial" TargetMode="External"/><Relationship Id="rId1149" Type="http://schemas.openxmlformats.org/officeDocument/2006/relationships/hyperlink" Target="https://www.instagram.com/projetosurfar/?hl=pt" TargetMode="External"/><Relationship Id="rId1356" Type="http://schemas.openxmlformats.org/officeDocument/2006/relationships/hyperlink" Target="https://drive.google.com/open?id=1X1OTHxd1s3JzwBmAxgnSx3_EYDe2LO4W" TargetMode="External"/><Relationship Id="rId2102" Type="http://schemas.openxmlformats.org/officeDocument/2006/relationships/hyperlink" Target="https://www.linkedin.com/company/70932617" TargetMode="External"/><Relationship Id="rId726" Type="http://schemas.openxmlformats.org/officeDocument/2006/relationships/hyperlink" Target="http://cia_caisca/" TargetMode="External"/><Relationship Id="rId933" Type="http://schemas.openxmlformats.org/officeDocument/2006/relationships/hyperlink" Target="https://www.facebook.com/cineclubetianilda" TargetMode="External"/><Relationship Id="rId1009" Type="http://schemas.openxmlformats.org/officeDocument/2006/relationships/hyperlink" Target="https://drive.google.com/open?id=1Q6WNNFo3yn1dGTQTfSaiHpUiaWjauOZS" TargetMode="External"/><Relationship Id="rId1563" Type="http://schemas.openxmlformats.org/officeDocument/2006/relationships/hyperlink" Target="https://drive.google.com/open?id=1uJBM6oKFewifdgDLhTJavdVY8ez_ZgIZ" TargetMode="External"/><Relationship Id="rId1770" Type="http://schemas.openxmlformats.org/officeDocument/2006/relationships/hyperlink" Target="https://drive.google.com/open?id=1o0EuaPs9d-QsFc6NcKM3gkhD5ZZ_24md" TargetMode="External"/><Relationship Id="rId1868" Type="http://schemas.openxmlformats.org/officeDocument/2006/relationships/hyperlink" Target="https://drive.google.com/open?id=13D_jQnCuhaSwtDOOP_W3lyFHsIRrEyzG" TargetMode="External"/><Relationship Id="rId2407" Type="http://schemas.openxmlformats.org/officeDocument/2006/relationships/hyperlink" Target="https://drive.google.com/open?id=1A4SVdyWVVma3Poi0FuwJBNwH--u3THBb" TargetMode="External"/><Relationship Id="rId2614" Type="http://schemas.openxmlformats.org/officeDocument/2006/relationships/hyperlink" Target="https://www.linkedin.com/company/institutomiguelfernandest%C3%B4rres" TargetMode="External"/><Relationship Id="rId62" Type="http://schemas.openxmlformats.org/officeDocument/2006/relationships/hyperlink" Target="https://www.facebook.com/art.cor.980" TargetMode="External"/><Relationship Id="rId1216" Type="http://schemas.openxmlformats.org/officeDocument/2006/relationships/hyperlink" Target="https://drive.google.com/open?id=1IRMoZoc2ILl12djQHAdk2A4jjppWyig5" TargetMode="External"/><Relationship Id="rId1423" Type="http://schemas.openxmlformats.org/officeDocument/2006/relationships/hyperlink" Target="https://www.facebook.com/tmjvozativa" TargetMode="External"/><Relationship Id="rId1630" Type="http://schemas.openxmlformats.org/officeDocument/2006/relationships/hyperlink" Target="https://www.instagram.com/institutonua?" TargetMode="External"/><Relationship Id="rId1728" Type="http://schemas.openxmlformats.org/officeDocument/2006/relationships/hyperlink" Target="https://drive.google.com/open?id=17XH7grwaQInzOvMSarX2SSJr8pJEgGvq" TargetMode="External"/><Relationship Id="rId1935" Type="http://schemas.openxmlformats.org/officeDocument/2006/relationships/hyperlink" Target="https://casadegentil.org/" TargetMode="External"/><Relationship Id="rId2197" Type="http://schemas.openxmlformats.org/officeDocument/2006/relationships/hyperlink" Target="http://www.facebook.com/recomecargf" TargetMode="External"/><Relationship Id="rId169" Type="http://schemas.openxmlformats.org/officeDocument/2006/relationships/hyperlink" Target="http://www.sem.gov.br/" TargetMode="External"/><Relationship Id="rId376" Type="http://schemas.openxmlformats.org/officeDocument/2006/relationships/hyperlink" Target="https://parceirosdaalegria.ong.br/" TargetMode="External"/><Relationship Id="rId583" Type="http://schemas.openxmlformats.org/officeDocument/2006/relationships/hyperlink" Target="https://drive.google.com/open?id=1NRh9P-GAvwQSVqRHmygVzV7BBJI2-F6A" TargetMode="External"/><Relationship Id="rId790" Type="http://schemas.openxmlformats.org/officeDocument/2006/relationships/hyperlink" Target="https://drive.google.com/open?id=1nN5AhSWq5PfEZlkhCoZkdQEsLWcgzKUH" TargetMode="External"/><Relationship Id="rId2057" Type="http://schemas.openxmlformats.org/officeDocument/2006/relationships/hyperlink" Target="https://drive.google.com/open?id=1UXWwv78qD8V_OaqDZfwRNXu662lstqve" TargetMode="External"/><Relationship Id="rId2264" Type="http://schemas.openxmlformats.org/officeDocument/2006/relationships/hyperlink" Target="https://drive.google.com/open?id=1F-x6J4ZGZ4ore-lE4MhpJmMxOhUoYqde" TargetMode="External"/><Relationship Id="rId2471" Type="http://schemas.openxmlformats.org/officeDocument/2006/relationships/hyperlink" Target="https://instagram.com/institutosocialebenezer" TargetMode="External"/><Relationship Id="rId4" Type="http://schemas.openxmlformats.org/officeDocument/2006/relationships/hyperlink" Target="https://www.youtube.com/channel/UCgeBXTQyolvMJstYuxfHQ0A" TargetMode="External"/><Relationship Id="rId236" Type="http://schemas.openxmlformats.org/officeDocument/2006/relationships/hyperlink" Target="https://drive.google.com/open?id=15dpabjvZwirU_PMAZEugehVSypifJgV8" TargetMode="External"/><Relationship Id="rId443" Type="http://schemas.openxmlformats.org/officeDocument/2006/relationships/hyperlink" Target="https://www.youtube.com/channel/UCEY7ImUwhkj2mcv9sX0eLKQ?app=desktop" TargetMode="External"/><Relationship Id="rId650" Type="http://schemas.openxmlformats.org/officeDocument/2006/relationships/hyperlink" Target="https://drive.google.com/open?id=1pPAKKOrF4ZaCAcbqnP3Rnw_jCff2pHe_" TargetMode="External"/><Relationship Id="rId888" Type="http://schemas.openxmlformats.org/officeDocument/2006/relationships/hyperlink" Target="https://drive.google.com/open?id=1rKeCRr99RkmDOXtXlBAD2BVDI3EYzWeI" TargetMode="External"/><Relationship Id="rId1073" Type="http://schemas.openxmlformats.org/officeDocument/2006/relationships/hyperlink" Target="https://drive.google.com/open?id=13JQYby06tqMoiUFrysa-p_mK8QaoE9ev" TargetMode="External"/><Relationship Id="rId1280" Type="http://schemas.openxmlformats.org/officeDocument/2006/relationships/hyperlink" Target="https://drive.google.com/open?id=1WaGtUKsv2Uv42e9K502xbrUbpIOzXW_5" TargetMode="External"/><Relationship Id="rId2124" Type="http://schemas.openxmlformats.org/officeDocument/2006/relationships/hyperlink" Target="https://www.instagram.zeizadojo/" TargetMode="External"/><Relationship Id="rId2331" Type="http://schemas.openxmlformats.org/officeDocument/2006/relationships/hyperlink" Target="https://drive.google.com/open?id=1p30eG3spYjTU-ExGyyjnQYA7ehhlMpWT" TargetMode="External"/><Relationship Id="rId2569" Type="http://schemas.openxmlformats.org/officeDocument/2006/relationships/hyperlink" Target="https://youtu.be/QAePw9g8XhY" TargetMode="External"/><Relationship Id="rId303" Type="http://schemas.openxmlformats.org/officeDocument/2006/relationships/hyperlink" Target="https://www.instagram.com/padretornatore/" TargetMode="External"/><Relationship Id="rId748" Type="http://schemas.openxmlformats.org/officeDocument/2006/relationships/hyperlink" Target="https://drive.google.com/open?id=1gM5iFISqdaoYPxTCfCl6D1-bYX_r-Sv_" TargetMode="External"/><Relationship Id="rId955" Type="http://schemas.openxmlformats.org/officeDocument/2006/relationships/hyperlink" Target="https://drive.google.com/open?id=18ftoBo1WBnpNpOWDGksm-EQpJb9emXAp" TargetMode="External"/><Relationship Id="rId1140" Type="http://schemas.openxmlformats.org/officeDocument/2006/relationships/hyperlink" Target="https://drive.google.com/open?id=1Mij06yPSzHBAMmoV43cZyGOTwqlLer8t" TargetMode="External"/><Relationship Id="rId1378" Type="http://schemas.openxmlformats.org/officeDocument/2006/relationships/hyperlink" Target="https://www.instagram.com/associacaovoar/" TargetMode="External"/><Relationship Id="rId1585" Type="http://schemas.openxmlformats.org/officeDocument/2006/relationships/hyperlink" Target="https://www.facebook.com/associacaoprover" TargetMode="External"/><Relationship Id="rId1792" Type="http://schemas.openxmlformats.org/officeDocument/2006/relationships/hyperlink" Target="https://drive.google.com/open?id=1kaYK99Kg9yNGx-IrucNcId5Fr34oFsCX" TargetMode="External"/><Relationship Id="rId2429" Type="http://schemas.openxmlformats.org/officeDocument/2006/relationships/hyperlink" Target="http://www.projetoreconstruir.org.br/" TargetMode="External"/><Relationship Id="rId2636" Type="http://schemas.openxmlformats.org/officeDocument/2006/relationships/hyperlink" Target="https://instagram.com/oprojetosemearoficial?igshid=YmMyMTA2M2Y=" TargetMode="External"/><Relationship Id="rId84" Type="http://schemas.openxmlformats.org/officeDocument/2006/relationships/hyperlink" Target="https://instagram.com/idesq_?utm_medium=copy_link" TargetMode="External"/><Relationship Id="rId510" Type="http://schemas.openxmlformats.org/officeDocument/2006/relationships/hyperlink" Target="https://drive.google.com/open?id=1dZUGM04bOEUGnaAh-ddfM3RtIn_KKJVC" TargetMode="External"/><Relationship Id="rId608" Type="http://schemas.openxmlformats.org/officeDocument/2006/relationships/hyperlink" Target="http://www2.recife.pe.gov.br/" TargetMode="External"/><Relationship Id="rId815" Type="http://schemas.openxmlformats.org/officeDocument/2006/relationships/hyperlink" Target="https://drive.google.com/open?id=1u6UT8MziHW9hO3GYx8rxcnw4rZahfMbu" TargetMode="External"/><Relationship Id="rId1238" Type="http://schemas.openxmlformats.org/officeDocument/2006/relationships/hyperlink" Target="https://drive.google.com/open?id=1bfVJ-ysgZspF9wX6_7H6uI2QLJ79y409" TargetMode="External"/><Relationship Id="rId1445" Type="http://schemas.openxmlformats.org/officeDocument/2006/relationships/hyperlink" Target="https://instagram.com/colmeiamarica?utm_medium=copy_link" TargetMode="External"/><Relationship Id="rId1652" Type="http://schemas.openxmlformats.org/officeDocument/2006/relationships/hyperlink" Target="https://drive.google.com/open?id=1HlP75MrxLuigM6UwIimxJgZWwFXARAF7" TargetMode="External"/><Relationship Id="rId1000" Type="http://schemas.openxmlformats.org/officeDocument/2006/relationships/hyperlink" Target="https://www.instagram.com/casahacker/" TargetMode="External"/><Relationship Id="rId1305" Type="http://schemas.openxmlformats.org/officeDocument/2006/relationships/hyperlink" Target="http://www.ilis.org.br/" TargetMode="External"/><Relationship Id="rId1957" Type="http://schemas.openxmlformats.org/officeDocument/2006/relationships/hyperlink" Target="https://www.youtube.com/channel/UC31VXN_OyUxsC29hLLfVpMQ" TargetMode="External"/><Relationship Id="rId2703" Type="http://schemas.openxmlformats.org/officeDocument/2006/relationships/hyperlink" Target="https://drive.google.com/open?id=1zTmS5XoMQdVBpxx7l-Q9bEbm073VCy5e" TargetMode="External"/><Relationship Id="rId1512" Type="http://schemas.openxmlformats.org/officeDocument/2006/relationships/hyperlink" Target="http://facebook.com/fundacaojesusdenazare" TargetMode="External"/><Relationship Id="rId1817" Type="http://schemas.openxmlformats.org/officeDocument/2006/relationships/hyperlink" Target="http://www.instagram.com/associacaosemeandoamor" TargetMode="External"/><Relationship Id="rId11" Type="http://schemas.openxmlformats.org/officeDocument/2006/relationships/hyperlink" Target="https://www.instagram.com/p/Cb_SYjmskiD/?utm_medium=copy_link" TargetMode="External"/><Relationship Id="rId398" Type="http://schemas.openxmlformats.org/officeDocument/2006/relationships/hyperlink" Target="https://www.instagram.com/institutodica/?hl=pt" TargetMode="External"/><Relationship Id="rId2079" Type="http://schemas.openxmlformats.org/officeDocument/2006/relationships/hyperlink" Target="https://drive.google.com/open?id=1NmSMRUpUftZrpgCndd1m8fxDhcV7Glfn" TargetMode="External"/><Relationship Id="rId160" Type="http://schemas.openxmlformats.org/officeDocument/2006/relationships/hyperlink" Target="https://www.facebook.com/livrosemtodolugar" TargetMode="External"/><Relationship Id="rId2286" Type="http://schemas.openxmlformats.org/officeDocument/2006/relationships/hyperlink" Target="https://drive.google.com/open?id=1LaE7FpU5Agau5YXLMEHKrT5kzuATUedy" TargetMode="External"/><Relationship Id="rId2493" Type="http://schemas.openxmlformats.org/officeDocument/2006/relationships/hyperlink" Target="https://drive.google.com/open?id=1h5tuaFSWpN_idTeF8f7pCKw3lnAsP7pk" TargetMode="External"/><Relationship Id="rId258" Type="http://schemas.openxmlformats.org/officeDocument/2006/relationships/hyperlink" Target="https://drive.google.com/open?id=1dDLMZguvTDne64BhM9NpaZNlWCJ0Li_2" TargetMode="External"/><Relationship Id="rId465" Type="http://schemas.openxmlformats.org/officeDocument/2006/relationships/hyperlink" Target="https://drive.google.com/open?id=1veRZYR0hJC1DTTy9wuF46uZP5payRA5Z" TargetMode="External"/><Relationship Id="rId672" Type="http://schemas.openxmlformats.org/officeDocument/2006/relationships/hyperlink" Target="https://www.facebook.com/107312145184344/posts/114514541130771/?d=n&amp;substory_index=0" TargetMode="External"/><Relationship Id="rId1095" Type="http://schemas.openxmlformats.org/officeDocument/2006/relationships/hyperlink" Target="https://www.facebook.com/rcflanatanpa/" TargetMode="External"/><Relationship Id="rId2146" Type="http://schemas.openxmlformats.org/officeDocument/2006/relationships/hyperlink" Target="https://www.facebook.com/anjosdatiastellinha" TargetMode="External"/><Relationship Id="rId2353" Type="http://schemas.openxmlformats.org/officeDocument/2006/relationships/hyperlink" Target="https://drive.google.com/open?id=1AqS7LQiSp81PaR8M4AIkJbAJor62PVX6" TargetMode="External"/><Relationship Id="rId2560" Type="http://schemas.openxmlformats.org/officeDocument/2006/relationships/hyperlink" Target="https://www.facebook.com/associacaomulheresdomontecristo" TargetMode="External"/><Relationship Id="rId118" Type="http://schemas.openxmlformats.org/officeDocument/2006/relationships/hyperlink" Target="https://drive.google.com/open?id=1Qwr64VRYtxP1yuQauy9M9VDUAHutVKvo" TargetMode="External"/><Relationship Id="rId325" Type="http://schemas.openxmlformats.org/officeDocument/2006/relationships/hyperlink" Target="https://drive.google.com/open?id=1tsNybkauVHNed4vyP0kHINu8mR0ywzrR" TargetMode="External"/><Relationship Id="rId532" Type="http://schemas.openxmlformats.org/officeDocument/2006/relationships/hyperlink" Target="http://www.amunam.org.br/" TargetMode="External"/><Relationship Id="rId977" Type="http://schemas.openxmlformats.org/officeDocument/2006/relationships/hyperlink" Target="https://www.facebook.com/avezdascomunidades" TargetMode="External"/><Relationship Id="rId1162" Type="http://schemas.openxmlformats.org/officeDocument/2006/relationships/hyperlink" Target="https://drive.google.com/open?id=1tXbX5tDeJhLgK045pmpv8iTy2n90Xvv_" TargetMode="External"/><Relationship Id="rId2006" Type="http://schemas.openxmlformats.org/officeDocument/2006/relationships/hyperlink" Target="https://www.instagram.com/sementesdovale/" TargetMode="External"/><Relationship Id="rId2213" Type="http://schemas.openxmlformats.org/officeDocument/2006/relationships/hyperlink" Target="https://drive.google.com/open?id=1yvlgw4jI_0HrPrIkwdKIlovb3Blhb1tq" TargetMode="External"/><Relationship Id="rId2420" Type="http://schemas.openxmlformats.org/officeDocument/2006/relationships/hyperlink" Target="https://obiwan.hoostplatform.com/~iamaslzc/painel/index.php?page=hoost-dashboard" TargetMode="External"/><Relationship Id="rId2658" Type="http://schemas.openxmlformats.org/officeDocument/2006/relationships/hyperlink" Target="https://drive.google.com/open?id=1qoll7NBY8Mo6XYUH_TYh4_gwkfl8Doo-" TargetMode="External"/><Relationship Id="rId837" Type="http://schemas.openxmlformats.org/officeDocument/2006/relationships/hyperlink" Target="https://drive.google.com/open?id=17CkYL7wrNsKK2XiRTXs5Cl7q-oMpi9ZD" TargetMode="External"/><Relationship Id="rId1022" Type="http://schemas.openxmlformats.org/officeDocument/2006/relationships/hyperlink" Target="https://www.facebook.com/search/top?q=tonkiri%20voa" TargetMode="External"/><Relationship Id="rId1467" Type="http://schemas.openxmlformats.org/officeDocument/2006/relationships/hyperlink" Target="https://drive.google.com/open?id=12Ljfge1LdFzn6jfWkyiaNMTzd-z7jXzx" TargetMode="External"/><Relationship Id="rId1674" Type="http://schemas.openxmlformats.org/officeDocument/2006/relationships/hyperlink" Target="http://facebook.com/associacaovovovitorino" TargetMode="External"/><Relationship Id="rId1881" Type="http://schemas.openxmlformats.org/officeDocument/2006/relationships/hyperlink" Target="https://drive.google.com/open?id=1OpxYdw81hN0WYZOwtM-aoZBdeqZCofMz" TargetMode="External"/><Relationship Id="rId2518" Type="http://schemas.openxmlformats.org/officeDocument/2006/relationships/hyperlink" Target="https://drive.google.com/open?id=1LoeAVrb95jIpJVkcUYgQk2xNEbakeqio" TargetMode="External"/><Relationship Id="rId2725" Type="http://schemas.openxmlformats.org/officeDocument/2006/relationships/hyperlink" Target="https://drive.google.com/open?id=1rwq6KGRfA0m8DSFCVqTjPDHrlmEGID26" TargetMode="External"/><Relationship Id="rId904" Type="http://schemas.openxmlformats.org/officeDocument/2006/relationships/hyperlink" Target="https://www.instagram.com/emporiogermine/" TargetMode="External"/><Relationship Id="rId1327" Type="http://schemas.openxmlformats.org/officeDocument/2006/relationships/hyperlink" Target="http://instagram.com/tpalavrasencantadas" TargetMode="External"/><Relationship Id="rId1534" Type="http://schemas.openxmlformats.org/officeDocument/2006/relationships/hyperlink" Target="https://drive.google.com/open?id=1OcxbFCV-bPKHn7PC3tumSusoGT0Jgh1C" TargetMode="External"/><Relationship Id="rId1741" Type="http://schemas.openxmlformats.org/officeDocument/2006/relationships/hyperlink" Target="https://drive.google.com/open?id=1PuGYUWXgFkFF_g8EMfTLScKXefTerqN3" TargetMode="External"/><Relationship Id="rId1979" Type="http://schemas.openxmlformats.org/officeDocument/2006/relationships/hyperlink" Target="https://www.instagram.com/seteorg/" TargetMode="External"/><Relationship Id="rId33" Type="http://schemas.openxmlformats.org/officeDocument/2006/relationships/hyperlink" Target="https://drive.google.com/open?id=1ZF5fTON_qi9DIROQze2zY3i1JoZcYFbD" TargetMode="External"/><Relationship Id="rId1601" Type="http://schemas.openxmlformats.org/officeDocument/2006/relationships/hyperlink" Target="https://drive.google.com/open?id=1Y-rOrrAfBApkSW8ObFT4YLaB2VSiU9T8" TargetMode="External"/><Relationship Id="rId1839" Type="http://schemas.openxmlformats.org/officeDocument/2006/relationships/hyperlink" Target="https://drive.google.com/open?id=1JbbddmgUlwd1Q7Eu9RGCOHOaOyOzqfhP" TargetMode="External"/><Relationship Id="rId182" Type="http://schemas.openxmlformats.org/officeDocument/2006/relationships/hyperlink" Target="https://drive.google.com/open?id=1h2KcstMKCjhO2nk-H5lBXQcNgORiVoQk" TargetMode="External"/><Relationship Id="rId1906" Type="http://schemas.openxmlformats.org/officeDocument/2006/relationships/hyperlink" Target="https://drive.google.com/open?id=1FJwBXJD14u5teVgrxISnOui9QwtNM7gq" TargetMode="External"/><Relationship Id="rId487" Type="http://schemas.openxmlformats.org/officeDocument/2006/relationships/hyperlink" Target="https://drive.google.com/open?id=1FumC4FEWgv4NxY46iszXqNFBujKTaoHT" TargetMode="External"/><Relationship Id="rId694" Type="http://schemas.openxmlformats.org/officeDocument/2006/relationships/hyperlink" Target="https://drive.google.com/open?id=1BXoO-v3Ide_FnWRuOyIs77DRrw6eNhsa" TargetMode="External"/><Relationship Id="rId2070" Type="http://schemas.openxmlformats.org/officeDocument/2006/relationships/hyperlink" Target="https://www.instagram.com/vivendadacrianca/" TargetMode="External"/><Relationship Id="rId2168" Type="http://schemas.openxmlformats.org/officeDocument/2006/relationships/hyperlink" Target="https://m.youtube.com/watch?v=V2hJElh06b0" TargetMode="External"/><Relationship Id="rId2375" Type="http://schemas.openxmlformats.org/officeDocument/2006/relationships/hyperlink" Target="http://www.libertariosdocapao.org.br/" TargetMode="External"/><Relationship Id="rId347" Type="http://schemas.openxmlformats.org/officeDocument/2006/relationships/hyperlink" Target="https://drive.google.com/open?id=1GhSDJtnSY9eC-Yo7zUsZAhPi70QY6Y9g" TargetMode="External"/><Relationship Id="rId999" Type="http://schemas.openxmlformats.org/officeDocument/2006/relationships/hyperlink" Target="https://casahacker.org/" TargetMode="External"/><Relationship Id="rId1184" Type="http://schemas.openxmlformats.org/officeDocument/2006/relationships/hyperlink" Target="https://drive.google.com/open?id=17rLPcAUoGO9jrgR2doqUSceIRmqipIl0" TargetMode="External"/><Relationship Id="rId2028" Type="http://schemas.openxmlformats.org/officeDocument/2006/relationships/hyperlink" Target="https://drive.google.com/open?id=1oBPEUKavGSwSBsZo8JwIOR0Bq3YTzvaW" TargetMode="External"/><Relationship Id="rId2582" Type="http://schemas.openxmlformats.org/officeDocument/2006/relationships/hyperlink" Target="https://institutoamargen.com.br/" TargetMode="External"/><Relationship Id="rId554" Type="http://schemas.openxmlformats.org/officeDocument/2006/relationships/hyperlink" Target="https://www.instagram.com/reel/CfmwDyDr35o/?igshid=YmMyMTA2M2Y%3D" TargetMode="External"/><Relationship Id="rId761" Type="http://schemas.openxmlformats.org/officeDocument/2006/relationships/hyperlink" Target="https://instagram.com/__sementesdafe?igshid=YmMyMTA2M2Y=" TargetMode="External"/><Relationship Id="rId859" Type="http://schemas.openxmlformats.org/officeDocument/2006/relationships/hyperlink" Target="https://drive.google.com/open?id=1h51KPDt5oBARe_PS4XLKOgYnTnxPPD0w" TargetMode="External"/><Relationship Id="rId1391" Type="http://schemas.openxmlformats.org/officeDocument/2006/relationships/hyperlink" Target="https://instagram.com/_institutotransformar?utm_medium=copy_link" TargetMode="External"/><Relationship Id="rId1489" Type="http://schemas.openxmlformats.org/officeDocument/2006/relationships/hyperlink" Target="https://instagram.com/stories/instituto.v.c.vidas/2729295089252041077?utm_medium=share_sheet" TargetMode="External"/><Relationship Id="rId1696" Type="http://schemas.openxmlformats.org/officeDocument/2006/relationships/hyperlink" Target="https://drive.google.com/open?id=1zMOGKvxSrPdqRgcfMn1qAaAi-UXCGigz" TargetMode="External"/><Relationship Id="rId2235" Type="http://schemas.openxmlformats.org/officeDocument/2006/relationships/hyperlink" Target="https://drive.google.com/open?id=1OjanUOLEa8dIOytHveU-qZIsldSpMGi2" TargetMode="External"/><Relationship Id="rId2442" Type="http://schemas.openxmlformats.org/officeDocument/2006/relationships/hyperlink" Target="https://www.facebook.com/InstitutoEdsonRoyer/" TargetMode="External"/><Relationship Id="rId207" Type="http://schemas.openxmlformats.org/officeDocument/2006/relationships/hyperlink" Target="https://www.instagram.com/tv/CXvl_d7jpZL/?utm_medium=copy_link" TargetMode="External"/><Relationship Id="rId414" Type="http://schemas.openxmlformats.org/officeDocument/2006/relationships/hyperlink" Target="https://drive.google.com/open?id=1Z3E5Sxk2LuqGLcDI_alvh2Tx5RmDxNnp" TargetMode="External"/><Relationship Id="rId621" Type="http://schemas.openxmlformats.org/officeDocument/2006/relationships/hyperlink" Target="https://drive.google.com/open?id=1EyuwmSvoy1DBqwBqOtKO-rhcPNI3UcqN" TargetMode="External"/><Relationship Id="rId1044" Type="http://schemas.openxmlformats.org/officeDocument/2006/relationships/hyperlink" Target="https://drive.google.com/open?id=1n4y2MVlVAcEIXWcVHTzcyudKTIZxFjas" TargetMode="External"/><Relationship Id="rId1251" Type="http://schemas.openxmlformats.org/officeDocument/2006/relationships/hyperlink" Target="https://www.facebook.com/somosagapejlle/" TargetMode="External"/><Relationship Id="rId1349" Type="http://schemas.openxmlformats.org/officeDocument/2006/relationships/hyperlink" Target="https://drive.google.com/open?id=19PmscMLQPrRhPNTjqvAd328l9SCDjpUM" TargetMode="External"/><Relationship Id="rId2302" Type="http://schemas.openxmlformats.org/officeDocument/2006/relationships/hyperlink" Target="https://drive.google.com/open?id=15YWqifKaKdoI-HzW44R8Mp8QL_9xaaQB" TargetMode="External"/><Relationship Id="rId719" Type="http://schemas.openxmlformats.org/officeDocument/2006/relationships/hyperlink" Target="https://web.facebook.com/leresabernacomunidade" TargetMode="External"/><Relationship Id="rId926" Type="http://schemas.openxmlformats.org/officeDocument/2006/relationships/hyperlink" Target="https://www.instagram.com/p/CXAMiGdr7nN/?utm_medium=copy_link" TargetMode="External"/><Relationship Id="rId1111" Type="http://schemas.openxmlformats.org/officeDocument/2006/relationships/hyperlink" Target="https://www.youtube.com/channel/UCJOih9dcwzPnxWCq7rjJSWA" TargetMode="External"/><Relationship Id="rId1556" Type="http://schemas.openxmlformats.org/officeDocument/2006/relationships/hyperlink" Target="https://drive.google.com/open?id=1FmKgDVVSqDJcdg8m7Z2-n463trbZ9pLY" TargetMode="External"/><Relationship Id="rId1763" Type="http://schemas.openxmlformats.org/officeDocument/2006/relationships/hyperlink" Target="https://www.youtube.com/channel/UCZAf37Lqc5ldGIQWPoHsUAA" TargetMode="External"/><Relationship Id="rId1970" Type="http://schemas.openxmlformats.org/officeDocument/2006/relationships/hyperlink" Target="https://www.coresdomara.org.br/" TargetMode="External"/><Relationship Id="rId2607" Type="http://schemas.openxmlformats.org/officeDocument/2006/relationships/hyperlink" Target="https://drive.google.com/open?id=1RiHQxdwAk-txJD9advEhDqYMzCumqo_p" TargetMode="External"/><Relationship Id="rId55" Type="http://schemas.openxmlformats.org/officeDocument/2006/relationships/hyperlink" Target="https://drive.google.com/open?id=1nObgzFvkW-I3xLhXJKIRUI2hmFuFNgu3" TargetMode="External"/><Relationship Id="rId1209" Type="http://schemas.openxmlformats.org/officeDocument/2006/relationships/hyperlink" Target="https://drive.google.com/open?id=1qyG5RgB2nRfPGxFDMxc_o87MIi1a2Out" TargetMode="External"/><Relationship Id="rId1416" Type="http://schemas.openxmlformats.org/officeDocument/2006/relationships/hyperlink" Target="https://www.youtube.com/channel/UCkW0oN9FumNd5OOyb8dFymw" TargetMode="External"/><Relationship Id="rId1623" Type="http://schemas.openxmlformats.org/officeDocument/2006/relationships/hyperlink" Target="https://drive.google.com/open?id=1irzrHwL10HH7J1NHRKzVxh-kks7oPLNc" TargetMode="External"/><Relationship Id="rId1830" Type="http://schemas.openxmlformats.org/officeDocument/2006/relationships/hyperlink" Target="https://drive.google.com/open?id=1CpgdJhhM8UbSc23ILqHZFzrWF7oWKcVo" TargetMode="External"/><Relationship Id="rId1928" Type="http://schemas.openxmlformats.org/officeDocument/2006/relationships/hyperlink" Target="https://drive.google.com/open?id=1SkXkSc15wjRkrGzCO6wj8HvheE99egGc" TargetMode="External"/><Relationship Id="rId2092" Type="http://schemas.openxmlformats.org/officeDocument/2006/relationships/hyperlink" Target="https://www.youtube.com/channel/UCTRGhfRDfy9eGPAd2vHqlpA" TargetMode="External"/><Relationship Id="rId271" Type="http://schemas.openxmlformats.org/officeDocument/2006/relationships/hyperlink" Target="https://instagram.com/espalhe_cestas?igshid=YmMyMTA2M2Y=" TargetMode="External"/><Relationship Id="rId2397" Type="http://schemas.openxmlformats.org/officeDocument/2006/relationships/hyperlink" Target="https://www.youtube.com/channel/UCn8XG2-o9Y1PGnAQiI4Xm7A/featured" TargetMode="External"/><Relationship Id="rId131" Type="http://schemas.openxmlformats.org/officeDocument/2006/relationships/hyperlink" Target="https://drive.google.com/open?id=15fRrBG3YS-8UA8c6IrEI-uwOj_nMjfet" TargetMode="External"/><Relationship Id="rId369" Type="http://schemas.openxmlformats.org/officeDocument/2006/relationships/hyperlink" Target="https://instagram.com/extraordinarios.caruaru?utm_medium=copy_link" TargetMode="External"/><Relationship Id="rId576" Type="http://schemas.openxmlformats.org/officeDocument/2006/relationships/hyperlink" Target="https://drive.google.com/open?id=1Tqp5MdYlQQycOK5i5ob2bCbRuCadgQQo" TargetMode="External"/><Relationship Id="rId783" Type="http://schemas.openxmlformats.org/officeDocument/2006/relationships/hyperlink" Target="https://www.instagram.com/institutospt/" TargetMode="External"/><Relationship Id="rId990" Type="http://schemas.openxmlformats.org/officeDocument/2006/relationships/hyperlink" Target="https://drive.google.com/open?id=1bTPzuNfytyEknUxGab-TQ6OTnn5LT3v6" TargetMode="External"/><Relationship Id="rId2257" Type="http://schemas.openxmlformats.org/officeDocument/2006/relationships/hyperlink" Target="https://centrocidadania.org/" TargetMode="External"/><Relationship Id="rId2464" Type="http://schemas.openxmlformats.org/officeDocument/2006/relationships/hyperlink" Target="https://drive.google.com/open?id=1yv3u17nJ7AVaBmt-HN836qZ97IcM76KO" TargetMode="External"/><Relationship Id="rId2671" Type="http://schemas.openxmlformats.org/officeDocument/2006/relationships/hyperlink" Target="https://drive.google.com/open?id=1u0qqpQQDLp6qZrV8-88CSRFce2ziScir" TargetMode="External"/><Relationship Id="rId229" Type="http://schemas.openxmlformats.org/officeDocument/2006/relationships/hyperlink" Target="https://www.facebook.com/casasaofranciscoparaiso" TargetMode="External"/><Relationship Id="rId436" Type="http://schemas.openxmlformats.org/officeDocument/2006/relationships/hyperlink" Target="https://instagram.com/associacao_queira_o_bem?igshid=YmMyMTA2M2Y=" TargetMode="External"/><Relationship Id="rId643" Type="http://schemas.openxmlformats.org/officeDocument/2006/relationships/hyperlink" Target="https://drive.google.com/open?id=1a8DZw5UZbOkK8HpopXY1rB_hADaRop0c" TargetMode="External"/><Relationship Id="rId1066" Type="http://schemas.openxmlformats.org/officeDocument/2006/relationships/hyperlink" Target="https://drive.google.com/open?id=1fva9vgv_r77spfNDfyQ-UJfl1w6pW2MP" TargetMode="External"/><Relationship Id="rId1273" Type="http://schemas.openxmlformats.org/officeDocument/2006/relationships/hyperlink" Target="https://instagram.com/associacao_sagrada_familia?igshid=YmMyMTA2M2Y=" TargetMode="External"/><Relationship Id="rId1480" Type="http://schemas.openxmlformats.org/officeDocument/2006/relationships/hyperlink" Target="https://www.facebook.com/quadro.deesperanca/" TargetMode="External"/><Relationship Id="rId2117" Type="http://schemas.openxmlformats.org/officeDocument/2006/relationships/hyperlink" Target="https://drive.google.com/open?id=1E9zLnletCpGAo5kpYI4OAzfWgcZD1316" TargetMode="External"/><Relationship Id="rId2324" Type="http://schemas.openxmlformats.org/officeDocument/2006/relationships/hyperlink" Target="https://drive.google.com/open?id=1MHZ7n8OOsTW--CGd4EdwRYbG3Nd0cxrs" TargetMode="External"/><Relationship Id="rId850" Type="http://schemas.openxmlformats.org/officeDocument/2006/relationships/hyperlink" Target="https://drive.google.com/open?id=1w9CE9-zioiMykR0ZfFVMerAzia2cTay8" TargetMode="External"/><Relationship Id="rId948" Type="http://schemas.openxmlformats.org/officeDocument/2006/relationships/hyperlink" Target="https://drive.google.com/open?id=1l2uh4QP9RAmPpTBF8XdknUlw0TpGvmyj" TargetMode="External"/><Relationship Id="rId1133" Type="http://schemas.openxmlformats.org/officeDocument/2006/relationships/hyperlink" Target="https://drive.google.com/open?id=1tM0tmHMj1f-kKlC1CHK613RSeZ2qYnji" TargetMode="External"/><Relationship Id="rId1578" Type="http://schemas.openxmlformats.org/officeDocument/2006/relationships/hyperlink" Target="http://www.semprecrianca.org/" TargetMode="External"/><Relationship Id="rId1785" Type="http://schemas.openxmlformats.org/officeDocument/2006/relationships/hyperlink" Target="http://www.iameong.com.br/" TargetMode="External"/><Relationship Id="rId1992" Type="http://schemas.openxmlformats.org/officeDocument/2006/relationships/hyperlink" Target="https://www.facebook.com/UmChuteParaOFuturo/" TargetMode="External"/><Relationship Id="rId2531" Type="http://schemas.openxmlformats.org/officeDocument/2006/relationships/hyperlink" Target="https://coletivomotiro.org/" TargetMode="External"/><Relationship Id="rId2629" Type="http://schemas.openxmlformats.org/officeDocument/2006/relationships/hyperlink" Target="https://drive.google.com/open?id=1FwvgF7P32yV6DYpN_Vea4VIQ9xVs5Wib" TargetMode="External"/><Relationship Id="rId77" Type="http://schemas.openxmlformats.org/officeDocument/2006/relationships/hyperlink" Target="https://drive.google.com/open?id=1CqRNOcVeGvhvzUXxosRd8b_9eI9rI4Cr" TargetMode="External"/><Relationship Id="rId503" Type="http://schemas.openxmlformats.org/officeDocument/2006/relationships/hyperlink" Target="http://www.ongpases.com.br/" TargetMode="External"/><Relationship Id="rId710" Type="http://schemas.openxmlformats.org/officeDocument/2006/relationships/hyperlink" Target="https://instagram.com/projetogemgeracaoeleita?igshid=YmMyMTA2M2Y=" TargetMode="External"/><Relationship Id="rId808" Type="http://schemas.openxmlformats.org/officeDocument/2006/relationships/hyperlink" Target="https://drive.google.com/open?id=1CY5j6Rzj8KNYZXaQb-NQFegjvuZsfgWc" TargetMode="External"/><Relationship Id="rId1340" Type="http://schemas.openxmlformats.org/officeDocument/2006/relationships/hyperlink" Target="http://www.capoeirasolnascente.org.br/" TargetMode="External"/><Relationship Id="rId1438" Type="http://schemas.openxmlformats.org/officeDocument/2006/relationships/hyperlink" Target="https://instagram.com/centrocomunitariomario?utm_medium=copy_link" TargetMode="External"/><Relationship Id="rId1645" Type="http://schemas.openxmlformats.org/officeDocument/2006/relationships/hyperlink" Target="https://drive.google.com/open?id=1Mwy-Rf99pA_NflbeaKhalUPjN79Nu9j5" TargetMode="External"/><Relationship Id="rId1200" Type="http://schemas.openxmlformats.org/officeDocument/2006/relationships/hyperlink" Target="https://www.facebook.com/transmutargeracao" TargetMode="External"/><Relationship Id="rId1852" Type="http://schemas.openxmlformats.org/officeDocument/2006/relationships/hyperlink" Target="https://drive.google.com/open?id=1mlZ7Z811RMm6UbDZQx_dp-1rSndK-rVq" TargetMode="External"/><Relationship Id="rId1505" Type="http://schemas.openxmlformats.org/officeDocument/2006/relationships/hyperlink" Target="https://drive.google.com/open?id=1H42Nq_vltTuD6nGF5kkeXkcLKUfIMQqN" TargetMode="External"/><Relationship Id="rId1712" Type="http://schemas.openxmlformats.org/officeDocument/2006/relationships/hyperlink" Target="https://drive.google.com/open?id=1Cs0zhrZHD87tEnrnpUD6f30SU_o5pYaT" TargetMode="External"/><Relationship Id="rId293" Type="http://schemas.openxmlformats.org/officeDocument/2006/relationships/hyperlink" Target="https://drive.google.com/open?id=11UHQKK9t85MBfIgLQuxwDpQnLTlNf8Et" TargetMode="External"/><Relationship Id="rId2181" Type="http://schemas.openxmlformats.org/officeDocument/2006/relationships/hyperlink" Target="https://instagram.com/entreoceueafavela?utm_medium=copy_link" TargetMode="External"/><Relationship Id="rId153" Type="http://schemas.openxmlformats.org/officeDocument/2006/relationships/hyperlink" Target="https://drive.google.com/open?id=1nfcaqsOiargETAz4G9T17Ba3tvqEw5zm" TargetMode="External"/><Relationship Id="rId360" Type="http://schemas.openxmlformats.org/officeDocument/2006/relationships/hyperlink" Target="https://drive.google.com/open?id=181naoJ73QJr2_cNYIB8NsxYJlf9LHKlA" TargetMode="External"/><Relationship Id="rId598" Type="http://schemas.openxmlformats.org/officeDocument/2006/relationships/hyperlink" Target="https://www.youtube.com/c/AuroraBasketballRecife" TargetMode="External"/><Relationship Id="rId2041" Type="http://schemas.openxmlformats.org/officeDocument/2006/relationships/hyperlink" Target="https://gerandofalcoes.com/" TargetMode="External"/><Relationship Id="rId2279" Type="http://schemas.openxmlformats.org/officeDocument/2006/relationships/hyperlink" Target="https://www.instagram.com/circuitoinclusao/" TargetMode="External"/><Relationship Id="rId2486" Type="http://schemas.openxmlformats.org/officeDocument/2006/relationships/hyperlink" Target="https://drive.google.com/open?id=1Cfmyr3_b3jfRpqOeY_LN37WiJX1clHwz" TargetMode="External"/><Relationship Id="rId2693" Type="http://schemas.openxmlformats.org/officeDocument/2006/relationships/hyperlink" Target="https://drive.google.com/open?id=1Derofvu1h-RhmYuUeBMsPPFvWaJAM2-V" TargetMode="External"/><Relationship Id="rId220" Type="http://schemas.openxmlformats.org/officeDocument/2006/relationships/hyperlink" Target="https://www.facebook.com/aruruberlandia" TargetMode="External"/><Relationship Id="rId458" Type="http://schemas.openxmlformats.org/officeDocument/2006/relationships/hyperlink" Target="https://www.instagram.com/butijatennis/" TargetMode="External"/><Relationship Id="rId665" Type="http://schemas.openxmlformats.org/officeDocument/2006/relationships/hyperlink" Target="https://www.redepostinho.org.br/quemsomos" TargetMode="External"/><Relationship Id="rId872" Type="http://schemas.openxmlformats.org/officeDocument/2006/relationships/hyperlink" Target="https://instagram.com/evoluirbr/" TargetMode="External"/><Relationship Id="rId1088" Type="http://schemas.openxmlformats.org/officeDocument/2006/relationships/hyperlink" Target="https://m.facebook.com/projetoentrandonalinha/" TargetMode="External"/><Relationship Id="rId1295" Type="http://schemas.openxmlformats.org/officeDocument/2006/relationships/hyperlink" Target="https://instagram.com/acpsvb?utm_medium=copy_link" TargetMode="External"/><Relationship Id="rId2139" Type="http://schemas.openxmlformats.org/officeDocument/2006/relationships/hyperlink" Target="https://drive.google.com/open?id=1JCWXuhEvz2ygO7X_n4jCAwBVopmlpUwh" TargetMode="External"/><Relationship Id="rId2346" Type="http://schemas.openxmlformats.org/officeDocument/2006/relationships/hyperlink" Target="https://drive.google.com/open?id=1F97V0cra6Nbj0bxiKhebULXhEdh0asUy" TargetMode="External"/><Relationship Id="rId2553" Type="http://schemas.openxmlformats.org/officeDocument/2006/relationships/hyperlink" Target="https://www.instagram.com/esperancaedestino/" TargetMode="External"/><Relationship Id="rId318" Type="http://schemas.openxmlformats.org/officeDocument/2006/relationships/hyperlink" Target="https://m.facebook.com/batucandoaesperanca/" TargetMode="External"/><Relationship Id="rId525" Type="http://schemas.openxmlformats.org/officeDocument/2006/relationships/hyperlink" Target="https://drive.google.com/open?id=1zinLcZ5cs3ufU8JD72BEns3NMzRti2hw" TargetMode="External"/><Relationship Id="rId732" Type="http://schemas.openxmlformats.org/officeDocument/2006/relationships/hyperlink" Target="http://institutomutamb.site.com.br/o-instituto-mutamb/" TargetMode="External"/><Relationship Id="rId1155" Type="http://schemas.openxmlformats.org/officeDocument/2006/relationships/hyperlink" Target="https://www.instagram.com/institutoreggarte/" TargetMode="External"/><Relationship Id="rId1362" Type="http://schemas.openxmlformats.org/officeDocument/2006/relationships/hyperlink" Target="https://drive.google.com/open?id=1YwEp7fP9Bo41oom19rGH6xt9X4YpFyXP" TargetMode="External"/><Relationship Id="rId2206" Type="http://schemas.openxmlformats.org/officeDocument/2006/relationships/hyperlink" Target="https://www.facebook.com/capelinhadasantacruz" TargetMode="External"/><Relationship Id="rId2413" Type="http://schemas.openxmlformats.org/officeDocument/2006/relationships/hyperlink" Target="https://www.facebook.com/institutomeduca" TargetMode="External"/><Relationship Id="rId2620" Type="http://schemas.openxmlformats.org/officeDocument/2006/relationships/hyperlink" Target="https://drive.google.com/open?id=1mBnSieXTsfVM4rS3RkaRnY_QKb8Qvg1O" TargetMode="External"/><Relationship Id="rId99" Type="http://schemas.openxmlformats.org/officeDocument/2006/relationships/hyperlink" Target="https://instagram.com/amoraoproximo.proj?utm_medium=copy_link" TargetMode="External"/><Relationship Id="rId1015" Type="http://schemas.openxmlformats.org/officeDocument/2006/relationships/hyperlink" Target="https://drive.google.com/open?id=1MHjzyhM9yc_At_Anmbooab3U9ng3RQuJ" TargetMode="External"/><Relationship Id="rId1222" Type="http://schemas.openxmlformats.org/officeDocument/2006/relationships/hyperlink" Target="https://drive.google.com/open?id=1tlr3prWvSjRrOw0i9V5i6NzaH4rnJaVa" TargetMode="External"/><Relationship Id="rId1667" Type="http://schemas.openxmlformats.org/officeDocument/2006/relationships/hyperlink" Target="https://sociedadedosypesdo.wixsite.com/websiteongabc" TargetMode="External"/><Relationship Id="rId1874" Type="http://schemas.openxmlformats.org/officeDocument/2006/relationships/hyperlink" Target="http://www.institutodaharaujo.com.br/" TargetMode="External"/><Relationship Id="rId2718" Type="http://schemas.openxmlformats.org/officeDocument/2006/relationships/hyperlink" Target="https://drive.google.com/open?id=1PWo5w8sF6hoLypPFA7YvU1yL9RpQwNOz" TargetMode="External"/><Relationship Id="rId1527" Type="http://schemas.openxmlformats.org/officeDocument/2006/relationships/hyperlink" Target="http://www.facebook.com/favelaemdesenvolvimento" TargetMode="External"/><Relationship Id="rId1734" Type="http://schemas.openxmlformats.org/officeDocument/2006/relationships/hyperlink" Target="https://drive.google.com/open?id=1K0-Kg896-obXLYumr_HtKzYNlu82gn9L" TargetMode="External"/><Relationship Id="rId1941" Type="http://schemas.openxmlformats.org/officeDocument/2006/relationships/hyperlink" Target="https://youtube.com/c/ArautosdaPoesia" TargetMode="External"/><Relationship Id="rId26" Type="http://schemas.openxmlformats.org/officeDocument/2006/relationships/hyperlink" Target="https://drive.google.com/open?id=1VVG2_90Rg6C4eURsYvbp-ihs1G1z-aoe" TargetMode="External"/><Relationship Id="rId175" Type="http://schemas.openxmlformats.org/officeDocument/2006/relationships/hyperlink" Target="http://www.borrachalioteca.com.br/" TargetMode="External"/><Relationship Id="rId1801" Type="http://schemas.openxmlformats.org/officeDocument/2006/relationships/hyperlink" Target="https://www.instagram.com/doa_cg/" TargetMode="External"/><Relationship Id="rId382" Type="http://schemas.openxmlformats.org/officeDocument/2006/relationships/hyperlink" Target="https://drive.google.com/open?id=1nXUenk05BgC0CYu1_iLxE-JVmtvX1lHk" TargetMode="External"/><Relationship Id="rId687" Type="http://schemas.openxmlformats.org/officeDocument/2006/relationships/hyperlink" Target="https://drive.google.com/open?id=115ePNuE3E5_BnR3dBclwFLW3P2Xn2nNW" TargetMode="External"/><Relationship Id="rId2063" Type="http://schemas.openxmlformats.org/officeDocument/2006/relationships/hyperlink" Target="https://mirantecultural.com.br/" TargetMode="External"/><Relationship Id="rId2270" Type="http://schemas.openxmlformats.org/officeDocument/2006/relationships/hyperlink" Target="https://vilaemprogresso.com.br/" TargetMode="External"/><Relationship Id="rId2368" Type="http://schemas.openxmlformats.org/officeDocument/2006/relationships/hyperlink" Target="https://drive.google.com/open?id=1qaUFeHSukbnlYo2NvfrH4io5oKd1KE2T" TargetMode="External"/><Relationship Id="rId242" Type="http://schemas.openxmlformats.org/officeDocument/2006/relationships/hyperlink" Target="https://www.instagram.com/projetosocialefraim/" TargetMode="External"/><Relationship Id="rId894" Type="http://schemas.openxmlformats.org/officeDocument/2006/relationships/hyperlink" Target="https://drive.google.com/open?id=19-Xem_yTx2jQE1SGcShcHUyCnUd-B9wN" TargetMode="External"/><Relationship Id="rId1177" Type="http://schemas.openxmlformats.org/officeDocument/2006/relationships/hyperlink" Target="https://web.facebook.com/socialnovoolhar" TargetMode="External"/><Relationship Id="rId2130" Type="http://schemas.openxmlformats.org/officeDocument/2006/relationships/hyperlink" Target="http://www.instagram.com/projeto.brejal/" TargetMode="External"/><Relationship Id="rId2575" Type="http://schemas.openxmlformats.org/officeDocument/2006/relationships/hyperlink" Target="https://drive.google.com/open?id=1BCO7vtsbdq51wQwv1D3vYZ-Y3tWeUAd1" TargetMode="External"/><Relationship Id="rId102" Type="http://schemas.openxmlformats.org/officeDocument/2006/relationships/hyperlink" Target="https://instagram.com/conjer_altojerusalem?igshid=bmotrtxoij8p" TargetMode="External"/><Relationship Id="rId547" Type="http://schemas.openxmlformats.org/officeDocument/2006/relationships/hyperlink" Target="https://www.instagram.com/p/CcmgFfjuOds/?igshid=YmMyMTA2M2Y=" TargetMode="External"/><Relationship Id="rId754" Type="http://schemas.openxmlformats.org/officeDocument/2006/relationships/hyperlink" Target="https://drive.google.com/open?id=1jjNCngbmVc4kiQ3SzpioRwI0nphesmfw" TargetMode="External"/><Relationship Id="rId961" Type="http://schemas.openxmlformats.org/officeDocument/2006/relationships/hyperlink" Target="https://drive.google.com/open?id=1r6QVJp23LhT_hIJthNMWFrJ7bzLQtV7F" TargetMode="External"/><Relationship Id="rId1384" Type="http://schemas.openxmlformats.org/officeDocument/2006/relationships/hyperlink" Target="https://drive.google.com/open?id=1bDE9MEe1MNT0es98Cdvo0HpkAiIhP5mO" TargetMode="External"/><Relationship Id="rId1591" Type="http://schemas.openxmlformats.org/officeDocument/2006/relationships/hyperlink" Target="https://instagram.com/odph?utm_medium=copy_link" TargetMode="External"/><Relationship Id="rId1689" Type="http://schemas.openxmlformats.org/officeDocument/2006/relationships/hyperlink" Target="https://drive.google.com/open?id=1nyAnk1qJwc5ULt1P4RW0gnkku-V12UJz" TargetMode="External"/><Relationship Id="rId2228" Type="http://schemas.openxmlformats.org/officeDocument/2006/relationships/hyperlink" Target="https://instagram.com/blacks.urbano?utm_medium=copy_link" TargetMode="External"/><Relationship Id="rId2435" Type="http://schemas.openxmlformats.org/officeDocument/2006/relationships/hyperlink" Target="https://drive.google.com/open?id=1Y6Zu9jX1dkzJEEq1D_3ZYLntXDJYLan-" TargetMode="External"/><Relationship Id="rId2642" Type="http://schemas.openxmlformats.org/officeDocument/2006/relationships/hyperlink" Target="https://www.facebook.com/amigospelacaridade" TargetMode="External"/><Relationship Id="rId90" Type="http://schemas.openxmlformats.org/officeDocument/2006/relationships/hyperlink" Target="https://drive.google.com/open?id=1HhlWrLBDoWV7F6IvAUwqSmWhXhvpFjGh" TargetMode="External"/><Relationship Id="rId407" Type="http://schemas.openxmlformats.org/officeDocument/2006/relationships/hyperlink" Target="https://drive.google.com/open?id=1ZvophaoftOHhQqukTOeONIYhGNiN1liE" TargetMode="External"/><Relationship Id="rId614" Type="http://schemas.openxmlformats.org/officeDocument/2006/relationships/hyperlink" Target="https://youtu.be/lx2rMzgyED4" TargetMode="External"/><Relationship Id="rId821" Type="http://schemas.openxmlformats.org/officeDocument/2006/relationships/hyperlink" Target="https://www.facebook.com/institutoimpactandogeracoes/" TargetMode="External"/><Relationship Id="rId1037" Type="http://schemas.openxmlformats.org/officeDocument/2006/relationships/hyperlink" Target="https://drive.google.com/open?id=1l45LpE0boZOOnpweRpAyUb98-jt9hWXm" TargetMode="External"/><Relationship Id="rId1244" Type="http://schemas.openxmlformats.org/officeDocument/2006/relationships/hyperlink" Target="https://drive.google.com/open?id=1ikEHO0_boMz_c4hH_OXgHmDxuvDmCMID" TargetMode="External"/><Relationship Id="rId1451" Type="http://schemas.openxmlformats.org/officeDocument/2006/relationships/hyperlink" Target="https://instagram.com/acasadebambas" TargetMode="External"/><Relationship Id="rId1896" Type="http://schemas.openxmlformats.org/officeDocument/2006/relationships/hyperlink" Target="https://drive.google.com/open?id=1euyW4Q-jreOUhl7EanZcwfMa9_xoz-8u" TargetMode="External"/><Relationship Id="rId2502" Type="http://schemas.openxmlformats.org/officeDocument/2006/relationships/hyperlink" Target="https://www.facebook.com/oscinarv/" TargetMode="External"/><Relationship Id="rId919" Type="http://schemas.openxmlformats.org/officeDocument/2006/relationships/hyperlink" Target="https://drive.google.com/open?id=1AFCaGE1MSZimxyu8-BxwuwrJkr0TyMPr" TargetMode="External"/><Relationship Id="rId1104" Type="http://schemas.openxmlformats.org/officeDocument/2006/relationships/hyperlink" Target="https://www.youtube.com/channel/UCOhRC_K_4eDVZClb2blZS2g" TargetMode="External"/><Relationship Id="rId1311" Type="http://schemas.openxmlformats.org/officeDocument/2006/relationships/hyperlink" Target="https://www.instagram.com/institutosonhadores/" TargetMode="External"/><Relationship Id="rId1549" Type="http://schemas.openxmlformats.org/officeDocument/2006/relationships/hyperlink" Target="http://www.instagram.com/institutocandaces" TargetMode="External"/><Relationship Id="rId1756" Type="http://schemas.openxmlformats.org/officeDocument/2006/relationships/hyperlink" Target="https://drive.google.com/open?id=1t5wgXMtzRYAM8bWY4NhHp0Ba6NuOF0EC" TargetMode="External"/><Relationship Id="rId1963" Type="http://schemas.openxmlformats.org/officeDocument/2006/relationships/hyperlink" Target="https://youtu.be/89tEiNy9Uls" TargetMode="External"/><Relationship Id="rId48" Type="http://schemas.openxmlformats.org/officeDocument/2006/relationships/hyperlink" Target="https://drive.google.com/open?id=13nbDTA2q6IRwj5_NhJHGU5fhZzxuwv9Z" TargetMode="External"/><Relationship Id="rId1409" Type="http://schemas.openxmlformats.org/officeDocument/2006/relationships/hyperlink" Target="https://drive.google.com/open?id=140HYkpzJL_Lmy3X7-KSECETMxfqBk7ei" TargetMode="External"/><Relationship Id="rId1616" Type="http://schemas.openxmlformats.org/officeDocument/2006/relationships/hyperlink" Target="https://instagram.com/entreguesorrisos?igshid=NjY2NjE5MzQ=" TargetMode="External"/><Relationship Id="rId1823" Type="http://schemas.openxmlformats.org/officeDocument/2006/relationships/hyperlink" Target="http://www.associacaoprojetoesperanca.com.br/" TargetMode="External"/><Relationship Id="rId197" Type="http://schemas.openxmlformats.org/officeDocument/2006/relationships/hyperlink" Target="https://instagram.com/audec_oficial?igshid=YmMyMTA2M2Y=" TargetMode="External"/><Relationship Id="rId2085" Type="http://schemas.openxmlformats.org/officeDocument/2006/relationships/hyperlink" Target="https://instagram.com/institutodasaguias?utm_medium=copy_link" TargetMode="External"/><Relationship Id="rId2292" Type="http://schemas.openxmlformats.org/officeDocument/2006/relationships/hyperlink" Target="https://drive.google.com/open?id=1XeuQrskmXuZX59LBUf69pOgzW18gi-uz" TargetMode="External"/><Relationship Id="rId264" Type="http://schemas.openxmlformats.org/officeDocument/2006/relationships/hyperlink" Target="https://drive.google.com/open?id=1VAA1tYSl_IulCwi8um1Uw_2fo2arDdkM" TargetMode="External"/><Relationship Id="rId471" Type="http://schemas.openxmlformats.org/officeDocument/2006/relationships/hyperlink" Target="https://drive.google.com/open?id=1Lt_hrPoKNRjBc3iFerjfvyvMz6laVNuJ" TargetMode="External"/><Relationship Id="rId2152" Type="http://schemas.openxmlformats.org/officeDocument/2006/relationships/hyperlink" Target="https://www.youtube.com/c/VozesdasPeriferias" TargetMode="External"/><Relationship Id="rId2597" Type="http://schemas.openxmlformats.org/officeDocument/2006/relationships/hyperlink" Target="https://drive.google.com/open?id=17BOmYclpI93oeFsegncBFYBYUybNF3JB" TargetMode="External"/><Relationship Id="rId124" Type="http://schemas.openxmlformats.org/officeDocument/2006/relationships/hyperlink" Target="https://drive.google.com/open?id=1ISl3t0B2-odjCpr0oDWxmib3kJjnMCRK" TargetMode="External"/><Relationship Id="rId569" Type="http://schemas.openxmlformats.org/officeDocument/2006/relationships/hyperlink" Target="https://drive.google.com/open?id=1LrprFo_yxeVNbmz9IWa1mdPfWCcrhD80" TargetMode="External"/><Relationship Id="rId776" Type="http://schemas.openxmlformats.org/officeDocument/2006/relationships/hyperlink" Target="https://drive.google.com/open?id=1svRw9odvH8ipCXBEy1G7-GWEZaNoi27c" TargetMode="External"/><Relationship Id="rId983" Type="http://schemas.openxmlformats.org/officeDocument/2006/relationships/hyperlink" Target="https://drive.google.com/open?id=1d-tK-pwSv8jp71qK88ZlqeeXdf5fBQ8l" TargetMode="External"/><Relationship Id="rId1199" Type="http://schemas.openxmlformats.org/officeDocument/2006/relationships/hyperlink" Target="https://www.instagram.com/transmutar_geracao/" TargetMode="External"/><Relationship Id="rId2457" Type="http://schemas.openxmlformats.org/officeDocument/2006/relationships/hyperlink" Target="https://www.instagram.com/associacaobeneficenteamigas/" TargetMode="External"/><Relationship Id="rId2664" Type="http://schemas.openxmlformats.org/officeDocument/2006/relationships/hyperlink" Target="http://instagram.com/projetodinamus" TargetMode="External"/><Relationship Id="rId331" Type="http://schemas.openxmlformats.org/officeDocument/2006/relationships/hyperlink" Target="https://www.facebook.com/circodetodomundo" TargetMode="External"/><Relationship Id="rId429" Type="http://schemas.openxmlformats.org/officeDocument/2006/relationships/hyperlink" Target="https://instagram.com/crieatividadegestaoesportiva?igshid=YmMyMTA2M2Y=" TargetMode="External"/><Relationship Id="rId636" Type="http://schemas.openxmlformats.org/officeDocument/2006/relationships/hyperlink" Target="https://drive.google.com/open?id=1tdrmsPs8_dcpy3AYGTHmHyaEuoN8nWvG" TargetMode="External"/><Relationship Id="rId1059" Type="http://schemas.openxmlformats.org/officeDocument/2006/relationships/hyperlink" Target="https://linktr.ee/ongdoriso" TargetMode="External"/><Relationship Id="rId1266" Type="http://schemas.openxmlformats.org/officeDocument/2006/relationships/hyperlink" Target="https://www.facebook.com/gpzumbi.palmares" TargetMode="External"/><Relationship Id="rId1473" Type="http://schemas.openxmlformats.org/officeDocument/2006/relationships/hyperlink" Target="https://drive.google.com/open?id=1yuK6X-wlG7cLRZpP78R9SDRMKrWOgFuy" TargetMode="External"/><Relationship Id="rId2012" Type="http://schemas.openxmlformats.org/officeDocument/2006/relationships/hyperlink" Target="https://youtube.com/channel/UCm2mILncAhgUeTg_fZSgzzA" TargetMode="External"/><Relationship Id="rId2317" Type="http://schemas.openxmlformats.org/officeDocument/2006/relationships/hyperlink" Target="https://drive.google.com/open?id=1V5wIvWgKbTfICILcMJG35CyLA6DEPaRe" TargetMode="External"/><Relationship Id="rId843" Type="http://schemas.openxmlformats.org/officeDocument/2006/relationships/hyperlink" Target="http://youtube.com/brigadasolidariaoficial" TargetMode="External"/><Relationship Id="rId1126" Type="http://schemas.openxmlformats.org/officeDocument/2006/relationships/hyperlink" Target="https://drive.google.com/open?id=1fXm3YOZJMOcMvg-qkMPzYB1kU3Z-NUQ0" TargetMode="External"/><Relationship Id="rId1680" Type="http://schemas.openxmlformats.org/officeDocument/2006/relationships/hyperlink" Target="https://youtube.com/channel/UCfNlFdQ6AH6YOFlj73uQltQ" TargetMode="External"/><Relationship Id="rId1778" Type="http://schemas.openxmlformats.org/officeDocument/2006/relationships/hyperlink" Target="http://www.projetoica.org.br/" TargetMode="External"/><Relationship Id="rId1985" Type="http://schemas.openxmlformats.org/officeDocument/2006/relationships/hyperlink" Target="https://m.facebook.com/mandaverorg/?locale2=pt_BR" TargetMode="External"/><Relationship Id="rId2524" Type="http://schemas.openxmlformats.org/officeDocument/2006/relationships/hyperlink" Target="https://www.facebook.com/acssus.acssus" TargetMode="External"/><Relationship Id="rId2731" Type="http://schemas.openxmlformats.org/officeDocument/2006/relationships/hyperlink" Target="https://drive.google.com/open?id=1Sn89jStiovwR4BZN_8AU1D7XoR9XYepp" TargetMode="External"/><Relationship Id="rId703" Type="http://schemas.openxmlformats.org/officeDocument/2006/relationships/hyperlink" Target="https://m.youtube.com/channel/UC7RAU90DSq7xbw-4yZJc0Uw" TargetMode="External"/><Relationship Id="rId910" Type="http://schemas.openxmlformats.org/officeDocument/2006/relationships/hyperlink" Target="https://drive.google.com/open?id=1UJQmqrQs5kfGDw0GE9R0N0f-CP3fgVfJ" TargetMode="External"/><Relationship Id="rId1333" Type="http://schemas.openxmlformats.org/officeDocument/2006/relationships/hyperlink" Target="http://www.emcenarecife.org/" TargetMode="External"/><Relationship Id="rId1540" Type="http://schemas.openxmlformats.org/officeDocument/2006/relationships/hyperlink" Target="https://www.youtube.com/channel/UCvbDQ-d_YR5a__udpzC5xxw" TargetMode="External"/><Relationship Id="rId1638" Type="http://schemas.openxmlformats.org/officeDocument/2006/relationships/hyperlink" Target="http://www.ppep.com.br/" TargetMode="External"/><Relationship Id="rId1400" Type="http://schemas.openxmlformats.org/officeDocument/2006/relationships/hyperlink" Target="https://drive.google.com/open?id=1nY21mB9o_c_5b50DHe5ijChRmSLikCZh" TargetMode="External"/><Relationship Id="rId1845" Type="http://schemas.openxmlformats.org/officeDocument/2006/relationships/hyperlink" Target="https://www.youtube.com/channel/UC5PWpS6t_YIgBkFPxEct1NQ" TargetMode="External"/><Relationship Id="rId1705" Type="http://schemas.openxmlformats.org/officeDocument/2006/relationships/hyperlink" Target="https://instagram.com/associacaoservos?utm_medium=copy_link" TargetMode="External"/><Relationship Id="rId1912" Type="http://schemas.openxmlformats.org/officeDocument/2006/relationships/hyperlink" Target="https://instagram.com/obomsamaritano_contagem?utm_medium=copy_link" TargetMode="External"/><Relationship Id="rId286" Type="http://schemas.openxmlformats.org/officeDocument/2006/relationships/hyperlink" Target="https://www.youtube.com/channel/UCrGLoNQo68QwAnMzHxSkD4Q" TargetMode="External"/><Relationship Id="rId493" Type="http://schemas.openxmlformats.org/officeDocument/2006/relationships/hyperlink" Target="https://drive.google.com/open?id=17QiqQdi7950nWh-qVrFMtTU8Ltsx9k_o" TargetMode="External"/><Relationship Id="rId2174" Type="http://schemas.openxmlformats.org/officeDocument/2006/relationships/hyperlink" Target="https://pensandobem.org/" TargetMode="External"/><Relationship Id="rId2381" Type="http://schemas.openxmlformats.org/officeDocument/2006/relationships/hyperlink" Target="https://drive.google.com/open?id=1_b_348934nntrg_toWHWdOaro3DfmSxR" TargetMode="External"/><Relationship Id="rId146" Type="http://schemas.openxmlformats.org/officeDocument/2006/relationships/hyperlink" Target="http://www.naotemos.com/" TargetMode="External"/><Relationship Id="rId353" Type="http://schemas.openxmlformats.org/officeDocument/2006/relationships/hyperlink" Target="https://instagram.com/instituto_yaa?igshid=YmMyMTA2M2Y=" TargetMode="External"/><Relationship Id="rId560" Type="http://schemas.openxmlformats.org/officeDocument/2006/relationships/hyperlink" Target="https://drive.google.com/open?id=1ktVsP6Tutuc8hJ-Er6bLttflHUdA7czd" TargetMode="External"/><Relationship Id="rId798" Type="http://schemas.openxmlformats.org/officeDocument/2006/relationships/hyperlink" Target="https://www.instagram.com/acup.rn/" TargetMode="External"/><Relationship Id="rId1190" Type="http://schemas.openxmlformats.org/officeDocument/2006/relationships/hyperlink" Target="https://instagram.com/novoamanhecer82?igshid=YmMyMTA2M2Y=" TargetMode="External"/><Relationship Id="rId2034" Type="http://schemas.openxmlformats.org/officeDocument/2006/relationships/hyperlink" Target="https://drive.google.com/open?id=1mFLyOrvV-g3lVhsagk8_3RrA3ENhLs-A" TargetMode="External"/><Relationship Id="rId2241" Type="http://schemas.openxmlformats.org/officeDocument/2006/relationships/hyperlink" Target="https://linktr.ee/AmacAtitudes" TargetMode="External"/><Relationship Id="rId2479" Type="http://schemas.openxmlformats.org/officeDocument/2006/relationships/hyperlink" Target="https://instagram.com/celeirodebambas?igshid=YmMyMTA2M2Y=" TargetMode="External"/><Relationship Id="rId2686" Type="http://schemas.openxmlformats.org/officeDocument/2006/relationships/hyperlink" Target="https://www.instagram.com/immetamorfose/" TargetMode="External"/><Relationship Id="rId213" Type="http://schemas.openxmlformats.org/officeDocument/2006/relationships/hyperlink" Target="https://instagram.com/projeto_geracao_gk?utm_medium=copy_link" TargetMode="External"/><Relationship Id="rId420" Type="http://schemas.openxmlformats.org/officeDocument/2006/relationships/hyperlink" Target="https://drive.google.com/open?id=1mwuKfDzWHEGivaaOtqgCamV4K7w6xh-x" TargetMode="External"/><Relationship Id="rId658" Type="http://schemas.openxmlformats.org/officeDocument/2006/relationships/hyperlink" Target="https://www.coletivopretasruas.com.br/" TargetMode="External"/><Relationship Id="rId865" Type="http://schemas.openxmlformats.org/officeDocument/2006/relationships/hyperlink" Target="https://drive.google.com/open?id=1FXC-2zryfkgUJNNFU6Pv6tyoTtbK7PFi" TargetMode="External"/><Relationship Id="rId1050" Type="http://schemas.openxmlformats.org/officeDocument/2006/relationships/hyperlink" Target="https://instagram.com/aecsaprender" TargetMode="External"/><Relationship Id="rId1288" Type="http://schemas.openxmlformats.org/officeDocument/2006/relationships/hyperlink" Target="https://drive.google.com/open?id=1saAuR6K-SDbR2Rfds3bntEtm6nPGYjoR" TargetMode="External"/><Relationship Id="rId1495" Type="http://schemas.openxmlformats.org/officeDocument/2006/relationships/hyperlink" Target="https://drive.google.com/open?id=1aAePV8H0yLhUenR9GC23v6kgaP8Lj_Wr" TargetMode="External"/><Relationship Id="rId2101" Type="http://schemas.openxmlformats.org/officeDocument/2006/relationships/hyperlink" Target="https://www.youtube.com/channel/UCarvzQSzaDtFIjqg5nW6MFA" TargetMode="External"/><Relationship Id="rId2339" Type="http://schemas.openxmlformats.org/officeDocument/2006/relationships/hyperlink" Target="https://www.linkedin.com/company/instituto-herdar/" TargetMode="External"/><Relationship Id="rId2546" Type="http://schemas.openxmlformats.org/officeDocument/2006/relationships/hyperlink" Target="https://www.instagram.com/accounts/login/?next=/criamar/" TargetMode="External"/><Relationship Id="rId518" Type="http://schemas.openxmlformats.org/officeDocument/2006/relationships/hyperlink" Target="https://instagram.com/gas.favelasrecife?igshid=YmMyMTA2M2Y=" TargetMode="External"/><Relationship Id="rId725" Type="http://schemas.openxmlformats.org/officeDocument/2006/relationships/hyperlink" Target="http://ciacaisca.blogspot.com/" TargetMode="External"/><Relationship Id="rId932" Type="http://schemas.openxmlformats.org/officeDocument/2006/relationships/hyperlink" Target="https://www.instagram.com/cineclubetianilda/" TargetMode="External"/><Relationship Id="rId1148" Type="http://schemas.openxmlformats.org/officeDocument/2006/relationships/hyperlink" Target="https://drive.google.com/open?id=1fHBObX2uAuZ4cbqOQZZO5SiUaHo1WOBZ" TargetMode="External"/><Relationship Id="rId1355" Type="http://schemas.openxmlformats.org/officeDocument/2006/relationships/hyperlink" Target="https://www.youtube.com/channel/UCMo1GxXszva8T7EsomYuuyQ" TargetMode="External"/><Relationship Id="rId1562" Type="http://schemas.openxmlformats.org/officeDocument/2006/relationships/hyperlink" Target="https://drive.google.com/open?id=1q_y2BHtk3iuZYtm9q2k_rXmOii1_HV08" TargetMode="External"/><Relationship Id="rId2406" Type="http://schemas.openxmlformats.org/officeDocument/2006/relationships/hyperlink" Target="https://drive.google.com/open?id=1L9OKDCWgwmdTu7de6_RSPAvdSb3JE2zR" TargetMode="External"/><Relationship Id="rId2613" Type="http://schemas.openxmlformats.org/officeDocument/2006/relationships/hyperlink" Target="https://youtube.com/channel/UCkxZYOkyETIxcWzgBw3Flaw" TargetMode="External"/><Relationship Id="rId1008" Type="http://schemas.openxmlformats.org/officeDocument/2006/relationships/hyperlink" Target="https://drive.google.com/open?id=1-ODfhaIiqNbS9PIymcVpicvDj4-qR-eg" TargetMode="External"/><Relationship Id="rId1215" Type="http://schemas.openxmlformats.org/officeDocument/2006/relationships/hyperlink" Target="https://drive.google.com/open?id=16Aw-zOmLXb4FqlHz2OmJVketbhKUTubb" TargetMode="External"/><Relationship Id="rId1422" Type="http://schemas.openxmlformats.org/officeDocument/2006/relationships/hyperlink" Target="http://aeva.com.br/" TargetMode="External"/><Relationship Id="rId1867" Type="http://schemas.openxmlformats.org/officeDocument/2006/relationships/hyperlink" Target="https://drive.google.com/open?id=1qI1LYc-o9i_otyiMsfMUWUXDshCREhTH" TargetMode="External"/><Relationship Id="rId61" Type="http://schemas.openxmlformats.org/officeDocument/2006/relationships/hyperlink" Target="https://www.instagram.com/invites/contact/?i=1uj7dy15i83wo&amp;utm_content=f1vm1q" TargetMode="External"/><Relationship Id="rId1727" Type="http://schemas.openxmlformats.org/officeDocument/2006/relationships/hyperlink" Target="https://www.youtube.com/channel/UCatlgF1BzMK6RSnB1Jab-xg" TargetMode="External"/><Relationship Id="rId1934" Type="http://schemas.openxmlformats.org/officeDocument/2006/relationships/hyperlink" Target="https://drive.google.com/open?id=1QOn0K2hmLZFchjWzoP7uu99lENuyQ1Qy" TargetMode="External"/><Relationship Id="rId19" Type="http://schemas.openxmlformats.org/officeDocument/2006/relationships/hyperlink" Target="https://drive.google.com/open?id=1_xd6-JCDg7LT3DExSuhJ_ll3yNy3f4H8" TargetMode="External"/><Relationship Id="rId2196" Type="http://schemas.openxmlformats.org/officeDocument/2006/relationships/hyperlink" Target="http://www.instagram.com/recomecar360" TargetMode="External"/><Relationship Id="rId168" Type="http://schemas.openxmlformats.org/officeDocument/2006/relationships/hyperlink" Target="https://drive.google.com/open?id=1yVY6kToCmkTEq4K26byRdWazXoRt2gzB" TargetMode="External"/><Relationship Id="rId375" Type="http://schemas.openxmlformats.org/officeDocument/2006/relationships/hyperlink" Target="https://drive.google.com/open?id=1Z3XYi8KiYOeSJlaouf5pMQr3_gLOm-Yy" TargetMode="External"/><Relationship Id="rId582" Type="http://schemas.openxmlformats.org/officeDocument/2006/relationships/hyperlink" Target="https://drive.google.com/open?id=1HzwPQTPq_sbbwisDNtXL4CT2DDX8W9og" TargetMode="External"/><Relationship Id="rId2056" Type="http://schemas.openxmlformats.org/officeDocument/2006/relationships/hyperlink" Target="https://www.instagram.com/geracao4/?hl=pt-br" TargetMode="External"/><Relationship Id="rId2263" Type="http://schemas.openxmlformats.org/officeDocument/2006/relationships/hyperlink" Target="https://drive.google.com/open?id=1YdcrIOeQfDc_I2ipnSgPsXqT1uYDZuXL" TargetMode="External"/><Relationship Id="rId2470" Type="http://schemas.openxmlformats.org/officeDocument/2006/relationships/hyperlink" Target="http://www.institutoebenezer.org/" TargetMode="External"/><Relationship Id="rId3" Type="http://schemas.openxmlformats.org/officeDocument/2006/relationships/hyperlink" Target="http://www.wix.coletivoayoka.com/" TargetMode="External"/><Relationship Id="rId235" Type="http://schemas.openxmlformats.org/officeDocument/2006/relationships/hyperlink" Target="https://drive.google.com/open?id=1IHaJBg_bPBL9Gp_hQNQbNBjPGyBNwNWP" TargetMode="External"/><Relationship Id="rId442" Type="http://schemas.openxmlformats.org/officeDocument/2006/relationships/hyperlink" Target="https://facebook.com/institutobelezainterior" TargetMode="External"/><Relationship Id="rId887" Type="http://schemas.openxmlformats.org/officeDocument/2006/relationships/hyperlink" Target="https://drive.google.com/open?id=1uygdots0ZUY8tIP1QR8Tnh8wCHzTVVKu" TargetMode="External"/><Relationship Id="rId1072" Type="http://schemas.openxmlformats.org/officeDocument/2006/relationships/hyperlink" Target="https://youtube.com/channel/UC6b4XxntL80ky6w0NBH5FiQ" TargetMode="External"/><Relationship Id="rId2123" Type="http://schemas.openxmlformats.org/officeDocument/2006/relationships/hyperlink" Target="https://www.facebook/zeizadojo" TargetMode="External"/><Relationship Id="rId2330" Type="http://schemas.openxmlformats.org/officeDocument/2006/relationships/hyperlink" Target="https://www.facebook.com/profile.php?id=100008988494894" TargetMode="External"/><Relationship Id="rId2568" Type="http://schemas.openxmlformats.org/officeDocument/2006/relationships/hyperlink" Target="https://www.facebook.com/vida.real.7" TargetMode="External"/><Relationship Id="rId302" Type="http://schemas.openxmlformats.org/officeDocument/2006/relationships/hyperlink" Target="https://patronatosantana.wixsite.com/salaocpadretornatore" TargetMode="External"/><Relationship Id="rId747" Type="http://schemas.openxmlformats.org/officeDocument/2006/relationships/hyperlink" Target="https://drive.google.com/open?id=12kg-ohHVJsncw9juB9YDhSS_QyHlh4IH" TargetMode="External"/><Relationship Id="rId954" Type="http://schemas.openxmlformats.org/officeDocument/2006/relationships/hyperlink" Target="https://www.facebook.com/groups/7232146193516/permalink/1058889634946362/" TargetMode="External"/><Relationship Id="rId1377" Type="http://schemas.openxmlformats.org/officeDocument/2006/relationships/hyperlink" Target="https://www.associacaovoar.org.br/" TargetMode="External"/><Relationship Id="rId1584" Type="http://schemas.openxmlformats.org/officeDocument/2006/relationships/hyperlink" Target="https://www.instagram.com/associacaoprover/" TargetMode="External"/><Relationship Id="rId1791" Type="http://schemas.openxmlformats.org/officeDocument/2006/relationships/hyperlink" Target="https://www.instagram.com/associacaobenefanjosdeouro/" TargetMode="External"/><Relationship Id="rId2428" Type="http://schemas.openxmlformats.org/officeDocument/2006/relationships/hyperlink" Target="https://drive.google.com/open?id=11ZLyYBSMoGb7Tzs5kYnd5lePr3DsIBe9" TargetMode="External"/><Relationship Id="rId2635" Type="http://schemas.openxmlformats.org/officeDocument/2006/relationships/hyperlink" Target="https://oprojetosemear.com/" TargetMode="External"/><Relationship Id="rId83" Type="http://schemas.openxmlformats.org/officeDocument/2006/relationships/hyperlink" Target="https://idesq.org/" TargetMode="External"/><Relationship Id="rId607" Type="http://schemas.openxmlformats.org/officeDocument/2006/relationships/hyperlink" Target="https://drive.google.com/open?id=1-OM_dsZuiU5l9m7WfR7nby9pUbtLk2wG" TargetMode="External"/><Relationship Id="rId814" Type="http://schemas.openxmlformats.org/officeDocument/2006/relationships/hyperlink" Target="https://drive.google.com/open?id=1j05ntk0Zl2FGXUY7vBhV-vbTOtKEPvCw" TargetMode="External"/><Relationship Id="rId1237" Type="http://schemas.openxmlformats.org/officeDocument/2006/relationships/hyperlink" Target="https://drive.google.com/open?id=1bw0Hhj3v7lCTFxlBaQqpOaELSWxfXu8e" TargetMode="External"/><Relationship Id="rId1444" Type="http://schemas.openxmlformats.org/officeDocument/2006/relationships/hyperlink" Target="https://instagram.com/bst_2008?utm_medium=copy_link" TargetMode="External"/><Relationship Id="rId1651" Type="http://schemas.openxmlformats.org/officeDocument/2006/relationships/hyperlink" Target="https://drive.google.com/open?id=1gqGoGdpP9PmyiqmefPzJTLJ6EMI42oDM" TargetMode="External"/><Relationship Id="rId1889" Type="http://schemas.openxmlformats.org/officeDocument/2006/relationships/hyperlink" Target="https://drive.google.com/open?id=1CCNmuDrgVVdg5CgWpxf6F4vyzrBzFBz9" TargetMode="External"/><Relationship Id="rId2702" Type="http://schemas.openxmlformats.org/officeDocument/2006/relationships/hyperlink" Target="https://drive.google.com/open?id=1huNikb5ooOe-b_uzZCpYy5RbDlBht_nh" TargetMode="External"/><Relationship Id="rId1304" Type="http://schemas.openxmlformats.org/officeDocument/2006/relationships/hyperlink" Target="https://instagram.com/institutomorrooficial?utm_medium=copy_link" TargetMode="External"/><Relationship Id="rId1511" Type="http://schemas.openxmlformats.org/officeDocument/2006/relationships/hyperlink" Target="https://drive.google.com/open?id=10mG0wUDMlGWLGb1nekGQHMvNsx4QfINw" TargetMode="External"/><Relationship Id="rId1749" Type="http://schemas.openxmlformats.org/officeDocument/2006/relationships/hyperlink" Target="https://drive.google.com/open?id=1ShBaDI1IHqL0nTshZRoQnrz2shdu89st" TargetMode="External"/><Relationship Id="rId1956" Type="http://schemas.openxmlformats.org/officeDocument/2006/relationships/hyperlink" Target="https://www.facebook.com/abracocampeao" TargetMode="External"/><Relationship Id="rId1609" Type="http://schemas.openxmlformats.org/officeDocument/2006/relationships/hyperlink" Target="https://drive.google.com/open?id=10CTCPFWKEX3LNb9Tn8Id9rGo3eE_IoLb" TargetMode="External"/><Relationship Id="rId1816" Type="http://schemas.openxmlformats.org/officeDocument/2006/relationships/hyperlink" Target="https://associacaosemeandoamor.org.br/" TargetMode="External"/><Relationship Id="rId10" Type="http://schemas.openxmlformats.org/officeDocument/2006/relationships/hyperlink" Target="https://www.instagram.com/p/Cb_SYjmskiD/?utm_medium=copy_link" TargetMode="External"/><Relationship Id="rId397" Type="http://schemas.openxmlformats.org/officeDocument/2006/relationships/hyperlink" Target="https://institutodicaferre.wixsite.com/website" TargetMode="External"/><Relationship Id="rId2078" Type="http://schemas.openxmlformats.org/officeDocument/2006/relationships/hyperlink" Target="https://drive.google.com/open?id=1j5lkmb2e9fQlVmY-y5pGb6mrC6yJbnGj" TargetMode="External"/><Relationship Id="rId2285" Type="http://schemas.openxmlformats.org/officeDocument/2006/relationships/hyperlink" Target="https://drive.google.com/open?id=194MBVUb3b2XBeAMuJlAvJUD0ZxmIqUD9" TargetMode="External"/><Relationship Id="rId2492" Type="http://schemas.openxmlformats.org/officeDocument/2006/relationships/hyperlink" Target="https://drive.google.com/open?id=137UPi6zQSWI-WnCx_nEfEr4NykOTLhYQ" TargetMode="External"/><Relationship Id="rId257" Type="http://schemas.openxmlformats.org/officeDocument/2006/relationships/hyperlink" Target="https://drive.google.com/open?id=1M8ksqyvyXLg6eguCyM4_r7x9guSBMWrh" TargetMode="External"/><Relationship Id="rId464" Type="http://schemas.openxmlformats.org/officeDocument/2006/relationships/hyperlink" Target="https://drive.google.com/open?id=1piRM1ZrSgOjAboX0lE2zPlM6YAEN6efx" TargetMode="External"/><Relationship Id="rId1094" Type="http://schemas.openxmlformats.org/officeDocument/2006/relationships/hyperlink" Target="https://instagram.com/familialanatanpa?igshid=NDBlY2NjN2I=" TargetMode="External"/><Relationship Id="rId2145" Type="http://schemas.openxmlformats.org/officeDocument/2006/relationships/hyperlink" Target="https://www.grupoanjosdatiastellinha.org.br/" TargetMode="External"/><Relationship Id="rId117" Type="http://schemas.openxmlformats.org/officeDocument/2006/relationships/hyperlink" Target="https://drive.google.com/open?id=1kMqAha4947B0jZQdx-G_LnVXgTs-D0R0" TargetMode="External"/><Relationship Id="rId671" Type="http://schemas.openxmlformats.org/officeDocument/2006/relationships/hyperlink" Target="https://www.instagram.com/sede_cantinho_da_amizade/" TargetMode="External"/><Relationship Id="rId769" Type="http://schemas.openxmlformats.org/officeDocument/2006/relationships/hyperlink" Target="http://eventosjardim.com.br/" TargetMode="External"/><Relationship Id="rId976" Type="http://schemas.openxmlformats.org/officeDocument/2006/relationships/hyperlink" Target="https://www.instagram.com/vezdascomunidades/" TargetMode="External"/><Relationship Id="rId1399" Type="http://schemas.openxmlformats.org/officeDocument/2006/relationships/hyperlink" Target="https://www.youtube.com/channel/UC8S8zZXEmofFW5ps64UnEww" TargetMode="External"/><Relationship Id="rId2352" Type="http://schemas.openxmlformats.org/officeDocument/2006/relationships/hyperlink" Target="https://drive.google.com/open?id=1vvFTNGnzemtnCUe7rUxearFHXVCyVqFe" TargetMode="External"/><Relationship Id="rId2657" Type="http://schemas.openxmlformats.org/officeDocument/2006/relationships/hyperlink" Target="https://youtu.be/vTIOc5eBTGY" TargetMode="External"/><Relationship Id="rId324" Type="http://schemas.openxmlformats.org/officeDocument/2006/relationships/hyperlink" Target="https://instagram.com/sementesdofuturooficial?igshid=YmMyMTA2M2Y=" TargetMode="External"/><Relationship Id="rId531" Type="http://schemas.openxmlformats.org/officeDocument/2006/relationships/hyperlink" Target="https://drive.google.com/open?id=11I8XAWh9K9OWW-r7OK8wujcwBmW9HNbi" TargetMode="External"/><Relationship Id="rId629" Type="http://schemas.openxmlformats.org/officeDocument/2006/relationships/hyperlink" Target="https://www.instagram.com/p/Cd89P8rJwBN/?igshid=MDJmNzVkMjY=" TargetMode="External"/><Relationship Id="rId1161" Type="http://schemas.openxmlformats.org/officeDocument/2006/relationships/hyperlink" Target="https://drive.google.com/open?id=10WRUslW1JLlGO6DSC-_zAqR4iqM1JbpZ" TargetMode="External"/><Relationship Id="rId1259" Type="http://schemas.openxmlformats.org/officeDocument/2006/relationships/hyperlink" Target="https://www.instagram.com/conformeinstituto/" TargetMode="External"/><Relationship Id="rId1466" Type="http://schemas.openxmlformats.org/officeDocument/2006/relationships/hyperlink" Target="https://drive.google.com/open?id=1Jv169PBqow1ZE_xdxaBQcOFEqRKBbI0s" TargetMode="External"/><Relationship Id="rId2005" Type="http://schemas.openxmlformats.org/officeDocument/2006/relationships/hyperlink" Target="https://www.sementesdovale.org/" TargetMode="External"/><Relationship Id="rId2212" Type="http://schemas.openxmlformats.org/officeDocument/2006/relationships/hyperlink" Target="https://www.youtube.com/c/institutoesportemais" TargetMode="External"/><Relationship Id="rId836" Type="http://schemas.openxmlformats.org/officeDocument/2006/relationships/hyperlink" Target="https://www.youtube.com/user/TheGiftOfWater" TargetMode="External"/><Relationship Id="rId1021" Type="http://schemas.openxmlformats.org/officeDocument/2006/relationships/hyperlink" Target="https://www.instagram.com/tonkiri_voa/" TargetMode="External"/><Relationship Id="rId1119" Type="http://schemas.openxmlformats.org/officeDocument/2006/relationships/hyperlink" Target="https://www.instagram.com/favelabarrovermelho/" TargetMode="External"/><Relationship Id="rId1673" Type="http://schemas.openxmlformats.org/officeDocument/2006/relationships/hyperlink" Target="http://instagram.com/vovovitorino" TargetMode="External"/><Relationship Id="rId1880" Type="http://schemas.openxmlformats.org/officeDocument/2006/relationships/hyperlink" Target="https://drive.google.com/open?id=1uBRVl0rLVzvcAyTFl9R-AGToU413ZR4P" TargetMode="External"/><Relationship Id="rId1978" Type="http://schemas.openxmlformats.org/officeDocument/2006/relationships/hyperlink" Target="https://www.sete.org.br/" TargetMode="External"/><Relationship Id="rId2517" Type="http://schemas.openxmlformats.org/officeDocument/2006/relationships/hyperlink" Target="https://drive.google.com/open?id=19-PSPIKb_9PaKr3Xb0I9tU835NeLU6E0" TargetMode="External"/><Relationship Id="rId2724" Type="http://schemas.openxmlformats.org/officeDocument/2006/relationships/hyperlink" Target="https://drive.google.com/open?id=1q6oJzBBCp6JWVu05hdCbMphGxgheyuz3" TargetMode="External"/><Relationship Id="rId903" Type="http://schemas.openxmlformats.org/officeDocument/2006/relationships/hyperlink" Target="http://emporiogermine.com.br/" TargetMode="External"/><Relationship Id="rId1326" Type="http://schemas.openxmlformats.org/officeDocument/2006/relationships/hyperlink" Target="http://www.palavrasnecantada.org.br/" TargetMode="External"/><Relationship Id="rId1533" Type="http://schemas.openxmlformats.org/officeDocument/2006/relationships/hyperlink" Target="https://drive.google.com/open?id=1a4dvvAbmRPaPeP9W35bApTu_jfoMkGrQ" TargetMode="External"/><Relationship Id="rId1740" Type="http://schemas.openxmlformats.org/officeDocument/2006/relationships/hyperlink" Target="https://drive.google.com/open?id=1-3Uzra5KfWgYgwDavEKXo4u5C-EHcFn8" TargetMode="External"/><Relationship Id="rId32" Type="http://schemas.openxmlformats.org/officeDocument/2006/relationships/hyperlink" Target="https://drive.google.com/open?id=1ZxSuRUZJwibkLunq2xifluCZatI8uU7j" TargetMode="External"/><Relationship Id="rId1600" Type="http://schemas.openxmlformats.org/officeDocument/2006/relationships/hyperlink" Target="https://www.facebook.com/alex.teodoro.397" TargetMode="External"/><Relationship Id="rId1838" Type="http://schemas.openxmlformats.org/officeDocument/2006/relationships/hyperlink" Target="https://drive.google.com/open?id=10gIc3FOGzSsfESSi9WIT584M2tcVTS2q" TargetMode="External"/><Relationship Id="rId181" Type="http://schemas.openxmlformats.org/officeDocument/2006/relationships/hyperlink" Target="https://drive.google.com/open?id=1Kh6ZxEZ65CcOB8RkIz0wLbEt7mrQ0CWI" TargetMode="External"/><Relationship Id="rId1905" Type="http://schemas.openxmlformats.org/officeDocument/2006/relationships/hyperlink" Target="http://apatslice.com/" TargetMode="External"/><Relationship Id="rId279" Type="http://schemas.openxmlformats.org/officeDocument/2006/relationships/hyperlink" Target="https://drive.google.com/open?id=1EANmD1-uOYMsnb3Lkk0b9ccRMkZz1ybV" TargetMode="External"/><Relationship Id="rId486" Type="http://schemas.openxmlformats.org/officeDocument/2006/relationships/hyperlink" Target="https://drive.google.com/open?id=1OJDzVD9-YirXAcsEjLfmQpZWjmcKWu99" TargetMode="External"/><Relationship Id="rId693" Type="http://schemas.openxmlformats.org/officeDocument/2006/relationships/hyperlink" Target="https://drive.google.com/open?id=1i616CM8OTt5Vyp1Va0wZUja4hGCxHyQ7" TargetMode="External"/><Relationship Id="rId2167" Type="http://schemas.openxmlformats.org/officeDocument/2006/relationships/hyperlink" Target="https://www.facebook.com/MandinhaOliveiraeInstitutoAsValquirias/" TargetMode="External"/><Relationship Id="rId2374" Type="http://schemas.openxmlformats.org/officeDocument/2006/relationships/hyperlink" Target="https://drive.google.com/open?id=1OtZ6hJ_1Hyj_Gap2pCsmL2Szw38aSSBc" TargetMode="External"/><Relationship Id="rId2581" Type="http://schemas.openxmlformats.org/officeDocument/2006/relationships/hyperlink" Target="https://drive.google.com/open?id=1CcJUSWmNH80b3L9C-ENH-88YOy69135K" TargetMode="External"/><Relationship Id="rId139" Type="http://schemas.openxmlformats.org/officeDocument/2006/relationships/hyperlink" Target="http://www.aicc.org.br/" TargetMode="External"/><Relationship Id="rId346" Type="http://schemas.openxmlformats.org/officeDocument/2006/relationships/hyperlink" Target="https://drive.google.com/open?id=1mhzwdhviRmZL-9wiIQ7onJg5euLznKrD" TargetMode="External"/><Relationship Id="rId553" Type="http://schemas.openxmlformats.org/officeDocument/2006/relationships/hyperlink" Target="https://drive.google.com/open?id=1ClNfbVeE8CUOsDw2CRJtry07IVS2rsxn" TargetMode="External"/><Relationship Id="rId760" Type="http://schemas.openxmlformats.org/officeDocument/2006/relationships/hyperlink" Target="https://drive.google.com/open?id=122lIQJELqzywM5VB1b-cKuyyK1KEyBU1" TargetMode="External"/><Relationship Id="rId998" Type="http://schemas.openxmlformats.org/officeDocument/2006/relationships/hyperlink" Target="https://drive.google.com/open?id=17Xx83YD-oLMR96jyNBfeAjz2not_xv1G" TargetMode="External"/><Relationship Id="rId1183" Type="http://schemas.openxmlformats.org/officeDocument/2006/relationships/hyperlink" Target="https://drive.google.com/open?id=1mrKwGvzsTWAq2-tEsrN-a-NuLyJOBXLe" TargetMode="External"/><Relationship Id="rId1390" Type="http://schemas.openxmlformats.org/officeDocument/2006/relationships/hyperlink" Target="https://drive.google.com/open?id=1zoF-RpTlEjg0k6u3ctG73xwprdmYv97C" TargetMode="External"/><Relationship Id="rId2027" Type="http://schemas.openxmlformats.org/officeDocument/2006/relationships/hyperlink" Target="https://youtube.com/channel/UCjHVyqqOrvOdfrdwMFjmdww" TargetMode="External"/><Relationship Id="rId2234" Type="http://schemas.openxmlformats.org/officeDocument/2006/relationships/hyperlink" Target="http://youtube.com/channel/UCAe9PXJkXKLWcQ3cRD8jG_w" TargetMode="External"/><Relationship Id="rId2441" Type="http://schemas.openxmlformats.org/officeDocument/2006/relationships/hyperlink" Target="https://www.instagram.com/institutoedsonroyer/" TargetMode="External"/><Relationship Id="rId2679" Type="http://schemas.openxmlformats.org/officeDocument/2006/relationships/hyperlink" Target="https://drive.google.com/open?id=1Z8z1uASdRcwkl7eEq4naoIvC5UItwSbt" TargetMode="External"/><Relationship Id="rId206" Type="http://schemas.openxmlformats.org/officeDocument/2006/relationships/hyperlink" Target="http://esporteevida.com/" TargetMode="External"/><Relationship Id="rId413" Type="http://schemas.openxmlformats.org/officeDocument/2006/relationships/hyperlink" Target="https://www.instagram.com/coletivo.mulheresnegras/" TargetMode="External"/><Relationship Id="rId858" Type="http://schemas.openxmlformats.org/officeDocument/2006/relationships/hyperlink" Target="https://www.facebook.com/IBSHacaosocial/" TargetMode="External"/><Relationship Id="rId1043" Type="http://schemas.openxmlformats.org/officeDocument/2006/relationships/hyperlink" Target="https://drive.google.com/open?id=1wrHht6-QscFNL1mjr1HHdRXBE3HEoF25" TargetMode="External"/><Relationship Id="rId1488" Type="http://schemas.openxmlformats.org/officeDocument/2006/relationships/hyperlink" Target="http://institutocriandovidas.ong.br/" TargetMode="External"/><Relationship Id="rId1695" Type="http://schemas.openxmlformats.org/officeDocument/2006/relationships/hyperlink" Target="https://drive.google.com/open?id=1AM1m7A_saGKx05oQPYGs68YLCU42Shsq" TargetMode="External"/><Relationship Id="rId2539" Type="http://schemas.openxmlformats.org/officeDocument/2006/relationships/hyperlink" Target="https://drive.google.com/open?id=1UUyElxGa6Udx7L72CVkXsCrFBG73RGa8" TargetMode="External"/><Relationship Id="rId620" Type="http://schemas.openxmlformats.org/officeDocument/2006/relationships/hyperlink" Target="https://drive.google.com/open?id=1bCKdN7OoA7Tz09L-sayXBPhCivCaX1xf" TargetMode="External"/><Relationship Id="rId718" Type="http://schemas.openxmlformats.org/officeDocument/2006/relationships/hyperlink" Target="https://www.instagram.com/leresabernacomunidade" TargetMode="External"/><Relationship Id="rId925" Type="http://schemas.openxmlformats.org/officeDocument/2006/relationships/hyperlink" Target="https://drive.google.com/open?id=1bKdwR8qymDGhn5YSjYwLTXfs3ZHwuIpe" TargetMode="External"/><Relationship Id="rId1250" Type="http://schemas.openxmlformats.org/officeDocument/2006/relationships/hyperlink" Target="https://instagram.com/somosagapejlle" TargetMode="External"/><Relationship Id="rId1348" Type="http://schemas.openxmlformats.org/officeDocument/2006/relationships/hyperlink" Target="https://www.instagram.com/acatamcoletaseletiva8213" TargetMode="External"/><Relationship Id="rId1555" Type="http://schemas.openxmlformats.org/officeDocument/2006/relationships/hyperlink" Target="https://drive.google.com/open?id=1-Bz454yOeeAdY56Qj-7gWWJfcM-JsBtV" TargetMode="External"/><Relationship Id="rId1762" Type="http://schemas.openxmlformats.org/officeDocument/2006/relationships/hyperlink" Target="http://www.facebook.com.br/ongfelizcidade" TargetMode="External"/><Relationship Id="rId2301" Type="http://schemas.openxmlformats.org/officeDocument/2006/relationships/hyperlink" Target="https://drive.google.com/open?id=1DaGcHOAiVePjbXPfibDQFCTIWxEenXsy" TargetMode="External"/><Relationship Id="rId2606" Type="http://schemas.openxmlformats.org/officeDocument/2006/relationships/hyperlink" Target="http://www.youtube.com/casadebarrocae" TargetMode="External"/><Relationship Id="rId1110" Type="http://schemas.openxmlformats.org/officeDocument/2006/relationships/hyperlink" Target="https://www.facebook.com/DiamantesnaCozinha" TargetMode="External"/><Relationship Id="rId1208" Type="http://schemas.openxmlformats.org/officeDocument/2006/relationships/hyperlink" Target="https://drive.google.com/open?id=1WAjYYHGiLHWTIho-h67YUHtfhp7PSelY" TargetMode="External"/><Relationship Id="rId1415" Type="http://schemas.openxmlformats.org/officeDocument/2006/relationships/hyperlink" Target="https://www.facebook.com/MaisAmorPorFavorS2/" TargetMode="External"/><Relationship Id="rId54" Type="http://schemas.openxmlformats.org/officeDocument/2006/relationships/hyperlink" Target="https://drive.google.com/open?id=1B7vAVgVXo1G8uupeSUXng-uwH_JUuYbJ" TargetMode="External"/><Relationship Id="rId1622" Type="http://schemas.openxmlformats.org/officeDocument/2006/relationships/hyperlink" Target="https://drive.google.com/open?id=1pVgBqGRtGwtaiuvewgsZIR0nyrrLHKR4" TargetMode="External"/><Relationship Id="rId1927" Type="http://schemas.openxmlformats.org/officeDocument/2006/relationships/hyperlink" Target="https://drive.google.com/open?id=1hJ6ve32UbenY5vtqj8v7_orap7yuxU3Y" TargetMode="External"/><Relationship Id="rId2091" Type="http://schemas.openxmlformats.org/officeDocument/2006/relationships/hyperlink" Target="https://www.instagram.com/institutorahamim" TargetMode="External"/><Relationship Id="rId2189" Type="http://schemas.openxmlformats.org/officeDocument/2006/relationships/hyperlink" Target="https://www.youtube.com/channel/UCGSRsHb73WPsmD2qYIAgFEw" TargetMode="External"/><Relationship Id="rId270" Type="http://schemas.openxmlformats.org/officeDocument/2006/relationships/hyperlink" Target="https://drive.google.com/open?id=1-4zFEfxY426AjXhqudmXSOVlEkLuBNJ0" TargetMode="External"/><Relationship Id="rId2396" Type="http://schemas.openxmlformats.org/officeDocument/2006/relationships/hyperlink" Target="https://www.instagram.com/pontinclusiva/" TargetMode="External"/><Relationship Id="rId130" Type="http://schemas.openxmlformats.org/officeDocument/2006/relationships/hyperlink" Target="https://www.facebook.com/CIS-Vila-Velha-564101586973106/" TargetMode="External"/><Relationship Id="rId368" Type="http://schemas.openxmlformats.org/officeDocument/2006/relationships/hyperlink" Target="https://drive.google.com/open?id=1CbGquUqfaO9Ne-0DucWrR2yOqRtHDbOx" TargetMode="External"/><Relationship Id="rId575" Type="http://schemas.openxmlformats.org/officeDocument/2006/relationships/hyperlink" Target="https://www.facebook.com/Projetoitamar/" TargetMode="External"/><Relationship Id="rId782" Type="http://schemas.openxmlformats.org/officeDocument/2006/relationships/hyperlink" Target="https://drive.google.com/open?id=1eyop-DS6L7gwnL289E7E3W4EwESh-uqU" TargetMode="External"/><Relationship Id="rId2049" Type="http://schemas.openxmlformats.org/officeDocument/2006/relationships/hyperlink" Target="https://www.instagram.com/institutosonhe/" TargetMode="External"/><Relationship Id="rId2256" Type="http://schemas.openxmlformats.org/officeDocument/2006/relationships/hyperlink" Target="https://drive.google.com/open?id=1Y8zrT3XCwi-JXqfgUw8fXBOyPCyazilR" TargetMode="External"/><Relationship Id="rId2463" Type="http://schemas.openxmlformats.org/officeDocument/2006/relationships/hyperlink" Target="https://drive.google.com/open?id=1nUzsnL3eaImLXy-6Wa0R7lzK73vgodZ3" TargetMode="External"/><Relationship Id="rId2670" Type="http://schemas.openxmlformats.org/officeDocument/2006/relationships/hyperlink" Target="https://drive.google.com/open?id=18pGVOWS9Eo4LGk7yVKgJLU7AYrSULOSu" TargetMode="External"/><Relationship Id="rId228" Type="http://schemas.openxmlformats.org/officeDocument/2006/relationships/hyperlink" Target="https://www.instagram.com/casasaofranciscoparaiso" TargetMode="External"/><Relationship Id="rId435" Type="http://schemas.openxmlformats.org/officeDocument/2006/relationships/hyperlink" Target="https://drive.google.com/open?id=1klkt15zaxkcS6WxarBIt12SEf2N4uVX_" TargetMode="External"/><Relationship Id="rId642" Type="http://schemas.openxmlformats.org/officeDocument/2006/relationships/hyperlink" Target="https://drive.google.com/open?id=17CTwVPTLJnGIqUyVS898N5slee4YfC0_" TargetMode="External"/><Relationship Id="rId1065" Type="http://schemas.openxmlformats.org/officeDocument/2006/relationships/hyperlink" Target="https://drive.google.com/open?id=1pmFflMmpLL6mD5mAc7ymVZDiQbMjCL4i" TargetMode="External"/><Relationship Id="rId1272" Type="http://schemas.openxmlformats.org/officeDocument/2006/relationships/hyperlink" Target="https://drive.google.com/open?id=1WhxxwU84NWbGg6PZd2gI6MPTT4SGYcOW" TargetMode="External"/><Relationship Id="rId2116" Type="http://schemas.openxmlformats.org/officeDocument/2006/relationships/hyperlink" Target="https://youtu.be/-2ePNICD9uk" TargetMode="External"/><Relationship Id="rId2323" Type="http://schemas.openxmlformats.org/officeDocument/2006/relationships/hyperlink" Target="https://drive.google.com/open?id=1Mmyw20ReWN1gBznVWSJkpxCrjlgsrYqG" TargetMode="External"/><Relationship Id="rId2530" Type="http://schemas.openxmlformats.org/officeDocument/2006/relationships/hyperlink" Target="https://drive.google.com/open?id=18E0soYgXPCTR2uH574wmtwUNQgk30AjB" TargetMode="External"/><Relationship Id="rId502" Type="http://schemas.openxmlformats.org/officeDocument/2006/relationships/hyperlink" Target="https://drive.google.com/open?id=1Wg4iNbF6f60tmScR9hE7jucym_vsA5S7" TargetMode="External"/><Relationship Id="rId947" Type="http://schemas.openxmlformats.org/officeDocument/2006/relationships/hyperlink" Target="https://drive.google.com/open?id=1qvFzprrsNfOFBivUi2vFYeCGpYdi2ksU" TargetMode="External"/><Relationship Id="rId1132" Type="http://schemas.openxmlformats.org/officeDocument/2006/relationships/hyperlink" Target="https://www.facebook.com/InstitutoConquistSorrisos" TargetMode="External"/><Relationship Id="rId1577" Type="http://schemas.openxmlformats.org/officeDocument/2006/relationships/hyperlink" Target="https://drive.google.com/open?id=14CvogHEJ4K42970nvDQVR5bvguOvQ9w2" TargetMode="External"/><Relationship Id="rId1784" Type="http://schemas.openxmlformats.org/officeDocument/2006/relationships/hyperlink" Target="https://drive.google.com/open?id=1BllfkkVFqneU_amxwxzWy5iJlP0oH2BP" TargetMode="External"/><Relationship Id="rId1991" Type="http://schemas.openxmlformats.org/officeDocument/2006/relationships/hyperlink" Target="https://www.youtube.com/watch?v=ZKkzexNK828" TargetMode="External"/><Relationship Id="rId2628" Type="http://schemas.openxmlformats.org/officeDocument/2006/relationships/hyperlink" Target="https://drive.google.com/open?id=1MHL8IXooCfsQWmdwwGsyYSOSfTFFgoti" TargetMode="External"/><Relationship Id="rId76" Type="http://schemas.openxmlformats.org/officeDocument/2006/relationships/hyperlink" Target="https://www.instagram.com/deliciascaseiras_afeto/" TargetMode="External"/><Relationship Id="rId807" Type="http://schemas.openxmlformats.org/officeDocument/2006/relationships/hyperlink" Target="https://www.facebook.com/CSCMLJP" TargetMode="External"/><Relationship Id="rId1437" Type="http://schemas.openxmlformats.org/officeDocument/2006/relationships/hyperlink" Target="https://www.instagram.com/empregamais/" TargetMode="External"/><Relationship Id="rId1644" Type="http://schemas.openxmlformats.org/officeDocument/2006/relationships/hyperlink" Target="https://drive.google.com/open?id=1djUQ4aS-0sT07y9AYZyNPvhifNjUBcmG" TargetMode="External"/><Relationship Id="rId1851" Type="http://schemas.openxmlformats.org/officeDocument/2006/relationships/hyperlink" Target="https://drive.google.com/open?id=1wg35e-lXzCEiKZjJEyUD8xhC167B8VOU" TargetMode="External"/><Relationship Id="rId1504" Type="http://schemas.openxmlformats.org/officeDocument/2006/relationships/hyperlink" Target="https://instagram.com/lidiaprojetoefraim?utm_medium=copy_link" TargetMode="External"/><Relationship Id="rId1711" Type="http://schemas.openxmlformats.org/officeDocument/2006/relationships/hyperlink" Target="https://www.facebook.com/mariajoaodedeus.entidade" TargetMode="External"/><Relationship Id="rId1949" Type="http://schemas.openxmlformats.org/officeDocument/2006/relationships/hyperlink" Target="https://www.instagram.com/projetomotivar/" TargetMode="External"/><Relationship Id="rId292" Type="http://schemas.openxmlformats.org/officeDocument/2006/relationships/hyperlink" Target="https://www.youtube.com/c/Projeto%C3%81gape" TargetMode="External"/><Relationship Id="rId1809" Type="http://schemas.openxmlformats.org/officeDocument/2006/relationships/hyperlink" Target="https://drive.google.com/open?id=1VS-DTAeyDsuRUCW0QQCf2lpIUvSoc5D2" TargetMode="External"/><Relationship Id="rId597" Type="http://schemas.openxmlformats.org/officeDocument/2006/relationships/hyperlink" Target="https://www.facebook.com/basqueteaurora" TargetMode="External"/><Relationship Id="rId2180" Type="http://schemas.openxmlformats.org/officeDocument/2006/relationships/hyperlink" Target="https://www.entreoceueafavela.org/" TargetMode="External"/><Relationship Id="rId2278" Type="http://schemas.openxmlformats.org/officeDocument/2006/relationships/hyperlink" Target="https://circuitoinclusao.wordpress.com/" TargetMode="External"/><Relationship Id="rId2485" Type="http://schemas.openxmlformats.org/officeDocument/2006/relationships/hyperlink" Target="https://drive.google.com/open?id=1FXa_os71nLnSXAHl6MxSCAf_lG601783" TargetMode="External"/><Relationship Id="rId152" Type="http://schemas.openxmlformats.org/officeDocument/2006/relationships/hyperlink" Target="https://drive.google.com/open?id=1G-e1bY1Ts5A96tZ6mBHXsmlFZh2DyRYb" TargetMode="External"/><Relationship Id="rId457" Type="http://schemas.openxmlformats.org/officeDocument/2006/relationships/hyperlink" Target="https://instagram.com/050985esperanca?igshid=YmMyMTA2M2Y=" TargetMode="External"/><Relationship Id="rId1087" Type="http://schemas.openxmlformats.org/officeDocument/2006/relationships/hyperlink" Target="https://instagram.com/projetoentrandonalinha?igshid=YmMyMTA2M2Y=" TargetMode="External"/><Relationship Id="rId1294" Type="http://schemas.openxmlformats.org/officeDocument/2006/relationships/hyperlink" Target="https://instagram.com/acpsvb?igshid=YmMyMTA2M2Y=" TargetMode="External"/><Relationship Id="rId2040" Type="http://schemas.openxmlformats.org/officeDocument/2006/relationships/hyperlink" Target="https://drive.google.com/open?id=10XnS_y1lTnlpSVkq0u2-07qMUnlxBuRw" TargetMode="External"/><Relationship Id="rId2138" Type="http://schemas.openxmlformats.org/officeDocument/2006/relationships/hyperlink" Target="https://drive.google.com/open?id=1DNSl65Esq2vMH0N7fst9YwXXGXMV9k7d" TargetMode="External"/><Relationship Id="rId2692" Type="http://schemas.openxmlformats.org/officeDocument/2006/relationships/hyperlink" Target="https://drive.google.com/open?id=1pjBlHRVsR6zmTjb_QJhOUhRT7heNGJA8" TargetMode="External"/><Relationship Id="rId664" Type="http://schemas.openxmlformats.org/officeDocument/2006/relationships/hyperlink" Target="https://drive.google.com/open?id=1kaZimv7FS0KU9f9Eer8_-UrHfVwFgNxp" TargetMode="External"/><Relationship Id="rId871" Type="http://schemas.openxmlformats.org/officeDocument/2006/relationships/hyperlink" Target="https://www.facebook.com/EvoluirBr/" TargetMode="External"/><Relationship Id="rId969" Type="http://schemas.openxmlformats.org/officeDocument/2006/relationships/hyperlink" Target="https://drive.google.com/open?id=1JqPRNXXVX3ixdWqtJnPiszWH_jP1suMz" TargetMode="External"/><Relationship Id="rId1599" Type="http://schemas.openxmlformats.org/officeDocument/2006/relationships/hyperlink" Target="https://www.facebook.com/alexdearruda.teodoro" TargetMode="External"/><Relationship Id="rId2345" Type="http://schemas.openxmlformats.org/officeDocument/2006/relationships/hyperlink" Target="https://drive.google.com/open?id=1TUs1Gy_wPYChpQa3bNDfNEhtSFHg63B-" TargetMode="External"/><Relationship Id="rId2552" Type="http://schemas.openxmlformats.org/officeDocument/2006/relationships/hyperlink" Target="https://drive.google.com/open?id=1ORDtHC_ZJRR7JltjjkCyMWPO2iDqifx0" TargetMode="External"/><Relationship Id="rId317" Type="http://schemas.openxmlformats.org/officeDocument/2006/relationships/hyperlink" Target="https://www.instagram.com/institutobatucandoaesperanca/" TargetMode="External"/><Relationship Id="rId524" Type="http://schemas.openxmlformats.org/officeDocument/2006/relationships/hyperlink" Target="https://drive.google.com/open?id=163BQw1a2CveJv8f15pWatECKYD05bp4H" TargetMode="External"/><Relationship Id="rId731" Type="http://schemas.openxmlformats.org/officeDocument/2006/relationships/hyperlink" Target="https://drive.google.com/open?id=1ZzOSm1WIjtGj7fPD2JflT5Ns9tEmSiHI" TargetMode="External"/><Relationship Id="rId1154" Type="http://schemas.openxmlformats.org/officeDocument/2006/relationships/hyperlink" Target="http://www.reggarte.org/" TargetMode="External"/><Relationship Id="rId1361" Type="http://schemas.openxmlformats.org/officeDocument/2006/relationships/hyperlink" Target="https://drive.google.com/open?id=1OFs8SNb-RvkIseiV83uhauZ70nI0RUDk" TargetMode="External"/><Relationship Id="rId1459" Type="http://schemas.openxmlformats.org/officeDocument/2006/relationships/hyperlink" Target="https://drive.google.com/open?id=1DZyt1owVvYnO7BmFykG4epSty6slDmHO" TargetMode="External"/><Relationship Id="rId2205" Type="http://schemas.openxmlformats.org/officeDocument/2006/relationships/hyperlink" Target="https://www.instagram.com/santacruzpontadaserra/" TargetMode="External"/><Relationship Id="rId2412" Type="http://schemas.openxmlformats.org/officeDocument/2006/relationships/hyperlink" Target="http://instagram.com/institutomeduca" TargetMode="External"/><Relationship Id="rId98" Type="http://schemas.openxmlformats.org/officeDocument/2006/relationships/hyperlink" Target="https://drive.google.com/open?id=1R01eTnFr0ClLKWqtOw8enNnDe5CPt9ju" TargetMode="External"/><Relationship Id="rId829" Type="http://schemas.openxmlformats.org/officeDocument/2006/relationships/hyperlink" Target="https://www.institutosilveiramarques.org.br/" TargetMode="External"/><Relationship Id="rId1014" Type="http://schemas.openxmlformats.org/officeDocument/2006/relationships/hyperlink" Target="https://www.facebook.com/pelicano.pelicano.921" TargetMode="External"/><Relationship Id="rId1221" Type="http://schemas.openxmlformats.org/officeDocument/2006/relationships/hyperlink" Target="https://www.facebook.com/1246073098744691/posts/5175665739118721/" TargetMode="External"/><Relationship Id="rId1666" Type="http://schemas.openxmlformats.org/officeDocument/2006/relationships/hyperlink" Target="https://drive.google.com/open?id=1amOjSmGP8LEmkgGNKHSX-QzToU-6s0Mm" TargetMode="External"/><Relationship Id="rId1873" Type="http://schemas.openxmlformats.org/officeDocument/2006/relationships/hyperlink" Target="https://drive.google.com/open?id=17Mm8-CP3zRXJDPwycxNMG9C3MRXz1aKx" TargetMode="External"/><Relationship Id="rId2717" Type="http://schemas.openxmlformats.org/officeDocument/2006/relationships/hyperlink" Target="https://drive.google.com/open?id=1rP0DWQbExT6cRySmLUahENe9jgaZFS9r" TargetMode="External"/><Relationship Id="rId1319" Type="http://schemas.openxmlformats.org/officeDocument/2006/relationships/hyperlink" Target="https://drive.google.com/open?id=1AjLvjwvDuqZY8kcyrQ4Re6E4qxr1febq" TargetMode="External"/><Relationship Id="rId1526" Type="http://schemas.openxmlformats.org/officeDocument/2006/relationships/hyperlink" Target="http://www.instagram.com/favelaemdesenvolvimento" TargetMode="External"/><Relationship Id="rId1733" Type="http://schemas.openxmlformats.org/officeDocument/2006/relationships/hyperlink" Target="https://www.facebook.com/ebbruyere/" TargetMode="External"/><Relationship Id="rId1940" Type="http://schemas.openxmlformats.org/officeDocument/2006/relationships/hyperlink" Target="https://drive.google.com/open?id=1sSHNYxP9Z5hIFZuG5U5fY-qiFwoGUfpq" TargetMode="External"/><Relationship Id="rId25" Type="http://schemas.openxmlformats.org/officeDocument/2006/relationships/hyperlink" Target="https://instagram.com/prosperar.se?igshid=YmMyMTA2M2Y=" TargetMode="External"/><Relationship Id="rId1800" Type="http://schemas.openxmlformats.org/officeDocument/2006/relationships/hyperlink" Target="https://www.instagram.com/projetoperalta/" TargetMode="External"/><Relationship Id="rId174" Type="http://schemas.openxmlformats.org/officeDocument/2006/relationships/hyperlink" Target="https://drive.google.com/open?id=170vGNnBvdZ3IVp47C-zksWvYy5n53DGe" TargetMode="External"/><Relationship Id="rId381" Type="http://schemas.openxmlformats.org/officeDocument/2006/relationships/hyperlink" Target="https://drive.google.com/open?id=1Mf7WohSSWlofAWgCFRWU1pfOj1migQzp" TargetMode="External"/><Relationship Id="rId2062" Type="http://schemas.openxmlformats.org/officeDocument/2006/relationships/hyperlink" Target="https://drive.google.com/open?id=1n52Vulg1OcMjXLlVWMYkR0-ECKVn3I3p" TargetMode="External"/><Relationship Id="rId241" Type="http://schemas.openxmlformats.org/officeDocument/2006/relationships/hyperlink" Target="https://drive.google.com/open?id=13F5N-z2p3zoA-x46tNQBTtEKhf2_Gkty" TargetMode="External"/><Relationship Id="rId479" Type="http://schemas.openxmlformats.org/officeDocument/2006/relationships/hyperlink" Target="https://drive.google.com/open?id=1_nEfSPSUiTxt0wnMg9wSGwt-xCMcN91Z" TargetMode="External"/><Relationship Id="rId686" Type="http://schemas.openxmlformats.org/officeDocument/2006/relationships/hyperlink" Target="http://youtube.com/channel/UC5ltKEiY1y9ROAXy2pYXz6A" TargetMode="External"/><Relationship Id="rId893" Type="http://schemas.openxmlformats.org/officeDocument/2006/relationships/hyperlink" Target="https://drive.google.com/open?id=1MV49Jb1kw8cY-ITPwYlJ3f3padxN9MnE" TargetMode="External"/><Relationship Id="rId2367" Type="http://schemas.openxmlformats.org/officeDocument/2006/relationships/hyperlink" Target="https://www.facebook.com/andancasdf" TargetMode="External"/><Relationship Id="rId2574" Type="http://schemas.openxmlformats.org/officeDocument/2006/relationships/hyperlink" Target="https://drive.google.com/open?id=1R7g72NIyWa3y_oKmE_cKOCHNuqUg8JKY" TargetMode="External"/><Relationship Id="rId339" Type="http://schemas.openxmlformats.org/officeDocument/2006/relationships/hyperlink" Target="https://www.facebook.com/institutopireneusbr" TargetMode="External"/><Relationship Id="rId546" Type="http://schemas.openxmlformats.org/officeDocument/2006/relationships/hyperlink" Target="https://drive.google.com/open?id=1H9vT_S9_sPTOjHkFZfWoAA4cZLwkQ0He" TargetMode="External"/><Relationship Id="rId753" Type="http://schemas.openxmlformats.org/officeDocument/2006/relationships/hyperlink" Target="https://youtu.be/zA9AHrbuoBA" TargetMode="External"/><Relationship Id="rId1176" Type="http://schemas.openxmlformats.org/officeDocument/2006/relationships/hyperlink" Target="https://www.instagram.com/instnovoolhar/" TargetMode="External"/><Relationship Id="rId1383" Type="http://schemas.openxmlformats.org/officeDocument/2006/relationships/hyperlink" Target="http://sites.google.com/view/casajuvfn" TargetMode="External"/><Relationship Id="rId2227" Type="http://schemas.openxmlformats.org/officeDocument/2006/relationships/hyperlink" Target="https://drive.google.com/open?id=1JI2GPIVEf2IOUA8WjVOwml5VRfZNNgx9" TargetMode="External"/><Relationship Id="rId2434" Type="http://schemas.openxmlformats.org/officeDocument/2006/relationships/hyperlink" Target="https://drive.google.com/open?id=1OHYjgGPjcdyvsIc988vJTfWE6KJ0efJH" TargetMode="External"/><Relationship Id="rId101" Type="http://schemas.openxmlformats.org/officeDocument/2006/relationships/hyperlink" Target="https://drive.google.com/open?id=1Lv924tA9B2ZcTdLCcQihu29KG-cMmlrC" TargetMode="External"/><Relationship Id="rId406" Type="http://schemas.openxmlformats.org/officeDocument/2006/relationships/hyperlink" Target="https://drive.google.com/open?id=1dHZ-uI5pTByBNCQqzogrZs1wz6wGfBbJ" TargetMode="External"/><Relationship Id="rId960" Type="http://schemas.openxmlformats.org/officeDocument/2006/relationships/hyperlink" Target="https://drive.google.com/open?id=17qyqO4NlcPzeScE2xj1EVRcEi8e0Ry5X" TargetMode="External"/><Relationship Id="rId1036" Type="http://schemas.openxmlformats.org/officeDocument/2006/relationships/hyperlink" Target="https://drive.google.com/open?id=1-25yAck15Vii5GBXLOSOSZ4G6oIg4jhS" TargetMode="External"/><Relationship Id="rId1243" Type="http://schemas.openxmlformats.org/officeDocument/2006/relationships/hyperlink" Target="https://instagram.com/ongsuve?igshid=YmMyMTA2M2Y=" TargetMode="External"/><Relationship Id="rId1590" Type="http://schemas.openxmlformats.org/officeDocument/2006/relationships/hyperlink" Target="https://www.odph.org.br/" TargetMode="External"/><Relationship Id="rId1688" Type="http://schemas.openxmlformats.org/officeDocument/2006/relationships/hyperlink" Target="https://drive.google.com/open?id=1acI1bd8DnXGlc9bbHMZIKQ78wSG3zuQj" TargetMode="External"/><Relationship Id="rId1895" Type="http://schemas.openxmlformats.org/officeDocument/2006/relationships/hyperlink" Target="https://drive.google.com/open?id=1pyNZqZ-JKmjGbZOIeVPmtrU_S4IZNmT7" TargetMode="External"/><Relationship Id="rId2641" Type="http://schemas.openxmlformats.org/officeDocument/2006/relationships/hyperlink" Target="https://www.instagram.com/invites/contact/?i=17n1fusdj1myt&amp;utm_content=4w092t5" TargetMode="External"/><Relationship Id="rId613" Type="http://schemas.openxmlformats.org/officeDocument/2006/relationships/hyperlink" Target="https://www.facebook.com/centroescolamangue/" TargetMode="External"/><Relationship Id="rId820" Type="http://schemas.openxmlformats.org/officeDocument/2006/relationships/hyperlink" Target="https://instagram.com/institutoimpactando?r=nametag" TargetMode="External"/><Relationship Id="rId918" Type="http://schemas.openxmlformats.org/officeDocument/2006/relationships/hyperlink" Target="https://drive.google.com/open?id=1z6tRdpu8Kl-YZoP59PRE0-aYuBxguOJ0" TargetMode="External"/><Relationship Id="rId1450" Type="http://schemas.openxmlformats.org/officeDocument/2006/relationships/hyperlink" Target="https://acasadebambas.org/" TargetMode="External"/><Relationship Id="rId1548" Type="http://schemas.openxmlformats.org/officeDocument/2006/relationships/hyperlink" Target="http://www.institutocandaces.org.br/" TargetMode="External"/><Relationship Id="rId1755" Type="http://schemas.openxmlformats.org/officeDocument/2006/relationships/hyperlink" Target="https://drive.google.com/open?id=1dHlyGadNwdvcVycgh918K_cnI4iwzxy0" TargetMode="External"/><Relationship Id="rId2501" Type="http://schemas.openxmlformats.org/officeDocument/2006/relationships/hyperlink" Target="https://www.instagram.com/reel/CbI07fxpRfZ/?utm_medium=copy_link" TargetMode="External"/><Relationship Id="rId1103" Type="http://schemas.openxmlformats.org/officeDocument/2006/relationships/hyperlink" Target="https://www.facebook.com/institutoprojetocria/" TargetMode="External"/><Relationship Id="rId1310" Type="http://schemas.openxmlformats.org/officeDocument/2006/relationships/hyperlink" Target="http://ossonhadores.org/" TargetMode="External"/><Relationship Id="rId1408" Type="http://schemas.openxmlformats.org/officeDocument/2006/relationships/hyperlink" Target="https://drive.google.com/open?id=196bPDlAFTO5M0mIh9KAumYdMrpDseHB1" TargetMode="External"/><Relationship Id="rId1962" Type="http://schemas.openxmlformats.org/officeDocument/2006/relationships/hyperlink" Target="https://www.facebook.com/institutoresgatandovidas" TargetMode="External"/><Relationship Id="rId47" Type="http://schemas.openxmlformats.org/officeDocument/2006/relationships/hyperlink" Target="https://drive.google.com/open?id=1k5fe0CXC80b8T3xgnO0t8G2X6LC8J3MC" TargetMode="External"/><Relationship Id="rId1615" Type="http://schemas.openxmlformats.org/officeDocument/2006/relationships/hyperlink" Target="https://www.entreguesorrisos.com.br/" TargetMode="External"/><Relationship Id="rId1822" Type="http://schemas.openxmlformats.org/officeDocument/2006/relationships/hyperlink" Target="https://drive.google.com/open?id=1yVzyyyQOvCf5CD0_efBk69Ou9oCAXpEp" TargetMode="External"/><Relationship Id="rId196" Type="http://schemas.openxmlformats.org/officeDocument/2006/relationships/hyperlink" Target="https://instagram.com/audec_oficial?igshid=YmMyMTA2M2Y=" TargetMode="External"/><Relationship Id="rId2084" Type="http://schemas.openxmlformats.org/officeDocument/2006/relationships/hyperlink" Target="https://drive.google.com/open?id=1vDnSpp5nDLMnRTBhd7NewMH8IlkZQTWz" TargetMode="External"/><Relationship Id="rId2291" Type="http://schemas.openxmlformats.org/officeDocument/2006/relationships/hyperlink" Target="https://drive.google.com/open?id=1_kU5nGzr_asMhttn8s_OAqg3FcLQdd8L" TargetMode="External"/><Relationship Id="rId263" Type="http://schemas.openxmlformats.org/officeDocument/2006/relationships/hyperlink" Target="https://drive.google.com/open?id=1Do9Ekc5sHxpIX1kILEhLQITb8wwkqJpW" TargetMode="External"/><Relationship Id="rId470" Type="http://schemas.openxmlformats.org/officeDocument/2006/relationships/hyperlink" Target="https://drive.google.com/open?id=1XTP0h5Fu7WMDF3-73xHREO-EYHykjR_1" TargetMode="External"/><Relationship Id="rId2151" Type="http://schemas.openxmlformats.org/officeDocument/2006/relationships/hyperlink" Target="https://www.facebook.com/vozesdasperiferias/" TargetMode="External"/><Relationship Id="rId2389" Type="http://schemas.openxmlformats.org/officeDocument/2006/relationships/hyperlink" Target="https://drive.google.com/open?id=13A3kx7TYgGzL9DDGhDxanwnY9lF_H0xy" TargetMode="External"/><Relationship Id="rId2596" Type="http://schemas.openxmlformats.org/officeDocument/2006/relationships/hyperlink" Target="https://drive.google.com/open?id=1wcdu25VsnEuYsebUk7LbN5mu7BS9ZyiL" TargetMode="External"/><Relationship Id="rId123" Type="http://schemas.openxmlformats.org/officeDocument/2006/relationships/hyperlink" Target="https://www.youtube.com/channel/UC6JhnjdLLKIYzflV-yxBE6A" TargetMode="External"/><Relationship Id="rId330" Type="http://schemas.openxmlformats.org/officeDocument/2006/relationships/hyperlink" Target="https://instagram.com/circodetodomundo?utm_medium=copy_link" TargetMode="External"/><Relationship Id="rId568" Type="http://schemas.openxmlformats.org/officeDocument/2006/relationships/hyperlink" Target="https://www.youtube.com/channel/UC8datwc1ga2JBhT_Ziqjf_Q" TargetMode="External"/><Relationship Id="rId775" Type="http://schemas.openxmlformats.org/officeDocument/2006/relationships/hyperlink" Target="https://drive.google.com/open?id=1pdFd-D81TZqpjfLf_5JjmmN3p26byX5S" TargetMode="External"/><Relationship Id="rId982" Type="http://schemas.openxmlformats.org/officeDocument/2006/relationships/hyperlink" Target="https://youtube.com/channel/UCNKSJLqjjVa5fSS1FiwEEDQ" TargetMode="External"/><Relationship Id="rId1198" Type="http://schemas.openxmlformats.org/officeDocument/2006/relationships/hyperlink" Target="https://drive.google.com/open?id=1HSesqqQk1g--bZhn9jOIQ4Zi1XU1rg-I" TargetMode="External"/><Relationship Id="rId2011" Type="http://schemas.openxmlformats.org/officeDocument/2006/relationships/hyperlink" Target="https://www.instagram.com/p/Ca9zjr_unkJ/?utm_medium=copy_link" TargetMode="External"/><Relationship Id="rId2249" Type="http://schemas.openxmlformats.org/officeDocument/2006/relationships/hyperlink" Target="https://drive.google.com/open?id=1j2ASdeCMDxiJqnOd19iAqnqNllnFfV4T" TargetMode="External"/><Relationship Id="rId2456" Type="http://schemas.openxmlformats.org/officeDocument/2006/relationships/hyperlink" Target="https://drive.google.com/open?id=17Zjvi2-z4BMCWgKSdYVTYALFhAQjWFV3" TargetMode="External"/><Relationship Id="rId2663" Type="http://schemas.openxmlformats.org/officeDocument/2006/relationships/hyperlink" Target="http://projetodinamus.com/" TargetMode="External"/><Relationship Id="rId428" Type="http://schemas.openxmlformats.org/officeDocument/2006/relationships/hyperlink" Target="https://crieatividadegestao.com/" TargetMode="External"/><Relationship Id="rId635" Type="http://schemas.openxmlformats.org/officeDocument/2006/relationships/hyperlink" Target="https://drive.google.com/open?id=1KYqRw0c-WVCoRPJJ3W1tbUK15jgBiRpf" TargetMode="External"/><Relationship Id="rId842" Type="http://schemas.openxmlformats.org/officeDocument/2006/relationships/hyperlink" Target="https://www.facebook.com/brigadasolidariaoficial" TargetMode="External"/><Relationship Id="rId1058" Type="http://schemas.openxmlformats.org/officeDocument/2006/relationships/hyperlink" Target="https://www.instagram.com/ongdoriso/" TargetMode="External"/><Relationship Id="rId1265" Type="http://schemas.openxmlformats.org/officeDocument/2006/relationships/hyperlink" Target="https://instagram.com/zpalmares?utm_medium=copy_link." TargetMode="External"/><Relationship Id="rId1472" Type="http://schemas.openxmlformats.org/officeDocument/2006/relationships/hyperlink" Target="https://drive.google.com/open?id=1_AqlSWG7B75w3y_wI0VKGgk3eLLO-P2m" TargetMode="External"/><Relationship Id="rId2109" Type="http://schemas.openxmlformats.org/officeDocument/2006/relationships/hyperlink" Target="http://www.instagram.com/institutopeb" TargetMode="External"/><Relationship Id="rId2316" Type="http://schemas.openxmlformats.org/officeDocument/2006/relationships/hyperlink" Target="https://drive.google.com/open?id=1cuMphtiur0RbGyREj4VoZ2ox_96JlYMh" TargetMode="External"/><Relationship Id="rId2523" Type="http://schemas.openxmlformats.org/officeDocument/2006/relationships/hyperlink" Target="https://www.linkedin.com/in/izabel-porto-88b88149/" TargetMode="External"/><Relationship Id="rId2730" Type="http://schemas.openxmlformats.org/officeDocument/2006/relationships/hyperlink" Target="https://drive.google.com/open?id=1jiV6P1K6hExj57fLJHNuv4VeC7EZQGdW" TargetMode="External"/><Relationship Id="rId702" Type="http://schemas.openxmlformats.org/officeDocument/2006/relationships/hyperlink" Target="https://m.facebook.com/grupodeapoioamulherr/?ref=bookmarks" TargetMode="External"/><Relationship Id="rId1125" Type="http://schemas.openxmlformats.org/officeDocument/2006/relationships/hyperlink" Target="https://drive.google.com/open?id=1AmDpjGBY-qcCIaPUWJMHIDqCeQcAbpfW" TargetMode="External"/><Relationship Id="rId1332" Type="http://schemas.openxmlformats.org/officeDocument/2006/relationships/hyperlink" Target="https://drive.google.com/open?id=1dsEB1j1GC7wiSsx-VpMtBU2bcVu55WgR" TargetMode="External"/><Relationship Id="rId1777" Type="http://schemas.openxmlformats.org/officeDocument/2006/relationships/hyperlink" Target="https://drive.google.com/open?id=1LaN1eWLxhpGFg7KtdDeMbVCwGWq2bHs-" TargetMode="External"/><Relationship Id="rId1984" Type="http://schemas.openxmlformats.org/officeDocument/2006/relationships/hyperlink" Target="https://www.instagram.com/mandaverorg/" TargetMode="External"/><Relationship Id="rId69" Type="http://schemas.openxmlformats.org/officeDocument/2006/relationships/hyperlink" Target="https://www.instagram.com/adesuloficial/" TargetMode="External"/><Relationship Id="rId1637" Type="http://schemas.openxmlformats.org/officeDocument/2006/relationships/hyperlink" Target="https://www.facebook.com/projeto.movimento.para.a.vida" TargetMode="External"/><Relationship Id="rId1844" Type="http://schemas.openxmlformats.org/officeDocument/2006/relationships/hyperlink" Target="https://www.facebook.com/AssociacaoCriancaFelizSorocaba/" TargetMode="External"/><Relationship Id="rId1704" Type="http://schemas.openxmlformats.org/officeDocument/2006/relationships/hyperlink" Target="https://drive.google.com/open?id=1N5VKDh3we_9h_BWl91FIwPHgsDtTEHe5" TargetMode="External"/><Relationship Id="rId285" Type="http://schemas.openxmlformats.org/officeDocument/2006/relationships/hyperlink" Target="https://www.facebook.com/institutopadrealcides" TargetMode="External"/><Relationship Id="rId1911" Type="http://schemas.openxmlformats.org/officeDocument/2006/relationships/hyperlink" Target="https://instagram.com/obomsamaritano_contagem?utm_medium=copy_link" TargetMode="External"/><Relationship Id="rId492" Type="http://schemas.openxmlformats.org/officeDocument/2006/relationships/hyperlink" Target="https://drive.google.com/open?id=1wAcB0BRky3Gooxwdi0iYchTTJZhn7mx-" TargetMode="External"/><Relationship Id="rId797" Type="http://schemas.openxmlformats.org/officeDocument/2006/relationships/hyperlink" Target="http://www.acup.ong.br/" TargetMode="External"/><Relationship Id="rId2173" Type="http://schemas.openxmlformats.org/officeDocument/2006/relationships/hyperlink" Target="https://instagram.com/institutosonharalto?igshid=cmfcehfrlrk4" TargetMode="External"/><Relationship Id="rId2380" Type="http://schemas.openxmlformats.org/officeDocument/2006/relationships/hyperlink" Target="https://drive.google.com/open?id=1qzUXOL60RatI_Bj7rPp1C-FzoeLlV6B-" TargetMode="External"/><Relationship Id="rId2478" Type="http://schemas.openxmlformats.org/officeDocument/2006/relationships/hyperlink" Target="https://ongceleirodebambas.wixsite.com/meusite" TargetMode="External"/><Relationship Id="rId145" Type="http://schemas.openxmlformats.org/officeDocument/2006/relationships/hyperlink" Target="https://drive.google.com/open?id=1fpfIksdH900_BuurckCMOgHirYUskU44" TargetMode="External"/><Relationship Id="rId352" Type="http://schemas.openxmlformats.org/officeDocument/2006/relationships/hyperlink" Target="https://drive.google.com/open?id=1l6ZrhZ1dUxXiJUuaErzUfv9g1EaiQrIW" TargetMode="External"/><Relationship Id="rId1287" Type="http://schemas.openxmlformats.org/officeDocument/2006/relationships/hyperlink" Target="https://drive.google.com/open?id=1eTG3nw-LUc7GGiFz_7bYGHkgN9lS8UVC" TargetMode="External"/><Relationship Id="rId2033" Type="http://schemas.openxmlformats.org/officeDocument/2006/relationships/hyperlink" Target="https://www.youtube.com/channel/UCgZj3oIldyZ7qHmHniADJdQ" TargetMode="External"/><Relationship Id="rId2240" Type="http://schemas.openxmlformats.org/officeDocument/2006/relationships/hyperlink" Target="https://www.atitudeamac.org.br/" TargetMode="External"/><Relationship Id="rId2685" Type="http://schemas.openxmlformats.org/officeDocument/2006/relationships/hyperlink" Target="https://www.immetamorfose.org/" TargetMode="External"/><Relationship Id="rId212" Type="http://schemas.openxmlformats.org/officeDocument/2006/relationships/hyperlink" Target="https://instagram.com/projeto_geracao_gk?utm_medium=copy_link" TargetMode="External"/><Relationship Id="rId657" Type="http://schemas.openxmlformats.org/officeDocument/2006/relationships/hyperlink" Target="https://drive.google.com/open?id=1AynIf551544FkxG2Mnfrx87OBAfsG-cP" TargetMode="External"/><Relationship Id="rId864" Type="http://schemas.openxmlformats.org/officeDocument/2006/relationships/hyperlink" Target="https://www.youtube.com/c/Her%C3%B3isdosLacres" TargetMode="External"/><Relationship Id="rId1494" Type="http://schemas.openxmlformats.org/officeDocument/2006/relationships/hyperlink" Target="https://drive.google.com/open?id=19-vKisNr8wnv_KMI3_eFeeSN1er-8reE" TargetMode="External"/><Relationship Id="rId1799" Type="http://schemas.openxmlformats.org/officeDocument/2006/relationships/hyperlink" Target="https://drive.google.com/open?id=1hMIksQkgjras0E7d-5WiPPdGzGzfgtXi" TargetMode="External"/><Relationship Id="rId2100" Type="http://schemas.openxmlformats.org/officeDocument/2006/relationships/hyperlink" Target="https://www.facebook.com/prototipando.aquebrada/" TargetMode="External"/><Relationship Id="rId2338" Type="http://schemas.openxmlformats.org/officeDocument/2006/relationships/hyperlink" Target="https://www.youtube.com/channel/UCV_wrE-4iqEW3McnfjK5DQg" TargetMode="External"/><Relationship Id="rId2545" Type="http://schemas.openxmlformats.org/officeDocument/2006/relationships/hyperlink" Target="http://criamarmaismuitomais.org/" TargetMode="External"/><Relationship Id="rId517" Type="http://schemas.openxmlformats.org/officeDocument/2006/relationships/hyperlink" Target="https://drive.google.com/open?id=1bdmNKqCt6RnsboBAyuDtASn4MNhIPYdI" TargetMode="External"/><Relationship Id="rId724" Type="http://schemas.openxmlformats.org/officeDocument/2006/relationships/hyperlink" Target="https://drive.google.com/open?id=1_UQNR_8l3l-I6qK_83uJzQA83s_10gJF" TargetMode="External"/><Relationship Id="rId931" Type="http://schemas.openxmlformats.org/officeDocument/2006/relationships/hyperlink" Target="http://cineclubetianilda.com.br/" TargetMode="External"/><Relationship Id="rId1147" Type="http://schemas.openxmlformats.org/officeDocument/2006/relationships/hyperlink" Target="https://drive.google.com/open?id=1DksgdzahZLDt_-WO_VUsfj-S4rf6KVMq" TargetMode="External"/><Relationship Id="rId1354" Type="http://schemas.openxmlformats.org/officeDocument/2006/relationships/hyperlink" Target="https://www.facebook.com/mariadenazareintegracao/" TargetMode="External"/><Relationship Id="rId1561" Type="http://schemas.openxmlformats.org/officeDocument/2006/relationships/hyperlink" Target="https://www.facebook.com/163196560884782/posts/1041204543083975/" TargetMode="External"/><Relationship Id="rId2405" Type="http://schemas.openxmlformats.org/officeDocument/2006/relationships/hyperlink" Target="https://drive.google.com/open?id=1N8BAeszZ0fhxFbOihxJDWOxITvnVTARs" TargetMode="External"/><Relationship Id="rId2612" Type="http://schemas.openxmlformats.org/officeDocument/2006/relationships/hyperlink" Target="https://www.facebook.com/instmiguelftorres/" TargetMode="External"/><Relationship Id="rId60" Type="http://schemas.openxmlformats.org/officeDocument/2006/relationships/hyperlink" Target="http://www.projetoartecor.org/" TargetMode="External"/><Relationship Id="rId1007" Type="http://schemas.openxmlformats.org/officeDocument/2006/relationships/hyperlink" Target="https://www.facebook.com/Brasil-em-A%C3%A7%C3%A3o-181973381984537" TargetMode="External"/><Relationship Id="rId1214" Type="http://schemas.openxmlformats.org/officeDocument/2006/relationships/hyperlink" Target="https://www.youtube.com/channel/UCayBuR0OkFxsQu9HDtXCtvQ" TargetMode="External"/><Relationship Id="rId1421" Type="http://schemas.openxmlformats.org/officeDocument/2006/relationships/hyperlink" Target="http://aeva.com.br/" TargetMode="External"/><Relationship Id="rId1659" Type="http://schemas.openxmlformats.org/officeDocument/2006/relationships/hyperlink" Target="https://drive.google.com/open?id=17hhhfpsJsALqAQlkT3EzWCYAsnieGqPq" TargetMode="External"/><Relationship Id="rId1866" Type="http://schemas.openxmlformats.org/officeDocument/2006/relationships/hyperlink" Target="https://drive.google.com/open?id=151ycPh4wMiJNdVdzM7Xzm1kX5203xb-Z" TargetMode="External"/><Relationship Id="rId1519" Type="http://schemas.openxmlformats.org/officeDocument/2006/relationships/hyperlink" Target="http://www.instagram.com/grupoculturaurbana" TargetMode="External"/><Relationship Id="rId1726" Type="http://schemas.openxmlformats.org/officeDocument/2006/relationships/hyperlink" Target="https://www.facebook.com/nucleodeartesclassicas" TargetMode="External"/><Relationship Id="rId1933" Type="http://schemas.openxmlformats.org/officeDocument/2006/relationships/hyperlink" Target="https://drive.google.com/open?id=1tTKBZWx4KEWJ_wVoT7AgYuk5B5Vv9oNT" TargetMode="External"/><Relationship Id="rId18" Type="http://schemas.openxmlformats.org/officeDocument/2006/relationships/hyperlink" Target="https://www.facebook.com/ongremediar/" TargetMode="External"/><Relationship Id="rId2195" Type="http://schemas.openxmlformats.org/officeDocument/2006/relationships/hyperlink" Target="https://recomecar360.org/" TargetMode="External"/><Relationship Id="rId167" Type="http://schemas.openxmlformats.org/officeDocument/2006/relationships/hyperlink" Target="https://drive.google.com/open?id=14XAfLdNomr8hSIFnf9x2Yhn1M8sTGXbC" TargetMode="External"/><Relationship Id="rId374" Type="http://schemas.openxmlformats.org/officeDocument/2006/relationships/hyperlink" Target="https://drive.google.com/open?id=1AeFApezVMRBNpNxRlH9NN-Y9HBnyk9j_" TargetMode="External"/><Relationship Id="rId581" Type="http://schemas.openxmlformats.org/officeDocument/2006/relationships/hyperlink" Target="https://drive.google.com/open?id=1hQBpRD_UdikM1v2l9lBGHRvAccqUFjVZ" TargetMode="External"/><Relationship Id="rId2055" Type="http://schemas.openxmlformats.org/officeDocument/2006/relationships/hyperlink" Target="https://www.linkedin.com/company/77662235/admin/" TargetMode="External"/><Relationship Id="rId2262" Type="http://schemas.openxmlformats.org/officeDocument/2006/relationships/hyperlink" Target="https://www.youtube.com/channel/UCEj_I6zIAxiwxEohPATkIxA" TargetMode="External"/><Relationship Id="rId234" Type="http://schemas.openxmlformats.org/officeDocument/2006/relationships/hyperlink" Target="https://instagram.com/projetoquerubins2020?utm_medium=copy_link" TargetMode="External"/><Relationship Id="rId679" Type="http://schemas.openxmlformats.org/officeDocument/2006/relationships/hyperlink" Target="https://drive.google.com/open?id=1lVmsrHPXHDxop1ry7V3gMLDE3XwyA7qe" TargetMode="External"/><Relationship Id="rId886" Type="http://schemas.openxmlformats.org/officeDocument/2006/relationships/hyperlink" Target="https://drive.google.com/open?id=1HuweK1YFsrDHFwtBuxEf91G3xNAdHSbc" TargetMode="External"/><Relationship Id="rId2567" Type="http://schemas.openxmlformats.org/officeDocument/2006/relationships/hyperlink" Target="https://instagram.com/institutovidareal?utm_medium=copy_link" TargetMode="External"/><Relationship Id="rId2" Type="http://schemas.openxmlformats.org/officeDocument/2006/relationships/hyperlink" Target="http://www.wix.coletivoayoka.com/" TargetMode="External"/><Relationship Id="rId441" Type="http://schemas.openxmlformats.org/officeDocument/2006/relationships/hyperlink" Target="https://instagram.com/institutobelezainterior?igshid=YmMyMTA2M2Y=" TargetMode="External"/><Relationship Id="rId539" Type="http://schemas.openxmlformats.org/officeDocument/2006/relationships/hyperlink" Target="https://drive.google.com/open?id=1pb2ixX9G4FbAqo2F-wBMO237jneRmhj5" TargetMode="External"/><Relationship Id="rId746" Type="http://schemas.openxmlformats.org/officeDocument/2006/relationships/hyperlink" Target="https://drive.google.com/open?id=1QOw2Us9IMznjW0m2rpwGcWTeOFJOcGol" TargetMode="External"/><Relationship Id="rId1071" Type="http://schemas.openxmlformats.org/officeDocument/2006/relationships/hyperlink" Target="https://www.facebook.com/transformadoressociais/" TargetMode="External"/><Relationship Id="rId1169" Type="http://schemas.openxmlformats.org/officeDocument/2006/relationships/hyperlink" Target="https://drive.google.com/open?id=1d5PRY3KRoDi_nh4p-q72jWVs8zFApl45" TargetMode="External"/><Relationship Id="rId1376" Type="http://schemas.openxmlformats.org/officeDocument/2006/relationships/hyperlink" Target="https://drive.google.com/open?id=1BQEZbmy0HNclhMdXjuRnr89-u8t7y_J9" TargetMode="External"/><Relationship Id="rId1583" Type="http://schemas.openxmlformats.org/officeDocument/2006/relationships/hyperlink" Target="https://drive.google.com/open?id=1klN4pK_RM1GMorCy3YJMPglMRT1xbuW8" TargetMode="External"/><Relationship Id="rId2122" Type="http://schemas.openxmlformats.org/officeDocument/2006/relationships/hyperlink" Target="http://www.zeizadojo.org.br/" TargetMode="External"/><Relationship Id="rId2427" Type="http://schemas.openxmlformats.org/officeDocument/2006/relationships/hyperlink" Target="https://drive.google.com/open?id=1m2hbeYbd0IrUyf3_631MSKcTa174kMU7" TargetMode="External"/><Relationship Id="rId301" Type="http://schemas.openxmlformats.org/officeDocument/2006/relationships/hyperlink" Target="https://drive.google.com/open?id=1sqv9UySk89-EAymZ3QGMncntfUreybVM" TargetMode="External"/><Relationship Id="rId953" Type="http://schemas.openxmlformats.org/officeDocument/2006/relationships/hyperlink" Target="https://instagram.com/@forum_st" TargetMode="External"/><Relationship Id="rId1029" Type="http://schemas.openxmlformats.org/officeDocument/2006/relationships/hyperlink" Target="http://acaomotiro.com.br/" TargetMode="External"/><Relationship Id="rId1236" Type="http://schemas.openxmlformats.org/officeDocument/2006/relationships/hyperlink" Target="https://www.facebook.com/acsvn2016" TargetMode="External"/><Relationship Id="rId1790" Type="http://schemas.openxmlformats.org/officeDocument/2006/relationships/hyperlink" Target="https://drive.google.com/open?id=1YKfT3urNt2_c41x8O49r3CA05gKmUmdr" TargetMode="External"/><Relationship Id="rId1888" Type="http://schemas.openxmlformats.org/officeDocument/2006/relationships/hyperlink" Target="https://drive.google.com/open?id=1gc270v9AQrYurQkH1oYubvo0pYnutXN3" TargetMode="External"/><Relationship Id="rId2634" Type="http://schemas.openxmlformats.org/officeDocument/2006/relationships/hyperlink" Target="https://drive.google.com/open?id=1daywYJZuAz6PV9ZbjwLZFtzns8TslOp-" TargetMode="External"/><Relationship Id="rId82" Type="http://schemas.openxmlformats.org/officeDocument/2006/relationships/hyperlink" Target="https://drive.google.com/open?id=11Bp9j3UpYoF8dOLWPL3RmRyScQtv27l6" TargetMode="External"/><Relationship Id="rId606" Type="http://schemas.openxmlformats.org/officeDocument/2006/relationships/hyperlink" Target="https://www.facebook.com/InstitutoZhaLuArt/?ref=pages_you_manage" TargetMode="External"/><Relationship Id="rId813" Type="http://schemas.openxmlformats.org/officeDocument/2006/relationships/hyperlink" Target="https://www.facebook.com/Projeto-Bayernzinho-104010868001098" TargetMode="External"/><Relationship Id="rId1443" Type="http://schemas.openxmlformats.org/officeDocument/2006/relationships/hyperlink" Target="https://drive.google.com/open?id=1i2Jm_8afNRBioop6m5NGFabSfjd9pXBe" TargetMode="External"/><Relationship Id="rId1650" Type="http://schemas.openxmlformats.org/officeDocument/2006/relationships/hyperlink" Target="https://drive.google.com/open?id=1Y7SyzsvOD8BRDHTyLexHE2Ajkj45Dgne" TargetMode="External"/><Relationship Id="rId1748" Type="http://schemas.openxmlformats.org/officeDocument/2006/relationships/hyperlink" Target="https://www.facebook.com/criancamaisfelizrs" TargetMode="External"/><Relationship Id="rId2701" Type="http://schemas.openxmlformats.org/officeDocument/2006/relationships/hyperlink" Target="https://drive.google.com/open?id=1scoiM8n6jMsifw1eVME_0XZ8BzbysGdh" TargetMode="External"/><Relationship Id="rId1303" Type="http://schemas.openxmlformats.org/officeDocument/2006/relationships/hyperlink" Target="https://drive.google.com/open?id=1RfLDia9iYQExqo9tYGQMC8vQb49FJV-l" TargetMode="External"/><Relationship Id="rId1510" Type="http://schemas.openxmlformats.org/officeDocument/2006/relationships/hyperlink" Target="https://drive.google.com/open?id=1Nw95liPQd__CvRfyH3rDqkPOQ2QBNUrF" TargetMode="External"/><Relationship Id="rId1955" Type="http://schemas.openxmlformats.org/officeDocument/2006/relationships/hyperlink" Target="https://www.instagram.com/" TargetMode="External"/><Relationship Id="rId1608" Type="http://schemas.openxmlformats.org/officeDocument/2006/relationships/hyperlink" Target="https://drive.google.com/open?id=12qjKGYqGFYJGWK0XqZlzN6S0q7CO6cnd" TargetMode="External"/><Relationship Id="rId1815" Type="http://schemas.openxmlformats.org/officeDocument/2006/relationships/hyperlink" Target="https://www.instagram.com/despertandoamorhoje/" TargetMode="External"/><Relationship Id="rId189" Type="http://schemas.openxmlformats.org/officeDocument/2006/relationships/hyperlink" Target="https://drive.google.com/open?id=13B9dmx-r4CpFK4IQmx5ukXURG7EwNm0J" TargetMode="External"/><Relationship Id="rId396" Type="http://schemas.openxmlformats.org/officeDocument/2006/relationships/hyperlink" Target="https://drive.google.com/open?id=1L7w5-VYP5tTAwRzd_8CZIEUPSRG7F2sP" TargetMode="External"/><Relationship Id="rId2077" Type="http://schemas.openxmlformats.org/officeDocument/2006/relationships/hyperlink" Target="https://drive.google.com/open?id=1Uv3cu0nH37IgpJV0eWmwgvS4yC8CCCOA" TargetMode="External"/><Relationship Id="rId2284" Type="http://schemas.openxmlformats.org/officeDocument/2006/relationships/hyperlink" Target="https://drive.google.com/open?id=1OLtcE1n6ZSgoOQRhL0ExuQixBvKM4pWF" TargetMode="External"/><Relationship Id="rId2491" Type="http://schemas.openxmlformats.org/officeDocument/2006/relationships/hyperlink" Target="https://drive.google.com/open?id=13Pz19se1I5HU2XAs0ENnNOd14sC4Qa8g" TargetMode="External"/><Relationship Id="rId256" Type="http://schemas.openxmlformats.org/officeDocument/2006/relationships/hyperlink" Target="https://drive.google.com/open?id=1cxLULci9jUpHEMzpx8905ZthPU4kyLFo" TargetMode="External"/><Relationship Id="rId463" Type="http://schemas.openxmlformats.org/officeDocument/2006/relationships/hyperlink" Target="https://instagram.com/iac.antoniocoelhodecastro?igshid=YmMyMTA2M2Y=" TargetMode="External"/><Relationship Id="rId670" Type="http://schemas.openxmlformats.org/officeDocument/2006/relationships/hyperlink" Target="http://www.clubedeajuda.com.br/" TargetMode="External"/><Relationship Id="rId1093" Type="http://schemas.openxmlformats.org/officeDocument/2006/relationships/hyperlink" Target="https://rcflanatanpa.wixsite.com/lanatanpa" TargetMode="External"/><Relationship Id="rId2144" Type="http://schemas.openxmlformats.org/officeDocument/2006/relationships/hyperlink" Target="https://drive.google.com/open?id=1XzJ_BzT7B033T4CPOnVdreMyt7sSh8NN" TargetMode="External"/><Relationship Id="rId2351" Type="http://schemas.openxmlformats.org/officeDocument/2006/relationships/hyperlink" Target="https://www.facebook.com/kyriuscia" TargetMode="External"/><Relationship Id="rId2589" Type="http://schemas.openxmlformats.org/officeDocument/2006/relationships/hyperlink" Target="https://drive.google.com/open?id=17sXkOKJLIM_ItstVT7wqEflL9K1JMZ_V" TargetMode="External"/><Relationship Id="rId116" Type="http://schemas.openxmlformats.org/officeDocument/2006/relationships/hyperlink" Target="https://drive.google.com/open?id=1hUUSHdMbq647D1BbPSr7aI6BMh_5bj-b" TargetMode="External"/><Relationship Id="rId323" Type="http://schemas.openxmlformats.org/officeDocument/2006/relationships/hyperlink" Target="http://www.sementesdofuturo.com.br/" TargetMode="External"/><Relationship Id="rId530" Type="http://schemas.openxmlformats.org/officeDocument/2006/relationships/hyperlink" Target="https://drive.google.com/open?id=1aSt_x4UvUNU4hL10Et5pli3FEXwI1K1W" TargetMode="External"/><Relationship Id="rId768" Type="http://schemas.openxmlformats.org/officeDocument/2006/relationships/hyperlink" Target="https://drive.google.com/open?id=1HW2Twv-1M3zqLQu4rbwNPj1MD-uXr6YN" TargetMode="External"/><Relationship Id="rId975" Type="http://schemas.openxmlformats.org/officeDocument/2006/relationships/hyperlink" Target="https://drive.google.com/open?id=1YLmCySliWkKzvgDyvtMjREB3sUONC27Q" TargetMode="External"/><Relationship Id="rId1160" Type="http://schemas.openxmlformats.org/officeDocument/2006/relationships/hyperlink" Target="https://drive.google.com/open?id=18gVfjq3zivKWO8sGsgOBvKLkggS4liDg" TargetMode="External"/><Relationship Id="rId1398" Type="http://schemas.openxmlformats.org/officeDocument/2006/relationships/hyperlink" Target="https://pt-br.facebook.com/people/Mulekietu-Cachoeira/100004226498319" TargetMode="External"/><Relationship Id="rId2004" Type="http://schemas.openxmlformats.org/officeDocument/2006/relationships/hyperlink" Target="https://drive.google.com/open?id=1gzd7Ko3zFTJv4chYKPKBb135rFfMNWCa" TargetMode="External"/><Relationship Id="rId2211" Type="http://schemas.openxmlformats.org/officeDocument/2006/relationships/hyperlink" Target="https://www.instagram.com/institutoesportemais/" TargetMode="External"/><Relationship Id="rId2449" Type="http://schemas.openxmlformats.org/officeDocument/2006/relationships/hyperlink" Target="https://drive.google.com/open?id=1TM-U2vsKclRo8juJHWM1JJx8PWSzUAZC" TargetMode="External"/><Relationship Id="rId2656" Type="http://schemas.openxmlformats.org/officeDocument/2006/relationships/hyperlink" Target="https://m.facebook.com/projetopontecp-100269195233511/?ref=page_internal" TargetMode="External"/><Relationship Id="rId628" Type="http://schemas.openxmlformats.org/officeDocument/2006/relationships/hyperlink" Target="https://www.instagram.com/p/Cd89P8rJwBN/?igshid=MDJmNzVkMjY=" TargetMode="External"/><Relationship Id="rId835" Type="http://schemas.openxmlformats.org/officeDocument/2006/relationships/hyperlink" Target="https://www.facebook.com/WATERisLIFEBrasil" TargetMode="External"/><Relationship Id="rId1258" Type="http://schemas.openxmlformats.org/officeDocument/2006/relationships/hyperlink" Target="http://www.conforme.org.br/" TargetMode="External"/><Relationship Id="rId1465" Type="http://schemas.openxmlformats.org/officeDocument/2006/relationships/hyperlink" Target="https://www.youtube.com/c/InstitutoFlorianoPe%C3%A7anhadosSantos" TargetMode="External"/><Relationship Id="rId1672" Type="http://schemas.openxmlformats.org/officeDocument/2006/relationships/hyperlink" Target="http://vovovitorino.org.br/" TargetMode="External"/><Relationship Id="rId2309" Type="http://schemas.openxmlformats.org/officeDocument/2006/relationships/hyperlink" Target="https://drive.google.com/open?id=16tF8uHc5HPFnY0dTYt5fX4Zln4Xu3uVV" TargetMode="External"/><Relationship Id="rId2516" Type="http://schemas.openxmlformats.org/officeDocument/2006/relationships/hyperlink" Target="https://drive.google.com/open?id=1tqaCEqbZ5KtnevVD0-k3wcBSQc25U9bR" TargetMode="External"/><Relationship Id="rId2723" Type="http://schemas.openxmlformats.org/officeDocument/2006/relationships/hyperlink" Target="https://www.youtube.com/channel/UCEwz6MG95c9KWmPYfXeQB5A" TargetMode="External"/><Relationship Id="rId1020" Type="http://schemas.openxmlformats.org/officeDocument/2006/relationships/hyperlink" Target="http://www.tonkiri.org.br/" TargetMode="External"/><Relationship Id="rId1118" Type="http://schemas.openxmlformats.org/officeDocument/2006/relationships/hyperlink" Target="https://drive.google.com/open?id=1VA2qUD1EWr2NpuOhtMw8voTzQyvdsc0c" TargetMode="External"/><Relationship Id="rId1325" Type="http://schemas.openxmlformats.org/officeDocument/2006/relationships/hyperlink" Target="https://drive.google.com/open?id=1OmSMv_SUdxIStlIDfnZHkA8gq3-UpoEd" TargetMode="External"/><Relationship Id="rId1532" Type="http://schemas.openxmlformats.org/officeDocument/2006/relationships/hyperlink" Target="https://www.instagram.com/institutoamemais/" TargetMode="External"/><Relationship Id="rId1977" Type="http://schemas.openxmlformats.org/officeDocument/2006/relationships/hyperlink" Target="https://www.youtube.com/channel/UC1R1BLBHQyCWqZS9nGca25g" TargetMode="External"/><Relationship Id="rId902" Type="http://schemas.openxmlformats.org/officeDocument/2006/relationships/hyperlink" Target="https://drive.google.com/open?id=18r93P0K0NDwPI3UIGyJ_EiQYaWpST4wt" TargetMode="External"/><Relationship Id="rId1837" Type="http://schemas.openxmlformats.org/officeDocument/2006/relationships/hyperlink" Target="https://youtu.be/AoqSDyBrsLs" TargetMode="External"/><Relationship Id="rId31" Type="http://schemas.openxmlformats.org/officeDocument/2006/relationships/hyperlink" Target="https://drive.google.com/open?id=1VXRYGTLOfgiY4QOi0_jeR6QBG_lYv3Yu" TargetMode="External"/><Relationship Id="rId2099" Type="http://schemas.openxmlformats.org/officeDocument/2006/relationships/hyperlink" Target="https://www.instagram.com/prototipandoaquebrada/" TargetMode="External"/><Relationship Id="rId180" Type="http://schemas.openxmlformats.org/officeDocument/2006/relationships/hyperlink" Target="https://drive.google.com/open?id=12l8ezgpp1qanToDFVKkP5Ht75WF2oT-H" TargetMode="External"/><Relationship Id="rId278" Type="http://schemas.openxmlformats.org/officeDocument/2006/relationships/hyperlink" Target="https://drive.google.com/open?id=1wSNwLY9XT229j5JBM35NX-nlbqA-y7TE" TargetMode="External"/><Relationship Id="rId1904" Type="http://schemas.openxmlformats.org/officeDocument/2006/relationships/hyperlink" Target="http://www.apatmg.org/" TargetMode="External"/><Relationship Id="rId485" Type="http://schemas.openxmlformats.org/officeDocument/2006/relationships/hyperlink" Target="https://drive.google.com/open?id=13Z20RWdm26Z-B52up30CRZVPZxJSZKvT" TargetMode="External"/><Relationship Id="rId692" Type="http://schemas.openxmlformats.org/officeDocument/2006/relationships/hyperlink" Target="https://drive.google.com/open?id=1nrpYpvGLud-OzqqhFZiCwWYW-P7re43V" TargetMode="External"/><Relationship Id="rId2166" Type="http://schemas.openxmlformats.org/officeDocument/2006/relationships/hyperlink" Target="https://instagram.com/valquiriasworld?utm_medium=copy_link" TargetMode="External"/><Relationship Id="rId2373" Type="http://schemas.openxmlformats.org/officeDocument/2006/relationships/hyperlink" Target="https://drive.google.com/open?id=1yI4nc_xX4_5QM2Wh6hkzkskS4aSXK9Zw" TargetMode="External"/><Relationship Id="rId2580" Type="http://schemas.openxmlformats.org/officeDocument/2006/relationships/hyperlink" Target="https://drive.google.com/open?id=1pDkJZ5fOsV3rGW--tkt_qcY-jhNexEpY" TargetMode="External"/><Relationship Id="rId138" Type="http://schemas.openxmlformats.org/officeDocument/2006/relationships/hyperlink" Target="https://drive.google.com/open?id=1i2u9BJUQcIsD_WF3deEP3A2kmyYwqcD3" TargetMode="External"/><Relationship Id="rId345" Type="http://schemas.openxmlformats.org/officeDocument/2006/relationships/hyperlink" Target="https://drive.google.com/open?id=1DMMKdufDHcI_UASpqNC-uBcok3y9zmGK" TargetMode="External"/><Relationship Id="rId552" Type="http://schemas.openxmlformats.org/officeDocument/2006/relationships/hyperlink" Target="https://drive.google.com/open?id=1BlwwRmZXfOTP5b2u9y-YmODarLuHG9Vz" TargetMode="External"/><Relationship Id="rId997" Type="http://schemas.openxmlformats.org/officeDocument/2006/relationships/hyperlink" Target="https://drive.google.com/open?id=1mBhF7Iu1fjUW5hOPIy8Mv0JHFG78GoMC" TargetMode="External"/><Relationship Id="rId1182" Type="http://schemas.openxmlformats.org/officeDocument/2006/relationships/hyperlink" Target="https://www.facebook.com/resgateumavid/" TargetMode="External"/><Relationship Id="rId2026" Type="http://schemas.openxmlformats.org/officeDocument/2006/relationships/hyperlink" Target="https://www.facebook.com/companhiade.dkatianapena/" TargetMode="External"/><Relationship Id="rId2233" Type="http://schemas.openxmlformats.org/officeDocument/2006/relationships/hyperlink" Target="https://www.facebook.com/rugbyparatodos" TargetMode="External"/><Relationship Id="rId2440" Type="http://schemas.openxmlformats.org/officeDocument/2006/relationships/hyperlink" Target="https://ier.org.br/" TargetMode="External"/><Relationship Id="rId2678" Type="http://schemas.openxmlformats.org/officeDocument/2006/relationships/hyperlink" Target="https://drive.google.com/open?id=1CSBZVPVBuH8Q0_GeLVxok2UrrhfUCsEL" TargetMode="External"/><Relationship Id="rId205" Type="http://schemas.openxmlformats.org/officeDocument/2006/relationships/hyperlink" Target="https://drive.google.com/open?id=1MZLWQEzgb_GT4ZSS4M-y1K_9TG5faFk4" TargetMode="External"/><Relationship Id="rId412" Type="http://schemas.openxmlformats.org/officeDocument/2006/relationships/hyperlink" Target="https://drive.google.com/open?id=1BlMVBuu9JWn9lEOhM9HmZ-597CED5S93" TargetMode="External"/><Relationship Id="rId857" Type="http://schemas.openxmlformats.org/officeDocument/2006/relationships/hyperlink" Target="https://instagram.com/institutobatistapr.s?igshid=YmMyMTA2M2Y=" TargetMode="External"/><Relationship Id="rId1042" Type="http://schemas.openxmlformats.org/officeDocument/2006/relationships/hyperlink" Target="https://www.youtube.com/channel/UC0UfWYgQMne2JKoq-WQhG4g/featured" TargetMode="External"/><Relationship Id="rId1487" Type="http://schemas.openxmlformats.org/officeDocument/2006/relationships/hyperlink" Target="https://drive.google.com/open?id=1uJfjrcl1-iDYR5fExQv8zCWObUC7MRx7" TargetMode="External"/><Relationship Id="rId1694" Type="http://schemas.openxmlformats.org/officeDocument/2006/relationships/hyperlink" Target="https://drive.google.com/open?id=1bum4pHCksV_61G1eXbnf8pW_6BTwthET" TargetMode="External"/><Relationship Id="rId2300" Type="http://schemas.openxmlformats.org/officeDocument/2006/relationships/hyperlink" Target="https://drive.google.com/open?id=1QIjsY-G34JC2kqnrbQcVhmfmLAEoKHo8" TargetMode="External"/><Relationship Id="rId2538" Type="http://schemas.openxmlformats.org/officeDocument/2006/relationships/hyperlink" Target="https://drive.google.com/open?id=1H0k9S3Nqn1uv3JbjXgTmE4s1RZIfJ20Z" TargetMode="External"/><Relationship Id="rId717" Type="http://schemas.openxmlformats.org/officeDocument/2006/relationships/hyperlink" Target="http://www.leresaber.org/" TargetMode="External"/><Relationship Id="rId924" Type="http://schemas.openxmlformats.org/officeDocument/2006/relationships/hyperlink" Target="https://drive.google.com/open?id=14Nvrzuvei0Tet-LfXnEx_Z7htsTFeBU9" TargetMode="External"/><Relationship Id="rId1347" Type="http://schemas.openxmlformats.org/officeDocument/2006/relationships/hyperlink" Target="https://www.facebook.com/cegas.complexoencanto" TargetMode="External"/><Relationship Id="rId1554" Type="http://schemas.openxmlformats.org/officeDocument/2006/relationships/hyperlink" Target="https://www.facebook.com/CRECHEMATERNALCANTINHODABELINHA/" TargetMode="External"/><Relationship Id="rId1761" Type="http://schemas.openxmlformats.org/officeDocument/2006/relationships/hyperlink" Target="http://www.instagram.com/ongfelizcidade" TargetMode="External"/><Relationship Id="rId1999" Type="http://schemas.openxmlformats.org/officeDocument/2006/relationships/hyperlink" Target="https://www.institutoincanto.org.br/" TargetMode="External"/><Relationship Id="rId2605" Type="http://schemas.openxmlformats.org/officeDocument/2006/relationships/hyperlink" Target="http://www.facebook.com/casadebarro.org" TargetMode="External"/><Relationship Id="rId53" Type="http://schemas.openxmlformats.org/officeDocument/2006/relationships/hyperlink" Target="https://drive.google.com/open?id=1PQaTqhHS38ksy7MCUI7f0zpECXnqFq3O" TargetMode="External"/><Relationship Id="rId1207" Type="http://schemas.openxmlformats.org/officeDocument/2006/relationships/hyperlink" Target="https://ynaweb.com.br/" TargetMode="External"/><Relationship Id="rId1414" Type="http://schemas.openxmlformats.org/officeDocument/2006/relationships/hyperlink" Target="https://www.instagram.com/jampainvisivel/" TargetMode="External"/><Relationship Id="rId1621" Type="http://schemas.openxmlformats.org/officeDocument/2006/relationships/hyperlink" Target="https://youtube.com/channel/UCHr_9ypwVFA83kwznecoln" TargetMode="External"/><Relationship Id="rId1859" Type="http://schemas.openxmlformats.org/officeDocument/2006/relationships/hyperlink" Target="https://drive.google.com/open?id=1MlfLVUKrqabz-ta0s_Fx9FQ7MbAzS7P5" TargetMode="External"/><Relationship Id="rId1719" Type="http://schemas.openxmlformats.org/officeDocument/2006/relationships/hyperlink" Target="https://www.instagram.com/pequenocidadaoong/" TargetMode="External"/><Relationship Id="rId1926" Type="http://schemas.openxmlformats.org/officeDocument/2006/relationships/hyperlink" Target="https://drive.google.com/open?id=1GG6nQFq94s-X4abtUP2IWEh3hvq0FMgP" TargetMode="External"/><Relationship Id="rId2090" Type="http://schemas.openxmlformats.org/officeDocument/2006/relationships/hyperlink" Target="https://solidarios-se.com/projeto-social/instituto-rahamim/" TargetMode="External"/><Relationship Id="rId2188" Type="http://schemas.openxmlformats.org/officeDocument/2006/relationships/hyperlink" Target="https://www.facebook.com/familiacriativadocampo/" TargetMode="External"/><Relationship Id="rId2395" Type="http://schemas.openxmlformats.org/officeDocument/2006/relationships/hyperlink" Target="https://drive.google.com/open?id=1YDsaAY_pVYNlnoRb5HaeQA-FOgvKFdw7" TargetMode="External"/><Relationship Id="rId367" Type="http://schemas.openxmlformats.org/officeDocument/2006/relationships/hyperlink" Target="https://instagram.com/trazemossorrisos?igshid=YmMyMTA2M2Y=" TargetMode="External"/><Relationship Id="rId574" Type="http://schemas.openxmlformats.org/officeDocument/2006/relationships/hyperlink" Target="https://www.instagram.com/invites/contact/?i=m3nmenethjkc&amp;utm_content=4rngjpt" TargetMode="External"/><Relationship Id="rId2048" Type="http://schemas.openxmlformats.org/officeDocument/2006/relationships/hyperlink" Target="https://www.projetonovossonhos.com.br/" TargetMode="External"/><Relationship Id="rId2255" Type="http://schemas.openxmlformats.org/officeDocument/2006/relationships/hyperlink" Target="https://drive.google.com/open?id=1hIapoJeTnqgDJ_54KbqzLycql3FnDQdQ" TargetMode="External"/><Relationship Id="rId227" Type="http://schemas.openxmlformats.org/officeDocument/2006/relationships/hyperlink" Target="https://drive.google.com/open?id=1tL15wYJcz6TC7K9PfoqIIXzdL6thCGYi" TargetMode="External"/><Relationship Id="rId781" Type="http://schemas.openxmlformats.org/officeDocument/2006/relationships/hyperlink" Target="http://www.abrauldastintas.org/" TargetMode="External"/><Relationship Id="rId879" Type="http://schemas.openxmlformats.org/officeDocument/2006/relationships/hyperlink" Target="http://www.institutonawa.org/" TargetMode="External"/><Relationship Id="rId2462" Type="http://schemas.openxmlformats.org/officeDocument/2006/relationships/hyperlink" Target="https://drive.google.com/open?id=1zD7ZKgdUwrtS9dEClSLjqY61hKCZX4jk" TargetMode="External"/><Relationship Id="rId434" Type="http://schemas.openxmlformats.org/officeDocument/2006/relationships/hyperlink" Target="https://drive.google.com/open?id=1IHHzy-6zXeMjZT0QWDJZmBOAplIuj28O" TargetMode="External"/><Relationship Id="rId641" Type="http://schemas.openxmlformats.org/officeDocument/2006/relationships/hyperlink" Target="https://drive.google.com/open?id=1ns6fUVzgk1qxQWnB2TMQHGzvuXtJIsv9" TargetMode="External"/><Relationship Id="rId739" Type="http://schemas.openxmlformats.org/officeDocument/2006/relationships/hyperlink" Target="https://drive.google.com/open?id=1PJ_E1Ovv9ZvAvxLVNN0GxdICtSGoL3jn" TargetMode="External"/><Relationship Id="rId1064" Type="http://schemas.openxmlformats.org/officeDocument/2006/relationships/hyperlink" Target="https://youtube.com/c/Transformar" TargetMode="External"/><Relationship Id="rId1271" Type="http://schemas.openxmlformats.org/officeDocument/2006/relationships/hyperlink" Target="https://drive.google.com/open?id=1L5eJ1lXp7Ff-pCZlWWVWC3chkN3iSGct" TargetMode="External"/><Relationship Id="rId1369" Type="http://schemas.openxmlformats.org/officeDocument/2006/relationships/hyperlink" Target="https://drive.google.com/open?id=1JF9nzslQjdOiP7uhQboXrSNV721DRLqZ" TargetMode="External"/><Relationship Id="rId1576" Type="http://schemas.openxmlformats.org/officeDocument/2006/relationships/hyperlink" Target="https://drive.google.com/open?id=18RiPSqVNM8n44Q2nd4gr9gaF-r2ytIJ3" TargetMode="External"/><Relationship Id="rId2115" Type="http://schemas.openxmlformats.org/officeDocument/2006/relationships/hyperlink" Target="https://www.instagram.com/p/CSg1rfsrtU3/?utm_medium=copy_link" TargetMode="External"/><Relationship Id="rId2322" Type="http://schemas.openxmlformats.org/officeDocument/2006/relationships/hyperlink" Target="https://drive.google.com/open?id=1zu74HyMwMoScn1aLcBpy-dgb4NB8ZlJh" TargetMode="External"/><Relationship Id="rId501" Type="http://schemas.openxmlformats.org/officeDocument/2006/relationships/hyperlink" Target="https://drive.google.com/open?id=1riekplD1bA2xI6zFfs5JJPRqqCKix1mu" TargetMode="External"/><Relationship Id="rId946" Type="http://schemas.openxmlformats.org/officeDocument/2006/relationships/hyperlink" Target="https://drive.google.com/open?id=1rns9GS2Eb8D2ugss4Ig911HZQMffGfQj" TargetMode="External"/><Relationship Id="rId1131" Type="http://schemas.openxmlformats.org/officeDocument/2006/relationships/hyperlink" Target="https://www.instagram.com/institutoconquistsorrisos/" TargetMode="External"/><Relationship Id="rId1229" Type="http://schemas.openxmlformats.org/officeDocument/2006/relationships/hyperlink" Target="http://www.facebook.com/iydbrasil" TargetMode="External"/><Relationship Id="rId1783" Type="http://schemas.openxmlformats.org/officeDocument/2006/relationships/hyperlink" Target="https://drive.google.com/open?id=1raFpbpwdIGB8k9OTnkfAqgMhUa3T6763" TargetMode="External"/><Relationship Id="rId1990" Type="http://schemas.openxmlformats.org/officeDocument/2006/relationships/hyperlink" Target="https://doacao.umchuteparaofuturo.org.br/" TargetMode="External"/><Relationship Id="rId2627" Type="http://schemas.openxmlformats.org/officeDocument/2006/relationships/hyperlink" Target="https://www.youtube.com/channel/UChBi3s1s1UGQtyQ88TCNVyg" TargetMode="External"/><Relationship Id="rId75" Type="http://schemas.openxmlformats.org/officeDocument/2006/relationships/hyperlink" Target="https://www.instagram.com/forcajovem.km20/" TargetMode="External"/><Relationship Id="rId806" Type="http://schemas.openxmlformats.org/officeDocument/2006/relationships/hyperlink" Target="https://www.instagram.com/abchiphopkids20/" TargetMode="External"/><Relationship Id="rId1436" Type="http://schemas.openxmlformats.org/officeDocument/2006/relationships/hyperlink" Target="https://empregamais.org/" TargetMode="External"/><Relationship Id="rId1643" Type="http://schemas.openxmlformats.org/officeDocument/2006/relationships/hyperlink" Target="https://www.facebook.com/associacaoinfam/" TargetMode="External"/><Relationship Id="rId1850" Type="http://schemas.openxmlformats.org/officeDocument/2006/relationships/hyperlink" Target="https://www.instagram.com/p/CQ0A_RkFHqL/?utm_medium=copy_link" TargetMode="External"/><Relationship Id="rId1503" Type="http://schemas.openxmlformats.org/officeDocument/2006/relationships/hyperlink" Target="http://www.projetoefraim.com.br/" TargetMode="External"/><Relationship Id="rId1710" Type="http://schemas.openxmlformats.org/officeDocument/2006/relationships/hyperlink" Target="http://www.mariajoaodedeus.com.br/" TargetMode="External"/><Relationship Id="rId1948" Type="http://schemas.openxmlformats.org/officeDocument/2006/relationships/hyperlink" Target="http://www.projetomotivar.com.br/" TargetMode="External"/><Relationship Id="rId291" Type="http://schemas.openxmlformats.org/officeDocument/2006/relationships/hyperlink" Target="https://www.instagram.com/institutoagapemanaus/" TargetMode="External"/><Relationship Id="rId1808" Type="http://schemas.openxmlformats.org/officeDocument/2006/relationships/hyperlink" Target="https://drive.google.com/open?id=1686rNM5vrtHo5e2_CqaDfVKtdmrQXl6T" TargetMode="External"/><Relationship Id="rId151" Type="http://schemas.openxmlformats.org/officeDocument/2006/relationships/hyperlink" Target="https://drive.google.com/open?id=14iTZxFiMClg0cK9zumSgzAA_hYsdZybm" TargetMode="External"/><Relationship Id="rId389" Type="http://schemas.openxmlformats.org/officeDocument/2006/relationships/hyperlink" Target="https://drive.google.com/open?id=1s3NMrpURqP0RXmP8kNZD-49YNwnxweI7" TargetMode="External"/><Relationship Id="rId596" Type="http://schemas.openxmlformats.org/officeDocument/2006/relationships/hyperlink" Target="https://www.instagram.com/aurora_basketball/" TargetMode="External"/><Relationship Id="rId2277" Type="http://schemas.openxmlformats.org/officeDocument/2006/relationships/hyperlink" Target="https://drive.google.com/open?id=1MuMOA7rqB7OyQ4WhDy8AL4lMIJXYqfFf" TargetMode="External"/><Relationship Id="rId2484" Type="http://schemas.openxmlformats.org/officeDocument/2006/relationships/hyperlink" Target="https://drive.google.com/open?id=1GdP97Ghka2w7gDhm3_3jtBFIxjGHakPM" TargetMode="External"/><Relationship Id="rId2691" Type="http://schemas.openxmlformats.org/officeDocument/2006/relationships/hyperlink" Target="https://drive.google.com/open?id=1NxWZMB_PLoC5iTZDXbj2S28a-DQuFrKD" TargetMode="External"/><Relationship Id="rId249" Type="http://schemas.openxmlformats.org/officeDocument/2006/relationships/hyperlink" Target="https://youtube.com/channel/UCz1GVDZ2TFNrX38j-YhLycg" TargetMode="External"/><Relationship Id="rId456" Type="http://schemas.openxmlformats.org/officeDocument/2006/relationships/hyperlink" Target="https://drive.google.com/open?id=1KlzucbRQbHBYPNq1K3rQPVvGQCYAR6xj" TargetMode="External"/><Relationship Id="rId663" Type="http://schemas.openxmlformats.org/officeDocument/2006/relationships/hyperlink" Target="https://drive.google.com/open?id=1BpISKx2rCaPwQbh-V2MevPue2FkysJn8" TargetMode="External"/><Relationship Id="rId870" Type="http://schemas.openxmlformats.org/officeDocument/2006/relationships/hyperlink" Target="https://drive.google.com/open?id=1MyiBJLVn3xhg-eW0UO7qyJhl5FYR9SFA" TargetMode="External"/><Relationship Id="rId1086" Type="http://schemas.openxmlformats.org/officeDocument/2006/relationships/hyperlink" Target="https://drive.google.com/open?id=10pv5q0YNzkxdScJnTTFaPldeTJVHi8BM" TargetMode="External"/><Relationship Id="rId1293" Type="http://schemas.openxmlformats.org/officeDocument/2006/relationships/hyperlink" Target="https://instagram.com/__daydias?igshid=YmMyMTA2M2Y=" TargetMode="External"/><Relationship Id="rId2137" Type="http://schemas.openxmlformats.org/officeDocument/2006/relationships/hyperlink" Target="https://youtube.com/channel/UCkmXwLqOxSzacr634Ina18g" TargetMode="External"/><Relationship Id="rId2344" Type="http://schemas.openxmlformats.org/officeDocument/2006/relationships/hyperlink" Target="https://drive.google.com/open?id=1TmrmPYJLLo-bfGgo5TYgoUyr4f2k8gQw" TargetMode="External"/><Relationship Id="rId2551" Type="http://schemas.openxmlformats.org/officeDocument/2006/relationships/hyperlink" Target="https://drive.google.com/open?id=16e8xdpnmh5gHJ7_KmfRGbRJp-0XX5HV7" TargetMode="External"/><Relationship Id="rId109" Type="http://schemas.openxmlformats.org/officeDocument/2006/relationships/hyperlink" Target="https://instagram.com/amiguinhosdejesuscurio?igshid=YmMyMTA2M2Y=" TargetMode="External"/><Relationship Id="rId316" Type="http://schemas.openxmlformats.org/officeDocument/2006/relationships/hyperlink" Target="https://instituto-batucando-esperanca.vercel.app/" TargetMode="External"/><Relationship Id="rId523" Type="http://schemas.openxmlformats.org/officeDocument/2006/relationships/hyperlink" Target="https://www.instagram.com/donaobra.arq/" TargetMode="External"/><Relationship Id="rId968" Type="http://schemas.openxmlformats.org/officeDocument/2006/relationships/hyperlink" Target="https://www.facebook.com/institutoagapemanaus" TargetMode="External"/><Relationship Id="rId1153" Type="http://schemas.openxmlformats.org/officeDocument/2006/relationships/hyperlink" Target="https://www.youtube.com/channel/UCXv8JDn3KPb6iCFrKIkxBMA" TargetMode="External"/><Relationship Id="rId1598" Type="http://schemas.openxmlformats.org/officeDocument/2006/relationships/hyperlink" Target="https://www.facebook.com/alex.teodoro.397" TargetMode="External"/><Relationship Id="rId2204" Type="http://schemas.openxmlformats.org/officeDocument/2006/relationships/hyperlink" Target="https://instagram.com/mensageirosdaesperancaong?utm_medium=copy_link" TargetMode="External"/><Relationship Id="rId2649" Type="http://schemas.openxmlformats.org/officeDocument/2006/relationships/hyperlink" Target="https://instagram.com/projetobodyboardpara?utm_medium=copy_link" TargetMode="External"/><Relationship Id="rId97" Type="http://schemas.openxmlformats.org/officeDocument/2006/relationships/hyperlink" Target="https://drive.google.com/open?id=1FVcbYe0WP_9WFxa3iomVRjXKD_qsBFfW" TargetMode="External"/><Relationship Id="rId730" Type="http://schemas.openxmlformats.org/officeDocument/2006/relationships/hyperlink" Target="https://drive.google.com/open?id=1STHbLqZicNcHMw45ZnPMKoos_eO156yt" TargetMode="External"/><Relationship Id="rId828" Type="http://schemas.openxmlformats.org/officeDocument/2006/relationships/hyperlink" Target="http://www.facebook.com/ism.instituto/" TargetMode="External"/><Relationship Id="rId1013" Type="http://schemas.openxmlformats.org/officeDocument/2006/relationships/hyperlink" Target="https://instagram.com/institutopelicano?utm_medium=copy_link" TargetMode="External"/><Relationship Id="rId1360" Type="http://schemas.openxmlformats.org/officeDocument/2006/relationships/hyperlink" Target="https://www.instagram.com/patrulhadobem1?r=nametag" TargetMode="External"/><Relationship Id="rId1458" Type="http://schemas.openxmlformats.org/officeDocument/2006/relationships/hyperlink" Target="https://www.instagram.com/p/CbiMXoAL9qN/?utm_medium=copy_link" TargetMode="External"/><Relationship Id="rId1665" Type="http://schemas.openxmlformats.org/officeDocument/2006/relationships/hyperlink" Target="https://www.youtube.com/channel/UC7WFV0uu9d-FuhVtAXcAFOw" TargetMode="External"/><Relationship Id="rId1872" Type="http://schemas.openxmlformats.org/officeDocument/2006/relationships/hyperlink" Target="https://drive.google.com/open?id=1_55SPfb9FNYIfpU4XubGXsodbN_nEpOk" TargetMode="External"/><Relationship Id="rId2411" Type="http://schemas.openxmlformats.org/officeDocument/2006/relationships/hyperlink" Target="http://institutomeduca.org/" TargetMode="External"/><Relationship Id="rId2509" Type="http://schemas.openxmlformats.org/officeDocument/2006/relationships/hyperlink" Target="https://drive.google.com/open?id=1fLVRvLNPGpqsXMKXlFW_s9yiU2ssJUGu" TargetMode="External"/><Relationship Id="rId2716" Type="http://schemas.openxmlformats.org/officeDocument/2006/relationships/hyperlink" Target="https://drive.google.com/open?id=1e2NX0Fpdt9Hz0nHzBj7HGFxk4xVFxSWC" TargetMode="External"/><Relationship Id="rId1220" Type="http://schemas.openxmlformats.org/officeDocument/2006/relationships/hyperlink" Target="https://www.instagram.com/manganga_hugueney/" TargetMode="External"/><Relationship Id="rId1318" Type="http://schemas.openxmlformats.org/officeDocument/2006/relationships/hyperlink" Target="https://drive.google.com/open?id=1aWZ73Wst-GfaWuRkkf4inMwackXNZnwN" TargetMode="External"/><Relationship Id="rId1525" Type="http://schemas.openxmlformats.org/officeDocument/2006/relationships/hyperlink" Target="http://www.favelaemdesenvolvimento.org/" TargetMode="External"/><Relationship Id="rId1732" Type="http://schemas.openxmlformats.org/officeDocument/2006/relationships/hyperlink" Target="https://www.instagram.com/elisabethbruyere/" TargetMode="External"/><Relationship Id="rId24" Type="http://schemas.openxmlformats.org/officeDocument/2006/relationships/hyperlink" Target="https://drive.google.com/open?id=1ObWVo8KwsLeKrmSOAKvkkqGuPX5VNr1c" TargetMode="External"/><Relationship Id="rId2299" Type="http://schemas.openxmlformats.org/officeDocument/2006/relationships/hyperlink" Target="https://youtube.com/c/DonaAnt%C3%B4niaTV" TargetMode="External"/><Relationship Id="rId173" Type="http://schemas.openxmlformats.org/officeDocument/2006/relationships/hyperlink" Target="https://drive.google.com/open?id=1PLa4Bdr-1fwnuidp4zWaLCo3lONzTozv" TargetMode="External"/><Relationship Id="rId380" Type="http://schemas.openxmlformats.org/officeDocument/2006/relationships/hyperlink" Target="https://www.facebook.com/amigosdasopadealagoas" TargetMode="External"/><Relationship Id="rId2061" Type="http://schemas.openxmlformats.org/officeDocument/2006/relationships/hyperlink" Target="https://drive.google.com/open?id=19PaYdS_xU8wYUv6O8-6mErVd6qD36OYX" TargetMode="External"/><Relationship Id="rId240" Type="http://schemas.openxmlformats.org/officeDocument/2006/relationships/hyperlink" Target="https://drive.google.com/open?id=15u54ZgoknlO-Q0PGjPc9ArZlMoY31DZe" TargetMode="External"/><Relationship Id="rId478" Type="http://schemas.openxmlformats.org/officeDocument/2006/relationships/hyperlink" Target="https://drive.google.com/open?id=1Pj26M6U3Eo-6BopSM8i2xArUuOsHKlZh" TargetMode="External"/><Relationship Id="rId685" Type="http://schemas.openxmlformats.org/officeDocument/2006/relationships/hyperlink" Target="https://www.facebook.com/PROJETOSOCIALSEST/" TargetMode="External"/><Relationship Id="rId892" Type="http://schemas.openxmlformats.org/officeDocument/2006/relationships/hyperlink" Target="https://asdbrasilpb.wixsite.com/santodias" TargetMode="External"/><Relationship Id="rId2159" Type="http://schemas.openxmlformats.org/officeDocument/2006/relationships/hyperlink" Target="https://drive.google.com/open?id=1e4GTZYHktJptddoQcenz-rGHoqoI2dOA" TargetMode="External"/><Relationship Id="rId2366" Type="http://schemas.openxmlformats.org/officeDocument/2006/relationships/hyperlink" Target="https://www.instagram.com/invites/contact/?i=1vdoxxwmgi40y&amp;utm_content=jvwo4l7" TargetMode="External"/><Relationship Id="rId2573" Type="http://schemas.openxmlformats.org/officeDocument/2006/relationships/hyperlink" Target="https://drive.google.com/open?id=1_UhZXtKLXccKjkkXNRAYG6005_LYZDO3" TargetMode="External"/><Relationship Id="rId100" Type="http://schemas.openxmlformats.org/officeDocument/2006/relationships/hyperlink" Target="https://drive.google.com/open?id=1mQ9KiZ_m7ssTLJOEKvu7ZrTa_DCFqvMC" TargetMode="External"/><Relationship Id="rId338" Type="http://schemas.openxmlformats.org/officeDocument/2006/relationships/hyperlink" Target="https://drive.google.com/open?id=1RkZSMmciG57jipY5sjgRiulqpls1t8Ht" TargetMode="External"/><Relationship Id="rId545" Type="http://schemas.openxmlformats.org/officeDocument/2006/relationships/hyperlink" Target="https://drive.google.com/open?id=1_3osKcNYSOC4DBrA16D7IjOI8WP2TTax" TargetMode="External"/><Relationship Id="rId752" Type="http://schemas.openxmlformats.org/officeDocument/2006/relationships/hyperlink" Target="https://www.facebook.com/diretoriahebrom" TargetMode="External"/><Relationship Id="rId1175" Type="http://schemas.openxmlformats.org/officeDocument/2006/relationships/hyperlink" Target="https://sites.google.com/view/instituto-social-novo-olhar" TargetMode="External"/><Relationship Id="rId1382" Type="http://schemas.openxmlformats.org/officeDocument/2006/relationships/hyperlink" Target="https://drive.google.com/open?id=1PcT4rd3MkOn8RzsVRcWjJisuT1eQPbrD" TargetMode="External"/><Relationship Id="rId2019" Type="http://schemas.openxmlformats.org/officeDocument/2006/relationships/hyperlink" Target="http://institutoaprendercultura.wordpress.com/" TargetMode="External"/><Relationship Id="rId2226" Type="http://schemas.openxmlformats.org/officeDocument/2006/relationships/hyperlink" Target="https://drive.google.com/open?id=1vJaCIgv-3Y_ufi3yH8Ai5s1AnPM6BOM9" TargetMode="External"/><Relationship Id="rId2433" Type="http://schemas.openxmlformats.org/officeDocument/2006/relationships/hyperlink" Target="https://www.linkedin.com/company/projeto-reconstruir" TargetMode="External"/><Relationship Id="rId2640" Type="http://schemas.openxmlformats.org/officeDocument/2006/relationships/hyperlink" Target="https://drive.google.com/open?id=1r9BxGF-6-x3EKe9A6vAy9YrbivMcpGkI" TargetMode="External"/><Relationship Id="rId405" Type="http://schemas.openxmlformats.org/officeDocument/2006/relationships/hyperlink" Target="https://instagram.com/institutomariana?igshid=YmMyMTA2M2Y=" TargetMode="External"/><Relationship Id="rId612" Type="http://schemas.openxmlformats.org/officeDocument/2006/relationships/hyperlink" Target="https://www.instagram.com/p/Cf4yPqiLHR9/?igshid=YmMyMTA2M2Y=" TargetMode="External"/><Relationship Id="rId1035" Type="http://schemas.openxmlformats.org/officeDocument/2006/relationships/hyperlink" Target="https://drive.google.com/open?id=12ljugm_sOK6Lc2oSD5oGDkL1bvo6zEGK" TargetMode="External"/><Relationship Id="rId1242" Type="http://schemas.openxmlformats.org/officeDocument/2006/relationships/hyperlink" Target="http://www.midiadivila.com/" TargetMode="External"/><Relationship Id="rId1687" Type="http://schemas.openxmlformats.org/officeDocument/2006/relationships/hyperlink" Target="https://www.youtube.com/channel/UCL890FJzS4m38VTWCwfk2fA" TargetMode="External"/><Relationship Id="rId1894" Type="http://schemas.openxmlformats.org/officeDocument/2006/relationships/hyperlink" Target="https://www.youtube.com/channel/UCv38gP0rFob1LzMTzw5Loag" TargetMode="External"/><Relationship Id="rId2500" Type="http://schemas.openxmlformats.org/officeDocument/2006/relationships/hyperlink" Target="https://inarv.org/" TargetMode="External"/><Relationship Id="rId2738" Type="http://schemas.openxmlformats.org/officeDocument/2006/relationships/comments" Target="../comments3.xml"/><Relationship Id="rId917" Type="http://schemas.openxmlformats.org/officeDocument/2006/relationships/hyperlink" Target="https://www.facebook.com/redeablan/" TargetMode="External"/><Relationship Id="rId1102" Type="http://schemas.openxmlformats.org/officeDocument/2006/relationships/hyperlink" Target="https://www.instagram.com/_projetocria/" TargetMode="External"/><Relationship Id="rId1547" Type="http://schemas.openxmlformats.org/officeDocument/2006/relationships/hyperlink" Target="https://drive.google.com/open?id=1GAO_hk5BQXr1YvXfKfVsxUBjbIs81n4d" TargetMode="External"/><Relationship Id="rId1754" Type="http://schemas.openxmlformats.org/officeDocument/2006/relationships/hyperlink" Target="http://facebook.com/juntaqueajuda" TargetMode="External"/><Relationship Id="rId1961" Type="http://schemas.openxmlformats.org/officeDocument/2006/relationships/hyperlink" Target="https://www.instagram.com/tv/CbcpZgnlOi9/?utm_medium=copy_link" TargetMode="External"/><Relationship Id="rId46" Type="http://schemas.openxmlformats.org/officeDocument/2006/relationships/hyperlink" Target="https://drive.google.com/open?id=1b1XO9gbZCR78GSfypgRcXgdC6yvbJO5L" TargetMode="External"/><Relationship Id="rId1407" Type="http://schemas.openxmlformats.org/officeDocument/2006/relationships/hyperlink" Target="https://drive.google.com/open?id=1JcS8ysuNvMpLWQGk798qGlJRGub8IjNk" TargetMode="External"/><Relationship Id="rId1614" Type="http://schemas.openxmlformats.org/officeDocument/2006/relationships/hyperlink" Target="https://www.facebook.com/multiplicaroamorincluirosaber/" TargetMode="External"/><Relationship Id="rId1821" Type="http://schemas.openxmlformats.org/officeDocument/2006/relationships/hyperlink" Target="https://drive.google.com/open?id=14yI9OiYt1MKjek9UMRUwKCVX_otPZyFa" TargetMode="External"/><Relationship Id="rId195" Type="http://schemas.openxmlformats.org/officeDocument/2006/relationships/hyperlink" Target="https://drive.google.com/open?id=1V6Euq9uW1NAkFkl1nu6qviI-_oGqVjWi" TargetMode="External"/><Relationship Id="rId1919" Type="http://schemas.openxmlformats.org/officeDocument/2006/relationships/hyperlink" Target="https://drive.google.com/open?id=1yqvmcyKHL49RY6YTLSA3wt8CoqB3VM0M" TargetMode="External"/><Relationship Id="rId2083" Type="http://schemas.openxmlformats.org/officeDocument/2006/relationships/hyperlink" Target="https://drive.google.com/open?id=1enGI61aBv_heogtYm4QTemw8qZ6QXgs4" TargetMode="External"/><Relationship Id="rId2290" Type="http://schemas.openxmlformats.org/officeDocument/2006/relationships/hyperlink" Target="https://drive.google.com/open?id=1rnQNGtmD5ABcyaGpS9qaQX1olBExEnQp" TargetMode="External"/><Relationship Id="rId2388" Type="http://schemas.openxmlformats.org/officeDocument/2006/relationships/hyperlink" Target="https://drive.google.com/open?id=1JHUS_fuRassgDW0URWmBef0PRXGmsPiF" TargetMode="External"/><Relationship Id="rId2595" Type="http://schemas.openxmlformats.org/officeDocument/2006/relationships/hyperlink" Target="http://youtube.com/ininstitutomacunaima" TargetMode="External"/><Relationship Id="rId262" Type="http://schemas.openxmlformats.org/officeDocument/2006/relationships/hyperlink" Target="https://drive.google.com/open?id=1CUcA9lRD2gjPDn8opWHr8_EiaX3FEr8q" TargetMode="External"/><Relationship Id="rId567" Type="http://schemas.openxmlformats.org/officeDocument/2006/relationships/hyperlink" Target="https://www.instagram.com/mucamboinstituto/" TargetMode="External"/><Relationship Id="rId1197" Type="http://schemas.openxmlformats.org/officeDocument/2006/relationships/hyperlink" Target="https://web.facebook.com/Unifica%C3%A7%C3%A3o-das-Quebradas-1075566799308087" TargetMode="External"/><Relationship Id="rId2150" Type="http://schemas.openxmlformats.org/officeDocument/2006/relationships/hyperlink" Target="http://instagram.com/vozesdasperiferias" TargetMode="External"/><Relationship Id="rId2248" Type="http://schemas.openxmlformats.org/officeDocument/2006/relationships/hyperlink" Target="https://drive.google.com/open?id=1Se9JKLH0lC-6wSfWJRHdk-fj2KCMFBEs" TargetMode="External"/><Relationship Id="rId122" Type="http://schemas.openxmlformats.org/officeDocument/2006/relationships/hyperlink" Target="https://www.facebook.com/InstitutoIndace/" TargetMode="External"/><Relationship Id="rId774" Type="http://schemas.openxmlformats.org/officeDocument/2006/relationships/hyperlink" Target="https://drive.google.com/open?id=1QuiDr7sdvYMoIBup7UPLbtks6c7055Ob" TargetMode="External"/><Relationship Id="rId981" Type="http://schemas.openxmlformats.org/officeDocument/2006/relationships/hyperlink" Target="https://instagram.com/institutodiadoamor?igshid=YmMyMTA2M2Y=" TargetMode="External"/><Relationship Id="rId1057" Type="http://schemas.openxmlformats.org/officeDocument/2006/relationships/hyperlink" Target="http://www.semsite.com.br/" TargetMode="External"/><Relationship Id="rId2010" Type="http://schemas.openxmlformats.org/officeDocument/2006/relationships/hyperlink" Target="https://amoreesperancaproj.wixsite.com/website-1" TargetMode="External"/><Relationship Id="rId2455" Type="http://schemas.openxmlformats.org/officeDocument/2006/relationships/hyperlink" Target="https://drive.google.com/open?id=1f_Au0KCnw6EKGePrPxFzGoQqsyZXNQhJ" TargetMode="External"/><Relationship Id="rId2662" Type="http://schemas.openxmlformats.org/officeDocument/2006/relationships/hyperlink" Target="https://drive.google.com/open?id=1zMUVDs3b-OwG6l2WX-aMKtY4W_6SogWo" TargetMode="External"/><Relationship Id="rId427" Type="http://schemas.openxmlformats.org/officeDocument/2006/relationships/hyperlink" Target="https://drive.google.com/open?id=1bJOgi8bGRn4QdFrMn0_ccIiqoWNSdTPQ" TargetMode="External"/><Relationship Id="rId634" Type="http://schemas.openxmlformats.org/officeDocument/2006/relationships/hyperlink" Target="https://drive.google.com/open?id=1-V-hekHbtekrXX6ZZauLPxi1e5M7nkhL" TargetMode="External"/><Relationship Id="rId841" Type="http://schemas.openxmlformats.org/officeDocument/2006/relationships/hyperlink" Target="http://instagram.com/brigadasolidariaoficial" TargetMode="External"/><Relationship Id="rId1264" Type="http://schemas.openxmlformats.org/officeDocument/2006/relationships/hyperlink" Target="https://drive.google.com/open?id=1HE1gP97lVfEJxGlB-H0pDhmKJOPEFs6G" TargetMode="External"/><Relationship Id="rId1471" Type="http://schemas.openxmlformats.org/officeDocument/2006/relationships/hyperlink" Target="https://www.facebook.com/fazendo.arte1/" TargetMode="External"/><Relationship Id="rId1569" Type="http://schemas.openxmlformats.org/officeDocument/2006/relationships/hyperlink" Target="https://www.facebook.com/rongorj.ong" TargetMode="External"/><Relationship Id="rId2108" Type="http://schemas.openxmlformats.org/officeDocument/2006/relationships/hyperlink" Target="https://youtube.com/user/ONGMUNDONOVO" TargetMode="External"/><Relationship Id="rId2315" Type="http://schemas.openxmlformats.org/officeDocument/2006/relationships/hyperlink" Target="https://drive.google.com/open?id=15sD1ETlqD3kFlx_qX20OdA289wRGKozU" TargetMode="External"/><Relationship Id="rId2522" Type="http://schemas.openxmlformats.org/officeDocument/2006/relationships/hyperlink" Target="http://acssus.tk/" TargetMode="External"/><Relationship Id="rId701" Type="http://schemas.openxmlformats.org/officeDocument/2006/relationships/hyperlink" Target="https://www.instagram.com/grupo_de_apoioamulher/" TargetMode="External"/><Relationship Id="rId939" Type="http://schemas.openxmlformats.org/officeDocument/2006/relationships/hyperlink" Target="https://drive.google.com/open?id=1lOR_7mF_LGyX-KuItLGlrZ4AavKYGIKJ" TargetMode="External"/><Relationship Id="rId1124" Type="http://schemas.openxmlformats.org/officeDocument/2006/relationships/hyperlink" Target="https://www.facebook.com/projetofomedeque/" TargetMode="External"/><Relationship Id="rId1331" Type="http://schemas.openxmlformats.org/officeDocument/2006/relationships/hyperlink" Target="https://www.instagram.com/cabemais1pe/" TargetMode="External"/><Relationship Id="rId1776" Type="http://schemas.openxmlformats.org/officeDocument/2006/relationships/hyperlink" Target="https://drive.google.com/open?id=1A7KllpTlOLbgQaqCbKSPFZ1PdjWaJDJ6" TargetMode="External"/><Relationship Id="rId1983" Type="http://schemas.openxmlformats.org/officeDocument/2006/relationships/hyperlink" Target="https://www.mandaver.org.br/" TargetMode="External"/><Relationship Id="rId68" Type="http://schemas.openxmlformats.org/officeDocument/2006/relationships/hyperlink" Target="https://www.adesul.org/" TargetMode="External"/><Relationship Id="rId1429" Type="http://schemas.openxmlformats.org/officeDocument/2006/relationships/hyperlink" Target="https://www.instagram.com/caasamigo/" TargetMode="External"/><Relationship Id="rId1636" Type="http://schemas.openxmlformats.org/officeDocument/2006/relationships/hyperlink" Target="https://www.instagram.com/instituto.m.v/" TargetMode="External"/><Relationship Id="rId1843" Type="http://schemas.openxmlformats.org/officeDocument/2006/relationships/hyperlink" Target="https://instagram.com/crianca_feliz_sorocaba?igshid=YmMyMTA2M2Y=" TargetMode="External"/><Relationship Id="rId1703" Type="http://schemas.openxmlformats.org/officeDocument/2006/relationships/hyperlink" Target="https://drive.google.com/open?id=1G_HeJAsVAJG0ApApA3zxLQGbtLS54vwz" TargetMode="External"/><Relationship Id="rId1910" Type="http://schemas.openxmlformats.org/officeDocument/2006/relationships/hyperlink" Target="https://drive.google.com/open?id=1dtRHjYyrwPsQ20-oPCUCj0qxNbakmLtP" TargetMode="External"/><Relationship Id="rId284" Type="http://schemas.openxmlformats.org/officeDocument/2006/relationships/hyperlink" Target="https://www.instagram.com/institutopadrealcides/" TargetMode="External"/><Relationship Id="rId491" Type="http://schemas.openxmlformats.org/officeDocument/2006/relationships/hyperlink" Target="https://drive.google.com/open?id=1t8zhhjbpbqoI447ue2D4lCOUHESHdakQ" TargetMode="External"/><Relationship Id="rId2172" Type="http://schemas.openxmlformats.org/officeDocument/2006/relationships/hyperlink" Target="https://www.youtube.com/channel/UCzg40-6_j8_-O3lbFPjN68A" TargetMode="External"/><Relationship Id="rId144" Type="http://schemas.openxmlformats.org/officeDocument/2006/relationships/hyperlink" Target="https://drive.google.com/open?id=1s7KJrRH2a-pz-Xu7MjwAPYoEJCDWJmyK" TargetMode="External"/><Relationship Id="rId589" Type="http://schemas.openxmlformats.org/officeDocument/2006/relationships/hyperlink" Target="https://www.instagram.com/somostodosmuribeca/" TargetMode="External"/><Relationship Id="rId796" Type="http://schemas.openxmlformats.org/officeDocument/2006/relationships/hyperlink" Target="https://instagram.com/associacaomaonoarado?igshid=YmMyMTA2M2Y=" TargetMode="External"/><Relationship Id="rId2477" Type="http://schemas.openxmlformats.org/officeDocument/2006/relationships/hyperlink" Target="https://drive.google.com/open?id=1kmC0f6QIhgOa14xHlaub6H6donHIAp4b" TargetMode="External"/><Relationship Id="rId2684" Type="http://schemas.openxmlformats.org/officeDocument/2006/relationships/hyperlink" Target="https://drive.google.com/open?id=1PSGrlqljEj-hDB494ibNJ4LIGFBcTAgI" TargetMode="External"/><Relationship Id="rId351" Type="http://schemas.openxmlformats.org/officeDocument/2006/relationships/hyperlink" Target="https://instagram.com/missoesigrejadafamilia?utm_medium=copy_link" TargetMode="External"/><Relationship Id="rId449" Type="http://schemas.openxmlformats.org/officeDocument/2006/relationships/hyperlink" Target="https://drive.google.com/open?id=1JuoyPwnj_YzVInsSwPVnKOvbSilEP29L" TargetMode="External"/><Relationship Id="rId656" Type="http://schemas.openxmlformats.org/officeDocument/2006/relationships/hyperlink" Target="https://drive.google.com/open?id=1gE49sWc30hRlO_KcdUIGDaGiN__11Hqi" TargetMode="External"/><Relationship Id="rId863" Type="http://schemas.openxmlformats.org/officeDocument/2006/relationships/hyperlink" Target="https://www.facebook.com/heroisdoslacres" TargetMode="External"/><Relationship Id="rId1079" Type="http://schemas.openxmlformats.org/officeDocument/2006/relationships/hyperlink" Target="https://drive.google.com/open?id=1jk9qLWCxpArZl1wc5OF6nN5I-XJXHrDD" TargetMode="External"/><Relationship Id="rId1286" Type="http://schemas.openxmlformats.org/officeDocument/2006/relationships/hyperlink" Target="https://drive.google.com/open?id=1wixo_l0EQ7IhHeJEA7BrkxP6Rx0AksOl" TargetMode="External"/><Relationship Id="rId1493" Type="http://schemas.openxmlformats.org/officeDocument/2006/relationships/hyperlink" Target="http://instagram.com/eliana.emarca" TargetMode="External"/><Relationship Id="rId2032" Type="http://schemas.openxmlformats.org/officeDocument/2006/relationships/hyperlink" Target="https://www.facebook.com/ProjetoViela" TargetMode="External"/><Relationship Id="rId2337" Type="http://schemas.openxmlformats.org/officeDocument/2006/relationships/hyperlink" Target="https://www.facebook.com/institutoherdar" TargetMode="External"/><Relationship Id="rId2544" Type="http://schemas.openxmlformats.org/officeDocument/2006/relationships/hyperlink" Target="https://drive.google.com/open?id=1RzyZlE8PSkAuQWhpt9wXy4D0Elt6SNG_" TargetMode="External"/><Relationship Id="rId211" Type="http://schemas.openxmlformats.org/officeDocument/2006/relationships/hyperlink" Target="https://instagram.com/projeto_geracao_gk?utm_medium=copy_link" TargetMode="External"/><Relationship Id="rId309" Type="http://schemas.openxmlformats.org/officeDocument/2006/relationships/hyperlink" Target="https://www.facebook.com/mayara.diniz.944" TargetMode="External"/><Relationship Id="rId516" Type="http://schemas.openxmlformats.org/officeDocument/2006/relationships/hyperlink" Target="https://drive.google.com/open?id=1BgcDkv1YG-gF3U8QZyWTYG31_gCJbMd-" TargetMode="External"/><Relationship Id="rId1146" Type="http://schemas.openxmlformats.org/officeDocument/2006/relationships/hyperlink" Target="https://drive.google.com/open?id=1O3sVGk3NmC33SSTZ8HhZWObqmnbaL7qO" TargetMode="External"/><Relationship Id="rId1798" Type="http://schemas.openxmlformats.org/officeDocument/2006/relationships/hyperlink" Target="https://drive.google.com/open?id=1zKnh7n8-Bdk-kJ2JsWXDWc_5EJ-NuDCg" TargetMode="External"/><Relationship Id="rId723" Type="http://schemas.openxmlformats.org/officeDocument/2006/relationships/hyperlink" Target="https://drive.google.com/open?id=1IGMl2K05QWOfpNv1seAIghLfOotTgBPa" TargetMode="External"/><Relationship Id="rId930" Type="http://schemas.openxmlformats.org/officeDocument/2006/relationships/hyperlink" Target="https://drive.google.com/open?id=1atkU4OUlbfnXTbqIgQ1B4IqI96jfkbx6" TargetMode="External"/><Relationship Id="rId1006" Type="http://schemas.openxmlformats.org/officeDocument/2006/relationships/hyperlink" Target="https://drive.google.com/open?id=1KuyLfMKKV-imvttpZXJMx76hrp7OPZgN" TargetMode="External"/><Relationship Id="rId1353" Type="http://schemas.openxmlformats.org/officeDocument/2006/relationships/hyperlink" Target="https://www.instagram.com/crechemarianazare/" TargetMode="External"/><Relationship Id="rId1560" Type="http://schemas.openxmlformats.org/officeDocument/2006/relationships/hyperlink" Target="https://www.educarmais.net/" TargetMode="External"/><Relationship Id="rId1658" Type="http://schemas.openxmlformats.org/officeDocument/2006/relationships/hyperlink" Target="https://www.youtube.com/channel/UC2rM6czNMUhHllLmwlYhtUQ" TargetMode="External"/><Relationship Id="rId1865" Type="http://schemas.openxmlformats.org/officeDocument/2006/relationships/hyperlink" Target="https://drive.google.com/open?id=1ciLZXbVU1VGkZv5vltbOt1__iIcIu24R" TargetMode="External"/><Relationship Id="rId2404" Type="http://schemas.openxmlformats.org/officeDocument/2006/relationships/hyperlink" Target="https://drive.google.com/open?id=14efDnN7mpPQcdKxZj3JHlnIvMFnp68CX" TargetMode="External"/><Relationship Id="rId2611" Type="http://schemas.openxmlformats.org/officeDocument/2006/relationships/hyperlink" Target="https://institutomiguelfernandestorres.blogspot.com/" TargetMode="External"/><Relationship Id="rId2709" Type="http://schemas.openxmlformats.org/officeDocument/2006/relationships/hyperlink" Target="https://drive.google.com/open?id=110Java4SRQKu0Y8sZtSWkkXOJjs-SVcY" TargetMode="External"/><Relationship Id="rId1213" Type="http://schemas.openxmlformats.org/officeDocument/2006/relationships/hyperlink" Target="https://www.facebook.com/empreendemenina" TargetMode="External"/><Relationship Id="rId1420" Type="http://schemas.openxmlformats.org/officeDocument/2006/relationships/hyperlink" Target="https://drive.google.com/open?id=1MJwqBfhBxWsgvcNhvtkFrlkQGiyprq8I" TargetMode="External"/><Relationship Id="rId1518" Type="http://schemas.openxmlformats.org/officeDocument/2006/relationships/hyperlink" Target="http://www.grupoculturaurbana.org/" TargetMode="External"/><Relationship Id="rId1725" Type="http://schemas.openxmlformats.org/officeDocument/2006/relationships/hyperlink" Target="https://www.instagram.com/institutofabricadevencedor/" TargetMode="External"/><Relationship Id="rId1932" Type="http://schemas.openxmlformats.org/officeDocument/2006/relationships/hyperlink" Target="http://youtube.com/institutojogandopeloreino" TargetMode="External"/><Relationship Id="rId17" Type="http://schemas.openxmlformats.org/officeDocument/2006/relationships/hyperlink" Target="https://www.instagram.com/p/CgHMYHOOHPT/?igshid=YmMyMTA2M2Y=" TargetMode="External"/><Relationship Id="rId2194" Type="http://schemas.openxmlformats.org/officeDocument/2006/relationships/hyperlink" Target="https://drive.google.com/open?id=18k7Ujh30L8kyYxuzomFuGH8Dcgp3QJBH" TargetMode="External"/><Relationship Id="rId166" Type="http://schemas.openxmlformats.org/officeDocument/2006/relationships/hyperlink" Target="https://instagram.com/juntossomosmais3?igshid=YzAyZWRlMzg=" TargetMode="External"/><Relationship Id="rId373" Type="http://schemas.openxmlformats.org/officeDocument/2006/relationships/hyperlink" Target="https://www.facebook.com/associacaodemulheresnegras/" TargetMode="External"/><Relationship Id="rId580" Type="http://schemas.openxmlformats.org/officeDocument/2006/relationships/hyperlink" Target="https://youtu.be/f2f1V582jCk" TargetMode="External"/><Relationship Id="rId2054" Type="http://schemas.openxmlformats.org/officeDocument/2006/relationships/hyperlink" Target="https://www.instagram.com/geracao4/" TargetMode="External"/><Relationship Id="rId2261" Type="http://schemas.openxmlformats.org/officeDocument/2006/relationships/hyperlink" Target="https://www.instagram.com/institutososreviver/" TargetMode="External"/><Relationship Id="rId2499" Type="http://schemas.openxmlformats.org/officeDocument/2006/relationships/hyperlink" Target="https://drive.google.com/open?id=1h1LYFiQttfIxwvndUo6xVUxPIVUWkQZW" TargetMode="External"/><Relationship Id="rId1" Type="http://schemas.openxmlformats.org/officeDocument/2006/relationships/hyperlink" Target="https://instagram.com/recic_landovidas?utm_medium=copy_link" TargetMode="External"/><Relationship Id="rId233" Type="http://schemas.openxmlformats.org/officeDocument/2006/relationships/hyperlink" Target="https://www.instagram.com/chama_viva_missoes_urbanas/" TargetMode="External"/><Relationship Id="rId440" Type="http://schemas.openxmlformats.org/officeDocument/2006/relationships/hyperlink" Target="https://www.belezainterior.org/" TargetMode="External"/><Relationship Id="rId678" Type="http://schemas.openxmlformats.org/officeDocument/2006/relationships/hyperlink" Target="http://www.youtube.com/" TargetMode="External"/><Relationship Id="rId885" Type="http://schemas.openxmlformats.org/officeDocument/2006/relationships/hyperlink" Target="https://instagram.com/institutosemearaguasdotrono?utm_medium=copy_link" TargetMode="External"/><Relationship Id="rId1070" Type="http://schemas.openxmlformats.org/officeDocument/2006/relationships/hyperlink" Target="https://instagram.com/transformadores.sociais?igshid=YmMyMTA2M2Y=" TargetMode="External"/><Relationship Id="rId2121" Type="http://schemas.openxmlformats.org/officeDocument/2006/relationships/hyperlink" Target="https://drive.google.com/open?id=1JXOrzJ31JCfvSJuz-tCMWgJPRBTqwqtB" TargetMode="External"/><Relationship Id="rId2359" Type="http://schemas.openxmlformats.org/officeDocument/2006/relationships/hyperlink" Target="http://www.facebook.com/margaridasprojetos" TargetMode="External"/><Relationship Id="rId2566" Type="http://schemas.openxmlformats.org/officeDocument/2006/relationships/hyperlink" Target="https://institutovidareal.org.br/" TargetMode="External"/><Relationship Id="rId300" Type="http://schemas.openxmlformats.org/officeDocument/2006/relationships/hyperlink" Target="https://drive.google.com/open?id=15DMaoGXHrRloBddLgmja239gGYXyUr0H" TargetMode="External"/><Relationship Id="rId538" Type="http://schemas.openxmlformats.org/officeDocument/2006/relationships/hyperlink" Target="https://drive.google.com/open?id=1GBZz7OpV_ngsEApNbKV-n4LYzOnv4cr1" TargetMode="External"/><Relationship Id="rId745" Type="http://schemas.openxmlformats.org/officeDocument/2006/relationships/hyperlink" Target="https://www.facebook.com/AMCOBAZIC" TargetMode="External"/><Relationship Id="rId952" Type="http://schemas.openxmlformats.org/officeDocument/2006/relationships/hyperlink" Target="https://drive.google.com/open?id=1TV9lU88umpuqvmZ_17CXMT4Z4HbrNl4i" TargetMode="External"/><Relationship Id="rId1168" Type="http://schemas.openxmlformats.org/officeDocument/2006/relationships/hyperlink" Target="https://drive.google.com/open?id=1X3e1raf6MXXyD4Y3xGw_EPk_FcVXCMAW" TargetMode="External"/><Relationship Id="rId1375" Type="http://schemas.openxmlformats.org/officeDocument/2006/relationships/hyperlink" Target="https://drive.google.com/open?id=1lOrdhrkBaKc0WeHXJm1_f0DXgSteVRNQ" TargetMode="External"/><Relationship Id="rId1582" Type="http://schemas.openxmlformats.org/officeDocument/2006/relationships/hyperlink" Target="https://drive.google.com/open?id=1d2VzyTA37XeCUe0qdTw4xRLdg_HvNboN" TargetMode="External"/><Relationship Id="rId2219" Type="http://schemas.openxmlformats.org/officeDocument/2006/relationships/hyperlink" Target="https://drive.google.com/open?id=10dRh9ISMvhs4QsFR-HB-mYJdhA6a-2j-" TargetMode="External"/><Relationship Id="rId2426" Type="http://schemas.openxmlformats.org/officeDocument/2006/relationships/hyperlink" Target="https://drive.google.com/open?id=1suzE3VkehufwnUAQCb_LMdJs8-nLavmR" TargetMode="External"/><Relationship Id="rId2633" Type="http://schemas.openxmlformats.org/officeDocument/2006/relationships/hyperlink" Target="https://drive.google.com/open?id=182cL4730svnbZDNxM1_vxln7tRX5MQwS" TargetMode="External"/><Relationship Id="rId81" Type="http://schemas.openxmlformats.org/officeDocument/2006/relationships/hyperlink" Target="https://drive.google.com/open?id=16JLw11bO7qMzQJEqXc3b8v_FlY4KNUoi" TargetMode="External"/><Relationship Id="rId605" Type="http://schemas.openxmlformats.org/officeDocument/2006/relationships/hyperlink" Target="https://www.instagram.com/zhaluart_instituto/" TargetMode="External"/><Relationship Id="rId812" Type="http://schemas.openxmlformats.org/officeDocument/2006/relationships/hyperlink" Target="https://www.instagram.com/projetobayernzinho" TargetMode="External"/><Relationship Id="rId1028" Type="http://schemas.openxmlformats.org/officeDocument/2006/relationships/hyperlink" Target="https://drive.google.com/open?id=1FkbJujKAOUJdJ0_9ugzldmdZ7FNVsA7R" TargetMode="External"/><Relationship Id="rId1235" Type="http://schemas.openxmlformats.org/officeDocument/2006/relationships/hyperlink" Target="https://www.instagram.com/acsvn2016/" TargetMode="External"/><Relationship Id="rId1442" Type="http://schemas.openxmlformats.org/officeDocument/2006/relationships/hyperlink" Target="https://drive.google.com/open?id=1S9pBvCe2jEQ5jm0bT5dd2cfyZmdZ3926" TargetMode="External"/><Relationship Id="rId1887" Type="http://schemas.openxmlformats.org/officeDocument/2006/relationships/hyperlink" Target="https://www.facebook.com/viadutodasartes" TargetMode="External"/><Relationship Id="rId1302" Type="http://schemas.openxmlformats.org/officeDocument/2006/relationships/hyperlink" Target="https://drive.google.com/open?id=1ckEahpIDamLCWJyjz5WlzCcKB3fr9tmm" TargetMode="External"/><Relationship Id="rId1747" Type="http://schemas.openxmlformats.org/officeDocument/2006/relationships/hyperlink" Target="https://www.instagram.com/institutocriancamaisfelizrs/" TargetMode="External"/><Relationship Id="rId1954" Type="http://schemas.openxmlformats.org/officeDocument/2006/relationships/hyperlink" Target="https://abracocampeao.org/" TargetMode="External"/><Relationship Id="rId2700" Type="http://schemas.openxmlformats.org/officeDocument/2006/relationships/hyperlink" Target="https://drive.google.com/open?id=1RIhyXwXRrSKag2AkbdjSTxFlIsYlTuta" TargetMode="External"/><Relationship Id="rId39" Type="http://schemas.openxmlformats.org/officeDocument/2006/relationships/hyperlink" Target="https://drive.google.com/open?id=16L7SUdWMqlCl3tCwbqjaZPXBdz4jajaX" TargetMode="External"/><Relationship Id="rId1607" Type="http://schemas.openxmlformats.org/officeDocument/2006/relationships/hyperlink" Target="https://drive.google.com/open?id=18-cfws8G9q9jSGOa2juGTP0qBA6UVNYt" TargetMode="External"/><Relationship Id="rId1814" Type="http://schemas.openxmlformats.org/officeDocument/2006/relationships/hyperlink" Target="https://drive.google.com/open?id=1oYfEjOj0OtmzzWJXbq4PmRwFsARsTuhu" TargetMode="External"/><Relationship Id="rId188" Type="http://schemas.openxmlformats.org/officeDocument/2006/relationships/hyperlink" Target="https://drive.google.com/open?id=1H-C-1n6MfZRgcUqH0KGXlXsLONfvDV_P" TargetMode="External"/><Relationship Id="rId395" Type="http://schemas.openxmlformats.org/officeDocument/2006/relationships/hyperlink" Target="https://drive.google.com/open?id=1ZOJU9U99pngevFYlfY-OyR8mgtWP2np8" TargetMode="External"/><Relationship Id="rId2076" Type="http://schemas.openxmlformats.org/officeDocument/2006/relationships/hyperlink" Target="https://drive.google.com/file/d/1T2Hv-6YiDHQlXb95j4ybJXRHSo0APYiU/view?usp=drivesdk" TargetMode="External"/><Relationship Id="rId2283" Type="http://schemas.openxmlformats.org/officeDocument/2006/relationships/hyperlink" Target="https://drive.google.com/open?id=1vrgY6AeoVAojnYiNICmZVPL_G7aEPAN4" TargetMode="External"/><Relationship Id="rId2490" Type="http://schemas.openxmlformats.org/officeDocument/2006/relationships/hyperlink" Target="https://www.facebook.com/AssociacaoEspiritaObreirosDoSenhor/" TargetMode="External"/><Relationship Id="rId2588" Type="http://schemas.openxmlformats.org/officeDocument/2006/relationships/hyperlink" Target="https://drive.google.com/open?id=1Ghkbbtjh3QBL7wVVdH7Z7lIt9ck7kMQZ" TargetMode="External"/><Relationship Id="rId255" Type="http://schemas.openxmlformats.org/officeDocument/2006/relationships/hyperlink" Target="https://m.youtube.com/channel/UCbfIxQ3xmDulPdXMHTncG5Q" TargetMode="External"/><Relationship Id="rId462" Type="http://schemas.openxmlformats.org/officeDocument/2006/relationships/hyperlink" Target="https://drive.google.com/open?id=1nD0cmmMLrwA-t-vgvyJe0J_nJQW2RezF" TargetMode="External"/><Relationship Id="rId1092" Type="http://schemas.openxmlformats.org/officeDocument/2006/relationships/hyperlink" Target="https://drive.google.com/open?id=1Js74wFRuOQ--WLLjkISywK35vUneYeIS" TargetMode="External"/><Relationship Id="rId1397" Type="http://schemas.openxmlformats.org/officeDocument/2006/relationships/hyperlink" Target="https://www.instagram.com/mulekietu/" TargetMode="External"/><Relationship Id="rId2143" Type="http://schemas.openxmlformats.org/officeDocument/2006/relationships/hyperlink" Target="https://www.instagram.com/projetonapontadospes/" TargetMode="External"/><Relationship Id="rId2350" Type="http://schemas.openxmlformats.org/officeDocument/2006/relationships/hyperlink" Target="https://www.youtube.com/channel/UCxljMIZlgaukOHIa-ETTZvQ/featured" TargetMode="External"/><Relationship Id="rId115" Type="http://schemas.openxmlformats.org/officeDocument/2006/relationships/hyperlink" Target="https://drive.google.com/open?id=11YhToTVjUy0tJTUu0AwBL44G5YxEJuM9" TargetMode="External"/><Relationship Id="rId322" Type="http://schemas.openxmlformats.org/officeDocument/2006/relationships/hyperlink" Target="https://drive.google.com/open?id=1JiVjz6AjnSGwb2L8C_WLl7RvqHg1Ti3A" TargetMode="External"/><Relationship Id="rId767" Type="http://schemas.openxmlformats.org/officeDocument/2006/relationships/hyperlink" Target="https://drive.google.com/open?id=1gUuMegr3znBwvp6dLv7BsbCRKdrVouHb" TargetMode="External"/><Relationship Id="rId974" Type="http://schemas.openxmlformats.org/officeDocument/2006/relationships/hyperlink" Target="https://drive.google.com/open?id=1ej31EEnzxClaXHBVO_ZEraJIQsOdV3eD" TargetMode="External"/><Relationship Id="rId2003" Type="http://schemas.openxmlformats.org/officeDocument/2006/relationships/hyperlink" Target="https://drive.google.com/open?id=10YE-c5-8rXnWuMpAE1n0QnJevARZeqYj" TargetMode="External"/><Relationship Id="rId2210" Type="http://schemas.openxmlformats.org/officeDocument/2006/relationships/hyperlink" Target="http://esportemais.org/" TargetMode="External"/><Relationship Id="rId2448" Type="http://schemas.openxmlformats.org/officeDocument/2006/relationships/hyperlink" Target="https://drive.google.com/open?id=1mQAxFbyownWw1-DNA0dkG-JuIAUin1Ia" TargetMode="External"/><Relationship Id="rId2655" Type="http://schemas.openxmlformats.org/officeDocument/2006/relationships/hyperlink" Target="https://www.instagram.com/reel/CaXHYXfjthu/?utm_medium=copy_link" TargetMode="External"/><Relationship Id="rId627" Type="http://schemas.openxmlformats.org/officeDocument/2006/relationships/hyperlink" Target="https://drive.google.com/open?id=1GMYrUar9EaG-5Cgs2QFUxz7ASssY9KB1" TargetMode="External"/><Relationship Id="rId834" Type="http://schemas.openxmlformats.org/officeDocument/2006/relationships/hyperlink" Target="https://www.instagram.com/waterislifebrasil/" TargetMode="External"/><Relationship Id="rId1257" Type="http://schemas.openxmlformats.org/officeDocument/2006/relationships/hyperlink" Target="https://www.youtube.com/channel/UCF02Z3NH48DFZuvdiNjrntQ" TargetMode="External"/><Relationship Id="rId1464" Type="http://schemas.openxmlformats.org/officeDocument/2006/relationships/hyperlink" Target="https://www.facebook.com/institutoflorianopecanhadossantos" TargetMode="External"/><Relationship Id="rId1671" Type="http://schemas.openxmlformats.org/officeDocument/2006/relationships/hyperlink" Target="https://drive.google.com/open?id=1BXZVBbCkcJ1NxUnauvM2iexlf-gNpz_n" TargetMode="External"/><Relationship Id="rId2308" Type="http://schemas.openxmlformats.org/officeDocument/2006/relationships/hyperlink" Target="https://drive.google.com/open?id=1-UNSC_J_UfWSxxplC4MCMOkI86B_02_s" TargetMode="External"/><Relationship Id="rId2515" Type="http://schemas.openxmlformats.org/officeDocument/2006/relationships/hyperlink" Target="https://drive.google.com/open?id=1eV6drLoRkAOSQRZ-9zOZlcz_cXPjVWOC" TargetMode="External"/><Relationship Id="rId2722" Type="http://schemas.openxmlformats.org/officeDocument/2006/relationships/hyperlink" Target="https://www.facebook.com/lacredobem" TargetMode="External"/><Relationship Id="rId901" Type="http://schemas.openxmlformats.org/officeDocument/2006/relationships/hyperlink" Target="https://drive.google.com/open?id=1kkjeVqPk600-apFARV4S9NhM2leEgACd" TargetMode="External"/><Relationship Id="rId1117" Type="http://schemas.openxmlformats.org/officeDocument/2006/relationships/hyperlink" Target="https://www.facebook.com/estelasdo.amanha" TargetMode="External"/><Relationship Id="rId1324" Type="http://schemas.openxmlformats.org/officeDocument/2006/relationships/hyperlink" Target="https://www.youtube.com/channel/UCEEeM6IDIE5qjOj_Xfcba8w'" TargetMode="External"/><Relationship Id="rId1531" Type="http://schemas.openxmlformats.org/officeDocument/2006/relationships/hyperlink" Target="https://linktr.ee/institutoamemais" TargetMode="External"/><Relationship Id="rId1769" Type="http://schemas.openxmlformats.org/officeDocument/2006/relationships/hyperlink" Target="https://drive.google.com/open?id=1uT1RG5Vwfcwf4HdK2gKIr-zCaK-d_hHR" TargetMode="External"/><Relationship Id="rId1976" Type="http://schemas.openxmlformats.org/officeDocument/2006/relationships/hyperlink" Target="https://www.instagram.com/institutoogrito/?hl=pt-br" TargetMode="External"/><Relationship Id="rId30" Type="http://schemas.openxmlformats.org/officeDocument/2006/relationships/hyperlink" Target="https://drive.google.com/open?id=1HvOiXULoPxVIRFf-qK8yPDi07gdyAWZh" TargetMode="External"/><Relationship Id="rId1629" Type="http://schemas.openxmlformats.org/officeDocument/2006/relationships/hyperlink" Target="https://www.novauniaodaarte.org/" TargetMode="External"/><Relationship Id="rId1836" Type="http://schemas.openxmlformats.org/officeDocument/2006/relationships/hyperlink" Target="https://www.facebook.com/ongmanadoceu/" TargetMode="External"/><Relationship Id="rId1903" Type="http://schemas.openxmlformats.org/officeDocument/2006/relationships/hyperlink" Target="https://youtu.be/FBsHqWpSI90" TargetMode="External"/><Relationship Id="rId2098" Type="http://schemas.openxmlformats.org/officeDocument/2006/relationships/hyperlink" Target="https://prototipandoaquebrada.org/" TargetMode="External"/><Relationship Id="rId277" Type="http://schemas.openxmlformats.org/officeDocument/2006/relationships/hyperlink" Target="https://www.facebook.com/olhandopra.frente.3" TargetMode="External"/><Relationship Id="rId484" Type="http://schemas.openxmlformats.org/officeDocument/2006/relationships/hyperlink" Target="https://drive.google.com/open?id=1fmc0VtXx7TRI6YHJxioDCOXkBDvZzvSI" TargetMode="External"/><Relationship Id="rId2165" Type="http://schemas.openxmlformats.org/officeDocument/2006/relationships/hyperlink" Target="http://institutoasvalquirias.com.br/" TargetMode="External"/><Relationship Id="rId137" Type="http://schemas.openxmlformats.org/officeDocument/2006/relationships/hyperlink" Target="https://instagram.com/educasurfsocial?utm_medium=copy_link" TargetMode="External"/><Relationship Id="rId344" Type="http://schemas.openxmlformats.org/officeDocument/2006/relationships/hyperlink" Target="https://www.instagram.com/projeto.flordelotus/" TargetMode="External"/><Relationship Id="rId691" Type="http://schemas.openxmlformats.org/officeDocument/2006/relationships/hyperlink" Target="https://youtube.com/channel/UCeKuzl1kilehvkhrzFh6jgg" TargetMode="External"/><Relationship Id="rId789" Type="http://schemas.openxmlformats.org/officeDocument/2006/relationships/hyperlink" Target="https://drive.google.com/open?id=1yyxtJ66mUJkArII4ZPQxXM8ZjhX49GBF" TargetMode="External"/><Relationship Id="rId996" Type="http://schemas.openxmlformats.org/officeDocument/2006/relationships/hyperlink" Target="https://drive.google.com/open?id=1y3r68KCzh7IzQr0g4nolfu7Ic3iy17bC" TargetMode="External"/><Relationship Id="rId2025" Type="http://schemas.openxmlformats.org/officeDocument/2006/relationships/hyperlink" Target="https://instagram.com/institutokp?utm_medium=copy_link" TargetMode="External"/><Relationship Id="rId2372" Type="http://schemas.openxmlformats.org/officeDocument/2006/relationships/hyperlink" Target="https://drive.google.com/open?id=1QUASKN-EcneT5LK6sW-gc-3nR6YBxrfW" TargetMode="External"/><Relationship Id="rId2677" Type="http://schemas.openxmlformats.org/officeDocument/2006/relationships/hyperlink" Target="https://www.youtube.com/c/PisadadoSert%C3%A3o" TargetMode="External"/><Relationship Id="rId551" Type="http://schemas.openxmlformats.org/officeDocument/2006/relationships/hyperlink" Target="https://www.instagram.com/p/Cb_YEFdut0O/?utm_source=ig_web_button_share_sheet" TargetMode="External"/><Relationship Id="rId649" Type="http://schemas.openxmlformats.org/officeDocument/2006/relationships/hyperlink" Target="https://drive.google.com/open?id=1I3p-0huIzclt_tRn_mmutUQgEUW-GLoZ" TargetMode="External"/><Relationship Id="rId856" Type="http://schemas.openxmlformats.org/officeDocument/2006/relationships/hyperlink" Target="https://drive.google.com/open?id=11PBUKLNlubLI8v0Pi3hspR7laXn9l7BW" TargetMode="External"/><Relationship Id="rId1181" Type="http://schemas.openxmlformats.org/officeDocument/2006/relationships/hyperlink" Target="https://drive.google.com/open?id=1DkOnQqLdjyYc2YS8dkUTJxspSDja4qvv" TargetMode="External"/><Relationship Id="rId1279" Type="http://schemas.openxmlformats.org/officeDocument/2006/relationships/hyperlink" Target="https://www.youtube.com/channel/UCEmBPwCDdbeksOowGXtCkLQ" TargetMode="External"/><Relationship Id="rId1486" Type="http://schemas.openxmlformats.org/officeDocument/2006/relationships/hyperlink" Target="https://drive.google.com/open?id=1Aseb0K4g1aeOr5KV-aETokQsMlsEjnio" TargetMode="External"/><Relationship Id="rId2232" Type="http://schemas.openxmlformats.org/officeDocument/2006/relationships/hyperlink" Target="http://instagram.com/rugbyparatodos/" TargetMode="External"/><Relationship Id="rId2537" Type="http://schemas.openxmlformats.org/officeDocument/2006/relationships/hyperlink" Target="https://drive.google.com/open?id=1uMc9nqiJou8tIJ7Mja80A0lX7VaMx1xP" TargetMode="External"/><Relationship Id="rId204" Type="http://schemas.openxmlformats.org/officeDocument/2006/relationships/hyperlink" Target="http://www.centraldasolidariedade.org.br/" TargetMode="External"/><Relationship Id="rId411" Type="http://schemas.openxmlformats.org/officeDocument/2006/relationships/hyperlink" Target="https://drive.google.com/open?id=1T_cZr5NjJ3R9iyh5kCj7iMmqYryPqSLe" TargetMode="External"/><Relationship Id="rId509" Type="http://schemas.openxmlformats.org/officeDocument/2006/relationships/hyperlink" Target="https://drive.google.com/open?id=12Y8iYU8f0kjBthLvJcNc542SiQpJW_L9" TargetMode="External"/><Relationship Id="rId1041" Type="http://schemas.openxmlformats.org/officeDocument/2006/relationships/hyperlink" Target="https://www.facebook.com/institutoencantos" TargetMode="External"/><Relationship Id="rId1139" Type="http://schemas.openxmlformats.org/officeDocument/2006/relationships/hyperlink" Target="https://drive.google.com/open?id=1mTeMyeg4RW5XB11sCC3lHrrLefETo6Rl" TargetMode="External"/><Relationship Id="rId1346" Type="http://schemas.openxmlformats.org/officeDocument/2006/relationships/hyperlink" Target="https://www.instagram.com/complexoencanto/" TargetMode="External"/><Relationship Id="rId1693" Type="http://schemas.openxmlformats.org/officeDocument/2006/relationships/hyperlink" Target="https://www.linkedin.com/in/valeria-oliveira-campelo-32716964" TargetMode="External"/><Relationship Id="rId1998" Type="http://schemas.openxmlformats.org/officeDocument/2006/relationships/hyperlink" Target="https://drive.google.com/open?id=1F9oyktiQKyCZikuKWinQUD1rysjFPmG6" TargetMode="External"/><Relationship Id="rId716" Type="http://schemas.openxmlformats.org/officeDocument/2006/relationships/hyperlink" Target="https://drive.google.com/open?id=1NJPT6q5_zYwIfmLiPVk5coutjY9okA_Q" TargetMode="External"/><Relationship Id="rId923" Type="http://schemas.openxmlformats.org/officeDocument/2006/relationships/hyperlink" Target="https://youtube.com/channel/UCFyNQsXtFcXvkG1BvUJ-GAQ" TargetMode="External"/><Relationship Id="rId1553" Type="http://schemas.openxmlformats.org/officeDocument/2006/relationships/hyperlink" Target="https://drive.google.com/open?id=1f92oGvCwJ62Gm112CE0hRNRQ78fJBzo_" TargetMode="External"/><Relationship Id="rId1760" Type="http://schemas.openxmlformats.org/officeDocument/2006/relationships/hyperlink" Target="http://www.instagram.com/ongfelizcidade" TargetMode="External"/><Relationship Id="rId1858" Type="http://schemas.openxmlformats.org/officeDocument/2006/relationships/hyperlink" Target="https://instagram.com/institutosementinha?igshid=YmMyMTA2M2Y=" TargetMode="External"/><Relationship Id="rId2604" Type="http://schemas.openxmlformats.org/officeDocument/2006/relationships/hyperlink" Target="http://www.instagram.com/casadebarro" TargetMode="External"/><Relationship Id="rId52" Type="http://schemas.openxmlformats.org/officeDocument/2006/relationships/hyperlink" Target="https://www.facebook.com/trazfavela" TargetMode="External"/><Relationship Id="rId1206" Type="http://schemas.openxmlformats.org/officeDocument/2006/relationships/hyperlink" Target="https://www.facebook.com/TechGirlsBrasil/" TargetMode="External"/><Relationship Id="rId1413" Type="http://schemas.openxmlformats.org/officeDocument/2006/relationships/hyperlink" Target="https://drive.google.com/open?id=1uDRXVkzgH33sBT52UImZ8qfEB6VmUrSN" TargetMode="External"/><Relationship Id="rId1620" Type="http://schemas.openxmlformats.org/officeDocument/2006/relationships/hyperlink" Target="https://www.facebook.com/PFcampinas/" TargetMode="External"/><Relationship Id="rId1718" Type="http://schemas.openxmlformats.org/officeDocument/2006/relationships/hyperlink" Target="http://www.pequenocidadao.org.br/" TargetMode="External"/><Relationship Id="rId1925" Type="http://schemas.openxmlformats.org/officeDocument/2006/relationships/hyperlink" Target="https://www.youtube.com/channel/UCGiYQsEH_Ny3XGbZwTRn0Vw" TargetMode="External"/><Relationship Id="rId299" Type="http://schemas.openxmlformats.org/officeDocument/2006/relationships/hyperlink" Target="https://drive.google.com/open?id=15Jfa1FFCT_tQ7iHhVdSYc28epBNvqgxC" TargetMode="External"/><Relationship Id="rId2187" Type="http://schemas.openxmlformats.org/officeDocument/2006/relationships/hyperlink" Target="https://www.instagram.com/familiacriativadocampo/" TargetMode="External"/><Relationship Id="rId2394" Type="http://schemas.openxmlformats.org/officeDocument/2006/relationships/hyperlink" Target="https://drive.google.com/open?id=1KbcoBZnNOCbfejp9ZIdu2P99wuoXKeOu" TargetMode="External"/><Relationship Id="rId159" Type="http://schemas.openxmlformats.org/officeDocument/2006/relationships/hyperlink" Target="https://www.instagram.com/livrosemtodolugar/" TargetMode="External"/><Relationship Id="rId366" Type="http://schemas.openxmlformats.org/officeDocument/2006/relationships/hyperlink" Target="http://www.naotemos.com.br/" TargetMode="External"/><Relationship Id="rId573" Type="http://schemas.openxmlformats.org/officeDocument/2006/relationships/hyperlink" Target="https://www.instagram.com/procultura_msm/" TargetMode="External"/><Relationship Id="rId780" Type="http://schemas.openxmlformats.org/officeDocument/2006/relationships/hyperlink" Target="https://www.facebook.com/fazerobemgru" TargetMode="External"/><Relationship Id="rId2047" Type="http://schemas.openxmlformats.org/officeDocument/2006/relationships/hyperlink" Target="https://www.youtube.com/channel/UCgdGh3xiuVdGJ2Awt5mve9g" TargetMode="External"/><Relationship Id="rId2254" Type="http://schemas.openxmlformats.org/officeDocument/2006/relationships/hyperlink" Target="http://instagran.com/ongprojetoondas/" TargetMode="External"/><Relationship Id="rId2461" Type="http://schemas.openxmlformats.org/officeDocument/2006/relationships/hyperlink" Target="https://drive.google.com/open?id=1xr0QQARj5ATTICBnwBPCf2tgEqAiiXWI" TargetMode="External"/><Relationship Id="rId2699" Type="http://schemas.openxmlformats.org/officeDocument/2006/relationships/hyperlink" Target="https://drive.google.com/open?id=1vVCLuUqSGQDLrMMJ4b4qIBDAO7eiu3iV" TargetMode="External"/><Relationship Id="rId226" Type="http://schemas.openxmlformats.org/officeDocument/2006/relationships/hyperlink" Target="https://www.facebook.com/groups/Clube.do.Bem.CLdoBem" TargetMode="External"/><Relationship Id="rId433" Type="http://schemas.openxmlformats.org/officeDocument/2006/relationships/hyperlink" Target="https://drive.google.com/open?id=1SWjhXYrH9FRHqmjfjPk_64GPXaOFmSnm" TargetMode="External"/><Relationship Id="rId878" Type="http://schemas.openxmlformats.org/officeDocument/2006/relationships/hyperlink" Target="https://drive.google.com/open?id=1FGkOip4O5EnUuflgKNCjwtaxG9cNLSe-" TargetMode="External"/><Relationship Id="rId1063" Type="http://schemas.openxmlformats.org/officeDocument/2006/relationships/hyperlink" Target="https://m.facebook.com/transformar.osc/" TargetMode="External"/><Relationship Id="rId1270" Type="http://schemas.openxmlformats.org/officeDocument/2006/relationships/hyperlink" Target="https://drive.google.com/open?id=1ZhD9wa-wYc5nZcNiW9oTRG7FwF0C_Csm" TargetMode="External"/><Relationship Id="rId2114" Type="http://schemas.openxmlformats.org/officeDocument/2006/relationships/hyperlink" Target="https://www.instagram.com/reel/CbxNzDrDjoV/?utm_medium=copy_link" TargetMode="External"/><Relationship Id="rId2559" Type="http://schemas.openxmlformats.org/officeDocument/2006/relationships/hyperlink" Target="https://www.instagram.com/invites/contact/?i=1qcbdx6e1jtqz&amp;utm_content=b5n7r7y" TargetMode="External"/><Relationship Id="rId640" Type="http://schemas.openxmlformats.org/officeDocument/2006/relationships/hyperlink" Target="https://drive.google.com/open?id=1MUdNJhTL21UC-WuluPEEBakV9n0eNMhL" TargetMode="External"/><Relationship Id="rId738" Type="http://schemas.openxmlformats.org/officeDocument/2006/relationships/hyperlink" Target="https://drive.google.com/open?id=1Gd-gG-vOWmnBYb0cyCxAl8t_tIObgtaR" TargetMode="External"/><Relationship Id="rId945" Type="http://schemas.openxmlformats.org/officeDocument/2006/relationships/hyperlink" Target="https://instagram.com/aarma13demaio?igshid=YmMyMTA2M2Y=" TargetMode="External"/><Relationship Id="rId1368" Type="http://schemas.openxmlformats.org/officeDocument/2006/relationships/hyperlink" Target="https://www.youtube.com/channel/UCGdja19WDMDm7l2pKbNKQFw?view_as=subscriber" TargetMode="External"/><Relationship Id="rId1575" Type="http://schemas.openxmlformats.org/officeDocument/2006/relationships/hyperlink" Target="https://drive.google.com/open?id=1EJhx8heENNXxbeEhYsFFuvuiArAb31Ed" TargetMode="External"/><Relationship Id="rId1782" Type="http://schemas.openxmlformats.org/officeDocument/2006/relationships/hyperlink" Target="https://drive.google.com/open?id=1uvyc3szzvnU_JzJVa8MZwR_nJWwQgxNd" TargetMode="External"/><Relationship Id="rId2321" Type="http://schemas.openxmlformats.org/officeDocument/2006/relationships/hyperlink" Target="https://www.youtube.com/channel/UCGzyIqaz4wQLF_GkGCV8uzA" TargetMode="External"/><Relationship Id="rId2419" Type="http://schemas.openxmlformats.org/officeDocument/2006/relationships/hyperlink" Target="https://drive.google.com/open?id=16PgG-F9DRSxaTvszZOi0MkJV_tuS9TgP" TargetMode="External"/><Relationship Id="rId2626" Type="http://schemas.openxmlformats.org/officeDocument/2006/relationships/hyperlink" Target="https://www.facebook.com/mulheresdojequitinhonha/" TargetMode="External"/><Relationship Id="rId74" Type="http://schemas.openxmlformats.org/officeDocument/2006/relationships/hyperlink" Target="https://drive.google.com/open?id=127uwiFD-8veykwyNipaCJUI3Qa42gBCe" TargetMode="External"/><Relationship Id="rId500" Type="http://schemas.openxmlformats.org/officeDocument/2006/relationships/hyperlink" Target="https://drive.google.com/open?id=1l2q_aXpMw5_MUjywXQ6NQT-A3i-tMr9o" TargetMode="External"/><Relationship Id="rId805" Type="http://schemas.openxmlformats.org/officeDocument/2006/relationships/hyperlink" Target="https://drive.google.com/open?id=1VsqZe6rnHBWKEzyqxDkMP9OQtEKAkFE5" TargetMode="External"/><Relationship Id="rId1130" Type="http://schemas.openxmlformats.org/officeDocument/2006/relationships/hyperlink" Target="http://www.institutoconquistsorrisos.org.br/" TargetMode="External"/><Relationship Id="rId1228" Type="http://schemas.openxmlformats.org/officeDocument/2006/relationships/hyperlink" Target="http://www.instagram.com/iyd.brasil" TargetMode="External"/><Relationship Id="rId1435" Type="http://schemas.openxmlformats.org/officeDocument/2006/relationships/hyperlink" Target="https://drive.google.com/open?id=1sn4acylPPaf-MKOpIZleJAXzxSGEJONh" TargetMode="External"/><Relationship Id="rId1642" Type="http://schemas.openxmlformats.org/officeDocument/2006/relationships/hyperlink" Target="http://infam.org.br/" TargetMode="External"/><Relationship Id="rId1947" Type="http://schemas.openxmlformats.org/officeDocument/2006/relationships/hyperlink" Target="https://drive.google.com/open?id=1JHAUTkKEQaConvo9ZNkyrCd8-G9B7LkZ" TargetMode="External"/><Relationship Id="rId1502" Type="http://schemas.openxmlformats.org/officeDocument/2006/relationships/hyperlink" Target="https://drive.google.com/open?id=1L8nTZaUPMc27pSmqOnvUjdAMZ2MnMiZC" TargetMode="External"/><Relationship Id="rId1807" Type="http://schemas.openxmlformats.org/officeDocument/2006/relationships/hyperlink" Target="https://web.facebook.com/tabernaculoass" TargetMode="External"/><Relationship Id="rId290" Type="http://schemas.openxmlformats.org/officeDocument/2006/relationships/hyperlink" Target="http://www.co/" TargetMode="External"/><Relationship Id="rId388" Type="http://schemas.openxmlformats.org/officeDocument/2006/relationships/hyperlink" Target="https://drive.google.com/open?id=1cC5U8A1BkPfnf7mc7R7iCJOFNOs_E44O" TargetMode="External"/><Relationship Id="rId2069" Type="http://schemas.openxmlformats.org/officeDocument/2006/relationships/hyperlink" Target="https://www.vivendadacrianca.com.br/" TargetMode="External"/><Relationship Id="rId150" Type="http://schemas.openxmlformats.org/officeDocument/2006/relationships/hyperlink" Target="https://drive.google.com/open?id=101rEpuqs5iJPbjsXY7jQJPrpgXAMUYDo" TargetMode="External"/><Relationship Id="rId595" Type="http://schemas.openxmlformats.org/officeDocument/2006/relationships/hyperlink" Target="https://www.basqueteaurora.com/" TargetMode="External"/><Relationship Id="rId2276" Type="http://schemas.openxmlformats.org/officeDocument/2006/relationships/hyperlink" Target="https://youtube.com/channel/UCNfDkx4UYiE8hBE0TqJXftw" TargetMode="External"/><Relationship Id="rId2483" Type="http://schemas.openxmlformats.org/officeDocument/2006/relationships/hyperlink" Target="https://drive.google.com/open?id=1e-H81Z4rqUmIOJqn4wpKHbij8CvyrVFc" TargetMode="External"/><Relationship Id="rId2690" Type="http://schemas.openxmlformats.org/officeDocument/2006/relationships/hyperlink" Target="https://drive.google.com/open?id=1a0E_AueCFHl8QFNh6NbMhlJ3FH8Xbzg-" TargetMode="External"/><Relationship Id="rId248" Type="http://schemas.openxmlformats.org/officeDocument/2006/relationships/hyperlink" Target="https://instagram.com/corrente_do_bemfsa?utm_medium=copy_link" TargetMode="External"/><Relationship Id="rId455" Type="http://schemas.openxmlformats.org/officeDocument/2006/relationships/hyperlink" Target="https://drive.google.com/open?id=1cmzsf34mX2j-0rPybUFCL-EfZ1OX5_oi" TargetMode="External"/><Relationship Id="rId662" Type="http://schemas.openxmlformats.org/officeDocument/2006/relationships/hyperlink" Target="https://drive.google.com/open?id=1Q9_flBDU34R_UUBtgcSP3nDhewjpzMjd" TargetMode="External"/><Relationship Id="rId1085" Type="http://schemas.openxmlformats.org/officeDocument/2006/relationships/hyperlink" Target="https://drive.google.com/open?id=1l3upc6lcS6Jy1sogEgAR8b0uxSEES7Xp" TargetMode="External"/><Relationship Id="rId1292" Type="http://schemas.openxmlformats.org/officeDocument/2006/relationships/hyperlink" Target="https://drive.google.com/open?id=1HjfTNe8jWuwfcQCQqAUJa7L2bGFs0BoC" TargetMode="External"/><Relationship Id="rId2136" Type="http://schemas.openxmlformats.org/officeDocument/2006/relationships/hyperlink" Target="https://instagram.com/redeprotagonistaoficial?igshid=YmMyMTA2M2Y=" TargetMode="External"/><Relationship Id="rId2343" Type="http://schemas.openxmlformats.org/officeDocument/2006/relationships/hyperlink" Target="https://drive.google.com/open?id=1fBkVL8IRuKK-J-VwJoapEwJPJnyCO4NM" TargetMode="External"/><Relationship Id="rId2550" Type="http://schemas.openxmlformats.org/officeDocument/2006/relationships/hyperlink" Target="https://drive.google.com/open?id=1J6vq8z3nh4-YB-CAj-bfsoqnH1KpTxS3" TargetMode="External"/><Relationship Id="rId108" Type="http://schemas.openxmlformats.org/officeDocument/2006/relationships/hyperlink" Target="https://drive.google.com/open?id=1wY97PtuqiF91GqNE_VlCdGAuSXorzy-p" TargetMode="External"/><Relationship Id="rId315" Type="http://schemas.openxmlformats.org/officeDocument/2006/relationships/hyperlink" Target="https://drive.google.com/open?id=1SO0uknRa7oanuF1jGx7JKFffojGedGqB" TargetMode="External"/><Relationship Id="rId522" Type="http://schemas.openxmlformats.org/officeDocument/2006/relationships/hyperlink" Target="https://www.instagram.com/donaobra.arq/" TargetMode="External"/><Relationship Id="rId967" Type="http://schemas.openxmlformats.org/officeDocument/2006/relationships/hyperlink" Target="https://www.instagram.com/institutoagapemanaus/" TargetMode="External"/><Relationship Id="rId1152" Type="http://schemas.openxmlformats.org/officeDocument/2006/relationships/hyperlink" Target="https://www.instagram.com/ibefpr/" TargetMode="External"/><Relationship Id="rId1597" Type="http://schemas.openxmlformats.org/officeDocument/2006/relationships/hyperlink" Target="http://www.ajsb.com.br/" TargetMode="External"/><Relationship Id="rId2203" Type="http://schemas.openxmlformats.org/officeDocument/2006/relationships/hyperlink" Target="https://drive.google.com/open?id=1P7WTqXKxV9uhGvMS-13qBmKDe4lE0-FF" TargetMode="External"/><Relationship Id="rId2410" Type="http://schemas.openxmlformats.org/officeDocument/2006/relationships/hyperlink" Target="https://drive.google.com/open?id=1bP_eyOwBsm4wM50bypnEFwEGHc0byj_0" TargetMode="External"/><Relationship Id="rId2648" Type="http://schemas.openxmlformats.org/officeDocument/2006/relationships/hyperlink" Target="https://drive.google.com/open?id=1XZbUFHvFn2XpM6JTOkAJ--0lOAhiht5Y" TargetMode="External"/><Relationship Id="rId96" Type="http://schemas.openxmlformats.org/officeDocument/2006/relationships/hyperlink" Target="https://drive.google.com/open?id=1jj1prwyFhkvAwptc7ia1mr2w5YCYxgb6" TargetMode="External"/><Relationship Id="rId827" Type="http://schemas.openxmlformats.org/officeDocument/2006/relationships/hyperlink" Target="https://instagram.com/isminstituto?igshid=YmMyMTA2M2Y=" TargetMode="External"/><Relationship Id="rId1012" Type="http://schemas.openxmlformats.org/officeDocument/2006/relationships/hyperlink" Target="https://drive.google.com/open?id=1bEwHrE6bUb1POgFQOQuucW7o0UTlm8JP" TargetMode="External"/><Relationship Id="rId1457" Type="http://schemas.openxmlformats.org/officeDocument/2006/relationships/hyperlink" Target="http://www.naotem.com.br/" TargetMode="External"/><Relationship Id="rId1664" Type="http://schemas.openxmlformats.org/officeDocument/2006/relationships/hyperlink" Target="https://www.facebook.com/pelaruapeloreinooficial/" TargetMode="External"/><Relationship Id="rId1871" Type="http://schemas.openxmlformats.org/officeDocument/2006/relationships/hyperlink" Target="https://instagram.com/esperancabrasil_ong?utm_medium=copy_link" TargetMode="External"/><Relationship Id="rId2508" Type="http://schemas.openxmlformats.org/officeDocument/2006/relationships/hyperlink" Target="https://www.facebook.com/fernandabentodasilva.silva" TargetMode="External"/><Relationship Id="rId2715" Type="http://schemas.openxmlformats.org/officeDocument/2006/relationships/hyperlink" Target="https://www.facebook.com/1883550875006253/posts/4762745793753399/" TargetMode="External"/><Relationship Id="rId1317" Type="http://schemas.openxmlformats.org/officeDocument/2006/relationships/hyperlink" Target="https://www.youtube.com/c/InstitutoGirassoldeDesenvolvimentoSocial" TargetMode="External"/><Relationship Id="rId1524" Type="http://schemas.openxmlformats.org/officeDocument/2006/relationships/hyperlink" Target="https://drive.google.com/open?id=14F9q8rwCa-7WOTGUOkJ8-tooZ4Z0Ovr0" TargetMode="External"/><Relationship Id="rId1731" Type="http://schemas.openxmlformats.org/officeDocument/2006/relationships/hyperlink" Target="https://associacaoelisabethbruyere.com.br/" TargetMode="External"/><Relationship Id="rId1969" Type="http://schemas.openxmlformats.org/officeDocument/2006/relationships/hyperlink" Target="https://instagram.com/arautosdogueto?igshid=be3ahhsdp4nn" TargetMode="External"/><Relationship Id="rId23" Type="http://schemas.openxmlformats.org/officeDocument/2006/relationships/hyperlink" Target="https://drive.google.com/open?id=1XQefli6kSYcM4ZSlL5Xsr3kXoJoBbYRU" TargetMode="External"/><Relationship Id="rId1829" Type="http://schemas.openxmlformats.org/officeDocument/2006/relationships/hyperlink" Target="https://drive.google.com/open?id=1JOdsY4X3HJiZCRG6YC3xhD_kC33qPsqO" TargetMode="External"/><Relationship Id="rId2298" Type="http://schemas.openxmlformats.org/officeDocument/2006/relationships/hyperlink" Target="https://facebook.com/donaantonia" TargetMode="External"/><Relationship Id="rId172" Type="http://schemas.openxmlformats.org/officeDocument/2006/relationships/hyperlink" Target="https://drive.google.com/open?id=1qLm1igekM6i_8FlDYa0P_jzOTN-prH_S" TargetMode="External"/><Relationship Id="rId477" Type="http://schemas.openxmlformats.org/officeDocument/2006/relationships/hyperlink" Target="https://drive.google.com/open?id=1JZeMDHCky6T5cxKEcmLZ5mcmXkZqZuUO" TargetMode="External"/><Relationship Id="rId684" Type="http://schemas.openxmlformats.org/officeDocument/2006/relationships/hyperlink" Target="http://www.instagram.com/invites/contact/?i=9iito6olx19w&amp;utm_content=m3eqf3h" TargetMode="External"/><Relationship Id="rId2060" Type="http://schemas.openxmlformats.org/officeDocument/2006/relationships/hyperlink" Target="https://youtube.com/channel/UCe1v-_Bd7ISGcqUdcZzMmzQ" TargetMode="External"/><Relationship Id="rId2158" Type="http://schemas.openxmlformats.org/officeDocument/2006/relationships/hyperlink" Target="https://drive.google.com/open?id=1UTavPiCzVTnQLlVlFoG6g4MLYrE5tH06" TargetMode="External"/><Relationship Id="rId2365" Type="http://schemas.openxmlformats.org/officeDocument/2006/relationships/hyperlink" Target="http://andancasdf.com.br/" TargetMode="External"/><Relationship Id="rId337" Type="http://schemas.openxmlformats.org/officeDocument/2006/relationships/hyperlink" Target="https://drive.google.com/open?id=1WcLkw1nScKU3xo9K1Zi5H5W055Ct2kxJ" TargetMode="External"/><Relationship Id="rId891" Type="http://schemas.openxmlformats.org/officeDocument/2006/relationships/hyperlink" Target="https://www.instagram.com/santodiasassociacao/" TargetMode="External"/><Relationship Id="rId989" Type="http://schemas.openxmlformats.org/officeDocument/2006/relationships/hyperlink" Target="https://drive.google.com/open?id=1a4L7plqC3RpWAygFuNj1fCNfWYcPUoKI" TargetMode="External"/><Relationship Id="rId2018" Type="http://schemas.openxmlformats.org/officeDocument/2006/relationships/hyperlink" Target="https://drive.google.com/open?id=1aQmhzrZSAYNQicD-CXYHqt9Mxb2BbyE-" TargetMode="External"/><Relationship Id="rId2572" Type="http://schemas.openxmlformats.org/officeDocument/2006/relationships/hyperlink" Target="https://drive.google.com/open?id=1QRSdFDwzHHXBN4PyKPi66nOp-7KzUYtx" TargetMode="External"/><Relationship Id="rId544" Type="http://schemas.openxmlformats.org/officeDocument/2006/relationships/hyperlink" Target="https://www.facebook.com/OXENTEMAINHAOFICIAL1" TargetMode="External"/><Relationship Id="rId751" Type="http://schemas.openxmlformats.org/officeDocument/2006/relationships/hyperlink" Target="https://instagram.com/hebromtefe?igshid=YmMyMTA2M2Y=" TargetMode="External"/><Relationship Id="rId849" Type="http://schemas.openxmlformats.org/officeDocument/2006/relationships/hyperlink" Target="https://www.youtube.com/user/UsinadosAtos" TargetMode="External"/><Relationship Id="rId1174" Type="http://schemas.openxmlformats.org/officeDocument/2006/relationships/hyperlink" Target="https://www.instagram.com/institutosaintnicholascare/" TargetMode="External"/><Relationship Id="rId1381" Type="http://schemas.openxmlformats.org/officeDocument/2006/relationships/hyperlink" Target="https://drive.google.com/open?id=18jB0dlVfQe7HI56K37hh0jjj6yjcgbnn" TargetMode="External"/><Relationship Id="rId1479" Type="http://schemas.openxmlformats.org/officeDocument/2006/relationships/hyperlink" Target="https://instagram.com/instituto_quadro_de_esperanca?r=nametag" TargetMode="External"/><Relationship Id="rId1686" Type="http://schemas.openxmlformats.org/officeDocument/2006/relationships/hyperlink" Target="https://www.facebook.com/Instituto.Eclesia/" TargetMode="External"/><Relationship Id="rId2225" Type="http://schemas.openxmlformats.org/officeDocument/2006/relationships/hyperlink" Target="https://instagram.com/institutoizaiasluzia?igshid=je5vxzpfwoys" TargetMode="External"/><Relationship Id="rId2432" Type="http://schemas.openxmlformats.org/officeDocument/2006/relationships/hyperlink" Target="https://www.youtube.com/ProjetoReconstruir" TargetMode="External"/><Relationship Id="rId404" Type="http://schemas.openxmlformats.org/officeDocument/2006/relationships/hyperlink" Target="https://drive.google.com/open?id=1cpF_3MAlPtjEOZQ3wHIBpN1LYcI1mv1v" TargetMode="External"/><Relationship Id="rId611" Type="http://schemas.openxmlformats.org/officeDocument/2006/relationships/hyperlink" Target="http://www.escolamangue.org/" TargetMode="External"/><Relationship Id="rId1034" Type="http://schemas.openxmlformats.org/officeDocument/2006/relationships/hyperlink" Target="https://www.youtube.com/channel/UC6iSgGk8ajwe7RlDN3VkmdA/videos" TargetMode="External"/><Relationship Id="rId1241" Type="http://schemas.openxmlformats.org/officeDocument/2006/relationships/hyperlink" Target="https://drive.google.com/open?id=1HWcNe6FeDwn_isnzbIIp_5VEtWA4YSWV" TargetMode="External"/><Relationship Id="rId1339" Type="http://schemas.openxmlformats.org/officeDocument/2006/relationships/hyperlink" Target="https://drive.google.com/open?id=1N6-ig_ntGlb2EgH5KM_FXjG4b6a5l1nm" TargetMode="External"/><Relationship Id="rId1893" Type="http://schemas.openxmlformats.org/officeDocument/2006/relationships/hyperlink" Target="https://www.facebook.com/futsalsemdrogas" TargetMode="External"/><Relationship Id="rId2737" Type="http://schemas.openxmlformats.org/officeDocument/2006/relationships/vmlDrawing" Target="../drawings/vmlDrawing3.vml"/><Relationship Id="rId709" Type="http://schemas.openxmlformats.org/officeDocument/2006/relationships/hyperlink" Target="https://www.facebook.com/569321129826299/posts/pfbid02mLzBdPKE7CGcuMjZS3hTafP41PgmEdajG2735LY8pYAizxE57muaxmfV4qTn38Ebl/" TargetMode="External"/><Relationship Id="rId916" Type="http://schemas.openxmlformats.org/officeDocument/2006/relationships/hyperlink" Target="https://instagram.com/redeablan?utm_medium=copy_link" TargetMode="External"/><Relationship Id="rId1101" Type="http://schemas.openxmlformats.org/officeDocument/2006/relationships/hyperlink" Target="http://www.projetocria.org.br/" TargetMode="External"/><Relationship Id="rId1546" Type="http://schemas.openxmlformats.org/officeDocument/2006/relationships/hyperlink" Target="https://drive.google.com/open?id=1IT_QtVY-X5mnlEZVJ7vVjWh5lPLVsalW" TargetMode="External"/><Relationship Id="rId1753" Type="http://schemas.openxmlformats.org/officeDocument/2006/relationships/hyperlink" Target="http://instagram.com/juntaqueajuda" TargetMode="External"/><Relationship Id="rId1960" Type="http://schemas.openxmlformats.org/officeDocument/2006/relationships/hyperlink" Target="https://www.institutoresgatandovidas.org.br/" TargetMode="External"/><Relationship Id="rId45" Type="http://schemas.openxmlformats.org/officeDocument/2006/relationships/hyperlink" Target="https://www.facebook.com/Associacaoplenitudedoamor" TargetMode="External"/><Relationship Id="rId1406" Type="http://schemas.openxmlformats.org/officeDocument/2006/relationships/hyperlink" Target="https://instagram.com/teatroescola?utm_medium=copy_link" TargetMode="External"/><Relationship Id="rId1613" Type="http://schemas.openxmlformats.org/officeDocument/2006/relationships/hyperlink" Target="https://www.instagram.com/tv/CZw8akeDeRN/?utm_medium=copy_link" TargetMode="External"/><Relationship Id="rId1820" Type="http://schemas.openxmlformats.org/officeDocument/2006/relationships/hyperlink" Target="https://drive.google.com/open?id=1Fc8BPf0HH6EC_Mw38rZSE3mnVb7xXYB9" TargetMode="External"/><Relationship Id="rId194" Type="http://schemas.openxmlformats.org/officeDocument/2006/relationships/hyperlink" Target="https://drive.google.com/open?id=1QUP6aIhBcLqm3UirAbwLg8X02guuvZsY" TargetMode="External"/><Relationship Id="rId1918" Type="http://schemas.openxmlformats.org/officeDocument/2006/relationships/hyperlink" Target="https://drive.google.com/open?id=1C40LmHNoTgQIMcP5gk0NrYlVXovO_Ypq" TargetMode="External"/><Relationship Id="rId2082" Type="http://schemas.openxmlformats.org/officeDocument/2006/relationships/hyperlink" Target="https://drive.google.com/open?id=1DRX6PHyBkRlGtmVvab4eGlAzjmSt9jKJ" TargetMode="External"/><Relationship Id="rId261" Type="http://schemas.openxmlformats.org/officeDocument/2006/relationships/hyperlink" Target="https://www.instagram.com/rosarinhocecor/" TargetMode="External"/><Relationship Id="rId499" Type="http://schemas.openxmlformats.org/officeDocument/2006/relationships/hyperlink" Target="https://drive.google.com/open?id=1g4vOAmFyMdYt_6G5d9zbL4rY9-18bJis" TargetMode="External"/><Relationship Id="rId2387" Type="http://schemas.openxmlformats.org/officeDocument/2006/relationships/hyperlink" Target="https://drive.google.com/open?id=1jwBni9SitSXaHlUmw-miG6Svw8pp2Kn0" TargetMode="External"/><Relationship Id="rId2594" Type="http://schemas.openxmlformats.org/officeDocument/2006/relationships/hyperlink" Target="http://facebook.com/institutomacunaima" TargetMode="External"/><Relationship Id="rId359" Type="http://schemas.openxmlformats.org/officeDocument/2006/relationships/hyperlink" Target="https://www.instagram.com/alimentandoseubolso/" TargetMode="External"/><Relationship Id="rId566" Type="http://schemas.openxmlformats.org/officeDocument/2006/relationships/hyperlink" Target="https://www.instagram.com/mucamboinstituto/" TargetMode="External"/><Relationship Id="rId773" Type="http://schemas.openxmlformats.org/officeDocument/2006/relationships/hyperlink" Target="https://www.youtube.com/channel/UC9vKRE-JoTzLDvCcIddLt3A" TargetMode="External"/><Relationship Id="rId1196" Type="http://schemas.openxmlformats.org/officeDocument/2006/relationships/hyperlink" Target="https://www.instagram.com/unificacaodasquebradas/" TargetMode="External"/><Relationship Id="rId2247" Type="http://schemas.openxmlformats.org/officeDocument/2006/relationships/hyperlink" Target="https://youtube.com/channel/UC1NAkHnpQlXgOmI1hJOQCHg" TargetMode="External"/><Relationship Id="rId2454" Type="http://schemas.openxmlformats.org/officeDocument/2006/relationships/hyperlink" Target="https://www.facebook.com/AbadaCapoeiraPPL/" TargetMode="External"/><Relationship Id="rId121" Type="http://schemas.openxmlformats.org/officeDocument/2006/relationships/hyperlink" Target="https://www.instagram.com/institutoindace/" TargetMode="External"/><Relationship Id="rId219" Type="http://schemas.openxmlformats.org/officeDocument/2006/relationships/hyperlink" Target="https://www.instagram.com/arur.uberlandia/" TargetMode="External"/><Relationship Id="rId426" Type="http://schemas.openxmlformats.org/officeDocument/2006/relationships/hyperlink" Target="https://drive.google.com/open?id=1CpaC1f90l5_5f689ktCzhr4NDbW1MBrt" TargetMode="External"/><Relationship Id="rId633" Type="http://schemas.openxmlformats.org/officeDocument/2006/relationships/hyperlink" Target="https://www.instagram.com/sorvebol.oficial/" TargetMode="External"/><Relationship Id="rId980" Type="http://schemas.openxmlformats.org/officeDocument/2006/relationships/hyperlink" Target="http://diadoamor.org.br/" TargetMode="External"/><Relationship Id="rId1056" Type="http://schemas.openxmlformats.org/officeDocument/2006/relationships/hyperlink" Target="https://drive.google.com/open?id=1TfjGp3ffggdSUB40YlikK3OgnOKTURvt" TargetMode="External"/><Relationship Id="rId1263" Type="http://schemas.openxmlformats.org/officeDocument/2006/relationships/hyperlink" Target="https://drive.google.com/open?id=1VBuI5lPKL9Rp6J_WGC3anXmV5x2RDkpp" TargetMode="External"/><Relationship Id="rId2107" Type="http://schemas.openxmlformats.org/officeDocument/2006/relationships/hyperlink" Target="https://instagram.com/institutomundonovo?utm_medium=copy_link" TargetMode="External"/><Relationship Id="rId2314" Type="http://schemas.openxmlformats.org/officeDocument/2006/relationships/hyperlink" Target="https://drive.google.com/open?id=1SDUMMzYyt1AaI5XXNVU_1FghApz-pjHH" TargetMode="External"/><Relationship Id="rId2661" Type="http://schemas.openxmlformats.org/officeDocument/2006/relationships/hyperlink" Target="https://drive.google.com/open?id=1a5ucCFavpC6A13vNK9t_a-BTSI-aH8gd" TargetMode="External"/><Relationship Id="rId840" Type="http://schemas.openxmlformats.org/officeDocument/2006/relationships/hyperlink" Target="http://brigadasolidaria.com.br/" TargetMode="External"/><Relationship Id="rId938" Type="http://schemas.openxmlformats.org/officeDocument/2006/relationships/hyperlink" Target="https://www.facebook.com/artdruacrew/" TargetMode="External"/><Relationship Id="rId1470" Type="http://schemas.openxmlformats.org/officeDocument/2006/relationships/hyperlink" Target="https://www.instagram.com/ongfazendoarte/" TargetMode="External"/><Relationship Id="rId1568" Type="http://schemas.openxmlformats.org/officeDocument/2006/relationships/hyperlink" Target="https://instagram.com/ongrongo.rj?utm_medium=copy_link" TargetMode="External"/><Relationship Id="rId1775" Type="http://schemas.openxmlformats.org/officeDocument/2006/relationships/hyperlink" Target="https://www.youtube.com/channel/UCsfbH2lqPSY32JLoCD1tCKw" TargetMode="External"/><Relationship Id="rId2521" Type="http://schemas.openxmlformats.org/officeDocument/2006/relationships/hyperlink" Target="https://drive.google.com/open?id=1ZigyQ4O8wnECaP4RegGmKK9qJDg_LHs5" TargetMode="External"/><Relationship Id="rId2619" Type="http://schemas.openxmlformats.org/officeDocument/2006/relationships/hyperlink" Target="https://youtube.com/channel/UC7yd6oOWzkrTPMYaRCRMNHA" TargetMode="External"/><Relationship Id="rId67" Type="http://schemas.openxmlformats.org/officeDocument/2006/relationships/hyperlink" Target="https://drive.google.com/open?id=1ysLaojgsOVeJ9tWu1ytQ0OtcIB8WOIvZ" TargetMode="External"/><Relationship Id="rId700" Type="http://schemas.openxmlformats.org/officeDocument/2006/relationships/hyperlink" Target="http://www.grupodeapoioamulher.com.br/" TargetMode="External"/><Relationship Id="rId1123" Type="http://schemas.openxmlformats.org/officeDocument/2006/relationships/hyperlink" Target="https://www.instagram.com/p/CfrT4xbOs7C/?igshid=YmMyMTA2M2Y=" TargetMode="External"/><Relationship Id="rId1330" Type="http://schemas.openxmlformats.org/officeDocument/2006/relationships/hyperlink" Target="https://drive.google.com/open?id=128-H_kIibD2jD7eulEhzlSbtZGywYY6H" TargetMode="External"/><Relationship Id="rId1428" Type="http://schemas.openxmlformats.org/officeDocument/2006/relationships/hyperlink" Target="https://caas-centraldeapoiodosamigossolidrios.blogspot.com/" TargetMode="External"/><Relationship Id="rId1635" Type="http://schemas.openxmlformats.org/officeDocument/2006/relationships/hyperlink" Target="https://drive.google.com/open?id=1FHJGwlc4FqC2M4WHtwzYTURoMBNtQX_1" TargetMode="External"/><Relationship Id="rId1982" Type="http://schemas.openxmlformats.org/officeDocument/2006/relationships/hyperlink" Target="https://drive.google.com/open?id=1vOwIwslTZY_qAFQD5lQAj5e92ZaVn9dp" TargetMode="External"/><Relationship Id="rId1842" Type="http://schemas.openxmlformats.org/officeDocument/2006/relationships/hyperlink" Target="http://criancafelizdesorocaba.org.br/" TargetMode="External"/><Relationship Id="rId1702" Type="http://schemas.openxmlformats.org/officeDocument/2006/relationships/hyperlink" Target="https://drive.google.com/open?id=1STfx3ckPIgPUDIMA05ilHgCh6OEpR8MC" TargetMode="External"/><Relationship Id="rId283" Type="http://schemas.openxmlformats.org/officeDocument/2006/relationships/hyperlink" Target="https://instagram.com/institutojoaquimtavora?igshid=YmMyMTA2M2Y=" TargetMode="External"/><Relationship Id="rId490" Type="http://schemas.openxmlformats.org/officeDocument/2006/relationships/hyperlink" Target="https://www.facebook.com/search/top?q=instituto%207%20gera%C3%A7%C3%B5es" TargetMode="External"/><Relationship Id="rId2171" Type="http://schemas.openxmlformats.org/officeDocument/2006/relationships/hyperlink" Target="https://www.facebook.com/institutosonharalto" TargetMode="External"/><Relationship Id="rId143" Type="http://schemas.openxmlformats.org/officeDocument/2006/relationships/hyperlink" Target="https://drive.google.com/open?id=1MPw22RnYAr_ZsRqg2pLNxoE6fQLdQbPg" TargetMode="External"/><Relationship Id="rId350" Type="http://schemas.openxmlformats.org/officeDocument/2006/relationships/hyperlink" Target="https://drive.google.com/open?id=105sI3k0b8k9XRgoIYziUuzQ7Y6uo5HES" TargetMode="External"/><Relationship Id="rId588" Type="http://schemas.openxmlformats.org/officeDocument/2006/relationships/hyperlink" Target="http://www.somostodosmuribeca.com.br/" TargetMode="External"/><Relationship Id="rId795" Type="http://schemas.openxmlformats.org/officeDocument/2006/relationships/hyperlink" Target="https://www.facebook.com/forcafocoobjetivo/" TargetMode="External"/><Relationship Id="rId2031" Type="http://schemas.openxmlformats.org/officeDocument/2006/relationships/hyperlink" Target="https://www.instagram.com/projetoviela/" TargetMode="External"/><Relationship Id="rId2269" Type="http://schemas.openxmlformats.org/officeDocument/2006/relationships/hyperlink" Target="https://drive.google.com/open?id=1PtrY71AUkeO9uAdukXhrYGY5I-enO1Xq" TargetMode="External"/><Relationship Id="rId2476" Type="http://schemas.openxmlformats.org/officeDocument/2006/relationships/hyperlink" Target="https://drive.google.com/open?id=1e5fsAY9aR3hHgfWXSleDVpxbqykOXJXn" TargetMode="External"/><Relationship Id="rId2683" Type="http://schemas.openxmlformats.org/officeDocument/2006/relationships/hyperlink" Target="https://drive.google.com/open?id=1vKij_ajPKFrt2qgMEcLGN2z8qVRXlXku" TargetMode="External"/><Relationship Id="rId9" Type="http://schemas.openxmlformats.org/officeDocument/2006/relationships/hyperlink" Target="https://www.instagram.com/p/Cb_SYjmskiD/?utm_medium=copy_link" TargetMode="External"/><Relationship Id="rId210" Type="http://schemas.openxmlformats.org/officeDocument/2006/relationships/hyperlink" Target="https://drive.google.com/open?id=1cMYvzmQ4g-G9U6ZR7_X5YsFtPCS8NWHN" TargetMode="External"/><Relationship Id="rId448" Type="http://schemas.openxmlformats.org/officeDocument/2006/relationships/hyperlink" Target="https://www.instagram.com/institutotmj/" TargetMode="External"/><Relationship Id="rId655" Type="http://schemas.openxmlformats.org/officeDocument/2006/relationships/hyperlink" Target="https://drive.google.com/open?id=1uvkT3SQfZyn9yC0UpnWBEQqs8fITrWVd" TargetMode="External"/><Relationship Id="rId862" Type="http://schemas.openxmlformats.org/officeDocument/2006/relationships/hyperlink" Target="https://www.instagram.com/heroisdoslacres/" TargetMode="External"/><Relationship Id="rId1078" Type="http://schemas.openxmlformats.org/officeDocument/2006/relationships/hyperlink" Target="https://drive.google.com/open?id=1b0C8IKHqp9KV9c3e-UjF2EEoj-tWYwen" TargetMode="External"/><Relationship Id="rId1285" Type="http://schemas.openxmlformats.org/officeDocument/2006/relationships/hyperlink" Target="https://drive.google.com/open?id=1TDUppRBNfqJErYRTm9yV0tJFsbVvQZkj" TargetMode="External"/><Relationship Id="rId1492" Type="http://schemas.openxmlformats.org/officeDocument/2006/relationships/hyperlink" Target="http://institutoemarca.com.br/" TargetMode="External"/><Relationship Id="rId2129" Type="http://schemas.openxmlformats.org/officeDocument/2006/relationships/hyperlink" Target="https://www.instagram.com/invites/contact/?i=8gj04jbeb4vu&amp;utm_content=a3lfx4i" TargetMode="External"/><Relationship Id="rId2336" Type="http://schemas.openxmlformats.org/officeDocument/2006/relationships/hyperlink" Target="https://www.instagram.com/institutoherdar" TargetMode="External"/><Relationship Id="rId2543" Type="http://schemas.openxmlformats.org/officeDocument/2006/relationships/hyperlink" Target="https://drive.google.com/open?id=1H8FOEtR6h5T5iQ8zy6xOhA9hNi0c113f" TargetMode="External"/><Relationship Id="rId308" Type="http://schemas.openxmlformats.org/officeDocument/2006/relationships/hyperlink" Target="https://www.instagram.com/invites/contact/?i=120j5yrsu7t8k&amp;utm_content=1bisy0m" TargetMode="External"/><Relationship Id="rId515" Type="http://schemas.openxmlformats.org/officeDocument/2006/relationships/hyperlink" Target="https://drive.google.com/open?id=1yyyq5wvsz26LRr0snov1oqVQK8AHp43W" TargetMode="External"/><Relationship Id="rId722" Type="http://schemas.openxmlformats.org/officeDocument/2006/relationships/hyperlink" Target="https://drive.google.com/open?id=1aDesZDjwGOgvAP-7SJdU_sy94-l3bg78" TargetMode="External"/><Relationship Id="rId1145" Type="http://schemas.openxmlformats.org/officeDocument/2006/relationships/hyperlink" Target="https://drive.google.com/open?id=1Ipw44elWUhI7pndzFi79ioS6cwkQg53T" TargetMode="External"/><Relationship Id="rId1352" Type="http://schemas.openxmlformats.org/officeDocument/2006/relationships/hyperlink" Target="https://crechemarianazare.org.br/" TargetMode="External"/><Relationship Id="rId1797" Type="http://schemas.openxmlformats.org/officeDocument/2006/relationships/hyperlink" Target="https://drive.google.com/open?id=1YRXEu70C-B2Qj7ZkEOjF_OP32haZqFR5" TargetMode="External"/><Relationship Id="rId2403" Type="http://schemas.openxmlformats.org/officeDocument/2006/relationships/hyperlink" Target="https://www.linkedin.com/company/74515929/admin/" TargetMode="External"/><Relationship Id="rId89" Type="http://schemas.openxmlformats.org/officeDocument/2006/relationships/hyperlink" Target="https://youtube.com/channel/UCk_SMlCQl0BRfYVblql6PnA" TargetMode="External"/><Relationship Id="rId1005" Type="http://schemas.openxmlformats.org/officeDocument/2006/relationships/hyperlink" Target="https://drive.google.com/open?id=1BehEKp9_fpquD7YIZGa83LaRqypCuWFI" TargetMode="External"/><Relationship Id="rId1212" Type="http://schemas.openxmlformats.org/officeDocument/2006/relationships/hyperlink" Target="https://www.instagram.com/empreendemeninas/" TargetMode="External"/><Relationship Id="rId1657" Type="http://schemas.openxmlformats.org/officeDocument/2006/relationships/hyperlink" Target="https://www.facebook.com/espacoculturalnovabonsucesso" TargetMode="External"/><Relationship Id="rId1864" Type="http://schemas.openxmlformats.org/officeDocument/2006/relationships/hyperlink" Target="https://www.youtube.com/channel/UCg8ecxE5zjwS749EkX0bdOA" TargetMode="External"/><Relationship Id="rId2610" Type="http://schemas.openxmlformats.org/officeDocument/2006/relationships/hyperlink" Target="https://drive.google.com/open?id=12TN6skOD8tNFBxcYu0j2I5Mw2bXPpbVF" TargetMode="External"/><Relationship Id="rId2708" Type="http://schemas.openxmlformats.org/officeDocument/2006/relationships/hyperlink" Target="https://drive.google.com/open?id=13vfTmsdIVWQmd-slab-93MbxyC99ZuyH" TargetMode="External"/><Relationship Id="rId1517" Type="http://schemas.openxmlformats.org/officeDocument/2006/relationships/hyperlink" Target="https://www.facebook.com/malocadacidadania/" TargetMode="External"/><Relationship Id="rId1724" Type="http://schemas.openxmlformats.org/officeDocument/2006/relationships/hyperlink" Target="http://www.institutofabricadevencedor.com.br/" TargetMode="External"/><Relationship Id="rId16" Type="http://schemas.openxmlformats.org/officeDocument/2006/relationships/hyperlink" Target="https://www.youtube.com/channel/UCswbhl_pSGK5x4xasvjS_0A" TargetMode="External"/><Relationship Id="rId1931" Type="http://schemas.openxmlformats.org/officeDocument/2006/relationships/hyperlink" Target="https://www.facebook.com/institutojogandopeloreino" TargetMode="External"/><Relationship Id="rId2193" Type="http://schemas.openxmlformats.org/officeDocument/2006/relationships/hyperlink" Target="https://www.facebook.com/FRfavelaradical/" TargetMode="External"/><Relationship Id="rId2498" Type="http://schemas.openxmlformats.org/officeDocument/2006/relationships/hyperlink" Target="https://drive.google.com/open?id=1XNM5-oXlsM0Yxu0ZExYgjpoyxCzuI_TY" TargetMode="External"/><Relationship Id="rId165" Type="http://schemas.openxmlformats.org/officeDocument/2006/relationships/hyperlink" Target="http://juntossomosmais3.com.br/" TargetMode="External"/><Relationship Id="rId372" Type="http://schemas.openxmlformats.org/officeDocument/2006/relationships/hyperlink" Target="https://instagram.com/associacaodemulheresnegras?utm_medium=copy_link" TargetMode="External"/><Relationship Id="rId677" Type="http://schemas.openxmlformats.org/officeDocument/2006/relationships/hyperlink" Target="https://www.facebook.com/CDVidacentrodefesadavida" TargetMode="External"/><Relationship Id="rId2053" Type="http://schemas.openxmlformats.org/officeDocument/2006/relationships/hyperlink" Target="https://geracao4.org.br/" TargetMode="External"/><Relationship Id="rId2260" Type="http://schemas.openxmlformats.org/officeDocument/2006/relationships/hyperlink" Target="https://drive.google.com/open?id=1rdj-NKKyLAROoPxYMI2gq1EQ2ERnZ-77" TargetMode="External"/><Relationship Id="rId2358" Type="http://schemas.openxmlformats.org/officeDocument/2006/relationships/hyperlink" Target="http://www.instagram.com/margaridasprojetos" TargetMode="External"/><Relationship Id="rId232" Type="http://schemas.openxmlformats.org/officeDocument/2006/relationships/hyperlink" Target="https://drive.google.com/open?id=166NTPFNMdaOSxel1LxygNGdDZw9Y-hka" TargetMode="External"/><Relationship Id="rId884" Type="http://schemas.openxmlformats.org/officeDocument/2006/relationships/hyperlink" Target="https://drive.google.com/open?id=1IoEcFMp_lu_I2GQ97j8nlMhWqew9wg9u" TargetMode="External"/><Relationship Id="rId2120" Type="http://schemas.openxmlformats.org/officeDocument/2006/relationships/hyperlink" Target="https://drive.google.com/open?id=1asXdqGMyj935SVQwU1liT5wRYOB_5Vp7" TargetMode="External"/><Relationship Id="rId2565" Type="http://schemas.openxmlformats.org/officeDocument/2006/relationships/hyperlink" Target="https://drive.google.com/open?id=1Y9yA73U71ZetyXXguMFvaWdd3c6w5IGJ" TargetMode="External"/><Relationship Id="rId537" Type="http://schemas.openxmlformats.org/officeDocument/2006/relationships/hyperlink" Target="https://drive.google.com/open?id=1yFY0Kfs-dY9PIYKeN6NNf5_mxy5DFSOl" TargetMode="External"/><Relationship Id="rId744" Type="http://schemas.openxmlformats.org/officeDocument/2006/relationships/hyperlink" Target="https://instagram.com/amcbzitacunha" TargetMode="External"/><Relationship Id="rId951" Type="http://schemas.openxmlformats.org/officeDocument/2006/relationships/hyperlink" Target="https://studio.youtube.com/channel/UC729kKI---z4YGjdV2MMokg/videos/upload?filter=%5B%5D&amp;sort=%7B%22columnType%22%3A%22date%22%2C%22sortOrder%22%3A%22DESCENDING%22%7D" TargetMode="External"/><Relationship Id="rId1167" Type="http://schemas.openxmlformats.org/officeDocument/2006/relationships/hyperlink" Target="https://www.instagram.com/associacaolyra/" TargetMode="External"/><Relationship Id="rId1374" Type="http://schemas.openxmlformats.org/officeDocument/2006/relationships/hyperlink" Target="https://drive.google.com/open?id=1ZX4oFseZDAavKRi9QIH0DBrUJ44TwOd8" TargetMode="External"/><Relationship Id="rId1581" Type="http://schemas.openxmlformats.org/officeDocument/2006/relationships/hyperlink" Target="https://drive.google.com/open?id=1rbgswJJwr43yQLZZ4E7ozYxs-8449zwa" TargetMode="External"/><Relationship Id="rId1679" Type="http://schemas.openxmlformats.org/officeDocument/2006/relationships/hyperlink" Target="https://www.facebook.com/pratoverdesustentavel" TargetMode="External"/><Relationship Id="rId2218" Type="http://schemas.openxmlformats.org/officeDocument/2006/relationships/hyperlink" Target="https://www.instagram.com/ciavidanca/?hl=pt-br" TargetMode="External"/><Relationship Id="rId2425" Type="http://schemas.openxmlformats.org/officeDocument/2006/relationships/hyperlink" Target="https://drive.google.com/open?id=1aQYCpB6THmztfT8u23NaK_k7RZ3-D0hJ" TargetMode="External"/><Relationship Id="rId2632" Type="http://schemas.openxmlformats.org/officeDocument/2006/relationships/hyperlink" Target="https://drive.google.com/open?id=1nsdrKyTVNQWOu2JqpCSq4SC6lkruDa7n" TargetMode="External"/><Relationship Id="rId80" Type="http://schemas.openxmlformats.org/officeDocument/2006/relationships/hyperlink" Target="https://drive.google.com/open?id=1JxsDUJlWPjw1OaayhKlku77J-3uvHFXL" TargetMode="External"/><Relationship Id="rId604" Type="http://schemas.openxmlformats.org/officeDocument/2006/relationships/hyperlink" Target="https://drive.google.com/open?id=1Z7SRK7lxInja0LWoHoedbq28SFnSU9bS" TargetMode="External"/><Relationship Id="rId811" Type="http://schemas.openxmlformats.org/officeDocument/2006/relationships/hyperlink" Target="http://www.projetobayernzinho.org/" TargetMode="External"/><Relationship Id="rId1027" Type="http://schemas.openxmlformats.org/officeDocument/2006/relationships/hyperlink" Target="https://www.instagram.com/projeto.transformacaoevida/" TargetMode="External"/><Relationship Id="rId1234" Type="http://schemas.openxmlformats.org/officeDocument/2006/relationships/hyperlink" Target="http://www.acsvn2016.com.br/" TargetMode="External"/><Relationship Id="rId1441" Type="http://schemas.openxmlformats.org/officeDocument/2006/relationships/hyperlink" Target="http://www.facebook.com/projetomaltrapilho" TargetMode="External"/><Relationship Id="rId1886" Type="http://schemas.openxmlformats.org/officeDocument/2006/relationships/hyperlink" Target="https://www.instagram.com/viadutodasartes/" TargetMode="External"/><Relationship Id="rId909" Type="http://schemas.openxmlformats.org/officeDocument/2006/relationships/hyperlink" Target="https://drive.google.com/open?id=1Agg8MboYG5jpyleBUhp25w8CszsxVa7r" TargetMode="External"/><Relationship Id="rId1301" Type="http://schemas.openxmlformats.org/officeDocument/2006/relationships/hyperlink" Target="https://drive.google.com/open?id=104p-QxmoR7at0TxpIlVbfXP0CnvyEbEK" TargetMode="External"/><Relationship Id="rId1539" Type="http://schemas.openxmlformats.org/officeDocument/2006/relationships/hyperlink" Target="https://www.instagram.com/contraturnoavante/" TargetMode="External"/><Relationship Id="rId1746" Type="http://schemas.openxmlformats.org/officeDocument/2006/relationships/hyperlink" Target="https://criancamaisfelizrs.org.br/" TargetMode="External"/><Relationship Id="rId1953" Type="http://schemas.openxmlformats.org/officeDocument/2006/relationships/hyperlink" Target="https://drive.google.com/open?id=1HYyVkx8uf9WueKpbxAZPcvdtN_67rEEY" TargetMode="External"/><Relationship Id="rId38" Type="http://schemas.openxmlformats.org/officeDocument/2006/relationships/hyperlink" Target="https://www.instagram.com/institutoacudir" TargetMode="External"/><Relationship Id="rId1606" Type="http://schemas.openxmlformats.org/officeDocument/2006/relationships/hyperlink" Target="https://www.facebook.com/OSIdentidadePeriferica/" TargetMode="External"/><Relationship Id="rId1813" Type="http://schemas.openxmlformats.org/officeDocument/2006/relationships/hyperlink" Target="https://drive.google.com/open?id=1ludpMAnDexTcRswZzpZiBUQwOdy8WT00" TargetMode="External"/><Relationship Id="rId187" Type="http://schemas.openxmlformats.org/officeDocument/2006/relationships/hyperlink" Target="https://drive.google.com/open?id=16qUISt7QXuAh5l-maaI-CLtvgTR0_6Il" TargetMode="External"/><Relationship Id="rId394" Type="http://schemas.openxmlformats.org/officeDocument/2006/relationships/hyperlink" Target="https://www.youtube.com/channel/UCSuqwRdU1u6T6hlkWZBVX1A" TargetMode="External"/><Relationship Id="rId2075" Type="http://schemas.openxmlformats.org/officeDocument/2006/relationships/hyperlink" Target="https://m.facebook.com/profile.php?id=903038173049307&amp;ref=content_filter" TargetMode="External"/><Relationship Id="rId2282" Type="http://schemas.openxmlformats.org/officeDocument/2006/relationships/hyperlink" Target="https://circuitoinclusao.wordpress.com/" TargetMode="External"/><Relationship Id="rId254" Type="http://schemas.openxmlformats.org/officeDocument/2006/relationships/hyperlink" Target="https://www.facebook.com/gescaoficial" TargetMode="External"/><Relationship Id="rId699" Type="http://schemas.openxmlformats.org/officeDocument/2006/relationships/hyperlink" Target="https://drive.google.com/open?id=1aAUUTvsVU8oF8HvEif7Fl3u6WBAN97Pb" TargetMode="External"/><Relationship Id="rId1091" Type="http://schemas.openxmlformats.org/officeDocument/2006/relationships/hyperlink" Target="https://drive.google.com/open?id=1ruXxnIhXUXOdz-X5QR3wml8yi5EXG0bf" TargetMode="External"/><Relationship Id="rId2587" Type="http://schemas.openxmlformats.org/officeDocument/2006/relationships/hyperlink" Target="https://drive.google.com/open?id=1BzL8kurLscbFb1m8HQimiTcaqw7JhXvo" TargetMode="External"/><Relationship Id="rId114" Type="http://schemas.openxmlformats.org/officeDocument/2006/relationships/hyperlink" Target="https://www.youtube.com/channel/UCc9izzOYzsVn96sxZTQRAUQ/featured" TargetMode="External"/><Relationship Id="rId461" Type="http://schemas.openxmlformats.org/officeDocument/2006/relationships/hyperlink" Target="http://youtube.com/channel/UCbAEJeiRj5rH0m9_kqeQhZg" TargetMode="External"/><Relationship Id="rId559" Type="http://schemas.openxmlformats.org/officeDocument/2006/relationships/hyperlink" Target="https://drive.google.com/open?id=1ZBQEsDOzRkRHCs7Og0ed9dt7tC8AA6lw" TargetMode="External"/><Relationship Id="rId766" Type="http://schemas.openxmlformats.org/officeDocument/2006/relationships/hyperlink" Target="https://m.facebook.com/story.php?story_fbid=411080017469872&amp;id=100057036322073" TargetMode="External"/><Relationship Id="rId1189" Type="http://schemas.openxmlformats.org/officeDocument/2006/relationships/hyperlink" Target="https://drive.google.com/open?id=1K0bWnEZxgdGnANkdDyDx284uw2ezfzGb" TargetMode="External"/><Relationship Id="rId1396" Type="http://schemas.openxmlformats.org/officeDocument/2006/relationships/hyperlink" Target="https://www.instagram.com/" TargetMode="External"/><Relationship Id="rId2142" Type="http://schemas.openxmlformats.org/officeDocument/2006/relationships/hyperlink" Target="https://www.facebook.com/balletpnapontadospes" TargetMode="External"/><Relationship Id="rId2447" Type="http://schemas.openxmlformats.org/officeDocument/2006/relationships/hyperlink" Target="https://drive.google.com/open?id=1PEkmDE8JX_9cSgd1zeNO6FPjBuG7zMS8" TargetMode="External"/><Relationship Id="rId321" Type="http://schemas.openxmlformats.org/officeDocument/2006/relationships/hyperlink" Target="https://instagram.com/maoamiga87?utm_medium=copy_link" TargetMode="External"/><Relationship Id="rId419" Type="http://schemas.openxmlformats.org/officeDocument/2006/relationships/hyperlink" Target="https://drive.google.com/open?id=1hmw9N2R6IzRZ2raVoTfXVjko2pS2rCee" TargetMode="External"/><Relationship Id="rId626" Type="http://schemas.openxmlformats.org/officeDocument/2006/relationships/hyperlink" Target="https://drive.google.com/open?id=1t9xZIgOx86-DUzY5gV6t8lyaF6ZV_yfV" TargetMode="External"/><Relationship Id="rId973" Type="http://schemas.openxmlformats.org/officeDocument/2006/relationships/hyperlink" Target="https://instagram.com/associacaoelaspodemrn?utm_medium=copy_link" TargetMode="External"/><Relationship Id="rId1049" Type="http://schemas.openxmlformats.org/officeDocument/2006/relationships/hyperlink" Target="https://www.facebook.com/aprendersocial" TargetMode="External"/><Relationship Id="rId1256" Type="http://schemas.openxmlformats.org/officeDocument/2006/relationships/hyperlink" Target="https://www.instagram.com/cmbacoletivodemulheres/" TargetMode="External"/><Relationship Id="rId2002" Type="http://schemas.openxmlformats.org/officeDocument/2006/relationships/hyperlink" Target="https://www.youtube.com/c/InstitutoIncanto" TargetMode="External"/><Relationship Id="rId2307" Type="http://schemas.openxmlformats.org/officeDocument/2006/relationships/hyperlink" Target="https://drive.google.com/open?id=1K-oGoqvjJu9YY7sK9x_mcieRsXX0VboA" TargetMode="External"/><Relationship Id="rId2654" Type="http://schemas.openxmlformats.org/officeDocument/2006/relationships/hyperlink" Target="https://drive.google.com/open?id=1YSkRZsT8_LN6_qmnT5IkWQUfuMSBqPE2" TargetMode="External"/><Relationship Id="rId833" Type="http://schemas.openxmlformats.org/officeDocument/2006/relationships/hyperlink" Target="http://waterislife.com/" TargetMode="External"/><Relationship Id="rId1116" Type="http://schemas.openxmlformats.org/officeDocument/2006/relationships/hyperlink" Target="https://www.instagram.com/p/Cf7xepmsaTf/?igshid=YmMyMTA2M2Y=" TargetMode="External"/><Relationship Id="rId1463" Type="http://schemas.openxmlformats.org/officeDocument/2006/relationships/hyperlink" Target="https://www.instagram.com/ifps.cslf/" TargetMode="External"/><Relationship Id="rId1670" Type="http://schemas.openxmlformats.org/officeDocument/2006/relationships/hyperlink" Target="https://drive.google.com/open?id=1EeRYb5Hd_yl89G_xiWKyO0uQ8jCVL_zK" TargetMode="External"/><Relationship Id="rId1768" Type="http://schemas.openxmlformats.org/officeDocument/2006/relationships/hyperlink" Target="https://instagram.com/semeando_esperanca_acao_social?utm_medium=copy_link" TargetMode="External"/><Relationship Id="rId2514" Type="http://schemas.openxmlformats.org/officeDocument/2006/relationships/hyperlink" Target="https://youtube.com/channel/UCTcixmj9IQ_d5FrL7Fgc7OQ" TargetMode="External"/><Relationship Id="rId2721" Type="http://schemas.openxmlformats.org/officeDocument/2006/relationships/hyperlink" Target="https://instagram.com/lacredobem?utm_medium=copy_link" TargetMode="External"/><Relationship Id="rId900" Type="http://schemas.openxmlformats.org/officeDocument/2006/relationships/hyperlink" Target="https://drive.google.com/open?id=1lHF-4OncE-Co3KcbU0jka5LAqX0rCfk6" TargetMode="External"/><Relationship Id="rId1323" Type="http://schemas.openxmlformats.org/officeDocument/2006/relationships/hyperlink" Target="https://www.instagram.com/institutopratodomundo/" TargetMode="External"/><Relationship Id="rId1530" Type="http://schemas.openxmlformats.org/officeDocument/2006/relationships/hyperlink" Target="https://drive.google.com/open?id=1El_F1a3SrKDHKhubSX55HtY6a23SHAZy" TargetMode="External"/><Relationship Id="rId1628" Type="http://schemas.openxmlformats.org/officeDocument/2006/relationships/hyperlink" Target="https://drive.google.com/open?id=1JndvWHqEPriJZ0TOfvKaL3doJ9a1Psue" TargetMode="External"/><Relationship Id="rId1975" Type="http://schemas.openxmlformats.org/officeDocument/2006/relationships/hyperlink" Target="https://www.institutoogrito.org/" TargetMode="External"/><Relationship Id="rId1835" Type="http://schemas.openxmlformats.org/officeDocument/2006/relationships/hyperlink" Target="https://instagram.com/ongmanadoceu?igshid=YmMyMTA2M2Y=" TargetMode="External"/><Relationship Id="rId1902" Type="http://schemas.openxmlformats.org/officeDocument/2006/relationships/hyperlink" Target="https://m.facebook.com/Cheganca/?ref=bookmarks" TargetMode="External"/><Relationship Id="rId2097" Type="http://schemas.openxmlformats.org/officeDocument/2006/relationships/hyperlink" Target="https://drive.google.com/open?id=119-QDuVmduqLCMGqVkriuur_eyNbiRsB" TargetMode="External"/><Relationship Id="rId276" Type="http://schemas.openxmlformats.org/officeDocument/2006/relationships/hyperlink" Target="https://instagram.com/olhando_pra_frente?igshid=4tmeasjuhev1" TargetMode="External"/><Relationship Id="rId483" Type="http://schemas.openxmlformats.org/officeDocument/2006/relationships/hyperlink" Target="https://www.instagram.com/geracaotatami/" TargetMode="External"/><Relationship Id="rId690" Type="http://schemas.openxmlformats.org/officeDocument/2006/relationships/hyperlink" Target="https://www.facebook.com/InstitutoAmparando" TargetMode="External"/><Relationship Id="rId2164" Type="http://schemas.openxmlformats.org/officeDocument/2006/relationships/hyperlink" Target="https://drive.google.com/open?id=18L3D1zSwWIKe0y4vMot-Qgl_P2AmLy_m" TargetMode="External"/><Relationship Id="rId2371" Type="http://schemas.openxmlformats.org/officeDocument/2006/relationships/hyperlink" Target="https://drive.google.com/open?id=1NyKF3HeYIvpwUNdXUb2M_tREMG7mBQR7" TargetMode="External"/><Relationship Id="rId136" Type="http://schemas.openxmlformats.org/officeDocument/2006/relationships/hyperlink" Target="https://drive.google.com/open?id=1D1Jo_Y2LpZdFWQwXEHCzfHFQ84X8hjHf" TargetMode="External"/><Relationship Id="rId343" Type="http://schemas.openxmlformats.org/officeDocument/2006/relationships/hyperlink" Target="https://www.facebook.com/flordelotus.lotus.1023" TargetMode="External"/><Relationship Id="rId550" Type="http://schemas.openxmlformats.org/officeDocument/2006/relationships/hyperlink" Target="https://drive.google.com/open?id=1IgCyzm2DaBpjb_GmitSw666pQT65QeHR" TargetMode="External"/><Relationship Id="rId788" Type="http://schemas.openxmlformats.org/officeDocument/2006/relationships/hyperlink" Target="https://instagram.com/institutosublim?utm_medium=copy_link" TargetMode="External"/><Relationship Id="rId995" Type="http://schemas.openxmlformats.org/officeDocument/2006/relationships/hyperlink" Target="https://www.facebook.com/jeda.sp" TargetMode="External"/><Relationship Id="rId1180" Type="http://schemas.openxmlformats.org/officeDocument/2006/relationships/hyperlink" Target="https://drive.google.com/open?id=1qghJe2ywrG7LdTFAuETnQpCUbN1z37_o" TargetMode="External"/><Relationship Id="rId2024" Type="http://schemas.openxmlformats.org/officeDocument/2006/relationships/hyperlink" Target="https://www.institutokp.com/" TargetMode="External"/><Relationship Id="rId2231" Type="http://schemas.openxmlformats.org/officeDocument/2006/relationships/hyperlink" Target="https://rugbyparatodos.org.br/" TargetMode="External"/><Relationship Id="rId2469" Type="http://schemas.openxmlformats.org/officeDocument/2006/relationships/hyperlink" Target="https://drive.google.com/open?id=1OBwcS6LKHh3MLxJQJL9bl2dWyItBChDw" TargetMode="External"/><Relationship Id="rId2676" Type="http://schemas.openxmlformats.org/officeDocument/2006/relationships/hyperlink" Target="https://m.facebook.com/apisadadosertao/?tsid=0.4397074926726694&amp;source=result" TargetMode="External"/><Relationship Id="rId203" Type="http://schemas.openxmlformats.org/officeDocument/2006/relationships/hyperlink" Target="https://drive.google.com/open?id=1BC6v5RMg355uj20YGT9MbMgqMjBuUr5v" TargetMode="External"/><Relationship Id="rId648" Type="http://schemas.openxmlformats.org/officeDocument/2006/relationships/hyperlink" Target="https://www.instagram.com/p/Cfzc_ZduVOe/?igshid=YmMyMTA2M2Y=" TargetMode="External"/><Relationship Id="rId855" Type="http://schemas.openxmlformats.org/officeDocument/2006/relationships/hyperlink" Target="https://www.faceboook.com/manifestamovement" TargetMode="External"/><Relationship Id="rId1040" Type="http://schemas.openxmlformats.org/officeDocument/2006/relationships/hyperlink" Target="https://www.instagram.com/institutoencantos/" TargetMode="External"/><Relationship Id="rId1278" Type="http://schemas.openxmlformats.org/officeDocument/2006/relationships/hyperlink" Target="https://www.instagram.com/instmaisvida/" TargetMode="External"/><Relationship Id="rId1485" Type="http://schemas.openxmlformats.org/officeDocument/2006/relationships/hyperlink" Target="https://youtube.com/channel/UCmPesILfT5mVUgHHrpD3nfQ" TargetMode="External"/><Relationship Id="rId1692" Type="http://schemas.openxmlformats.org/officeDocument/2006/relationships/hyperlink" Target="https://www.facebook.com/assoc.ameas.3" TargetMode="External"/><Relationship Id="rId2329" Type="http://schemas.openxmlformats.org/officeDocument/2006/relationships/hyperlink" Target="https://instagram.com/institutovidart?utm_medium=copy_link" TargetMode="External"/><Relationship Id="rId2536" Type="http://schemas.openxmlformats.org/officeDocument/2006/relationships/hyperlink" Target="https://drive.google.com/open?id=1Q9UOjxPvUB_Hgrq0FbxDTUOHhS2txnlr" TargetMode="External"/><Relationship Id="rId410" Type="http://schemas.openxmlformats.org/officeDocument/2006/relationships/hyperlink" Target="https://www.facebook.com/bibliotecalivrolivrecaninde" TargetMode="External"/><Relationship Id="rId508" Type="http://schemas.openxmlformats.org/officeDocument/2006/relationships/hyperlink" Target="https://www.youtube.com/channel/UCpi7BlR-feEabZbYqor7u3A/videos" TargetMode="External"/><Relationship Id="rId715" Type="http://schemas.openxmlformats.org/officeDocument/2006/relationships/hyperlink" Target="https://drive.google.com/open?id=1PK4rHwBqh7CjKrMl8PnbuJYqgz0fnJIZ" TargetMode="External"/><Relationship Id="rId922" Type="http://schemas.openxmlformats.org/officeDocument/2006/relationships/hyperlink" Target="https://www.facebook.com/biancaneto.oliveira" TargetMode="External"/><Relationship Id="rId1138" Type="http://schemas.openxmlformats.org/officeDocument/2006/relationships/hyperlink" Target="https://www.facebook.com/561524143969288/posts/4788174544637539/" TargetMode="External"/><Relationship Id="rId1345" Type="http://schemas.openxmlformats.org/officeDocument/2006/relationships/hyperlink" Target="https://drive.google.com/open?id=1VtOGavN5YGmSAj5QSDuJg1vLRY1aXoZq" TargetMode="External"/><Relationship Id="rId1552" Type="http://schemas.openxmlformats.org/officeDocument/2006/relationships/hyperlink" Target="https://drive.google.com/open?id=1eR1dYs9yDIOsxfsrbQoClTTILprWbGUZ" TargetMode="External"/><Relationship Id="rId1997" Type="http://schemas.openxmlformats.org/officeDocument/2006/relationships/hyperlink" Target="https://drive.google.com/open?id=1UgsqTEnTiwL3gjgWL61frRtJJnWaj8x2" TargetMode="External"/><Relationship Id="rId2603" Type="http://schemas.openxmlformats.org/officeDocument/2006/relationships/hyperlink" Target="http://www.casadebarro.org/" TargetMode="External"/><Relationship Id="rId1205" Type="http://schemas.openxmlformats.org/officeDocument/2006/relationships/hyperlink" Target="https://ynaweb.com.br/" TargetMode="External"/><Relationship Id="rId1857" Type="http://schemas.openxmlformats.org/officeDocument/2006/relationships/hyperlink" Target="https://www.facebook.com/InstitutoSementinha" TargetMode="External"/><Relationship Id="rId51" Type="http://schemas.openxmlformats.org/officeDocument/2006/relationships/hyperlink" Target="https://www.instagram.com/trazfavela/" TargetMode="External"/><Relationship Id="rId1412" Type="http://schemas.openxmlformats.org/officeDocument/2006/relationships/hyperlink" Target="https://www.youtube.com/channel/UCpl_s16HT5XfG0Gksnwab4Q" TargetMode="External"/><Relationship Id="rId1717" Type="http://schemas.openxmlformats.org/officeDocument/2006/relationships/hyperlink" Target="https://drive.google.com/open?id=1ON2mJH1LuR2BgZeLQUBPjEPQhiX1BYdk" TargetMode="External"/><Relationship Id="rId1924" Type="http://schemas.openxmlformats.org/officeDocument/2006/relationships/hyperlink" Target="http://httprojetoisac.org.br/" TargetMode="External"/><Relationship Id="rId298" Type="http://schemas.openxmlformats.org/officeDocument/2006/relationships/hyperlink" Target="https://drive.google.com/open?id=1cTzfoxGJEKydsXf6SA-yHhVgPZMVvp60" TargetMode="External"/><Relationship Id="rId158" Type="http://schemas.openxmlformats.org/officeDocument/2006/relationships/hyperlink" Target="https://drive.google.com/open?id=194nm5Io7ze25D6zUNsfw7Y_9LfpWu7Bk" TargetMode="External"/><Relationship Id="rId2186" Type="http://schemas.openxmlformats.org/officeDocument/2006/relationships/hyperlink" Target="https://www.institutofamiliacriativadocampo.com/" TargetMode="External"/><Relationship Id="rId2393" Type="http://schemas.openxmlformats.org/officeDocument/2006/relationships/hyperlink" Target="https://drive.google.com/open?id=13HUzSL-JwD8DpmmVLw19knGuOGsK4uBJ" TargetMode="External"/><Relationship Id="rId2698" Type="http://schemas.openxmlformats.org/officeDocument/2006/relationships/hyperlink" Target="https://drive.google.com/open?id=1sSW4T6MegbubHibbSkx4kN3IY_ay5CTQ" TargetMode="External"/><Relationship Id="rId365" Type="http://schemas.openxmlformats.org/officeDocument/2006/relationships/hyperlink" Target="https://drive.google.com/open?id=1ix83m6KUkn-mSjyagCuXtkCVxVo06yiS" TargetMode="External"/><Relationship Id="rId572" Type="http://schemas.openxmlformats.org/officeDocument/2006/relationships/hyperlink" Target="https://www.facebook.com/associacaoprocultura" TargetMode="External"/><Relationship Id="rId2046" Type="http://schemas.openxmlformats.org/officeDocument/2006/relationships/hyperlink" Target="https://www.instagram.com/instituto.chegados/" TargetMode="External"/><Relationship Id="rId2253" Type="http://schemas.openxmlformats.org/officeDocument/2006/relationships/hyperlink" Target="https://www.projetoondas.org.br/" TargetMode="External"/><Relationship Id="rId2460" Type="http://schemas.openxmlformats.org/officeDocument/2006/relationships/hyperlink" Target="https://drive.google.com/open?id=1GGLL_0-XR9W7oRmM3AltncpvvzlaZTN6" TargetMode="External"/><Relationship Id="rId225" Type="http://schemas.openxmlformats.org/officeDocument/2006/relationships/hyperlink" Target="https://www.instagram.com/clube_do_bem/" TargetMode="External"/><Relationship Id="rId432" Type="http://schemas.openxmlformats.org/officeDocument/2006/relationships/hyperlink" Target="https://drive.google.com/open?id=1IaC-cIvPP7fbaiHlSpnYY26MSXOR3Ofi" TargetMode="External"/><Relationship Id="rId877" Type="http://schemas.openxmlformats.org/officeDocument/2006/relationships/hyperlink" Target="https://drive.google.com/open?id=15S9OZ7je2ZFrq8970FVajopmEgIXWkqz" TargetMode="External"/><Relationship Id="rId1062" Type="http://schemas.openxmlformats.org/officeDocument/2006/relationships/hyperlink" Target="https://instagram.com/transformar.osc" TargetMode="External"/><Relationship Id="rId2113" Type="http://schemas.openxmlformats.org/officeDocument/2006/relationships/hyperlink" Target="http://ongsalum.com/home" TargetMode="External"/><Relationship Id="rId2320" Type="http://schemas.openxmlformats.org/officeDocument/2006/relationships/hyperlink" Target="https://pt-br.facebook.com/Correntedoamor/" TargetMode="External"/><Relationship Id="rId2558" Type="http://schemas.openxmlformats.org/officeDocument/2006/relationships/hyperlink" Target="http://www.associacaomulheres.com.br/" TargetMode="External"/><Relationship Id="rId737" Type="http://schemas.openxmlformats.org/officeDocument/2006/relationships/hyperlink" Target="https://drive.google.com/open?id=1vp8sV2uyTxkrs1e6tZHBRBk-Wk_VWVte" TargetMode="External"/><Relationship Id="rId944" Type="http://schemas.openxmlformats.org/officeDocument/2006/relationships/hyperlink" Target="https://www.facebook.com/artyogapb/" TargetMode="External"/><Relationship Id="rId1367" Type="http://schemas.openxmlformats.org/officeDocument/2006/relationships/hyperlink" Target="https://www.facebook.com/ancmaeafrica" TargetMode="External"/><Relationship Id="rId1574" Type="http://schemas.openxmlformats.org/officeDocument/2006/relationships/hyperlink" Target="https://instagram.com/institutoraizes?utm_medium=copy_link" TargetMode="External"/><Relationship Id="rId1781" Type="http://schemas.openxmlformats.org/officeDocument/2006/relationships/hyperlink" Target="https://www.youtube.com/user/instituicaoica" TargetMode="External"/><Relationship Id="rId2418" Type="http://schemas.openxmlformats.org/officeDocument/2006/relationships/hyperlink" Target="https://drive.google.com/open?id=11SH-cTAh2Va05mMMSzlJdaAE8Ngodgq2" TargetMode="External"/><Relationship Id="rId2625" Type="http://schemas.openxmlformats.org/officeDocument/2006/relationships/hyperlink" Target="https://instagram.com/tingui_org?utm_medium=copy_link" TargetMode="External"/><Relationship Id="rId73" Type="http://schemas.openxmlformats.org/officeDocument/2006/relationships/hyperlink" Target="https://drive.google.com/open?id=18-uRxcLw2OSbkdgz43nmkm6LlLLuqzyC" TargetMode="External"/><Relationship Id="rId804" Type="http://schemas.openxmlformats.org/officeDocument/2006/relationships/hyperlink" Target="https://drive.google.com/open?id=1lAVzL0Rd5Rwfa3mfFKdmwvj24RXIB2dw" TargetMode="External"/><Relationship Id="rId1227" Type="http://schemas.openxmlformats.org/officeDocument/2006/relationships/hyperlink" Target="http://www.diadajuventude.com.br/" TargetMode="External"/><Relationship Id="rId1434" Type="http://schemas.openxmlformats.org/officeDocument/2006/relationships/hyperlink" Target="https://drive.google.com/open?id=1qIn06n7dxrBxPHjjC7Mjq58D4-0xak-t" TargetMode="External"/><Relationship Id="rId1641" Type="http://schemas.openxmlformats.org/officeDocument/2006/relationships/hyperlink" Target="https://drive.google.com/open?id=1-4Z2NMR4SvH93bikn2nlE3CSWmyAP7NR" TargetMode="External"/><Relationship Id="rId1879" Type="http://schemas.openxmlformats.org/officeDocument/2006/relationships/hyperlink" Target="https://www.facebook.com/InstitutoReviverTocantins/" TargetMode="External"/><Relationship Id="rId1501" Type="http://schemas.openxmlformats.org/officeDocument/2006/relationships/hyperlink" Target="https://www.facebook.com/projetomovervidas" TargetMode="External"/><Relationship Id="rId1739" Type="http://schemas.openxmlformats.org/officeDocument/2006/relationships/hyperlink" Target="https://facebook.com/Asbramebrasil/" TargetMode="External"/><Relationship Id="rId1946" Type="http://schemas.openxmlformats.org/officeDocument/2006/relationships/hyperlink" Target="https://drive.google.com/open?id=1C-8xXcEmGTl2cnoAmXGEgw9VjeY8f8pR" TargetMode="External"/><Relationship Id="rId1806" Type="http://schemas.openxmlformats.org/officeDocument/2006/relationships/hyperlink" Target="https://www.instagram.com/ass.tabernaculo/" TargetMode="External"/><Relationship Id="rId387" Type="http://schemas.openxmlformats.org/officeDocument/2006/relationships/hyperlink" Target="https://instagram.com/institutoconeragir" TargetMode="External"/><Relationship Id="rId594" Type="http://schemas.openxmlformats.org/officeDocument/2006/relationships/hyperlink" Target="https://drive.google.com/open?id=1fjVzUAakgWVSakKXLYVHnhDtXiWYUQXs" TargetMode="External"/><Relationship Id="rId2068" Type="http://schemas.openxmlformats.org/officeDocument/2006/relationships/hyperlink" Target="http://www.instagram.com/@institutocristianecamargodv" TargetMode="External"/><Relationship Id="rId2275" Type="http://schemas.openxmlformats.org/officeDocument/2006/relationships/hyperlink" Target="https://instagram.com/stories/associacaofuturocampeao/2794711146158251417?utm_source=ig_story_item_share&amp;utm_medium=copy_link" TargetMode="External"/><Relationship Id="rId247" Type="http://schemas.openxmlformats.org/officeDocument/2006/relationships/hyperlink" Target="https://www.instagram.com/p/CYEMCpgrcAg/?utm_medium=copy_link" TargetMode="External"/><Relationship Id="rId899" Type="http://schemas.openxmlformats.org/officeDocument/2006/relationships/hyperlink" Target="https://drive.google.com/open?id=1ZwXP9W6wB2c9K5yq9ImBsjwniHTI2v6j" TargetMode="External"/><Relationship Id="rId1084" Type="http://schemas.openxmlformats.org/officeDocument/2006/relationships/hyperlink" Target="https://drive.google.com/open?id=1GKv3tzJ3zvnvs68aFlzW9Oji5H8ND_O8" TargetMode="External"/><Relationship Id="rId2482" Type="http://schemas.openxmlformats.org/officeDocument/2006/relationships/hyperlink" Target="https://drive.google.com/open?id=1MP3IUig69NUcbe5zkyQzpuBow3MJMqDY" TargetMode="External"/><Relationship Id="rId107" Type="http://schemas.openxmlformats.org/officeDocument/2006/relationships/hyperlink" Target="https://drive.google.com/open?id=1fdE9IIxLFD8kiRSLfq-2fWuP0MuwnQdl" TargetMode="External"/><Relationship Id="rId454" Type="http://schemas.openxmlformats.org/officeDocument/2006/relationships/hyperlink" Target="https://drive.google.com/open?id=1aee6tExLSqlyiVrrDditN7rOF8KxMV-Q" TargetMode="External"/><Relationship Id="rId661" Type="http://schemas.openxmlformats.org/officeDocument/2006/relationships/hyperlink" Target="https://www.youtube.com/channel/UCk0XzinaSRSYHNrA7v-gd2Q" TargetMode="External"/><Relationship Id="rId759" Type="http://schemas.openxmlformats.org/officeDocument/2006/relationships/hyperlink" Target="https://www.facebook.com/institutommulher" TargetMode="External"/><Relationship Id="rId966" Type="http://schemas.openxmlformats.org/officeDocument/2006/relationships/hyperlink" Target="https://drive.google.com/open?id=1ZyWEwInN2Zp278GDQWTVyRDx9z-UcL5_" TargetMode="External"/><Relationship Id="rId1291" Type="http://schemas.openxmlformats.org/officeDocument/2006/relationships/hyperlink" Target="https://youtube.com/channel/UCgH6jJcLtbtWdYX88BqoFeA" TargetMode="External"/><Relationship Id="rId1389" Type="http://schemas.openxmlformats.org/officeDocument/2006/relationships/hyperlink" Target="https://drive.google.com/open?id=1nylh5DbKAAGvefj8LHZcToTh4PfCiBet" TargetMode="External"/><Relationship Id="rId1596" Type="http://schemas.openxmlformats.org/officeDocument/2006/relationships/hyperlink" Target="https://drive.google.com/open?id=1830w1xXRiPk1TMp3ZvO7c-CqY0x5-ZeN" TargetMode="External"/><Relationship Id="rId2135" Type="http://schemas.openxmlformats.org/officeDocument/2006/relationships/hyperlink" Target="https://drive.google.com/open?id=1kfWrHClhq-NGfcMT-lK0WL2JdAJX40F2" TargetMode="External"/><Relationship Id="rId2342" Type="http://schemas.openxmlformats.org/officeDocument/2006/relationships/hyperlink" Target="https://drive.google.com/open?id=1ZVCyeHKqrxyVXg7hVoF3TnHluvb_PBM-" TargetMode="External"/><Relationship Id="rId2647" Type="http://schemas.openxmlformats.org/officeDocument/2006/relationships/hyperlink" Target="https://drive.google.com/open?id=1C3H995nRL1qHkT92RhL0HFWbsLTNt-kj" TargetMode="External"/><Relationship Id="rId314" Type="http://schemas.openxmlformats.org/officeDocument/2006/relationships/hyperlink" Target="https://instagram.com/sos.periferia?igshid=YmMyMTA2M2Y=" TargetMode="External"/><Relationship Id="rId521" Type="http://schemas.openxmlformats.org/officeDocument/2006/relationships/hyperlink" Target="https://drive.google.com/open?id=10924kN0mcufy2FByu6Z2W6NRvnDY1VSk" TargetMode="External"/><Relationship Id="rId619" Type="http://schemas.openxmlformats.org/officeDocument/2006/relationships/hyperlink" Target="https://drive.google.com/open?id=18gJRJIYyRqXxEdOADqILYU6z9UhkfVfA" TargetMode="External"/><Relationship Id="rId1151" Type="http://schemas.openxmlformats.org/officeDocument/2006/relationships/hyperlink" Target="http://www.ibefpr.com.br/" TargetMode="External"/><Relationship Id="rId1249" Type="http://schemas.openxmlformats.org/officeDocument/2006/relationships/hyperlink" Target="http://instagram.com/returnprojects" TargetMode="External"/><Relationship Id="rId2202" Type="http://schemas.openxmlformats.org/officeDocument/2006/relationships/hyperlink" Target="https://instagram.com/projetogaditas?utm_medium=copy_link" TargetMode="External"/><Relationship Id="rId95" Type="http://schemas.openxmlformats.org/officeDocument/2006/relationships/hyperlink" Target="https://drive.google.com/open?id=10Z0lDQr74DRU3GVfoYsN6JCoNCfGF9oc" TargetMode="External"/><Relationship Id="rId826" Type="http://schemas.openxmlformats.org/officeDocument/2006/relationships/hyperlink" Target="https://www.institutosilveiramarques.org.br/" TargetMode="External"/><Relationship Id="rId1011" Type="http://schemas.openxmlformats.org/officeDocument/2006/relationships/hyperlink" Target="https://drive.google.com/open?id=1097hj4faDHyOd1bW6lXcahU4Q44YG_ep" TargetMode="External"/><Relationship Id="rId1109" Type="http://schemas.openxmlformats.org/officeDocument/2006/relationships/hyperlink" Target="https://www.instagram.com/diamantesnacozinha/" TargetMode="External"/><Relationship Id="rId1456" Type="http://schemas.openxmlformats.org/officeDocument/2006/relationships/hyperlink" Target="https://drive.google.com/open?id=1A8qiPrQWM4eIHFGQvJP-cAiOhf-SotI4" TargetMode="External"/><Relationship Id="rId1663" Type="http://schemas.openxmlformats.org/officeDocument/2006/relationships/hyperlink" Target="https://www.instagram.com/pelaruapeloreinooficial/" TargetMode="External"/><Relationship Id="rId1870" Type="http://schemas.openxmlformats.org/officeDocument/2006/relationships/hyperlink" Target="http://www.esperancabrasil.org/" TargetMode="External"/><Relationship Id="rId1968" Type="http://schemas.openxmlformats.org/officeDocument/2006/relationships/hyperlink" Target="https://youtube.com/channel/UCO4ifmuW-418nOrOwGqX3eg" TargetMode="External"/><Relationship Id="rId2507" Type="http://schemas.openxmlformats.org/officeDocument/2006/relationships/hyperlink" Target="https://instagram.com/institutovidaspelofuturo?utm_medium=copy_link" TargetMode="External"/><Relationship Id="rId2714" Type="http://schemas.openxmlformats.org/officeDocument/2006/relationships/hyperlink" Target="https://www.instagram.com/p/CZA0o_kJtEz/?utm_medium=copy_link" TargetMode="External"/><Relationship Id="rId1316" Type="http://schemas.openxmlformats.org/officeDocument/2006/relationships/hyperlink" Target="https://www.instagram.com/instituto_girassol/" TargetMode="External"/><Relationship Id="rId1523" Type="http://schemas.openxmlformats.org/officeDocument/2006/relationships/hyperlink" Target="https://drive.google.com/open?id=1j8BOeyZVbp__kM4ZrmfnTR0o-e5Xfkj6" TargetMode="External"/><Relationship Id="rId1730" Type="http://schemas.openxmlformats.org/officeDocument/2006/relationships/hyperlink" Target="https://drive.google.com/open?id=14l7F7OIrnJ4ZSuK-J-M8YFXqMmIq2xi4" TargetMode="External"/><Relationship Id="rId22" Type="http://schemas.openxmlformats.org/officeDocument/2006/relationships/hyperlink" Target="https://drive.google.com/open?id=1nKG4wEKr9BgKL8IZyiMOKRzL4Lz-OhbP" TargetMode="External"/><Relationship Id="rId1828" Type="http://schemas.openxmlformats.org/officeDocument/2006/relationships/hyperlink" Target="https://www.youtube.com/channel/UCwMyXGX7ctFYbUvseKaZhbg" TargetMode="External"/><Relationship Id="rId171" Type="http://schemas.openxmlformats.org/officeDocument/2006/relationships/hyperlink" Target="https://drive.google.com/open?id=1Q9UlFj90nvhj4jB8ueX9fqh4jS_wY3Hf" TargetMode="External"/><Relationship Id="rId2297" Type="http://schemas.openxmlformats.org/officeDocument/2006/relationships/hyperlink" Target="https://instagram.com/donaantoniacultura" TargetMode="External"/><Relationship Id="rId269" Type="http://schemas.openxmlformats.org/officeDocument/2006/relationships/hyperlink" Target="https://youtube.com/channel/UCWdn2LRb8FGn3_v745kUEgA" TargetMode="External"/><Relationship Id="rId476" Type="http://schemas.openxmlformats.org/officeDocument/2006/relationships/hyperlink" Target="https://drive.google.com/open?id=1OWbnXA4gzA-WX76gx-uY_s22MDI5GZ9Z" TargetMode="External"/><Relationship Id="rId683" Type="http://schemas.openxmlformats.org/officeDocument/2006/relationships/hyperlink" Target="https://drive.google.com/open?id=1QarbAtA39hbANtV0ALVpTjAwZqX5FJq0" TargetMode="External"/><Relationship Id="rId890" Type="http://schemas.openxmlformats.org/officeDocument/2006/relationships/hyperlink" Target="https://asdbrasilpb.wixsite.com/santodias" TargetMode="External"/><Relationship Id="rId2157" Type="http://schemas.openxmlformats.org/officeDocument/2006/relationships/hyperlink" Target="https://www.facebook.com/ong.novosherdeiros/" TargetMode="External"/><Relationship Id="rId2364" Type="http://schemas.openxmlformats.org/officeDocument/2006/relationships/hyperlink" Target="https://drive.google.com/open?id=1Odts0FrgKLe6kj37W_yKb7lMxpqkt8ml" TargetMode="External"/><Relationship Id="rId2571" Type="http://schemas.openxmlformats.org/officeDocument/2006/relationships/hyperlink" Target="https://drive.google.com/open?id=1mbEKjOA7qWsRS_mpEJdYquv4bEqnlt3h" TargetMode="External"/><Relationship Id="rId129" Type="http://schemas.openxmlformats.org/officeDocument/2006/relationships/hyperlink" Target="https://www.instagram.com/cisvilavelha" TargetMode="External"/><Relationship Id="rId336" Type="http://schemas.openxmlformats.org/officeDocument/2006/relationships/hyperlink" Target="https://instagram.com/escoladefuteboldoteiu?utm_medium=copy_link" TargetMode="External"/><Relationship Id="rId543" Type="http://schemas.openxmlformats.org/officeDocument/2006/relationships/hyperlink" Target="https://drive.google.com/open?id=1DmayUSxEzpU2FsjmYOiNcNI31SvRn8Mu" TargetMode="External"/><Relationship Id="rId988" Type="http://schemas.openxmlformats.org/officeDocument/2006/relationships/hyperlink" Target="http://abcahorasalegres.gov.br/" TargetMode="External"/><Relationship Id="rId1173" Type="http://schemas.openxmlformats.org/officeDocument/2006/relationships/hyperlink" Target="http://www.institutosaintnicholas.com.br/" TargetMode="External"/><Relationship Id="rId1380" Type="http://schemas.openxmlformats.org/officeDocument/2006/relationships/hyperlink" Target="https://www.youtube.com/channel/UC0RMYEK1CzVhONRvyS46SDw/videos" TargetMode="External"/><Relationship Id="rId2017" Type="http://schemas.openxmlformats.org/officeDocument/2006/relationships/hyperlink" Target="https://facebook.com/427825447255450/posts/3657667217604574/" TargetMode="External"/><Relationship Id="rId2224" Type="http://schemas.openxmlformats.org/officeDocument/2006/relationships/hyperlink" Target="https://www.youtube.com/channel/UCHdyuPUpkeMvD42ExitVQUQ" TargetMode="External"/><Relationship Id="rId2669" Type="http://schemas.openxmlformats.org/officeDocument/2006/relationships/hyperlink" Target="https://drive.google.com/open?id=1LNkrA5fzuXZQpsFknUnBvGzcmGycjZG4" TargetMode="External"/><Relationship Id="rId403" Type="http://schemas.openxmlformats.org/officeDocument/2006/relationships/hyperlink" Target="https://drive.google.com/open?id=15F-ruYuKowrnAGGmgUOReSICZHCeI5IS" TargetMode="External"/><Relationship Id="rId750" Type="http://schemas.openxmlformats.org/officeDocument/2006/relationships/hyperlink" Target="http://hebrombahia.com.br/" TargetMode="External"/><Relationship Id="rId848" Type="http://schemas.openxmlformats.org/officeDocument/2006/relationships/hyperlink" Target="https://www.facebook.com/udosatos" TargetMode="External"/><Relationship Id="rId1033" Type="http://schemas.openxmlformats.org/officeDocument/2006/relationships/hyperlink" Target="https://www.facebook.com/marcia.carfer" TargetMode="External"/><Relationship Id="rId1478" Type="http://schemas.openxmlformats.org/officeDocument/2006/relationships/hyperlink" Target="https://drive.google.com/open?id=1B5H9ovd0sVv4-lkB8EsxJN0CenkJ7OCi" TargetMode="External"/><Relationship Id="rId1685" Type="http://schemas.openxmlformats.org/officeDocument/2006/relationships/hyperlink" Target="https://www.instagram.com/instituto.eclesia/" TargetMode="External"/><Relationship Id="rId1892" Type="http://schemas.openxmlformats.org/officeDocument/2006/relationships/hyperlink" Target="https://www.instagram.com/futsal_sem_drogas" TargetMode="External"/><Relationship Id="rId2431" Type="http://schemas.openxmlformats.org/officeDocument/2006/relationships/hyperlink" Target="https://www.facebook.com/reconstruir" TargetMode="External"/><Relationship Id="rId2529" Type="http://schemas.openxmlformats.org/officeDocument/2006/relationships/hyperlink" Target="https://drive.google.com/open?id=1KfN8sdjv8jGi_Blu1KNZ70HoyJpNb5Fv" TargetMode="External"/><Relationship Id="rId2736" Type="http://schemas.openxmlformats.org/officeDocument/2006/relationships/drawing" Target="../drawings/drawing1.xml"/><Relationship Id="rId610" Type="http://schemas.openxmlformats.org/officeDocument/2006/relationships/hyperlink" Target="https://drive.google.com/open?id=1jKh2tlZ5oY3coHqMVsQ1u8QJtyg119nt" TargetMode="External"/><Relationship Id="rId708" Type="http://schemas.openxmlformats.org/officeDocument/2006/relationships/hyperlink" Target="https://drive.google.com/open?id=137ld7xQkNqJI3Tx4LtUo0FkBXocPLzF_" TargetMode="External"/><Relationship Id="rId915" Type="http://schemas.openxmlformats.org/officeDocument/2006/relationships/hyperlink" Target="https://drive.google.com/open?id=1elXGtLwjPaRUgSbqiHRIjHv0lwERO_Lo" TargetMode="External"/><Relationship Id="rId1240" Type="http://schemas.openxmlformats.org/officeDocument/2006/relationships/hyperlink" Target="https://drive.google.com/open?id=17KvkPNeME1ptCK07ESmqaitmTZUrN0rw" TargetMode="External"/><Relationship Id="rId1338" Type="http://schemas.openxmlformats.org/officeDocument/2006/relationships/hyperlink" Target="https://drive.google.com/open?id=1q2tUhj52iCF2Scm-0upW_UMGbqOF4frR" TargetMode="External"/><Relationship Id="rId1545" Type="http://schemas.openxmlformats.org/officeDocument/2006/relationships/hyperlink" Target="https://drive.google.com/open?id=1iKALHkZSRUu9G9lM4M0vo9bh2_xTUUzS" TargetMode="External"/><Relationship Id="rId1100" Type="http://schemas.openxmlformats.org/officeDocument/2006/relationships/hyperlink" Target="https://pt-br.facebook.com/Missaocasagaio" TargetMode="External"/><Relationship Id="rId1405" Type="http://schemas.openxmlformats.org/officeDocument/2006/relationships/hyperlink" Target="http://www.teatroescola.org.br/" TargetMode="External"/><Relationship Id="rId1752" Type="http://schemas.openxmlformats.org/officeDocument/2006/relationships/hyperlink" Target="http://www.juntaqueajuda.com.br/" TargetMode="External"/><Relationship Id="rId44" Type="http://schemas.openxmlformats.org/officeDocument/2006/relationships/hyperlink" Target="https://www.instagram.com/associacao_apa_amor/" TargetMode="External"/><Relationship Id="rId1612" Type="http://schemas.openxmlformats.org/officeDocument/2006/relationships/hyperlink" Target="http://maismultiplicaramor.com.br/" TargetMode="External"/><Relationship Id="rId1917" Type="http://schemas.openxmlformats.org/officeDocument/2006/relationships/hyperlink" Target="https://drive.google.com/open?id=1kPuBUsI8xyAnf4qb1YBJP2USJs08IFMq" TargetMode="External"/><Relationship Id="rId193" Type="http://schemas.openxmlformats.org/officeDocument/2006/relationships/hyperlink" Target="https://drive.google.com/open?id=1EITfBCKXVZR0cFq2mZo-YdtEwKvUPdgW" TargetMode="External"/><Relationship Id="rId498" Type="http://schemas.openxmlformats.org/officeDocument/2006/relationships/hyperlink" Target="https://drive.google.com/open?id=1aziG6X1jd3Fsrm8vBpUSdAsUgF9DTHSG" TargetMode="External"/><Relationship Id="rId2081" Type="http://schemas.openxmlformats.org/officeDocument/2006/relationships/hyperlink" Target="https://drive.google.com/open?id=1BOM0i7mTO-obu0sdmsz3mQGI6g87LKZw" TargetMode="External"/><Relationship Id="rId2179" Type="http://schemas.openxmlformats.org/officeDocument/2006/relationships/hyperlink" Target="https://drive.google.com/open?id=1SGZREWpuvJXhJ2c2b3w_D3LfUe1SEptB" TargetMode="External"/><Relationship Id="rId260" Type="http://schemas.openxmlformats.org/officeDocument/2006/relationships/hyperlink" Target="https://drive.google.com/open?id=1QZHfxhJWU-7tg1CnxLmW2Doiva41F-hw" TargetMode="External"/><Relationship Id="rId2386" Type="http://schemas.openxmlformats.org/officeDocument/2006/relationships/hyperlink" Target="https://www.youtube.com/channel/UCT0FukrNZUXYaMTVbJrIDbw" TargetMode="External"/><Relationship Id="rId2593" Type="http://schemas.openxmlformats.org/officeDocument/2006/relationships/hyperlink" Target="http://instagram.com/institutomacunaima" TargetMode="External"/><Relationship Id="rId120" Type="http://schemas.openxmlformats.org/officeDocument/2006/relationships/hyperlink" Target="https://www.indace.org.br/" TargetMode="External"/><Relationship Id="rId358" Type="http://schemas.openxmlformats.org/officeDocument/2006/relationships/hyperlink" Target="https://drive.google.com/open?id=1_ZDAfVDzuixX4t0IUfy-0EyBGFp6GNl9" TargetMode="External"/><Relationship Id="rId565" Type="http://schemas.openxmlformats.org/officeDocument/2006/relationships/hyperlink" Target="https://instagram.com/abraoportal?igshid=YmMyMTA2M2Y=" TargetMode="External"/><Relationship Id="rId772" Type="http://schemas.openxmlformats.org/officeDocument/2006/relationships/hyperlink" Target="https://www.facebook.com/terezinha.osmaribagatini.5/" TargetMode="External"/><Relationship Id="rId1195" Type="http://schemas.openxmlformats.org/officeDocument/2006/relationships/hyperlink" Target="https://drive.google.com/open?id=1l81EvI8o94rD1QRFxcx72l7N1Hj1gEyj" TargetMode="External"/><Relationship Id="rId2039" Type="http://schemas.openxmlformats.org/officeDocument/2006/relationships/hyperlink" Target="https://www.youtube.com/user/gerandofalcoes" TargetMode="External"/><Relationship Id="rId2246" Type="http://schemas.openxmlformats.org/officeDocument/2006/relationships/hyperlink" Target="https://www.instagram.com/invites/contact/?i=13sz7qfc2bqcy&amp;utm_content=4nrpcjg" TargetMode="External"/><Relationship Id="rId2453" Type="http://schemas.openxmlformats.org/officeDocument/2006/relationships/hyperlink" Target="https://www.instagram.com/projetoppl/" TargetMode="External"/><Relationship Id="rId2660" Type="http://schemas.openxmlformats.org/officeDocument/2006/relationships/hyperlink" Target="https://drive.google.com/open?id=1M-QZFgCEDIrC8n3tbJMEqQqQGE_5Fc4H" TargetMode="External"/><Relationship Id="rId218" Type="http://schemas.openxmlformats.org/officeDocument/2006/relationships/hyperlink" Target="http://www.arur.org.be/home" TargetMode="External"/><Relationship Id="rId425" Type="http://schemas.openxmlformats.org/officeDocument/2006/relationships/hyperlink" Target="https://drive.google.com/open?id=1q6NQGky6hvYOS1CYNT0YLBt7CgYa_5Qd" TargetMode="External"/><Relationship Id="rId632" Type="http://schemas.openxmlformats.org/officeDocument/2006/relationships/hyperlink" Target="http://www.sorvebol.com/" TargetMode="External"/><Relationship Id="rId1055" Type="http://schemas.openxmlformats.org/officeDocument/2006/relationships/hyperlink" Target="https://drive.google.com/open?id=1E80m3ZBug2g_TwsncUq7yJZPKVgyBYrg" TargetMode="External"/><Relationship Id="rId1262" Type="http://schemas.openxmlformats.org/officeDocument/2006/relationships/hyperlink" Target="https://drive.google.com/open?id=1HXL185Y1E1rAUUSytLvYpauCSi4Gqzps" TargetMode="External"/><Relationship Id="rId2106" Type="http://schemas.openxmlformats.org/officeDocument/2006/relationships/hyperlink" Target="https://drive.google.com/open?id=12Iw6yGzhKSMrL5zu2fW0cGrNv59OCmUq" TargetMode="External"/><Relationship Id="rId2313" Type="http://schemas.openxmlformats.org/officeDocument/2006/relationships/hyperlink" Target="https://drive.google.com/open?id=1Yeqpj-32I5f1qRf-dE2YziHiPjqKachE" TargetMode="External"/><Relationship Id="rId2520" Type="http://schemas.openxmlformats.org/officeDocument/2006/relationships/hyperlink" Target="https://drive.google.com/open?id=1H1UKTmLujGnf2xYPNNJbFc0iJJ9Vspl4" TargetMode="External"/><Relationship Id="rId937" Type="http://schemas.openxmlformats.org/officeDocument/2006/relationships/hyperlink" Target="https://www.facebook.com/artdruacrew/" TargetMode="External"/><Relationship Id="rId1122" Type="http://schemas.openxmlformats.org/officeDocument/2006/relationships/hyperlink" Target="https://drive.google.com/open?id=1AauhJ-uAXqMvdbpbSY0cQWPBUiaBmA-7" TargetMode="External"/><Relationship Id="rId1567" Type="http://schemas.openxmlformats.org/officeDocument/2006/relationships/hyperlink" Target="https://youtu.be/K4RWZBfCAZQ" TargetMode="External"/><Relationship Id="rId1774" Type="http://schemas.openxmlformats.org/officeDocument/2006/relationships/hyperlink" Target="https://www.facebook.com/gibi.embacado.1" TargetMode="External"/><Relationship Id="rId1981" Type="http://schemas.openxmlformats.org/officeDocument/2006/relationships/hyperlink" Target="https://www.youtube.com/channel/UCP9dXmia3ctsqB6ven4kUmg" TargetMode="External"/><Relationship Id="rId2618" Type="http://schemas.openxmlformats.org/officeDocument/2006/relationships/hyperlink" Target="https://www.facebook.com/associacaodes" TargetMode="External"/><Relationship Id="rId66" Type="http://schemas.openxmlformats.org/officeDocument/2006/relationships/hyperlink" Target="https://drive.google.com/open?id=1sMEFkYi9X2edmq5rYz3PrgkSlT9fK4xf" TargetMode="External"/><Relationship Id="rId1427" Type="http://schemas.openxmlformats.org/officeDocument/2006/relationships/hyperlink" Target="https://drive.google.com/open?id=1fmCRkO7onZ91JuzILB5uibLc_8lL-cZn" TargetMode="External"/><Relationship Id="rId1634" Type="http://schemas.openxmlformats.org/officeDocument/2006/relationships/hyperlink" Target="https://drive.google.com/open?id=16TmPJ2tEJpkj-1gTh-hWhjxm2DP9Wow1" TargetMode="External"/><Relationship Id="rId1841" Type="http://schemas.openxmlformats.org/officeDocument/2006/relationships/hyperlink" Target="https://instagram.com/projetoesmeralda?igshid=YmMyMTA2M2Y=" TargetMode="External"/><Relationship Id="rId1939" Type="http://schemas.openxmlformats.org/officeDocument/2006/relationships/hyperlink" Target="https://drive.google.com/open?id=1z6RFtc7owuHwTe7HFbRp5uuQ42biF8bQ" TargetMode="External"/><Relationship Id="rId1701" Type="http://schemas.openxmlformats.org/officeDocument/2006/relationships/hyperlink" Target="http://www.facebook.com/institutozedakah" TargetMode="External"/><Relationship Id="rId282" Type="http://schemas.openxmlformats.org/officeDocument/2006/relationships/hyperlink" Target="http://www.institutojoaquimtavora.com.br/" TargetMode="External"/><Relationship Id="rId587" Type="http://schemas.openxmlformats.org/officeDocument/2006/relationships/hyperlink" Target="http://cuidarmg.com.br/" TargetMode="External"/><Relationship Id="rId2170" Type="http://schemas.openxmlformats.org/officeDocument/2006/relationships/hyperlink" Target="https://instagram.com/institutosonharalto?utm_medium=copy_link" TargetMode="External"/><Relationship Id="rId2268" Type="http://schemas.openxmlformats.org/officeDocument/2006/relationships/hyperlink" Target="https://drive.google.com/open?id=1iDLGcOENE-YGmQoEpIPzM5km3xrH2WyE" TargetMode="External"/><Relationship Id="rId8" Type="http://schemas.openxmlformats.org/officeDocument/2006/relationships/hyperlink" Target="https://m.facebook.com/saovicentedepaulodojdvitoria/" TargetMode="External"/><Relationship Id="rId142" Type="http://schemas.openxmlformats.org/officeDocument/2006/relationships/hyperlink" Target="https://www.youtube.com/channel/UCvRFPl7RysU19eWR9nrLRsg/featured" TargetMode="External"/><Relationship Id="rId447" Type="http://schemas.openxmlformats.org/officeDocument/2006/relationships/hyperlink" Target="https://drive.google.com/open?id=1JLyunhYZtnKY7SwWWyI3ffkgoN9zID0S" TargetMode="External"/><Relationship Id="rId794" Type="http://schemas.openxmlformats.org/officeDocument/2006/relationships/hyperlink" Target="https://www.instagram.com/invites/contact/?i=1owrmvtlsfh9p&amp;utm_content=kmlk0pf" TargetMode="External"/><Relationship Id="rId1077" Type="http://schemas.openxmlformats.org/officeDocument/2006/relationships/hyperlink" Target="https://www.youtube.com/channel/UC5W29FA5VVQZZEFlUv8tqTQ" TargetMode="External"/><Relationship Id="rId2030" Type="http://schemas.openxmlformats.org/officeDocument/2006/relationships/hyperlink" Target="http://viela.org.br/" TargetMode="External"/><Relationship Id="rId2128" Type="http://schemas.openxmlformats.org/officeDocument/2006/relationships/hyperlink" Target="https://drive.google.com/open?id=1xGaiSIdHLCF12nQardmh5HrjHafsme-F" TargetMode="External"/><Relationship Id="rId2475" Type="http://schemas.openxmlformats.org/officeDocument/2006/relationships/hyperlink" Target="https://drive.google.com/open?id=16SwgzynCv7hTUnEllgH0qNq3DzdRls_x" TargetMode="External"/><Relationship Id="rId2682" Type="http://schemas.openxmlformats.org/officeDocument/2006/relationships/hyperlink" Target="https://drive.google.com/open?id=16NmDICMOt4R-bVZSOaQnLoHQYFGU66yF" TargetMode="External"/><Relationship Id="rId654" Type="http://schemas.openxmlformats.org/officeDocument/2006/relationships/hyperlink" Target="https://drive.google.com/open?id=1kXG-cy1YMdw5WztX25wOIEM9psr4qbAn" TargetMode="External"/><Relationship Id="rId861" Type="http://schemas.openxmlformats.org/officeDocument/2006/relationships/hyperlink" Target="https://herois-dos-lacres.negocio.site/" TargetMode="External"/><Relationship Id="rId959" Type="http://schemas.openxmlformats.org/officeDocument/2006/relationships/hyperlink" Target="https://drive.google.com/open?id=14KunFdQq93j4mwmcD4aC1BFSnhzyMcRn" TargetMode="External"/><Relationship Id="rId1284" Type="http://schemas.openxmlformats.org/officeDocument/2006/relationships/hyperlink" Target="https://www.instagram.com/reel/Cf-Y_jvAZlP/?igshid=YmMyMTA2M2Y=" TargetMode="External"/><Relationship Id="rId1491" Type="http://schemas.openxmlformats.org/officeDocument/2006/relationships/hyperlink" Target="https://drive.google.com/open?id=1ZlRjzcu1hCpNWcUtTKYn5thmqDDTBQKf" TargetMode="External"/><Relationship Id="rId1589" Type="http://schemas.openxmlformats.org/officeDocument/2006/relationships/hyperlink" Target="https://instagram.com/cacadoresteam?igshid=YmMyMTA2M2Y=" TargetMode="External"/><Relationship Id="rId2335" Type="http://schemas.openxmlformats.org/officeDocument/2006/relationships/hyperlink" Target="http://www.herdar.org.br/" TargetMode="External"/><Relationship Id="rId2542" Type="http://schemas.openxmlformats.org/officeDocument/2006/relationships/hyperlink" Target="https://drive.google.com/open?id=1acM1IC2qqRP4xOfC1aW414OW2G0a67vZ" TargetMode="External"/><Relationship Id="rId307" Type="http://schemas.openxmlformats.org/officeDocument/2006/relationships/hyperlink" Target="https://capeducacao8.negocio.site/" TargetMode="External"/><Relationship Id="rId514" Type="http://schemas.openxmlformats.org/officeDocument/2006/relationships/hyperlink" Target="https://drive.google.com/open?id=1FuTZnbZk9msLTPgabRc_fDru9dETPOuo" TargetMode="External"/><Relationship Id="rId721" Type="http://schemas.openxmlformats.org/officeDocument/2006/relationships/hyperlink" Target="https://drive.google.com/open?id=1uYCA6DfjPlWNuHMAxghkkBeCT1GQXPhj" TargetMode="External"/><Relationship Id="rId1144" Type="http://schemas.openxmlformats.org/officeDocument/2006/relationships/hyperlink" Target="https://www.facebook.com/colaicultural/" TargetMode="External"/><Relationship Id="rId1351" Type="http://schemas.openxmlformats.org/officeDocument/2006/relationships/hyperlink" Target="https://drive.google.com/open?id=1d4y-5PDS_w3PXjy9muLb_JuTiBRm-M-I" TargetMode="External"/><Relationship Id="rId1449" Type="http://schemas.openxmlformats.org/officeDocument/2006/relationships/hyperlink" Target="https://drive.google.com/open?id=1l8ypRMJO6wH9acuCCzzoJUlf_uuu0sas" TargetMode="External"/><Relationship Id="rId1796" Type="http://schemas.openxmlformats.org/officeDocument/2006/relationships/hyperlink" Target="https://pt-br.facebook.com/caefafernandopolis/" TargetMode="External"/><Relationship Id="rId2402" Type="http://schemas.openxmlformats.org/officeDocument/2006/relationships/hyperlink" Target="https://www.youtube.com/channel/UCwioqcNEuza5SEqKhn2ULeA" TargetMode="External"/><Relationship Id="rId88" Type="http://schemas.openxmlformats.org/officeDocument/2006/relationships/hyperlink" Target="https://instagram.com/acao_coracao?igshid=YmMyMTA2M2Y=" TargetMode="External"/><Relationship Id="rId819" Type="http://schemas.openxmlformats.org/officeDocument/2006/relationships/hyperlink" Target="https://impactandogeracoes.org.br/" TargetMode="External"/><Relationship Id="rId1004" Type="http://schemas.openxmlformats.org/officeDocument/2006/relationships/hyperlink" Target="https://drive.google.com/open?id=1ZTyvNgtQh6DJ-nam_Q_5EUw6HHC0PvCk" TargetMode="External"/><Relationship Id="rId1211" Type="http://schemas.openxmlformats.org/officeDocument/2006/relationships/hyperlink" Target="http://www.empreendemenina.com.br/" TargetMode="External"/><Relationship Id="rId1656" Type="http://schemas.openxmlformats.org/officeDocument/2006/relationships/hyperlink" Target="https://www.instagram.com/espacoculturalbonsucesso/" TargetMode="External"/><Relationship Id="rId1863" Type="http://schemas.openxmlformats.org/officeDocument/2006/relationships/hyperlink" Target="https://www.facebook.com/ongcoresdoamanha" TargetMode="External"/><Relationship Id="rId2707" Type="http://schemas.openxmlformats.org/officeDocument/2006/relationships/hyperlink" Target="https://youtube.com/channel/UCgThD_fGkMlwz3I8Mrfp7qw" TargetMode="External"/><Relationship Id="rId1309" Type="http://schemas.openxmlformats.org/officeDocument/2006/relationships/hyperlink" Target="https://www.facebook.com/institutoarvoredavidabetim" TargetMode="External"/><Relationship Id="rId1516" Type="http://schemas.openxmlformats.org/officeDocument/2006/relationships/hyperlink" Target="https://instagram.com/malocadacidadania" TargetMode="External"/><Relationship Id="rId1723" Type="http://schemas.openxmlformats.org/officeDocument/2006/relationships/hyperlink" Target="https://drive.google.com/open?id=1NbhKjIqCowMhmOc58_jATpknqvRo0lu2" TargetMode="External"/><Relationship Id="rId1930" Type="http://schemas.openxmlformats.org/officeDocument/2006/relationships/hyperlink" Target="http://instagram.com/institutojogandopeloreino" TargetMode="External"/><Relationship Id="rId15" Type="http://schemas.openxmlformats.org/officeDocument/2006/relationships/hyperlink" Target="https://www.instagram.com/auciliamaria_27/" TargetMode="External"/><Relationship Id="rId2192" Type="http://schemas.openxmlformats.org/officeDocument/2006/relationships/hyperlink" Target="https://www.instagram.com/favelaradical/" TargetMode="External"/><Relationship Id="rId164" Type="http://schemas.openxmlformats.org/officeDocument/2006/relationships/hyperlink" Target="https://drive.google.com/open?id=1dK58qHeuXUgzPoEeWp1yH0UR7u0G0S84" TargetMode="External"/><Relationship Id="rId371" Type="http://schemas.openxmlformats.org/officeDocument/2006/relationships/hyperlink" Target="https://instagram.com/associacaodemulheresnegras?utm_medium=copy_link" TargetMode="External"/><Relationship Id="rId2052" Type="http://schemas.openxmlformats.org/officeDocument/2006/relationships/hyperlink" Target="https://drive.google.com/open?id=1tVPIMpCD5KDa1NhdotlDmtVStZOhiqh9" TargetMode="External"/><Relationship Id="rId2497" Type="http://schemas.openxmlformats.org/officeDocument/2006/relationships/hyperlink" Target="https://drive.google.com/open?id=12jHVu3pN5qJU2Xxm9LOsFFoEewoBPE6m" TargetMode="External"/><Relationship Id="rId469" Type="http://schemas.openxmlformats.org/officeDocument/2006/relationships/hyperlink" Target="https://www.facebook.com/kaleoinstituto" TargetMode="External"/><Relationship Id="rId676" Type="http://schemas.openxmlformats.org/officeDocument/2006/relationships/hyperlink" Target="https://instagram.com/cdvida_defesadavida?igshid=YmMyMTA2M2Y=" TargetMode="External"/><Relationship Id="rId883" Type="http://schemas.openxmlformats.org/officeDocument/2006/relationships/hyperlink" Target="https://drive.google.com/open?id=1SR-7_WcgC7KcZXBnv-wbGjmqDZ_qF7jK" TargetMode="External"/><Relationship Id="rId1099" Type="http://schemas.openxmlformats.org/officeDocument/2006/relationships/hyperlink" Target="http://www.naotemos.com.br/" TargetMode="External"/><Relationship Id="rId2357" Type="http://schemas.openxmlformats.org/officeDocument/2006/relationships/hyperlink" Target="http://www.margaridasprojetos.org/" TargetMode="External"/><Relationship Id="rId2564" Type="http://schemas.openxmlformats.org/officeDocument/2006/relationships/hyperlink" Target="https://drive.google.com/open?id=1felDPv7S8dey4LNktmYjB-AQgkbolXdG" TargetMode="External"/><Relationship Id="rId231" Type="http://schemas.openxmlformats.org/officeDocument/2006/relationships/hyperlink" Target="https://drive.google.com/open?id=1kUCb8hdVdXZPMJfg6cqP0MQEtgCW--w6" TargetMode="External"/><Relationship Id="rId329" Type="http://schemas.openxmlformats.org/officeDocument/2006/relationships/hyperlink" Target="https://www.circodetodomundo.org.br/" TargetMode="External"/><Relationship Id="rId536" Type="http://schemas.openxmlformats.org/officeDocument/2006/relationships/hyperlink" Target="https://drive.google.com/open?id=1J0tWuKeD5hJZ43kHJrIcV0izO_dUp_qC" TargetMode="External"/><Relationship Id="rId1166" Type="http://schemas.openxmlformats.org/officeDocument/2006/relationships/hyperlink" Target="https://www.instagram.com/pablytto_28/" TargetMode="External"/><Relationship Id="rId1373" Type="http://schemas.openxmlformats.org/officeDocument/2006/relationships/hyperlink" Target="https://www.facebook.com/arc.capacitacoes/" TargetMode="External"/><Relationship Id="rId2217" Type="http://schemas.openxmlformats.org/officeDocument/2006/relationships/hyperlink" Target="https://www.youtube.com/c/Associa%C3%A7%C3%A3oVidan%C3%A7a" TargetMode="External"/><Relationship Id="rId743" Type="http://schemas.openxmlformats.org/officeDocument/2006/relationships/hyperlink" Target="https://drive.google.com/open?id=1DXwSL3YBYhmJ4G4G8ZJ8K_2AbarFGCYy" TargetMode="External"/><Relationship Id="rId950" Type="http://schemas.openxmlformats.org/officeDocument/2006/relationships/hyperlink" Target="https://www.instagram.com/transmutar_geracao/" TargetMode="External"/><Relationship Id="rId1026" Type="http://schemas.openxmlformats.org/officeDocument/2006/relationships/hyperlink" Target="https://www.facebook.com/line.santos.37454" TargetMode="External"/><Relationship Id="rId1580" Type="http://schemas.openxmlformats.org/officeDocument/2006/relationships/hyperlink" Target="https://www.facebook.com/semprecrianca/" TargetMode="External"/><Relationship Id="rId1678" Type="http://schemas.openxmlformats.org/officeDocument/2006/relationships/hyperlink" Target="https://www.instagram.com/pratoverdesustentavel/" TargetMode="External"/><Relationship Id="rId1885" Type="http://schemas.openxmlformats.org/officeDocument/2006/relationships/hyperlink" Target="https://viadutodasartes.com/" TargetMode="External"/><Relationship Id="rId2424" Type="http://schemas.openxmlformats.org/officeDocument/2006/relationships/hyperlink" Target="https://drive.google.com/open?id=1OyIhZzl8_SQQ16IY-VbbsSwpWoBFqPCr" TargetMode="External"/><Relationship Id="rId2631" Type="http://schemas.openxmlformats.org/officeDocument/2006/relationships/hyperlink" Target="https://drive.google.com/open?id=1EmNucKnQj2m9XkPUwBu-vLTLVwbiW4jx" TargetMode="External"/><Relationship Id="rId2729" Type="http://schemas.openxmlformats.org/officeDocument/2006/relationships/hyperlink" Target="https://www.facebook.com/institutodomjf/" TargetMode="External"/><Relationship Id="rId603" Type="http://schemas.openxmlformats.org/officeDocument/2006/relationships/hyperlink" Target="https://www.instagram.com/projetovidaemanuel/" TargetMode="External"/><Relationship Id="rId810" Type="http://schemas.openxmlformats.org/officeDocument/2006/relationships/hyperlink" Target="https://drive.google.com/open?id=1uI2WtwEIWDT49RwFMsaOAhNQS4wlv9iu" TargetMode="External"/><Relationship Id="rId908" Type="http://schemas.openxmlformats.org/officeDocument/2006/relationships/hyperlink" Target="https://drive.google.com/open?id=1dY7W6HGeHgbieNKv-wkPJyDS8FTMCv_7" TargetMode="External"/><Relationship Id="rId1233" Type="http://schemas.openxmlformats.org/officeDocument/2006/relationships/hyperlink" Target="https://drive.google.com/open?id=1pkdKiwjBGoV0pISVRPry-QDwnzuIOAQc" TargetMode="External"/><Relationship Id="rId1440" Type="http://schemas.openxmlformats.org/officeDocument/2006/relationships/hyperlink" Target="http://instagram.com/institutomaltrapilho" TargetMode="External"/><Relationship Id="rId1538" Type="http://schemas.openxmlformats.org/officeDocument/2006/relationships/hyperlink" Target="https://igrejabetania.org/avante/" TargetMode="External"/><Relationship Id="rId1300" Type="http://schemas.openxmlformats.org/officeDocument/2006/relationships/hyperlink" Target="https://www.instagram.com/carangondecidadania/" TargetMode="External"/><Relationship Id="rId1745" Type="http://schemas.openxmlformats.org/officeDocument/2006/relationships/hyperlink" Target="https://drive.google.com/open?id=1UFOmfyN95MIg-t4NneQx4IyZnpGymWbW" TargetMode="External"/><Relationship Id="rId1952" Type="http://schemas.openxmlformats.org/officeDocument/2006/relationships/hyperlink" Target="https://drive.google.com/open?id=1r3oCxQT5as3JOaYkE_M72SJcQtfPq1a4" TargetMode="External"/><Relationship Id="rId37" Type="http://schemas.openxmlformats.org/officeDocument/2006/relationships/hyperlink" Target="https://www.facebook.com/edvaldo.carlos.16" TargetMode="External"/><Relationship Id="rId1605" Type="http://schemas.openxmlformats.org/officeDocument/2006/relationships/hyperlink" Target="https://www.instagram.com/identidadeperiferica/" TargetMode="External"/><Relationship Id="rId1812" Type="http://schemas.openxmlformats.org/officeDocument/2006/relationships/hyperlink" Target="https://drive.google.com/open?id=1QW4A-vD32uppehfO5qLYPA_rJIHWdum-" TargetMode="External"/><Relationship Id="rId186" Type="http://schemas.openxmlformats.org/officeDocument/2006/relationships/hyperlink" Target="https://drive.google.com/open?id=1eadgX5t7U4LAH7XKkgZfQ0s2X7BowDfY" TargetMode="External"/><Relationship Id="rId393" Type="http://schemas.openxmlformats.org/officeDocument/2006/relationships/hyperlink" Target="https://www.facebook.com/institutodonamaria" TargetMode="External"/><Relationship Id="rId2074" Type="http://schemas.openxmlformats.org/officeDocument/2006/relationships/hyperlink" Target="https://www.projetogeracaodachico.com.br/" TargetMode="External"/><Relationship Id="rId2281" Type="http://schemas.openxmlformats.org/officeDocument/2006/relationships/hyperlink" Target="https://www.youtube.com/channel/UC36l4YDSSNHqMAl78ueb_Lg" TargetMode="External"/><Relationship Id="rId253" Type="http://schemas.openxmlformats.org/officeDocument/2006/relationships/hyperlink" Target="https://www.instagram.com/invites/contact/?i=1brn97zd2ffqw&amp;utm_content=2kudiue" TargetMode="External"/><Relationship Id="rId460" Type="http://schemas.openxmlformats.org/officeDocument/2006/relationships/hyperlink" Target="http://facebook.com/institutosocioambientaldasvertentes" TargetMode="External"/><Relationship Id="rId698" Type="http://schemas.openxmlformats.org/officeDocument/2006/relationships/hyperlink" Target="https://youtube.com/channel/uCumlGAJpJJnbBZf-Is-OIKQ" TargetMode="External"/><Relationship Id="rId1090" Type="http://schemas.openxmlformats.org/officeDocument/2006/relationships/hyperlink" Target="https://drive.google.com/open?id=13wnswBM5gpfUptf4MNja8Ktx0DBht9S1" TargetMode="External"/><Relationship Id="rId2141" Type="http://schemas.openxmlformats.org/officeDocument/2006/relationships/hyperlink" Target="https://www.instagram.com/projetonapontadospes/?hl=pt-br" TargetMode="External"/><Relationship Id="rId2379" Type="http://schemas.openxmlformats.org/officeDocument/2006/relationships/hyperlink" Target="https://drive.google.com/open?id=17z-eM4pzIz8aS__Gf9gjtlv-WlLMxWyC" TargetMode="External"/><Relationship Id="rId2586" Type="http://schemas.openxmlformats.org/officeDocument/2006/relationships/hyperlink" Target="https://drive.google.com/open?id=1-B5-NMAr4i6bh7fxIO17LXUa7KLHCXFd" TargetMode="External"/><Relationship Id="rId113" Type="http://schemas.openxmlformats.org/officeDocument/2006/relationships/hyperlink" Target="https://web.facebook.com/ascbjbr/?ref=pages_you_manage" TargetMode="External"/><Relationship Id="rId320" Type="http://schemas.openxmlformats.org/officeDocument/2006/relationships/hyperlink" Target="https://drive.google.com/open?id=18-V4-ej_YNHOr0DaHkF33P6l9MAEgBHu" TargetMode="External"/><Relationship Id="rId558" Type="http://schemas.openxmlformats.org/officeDocument/2006/relationships/hyperlink" Target="https://drive.google.com/open?id=1JcCKAwMmw76bu7uG5n0_FydAMTP_mVN5" TargetMode="External"/><Relationship Id="rId765" Type="http://schemas.openxmlformats.org/officeDocument/2006/relationships/hyperlink" Target="https://www.instagram.com/p/CfpxpQWtzvn/?igshid=YmMyMTA2M2Y=" TargetMode="External"/><Relationship Id="rId972" Type="http://schemas.openxmlformats.org/officeDocument/2006/relationships/hyperlink" Target="https://drive.google.com/open?id=16v1DTaAceY6bOryB-HoBWrcpubHKvDRB" TargetMode="External"/><Relationship Id="rId1188" Type="http://schemas.openxmlformats.org/officeDocument/2006/relationships/hyperlink" Target="https://drive.google.com/open?id=18RSaN1RoZrc7KJMdWf9yldyWIIRLdoLS" TargetMode="External"/><Relationship Id="rId1395" Type="http://schemas.openxmlformats.org/officeDocument/2006/relationships/hyperlink" Target="https://drive.google.com/open?id=1JYFIJrfUuup9-1IFi5sMEAhuFpC9CR9t" TargetMode="External"/><Relationship Id="rId2001" Type="http://schemas.openxmlformats.org/officeDocument/2006/relationships/hyperlink" Target="https://www.facebook.com/institutoincanto/" TargetMode="External"/><Relationship Id="rId2239" Type="http://schemas.openxmlformats.org/officeDocument/2006/relationships/hyperlink" Target="https://drive.google.com/open?id=1-e7Mcj_TszjDL3062JsP1kuuyJanIXGx" TargetMode="External"/><Relationship Id="rId2446" Type="http://schemas.openxmlformats.org/officeDocument/2006/relationships/hyperlink" Target="https://drive.google.com/open?id=1jZGNmb341L1LUAjke5khLenOzWXXvRRf" TargetMode="External"/><Relationship Id="rId2653" Type="http://schemas.openxmlformats.org/officeDocument/2006/relationships/hyperlink" Target="https://l.instagram.com/?u=https%3A%2F%2Fm.facebook.com%2Fprojetobodyboardpara%2F%3Fref%3Dbookmarks&amp;e=ATO1k_MIeNJibr-1SYF8-pyPejAdyo2g1XkNaHEYoxX2AIY-SwyN5vLnGi4UyJXJ-egV3aIx9fKfqVaR-tFajT81bZE86SKPFv7rLA&amp;s=1" TargetMode="External"/><Relationship Id="rId418" Type="http://schemas.openxmlformats.org/officeDocument/2006/relationships/hyperlink" Target="https://drive.google.com/open?id=1J0zKJm_koK5tVwHiRpVL1Cv2xcFFjmRC" TargetMode="External"/><Relationship Id="rId625" Type="http://schemas.openxmlformats.org/officeDocument/2006/relationships/hyperlink" Target="https://www.instagram.com/p/CXrLJFfpoTv/?igshid=YmMyMTA2M2Y=" TargetMode="External"/><Relationship Id="rId832" Type="http://schemas.openxmlformats.org/officeDocument/2006/relationships/hyperlink" Target="https://drive.google.com/open?id=1QeQeMcwve13rgWu8NXd77dF2qJrOqzWg" TargetMode="External"/><Relationship Id="rId1048" Type="http://schemas.openxmlformats.org/officeDocument/2006/relationships/hyperlink" Target="https://drive.google.com/open?id=1MaLmVW1vz3pYF3z4_Vh4OJsjvpVw-r5W" TargetMode="External"/><Relationship Id="rId1255" Type="http://schemas.openxmlformats.org/officeDocument/2006/relationships/hyperlink" Target="https://www.facebook.com/cmbadobrasil/" TargetMode="External"/><Relationship Id="rId1462" Type="http://schemas.openxmlformats.org/officeDocument/2006/relationships/hyperlink" Target="http://www.ifps.org.br/" TargetMode="External"/><Relationship Id="rId2306" Type="http://schemas.openxmlformats.org/officeDocument/2006/relationships/hyperlink" Target="https://youtube.com/channel/UC7RfnnHLtkyjpwYMmwCwyJA" TargetMode="External"/><Relationship Id="rId2513" Type="http://schemas.openxmlformats.org/officeDocument/2006/relationships/hyperlink" Target="https://www.facebook.com/gaiiacarandai" TargetMode="External"/><Relationship Id="rId1115" Type="http://schemas.openxmlformats.org/officeDocument/2006/relationships/hyperlink" Target="https://drive.google.com/open?id=15AFq79dmXgam0Y1MbatQccFtaSH10qDU" TargetMode="External"/><Relationship Id="rId1322" Type="http://schemas.openxmlformats.org/officeDocument/2006/relationships/hyperlink" Target="http://ongsalum.com/home" TargetMode="External"/><Relationship Id="rId1767" Type="http://schemas.openxmlformats.org/officeDocument/2006/relationships/hyperlink" Target="https://instagram.com/abeducacional?utm_medium=copy_link" TargetMode="External"/><Relationship Id="rId1974" Type="http://schemas.openxmlformats.org/officeDocument/2006/relationships/hyperlink" Target="https://www.instagram.com/p/CJo8BC3pwOA/?igshid=1c3fpf13uoo6o" TargetMode="External"/><Relationship Id="rId2720" Type="http://schemas.openxmlformats.org/officeDocument/2006/relationships/hyperlink" Target="https://www.lacredobem.org.br/" TargetMode="External"/><Relationship Id="rId59" Type="http://schemas.openxmlformats.org/officeDocument/2006/relationships/hyperlink" Target="https://instagram.com/instituto_arcanjogabriel?igshid=YmMyMTA2M2Y=" TargetMode="External"/><Relationship Id="rId1627" Type="http://schemas.openxmlformats.org/officeDocument/2006/relationships/hyperlink" Target="https://br.linkedin.com/company/impacta%C3%A7%C3%A3o-social/" TargetMode="External"/><Relationship Id="rId1834" Type="http://schemas.openxmlformats.org/officeDocument/2006/relationships/hyperlink" Target="http://www.manadoceu.org.br/" TargetMode="External"/><Relationship Id="rId2096" Type="http://schemas.openxmlformats.org/officeDocument/2006/relationships/hyperlink" Target="https://www.instagram.com/espacotijolinho/" TargetMode="External"/><Relationship Id="rId1901" Type="http://schemas.openxmlformats.org/officeDocument/2006/relationships/hyperlink" Target="https://www.instagram.com/reel/CbsAGoTMnN-/?utm_medium=copy_link" TargetMode="External"/><Relationship Id="rId275" Type="http://schemas.openxmlformats.org/officeDocument/2006/relationships/hyperlink" Target="https://drive.google.com/open?id=1UiPVtthYeAs1i58hEBlxO4ByRz5XDgv5" TargetMode="External"/><Relationship Id="rId482" Type="http://schemas.openxmlformats.org/officeDocument/2006/relationships/hyperlink" Target="https://drive.google.com/open?id=1kANZEeWPrV8Pufkn8uTlRnylm6k-Ufbj" TargetMode="External"/><Relationship Id="rId2163" Type="http://schemas.openxmlformats.org/officeDocument/2006/relationships/hyperlink" Target="https://drive.google.com/open?id=1KauHBoRGp1aaNIarvqk7Rkzs3LMPrW1A" TargetMode="External"/><Relationship Id="rId2370" Type="http://schemas.openxmlformats.org/officeDocument/2006/relationships/hyperlink" Target="https://drive.google.com/open?id=1G7AefYIlyYudwMOEBh4mXkHvsg6lu-Va" TargetMode="External"/><Relationship Id="rId135" Type="http://schemas.openxmlformats.org/officeDocument/2006/relationships/hyperlink" Target="https://drive.google.com/open?id=1ZdAY6pf7OzIhk7fTb81suT4yP6io5Jwq" TargetMode="External"/><Relationship Id="rId342" Type="http://schemas.openxmlformats.org/officeDocument/2006/relationships/hyperlink" Target="https://www.instagram.com/projeto.flordelotus/" TargetMode="External"/><Relationship Id="rId787" Type="http://schemas.openxmlformats.org/officeDocument/2006/relationships/hyperlink" Target="https://drive.google.com/open?id=17bZu4hHoEuFI6oiH8hhRpXa0-YUcQ2j8" TargetMode="External"/><Relationship Id="rId994" Type="http://schemas.openxmlformats.org/officeDocument/2006/relationships/hyperlink" Target="https://www.instagram.com/jeda_org/" TargetMode="External"/><Relationship Id="rId2023" Type="http://schemas.openxmlformats.org/officeDocument/2006/relationships/hyperlink" Target="https://drive.google.com/open?id=13OYoAfD1iTLpiD2Js6vDJjOZ-TYqC0Ff" TargetMode="External"/><Relationship Id="rId2230" Type="http://schemas.openxmlformats.org/officeDocument/2006/relationships/hyperlink" Target="https://drive.google.com/open?id=1bcmlxKs2icfN7i-x5tjA95JaHHR2LB_e" TargetMode="External"/><Relationship Id="rId2468" Type="http://schemas.openxmlformats.org/officeDocument/2006/relationships/hyperlink" Target="https://drive.google.com/open?id=1l9vRtIIexZAOD8M4tSnjNK6J5dfLRu56" TargetMode="External"/><Relationship Id="rId2675" Type="http://schemas.openxmlformats.org/officeDocument/2006/relationships/hyperlink" Target="https://instagram.com/pisadadosertaopb?utm_medium=copy_link" TargetMode="External"/><Relationship Id="rId202" Type="http://schemas.openxmlformats.org/officeDocument/2006/relationships/hyperlink" Target="https://drive.google.com/open?id=1KKDCNHk4hQuizyZzUnSGWvUOpg0cqmPV" TargetMode="External"/><Relationship Id="rId647" Type="http://schemas.openxmlformats.org/officeDocument/2006/relationships/hyperlink" Target="https://www.facebook.com/projetoresgatandoainocencia/" TargetMode="External"/><Relationship Id="rId854" Type="http://schemas.openxmlformats.org/officeDocument/2006/relationships/hyperlink" Target="https://www.instagram.com/manifestamovement_" TargetMode="External"/><Relationship Id="rId1277" Type="http://schemas.openxmlformats.org/officeDocument/2006/relationships/hyperlink" Target="https://institutomaisvida.org.br/" TargetMode="External"/><Relationship Id="rId1484" Type="http://schemas.openxmlformats.org/officeDocument/2006/relationships/hyperlink" Target="https://www.facebook.com/NEAC.ONG/" TargetMode="External"/><Relationship Id="rId1691" Type="http://schemas.openxmlformats.org/officeDocument/2006/relationships/hyperlink" Target="https://instagram.com/ameasoficial?utm_medium=copy_link" TargetMode="External"/><Relationship Id="rId2328" Type="http://schemas.openxmlformats.org/officeDocument/2006/relationships/hyperlink" Target="https://institutovidart.com.br/" TargetMode="External"/><Relationship Id="rId2535" Type="http://schemas.openxmlformats.org/officeDocument/2006/relationships/hyperlink" Target="https://drive.google.com/open?id=1FuiLrCMLwsCWBijYcqxRhKzPAoaE-vPG" TargetMode="External"/><Relationship Id="rId507" Type="http://schemas.openxmlformats.org/officeDocument/2006/relationships/hyperlink" Target="https://www.instagram.com/educacaoparaaliberdade/" TargetMode="External"/><Relationship Id="rId714" Type="http://schemas.openxmlformats.org/officeDocument/2006/relationships/hyperlink" Target="https://drive.google.com/open?id=11aZ-1E86WXLxtyoIxZiyVFMCuXLITQhh" TargetMode="External"/><Relationship Id="rId921" Type="http://schemas.openxmlformats.org/officeDocument/2006/relationships/hyperlink" Target="https://drive.google.com/open?id=1MPQRCSArvYQ19MXn1MDFfq9RD3thO4P0" TargetMode="External"/><Relationship Id="rId1137" Type="http://schemas.openxmlformats.org/officeDocument/2006/relationships/hyperlink" Target="https://www.instagram.com/causadoresdaalegria/p/CYj-O_kFkIl/?utm_medium=copy_link" TargetMode="External"/><Relationship Id="rId1344" Type="http://schemas.openxmlformats.org/officeDocument/2006/relationships/hyperlink" Target="https://drive.google.com/open?id=1w6eL7TUQB_OdRogl2Q-LS54xZ8vJGgHE" TargetMode="External"/><Relationship Id="rId1551" Type="http://schemas.openxmlformats.org/officeDocument/2006/relationships/hyperlink" Target="https://drive.google.com/open?id=1pPtNppYuHxKARw7ZBlOHuH8Gf1T1m2cd" TargetMode="External"/><Relationship Id="rId1789" Type="http://schemas.openxmlformats.org/officeDocument/2006/relationships/hyperlink" Target="https://drive.google.com/open?id=1BIIsHNMzFULNJk6msRDpj8JvDZhG1ERh" TargetMode="External"/><Relationship Id="rId1996" Type="http://schemas.openxmlformats.org/officeDocument/2006/relationships/hyperlink" Target="https://www.youtube.com/channel/UCtt_UYLscLfGQSAFB_PiJFg" TargetMode="External"/><Relationship Id="rId2602" Type="http://schemas.openxmlformats.org/officeDocument/2006/relationships/hyperlink" Target="https://drive.google.com/open?id=162XIodiGm4DMXdDv77LmQ6D3DO-c8DAn" TargetMode="External"/><Relationship Id="rId50" Type="http://schemas.openxmlformats.org/officeDocument/2006/relationships/hyperlink" Target="https://www.trazfavela.com.br/" TargetMode="External"/><Relationship Id="rId1204" Type="http://schemas.openxmlformats.org/officeDocument/2006/relationships/hyperlink" Target="http://www.techgirls.com.br/" TargetMode="External"/><Relationship Id="rId1411" Type="http://schemas.openxmlformats.org/officeDocument/2006/relationships/hyperlink" Target="https://www.instagram.com/voznascomunidades/" TargetMode="External"/><Relationship Id="rId1649" Type="http://schemas.openxmlformats.org/officeDocument/2006/relationships/hyperlink" Target="https://www.youtube.com/c/CasadeApoioVidaDivinaCAVD" TargetMode="External"/><Relationship Id="rId1856" Type="http://schemas.openxmlformats.org/officeDocument/2006/relationships/hyperlink" Target="https://instagram.com/institutosementinha?igshid=YmMyMTA2M2Y=" TargetMode="External"/><Relationship Id="rId1509" Type="http://schemas.openxmlformats.org/officeDocument/2006/relationships/hyperlink" Target="https://instagram.com/casa.sorriso.da.crianca?utm_medium=copy_link" TargetMode="External"/><Relationship Id="rId1716" Type="http://schemas.openxmlformats.org/officeDocument/2006/relationships/hyperlink" Target="https://www.facebook.com/associacaodeapoioasfamilias/" TargetMode="External"/><Relationship Id="rId1923" Type="http://schemas.openxmlformats.org/officeDocument/2006/relationships/hyperlink" Target="https://instagram.com/projetoisac?utm_medium=copy_link" TargetMode="External"/><Relationship Id="rId297" Type="http://schemas.openxmlformats.org/officeDocument/2006/relationships/hyperlink" Target="https://www.facebook.com/nucleodeeducacaodocoroadinho/" TargetMode="External"/><Relationship Id="rId2185" Type="http://schemas.openxmlformats.org/officeDocument/2006/relationships/hyperlink" Target="https://drive.google.com/open?id=1d6iAeHga_xy9ASXNmYc5VVDnj4i2Gotm" TargetMode="External"/><Relationship Id="rId2392" Type="http://schemas.openxmlformats.org/officeDocument/2006/relationships/hyperlink" Target="https://drive.google.com/open?id=1HPYPstq5a6CbdraZE9_Yj9Z1wp_CXzQA" TargetMode="External"/><Relationship Id="rId157" Type="http://schemas.openxmlformats.org/officeDocument/2006/relationships/hyperlink" Target="https://drive.google.com/open?id=1jRzAF6TVgm7qDuOUWg2AppyOUhMBL0C-" TargetMode="External"/><Relationship Id="rId364" Type="http://schemas.openxmlformats.org/officeDocument/2006/relationships/hyperlink" Target="https://drive.google.com/open?id=1EPgew1-9OYtyDD18tKFOdkBwl1VU4PNz" TargetMode="External"/><Relationship Id="rId2045" Type="http://schemas.openxmlformats.org/officeDocument/2006/relationships/hyperlink" Target="https://drive.google.com/open?id=1SFDziNFzSvaqnqBf4B6mgZQrjqkn8eL6" TargetMode="External"/><Relationship Id="rId2697" Type="http://schemas.openxmlformats.org/officeDocument/2006/relationships/hyperlink" Target="https://drive.google.com/open?id=17EVyvKLQduxeIOO2zjILJvUdJaOtIGr1" TargetMode="External"/><Relationship Id="rId571" Type="http://schemas.openxmlformats.org/officeDocument/2006/relationships/hyperlink" Target="https://drive.google.com/open?id=1xmzfrcgwA66XNu9H92FnMwxch-VpEWuO" TargetMode="External"/><Relationship Id="rId669" Type="http://schemas.openxmlformats.org/officeDocument/2006/relationships/hyperlink" Target="https://drive.google.com/open?id=1Jvp3bj86h_AU4Xxed49G8KyA8jUPY9t8" TargetMode="External"/><Relationship Id="rId876" Type="http://schemas.openxmlformats.org/officeDocument/2006/relationships/hyperlink" Target="https://drive.google.com/open?id=1zycHLanylldaT_xjDcHym4hWYYnb9JvI" TargetMode="External"/><Relationship Id="rId1299" Type="http://schemas.openxmlformats.org/officeDocument/2006/relationships/hyperlink" Target="https://carangondecidadania.blogspot.com/" TargetMode="External"/><Relationship Id="rId2252" Type="http://schemas.openxmlformats.org/officeDocument/2006/relationships/hyperlink" Target="https://drive.google.com/open?id=1KT0fex0eRNiKAhxj9gCGwJ3kjGoHyiV2" TargetMode="External"/><Relationship Id="rId2557" Type="http://schemas.openxmlformats.org/officeDocument/2006/relationships/hyperlink" Target="https://drive.google.com/open?id=1o7VZQ33tmJlPMN_dcBX5_tTBP_OXtbeK" TargetMode="External"/><Relationship Id="rId224" Type="http://schemas.openxmlformats.org/officeDocument/2006/relationships/hyperlink" Target="https://drive.google.com/open?id=1q65ZRWx2ANoltwyARFh3kHd-EiSvXGHN" TargetMode="External"/><Relationship Id="rId431" Type="http://schemas.openxmlformats.org/officeDocument/2006/relationships/hyperlink" Target="https://m.youtube.com/channel/UCDNrvq4K_PO_xsEzxelUQKg/featured" TargetMode="External"/><Relationship Id="rId529" Type="http://schemas.openxmlformats.org/officeDocument/2006/relationships/hyperlink" Target="https://drive.google.com/open?id=1BW8LpgDW4FfrBcfKCrm5NEh0LZyxI2o4" TargetMode="External"/><Relationship Id="rId736" Type="http://schemas.openxmlformats.org/officeDocument/2006/relationships/hyperlink" Target="https://pt-br.facebook.com/educargolandim/" TargetMode="External"/><Relationship Id="rId1061" Type="http://schemas.openxmlformats.org/officeDocument/2006/relationships/hyperlink" Target="https://drive.google.com/open?id=1eIN9LJH0661uIPi3fZbnI4jy9Yadp8eL" TargetMode="External"/><Relationship Id="rId1159" Type="http://schemas.openxmlformats.org/officeDocument/2006/relationships/hyperlink" Target="https://drive.google.com/open?id=1Hre_ch5bD2NhP6IAmMnMm92-dsWZxf1k" TargetMode="External"/><Relationship Id="rId1366" Type="http://schemas.openxmlformats.org/officeDocument/2006/relationships/hyperlink" Target="https://www.instagram.com/ancmaeafrica/" TargetMode="External"/><Relationship Id="rId2112" Type="http://schemas.openxmlformats.org/officeDocument/2006/relationships/hyperlink" Target="https://drive.google.com/open?id=1IReKX-xrs_PPRwDmp9V2o4BTN_azFRFa" TargetMode="External"/><Relationship Id="rId2417" Type="http://schemas.openxmlformats.org/officeDocument/2006/relationships/hyperlink" Target="https://drive.google.com/open?id=1gJHAVU-8M62AGmd7kxZs-1YD9Z217AlA" TargetMode="External"/><Relationship Id="rId943" Type="http://schemas.openxmlformats.org/officeDocument/2006/relationships/hyperlink" Target="https://instagram.com/aarma13demaio?igshid=YmMyMTA2M2Y=" TargetMode="External"/><Relationship Id="rId1019" Type="http://schemas.openxmlformats.org/officeDocument/2006/relationships/hyperlink" Target="https://drive.google.com/open?id=1Cyh8V_KlqTtAdZxZdksfYEtcJB8M01dO" TargetMode="External"/><Relationship Id="rId1573" Type="http://schemas.openxmlformats.org/officeDocument/2006/relationships/hyperlink" Target="https://instagram.com/institutoraizes?utm_medium=copy_link" TargetMode="External"/><Relationship Id="rId1780" Type="http://schemas.openxmlformats.org/officeDocument/2006/relationships/hyperlink" Target="https://www.facebook.com/instituicaoica/" TargetMode="External"/><Relationship Id="rId1878" Type="http://schemas.openxmlformats.org/officeDocument/2006/relationships/hyperlink" Target="https://instagram.com/institutoreviverpalmas" TargetMode="External"/><Relationship Id="rId2624" Type="http://schemas.openxmlformats.org/officeDocument/2006/relationships/hyperlink" Target="https://www.ajenai.org.br/" TargetMode="External"/><Relationship Id="rId72" Type="http://schemas.openxmlformats.org/officeDocument/2006/relationships/hyperlink" Target="https://drive.google.com/open?id=1LzJRyRWAdALpNOeI5D6ovpTr3sWBjCg_" TargetMode="External"/><Relationship Id="rId803" Type="http://schemas.openxmlformats.org/officeDocument/2006/relationships/hyperlink" Target="https://drive.google.com/open?id=1879sDHCWu9FLgy6mSIFKbxhV2kmXbyms" TargetMode="External"/><Relationship Id="rId1226" Type="http://schemas.openxmlformats.org/officeDocument/2006/relationships/hyperlink" Target="https://drive.google.com/open?id=112JFcOn0Y3t9Zjpe-vnr5J1VVHPbX99o" TargetMode="External"/><Relationship Id="rId1433" Type="http://schemas.openxmlformats.org/officeDocument/2006/relationships/hyperlink" Target="http://www.facebook.com/ProjetoCanudos" TargetMode="External"/><Relationship Id="rId1640" Type="http://schemas.openxmlformats.org/officeDocument/2006/relationships/hyperlink" Target="https://drive.google.com/open?id=1xheiQWjxHwY8HeOaUPSQNsBSCXD66Uzx" TargetMode="External"/><Relationship Id="rId1738" Type="http://schemas.openxmlformats.org/officeDocument/2006/relationships/hyperlink" Target="https://instagram.com/asbrame_brasil?utm_medium=copy_link" TargetMode="External"/><Relationship Id="rId1500" Type="http://schemas.openxmlformats.org/officeDocument/2006/relationships/hyperlink" Target="https://instagram.com/institutomovervidas?utm_medium=copy_link" TargetMode="External"/><Relationship Id="rId1945" Type="http://schemas.openxmlformats.org/officeDocument/2006/relationships/hyperlink" Target="https://instagram.com/projeto_probem_oficial?utm_medium=copy_link" TargetMode="External"/><Relationship Id="rId1805" Type="http://schemas.openxmlformats.org/officeDocument/2006/relationships/hyperlink" Target="https://www.instagram.com/ass.tabernaculo/" TargetMode="External"/><Relationship Id="rId179" Type="http://schemas.openxmlformats.org/officeDocument/2006/relationships/hyperlink" Target="https://drive.google.com/open?id=1yAojh3FT8mHInshYUqU0KRGTsT72JlNr" TargetMode="External"/><Relationship Id="rId386" Type="http://schemas.openxmlformats.org/officeDocument/2006/relationships/hyperlink" Target="http://coneragir.org/" TargetMode="External"/><Relationship Id="rId593" Type="http://schemas.openxmlformats.org/officeDocument/2006/relationships/hyperlink" Target="https://drive.google.com/open?id=1ULjzLue7q9kar3z3rJbkwNx9yLLvksiG" TargetMode="External"/><Relationship Id="rId2067" Type="http://schemas.openxmlformats.org/officeDocument/2006/relationships/hyperlink" Target="http://www.institutocristianecamargo.org/" TargetMode="External"/><Relationship Id="rId2274" Type="http://schemas.openxmlformats.org/officeDocument/2006/relationships/hyperlink" Target="https://www.associacaofuturocampeao.com.br/" TargetMode="External"/><Relationship Id="rId2481" Type="http://schemas.openxmlformats.org/officeDocument/2006/relationships/hyperlink" Target="https://youtube.com/channel/UCr8ADfcWxzwRNd5c5uWJPJw" TargetMode="External"/><Relationship Id="rId246" Type="http://schemas.openxmlformats.org/officeDocument/2006/relationships/hyperlink" Target="https://drive.google.com/open?id=1EyKa8pJR6QrZvSoX8shoUW7Gm2UQI81s" TargetMode="External"/><Relationship Id="rId453" Type="http://schemas.openxmlformats.org/officeDocument/2006/relationships/hyperlink" Target="https://www.youtube.com/channel/UCtR4qj-NfauDYDbzLzptTCg?app=desktop" TargetMode="External"/><Relationship Id="rId660" Type="http://schemas.openxmlformats.org/officeDocument/2006/relationships/hyperlink" Target="https://www.facebook.com/pretasruass" TargetMode="External"/><Relationship Id="rId898" Type="http://schemas.openxmlformats.org/officeDocument/2006/relationships/hyperlink" Target="https://drive.google.com/open?id=1g3rtjD52H1my3cJaZ-KH6vEZVdJxM0yi" TargetMode="External"/><Relationship Id="rId1083" Type="http://schemas.openxmlformats.org/officeDocument/2006/relationships/hyperlink" Target="https://www.facebook.com/TopClubdexadrez" TargetMode="External"/><Relationship Id="rId1290" Type="http://schemas.openxmlformats.org/officeDocument/2006/relationships/hyperlink" Target="https://www.facebook.com/CasaDoConto/" TargetMode="External"/><Relationship Id="rId2134" Type="http://schemas.openxmlformats.org/officeDocument/2006/relationships/hyperlink" Target="https://drive.google.com/open?id=1Wx7_j1zzKh0oX2iQB1ojBbxP3mJUcI6C" TargetMode="External"/><Relationship Id="rId2341" Type="http://schemas.openxmlformats.org/officeDocument/2006/relationships/hyperlink" Target="https://drive.google.com/open?id=1d4VDjSg62Jw9LJeDC1xcSa-HYhJux-nZ" TargetMode="External"/><Relationship Id="rId2579" Type="http://schemas.openxmlformats.org/officeDocument/2006/relationships/hyperlink" Target="https://drive.google.com/open?id=1MceTYEPCPj5RrwBSbVSkFM6Osh-nQ7kZ" TargetMode="External"/><Relationship Id="rId106" Type="http://schemas.openxmlformats.org/officeDocument/2006/relationships/hyperlink" Target="https://drive.google.com/open?id=1OemUj6S_bFPzBXIwCbbj6VvwIkrhwTuW" TargetMode="External"/><Relationship Id="rId313" Type="http://schemas.openxmlformats.org/officeDocument/2006/relationships/hyperlink" Target="https://drive.google.com/open?id=1RzXq0NuD3wSMCPjL4O0uVHwoUMD69iyv" TargetMode="External"/><Relationship Id="rId758" Type="http://schemas.openxmlformats.org/officeDocument/2006/relationships/hyperlink" Target="https://www.instagram.com/institutommulher/" TargetMode="External"/><Relationship Id="rId965" Type="http://schemas.openxmlformats.org/officeDocument/2006/relationships/hyperlink" Target="https://www.facebook.com/InstitutoMeS" TargetMode="External"/><Relationship Id="rId1150" Type="http://schemas.openxmlformats.org/officeDocument/2006/relationships/hyperlink" Target="https://drive.google.com/open?id=1fHj7OMPKsaViwS7LXB-c6tB6_rmKOMd_" TargetMode="External"/><Relationship Id="rId1388" Type="http://schemas.openxmlformats.org/officeDocument/2006/relationships/hyperlink" Target="https://drive.google.com/open?id=1q-_mso6LE_3cNxTvRsWocCcdf4Z3sRLU" TargetMode="External"/><Relationship Id="rId1595" Type="http://schemas.openxmlformats.org/officeDocument/2006/relationships/hyperlink" Target="https://drive.google.com/open?id=1PaGLjQdknwMbME-QdbPRZzT6Fvjdb9-9" TargetMode="External"/><Relationship Id="rId2439" Type="http://schemas.openxmlformats.org/officeDocument/2006/relationships/hyperlink" Target="https://drive.google.com/open?id=1UjZT1ATJrnQzvwPggQamCp6vdE6mBzGx" TargetMode="External"/><Relationship Id="rId2646" Type="http://schemas.openxmlformats.org/officeDocument/2006/relationships/hyperlink" Target="https://drive.google.com/open?id=1macf4_YK7IOKkZlYoziCGAkN81-0m_02" TargetMode="External"/><Relationship Id="rId94" Type="http://schemas.openxmlformats.org/officeDocument/2006/relationships/hyperlink" Target="https://drive.google.com/open?id=1rXjXbVGbUU9CF9RUZgdH95lfw6GPfTEQ" TargetMode="External"/><Relationship Id="rId520" Type="http://schemas.openxmlformats.org/officeDocument/2006/relationships/hyperlink" Target="https://drive.google.com/open?id=1R_jQA98WJTK0iyg0Tt_PxrforbpKIutk" TargetMode="External"/><Relationship Id="rId618" Type="http://schemas.openxmlformats.org/officeDocument/2006/relationships/hyperlink" Target="https://drive.google.com/open?id=1Uj7dXo4HIE5ktnWiOEeq5g7-5dMzERUu" TargetMode="External"/><Relationship Id="rId825" Type="http://schemas.openxmlformats.org/officeDocument/2006/relationships/hyperlink" Target="https://drive.google.com/open?id=1cOzZFSPD8vobm5nwObPoeUKy_osKnQSt" TargetMode="External"/><Relationship Id="rId1248" Type="http://schemas.openxmlformats.org/officeDocument/2006/relationships/hyperlink" Target="http://www.returnprojects.com/" TargetMode="External"/><Relationship Id="rId1455" Type="http://schemas.openxmlformats.org/officeDocument/2006/relationships/hyperlink" Target="https://drive.google.com/open?id=1R93Ll1IId1AVXf49p5bdSskWX6nhzoQb" TargetMode="External"/><Relationship Id="rId1662" Type="http://schemas.openxmlformats.org/officeDocument/2006/relationships/hyperlink" Target="http://www.pelaruapeloreino.com.br/" TargetMode="External"/><Relationship Id="rId2201" Type="http://schemas.openxmlformats.org/officeDocument/2006/relationships/hyperlink" Target="https://drive.google.com/open?id=1-hyrRl7ekSi2MLBQLlD-fQe9WVaz6dwi" TargetMode="External"/><Relationship Id="rId2506" Type="http://schemas.openxmlformats.org/officeDocument/2006/relationships/hyperlink" Target="https://drive.google.com/open?id=1D4n6fxTfIxYvaDzMcTBEadrhEbGGCeJL" TargetMode="External"/><Relationship Id="rId1010" Type="http://schemas.openxmlformats.org/officeDocument/2006/relationships/hyperlink" Target="https://drive.google.com/open?id=1OZ6CjAYaaPo-EsiVBgQuzzWp94oMj_h9" TargetMode="External"/><Relationship Id="rId1108" Type="http://schemas.openxmlformats.org/officeDocument/2006/relationships/hyperlink" Target="http://www.diamantesnacozinha.org/" TargetMode="External"/><Relationship Id="rId1315" Type="http://schemas.openxmlformats.org/officeDocument/2006/relationships/hyperlink" Target="https://instagram.com/projetovidancar?igshid=YmMyMTA2M2Y=" TargetMode="External"/><Relationship Id="rId1967" Type="http://schemas.openxmlformats.org/officeDocument/2006/relationships/hyperlink" Target="https://m.facebook.com/grupoculturalarautosdogueto/" TargetMode="External"/><Relationship Id="rId2713" Type="http://schemas.openxmlformats.org/officeDocument/2006/relationships/hyperlink" Target="https://drive.google.com/open?id=1r-kSBmY72ttxcErNt4WdlGHbHWrYo-Pz" TargetMode="External"/><Relationship Id="rId1522" Type="http://schemas.openxmlformats.org/officeDocument/2006/relationships/hyperlink" Target="https://drive.google.com/open?id=1Kry9cNvibHnCeJmuhavrww3Jcnz7QNB8" TargetMode="External"/><Relationship Id="rId21" Type="http://schemas.openxmlformats.org/officeDocument/2006/relationships/hyperlink" Target="https://www.facebook.com/tonucci.paulo" TargetMode="External"/><Relationship Id="rId2089" Type="http://schemas.openxmlformats.org/officeDocument/2006/relationships/hyperlink" Target="https://drive.google.com/open?id=1XAWUfiiLHSDEdJ1PBTII5vn60S89RIY1" TargetMode="External"/><Relationship Id="rId2296" Type="http://schemas.openxmlformats.org/officeDocument/2006/relationships/hyperlink" Target="https://www.donaantonia.org.br/" TargetMode="External"/><Relationship Id="rId268" Type="http://schemas.openxmlformats.org/officeDocument/2006/relationships/hyperlink" Target="https://www.instagram.com/p/CQytVRmFpvY/?igshid=YmMyMTA2M2Y=" TargetMode="External"/><Relationship Id="rId475" Type="http://schemas.openxmlformats.org/officeDocument/2006/relationships/hyperlink" Target="https://www.facebook.com/patricia.almeidacarvalho.186/" TargetMode="External"/><Relationship Id="rId682" Type="http://schemas.openxmlformats.org/officeDocument/2006/relationships/hyperlink" Target="https://drive.google.com/open?id=1w2Ie-EroeifQKLVowqlq4Uwp5ftUbkXR" TargetMode="External"/><Relationship Id="rId2156" Type="http://schemas.openxmlformats.org/officeDocument/2006/relationships/hyperlink" Target="https://www.instagram.com/ong.novosherdeiros/?utm_medium=copy_link" TargetMode="External"/><Relationship Id="rId2363" Type="http://schemas.openxmlformats.org/officeDocument/2006/relationships/hyperlink" Target="https://drive.google.com/open?id=1345iboJe8HDOu17dVaVyacwxMXcvLj4z" TargetMode="External"/><Relationship Id="rId2570" Type="http://schemas.openxmlformats.org/officeDocument/2006/relationships/hyperlink" Target="https://drive.google.com/open?id=1DMSCKbPbyjAf2MK2Z7eDt4sQTI3aGTCd" TargetMode="External"/><Relationship Id="rId128" Type="http://schemas.openxmlformats.org/officeDocument/2006/relationships/hyperlink" Target="https://drive.google.com/open?id=1g1InjKW7RgJmLfhDfMxTlq5F5zCyVtI2" TargetMode="External"/><Relationship Id="rId335" Type="http://schemas.openxmlformats.org/officeDocument/2006/relationships/hyperlink" Target="https://drive.google.com/open?id=1XaXmob87bxZO0D3Ay4jzqtn4qPyrK3FJ" TargetMode="External"/><Relationship Id="rId542" Type="http://schemas.openxmlformats.org/officeDocument/2006/relationships/hyperlink" Target="https://drive.google.com/open?id=1oCBwA0n2CIGecL7RPn-_FHxhl-od7Yi_" TargetMode="External"/><Relationship Id="rId1172" Type="http://schemas.openxmlformats.org/officeDocument/2006/relationships/hyperlink" Target="https://drive.google.com/open?id=1tOqdAIIqrajC29wCG5vOqiEbBKj1ftVw" TargetMode="External"/><Relationship Id="rId2016" Type="http://schemas.openxmlformats.org/officeDocument/2006/relationships/hyperlink" Target="https://www.youtube.com/channel/UCQIB0prXKeCc193pcayRKRw" TargetMode="External"/><Relationship Id="rId2223" Type="http://schemas.openxmlformats.org/officeDocument/2006/relationships/hyperlink" Target="https://www.facebook.com/institutoizaiasluzia.org" TargetMode="External"/><Relationship Id="rId2430" Type="http://schemas.openxmlformats.org/officeDocument/2006/relationships/hyperlink" Target="https://www.instagram.com/projetoreconstruir/" TargetMode="External"/><Relationship Id="rId402" Type="http://schemas.openxmlformats.org/officeDocument/2006/relationships/hyperlink" Target="https://drive.google.com/open?id=1lTdoGYzsctCcHD-Si21rs5n9MzH27V28" TargetMode="External"/><Relationship Id="rId1032" Type="http://schemas.openxmlformats.org/officeDocument/2006/relationships/hyperlink" Target="https://www.instagram.com/invites/contact/?i=1n74m66tk8v0d&amp;utm_content=kuoxjdf" TargetMode="External"/><Relationship Id="rId1989" Type="http://schemas.openxmlformats.org/officeDocument/2006/relationships/hyperlink" Target="http://www.umchuteparaofuturo.org.br/" TargetMode="External"/><Relationship Id="rId1849" Type="http://schemas.openxmlformats.org/officeDocument/2006/relationships/hyperlink" Target="https://www.facebook.com/desafiandogigantes11/" TargetMode="External"/><Relationship Id="rId192" Type="http://schemas.openxmlformats.org/officeDocument/2006/relationships/hyperlink" Target="https://drive.google.com/open?id=1A8DPDyh1msff5t_J_hGVj7y1KV6lLpxY" TargetMode="External"/><Relationship Id="rId1709" Type="http://schemas.openxmlformats.org/officeDocument/2006/relationships/hyperlink" Target="https://drive.google.com/open?id=1wzKSsq--eXktH1mTbVF5dybWKSx9LP5u" TargetMode="External"/><Relationship Id="rId1916" Type="http://schemas.openxmlformats.org/officeDocument/2006/relationships/hyperlink" Target="https://www.facebook.com/institutoesperanca2017" TargetMode="External"/><Relationship Id="rId2080" Type="http://schemas.openxmlformats.org/officeDocument/2006/relationships/hyperlink" Target="https://drive.google.com/open?id=1rOaLeyIueL0eiKjzR_4U-JOCihYWA2ml" TargetMode="External"/><Relationship Id="rId869" Type="http://schemas.openxmlformats.org/officeDocument/2006/relationships/hyperlink" Target="https://www.facebook.com/agentesdetransf" TargetMode="External"/><Relationship Id="rId1499" Type="http://schemas.openxmlformats.org/officeDocument/2006/relationships/hyperlink" Target="https://drive.google.com/open?id=1iaFr1wrcvncyuDCXT8nq0bvlgQtiNpZi" TargetMode="External"/><Relationship Id="rId729" Type="http://schemas.openxmlformats.org/officeDocument/2006/relationships/hyperlink" Target="https://drive.google.com/open?id=1zQngLvdC9GVLQD-87ZADDSKltrYnY8g2" TargetMode="External"/><Relationship Id="rId1359" Type="http://schemas.openxmlformats.org/officeDocument/2006/relationships/hyperlink" Target="https://drive.google.com/open?id=1JT0KuXDgnh59xEXOXWAyk8V4lPmsDCWv" TargetMode="External"/><Relationship Id="rId936" Type="http://schemas.openxmlformats.org/officeDocument/2006/relationships/hyperlink" Target="https://drive.google.com/open?id=1kuZ5OexGPWLrVE3XZfRyw0AmDaj10P5J" TargetMode="External"/><Relationship Id="rId1219" Type="http://schemas.openxmlformats.org/officeDocument/2006/relationships/hyperlink" Target="https://www.linkedin.com/in/hugueney-gomes-49b00b84" TargetMode="External"/><Relationship Id="rId1566" Type="http://schemas.openxmlformats.org/officeDocument/2006/relationships/hyperlink" Target="http://facebook.com/raizesdegericino" TargetMode="External"/><Relationship Id="rId1773" Type="http://schemas.openxmlformats.org/officeDocument/2006/relationships/hyperlink" Target="https://www.instagram.com/gibiesporteeducacao/" TargetMode="External"/><Relationship Id="rId1980" Type="http://schemas.openxmlformats.org/officeDocument/2006/relationships/hyperlink" Target="https://www.facebook.com/sete.org" TargetMode="External"/><Relationship Id="rId2617" Type="http://schemas.openxmlformats.org/officeDocument/2006/relationships/hyperlink" Target="https://instagram.com/associacaodespertarsabedoria?igshid=YmMyMTA2M2Y=" TargetMode="External"/><Relationship Id="rId65" Type="http://schemas.openxmlformats.org/officeDocument/2006/relationships/hyperlink" Target="https://drive.google.com/open?id=1qjt56llksZs4iDSVFuJ85SUNcHWELh94" TargetMode="External"/><Relationship Id="rId1426" Type="http://schemas.openxmlformats.org/officeDocument/2006/relationships/hyperlink" Target="https://drive.google.com/open?id=1VHWgmYzsSWYJ5fwCTGNTwRXD9_E0ZjH3" TargetMode="External"/><Relationship Id="rId1633" Type="http://schemas.openxmlformats.org/officeDocument/2006/relationships/hyperlink" Target="https://drive.google.com/open?id=12gDy0hHfgz8UQm1ikQyB5KL3o5xcerEd" TargetMode="External"/><Relationship Id="rId1840" Type="http://schemas.openxmlformats.org/officeDocument/2006/relationships/hyperlink" Target="https://drive.google.com/open?id=1t7Qhz6qBQEMUilAfqOiRxNqRZ80wQ5Rg" TargetMode="External"/><Relationship Id="rId1700" Type="http://schemas.openxmlformats.org/officeDocument/2006/relationships/hyperlink" Target="http://www.instagram.com/institutozedakah" TargetMode="External"/><Relationship Id="rId379" Type="http://schemas.openxmlformats.org/officeDocument/2006/relationships/hyperlink" Target="https://www.instagram.com/amigosdasopa/" TargetMode="External"/><Relationship Id="rId586" Type="http://schemas.openxmlformats.org/officeDocument/2006/relationships/hyperlink" Target="https://instagram.com/idealdoamanha?igshid=YmMyMTA2M2Y=" TargetMode="External"/><Relationship Id="rId793" Type="http://schemas.openxmlformats.org/officeDocument/2006/relationships/hyperlink" Target="http://www.redeacessibilidade.org.br/" TargetMode="External"/><Relationship Id="rId2267" Type="http://schemas.openxmlformats.org/officeDocument/2006/relationships/hyperlink" Target="https://www.youtube.com/user/Casadobeco" TargetMode="External"/><Relationship Id="rId2474" Type="http://schemas.openxmlformats.org/officeDocument/2006/relationships/hyperlink" Target="https://drive.google.com/open?id=1tGaN8lCr8wXjTmXRcZimgtUeQFuDiNt3" TargetMode="External"/><Relationship Id="rId2681" Type="http://schemas.openxmlformats.org/officeDocument/2006/relationships/hyperlink" Target="https://drive.google.com/open?id=11QthSJ5nQUZFq03dUG3jJ5Nr60_iBpV-" TargetMode="External"/><Relationship Id="rId239" Type="http://schemas.openxmlformats.org/officeDocument/2006/relationships/hyperlink" Target="https://drive.google.com/open?id=1EbB0zNjvJddYx1enET7uyQSqpDKeqxzX" TargetMode="External"/><Relationship Id="rId446" Type="http://schemas.openxmlformats.org/officeDocument/2006/relationships/hyperlink" Target="https://drive.google.com/open?id=1j7mMBrSCteRIaAqmqsTuv6H3Rh5L7kzX" TargetMode="External"/><Relationship Id="rId653" Type="http://schemas.openxmlformats.org/officeDocument/2006/relationships/hyperlink" Target="https://www.facebook.com/instituicaosociedadeplural/" TargetMode="External"/><Relationship Id="rId1076" Type="http://schemas.openxmlformats.org/officeDocument/2006/relationships/hyperlink" Target="https://www.facebook.com/craquesdavida" TargetMode="External"/><Relationship Id="rId1283" Type="http://schemas.openxmlformats.org/officeDocument/2006/relationships/hyperlink" Target="https://drive.google.com/open?id=17-VvJwF07PlxVGxOHCJx9Ug5Vfvn1i3b" TargetMode="External"/><Relationship Id="rId1490" Type="http://schemas.openxmlformats.org/officeDocument/2006/relationships/hyperlink" Target="https://drive.google.com/open?id=1K_236ZaMer2_Qe6sTNHQCoYrj6_Nbw79" TargetMode="External"/><Relationship Id="rId2127" Type="http://schemas.openxmlformats.org/officeDocument/2006/relationships/hyperlink" Target="https://drive.google.com/open?id=1wZ8gVWppI-I6VQy6l445dpFxjsJalovx" TargetMode="External"/><Relationship Id="rId2334" Type="http://schemas.openxmlformats.org/officeDocument/2006/relationships/hyperlink" Target="https://drive.google.com/open?id=1FgLHTJPMMP6vOJF81K-C3ddblollYJdP" TargetMode="External"/><Relationship Id="rId306" Type="http://schemas.openxmlformats.org/officeDocument/2006/relationships/hyperlink" Target="https://drive.google.com/open?id=1sXPGvKzR0yDAnqtvvpXAz_OcixVmNSWB" TargetMode="External"/><Relationship Id="rId860" Type="http://schemas.openxmlformats.org/officeDocument/2006/relationships/hyperlink" Target="https://drive.google.com/open?id=1UjeGcXcyVWBqT18Fko91_jmSg0opf-8R" TargetMode="External"/><Relationship Id="rId1143" Type="http://schemas.openxmlformats.org/officeDocument/2006/relationships/hyperlink" Target="https://www.instagram.com/colaicultural/" TargetMode="External"/><Relationship Id="rId2541" Type="http://schemas.openxmlformats.org/officeDocument/2006/relationships/hyperlink" Target="https://www.facebook.com/entreaspasinstituto/" TargetMode="External"/><Relationship Id="rId513" Type="http://schemas.openxmlformats.org/officeDocument/2006/relationships/hyperlink" Target="https://drive.google.com/open?id=1uvwqH9a4tGVjLBhmBRkmXsroecM2urTx" TargetMode="External"/><Relationship Id="rId720" Type="http://schemas.openxmlformats.org/officeDocument/2006/relationships/hyperlink" Target="https://drive.google.com/open?id=1RZ4q7yASN1tLZMP5Eho8zLu3qzeHGMqr" TargetMode="External"/><Relationship Id="rId1350" Type="http://schemas.openxmlformats.org/officeDocument/2006/relationships/hyperlink" Target="https://drive.google.com/open?id=1HiLleJBWVIISMgx237PVEUZ9ml2SFUaN" TargetMode="External"/><Relationship Id="rId2401" Type="http://schemas.openxmlformats.org/officeDocument/2006/relationships/hyperlink" Target="https://www.facebook.com/missaointensidade" TargetMode="External"/><Relationship Id="rId1003" Type="http://schemas.openxmlformats.org/officeDocument/2006/relationships/hyperlink" Target="https://drive.google.com/open?id=1Bb5o-ZHZI34hiLk6oZakfPZbWhoDkW_V" TargetMode="External"/><Relationship Id="rId1210" Type="http://schemas.openxmlformats.org/officeDocument/2006/relationships/hyperlink" Target="https://drive.google.com/open?id=1I77Zp9y4O6FvEaNCACPquItor5UFSjS2" TargetMode="External"/><Relationship Id="rId2191" Type="http://schemas.openxmlformats.org/officeDocument/2006/relationships/hyperlink" Target="https://drive.google.com/open?id=1lHv-uEhzF-4ejQzU2YNWXmVchiVfYvII" TargetMode="External"/><Relationship Id="rId163" Type="http://schemas.openxmlformats.org/officeDocument/2006/relationships/hyperlink" Target="https://drive.google.com/open?id=1HWECnLzHjQtyqH0DfXngiIsm5CJpX_vQ" TargetMode="External"/><Relationship Id="rId370" Type="http://schemas.openxmlformats.org/officeDocument/2006/relationships/hyperlink" Target="https://drive.google.com/open?id=1bA83zZq_n1-zSrMqIG84z9fwq2pWzCnv" TargetMode="External"/><Relationship Id="rId2051" Type="http://schemas.openxmlformats.org/officeDocument/2006/relationships/hyperlink" Target="https://drive.google.com/open?id=1tIHhz7Tva6vQitqDUI42EKz0NL_kOW9a" TargetMode="External"/><Relationship Id="rId230" Type="http://schemas.openxmlformats.org/officeDocument/2006/relationships/hyperlink" Target="https://drive.google.com/open?id=1tu7GeE9OWZIICKrSSQ5ODUPPhj1MCQjG" TargetMode="External"/><Relationship Id="rId1677" Type="http://schemas.openxmlformats.org/officeDocument/2006/relationships/hyperlink" Target="https://www.pratoverdesustentavel.com.br/" TargetMode="External"/><Relationship Id="rId1884" Type="http://schemas.openxmlformats.org/officeDocument/2006/relationships/hyperlink" Target="https://drive.google.com/open?id=1cSbNgNBJh6SRrvigmuJi5mFIB5yud3Q4" TargetMode="External"/><Relationship Id="rId2728" Type="http://schemas.openxmlformats.org/officeDocument/2006/relationships/hyperlink" Target="https://instagram.com/institutodomjf?utm_medium=copy_link" TargetMode="External"/><Relationship Id="rId907" Type="http://schemas.openxmlformats.org/officeDocument/2006/relationships/hyperlink" Target="https://drive.google.com/open?id=1GZwla7q2SZyKYsJepgbxbJbTqnowlw2O" TargetMode="External"/><Relationship Id="rId1537" Type="http://schemas.openxmlformats.org/officeDocument/2006/relationships/hyperlink" Target="https://www.facebook.com/amigosdasolidariedaderj/" TargetMode="External"/><Relationship Id="rId1744" Type="http://schemas.openxmlformats.org/officeDocument/2006/relationships/hyperlink" Target="https://www.facebook.com/coletivovidanova" TargetMode="External"/><Relationship Id="rId1951" Type="http://schemas.openxmlformats.org/officeDocument/2006/relationships/hyperlink" Target="https://www.youtube.com/c/ProjetoMotivar" TargetMode="External"/><Relationship Id="rId36" Type="http://schemas.openxmlformats.org/officeDocument/2006/relationships/hyperlink" Target="https://youtube.com/channel/UC62RIwzBOVX236-YNITnrQw" TargetMode="External"/><Relationship Id="rId1604" Type="http://schemas.openxmlformats.org/officeDocument/2006/relationships/hyperlink" Target="https://identidadeperiferica.org/" TargetMode="External"/><Relationship Id="rId1811" Type="http://schemas.openxmlformats.org/officeDocument/2006/relationships/hyperlink" Target="https://www.facebook.com/ava.floripa" TargetMode="External"/><Relationship Id="rId697" Type="http://schemas.openxmlformats.org/officeDocument/2006/relationships/hyperlink" Target="https://www.facebook.com/ccvnpiam/" TargetMode="External"/><Relationship Id="rId2378" Type="http://schemas.openxmlformats.org/officeDocument/2006/relationships/hyperlink" Target="https://youtu.be/woAj3HNgIGY" TargetMode="External"/><Relationship Id="rId1187" Type="http://schemas.openxmlformats.org/officeDocument/2006/relationships/hyperlink" Target="https://instagram.com/moradoresmontecristo?igshid=YmMyMTA2M2Y=" TargetMode="External"/><Relationship Id="rId2585" Type="http://schemas.openxmlformats.org/officeDocument/2006/relationships/hyperlink" Target="https://www.youtube.com/channel/UCRHKS3KvsscSg1go8dCm8Dw" TargetMode="External"/><Relationship Id="rId557" Type="http://schemas.openxmlformats.org/officeDocument/2006/relationships/hyperlink" Target="https://www.instagram.com/tv/CCBmE3FJ_Df/?utm_source=ig_web_copy_link" TargetMode="External"/><Relationship Id="rId764" Type="http://schemas.openxmlformats.org/officeDocument/2006/relationships/hyperlink" Target="https://drive.google.com/open?id=1FZU9-tn-YurIFsGzVCUwRLdTKwGbxnjK" TargetMode="External"/><Relationship Id="rId971" Type="http://schemas.openxmlformats.org/officeDocument/2006/relationships/hyperlink" Target="https://drive.google.com/open?id=1lmuLbLVcVx-xpE7KRSUXJ3jHo-rrqtJW" TargetMode="External"/><Relationship Id="rId1394" Type="http://schemas.openxmlformats.org/officeDocument/2006/relationships/hyperlink" Target="https://drive.google.com/open?id=1Z6ChG1AgcBTGiif7LeJLKCpL3Um3imy8" TargetMode="External"/><Relationship Id="rId2238" Type="http://schemas.openxmlformats.org/officeDocument/2006/relationships/hyperlink" Target="https://www.youtube.com/watch?v=HZZlojYkEww,https://www.youtube.com/watch?v=-FzruwtwhCw&amp;t=758s" TargetMode="External"/><Relationship Id="rId2445" Type="http://schemas.openxmlformats.org/officeDocument/2006/relationships/hyperlink" Target="https://drive.google.com/open?id=1QRf0HjShqh2Hl-6J3QKltERqED0UM8dB" TargetMode="External"/><Relationship Id="rId2652" Type="http://schemas.openxmlformats.org/officeDocument/2006/relationships/hyperlink" Target="https://l.instagram.com/?u=https%3A%2F%2Fm.facebook.com%2Fprojetobodyboardpara%2F%3Fref%3Dbookmarks&amp;e=ATO1k_MIeNJibr-1SYF8-pyPejAdyo2g1XkNaHEYoxX2AIY-SwyN5vLnGi4UyJXJ-egV3aIx9fKfqVaR-tFajT81bZE86SKPFv7rLA&amp;s=1" TargetMode="External"/><Relationship Id="rId417" Type="http://schemas.openxmlformats.org/officeDocument/2006/relationships/hyperlink" Target="https://www.facebook.com/institutoartecidadania/" TargetMode="External"/><Relationship Id="rId624" Type="http://schemas.openxmlformats.org/officeDocument/2006/relationships/hyperlink" Target="https://www.instagram.com/p/CXrLJFfpoTv/?igshid=YmMyMTA2M2Y=" TargetMode="External"/><Relationship Id="rId831" Type="http://schemas.openxmlformats.org/officeDocument/2006/relationships/hyperlink" Target="https://drive.google.com/open?id=1i23EnM5i54COZwZpaFAC1dhqakL_EWYT" TargetMode="External"/><Relationship Id="rId1047" Type="http://schemas.openxmlformats.org/officeDocument/2006/relationships/hyperlink" Target="https://drive.google.com/open?id=1reEF0qzSwZ85uWjZsUVxHic7rqzfrz8A" TargetMode="External"/><Relationship Id="rId1254" Type="http://schemas.openxmlformats.org/officeDocument/2006/relationships/hyperlink" Target="https://drive.google.com/open?id=1vgXDU2j7vvc0WdNydcN-47vxon7gjMwS" TargetMode="External"/><Relationship Id="rId1461" Type="http://schemas.openxmlformats.org/officeDocument/2006/relationships/hyperlink" Target="https://instagram.com/doa.acao?utm_medium=copy_link" TargetMode="External"/><Relationship Id="rId2305" Type="http://schemas.openxmlformats.org/officeDocument/2006/relationships/hyperlink" Target="https://www.facebook.com/Institutocapoeirasocial/" TargetMode="External"/><Relationship Id="rId2512" Type="http://schemas.openxmlformats.org/officeDocument/2006/relationships/hyperlink" Target="https://instagram.com/gaiiacarandai" TargetMode="External"/><Relationship Id="rId1114" Type="http://schemas.openxmlformats.org/officeDocument/2006/relationships/hyperlink" Target="https://drive.google.com/open?id=1Wm33JTw3hyiJv0ouGXDNgS2aGgyVoyuB" TargetMode="External"/><Relationship Id="rId1321" Type="http://schemas.openxmlformats.org/officeDocument/2006/relationships/hyperlink" Target="https://drive.google.com/open?id=1-rhhxXhAIw7b1Tuy0rjtUdOhWAWTZ_-r" TargetMode="External"/><Relationship Id="rId2095" Type="http://schemas.openxmlformats.org/officeDocument/2006/relationships/hyperlink" Target="https://www.instagram.com/espacotijolinho/" TargetMode="External"/><Relationship Id="rId274" Type="http://schemas.openxmlformats.org/officeDocument/2006/relationships/hyperlink" Target="https://www.instagram.com/nucleodeapoioacomunidades/" TargetMode="External"/><Relationship Id="rId481" Type="http://schemas.openxmlformats.org/officeDocument/2006/relationships/hyperlink" Target="https://drive.google.com/open?id=1DrZlWcvOm_A5G4sZQkfNVF-MlR2MBNjq" TargetMode="External"/><Relationship Id="rId2162" Type="http://schemas.openxmlformats.org/officeDocument/2006/relationships/hyperlink" Target="https://www.youtube.com/channel/UC4geNS3zBY1xBEkbCy8kQKg" TargetMode="External"/><Relationship Id="rId134" Type="http://schemas.openxmlformats.org/officeDocument/2006/relationships/hyperlink" Target="https://drive.google.com/open?id=1WOXTiDuLMOQ66LZhlDKsnobzvfCU4X-5" TargetMode="External"/><Relationship Id="rId341" Type="http://schemas.openxmlformats.org/officeDocument/2006/relationships/hyperlink" Target="https://www.projetoflordelotus.com.br/" TargetMode="External"/><Relationship Id="rId2022" Type="http://schemas.openxmlformats.org/officeDocument/2006/relationships/hyperlink" Target="https://www.youtube.com/c/IACTvWeb" TargetMode="External"/><Relationship Id="rId201" Type="http://schemas.openxmlformats.org/officeDocument/2006/relationships/hyperlink" Target="https://drive.google.com/open?id=1ltm-8ZrnlcuUygIwNwa7e5ZfIf4xJ_XS" TargetMode="External"/><Relationship Id="rId1788" Type="http://schemas.openxmlformats.org/officeDocument/2006/relationships/hyperlink" Target="https://drive.google.com/open?id=1gkoBTGepm7e5QAubpfkR1x7ryFkpxaNZ" TargetMode="External"/><Relationship Id="rId1995" Type="http://schemas.openxmlformats.org/officeDocument/2006/relationships/hyperlink" Target="https://www.instagram.com/amaitirapina/" TargetMode="External"/><Relationship Id="rId1648" Type="http://schemas.openxmlformats.org/officeDocument/2006/relationships/hyperlink" Target="https://www.facebook.com/casadeapoiovidadivinacavd" TargetMode="External"/><Relationship Id="rId1508" Type="http://schemas.openxmlformats.org/officeDocument/2006/relationships/hyperlink" Target="https://instagram.com/casa.sorriso.da.crianca?utm_medium=copy_link" TargetMode="External"/><Relationship Id="rId1855" Type="http://schemas.openxmlformats.org/officeDocument/2006/relationships/hyperlink" Target="https://institutosementinha.wixsite.com/isep" TargetMode="External"/><Relationship Id="rId1715" Type="http://schemas.openxmlformats.org/officeDocument/2006/relationships/hyperlink" Target="http://instagram.com/associacao.de.apoio.a.familia" TargetMode="External"/><Relationship Id="rId1922" Type="http://schemas.openxmlformats.org/officeDocument/2006/relationships/hyperlink" Target="http://www.projetoisac.org.br/" TargetMode="External"/><Relationship Id="rId2489" Type="http://schemas.openxmlformats.org/officeDocument/2006/relationships/hyperlink" Target="https://www.instagram.com/p/CLsPnUJDm-2/?utm_medium=copy_link" TargetMode="External"/><Relationship Id="rId2696" Type="http://schemas.openxmlformats.org/officeDocument/2006/relationships/hyperlink" Target="https://www.instagram.com/ccb_social?r=nametag" TargetMode="External"/><Relationship Id="rId668" Type="http://schemas.openxmlformats.org/officeDocument/2006/relationships/hyperlink" Target="https://youtube.com/channel/UCnmn_2rdYzc-0P68sMPr4Lg" TargetMode="External"/><Relationship Id="rId875" Type="http://schemas.openxmlformats.org/officeDocument/2006/relationships/hyperlink" Target="https://drive.google.com/open?id=1lrqyoBkbK2HhUSRrnBACjhwh_qUz-7Os" TargetMode="External"/><Relationship Id="rId1298" Type="http://schemas.openxmlformats.org/officeDocument/2006/relationships/hyperlink" Target="https://drive.google.com/open?id=1QTMe36rAJvAVjbzf_icQfOGER3IKtcrV" TargetMode="External"/><Relationship Id="rId2349" Type="http://schemas.openxmlformats.org/officeDocument/2006/relationships/hyperlink" Target="https://www.facebook.com/grupo.kyrius/" TargetMode="External"/><Relationship Id="rId2556" Type="http://schemas.openxmlformats.org/officeDocument/2006/relationships/hyperlink" Target="https://drive.google.com/open?id=1QYNXXjOvpxIoyyYOdo5xiUYbtwlav9qc" TargetMode="External"/><Relationship Id="rId528" Type="http://schemas.openxmlformats.org/officeDocument/2006/relationships/hyperlink" Target="https://www.facebook.com/Projetoamigossolidariosacre/" TargetMode="External"/><Relationship Id="rId735" Type="http://schemas.openxmlformats.org/officeDocument/2006/relationships/hyperlink" Target="https://www.instagram.com/educargolandim/" TargetMode="External"/><Relationship Id="rId942" Type="http://schemas.openxmlformats.org/officeDocument/2006/relationships/hyperlink" Target="https://cnpj.biz/10734234000116" TargetMode="External"/><Relationship Id="rId1158" Type="http://schemas.openxmlformats.org/officeDocument/2006/relationships/hyperlink" Target="https://drive.google.com/open?id=1ZCnEDRtpTCJP11AinqEMOlh5J3m4bGs_" TargetMode="External"/><Relationship Id="rId1365" Type="http://schemas.openxmlformats.org/officeDocument/2006/relationships/hyperlink" Target="https://www.casamaeafrica.org/" TargetMode="External"/><Relationship Id="rId1572" Type="http://schemas.openxmlformats.org/officeDocument/2006/relationships/hyperlink" Target="https://drive.google.com/open?id=1U_4EwpVWG1h41EOkWZKNmi5nHukb53n_" TargetMode="External"/><Relationship Id="rId2209" Type="http://schemas.openxmlformats.org/officeDocument/2006/relationships/hyperlink" Target="https://drive.google.com/open?id=1RG2xa868Q6QWmEmYoTvXtPqKm-dWtoQq" TargetMode="External"/><Relationship Id="rId2416" Type="http://schemas.openxmlformats.org/officeDocument/2006/relationships/hyperlink" Target="https://drive.google.com/open?id=1VybRgD5pXBFE-u6lbr8GHCFkYzdX_n10" TargetMode="External"/><Relationship Id="rId2623" Type="http://schemas.openxmlformats.org/officeDocument/2006/relationships/hyperlink" Target="https://drive.google.com/open?id=1_2cYL7iVkZU6k9x4U_vipC4eGvt3RjLD" TargetMode="External"/><Relationship Id="rId1018" Type="http://schemas.openxmlformats.org/officeDocument/2006/relationships/hyperlink" Target="https://drive.google.com/open?id=1FHXaFrdqUK0aQTkx7ELOIZxf-ldfakIB" TargetMode="External"/><Relationship Id="rId1225" Type="http://schemas.openxmlformats.org/officeDocument/2006/relationships/hyperlink" Target="https://drive.google.com/open?id=1I0N-IrqxrKJXQscRJjZXPWi6wGNxrOFs" TargetMode="External"/><Relationship Id="rId1432" Type="http://schemas.openxmlformats.org/officeDocument/2006/relationships/hyperlink" Target="https://www.instagram.com/projetocanudos/" TargetMode="External"/><Relationship Id="rId71" Type="http://schemas.openxmlformats.org/officeDocument/2006/relationships/hyperlink" Target="https://drive.google.com/open?id=15rerOTTpvxCGSH-6swnJ7lnzcMlU7ZGZ" TargetMode="External"/><Relationship Id="rId802" Type="http://schemas.openxmlformats.org/officeDocument/2006/relationships/hyperlink" Target="https://drive.google.com/open?id=1jTkzyoYDes3i7ZMSat2GzYMqb2pw6PZO" TargetMode="External"/><Relationship Id="rId178" Type="http://schemas.openxmlformats.org/officeDocument/2006/relationships/hyperlink" Target="https://www.youtube.com/channel/UCfiYANj_M9KMBtJz4wbSz3A" TargetMode="External"/><Relationship Id="rId385" Type="http://schemas.openxmlformats.org/officeDocument/2006/relationships/hyperlink" Target="https://drive.google.com/open?id=1u3HJ_CkuwbnzlvwTSG-LohRZoI9KrtE6" TargetMode="External"/><Relationship Id="rId592" Type="http://schemas.openxmlformats.org/officeDocument/2006/relationships/hyperlink" Target="https://drive.google.com/open?id=1_X52gf3fah0TXfCnxAxUt9O-58CLIvao" TargetMode="External"/><Relationship Id="rId2066" Type="http://schemas.openxmlformats.org/officeDocument/2006/relationships/hyperlink" Target="https://drive.google.com/open?id=1lVIQqHIvuxv4oWWNc4AiXeYiAI8WT0Rb" TargetMode="External"/><Relationship Id="rId2273" Type="http://schemas.openxmlformats.org/officeDocument/2006/relationships/hyperlink" Target="https://drive.google.com/open?id=17CebyqAkj849kAe48V095Fds_Cr1VpI1" TargetMode="External"/><Relationship Id="rId2480" Type="http://schemas.openxmlformats.org/officeDocument/2006/relationships/hyperlink" Target="https://www.facebook.com/profile.php?id=100016750202918" TargetMode="External"/><Relationship Id="rId245" Type="http://schemas.openxmlformats.org/officeDocument/2006/relationships/hyperlink" Target="https://drive.google.com/open?id=152tX9BrDM8LUl3Fk3RbC_tmXtpQ_zzat" TargetMode="External"/><Relationship Id="rId452" Type="http://schemas.openxmlformats.org/officeDocument/2006/relationships/hyperlink" Target="https://www.facebook.com/UPPVCOMUNIDADE" TargetMode="External"/><Relationship Id="rId1082" Type="http://schemas.openxmlformats.org/officeDocument/2006/relationships/hyperlink" Target="https://www.instagram.com/topclubxadrez" TargetMode="External"/><Relationship Id="rId2133" Type="http://schemas.openxmlformats.org/officeDocument/2006/relationships/hyperlink" Target="https://www.instagram.com/ascendendomentes/" TargetMode="External"/><Relationship Id="rId2340" Type="http://schemas.openxmlformats.org/officeDocument/2006/relationships/hyperlink" Target="https://drive.google.com/open?id=1Yge0VSiP15O66SbP3NLCd-VwyIZNiPqx" TargetMode="External"/><Relationship Id="rId105" Type="http://schemas.openxmlformats.org/officeDocument/2006/relationships/hyperlink" Target="https://www.instagram.com/invites/contact/?i=28j8f2tozi5i&amp;utm_content=3nj1sor" TargetMode="External"/><Relationship Id="rId312" Type="http://schemas.openxmlformats.org/officeDocument/2006/relationships/hyperlink" Target="https://drive.google.com/open?id=1HaAvxKEBdcyC0uwf7euufF6EBTtiK8BT" TargetMode="External"/><Relationship Id="rId2200" Type="http://schemas.openxmlformats.org/officeDocument/2006/relationships/hyperlink" Target="https://drive.google.com/open?id=1__r_mrMMatinO4d0BiO6I-a1VFXrHL_j" TargetMode="External"/><Relationship Id="rId1899" Type="http://schemas.openxmlformats.org/officeDocument/2006/relationships/hyperlink" Target="https://www.facebook.com/BATUCARTE/" TargetMode="External"/><Relationship Id="rId1759" Type="http://schemas.openxmlformats.org/officeDocument/2006/relationships/hyperlink" Target="https://drive.google.com/open?id=1uDlRvHOnlsVFI1FfOju8H-jcLIA6apFc" TargetMode="External"/><Relationship Id="rId1966" Type="http://schemas.openxmlformats.org/officeDocument/2006/relationships/hyperlink" Target="https://instagram.com/arautosdogueto?utm_medium=copy_link" TargetMode="External"/><Relationship Id="rId1619" Type="http://schemas.openxmlformats.org/officeDocument/2006/relationships/hyperlink" Target="https://instagram.com/projetofilhoscampinas" TargetMode="External"/><Relationship Id="rId1826" Type="http://schemas.openxmlformats.org/officeDocument/2006/relationships/hyperlink" Target="http://www.instagram.com.br/projetocerzindo" TargetMode="External"/><Relationship Id="rId779" Type="http://schemas.openxmlformats.org/officeDocument/2006/relationships/hyperlink" Target="https://instagram.com/instituto_atitude?igshid=YmMyMTA2M2Y=" TargetMode="External"/><Relationship Id="rId986" Type="http://schemas.openxmlformats.org/officeDocument/2006/relationships/hyperlink" Target="https://www.facebook.com/profile.php?id=100011582080537" TargetMode="External"/><Relationship Id="rId2667" Type="http://schemas.openxmlformats.org/officeDocument/2006/relationships/hyperlink" Target="https://www.linkedin.com/company/projetodinamus-ong" TargetMode="External"/><Relationship Id="rId639" Type="http://schemas.openxmlformats.org/officeDocument/2006/relationships/hyperlink" Target="https://drive.google.com/open?id=1N3xB3G6NZR1F-WkXXtwhR78evlq-JDUT" TargetMode="External"/><Relationship Id="rId1269" Type="http://schemas.openxmlformats.org/officeDocument/2006/relationships/hyperlink" Target="https://drive.google.com/open?id=1XiE4Gr_O-zjCY0zcVN6qD3Pfxw9h82_6" TargetMode="External"/><Relationship Id="rId1476" Type="http://schemas.openxmlformats.org/officeDocument/2006/relationships/hyperlink" Target="https://drive.google.com/open?id=1dgw9jhwT7s__ycaR2xCopjvH7QU1Uxxj" TargetMode="External"/><Relationship Id="rId846" Type="http://schemas.openxmlformats.org/officeDocument/2006/relationships/hyperlink" Target="http://usinadosatos.org.br/" TargetMode="External"/><Relationship Id="rId1129" Type="http://schemas.openxmlformats.org/officeDocument/2006/relationships/hyperlink" Target="https://drive.google.com/open?id=1MCI7bxYK-s9tZaH4RS9koMtJf0YQVbi6" TargetMode="External"/><Relationship Id="rId1683" Type="http://schemas.openxmlformats.org/officeDocument/2006/relationships/hyperlink" Target="https://drive.google.com/open?id=1fbJVu7uYWkeIdTszrJC0AZ8jLBJVS_Vg" TargetMode="External"/><Relationship Id="rId1890" Type="http://schemas.openxmlformats.org/officeDocument/2006/relationships/hyperlink" Target="https://drive.google.com/open?id=1wZCqxvh4HJaKnbvrFPavrgrQY5zvy43D" TargetMode="External"/><Relationship Id="rId2527" Type="http://schemas.openxmlformats.org/officeDocument/2006/relationships/hyperlink" Target="https://drive.google.com/open?id=1z1ZLmfH3pn6eefLIwuWApfbdVaoXEyky" TargetMode="External"/><Relationship Id="rId2734" Type="http://schemas.openxmlformats.org/officeDocument/2006/relationships/hyperlink" Target="https://drive.google.com/open?id=1rTKD_6SgxBmfHOrQysISrNKFN5J8XS-7" TargetMode="External"/><Relationship Id="rId706" Type="http://schemas.openxmlformats.org/officeDocument/2006/relationships/hyperlink" Target="https://www.facebook.com/varanda.literaria.58" TargetMode="External"/><Relationship Id="rId913" Type="http://schemas.openxmlformats.org/officeDocument/2006/relationships/hyperlink" Target="https://www.facebook.com/Jacar%C3%A9-Basquete-102052072240801" TargetMode="External"/><Relationship Id="rId1336" Type="http://schemas.openxmlformats.org/officeDocument/2006/relationships/hyperlink" Target="https://www.youtube.com/channel/UCstCrAMwkAHxT9uj9skGL3w" TargetMode="External"/><Relationship Id="rId1543" Type="http://schemas.openxmlformats.org/officeDocument/2006/relationships/hyperlink" Target="https://www.google.com/url?sa=t&amp;source=web&amp;rct=j&amp;url=https://www.instagram.com/institutoepossivelsonhar/&amp;ved=2ahUKEwjjy67m0PP2AhVyjJUCHSGxCm8Qjjh6BAhMEAE&amp;usg=AOvVaw25_GqQQWpz7a977qt_nJd9" TargetMode="External"/><Relationship Id="rId1750" Type="http://schemas.openxmlformats.org/officeDocument/2006/relationships/hyperlink" Target="https://drive.google.com/open?id=1s6d2Hvc1QxM3XmFI3GxlOAFs4k5Ed9l5" TargetMode="External"/><Relationship Id="rId42" Type="http://schemas.openxmlformats.org/officeDocument/2006/relationships/hyperlink" Target="https://drive.google.com/open?id=1kne64v8yexv4wlBAkqVdjbQa_8zk8nKR" TargetMode="External"/><Relationship Id="rId1403" Type="http://schemas.openxmlformats.org/officeDocument/2006/relationships/hyperlink" Target="https://instagram.com/ofamoraoproximo?utm_medium=copy_link" TargetMode="External"/><Relationship Id="rId1610" Type="http://schemas.openxmlformats.org/officeDocument/2006/relationships/hyperlink" Target="https://instagram.com/samuel.soares.716195?utm_medium=copy_link" TargetMode="External"/><Relationship Id="rId289" Type="http://schemas.openxmlformats.org/officeDocument/2006/relationships/hyperlink" Target="https://drive.google.com/open?id=1FdMdTj2e_WKSOUHd-cE2i-xv-bWtmkTj" TargetMode="External"/><Relationship Id="rId496" Type="http://schemas.openxmlformats.org/officeDocument/2006/relationships/hyperlink" Target="https://www.instagram.com/mocambique_estrela_guia/" TargetMode="External"/><Relationship Id="rId2177" Type="http://schemas.openxmlformats.org/officeDocument/2006/relationships/hyperlink" Target="https://youtube.com/channel/UCLzE3HXHsjQHyEazBWbuWNw" TargetMode="External"/><Relationship Id="rId2384" Type="http://schemas.openxmlformats.org/officeDocument/2006/relationships/hyperlink" Target="https://www.instagram.com/oficinadoesporte/" TargetMode="External"/><Relationship Id="rId2591" Type="http://schemas.openxmlformats.org/officeDocument/2006/relationships/hyperlink" Target="https://drive.google.com/open?id=1R7P1kKE1jU_3k5_CIFVmyVCsEmpsCG26" TargetMode="External"/><Relationship Id="rId149" Type="http://schemas.openxmlformats.org/officeDocument/2006/relationships/hyperlink" Target="https://drive.google.com/open?id=1SIhFFJ6vgwpktlbl_rrOf3WGNkK38Mrj" TargetMode="External"/><Relationship Id="rId356" Type="http://schemas.openxmlformats.org/officeDocument/2006/relationships/hyperlink" Target="https://drive.google.com/open?id=18Zoio3vXPpMKIXZmigQOxt7-ekcoFobE" TargetMode="External"/><Relationship Id="rId563" Type="http://schemas.openxmlformats.org/officeDocument/2006/relationships/hyperlink" Target="http://abraoporta.org/" TargetMode="External"/><Relationship Id="rId770" Type="http://schemas.openxmlformats.org/officeDocument/2006/relationships/hyperlink" Target="https://www.maisquepalavraseditora.com.br/" TargetMode="External"/><Relationship Id="rId1193" Type="http://schemas.openxmlformats.org/officeDocument/2006/relationships/hyperlink" Target="https://drive.google.com/open?id=1Luy66K_r2hi-Xqn15sZdw4l1bjLFh2yd" TargetMode="External"/><Relationship Id="rId2037" Type="http://schemas.openxmlformats.org/officeDocument/2006/relationships/hyperlink" Target="https://www.instagram.com/gerandofalcoes/" TargetMode="External"/><Relationship Id="rId2244" Type="http://schemas.openxmlformats.org/officeDocument/2006/relationships/hyperlink" Target="https://drive.google.com/open?id=1RCeu5vClPdbPV07mxkHM01EfS5xNt5c5" TargetMode="External"/><Relationship Id="rId2451" Type="http://schemas.openxmlformats.org/officeDocument/2006/relationships/hyperlink" Target="https://drive.google.com/open?id=1sPrp0ULcUKX0VIuJd8-OexvfDuAViL-g" TargetMode="External"/><Relationship Id="rId216" Type="http://schemas.openxmlformats.org/officeDocument/2006/relationships/hyperlink" Target="https://drive.google.com/open?id=18Vv0mEqk9jUtAfSIqYOmIHeObP2Frp5N" TargetMode="External"/><Relationship Id="rId423" Type="http://schemas.openxmlformats.org/officeDocument/2006/relationships/hyperlink" Target="https://drive.google.com/open?id=1mYM0i0qbwh33z1LnlO_yf6sDTvST0mkn" TargetMode="External"/><Relationship Id="rId1053" Type="http://schemas.openxmlformats.org/officeDocument/2006/relationships/hyperlink" Target="https://drive.google.com/open?id=1mh8FOdzUwcmJuaOGM5HoGvw2YGMlSU2E" TargetMode="External"/><Relationship Id="rId1260" Type="http://schemas.openxmlformats.org/officeDocument/2006/relationships/hyperlink" Target="https://www.facebook.com/institutoconforme/" TargetMode="External"/><Relationship Id="rId2104" Type="http://schemas.openxmlformats.org/officeDocument/2006/relationships/hyperlink" Target="https://drive.google.com/open?id=1FU4HeeqNAlTe43SMnFfUhnFMtW6Yn71h" TargetMode="External"/><Relationship Id="rId630" Type="http://schemas.openxmlformats.org/officeDocument/2006/relationships/hyperlink" Target="https://drive.google.com/open?id=1DD-kZjnjsyPwIC5ufdmzVMUKk1w8FsFO" TargetMode="External"/><Relationship Id="rId2311" Type="http://schemas.openxmlformats.org/officeDocument/2006/relationships/hyperlink" Target="https://www.instagram.com/institutoeducamaisesporte/" TargetMode="External"/><Relationship Id="rId1120" Type="http://schemas.openxmlformats.org/officeDocument/2006/relationships/hyperlink" Target="https://facebook.com/matriarcasemacao" TargetMode="External"/><Relationship Id="rId1937" Type="http://schemas.openxmlformats.org/officeDocument/2006/relationships/hyperlink" Target="https://m.facebook.com/maes.gentis" TargetMode="External"/><Relationship Id="rId280" Type="http://schemas.openxmlformats.org/officeDocument/2006/relationships/hyperlink" Target="https://drive.google.com/open?id=1AsAiHfsPsRDg05dAPKGnPI2q4oDI22e1" TargetMode="External"/><Relationship Id="rId140" Type="http://schemas.openxmlformats.org/officeDocument/2006/relationships/hyperlink" Target="https://www.instagram.com/ong.aicc/" TargetMode="External"/><Relationship Id="rId6" Type="http://schemas.openxmlformats.org/officeDocument/2006/relationships/hyperlink" Target="http://www.facebook.com/organizacaoleec" TargetMode="External"/><Relationship Id="rId957" Type="http://schemas.openxmlformats.org/officeDocument/2006/relationships/hyperlink" Target="https://drive.google.com/open?id=1eNE4bH1PpZkD02G9V4MoS2bt8q47ePcv" TargetMode="External"/><Relationship Id="rId1587" Type="http://schemas.openxmlformats.org/officeDocument/2006/relationships/hyperlink" Target="https://drive.google.com/open?id=1koLLQkJ-ffZjweW46eXYJ6-0pCSmW4Ff" TargetMode="External"/><Relationship Id="rId1794" Type="http://schemas.openxmlformats.org/officeDocument/2006/relationships/hyperlink" Target="https://www.caefa.org.br/" TargetMode="External"/><Relationship Id="rId2638" Type="http://schemas.openxmlformats.org/officeDocument/2006/relationships/hyperlink" Target="https://drive.google.com/open?id=1WIRwiiaqBeaMZUpu5OSwSoc1_cJugAwY" TargetMode="External"/><Relationship Id="rId86" Type="http://schemas.openxmlformats.org/officeDocument/2006/relationships/hyperlink" Target="https://drive.google.com/open?id=1dEMVaNndg8QYqjHJ1tFdUMTuGTOwIWT1" TargetMode="External"/><Relationship Id="rId817" Type="http://schemas.openxmlformats.org/officeDocument/2006/relationships/hyperlink" Target="https://drive.google.com/open?id=1aaIBBjJZqbnVibASjw2x5pNzsYWQtz_d" TargetMode="External"/><Relationship Id="rId1447" Type="http://schemas.openxmlformats.org/officeDocument/2006/relationships/hyperlink" Target="https://instagram.com/tererekidsproject?utm_medium=copy_link" TargetMode="External"/><Relationship Id="rId1654" Type="http://schemas.openxmlformats.org/officeDocument/2006/relationships/hyperlink" Target="https://www.facebook.com/umanovachance.aracati" TargetMode="External"/><Relationship Id="rId1861" Type="http://schemas.openxmlformats.org/officeDocument/2006/relationships/hyperlink" Target="http://www.coresdoamanha.com.br/" TargetMode="External"/><Relationship Id="rId2705" Type="http://schemas.openxmlformats.org/officeDocument/2006/relationships/hyperlink" Target="https://instagram.com/projetoswell?utm_medium=copy_link" TargetMode="External"/><Relationship Id="rId1307" Type="http://schemas.openxmlformats.org/officeDocument/2006/relationships/hyperlink" Target="https://youtube.com/user/institutolira" TargetMode="External"/><Relationship Id="rId1514" Type="http://schemas.openxmlformats.org/officeDocument/2006/relationships/hyperlink" Target="https://drive.google.com/open?id=1yI5UO6hXoddgJRahCX2evYIabOjSGda_" TargetMode="External"/><Relationship Id="rId1721" Type="http://schemas.openxmlformats.org/officeDocument/2006/relationships/hyperlink" Target="https://drive.google.com/open?id=1XrwALwTHCbVoqn8FYzK0uZyVIsyPYIro" TargetMode="External"/><Relationship Id="rId13" Type="http://schemas.openxmlformats.org/officeDocument/2006/relationships/hyperlink" Target="https://www.facebook.com/coletivomdc" TargetMode="External"/><Relationship Id="rId2288" Type="http://schemas.openxmlformats.org/officeDocument/2006/relationships/hyperlink" Target="https://www.facebook.com/associacaopontoevirgulaoficial" TargetMode="External"/><Relationship Id="rId2495" Type="http://schemas.openxmlformats.org/officeDocument/2006/relationships/hyperlink" Target="https://drive.google.com/open?id=1IY1wTEutS6TaDqK7jClkTZndDGmb2d2O" TargetMode="External"/><Relationship Id="rId467" Type="http://schemas.openxmlformats.org/officeDocument/2006/relationships/hyperlink" Target="http://www.institutokaleo.org/" TargetMode="External"/><Relationship Id="rId1097" Type="http://schemas.openxmlformats.org/officeDocument/2006/relationships/hyperlink" Target="https://drive.google.com/open?id=1fWubLyOt9UEA5_pSrBrAgfwYVQ2b7FzF" TargetMode="External"/><Relationship Id="rId2148" Type="http://schemas.openxmlformats.org/officeDocument/2006/relationships/hyperlink" Target="https://drive.google.com/open?id=1ga3IF2KYaadnZZJ9FKyfZu38wjecUDHj" TargetMode="External"/><Relationship Id="rId674" Type="http://schemas.openxmlformats.org/officeDocument/2006/relationships/hyperlink" Target="https://drive.google.com/open?id=1b5AFc3MCegO3pnEPnxZfVo6O4a-zwy2Z" TargetMode="External"/><Relationship Id="rId881" Type="http://schemas.openxmlformats.org/officeDocument/2006/relationships/hyperlink" Target="https://www.facebook.com/institutonawa" TargetMode="External"/><Relationship Id="rId2355" Type="http://schemas.openxmlformats.org/officeDocument/2006/relationships/hyperlink" Target="https://drive.google.com/open?id=1sVSGsKaBePwZDlHp4YtWwgouo2IRtCXA" TargetMode="External"/><Relationship Id="rId2562" Type="http://schemas.openxmlformats.org/officeDocument/2006/relationships/hyperlink" Target="https://drive.google.com/open?id=1bsG-EIBi4VrqQ8ogB3beY9mkKl7J2R2H" TargetMode="External"/><Relationship Id="rId327" Type="http://schemas.openxmlformats.org/officeDocument/2006/relationships/hyperlink" Target="https://drive.google.com/open?id=1OdbrS6KT3i7TNxsrPXISSZaAS-ECrmhq" TargetMode="External"/><Relationship Id="rId534" Type="http://schemas.openxmlformats.org/officeDocument/2006/relationships/hyperlink" Target="http://www.facebook.com/OficialAmunam" TargetMode="External"/><Relationship Id="rId741" Type="http://schemas.openxmlformats.org/officeDocument/2006/relationships/hyperlink" Target="https://drive.google.com/open?id=1nguM_NvDBr2wLDj2j2Ew8aBDizmwEHR2" TargetMode="External"/><Relationship Id="rId1164" Type="http://schemas.openxmlformats.org/officeDocument/2006/relationships/hyperlink" Target="https://www.facebook.com/nelson.mendesgouveajunior" TargetMode="External"/><Relationship Id="rId1371" Type="http://schemas.openxmlformats.org/officeDocument/2006/relationships/hyperlink" Target="https://drive.google.com/open?id=1zKg5_dHouG3TNrbyquP-cwoHuKxREkAn" TargetMode="External"/><Relationship Id="rId2008" Type="http://schemas.openxmlformats.org/officeDocument/2006/relationships/hyperlink" Target="http://www.facebook.com/SementesdoVale" TargetMode="External"/><Relationship Id="rId2215" Type="http://schemas.openxmlformats.org/officeDocument/2006/relationships/hyperlink" Target="https://www.vidanca.org.br/" TargetMode="External"/><Relationship Id="rId2422" Type="http://schemas.openxmlformats.org/officeDocument/2006/relationships/hyperlink" Target="https://m.facebook.com/story.php?story_fbid=926957197883641&amp;id=100017081089107" TargetMode="External"/><Relationship Id="rId601" Type="http://schemas.openxmlformats.org/officeDocument/2006/relationships/hyperlink" Target="https://drive.google.com/open?id=1KA-C7-Jdv8_YxYnMi7ApAcw0VCvwRt1H" TargetMode="External"/><Relationship Id="rId1024" Type="http://schemas.openxmlformats.org/officeDocument/2006/relationships/hyperlink" Target="https://drive.google.com/open?id=1QiXTzCUfy5o3IhZO5-ZjdWROlhyq-p0j" TargetMode="External"/><Relationship Id="rId1231" Type="http://schemas.openxmlformats.org/officeDocument/2006/relationships/hyperlink" Target="https://drive.google.com/open?id=1lQhvsjQq65XHB11ZunpBAbIEpElFclB-" TargetMode="External"/><Relationship Id="rId184" Type="http://schemas.openxmlformats.org/officeDocument/2006/relationships/hyperlink" Target="https://www.bing.com/search?q=%40conselhouberaba&amp;cvid=dfee1535e9b94f16905c579e579e4d11&amp;aqs=edge..69i57j69i60.15180j0j1&amp;pglt=43&amp;FORM=ANNTA1&amp;PC=HCTS" TargetMode="External"/><Relationship Id="rId391" Type="http://schemas.openxmlformats.org/officeDocument/2006/relationships/hyperlink" Target="http://www.institutodonamaria.org/" TargetMode="External"/><Relationship Id="rId1908" Type="http://schemas.openxmlformats.org/officeDocument/2006/relationships/hyperlink" Target="https://drive.google.com/open?id=1d-n75QInyn2Cf-RVMCflaS8U0FfxGV4u" TargetMode="External"/><Relationship Id="rId2072" Type="http://schemas.openxmlformats.org/officeDocument/2006/relationships/hyperlink" Target="https://drive.google.com/open?id=1_4bwYlxtn29A_hFUvFVmoWW5dH7MUCqT" TargetMode="External"/><Relationship Id="rId251" Type="http://schemas.openxmlformats.org/officeDocument/2006/relationships/hyperlink" Target="https://drive.google.com/open?id=1g9F7-_3GT-dcyuWy6TuXiOaBtd3Ev4fg" TargetMode="External"/><Relationship Id="rId111" Type="http://schemas.openxmlformats.org/officeDocument/2006/relationships/hyperlink" Target="https://ascbjbr.wixsite.com/ascbj" TargetMode="External"/><Relationship Id="rId1698" Type="http://schemas.openxmlformats.org/officeDocument/2006/relationships/hyperlink" Target="https://drive.google.com/open?id=1JLkc6WnIplYREDBDYjakRzKtcWjZWbgM" TargetMode="External"/><Relationship Id="rId928" Type="http://schemas.openxmlformats.org/officeDocument/2006/relationships/hyperlink" Target="https://drive.google.com/open?id=1cfkrTumCAWL89xPXqsM2DWAM9D0tyu88" TargetMode="External"/><Relationship Id="rId1558" Type="http://schemas.openxmlformats.org/officeDocument/2006/relationships/hyperlink" Target="https://www.facebook.com/fjtb.oficial" TargetMode="External"/><Relationship Id="rId1765" Type="http://schemas.openxmlformats.org/officeDocument/2006/relationships/hyperlink" Target="https://drive.google.com/open?id=1HxwiZTNkXnMEQV66LzD-0p4ynjJey0vh" TargetMode="External"/><Relationship Id="rId2609" Type="http://schemas.openxmlformats.org/officeDocument/2006/relationships/hyperlink" Target="https://drive.google.com/open?id=1RmgjtGZg2LZo1-EgJjs1gKErokuvDRiB" TargetMode="External"/><Relationship Id="rId57" Type="http://schemas.openxmlformats.org/officeDocument/2006/relationships/hyperlink" Target="https://drive.google.com/open?id=1HkD9LngZX4BFsGQ31Cb7z8S_VPWx5yjF" TargetMode="External"/><Relationship Id="rId1418" Type="http://schemas.openxmlformats.org/officeDocument/2006/relationships/hyperlink" Target="https://www.facebook.com/angudasartes" TargetMode="External"/><Relationship Id="rId1972" Type="http://schemas.openxmlformats.org/officeDocument/2006/relationships/hyperlink" Target="https://www.facebook.com/coresdomara" TargetMode="External"/><Relationship Id="rId1625" Type="http://schemas.openxmlformats.org/officeDocument/2006/relationships/hyperlink" Target="https://instagram.com/impactacao.social?igshid=78bok3lfo1lb" TargetMode="External"/><Relationship Id="rId1832" Type="http://schemas.openxmlformats.org/officeDocument/2006/relationships/hyperlink" Target="http://www.instagram.com/instituto_promais" TargetMode="External"/><Relationship Id="rId2399" Type="http://schemas.openxmlformats.org/officeDocument/2006/relationships/hyperlink" Target="https://missaointensidade.org.br/" TargetMode="External"/><Relationship Id="rId578" Type="http://schemas.openxmlformats.org/officeDocument/2006/relationships/hyperlink" Target="https://drive.google.com/open?id=1foZ9BClLBwBWwqIJR5L5Cl4VSs0Z9UZc" TargetMode="External"/><Relationship Id="rId785" Type="http://schemas.openxmlformats.org/officeDocument/2006/relationships/hyperlink" Target="https://drive.google.com/open?id=1bnlUiVqIn5MgROpbQs74erlcJk8gLDzW" TargetMode="External"/><Relationship Id="rId992" Type="http://schemas.openxmlformats.org/officeDocument/2006/relationships/hyperlink" Target="https://instagram.com/institutotiaflavia?igshid=YmMyMTA2M2Y=" TargetMode="External"/><Relationship Id="rId2259" Type="http://schemas.openxmlformats.org/officeDocument/2006/relationships/hyperlink" Target="https://www.youtube.com/channel/UCnAPxmDcZapWY0nPTvxNRBA" TargetMode="External"/><Relationship Id="rId2466" Type="http://schemas.openxmlformats.org/officeDocument/2006/relationships/hyperlink" Target="https://www.facebook.com/resilienteslum" TargetMode="External"/><Relationship Id="rId2673" Type="http://schemas.openxmlformats.org/officeDocument/2006/relationships/hyperlink" Target="https://drive.google.com/open?id=1VgMeaFS7APPgfwNbobCCBr-urd4gg_k8" TargetMode="External"/><Relationship Id="rId438" Type="http://schemas.openxmlformats.org/officeDocument/2006/relationships/hyperlink" Target="https://drive.google.com/open?id=1yevDV7H4bE-ma8UvSmwzWDTXwaoWvL8N" TargetMode="External"/><Relationship Id="rId645" Type="http://schemas.openxmlformats.org/officeDocument/2006/relationships/hyperlink" Target="https://www.instagram.com/sementeprofissional/" TargetMode="External"/><Relationship Id="rId852" Type="http://schemas.openxmlformats.org/officeDocument/2006/relationships/hyperlink" Target="http://www.cren.org.br/" TargetMode="External"/><Relationship Id="rId1068" Type="http://schemas.openxmlformats.org/officeDocument/2006/relationships/hyperlink" Target="https://drive.google.com/open?id=1XZOZUhCl5hSjtsepdKx6d3WQgfxaNHoL" TargetMode="External"/><Relationship Id="rId1275" Type="http://schemas.openxmlformats.org/officeDocument/2006/relationships/hyperlink" Target="https://drive.google.com/open?id=1SoZEkVXk0bpEXRkg3KGLHnRhwCVjUL2E" TargetMode="External"/><Relationship Id="rId1482" Type="http://schemas.openxmlformats.org/officeDocument/2006/relationships/hyperlink" Target="http://ongneac.org.br/" TargetMode="External"/><Relationship Id="rId2119" Type="http://schemas.openxmlformats.org/officeDocument/2006/relationships/hyperlink" Target="https://drive.google.com/open?id=1E0B-wLe_ABdaxQ_DTkQG-Ga1Q7fnPg1_" TargetMode="External"/><Relationship Id="rId2326" Type="http://schemas.openxmlformats.org/officeDocument/2006/relationships/hyperlink" Target="https://drive.google.com/open?id=10CnIaKqB7aFh3e3p26eqfQ5Q8hKjIuK5" TargetMode="External"/><Relationship Id="rId2533" Type="http://schemas.openxmlformats.org/officeDocument/2006/relationships/hyperlink" Target="https://www.facebook.com/motirocoletivo/" TargetMode="External"/><Relationship Id="rId505" Type="http://schemas.openxmlformats.org/officeDocument/2006/relationships/hyperlink" Target="https://drive.google.com/open?id=1UjSz99AkTdcX-2VCRM-SbMd28Cf5-gCg" TargetMode="External"/><Relationship Id="rId712" Type="http://schemas.openxmlformats.org/officeDocument/2006/relationships/hyperlink" Target="https://drive.google.com/open?id=1LT68K6XoxZxMjd5XG3M8HEU0RjMig-pW" TargetMode="External"/><Relationship Id="rId1135" Type="http://schemas.openxmlformats.org/officeDocument/2006/relationships/hyperlink" Target="https://drive.google.com/open?id=1KUu0k_rGiwlF1tQYf46iCacEUMFIU7f0" TargetMode="External"/><Relationship Id="rId1342" Type="http://schemas.openxmlformats.org/officeDocument/2006/relationships/hyperlink" Target="https://www.facebook.com/osbambasdosolnascente" TargetMode="External"/><Relationship Id="rId1202" Type="http://schemas.openxmlformats.org/officeDocument/2006/relationships/hyperlink" Target="https://drive.google.com/open?id=14G1eeZi3ERE31yIJUlbWy-Jc9BjqDWcc" TargetMode="External"/><Relationship Id="rId2600" Type="http://schemas.openxmlformats.org/officeDocument/2006/relationships/hyperlink" Target="https://drive.google.com/open?id=1Dst932YocWf0lZge9MD8dDG8Dyna2DaA" TargetMode="External"/><Relationship Id="rId295" Type="http://schemas.openxmlformats.org/officeDocument/2006/relationships/hyperlink" Target="https://assoc-creche-e-escola-porta-de-papel.ueniweb.com/" TargetMode="External"/><Relationship Id="rId2183" Type="http://schemas.openxmlformats.org/officeDocument/2006/relationships/hyperlink" Target="https://www.youtube.com/channel/UCKQctHNGwgnNSHRrs2RpVfw" TargetMode="External"/><Relationship Id="rId2390" Type="http://schemas.openxmlformats.org/officeDocument/2006/relationships/hyperlink" Target="https://drive.google.com/open?id=16rGSVV51IONxCOzM0t9mCsrK5rUPAJ7X" TargetMode="External"/><Relationship Id="rId155" Type="http://schemas.openxmlformats.org/officeDocument/2006/relationships/hyperlink" Target="http://instragram.com/caisporjeto" TargetMode="External"/><Relationship Id="rId362" Type="http://schemas.openxmlformats.org/officeDocument/2006/relationships/hyperlink" Target="https://instagram.com/reintegrarecife?igshid=YmMyMTA2M2Y=" TargetMode="External"/><Relationship Id="rId2043" Type="http://schemas.openxmlformats.org/officeDocument/2006/relationships/hyperlink" Target="https://www.facebook.com/search/top?q=gerando%20falc%C3%B5es" TargetMode="External"/><Relationship Id="rId2250" Type="http://schemas.openxmlformats.org/officeDocument/2006/relationships/hyperlink" Target="https://instagram.com/institutoreverbera?utm_medium=copy_link" TargetMode="External"/><Relationship Id="rId222" Type="http://schemas.openxmlformats.org/officeDocument/2006/relationships/hyperlink" Target="https://drive.google.com/open?id=1HYqYz_d8lwbAFrd5K2uLv65MTTPsuWs8" TargetMode="External"/><Relationship Id="rId2110" Type="http://schemas.openxmlformats.org/officeDocument/2006/relationships/hyperlink" Target="http://www.youtube.com/institutopeb" TargetMode="External"/><Relationship Id="rId1669" Type="http://schemas.openxmlformats.org/officeDocument/2006/relationships/hyperlink" Target="https://m.facebook.com/ongabcjuntossomosfortes/" TargetMode="External"/><Relationship Id="rId1876" Type="http://schemas.openxmlformats.org/officeDocument/2006/relationships/hyperlink" Target="https://www.facebook.com/institutodaharaujo/" TargetMode="External"/><Relationship Id="rId1529" Type="http://schemas.openxmlformats.org/officeDocument/2006/relationships/hyperlink" Target="https://drive.google.com/open?id=1PJVXaVWQujyNW4g5QN4kisn7zXEVwK8V" TargetMode="External"/><Relationship Id="rId1736" Type="http://schemas.openxmlformats.org/officeDocument/2006/relationships/hyperlink" Target="https://drive.google.com/open?id=1tt0jxLp6xUcQmY9fsEqg-_60wbAR2hN9" TargetMode="External"/><Relationship Id="rId1943" Type="http://schemas.openxmlformats.org/officeDocument/2006/relationships/hyperlink" Target="https://instagram.com/projeto_probem_oficial" TargetMode="External"/><Relationship Id="rId28" Type="http://schemas.openxmlformats.org/officeDocument/2006/relationships/hyperlink" Target="https://instagram.com/mulheresarretadasdafavela?igshid=YmMyMTA2M2Y=" TargetMode="External"/><Relationship Id="rId1803" Type="http://schemas.openxmlformats.org/officeDocument/2006/relationships/hyperlink" Target="https://instagram.com/ipapeldemenino?igshid=YmMyMTA2M2Y=" TargetMode="External"/><Relationship Id="rId689" Type="http://schemas.openxmlformats.org/officeDocument/2006/relationships/hyperlink" Target="https://instagram.com/institutoamparando?igshid=YmMyMTA2M2Y=" TargetMode="External"/><Relationship Id="rId896" Type="http://schemas.openxmlformats.org/officeDocument/2006/relationships/hyperlink" Target="https://ongcejumic.com.br/" TargetMode="External"/><Relationship Id="rId2577" Type="http://schemas.openxmlformats.org/officeDocument/2006/relationships/hyperlink" Target="https://www.instagram.com/institutoprimeiroestagio/" TargetMode="External"/><Relationship Id="rId549" Type="http://schemas.openxmlformats.org/officeDocument/2006/relationships/hyperlink" Target="https://drive.google.com/open?id=1v4kW514SWyij5G-MfroCFmfw5oaCpUL_" TargetMode="External"/><Relationship Id="rId756" Type="http://schemas.openxmlformats.org/officeDocument/2006/relationships/hyperlink" Target="https://drive.google.com/open?id=1k2j1Wgb_ZSKb4Su7ifV8oBwCSvG0lzqf" TargetMode="External"/><Relationship Id="rId1179" Type="http://schemas.openxmlformats.org/officeDocument/2006/relationships/hyperlink" Target="https://drive.google.com/open?id=1Z5016ZeBeUsFL3qTIEarJeaXJoxa3BVd" TargetMode="External"/><Relationship Id="rId1386" Type="http://schemas.openxmlformats.org/officeDocument/2006/relationships/hyperlink" Target="https://www.instagram.com/institutotchibum/?hl=pt-br" TargetMode="External"/><Relationship Id="rId1593" Type="http://schemas.openxmlformats.org/officeDocument/2006/relationships/hyperlink" Target="https://www.youtube.com/channel/UCPsbTN2JZZrOfEQ1aRVVpHA" TargetMode="External"/><Relationship Id="rId2437" Type="http://schemas.openxmlformats.org/officeDocument/2006/relationships/hyperlink" Target="https://drive.google.com/open?id=1J0hIcEoaVx5BsPJAhG0pp_exJYfWn_3P" TargetMode="External"/><Relationship Id="rId409" Type="http://schemas.openxmlformats.org/officeDocument/2006/relationships/hyperlink" Target="https://www.instagram.com/institutomarias/" TargetMode="External"/><Relationship Id="rId963" Type="http://schemas.openxmlformats.org/officeDocument/2006/relationships/hyperlink" Target="https://drive.google.com/open?id=1B3P1N_7CZbj2TreJ1gV_RU-Y7B3_ROuc" TargetMode="External"/><Relationship Id="rId1039" Type="http://schemas.openxmlformats.org/officeDocument/2006/relationships/hyperlink" Target="http://www.encantos.org.br/" TargetMode="External"/><Relationship Id="rId1246" Type="http://schemas.openxmlformats.org/officeDocument/2006/relationships/hyperlink" Target="https://drive.google.com/open?id=1lZGwJ-oFypXGIfsbfqodzUGNUP9QEWCb" TargetMode="External"/><Relationship Id="rId2644" Type="http://schemas.openxmlformats.org/officeDocument/2006/relationships/hyperlink" Target="https://drive.google.com/open?id=1CZxbWUno3eIKFShHinkBYLj9PgvqNN4_" TargetMode="External"/><Relationship Id="rId92" Type="http://schemas.openxmlformats.org/officeDocument/2006/relationships/hyperlink" Target="https://drive.google.com/open?id=1ixg2keX6GoAXur0eGzY2j7jYBtybdK7i" TargetMode="External"/><Relationship Id="rId616" Type="http://schemas.openxmlformats.org/officeDocument/2006/relationships/hyperlink" Target="https://instagram.com/marcos.nascimento.50364592?utm_medium=copy_link" TargetMode="External"/><Relationship Id="rId823" Type="http://schemas.openxmlformats.org/officeDocument/2006/relationships/hyperlink" Target="https://drive.google.com/open?id=1ptMHKSMD_wb83FkpVtdZ8ioF6PmB7_9j" TargetMode="External"/><Relationship Id="rId1453" Type="http://schemas.openxmlformats.org/officeDocument/2006/relationships/hyperlink" Target="https://www.youtube.com/channel/UC5qhmTTU_4O7DNpc0QxRPCg" TargetMode="External"/><Relationship Id="rId1660" Type="http://schemas.openxmlformats.org/officeDocument/2006/relationships/hyperlink" Target="https://drive.google.com/open?id=1KeUMnmunSIgxGiVLM2qxhLb8x745-KmI" TargetMode="External"/><Relationship Id="rId2504" Type="http://schemas.openxmlformats.org/officeDocument/2006/relationships/hyperlink" Target="https://drive.google.com/open?id=1MhiZBpO-MVhXDTabmBHrtzeOh4Wwq4Ke" TargetMode="External"/><Relationship Id="rId2711" Type="http://schemas.openxmlformats.org/officeDocument/2006/relationships/hyperlink" Target="https://drive.google.com/open?id=1ULH7dzCZty-_hw3qc2yi85W5k83xRyZ4" TargetMode="External"/><Relationship Id="rId1106" Type="http://schemas.openxmlformats.org/officeDocument/2006/relationships/hyperlink" Target="https://drive.google.com/open?id=1u7YiloFDqzb0JftmXewnCwhXJs6AbQhe" TargetMode="External"/><Relationship Id="rId1313" Type="http://schemas.openxmlformats.org/officeDocument/2006/relationships/hyperlink" Target="https://drive.google.com/open?id=1DAMIYcs9KYI124_4XIsx53kRV8OvdPQJ" TargetMode="External"/><Relationship Id="rId1520" Type="http://schemas.openxmlformats.org/officeDocument/2006/relationships/hyperlink" Target="http://www.facebook.com/grupoculturaurbanaoficial" TargetMode="External"/><Relationship Id="rId199" Type="http://schemas.openxmlformats.org/officeDocument/2006/relationships/hyperlink" Target="https://drive.google.com/open?id=1oycqnBhckQkrwB_URBH38pd-WQ55NdDY" TargetMode="External"/><Relationship Id="rId2087" Type="http://schemas.openxmlformats.org/officeDocument/2006/relationships/hyperlink" Target="https://www.instagram.com/p/CKVHTFcDqNA/?igshid=1lf3r1c2nl3sg" TargetMode="External"/><Relationship Id="rId2294" Type="http://schemas.openxmlformats.org/officeDocument/2006/relationships/hyperlink" Target="https://drive.google.com/open?id=1evzexYr7GtjwUQCdCrTEGxeIM5rwtz3Y" TargetMode="External"/><Relationship Id="rId266" Type="http://schemas.openxmlformats.org/officeDocument/2006/relationships/hyperlink" Target="https://instagram.com/projeto_evoluir2021?igshid=YmMyMTA2M2Y=" TargetMode="External"/><Relationship Id="rId473" Type="http://schemas.openxmlformats.org/officeDocument/2006/relationships/hyperlink" Target="https://drive.google.com/open?id=1MGj5053h58EKvHnaI4hbbxyMegnXbgpZ" TargetMode="External"/><Relationship Id="rId680" Type="http://schemas.openxmlformats.org/officeDocument/2006/relationships/hyperlink" Target="https://drive.google.com/open?id=1rm6sZlKstVye8O6r-tVdBszzSzy7EWc7" TargetMode="External"/><Relationship Id="rId2154" Type="http://schemas.openxmlformats.org/officeDocument/2006/relationships/hyperlink" Target="https://drive.google.com/open?id=1m4DbSryaQi2nb0vGW3B6hEQDjIS0XwoH" TargetMode="External"/><Relationship Id="rId2361" Type="http://schemas.openxmlformats.org/officeDocument/2006/relationships/hyperlink" Target="https://drive.google.com/open?id=1XkUuOE_4KxVIvAIyISUrU8jYGyozsRWh" TargetMode="External"/><Relationship Id="rId126" Type="http://schemas.openxmlformats.org/officeDocument/2006/relationships/hyperlink" Target="https://drive.google.com/open?id=1vF_gHDkZVl5O1MbzZ9VdLSstlVLYYgv7" TargetMode="External"/><Relationship Id="rId333" Type="http://schemas.openxmlformats.org/officeDocument/2006/relationships/hyperlink" Target="https://drive.google.com/open?id=1mrRGRyuSHViJrAizPiU5DHGEa9yl6uKx" TargetMode="External"/><Relationship Id="rId540" Type="http://schemas.openxmlformats.org/officeDocument/2006/relationships/hyperlink" Target="https://drive.google.com/open?id=1nwiAUSS7A1stYq3MTPoCIOWoU9HLiWOQ" TargetMode="External"/><Relationship Id="rId1170" Type="http://schemas.openxmlformats.org/officeDocument/2006/relationships/hyperlink" Target="https://drive.google.com/open?id=173PLMEH8w2Fsmzp2IA0N5IMSSKOUUyBT" TargetMode="External"/><Relationship Id="rId2014" Type="http://schemas.openxmlformats.org/officeDocument/2006/relationships/hyperlink" Target="http://www.institutoemaus.org.br/" TargetMode="External"/><Relationship Id="rId2221" Type="http://schemas.openxmlformats.org/officeDocument/2006/relationships/hyperlink" Target="https://institutoizaiasluzia.org/" TargetMode="External"/><Relationship Id="rId1030" Type="http://schemas.openxmlformats.org/officeDocument/2006/relationships/hyperlink" Target="https://instagram.com/acaomotiro?utm_medium=copy_link" TargetMode="External"/><Relationship Id="rId400" Type="http://schemas.openxmlformats.org/officeDocument/2006/relationships/hyperlink" Target="https://www.youtube.com/channel/UCMtt4GpJ8ZDSDjrq1YU8zyA" TargetMode="External"/><Relationship Id="rId1987" Type="http://schemas.openxmlformats.org/officeDocument/2006/relationships/hyperlink" Target="https://drive.google.com/open?id=1s1YMAG3x1CzQ_fyhlsV0KvwR2k0Bd0xo" TargetMode="External"/><Relationship Id="rId1847" Type="http://schemas.openxmlformats.org/officeDocument/2006/relationships/hyperlink" Target="https://drive.google.com/open?id=1u---OhLYKovbQtUn4_MWmMA9kYk7quFy" TargetMode="External"/><Relationship Id="rId1707" Type="http://schemas.openxmlformats.org/officeDocument/2006/relationships/hyperlink" Target="https://drive.google.com/open?id=1-HPicbnj7ga68CyJBf5YEy49HQhr7ZGE" TargetMode="External"/><Relationship Id="rId190" Type="http://schemas.openxmlformats.org/officeDocument/2006/relationships/hyperlink" Target="https://www.instagram.com/p/Cf6jAl2sMXD/?igshid=YmMyMTA2M2Y=" TargetMode="External"/><Relationship Id="rId1914" Type="http://schemas.openxmlformats.org/officeDocument/2006/relationships/hyperlink" Target="https://instagram.com/obomsamaritano_contagem?utm_medium=copy_link" TargetMode="External"/><Relationship Id="rId2688" Type="http://schemas.openxmlformats.org/officeDocument/2006/relationships/hyperlink" Target="https://www.youtube.com/channel/UC-t1HFgGtggfXP_z-YLLdUQ/videos" TargetMode="External"/><Relationship Id="rId867" Type="http://schemas.openxmlformats.org/officeDocument/2006/relationships/hyperlink" Target="https://drive.google.com/open?id=1ZLPdQ4bGo894-IVVPU0JgIBt46_y9xP7" TargetMode="External"/><Relationship Id="rId1497" Type="http://schemas.openxmlformats.org/officeDocument/2006/relationships/hyperlink" Target="https://www.facebook.com/pg/renegadofutebolclub/community/" TargetMode="External"/><Relationship Id="rId2548" Type="http://schemas.openxmlformats.org/officeDocument/2006/relationships/hyperlink" Target="https://www.youtube.com/channel/UCPQOHSYzOTk20dUYBmRlp3w" TargetMode="External"/><Relationship Id="rId727" Type="http://schemas.openxmlformats.org/officeDocument/2006/relationships/hyperlink" Target="https://drive.google.com/open?id=1uNaW5fBxY9-op5fBmGR9NG5Mlice1WlI" TargetMode="External"/><Relationship Id="rId934" Type="http://schemas.openxmlformats.org/officeDocument/2006/relationships/hyperlink" Target="https://www.youtube.com/channel/UCHlZa8ThVRBTnZquY7QTe0A/videos" TargetMode="External"/><Relationship Id="rId1357" Type="http://schemas.openxmlformats.org/officeDocument/2006/relationships/hyperlink" Target="https://drive.google.com/open?id=1mCfzCSMnwZWMREXZbeLJH-qa1uppynTQ" TargetMode="External"/><Relationship Id="rId1564" Type="http://schemas.openxmlformats.org/officeDocument/2006/relationships/hyperlink" Target="http://www.raizesdegericino.org/" TargetMode="External"/><Relationship Id="rId1771" Type="http://schemas.openxmlformats.org/officeDocument/2006/relationships/hyperlink" Target="https://drive.google.com/open?id=1DYGxQN_WdbTti3Hlh8M8G_1v_PPZilHb" TargetMode="External"/><Relationship Id="rId2408" Type="http://schemas.openxmlformats.org/officeDocument/2006/relationships/hyperlink" Target="https://drive.google.com/open?id=1a089UHUCoN_QRMRuq32y3D_UXMPkHIcL" TargetMode="External"/><Relationship Id="rId2615" Type="http://schemas.openxmlformats.org/officeDocument/2006/relationships/hyperlink" Target="https://drive.google.com/open?id=1TijpJTi1kyh7sn5O0931vbEciacOH1e3" TargetMode="External"/><Relationship Id="rId63" Type="http://schemas.openxmlformats.org/officeDocument/2006/relationships/hyperlink" Target="https://drive.google.com/open?id=1Rkw8mk_ei9SR1ZVZmjkkbYVD8-EJYzDB" TargetMode="External"/><Relationship Id="rId1217" Type="http://schemas.openxmlformats.org/officeDocument/2006/relationships/hyperlink" Target="https://drive.google.com/open?id=1JOH0gp1Buxt_xIX38oum9TU9FI5dSUQr" TargetMode="External"/><Relationship Id="rId1424" Type="http://schemas.openxmlformats.org/officeDocument/2006/relationships/hyperlink" Target="https://www.facebook.com/tmjvozativa/?ref=pages_you_manage" TargetMode="External"/><Relationship Id="rId1631" Type="http://schemas.openxmlformats.org/officeDocument/2006/relationships/hyperlink" Target="https://www.facebook.com/novauniaodaarte?" TargetMode="External"/><Relationship Id="rId2198" Type="http://schemas.openxmlformats.org/officeDocument/2006/relationships/hyperlink" Target="https://youtube.com/c/Recomecar360" TargetMode="External"/><Relationship Id="rId377" Type="http://schemas.openxmlformats.org/officeDocument/2006/relationships/hyperlink" Target="https://www.instagram.com/reel/CgeTLMngeZw/?igshid=YmMyMTA2M2Y=" TargetMode="External"/><Relationship Id="rId584" Type="http://schemas.openxmlformats.org/officeDocument/2006/relationships/hyperlink" Target="https://drive.google.com/open?id=11e2emBX3-QhJHS3Bx6pKAOQewD49yY-e" TargetMode="External"/><Relationship Id="rId2058" Type="http://schemas.openxmlformats.org/officeDocument/2006/relationships/hyperlink" Target="https://drive.google.com/open?id=1-dPygV7eHElqI-eTOXvyo2sfZxgp1nUO" TargetMode="External"/><Relationship Id="rId2265" Type="http://schemas.openxmlformats.org/officeDocument/2006/relationships/hyperlink" Target="http://casadobeco.org.br/" TargetMode="External"/><Relationship Id="rId237" Type="http://schemas.openxmlformats.org/officeDocument/2006/relationships/hyperlink" Target="https://instagram.com/_institutotransformar?utm_medium=copy_link" TargetMode="External"/><Relationship Id="rId791" Type="http://schemas.openxmlformats.org/officeDocument/2006/relationships/hyperlink" Target="https://drive.google.com/open?id=1L2MP3yq5kWCWGO0v1ZXPWpZ5f4wekgzV" TargetMode="External"/><Relationship Id="rId1074" Type="http://schemas.openxmlformats.org/officeDocument/2006/relationships/hyperlink" Target="https://drive.google.com/open?id=1WYRXEuHVKEe6GzMmPNnGHg5LMelvUm5x" TargetMode="External"/><Relationship Id="rId2472" Type="http://schemas.openxmlformats.org/officeDocument/2006/relationships/hyperlink" Target="https://www.facebook.com/institutosocialebenezer/" TargetMode="External"/><Relationship Id="rId444" Type="http://schemas.openxmlformats.org/officeDocument/2006/relationships/hyperlink" Target="https://drive.google.com/open?id=1yDf4PjplL2UDu-wwpu0fEQx27f_CGqM3" TargetMode="External"/><Relationship Id="rId651" Type="http://schemas.openxmlformats.org/officeDocument/2006/relationships/hyperlink" Target="http://www.instituicaosociedadeplural.org/" TargetMode="External"/><Relationship Id="rId1281" Type="http://schemas.openxmlformats.org/officeDocument/2006/relationships/hyperlink" Target="https://drive.google.com/open?id=1IGOYd1UUMxvRYdACvCQYY5-5RrgH4nrH" TargetMode="External"/><Relationship Id="rId2125" Type="http://schemas.openxmlformats.org/officeDocument/2006/relationships/hyperlink" Target="https://drive.google.com/open?id=1KFCJlxjs48LsE__A2Et3klK6IVhiHycn" TargetMode="External"/><Relationship Id="rId2332" Type="http://schemas.openxmlformats.org/officeDocument/2006/relationships/hyperlink" Target="https://drive.google.com/open?id=1ij-xmEKC5OeI6MktNjdiH0a3_LENOUYe" TargetMode="External"/><Relationship Id="rId304" Type="http://schemas.openxmlformats.org/officeDocument/2006/relationships/hyperlink" Target="https://drive.google.com/open?id=1hvfx2UmF6ug60bh_stx2QbwE2_tzaKa5" TargetMode="External"/><Relationship Id="rId511" Type="http://schemas.openxmlformats.org/officeDocument/2006/relationships/hyperlink" Target="https://www.instagram.com/institutopaternus/" TargetMode="External"/><Relationship Id="rId1141" Type="http://schemas.openxmlformats.org/officeDocument/2006/relationships/hyperlink" Target="https://drive.google.com/open?id=1CGWn1lPDwsMhpl0MHITl9dcrJyrYaj_j" TargetMode="External"/><Relationship Id="rId1001" Type="http://schemas.openxmlformats.org/officeDocument/2006/relationships/hyperlink" Target="https://www.facebook.com/casahackercampinas/" TargetMode="External"/><Relationship Id="rId1958" Type="http://schemas.openxmlformats.org/officeDocument/2006/relationships/hyperlink" Target="https://drive.google.com/open?id=1r-dKpEi9I4Sw8RRQKQpC0vPzkK6lmDc-" TargetMode="External"/><Relationship Id="rId1818" Type="http://schemas.openxmlformats.org/officeDocument/2006/relationships/hyperlink" Target="http://www.facebook.com/gruposemeandoamor" TargetMode="External"/><Relationship Id="rId161" Type="http://schemas.openxmlformats.org/officeDocument/2006/relationships/hyperlink" Target="https://www.youtube.com/channel/UCGJsRsf0N8YktNBZsOXAQjQ" TargetMode="External"/><Relationship Id="rId978" Type="http://schemas.openxmlformats.org/officeDocument/2006/relationships/hyperlink" Target="https://drive.google.com/open?id=1sGvBavGlfXaCQMH_l_t5rC-d2iokGDdk" TargetMode="External"/><Relationship Id="rId2659" Type="http://schemas.openxmlformats.org/officeDocument/2006/relationships/hyperlink" Target="https://drive.google.com/open?id=1vUeoSEVJ_qVzGD7-PitbD1aFF5hJyqdj" TargetMode="External"/><Relationship Id="rId838" Type="http://schemas.openxmlformats.org/officeDocument/2006/relationships/hyperlink" Target="https://drive.google.com/open?id=1q4FkRbF-e7RXmgvyZ5zpqZ_WmLyg0lHl" TargetMode="External"/><Relationship Id="rId1468" Type="http://schemas.openxmlformats.org/officeDocument/2006/relationships/hyperlink" Target="https://drive.google.com/open?id=1A-JUvOKI-8zfbT9T9l-PSFss-wO9uDK2" TargetMode="External"/><Relationship Id="rId1675" Type="http://schemas.openxmlformats.org/officeDocument/2006/relationships/hyperlink" Target="https://drive.google.com/open?id=1pc0ZaKAqyD1m4IfEBftaewQMC7ALrr0J" TargetMode="External"/><Relationship Id="rId1882" Type="http://schemas.openxmlformats.org/officeDocument/2006/relationships/hyperlink" Target="https://drive.google.com/open?id=19YOjnQHEQkzgoHbrS2URYEcjz46VEnkJ" TargetMode="External"/><Relationship Id="rId2519" Type="http://schemas.openxmlformats.org/officeDocument/2006/relationships/hyperlink" Target="https://drive.google.com/open?id=15CUuUdTz_rAK6g312EJ52sIdjld4T1Mv" TargetMode="External"/><Relationship Id="rId2726" Type="http://schemas.openxmlformats.org/officeDocument/2006/relationships/hyperlink" Target="https://drive.google.com/open?id=1c4YiKSQAJFQe0xOX7uH3ao_lig6pakQ7" TargetMode="External"/><Relationship Id="rId1328" Type="http://schemas.openxmlformats.org/officeDocument/2006/relationships/hyperlink" Target="https://m.youtube.com/channel/UCX6RaPO0kZ-6ApmIFeKyQVw" TargetMode="External"/><Relationship Id="rId1535" Type="http://schemas.openxmlformats.org/officeDocument/2006/relationships/hyperlink" Target="https://drive.google.com/open?id=1O5nb-sNJy_mVdNy-i9TpJ7vlwcr-JaYr" TargetMode="External"/><Relationship Id="rId905" Type="http://schemas.openxmlformats.org/officeDocument/2006/relationships/hyperlink" Target="http://www.institutonaif.org/" TargetMode="External"/><Relationship Id="rId1742" Type="http://schemas.openxmlformats.org/officeDocument/2006/relationships/hyperlink" Target="https://drive.google.com/open?id=16NQNT_kmmNd-fh44hUvkZ7MqGLmsoKDy" TargetMode="External"/><Relationship Id="rId34" Type="http://schemas.openxmlformats.org/officeDocument/2006/relationships/hyperlink" Target="https://drive.google.com/open?id=14biGDHmXwyp7QjDRhuSnmuUslwD57Gyy" TargetMode="External"/><Relationship Id="rId1602" Type="http://schemas.openxmlformats.org/officeDocument/2006/relationships/hyperlink" Target="https://drive.google.com/open?id=1GYzRdv8xqyQJmSjInbYtZ2AZUUmCy3cW" TargetMode="External"/><Relationship Id="rId488" Type="http://schemas.openxmlformats.org/officeDocument/2006/relationships/hyperlink" Target="http://www.7geracoes.org.br/" TargetMode="External"/><Relationship Id="rId695" Type="http://schemas.openxmlformats.org/officeDocument/2006/relationships/hyperlink" Target="https://drive.google.com/open?id=1fFToVmomGPN3RZ89LDPkH6rs-HeWI4YC" TargetMode="External"/><Relationship Id="rId2169" Type="http://schemas.openxmlformats.org/officeDocument/2006/relationships/hyperlink" Target="http://sonharalto.tilda.ws/" TargetMode="External"/><Relationship Id="rId2376" Type="http://schemas.openxmlformats.org/officeDocument/2006/relationships/hyperlink" Target="https://instagram.com/libertariosdocapao?igshid=YmMyMTA2M2Y=" TargetMode="External"/><Relationship Id="rId2583" Type="http://schemas.openxmlformats.org/officeDocument/2006/relationships/hyperlink" Target="https://www.instagram.com/institutoamargen/" TargetMode="External"/><Relationship Id="rId348" Type="http://schemas.openxmlformats.org/officeDocument/2006/relationships/hyperlink" Target="https://www.instagram.com/mulheresunidasdocaratoira/?hl=pt-br" TargetMode="External"/><Relationship Id="rId555" Type="http://schemas.openxmlformats.org/officeDocument/2006/relationships/hyperlink" Target="https://www.instagram.com/reel/CfmwDyDr35o/?igshid=YmMyMTA2M2Y%3D" TargetMode="External"/><Relationship Id="rId762" Type="http://schemas.openxmlformats.org/officeDocument/2006/relationships/hyperlink" Target="https://instagram.com/__sementesdafe?igshid=YmMyMTA2M2Y=" TargetMode="External"/><Relationship Id="rId1185" Type="http://schemas.openxmlformats.org/officeDocument/2006/relationships/hyperlink" Target="https://drive.google.com/open?id=1li0m_vy19reMWG9hKbrTo5MKBp5NcB4a" TargetMode="External"/><Relationship Id="rId1392" Type="http://schemas.openxmlformats.org/officeDocument/2006/relationships/hyperlink" Target="http://www.facebook.com/1010891172419255/" TargetMode="External"/><Relationship Id="rId2029" Type="http://schemas.openxmlformats.org/officeDocument/2006/relationships/hyperlink" Target="https://drive.google.com/open?id=19q2kSuG3yT4Aab_bUZTT4rRK-wJfKxFA" TargetMode="External"/><Relationship Id="rId2236" Type="http://schemas.openxmlformats.org/officeDocument/2006/relationships/hyperlink" Target="https://www.instagram.com/accounts/onetap/?next=%2F" TargetMode="External"/><Relationship Id="rId2443" Type="http://schemas.openxmlformats.org/officeDocument/2006/relationships/hyperlink" Target="https://www.youtube.com/watch?v=eWXdwGcjFPw" TargetMode="External"/><Relationship Id="rId2650" Type="http://schemas.openxmlformats.org/officeDocument/2006/relationships/hyperlink" Target="https://www.instagram.com/p/CamclGtrnTE/?utm_medium=copy_link" TargetMode="External"/><Relationship Id="rId208" Type="http://schemas.openxmlformats.org/officeDocument/2006/relationships/hyperlink" Target="https://drive.google.com/open?id=1E5_wSdW7-g36F1-iF-7mFm40JdfQGi0A" TargetMode="External"/><Relationship Id="rId415" Type="http://schemas.openxmlformats.org/officeDocument/2006/relationships/hyperlink" Target="https://drive.google.com/open?id=1uI1AqSKv_QfypLgB47CsKwNlQPe3oNWh" TargetMode="External"/><Relationship Id="rId622" Type="http://schemas.openxmlformats.org/officeDocument/2006/relationships/hyperlink" Target="https://www.instagram.com/projetofabrica/" TargetMode="External"/><Relationship Id="rId1045" Type="http://schemas.openxmlformats.org/officeDocument/2006/relationships/hyperlink" Target="https://drive.google.com/open?id=1BrvWRTmy1xR3gn1_pgemSB1VYACFv7_t" TargetMode="External"/><Relationship Id="rId1252" Type="http://schemas.openxmlformats.org/officeDocument/2006/relationships/hyperlink" Target="https://drive.google.com/open?id=1EQ7T3CLdAxsmHF1NJh6IKEFh_xYWcbdK" TargetMode="External"/><Relationship Id="rId2303" Type="http://schemas.openxmlformats.org/officeDocument/2006/relationships/hyperlink" Target="https://drive.google.com/open?id=1LzfDCwbuIOuTuAhJLJWwFMAoCGy3qU6R" TargetMode="External"/><Relationship Id="rId2510" Type="http://schemas.openxmlformats.org/officeDocument/2006/relationships/hyperlink" Target="https://drive.google.com/open?id=1hyviFjmk6wbEMlEhmzywJQYh7FLewU6J" TargetMode="External"/><Relationship Id="rId1112" Type="http://schemas.openxmlformats.org/officeDocument/2006/relationships/hyperlink" Target="https://drive.google.com/open?id=1_LPXrqvBJOPnHObiLMfXG797fRb66IRI" TargetMode="External"/><Relationship Id="rId1929" Type="http://schemas.openxmlformats.org/officeDocument/2006/relationships/hyperlink" Target="http://www.institutojogandopeloreino.com.br/" TargetMode="External"/><Relationship Id="rId2093" Type="http://schemas.openxmlformats.org/officeDocument/2006/relationships/hyperlink" Target="https://drive.google.com/open?id=1MqsfQks-ZgFcPsQQqSV4cHenMVh_ELJS" TargetMode="External"/><Relationship Id="rId272" Type="http://schemas.openxmlformats.org/officeDocument/2006/relationships/hyperlink" Target="https://instagram.com/espalhe_cestas?igshid=YmMyMTA2M2Y=" TargetMode="External"/><Relationship Id="rId2160" Type="http://schemas.openxmlformats.org/officeDocument/2006/relationships/hyperlink" Target="https://www.fortini.org.br/" TargetMode="External"/><Relationship Id="rId132" Type="http://schemas.openxmlformats.org/officeDocument/2006/relationships/hyperlink" Target="https://drive.google.com/open?id=1wQ-4K0JBDRl1gFlMiKfFgYAT0Vb7a0dR" TargetMode="External"/><Relationship Id="rId2020" Type="http://schemas.openxmlformats.org/officeDocument/2006/relationships/hyperlink" Target="https://www.instagram.com/aprendercultura/" TargetMode="External"/><Relationship Id="rId1579" Type="http://schemas.openxmlformats.org/officeDocument/2006/relationships/hyperlink" Target="https://www.instagram.com/projetosemprecrianca/" TargetMode="External"/><Relationship Id="rId949" Type="http://schemas.openxmlformats.org/officeDocument/2006/relationships/hyperlink" Target="https://drive.google.com/open?id=1Egc3gjR-LLwTt8HJFA5918q-E2jLGFYo" TargetMode="External"/><Relationship Id="rId1786" Type="http://schemas.openxmlformats.org/officeDocument/2006/relationships/hyperlink" Target="https://www.facebook.com/institutoamebr" TargetMode="External"/><Relationship Id="rId1993" Type="http://schemas.openxmlformats.org/officeDocument/2006/relationships/hyperlink" Target="https://drive.google.com/open?id=1WZbNEmYpDFwVXBxvjvmwmB4024ZyduAp" TargetMode="External"/><Relationship Id="rId78" Type="http://schemas.openxmlformats.org/officeDocument/2006/relationships/hyperlink" Target="https://instagram.com/institutodoandoqueserecebe?utm_medium=copy_link" TargetMode="External"/><Relationship Id="rId809" Type="http://schemas.openxmlformats.org/officeDocument/2006/relationships/hyperlink" Target="https://drive.google.com/open?id=1N--x3Cs4fiLplF7xRdYwzEHY-YCFb-SG" TargetMode="External"/><Relationship Id="rId1439" Type="http://schemas.openxmlformats.org/officeDocument/2006/relationships/hyperlink" Target="http://www.facebook.com/projetomaltrapilho" TargetMode="External"/><Relationship Id="rId1646" Type="http://schemas.openxmlformats.org/officeDocument/2006/relationships/hyperlink" Target="http://www.cavd.org.br/" TargetMode="External"/><Relationship Id="rId1853" Type="http://schemas.openxmlformats.org/officeDocument/2006/relationships/hyperlink" Target="https://drive.google.com/open?id=1rsnhqcBt6bajxuKhY6Q-iee0oP6iHBPL" TargetMode="External"/><Relationship Id="rId1506" Type="http://schemas.openxmlformats.org/officeDocument/2006/relationships/hyperlink" Target="https://drive.google.com/open?id=1u2_bzWgOVeUIM3V7X6qIEyW6KTjXiRZl" TargetMode="External"/><Relationship Id="rId1713" Type="http://schemas.openxmlformats.org/officeDocument/2006/relationships/hyperlink" Target="https://drive.google.com/open?id=155xpplRc8LcCzXERuAIZyquFucuMlDQW" TargetMode="External"/><Relationship Id="rId1920" Type="http://schemas.openxmlformats.org/officeDocument/2006/relationships/hyperlink" Target="https://www.institutozoedemuriae.com.br/" TargetMode="External"/><Relationship Id="rId599" Type="http://schemas.openxmlformats.org/officeDocument/2006/relationships/hyperlink" Target="https://drive.google.com/open?id=1iwGdCO_5mypTX0LYKoG2pqKlpDOag1lM" TargetMode="External"/><Relationship Id="rId2487" Type="http://schemas.openxmlformats.org/officeDocument/2006/relationships/hyperlink" Target="https://drive.google.com/open?id=1f2xGH2PziPEdtz5mJqOgwUYk1X_6pT_q" TargetMode="External"/><Relationship Id="rId2694" Type="http://schemas.openxmlformats.org/officeDocument/2006/relationships/hyperlink" Target="http://www.ccbsocial.com/" TargetMode="External"/><Relationship Id="rId459" Type="http://schemas.openxmlformats.org/officeDocument/2006/relationships/hyperlink" Target="https://www.facebook.com/ButijaTennis" TargetMode="External"/><Relationship Id="rId666" Type="http://schemas.openxmlformats.org/officeDocument/2006/relationships/hyperlink" Target="https://instagram.com/redepostinhodesaude?igshid=YmMyMTA2M2Y=" TargetMode="External"/><Relationship Id="rId873" Type="http://schemas.openxmlformats.org/officeDocument/2006/relationships/hyperlink" Target="https://facebook.com/evoluirbr" TargetMode="External"/><Relationship Id="rId1089" Type="http://schemas.openxmlformats.org/officeDocument/2006/relationships/hyperlink" Target="https://drive.google.com/open?id=18cr7j2v-uacCm2zCZ4hpStGhjPjUPg07" TargetMode="External"/><Relationship Id="rId1296" Type="http://schemas.openxmlformats.org/officeDocument/2006/relationships/hyperlink" Target="https://youtube.com/channel/UCmuiRs5C8Ugg8I9__Jj8DHg" TargetMode="External"/><Relationship Id="rId2347" Type="http://schemas.openxmlformats.org/officeDocument/2006/relationships/hyperlink" Target="http://kyrius.org.br/" TargetMode="External"/><Relationship Id="rId2554" Type="http://schemas.openxmlformats.org/officeDocument/2006/relationships/hyperlink" Target="https://m.facebook.com/esperancaedestino" TargetMode="External"/><Relationship Id="rId319" Type="http://schemas.openxmlformats.org/officeDocument/2006/relationships/hyperlink" Target="https://www.youtube.com/channel/UCFVpaYr3c4wzgHP-MNJ8sUA" TargetMode="External"/><Relationship Id="rId526" Type="http://schemas.openxmlformats.org/officeDocument/2006/relationships/hyperlink" Target="https://drive.google.com/open?id=1Syh9-3So5__SOEAKQPK3mLZRCHWba-vU" TargetMode="External"/><Relationship Id="rId1156" Type="http://schemas.openxmlformats.org/officeDocument/2006/relationships/hyperlink" Target="https://www.facebook.com/reggarte.reggarte/" TargetMode="External"/><Relationship Id="rId1363" Type="http://schemas.openxmlformats.org/officeDocument/2006/relationships/hyperlink" Target="https://drive.google.com/open?id=1tdsPWlpl7wgt1D_zLkLYC_iiLZ888WXH" TargetMode="External"/><Relationship Id="rId2207" Type="http://schemas.openxmlformats.org/officeDocument/2006/relationships/hyperlink" Target="https://www.youtube.com/channel/UCZF8Pj-0UFmd_2zZ7G_1GCw/featured" TargetMode="External"/><Relationship Id="rId733" Type="http://schemas.openxmlformats.org/officeDocument/2006/relationships/hyperlink" Target="https://instagram.com/mutamb_?igshid=YmMyMTA2M2Y=" TargetMode="External"/><Relationship Id="rId940" Type="http://schemas.openxmlformats.org/officeDocument/2006/relationships/hyperlink" Target="https://drive.google.com/open?id=14jcyNcCejAzeRmB2MHy1mj_Yt33JuC-2" TargetMode="External"/><Relationship Id="rId1016" Type="http://schemas.openxmlformats.org/officeDocument/2006/relationships/hyperlink" Target="https://drive.google.com/open?id=1kY5w8-TUe5tLBsrm1VCW0Nrz5HWojCcH" TargetMode="External"/><Relationship Id="rId1570" Type="http://schemas.openxmlformats.org/officeDocument/2006/relationships/hyperlink" Target="https://drive.google.com/open?id=1k-oDOA2YaBLaa0UD0xUmd6IXhbSWgKED" TargetMode="External"/><Relationship Id="rId2414" Type="http://schemas.openxmlformats.org/officeDocument/2006/relationships/hyperlink" Target="https://drive.google.com/open?id=1S-sikKoqlDZjF4xMcJ7q1Am5b8styL5o" TargetMode="External"/><Relationship Id="rId2621" Type="http://schemas.openxmlformats.org/officeDocument/2006/relationships/hyperlink" Target="https://drive.google.com/open?id=1nI4jnrFOsoc9XWDYV7tjEbwy_NWz1-a_" TargetMode="External"/><Relationship Id="rId800" Type="http://schemas.openxmlformats.org/officeDocument/2006/relationships/hyperlink" Target="https://www.youtube.com/tvuniaopotengi" TargetMode="External"/><Relationship Id="rId1223" Type="http://schemas.openxmlformats.org/officeDocument/2006/relationships/hyperlink" Target="https://drive.google.com/open?id=132LFjBNLwa9waXTGnfsBPTUFE_rcSCdd" TargetMode="External"/><Relationship Id="rId1430" Type="http://schemas.openxmlformats.org/officeDocument/2006/relationships/hyperlink" Target="https://www.facebook.com/centraldeapoiodosamigossolidarios/" TargetMode="External"/><Relationship Id="rId176" Type="http://schemas.openxmlformats.org/officeDocument/2006/relationships/hyperlink" Target="https://www.instagram.com/borrachalioteca/" TargetMode="External"/><Relationship Id="rId383" Type="http://schemas.openxmlformats.org/officeDocument/2006/relationships/hyperlink" Target="https://drive.google.com/open?id=1HC_LyuqhRC2fyVEIgutCn9RKqDKy7V6U" TargetMode="External"/><Relationship Id="rId590" Type="http://schemas.openxmlformats.org/officeDocument/2006/relationships/hyperlink" Target="https://www.facebook.com/somostodosmuribeca" TargetMode="External"/><Relationship Id="rId2064" Type="http://schemas.openxmlformats.org/officeDocument/2006/relationships/hyperlink" Target="https://www.instagram.com/mirantecultural/" TargetMode="External"/><Relationship Id="rId2271" Type="http://schemas.openxmlformats.org/officeDocument/2006/relationships/hyperlink" Target="https://www.instagram.com/invites/contact/?i=1q48rx0fbpkq2&amp;utm_content=5nzw0cw" TargetMode="External"/><Relationship Id="rId243" Type="http://schemas.openxmlformats.org/officeDocument/2006/relationships/hyperlink" Target="https://drive.google.com/open?id=1vPJ2kx-vo7U4wsxo5ZrVN3IKLbDObn_X" TargetMode="External"/><Relationship Id="rId450" Type="http://schemas.openxmlformats.org/officeDocument/2006/relationships/hyperlink" Target="https://escolaculturaluppv.blogspot.com/" TargetMode="External"/><Relationship Id="rId1080" Type="http://schemas.openxmlformats.org/officeDocument/2006/relationships/hyperlink" Target="https://instagram.com/igorchatubinha?utm_medium=copy_link" TargetMode="External"/><Relationship Id="rId2131" Type="http://schemas.openxmlformats.org/officeDocument/2006/relationships/hyperlink" Target="https://drive.google.com/open?id=1IPet0jz4YUyGu0owlq4kj12ElAAg6yTU" TargetMode="External"/><Relationship Id="rId103" Type="http://schemas.openxmlformats.org/officeDocument/2006/relationships/hyperlink" Target="https://www.facebook.com/conjer.quintinocunha" TargetMode="External"/><Relationship Id="rId310" Type="http://schemas.openxmlformats.org/officeDocument/2006/relationships/hyperlink" Target="https://drive.google.com/open?id=1UYje-aTXsfqekgmY6STjHgmgWOv4-Ql3" TargetMode="External"/><Relationship Id="rId1897" Type="http://schemas.openxmlformats.org/officeDocument/2006/relationships/hyperlink" Target="https://drive.google.com/open?id=1DI1K7CNMqrztQGn17uH5_F_KYw2anBz-" TargetMode="External"/><Relationship Id="rId1757" Type="http://schemas.openxmlformats.org/officeDocument/2006/relationships/hyperlink" Target="https://drive.google.com/open?id=1PUQTNJfsHifotXuglLdNdzkdKEQAVzk7" TargetMode="External"/><Relationship Id="rId1964" Type="http://schemas.openxmlformats.org/officeDocument/2006/relationships/hyperlink" Target="https://drive.google.com/open?id=14tU2e7_g2TejSHZ_DRK1le_d7t7bfAnL"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s://www.instagram.com/p/CX_Yn-JI38r/?utm_medium=copy_link" TargetMode="External"/><Relationship Id="rId170" Type="http://schemas.openxmlformats.org/officeDocument/2006/relationships/hyperlink" Target="https://instagram.com/dovalinhoguga?igshid=YmMyMTA2M2Y=" TargetMode="External"/><Relationship Id="rId268" Type="http://schemas.openxmlformats.org/officeDocument/2006/relationships/hyperlink" Target="https://drive.google.com/open?id=1xSaNUitWCCNXUGZ-FNwECC1tkW8dI4L0" TargetMode="External"/><Relationship Id="rId475" Type="http://schemas.openxmlformats.org/officeDocument/2006/relationships/hyperlink" Target="https://drive.google.com/open?id=1H3dR8LywJB5dhzs5gZWMhNOXf6T0eiYa" TargetMode="External"/><Relationship Id="rId682" Type="http://schemas.openxmlformats.org/officeDocument/2006/relationships/hyperlink" Target="https://drive.google.com/open?id=1FQn-u5aB9dAV8_kIWDfnz0oRRDP_dTfk" TargetMode="External"/><Relationship Id="rId128" Type="http://schemas.openxmlformats.org/officeDocument/2006/relationships/hyperlink" Target="https://www.linkedin.com/in/wellington-nascimento-969a7234/" TargetMode="External"/><Relationship Id="rId335" Type="http://schemas.openxmlformats.org/officeDocument/2006/relationships/hyperlink" Target="https://drive.google.com/open?id=1dkGONLBMSJ4G-fMKSAUskITLQFPX9d6e" TargetMode="External"/><Relationship Id="rId542" Type="http://schemas.openxmlformats.org/officeDocument/2006/relationships/hyperlink" Target="https://www.instagram.com/lucas.duarte85/" TargetMode="External"/><Relationship Id="rId987" Type="http://schemas.openxmlformats.org/officeDocument/2006/relationships/hyperlink" Target="https://drive.google.com/open?id=160KSnZ325d9Gqzne1yqUQsimzYRWZtI2" TargetMode="External"/><Relationship Id="rId1172" Type="http://schemas.openxmlformats.org/officeDocument/2006/relationships/hyperlink" Target="https://www.linkedin.com/in/alcione-rodrigues-b22213121" TargetMode="External"/><Relationship Id="rId402" Type="http://schemas.openxmlformats.org/officeDocument/2006/relationships/hyperlink" Target="https://drive.google.com/open?id=1INyDHbav6rDUxOgHptfEvB-HuzSAa2fQ" TargetMode="External"/><Relationship Id="rId847" Type="http://schemas.openxmlformats.org/officeDocument/2006/relationships/hyperlink" Target="https://www.linkedin.com/in/leticiawitzki/" TargetMode="External"/><Relationship Id="rId1032" Type="http://schemas.openxmlformats.org/officeDocument/2006/relationships/hyperlink" Target="http://linkedin.com/in/nill-santos-a7b99b183" TargetMode="External"/><Relationship Id="rId707" Type="http://schemas.openxmlformats.org/officeDocument/2006/relationships/hyperlink" Target="https://drive.google.com/open?id=1n3xSctsNxYHgzB6nSco9yWYHAI3fAb6r" TargetMode="External"/><Relationship Id="rId914" Type="http://schemas.openxmlformats.org/officeDocument/2006/relationships/hyperlink" Target="https://drive.google.com/open?id=1EKY3CYmJx8lpAODcH9_s8EHaiUhRnlGH" TargetMode="External"/><Relationship Id="rId43" Type="http://schemas.openxmlformats.org/officeDocument/2006/relationships/hyperlink" Target="https://drive.google.com/open?id=1pWsIHjF5Lgk-UdcdseUw5Ky7Xq37rghh" TargetMode="External"/><Relationship Id="rId192" Type="http://schemas.openxmlformats.org/officeDocument/2006/relationships/hyperlink" Target="https://drive.google.com/open?id=19YdOw9Sn-efnm--3BjtJ4miomfHQL2jt" TargetMode="External"/><Relationship Id="rId497" Type="http://schemas.openxmlformats.org/officeDocument/2006/relationships/hyperlink" Target="https://drive.google.com/open?id=14OYEeXNPDyuO4L63ffRh9V8L_Ov9s7nP" TargetMode="External"/><Relationship Id="rId357" Type="http://schemas.openxmlformats.org/officeDocument/2006/relationships/hyperlink" Target="https://br.linkedin.com/in/bruno-marcondes-anastacio-6b3b3b95" TargetMode="External"/><Relationship Id="rId1194" Type="http://schemas.openxmlformats.org/officeDocument/2006/relationships/hyperlink" Target="https://drive.google.com/open?id=1Rmdbt8O7YB11o-idYSMZeghnTIyBbsjE" TargetMode="External"/><Relationship Id="rId217" Type="http://schemas.openxmlformats.org/officeDocument/2006/relationships/hyperlink" Target="https://drive.google.com/open?id=1yhjmJSHKLHQ69HPnEz6-zTM0xr_bhItu" TargetMode="External"/><Relationship Id="rId564" Type="http://schemas.openxmlformats.org/officeDocument/2006/relationships/hyperlink" Target="https://drive.google.com/open?id=1lGGlJ-rg5gxqhNDJ3HqFa3cspLRUQdMV" TargetMode="External"/><Relationship Id="rId771" Type="http://schemas.openxmlformats.org/officeDocument/2006/relationships/hyperlink" Target="https://drive.google.com/open?id=1hNKiHNXNVBUVNa-9i0cn26bPYHXyIEzf" TargetMode="External"/><Relationship Id="rId869" Type="http://schemas.openxmlformats.org/officeDocument/2006/relationships/hyperlink" Target="https://drive.google.com/open?id=1wJwSJPiq4lSd8stGKR8xZaWVvFD-7yaq" TargetMode="External"/><Relationship Id="rId424" Type="http://schemas.openxmlformats.org/officeDocument/2006/relationships/hyperlink" Target="https://www.instagram.com/dra_flavia_goncalves/" TargetMode="External"/><Relationship Id="rId631" Type="http://schemas.openxmlformats.org/officeDocument/2006/relationships/hyperlink" Target="https://www.linkedin.com/in/jaqueline-oliveira-90664a1b5/?midToken=AQHIDWjkjLIB5g&amp;midSig=3fVuhkKMUVEpQ1&amp;trk=eml-email_job_alert_digest_01-header-40-profile&amp;trkEmail=eml-email_job_alert_digest_01-header-40-profile-null-dwi6c6%7Ekr6nedsj%7E51-null-neptune%252" TargetMode="External"/><Relationship Id="rId729" Type="http://schemas.openxmlformats.org/officeDocument/2006/relationships/hyperlink" Target="https://www.instagram.com/carols2antos/" TargetMode="External"/><Relationship Id="rId1054" Type="http://schemas.openxmlformats.org/officeDocument/2006/relationships/hyperlink" Target="https://instagram.com/tom_maiorcapoeira?utm_medium=copy_link" TargetMode="External"/><Relationship Id="rId936" Type="http://schemas.openxmlformats.org/officeDocument/2006/relationships/hyperlink" Target="https://drive.google.com/open?id=1F0qWftRinH5tEMXSP6o8b_yxlIb_wmg8" TargetMode="External"/><Relationship Id="rId1121" Type="http://schemas.openxmlformats.org/officeDocument/2006/relationships/hyperlink" Target="https://www.linkedin.com/in/fernanda-bento-silva-82b93816a" TargetMode="External"/><Relationship Id="rId65" Type="http://schemas.openxmlformats.org/officeDocument/2006/relationships/hyperlink" Target="https://drive.google.com/open?id=10xPON_uVNHGixJz7F7l-m8L-x7YfCs_N" TargetMode="External"/><Relationship Id="rId281" Type="http://schemas.openxmlformats.org/officeDocument/2006/relationships/hyperlink" Target="https://drive.google.com/open?id=1Hw-oE0dFFEbDF7PnqvfrBWXxrVeGjGFH" TargetMode="External"/><Relationship Id="rId141" Type="http://schemas.openxmlformats.org/officeDocument/2006/relationships/hyperlink" Target="https://www.linkedin.com/learning/" TargetMode="External"/><Relationship Id="rId379" Type="http://schemas.openxmlformats.org/officeDocument/2006/relationships/hyperlink" Target="https://drive.google.com/open?id=1Okes5Z737NEI0aUfQY8kQSunP_s0hF6C" TargetMode="External"/><Relationship Id="rId586" Type="http://schemas.openxmlformats.org/officeDocument/2006/relationships/hyperlink" Target="https://drive.google.com/open?id=10WLmah_jIu_mOuDf9rNcoZ2JYVUTpoKa" TargetMode="External"/><Relationship Id="rId793" Type="http://schemas.openxmlformats.org/officeDocument/2006/relationships/hyperlink" Target="https://instagram.com/ameasoficial?utm_medium=copy_link" TargetMode="External"/><Relationship Id="rId7" Type="http://schemas.openxmlformats.org/officeDocument/2006/relationships/hyperlink" Target="https://www.linkedin.com/in/danyburu" TargetMode="External"/><Relationship Id="rId239" Type="http://schemas.openxmlformats.org/officeDocument/2006/relationships/hyperlink" Target="https://instagram.com/elianerodrigues9?utm_medium=copy_link" TargetMode="External"/><Relationship Id="rId446" Type="http://schemas.openxmlformats.org/officeDocument/2006/relationships/hyperlink" Target="https://drive.google.com/open?id=1NyUIxCN_EMn57ez92pNa5zYn9zFdFnOJ" TargetMode="External"/><Relationship Id="rId653" Type="http://schemas.openxmlformats.org/officeDocument/2006/relationships/hyperlink" Target="https://www.facebook.com/professorgirleno1252/?ref=pages_you_manage" TargetMode="External"/><Relationship Id="rId1076" Type="http://schemas.openxmlformats.org/officeDocument/2006/relationships/hyperlink" Target="https://www.linkedin.com/in/ong-libertarios-do-cap%C3%A3o-redondo-0a58b157" TargetMode="External"/><Relationship Id="rId306" Type="http://schemas.openxmlformats.org/officeDocument/2006/relationships/hyperlink" Target="https://www.instagram.com/p/CXqqWwSg_FCP7CfFKKFFc54U_V6ly_36EKdLgk0/?utm_medium=copy_link" TargetMode="External"/><Relationship Id="rId860" Type="http://schemas.openxmlformats.org/officeDocument/2006/relationships/hyperlink" Target="https://drive.google.com/open?id=1ztvguk7CYKaQV_XpTEEXr4TBWqPXhJc1" TargetMode="External"/><Relationship Id="rId958" Type="http://schemas.openxmlformats.org/officeDocument/2006/relationships/hyperlink" Target="https://drive.google.com/open?id=1aT5Zp-0ZU4R8xA6SUmPvudXpAHz6zP6i" TargetMode="External"/><Relationship Id="rId1143" Type="http://schemas.openxmlformats.org/officeDocument/2006/relationships/hyperlink" Target="https://drive.google.com/open?id=1vlNrTAXCkRIb0hnx_m2iKgGvGQYF3_P4" TargetMode="External"/><Relationship Id="rId87" Type="http://schemas.openxmlformats.org/officeDocument/2006/relationships/hyperlink" Target="https://instagram.com/matheusgoncalves.pastor?igshid=YmMyMTA2M2Y=" TargetMode="External"/><Relationship Id="rId513" Type="http://schemas.openxmlformats.org/officeDocument/2006/relationships/hyperlink" Target="https://www.instagram.com/patypaty_santos/" TargetMode="External"/><Relationship Id="rId720" Type="http://schemas.openxmlformats.org/officeDocument/2006/relationships/hyperlink" Target="https://drive.google.com/open?id=1RPiNrFgwIbj924CRPuiMfmwuDj4DYHxo" TargetMode="External"/><Relationship Id="rId818" Type="http://schemas.openxmlformats.org/officeDocument/2006/relationships/hyperlink" Target="https://www.instagram.com/p/CZUqsP6pdOo/?utm_medium=copy_lin" TargetMode="External"/><Relationship Id="rId1003" Type="http://schemas.openxmlformats.org/officeDocument/2006/relationships/hyperlink" Target="https://instagram.com/cinsantanaecf?utm_medium=copy_link" TargetMode="External"/><Relationship Id="rId14" Type="http://schemas.openxmlformats.org/officeDocument/2006/relationships/hyperlink" Target="https://drive.google.com/open?id=1H_xJFtWztK_HgBtqRBCqFxyL6EDkqjQ-" TargetMode="External"/><Relationship Id="rId163" Type="http://schemas.openxmlformats.org/officeDocument/2006/relationships/hyperlink" Target="https://instagram.com/adoniranpaulinodospassos?utm_medium=copy_link" TargetMode="External"/><Relationship Id="rId370" Type="http://schemas.openxmlformats.org/officeDocument/2006/relationships/hyperlink" Target="https://www.instagram.com/djalmanunes_/" TargetMode="External"/><Relationship Id="rId230" Type="http://schemas.openxmlformats.org/officeDocument/2006/relationships/hyperlink" Target="https://www.linkedin.com/in/joaopaulorochacamargo/" TargetMode="External"/><Relationship Id="rId468" Type="http://schemas.openxmlformats.org/officeDocument/2006/relationships/hyperlink" Target="https://drive.google.com/open?id=1IYJSAH5GQdcbBfvhdt-tGKd58I2GUtH1" TargetMode="External"/><Relationship Id="rId675" Type="http://schemas.openxmlformats.org/officeDocument/2006/relationships/hyperlink" Target="https://drive.google.com/open?id=1ciExeS93bvtZmp1KaSLHTt0GX_Dcaoj9" TargetMode="External"/><Relationship Id="rId882" Type="http://schemas.openxmlformats.org/officeDocument/2006/relationships/hyperlink" Target="https://drive.google.com/open?id=1P6wpHD7tOkz9wHxIZpwnAvA80x2YF1ce" TargetMode="External"/><Relationship Id="rId1098" Type="http://schemas.openxmlformats.org/officeDocument/2006/relationships/hyperlink" Target="https://drive.google.com/open?id=1f9eXomrR741q31ASOtg_LXlgCekiEKiD" TargetMode="External"/><Relationship Id="rId328" Type="http://schemas.openxmlformats.org/officeDocument/2006/relationships/hyperlink" Target="https://drive.google.com/open?id=18p5_PXIU6XPQWmXHv8NrldKY6-VRakoh" TargetMode="External"/><Relationship Id="rId535" Type="http://schemas.openxmlformats.org/officeDocument/2006/relationships/hyperlink" Target="https://drive.google.com/open?id=1e32fkozuD90R7Y0QO35bq2AOVv34I9Kt" TargetMode="External"/><Relationship Id="rId742" Type="http://schemas.openxmlformats.org/officeDocument/2006/relationships/hyperlink" Target="https://instagram.com/andrechatubamma?utm_medium=copy_link" TargetMode="External"/><Relationship Id="rId1165" Type="http://schemas.openxmlformats.org/officeDocument/2006/relationships/hyperlink" Target="https://drive.google.com/open?id=1JH9Zl3ocEMYpkI4w4mW-W6R1yIm9nBzS" TargetMode="External"/><Relationship Id="rId602" Type="http://schemas.openxmlformats.org/officeDocument/2006/relationships/hyperlink" Target="https://drive.google.com/open?id=1GY4nANPksxjm0L13hCM1n4v_7wwub2B6" TargetMode="External"/><Relationship Id="rId1025" Type="http://schemas.openxmlformats.org/officeDocument/2006/relationships/hyperlink" Target="https://www.linkedin.com/in/dener-moraes-06287818b" TargetMode="External"/><Relationship Id="rId907" Type="http://schemas.openxmlformats.org/officeDocument/2006/relationships/hyperlink" Target="https://www.instagram.com/empreendedoraalinemelo/" TargetMode="External"/><Relationship Id="rId36" Type="http://schemas.openxmlformats.org/officeDocument/2006/relationships/hyperlink" Target="https://drive.google.com/open?id=190GV41MOKCuo7fjmlP6_7sHvupPUtGrD" TargetMode="External"/><Relationship Id="rId185" Type="http://schemas.openxmlformats.org/officeDocument/2006/relationships/hyperlink" Target="https://drive.google.com/open?id=1BNEGMU58VHaM7IeFqqseoC18H8oKQ52q" TargetMode="External"/><Relationship Id="rId392" Type="http://schemas.openxmlformats.org/officeDocument/2006/relationships/hyperlink" Target="https://www.instagram.com/p/Cc_megbpDFD/?igshid=YmMyMTA2M2Y=" TargetMode="External"/><Relationship Id="rId697" Type="http://schemas.openxmlformats.org/officeDocument/2006/relationships/hyperlink" Target="https://drive.google.com/open?id=10HmRR2kNQVdcqv2JpNC4J7KT37I9V62T" TargetMode="External"/><Relationship Id="rId252" Type="http://schemas.openxmlformats.org/officeDocument/2006/relationships/hyperlink" Target="https://drive.google.com/open?id=14HL6cJqBiU-3e08McYyiZ1-MQtYIJt2Q" TargetMode="External"/><Relationship Id="rId1187" Type="http://schemas.openxmlformats.org/officeDocument/2006/relationships/hyperlink" Target="https://drive.google.com/open?id=1NLWnQ4yd9EY_JJPhzaC6UQJoloADfSn1" TargetMode="External"/><Relationship Id="rId112" Type="http://schemas.openxmlformats.org/officeDocument/2006/relationships/hyperlink" Target="https://drive.google.com/open?id=1F9sDvK5LCJmzV7jAByB2ozTUF6Ir9316" TargetMode="External"/><Relationship Id="rId557" Type="http://schemas.openxmlformats.org/officeDocument/2006/relationships/hyperlink" Target="https://drive.google.com/open?id=1yxX85NXSxXoEzTJyrlXw7eYxy4Jmw-R-" TargetMode="External"/><Relationship Id="rId764" Type="http://schemas.openxmlformats.org/officeDocument/2006/relationships/hyperlink" Target="https://drive.google.com/open?id=1w2x1FOnVpdxpl-AREkdjJx6S9wTz_fKS" TargetMode="External"/><Relationship Id="rId971" Type="http://schemas.openxmlformats.org/officeDocument/2006/relationships/hyperlink" Target="https://www.instagram.com/brunasimaozinho" TargetMode="External"/><Relationship Id="rId417" Type="http://schemas.openxmlformats.org/officeDocument/2006/relationships/hyperlink" Target="https://instagram.com/carlamuller?utm_medium=copy_link" TargetMode="External"/><Relationship Id="rId624" Type="http://schemas.openxmlformats.org/officeDocument/2006/relationships/hyperlink" Target="https://www.linkedin.com/in/angelica-costa-0171b815" TargetMode="External"/><Relationship Id="rId831" Type="http://schemas.openxmlformats.org/officeDocument/2006/relationships/hyperlink" Target="https://drive.google.com/open?id=11zzJToPXQ-cUXL1YCLigTvgbPzkWwDrz" TargetMode="External"/><Relationship Id="rId1047" Type="http://schemas.openxmlformats.org/officeDocument/2006/relationships/hyperlink" Target="https://www.instagram.com/deborabatistacis/" TargetMode="External"/><Relationship Id="rId929" Type="http://schemas.openxmlformats.org/officeDocument/2006/relationships/hyperlink" Target="https://www.instagram.com/camilaincanto/" TargetMode="External"/><Relationship Id="rId1114" Type="http://schemas.openxmlformats.org/officeDocument/2006/relationships/hyperlink" Target="https://drive.google.com/open?id=1mpT_OZt3DRBDicUM1bdyDPaLt-5zPx_w" TargetMode="External"/><Relationship Id="rId58" Type="http://schemas.openxmlformats.org/officeDocument/2006/relationships/hyperlink" Target="https://drive.google.com/open?id=1QedQ5m8Kf4XOEg7-OrrB3XjYT4HKwWo4" TargetMode="External"/><Relationship Id="rId274" Type="http://schemas.openxmlformats.org/officeDocument/2006/relationships/hyperlink" Target="https://drive.google.com/open?id=1KEUn6oZtH8yxhlP16X35B-giDuWwzjg5" TargetMode="External"/><Relationship Id="rId481" Type="http://schemas.openxmlformats.org/officeDocument/2006/relationships/hyperlink" Target="https://drive.google.com/open?id=1Rn7yzOY7D1rUE0MVucmQ7s9RkkSmkuW7" TargetMode="External"/><Relationship Id="rId134" Type="http://schemas.openxmlformats.org/officeDocument/2006/relationships/hyperlink" Target="https://drive.google.com/open?id=1cpz2rPcnWbNs-8wibYDK4X6iIpgHF9j8" TargetMode="External"/><Relationship Id="rId579" Type="http://schemas.openxmlformats.org/officeDocument/2006/relationships/hyperlink" Target="http://linkedin.com/in/sonia-bernardi-benini-070a9a75" TargetMode="External"/><Relationship Id="rId786" Type="http://schemas.openxmlformats.org/officeDocument/2006/relationships/hyperlink" Target="https://www.linkedin.com/in/wagner-ramalho-6783251b2/" TargetMode="External"/><Relationship Id="rId993" Type="http://schemas.openxmlformats.org/officeDocument/2006/relationships/hyperlink" Target="https://drive.google.com/open?id=1m32qZqSFa1DIecIL-GkrHBaQr9pZwA-T" TargetMode="External"/><Relationship Id="rId341" Type="http://schemas.openxmlformats.org/officeDocument/2006/relationships/hyperlink" Target="https://drive.google.com/open?id=1TPONM5_mA8YyulITWmDE8J2mZ_E_Z0lg" TargetMode="External"/><Relationship Id="rId439" Type="http://schemas.openxmlformats.org/officeDocument/2006/relationships/hyperlink" Target="https://www.linkedin.com/in/lucimara-ribeiro-costa-894061200" TargetMode="External"/><Relationship Id="rId646" Type="http://schemas.openxmlformats.org/officeDocument/2006/relationships/hyperlink" Target="https://www.linkedin.com/in/davidson-carvalho-429214236/" TargetMode="External"/><Relationship Id="rId1069" Type="http://schemas.openxmlformats.org/officeDocument/2006/relationships/hyperlink" Target="https://www.instagram.com/kajesoares/" TargetMode="External"/><Relationship Id="rId201" Type="http://schemas.openxmlformats.org/officeDocument/2006/relationships/hyperlink" Target="https://drive.google.com/open?id=1k4BAIIeuXh31Ug0tfLxLra8vVJwPDPaq" TargetMode="External"/><Relationship Id="rId506" Type="http://schemas.openxmlformats.org/officeDocument/2006/relationships/hyperlink" Target="https://drive.google.com/open?id=1aREbOJyNzqsVVj6ge87C6rRmAV5tJOXG" TargetMode="External"/><Relationship Id="rId853" Type="http://schemas.openxmlformats.org/officeDocument/2006/relationships/hyperlink" Target="https://drive.google.com/open?id=1-fjnPuj43pm9ct49n8NqWddiJ9p67DRX" TargetMode="External"/><Relationship Id="rId1136" Type="http://schemas.openxmlformats.org/officeDocument/2006/relationships/hyperlink" Target="https://www.linkedin.com/in/graziella-porfirio-263b68190/" TargetMode="External"/><Relationship Id="rId713" Type="http://schemas.openxmlformats.org/officeDocument/2006/relationships/hyperlink" Target="https://instagram.com/mari.nunes.gomes" TargetMode="External"/><Relationship Id="rId920" Type="http://schemas.openxmlformats.org/officeDocument/2006/relationships/hyperlink" Target="https://drive.google.com/open?id=1LzwquS-Xehn6P_m5tLz5z6dJgq6SBz4-" TargetMode="External"/><Relationship Id="rId212" Type="http://schemas.openxmlformats.org/officeDocument/2006/relationships/hyperlink" Target="https://drive.google.com/open?id=1S2ToFED9nE09Ebig4UTkVvtoROWPtlrm" TargetMode="External"/><Relationship Id="rId657" Type="http://schemas.openxmlformats.org/officeDocument/2006/relationships/hyperlink" Target="https://drive.google.com/open?id=1D-DtTq4pgJzoj3WYPPmUe6JkYLdKJ62_" TargetMode="External"/><Relationship Id="rId864" Type="http://schemas.openxmlformats.org/officeDocument/2006/relationships/hyperlink" Target="https://drive.google.com/open?id=1qDnQNuubPMMRK0-BUfbjvR3EfafGSjWU" TargetMode="External"/><Relationship Id="rId296" Type="http://schemas.openxmlformats.org/officeDocument/2006/relationships/hyperlink" Target="https://www.instagram.com/raquel.snarciso/" TargetMode="External"/><Relationship Id="rId517" Type="http://schemas.openxmlformats.org/officeDocument/2006/relationships/hyperlink" Target="https://drive.google.com/open?id=1smA-5eLgbZ3yegS-NscyXZ2MxSzaWxi4" TargetMode="External"/><Relationship Id="rId724" Type="http://schemas.openxmlformats.org/officeDocument/2006/relationships/hyperlink" Target="https://drive.google.com/open?id=1WXCYkzMdFZYxaU475d8DQTf44nlW1gf1" TargetMode="External"/><Relationship Id="rId931" Type="http://schemas.openxmlformats.org/officeDocument/2006/relationships/hyperlink" Target="https://www.linkedin.com/in/thiago-otero-100604203/" TargetMode="External"/><Relationship Id="rId1147" Type="http://schemas.openxmlformats.org/officeDocument/2006/relationships/hyperlink" Target="https://www.instagram.com/liviasilveiraa/?hl=pt-br" TargetMode="External"/><Relationship Id="rId60" Type="http://schemas.openxmlformats.org/officeDocument/2006/relationships/hyperlink" Target="https://drive.google.com/open?id=1AsfuKArR241exDWT9e65CC8Va9i1SOpn" TargetMode="External"/><Relationship Id="rId156" Type="http://schemas.openxmlformats.org/officeDocument/2006/relationships/hyperlink" Target="https://drive.google.com/open?id=1V8Xk-XFQQ_K1xFlehXrJrg28hVTsJnLL" TargetMode="External"/><Relationship Id="rId363" Type="http://schemas.openxmlformats.org/officeDocument/2006/relationships/hyperlink" Target="https://drive.google.com/open?id=1q1dT4_8jCA8CV4bWK78gQ7gmvlb1Osfk" TargetMode="External"/><Relationship Id="rId570" Type="http://schemas.openxmlformats.org/officeDocument/2006/relationships/hyperlink" Target="https://instagram.com/crisherculian" TargetMode="External"/><Relationship Id="rId1007" Type="http://schemas.openxmlformats.org/officeDocument/2006/relationships/hyperlink" Target="https://drive.google.com/open?id=1WC5XX3ZVNeAUzSqrW9n9PbtAnflJkpq3" TargetMode="External"/><Relationship Id="rId223" Type="http://schemas.openxmlformats.org/officeDocument/2006/relationships/hyperlink" Target="https://drive.google.com/open?id=1geGnNoeXC6rPFvARIRkb6yEE_z2Vkmti" TargetMode="External"/><Relationship Id="rId430" Type="http://schemas.openxmlformats.org/officeDocument/2006/relationships/hyperlink" Target="https://instagram.com/institutopelicano?utm_medium=copy_link" TargetMode="External"/><Relationship Id="rId668" Type="http://schemas.openxmlformats.org/officeDocument/2006/relationships/hyperlink" Target="http://instagram.com/diogobandock" TargetMode="External"/><Relationship Id="rId875" Type="http://schemas.openxmlformats.org/officeDocument/2006/relationships/hyperlink" Target="https://www.instagram.com/soraiatomaz/" TargetMode="External"/><Relationship Id="rId1060" Type="http://schemas.openxmlformats.org/officeDocument/2006/relationships/hyperlink" Target="https://www.instagram.com/lidinalva.fernandes/" TargetMode="External"/><Relationship Id="rId18" Type="http://schemas.openxmlformats.org/officeDocument/2006/relationships/hyperlink" Target="https://drive.google.com/open?id=1zlMUS59KAGgi8gYTm8WS8kTrxqUfAjl5" TargetMode="External"/><Relationship Id="rId528" Type="http://schemas.openxmlformats.org/officeDocument/2006/relationships/hyperlink" Target="https://www.linkedin.com/in/gisele.lasserre" TargetMode="External"/><Relationship Id="rId735" Type="http://schemas.openxmlformats.org/officeDocument/2006/relationships/hyperlink" Target="https://drive.google.com/open?id=1RWdk7FQXqbO27ZKAu6jB9Jf3DgqwxSJp" TargetMode="External"/><Relationship Id="rId942" Type="http://schemas.openxmlformats.org/officeDocument/2006/relationships/hyperlink" Target="https://www.linkedin.com/feed" TargetMode="External"/><Relationship Id="rId1158" Type="http://schemas.openxmlformats.org/officeDocument/2006/relationships/hyperlink" Target="https://www.linkedin.com/in/margarida-minervina-da-silva-790661169" TargetMode="External"/><Relationship Id="rId167" Type="http://schemas.openxmlformats.org/officeDocument/2006/relationships/hyperlink" Target="https://drive.google.com/open?id=1TPFVdgUXsGQHE3Tpqse86yaLSrKNinGo" TargetMode="External"/><Relationship Id="rId374" Type="http://schemas.openxmlformats.org/officeDocument/2006/relationships/hyperlink" Target="https://instagram.com/edsonjapaobr" TargetMode="External"/><Relationship Id="rId581" Type="http://schemas.openxmlformats.org/officeDocument/2006/relationships/hyperlink" Target="https://drive.google.com/open?id=13oh3tORHU2YU_TcyCrP3lqe0ACn3qatv" TargetMode="External"/><Relationship Id="rId1018" Type="http://schemas.openxmlformats.org/officeDocument/2006/relationships/hyperlink" Target="https://www.instagram.com/patriciaoliveirasc/" TargetMode="External"/><Relationship Id="rId71" Type="http://schemas.openxmlformats.org/officeDocument/2006/relationships/hyperlink" Target="https://www.instagram.com/silvinhapaiva/" TargetMode="External"/><Relationship Id="rId234" Type="http://schemas.openxmlformats.org/officeDocument/2006/relationships/hyperlink" Target="https://www.instagram.com/kalferreira.71/" TargetMode="External"/><Relationship Id="rId679" Type="http://schemas.openxmlformats.org/officeDocument/2006/relationships/hyperlink" Target="https://instagram.com/amanda.marques.3781?utm_medium=copy_link" TargetMode="External"/><Relationship Id="rId802" Type="http://schemas.openxmlformats.org/officeDocument/2006/relationships/hyperlink" Target="https://drive.google.com/open?id=1u9UpjxpQETbNQ6ah3PYU11qE6TFnMDXM" TargetMode="External"/><Relationship Id="rId886" Type="http://schemas.openxmlformats.org/officeDocument/2006/relationships/hyperlink" Target="https://drive.google.com/open?id=1VOuzwniU_as2i_QKJJe44rk9EDy8WEju" TargetMode="External"/><Relationship Id="rId2" Type="http://schemas.openxmlformats.org/officeDocument/2006/relationships/hyperlink" Target="https://instagram.com/rodrigosabiah?utm_medium=copy_link" TargetMode="External"/><Relationship Id="rId29" Type="http://schemas.openxmlformats.org/officeDocument/2006/relationships/hyperlink" Target="https://drive.google.com/open?id=1aKqIxDIHExO-Xo3Ztcl1MaOv2TWR08Qg" TargetMode="External"/><Relationship Id="rId441" Type="http://schemas.openxmlformats.org/officeDocument/2006/relationships/hyperlink" Target="https://drive.google.com/open?id=1gMFPQrmwb9ahrLWTTKtHIenL053AdSIs" TargetMode="External"/><Relationship Id="rId539" Type="http://schemas.openxmlformats.org/officeDocument/2006/relationships/hyperlink" Target="http://www.linkedin.com/in/juliasgoulart" TargetMode="External"/><Relationship Id="rId746" Type="http://schemas.openxmlformats.org/officeDocument/2006/relationships/hyperlink" Target="https://instagram.com/kauannatoppa?utm_medium=copy_link" TargetMode="External"/><Relationship Id="rId1071" Type="http://schemas.openxmlformats.org/officeDocument/2006/relationships/hyperlink" Target="https://www.linkedin.com/in/thamires-castro-03901810a" TargetMode="External"/><Relationship Id="rId1169" Type="http://schemas.openxmlformats.org/officeDocument/2006/relationships/hyperlink" Target="https://www.instagram.com/p/CRAg6gKs8Lz/?utm_medium=copy_link" TargetMode="External"/><Relationship Id="rId178" Type="http://schemas.openxmlformats.org/officeDocument/2006/relationships/hyperlink" Target="https://drive.google.com/open?id=19UflmionzOOzm7lv8spKCJlvYGESwkja" TargetMode="External"/><Relationship Id="rId301" Type="http://schemas.openxmlformats.org/officeDocument/2006/relationships/hyperlink" Target="https://www.instagram.com/pra.silvia.9/p/CYxP1L9p8Z3/?utm_medium=share_sheet" TargetMode="External"/><Relationship Id="rId953" Type="http://schemas.openxmlformats.org/officeDocument/2006/relationships/hyperlink" Target="https://drive.google.com/open?id=1S8z7NAzFJ9FUQGYX3CtXHfHbnEoKP_ik" TargetMode="External"/><Relationship Id="rId1029" Type="http://schemas.openxmlformats.org/officeDocument/2006/relationships/hyperlink" Target="https://drive.google.com/open?id=1FQcTfWw_IHIbnu7jcLcrFAD0m65O-F-S" TargetMode="External"/><Relationship Id="rId82" Type="http://schemas.openxmlformats.org/officeDocument/2006/relationships/hyperlink" Target="https://www.instagram.com/tulio_damascena/" TargetMode="External"/><Relationship Id="rId385" Type="http://schemas.openxmlformats.org/officeDocument/2006/relationships/hyperlink" Target="https://www.instagram.com/invites/contact/?i=d3icefuxnnhd&amp;utm_content=1lfnwwx" TargetMode="External"/><Relationship Id="rId592" Type="http://schemas.openxmlformats.org/officeDocument/2006/relationships/hyperlink" Target="https://www.instagram.com/sandroczq/" TargetMode="External"/><Relationship Id="rId606" Type="http://schemas.openxmlformats.org/officeDocument/2006/relationships/hyperlink" Target="https://drive.google.com/open?id=1yAAeHBAT6BO0GDR_tu-UAM5HRhOMV9n4" TargetMode="External"/><Relationship Id="rId813" Type="http://schemas.openxmlformats.org/officeDocument/2006/relationships/hyperlink" Target="http://instagram.com/fecampanile" TargetMode="External"/><Relationship Id="rId245" Type="http://schemas.openxmlformats.org/officeDocument/2006/relationships/hyperlink" Target="https://drive.google.com/open?id=1OVhP1ER0dEOAvtOCgpqOESk7v5BiU0N9" TargetMode="External"/><Relationship Id="rId452" Type="http://schemas.openxmlformats.org/officeDocument/2006/relationships/hyperlink" Target="https://drive.google.com/open?id=1sWpcgSLrIiiyuvcqUYmBWRvc4AN4ngMr" TargetMode="External"/><Relationship Id="rId897" Type="http://schemas.openxmlformats.org/officeDocument/2006/relationships/hyperlink" Target="https://www.linkedin.com/in/odete-aquino-47946b236" TargetMode="External"/><Relationship Id="rId1082" Type="http://schemas.openxmlformats.org/officeDocument/2006/relationships/hyperlink" Target="https://drive.google.com/open?id=1-Lys8KRyJab7v9y6Vry3eNjJLwmnS8GO" TargetMode="External"/><Relationship Id="rId105" Type="http://schemas.openxmlformats.org/officeDocument/2006/relationships/hyperlink" Target="https://www.instagram.com/leidedeolliveira/p/CU44lIIr6U-/?utm_medium=copy_link" TargetMode="External"/><Relationship Id="rId312" Type="http://schemas.openxmlformats.org/officeDocument/2006/relationships/hyperlink" Target="https://drive.google.com/open?id=1WRIlpync4wfmuYPaJmDS6NpQvSbSRTG6" TargetMode="External"/><Relationship Id="rId757" Type="http://schemas.openxmlformats.org/officeDocument/2006/relationships/hyperlink" Target="https://drive.google.com/open?id=1Wk4VMVGXbvnh2_DC_ZcdHASXIERgcHx4" TargetMode="External"/><Relationship Id="rId964" Type="http://schemas.openxmlformats.org/officeDocument/2006/relationships/hyperlink" Target="https://drive.google.com/open?id=1yr28zThW-mDXvlbi7IFR7zTXVD0J4SWk" TargetMode="External"/><Relationship Id="rId93" Type="http://schemas.openxmlformats.org/officeDocument/2006/relationships/hyperlink" Target="http://linkedin.com/in/nilma-rodrigues-b1022a35" TargetMode="External"/><Relationship Id="rId189" Type="http://schemas.openxmlformats.org/officeDocument/2006/relationships/hyperlink" Target="https://drive.google.com/open?id=1biw_yO1gJu4k-7U0RlhG0YCkMh8JKgvG" TargetMode="External"/><Relationship Id="rId396" Type="http://schemas.openxmlformats.org/officeDocument/2006/relationships/hyperlink" Target="https://www.instagram.com/claudia__alves79/tv/CYSYB6XjYeg/?utm_medium=copy_link" TargetMode="External"/><Relationship Id="rId617" Type="http://schemas.openxmlformats.org/officeDocument/2006/relationships/hyperlink" Target="https://drive.google.com/open?id=14jd-qqED4QMWqUkD6nVgzFvP7M_3_29n" TargetMode="External"/><Relationship Id="rId824" Type="http://schemas.openxmlformats.org/officeDocument/2006/relationships/hyperlink" Target="https://www.linkedin.com/in/marilene-rodrigues-a74774115/" TargetMode="External"/><Relationship Id="rId256" Type="http://schemas.openxmlformats.org/officeDocument/2006/relationships/hyperlink" Target="https://www.instagram.com/marcelotrindadestm/" TargetMode="External"/><Relationship Id="rId463" Type="http://schemas.openxmlformats.org/officeDocument/2006/relationships/hyperlink" Target="https://instagram.com/igorchatubinha?igshid=YmMyMTA2M2Y=" TargetMode="External"/><Relationship Id="rId670" Type="http://schemas.openxmlformats.org/officeDocument/2006/relationships/hyperlink" Target="https://www.instagram.com/p/Cb-FQDXO-0_/?utm_medium=copy_link" TargetMode="External"/><Relationship Id="rId1093" Type="http://schemas.openxmlformats.org/officeDocument/2006/relationships/hyperlink" Target="https://drive.google.com/open?id=1avIcYCsxnm2gukfdoKNyoETt28xSY7oT" TargetMode="External"/><Relationship Id="rId1107" Type="http://schemas.openxmlformats.org/officeDocument/2006/relationships/hyperlink" Target="https://www.linkedin.com/in/uelitonrocha" TargetMode="External"/><Relationship Id="rId116" Type="http://schemas.openxmlformats.org/officeDocument/2006/relationships/hyperlink" Target="https://drive.google.com/open?id=1xbChjiXENRjFS25V3LN4VmYDjHQSrQ1y" TargetMode="External"/><Relationship Id="rId323" Type="http://schemas.openxmlformats.org/officeDocument/2006/relationships/hyperlink" Target="https://www.instagram.com/deborasouzaadv/" TargetMode="External"/><Relationship Id="rId530" Type="http://schemas.openxmlformats.org/officeDocument/2006/relationships/hyperlink" Target="https://drive.google.com/open?id=1Sg-gNg0LwNeZE7F82Gh1sjoPo3FtSsBq" TargetMode="External"/><Relationship Id="rId768" Type="http://schemas.openxmlformats.org/officeDocument/2006/relationships/hyperlink" Target="https://drive.google.com/open?id=1amuHR4WwW8X01en8zblNGrBzpzCUyuQh" TargetMode="External"/><Relationship Id="rId975" Type="http://schemas.openxmlformats.org/officeDocument/2006/relationships/hyperlink" Target="https://www.instagram.com/reel/CbyAZQEu3ls/?utm_medium=copy_link" TargetMode="External"/><Relationship Id="rId1160" Type="http://schemas.openxmlformats.org/officeDocument/2006/relationships/hyperlink" Target="https://drive.google.com/open?id=1DIeaX3NqyOOH23coh_ArwkyIHy-jRA-R" TargetMode="External"/><Relationship Id="rId20" Type="http://schemas.openxmlformats.org/officeDocument/2006/relationships/hyperlink" Target="https://drive.google.com/open?id=12bq2yNKMFgFevP4NOtpDE4zTZAdaOs0T" TargetMode="External"/><Relationship Id="rId628" Type="http://schemas.openxmlformats.org/officeDocument/2006/relationships/hyperlink" Target="https://www.instagram.com/eraldonoronha/" TargetMode="External"/><Relationship Id="rId835" Type="http://schemas.openxmlformats.org/officeDocument/2006/relationships/hyperlink" Target="https://drive.google.com/open?id=1lZWPbo1hBD_MNS4-Js3URYnQZJ3bny1S" TargetMode="External"/><Relationship Id="rId267" Type="http://schemas.openxmlformats.org/officeDocument/2006/relationships/hyperlink" Target="https://www.instagram.com/p/CXeuv-YLkjdHTu3jpY5Qlrez33Z1_v6-iNVOqg0/?utm_medium=copy_link" TargetMode="External"/><Relationship Id="rId474" Type="http://schemas.openxmlformats.org/officeDocument/2006/relationships/hyperlink" Target="https://www.instagram.com/llaisnogueira/" TargetMode="External"/><Relationship Id="rId1020" Type="http://schemas.openxmlformats.org/officeDocument/2006/relationships/hyperlink" Target="https://drive.google.com/open?id=1DbeysCamRKbMPNKy6N8-CB_ga-BzCG6x" TargetMode="External"/><Relationship Id="rId1118" Type="http://schemas.openxmlformats.org/officeDocument/2006/relationships/hyperlink" Target="https://www.linkedin.com/in/elizeu-silva-2bb139101" TargetMode="External"/><Relationship Id="rId127" Type="http://schemas.openxmlformats.org/officeDocument/2006/relationships/hyperlink" Target="https://drive.google.com/open?id=1CzKxzIX-HTAbUhwkS0GrOtuR1ZJm8WEj" TargetMode="External"/><Relationship Id="rId681" Type="http://schemas.openxmlformats.org/officeDocument/2006/relationships/hyperlink" Target="https://www.instagram.com/thalita_o_garcia/" TargetMode="External"/><Relationship Id="rId779" Type="http://schemas.openxmlformats.org/officeDocument/2006/relationships/hyperlink" Target="https://drive.google.com/open?id=1G8weItdmvo3bWZTbPvteV4dNycEqznAQ" TargetMode="External"/><Relationship Id="rId902" Type="http://schemas.openxmlformats.org/officeDocument/2006/relationships/hyperlink" Target="https://drive.google.com/open?id=1fBPm0GzJ9e-Qz-t0nTTt1g9arZiDDEsP" TargetMode="External"/><Relationship Id="rId986" Type="http://schemas.openxmlformats.org/officeDocument/2006/relationships/hyperlink" Target="https://drive.google.com/open?id=1Dw5zMvYnku585HPzOf1EfuBPYFd4oA0R" TargetMode="External"/><Relationship Id="rId31" Type="http://schemas.openxmlformats.org/officeDocument/2006/relationships/hyperlink" Target="https://drive.google.com/open?id=1YNMnDI12WC3suyEOjoKnvKgQyU5LnFbG" TargetMode="External"/><Relationship Id="rId334" Type="http://schemas.openxmlformats.org/officeDocument/2006/relationships/hyperlink" Target="https://www.instagram.com/alinepierrobom" TargetMode="External"/><Relationship Id="rId541" Type="http://schemas.openxmlformats.org/officeDocument/2006/relationships/hyperlink" Target="https://drive.google.com/open?id=1XHU-NepH1WwzgMqf_Vh1td87fyy0WcJl" TargetMode="External"/><Relationship Id="rId639" Type="http://schemas.openxmlformats.org/officeDocument/2006/relationships/hyperlink" Target="https://drive.google.com/open?id=1eI4arBSINrxK9YZONG69Asaa5SjbLiyl" TargetMode="External"/><Relationship Id="rId1171" Type="http://schemas.openxmlformats.org/officeDocument/2006/relationships/hyperlink" Target="https://drive.google.com/open?id=1rrLLVE3wghtQpyvPEqwpzDA7JHkOGbMw" TargetMode="External"/><Relationship Id="rId180" Type="http://schemas.openxmlformats.org/officeDocument/2006/relationships/hyperlink" Target="https://drive.google.com/open?id=1k6pus-pX8QhiqKifKij2u9gT5Ev_wDZC" TargetMode="External"/><Relationship Id="rId278" Type="http://schemas.openxmlformats.org/officeDocument/2006/relationships/hyperlink" Target="https://instagram.com/tatianalinharesqueiroz?utm_medium=copy_link" TargetMode="External"/><Relationship Id="rId401" Type="http://schemas.openxmlformats.org/officeDocument/2006/relationships/hyperlink" Target="https://drive.google.com/open?id=1AjXqd6Bd4csw8z7lEfjPI1wirSW21NLN" TargetMode="External"/><Relationship Id="rId846" Type="http://schemas.openxmlformats.org/officeDocument/2006/relationships/hyperlink" Target="https://drive.google.com/open?id=1Wchw9b415gHMsWNW9a3oPIkk-m4YVYWm" TargetMode="External"/><Relationship Id="rId1031" Type="http://schemas.openxmlformats.org/officeDocument/2006/relationships/hyperlink" Target="https://drive.google.com/open?id=19N-BAhI0QxbC20xGgfv22Lg2UarZ6gzl" TargetMode="External"/><Relationship Id="rId1129" Type="http://schemas.openxmlformats.org/officeDocument/2006/relationships/hyperlink" Target="https://www.linkedin.com/in/fl%C3%A1vio-almeida-729a731ba/" TargetMode="External"/><Relationship Id="rId485" Type="http://schemas.openxmlformats.org/officeDocument/2006/relationships/hyperlink" Target="https://drive.google.com/open?id=1_rj2uDOCIvcsIcToXNp2-O37cuxga6yM" TargetMode="External"/><Relationship Id="rId692" Type="http://schemas.openxmlformats.org/officeDocument/2006/relationships/hyperlink" Target="http://instagram.com/eliana.emarca" TargetMode="External"/><Relationship Id="rId706" Type="http://schemas.openxmlformats.org/officeDocument/2006/relationships/hyperlink" Target="http://www.instagram.com/fabriciosilvestre" TargetMode="External"/><Relationship Id="rId913" Type="http://schemas.openxmlformats.org/officeDocument/2006/relationships/hyperlink" Target="https://instagram.com/dodo_silva.of?utm_medium=copy_link" TargetMode="External"/><Relationship Id="rId42" Type="http://schemas.openxmlformats.org/officeDocument/2006/relationships/hyperlink" Target="https://www.instagram.com/forcajovem.km20/" TargetMode="External"/><Relationship Id="rId138" Type="http://schemas.openxmlformats.org/officeDocument/2006/relationships/hyperlink" Target="https://drive.google.com/open?id=1zA23spmbDGEXc6fhr2tPyMjgz7fY8Xzw" TargetMode="External"/><Relationship Id="rId345" Type="http://schemas.openxmlformats.org/officeDocument/2006/relationships/hyperlink" Target="http://www.linkedin.com/in/jedsonmoura" TargetMode="External"/><Relationship Id="rId552" Type="http://schemas.openxmlformats.org/officeDocument/2006/relationships/hyperlink" Target="https://drive.google.com/open?id=1MUOPxSkLt5jxq_OGVSu9q9nYKUkXoOv0" TargetMode="External"/><Relationship Id="rId997" Type="http://schemas.openxmlformats.org/officeDocument/2006/relationships/hyperlink" Target="https://instagram.com/odilonnaraujo?utm_medium=copy_link" TargetMode="External"/><Relationship Id="rId1182" Type="http://schemas.openxmlformats.org/officeDocument/2006/relationships/hyperlink" Target="https://drive.google.com/open?id=1wqdRVNgdM9vY4wBXyQsneRFNwDcqiIb7" TargetMode="External"/><Relationship Id="rId191" Type="http://schemas.openxmlformats.org/officeDocument/2006/relationships/hyperlink" Target="https://www.instagram.com/dudalemosce/" TargetMode="External"/><Relationship Id="rId205" Type="http://schemas.openxmlformats.org/officeDocument/2006/relationships/hyperlink" Target="https://www.instagram.com/rafaels085/" TargetMode="External"/><Relationship Id="rId412" Type="http://schemas.openxmlformats.org/officeDocument/2006/relationships/hyperlink" Target="https://drive.google.com/open?id=1aIakRJrrnNQI6pYM2dTa4tHlJFuSIxES" TargetMode="External"/><Relationship Id="rId857" Type="http://schemas.openxmlformats.org/officeDocument/2006/relationships/hyperlink" Target="https://drive.google.com/open?id=1O6rFTlh8KxWKAlRG7YDQg8JxxY2xNguD" TargetMode="External"/><Relationship Id="rId1042" Type="http://schemas.openxmlformats.org/officeDocument/2006/relationships/hyperlink" Target="https://instagram.com/anderson_silvap?utm_medium=copy_link" TargetMode="External"/><Relationship Id="rId289" Type="http://schemas.openxmlformats.org/officeDocument/2006/relationships/hyperlink" Target="https://www.linkedin.com/mwlite/in/paula-mesquita-590468127" TargetMode="External"/><Relationship Id="rId496" Type="http://schemas.openxmlformats.org/officeDocument/2006/relationships/hyperlink" Target="https://www.instagram.com/fernando_eufigenio/p/CXs3iaQLd4O/?utm_medium=copy_link" TargetMode="External"/><Relationship Id="rId717" Type="http://schemas.openxmlformats.org/officeDocument/2006/relationships/hyperlink" Target="https://drive.google.com/open?id=16nB59OzPcYxZ1HjcyXMdk0NL2tSBXE1t" TargetMode="External"/><Relationship Id="rId924" Type="http://schemas.openxmlformats.org/officeDocument/2006/relationships/hyperlink" Target="https://drive.google.com/open?id=1sMMP8sT5YFep0Zd9Mv9yDGZWZNCbqBt6" TargetMode="External"/><Relationship Id="rId53" Type="http://schemas.openxmlformats.org/officeDocument/2006/relationships/hyperlink" Target="https://instagram.com/tavares_ger?utm_medium=copy_link" TargetMode="External"/><Relationship Id="rId149" Type="http://schemas.openxmlformats.org/officeDocument/2006/relationships/hyperlink" Target="http://linkedin.com/in/val-alves-10320833" TargetMode="External"/><Relationship Id="rId356" Type="http://schemas.openxmlformats.org/officeDocument/2006/relationships/hyperlink" Target="https://drive.google.com/open?id=1htHs3ZkgTiiJ8Kt8SPEcQq17UfTJhsKX" TargetMode="External"/><Relationship Id="rId563" Type="http://schemas.openxmlformats.org/officeDocument/2006/relationships/hyperlink" Target="https://www.instagram.com/instmaisvida/" TargetMode="External"/><Relationship Id="rId770" Type="http://schemas.openxmlformats.org/officeDocument/2006/relationships/hyperlink" Target="https://drive.google.com/open?id=1avbizm6xs9ArRVa9-hvXirRX9eWFrjpO" TargetMode="External"/><Relationship Id="rId1193" Type="http://schemas.openxmlformats.org/officeDocument/2006/relationships/hyperlink" Target="https://drive.google.com/open?id=1Uq4uWmvj39wquK7N7NutG5SWepmVaT7s" TargetMode="External"/><Relationship Id="rId216" Type="http://schemas.openxmlformats.org/officeDocument/2006/relationships/hyperlink" Target="https://www.instagram.com/deniseburjack/" TargetMode="External"/><Relationship Id="rId423" Type="http://schemas.openxmlformats.org/officeDocument/2006/relationships/hyperlink" Target="https://www.linkedin.com/in/flavia-goncalves-983320199/" TargetMode="External"/><Relationship Id="rId868" Type="http://schemas.openxmlformats.org/officeDocument/2006/relationships/hyperlink" Target="https://drive.google.com/open?id=1J4W7qCOEiSAjT49HUy1qeLgAGaugVMmn" TargetMode="External"/><Relationship Id="rId1053" Type="http://schemas.openxmlformats.org/officeDocument/2006/relationships/hyperlink" Target="https://drive.google.com/open?id=1_DeuH8b_5YLJ0RegHqFyg1qrLNAygTBT" TargetMode="External"/><Relationship Id="rId630" Type="http://schemas.openxmlformats.org/officeDocument/2006/relationships/hyperlink" Target="https://drive.google.com/open?id=1474di_mZjxJXashfmEj3vgYAsZq5yuvO" TargetMode="External"/><Relationship Id="rId728" Type="http://schemas.openxmlformats.org/officeDocument/2006/relationships/hyperlink" Target="https://www.linkedin.com/in/carol-santos-734382132/" TargetMode="External"/><Relationship Id="rId935" Type="http://schemas.openxmlformats.org/officeDocument/2006/relationships/hyperlink" Target="https://drive.google.com/open?id=1IXSpphApgiOhfjqdwglDlDsHeEw5_wQ0" TargetMode="External"/><Relationship Id="rId64" Type="http://schemas.openxmlformats.org/officeDocument/2006/relationships/hyperlink" Target="https://www.instagram.com/gleysonanderson23/" TargetMode="External"/><Relationship Id="rId367" Type="http://schemas.openxmlformats.org/officeDocument/2006/relationships/hyperlink" Target="https://drive.google.com/open?id=1XulEWimax2WJSxW_F8l37ZtUxeeFBgyR" TargetMode="External"/><Relationship Id="rId574" Type="http://schemas.openxmlformats.org/officeDocument/2006/relationships/hyperlink" Target="http://linkedin.com/in/daianny-teles-3a399113a" TargetMode="External"/><Relationship Id="rId1120" Type="http://schemas.openxmlformats.org/officeDocument/2006/relationships/hyperlink" Target="https://drive.google.com/open?id=15Hz5P0NoGMuUx7CMojEz98gbyl3gz4KE" TargetMode="External"/><Relationship Id="rId227" Type="http://schemas.openxmlformats.org/officeDocument/2006/relationships/hyperlink" Target="https://www.facebook.com/iara.a.ferreira" TargetMode="External"/><Relationship Id="rId781" Type="http://schemas.openxmlformats.org/officeDocument/2006/relationships/hyperlink" Target="https://drive.google.com/open?id=1eFigh2xLItmVcciIouJGq0Jd_ywTEubS" TargetMode="External"/><Relationship Id="rId879" Type="http://schemas.openxmlformats.org/officeDocument/2006/relationships/hyperlink" Target="https://www.instagram.com/leandro_gabriel_escultor/" TargetMode="External"/><Relationship Id="rId434" Type="http://schemas.openxmlformats.org/officeDocument/2006/relationships/hyperlink" Target="https://www.linkedin.com/in/lesliescarpelli/" TargetMode="External"/><Relationship Id="rId641" Type="http://schemas.openxmlformats.org/officeDocument/2006/relationships/hyperlink" Target="https://www.instagram.com/neipontao/" TargetMode="External"/><Relationship Id="rId739" Type="http://schemas.openxmlformats.org/officeDocument/2006/relationships/hyperlink" Target="https://www.linkedin.com/in/flavia-silva-93b538230/" TargetMode="External"/><Relationship Id="rId1064" Type="http://schemas.openxmlformats.org/officeDocument/2006/relationships/hyperlink" Target="https://instagram.com/patymaiav?utm_medium=copy_link" TargetMode="External"/><Relationship Id="rId280" Type="http://schemas.openxmlformats.org/officeDocument/2006/relationships/hyperlink" Target="https://www.linkedin.com/in/michel-a-carmo-931b249a/" TargetMode="External"/><Relationship Id="rId501" Type="http://schemas.openxmlformats.org/officeDocument/2006/relationships/hyperlink" Target="https://drive.google.com/open?id=1tVdspMTRBzD-0sYYoZNtp9RBCocTsDq4" TargetMode="External"/><Relationship Id="rId946" Type="http://schemas.openxmlformats.org/officeDocument/2006/relationships/hyperlink" Target="https://www.instagram.com/miqueiascoosta/" TargetMode="External"/><Relationship Id="rId1131" Type="http://schemas.openxmlformats.org/officeDocument/2006/relationships/hyperlink" Target="https://drive.google.com/open?id=1JKzcJkJTeqEu77Z1EPRvVpIVwSk9emuO" TargetMode="External"/><Relationship Id="rId75" Type="http://schemas.openxmlformats.org/officeDocument/2006/relationships/hyperlink" Target="https://drive.google.com/open?id=1OG6XRETFVeoof_imlJh841Gb2lDADBFO" TargetMode="External"/><Relationship Id="rId140" Type="http://schemas.openxmlformats.org/officeDocument/2006/relationships/hyperlink" Target="https://drive.google.com/open?id=10wSsTRFd-IIHQPHAx-AIJWrEVmPbOua8" TargetMode="External"/><Relationship Id="rId378" Type="http://schemas.openxmlformats.org/officeDocument/2006/relationships/hyperlink" Target="https://instagram.com/saragaldinobarbosa?utm_medium=copy_link" TargetMode="External"/><Relationship Id="rId585" Type="http://schemas.openxmlformats.org/officeDocument/2006/relationships/hyperlink" Target="https://instagram.com/washington.tadeu.1?utm_medium=copy_link" TargetMode="External"/><Relationship Id="rId792" Type="http://schemas.openxmlformats.org/officeDocument/2006/relationships/hyperlink" Target="https://www.linkedin.com/in/valeria-oliveira-campelo-32716964" TargetMode="External"/><Relationship Id="rId806" Type="http://schemas.openxmlformats.org/officeDocument/2006/relationships/hyperlink" Target="https://www.linkedin.com/in/geraldo-souza-52863a134/" TargetMode="External"/><Relationship Id="rId6" Type="http://schemas.openxmlformats.org/officeDocument/2006/relationships/hyperlink" Target="https://drive.google.com/open?id=1SjejuQXUy6iWdTxyxt_fD3QRe8uxbYPz" TargetMode="External"/><Relationship Id="rId238" Type="http://schemas.openxmlformats.org/officeDocument/2006/relationships/hyperlink" Target="https://drive.google.com/open?id=1krRXhYM_OgGPfYWbO4IhS1o96TfQ-GP8" TargetMode="External"/><Relationship Id="rId445" Type="http://schemas.openxmlformats.org/officeDocument/2006/relationships/hyperlink" Target="https://www.instagram.com/marciacarfer.prof/" TargetMode="External"/><Relationship Id="rId652" Type="http://schemas.openxmlformats.org/officeDocument/2006/relationships/hyperlink" Target="https://drive.google.com/open?id=1jI7U6TCxRrBLFWchVmlJfmEjWgg3mTPt" TargetMode="External"/><Relationship Id="rId1075" Type="http://schemas.openxmlformats.org/officeDocument/2006/relationships/hyperlink" Target="https://drive.google.com/open?id=1TcROEbaTNfzIZObWw0Dl61m2sB9SiUWG" TargetMode="External"/><Relationship Id="rId291" Type="http://schemas.openxmlformats.org/officeDocument/2006/relationships/hyperlink" Target="https://drive.google.com/open?id=1UrFqjGgwUVLe0NZwcn7bk43ZrG9UCae5" TargetMode="External"/><Relationship Id="rId305" Type="http://schemas.openxmlformats.org/officeDocument/2006/relationships/hyperlink" Target="https://drive.google.com/open?id=1cDfta_XQldB9qXqiDerniJ-A7sIV_OTu" TargetMode="External"/><Relationship Id="rId512" Type="http://schemas.openxmlformats.org/officeDocument/2006/relationships/hyperlink" Target="https://drive.google.com/open?id=1fwwoX-CiBbIU-FfUN-XybkGTBiW5DwYN" TargetMode="External"/><Relationship Id="rId957" Type="http://schemas.openxmlformats.org/officeDocument/2006/relationships/hyperlink" Target="https://instagram.com/acesaong?utm_medium=copy_link" TargetMode="External"/><Relationship Id="rId1142" Type="http://schemas.openxmlformats.org/officeDocument/2006/relationships/hyperlink" Target="https://www.instagram.com/andre2294/" TargetMode="External"/><Relationship Id="rId86" Type="http://schemas.openxmlformats.org/officeDocument/2006/relationships/hyperlink" Target="https://drive.google.com/open?id=1HkKsm0aumTPHbS1qXz45eyluI7e3m7Yj" TargetMode="External"/><Relationship Id="rId151" Type="http://schemas.openxmlformats.org/officeDocument/2006/relationships/hyperlink" Target="https://drive.google.com/open?id=1znu1mzV1vrVerkb1oFzwn1-urt6xehFk" TargetMode="External"/><Relationship Id="rId389" Type="http://schemas.openxmlformats.org/officeDocument/2006/relationships/hyperlink" Target="https://www.instagram.com/biafree_/" TargetMode="External"/><Relationship Id="rId596" Type="http://schemas.openxmlformats.org/officeDocument/2006/relationships/hyperlink" Target="https://www.instagram.com/jacyoliveira_iptm/" TargetMode="External"/><Relationship Id="rId817" Type="http://schemas.openxmlformats.org/officeDocument/2006/relationships/hyperlink" Target="https://drive.google.com/open?id=18AJLVY3WdYRScJ0APoTXYcst3A1emt2l" TargetMode="External"/><Relationship Id="rId1002" Type="http://schemas.openxmlformats.org/officeDocument/2006/relationships/hyperlink" Target="https://www.linkedin.com/in/cintiasantanna1/" TargetMode="External"/><Relationship Id="rId249" Type="http://schemas.openxmlformats.org/officeDocument/2006/relationships/hyperlink" Target="https://drive.google.com/open?id=1V9JVxVG5jUuQCduiHSJn8HBovL8fa-26" TargetMode="External"/><Relationship Id="rId456" Type="http://schemas.openxmlformats.org/officeDocument/2006/relationships/hyperlink" Target="https://www.instagram.com/explore/tags/cantinhodaamizade??/" TargetMode="External"/><Relationship Id="rId663" Type="http://schemas.openxmlformats.org/officeDocument/2006/relationships/hyperlink" Target="https://drive.google.com/open?id=1S2vAcVF5pEr6D4ag9I9rlhCrOE-SoiOx" TargetMode="External"/><Relationship Id="rId870" Type="http://schemas.openxmlformats.org/officeDocument/2006/relationships/hyperlink" Target="https://www.linkedin.com/in/daiani-ferreira-soares-58973534" TargetMode="External"/><Relationship Id="rId1086" Type="http://schemas.openxmlformats.org/officeDocument/2006/relationships/hyperlink" Target="https://www.linkedin.com/feed/?trk=homepage-basic_google-one-tap-submit" TargetMode="External"/><Relationship Id="rId13" Type="http://schemas.openxmlformats.org/officeDocument/2006/relationships/hyperlink" Target="https://drive.google.com/open?id=1W86-gCgDGYmxZdpB4nGkbTLTY715Ifd9" TargetMode="External"/><Relationship Id="rId109" Type="http://schemas.openxmlformats.org/officeDocument/2006/relationships/hyperlink" Target="https://www.instagram.com/p/Cfv9MSEOpXB/?igshid=YmMyMTA2M2Y=" TargetMode="External"/><Relationship Id="rId316" Type="http://schemas.openxmlformats.org/officeDocument/2006/relationships/hyperlink" Target="https://drive.google.com/open?id=1hccLlmbhW8G5_N-A4CZhKK_51LSWNCXu" TargetMode="External"/><Relationship Id="rId523" Type="http://schemas.openxmlformats.org/officeDocument/2006/relationships/hyperlink" Target="https://www.linkedin.com/in/tiago-pereira-6523b7199/" TargetMode="External"/><Relationship Id="rId968" Type="http://schemas.openxmlformats.org/officeDocument/2006/relationships/hyperlink" Target="https://www.linkedin.com/in/jefferson-lima-prototipandoaquebrada/" TargetMode="External"/><Relationship Id="rId1153" Type="http://schemas.openxmlformats.org/officeDocument/2006/relationships/hyperlink" Target="https://br.linkedin.com/" TargetMode="External"/><Relationship Id="rId97" Type="http://schemas.openxmlformats.org/officeDocument/2006/relationships/hyperlink" Target="https://drive.google.com/open?id=16k1A_i-Qy-EFwPyOg-diBORfb3Z4WNPD" TargetMode="External"/><Relationship Id="rId730" Type="http://schemas.openxmlformats.org/officeDocument/2006/relationships/hyperlink" Target="https://drive.google.com/open?id=1j8cxmOqbvNfenrC8kGyhg1jUDiIJkIMQ" TargetMode="External"/><Relationship Id="rId828" Type="http://schemas.openxmlformats.org/officeDocument/2006/relationships/hyperlink" Target="https://instagram.com/elainecmmarcondes?utm_medium=copy_link" TargetMode="External"/><Relationship Id="rId1013" Type="http://schemas.openxmlformats.org/officeDocument/2006/relationships/hyperlink" Target="https://drive.google.com/open?id=1XPna0RseEvDFPWGSmRqqa7d3l5GJ32ee" TargetMode="External"/><Relationship Id="rId162" Type="http://schemas.openxmlformats.org/officeDocument/2006/relationships/hyperlink" Target="https://drive.google.com/open?id=19u1xJ430VJM_C9Dype5WgPDOC4E6t4bL" TargetMode="External"/><Relationship Id="rId467" Type="http://schemas.openxmlformats.org/officeDocument/2006/relationships/hyperlink" Target="https://www.instagram.com/topclubxadrez" TargetMode="External"/><Relationship Id="rId1097" Type="http://schemas.openxmlformats.org/officeDocument/2006/relationships/hyperlink" Target="https://www.instagram.com/sararoyernp/" TargetMode="External"/><Relationship Id="rId674" Type="http://schemas.openxmlformats.org/officeDocument/2006/relationships/hyperlink" Target="https://drive.google.com/open?id=1GdhM8E50ilAGy_4jRE98zBEdFQKR8qZ2" TargetMode="External"/><Relationship Id="rId881" Type="http://schemas.openxmlformats.org/officeDocument/2006/relationships/hyperlink" Target="https://www.instagram.com/futsal_sem_drogas/?hl=pt-br" TargetMode="External"/><Relationship Id="rId979" Type="http://schemas.openxmlformats.org/officeDocument/2006/relationships/hyperlink" Target="https://www.linkedin.com/in/nina-cardoso" TargetMode="External"/><Relationship Id="rId24" Type="http://schemas.openxmlformats.org/officeDocument/2006/relationships/hyperlink" Target="https://www.linkedin.com/in/eduardo-neto-18a384138" TargetMode="External"/><Relationship Id="rId327" Type="http://schemas.openxmlformats.org/officeDocument/2006/relationships/hyperlink" Target="https://www.instagram.com/p/CYv2Da4uKHuzBTqe-qUk55UBgeQdoAkAo3DXdc0/" TargetMode="External"/><Relationship Id="rId534" Type="http://schemas.openxmlformats.org/officeDocument/2006/relationships/hyperlink" Target="https://www.instagram.com/manganga_hugueney/" TargetMode="External"/><Relationship Id="rId741" Type="http://schemas.openxmlformats.org/officeDocument/2006/relationships/hyperlink" Target="https://drive.google.com/open?id=1Y3QGHCbTo8ym3hVSVASmIi_iWDz-znC0" TargetMode="External"/><Relationship Id="rId839" Type="http://schemas.openxmlformats.org/officeDocument/2006/relationships/hyperlink" Target="https://drive.google.com/open?id=1wZ0KsYzFj1-ILHzvgKn6-t_PzMrH0b5d" TargetMode="External"/><Relationship Id="rId1164" Type="http://schemas.openxmlformats.org/officeDocument/2006/relationships/hyperlink" Target="https://instagram.com/andreluizmacedosilva?igshid=YmMyMTA2M2Y=" TargetMode="External"/><Relationship Id="rId173" Type="http://schemas.openxmlformats.org/officeDocument/2006/relationships/hyperlink" Target="https://www.linkedin.com/in/priscila-dias-47560848/" TargetMode="External"/><Relationship Id="rId380" Type="http://schemas.openxmlformats.org/officeDocument/2006/relationships/hyperlink" Target="https://drive.google.com/open?id=1HCUP9jQN26Qm0a6dVhBZU32FcDhXXP1z" TargetMode="External"/><Relationship Id="rId601" Type="http://schemas.openxmlformats.org/officeDocument/2006/relationships/hyperlink" Target="https://www.instagram.com/neo_cb1/" TargetMode="External"/><Relationship Id="rId1024" Type="http://schemas.openxmlformats.org/officeDocument/2006/relationships/hyperlink" Target="https://drive.google.com/open?id=1VXnl6c2rksCP0gUrLtLx5IKgIylW5Psa" TargetMode="External"/><Relationship Id="rId240" Type="http://schemas.openxmlformats.org/officeDocument/2006/relationships/hyperlink" Target="https://drive.google.com/open?id=1N3nXPknJi3xNo9nvSfxyRzzl8__J5j6K" TargetMode="External"/><Relationship Id="rId478" Type="http://schemas.openxmlformats.org/officeDocument/2006/relationships/hyperlink" Target="https://drive.google.com/open?id=1jQXmdPzTBbgNUtYRc1mMWu5tOQMy8c9u" TargetMode="External"/><Relationship Id="rId685" Type="http://schemas.openxmlformats.org/officeDocument/2006/relationships/hyperlink" Target="https://www.instagram.com/fatima.queiroz1/" TargetMode="External"/><Relationship Id="rId892" Type="http://schemas.openxmlformats.org/officeDocument/2006/relationships/hyperlink" Target="https://drive.google.com/open?id=11uUQOTvq0vidwHYMUQOADdzirZbRyUnh" TargetMode="External"/><Relationship Id="rId906" Type="http://schemas.openxmlformats.org/officeDocument/2006/relationships/hyperlink" Target="https://www.linkedin.com/in/empreendedoraalinemelo/" TargetMode="External"/><Relationship Id="rId35" Type="http://schemas.openxmlformats.org/officeDocument/2006/relationships/hyperlink" Target="https://instagram.com/ygo_tatiane?igshid=YmMyMTA2M2Y=" TargetMode="External"/><Relationship Id="rId100" Type="http://schemas.openxmlformats.org/officeDocument/2006/relationships/hyperlink" Target="https://drive.google.com/open?id=1x-5P8-NoUm8KhCmYcXdVEIbb6LrsCS0Q" TargetMode="External"/><Relationship Id="rId338" Type="http://schemas.openxmlformats.org/officeDocument/2006/relationships/hyperlink" Target="https://www.linkedin.com/in/ana-carolina-andrade-b104a284" TargetMode="External"/><Relationship Id="rId545" Type="http://schemas.openxmlformats.org/officeDocument/2006/relationships/hyperlink" Target="https://drive.google.com/open?id=1GHU33DyiihLAtmGODHY45pZUeJkomseN" TargetMode="External"/><Relationship Id="rId752" Type="http://schemas.openxmlformats.org/officeDocument/2006/relationships/hyperlink" Target="https://drive.google.com/open?id=1HmDukN8uFLVRocaTw_PAt9TnTZF2xu2M" TargetMode="External"/><Relationship Id="rId1175" Type="http://schemas.openxmlformats.org/officeDocument/2006/relationships/hyperlink" Target="https://www.linkedin.com/in/alexandre-tuller-461a841a9/" TargetMode="External"/><Relationship Id="rId184" Type="http://schemas.openxmlformats.org/officeDocument/2006/relationships/hyperlink" Target="https://www.instagram.com/welitonssimao/" TargetMode="External"/><Relationship Id="rId391" Type="http://schemas.openxmlformats.org/officeDocument/2006/relationships/hyperlink" Target="https://drive.google.com/open?id=1TSSX-7tp0nUxmMCLNn0vUPpyGAgpKm0Q" TargetMode="External"/><Relationship Id="rId405" Type="http://schemas.openxmlformats.org/officeDocument/2006/relationships/hyperlink" Target="https://drive.google.com/open?id=1o_tbqI4lMFvpdlvxgXC4x6WFXH5dNxbE" TargetMode="External"/><Relationship Id="rId612" Type="http://schemas.openxmlformats.org/officeDocument/2006/relationships/hyperlink" Target="https://www.instagram.com/thiagobruno_medeirosilva/" TargetMode="External"/><Relationship Id="rId1035" Type="http://schemas.openxmlformats.org/officeDocument/2006/relationships/hyperlink" Target="https://drive.google.com/open?id=1eNS6tPUNEcdgPuCchr41AlQzZ7tREe4u" TargetMode="External"/><Relationship Id="rId251" Type="http://schemas.openxmlformats.org/officeDocument/2006/relationships/hyperlink" Target="https://drive.google.com/open?id=18Y13x3v2cLA3hHIc96789Z-q0rvOxZso" TargetMode="External"/><Relationship Id="rId489" Type="http://schemas.openxmlformats.org/officeDocument/2006/relationships/hyperlink" Target="https://www.instagram.com/davihschoenar/" TargetMode="External"/><Relationship Id="rId696" Type="http://schemas.openxmlformats.org/officeDocument/2006/relationships/hyperlink" Target="https://instagram.com/amanda.almeidarjj?utm_medium=copy_link" TargetMode="External"/><Relationship Id="rId917" Type="http://schemas.openxmlformats.org/officeDocument/2006/relationships/hyperlink" Target="https://instagram.com/leoogrito?r=nametag" TargetMode="External"/><Relationship Id="rId1102" Type="http://schemas.openxmlformats.org/officeDocument/2006/relationships/hyperlink" Target="https://www.instagram.com/associacaobeneficenteamigas/" TargetMode="External"/><Relationship Id="rId46" Type="http://schemas.openxmlformats.org/officeDocument/2006/relationships/hyperlink" Target="https://instagram.com/lamocamodaeacessorio?utm_medium=copy_link" TargetMode="External"/><Relationship Id="rId349" Type="http://schemas.openxmlformats.org/officeDocument/2006/relationships/hyperlink" Target="https://instagram.com/negrao.anderson?r=nametag" TargetMode="External"/><Relationship Id="rId556" Type="http://schemas.openxmlformats.org/officeDocument/2006/relationships/hyperlink" Target="https://www.instagram.com/asjr.professor/" TargetMode="External"/><Relationship Id="rId763" Type="http://schemas.openxmlformats.org/officeDocument/2006/relationships/hyperlink" Target="https://instagram.com/impactacao.social?igshid=78bok3lfo1lb" TargetMode="External"/><Relationship Id="rId1186" Type="http://schemas.openxmlformats.org/officeDocument/2006/relationships/hyperlink" Target="https://instagram.com/barbaracoelho_3?utm_medium=copy_link" TargetMode="External"/><Relationship Id="rId111" Type="http://schemas.openxmlformats.org/officeDocument/2006/relationships/hyperlink" Target="https://www.instagram.com/p/CYkbyTHO-84/?utm_medium=copy_link" TargetMode="External"/><Relationship Id="rId195" Type="http://schemas.openxmlformats.org/officeDocument/2006/relationships/hyperlink" Target="https://drive.google.com/open?id=1iss5VPRxk2yMhdBiLeTmj31pbzJqI9qK" TargetMode="External"/><Relationship Id="rId209" Type="http://schemas.openxmlformats.org/officeDocument/2006/relationships/hyperlink" Target="https://instagram.com/renatapedroenrique?utm_medium=copy_link" TargetMode="External"/><Relationship Id="rId416" Type="http://schemas.openxmlformats.org/officeDocument/2006/relationships/hyperlink" Target="https://drive.google.com/open?id=1pip8RS_O0RegGFixI5GHr8K-HFQfxkB_" TargetMode="External"/><Relationship Id="rId970" Type="http://schemas.openxmlformats.org/officeDocument/2006/relationships/hyperlink" Target="https://drive.google.com/open?id=15CiDDWKxQs0xbQ9ENJ13_Gr6Y78YXFgB" TargetMode="External"/><Relationship Id="rId1046" Type="http://schemas.openxmlformats.org/officeDocument/2006/relationships/hyperlink" Target="https://www.linkedin.com/in/debora-batista-04a18614a/" TargetMode="External"/><Relationship Id="rId623" Type="http://schemas.openxmlformats.org/officeDocument/2006/relationships/hyperlink" Target="https://drive.google.com/open?id=1QEjlMADsuWE6DtKaz5gbbpdtDrTR18Yk" TargetMode="External"/><Relationship Id="rId830" Type="http://schemas.openxmlformats.org/officeDocument/2006/relationships/hyperlink" Target="https://www.instagram.com/associacaobenefanjosdeouro/" TargetMode="External"/><Relationship Id="rId928" Type="http://schemas.openxmlformats.org/officeDocument/2006/relationships/hyperlink" Target="https://www.linkedin.com/in/camilaincanto/" TargetMode="External"/><Relationship Id="rId57" Type="http://schemas.openxmlformats.org/officeDocument/2006/relationships/hyperlink" Target="https://drive.google.com/open?id=1PfbGNl0JS3wD9XQbpc4Dmax5oiWgqZO4" TargetMode="External"/><Relationship Id="rId262" Type="http://schemas.openxmlformats.org/officeDocument/2006/relationships/hyperlink" Target="https://www.linkedin.com/in/deybsonjunior/" TargetMode="External"/><Relationship Id="rId567" Type="http://schemas.openxmlformats.org/officeDocument/2006/relationships/hyperlink" Target="https://drive.google.com/open?id=1w7ZIPdjBfE10twZRAsU8knj-QGt-mRFB" TargetMode="External"/><Relationship Id="rId1113" Type="http://schemas.openxmlformats.org/officeDocument/2006/relationships/hyperlink" Target="https://www.instagram.com/p/CLsPnUJDm-2/?utm_medium=copy_link" TargetMode="External"/><Relationship Id="rId1197" Type="http://schemas.openxmlformats.org/officeDocument/2006/relationships/vmlDrawing" Target="../drawings/vmlDrawing4.vml"/><Relationship Id="rId122" Type="http://schemas.openxmlformats.org/officeDocument/2006/relationships/hyperlink" Target="https://drive.google.com/open?id=1fmjbLoNoZml8MhtnTqIm3VE-kmmZM9yK" TargetMode="External"/><Relationship Id="rId774" Type="http://schemas.openxmlformats.org/officeDocument/2006/relationships/hyperlink" Target="https://drive.google.com/open?id=1weUZCZS_PVcl6rJKWbsmcf8TkodO0mcM" TargetMode="External"/><Relationship Id="rId981" Type="http://schemas.openxmlformats.org/officeDocument/2006/relationships/hyperlink" Target="https://drive.google.com/open?id=1PY0kMS1OR8X1jAKlWyIYLPZQbzdw4osp" TargetMode="External"/><Relationship Id="rId1057" Type="http://schemas.openxmlformats.org/officeDocument/2006/relationships/hyperlink" Target="https://www.linkedin.com/in/maria-raquel-9a561b112/" TargetMode="External"/><Relationship Id="rId427" Type="http://schemas.openxmlformats.org/officeDocument/2006/relationships/hyperlink" Target="https://www.instagram.com/geraldobarros.png/" TargetMode="External"/><Relationship Id="rId634" Type="http://schemas.openxmlformats.org/officeDocument/2006/relationships/hyperlink" Target="https://www.linkedin.com/in/rafaelle-bragan%C3%A7a-44543896/" TargetMode="External"/><Relationship Id="rId841" Type="http://schemas.openxmlformats.org/officeDocument/2006/relationships/hyperlink" Target="https://www.instagram.com/padilhaedna/" TargetMode="External"/><Relationship Id="rId273" Type="http://schemas.openxmlformats.org/officeDocument/2006/relationships/hyperlink" Target="https://www.instagram.com/p/CXqoLJDrCx0/?utm_medium=copy_link" TargetMode="External"/><Relationship Id="rId480" Type="http://schemas.openxmlformats.org/officeDocument/2006/relationships/hyperlink" Target="https://www.instagram.com/souluizjr/" TargetMode="External"/><Relationship Id="rId701" Type="http://schemas.openxmlformats.org/officeDocument/2006/relationships/hyperlink" Target="http://instagram.com/vai_daiene" TargetMode="External"/><Relationship Id="rId939" Type="http://schemas.openxmlformats.org/officeDocument/2006/relationships/hyperlink" Target="https://www.linkedin.com/in/katiana-pena-morais-984186193" TargetMode="External"/><Relationship Id="rId1124" Type="http://schemas.openxmlformats.org/officeDocument/2006/relationships/hyperlink" Target="https://drive.google.com/open?id=16IYy5qXBrxY-OwS5phXTVQvS2aEbgIna" TargetMode="External"/><Relationship Id="rId68" Type="http://schemas.openxmlformats.org/officeDocument/2006/relationships/hyperlink" Target="https://drive.google.com/open?id=1bTcF3h1NHitlMDgCERntcOL90XfPVMec" TargetMode="External"/><Relationship Id="rId133" Type="http://schemas.openxmlformats.org/officeDocument/2006/relationships/hyperlink" Target="https://www.instagram.com/p/CVO2cw2D7cS/?utm_medium=copy_link" TargetMode="External"/><Relationship Id="rId340" Type="http://schemas.openxmlformats.org/officeDocument/2006/relationships/hyperlink" Target="https://www.instagram.com/invites/contact/?i=1owrmvtlsfh9p&amp;utm_content=kmlk0pf" TargetMode="External"/><Relationship Id="rId578" Type="http://schemas.openxmlformats.org/officeDocument/2006/relationships/hyperlink" Target="https://drive.google.com/open?id=1qPlGqS03kcODDXb1OvWZMlJIT5qPjU21" TargetMode="External"/><Relationship Id="rId785" Type="http://schemas.openxmlformats.org/officeDocument/2006/relationships/hyperlink" Target="https://drive.google.com/open?id=1_UbojC7Fh8veCvRc0lsyvMkEKEaqBwfy" TargetMode="External"/><Relationship Id="rId992" Type="http://schemas.openxmlformats.org/officeDocument/2006/relationships/hyperlink" Target="https://www.linkedin.com/in/maiarawenceslau/" TargetMode="External"/><Relationship Id="rId200" Type="http://schemas.openxmlformats.org/officeDocument/2006/relationships/hyperlink" Target="https://instagram.com/nathancrieatividade?igshid=YmMyMTA2M2Y=" TargetMode="External"/><Relationship Id="rId438" Type="http://schemas.openxmlformats.org/officeDocument/2006/relationships/hyperlink" Target="https://drive.google.com/open?id=1J1D3x4kvx06zXSdYkIWHegwJk9kcOh3D" TargetMode="External"/><Relationship Id="rId645" Type="http://schemas.openxmlformats.org/officeDocument/2006/relationships/hyperlink" Target="https://drive.google.com/open?id=1cXF_Nq_oxUqIxORGcpK3B7r5HZZ3ZcN5" TargetMode="External"/><Relationship Id="rId852" Type="http://schemas.openxmlformats.org/officeDocument/2006/relationships/hyperlink" Target="https://drive.google.com/open?id=1aJMhjSJo7bimfXEZeE06v_OkJuecINRE" TargetMode="External"/><Relationship Id="rId1068" Type="http://schemas.openxmlformats.org/officeDocument/2006/relationships/hyperlink" Target="https://www.linkedin.com/in/katia-soares-38359858/" TargetMode="External"/><Relationship Id="rId284" Type="http://schemas.openxmlformats.org/officeDocument/2006/relationships/hyperlink" Target="https://instagram.com/nayra.santos90?utm_medium=copy_link" TargetMode="External"/><Relationship Id="rId491" Type="http://schemas.openxmlformats.org/officeDocument/2006/relationships/hyperlink" Target="https://drive.google.com/open?id=1I5b07gaWLpz8Ng73UwluLcV7QfYbgZHM" TargetMode="External"/><Relationship Id="rId505" Type="http://schemas.openxmlformats.org/officeDocument/2006/relationships/hyperlink" Target="https://www.instagram.com/nanaroots/" TargetMode="External"/><Relationship Id="rId712" Type="http://schemas.openxmlformats.org/officeDocument/2006/relationships/hyperlink" Target="https://drive.google.com/open?id=1MWcxDyY72LE5a0FAEkrRPESAhcbkJKea" TargetMode="External"/><Relationship Id="rId1135" Type="http://schemas.openxmlformats.org/officeDocument/2006/relationships/hyperlink" Target="https://drive.google.com/open?id=1kTitGE2p4epe-BTHjqODYSpQUQYmNHlK" TargetMode="External"/><Relationship Id="rId79" Type="http://schemas.openxmlformats.org/officeDocument/2006/relationships/hyperlink" Target="https://drive.google.com/open?id=1t57QA4dYLiKrek4AdN5j43w-Ua1fUxQL" TargetMode="External"/><Relationship Id="rId144" Type="http://schemas.openxmlformats.org/officeDocument/2006/relationships/hyperlink" Target="https://drive.google.com/open?id=1bQIsYyFNuqKx-ku43rDgtUKsF6ajDX9S" TargetMode="External"/><Relationship Id="rId589" Type="http://schemas.openxmlformats.org/officeDocument/2006/relationships/hyperlink" Target="https://drive.google.com/open?id=1yPAfU7NiOiHCtCgAYlXpFLL2cCYucTG-" TargetMode="External"/><Relationship Id="rId796" Type="http://schemas.openxmlformats.org/officeDocument/2006/relationships/hyperlink" Target="http://www.instagram.com/bah.manuela" TargetMode="External"/><Relationship Id="rId351" Type="http://schemas.openxmlformats.org/officeDocument/2006/relationships/hyperlink" Target="http://www.linkedin.com/in/andresa-silveira-psicologia-clinica-junguiana-688799b0" TargetMode="External"/><Relationship Id="rId449" Type="http://schemas.openxmlformats.org/officeDocument/2006/relationships/hyperlink" Target="https://drive.google.com/open?id=1BcqfDOMnifC2l91kDs-IeUk9U-L005dh" TargetMode="External"/><Relationship Id="rId656" Type="http://schemas.openxmlformats.org/officeDocument/2006/relationships/hyperlink" Target="https://www.instagram.com/caasamigo/" TargetMode="External"/><Relationship Id="rId863" Type="http://schemas.openxmlformats.org/officeDocument/2006/relationships/hyperlink" Target="https://instagram.com/paca.ippenha?utm_medium=copy_link" TargetMode="External"/><Relationship Id="rId1079" Type="http://schemas.openxmlformats.org/officeDocument/2006/relationships/hyperlink" Target="https://www.linkedin.com/in/johnny-santana-014aa0216/" TargetMode="External"/><Relationship Id="rId211" Type="http://schemas.openxmlformats.org/officeDocument/2006/relationships/hyperlink" Target="https://www.instagram.com/brunasguedes/" TargetMode="External"/><Relationship Id="rId295" Type="http://schemas.openxmlformats.org/officeDocument/2006/relationships/hyperlink" Target="https://www.linkedin.com/in/raquel-narciso-70775a118/" TargetMode="External"/><Relationship Id="rId309" Type="http://schemas.openxmlformats.org/officeDocument/2006/relationships/hyperlink" Target="https://drive.google.com/open?id=1kHA3ufOwb0v3HUfbgNM9dxqw8i37GE1r" TargetMode="External"/><Relationship Id="rId516" Type="http://schemas.openxmlformats.org/officeDocument/2006/relationships/hyperlink" Target="https://www.instagram.com/correiasilvaelaine" TargetMode="External"/><Relationship Id="rId1146" Type="http://schemas.openxmlformats.org/officeDocument/2006/relationships/hyperlink" Target="https://drive.google.com/open?id=1ONGUQeiHwav2gp4j1cpCsg_V2fZqdWLy" TargetMode="External"/><Relationship Id="rId723" Type="http://schemas.openxmlformats.org/officeDocument/2006/relationships/hyperlink" Target="http://www.instagram.com/mararibeirorj" TargetMode="External"/><Relationship Id="rId930" Type="http://schemas.openxmlformats.org/officeDocument/2006/relationships/hyperlink" Target="https://drive.google.com/open?id=1_nn4G9CZQ-pjqVsCxboy1vZs5RUBpf6i" TargetMode="External"/><Relationship Id="rId1006" Type="http://schemas.openxmlformats.org/officeDocument/2006/relationships/hyperlink" Target="https://www.instagram.com/anapaulasouza_rn/" TargetMode="External"/><Relationship Id="rId155" Type="http://schemas.openxmlformats.org/officeDocument/2006/relationships/hyperlink" Target="https://www.linkedin.com/in/victorlqueiroz/" TargetMode="External"/><Relationship Id="rId362" Type="http://schemas.openxmlformats.org/officeDocument/2006/relationships/hyperlink" Target="https://drive.google.com/open?id=14-8OnF6QzZqnLwiej1YYcb4sYkf04LRu" TargetMode="External"/><Relationship Id="rId222" Type="http://schemas.openxmlformats.org/officeDocument/2006/relationships/hyperlink" Target="https://drive.google.com/open?id=16Rwt9yHGLKMghRSy-Z73wPESlShzmg-a" TargetMode="External"/><Relationship Id="rId667" Type="http://schemas.openxmlformats.org/officeDocument/2006/relationships/hyperlink" Target="https://drive.google.com/open?id=1UulyPyr83IFyDILsTaduL1o7Cwf66gbP" TargetMode="External"/><Relationship Id="rId874" Type="http://schemas.openxmlformats.org/officeDocument/2006/relationships/hyperlink" Target="https://drive.google.com/open?id=1ZH678H0YJevNusdsU4QirS0KmALi7kLa" TargetMode="External"/><Relationship Id="rId17" Type="http://schemas.openxmlformats.org/officeDocument/2006/relationships/hyperlink" Target="https://drive.google.com/open?id=1jskxjCipPTtydxtMKlaVZ7IirTlAuPsZ" TargetMode="External"/><Relationship Id="rId527" Type="http://schemas.openxmlformats.org/officeDocument/2006/relationships/hyperlink" Target="https://drive.google.com/open?id=1YUXXGrUr90tGP5PhxkyqYR__fXEeePM7" TargetMode="External"/><Relationship Id="rId734" Type="http://schemas.openxmlformats.org/officeDocument/2006/relationships/hyperlink" Target="https://drive.google.com/open?id=14bXU21bXR6FHq480vfUXu9DUlP3nHY-A" TargetMode="External"/><Relationship Id="rId941" Type="http://schemas.openxmlformats.org/officeDocument/2006/relationships/hyperlink" Target="https://drive.google.com/open?id=1myNI-9maAdB6jja7rCkomKgVBCl2OODy" TargetMode="External"/><Relationship Id="rId1157" Type="http://schemas.openxmlformats.org/officeDocument/2006/relationships/hyperlink" Target="https://drive.google.com/open?id=1disDhNks-CU26hJlJU8ef5S2w1FsT2iN" TargetMode="External"/><Relationship Id="rId70" Type="http://schemas.openxmlformats.org/officeDocument/2006/relationships/hyperlink" Target="https://drive.google.com/open?id=1ReQVD9HA1NyycChNCe6WAQHmMCCLRbuh" TargetMode="External"/><Relationship Id="rId166" Type="http://schemas.openxmlformats.org/officeDocument/2006/relationships/hyperlink" Target="https://instagram.com/allana.tamires11?utm_medium=copy_link" TargetMode="External"/><Relationship Id="rId373" Type="http://schemas.openxmlformats.org/officeDocument/2006/relationships/hyperlink" Target="https://www.linkedin.com/edsonjapaobr" TargetMode="External"/><Relationship Id="rId580" Type="http://schemas.openxmlformats.org/officeDocument/2006/relationships/hyperlink" Target="https://instagram.com/sonia_bernardi_benini_soranhi?utm_medium=copy_link" TargetMode="External"/><Relationship Id="rId801" Type="http://schemas.openxmlformats.org/officeDocument/2006/relationships/hyperlink" Target="https://instagram.com/douglascostamartins?utm_medium=copy_link" TargetMode="External"/><Relationship Id="rId1017" Type="http://schemas.openxmlformats.org/officeDocument/2006/relationships/hyperlink" Target="https://www.linkedin.com/in/maria-patr%C3%ADcia-b3219913b/" TargetMode="External"/><Relationship Id="rId1" Type="http://schemas.openxmlformats.org/officeDocument/2006/relationships/hyperlink" Target="https://www.linkedin.com/jobs/application-settings" TargetMode="External"/><Relationship Id="rId233" Type="http://schemas.openxmlformats.org/officeDocument/2006/relationships/hyperlink" Target="https://drive.google.com/open?id=17ivgFZ9xSNJPixxu1U3-S3ySmpIEbZ1O" TargetMode="External"/><Relationship Id="rId440" Type="http://schemas.openxmlformats.org/officeDocument/2006/relationships/hyperlink" Target="https://instagram.com/projeto_transformacak?utm_medium=copy_link" TargetMode="External"/><Relationship Id="rId678" Type="http://schemas.openxmlformats.org/officeDocument/2006/relationships/hyperlink" Target="https://drive.google.com/open?id=1rRiKpQEnzM8Ile6DC--zLasxwPkm7spI" TargetMode="External"/><Relationship Id="rId885" Type="http://schemas.openxmlformats.org/officeDocument/2006/relationships/hyperlink" Target="https://drive.google.com/open?id=1zLNe-CChHSg0_Q3vP0Jr4yPPWJmt0j8G" TargetMode="External"/><Relationship Id="rId1070" Type="http://schemas.openxmlformats.org/officeDocument/2006/relationships/hyperlink" Target="https://drive.google.com/open?id=1MZOmvzs-8GIKlPZRjuPt2xc_okVXzWI5" TargetMode="External"/><Relationship Id="rId28" Type="http://schemas.openxmlformats.org/officeDocument/2006/relationships/hyperlink" Target="https://www.instagram.com/prelainecristina/" TargetMode="External"/><Relationship Id="rId300" Type="http://schemas.openxmlformats.org/officeDocument/2006/relationships/hyperlink" Target="https://drive.google.com/open?id=114LbThhw49ODDTSx5kz04NEI_mAj5O6k" TargetMode="External"/><Relationship Id="rId538" Type="http://schemas.openxmlformats.org/officeDocument/2006/relationships/hyperlink" Target="https://drive.google.com/open?id=1on4aWaykZfnvbdM3YJcKsN55JyXT8hmu" TargetMode="External"/><Relationship Id="rId745" Type="http://schemas.openxmlformats.org/officeDocument/2006/relationships/hyperlink" Target="https://www.linkedin.com/in/kauannatoppa/" TargetMode="External"/><Relationship Id="rId952" Type="http://schemas.openxmlformats.org/officeDocument/2006/relationships/hyperlink" Target="https://instagram.com/joanagabi?utm_medium=copy_link" TargetMode="External"/><Relationship Id="rId1168" Type="http://schemas.openxmlformats.org/officeDocument/2006/relationships/hyperlink" Target="https://drive.google.com/open?id=1_c8nL4_YRIV1BvnHxWU4rhZDih-YmxRj" TargetMode="External"/><Relationship Id="rId81" Type="http://schemas.openxmlformats.org/officeDocument/2006/relationships/hyperlink" Target="https://drive.google.com/open?id=1yX6dSqsLb4mbbeget4N1u8fCSs0p3Av3" TargetMode="External"/><Relationship Id="rId177" Type="http://schemas.openxmlformats.org/officeDocument/2006/relationships/hyperlink" Target="https://instagram.com/renators30?igshid=YmMyMTA2M2Y=" TargetMode="External"/><Relationship Id="rId384" Type="http://schemas.openxmlformats.org/officeDocument/2006/relationships/hyperlink" Target="https://drive.google.com/open?id=15-c3u4UvtBJAJKWCM81WMRBQVW5uTX2n" TargetMode="External"/><Relationship Id="rId591" Type="http://schemas.openxmlformats.org/officeDocument/2006/relationships/hyperlink" Target="https://www.linkedin.com/in/sandroigds/" TargetMode="External"/><Relationship Id="rId605" Type="http://schemas.openxmlformats.org/officeDocument/2006/relationships/hyperlink" Target="https://www.instagram.com/teodoromestre/" TargetMode="External"/><Relationship Id="rId812" Type="http://schemas.openxmlformats.org/officeDocument/2006/relationships/hyperlink" Target="https://drive.google.com/open?id=1uZ7aENswb1PuUtQw8-h2ccrObgSO7Rgx" TargetMode="External"/><Relationship Id="rId1028" Type="http://schemas.openxmlformats.org/officeDocument/2006/relationships/hyperlink" Target="http://www.linkedin.com/company/institutorugbyparatodos/" TargetMode="External"/><Relationship Id="rId244" Type="http://schemas.openxmlformats.org/officeDocument/2006/relationships/hyperlink" Target="https://drive.google.com/open?id=19UnzA4FBL3N8VI-o_a1ayGXC_62PPrVJ" TargetMode="External"/><Relationship Id="rId689" Type="http://schemas.openxmlformats.org/officeDocument/2006/relationships/hyperlink" Target="https://drive.google.com/open?id=1hFpaQh1Er-ptYpVeMbd2ZFSsKNu2SNTW" TargetMode="External"/><Relationship Id="rId896" Type="http://schemas.openxmlformats.org/officeDocument/2006/relationships/hyperlink" Target="https://drive.google.com/open?id=1T0NcV3efBT3pztjch7zZZ2AcPYK8xNht" TargetMode="External"/><Relationship Id="rId1081" Type="http://schemas.openxmlformats.org/officeDocument/2006/relationships/hyperlink" Target="http://robertamaranhao.pe/" TargetMode="External"/><Relationship Id="rId39" Type="http://schemas.openxmlformats.org/officeDocument/2006/relationships/hyperlink" Target="https://drive.google.com/open?id=1kFk9CsV0f0D4iXPyVEQ9AIL2QUa9ZcfN" TargetMode="External"/><Relationship Id="rId451" Type="http://schemas.openxmlformats.org/officeDocument/2006/relationships/hyperlink" Target="https://drive.google.com/open?id=1PFvZr5SYtMxDCEUGsGcCkFbdH0MDUZ7F" TargetMode="External"/><Relationship Id="rId549" Type="http://schemas.openxmlformats.org/officeDocument/2006/relationships/hyperlink" Target="https://www.linkedin.com/in/raquelsuzi/" TargetMode="External"/><Relationship Id="rId756" Type="http://schemas.openxmlformats.org/officeDocument/2006/relationships/hyperlink" Target="https://www.instagram.com/p/Ca3UleMOwWn/?utm_medium=copy_link" TargetMode="External"/><Relationship Id="rId1179" Type="http://schemas.openxmlformats.org/officeDocument/2006/relationships/hyperlink" Target="https://drive.google.com/open?id=1TuH7oeOiV50eTT_bsxMw4LZa4Ed0wqbS" TargetMode="External"/><Relationship Id="rId104" Type="http://schemas.openxmlformats.org/officeDocument/2006/relationships/hyperlink" Target="https://drive.google.com/open?id=1aV0IOJ6qofcARetE6a3AsIvgakN2vOxw" TargetMode="External"/><Relationship Id="rId188" Type="http://schemas.openxmlformats.org/officeDocument/2006/relationships/hyperlink" Target="https://instagram.com/rneuzaribeiro?utm_medium=copy_link" TargetMode="External"/><Relationship Id="rId311" Type="http://schemas.openxmlformats.org/officeDocument/2006/relationships/hyperlink" Target="https://www.instagram.com/p/CHSxAqQF5YR/?utm_medium=copy_link" TargetMode="External"/><Relationship Id="rId395" Type="http://schemas.openxmlformats.org/officeDocument/2006/relationships/hyperlink" Target="https://drive.google.com/open?id=1wn8v-vZMokyrYiVJLlfLldHgoQCSju4i" TargetMode="External"/><Relationship Id="rId409" Type="http://schemas.openxmlformats.org/officeDocument/2006/relationships/hyperlink" Target="https://drive.google.com/open?id=1pQSaaaClbh3ZFWjSdbo6bNEW1MmE7TZW" TargetMode="External"/><Relationship Id="rId963" Type="http://schemas.openxmlformats.org/officeDocument/2006/relationships/hyperlink" Target="https://drive.google.com/open?id=1pCja-Trkck6fHB43ploI9confDloy1fD" TargetMode="External"/><Relationship Id="rId1039" Type="http://schemas.openxmlformats.org/officeDocument/2006/relationships/hyperlink" Target="https://www.linkedin.com/in/emanuel-medeiros-72999369/" TargetMode="External"/><Relationship Id="rId92" Type="http://schemas.openxmlformats.org/officeDocument/2006/relationships/hyperlink" Target="https://drive.google.com/open?id=1GyR81bknWt8oajozWNTUrLma3vUPQ8ul" TargetMode="External"/><Relationship Id="rId616" Type="http://schemas.openxmlformats.org/officeDocument/2006/relationships/hyperlink" Target="https://instagram.com/baledarale?utm_medium=copy_link" TargetMode="External"/><Relationship Id="rId823" Type="http://schemas.openxmlformats.org/officeDocument/2006/relationships/hyperlink" Target="https://drive.google.com/open?id=1k4ZYioVvl1zheiSss8wPkYSzfL12DhI2" TargetMode="External"/><Relationship Id="rId255" Type="http://schemas.openxmlformats.org/officeDocument/2006/relationships/hyperlink" Target="https://drive.google.com/open?id=10FmT6Z56cOI9-urh7X1DcDVxdKjsovd0" TargetMode="External"/><Relationship Id="rId462" Type="http://schemas.openxmlformats.org/officeDocument/2006/relationships/hyperlink" Target="https://drive.google.com/open?id=1mQcVqUlIlHD0mTp3BVZ00LRVRMMjJdQ3" TargetMode="External"/><Relationship Id="rId1092" Type="http://schemas.openxmlformats.org/officeDocument/2006/relationships/hyperlink" Target="https://www.instagram.com/p/CQXSEKlHgIM/?utm_medium=copy_link" TargetMode="External"/><Relationship Id="rId1106" Type="http://schemas.openxmlformats.org/officeDocument/2006/relationships/hyperlink" Target="https://drive.google.com/open?id=18CsNI9jKYWszx6L-o82lHWzOq_VepQ_D" TargetMode="External"/><Relationship Id="rId115" Type="http://schemas.openxmlformats.org/officeDocument/2006/relationships/hyperlink" Target="https://www.instagram.com/netysantosoficial/" TargetMode="External"/><Relationship Id="rId322" Type="http://schemas.openxmlformats.org/officeDocument/2006/relationships/hyperlink" Target="https://drive.google.com/open?id=1GLRGvo2xNpS1W7WOBVMItIZ0qBZukkIe" TargetMode="External"/><Relationship Id="rId767" Type="http://schemas.openxmlformats.org/officeDocument/2006/relationships/hyperlink" Target="https://drive.google.com/open?id=1vkyUXgOiy90ukB99Kobu_KVZEsRsIeIb" TargetMode="External"/><Relationship Id="rId974" Type="http://schemas.openxmlformats.org/officeDocument/2006/relationships/hyperlink" Target="https://www.linkedin.com/in/marcus-vinicius-do-nascimento-a0ab634b" TargetMode="External"/><Relationship Id="rId199" Type="http://schemas.openxmlformats.org/officeDocument/2006/relationships/hyperlink" Target="https://drive.google.com/open?id=1RwiVosia2vn_uvKa8peUmPVynYuF6tr8" TargetMode="External"/><Relationship Id="rId627" Type="http://schemas.openxmlformats.org/officeDocument/2006/relationships/hyperlink" Target="https://www.linkedin.com/in/eraldonoronha/" TargetMode="External"/><Relationship Id="rId834" Type="http://schemas.openxmlformats.org/officeDocument/2006/relationships/hyperlink" Target="https://www.instagram.com/zedanilo.guerra/" TargetMode="External"/><Relationship Id="rId266" Type="http://schemas.openxmlformats.org/officeDocument/2006/relationships/hyperlink" Target="https://drive.google.com/open?id=1bcT4BaMgaUr8CwtxDUxlHp9o6ZRHUsaG" TargetMode="External"/><Relationship Id="rId473" Type="http://schemas.openxmlformats.org/officeDocument/2006/relationships/hyperlink" Target="https://drive.google.com/open?id=1KZMRLmxRys9oJaJt5X5xyFNFh4UAsvto" TargetMode="External"/><Relationship Id="rId680" Type="http://schemas.openxmlformats.org/officeDocument/2006/relationships/hyperlink" Target="https://drive.google.com/open?id=1HdsfVH9xyWjPzEDHcAiTdF3JxOmmHCNt" TargetMode="External"/><Relationship Id="rId901" Type="http://schemas.openxmlformats.org/officeDocument/2006/relationships/hyperlink" Target="https://drive.google.com/open?id=1CFZ13sshI8_sczLZpd7M7iM8WVUxmUy8" TargetMode="External"/><Relationship Id="rId1117" Type="http://schemas.openxmlformats.org/officeDocument/2006/relationships/hyperlink" Target="https://drive.google.com/open?id=1-gtEyyewmK0c6XfyRnXDbXLS_8VKo2Rw" TargetMode="External"/><Relationship Id="rId30" Type="http://schemas.openxmlformats.org/officeDocument/2006/relationships/hyperlink" Target="https://drive.google.com/open?id=1iTJFsM1YYHY7c4XLdb21So1-0IsuYJFU" TargetMode="External"/><Relationship Id="rId126" Type="http://schemas.openxmlformats.org/officeDocument/2006/relationships/hyperlink" Target="https://instagram.com/eudesjunioroficial?igshid=YmMyMTA2M2Y=" TargetMode="External"/><Relationship Id="rId333" Type="http://schemas.openxmlformats.org/officeDocument/2006/relationships/hyperlink" Target="https://www.linkedin.com/in/aline-pierrobom-cordeiro-233a8a24/" TargetMode="External"/><Relationship Id="rId540" Type="http://schemas.openxmlformats.org/officeDocument/2006/relationships/hyperlink" Target="http://www.instagram.com/juliasgoulart" TargetMode="External"/><Relationship Id="rId778" Type="http://schemas.openxmlformats.org/officeDocument/2006/relationships/hyperlink" Target="https://www.instagram.com/ledabritodos/" TargetMode="External"/><Relationship Id="rId985" Type="http://schemas.openxmlformats.org/officeDocument/2006/relationships/hyperlink" Target="https://www.instagram.com/tuany_nascimentoo/" TargetMode="External"/><Relationship Id="rId1170" Type="http://schemas.openxmlformats.org/officeDocument/2006/relationships/hyperlink" Target="https://www.instagram.com/p/Cbr6uZVLlXL/?utm_medium=copy_link" TargetMode="External"/><Relationship Id="rId638" Type="http://schemas.openxmlformats.org/officeDocument/2006/relationships/hyperlink" Target="https://www.instagram.com/invites/contact/?i=1dh60zljmycae&amp;utm_content=7aex5q6" TargetMode="External"/><Relationship Id="rId845" Type="http://schemas.openxmlformats.org/officeDocument/2006/relationships/hyperlink" Target="https://www.instagram.com/tiadani_despertandoamor/" TargetMode="External"/><Relationship Id="rId1030" Type="http://schemas.openxmlformats.org/officeDocument/2006/relationships/hyperlink" Target="https://instagram.com/castro.lenir?utm_medium=copy_link" TargetMode="External"/><Relationship Id="rId277" Type="http://schemas.openxmlformats.org/officeDocument/2006/relationships/hyperlink" Target="https://drive.google.com/open?id=1HHDJ1oMa-CNRkpLdVHTCus7eLKLYLAuE" TargetMode="External"/><Relationship Id="rId400" Type="http://schemas.openxmlformats.org/officeDocument/2006/relationships/hyperlink" Target="https://instagram.com/prof.lucianotavares?utm_medium=copy_link" TargetMode="External"/><Relationship Id="rId484" Type="http://schemas.openxmlformats.org/officeDocument/2006/relationships/hyperlink" Target="https://www.instagram.com/favelabarrovermelho/" TargetMode="External"/><Relationship Id="rId705" Type="http://schemas.openxmlformats.org/officeDocument/2006/relationships/hyperlink" Target="https://br.linkedin.com/in/fabr%C3%ADcio-silvestre-94b35b20a" TargetMode="External"/><Relationship Id="rId1128" Type="http://schemas.openxmlformats.org/officeDocument/2006/relationships/hyperlink" Target="https://drive.google.com/open?id=1ZkAetUpeyq7Ov8oNLUZlQXoPKPTlQaXZ" TargetMode="External"/><Relationship Id="rId137" Type="http://schemas.openxmlformats.org/officeDocument/2006/relationships/hyperlink" Target="https://www.instagram.com/invites/contact/?i=168a3n2tcdxzr&amp;utm_content=1bisy0m" TargetMode="External"/><Relationship Id="rId344" Type="http://schemas.openxmlformats.org/officeDocument/2006/relationships/hyperlink" Target="https://drive.google.com/open?id=1Wpk3V6fdUQvLRQR_hBO_qYAQexmndDyX" TargetMode="External"/><Relationship Id="rId691" Type="http://schemas.openxmlformats.org/officeDocument/2006/relationships/hyperlink" Target="https://drive.google.com/open?id=1NUDBxclDMFM_DIHhU1rrU_Ismp_pkflF" TargetMode="External"/><Relationship Id="rId789" Type="http://schemas.openxmlformats.org/officeDocument/2006/relationships/hyperlink" Target="https://www.linkedin.com/in/jhonata-pereira-28b32654/" TargetMode="External"/><Relationship Id="rId912" Type="http://schemas.openxmlformats.org/officeDocument/2006/relationships/hyperlink" Target="https://drive.google.com/open?id=1qia0QiSELP4YAoVAki4Q40V_SLiqTYKu" TargetMode="External"/><Relationship Id="rId996" Type="http://schemas.openxmlformats.org/officeDocument/2006/relationships/hyperlink" Target="https://www.linkedin.com/in/odilon-ara%C3%BAjo-a188b9a0/" TargetMode="External"/><Relationship Id="rId41" Type="http://schemas.openxmlformats.org/officeDocument/2006/relationships/hyperlink" Target="https://drive.google.com/open?id=1Z9_JhppkZ2Wj4c8OIrfad1jLgFYg_3LK" TargetMode="External"/><Relationship Id="rId551" Type="http://schemas.openxmlformats.org/officeDocument/2006/relationships/hyperlink" Target="https://drive.google.com/open?id=1tpqRxDesCZquAPPMJ3quJEmON3JDibP1" TargetMode="External"/><Relationship Id="rId649" Type="http://schemas.openxmlformats.org/officeDocument/2006/relationships/hyperlink" Target="https://br.linkedin.com/in/stefany-miranda-846776198" TargetMode="External"/><Relationship Id="rId856" Type="http://schemas.openxmlformats.org/officeDocument/2006/relationships/hyperlink" Target="https://www.instagram.com/alexdecampos92/" TargetMode="External"/><Relationship Id="rId1181" Type="http://schemas.openxmlformats.org/officeDocument/2006/relationships/hyperlink" Target="https://www.instagram.com/anailton.fer/" TargetMode="External"/><Relationship Id="rId190" Type="http://schemas.openxmlformats.org/officeDocument/2006/relationships/hyperlink" Target="https://www.linkedin.com/in/duda-lemos-264ab4115/" TargetMode="External"/><Relationship Id="rId204" Type="http://schemas.openxmlformats.org/officeDocument/2006/relationships/hyperlink" Target="https://drive.google.com/open?id=11xStfQIHOB1A876zLCWO3380K6HrIHbA" TargetMode="External"/><Relationship Id="rId288" Type="http://schemas.openxmlformats.org/officeDocument/2006/relationships/hyperlink" Target="https://drive.google.com/open?id=19KfG4n48fH3hdBSwO3tgOMVnmaMNYI6A" TargetMode="External"/><Relationship Id="rId411" Type="http://schemas.openxmlformats.org/officeDocument/2006/relationships/hyperlink" Target="https://www.instagram.com/suelenaraujo__/" TargetMode="External"/><Relationship Id="rId509" Type="http://schemas.openxmlformats.org/officeDocument/2006/relationships/hyperlink" Target="https://drive.google.com/open?id=1hg-hD2uUbXq64sKLniFoZ_8gEszACpl9" TargetMode="External"/><Relationship Id="rId1041" Type="http://schemas.openxmlformats.org/officeDocument/2006/relationships/hyperlink" Target="https://drive.google.com/open?id=1NMoH-HaLbSlankgw1qpkiKWHG4h1b63U" TargetMode="External"/><Relationship Id="rId1139" Type="http://schemas.openxmlformats.org/officeDocument/2006/relationships/hyperlink" Target="https://www.linkedin.com/in/jaqueline-ribeiro-5265751ab" TargetMode="External"/><Relationship Id="rId495" Type="http://schemas.openxmlformats.org/officeDocument/2006/relationships/hyperlink" Target="https://drive.google.com/open?id=1PgWD4jcAcrOt_AZvc55tkme3sK6f0_6_" TargetMode="External"/><Relationship Id="rId716" Type="http://schemas.openxmlformats.org/officeDocument/2006/relationships/hyperlink" Target="https://www.instagram.com/gfmsouza/" TargetMode="External"/><Relationship Id="rId923" Type="http://schemas.openxmlformats.org/officeDocument/2006/relationships/hyperlink" Target="https://instagram.com/ronaldoclebercaceres?igshid=YmMyMTA2M2Y=" TargetMode="External"/><Relationship Id="rId52" Type="http://schemas.openxmlformats.org/officeDocument/2006/relationships/hyperlink" Target="https://drive.google.com/open?id=1RAgPd5DdIK-hiSAUxrtywNdQYVD-AUdW" TargetMode="External"/><Relationship Id="rId148" Type="http://schemas.openxmlformats.org/officeDocument/2006/relationships/hyperlink" Target="https://drive.google.com/open?id=1kuKFqFzdXrEkPzUdcrBrkxyiRZSM9VWC" TargetMode="External"/><Relationship Id="rId355" Type="http://schemas.openxmlformats.org/officeDocument/2006/relationships/hyperlink" Target="https://www.instagram.com/barucvenditto/" TargetMode="External"/><Relationship Id="rId562" Type="http://schemas.openxmlformats.org/officeDocument/2006/relationships/hyperlink" Target="https://drive.google.com/open?id=12eipfxlQ-9jFTzg4dTPITGKQMopChRb2" TargetMode="External"/><Relationship Id="rId1192" Type="http://schemas.openxmlformats.org/officeDocument/2006/relationships/hyperlink" Target="https://instagram.com/ivette.macedo?utm_medium=copy_link" TargetMode="External"/><Relationship Id="rId215" Type="http://schemas.openxmlformats.org/officeDocument/2006/relationships/hyperlink" Target="https://drive.google.com/open?id=1VX6LjY5bCPKPIxMwfEjNXPk0_7w7ifIF" TargetMode="External"/><Relationship Id="rId422" Type="http://schemas.openxmlformats.org/officeDocument/2006/relationships/hyperlink" Target="https://drive.google.com/open?id=1MVApdFAaNsCwnKU_vzJc2uPv9LPvf3te" TargetMode="External"/><Relationship Id="rId867" Type="http://schemas.openxmlformats.org/officeDocument/2006/relationships/hyperlink" Target="https://drive.google.com/open?id=1GGOLUuuZN7XCOZ20_eXS-cdmAEO4RuJA" TargetMode="External"/><Relationship Id="rId1052" Type="http://schemas.openxmlformats.org/officeDocument/2006/relationships/hyperlink" Target="http://www.linkedin.com/in/sergiomartins-269018212" TargetMode="External"/><Relationship Id="rId299" Type="http://schemas.openxmlformats.org/officeDocument/2006/relationships/hyperlink" Target="https://www.instagram.com/robertaazevedo2020/" TargetMode="External"/><Relationship Id="rId727" Type="http://schemas.openxmlformats.org/officeDocument/2006/relationships/hyperlink" Target="https://drive.google.com/open?id=1TbReOcBxZf4O0ucSfR_EtBicRG66lffB" TargetMode="External"/><Relationship Id="rId934" Type="http://schemas.openxmlformats.org/officeDocument/2006/relationships/hyperlink" Target="https://www.instagram.com/p/CIeDBOhBvFF/?utm_medium=copy_link" TargetMode="External"/><Relationship Id="rId63" Type="http://schemas.openxmlformats.org/officeDocument/2006/relationships/hyperlink" Target="https://drive.google.com/open?id=1NcFkDJp666d0gE23w4fwboFOwT-JcBLy" TargetMode="External"/><Relationship Id="rId159" Type="http://schemas.openxmlformats.org/officeDocument/2006/relationships/hyperlink" Target="https://drive.google.com/open?id=1z8C82dQUQ9psS2Z7HdHrjxfTSVZUvo5_" TargetMode="External"/><Relationship Id="rId366" Type="http://schemas.openxmlformats.org/officeDocument/2006/relationships/hyperlink" Target="https://drive.google.com/open?id=1elfHJjbNYc5D_gUXGZ0oW7Jl2hVgc7Pr" TargetMode="External"/><Relationship Id="rId573" Type="http://schemas.openxmlformats.org/officeDocument/2006/relationships/hyperlink" Target="https://drive.google.com/open?id=1C6ewJpuHyQUU-kJqMvL2-fOTMl9fp52d" TargetMode="External"/><Relationship Id="rId780" Type="http://schemas.openxmlformats.org/officeDocument/2006/relationships/hyperlink" Target="https://www.instagram.com/prdouglas_galdino/" TargetMode="External"/><Relationship Id="rId226" Type="http://schemas.openxmlformats.org/officeDocument/2006/relationships/hyperlink" Target="https://www.linkedin.com/in/iara-preto-57132b26/" TargetMode="External"/><Relationship Id="rId433" Type="http://schemas.openxmlformats.org/officeDocument/2006/relationships/hyperlink" Target="https://instagram.com/jandersson_rocha?utm_medium=copy_link" TargetMode="External"/><Relationship Id="rId878" Type="http://schemas.openxmlformats.org/officeDocument/2006/relationships/hyperlink" Target="https://drive.google.com/open?id=1QASxU1JNZM-N0hbcaswRXGfOFON-bSOV" TargetMode="External"/><Relationship Id="rId1063" Type="http://schemas.openxmlformats.org/officeDocument/2006/relationships/hyperlink" Target="https://www.linkedin.com/in/patricia-maia-485200217" TargetMode="External"/><Relationship Id="rId640" Type="http://schemas.openxmlformats.org/officeDocument/2006/relationships/hyperlink" Target="https://br.linkedin.com/in/nei-pont%C3%A3o-4745453b" TargetMode="External"/><Relationship Id="rId738" Type="http://schemas.openxmlformats.org/officeDocument/2006/relationships/hyperlink" Target="https://drive.google.com/open?id=1JX1j7zdYz78QRqW-MRqw8f307d1MX0BT" TargetMode="External"/><Relationship Id="rId945" Type="http://schemas.openxmlformats.org/officeDocument/2006/relationships/hyperlink" Target="https://www.linkedin.com/in/miqu%C3%A9ias-costa-b578b18a/" TargetMode="External"/><Relationship Id="rId74" Type="http://schemas.openxmlformats.org/officeDocument/2006/relationships/hyperlink" Target="https://drive.google.com/open?id=1Zfb-u73oD84c_bjqjmn1uC4zhw0NiuNG" TargetMode="External"/><Relationship Id="rId377" Type="http://schemas.openxmlformats.org/officeDocument/2006/relationships/hyperlink" Target="https://drive.google.com/open?id=19q4jDxBhv5lSMysDKMnqKn4pad3AEp5A" TargetMode="External"/><Relationship Id="rId500" Type="http://schemas.openxmlformats.org/officeDocument/2006/relationships/hyperlink" Target="https://drive.google.com/open?id=1sHyVqtOgGEZolkW9W01JGPuN42Lh50xz" TargetMode="External"/><Relationship Id="rId584" Type="http://schemas.openxmlformats.org/officeDocument/2006/relationships/hyperlink" Target="https://drive.google.com/open?id=1-qvgmOicpJPtEdLI1ygh-OGRYsMVFqZ1" TargetMode="External"/><Relationship Id="rId805" Type="http://schemas.openxmlformats.org/officeDocument/2006/relationships/hyperlink" Target="https://drive.google.com/open?id=1ttgFAwuIeCw47J68v5MCzz0XeRZj0maB" TargetMode="External"/><Relationship Id="rId1130" Type="http://schemas.openxmlformats.org/officeDocument/2006/relationships/hyperlink" Target="https://www.instagram.com/flavioalmeidaf3/" TargetMode="External"/><Relationship Id="rId5" Type="http://schemas.openxmlformats.org/officeDocument/2006/relationships/hyperlink" Target="https://instagram.com/lanadotamojunto?igshid=YmMyMTA2M2Y=" TargetMode="External"/><Relationship Id="rId237" Type="http://schemas.openxmlformats.org/officeDocument/2006/relationships/hyperlink" Target="https://instagram.com/derineudo?igshid=YmMyMTA2M2Y=" TargetMode="External"/><Relationship Id="rId791" Type="http://schemas.openxmlformats.org/officeDocument/2006/relationships/hyperlink" Target="https://drive.google.com/open?id=1FmFANdpkSLGdP-0QEfMSlQjD_rx3l5Sy" TargetMode="External"/><Relationship Id="rId889" Type="http://schemas.openxmlformats.org/officeDocument/2006/relationships/hyperlink" Target="https://drive.google.com/open?id=1qKTwgHROY_jcpuXYbHKzxUjCyoRRLB8y" TargetMode="External"/><Relationship Id="rId1074" Type="http://schemas.openxmlformats.org/officeDocument/2006/relationships/hyperlink" Target="https://www.instagram.com/invites/contact/?i=1uk5pbe1kwr06&amp;utm_content=xtb5ir" TargetMode="External"/><Relationship Id="rId444" Type="http://schemas.openxmlformats.org/officeDocument/2006/relationships/hyperlink" Target="http://www.linkedin.com/in/marcia-carfer-05321847" TargetMode="External"/><Relationship Id="rId651" Type="http://schemas.openxmlformats.org/officeDocument/2006/relationships/hyperlink" Target="https://drive.google.com/open?id=1KuJRrz0LJjkCms2jb4KlyhM15hnjx4Ru" TargetMode="External"/><Relationship Id="rId749" Type="http://schemas.openxmlformats.org/officeDocument/2006/relationships/hyperlink" Target="https://drive.google.com/open?id=1yvpmgaR7_4STXkh3M9QnI-8WTl4wX9hz" TargetMode="External"/><Relationship Id="rId290" Type="http://schemas.openxmlformats.org/officeDocument/2006/relationships/hyperlink" Target="https://www.instagram.com/paulagm13" TargetMode="External"/><Relationship Id="rId304" Type="http://schemas.openxmlformats.org/officeDocument/2006/relationships/hyperlink" Target="https://drive.google.com/open?id=1-qUORzM0dfqwIkRyeX8lS50td8hES08B" TargetMode="External"/><Relationship Id="rId388" Type="http://schemas.openxmlformats.org/officeDocument/2006/relationships/hyperlink" Target="https://www.linkedin.com/in/anabeatriz-freire/" TargetMode="External"/><Relationship Id="rId511" Type="http://schemas.openxmlformats.org/officeDocument/2006/relationships/hyperlink" Target="https://www.instagram.com/pablytto_28/" TargetMode="External"/><Relationship Id="rId609" Type="http://schemas.openxmlformats.org/officeDocument/2006/relationships/hyperlink" Target="https://drive.google.com/open?id=1Gssnn35jMpTcNOtvFuM6csVgnIEkJaPL" TargetMode="External"/><Relationship Id="rId956" Type="http://schemas.openxmlformats.org/officeDocument/2006/relationships/hyperlink" Target="https://drive.google.com/open?id=191Qwezuicdw_GVKGLTd_BLjRldNLNTAp" TargetMode="External"/><Relationship Id="rId1141" Type="http://schemas.openxmlformats.org/officeDocument/2006/relationships/hyperlink" Target="https://www.linkedin.com/feed/" TargetMode="External"/><Relationship Id="rId85" Type="http://schemas.openxmlformats.org/officeDocument/2006/relationships/hyperlink" Target="https://www.instagram.com/p/CY_we9SAi8V/?utm_medium=share_sheet" TargetMode="External"/><Relationship Id="rId150" Type="http://schemas.openxmlformats.org/officeDocument/2006/relationships/hyperlink" Target="https://instagram.com/alves__sevla?utm_medium=copy_link" TargetMode="External"/><Relationship Id="rId595" Type="http://schemas.openxmlformats.org/officeDocument/2006/relationships/hyperlink" Target="https://drive.google.com/open?id=1DKY-InFZXUqBBZyOmp_kqN5PD8sCjywv" TargetMode="External"/><Relationship Id="rId816" Type="http://schemas.openxmlformats.org/officeDocument/2006/relationships/hyperlink" Target="https://drive.google.com/open?id=1-j9s7QePGLTyWOuXHV7NoblF8HsDWPQF" TargetMode="External"/><Relationship Id="rId1001" Type="http://schemas.openxmlformats.org/officeDocument/2006/relationships/hyperlink" Target="https://drive.google.com/open?id=1hRSPSXM1WA4ZhHB5rg8ys_zp_D8vXBdc" TargetMode="External"/><Relationship Id="rId248" Type="http://schemas.openxmlformats.org/officeDocument/2006/relationships/hyperlink" Target="https://drive.google.com/open?id=1Ctz_Q0XlN3K6bknRIsvn7jhkx8_si2a6" TargetMode="External"/><Relationship Id="rId455" Type="http://schemas.openxmlformats.org/officeDocument/2006/relationships/hyperlink" Target="https://drive.google.com/open?id=1W-RbqETXkXuAJWTN4ENjH2eqhMKhtjy9" TargetMode="External"/><Relationship Id="rId662" Type="http://schemas.openxmlformats.org/officeDocument/2006/relationships/hyperlink" Target="https://drive.google.com/open?id=1AxWHKAn-mY2FmEIRB84FwM0NvERgP7Fm" TargetMode="External"/><Relationship Id="rId1085" Type="http://schemas.openxmlformats.org/officeDocument/2006/relationships/hyperlink" Target="https://drive.google.com/open?id=1sW1HQrdD0H61CN5rMoErLj_bQC4xTJhg" TargetMode="External"/><Relationship Id="rId12" Type="http://schemas.openxmlformats.org/officeDocument/2006/relationships/hyperlink" Target="https://www.instagram.com/p/Cb_SYjmskiD/?utm_medium=copy_link" TargetMode="External"/><Relationship Id="rId108" Type="http://schemas.openxmlformats.org/officeDocument/2006/relationships/hyperlink" Target="https://drive.google.com/open?id=1Z0mMSgxXbPsaQicyZbFm562CaVblcVj8" TargetMode="External"/><Relationship Id="rId315" Type="http://schemas.openxmlformats.org/officeDocument/2006/relationships/hyperlink" Target="https://www.linkedin.com/in/carlos-moura-272b652a" TargetMode="External"/><Relationship Id="rId522" Type="http://schemas.openxmlformats.org/officeDocument/2006/relationships/hyperlink" Target="https://drive.google.com/open?id=1hCbRZXvX9Iv2HQy29ZNQtYNkvqsc3ofA" TargetMode="External"/><Relationship Id="rId967" Type="http://schemas.openxmlformats.org/officeDocument/2006/relationships/hyperlink" Target="https://drive.google.com/open?id=1nDYm1I-lZAJn9X0O6BanBlGUOH2Es6LQ" TargetMode="External"/><Relationship Id="rId1152" Type="http://schemas.openxmlformats.org/officeDocument/2006/relationships/hyperlink" Target="https://drive.google.com/open?id=19gdmX7R4KOcvUbBvKjUmw37JQQLdNVMQ" TargetMode="External"/><Relationship Id="rId96" Type="http://schemas.openxmlformats.org/officeDocument/2006/relationships/hyperlink" Target="https://instagram.com/pabllogoncallves?igshid=NDBlY2NjN2I=" TargetMode="External"/><Relationship Id="rId161" Type="http://schemas.openxmlformats.org/officeDocument/2006/relationships/hyperlink" Target="https://instagram.com/winyfabiano?utm_medium=copy_link" TargetMode="External"/><Relationship Id="rId399" Type="http://schemas.openxmlformats.org/officeDocument/2006/relationships/hyperlink" Target="https://drive.google.com/open?id=1YS0lRLaMxbnUTRGIbc7W715Vfjc7UG-M" TargetMode="External"/><Relationship Id="rId827" Type="http://schemas.openxmlformats.org/officeDocument/2006/relationships/hyperlink" Target="https://drive.google.com/open?id=1z3SgdU1kHKHG-_eJjqHvFpJBI03WjvaQ" TargetMode="External"/><Relationship Id="rId1012" Type="http://schemas.openxmlformats.org/officeDocument/2006/relationships/hyperlink" Target="https://instagram.com/leonardomoraesprecioso?utm_medium=copy_link" TargetMode="External"/><Relationship Id="rId259" Type="http://schemas.openxmlformats.org/officeDocument/2006/relationships/hyperlink" Target="https://www.linkedin.com/in/jo%C3%A3o-paulo-farias-costa-b4a03131/" TargetMode="External"/><Relationship Id="rId466" Type="http://schemas.openxmlformats.org/officeDocument/2006/relationships/hyperlink" Target="https://www.linkedin.com/mwlite/in/joao-oliveira-68b52450" TargetMode="External"/><Relationship Id="rId673" Type="http://schemas.openxmlformats.org/officeDocument/2006/relationships/hyperlink" Target="https://instagram.com/leandrosoaresfla?utm_medium=copy_link" TargetMode="External"/><Relationship Id="rId880" Type="http://schemas.openxmlformats.org/officeDocument/2006/relationships/hyperlink" Target="https://drive.google.com/open?id=1JYRVtljWjcJx8uAVYayPNz31Aw8vCF2a" TargetMode="External"/><Relationship Id="rId1096" Type="http://schemas.openxmlformats.org/officeDocument/2006/relationships/hyperlink" Target="https://drive.google.com/open?id=1Z3HBzY_hwLhy4AsANC9NRkSgranDK1s4" TargetMode="External"/><Relationship Id="rId23" Type="http://schemas.openxmlformats.org/officeDocument/2006/relationships/hyperlink" Target="https://drive.google.com/open?id=1jzecVy_m4r2ael14vH8L-t37J-W5FfPJ" TargetMode="External"/><Relationship Id="rId119" Type="http://schemas.openxmlformats.org/officeDocument/2006/relationships/hyperlink" Target="https://www.instagram.com/p/CcOSQB3u0Ck/?igshid=YmMyMTA2M2Y=" TargetMode="External"/><Relationship Id="rId326" Type="http://schemas.openxmlformats.org/officeDocument/2006/relationships/hyperlink" Target="https://drive.google.com/open?id=1CbNVEgi7SQumdVpdqjzYyGyvd0j6BerL" TargetMode="External"/><Relationship Id="rId533" Type="http://schemas.openxmlformats.org/officeDocument/2006/relationships/hyperlink" Target="https://www.linkedin.com/in/hugueney-gomes-49b00b84/" TargetMode="External"/><Relationship Id="rId978" Type="http://schemas.openxmlformats.org/officeDocument/2006/relationships/hyperlink" Target="https://drive.google.com/open?id=1AMRHtPSw4gVAuQfpb6HPdKx_XHrGK0hJ" TargetMode="External"/><Relationship Id="rId1163" Type="http://schemas.openxmlformats.org/officeDocument/2006/relationships/hyperlink" Target="https://drive.google.com/open?id=1-aKVwh3CLvsF_ErH9avirRNDRtJNuc5L" TargetMode="External"/><Relationship Id="rId740" Type="http://schemas.openxmlformats.org/officeDocument/2006/relationships/hyperlink" Target="https://www.instagram.com/flaviasimonsen/" TargetMode="External"/><Relationship Id="rId838" Type="http://schemas.openxmlformats.org/officeDocument/2006/relationships/hyperlink" Target="https://www.linkedin.com/in/anderson-carvalho-249bba114" TargetMode="External"/><Relationship Id="rId1023" Type="http://schemas.openxmlformats.org/officeDocument/2006/relationships/hyperlink" Target="https://instagram.com/luzia_dani?utm_medium=copy_link" TargetMode="External"/><Relationship Id="rId172" Type="http://schemas.openxmlformats.org/officeDocument/2006/relationships/hyperlink" Target="https://drive.google.com/open?id=14lAcDOp8D9ZBiB2_Ko9Y99pH9wKQte0r" TargetMode="External"/><Relationship Id="rId477" Type="http://schemas.openxmlformats.org/officeDocument/2006/relationships/hyperlink" Target="https://www.instagram.com/lauracamposbraz/" TargetMode="External"/><Relationship Id="rId600" Type="http://schemas.openxmlformats.org/officeDocument/2006/relationships/hyperlink" Target="https://www.linkedin.com/in/alcinesio-santana-filho-3b8711112/" TargetMode="External"/><Relationship Id="rId684" Type="http://schemas.openxmlformats.org/officeDocument/2006/relationships/hyperlink" Target="https://www.linkedin.com/in/maria-de-f%C3%A1tima-queiroz-de-oliveira-0383a94b/" TargetMode="External"/><Relationship Id="rId337" Type="http://schemas.openxmlformats.org/officeDocument/2006/relationships/hyperlink" Target="https://drive.google.com/open?id=1NXQ2UZcBcBUoQAEhuz89rUkwkghWJBXS" TargetMode="External"/><Relationship Id="rId891" Type="http://schemas.openxmlformats.org/officeDocument/2006/relationships/hyperlink" Target="https://instagram.com/anapaula.almeidarodrigues?utm_medium=copy_link" TargetMode="External"/><Relationship Id="rId905" Type="http://schemas.openxmlformats.org/officeDocument/2006/relationships/hyperlink" Target="https://drive.google.com/open?id=1zBbqQgovEpM2hewmqvqrPi23fPj1LyeD" TargetMode="External"/><Relationship Id="rId989" Type="http://schemas.openxmlformats.org/officeDocument/2006/relationships/hyperlink" Target="http://instagram.com/gouveiia" TargetMode="External"/><Relationship Id="rId34" Type="http://schemas.openxmlformats.org/officeDocument/2006/relationships/hyperlink" Target="https://drive.google.com/open?id=1wq3GbxKYwOPTUUmJwsRsBT-FzcAZqdBz" TargetMode="External"/><Relationship Id="rId544" Type="http://schemas.openxmlformats.org/officeDocument/2006/relationships/hyperlink" Target="https://www.instagram.com/djmariorlmm/" TargetMode="External"/><Relationship Id="rId751" Type="http://schemas.openxmlformats.org/officeDocument/2006/relationships/hyperlink" Target="https://www.instagram.com/wellsmatos/" TargetMode="External"/><Relationship Id="rId849" Type="http://schemas.openxmlformats.org/officeDocument/2006/relationships/hyperlink" Target="https://drive.google.com/open?id=1N6xx9C0ReN1U5tj8svm4_RcSBKrLDgVh" TargetMode="External"/><Relationship Id="rId1174" Type="http://schemas.openxmlformats.org/officeDocument/2006/relationships/hyperlink" Target="https://drive.google.com/open?id=1x6dXVupTpE0-r0Yz9ttId9f3ZQAH-Rhy" TargetMode="External"/><Relationship Id="rId183" Type="http://schemas.openxmlformats.org/officeDocument/2006/relationships/hyperlink" Target="https://www.linkedin.com/in/welitonsimao/" TargetMode="External"/><Relationship Id="rId390" Type="http://schemas.openxmlformats.org/officeDocument/2006/relationships/hyperlink" Target="https://drive.google.com/open?id=1O_sJeycCFlGKBUuTcMGwhCNeiLPz4CkV" TargetMode="External"/><Relationship Id="rId404" Type="http://schemas.openxmlformats.org/officeDocument/2006/relationships/hyperlink" Target="https://drive.google.com/open?id=1vdxL8wC3TC9OQui2Gob5g8VgAYtPcmf2" TargetMode="External"/><Relationship Id="rId611" Type="http://schemas.openxmlformats.org/officeDocument/2006/relationships/hyperlink" Target="https://drive.google.com/open?id=1gcgliDhEdM_0prKU-Gej3zxAbI3H8c_q" TargetMode="External"/><Relationship Id="rId1034" Type="http://schemas.openxmlformats.org/officeDocument/2006/relationships/hyperlink" Target="https://www.instagram.com/p/CaUwygILU-A/?utm_medium=copy_link" TargetMode="External"/><Relationship Id="rId250" Type="http://schemas.openxmlformats.org/officeDocument/2006/relationships/hyperlink" Target="https://www.instagram.com/juoliveira.coach/" TargetMode="External"/><Relationship Id="rId488" Type="http://schemas.openxmlformats.org/officeDocument/2006/relationships/hyperlink" Target="https://www.linkedin.com/in/davihschoenar/" TargetMode="External"/><Relationship Id="rId695" Type="http://schemas.openxmlformats.org/officeDocument/2006/relationships/hyperlink" Target="https://drive.google.com/open?id=10eVEvJ6j6zTtL0hh7Atg8eoNSlKc52Vw" TargetMode="External"/><Relationship Id="rId709" Type="http://schemas.openxmlformats.org/officeDocument/2006/relationships/hyperlink" Target="https://www.instagram.com/rennanleta/" TargetMode="External"/><Relationship Id="rId916" Type="http://schemas.openxmlformats.org/officeDocument/2006/relationships/hyperlink" Target="https://drive.google.com/open?id=1Z7g0O8jNzhBBXqpVxRAfTjxnSBfS2s8p" TargetMode="External"/><Relationship Id="rId1101" Type="http://schemas.openxmlformats.org/officeDocument/2006/relationships/hyperlink" Target="https://www.linkedin.com/in/silvana-alves-01454a216/" TargetMode="External"/><Relationship Id="rId45" Type="http://schemas.openxmlformats.org/officeDocument/2006/relationships/hyperlink" Target="https://drive.google.com/open?id=1_1OvfdlJBqJwqoDFqOM9iGDR9R6e9Wvm" TargetMode="External"/><Relationship Id="rId110" Type="http://schemas.openxmlformats.org/officeDocument/2006/relationships/hyperlink" Target="https://drive.google.com/open?id=1frMUwxJfV8frfnwKM00vkv__tHOXTxwO" TargetMode="External"/><Relationship Id="rId348" Type="http://schemas.openxmlformats.org/officeDocument/2006/relationships/hyperlink" Target="https://instagram.com/julianderson_bodyboard?utm_medium=copy_link" TargetMode="External"/><Relationship Id="rId555" Type="http://schemas.openxmlformats.org/officeDocument/2006/relationships/hyperlink" Target="https://www.linkedin.com/in/admilson-fuca" TargetMode="External"/><Relationship Id="rId762" Type="http://schemas.openxmlformats.org/officeDocument/2006/relationships/hyperlink" Target="https://drive.google.com/open?id=1iPrd19Im6yCS6AHpCTiYkgistjLG-B3y" TargetMode="External"/><Relationship Id="rId1185" Type="http://schemas.openxmlformats.org/officeDocument/2006/relationships/hyperlink" Target="https://www.linkedin.com/in/barbaraprojetoswell" TargetMode="External"/><Relationship Id="rId194" Type="http://schemas.openxmlformats.org/officeDocument/2006/relationships/hyperlink" Target="https://www.instagram.com/neggah_flor/" TargetMode="External"/><Relationship Id="rId208" Type="http://schemas.openxmlformats.org/officeDocument/2006/relationships/hyperlink" Target="https://drive.google.com/open?id=1t8zCL03Ok-o5KYpuE57w336L1-IheByt" TargetMode="External"/><Relationship Id="rId415" Type="http://schemas.openxmlformats.org/officeDocument/2006/relationships/hyperlink" Target="https://www.instagram.com/crismedeirospoa/" TargetMode="External"/><Relationship Id="rId622" Type="http://schemas.openxmlformats.org/officeDocument/2006/relationships/hyperlink" Target="https://drive.google.com/file/d/1yyWVo6-zEvSPLdaGus3hnUphF-01kGcV/view?usp=sharing" TargetMode="External"/><Relationship Id="rId1045" Type="http://schemas.openxmlformats.org/officeDocument/2006/relationships/hyperlink" Target="https://drive.google.com/open?id=1CU1IEK8P-Xbi3pJFi5C5NqoN5412bsr5" TargetMode="External"/><Relationship Id="rId261" Type="http://schemas.openxmlformats.org/officeDocument/2006/relationships/hyperlink" Target="https://drive.google.com/open?id=1PIj4L9JH-QV0Ocsv6W6PnkE1WKRUOPW2" TargetMode="External"/><Relationship Id="rId499" Type="http://schemas.openxmlformats.org/officeDocument/2006/relationships/hyperlink" Target="http://www.instagram.com/franccc___" TargetMode="External"/><Relationship Id="rId927" Type="http://schemas.openxmlformats.org/officeDocument/2006/relationships/hyperlink" Target="https://drive.google.com/open?id=1DeK0x2m-rWiqPmGPO-v-09b41HlSzC8u" TargetMode="External"/><Relationship Id="rId1112" Type="http://schemas.openxmlformats.org/officeDocument/2006/relationships/hyperlink" Target="https://www.linkedin.com/in/elisandra-aparecida-martins-melo-367843215/" TargetMode="External"/><Relationship Id="rId56" Type="http://schemas.openxmlformats.org/officeDocument/2006/relationships/hyperlink" Target="https://drive.google.com/open?id=1UaVBIpMGTvugcCNZe4DZC2_TqAtVspG2" TargetMode="External"/><Relationship Id="rId359" Type="http://schemas.openxmlformats.org/officeDocument/2006/relationships/hyperlink" Target="https://drive.google.com/open?id=17C3K54sNOr8rbZBZSHiYk5RwCcEAD5eV" TargetMode="External"/><Relationship Id="rId566" Type="http://schemas.openxmlformats.org/officeDocument/2006/relationships/hyperlink" Target="http://www.instagram.com/auciliamaria_27/?hl=pt-br" TargetMode="External"/><Relationship Id="rId773" Type="http://schemas.openxmlformats.org/officeDocument/2006/relationships/hyperlink" Target="https://www.instagram.com/oiestevam/" TargetMode="External"/><Relationship Id="rId1196" Type="http://schemas.openxmlformats.org/officeDocument/2006/relationships/drawing" Target="../drawings/drawing2.xml"/><Relationship Id="rId121" Type="http://schemas.openxmlformats.org/officeDocument/2006/relationships/hyperlink" Target="https://www.instagram.com/invites/contact/?i=z1sxzp187jde&amp;utm_content=2o5t1df" TargetMode="External"/><Relationship Id="rId219" Type="http://schemas.openxmlformats.org/officeDocument/2006/relationships/hyperlink" Target="https://drive.google.com/open?id=1S24f8Tf281yIwIDOzDGY9GqFv7Sug8wx" TargetMode="External"/><Relationship Id="rId426" Type="http://schemas.openxmlformats.org/officeDocument/2006/relationships/hyperlink" Target="https://www.linkedin.com/in/geraldob/" TargetMode="External"/><Relationship Id="rId633" Type="http://schemas.openxmlformats.org/officeDocument/2006/relationships/hyperlink" Target="https://drive.google.com/open?id=1WCZzKrLUz4iUv3863d4f8aBtA20p6fwz" TargetMode="External"/><Relationship Id="rId980" Type="http://schemas.openxmlformats.org/officeDocument/2006/relationships/hyperlink" Target="https://instagram.com/nina.cardoso.dias?utm_medium=copy_link" TargetMode="External"/><Relationship Id="rId1056" Type="http://schemas.openxmlformats.org/officeDocument/2006/relationships/hyperlink" Target="https://drive.google.com/open?id=1yKXW_luhABrCjqiUS_lGWIKVsh0WDc4G" TargetMode="External"/><Relationship Id="rId840" Type="http://schemas.openxmlformats.org/officeDocument/2006/relationships/hyperlink" Target="https://www.linkedin.com/in/edna-padilha-93a183151/" TargetMode="External"/><Relationship Id="rId938" Type="http://schemas.openxmlformats.org/officeDocument/2006/relationships/hyperlink" Target="https://drive.google.com/open?id=1DaVXQ2ZlBNvwQllm5oTv-_0QHlRR0xRn" TargetMode="External"/><Relationship Id="rId67" Type="http://schemas.openxmlformats.org/officeDocument/2006/relationships/hyperlink" Target="https://www.instagram.com/reel/CcIXWTkOVYO/?igshid=MDJmNzVkMjY=" TargetMode="External"/><Relationship Id="rId272" Type="http://schemas.openxmlformats.org/officeDocument/2006/relationships/hyperlink" Target="https://drive.google.com/open?id=1HK4WAnu3d0NCkSPRPQsYYUcYzf-WhLSN" TargetMode="External"/><Relationship Id="rId577" Type="http://schemas.openxmlformats.org/officeDocument/2006/relationships/hyperlink" Target="https://drive.google.com/open?id=1NaqmSUJToXATbOubX9BhwaQha-rH2Hp5" TargetMode="External"/><Relationship Id="rId700" Type="http://schemas.openxmlformats.org/officeDocument/2006/relationships/hyperlink" Target="https://drive.google.com/open?id=135d4VKhf6FlL7nUTQdVQxHDqQidHnQMO" TargetMode="External"/><Relationship Id="rId1123" Type="http://schemas.openxmlformats.org/officeDocument/2006/relationships/hyperlink" Target="https://www.linkedin.com/in/francilaine-melo-856922212" TargetMode="External"/><Relationship Id="rId132" Type="http://schemas.openxmlformats.org/officeDocument/2006/relationships/hyperlink" Target="https://drive.google.com/open?id=1tc78ni2iSK-AiUVvkC_T-WDFjGeL4L9F" TargetMode="External"/><Relationship Id="rId784" Type="http://schemas.openxmlformats.org/officeDocument/2006/relationships/hyperlink" Target="https://drive.google.com/open?id=1_b8ujrLq-u8LqVIkB83dUkpYWwi8QLs5" TargetMode="External"/><Relationship Id="rId991" Type="http://schemas.openxmlformats.org/officeDocument/2006/relationships/hyperlink" Target="https://drive.google.com/open?id=11jM0D2-eDqegvOr3aUAzIJCtI5f2t2zq" TargetMode="External"/><Relationship Id="rId1067" Type="http://schemas.openxmlformats.org/officeDocument/2006/relationships/hyperlink" Target="https://drive.google.com/open?id=1FYt5O94lWRvFu-Qc_f3HZwJ2wOPTEf_A" TargetMode="External"/><Relationship Id="rId437" Type="http://schemas.openxmlformats.org/officeDocument/2006/relationships/hyperlink" Target="https://instagram.com/lucasholandasv?utm_medium=copy_link" TargetMode="External"/><Relationship Id="rId644" Type="http://schemas.openxmlformats.org/officeDocument/2006/relationships/hyperlink" Target="https://drive.google.com/open?id=1_kc8tmQv-q03Dp2MDK56rQjWYl55VBBg" TargetMode="External"/><Relationship Id="rId851" Type="http://schemas.openxmlformats.org/officeDocument/2006/relationships/hyperlink" Target="https://www.linkedin.com/in/leila-stungis/" TargetMode="External"/><Relationship Id="rId283" Type="http://schemas.openxmlformats.org/officeDocument/2006/relationships/hyperlink" Target="https://drive.google.com/open?id=15tfj4B3HYV2WpBN255HF3Ww7ZTqwOwN3" TargetMode="External"/><Relationship Id="rId490" Type="http://schemas.openxmlformats.org/officeDocument/2006/relationships/hyperlink" Target="https://drive.google.com/open?id=1w0HMeIkgg_Beu3Avu-vfkg6dFTDknm6Q" TargetMode="External"/><Relationship Id="rId504" Type="http://schemas.openxmlformats.org/officeDocument/2006/relationships/hyperlink" Target="https://drive.google.com/open?id=1qHiWuou3ZlcJzMiBF3ERMC3aDTI30Q9g" TargetMode="External"/><Relationship Id="rId711" Type="http://schemas.openxmlformats.org/officeDocument/2006/relationships/hyperlink" Target="https://www.instagram.com/pereiradalilla/" TargetMode="External"/><Relationship Id="rId949" Type="http://schemas.openxmlformats.org/officeDocument/2006/relationships/hyperlink" Target="https://drive.google.com/open?id=1ZJ8RT5Ibx-6FU8cWWftRtYjZCNcM9Z2a" TargetMode="External"/><Relationship Id="rId1134" Type="http://schemas.openxmlformats.org/officeDocument/2006/relationships/hyperlink" Target="https://instagram.com/gigimenez6?utm_medium=copy_link" TargetMode="External"/><Relationship Id="rId78" Type="http://schemas.openxmlformats.org/officeDocument/2006/relationships/hyperlink" Target="https://instagram.com/anapaulacaldas32?utm_medium=copy_link" TargetMode="External"/><Relationship Id="rId143" Type="http://schemas.openxmlformats.org/officeDocument/2006/relationships/hyperlink" Target="https://drive.google.com/open?id=1hTLSR6-GZo1Zve0K8rz16bx8eHgNOLiG" TargetMode="External"/><Relationship Id="rId350" Type="http://schemas.openxmlformats.org/officeDocument/2006/relationships/hyperlink" Target="https://drive.google.com/open?id=1i8tO4eXLd83t9Etkl39St9KyLJdW2wwg" TargetMode="External"/><Relationship Id="rId588" Type="http://schemas.openxmlformats.org/officeDocument/2006/relationships/hyperlink" Target="https://www.instagram.com/juhalves98/" TargetMode="External"/><Relationship Id="rId795" Type="http://schemas.openxmlformats.org/officeDocument/2006/relationships/hyperlink" Target="https://drive.google.com/open?id=1T30YbF4PBNFeNwY5kaD87npAfuq5mKFf" TargetMode="External"/><Relationship Id="rId809" Type="http://schemas.openxmlformats.org/officeDocument/2006/relationships/hyperlink" Target="https://instagram.com/leopoldo_matiass" TargetMode="External"/><Relationship Id="rId9" Type="http://schemas.openxmlformats.org/officeDocument/2006/relationships/hyperlink" Target="https://drive.google.com/open?id=1ytSSF_6lXRM9WwPNS8Tj06WwhDxuGH4V" TargetMode="External"/><Relationship Id="rId210" Type="http://schemas.openxmlformats.org/officeDocument/2006/relationships/hyperlink" Target="https://drive.google.com/open?id=15c1bR3HiBBg2Wkn7JBWmEREMXW6zN9Vw" TargetMode="External"/><Relationship Id="rId448" Type="http://schemas.openxmlformats.org/officeDocument/2006/relationships/hyperlink" Target="http://instagran.com/marialauracostacoelho" TargetMode="External"/><Relationship Id="rId655" Type="http://schemas.openxmlformats.org/officeDocument/2006/relationships/hyperlink" Target="http://linkedin.com/in/leila-campos-62485822" TargetMode="External"/><Relationship Id="rId862" Type="http://schemas.openxmlformats.org/officeDocument/2006/relationships/hyperlink" Target="https://drive.google.com/open?id=1r1Y5LGZIy7sF3W48UJij1M-d6K9CLeJ4" TargetMode="External"/><Relationship Id="rId1078" Type="http://schemas.openxmlformats.org/officeDocument/2006/relationships/hyperlink" Target="https://drive.google.com/open?id=1KorlG8qX409Y2t7dYvW9r34Z4AD0Roxp" TargetMode="External"/><Relationship Id="rId294" Type="http://schemas.openxmlformats.org/officeDocument/2006/relationships/hyperlink" Target="https://drive.google.com/open?id=1tYyJSmrO54A7ctxwjHAYQud7l2aYEN7D" TargetMode="External"/><Relationship Id="rId308" Type="http://schemas.openxmlformats.org/officeDocument/2006/relationships/hyperlink" Target="https://www.instagram.com/vanessadaya04/" TargetMode="External"/><Relationship Id="rId515" Type="http://schemas.openxmlformats.org/officeDocument/2006/relationships/hyperlink" Target="https://www.linkedin.com/in/elaine-correia-silva" TargetMode="External"/><Relationship Id="rId722" Type="http://schemas.openxmlformats.org/officeDocument/2006/relationships/hyperlink" Target="http://www.linkedin.com/mararibeirosocial.rj" TargetMode="External"/><Relationship Id="rId1145" Type="http://schemas.openxmlformats.org/officeDocument/2006/relationships/hyperlink" Target="https://www.instagram.com/wellton_brito/?hl=pt-br" TargetMode="External"/><Relationship Id="rId89" Type="http://schemas.openxmlformats.org/officeDocument/2006/relationships/hyperlink" Target="https://drive.google.com/open?id=1NG2rCt0DzmeUosO_xTCGPdwQnL4G4xZ9" TargetMode="External"/><Relationship Id="rId154" Type="http://schemas.openxmlformats.org/officeDocument/2006/relationships/hyperlink" Target="https://drive.google.com/open?id=10BU7j0TwYfVdCuljIv7JOKco0PI0iHne" TargetMode="External"/><Relationship Id="rId361" Type="http://schemas.openxmlformats.org/officeDocument/2006/relationships/hyperlink" Target="https://www.instagram.com/caito_ct/" TargetMode="External"/><Relationship Id="rId599" Type="http://schemas.openxmlformats.org/officeDocument/2006/relationships/hyperlink" Target="http://instagram.com/pedrorochacosta" TargetMode="External"/><Relationship Id="rId1005" Type="http://schemas.openxmlformats.org/officeDocument/2006/relationships/hyperlink" Target="https://www.linkedin.com/in/ana-paula-de-souza-5b7a7b216/" TargetMode="External"/><Relationship Id="rId459" Type="http://schemas.openxmlformats.org/officeDocument/2006/relationships/hyperlink" Target="https://drive.google.com/open?id=1dR3N7cqZjrExh4_o8Ni0fBp-QlO-z1fd" TargetMode="External"/><Relationship Id="rId666" Type="http://schemas.openxmlformats.org/officeDocument/2006/relationships/hyperlink" Target="https://www.instagram.com/joao_oninguem/" TargetMode="External"/><Relationship Id="rId873" Type="http://schemas.openxmlformats.org/officeDocument/2006/relationships/hyperlink" Target="https://instagram.com/dah.7674?igshid=YmMyMTA2M2Y=" TargetMode="External"/><Relationship Id="rId1089" Type="http://schemas.openxmlformats.org/officeDocument/2006/relationships/hyperlink" Target="https://www.linkedin.com/in/sadraque-albino-de-souza-57600871/" TargetMode="External"/><Relationship Id="rId16" Type="http://schemas.openxmlformats.org/officeDocument/2006/relationships/hyperlink" Target="https://www.instagram.com/p/CbQO4UrukK3nWiVe83ZNNp6k17j3yIKsV8Thr00/?utm_medium=copy_link" TargetMode="External"/><Relationship Id="rId221" Type="http://schemas.openxmlformats.org/officeDocument/2006/relationships/hyperlink" Target="https://drive.google.com/open?id=1MMXWQerkqwsIAZAz8dY_kaKkI4sXGc3s" TargetMode="External"/><Relationship Id="rId319" Type="http://schemas.openxmlformats.org/officeDocument/2006/relationships/hyperlink" Target="https://drive.google.com/open?id=1ydpM216MGlSeF9gwi0optGF_kuGovcww" TargetMode="External"/><Relationship Id="rId526" Type="http://schemas.openxmlformats.org/officeDocument/2006/relationships/hyperlink" Target="https://www.instagram.com/reel/Cft8Vl_O5hl/?utm_source=ig_web_copy_link" TargetMode="External"/><Relationship Id="rId1156" Type="http://schemas.openxmlformats.org/officeDocument/2006/relationships/hyperlink" Target="https://www.linkedin.com/in/socorro-silveira-silveira-25593067" TargetMode="External"/><Relationship Id="rId733" Type="http://schemas.openxmlformats.org/officeDocument/2006/relationships/hyperlink" Target="https://instagram.com/profjocelino?utm_medium=copy_link" TargetMode="External"/><Relationship Id="rId940" Type="http://schemas.openxmlformats.org/officeDocument/2006/relationships/hyperlink" Target="https://www.instagram.com/invites/contact/?i=a78487lju8t2&amp;utm_content=1o0ucpe" TargetMode="External"/><Relationship Id="rId1016" Type="http://schemas.openxmlformats.org/officeDocument/2006/relationships/hyperlink" Target="https://drive.google.com/open?id=1Mq7IQuay9vLxj7j4giSWSWXbDws6rgch" TargetMode="External"/><Relationship Id="rId165" Type="http://schemas.openxmlformats.org/officeDocument/2006/relationships/hyperlink" Target="https://www.linkedin.com/in/allana-tamires-canuto-428397197" TargetMode="External"/><Relationship Id="rId372" Type="http://schemas.openxmlformats.org/officeDocument/2006/relationships/hyperlink" Target="https://drive.google.com/open?id=1YKtEYbWfXWVi9pFkx6cj9GK0SqeOwAJy" TargetMode="External"/><Relationship Id="rId677" Type="http://schemas.openxmlformats.org/officeDocument/2006/relationships/hyperlink" Target="https://www.instagram.com/p/CRHw61GH1gO/?utm_medium=copy_link" TargetMode="External"/><Relationship Id="rId800" Type="http://schemas.openxmlformats.org/officeDocument/2006/relationships/hyperlink" Target="https://www.linkedin.com/in/douglas-costa-martins-57b470214" TargetMode="External"/><Relationship Id="rId232" Type="http://schemas.openxmlformats.org/officeDocument/2006/relationships/hyperlink" Target="https://drive.google.com/open?id=1t3zPR_a3R-ua7g9dt25GEXxHgrF0s7Zg" TargetMode="External"/><Relationship Id="rId884" Type="http://schemas.openxmlformats.org/officeDocument/2006/relationships/hyperlink" Target="https://www.instagram.com/p/CXpRynLtzzeTcODTMb-_kmpF5seg2dU57726yQ0/?utm_medium=copy_link" TargetMode="External"/><Relationship Id="rId27" Type="http://schemas.openxmlformats.org/officeDocument/2006/relationships/hyperlink" Target="https://drive.google.com/open?id=12EIlbhwv7Oh6PfQRBXXbGRUSfhmHsmCb" TargetMode="External"/><Relationship Id="rId537" Type="http://schemas.openxmlformats.org/officeDocument/2006/relationships/hyperlink" Target="https://instagram.com/teixeira_judo?igshid=YmMyMTA2M2Y=" TargetMode="External"/><Relationship Id="rId744" Type="http://schemas.openxmlformats.org/officeDocument/2006/relationships/hyperlink" Target="https://drive.google.com/open?id=1YCUTags12IeOmwiyZ47diFhl9c3EeLhb" TargetMode="External"/><Relationship Id="rId951" Type="http://schemas.openxmlformats.org/officeDocument/2006/relationships/hyperlink" Target="https://drive.google.com/open?id=1qJOYwb1C9NFlkPliwPxCjsfAUa85gc9S" TargetMode="External"/><Relationship Id="rId1167" Type="http://schemas.openxmlformats.org/officeDocument/2006/relationships/hyperlink" Target="https://www.instagram.com/invites/contact/?i=1sxetkgq92a07&amp;utm_content=pj9c0l" TargetMode="External"/><Relationship Id="rId80" Type="http://schemas.openxmlformats.org/officeDocument/2006/relationships/hyperlink" Target="https://www.instagram.com/tv/CW1d4PoJ9i3uLim6a8kU-pTEolYDhGriBcV9d80/?utm_medium=copy_link" TargetMode="External"/><Relationship Id="rId176" Type="http://schemas.openxmlformats.org/officeDocument/2006/relationships/hyperlink" Target="https://www.linkedin.com/in/renato-santos-ab7706197" TargetMode="External"/><Relationship Id="rId383" Type="http://schemas.openxmlformats.org/officeDocument/2006/relationships/hyperlink" Target="https://www.instagram.com/tagjpa/" TargetMode="External"/><Relationship Id="rId590" Type="http://schemas.openxmlformats.org/officeDocument/2006/relationships/hyperlink" Target="https://drive.google.com/open?id=1C3W8E_PlOzSUICGDKY70cjR9fMrFEiqx" TargetMode="External"/><Relationship Id="rId604" Type="http://schemas.openxmlformats.org/officeDocument/2006/relationships/hyperlink" Target="https://drive.google.com/open?id=13Ez0cfIDcPir9sGobJV1LfgzKYdfOt1Z" TargetMode="External"/><Relationship Id="rId811" Type="http://schemas.openxmlformats.org/officeDocument/2006/relationships/hyperlink" Target="https://instagram.com/nara_sonallio?igshid=YmMyMTA2M2Y=" TargetMode="External"/><Relationship Id="rId1027" Type="http://schemas.openxmlformats.org/officeDocument/2006/relationships/hyperlink" Target="https://drive.google.com/open?id=1-BpQ0bchbt2m5DSsiADV8OLRLQK7jo5X" TargetMode="External"/><Relationship Id="rId243" Type="http://schemas.openxmlformats.org/officeDocument/2006/relationships/hyperlink" Target="https://drive.google.com/open?id=1OFFk76uGggfu2mKwiRjLP4-xRr8NivJ4" TargetMode="External"/><Relationship Id="rId450" Type="http://schemas.openxmlformats.org/officeDocument/2006/relationships/hyperlink" Target="https://instagram.com/marisa.muncao?utm_medium=copy_link" TargetMode="External"/><Relationship Id="rId688" Type="http://schemas.openxmlformats.org/officeDocument/2006/relationships/hyperlink" Target="https://www.linkedin.com/in/abel-gomes-9820221b9" TargetMode="External"/><Relationship Id="rId895" Type="http://schemas.openxmlformats.org/officeDocument/2006/relationships/hyperlink" Target="https://instagram.com/marisalimalight?utm_medium=copy_link" TargetMode="External"/><Relationship Id="rId909" Type="http://schemas.openxmlformats.org/officeDocument/2006/relationships/hyperlink" Target="https://www.linkedin.com/feed/?trk=BR-SEM_google-adwords_Jordan-brand-sign-up" TargetMode="External"/><Relationship Id="rId1080" Type="http://schemas.openxmlformats.org/officeDocument/2006/relationships/hyperlink" Target="https://drive.google.com/open?id=14xpruNU-JEMcPzizwIYGukmehxhTWnS4" TargetMode="External"/><Relationship Id="rId38" Type="http://schemas.openxmlformats.org/officeDocument/2006/relationships/hyperlink" Target="https://drive.google.com/open?id=1pEKXiCrSuI1y5AY0grhA9piLzEreJvKL" TargetMode="External"/><Relationship Id="rId103" Type="http://schemas.openxmlformats.org/officeDocument/2006/relationships/hyperlink" Target="https://drive.google.com/open?id=1sHEUX33s7RrZ0N0VAqDK0qgtfp3hLqEi" TargetMode="External"/><Relationship Id="rId310" Type="http://schemas.openxmlformats.org/officeDocument/2006/relationships/hyperlink" Target="https://drive.google.com/open?id=1cq5dCiTemBLySlvlY70JxCD-9yHxVC24" TargetMode="External"/><Relationship Id="rId548" Type="http://schemas.openxmlformats.org/officeDocument/2006/relationships/hyperlink" Target="https://drive.google.com/open?id=1P8Eb0yUwwwtorf5hczvcG748-RM3B7Zl" TargetMode="External"/><Relationship Id="rId755" Type="http://schemas.openxmlformats.org/officeDocument/2006/relationships/hyperlink" Target="https://www.linkedin.com/in/daisy-cristina-martins-dos-santos-42440b200" TargetMode="External"/><Relationship Id="rId962" Type="http://schemas.openxmlformats.org/officeDocument/2006/relationships/hyperlink" Target="https://instagram.com/andredasaguias?utm_medium=copy_link" TargetMode="External"/><Relationship Id="rId1178" Type="http://schemas.openxmlformats.org/officeDocument/2006/relationships/hyperlink" Target="https://www.linkedin.com/in/ana-neiry-moura-a50781196" TargetMode="External"/><Relationship Id="rId91" Type="http://schemas.openxmlformats.org/officeDocument/2006/relationships/hyperlink" Target="https://instagram.com/projeto_geracao_gk?utm_medium=copy_link" TargetMode="External"/><Relationship Id="rId187" Type="http://schemas.openxmlformats.org/officeDocument/2006/relationships/hyperlink" Target="https://drive.google.com/open?id=1q-agZp08I5VaRJ1fzWpFPO5w-O5SGTix" TargetMode="External"/><Relationship Id="rId394" Type="http://schemas.openxmlformats.org/officeDocument/2006/relationships/hyperlink" Target="https://drive.google.com/open?id=1U1OgFxNH0exPq5yQWYiyhZyzSjn1AG92" TargetMode="External"/><Relationship Id="rId408" Type="http://schemas.openxmlformats.org/officeDocument/2006/relationships/hyperlink" Target="https://www.instagram.com/nelriane_pantoja/" TargetMode="External"/><Relationship Id="rId615" Type="http://schemas.openxmlformats.org/officeDocument/2006/relationships/hyperlink" Target="https://drive.google.com/open?id=1tfRd7vxv3MUeINOaP4eYdLqqEWk8xwCt" TargetMode="External"/><Relationship Id="rId822" Type="http://schemas.openxmlformats.org/officeDocument/2006/relationships/hyperlink" Target="https://www.instagram.com/dhujesus/" TargetMode="External"/><Relationship Id="rId1038" Type="http://schemas.openxmlformats.org/officeDocument/2006/relationships/hyperlink" Target="https://drive.google.com/open?id=1ayBZhrzuq5Zs4dq8iitt6RlqmoscT9YK" TargetMode="External"/><Relationship Id="rId254" Type="http://schemas.openxmlformats.org/officeDocument/2006/relationships/hyperlink" Target="https://drive.google.com/open?id=1bHsGUao27GzzCvoqQtdNG0YlcaZ8r7HK" TargetMode="External"/><Relationship Id="rId699" Type="http://schemas.openxmlformats.org/officeDocument/2006/relationships/hyperlink" Target="https://instagram.com/casa.sorriso.da.crianca?utm_medium=copy_link" TargetMode="External"/><Relationship Id="rId1091" Type="http://schemas.openxmlformats.org/officeDocument/2006/relationships/hyperlink" Target="https://drive.google.com/open?id=1P-KQuNedF15j1__Lyg8wOUMl6U3_f0H2" TargetMode="External"/><Relationship Id="rId1105" Type="http://schemas.openxmlformats.org/officeDocument/2006/relationships/hyperlink" Target="https://instagram.com/fabiioanacleto?utm_medium=copy_link" TargetMode="External"/><Relationship Id="rId49" Type="http://schemas.openxmlformats.org/officeDocument/2006/relationships/hyperlink" Target="https://drive.google.com/open?id=1dzg8_53d_y6n4atnZZUurMaXqArr1L0Z" TargetMode="External"/><Relationship Id="rId114" Type="http://schemas.openxmlformats.org/officeDocument/2006/relationships/hyperlink" Target="https://drive.google.com/open?id=1qzgzznhG6K-pdYKrLKhu5c4n9mzB-A6O" TargetMode="External"/><Relationship Id="rId461" Type="http://schemas.openxmlformats.org/officeDocument/2006/relationships/hyperlink" Target="https://www.instagram.com/franklindofutebol/" TargetMode="External"/><Relationship Id="rId559" Type="http://schemas.openxmlformats.org/officeDocument/2006/relationships/hyperlink" Target="https://drive.google.com/open?id=1IC_xNtVEGCvac2r8WTFQEp236RM3NI4I" TargetMode="External"/><Relationship Id="rId766" Type="http://schemas.openxmlformats.org/officeDocument/2006/relationships/hyperlink" Target="https://www.instagram.com/rasta.prof/" TargetMode="External"/><Relationship Id="rId1189" Type="http://schemas.openxmlformats.org/officeDocument/2006/relationships/hyperlink" Target="https://www.instagram.com/p/CaE46CzuSzv/?utm_medium=copy_link" TargetMode="External"/><Relationship Id="rId198" Type="http://schemas.openxmlformats.org/officeDocument/2006/relationships/hyperlink" Target="https://www.instagram.com/narlizecf34/" TargetMode="External"/><Relationship Id="rId321" Type="http://schemas.openxmlformats.org/officeDocument/2006/relationships/hyperlink" Target="https://www.instagram.com/p/CD69O5aJJQcyaGWi7B_WZ63PT1Sfqgo1fluElo0/?utm_medium=copy_link" TargetMode="External"/><Relationship Id="rId419" Type="http://schemas.openxmlformats.org/officeDocument/2006/relationships/hyperlink" Target="https://www.instagram.com/invites/contact/?i=draji9vq0nl6&amp;utm_content=o0rj2q" TargetMode="External"/><Relationship Id="rId626" Type="http://schemas.openxmlformats.org/officeDocument/2006/relationships/hyperlink" Target="https://drive.google.com/open?id=1DopXQ2Kbw48Rot2Z5_SrFY-HRZPesqcY" TargetMode="External"/><Relationship Id="rId973" Type="http://schemas.openxmlformats.org/officeDocument/2006/relationships/hyperlink" Target="https://drive.google.com/open?id=1bCYUxkM6ef8l_7RI17KrR9O3lpwXIry7" TargetMode="External"/><Relationship Id="rId1049" Type="http://schemas.openxmlformats.org/officeDocument/2006/relationships/hyperlink" Target="http://www.linkedin.com/in/elainecbassi" TargetMode="External"/><Relationship Id="rId833" Type="http://schemas.openxmlformats.org/officeDocument/2006/relationships/hyperlink" Target="https://drive.google.com/open?id=1GWC2tXOiT-F5OV5Lc-zwso3yFJpkOiI_" TargetMode="External"/><Relationship Id="rId1116" Type="http://schemas.openxmlformats.org/officeDocument/2006/relationships/hyperlink" Target="https://www.instagram.com/pretaeliz" TargetMode="External"/><Relationship Id="rId265" Type="http://schemas.openxmlformats.org/officeDocument/2006/relationships/hyperlink" Target="https://www.instagram.com/josias_adolfo/" TargetMode="External"/><Relationship Id="rId472" Type="http://schemas.openxmlformats.org/officeDocument/2006/relationships/hyperlink" Target="https://instagram.com/julianamaiareal" TargetMode="External"/><Relationship Id="rId900" Type="http://schemas.openxmlformats.org/officeDocument/2006/relationships/hyperlink" Target="https://instagram.com/gfernand_s?igshid=YmMyMTA2M2Y=" TargetMode="External"/><Relationship Id="rId125" Type="http://schemas.openxmlformats.org/officeDocument/2006/relationships/hyperlink" Target="https://drive.google.com/open?id=1g27pjYIo_MK59o7VBh2l5H5v3f3NZafM" TargetMode="External"/><Relationship Id="rId332" Type="http://schemas.openxmlformats.org/officeDocument/2006/relationships/hyperlink" Target="https://drive.google.com/open?id=1kdfLQFyUYD6ax3RZ8-MXrV-Dazke5ahb" TargetMode="External"/><Relationship Id="rId777" Type="http://schemas.openxmlformats.org/officeDocument/2006/relationships/hyperlink" Target="https://drive.google.com/open?id=1FLmqsKGXy2cVgef1wEqEUMcklpG9cCor" TargetMode="External"/><Relationship Id="rId984" Type="http://schemas.openxmlformats.org/officeDocument/2006/relationships/hyperlink" Target="https://drive.google.com/open?id=1WRxtyLgynDfR3A3pp3GuqarNaGfwgt-8" TargetMode="External"/><Relationship Id="rId637" Type="http://schemas.openxmlformats.org/officeDocument/2006/relationships/hyperlink" Target="https://drive.google.com/open?id=1CoTJKhEOrxeitfu_kK6SptISmJnSCD9Z" TargetMode="External"/><Relationship Id="rId844" Type="http://schemas.openxmlformats.org/officeDocument/2006/relationships/hyperlink" Target="https://drive.google.com/open?id=1WqrhfnHkU7vVe6glLWce31NU2cSTN0U5" TargetMode="External"/><Relationship Id="rId276" Type="http://schemas.openxmlformats.org/officeDocument/2006/relationships/hyperlink" Target="https://www.instagram.com/claudio.mendes1980/" TargetMode="External"/><Relationship Id="rId483" Type="http://schemas.openxmlformats.org/officeDocument/2006/relationships/hyperlink" Target="https://drive.google.com/open?id=1Iu738Axk0nHFBsolrozWt-jg78cfgSSG" TargetMode="External"/><Relationship Id="rId690" Type="http://schemas.openxmlformats.org/officeDocument/2006/relationships/hyperlink" Target="https://instagram.com/amandavisan?utm_medium=copy_link" TargetMode="External"/><Relationship Id="rId704" Type="http://schemas.openxmlformats.org/officeDocument/2006/relationships/hyperlink" Target="https://drive.google.com/open?id=1jePFUYdDBAn4RqRWXOOgSQuBTVep3YGp" TargetMode="External"/><Relationship Id="rId911" Type="http://schemas.openxmlformats.org/officeDocument/2006/relationships/hyperlink" Target="https://www.instagram.com/p/Cbd_w16rh8J/?utm_medium=copy_link" TargetMode="External"/><Relationship Id="rId1127" Type="http://schemas.openxmlformats.org/officeDocument/2006/relationships/hyperlink" Target="https://www.linkedin.com/in/izabel-porto-88b88149/" TargetMode="External"/><Relationship Id="rId40" Type="http://schemas.openxmlformats.org/officeDocument/2006/relationships/hyperlink" Target="https://www.instagram.com/carla.samya.f/" TargetMode="External"/><Relationship Id="rId136" Type="http://schemas.openxmlformats.org/officeDocument/2006/relationships/hyperlink" Target="https://drive.google.com/open?id=1PDBdoA9VRXagikCCnelIeRIk-bZ5ilTu" TargetMode="External"/><Relationship Id="rId343" Type="http://schemas.openxmlformats.org/officeDocument/2006/relationships/hyperlink" Target="https://www.instagram.com/kamalartistapotiguar/" TargetMode="External"/><Relationship Id="rId550" Type="http://schemas.openxmlformats.org/officeDocument/2006/relationships/hyperlink" Target="https://instagram.com/raquelsuzi" TargetMode="External"/><Relationship Id="rId788" Type="http://schemas.openxmlformats.org/officeDocument/2006/relationships/hyperlink" Target="https://drive.google.com/open?id=1vkqrEIZc5-jqLocz1G84drs8n9Dl53G3" TargetMode="External"/><Relationship Id="rId995" Type="http://schemas.openxmlformats.org/officeDocument/2006/relationships/hyperlink" Target="https://instagram.com/amandaoliveiravw?utm_medium=copy_link" TargetMode="External"/><Relationship Id="rId1180" Type="http://schemas.openxmlformats.org/officeDocument/2006/relationships/hyperlink" Target="https://www.linkedin.com/in/anailton-fernandes-748899b1/" TargetMode="External"/><Relationship Id="rId203" Type="http://schemas.openxmlformats.org/officeDocument/2006/relationships/hyperlink" Target="https://instagram.com/paulomenndessilva?igshid=YmMyMTA2M2Y=" TargetMode="External"/><Relationship Id="rId648" Type="http://schemas.openxmlformats.org/officeDocument/2006/relationships/hyperlink" Target="https://drive.google.com/open?id=1A1I10djPHRKN57w2nAJXsreZUlIrHIZN" TargetMode="External"/><Relationship Id="rId855" Type="http://schemas.openxmlformats.org/officeDocument/2006/relationships/hyperlink" Target="https://drive.google.com/open?id=16c95grNRgvjKFGcyS0g157IQSFrActyP" TargetMode="External"/><Relationship Id="rId1040" Type="http://schemas.openxmlformats.org/officeDocument/2006/relationships/hyperlink" Target="https://www.instagram.com/emanuelheliomar/?hl=pt-br" TargetMode="External"/><Relationship Id="rId287" Type="http://schemas.openxmlformats.org/officeDocument/2006/relationships/hyperlink" Target="https://www.instagram.com/pamellaoliveira.adv/" TargetMode="External"/><Relationship Id="rId410" Type="http://schemas.openxmlformats.org/officeDocument/2006/relationships/hyperlink" Target="https://www.linkedin.com/in/suelen-ara%C3%BAjo-15922310a/" TargetMode="External"/><Relationship Id="rId494" Type="http://schemas.openxmlformats.org/officeDocument/2006/relationships/hyperlink" Target="https://drive.google.com/open?id=1pqnyuJ25omkallO4lvBzIKmqUAvtSB7B" TargetMode="External"/><Relationship Id="rId508" Type="http://schemas.openxmlformats.org/officeDocument/2006/relationships/hyperlink" Target="https://drive.google.com/open?id=1loJJUyGsE_giTAc2AGPLlRyMdQD6ucbs" TargetMode="External"/><Relationship Id="rId715" Type="http://schemas.openxmlformats.org/officeDocument/2006/relationships/hyperlink" Target="https://www.linkedin.com/in/geraldo-fernandes-monteiro-de-souza-7b13a4163/" TargetMode="External"/><Relationship Id="rId922" Type="http://schemas.openxmlformats.org/officeDocument/2006/relationships/hyperlink" Target="https://drive.google.com/open?id=1D7ViBDXw-_JVM4lzWBT0jO0bCzYrx0Bn" TargetMode="External"/><Relationship Id="rId1138" Type="http://schemas.openxmlformats.org/officeDocument/2006/relationships/hyperlink" Target="https://drive.google.com/open?id=1j_c5zG_-8ONLfMZ5dwYyxoYOZW4-SWPZ" TargetMode="External"/><Relationship Id="rId147" Type="http://schemas.openxmlformats.org/officeDocument/2006/relationships/hyperlink" Target="https://www.linkedin.com/in/anna-carolina-prado" TargetMode="External"/><Relationship Id="rId354" Type="http://schemas.openxmlformats.org/officeDocument/2006/relationships/hyperlink" Target="https://br.linkedin.com/in/barucvendito" TargetMode="External"/><Relationship Id="rId799" Type="http://schemas.openxmlformats.org/officeDocument/2006/relationships/hyperlink" Target="https://drive.google.com/open?id=1j3ocwGuXf_hFfgjnpWzTk-sxToinevq_" TargetMode="External"/><Relationship Id="rId1191" Type="http://schemas.openxmlformats.org/officeDocument/2006/relationships/hyperlink" Target="https://www.linkedin.com/in/ivette-rodrigues-de-macedo-8070bb120/" TargetMode="External"/><Relationship Id="rId51" Type="http://schemas.openxmlformats.org/officeDocument/2006/relationships/hyperlink" Target="https://www.instagram.com/euseliadutra/" TargetMode="External"/><Relationship Id="rId561" Type="http://schemas.openxmlformats.org/officeDocument/2006/relationships/hyperlink" Target="https://www.instagram.com/ana.passos.315/" TargetMode="External"/><Relationship Id="rId659" Type="http://schemas.openxmlformats.org/officeDocument/2006/relationships/hyperlink" Target="https://drive.google.com/open?id=1-_tSIf9D9gzdv6IZk3xXWeLHveo1BG-j" TargetMode="External"/><Relationship Id="rId866" Type="http://schemas.openxmlformats.org/officeDocument/2006/relationships/hyperlink" Target="https://www.instagram.com/reel/Cc8Og9xvizY/?igshid=YmMyMTA2M2Y=" TargetMode="External"/><Relationship Id="rId214" Type="http://schemas.openxmlformats.org/officeDocument/2006/relationships/hyperlink" Target="https://www.instagram.com/mcdeboraglamurosaoficial" TargetMode="External"/><Relationship Id="rId298" Type="http://schemas.openxmlformats.org/officeDocument/2006/relationships/hyperlink" Target="https://drive.google.com/open?id=1IMThmpvK_CfgAsn-Bz__CxzBUVCFks4J" TargetMode="External"/><Relationship Id="rId421" Type="http://schemas.openxmlformats.org/officeDocument/2006/relationships/hyperlink" Target="https://drive.google.com/open?id=14-QzNOLcw3_qC3PNnnXpvMD14rNBiiIT" TargetMode="External"/><Relationship Id="rId519" Type="http://schemas.openxmlformats.org/officeDocument/2006/relationships/hyperlink" Target="https://drive.google.com/open?id=11FAnuy-HeqviqES3pVRYGPWki54mEJ73" TargetMode="External"/><Relationship Id="rId1051" Type="http://schemas.openxmlformats.org/officeDocument/2006/relationships/hyperlink" Target="https://drive.google.com/open?id=1vBmHq5mbtidoLd_SqXh7-F3ZdnOnYiBW" TargetMode="External"/><Relationship Id="rId1149" Type="http://schemas.openxmlformats.org/officeDocument/2006/relationships/hyperlink" Target="https://drive.google.com/open?id=1kHOJza-pShgYhPJVrQCFpf0zSdCllfSP" TargetMode="External"/><Relationship Id="rId158" Type="http://schemas.openxmlformats.org/officeDocument/2006/relationships/hyperlink" Target="https://www.instagram.com/projeto.flordelotus/" TargetMode="External"/><Relationship Id="rId726" Type="http://schemas.openxmlformats.org/officeDocument/2006/relationships/hyperlink" Target="https://www.instagram.com/marlyroodrigues/" TargetMode="External"/><Relationship Id="rId933" Type="http://schemas.openxmlformats.org/officeDocument/2006/relationships/hyperlink" Target="https://drive.google.com/open?id=1ynOIQxRm5-YHrV4WZ3v3NyjEK_rlcWBW" TargetMode="External"/><Relationship Id="rId1009" Type="http://schemas.openxmlformats.org/officeDocument/2006/relationships/hyperlink" Target="https://www.instagram.com/jeffersonfquirino/" TargetMode="External"/><Relationship Id="rId62" Type="http://schemas.openxmlformats.org/officeDocument/2006/relationships/hyperlink" Target="https://www.instagram.com/georgemarconisousa/" TargetMode="External"/><Relationship Id="rId365" Type="http://schemas.openxmlformats.org/officeDocument/2006/relationships/hyperlink" Target="https://www.instagram.com/caiocuadrado" TargetMode="External"/><Relationship Id="rId572" Type="http://schemas.openxmlformats.org/officeDocument/2006/relationships/hyperlink" Target="https://instagram.com/__daydias?utm_medium=copy_link" TargetMode="External"/><Relationship Id="rId225" Type="http://schemas.openxmlformats.org/officeDocument/2006/relationships/hyperlink" Target="https://drive.google.com/open?id=13Jl-sDSLcfJIM7cLtRIL1m6N0RK0Ihi4" TargetMode="External"/><Relationship Id="rId432" Type="http://schemas.openxmlformats.org/officeDocument/2006/relationships/hyperlink" Target="https://www.linkedin.com/in/janderson-rocha-682b37196" TargetMode="External"/><Relationship Id="rId877" Type="http://schemas.openxmlformats.org/officeDocument/2006/relationships/hyperlink" Target="https://instagram.com/prtiaozinhosilva?utm_medium=copy_link" TargetMode="External"/><Relationship Id="rId1062" Type="http://schemas.openxmlformats.org/officeDocument/2006/relationships/hyperlink" Target="https://drive.google.com/open?id=1nSlxtr6X-kMg8N04IoD0xfOEHKifbVG5" TargetMode="External"/><Relationship Id="rId737" Type="http://schemas.openxmlformats.org/officeDocument/2006/relationships/hyperlink" Target="https://www.instagram.com/gabiiveras/" TargetMode="External"/><Relationship Id="rId944" Type="http://schemas.openxmlformats.org/officeDocument/2006/relationships/hyperlink" Target="https://drive.google.com/open?id=1NRjzM0YzW6TXzUa1JGnOpRDWj5AvAFYO" TargetMode="External"/><Relationship Id="rId73" Type="http://schemas.openxmlformats.org/officeDocument/2006/relationships/hyperlink" Target="https://instagram.com/cruz_dryka?utm_medium=copy_link" TargetMode="External"/><Relationship Id="rId169" Type="http://schemas.openxmlformats.org/officeDocument/2006/relationships/hyperlink" Target="https://www.linkedin.com/in/gustavo-do-vale-68460148" TargetMode="External"/><Relationship Id="rId376" Type="http://schemas.openxmlformats.org/officeDocument/2006/relationships/hyperlink" Target="http://linkedin.com/in/institutonawa" TargetMode="External"/><Relationship Id="rId583" Type="http://schemas.openxmlformats.org/officeDocument/2006/relationships/hyperlink" Target="https://www.instagram.com/zilldasouza/" TargetMode="External"/><Relationship Id="rId790" Type="http://schemas.openxmlformats.org/officeDocument/2006/relationships/hyperlink" Target="https://www.instagram.com/jhowroots17/" TargetMode="External"/><Relationship Id="rId804" Type="http://schemas.openxmlformats.org/officeDocument/2006/relationships/hyperlink" Target="https://drive.google.com/open?id=10ctxV8nMn9fVaTyawjHOr35WgafNvNJD" TargetMode="External"/><Relationship Id="rId4" Type="http://schemas.openxmlformats.org/officeDocument/2006/relationships/hyperlink" Target="https://drive.google.com/open?id=1ZV3tSYZXLiikdDubztho0RJYO8IIoi24" TargetMode="External"/><Relationship Id="rId236" Type="http://schemas.openxmlformats.org/officeDocument/2006/relationships/hyperlink" Target="https://drive.google.com/open?id=18vDNDXgu1PuyjaitqGLkP_4VMAAPSlX-" TargetMode="External"/><Relationship Id="rId443" Type="http://schemas.openxmlformats.org/officeDocument/2006/relationships/hyperlink" Target="https://drive.google.com/open?id=1_VmizHxq97IH7FVbnU8TNeHV0SvXI1H2" TargetMode="External"/><Relationship Id="rId650" Type="http://schemas.openxmlformats.org/officeDocument/2006/relationships/hyperlink" Target="https://instagram.com/fanycaligrafia?igshid=YmMyMTA2M2Y=" TargetMode="External"/><Relationship Id="rId888" Type="http://schemas.openxmlformats.org/officeDocument/2006/relationships/hyperlink" Target="https://drive.google.com/open?id=1mO7dWomP8-pxQ6uFq8gty9Um1bkQvxIL" TargetMode="External"/><Relationship Id="rId1073" Type="http://schemas.openxmlformats.org/officeDocument/2006/relationships/hyperlink" Target="https://drive.google.com/open?id=1hB8NALZw1WGjiC7E-TLSfCaz6b42uXKz" TargetMode="External"/><Relationship Id="rId303" Type="http://schemas.openxmlformats.org/officeDocument/2006/relationships/hyperlink" Target="https://www.instagram.com/solrevoredo/" TargetMode="External"/><Relationship Id="rId748" Type="http://schemas.openxmlformats.org/officeDocument/2006/relationships/hyperlink" Target="https://instagram.com/ong_jardimsaobernardo?utm_medium=copy_link" TargetMode="External"/><Relationship Id="rId955" Type="http://schemas.openxmlformats.org/officeDocument/2006/relationships/hyperlink" Target="https://www.instagram.com/fernandoddi/" TargetMode="External"/><Relationship Id="rId1140" Type="http://schemas.openxmlformats.org/officeDocument/2006/relationships/hyperlink" Target="https://drive.google.com/open?id=12ACJNZM-_xQE_XPZsWU4x1rlI_3_zRCB" TargetMode="External"/><Relationship Id="rId84" Type="http://schemas.openxmlformats.org/officeDocument/2006/relationships/hyperlink" Target="https://drive.google.com/open?id=1HPdyeRveGNA7lNEMIeeIJMj3QAzAvrxV" TargetMode="External"/><Relationship Id="rId387" Type="http://schemas.openxmlformats.org/officeDocument/2006/relationships/hyperlink" Target="https://drive.google.com/open?id=1eofNdRdJGywYOGiJuT9mypy5nEtT8myB" TargetMode="External"/><Relationship Id="rId510" Type="http://schemas.openxmlformats.org/officeDocument/2006/relationships/hyperlink" Target="https://www.linkedin.com/in/pablo-lima-03848b103/" TargetMode="External"/><Relationship Id="rId594" Type="http://schemas.openxmlformats.org/officeDocument/2006/relationships/hyperlink" Target="https://www.instagram.com/p/Ca0wX3FO9f4/?utm_medium=copy_link" TargetMode="External"/><Relationship Id="rId608" Type="http://schemas.openxmlformats.org/officeDocument/2006/relationships/hyperlink" Target="https://www.instagram.com/seabrapantoja/" TargetMode="External"/><Relationship Id="rId815" Type="http://schemas.openxmlformats.org/officeDocument/2006/relationships/hyperlink" Target="https://instagram.com/eduardobeijo?utm_medium=copy_link" TargetMode="External"/><Relationship Id="rId247" Type="http://schemas.openxmlformats.org/officeDocument/2006/relationships/hyperlink" Target="https://www.instagram.com/tv/CW_cniLJnjj/?utm_medium=copy_link" TargetMode="External"/><Relationship Id="rId899" Type="http://schemas.openxmlformats.org/officeDocument/2006/relationships/hyperlink" Target="https://drive.google.com/open?id=1bGwzS2FbXBNqxyIOHeu_sV2tLssT2zBu" TargetMode="External"/><Relationship Id="rId1000" Type="http://schemas.openxmlformats.org/officeDocument/2006/relationships/hyperlink" Target="https://instagram.com/ruteniof?utm_medium=copy_link" TargetMode="External"/><Relationship Id="rId1084" Type="http://schemas.openxmlformats.org/officeDocument/2006/relationships/hyperlink" Target="https://www.instagram.com/dancesar.tp/" TargetMode="External"/><Relationship Id="rId107" Type="http://schemas.openxmlformats.org/officeDocument/2006/relationships/hyperlink" Target="https://www.linkedin.com/in/livia-martins-b908773b" TargetMode="External"/><Relationship Id="rId454" Type="http://schemas.openxmlformats.org/officeDocument/2006/relationships/hyperlink" Target="https://drive.google.com/open?id=1aJOwgvCji1tbZXxgShJ7oLmk_XZW3NHQ" TargetMode="External"/><Relationship Id="rId661" Type="http://schemas.openxmlformats.org/officeDocument/2006/relationships/hyperlink" Target="https://www.instagram.com/stories/_ericadovale" TargetMode="External"/><Relationship Id="rId759" Type="http://schemas.openxmlformats.org/officeDocument/2006/relationships/hyperlink" Target="https://drive.google.com/open?id=1qvE8fN0aN5hVDltkRttTK1zfrul3EATd" TargetMode="External"/><Relationship Id="rId966" Type="http://schemas.openxmlformats.org/officeDocument/2006/relationships/hyperlink" Target="https://instagram.com/shaolinbjj?r=nametag" TargetMode="External"/><Relationship Id="rId11" Type="http://schemas.openxmlformats.org/officeDocument/2006/relationships/hyperlink" Target="https://terradedireitos.org.br/notic" TargetMode="External"/><Relationship Id="rId314" Type="http://schemas.openxmlformats.org/officeDocument/2006/relationships/hyperlink" Target="https://drive.google.com/open?id=1PbbIjsAeffmEXCZLf3eQUwKVEaDDVrMg" TargetMode="External"/><Relationship Id="rId398" Type="http://schemas.openxmlformats.org/officeDocument/2006/relationships/hyperlink" Target="https://www.instagram.com/d.diegoglima2/" TargetMode="External"/><Relationship Id="rId521" Type="http://schemas.openxmlformats.org/officeDocument/2006/relationships/hyperlink" Target="https://instagram.com/tamy7827?utm_medium=copy_link" TargetMode="External"/><Relationship Id="rId619" Type="http://schemas.openxmlformats.org/officeDocument/2006/relationships/hyperlink" Target="https://www.linkedin.com/in/rafael-santiago-machado-0b1b67186" TargetMode="External"/><Relationship Id="rId1151" Type="http://schemas.openxmlformats.org/officeDocument/2006/relationships/hyperlink" Target="http://instagram.com/sidaomacunaima" TargetMode="External"/><Relationship Id="rId95" Type="http://schemas.openxmlformats.org/officeDocument/2006/relationships/hyperlink" Target="https://drive.google.com/open?id=1ZfaGtCC4qFo1os5_ixtgg4i1Gg3KwztB" TargetMode="External"/><Relationship Id="rId160" Type="http://schemas.openxmlformats.org/officeDocument/2006/relationships/hyperlink" Target="https://www.linkedin.com/in/winy-fabiano-42919b150" TargetMode="External"/><Relationship Id="rId826" Type="http://schemas.openxmlformats.org/officeDocument/2006/relationships/hyperlink" Target="https://drive.google.com/open?id=1FS1cYvmyQ1TCh2s1iBCFGARCtzywTJM7" TargetMode="External"/><Relationship Id="rId1011" Type="http://schemas.openxmlformats.org/officeDocument/2006/relationships/hyperlink" Target="https://www.linkedin.com/in/leonardo-precioso-b1a063157" TargetMode="External"/><Relationship Id="rId1109" Type="http://schemas.openxmlformats.org/officeDocument/2006/relationships/hyperlink" Target="https://drive.google.com/open?id=1AvS6wJ80UsYBqa4RUeBU_ww6Mb6VcdWw" TargetMode="External"/><Relationship Id="rId258" Type="http://schemas.openxmlformats.org/officeDocument/2006/relationships/hyperlink" Target="https://drive.google.com/open?id=1_0mlwdMXkW5YSV6cRGSh2d8G4969gwQp" TargetMode="External"/><Relationship Id="rId465" Type="http://schemas.openxmlformats.org/officeDocument/2006/relationships/hyperlink" Target="https://drive.google.com/open?id=1LSeWpAYeYt-11CkpjLIFwsam5QN6fluS" TargetMode="External"/><Relationship Id="rId672" Type="http://schemas.openxmlformats.org/officeDocument/2006/relationships/hyperlink" Target="https://www.linkedin.com/in/leandro-soares-358215113" TargetMode="External"/><Relationship Id="rId1095" Type="http://schemas.openxmlformats.org/officeDocument/2006/relationships/hyperlink" Target="https://www.instagram.com/green_dias/" TargetMode="External"/><Relationship Id="rId22" Type="http://schemas.openxmlformats.org/officeDocument/2006/relationships/hyperlink" Target="https://drive.google.com/open?id=18k3beDwBTDIcBmzLT6V7X7sZZ42lcbwo" TargetMode="External"/><Relationship Id="rId118" Type="http://schemas.openxmlformats.org/officeDocument/2006/relationships/hyperlink" Target="https://drive.google.com/open?id=1S6VzZQKAEYk_pZgPxr2xEelATWdRxCSl" TargetMode="External"/><Relationship Id="rId325" Type="http://schemas.openxmlformats.org/officeDocument/2006/relationships/hyperlink" Target="https://drive.google.com/open?id=1rA2UKjTdRNMrvqo-UNcCFGemWBEHXEHS" TargetMode="External"/><Relationship Id="rId532" Type="http://schemas.openxmlformats.org/officeDocument/2006/relationships/hyperlink" Target="https://drive.google.com/open?id=1vhTDJVb0ziojcXV-YhtumfArGYATymAt" TargetMode="External"/><Relationship Id="rId977" Type="http://schemas.openxmlformats.org/officeDocument/2006/relationships/hyperlink" Target="https://drive.google.com/open?id=1-8hsmZHCCDQsyBGm3_P4SccI4B8TZnRd" TargetMode="External"/><Relationship Id="rId1162" Type="http://schemas.openxmlformats.org/officeDocument/2006/relationships/hyperlink" Target="https://instagram.com/elisangelapedrosolopes?utm_medium=copy_link" TargetMode="External"/><Relationship Id="rId171" Type="http://schemas.openxmlformats.org/officeDocument/2006/relationships/hyperlink" Target="https://drive.google.com/open?id=18QyWMyBso5nKdaxJbjilalMMEEzZOq5C" TargetMode="External"/><Relationship Id="rId837" Type="http://schemas.openxmlformats.org/officeDocument/2006/relationships/hyperlink" Target="https://drive.google.com/open?id=1K0uPLD82Xv86MaKjBfjcq-65Vyzl8-Pa" TargetMode="External"/><Relationship Id="rId1022" Type="http://schemas.openxmlformats.org/officeDocument/2006/relationships/hyperlink" Target="https://drive.google.com/open?id=1GYVUOCb955xDBO36TxivcsqaWfvklovH" TargetMode="External"/><Relationship Id="rId269" Type="http://schemas.openxmlformats.org/officeDocument/2006/relationships/hyperlink" Target="https://instagram.com/marcos.nascimento.50364592" TargetMode="External"/><Relationship Id="rId476" Type="http://schemas.openxmlformats.org/officeDocument/2006/relationships/hyperlink" Target="https://www.linkedin.com/in/laura-campos-braz-908957200/" TargetMode="External"/><Relationship Id="rId683" Type="http://schemas.openxmlformats.org/officeDocument/2006/relationships/hyperlink" Target="https://drive.google.com/open?id=19i9F9BL9KltGy5VJs45Yxgjfi3WvziZ5" TargetMode="External"/><Relationship Id="rId890" Type="http://schemas.openxmlformats.org/officeDocument/2006/relationships/hyperlink" Target="https://www.linkedin.com/in/ana-paula-almeida-rodrigues-b9002b44" TargetMode="External"/><Relationship Id="rId904" Type="http://schemas.openxmlformats.org/officeDocument/2006/relationships/hyperlink" Target="https://instagram.com/du_marques_oficial" TargetMode="External"/><Relationship Id="rId33" Type="http://schemas.openxmlformats.org/officeDocument/2006/relationships/hyperlink" Target="https://www.instagram.com/iagossantos1/" TargetMode="External"/><Relationship Id="rId129" Type="http://schemas.openxmlformats.org/officeDocument/2006/relationships/hyperlink" Target="https://www.instagram.com/leleto_alquimista/" TargetMode="External"/><Relationship Id="rId336" Type="http://schemas.openxmlformats.org/officeDocument/2006/relationships/hyperlink" Target="https://drive.google.com/open?id=1yNHsfCv56GQ8sXtsAiDUlqOTl2YLJW9R" TargetMode="External"/><Relationship Id="rId543" Type="http://schemas.openxmlformats.org/officeDocument/2006/relationships/hyperlink" Target="https://drive.google.com/open?id=1SzUFRV30O5IPwgN01E23-IjIH24vHzIN" TargetMode="External"/><Relationship Id="rId988" Type="http://schemas.openxmlformats.org/officeDocument/2006/relationships/hyperlink" Target="https://www.linkedin.com/in/cesar-gouveia-0956535b/" TargetMode="External"/><Relationship Id="rId1173" Type="http://schemas.openxmlformats.org/officeDocument/2006/relationships/hyperlink" Target="https://www.instagram.com/reel/CXyV4P5gQd-x0B0UQDh5Q8NEPswBr12-gy_xWs0/?utm_medium=copy_link" TargetMode="External"/><Relationship Id="rId182" Type="http://schemas.openxmlformats.org/officeDocument/2006/relationships/hyperlink" Target="https://drive.google.com/open?id=1SxiKyqV2xOHzIIozN5Ma7V_EM0lvm5jn" TargetMode="External"/><Relationship Id="rId403" Type="http://schemas.openxmlformats.org/officeDocument/2006/relationships/hyperlink" Target="https://instagram.com/nathypassos_5?utm_medium=copy_link" TargetMode="External"/><Relationship Id="rId750" Type="http://schemas.openxmlformats.org/officeDocument/2006/relationships/hyperlink" Target="https://www.linkedin.com/in/wellingtonsmatos/" TargetMode="External"/><Relationship Id="rId848" Type="http://schemas.openxmlformats.org/officeDocument/2006/relationships/hyperlink" Target="http://www.instagram.com/lecawitzki" TargetMode="External"/><Relationship Id="rId1033" Type="http://schemas.openxmlformats.org/officeDocument/2006/relationships/hyperlink" Target="https://drive.google.com/open?id=1RkfNYXBtUuIL9pgGN80itoRssZCq91VG" TargetMode="External"/><Relationship Id="rId487" Type="http://schemas.openxmlformats.org/officeDocument/2006/relationships/hyperlink" Target="https://drive.google.com/open?id=1UmbAbVLcAcQ29l7BztKsTuk7sCF5vh0P" TargetMode="External"/><Relationship Id="rId610" Type="http://schemas.openxmlformats.org/officeDocument/2006/relationships/hyperlink" Target="https://instagram.com/mestrenordestino?utm_medium=copy_link" TargetMode="External"/><Relationship Id="rId694" Type="http://schemas.openxmlformats.org/officeDocument/2006/relationships/hyperlink" Target="https://instagram.com/institutorosareviver?utm_medium=copy_link." TargetMode="External"/><Relationship Id="rId708" Type="http://schemas.openxmlformats.org/officeDocument/2006/relationships/hyperlink" Target="https://www.linkedin.com/in/rennan-leta/" TargetMode="External"/><Relationship Id="rId915" Type="http://schemas.openxmlformats.org/officeDocument/2006/relationships/hyperlink" Target="https://www.instagram.com/ducifpereira/" TargetMode="External"/><Relationship Id="rId347" Type="http://schemas.openxmlformats.org/officeDocument/2006/relationships/hyperlink" Target="https://drive.google.com/open?id=1UdKEnQVdA5wRn22LAA9nGmXy-Xsl5aKY" TargetMode="External"/><Relationship Id="rId999" Type="http://schemas.openxmlformats.org/officeDocument/2006/relationships/hyperlink" Target="https://www.linkedin.com/in/rutenio-florencio-0304431a3" TargetMode="External"/><Relationship Id="rId1100" Type="http://schemas.openxmlformats.org/officeDocument/2006/relationships/hyperlink" Target="https://www.instagram.com/p/CQR0-4gF0moYnAf6RNobcLW1ZODNR1lrvNKSo80/?utm_medium=copy_link" TargetMode="External"/><Relationship Id="rId1184" Type="http://schemas.openxmlformats.org/officeDocument/2006/relationships/hyperlink" Target="https://drive.google.com/open?id=1WrtpTPBbQI9kd-un0pVCI2OgLmT_RNMx" TargetMode="External"/><Relationship Id="rId44" Type="http://schemas.openxmlformats.org/officeDocument/2006/relationships/hyperlink" Target="https://www.instagram.com/cesaraugustofilho/" TargetMode="External"/><Relationship Id="rId554" Type="http://schemas.openxmlformats.org/officeDocument/2006/relationships/hyperlink" Target="https://drive.google.com/open?id=1knf9y3pOdm4Qi-UakzEVPYcG-jYz-p3s" TargetMode="External"/><Relationship Id="rId761" Type="http://schemas.openxmlformats.org/officeDocument/2006/relationships/hyperlink" Target="https://www.instagram.com/daniellecft" TargetMode="External"/><Relationship Id="rId859" Type="http://schemas.openxmlformats.org/officeDocument/2006/relationships/hyperlink" Target="https://instagram.com/miralucianah?igshid=YmMyMTA2M2Y=" TargetMode="External"/><Relationship Id="rId193" Type="http://schemas.openxmlformats.org/officeDocument/2006/relationships/hyperlink" Target="https://www.linkedin.com/in/meirivania-s%C3%A1-correia-54159b1b7/" TargetMode="External"/><Relationship Id="rId207" Type="http://schemas.openxmlformats.org/officeDocument/2006/relationships/hyperlink" Target="https://www.instagram.com/ojuara_ray/" TargetMode="External"/><Relationship Id="rId414" Type="http://schemas.openxmlformats.org/officeDocument/2006/relationships/hyperlink" Target="https://drive.google.com/open?id=1qF_q3i7AnClc4oqp_gKB6lgkDG7w_U29" TargetMode="External"/><Relationship Id="rId498" Type="http://schemas.openxmlformats.org/officeDocument/2006/relationships/hyperlink" Target="https://www.linkedin.com/in/francine-cabral-56a203157/" TargetMode="External"/><Relationship Id="rId621" Type="http://schemas.openxmlformats.org/officeDocument/2006/relationships/hyperlink" Target="https://drive.google.com/open?id=1XUzHhlQDth3QLTll_kXA8v-OdFga_dyd" TargetMode="External"/><Relationship Id="rId1044" Type="http://schemas.openxmlformats.org/officeDocument/2006/relationships/hyperlink" Target="https://drive.google.com/open?id=1YNt-u9Yp81MTHmhUGELZbm0kIuk0xDO3" TargetMode="External"/><Relationship Id="rId260" Type="http://schemas.openxmlformats.org/officeDocument/2006/relationships/hyperlink" Target="https://instagram.com/jpbabo?igshid=YmMyMTA2M2Y=" TargetMode="External"/><Relationship Id="rId719" Type="http://schemas.openxmlformats.org/officeDocument/2006/relationships/hyperlink" Target="https://instagram.com/psidanielageneroso?utm_medium=copy_link" TargetMode="External"/><Relationship Id="rId926" Type="http://schemas.openxmlformats.org/officeDocument/2006/relationships/hyperlink" Target="https://www.instagram.com/nsalessavio/" TargetMode="External"/><Relationship Id="rId1111" Type="http://schemas.openxmlformats.org/officeDocument/2006/relationships/hyperlink" Target="https://drive.google.com/open?id=1UEfAJhTvSofIwvU0ljef0BsUyWDyn5vo" TargetMode="External"/><Relationship Id="rId55" Type="http://schemas.openxmlformats.org/officeDocument/2006/relationships/hyperlink" Target="https://instagram.com/luizadssantoss?utm_medium=copy_link" TargetMode="External"/><Relationship Id="rId120" Type="http://schemas.openxmlformats.org/officeDocument/2006/relationships/hyperlink" Target="https://drive.google.com/open?id=1jMPZ7RlzVgImiEzhp5hDHIUgt5emWVj7" TargetMode="External"/><Relationship Id="rId358" Type="http://schemas.openxmlformats.org/officeDocument/2006/relationships/hyperlink" Target="http://instagram.com/bruno_m_anastacio" TargetMode="External"/><Relationship Id="rId565" Type="http://schemas.openxmlformats.org/officeDocument/2006/relationships/hyperlink" Target="http://www.linkedin.com/in/auc%C3%ADlia-maria-silva-51a966161/" TargetMode="External"/><Relationship Id="rId772" Type="http://schemas.openxmlformats.org/officeDocument/2006/relationships/hyperlink" Target="https://www.linkedin.com/in/lucas-estevam-a72ba749/" TargetMode="External"/><Relationship Id="rId1195" Type="http://schemas.openxmlformats.org/officeDocument/2006/relationships/printerSettings" Target="../printerSettings/printerSettings5.bin"/><Relationship Id="rId218" Type="http://schemas.openxmlformats.org/officeDocument/2006/relationships/hyperlink" Target="https://www.linkedin.com/in/e-modesto-jr-9b08a979/" TargetMode="External"/><Relationship Id="rId425" Type="http://schemas.openxmlformats.org/officeDocument/2006/relationships/hyperlink" Target="https://drive.google.com/open?id=1l9e5dMuuDvX7D1xI2UOLsF5PCW3ZRS7g" TargetMode="External"/><Relationship Id="rId632" Type="http://schemas.openxmlformats.org/officeDocument/2006/relationships/hyperlink" Target="https://www.instagram.com/p/CRZT2CLMWFA1OaZiaF6TtyWRCqhb7_fo8Iy0dU0/?utm_medium=copy_link" TargetMode="External"/><Relationship Id="rId1055" Type="http://schemas.openxmlformats.org/officeDocument/2006/relationships/hyperlink" Target="https://instagram.com/tom_maiorcapoeira?utm_medium=copy_link" TargetMode="External"/><Relationship Id="rId271" Type="http://schemas.openxmlformats.org/officeDocument/2006/relationships/hyperlink" Target="https://www.instagram.com/tiokleyton/" TargetMode="External"/><Relationship Id="rId937" Type="http://schemas.openxmlformats.org/officeDocument/2006/relationships/hyperlink" Target="https://www.instagram.com/miqiac/" TargetMode="External"/><Relationship Id="rId1122" Type="http://schemas.openxmlformats.org/officeDocument/2006/relationships/hyperlink" Target="https://drive.google.com/open?id=1BM8TrrQ7mXDV6Qh3bkAdy6v2fGHLqCYw" TargetMode="External"/><Relationship Id="rId66" Type="http://schemas.openxmlformats.org/officeDocument/2006/relationships/hyperlink" Target="https://drive.google.com/open?id=12SJaODvFWo7gGyc52I8n2z4lQea1JvcN" TargetMode="External"/><Relationship Id="rId131" Type="http://schemas.openxmlformats.org/officeDocument/2006/relationships/hyperlink" Target="https://instagram.com/elda.nascimento.7334?utm_medium=copy_link" TargetMode="External"/><Relationship Id="rId369" Type="http://schemas.openxmlformats.org/officeDocument/2006/relationships/hyperlink" Target="https://www.linkedin.com/in/djalma-nunes-609a09ab/" TargetMode="External"/><Relationship Id="rId576" Type="http://schemas.openxmlformats.org/officeDocument/2006/relationships/hyperlink" Target="https://drive.google.com/open?id=1aoeco4DT1rOK7tfWD-uT-laPA73OpPuK" TargetMode="External"/><Relationship Id="rId783" Type="http://schemas.openxmlformats.org/officeDocument/2006/relationships/hyperlink" Target="https://instagram.com/ongabcjuntossomosfortes" TargetMode="External"/><Relationship Id="rId990" Type="http://schemas.openxmlformats.org/officeDocument/2006/relationships/hyperlink" Target="https://drive.google.com/open?id=1eghUesdQZNwrSxd8N_x75ax79gVQ3PtQ" TargetMode="External"/><Relationship Id="rId229" Type="http://schemas.openxmlformats.org/officeDocument/2006/relationships/hyperlink" Target="https://drive.google.com/open?id=1-F6DLr7us5GRV_SVtImILAcN3s5KDwXe" TargetMode="External"/><Relationship Id="rId436" Type="http://schemas.openxmlformats.org/officeDocument/2006/relationships/hyperlink" Target="https://drive.google.com/open?id=12yUzrzCvH7W-7QMEHTNLpQU8WHD_I1Jz" TargetMode="External"/><Relationship Id="rId643" Type="http://schemas.openxmlformats.org/officeDocument/2006/relationships/hyperlink" Target="https://instagram.com/ca1olima?utm_medium=copy_link" TargetMode="External"/><Relationship Id="rId1066" Type="http://schemas.openxmlformats.org/officeDocument/2006/relationships/hyperlink" Target="https://www.linkedin.com/in/rodrigues-poliana/" TargetMode="External"/><Relationship Id="rId850" Type="http://schemas.openxmlformats.org/officeDocument/2006/relationships/hyperlink" Target="https://drive.google.com/open?id=17ZG_6zNDm8WYy3yyleKlYnErdOswbd6d" TargetMode="External"/><Relationship Id="rId948" Type="http://schemas.openxmlformats.org/officeDocument/2006/relationships/hyperlink" Target="https://www.instagram.com/thiagonascimentogf/" TargetMode="External"/><Relationship Id="rId1133" Type="http://schemas.openxmlformats.org/officeDocument/2006/relationships/hyperlink" Target="https://www.linkedin.com/in/girlane-souza-do-nascimento-salarini-gimenez-894491236/" TargetMode="External"/><Relationship Id="rId77" Type="http://schemas.openxmlformats.org/officeDocument/2006/relationships/hyperlink" Target="https://drive.google.com/open?id=1M2fZZyvhgixP9OUMxTn5kMTWXPvzvC5R" TargetMode="External"/><Relationship Id="rId282" Type="http://schemas.openxmlformats.org/officeDocument/2006/relationships/hyperlink" Target="https://instagram.com/natysilva6770?utm_medium=copy_link" TargetMode="External"/><Relationship Id="rId503" Type="http://schemas.openxmlformats.org/officeDocument/2006/relationships/hyperlink" Target="https://instagram.com/gilsimaralima?utm_medium=copy_link" TargetMode="External"/><Relationship Id="rId587" Type="http://schemas.openxmlformats.org/officeDocument/2006/relationships/hyperlink" Target="https://www.linkedin.com/in/projeto-os-sonhadores-fernand%C3%B3polis-214b35200/" TargetMode="External"/><Relationship Id="rId710" Type="http://schemas.openxmlformats.org/officeDocument/2006/relationships/hyperlink" Target="https://drive.google.com/open?id=1Jgsj2EMzkF0aRnL7_hHF34vHXyHTJeSn" TargetMode="External"/><Relationship Id="rId808" Type="http://schemas.openxmlformats.org/officeDocument/2006/relationships/hyperlink" Target="https://drive.google.com/open?id=1VQeGKAX9VqtC9FXxlon37W_owWZT8krx" TargetMode="External"/><Relationship Id="rId8" Type="http://schemas.openxmlformats.org/officeDocument/2006/relationships/hyperlink" Target="https://www.instagram.com/danyburu" TargetMode="External"/><Relationship Id="rId142" Type="http://schemas.openxmlformats.org/officeDocument/2006/relationships/hyperlink" Target="https://instagram.com/_lucyenecosta?utm_medium=copy_link" TargetMode="External"/><Relationship Id="rId447" Type="http://schemas.openxmlformats.org/officeDocument/2006/relationships/hyperlink" Target="https://www.linkedin.com/in/maria-laura-da-costa-coelho" TargetMode="External"/><Relationship Id="rId794" Type="http://schemas.openxmlformats.org/officeDocument/2006/relationships/hyperlink" Target="https://drive.google.com/open?id=1YX1oCdV1-fvX_FfEEC9aunyzpGYhmqEi" TargetMode="External"/><Relationship Id="rId1077" Type="http://schemas.openxmlformats.org/officeDocument/2006/relationships/hyperlink" Target="https://www.instagram.com/invites/contact/?i=g7usp6zbyvhn&amp;utm_content=z7gkh3" TargetMode="External"/><Relationship Id="rId654" Type="http://schemas.openxmlformats.org/officeDocument/2006/relationships/hyperlink" Target="https://drive.google.com/open?id=1-yhuPECC0S6LQZMkVrL4__fXQKLfOkYa" TargetMode="External"/><Relationship Id="rId861" Type="http://schemas.openxmlformats.org/officeDocument/2006/relationships/hyperlink" Target="https://drive.google.com/open?id=1xQ17y6EOk8rXGMeFp_zlon9K2-t2RZJs" TargetMode="External"/><Relationship Id="rId959" Type="http://schemas.openxmlformats.org/officeDocument/2006/relationships/hyperlink" Target="https://drive.google.com/open?id=1SGUef26sFJHWhRHQIcix6448u72adioe" TargetMode="External"/><Relationship Id="rId293" Type="http://schemas.openxmlformats.org/officeDocument/2006/relationships/hyperlink" Target="https://www.instagram.com/invites/contact/?i=lglce4a0w6zf&amp;utm_content=m0gavp" TargetMode="External"/><Relationship Id="rId307" Type="http://schemas.openxmlformats.org/officeDocument/2006/relationships/hyperlink" Target="https://drive.google.com/open?id=1Ou4ys0a4DIUlv3fSI92VWV6sR3NsIGFH" TargetMode="External"/><Relationship Id="rId514" Type="http://schemas.openxmlformats.org/officeDocument/2006/relationships/hyperlink" Target="https://drive.google.com/open?id=17X5HjidGw1K4d46R3x0DJcYYU8YapJ0C" TargetMode="External"/><Relationship Id="rId721" Type="http://schemas.openxmlformats.org/officeDocument/2006/relationships/hyperlink" Target="https://drive.google.com/open?id=122zLIQeEN1TpSNcW7kQt6mDg03mTynTL" TargetMode="External"/><Relationship Id="rId1144" Type="http://schemas.openxmlformats.org/officeDocument/2006/relationships/hyperlink" Target="https://www.linkedin.com/in/wellton-brito-092536216/" TargetMode="External"/><Relationship Id="rId88" Type="http://schemas.openxmlformats.org/officeDocument/2006/relationships/hyperlink" Target="https://drive.google.com/open?id=1PpS5wuc5fkogqW7R0mmCRtI1-XfBxAx5" TargetMode="External"/><Relationship Id="rId153" Type="http://schemas.openxmlformats.org/officeDocument/2006/relationships/hyperlink" Target="https://www.instagram.com/institutobrandao10/?hl=pt-br" TargetMode="External"/><Relationship Id="rId360" Type="http://schemas.openxmlformats.org/officeDocument/2006/relationships/hyperlink" Target="https://www.linkedin.com/in/caioc-teixeira/" TargetMode="External"/><Relationship Id="rId598" Type="http://schemas.openxmlformats.org/officeDocument/2006/relationships/hyperlink" Target="http://www.linkedin.com/in/pedroarocha" TargetMode="External"/><Relationship Id="rId819" Type="http://schemas.openxmlformats.org/officeDocument/2006/relationships/hyperlink" Target="https://instagram.com/abeducacional?utm_medium=copy_link" TargetMode="External"/><Relationship Id="rId1004" Type="http://schemas.openxmlformats.org/officeDocument/2006/relationships/hyperlink" Target="https://drive.google.com/open?id=149-t5KDdU-ThjbJi8Q__rsau8Il3CISt" TargetMode="External"/><Relationship Id="rId220" Type="http://schemas.openxmlformats.org/officeDocument/2006/relationships/hyperlink" Target="https://www.instagram.com/projetosocialmaoamiga3/" TargetMode="External"/><Relationship Id="rId458" Type="http://schemas.openxmlformats.org/officeDocument/2006/relationships/hyperlink" Target="https://instagram.com/fatimafmayer?utm_medium=copy_link" TargetMode="External"/><Relationship Id="rId665" Type="http://schemas.openxmlformats.org/officeDocument/2006/relationships/hyperlink" Target="https://drive.google.com/open?id=19X1sPLlyVzh2E2IqH_daxOk0Rsz3rzLK" TargetMode="External"/><Relationship Id="rId872" Type="http://schemas.openxmlformats.org/officeDocument/2006/relationships/hyperlink" Target="https://drive.google.com/open?id=1lVruTCt34Gfcu971bDo1y0-xo6P41EPF" TargetMode="External"/><Relationship Id="rId1088" Type="http://schemas.openxmlformats.org/officeDocument/2006/relationships/hyperlink" Target="https://drive.google.com/open?id=1Xa9gr2KQpqkvkHJU3j16rvZTr6G3yksI" TargetMode="External"/><Relationship Id="rId15" Type="http://schemas.openxmlformats.org/officeDocument/2006/relationships/hyperlink" Target="http://www.linkedin.com/in/valeria-castro-da-silva-ab183819a" TargetMode="External"/><Relationship Id="rId318" Type="http://schemas.openxmlformats.org/officeDocument/2006/relationships/hyperlink" Target="https://www.instagram.com/invites/contact/?i=1btzj5eu98kn7&amp;utm_content=7y0214" TargetMode="External"/><Relationship Id="rId525" Type="http://schemas.openxmlformats.org/officeDocument/2006/relationships/hyperlink" Target="https://drive.google.com/open?id=1Fz933v8wx-2nWaslhEt_XUHND3x5Y15I" TargetMode="External"/><Relationship Id="rId732" Type="http://schemas.openxmlformats.org/officeDocument/2006/relationships/hyperlink" Target="https://drive.google.com/open?id=1VYbojSupCHwEjukFnAKTdCasdniOeQTt" TargetMode="External"/><Relationship Id="rId1155" Type="http://schemas.openxmlformats.org/officeDocument/2006/relationships/hyperlink" Target="https://drive.google.com/open?id=1va0Ijtnwt9-5pEa-NfHCPOP3fE5wPnuk" TargetMode="External"/><Relationship Id="rId99" Type="http://schemas.openxmlformats.org/officeDocument/2006/relationships/hyperlink" Target="https://www.instagram.com/rafaelflavio/" TargetMode="External"/><Relationship Id="rId164" Type="http://schemas.openxmlformats.org/officeDocument/2006/relationships/hyperlink" Target="https://drive.google.com/open?id=1iQQCVzJggVXX3WjPuawaZIkyknJcMq86" TargetMode="External"/><Relationship Id="rId371" Type="http://schemas.openxmlformats.org/officeDocument/2006/relationships/hyperlink" Target="https://drive.google.com/open?id=1kjvfjghNti_llx9gXaHaIqXHTYhr2buE" TargetMode="External"/><Relationship Id="rId1015" Type="http://schemas.openxmlformats.org/officeDocument/2006/relationships/hyperlink" Target="https://instagram.com/veronicamachadoempreendedora?utm_medium=copy_link" TargetMode="External"/><Relationship Id="rId469" Type="http://schemas.openxmlformats.org/officeDocument/2006/relationships/hyperlink" Target="https://instagram.com/juber_prosel?igshid=YmMyMTA2M2Y=" TargetMode="External"/><Relationship Id="rId676" Type="http://schemas.openxmlformats.org/officeDocument/2006/relationships/hyperlink" Target="https://www.linkedin.com/in/luciana-sim%C3%A3ozinho-84943426" TargetMode="External"/><Relationship Id="rId883" Type="http://schemas.openxmlformats.org/officeDocument/2006/relationships/hyperlink" Target="https://drive.google.com/open?id=1o9uKn8ORtRdt8GhbwSLK3vvafQ80I8hi" TargetMode="External"/><Relationship Id="rId1099" Type="http://schemas.openxmlformats.org/officeDocument/2006/relationships/hyperlink" Target="https://www.google.com/url?sa=t&amp;source=web&amp;rct=j&amp;url=https://br.linkedin.com/in/priscilla-siqueira-841959137&amp;ved=2ahUKEwi8i6TJuqLxAhUllZUCHTnoCLgQjjgwAHoECAQQAg&amp;usg=AOvVaw3ilHL_Q4gf10IKc3aa-P_4" TargetMode="External"/><Relationship Id="rId26" Type="http://schemas.openxmlformats.org/officeDocument/2006/relationships/hyperlink" Target="https://drive.google.com/open?id=1UWKKRQtWfJbKCoK2gR5Q8LqttjLMNdg0" TargetMode="External"/><Relationship Id="rId231" Type="http://schemas.openxmlformats.org/officeDocument/2006/relationships/hyperlink" Target="https://www.instagram.com/joaopaulo_epl/" TargetMode="External"/><Relationship Id="rId329" Type="http://schemas.openxmlformats.org/officeDocument/2006/relationships/hyperlink" Target="https://drive.google.com/open?id=1AsKibMXjxCA_tuWYLgYgYw67P31MJzwk" TargetMode="External"/><Relationship Id="rId536" Type="http://schemas.openxmlformats.org/officeDocument/2006/relationships/hyperlink" Target="https://www.linkedin.com/feed/" TargetMode="External"/><Relationship Id="rId1166" Type="http://schemas.openxmlformats.org/officeDocument/2006/relationships/hyperlink" Target="https://www.linkedin.com/feed/?trk=guest_homepage-basic_nav-header-signin" TargetMode="External"/><Relationship Id="rId175" Type="http://schemas.openxmlformats.org/officeDocument/2006/relationships/hyperlink" Target="https://drive.google.com/open?id=1UJcE-m1s45fNOYMO2XmmNnYu24VyIOkE" TargetMode="External"/><Relationship Id="rId743" Type="http://schemas.openxmlformats.org/officeDocument/2006/relationships/hyperlink" Target="https://drive.google.com/open?id=1BlrfQHTbmqa4C4XH0KoP17kROuhqCxWo" TargetMode="External"/><Relationship Id="rId950" Type="http://schemas.openxmlformats.org/officeDocument/2006/relationships/hyperlink" Target="https://www.instagram.com/dener_marcos_xavier/" TargetMode="External"/><Relationship Id="rId1026" Type="http://schemas.openxmlformats.org/officeDocument/2006/relationships/hyperlink" Target="https://instagram.com/dener.moraes.dr?utm_medium=copy_link" TargetMode="External"/><Relationship Id="rId382" Type="http://schemas.openxmlformats.org/officeDocument/2006/relationships/hyperlink" Target="https://www.linkedin.com/in/thiago-alves-a20278219/" TargetMode="External"/><Relationship Id="rId603" Type="http://schemas.openxmlformats.org/officeDocument/2006/relationships/hyperlink" Target="https://www.linkedin.com/in/betania-silva-261930b0/" TargetMode="External"/><Relationship Id="rId687" Type="http://schemas.openxmlformats.org/officeDocument/2006/relationships/hyperlink" Target="https://drive.google.com/open?id=18IIVpl92yAeK0kOIlec4xJFmm9zf0RHm" TargetMode="External"/><Relationship Id="rId810" Type="http://schemas.openxmlformats.org/officeDocument/2006/relationships/hyperlink" Target="https://drive.google.com/open?id=1ddE_J2H98RAfPg0mMgAHBLfCso0QoErV" TargetMode="External"/><Relationship Id="rId908" Type="http://schemas.openxmlformats.org/officeDocument/2006/relationships/hyperlink" Target="https://drive.google.com/open?id=1CzrTd6hgyZQCiwAJUaPchLWETLdrHNi_" TargetMode="External"/><Relationship Id="rId242" Type="http://schemas.openxmlformats.org/officeDocument/2006/relationships/hyperlink" Target="https://drive.google.com/open?id=1W5EEXZrOu9b1r4kirwhWmOwoTzTF2WTJ" TargetMode="External"/><Relationship Id="rId894" Type="http://schemas.openxmlformats.org/officeDocument/2006/relationships/hyperlink" Target="https://www.linkedin.com/in/per-marisa-limaoficial" TargetMode="External"/><Relationship Id="rId1177" Type="http://schemas.openxmlformats.org/officeDocument/2006/relationships/hyperlink" Target="https://drive.google.com/open?id=1a8B8SdyykY0i67bSJBJ90HrSbK0Gk-m2" TargetMode="External"/><Relationship Id="rId37" Type="http://schemas.openxmlformats.org/officeDocument/2006/relationships/hyperlink" Target="https://instagram.com/ana_siberlly?igshid=YmMyMTA2M2Y=" TargetMode="External"/><Relationship Id="rId102" Type="http://schemas.openxmlformats.org/officeDocument/2006/relationships/hyperlink" Target="https://drive.google.com/open?id=1mGtZy48L_SOEgiifOFvGqZmBUKL8XHMB" TargetMode="External"/><Relationship Id="rId547" Type="http://schemas.openxmlformats.org/officeDocument/2006/relationships/hyperlink" Target="http://instagram.com/daudtm" TargetMode="External"/><Relationship Id="rId754" Type="http://schemas.openxmlformats.org/officeDocument/2006/relationships/hyperlink" Target="https://drive.google.com/open?id=1YHylL6BWm1hitVgQJT8vmbey2vqKuPVh" TargetMode="External"/><Relationship Id="rId961" Type="http://schemas.openxmlformats.org/officeDocument/2006/relationships/hyperlink" Target="https://www.linkedin.com/in/andr%C3%A9-felipe-0baa0a1a4/" TargetMode="External"/><Relationship Id="rId90" Type="http://schemas.openxmlformats.org/officeDocument/2006/relationships/hyperlink" Target="https://drive.google.com/open?id=1tS-Qu0P5tKLGVVIQ0NO2Ggi4TDstN7L8" TargetMode="External"/><Relationship Id="rId186" Type="http://schemas.openxmlformats.org/officeDocument/2006/relationships/hyperlink" Target="https://www.instagram.com/alexsandro_pereira123/" TargetMode="External"/><Relationship Id="rId393" Type="http://schemas.openxmlformats.org/officeDocument/2006/relationships/hyperlink" Target="https://www.instagram.com/p/Cc_megbpDFD/?igshid=YmMyMTA2M2Y=" TargetMode="External"/><Relationship Id="rId407" Type="http://schemas.openxmlformats.org/officeDocument/2006/relationships/hyperlink" Target="https://drive.google.com/open?id=1rHserEXsnAhabtHdjOhaKZk33WgqOblD" TargetMode="External"/><Relationship Id="rId614" Type="http://schemas.openxmlformats.org/officeDocument/2006/relationships/hyperlink" Target="https://drive.google.com/open?id=1q48-yS8uezvraaagbt8CYDO5WX6i6IjP" TargetMode="External"/><Relationship Id="rId821" Type="http://schemas.openxmlformats.org/officeDocument/2006/relationships/hyperlink" Target="https://br.linkedin.com/in/eduardo-de-jesus-santos-aa554a11a" TargetMode="External"/><Relationship Id="rId1037" Type="http://schemas.openxmlformats.org/officeDocument/2006/relationships/hyperlink" Target="https://drive.google.com/open?id=1ThyReMFg1rZjRhb7CIxAPWVlY8_DDBdZ" TargetMode="External"/><Relationship Id="rId253" Type="http://schemas.openxmlformats.org/officeDocument/2006/relationships/hyperlink" Target="https://drive.google.com/open?id=1kH3hPBnB8OKAq2pfwSY4yk6A7kBBbP6O" TargetMode="External"/><Relationship Id="rId460" Type="http://schemas.openxmlformats.org/officeDocument/2006/relationships/hyperlink" Target="https://www.linkedin.com/in/franklin-de-melo/" TargetMode="External"/><Relationship Id="rId698" Type="http://schemas.openxmlformats.org/officeDocument/2006/relationships/hyperlink" Target="https://drive.google.com/open?id=14d4q5zPEwsp1mxuQ2iu1mYadHMbnDv9X" TargetMode="External"/><Relationship Id="rId919" Type="http://schemas.openxmlformats.org/officeDocument/2006/relationships/hyperlink" Target="https://www.instagram.com/rafaelmarcelinooliveira/" TargetMode="External"/><Relationship Id="rId1090" Type="http://schemas.openxmlformats.org/officeDocument/2006/relationships/hyperlink" Target="http://instagram.com/sadraquealbino" TargetMode="External"/><Relationship Id="rId1104" Type="http://schemas.openxmlformats.org/officeDocument/2006/relationships/hyperlink" Target="https://www.linkedin.com/feed/?trk=homepage-basic_google-one-tap-submit" TargetMode="External"/><Relationship Id="rId48" Type="http://schemas.openxmlformats.org/officeDocument/2006/relationships/hyperlink" Target="https://www.instagram.com/nobredazo/" TargetMode="External"/><Relationship Id="rId113" Type="http://schemas.openxmlformats.org/officeDocument/2006/relationships/hyperlink" Target="https://www.instagram.com/lucilene_queiroz_adm/" TargetMode="External"/><Relationship Id="rId320" Type="http://schemas.openxmlformats.org/officeDocument/2006/relationships/hyperlink" Target="https://drive.google.com/open?id=1ZzfyDwvCqv6eBSmjT9tb0eFED9uqwRC4" TargetMode="External"/><Relationship Id="rId558" Type="http://schemas.openxmlformats.org/officeDocument/2006/relationships/hyperlink" Target="https://instagram.com/aline_assistente_social?utm_medium=copy_link" TargetMode="External"/><Relationship Id="rId765" Type="http://schemas.openxmlformats.org/officeDocument/2006/relationships/hyperlink" Target="https://drive.google.com/open?id=1BSNyKWHVnZWy2IoTRtbhyWgbB_qW3tWL" TargetMode="External"/><Relationship Id="rId972" Type="http://schemas.openxmlformats.org/officeDocument/2006/relationships/hyperlink" Target="https://drive.google.com/open?id=1n5agb_poi6fuwnrxEbn_hl_fupKxo6mT" TargetMode="External"/><Relationship Id="rId1188" Type="http://schemas.openxmlformats.org/officeDocument/2006/relationships/hyperlink" Target="https://www.linkedin.com/in/claudia-souza-da-silva-189060204" TargetMode="External"/><Relationship Id="rId197" Type="http://schemas.openxmlformats.org/officeDocument/2006/relationships/hyperlink" Target="http://www.linkedin.com/in/narlize-costa-fonseca-0b78651b7" TargetMode="External"/><Relationship Id="rId418" Type="http://schemas.openxmlformats.org/officeDocument/2006/relationships/hyperlink" Target="https://drive.google.com/open?id=1OGkEOsC_2v9Hhk5tdonIKLlV4iG6tvlX" TargetMode="External"/><Relationship Id="rId625" Type="http://schemas.openxmlformats.org/officeDocument/2006/relationships/hyperlink" Target="https://www.instagram.com/p/CbkiBu3u8e-/?utm_medium=copy_link" TargetMode="External"/><Relationship Id="rId832" Type="http://schemas.openxmlformats.org/officeDocument/2006/relationships/hyperlink" Target="https://www.instagram.com/marlenemarques7.1.4/" TargetMode="External"/><Relationship Id="rId1048" Type="http://schemas.openxmlformats.org/officeDocument/2006/relationships/hyperlink" Target="https://drive.google.com/open?id=1b4BnSDZahVdwCvx840gyqYE8BFruvPLE" TargetMode="External"/><Relationship Id="rId264" Type="http://schemas.openxmlformats.org/officeDocument/2006/relationships/hyperlink" Target="https://drive.google.com/open?id=1Fz8WvRtR07h88gWr3LF_Lu_sqX8hMejS" TargetMode="External"/><Relationship Id="rId471" Type="http://schemas.openxmlformats.org/officeDocument/2006/relationships/hyperlink" Target="https://instagram.com/julianamaiareal" TargetMode="External"/><Relationship Id="rId1115" Type="http://schemas.openxmlformats.org/officeDocument/2006/relationships/hyperlink" Target="https://www.linkedin.com/feed/" TargetMode="External"/><Relationship Id="rId59" Type="http://schemas.openxmlformats.org/officeDocument/2006/relationships/hyperlink" Target="https://www.instagram.com/genimeirebezerra/" TargetMode="External"/><Relationship Id="rId124" Type="http://schemas.openxmlformats.org/officeDocument/2006/relationships/hyperlink" Target="https://www.instagram.com/invites/contact/?i=tg4haz6vs19d&amp;utm_content=nzp07bn" TargetMode="External"/><Relationship Id="rId569" Type="http://schemas.openxmlformats.org/officeDocument/2006/relationships/hyperlink" Target="https://drive.google.com/open?id=1SH_DbYSC2GiQnWhbzfCh39xmTAEfzKcJ" TargetMode="External"/><Relationship Id="rId776" Type="http://schemas.openxmlformats.org/officeDocument/2006/relationships/hyperlink" Target="https://www.instagram.com/umanovachance_aracati/" TargetMode="External"/><Relationship Id="rId983" Type="http://schemas.openxmlformats.org/officeDocument/2006/relationships/hyperlink" Target="https://instagram.com/gilmarlimafoco?utm_medium=copy_link" TargetMode="External"/><Relationship Id="rId331" Type="http://schemas.openxmlformats.org/officeDocument/2006/relationships/hyperlink" Target="https://www.instagram.com/maisquepalavraseditora/?hl=pt-br" TargetMode="External"/><Relationship Id="rId429" Type="http://schemas.openxmlformats.org/officeDocument/2006/relationships/hyperlink" Target="https://drive.google.com/open?id=1oFyiFHrnYyo0eINwARHqXDYr84KNhtR8" TargetMode="External"/><Relationship Id="rId636" Type="http://schemas.openxmlformats.org/officeDocument/2006/relationships/hyperlink" Target="https://drive.google.com/open?id=1W1lbUSwcJ_6XMzLP1lRRITqh7ihX7Kcr" TargetMode="External"/><Relationship Id="rId1059" Type="http://schemas.openxmlformats.org/officeDocument/2006/relationships/hyperlink" Target="https://drive.google.com/open?id=1MEwwFouE4hHuMneSc9kUDlcYFqZNEA3Y" TargetMode="External"/><Relationship Id="rId843" Type="http://schemas.openxmlformats.org/officeDocument/2006/relationships/hyperlink" Target="https://instagram.com/k_g_s_?utm_medium=copy_link" TargetMode="External"/><Relationship Id="rId1126" Type="http://schemas.openxmlformats.org/officeDocument/2006/relationships/hyperlink" Target="https://www.linkedin.com/in/izabel-porto-88b88149/" TargetMode="External"/><Relationship Id="rId275" Type="http://schemas.openxmlformats.org/officeDocument/2006/relationships/hyperlink" Target="https://drive.google.com/open?id=1ruczN6p4icdlPMVL_bS2_Ed64fEe55bU" TargetMode="External"/><Relationship Id="rId482" Type="http://schemas.openxmlformats.org/officeDocument/2006/relationships/hyperlink" Target="https://www.instagram.com/invites/contact/?i=1ppbywg2xzncw&amp;utm_content=n1qcaj6" TargetMode="External"/><Relationship Id="rId703" Type="http://schemas.openxmlformats.org/officeDocument/2006/relationships/hyperlink" Target="https://instagram.com/anafelix2019?utm_medium=copy_link" TargetMode="External"/><Relationship Id="rId910" Type="http://schemas.openxmlformats.org/officeDocument/2006/relationships/hyperlink" Target="https://drive.google.com/open?id=1h1qlCUFI58Js3zwIeCCbE0rzom-YW0cT" TargetMode="External"/><Relationship Id="rId135" Type="http://schemas.openxmlformats.org/officeDocument/2006/relationships/hyperlink" Target="https://www.instagram.com/luannykollas/" TargetMode="External"/><Relationship Id="rId342" Type="http://schemas.openxmlformats.org/officeDocument/2006/relationships/hyperlink" Target="https://drive.google.com/open?id=1T-DFcSN06gNqxIw969HamOXmT9kVx_TF" TargetMode="External"/><Relationship Id="rId787" Type="http://schemas.openxmlformats.org/officeDocument/2006/relationships/hyperlink" Target="https://www.instagram.com/wagnerramalhoguaranikaiowa/" TargetMode="External"/><Relationship Id="rId994" Type="http://schemas.openxmlformats.org/officeDocument/2006/relationships/hyperlink" Target="https://br.linkedin.com/in/amanda-oliveira-b197a2178" TargetMode="External"/><Relationship Id="rId202" Type="http://schemas.openxmlformats.org/officeDocument/2006/relationships/hyperlink" Target="https://drive.google.com/open?id=10WaMBrY78SDtzY-BE0YNAB_tXY_R2-c1" TargetMode="External"/><Relationship Id="rId647" Type="http://schemas.openxmlformats.org/officeDocument/2006/relationships/hyperlink" Target="https://instagram.com/davidsoncrvlho?utm_medium=copy_link" TargetMode="External"/><Relationship Id="rId854" Type="http://schemas.openxmlformats.org/officeDocument/2006/relationships/hyperlink" Target="http://instagram.com/carla.rodriguesms" TargetMode="External"/><Relationship Id="rId286" Type="http://schemas.openxmlformats.org/officeDocument/2006/relationships/hyperlink" Target="https://www.linkedin.com/in/pamella-oliveira/" TargetMode="External"/><Relationship Id="rId493" Type="http://schemas.openxmlformats.org/officeDocument/2006/relationships/hyperlink" Target="https://www.instagram.com/nanicorrea/" TargetMode="External"/><Relationship Id="rId507" Type="http://schemas.openxmlformats.org/officeDocument/2006/relationships/hyperlink" Target="http://www.instagram.com/" TargetMode="External"/><Relationship Id="rId714" Type="http://schemas.openxmlformats.org/officeDocument/2006/relationships/hyperlink" Target="https://drive.google.com/open?id=1D3FMm5EPMy9xxomtp0Q5GT3_QKiB4PC3" TargetMode="External"/><Relationship Id="rId921" Type="http://schemas.openxmlformats.org/officeDocument/2006/relationships/hyperlink" Target="https://www.instagram.com/lisaniapereira/" TargetMode="External"/><Relationship Id="rId1137" Type="http://schemas.openxmlformats.org/officeDocument/2006/relationships/hyperlink" Target="https://instagram.com/grazi_porfirio?igshid=YmMyMTA2M2Y=" TargetMode="External"/><Relationship Id="rId50" Type="http://schemas.openxmlformats.org/officeDocument/2006/relationships/hyperlink" Target="https://www.linkedin.com/in/euselia-dutra-97273084" TargetMode="External"/><Relationship Id="rId146" Type="http://schemas.openxmlformats.org/officeDocument/2006/relationships/hyperlink" Target="https://drive.google.com/open?id=1aVWsZuQKtwOb2equf8YECHz0D6mRdtSV" TargetMode="External"/><Relationship Id="rId353" Type="http://schemas.openxmlformats.org/officeDocument/2006/relationships/hyperlink" Target="https://drive.google.com/open?id=1T8zUC8oVVj2kuPEB7OxgzxBisBD0zJEg" TargetMode="External"/><Relationship Id="rId560" Type="http://schemas.openxmlformats.org/officeDocument/2006/relationships/hyperlink" Target="https://www.linkedin.com/in/ana-c%C3%A9lia-passos-7032776a/" TargetMode="External"/><Relationship Id="rId798" Type="http://schemas.openxmlformats.org/officeDocument/2006/relationships/hyperlink" Target="https://instagram.com/associacaoservos?utm_medium=copy_link" TargetMode="External"/><Relationship Id="rId1190" Type="http://schemas.openxmlformats.org/officeDocument/2006/relationships/hyperlink" Target="https://drive.google.com/open?id=1Zp_IvgzRTSUdoH-GoiZZXzO6ybjqgyss" TargetMode="External"/><Relationship Id="rId213" Type="http://schemas.openxmlformats.org/officeDocument/2006/relationships/hyperlink" Target="https://drive.google.com/open?id=1A1WYn7I1puNFY3N4w95Q2A0QefR_cIsm" TargetMode="External"/><Relationship Id="rId420" Type="http://schemas.openxmlformats.org/officeDocument/2006/relationships/hyperlink" Target="https://drive.google.com/open?id=1GGYFJ08MwDfc6GMEX2czdskzObwA4eFb" TargetMode="External"/><Relationship Id="rId658" Type="http://schemas.openxmlformats.org/officeDocument/2006/relationships/hyperlink" Target="https://www.linkedin.com/feed/" TargetMode="External"/><Relationship Id="rId865" Type="http://schemas.openxmlformats.org/officeDocument/2006/relationships/hyperlink" Target="https://www.linkedin.com/in/tatiane-vasconcellos-de-oliveira-2309a2104" TargetMode="External"/><Relationship Id="rId1050" Type="http://schemas.openxmlformats.org/officeDocument/2006/relationships/hyperlink" Target="https://www.instagram.com/elainecristinabassi/" TargetMode="External"/><Relationship Id="rId297" Type="http://schemas.openxmlformats.org/officeDocument/2006/relationships/hyperlink" Target="https://drive.google.com/open?id=1YkI5xGXSvtG8TIZt1DdiDMmYNElCIN6y" TargetMode="External"/><Relationship Id="rId518" Type="http://schemas.openxmlformats.org/officeDocument/2006/relationships/hyperlink" Target="https://drive.google.com/open?id=1tbkTpU_ZLQO61kdGA9EGBAUC9Yts0Sb-" TargetMode="External"/><Relationship Id="rId725" Type="http://schemas.openxmlformats.org/officeDocument/2006/relationships/hyperlink" Target="https://drive.google.com/open?id=1Sc5EggRHr87NsYCkct6JhcHUD2SQOdOC" TargetMode="External"/><Relationship Id="rId932" Type="http://schemas.openxmlformats.org/officeDocument/2006/relationships/hyperlink" Target="https://instagram.com/thiagooteromg" TargetMode="External"/><Relationship Id="rId1148" Type="http://schemas.openxmlformats.org/officeDocument/2006/relationships/hyperlink" Target="https://www.instagram.com/liviasilveiraa/" TargetMode="External"/><Relationship Id="rId157" Type="http://schemas.openxmlformats.org/officeDocument/2006/relationships/hyperlink" Target="https://www.linkedin.com/in/viviane-de-almeida-torres-ti-projetos-processos-scrum-sistemas/" TargetMode="External"/><Relationship Id="rId364" Type="http://schemas.openxmlformats.org/officeDocument/2006/relationships/hyperlink" Target="https://www.linkedin.com/in/caiocuadrado" TargetMode="External"/><Relationship Id="rId1008" Type="http://schemas.openxmlformats.org/officeDocument/2006/relationships/hyperlink" Target="https://br.linkedin.com/in/jefferson-quirino-44780a185" TargetMode="External"/><Relationship Id="rId61" Type="http://schemas.openxmlformats.org/officeDocument/2006/relationships/hyperlink" Target="https://www.linkedin.com/in/george-marconi-sousa-silva-898a35140/" TargetMode="External"/><Relationship Id="rId571" Type="http://schemas.openxmlformats.org/officeDocument/2006/relationships/hyperlink" Target="https://drive.google.com/open?id=1Uz0kNTO4gYqQ5xDsg87M2rxEFgS8BmiX" TargetMode="External"/><Relationship Id="rId669" Type="http://schemas.openxmlformats.org/officeDocument/2006/relationships/hyperlink" Target="https://drive.google.com/open?id=18wB2Y4ClSBeKimJ7jGVlT1t0M9MQxK7z" TargetMode="External"/><Relationship Id="rId876" Type="http://schemas.openxmlformats.org/officeDocument/2006/relationships/hyperlink" Target="https://drive.google.com/open?id=1IwtHABHd2XuDwSQAlpCIHUBuVGuM9z67" TargetMode="External"/><Relationship Id="rId19" Type="http://schemas.openxmlformats.org/officeDocument/2006/relationships/hyperlink" Target="https://instagram.com/domingos_lisboa_?igshid=YmMyMTA2M2Y=" TargetMode="External"/><Relationship Id="rId224" Type="http://schemas.openxmlformats.org/officeDocument/2006/relationships/hyperlink" Target="https://www.linkedin.com/in/hans-henrique-s-mendon%C3%A7a-128589169/" TargetMode="External"/><Relationship Id="rId431" Type="http://schemas.openxmlformats.org/officeDocument/2006/relationships/hyperlink" Target="https://drive.google.com/open?id=11hmuoV5By7TwSZEiox_U-pMWUecWMfTO" TargetMode="External"/><Relationship Id="rId529" Type="http://schemas.openxmlformats.org/officeDocument/2006/relationships/hyperlink" Target="https://www.instagram.com/giselelasserre/" TargetMode="External"/><Relationship Id="rId736" Type="http://schemas.openxmlformats.org/officeDocument/2006/relationships/hyperlink" Target="https://www.linkedin.com/in/gabriela-veras-3b2879108/" TargetMode="External"/><Relationship Id="rId1061" Type="http://schemas.openxmlformats.org/officeDocument/2006/relationships/hyperlink" Target="https://www.instagram.com/lidinalva.fernandes/" TargetMode="External"/><Relationship Id="rId1159" Type="http://schemas.openxmlformats.org/officeDocument/2006/relationships/hyperlink" Target="https://instagram.com/margaridamilech?igshid=YmMyMTA2M2Y=" TargetMode="External"/><Relationship Id="rId168" Type="http://schemas.openxmlformats.org/officeDocument/2006/relationships/hyperlink" Target="https://drive.google.com/open?id=1x0gXBjk6O2tQpAF2s9iiugy7jdJpbruz" TargetMode="External"/><Relationship Id="rId943" Type="http://schemas.openxmlformats.org/officeDocument/2006/relationships/hyperlink" Target="https://www.instagram.com/" TargetMode="External"/><Relationship Id="rId1019" Type="http://schemas.openxmlformats.org/officeDocument/2006/relationships/hyperlink" Target="https://drive.google.com/open?id=1g0owkhywxZp81VbSXi3F8J5_z5kZIHYc" TargetMode="External"/><Relationship Id="rId72" Type="http://schemas.openxmlformats.org/officeDocument/2006/relationships/hyperlink" Target="https://drive.google.com/open?id=1vuLk358vkIHig3nagLGkukl7iEYRTVDv" TargetMode="External"/><Relationship Id="rId375" Type="http://schemas.openxmlformats.org/officeDocument/2006/relationships/hyperlink" Target="https://drive.google.com/open?id=11P8gf-PVl4Hz3tyVKZU7gagoAy_vA2ot" TargetMode="External"/><Relationship Id="rId582" Type="http://schemas.openxmlformats.org/officeDocument/2006/relationships/hyperlink" Target="https://www.linkedin.com/in/zilda-souza-940792224/" TargetMode="External"/><Relationship Id="rId803" Type="http://schemas.openxmlformats.org/officeDocument/2006/relationships/hyperlink" Target="http://instagram.com/associacao.de.apoio.a.familia" TargetMode="External"/><Relationship Id="rId3" Type="http://schemas.openxmlformats.org/officeDocument/2006/relationships/hyperlink" Target="https://drive.google.com/open?id=1XwqRLzMU5KuZEEO1K9Dw_yqU0V6QN0xO" TargetMode="External"/><Relationship Id="rId235" Type="http://schemas.openxmlformats.org/officeDocument/2006/relationships/hyperlink" Target="https://drive.google.com/open?id=1D708KwqVGxig8Gfxl13p7CByiPULx5Gp" TargetMode="External"/><Relationship Id="rId442" Type="http://schemas.openxmlformats.org/officeDocument/2006/relationships/hyperlink" Target="https://instagram.com/marcelasiqueeira?utm_medium=copy_link" TargetMode="External"/><Relationship Id="rId887" Type="http://schemas.openxmlformats.org/officeDocument/2006/relationships/hyperlink" Target="http://linkedin.com/in/virginia-porto-leles-b5396429" TargetMode="External"/><Relationship Id="rId1072" Type="http://schemas.openxmlformats.org/officeDocument/2006/relationships/hyperlink" Target="http://www.instagram.com/thamirescastroa" TargetMode="External"/><Relationship Id="rId302" Type="http://schemas.openxmlformats.org/officeDocument/2006/relationships/hyperlink" Target="https://drive.google.com/open?id=1bdPqmzOfWhz31ZY3T1P1jLbhEolxEvT-" TargetMode="External"/><Relationship Id="rId747" Type="http://schemas.openxmlformats.org/officeDocument/2006/relationships/hyperlink" Target="https://drive.google.com/open?id=1CxRMOUQnqZx3X_S3u08gR9_a5CBPTNHw" TargetMode="External"/><Relationship Id="rId954" Type="http://schemas.openxmlformats.org/officeDocument/2006/relationships/hyperlink" Target="https://www.linkedin.com/in/fernando-ddi-802698229/" TargetMode="External"/><Relationship Id="rId83" Type="http://schemas.openxmlformats.org/officeDocument/2006/relationships/hyperlink" Target="https://drive.google.com/open?id=1NcpScJnQR89BwYfeq5xujf8SrmWcrB42" TargetMode="External"/><Relationship Id="rId179" Type="http://schemas.openxmlformats.org/officeDocument/2006/relationships/hyperlink" Target="https://drive.google.com/open?id=1FZ---GTUeueSKfGN6xgMGrb5LUcOgZMA" TargetMode="External"/><Relationship Id="rId386" Type="http://schemas.openxmlformats.org/officeDocument/2006/relationships/hyperlink" Target="https://drive.google.com/open?id=1H01Dg1GEEdDXpmkdJFCo5vw-uKJl-HLo" TargetMode="External"/><Relationship Id="rId593" Type="http://schemas.openxmlformats.org/officeDocument/2006/relationships/hyperlink" Target="https://drive.google.com/open?id=1Z-8UdHpGj_EhFWxZ-Eu759XUryXw26ji" TargetMode="External"/><Relationship Id="rId607" Type="http://schemas.openxmlformats.org/officeDocument/2006/relationships/hyperlink" Target="http://linkedin.com/in/antonio-pantoja-70267485" TargetMode="External"/><Relationship Id="rId814" Type="http://schemas.openxmlformats.org/officeDocument/2006/relationships/hyperlink" Target="https://drive.google.com/open?id=1C-mYkiCXLYAyKMWJ2tWkQHSvO_GzLGX7" TargetMode="External"/><Relationship Id="rId246" Type="http://schemas.openxmlformats.org/officeDocument/2006/relationships/hyperlink" Target="https://www.linkedin.com/in/givanildo-amancio-3778b921/" TargetMode="External"/><Relationship Id="rId453" Type="http://schemas.openxmlformats.org/officeDocument/2006/relationships/hyperlink" Target="https://www.linkedin.com/in/mayara-barbosa-de-oliveira-266639b0/" TargetMode="External"/><Relationship Id="rId660" Type="http://schemas.openxmlformats.org/officeDocument/2006/relationships/hyperlink" Target="https://www.linkedin.com/in/ericadovale/" TargetMode="External"/><Relationship Id="rId898" Type="http://schemas.openxmlformats.org/officeDocument/2006/relationships/hyperlink" Target="https://instagram.com/detinha_aquino?utm_medium=copy_link" TargetMode="External"/><Relationship Id="rId1083" Type="http://schemas.openxmlformats.org/officeDocument/2006/relationships/hyperlink" Target="https://www.linkedin.com/in/danilo-c%C3%A9sar-trindade-pereir" TargetMode="External"/><Relationship Id="rId106" Type="http://schemas.openxmlformats.org/officeDocument/2006/relationships/hyperlink" Target="https://drive.google.com/open?id=1ZSlSagerjA3xR8idm_D1VKzx9b_GjtPR" TargetMode="External"/><Relationship Id="rId313" Type="http://schemas.openxmlformats.org/officeDocument/2006/relationships/hyperlink" Target="https://instagram.com/brendavilhosa?utm_medium=copy_link" TargetMode="External"/><Relationship Id="rId758" Type="http://schemas.openxmlformats.org/officeDocument/2006/relationships/hyperlink" Target="https://instagram.com/sulasouza?utm_medium=copy_link" TargetMode="External"/><Relationship Id="rId965" Type="http://schemas.openxmlformats.org/officeDocument/2006/relationships/hyperlink" Target="https://www.instagram.com/shaolinbjj/" TargetMode="External"/><Relationship Id="rId1150" Type="http://schemas.openxmlformats.org/officeDocument/2006/relationships/hyperlink" Target="https://www.linkedin.com/in/rodrigo-zacarias-23a8a81b3/" TargetMode="External"/><Relationship Id="rId10" Type="http://schemas.openxmlformats.org/officeDocument/2006/relationships/hyperlink" Target="https://drive.google.com/open?id=19v7V_CnWEUdYK2-T0nGo-Uds06acQR-4" TargetMode="External"/><Relationship Id="rId94" Type="http://schemas.openxmlformats.org/officeDocument/2006/relationships/hyperlink" Target="https://instagram.com/arur.uberlandia?utm_medium=copy_link" TargetMode="External"/><Relationship Id="rId397" Type="http://schemas.openxmlformats.org/officeDocument/2006/relationships/hyperlink" Target="https://drive.google.com/open?id=1EUMQyko7rmlDjLjKa9j7hcB--MhWxDmh" TargetMode="External"/><Relationship Id="rId520" Type="http://schemas.openxmlformats.org/officeDocument/2006/relationships/hyperlink" Target="https://drive.google.com/open?id=15bopVaqw2uyOnMBBXcQTw-L-5AEnTxfN" TargetMode="External"/><Relationship Id="rId618" Type="http://schemas.openxmlformats.org/officeDocument/2006/relationships/hyperlink" Target="https://drive.google.com/open?id=11JTgCWa_kDUdF00hQ-Gj0EpC6bco3ilX" TargetMode="External"/><Relationship Id="rId825" Type="http://schemas.openxmlformats.org/officeDocument/2006/relationships/hyperlink" Target="https://www.instagram.com/mrdrgs_/?utm_medium=copy_link" TargetMode="External"/><Relationship Id="rId257" Type="http://schemas.openxmlformats.org/officeDocument/2006/relationships/hyperlink" Target="https://www.instagram.com/marcelotrindadestm/" TargetMode="External"/><Relationship Id="rId464" Type="http://schemas.openxmlformats.org/officeDocument/2006/relationships/hyperlink" Target="https://drive.google.com/open?id=15OtN6zsJgny46ska-ahOvVZaNPHSlklt" TargetMode="External"/><Relationship Id="rId1010" Type="http://schemas.openxmlformats.org/officeDocument/2006/relationships/hyperlink" Target="https://drive.google.com/open?id=1JHepvg1jatmx6voECdYhnDBsZMz9X1Y7" TargetMode="External"/><Relationship Id="rId1094" Type="http://schemas.openxmlformats.org/officeDocument/2006/relationships/hyperlink" Target="http://linkedin.com/in/saimon-dias-946881178" TargetMode="External"/><Relationship Id="rId1108" Type="http://schemas.openxmlformats.org/officeDocument/2006/relationships/hyperlink" Target="https://www.instagram.com/uelitonrochaoficial" TargetMode="External"/><Relationship Id="rId117" Type="http://schemas.openxmlformats.org/officeDocument/2006/relationships/hyperlink" Target="https://instagram.com/45preta?utm_medium=copy_link" TargetMode="External"/><Relationship Id="rId671" Type="http://schemas.openxmlformats.org/officeDocument/2006/relationships/hyperlink" Target="https://drive.google.com/open?id=1eCRYkiskFARK3qIkF4Wg1CAaeApK2zrJ" TargetMode="External"/><Relationship Id="rId769" Type="http://schemas.openxmlformats.org/officeDocument/2006/relationships/hyperlink" Target="https://www.instagram.com/joaolino1001/" TargetMode="External"/><Relationship Id="rId976" Type="http://schemas.openxmlformats.org/officeDocument/2006/relationships/hyperlink" Target="https://drive.google.com/open?id=10XvDRwTJMfsKkC0kFu7xTWh5ePdPnqvW" TargetMode="External"/><Relationship Id="rId324" Type="http://schemas.openxmlformats.org/officeDocument/2006/relationships/hyperlink" Target="https://drive.google.com/open?id=1HT4684CcpU-x676TP-UGAjLLj7HHmGvB" TargetMode="External"/><Relationship Id="rId531" Type="http://schemas.openxmlformats.org/officeDocument/2006/relationships/hyperlink" Target="https://www.instagram.com/helena_assumpcao/" TargetMode="External"/><Relationship Id="rId629" Type="http://schemas.openxmlformats.org/officeDocument/2006/relationships/hyperlink" Target="https://drive.google.com/open?id=1Hle8CRXKdAaaawFhmWzB0FZHkkdF2154" TargetMode="External"/><Relationship Id="rId1161" Type="http://schemas.openxmlformats.org/officeDocument/2006/relationships/hyperlink" Target="https://www.linkedin.com/in/elisangela-li-6b4865217" TargetMode="External"/><Relationship Id="rId836" Type="http://schemas.openxmlformats.org/officeDocument/2006/relationships/hyperlink" Target="http://instagram.com/guilhermengoularte" TargetMode="External"/><Relationship Id="rId1021" Type="http://schemas.openxmlformats.org/officeDocument/2006/relationships/hyperlink" Target="https://www.instagram.com/analiatimbo/" TargetMode="External"/><Relationship Id="rId1119" Type="http://schemas.openxmlformats.org/officeDocument/2006/relationships/hyperlink" Target="https://www.instagram.com/reel/CbGonoWJE-m/?utm_medium=copy_link" TargetMode="External"/><Relationship Id="rId903" Type="http://schemas.openxmlformats.org/officeDocument/2006/relationships/hyperlink" Target="https://drive.google.com/open?id=1x_uktOXZMxP5VmOS6NogyBCAnDfo0jIS" TargetMode="External"/><Relationship Id="rId32" Type="http://schemas.openxmlformats.org/officeDocument/2006/relationships/hyperlink" Target="https://www.linkedin.com/in/iagossantos2/" TargetMode="External"/><Relationship Id="rId181" Type="http://schemas.openxmlformats.org/officeDocument/2006/relationships/hyperlink" Target="https://drive.google.com/open?id=1e6oD5vc4ixoG7hz-YfgqdJZURVbYIxSH" TargetMode="External"/><Relationship Id="rId279" Type="http://schemas.openxmlformats.org/officeDocument/2006/relationships/hyperlink" Target="https://drive.google.com/open?id=197iIb1zanrEMyLwY7frXhQ67AfPgp2i0" TargetMode="External"/><Relationship Id="rId486" Type="http://schemas.openxmlformats.org/officeDocument/2006/relationships/hyperlink" Target="https://www.instagram.com/daianekm/" TargetMode="External"/><Relationship Id="rId693" Type="http://schemas.openxmlformats.org/officeDocument/2006/relationships/hyperlink" Target="https://drive.google.com/open?id=1dx6OilGI5hmvXndQWUC9nmaQYo6rbARY" TargetMode="External"/><Relationship Id="rId139" Type="http://schemas.openxmlformats.org/officeDocument/2006/relationships/hyperlink" Target="https://instagram.com/lucasalvesamr?igshid=YmMyMTA2M2Y=" TargetMode="External"/><Relationship Id="rId346" Type="http://schemas.openxmlformats.org/officeDocument/2006/relationships/hyperlink" Target="https://www.instagram.com/bpp.cc" TargetMode="External"/><Relationship Id="rId553" Type="http://schemas.openxmlformats.org/officeDocument/2006/relationships/hyperlink" Target="https://www.instagram.com/roselymaria.oliveira/" TargetMode="External"/><Relationship Id="rId760" Type="http://schemas.openxmlformats.org/officeDocument/2006/relationships/hyperlink" Target="https://drive.google.com/open?id=1Q0RvFzw0SyAaJcMQ1sO3EByH4MOcnRWl" TargetMode="External"/><Relationship Id="rId998" Type="http://schemas.openxmlformats.org/officeDocument/2006/relationships/hyperlink" Target="https://drive.google.com/open?id=1cmrF3r8WtBxT9meVWvBdfxgeNVlQM1Fs" TargetMode="External"/><Relationship Id="rId1183" Type="http://schemas.openxmlformats.org/officeDocument/2006/relationships/hyperlink" Target="https://www.linkedin.com/in/angelo-felipe-1261281b2" TargetMode="External"/><Relationship Id="rId206" Type="http://schemas.openxmlformats.org/officeDocument/2006/relationships/hyperlink" Target="https://drive.google.com/open?id=1WU3jsP8P0IRYoVnD3lbFyEmSuqkcsGfn" TargetMode="External"/><Relationship Id="rId413" Type="http://schemas.openxmlformats.org/officeDocument/2006/relationships/hyperlink" Target="https://instagram.com/wilaneide_campos?utm_medium=copy_link" TargetMode="External"/><Relationship Id="rId858" Type="http://schemas.openxmlformats.org/officeDocument/2006/relationships/hyperlink" Target="https://www.linkedin.com/in/luciana-mira-b97b34236/" TargetMode="External"/><Relationship Id="rId1043" Type="http://schemas.openxmlformats.org/officeDocument/2006/relationships/hyperlink" Target="https://drive.google.com/open?id=12T2RZEMCRq54DKV9Mb-AJziXv-aX7_Qg" TargetMode="External"/><Relationship Id="rId620" Type="http://schemas.openxmlformats.org/officeDocument/2006/relationships/hyperlink" Target="https://instagram.com/eng.rafaelsantiago?utm_medium=copy_link" TargetMode="External"/><Relationship Id="rId718" Type="http://schemas.openxmlformats.org/officeDocument/2006/relationships/hyperlink" Target="https://www.linkedin.com/in/daniela-generoso-63671a1a5" TargetMode="External"/><Relationship Id="rId925" Type="http://schemas.openxmlformats.org/officeDocument/2006/relationships/hyperlink" Target="https://www.linkedin.com/in/nilton-sales-s%C3%A1vio-876357172/" TargetMode="External"/><Relationship Id="rId1110" Type="http://schemas.openxmlformats.org/officeDocument/2006/relationships/hyperlink" Target="https://instagram.com/adilmadaong?utm_medium=copy_link" TargetMode="External"/><Relationship Id="rId54" Type="http://schemas.openxmlformats.org/officeDocument/2006/relationships/hyperlink" Target="https://drive.google.com/open?id=1dr44lHgCslqrW6jTMpxqCvKZoEccJIRG" TargetMode="External"/><Relationship Id="rId270" Type="http://schemas.openxmlformats.org/officeDocument/2006/relationships/hyperlink" Target="https://drive.google.com/open?id=1a2TSTHZpu2lyiQ1VjD7cKEDU3mxTPZph" TargetMode="External"/><Relationship Id="rId130" Type="http://schemas.openxmlformats.org/officeDocument/2006/relationships/hyperlink" Target="https://drive.google.com/open?id=1ivcu3DlTo3MRgE5wJUo_yLnaw5Ntu263" TargetMode="External"/><Relationship Id="rId368" Type="http://schemas.openxmlformats.org/officeDocument/2006/relationships/hyperlink" Target="http://www.linkedin.com/in/cibele-campos-38555035" TargetMode="External"/><Relationship Id="rId575" Type="http://schemas.openxmlformats.org/officeDocument/2006/relationships/hyperlink" Target="https://www.instagram.com/daiannyteles.arquiteta/?hl=pt-br" TargetMode="External"/><Relationship Id="rId782" Type="http://schemas.openxmlformats.org/officeDocument/2006/relationships/hyperlink" Target="https://instagram.com/ongabcjuntossomosfortes" TargetMode="External"/><Relationship Id="rId228" Type="http://schemas.openxmlformats.org/officeDocument/2006/relationships/hyperlink" Target="https://drive.google.com/open?id=1OTsLXl7ofPhXYPGJRA87hbhO5k-y0x0O" TargetMode="External"/><Relationship Id="rId435" Type="http://schemas.openxmlformats.org/officeDocument/2006/relationships/hyperlink" Target="https://www.instagram.com/lesliescarpelli/" TargetMode="External"/><Relationship Id="rId642" Type="http://schemas.openxmlformats.org/officeDocument/2006/relationships/hyperlink" Target="https://drive.google.com/open?id=1XKgrKR1BGz63HlSzzh56Z8OCaWRwZ6Bj" TargetMode="External"/><Relationship Id="rId1065" Type="http://schemas.openxmlformats.org/officeDocument/2006/relationships/hyperlink" Target="https://drive.google.com/open?id=1Z5oxvsM6OAY_yHO6T_1je5Av2ORcChto" TargetMode="External"/><Relationship Id="rId502" Type="http://schemas.openxmlformats.org/officeDocument/2006/relationships/hyperlink" Target="https://www.linkedin.com/in/gilsimaralima/" TargetMode="External"/><Relationship Id="rId947" Type="http://schemas.openxmlformats.org/officeDocument/2006/relationships/hyperlink" Target="https://www.linkedin.com/in/thiago-nascimento-7486b1215/" TargetMode="External"/><Relationship Id="rId1132" Type="http://schemas.openxmlformats.org/officeDocument/2006/relationships/hyperlink" Target="https://drive.google.com/open?id=1zcknCxc03z_TIXMQQX0ezbsILS9ev3RC" TargetMode="External"/><Relationship Id="rId76" Type="http://schemas.openxmlformats.org/officeDocument/2006/relationships/hyperlink" Target="https://www.instagram.com/farelodequiat/" TargetMode="External"/><Relationship Id="rId807" Type="http://schemas.openxmlformats.org/officeDocument/2006/relationships/hyperlink" Target="https://drive.google.com/open?id=1xgcb30nm2w755Xhxo_7gMJbd5bi1ggI2" TargetMode="External"/><Relationship Id="rId292" Type="http://schemas.openxmlformats.org/officeDocument/2006/relationships/hyperlink" Target="http://www.linkedin.com/in/clube-de-ajuda-b654b1230" TargetMode="External"/><Relationship Id="rId597" Type="http://schemas.openxmlformats.org/officeDocument/2006/relationships/hyperlink" Target="https://drive.google.com/open?id=1Z7KbZmjiLEaN79ADvCm9CubfaAzU67_G" TargetMode="External"/><Relationship Id="rId152" Type="http://schemas.openxmlformats.org/officeDocument/2006/relationships/hyperlink" Target="https://www.linkedin.com/in/valdir-brand%C3%A3o-50468b241/" TargetMode="External"/><Relationship Id="rId457" Type="http://schemas.openxmlformats.org/officeDocument/2006/relationships/hyperlink" Target="https://drive.google.com/open?id=1W4v3kidhiYPXUns4-PB8GBCUW47-9Gv6" TargetMode="External"/><Relationship Id="rId1087" Type="http://schemas.openxmlformats.org/officeDocument/2006/relationships/hyperlink" Target="https://www.instagram.com/invites/contact/?i=38p196ub57as&amp;utm_content=x51893" TargetMode="External"/><Relationship Id="rId664" Type="http://schemas.openxmlformats.org/officeDocument/2006/relationships/hyperlink" Target="https://instagram.com/centrocomunitariomario?utm_medium=copy_link" TargetMode="External"/><Relationship Id="rId871" Type="http://schemas.openxmlformats.org/officeDocument/2006/relationships/hyperlink" Target="https://instagram.com/daianisoares_?utm_medium=copy_link" TargetMode="External"/><Relationship Id="rId969" Type="http://schemas.openxmlformats.org/officeDocument/2006/relationships/hyperlink" Target="https://www.instagram.com/lima3d/" TargetMode="External"/><Relationship Id="rId317" Type="http://schemas.openxmlformats.org/officeDocument/2006/relationships/hyperlink" Target="https://www.linkedin.com/in/henrique-costa-3a0b18121" TargetMode="External"/><Relationship Id="rId524" Type="http://schemas.openxmlformats.org/officeDocument/2006/relationships/hyperlink" Target="https://www.instagram.com/tigopereira/" TargetMode="External"/><Relationship Id="rId731" Type="http://schemas.openxmlformats.org/officeDocument/2006/relationships/hyperlink" Target="https://instagram.com/andrerongo?utm_medium=copy_link" TargetMode="External"/><Relationship Id="rId1154" Type="http://schemas.openxmlformats.org/officeDocument/2006/relationships/hyperlink" Target="http://www.instagram.com/luisamahin" TargetMode="External"/><Relationship Id="rId98" Type="http://schemas.openxmlformats.org/officeDocument/2006/relationships/hyperlink" Target="https://www.linkedin.com/in/rafaelflavio/" TargetMode="External"/><Relationship Id="rId829" Type="http://schemas.openxmlformats.org/officeDocument/2006/relationships/hyperlink" Target="https://drive.google.com/open?id=1OFT6kzVB68N37t5wv7oU6Z29Ty40EB9E" TargetMode="External"/><Relationship Id="rId1014" Type="http://schemas.openxmlformats.org/officeDocument/2006/relationships/hyperlink" Target="https://drive.google.com/open?id=1DY7gtg5wo2GJ5wyabicCFWsbWJOlco4k" TargetMode="External"/><Relationship Id="rId25" Type="http://schemas.openxmlformats.org/officeDocument/2006/relationships/hyperlink" Target="https://instagram.com/eduuardoneto?igshid=YmMyMTA2M2Y=" TargetMode="External"/><Relationship Id="rId174" Type="http://schemas.openxmlformats.org/officeDocument/2006/relationships/hyperlink" Target="https://instagram.com/oxepriu?utm_medium=copy_link" TargetMode="External"/><Relationship Id="rId381" Type="http://schemas.openxmlformats.org/officeDocument/2006/relationships/hyperlink" Target="https://drive.google.com/open?id=1q7jxyRJ-znvLDQHFUadn5i-rMxxa-1AP" TargetMode="External"/><Relationship Id="rId241" Type="http://schemas.openxmlformats.org/officeDocument/2006/relationships/hyperlink" Target="https://drive.google.com/open?id=1USZrRkMeeWjYB7Jwk7QFhWfBKTU9icaR" TargetMode="External"/><Relationship Id="rId479" Type="http://schemas.openxmlformats.org/officeDocument/2006/relationships/hyperlink" Target="https://www.linkedin.com/in/souluizjr/" TargetMode="External"/><Relationship Id="rId686" Type="http://schemas.openxmlformats.org/officeDocument/2006/relationships/hyperlink" Target="https://drive.google.com/open?id=136bJYA3A0y08GtqDJdT6hIBsjxFnCoBQ" TargetMode="External"/><Relationship Id="rId893" Type="http://schemas.openxmlformats.org/officeDocument/2006/relationships/hyperlink" Target="https://drive.google.com/open?id=1mMffRIe5BYQ4hHXtx6OkSMkjyXX_ndYh" TargetMode="External"/><Relationship Id="rId339" Type="http://schemas.openxmlformats.org/officeDocument/2006/relationships/hyperlink" Target="https://www.instagram.com/andrade6126?r=nametag" TargetMode="External"/><Relationship Id="rId546" Type="http://schemas.openxmlformats.org/officeDocument/2006/relationships/hyperlink" Target="https://www.linkedin.com/in/matheus-daudt-14114349/" TargetMode="External"/><Relationship Id="rId753" Type="http://schemas.openxmlformats.org/officeDocument/2006/relationships/hyperlink" Target="https://instagram.com/samuel.soares.716195?utm_medium=copy_link" TargetMode="External"/><Relationship Id="rId1176" Type="http://schemas.openxmlformats.org/officeDocument/2006/relationships/hyperlink" Target="http://instagram.com/alexandretuller" TargetMode="External"/><Relationship Id="rId101" Type="http://schemas.openxmlformats.org/officeDocument/2006/relationships/hyperlink" Target="https://www.instagram.com/rafaelmendescx/" TargetMode="External"/><Relationship Id="rId406" Type="http://schemas.openxmlformats.org/officeDocument/2006/relationships/hyperlink" Target="https://drive.google.com/open?id=1-px_7b9AqiI4graA-LAgL6ug5QTqwfZx" TargetMode="External"/><Relationship Id="rId960" Type="http://schemas.openxmlformats.org/officeDocument/2006/relationships/hyperlink" Target="https://drive.google.com/open?id=1nZQ49SabNU3Vm4VK3EyQyAtHKI-Qn1Y-" TargetMode="External"/><Relationship Id="rId1036" Type="http://schemas.openxmlformats.org/officeDocument/2006/relationships/hyperlink" Target="https://www.linkedin.com/in/ro-freitas/" TargetMode="External"/><Relationship Id="rId613" Type="http://schemas.openxmlformats.org/officeDocument/2006/relationships/hyperlink" Target="https://drive.google.com/open?id=1Ece9Gn3YjBjv7zPMv3WJzuOfuTsEInmy" TargetMode="External"/><Relationship Id="rId820" Type="http://schemas.openxmlformats.org/officeDocument/2006/relationships/hyperlink" Target="https://drive.google.com/open?id=1D85jdlN2kCRG8kg6bH3r0BrlNem9yhzr" TargetMode="External"/><Relationship Id="rId918" Type="http://schemas.openxmlformats.org/officeDocument/2006/relationships/hyperlink" Target="https://www.linkedin.com/in/rafaelmarcelinooliver/" TargetMode="External"/><Relationship Id="rId1103" Type="http://schemas.openxmlformats.org/officeDocument/2006/relationships/hyperlink" Target="https://drive.google.com/open?id=1MgF852aFaMB51VVmWH8bplH3oAfnxAn7" TargetMode="External"/><Relationship Id="rId47" Type="http://schemas.openxmlformats.org/officeDocument/2006/relationships/hyperlink" Target="https://drive.google.com/open?id=1DEHDZDM4tdR1Er_CNaNX3APZylQ1vCxm" TargetMode="External"/><Relationship Id="rId196" Type="http://schemas.openxmlformats.org/officeDocument/2006/relationships/hyperlink" Target="https://drive.google.com/open?id=1J_HSc8fdB1ONZwFRbb9iBarbUCwDhRQ8" TargetMode="External"/><Relationship Id="rId263" Type="http://schemas.openxmlformats.org/officeDocument/2006/relationships/hyperlink" Target="https://www.instagram.com/deybsonjunior/" TargetMode="External"/><Relationship Id="rId470" Type="http://schemas.openxmlformats.org/officeDocument/2006/relationships/hyperlink" Target="https://drive.google.com/open?id=1NFLh8c8ByQouWcetNaNyKR2uinpdv-xv" TargetMode="External"/><Relationship Id="rId123" Type="http://schemas.openxmlformats.org/officeDocument/2006/relationships/hyperlink" Target="https://www.instagram.com/raquelmaia37/?hl=pt-br" TargetMode="External"/><Relationship Id="rId330" Type="http://schemas.openxmlformats.org/officeDocument/2006/relationships/hyperlink" Target="https://www.linkedin.com/in/editora-mais-que-palavras-52a72822/" TargetMode="External"/><Relationship Id="rId568" Type="http://schemas.openxmlformats.org/officeDocument/2006/relationships/hyperlink" Target="https://www.instagram.com/reel/Cf-Y_jvAZlP/?igshid=YmMyMTA2M2Y=" TargetMode="External"/><Relationship Id="rId775" Type="http://schemas.openxmlformats.org/officeDocument/2006/relationships/hyperlink" Target="https://www.instagram.com/umanovachance_aracati/" TargetMode="External"/><Relationship Id="rId982" Type="http://schemas.openxmlformats.org/officeDocument/2006/relationships/hyperlink" Target="https://www.linkedin.com/in/gilmar-lima-a34b45161" TargetMode="External"/><Relationship Id="rId1198" Type="http://schemas.openxmlformats.org/officeDocument/2006/relationships/comments" Target="../comments4.xml"/><Relationship Id="rId428" Type="http://schemas.openxmlformats.org/officeDocument/2006/relationships/hyperlink" Target="https://drive.google.com/open?id=1N5tO7FkWHKIS9DyxnO6sFjCPD2KvsY5A" TargetMode="External"/><Relationship Id="rId635" Type="http://schemas.openxmlformats.org/officeDocument/2006/relationships/hyperlink" Target="https://www.instagram.com/rafaellernc/?hl=pt-br" TargetMode="External"/><Relationship Id="rId842" Type="http://schemas.openxmlformats.org/officeDocument/2006/relationships/hyperlink" Target="https://drive.google.com/open?id=1NREC90Vapi9Pd3c3Qr7eTyVww-QgS0q5" TargetMode="External"/><Relationship Id="rId1058" Type="http://schemas.openxmlformats.org/officeDocument/2006/relationships/hyperlink" Target="https://instagram.com/ma.raquelcabral?igshid=YmMyMTA2M2Y=" TargetMode="External"/><Relationship Id="rId702" Type="http://schemas.openxmlformats.org/officeDocument/2006/relationships/hyperlink" Target="https://drive.google.com/open?id=1KLrJUgdGXcZfDlu-VjLqYiL--mx8WG1G" TargetMode="External"/><Relationship Id="rId1125" Type="http://schemas.openxmlformats.org/officeDocument/2006/relationships/hyperlink" Target="https://drive.google.com/open?id=1CmKPbPO66niLZ8l2D8MHK5sNWaKsYBBW" TargetMode="External"/><Relationship Id="rId69" Type="http://schemas.openxmlformats.org/officeDocument/2006/relationships/hyperlink" Target="https://www.instagram.com/p/CfxNjLMp3nf/?igshid=YmMyMTA2M2Y=" TargetMode="External"/><Relationship Id="rId285" Type="http://schemas.openxmlformats.org/officeDocument/2006/relationships/hyperlink" Target="https://drive.google.com/open?id=1NQmOvFTOd2Qfziq8z5XYBBfJCoJNU-Gc" TargetMode="External"/><Relationship Id="rId492" Type="http://schemas.openxmlformats.org/officeDocument/2006/relationships/hyperlink" Target="https://www.linkedin.com/in/elainecorreamkt/" TargetMode="External"/><Relationship Id="rId797" Type="http://schemas.openxmlformats.org/officeDocument/2006/relationships/hyperlink" Target="https://drive.google.com/open?id=1x-SQgMPAtqmYOUYXrwxgwElbXCfYkog2" TargetMode="External"/><Relationship Id="rId145" Type="http://schemas.openxmlformats.org/officeDocument/2006/relationships/hyperlink" Target="https://www.instagram.com/marciofelix2012/" TargetMode="External"/><Relationship Id="rId352" Type="http://schemas.openxmlformats.org/officeDocument/2006/relationships/hyperlink" Target="http://www.instagram.com/@_andresasiveirapsicologa"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827" Type="http://schemas.openxmlformats.org/officeDocument/2006/relationships/hyperlink" Target="https://gerandofalcoes.my.salesforce.com/0034P000045kxiw" TargetMode="External"/><Relationship Id="rId170" Type="http://schemas.openxmlformats.org/officeDocument/2006/relationships/hyperlink" Target="https://gerandofalcoes.my.salesforce.com/0014P00003YSp7UQAT" TargetMode="External"/><Relationship Id="rId987" Type="http://schemas.openxmlformats.org/officeDocument/2006/relationships/hyperlink" Target="https://gerandofalcoes.my.salesforce.com/0014X00002VKCrbQAH" TargetMode="External"/><Relationship Id="rId847" Type="http://schemas.openxmlformats.org/officeDocument/2006/relationships/hyperlink" Target="https://gerandofalcoes.my.salesforce.com/0014X00002VKCrOQAX" TargetMode="External"/><Relationship Id="rId1477" Type="http://schemas.openxmlformats.org/officeDocument/2006/relationships/hyperlink" Target="https://instagram.com/marisa.muncao?utm_medium=copy_link" TargetMode="External"/><Relationship Id="rId1684" Type="http://schemas.openxmlformats.org/officeDocument/2006/relationships/hyperlink" Target="https://drive.google.com/open?id=1GGOLUuuZN7XCOZ20_eXS-cdmAEO4RuJA" TargetMode="External"/><Relationship Id="rId1891" Type="http://schemas.openxmlformats.org/officeDocument/2006/relationships/hyperlink" Target="https://gerandofalcoes.my.salesforce.com/0014X00002VKCt8QAH" TargetMode="External"/><Relationship Id="rId707" Type="http://schemas.openxmlformats.org/officeDocument/2006/relationships/hyperlink" Target="https://drive.google.com/open?id=1eI4arBSINrxK9YZONG69Asaa5SjbLiyl" TargetMode="External"/><Relationship Id="rId914" Type="http://schemas.openxmlformats.org/officeDocument/2006/relationships/hyperlink" Target="https://drive.google.com/open?id=1eCRYkiskFARK3qIkF4Wg1CAaeApK2zrJ" TargetMode="External"/><Relationship Id="rId1337" Type="http://schemas.openxmlformats.org/officeDocument/2006/relationships/hyperlink" Target="https://gerandofalcoes.my.salesforce.com/0014P00003SGWQAQA5" TargetMode="External"/><Relationship Id="rId1544" Type="http://schemas.openxmlformats.org/officeDocument/2006/relationships/hyperlink" Target="https://instagram.com/amanda.almeidarjj?utm_medium=copy_link" TargetMode="External"/><Relationship Id="rId1751" Type="http://schemas.openxmlformats.org/officeDocument/2006/relationships/hyperlink" Target="https://gerandofalcoes.my.salesforce.com/0034X0000380O52" TargetMode="External"/><Relationship Id="rId43" Type="http://schemas.openxmlformats.org/officeDocument/2006/relationships/hyperlink" Target="https://drive.google.com/open?id=1pEKXiCrSuI1y5AY0grhA9piLzEreJvKL" TargetMode="External"/><Relationship Id="rId1404" Type="http://schemas.openxmlformats.org/officeDocument/2006/relationships/hyperlink" Target="https://www.linkedin.com/in/daniela-generoso-63671a1a5" TargetMode="External"/><Relationship Id="rId1611" Type="http://schemas.openxmlformats.org/officeDocument/2006/relationships/hyperlink" Target="https://www.instagram.com/lauracamposbraz/" TargetMode="External"/><Relationship Id="rId497" Type="http://schemas.openxmlformats.org/officeDocument/2006/relationships/hyperlink" Target="https://gerandofalcoes.my.salesforce.com/0034X0000380O33" TargetMode="External"/><Relationship Id="rId2178" Type="http://schemas.openxmlformats.org/officeDocument/2006/relationships/hyperlink" Target="https://www.instagram.com/p/CXqoLJDrCx0/?utm_medium=copy_link" TargetMode="External"/><Relationship Id="rId2385" Type="http://schemas.openxmlformats.org/officeDocument/2006/relationships/hyperlink" Target="https://instagram.com/davidsoncrvlho?utm_medium=copy_link" TargetMode="External"/><Relationship Id="rId357" Type="http://schemas.openxmlformats.org/officeDocument/2006/relationships/hyperlink" Target="https://gerandofalcoes.my.salesforce.com/0034X0000390McC" TargetMode="External"/><Relationship Id="rId1194" Type="http://schemas.openxmlformats.org/officeDocument/2006/relationships/hyperlink" Target="https://gerandofalcoes.my.salesforce.com/0014X00002VKCt4QAH" TargetMode="External"/><Relationship Id="rId2038" Type="http://schemas.openxmlformats.org/officeDocument/2006/relationships/hyperlink" Target="https://gerandofalcoes.my.salesforce.com/0014P00003AN6yVQAT" TargetMode="External"/><Relationship Id="rId217" Type="http://schemas.openxmlformats.org/officeDocument/2006/relationships/hyperlink" Target="https://drive.google.com/open?id=19N-BAhI0QxbC20xGgfv22Lg2UarZ6gzl" TargetMode="External"/><Relationship Id="rId564" Type="http://schemas.openxmlformats.org/officeDocument/2006/relationships/hyperlink" Target="https://drive.google.com/open?id=19v7V_CnWEUdYK2-T0nGo-Uds06acQR-4" TargetMode="External"/><Relationship Id="rId771" Type="http://schemas.openxmlformats.org/officeDocument/2006/relationships/hyperlink" Target="https://gerandofalcoes.my.salesforce.com/0014X00002VKD04QAH" TargetMode="External"/><Relationship Id="rId2245" Type="http://schemas.openxmlformats.org/officeDocument/2006/relationships/hyperlink" Target="https://gerandofalcoes.my.salesforce.com/0034X0000380O4D" TargetMode="External"/><Relationship Id="rId424" Type="http://schemas.openxmlformats.org/officeDocument/2006/relationships/hyperlink" Target="https://gerandofalcoes.my.salesforce.com/0014X00002VKCu1QAH" TargetMode="External"/><Relationship Id="rId631" Type="http://schemas.openxmlformats.org/officeDocument/2006/relationships/hyperlink" Target="https://www.instagram.com/analiatimbo/" TargetMode="External"/><Relationship Id="rId1054" Type="http://schemas.openxmlformats.org/officeDocument/2006/relationships/hyperlink" Target="https://instagram.com/julianamaiareal" TargetMode="External"/><Relationship Id="rId1261" Type="http://schemas.openxmlformats.org/officeDocument/2006/relationships/hyperlink" Target="https://www.linkedin.com/in/elainecorreamkt/" TargetMode="External"/><Relationship Id="rId2105" Type="http://schemas.openxmlformats.org/officeDocument/2006/relationships/hyperlink" Target="https://drive.google.com/open?id=1dR3N7cqZjrExh4_o8Ni0fBp-QlO-z1fd" TargetMode="External"/><Relationship Id="rId2312" Type="http://schemas.openxmlformats.org/officeDocument/2006/relationships/hyperlink" Target="https://gerandofalcoes.my.salesforce.com/0014X00002VKCqmQAH" TargetMode="External"/><Relationship Id="rId1121" Type="http://schemas.openxmlformats.org/officeDocument/2006/relationships/hyperlink" Target="https://drive.google.com/open?id=1e6oD5vc4ixoG7hz-YfgqdJZURVbYIxSH" TargetMode="External"/><Relationship Id="rId1938" Type="http://schemas.openxmlformats.org/officeDocument/2006/relationships/hyperlink" Target="https://gerandofalcoes.my.salesforce.com/0014P00003YSpA1QAL" TargetMode="External"/><Relationship Id="rId281" Type="http://schemas.openxmlformats.org/officeDocument/2006/relationships/hyperlink" Target="https://gerandofalcoes.my.salesforce.com/0034X0000380O13" TargetMode="External"/><Relationship Id="rId141" Type="http://schemas.openxmlformats.org/officeDocument/2006/relationships/hyperlink" Target="https://drive.google.com/open?id=1kH3hPBnB8OKAq2pfwSY4yk6A7kBBbP6O" TargetMode="External"/><Relationship Id="rId7" Type="http://schemas.openxmlformats.org/officeDocument/2006/relationships/hyperlink" Target="https://gerandofalcoes.my.salesforce.com/0034X0000380O4I" TargetMode="External"/><Relationship Id="rId958" Type="http://schemas.openxmlformats.org/officeDocument/2006/relationships/hyperlink" Target="https://gerandofalcoes.my.salesforce.com/0014X00002VKCreQAH" TargetMode="External"/><Relationship Id="rId1588" Type="http://schemas.openxmlformats.org/officeDocument/2006/relationships/hyperlink" Target="https://drive.google.com/open?id=1bCYUxkM6ef8l_7RI17KrR9O3lpwXIry7" TargetMode="External"/><Relationship Id="rId1795" Type="http://schemas.openxmlformats.org/officeDocument/2006/relationships/hyperlink" Target="https://drive.google.com/open?id=1UWKKRQtWfJbKCoK2gR5Q8LqttjLMNdg0" TargetMode="External"/><Relationship Id="rId87" Type="http://schemas.openxmlformats.org/officeDocument/2006/relationships/hyperlink" Target="https://drive.google.com/open?id=1MgF852aFaMB51VVmWH8bplH3oAfnxAn7" TargetMode="External"/><Relationship Id="rId818" Type="http://schemas.openxmlformats.org/officeDocument/2006/relationships/hyperlink" Target="https://drive.google.com/open?id=1kTitGE2p4epe-BTHjqODYSpQUQYmNHlK" TargetMode="External"/><Relationship Id="rId1448" Type="http://schemas.openxmlformats.org/officeDocument/2006/relationships/hyperlink" Target="https://gerandofalcoes.my.salesforce.com/0034P00003xgnQ1" TargetMode="External"/><Relationship Id="rId1655" Type="http://schemas.openxmlformats.org/officeDocument/2006/relationships/hyperlink" Target="https://www.linkedin.com/in/ro-freitas/" TargetMode="External"/><Relationship Id="rId1308" Type="http://schemas.openxmlformats.org/officeDocument/2006/relationships/hyperlink" Target="https://drive.google.com/open?id=1_kc8tmQv-q03Dp2MDK56rQjWYl55VBBg" TargetMode="External"/><Relationship Id="rId1862" Type="http://schemas.openxmlformats.org/officeDocument/2006/relationships/hyperlink" Target="https://gerandofalcoes.my.salesforce.com/0014X00002VKCurQAH" TargetMode="External"/><Relationship Id="rId1515" Type="http://schemas.openxmlformats.org/officeDocument/2006/relationships/hyperlink" Target="https://www.instagram.com/instmaisvida/" TargetMode="External"/><Relationship Id="rId1722" Type="http://schemas.openxmlformats.org/officeDocument/2006/relationships/hyperlink" Target="https://www.linkedin.com/in/raquelsuzi/" TargetMode="External"/><Relationship Id="rId14" Type="http://schemas.openxmlformats.org/officeDocument/2006/relationships/hyperlink" Target="https://gerandofalcoes.my.salesforce.com/0034P00003maBV0" TargetMode="External"/><Relationship Id="rId2289" Type="http://schemas.openxmlformats.org/officeDocument/2006/relationships/hyperlink" Target="https://gerandofalcoes.my.salesforce.com/0014X00002VKCrkQAH" TargetMode="External"/><Relationship Id="rId468" Type="http://schemas.openxmlformats.org/officeDocument/2006/relationships/hyperlink" Target="https://drive.google.com/open?id=1YX1oCdV1-fvX_FfEEC9aunyzpGYhmqEi" TargetMode="External"/><Relationship Id="rId675" Type="http://schemas.openxmlformats.org/officeDocument/2006/relationships/hyperlink" Target="https://www.instagram.com/dudalemosce/" TargetMode="External"/><Relationship Id="rId882" Type="http://schemas.openxmlformats.org/officeDocument/2006/relationships/hyperlink" Target="https://drive.google.com/open?id=1x_uktOXZMxP5VmOS6NogyBCAnDfo0jIS" TargetMode="External"/><Relationship Id="rId1098" Type="http://schemas.openxmlformats.org/officeDocument/2006/relationships/hyperlink" Target="https://gerandofalcoes.my.salesforce.com/0014P00003AN2FmQAL" TargetMode="External"/><Relationship Id="rId2149" Type="http://schemas.openxmlformats.org/officeDocument/2006/relationships/hyperlink" Target="https://drive.google.com/open?id=1JH9Zl3ocEMYpkI4w4mW-W6R1yIm9nBzS" TargetMode="External"/><Relationship Id="rId2356" Type="http://schemas.openxmlformats.org/officeDocument/2006/relationships/hyperlink" Target="https://gerandofalcoes.my.salesforce.com/0034X0000380O39" TargetMode="External"/><Relationship Id="rId328" Type="http://schemas.openxmlformats.org/officeDocument/2006/relationships/hyperlink" Target="https://drive.google.com/open?id=1o_tbqI4lMFvpdlvxgXC4x6WFXH5dNxbE" TargetMode="External"/><Relationship Id="rId535" Type="http://schemas.openxmlformats.org/officeDocument/2006/relationships/hyperlink" Target="https://drive.google.com/open?id=1zBbqQgovEpM2hewmqvqrPi23fPj1LyeD" TargetMode="External"/><Relationship Id="rId742" Type="http://schemas.openxmlformats.org/officeDocument/2006/relationships/hyperlink" Target="https://drive.google.com/open?id=1x-5P8-NoUm8KhCmYcXdVEIbb6LrsCS0Q" TargetMode="External"/><Relationship Id="rId1165" Type="http://schemas.openxmlformats.org/officeDocument/2006/relationships/hyperlink" Target="https://drive.google.com/open?id=13Jl-sDSLcfJIM7cLtRIL1m6N0RK0Ihi4" TargetMode="External"/><Relationship Id="rId1372" Type="http://schemas.openxmlformats.org/officeDocument/2006/relationships/hyperlink" Target="https://gerandofalcoes.my.salesforce.com/0034P000043fPDm" TargetMode="External"/><Relationship Id="rId2009" Type="http://schemas.openxmlformats.org/officeDocument/2006/relationships/hyperlink" Target="https://drive.google.com/open?id=1lZWPbo1hBD_MNS4-Js3URYnQZJ3bny1S" TargetMode="External"/><Relationship Id="rId2216" Type="http://schemas.openxmlformats.org/officeDocument/2006/relationships/hyperlink" Target="https://gerandofalcoes.my.salesforce.com/0034X0000380O6X" TargetMode="External"/><Relationship Id="rId602" Type="http://schemas.openxmlformats.org/officeDocument/2006/relationships/hyperlink" Target="https://gerandofalcoes.my.salesforce.com/0034X0000380O0m" TargetMode="External"/><Relationship Id="rId1025" Type="http://schemas.openxmlformats.org/officeDocument/2006/relationships/hyperlink" Target="https://drive.google.com/open?id=10BU7j0TwYfVdCuljIv7JOKco0PI0iHne" TargetMode="External"/><Relationship Id="rId1232" Type="http://schemas.openxmlformats.org/officeDocument/2006/relationships/hyperlink" Target="https://instagram.com/gilsimaralima?utm_medium=copy_link" TargetMode="External"/><Relationship Id="rId185" Type="http://schemas.openxmlformats.org/officeDocument/2006/relationships/hyperlink" Target="https://www.instagram.com/marciofelix2012/" TargetMode="External"/><Relationship Id="rId1909" Type="http://schemas.openxmlformats.org/officeDocument/2006/relationships/hyperlink" Target="https://www.instagram.com/raquelmaia37/?hl=pt-br" TargetMode="External"/><Relationship Id="rId392" Type="http://schemas.openxmlformats.org/officeDocument/2006/relationships/hyperlink" Target="https://drive.google.com/open?id=1vkqrEIZc5-jqLocz1G84drs8n9Dl53G3" TargetMode="External"/><Relationship Id="rId2073" Type="http://schemas.openxmlformats.org/officeDocument/2006/relationships/hyperlink" Target="https://gerandofalcoes.my.salesforce.com/0014P00003YSp7OQAT" TargetMode="External"/><Relationship Id="rId2280" Type="http://schemas.openxmlformats.org/officeDocument/2006/relationships/hyperlink" Target="https://drive.google.com/open?id=1LzwquS-Xehn6P_m5tLz5z6dJgq6SBz4-" TargetMode="External"/><Relationship Id="rId252" Type="http://schemas.openxmlformats.org/officeDocument/2006/relationships/hyperlink" Target="https://gerandofalcoes.my.salesforce.com/0034P000045kxjt" TargetMode="External"/><Relationship Id="rId2140" Type="http://schemas.openxmlformats.org/officeDocument/2006/relationships/hyperlink" Target="https://gerandofalcoes.my.salesforce.com/0034X0000380O6e" TargetMode="External"/><Relationship Id="rId112" Type="http://schemas.openxmlformats.org/officeDocument/2006/relationships/hyperlink" Target="https://drive.google.com/open?id=1GLRGvo2xNpS1W7WOBVMItIZ0qBZukkIe" TargetMode="External"/><Relationship Id="rId1699" Type="http://schemas.openxmlformats.org/officeDocument/2006/relationships/hyperlink" Target="https://gerandofalcoes.my.salesforce.com/0034X0000380O1L" TargetMode="External"/><Relationship Id="rId2000" Type="http://schemas.openxmlformats.org/officeDocument/2006/relationships/hyperlink" Target="https://drive.google.com/open?id=1PDBdoA9VRXagikCCnelIeRIk-bZ5ilTu" TargetMode="External"/><Relationship Id="rId929" Type="http://schemas.openxmlformats.org/officeDocument/2006/relationships/hyperlink" Target="https://gerandofalcoes.my.salesforce.com/0034X000038zvcw" TargetMode="External"/><Relationship Id="rId1559" Type="http://schemas.openxmlformats.org/officeDocument/2006/relationships/hyperlink" Target="https://www.instagram.com/brunasimaozinho" TargetMode="External"/><Relationship Id="rId1766" Type="http://schemas.openxmlformats.org/officeDocument/2006/relationships/hyperlink" Target="https://gerandofalcoes.my.salesforce.com/0034P000043fOo0" TargetMode="External"/><Relationship Id="rId1973" Type="http://schemas.openxmlformats.org/officeDocument/2006/relationships/hyperlink" Target="https://gerandofalcoes.my.salesforce.com/0014P00003AN2FoQAL" TargetMode="External"/><Relationship Id="rId58" Type="http://schemas.openxmlformats.org/officeDocument/2006/relationships/hyperlink" Target="https://gerandofalcoes.my.salesforce.com/0034P000045kxiY" TargetMode="External"/><Relationship Id="rId1419" Type="http://schemas.openxmlformats.org/officeDocument/2006/relationships/hyperlink" Target="https://gerandofalcoes.my.salesforce.com/0034P00003q10qj" TargetMode="External"/><Relationship Id="rId1626" Type="http://schemas.openxmlformats.org/officeDocument/2006/relationships/hyperlink" Target="https://drive.google.com/open?id=1yr28zThW-mDXvlbi7IFR7zTXVD0J4SWk" TargetMode="External"/><Relationship Id="rId1833" Type="http://schemas.openxmlformats.org/officeDocument/2006/relationships/hyperlink" Target="https://gerandofalcoes.my.salesforce.com/0014X00002VKCuVQAX" TargetMode="External"/><Relationship Id="rId1900" Type="http://schemas.openxmlformats.org/officeDocument/2006/relationships/hyperlink" Target="https://instagram.com/luizadssantoss?utm_medium=copy_link" TargetMode="External"/><Relationship Id="rId579" Type="http://schemas.openxmlformats.org/officeDocument/2006/relationships/hyperlink" Target="https://gerandofalcoes.my.salesforce.com/0014X00002VKCrvQAH" TargetMode="External"/><Relationship Id="rId786" Type="http://schemas.openxmlformats.org/officeDocument/2006/relationships/hyperlink" Target="https://gerandofalcoes.my.salesforce.com/0034P000043fOng" TargetMode="External"/><Relationship Id="rId993" Type="http://schemas.openxmlformats.org/officeDocument/2006/relationships/hyperlink" Target="https://drive.google.com/open?id=13Ez0cfIDcPir9sGobJV1LfgzKYdfOt1Z" TargetMode="External"/><Relationship Id="rId439" Type="http://schemas.openxmlformats.org/officeDocument/2006/relationships/hyperlink" Target="https://gerandofalcoes.my.salesforce.com/0034X0000380O5O" TargetMode="External"/><Relationship Id="rId646" Type="http://schemas.openxmlformats.org/officeDocument/2006/relationships/hyperlink" Target="https://gerandofalcoes.my.salesforce.com/0014P00003AN2FgQAL" TargetMode="External"/><Relationship Id="rId1069" Type="http://schemas.openxmlformats.org/officeDocument/2006/relationships/hyperlink" Target="https://drive.google.com/open?id=1HHDJ1oMa-CNRkpLdVHTCus7eLKLYLAuE" TargetMode="External"/><Relationship Id="rId1276" Type="http://schemas.openxmlformats.org/officeDocument/2006/relationships/hyperlink" Target="https://gerandofalcoes.my.salesforce.com/0014P00003AN2FYQA1" TargetMode="External"/><Relationship Id="rId1483" Type="http://schemas.openxmlformats.org/officeDocument/2006/relationships/hyperlink" Target="https://gerandofalcoes.my.salesforce.com/0034X0000380O2H" TargetMode="External"/><Relationship Id="rId2327" Type="http://schemas.openxmlformats.org/officeDocument/2006/relationships/hyperlink" Target="https://www.instagram.com/p/Cfv9MSEOpXB/?igshid=YmMyMTA2M2Y=" TargetMode="External"/><Relationship Id="rId506" Type="http://schemas.openxmlformats.org/officeDocument/2006/relationships/hyperlink" Target="https://gerandofalcoes.my.salesforce.com/0034X0000380O5z" TargetMode="External"/><Relationship Id="rId853" Type="http://schemas.openxmlformats.org/officeDocument/2006/relationships/hyperlink" Target="https://drive.google.com/open?id=1zLNe-CChHSg0_Q3vP0Jr4yPPWJmt0j8G" TargetMode="External"/><Relationship Id="rId1136" Type="http://schemas.openxmlformats.org/officeDocument/2006/relationships/hyperlink" Target="https://drive.google.com/open?id=1_nn4G9CZQ-pjqVsCxboy1vZs5RUBpf6i" TargetMode="External"/><Relationship Id="rId1690" Type="http://schemas.openxmlformats.org/officeDocument/2006/relationships/hyperlink" Target="https://gerandofalcoes.my.salesforce.com/0014X00002VKCpFQAX" TargetMode="External"/><Relationship Id="rId713" Type="http://schemas.openxmlformats.org/officeDocument/2006/relationships/hyperlink" Target="http://www.linkedin.com/in/marcia-carfer-05321847" TargetMode="External"/><Relationship Id="rId920" Type="http://schemas.openxmlformats.org/officeDocument/2006/relationships/hyperlink" Target="https://gerandofalcoes.my.salesforce.com/0034P000045kxi3" TargetMode="External"/><Relationship Id="rId1343" Type="http://schemas.openxmlformats.org/officeDocument/2006/relationships/hyperlink" Target="https://gerandofalcoes.my.salesforce.com/0034X0000380O1I" TargetMode="External"/><Relationship Id="rId1550" Type="http://schemas.openxmlformats.org/officeDocument/2006/relationships/hyperlink" Target="https://gerandofalcoes.my.salesforce.com/0014X00002VKCriQAH" TargetMode="External"/><Relationship Id="rId1203" Type="http://schemas.openxmlformats.org/officeDocument/2006/relationships/hyperlink" Target="https://gerandofalcoes.my.salesforce.com/0034X000032Hrzz" TargetMode="External"/><Relationship Id="rId1410" Type="http://schemas.openxmlformats.org/officeDocument/2006/relationships/hyperlink" Target="https://gerandofalcoes.my.salesforce.com/0014P00003YSpA7QAL" TargetMode="External"/><Relationship Id="rId296" Type="http://schemas.openxmlformats.org/officeDocument/2006/relationships/hyperlink" Target="https://gerandofalcoes.my.salesforce.com/0014P00003SGWPmQAP" TargetMode="External"/><Relationship Id="rId2184" Type="http://schemas.openxmlformats.org/officeDocument/2006/relationships/hyperlink" Target="https://gerandofalcoes.my.salesforce.com/0014X00002VKCs0QAH" TargetMode="External"/><Relationship Id="rId2391" Type="http://schemas.openxmlformats.org/officeDocument/2006/relationships/hyperlink" Target="https://drive.google.com/open?id=1htHs3ZkgTiiJ8Kt8SPEcQq17UfTJhsKX" TargetMode="External"/><Relationship Id="rId156" Type="http://schemas.openxmlformats.org/officeDocument/2006/relationships/hyperlink" Target="https://gerandofalcoes.my.salesforce.com/0014X00002VKCuiQAH" TargetMode="External"/><Relationship Id="rId363" Type="http://schemas.openxmlformats.org/officeDocument/2006/relationships/hyperlink" Target="https://gerandofalcoes.my.salesforce.com/0014P00003SGWPlQAP" TargetMode="External"/><Relationship Id="rId570" Type="http://schemas.openxmlformats.org/officeDocument/2006/relationships/hyperlink" Target="https://gerandofalcoes.my.salesforce.com/0014P00003AN2h6QAD" TargetMode="External"/><Relationship Id="rId2044" Type="http://schemas.openxmlformats.org/officeDocument/2006/relationships/hyperlink" Target="https://drive.google.com/open?id=1-F6DLr7us5GRV_SVtImILAcN3s5KDwXe" TargetMode="External"/><Relationship Id="rId2251" Type="http://schemas.openxmlformats.org/officeDocument/2006/relationships/hyperlink" Target="https://instagram.com/andrerongo?utm_medium=copy_link" TargetMode="External"/><Relationship Id="rId223" Type="http://schemas.openxmlformats.org/officeDocument/2006/relationships/hyperlink" Target="https://gerandofalcoes.my.salesforce.com/0014P00003AN2FlQAL" TargetMode="External"/><Relationship Id="rId430" Type="http://schemas.openxmlformats.org/officeDocument/2006/relationships/hyperlink" Target="https://gerandofalcoes.my.salesforce.com/0034P000045kxkw" TargetMode="External"/><Relationship Id="rId1060" Type="http://schemas.openxmlformats.org/officeDocument/2006/relationships/hyperlink" Target="https://drive.google.com/open?id=1JHepvg1jatmx6voECdYhnDBsZMz9X1Y7" TargetMode="External"/><Relationship Id="rId2111" Type="http://schemas.openxmlformats.org/officeDocument/2006/relationships/hyperlink" Target="https://gerandofalcoes.my.salesforce.com/0034X0000380O19" TargetMode="External"/><Relationship Id="rId1877" Type="http://schemas.openxmlformats.org/officeDocument/2006/relationships/hyperlink" Target="https://drive.google.com/open?id=19u1xJ430VJM_C9Dype5WgPDOC4E6t4bL" TargetMode="External"/><Relationship Id="rId1737" Type="http://schemas.openxmlformats.org/officeDocument/2006/relationships/hyperlink" Target="https://drive.google.com/open?id=12T2RZEMCRq54DKV9Mb-AJziXv-aX7_Qg" TargetMode="External"/><Relationship Id="rId1944" Type="http://schemas.openxmlformats.org/officeDocument/2006/relationships/hyperlink" Target="https://gerandofalcoes.my.salesforce.com/0034X0000380O4L" TargetMode="External"/><Relationship Id="rId29" Type="http://schemas.openxmlformats.org/officeDocument/2006/relationships/hyperlink" Target="https://www.instagram.com/invites/contact/?i=1owrmvtlsfh9p&amp;utm_content=kmlk0pf" TargetMode="External"/><Relationship Id="rId1804" Type="http://schemas.openxmlformats.org/officeDocument/2006/relationships/hyperlink" Target="https://instagram.com/teixeira_judo?igshid=YmMyMTA2M2Y=" TargetMode="External"/><Relationship Id="rId897" Type="http://schemas.openxmlformats.org/officeDocument/2006/relationships/hyperlink" Target="https://drive.google.com/open?id=1MUOPxSkLt5jxq_OGVSu9q9nYKUkXoOv0" TargetMode="External"/><Relationship Id="rId757" Type="http://schemas.openxmlformats.org/officeDocument/2006/relationships/hyperlink" Target="https://gerandofalcoes.my.salesforce.com/0014P00003YSp7tQAD" TargetMode="External"/><Relationship Id="rId964" Type="http://schemas.openxmlformats.org/officeDocument/2006/relationships/hyperlink" Target="https://drive.google.com/open?id=1_1OvfdlJBqJwqoDFqOM9iGDR9R6e9Wvm" TargetMode="External"/><Relationship Id="rId1387" Type="http://schemas.openxmlformats.org/officeDocument/2006/relationships/hyperlink" Target="http://instagram.com/eliana.emarca" TargetMode="External"/><Relationship Id="rId1594" Type="http://schemas.openxmlformats.org/officeDocument/2006/relationships/hyperlink" Target="https://gerandofalcoes.my.salesforce.com/0034X0000380O4F" TargetMode="External"/><Relationship Id="rId93" Type="http://schemas.openxmlformats.org/officeDocument/2006/relationships/hyperlink" Target="https://gerandofalcoes.my.salesforce.com/0014X00002VKCufQAH" TargetMode="External"/><Relationship Id="rId617" Type="http://schemas.openxmlformats.org/officeDocument/2006/relationships/hyperlink" Target="https://gerandofalcoes.my.salesforce.com/0034X0000380O0u" TargetMode="External"/><Relationship Id="rId824" Type="http://schemas.openxmlformats.org/officeDocument/2006/relationships/hyperlink" Target="https://www.instagram.com/invites/contact/?i=d3icefuxnnhd&amp;utm_content=1lfnwwx" TargetMode="External"/><Relationship Id="rId1247" Type="http://schemas.openxmlformats.org/officeDocument/2006/relationships/hyperlink" Target="https://drive.google.com/open?id=1va0Ijtnwt9-5pEa-NfHCPOP3fE5wPnuk" TargetMode="External"/><Relationship Id="rId1454" Type="http://schemas.openxmlformats.org/officeDocument/2006/relationships/hyperlink" Target="https://gerandofalcoes.my.salesforce.com/0034P000045kxif" TargetMode="External"/><Relationship Id="rId1661" Type="http://schemas.openxmlformats.org/officeDocument/2006/relationships/hyperlink" Target="https://gerandofalcoes.my.salesforce.com/0014P00003YSp8GQAT" TargetMode="External"/><Relationship Id="rId1107" Type="http://schemas.openxmlformats.org/officeDocument/2006/relationships/hyperlink" Target="https://gerandofalcoes.my.salesforce.com/0034X0000380O4q" TargetMode="External"/><Relationship Id="rId1314" Type="http://schemas.openxmlformats.org/officeDocument/2006/relationships/hyperlink" Target="https://gerandofalcoes.my.salesforce.com/0014X00002VKCq0QAH" TargetMode="External"/><Relationship Id="rId1521" Type="http://schemas.openxmlformats.org/officeDocument/2006/relationships/hyperlink" Target="https://gerandofalcoes.my.salesforce.com/0014X00002VKCqHQAX" TargetMode="External"/><Relationship Id="rId20" Type="http://schemas.openxmlformats.org/officeDocument/2006/relationships/hyperlink" Target="https://gerandofalcoes.my.salesforce.com/0034P000045kxj0" TargetMode="External"/><Relationship Id="rId2088" Type="http://schemas.openxmlformats.org/officeDocument/2006/relationships/hyperlink" Target="https://gerandofalcoes.my.salesforce.com/0034X0000380O1o" TargetMode="External"/><Relationship Id="rId2295" Type="http://schemas.openxmlformats.org/officeDocument/2006/relationships/hyperlink" Target="https://gerandofalcoes.my.salesforce.com/0034X0000380O4Q" TargetMode="External"/><Relationship Id="rId267" Type="http://schemas.openxmlformats.org/officeDocument/2006/relationships/hyperlink" Target="https://gerandofalcoes.my.salesforce.com/0014P00003SGWQBQA5" TargetMode="External"/><Relationship Id="rId474" Type="http://schemas.openxmlformats.org/officeDocument/2006/relationships/hyperlink" Target="https://gerandofalcoes.my.salesforce.com/0014X00002VKCrWQAX" TargetMode="External"/><Relationship Id="rId2155" Type="http://schemas.openxmlformats.org/officeDocument/2006/relationships/hyperlink" Target="https://instagram.com/saragaldinobarbosa?utm_medium=copy_link" TargetMode="External"/><Relationship Id="rId127" Type="http://schemas.openxmlformats.org/officeDocument/2006/relationships/hyperlink" Target="https://gerandofalcoes.my.salesforce.com/0014P00003YSpALQA1" TargetMode="External"/><Relationship Id="rId681" Type="http://schemas.openxmlformats.org/officeDocument/2006/relationships/hyperlink" Target="https://gerandofalcoes.my.salesforce.com/0014X00002VKCukQAH" TargetMode="External"/><Relationship Id="rId2362" Type="http://schemas.openxmlformats.org/officeDocument/2006/relationships/hyperlink" Target="https://instagram.com/ygo_tatiane?igshid=YmMyMTA2M2Y=" TargetMode="External"/><Relationship Id="rId334" Type="http://schemas.openxmlformats.org/officeDocument/2006/relationships/hyperlink" Target="https://gerandofalcoes.my.salesforce.com/0034X0000380O6Q" TargetMode="External"/><Relationship Id="rId541" Type="http://schemas.openxmlformats.org/officeDocument/2006/relationships/hyperlink" Target="https://www.linkedin.com/in/jefferson-lima-prototipandoaquebrada/" TargetMode="External"/><Relationship Id="rId1171" Type="http://schemas.openxmlformats.org/officeDocument/2006/relationships/hyperlink" Target="https://gerandofalcoes.my.salesforce.com/0034P000045kxjI" TargetMode="External"/><Relationship Id="rId2015" Type="http://schemas.openxmlformats.org/officeDocument/2006/relationships/hyperlink" Target="https://www.linkedin.com/in/danilo-c%C3%A9sar-trindade-pereir" TargetMode="External"/><Relationship Id="rId2222" Type="http://schemas.openxmlformats.org/officeDocument/2006/relationships/hyperlink" Target="https://gerandofalcoes.my.salesforce.com/0034X0000315PR3" TargetMode="External"/><Relationship Id="rId401" Type="http://schemas.openxmlformats.org/officeDocument/2006/relationships/hyperlink" Target="https://gerandofalcoes.my.salesforce.com/0014P00003SGWPfQAP" TargetMode="External"/><Relationship Id="rId1031" Type="http://schemas.openxmlformats.org/officeDocument/2006/relationships/hyperlink" Target="https://gerandofalcoes.my.salesforce.com/0034P000043fOna" TargetMode="External"/><Relationship Id="rId1988" Type="http://schemas.openxmlformats.org/officeDocument/2006/relationships/hyperlink" Target="https://gerandofalcoes.my.salesforce.com/0034P000045kxiG" TargetMode="External"/><Relationship Id="rId1848" Type="http://schemas.openxmlformats.org/officeDocument/2006/relationships/hyperlink" Target="https://www.instagram.com/favelabarrovermelho/" TargetMode="External"/><Relationship Id="rId191" Type="http://schemas.openxmlformats.org/officeDocument/2006/relationships/hyperlink" Target="https://gerandofalcoes.my.salesforce.com/0014X00002VKCtOQAX" TargetMode="External"/><Relationship Id="rId1708" Type="http://schemas.openxmlformats.org/officeDocument/2006/relationships/hyperlink" Target="https://gerandofalcoes.my.salesforce.com/0034X0000380O55" TargetMode="External"/><Relationship Id="rId1915" Type="http://schemas.openxmlformats.org/officeDocument/2006/relationships/hyperlink" Target="https://www.linkedin.com/in/admilson-fuca" TargetMode="External"/><Relationship Id="rId868" Type="http://schemas.openxmlformats.org/officeDocument/2006/relationships/hyperlink" Target="https://gerandofalcoes.my.salesforce.com/0034X0000380O3q" TargetMode="External"/><Relationship Id="rId1498" Type="http://schemas.openxmlformats.org/officeDocument/2006/relationships/hyperlink" Target="https://instagram.com/sonia_bernardi_benini_soranhi?utm_medium=copy_link" TargetMode="External"/><Relationship Id="rId728" Type="http://schemas.openxmlformats.org/officeDocument/2006/relationships/hyperlink" Target="https://drive.google.com/open?id=1WCZzKrLUz4iUv3863d4f8aBtA20p6fwz" TargetMode="External"/><Relationship Id="rId935" Type="http://schemas.openxmlformats.org/officeDocument/2006/relationships/hyperlink" Target="https://gerandofalcoes.my.salesforce.com/0034X0000380O1G" TargetMode="External"/><Relationship Id="rId1358" Type="http://schemas.openxmlformats.org/officeDocument/2006/relationships/hyperlink" Target="https://gerandofalcoes.my.salesforce.com/0034X0000380O4R" TargetMode="External"/><Relationship Id="rId1565" Type="http://schemas.openxmlformats.org/officeDocument/2006/relationships/hyperlink" Target="https://gerandofalcoes.my.salesforce.com/0014P00003YSpA0QAL" TargetMode="External"/><Relationship Id="rId1772" Type="http://schemas.openxmlformats.org/officeDocument/2006/relationships/hyperlink" Target="https://www.linkedin.com/feed/" TargetMode="External"/><Relationship Id="rId64" Type="http://schemas.openxmlformats.org/officeDocument/2006/relationships/hyperlink" Target="https://drive.google.com/open?id=136bJYA3A0y08GtqDJdT6hIBsjxFnCoBQ" TargetMode="External"/><Relationship Id="rId1218" Type="http://schemas.openxmlformats.org/officeDocument/2006/relationships/hyperlink" Target="https://gerandofalcoes.my.salesforce.com/0014X00002VKCpAQAX" TargetMode="External"/><Relationship Id="rId1425" Type="http://schemas.openxmlformats.org/officeDocument/2006/relationships/hyperlink" Target="https://www.instagram.com/anapaulasouza_rn/" TargetMode="External"/><Relationship Id="rId1632" Type="http://schemas.openxmlformats.org/officeDocument/2006/relationships/hyperlink" Target="https://gerandofalcoes.my.salesforce.com/0034X0000380O34" TargetMode="External"/><Relationship Id="rId2199" Type="http://schemas.openxmlformats.org/officeDocument/2006/relationships/hyperlink" Target="https://www.instagram.com/p/Cc_megbpDFD/?igshid=YmMyMTA2M2Y=" TargetMode="External"/><Relationship Id="rId378" Type="http://schemas.openxmlformats.org/officeDocument/2006/relationships/hyperlink" Target="https://drive.google.com/open?id=1h1qlCUFI58Js3zwIeCCbE0rzom-YW0cT" TargetMode="External"/><Relationship Id="rId585" Type="http://schemas.openxmlformats.org/officeDocument/2006/relationships/hyperlink" Target="https://www.linkedin.com/in/dener-moraes-06287818b" TargetMode="External"/><Relationship Id="rId792" Type="http://schemas.openxmlformats.org/officeDocument/2006/relationships/hyperlink" Target="https://www.instagram.com/carols2antos/" TargetMode="External"/><Relationship Id="rId2059" Type="http://schemas.openxmlformats.org/officeDocument/2006/relationships/hyperlink" Target="https://drive.google.com/open?id=1UdKEnQVdA5wRn22LAA9nGmXy-Xsl5aKY" TargetMode="External"/><Relationship Id="rId2266" Type="http://schemas.openxmlformats.org/officeDocument/2006/relationships/hyperlink" Target="https://gerandofalcoes.my.salesforce.com/0034P000045kxjF" TargetMode="External"/><Relationship Id="rId238" Type="http://schemas.openxmlformats.org/officeDocument/2006/relationships/hyperlink" Target="https://instagram.com/acesaong?utm_medium=copy_link" TargetMode="External"/><Relationship Id="rId445" Type="http://schemas.openxmlformats.org/officeDocument/2006/relationships/hyperlink" Target="https://gerandofalcoes.my.salesforce.com/0014X00002VKCv3QAH" TargetMode="External"/><Relationship Id="rId652" Type="http://schemas.openxmlformats.org/officeDocument/2006/relationships/hyperlink" Target="https://drive.google.com/open?id=1Zfb-u73oD84c_bjqjmn1uC4zhw0NiuNG" TargetMode="External"/><Relationship Id="rId1075" Type="http://schemas.openxmlformats.org/officeDocument/2006/relationships/hyperlink" Target="https://gerandofalcoes.my.salesforce.com/0034P000045kxj8" TargetMode="External"/><Relationship Id="rId1282" Type="http://schemas.openxmlformats.org/officeDocument/2006/relationships/hyperlink" Target="https://gerandofalcoes.my.salesforce.com/0014P00003YSpA2QAL" TargetMode="External"/><Relationship Id="rId2126" Type="http://schemas.openxmlformats.org/officeDocument/2006/relationships/hyperlink" Target="https://gerandofalcoes.my.salesforce.com/0014P00003YSp8SQAT" TargetMode="External"/><Relationship Id="rId2333" Type="http://schemas.openxmlformats.org/officeDocument/2006/relationships/hyperlink" Target="https://drive.google.com/open?id=1UJcE-m1s45fNOYMO2XmmNnYu24VyIOkE" TargetMode="External"/><Relationship Id="rId305" Type="http://schemas.openxmlformats.org/officeDocument/2006/relationships/hyperlink" Target="https://drive.google.com/open?id=1_UbojC7Fh8veCvRc0lsyvMkEKEaqBwfy" TargetMode="External"/><Relationship Id="rId512" Type="http://schemas.openxmlformats.org/officeDocument/2006/relationships/hyperlink" Target="https://drive.google.com/open?id=18Y13x3v2cLA3hHIc96789Z-q0rvOxZso" TargetMode="External"/><Relationship Id="rId1142" Type="http://schemas.openxmlformats.org/officeDocument/2006/relationships/hyperlink" Target="https://gerandofalcoes.my.salesforce.com/0034X0000380O4w" TargetMode="External"/><Relationship Id="rId1002" Type="http://schemas.openxmlformats.org/officeDocument/2006/relationships/hyperlink" Target="https://drive.google.com/open?id=1vhTDJVb0ziojcXV-YhtumfArGYATymAt" TargetMode="External"/><Relationship Id="rId1959" Type="http://schemas.openxmlformats.org/officeDocument/2006/relationships/hyperlink" Target="https://gerandofalcoes.my.salesforce.com/0014P00003AN2G3QAL" TargetMode="External"/><Relationship Id="rId1819" Type="http://schemas.openxmlformats.org/officeDocument/2006/relationships/hyperlink" Target="https://gerandofalcoes.my.salesforce.com/0014P00003YSp8yQAD" TargetMode="External"/><Relationship Id="rId2190" Type="http://schemas.openxmlformats.org/officeDocument/2006/relationships/hyperlink" Target="https://instagram.com/shaolinbjj?r=nametag" TargetMode="External"/><Relationship Id="rId162" Type="http://schemas.openxmlformats.org/officeDocument/2006/relationships/hyperlink" Target="https://gerandofalcoes.my.salesforce.com/0034P000043fOnp" TargetMode="External"/><Relationship Id="rId2050" Type="http://schemas.openxmlformats.org/officeDocument/2006/relationships/hyperlink" Target="https://gerandofalcoes.my.salesforce.com/0014P00003YSp8QQAT" TargetMode="External"/><Relationship Id="rId979" Type="http://schemas.openxmlformats.org/officeDocument/2006/relationships/hyperlink" Target="https://gerandofalcoes.my.salesforce.com/0034P000045kxkF" TargetMode="External"/><Relationship Id="rId839" Type="http://schemas.openxmlformats.org/officeDocument/2006/relationships/hyperlink" Target="https://gerandofalcoes.my.salesforce.com/0034P000043fPDh" TargetMode="External"/><Relationship Id="rId1469" Type="http://schemas.openxmlformats.org/officeDocument/2006/relationships/hyperlink" Target="https://instagram.com/veronicamachadoempreendedora?utm_medium=copy_link" TargetMode="External"/><Relationship Id="rId1676" Type="http://schemas.openxmlformats.org/officeDocument/2006/relationships/hyperlink" Target="https://drive.google.com/open?id=17X5HjidGw1K4d46R3x0DJcYYU8YapJ0C" TargetMode="External"/><Relationship Id="rId1883" Type="http://schemas.openxmlformats.org/officeDocument/2006/relationships/hyperlink" Target="https://gerandofalcoes.my.salesforce.com/0034P000045kxjP" TargetMode="External"/><Relationship Id="rId906" Type="http://schemas.openxmlformats.org/officeDocument/2006/relationships/hyperlink" Target="https://drive.google.com/open?id=1g27pjYIo_MK59o7VBh2l5H5v3f3NZafM" TargetMode="External"/><Relationship Id="rId1329" Type="http://schemas.openxmlformats.org/officeDocument/2006/relationships/hyperlink" Target="https://gerandofalcoes.my.salesforce.com/0014P00003AN2G1QAL" TargetMode="External"/><Relationship Id="rId1536" Type="http://schemas.openxmlformats.org/officeDocument/2006/relationships/hyperlink" Target="https://www.instagram.com/anailton.fer/" TargetMode="External"/><Relationship Id="rId1743" Type="http://schemas.openxmlformats.org/officeDocument/2006/relationships/hyperlink" Target="https://gerandofalcoes.my.salesforce.com/0034P000045kxiJ" TargetMode="External"/><Relationship Id="rId1950" Type="http://schemas.openxmlformats.org/officeDocument/2006/relationships/hyperlink" Target="https://drive.google.com/open?id=11FAnuy-HeqviqES3pVRYGPWki54mEJ73" TargetMode="External"/><Relationship Id="rId35" Type="http://schemas.openxmlformats.org/officeDocument/2006/relationships/hyperlink" Target="https://drive.google.com/open?id=1EUMQyko7rmlDjLjKa9j7hcB--MhWxDmh" TargetMode="External"/><Relationship Id="rId1603" Type="http://schemas.openxmlformats.org/officeDocument/2006/relationships/hyperlink" Target="https://gerandofalcoes.my.salesforce.com/0014P00003SGWPoQAP" TargetMode="External"/><Relationship Id="rId1810" Type="http://schemas.openxmlformats.org/officeDocument/2006/relationships/hyperlink" Target="https://gerandofalcoes.my.salesforce.com/0014P00003YSp9RQAT" TargetMode="External"/><Relationship Id="rId184" Type="http://schemas.openxmlformats.org/officeDocument/2006/relationships/hyperlink" Target="https://gerandofalcoes.my.salesforce.com/0034X0000380O3x" TargetMode="External"/><Relationship Id="rId391" Type="http://schemas.openxmlformats.org/officeDocument/2006/relationships/hyperlink" Target="https://www.instagram.com/wagnerramalhoguaranikaiowa/" TargetMode="External"/><Relationship Id="rId1908" Type="http://schemas.openxmlformats.org/officeDocument/2006/relationships/hyperlink" Target="https://gerandofalcoes.my.salesforce.com/0034X0000380O2x" TargetMode="External"/><Relationship Id="rId2072" Type="http://schemas.openxmlformats.org/officeDocument/2006/relationships/hyperlink" Target="https://drive.google.com/open?id=17C3K54sNOr8rbZBZSHiYk5RwCcEAD5eV" TargetMode="External"/><Relationship Id="rId251" Type="http://schemas.openxmlformats.org/officeDocument/2006/relationships/hyperlink" Target="https://gerandofalcoes.my.salesforce.com/0014P00003YSp9HQAT" TargetMode="External"/><Relationship Id="rId489" Type="http://schemas.openxmlformats.org/officeDocument/2006/relationships/hyperlink" Target="https://gerandofalcoes.my.salesforce.com/0034X0000340kpL" TargetMode="External"/><Relationship Id="rId696" Type="http://schemas.openxmlformats.org/officeDocument/2006/relationships/hyperlink" Target="https://drive.google.com/open?id=1GWC2tXOiT-F5OV5Lc-zwso3yFJpkOiI_" TargetMode="External"/><Relationship Id="rId2377" Type="http://schemas.openxmlformats.org/officeDocument/2006/relationships/hyperlink" Target="https://gerandofalcoes.my.salesforce.com/0014P00003AN2FnQAL" TargetMode="External"/><Relationship Id="rId349" Type="http://schemas.openxmlformats.org/officeDocument/2006/relationships/hyperlink" Target="https://gerandofalcoes.my.salesforce.com/0034P000045kxiT" TargetMode="External"/><Relationship Id="rId556" Type="http://schemas.openxmlformats.org/officeDocument/2006/relationships/hyperlink" Target="https://drive.google.com/open?id=1jskxjCipPTtydxtMKlaVZ7IirTlAuPsZ" TargetMode="External"/><Relationship Id="rId763" Type="http://schemas.openxmlformats.org/officeDocument/2006/relationships/hyperlink" Target="https://gerandofalcoes.my.salesforce.com/0034P00003maBVg" TargetMode="External"/><Relationship Id="rId1186" Type="http://schemas.openxmlformats.org/officeDocument/2006/relationships/hyperlink" Target="https://gerandofalcoes.my.salesforce.com/0034P000043fOnu" TargetMode="External"/><Relationship Id="rId1393" Type="http://schemas.openxmlformats.org/officeDocument/2006/relationships/hyperlink" Target="https://drive.google.com/open?id=1AxWHKAn-mY2FmEIRB84FwM0NvERgP7Fm" TargetMode="External"/><Relationship Id="rId2237" Type="http://schemas.openxmlformats.org/officeDocument/2006/relationships/hyperlink" Target="https://instagram.com/dovalinhoguga?igshid=YmMyMTA2M2Y=" TargetMode="External"/><Relationship Id="rId111" Type="http://schemas.openxmlformats.org/officeDocument/2006/relationships/hyperlink" Target="https://www.instagram.com/p/CD69O5aJJQcyaGWi7B_WZ63PT1Sfqgo1fluElo0/?utm_medium=copy_link" TargetMode="External"/><Relationship Id="rId209" Type="http://schemas.openxmlformats.org/officeDocument/2006/relationships/hyperlink" Target="https://gerandofalcoes.my.salesforce.com/0034X0000380O2z" TargetMode="External"/><Relationship Id="rId416" Type="http://schemas.openxmlformats.org/officeDocument/2006/relationships/hyperlink" Target="https://drive.google.com/open?id=1vuLk358vkIHig3nagLGkukl7iEYRTVDv" TargetMode="External"/><Relationship Id="rId970" Type="http://schemas.openxmlformats.org/officeDocument/2006/relationships/hyperlink" Target="https://www.diadoamor.org.br/" TargetMode="External"/><Relationship Id="rId1046" Type="http://schemas.openxmlformats.org/officeDocument/2006/relationships/hyperlink" Target="https://gerandofalcoes.my.salesforce.com/0014X00002VKCs4QAH" TargetMode="External"/><Relationship Id="rId1253" Type="http://schemas.openxmlformats.org/officeDocument/2006/relationships/hyperlink" Target="https://gerandofalcoes.my.salesforce.com/0034X0000380O2h" TargetMode="External"/><Relationship Id="rId1698" Type="http://schemas.openxmlformats.org/officeDocument/2006/relationships/hyperlink" Target="https://gerandofalcoes.my.salesforce.com/0014X00002VKCq6QAH" TargetMode="External"/><Relationship Id="rId623" Type="http://schemas.openxmlformats.org/officeDocument/2006/relationships/hyperlink" Target="https://instagram.com/ronaldoclebercaceres?igshid=YmMyMTA2M2Y=" TargetMode="External"/><Relationship Id="rId830" Type="http://schemas.openxmlformats.org/officeDocument/2006/relationships/hyperlink" Target="http://linkedin.com/in/val-alves-10320833" TargetMode="External"/><Relationship Id="rId928" Type="http://schemas.openxmlformats.org/officeDocument/2006/relationships/hyperlink" Target="https://gerandofalcoes.my.salesforce.com/0014X00002VMXzMQAX" TargetMode="External"/><Relationship Id="rId1460" Type="http://schemas.openxmlformats.org/officeDocument/2006/relationships/hyperlink" Target="https://www.linkedin.com/in/sandroigds/" TargetMode="External"/><Relationship Id="rId1558" Type="http://schemas.openxmlformats.org/officeDocument/2006/relationships/hyperlink" Target="https://gerandofalcoes.my.salesforce.com/0034P00003q1C2W" TargetMode="External"/><Relationship Id="rId1765" Type="http://schemas.openxmlformats.org/officeDocument/2006/relationships/hyperlink" Target="https://gerandofalcoes.my.salesforce.com/0014P00003SGWPxQAP" TargetMode="External"/><Relationship Id="rId2304" Type="http://schemas.openxmlformats.org/officeDocument/2006/relationships/hyperlink" Target="https://www.linkedin.com/in/leandro-soares-358215113" TargetMode="External"/><Relationship Id="rId57" Type="http://schemas.openxmlformats.org/officeDocument/2006/relationships/hyperlink" Target="https://gerandofalcoes.my.salesforce.com/0014P00003YSp7xQAD" TargetMode="External"/><Relationship Id="rId1113" Type="http://schemas.openxmlformats.org/officeDocument/2006/relationships/hyperlink" Target="https://instagram.com/prof.lucianotavares?utm_medium=copy_link" TargetMode="External"/><Relationship Id="rId1320" Type="http://schemas.openxmlformats.org/officeDocument/2006/relationships/hyperlink" Target="https://drive.google.com/open?id=12EIlbhwv7Oh6PfQRBXXbGRUSfhmHsmCb" TargetMode="External"/><Relationship Id="rId1418" Type="http://schemas.openxmlformats.org/officeDocument/2006/relationships/hyperlink" Target="https://gerandofalcoes.my.salesforce.com/0014P00003Ck7X8QAJ" TargetMode="External"/><Relationship Id="rId1972" Type="http://schemas.openxmlformats.org/officeDocument/2006/relationships/hyperlink" Target="https://drive.google.com/open?id=1KorlG8qX409Y2t7dYvW9r34Z4AD0Roxp" TargetMode="External"/><Relationship Id="rId1625" Type="http://schemas.openxmlformats.org/officeDocument/2006/relationships/hyperlink" Target="https://gerandofalcoes.my.salesforce.com/0034P00003maBV2" TargetMode="External"/><Relationship Id="rId1832" Type="http://schemas.openxmlformats.org/officeDocument/2006/relationships/hyperlink" Target="https://drive.google.com/open?id=1OFFk76uGggfu2mKwiRjLP4-xRr8NivJ4" TargetMode="External"/><Relationship Id="rId2094" Type="http://schemas.openxmlformats.org/officeDocument/2006/relationships/hyperlink" Target="https://drive.google.com/open?id=1ZSlSagerjA3xR8idm_D1VKzx9b_GjtPR" TargetMode="External"/><Relationship Id="rId273" Type="http://schemas.openxmlformats.org/officeDocument/2006/relationships/hyperlink" Target="https://www.instagram.com/carla.samya.f/" TargetMode="External"/><Relationship Id="rId480" Type="http://schemas.openxmlformats.org/officeDocument/2006/relationships/hyperlink" Target="https://gerandofalcoes.my.salesforce.com/0014P00003YSp7bQAD" TargetMode="External"/><Relationship Id="rId2161" Type="http://schemas.openxmlformats.org/officeDocument/2006/relationships/hyperlink" Target="https://gerandofalcoes.my.salesforce.com/0034X0000380O6l" TargetMode="External"/><Relationship Id="rId133" Type="http://schemas.openxmlformats.org/officeDocument/2006/relationships/hyperlink" Target="https://www.instagram.com/geraldobarros.png/" TargetMode="External"/><Relationship Id="rId340" Type="http://schemas.openxmlformats.org/officeDocument/2006/relationships/hyperlink" Target="https://gerandofalcoes.my.salesforce.com/0014X00002VKCr8QAH" TargetMode="External"/><Relationship Id="rId578" Type="http://schemas.openxmlformats.org/officeDocument/2006/relationships/hyperlink" Target="https://drive.google.com/open?id=1j3ocwGuXf_hFfgjnpWzTk-sxToinevq_" TargetMode="External"/><Relationship Id="rId785" Type="http://schemas.openxmlformats.org/officeDocument/2006/relationships/hyperlink" Target="https://gerandofalcoes.my.salesforce.com/0014P00003SGWPZQA5" TargetMode="External"/><Relationship Id="rId992" Type="http://schemas.openxmlformats.org/officeDocument/2006/relationships/hyperlink" Target="https://www.linkedin.com/in/betania-silva-261930b0/" TargetMode="External"/><Relationship Id="rId2021" Type="http://schemas.openxmlformats.org/officeDocument/2006/relationships/hyperlink" Target="https://www.instagram.com/pamellaoliveira.adv/" TargetMode="External"/><Relationship Id="rId2259" Type="http://schemas.openxmlformats.org/officeDocument/2006/relationships/hyperlink" Target="https://gerandofalcoes.my.salesforce.com/0034X0000380O6a" TargetMode="External"/><Relationship Id="rId200" Type="http://schemas.openxmlformats.org/officeDocument/2006/relationships/hyperlink" Target="https://gerandofalcoes.my.salesforce.com/0034P00003maBVA" TargetMode="External"/><Relationship Id="rId438" Type="http://schemas.openxmlformats.org/officeDocument/2006/relationships/hyperlink" Target="https://gerandofalcoes.my.salesforce.com/0014X00002VKCtAQAX" TargetMode="External"/><Relationship Id="rId645" Type="http://schemas.openxmlformats.org/officeDocument/2006/relationships/hyperlink" Target="https://drive.google.com/open?id=1x-SQgMPAtqmYOUYXrwxgwElbXCfYkog2" TargetMode="External"/><Relationship Id="rId852" Type="http://schemas.openxmlformats.org/officeDocument/2006/relationships/hyperlink" Target="https://www.instagram.com/p/CXpRynLtzzeTcODTMb-_kmpF5seg2dU57726yQ0/?utm_medium=copy_link" TargetMode="External"/><Relationship Id="rId1068" Type="http://schemas.openxmlformats.org/officeDocument/2006/relationships/hyperlink" Target="https://www.instagram.com/claudio.mendes1980/" TargetMode="External"/><Relationship Id="rId1275" Type="http://schemas.openxmlformats.org/officeDocument/2006/relationships/hyperlink" Target="https://drive.google.com/open?id=1uZ7aENswb1PuUtQw8-h2ccrObgSO7Rgx" TargetMode="External"/><Relationship Id="rId1482" Type="http://schemas.openxmlformats.org/officeDocument/2006/relationships/hyperlink" Target="https://gerandofalcoes.my.salesforce.com/0014X00002VKCqXQAX" TargetMode="External"/><Relationship Id="rId2119" Type="http://schemas.openxmlformats.org/officeDocument/2006/relationships/hyperlink" Target="https://gerandofalcoes.my.salesforce.com/0014X00002VKCpmQAH" TargetMode="External"/><Relationship Id="rId2326" Type="http://schemas.openxmlformats.org/officeDocument/2006/relationships/hyperlink" Target="https://gerandofalcoes.my.salesforce.com/0034X0000380O6S" TargetMode="External"/><Relationship Id="rId505" Type="http://schemas.openxmlformats.org/officeDocument/2006/relationships/hyperlink" Target="https://gerandofalcoes.my.salesforce.com/0014X00002VKCpDQAX" TargetMode="External"/><Relationship Id="rId712" Type="http://schemas.openxmlformats.org/officeDocument/2006/relationships/hyperlink" Target="https://gerandofalcoes.my.salesforce.com/0034X0000380O0g" TargetMode="External"/><Relationship Id="rId1135" Type="http://schemas.openxmlformats.org/officeDocument/2006/relationships/hyperlink" Target="https://www.instagram.com/camilaincanto/" TargetMode="External"/><Relationship Id="rId1342" Type="http://schemas.openxmlformats.org/officeDocument/2006/relationships/hyperlink" Target="https://gerandofalcoes.my.salesforce.com/0014X00002VKCueQAH" TargetMode="External"/><Relationship Id="rId1787" Type="http://schemas.openxmlformats.org/officeDocument/2006/relationships/hyperlink" Target="https://gerandofalcoes.my.salesforce.com/0014X00002VKCt9QAH" TargetMode="External"/><Relationship Id="rId1994" Type="http://schemas.openxmlformats.org/officeDocument/2006/relationships/hyperlink" Target="https://gerandofalcoes.my.salesforce.com/0014P00003YSp9BQAT" TargetMode="External"/><Relationship Id="rId79" Type="http://schemas.openxmlformats.org/officeDocument/2006/relationships/hyperlink" Target="https://drive.google.com/open?id=11zzJToPXQ-cUXL1YCLigTvgbPzkWwDrz" TargetMode="External"/><Relationship Id="rId1202" Type="http://schemas.openxmlformats.org/officeDocument/2006/relationships/hyperlink" Target="https://gerandofalcoes.my.salesforce.com/0014X00002PUOTvQAP" TargetMode="External"/><Relationship Id="rId1647" Type="http://schemas.openxmlformats.org/officeDocument/2006/relationships/hyperlink" Target="https://www.instagram.com/reel/CbGonoWJE-m/?utm_medium=copy_link" TargetMode="External"/><Relationship Id="rId1854" Type="http://schemas.openxmlformats.org/officeDocument/2006/relationships/hyperlink" Target="https://gerandofalcoes.my.salesforce.com/0014X00002VKCv1QAH" TargetMode="External"/><Relationship Id="rId1507" Type="http://schemas.openxmlformats.org/officeDocument/2006/relationships/hyperlink" Target="http://instagram.com/sidaomacunaima" TargetMode="External"/><Relationship Id="rId1714" Type="http://schemas.openxmlformats.org/officeDocument/2006/relationships/hyperlink" Target="https://www.linkedin.com/in/elaine-correia-silva" TargetMode="External"/><Relationship Id="rId295" Type="http://schemas.openxmlformats.org/officeDocument/2006/relationships/hyperlink" Target="https://drive.google.com/open?id=1RkfNYXBtUuIL9pgGN80itoRssZCq91VG" TargetMode="External"/><Relationship Id="rId1921" Type="http://schemas.openxmlformats.org/officeDocument/2006/relationships/hyperlink" Target="https://instagram.com/anapaula.almeidarodrigues?utm_medium=copy_link" TargetMode="External"/><Relationship Id="rId2183" Type="http://schemas.openxmlformats.org/officeDocument/2006/relationships/hyperlink" Target="https://drive.google.com/open?id=1SjejuQXUy6iWdTxyxt_fD3QRe8uxbYPz" TargetMode="External"/><Relationship Id="rId2390" Type="http://schemas.openxmlformats.org/officeDocument/2006/relationships/hyperlink" Target="https://www.instagram.com/barucvenditto/" TargetMode="External"/><Relationship Id="rId155" Type="http://schemas.openxmlformats.org/officeDocument/2006/relationships/hyperlink" Target="https://drive.google.com/open?id=1b4BnSDZahVdwCvx840gyqYE8BFruvPLE" TargetMode="External"/><Relationship Id="rId362" Type="http://schemas.openxmlformats.org/officeDocument/2006/relationships/hyperlink" Target="https://gerandofalcoes.my.salesforce.com/0034X0000380O41" TargetMode="External"/><Relationship Id="rId1297" Type="http://schemas.openxmlformats.org/officeDocument/2006/relationships/hyperlink" Target="https://gerandofalcoes.my.salesforce.com/0034X0000380O17" TargetMode="External"/><Relationship Id="rId2043" Type="http://schemas.openxmlformats.org/officeDocument/2006/relationships/hyperlink" Target="https://gerandofalcoes.my.salesforce.com/0034X0000380O0Y" TargetMode="External"/><Relationship Id="rId2250" Type="http://schemas.openxmlformats.org/officeDocument/2006/relationships/hyperlink" Target="https://gerandofalcoes.my.salesforce.com/0034P000045kxjC" TargetMode="External"/><Relationship Id="rId222" Type="http://schemas.openxmlformats.org/officeDocument/2006/relationships/hyperlink" Target="https://drive.google.com/open?id=1yKXW_luhABrCjqiUS_lGWIKVsh0WDc4G" TargetMode="External"/><Relationship Id="rId667" Type="http://schemas.openxmlformats.org/officeDocument/2006/relationships/hyperlink" Target="https://drive.google.com/open?id=1o9uKn8ORtRdt8GhbwSLK3vvafQ80I8hi" TargetMode="External"/><Relationship Id="rId874" Type="http://schemas.openxmlformats.org/officeDocument/2006/relationships/hyperlink" Target="http://www.instagram.com/franccc___" TargetMode="External"/><Relationship Id="rId2110" Type="http://schemas.openxmlformats.org/officeDocument/2006/relationships/hyperlink" Target="https://gerandofalcoes.my.salesforce.com/0014X00002VKCrJQAX" TargetMode="External"/><Relationship Id="rId2348" Type="http://schemas.openxmlformats.org/officeDocument/2006/relationships/hyperlink" Target="https://www.instagram.com/ojuara_ray/" TargetMode="External"/><Relationship Id="rId527" Type="http://schemas.openxmlformats.org/officeDocument/2006/relationships/hyperlink" Target="https://gerandofalcoes.my.salesforce.com/0014P00003SGWPYQA5" TargetMode="External"/><Relationship Id="rId734" Type="http://schemas.openxmlformats.org/officeDocument/2006/relationships/hyperlink" Target="https://gerandofalcoes.my.salesforce.com/0014X00002VKCp4QAH" TargetMode="External"/><Relationship Id="rId941" Type="http://schemas.openxmlformats.org/officeDocument/2006/relationships/hyperlink" Target="https://gerandofalcoes.my.salesforce.com/0034X0000380O6M" TargetMode="External"/><Relationship Id="rId1157" Type="http://schemas.openxmlformats.org/officeDocument/2006/relationships/hyperlink" Target="https://instagram.com/nayra.santos90?utm_medium=copy_link" TargetMode="External"/><Relationship Id="rId1364" Type="http://schemas.openxmlformats.org/officeDocument/2006/relationships/hyperlink" Target="https://www.linkedin.com/in/jhonata-pereira-28b32654/" TargetMode="External"/><Relationship Id="rId1571" Type="http://schemas.openxmlformats.org/officeDocument/2006/relationships/hyperlink" Target="https://www.instagram.com/umanovachance_aracati/" TargetMode="External"/><Relationship Id="rId2208" Type="http://schemas.openxmlformats.org/officeDocument/2006/relationships/hyperlink" Target="https://gerandofalcoes.my.salesforce.com/0034X000032Hs7K" TargetMode="External"/><Relationship Id="rId70" Type="http://schemas.openxmlformats.org/officeDocument/2006/relationships/hyperlink" Target="https://www.instagram.com/miqiac/" TargetMode="External"/><Relationship Id="rId801" Type="http://schemas.openxmlformats.org/officeDocument/2006/relationships/hyperlink" Target="https://drive.google.com/open?id=1bdPqmzOfWhz31ZY3T1P1jLbhEolxEvT-" TargetMode="External"/><Relationship Id="rId1017" Type="http://schemas.openxmlformats.org/officeDocument/2006/relationships/hyperlink" Target="https://gerandofalcoes.my.salesforce.com/0034X0000380O2R" TargetMode="External"/><Relationship Id="rId1224" Type="http://schemas.openxmlformats.org/officeDocument/2006/relationships/hyperlink" Target="https://gerandofalcoes.my.salesforce.com/0014X00002VKCqEQAX" TargetMode="External"/><Relationship Id="rId1431" Type="http://schemas.openxmlformats.org/officeDocument/2006/relationships/hyperlink" Target="https://gerandofalcoes.my.salesforce.com/0034P000045kxii" TargetMode="External"/><Relationship Id="rId1669" Type="http://schemas.openxmlformats.org/officeDocument/2006/relationships/hyperlink" Target="https://gerandofalcoes.my.salesforce.com/0014X00002VKCqDQAX" TargetMode="External"/><Relationship Id="rId1876" Type="http://schemas.openxmlformats.org/officeDocument/2006/relationships/hyperlink" Target="https://instagram.com/winyfabiano?utm_medium=copy_link" TargetMode="External"/><Relationship Id="rId1529" Type="http://schemas.openxmlformats.org/officeDocument/2006/relationships/hyperlink" Target="https://gerandofalcoes.my.salesforce.com/0014P00003SGWPsQAP" TargetMode="External"/><Relationship Id="rId1736" Type="http://schemas.openxmlformats.org/officeDocument/2006/relationships/hyperlink" Target="https://instagram.com/anderson_silvap?utm_medium=copy_link" TargetMode="External"/><Relationship Id="rId1943" Type="http://schemas.openxmlformats.org/officeDocument/2006/relationships/hyperlink" Target="https://gerandofalcoes.my.salesforce.com/0014X00002VKCubQAH" TargetMode="External"/><Relationship Id="rId28" Type="http://schemas.openxmlformats.org/officeDocument/2006/relationships/hyperlink" Target="https://gerandofalcoes.my.salesforce.com/0034X0000380O6b" TargetMode="External"/><Relationship Id="rId1803" Type="http://schemas.openxmlformats.org/officeDocument/2006/relationships/hyperlink" Target="https://www.linkedin.com/feed/" TargetMode="External"/><Relationship Id="rId177" Type="http://schemas.openxmlformats.org/officeDocument/2006/relationships/hyperlink" Target="https://drive.google.com/open?id=1hCbRZXvX9Iv2HQy29ZNQtYNkvqsc3ofA" TargetMode="External"/><Relationship Id="rId384" Type="http://schemas.openxmlformats.org/officeDocument/2006/relationships/hyperlink" Target="https://gerandofalcoes.my.salesforce.com/0014X00002VKCspQAH" TargetMode="External"/><Relationship Id="rId591" Type="http://schemas.openxmlformats.org/officeDocument/2006/relationships/hyperlink" Target="https://www.instagram.com/raquel.snarciso/" TargetMode="External"/><Relationship Id="rId2065" Type="http://schemas.openxmlformats.org/officeDocument/2006/relationships/hyperlink" Target="https://gerandofalcoes.my.salesforce.com/0014P00003AN2FiQAL" TargetMode="External"/><Relationship Id="rId2272" Type="http://schemas.openxmlformats.org/officeDocument/2006/relationships/hyperlink" Target="https://www.linkedin.com/in/leila-stungis/" TargetMode="External"/><Relationship Id="rId244" Type="http://schemas.openxmlformats.org/officeDocument/2006/relationships/hyperlink" Target="https://gerandofalcoes.my.salesforce.com/0014X00002VKCrZQAX" TargetMode="External"/><Relationship Id="rId689" Type="http://schemas.openxmlformats.org/officeDocument/2006/relationships/hyperlink" Target="https://gerandofalcoes.my.salesforce.com/0014X00002VKCqaQAH" TargetMode="External"/><Relationship Id="rId896" Type="http://schemas.openxmlformats.org/officeDocument/2006/relationships/hyperlink" Target="https://gerandofalcoes.my.salesforce.com/0034X0000380O3s" TargetMode="External"/><Relationship Id="rId1081" Type="http://schemas.openxmlformats.org/officeDocument/2006/relationships/hyperlink" Target="https://drive.google.com/open?id=1KLrJUgdGXcZfDlu-VjLqYiL--mx8WG1G" TargetMode="External"/><Relationship Id="rId451" Type="http://schemas.openxmlformats.org/officeDocument/2006/relationships/hyperlink" Target="https://gerandofalcoes.my.salesforce.com/0034X0000380O3Z" TargetMode="External"/><Relationship Id="rId549" Type="http://schemas.openxmlformats.org/officeDocument/2006/relationships/hyperlink" Target="https://gerandofalcoes.my.salesforce.com/0014P00003YSp8aQAD" TargetMode="External"/><Relationship Id="rId756" Type="http://schemas.openxmlformats.org/officeDocument/2006/relationships/hyperlink" Target="https://drive.google.com/open?id=1NG2rCt0DzmeUosO_xTCGPdwQnL4G4xZ9" TargetMode="External"/><Relationship Id="rId1179" Type="http://schemas.openxmlformats.org/officeDocument/2006/relationships/hyperlink" Target="https://gerandofalcoes.my.salesforce.com/0034P000045kxjw" TargetMode="External"/><Relationship Id="rId1386" Type="http://schemas.openxmlformats.org/officeDocument/2006/relationships/hyperlink" Target="https://gerandofalcoes.my.salesforce.com/0034P000045kxiq" TargetMode="External"/><Relationship Id="rId1593" Type="http://schemas.openxmlformats.org/officeDocument/2006/relationships/hyperlink" Target="https://gerandofalcoes.my.salesforce.com/0014X00002VKCtDQAX" TargetMode="External"/><Relationship Id="rId2132" Type="http://schemas.openxmlformats.org/officeDocument/2006/relationships/hyperlink" Target="https://gerandofalcoes.my.salesforce.com/0014P00003YSp94QAD" TargetMode="External"/><Relationship Id="rId104" Type="http://schemas.openxmlformats.org/officeDocument/2006/relationships/hyperlink" Target="https://www.instagram.com/padilhaedna/" TargetMode="External"/><Relationship Id="rId311" Type="http://schemas.openxmlformats.org/officeDocument/2006/relationships/hyperlink" Target="https://gerandofalcoes.my.salesforce.com/0014P00003YSm8CQAT" TargetMode="External"/><Relationship Id="rId409" Type="http://schemas.openxmlformats.org/officeDocument/2006/relationships/hyperlink" Target="https://gerandofalcoes.my.salesforce.com/0034P000045kxj5" TargetMode="External"/><Relationship Id="rId963" Type="http://schemas.openxmlformats.org/officeDocument/2006/relationships/hyperlink" Target="https://www.instagram.com/cesaraugustofilho/" TargetMode="External"/><Relationship Id="rId1039" Type="http://schemas.openxmlformats.org/officeDocument/2006/relationships/hyperlink" Target="https://gerandofalcoes.my.salesforce.com/0034P000045kxko" TargetMode="External"/><Relationship Id="rId1246" Type="http://schemas.openxmlformats.org/officeDocument/2006/relationships/hyperlink" Target="http://www.instagram.com/luisamahin" TargetMode="External"/><Relationship Id="rId1898" Type="http://schemas.openxmlformats.org/officeDocument/2006/relationships/hyperlink" Target="https://gerandofalcoes.my.salesforce.com/0014X00002VKCpvQAH" TargetMode="External"/><Relationship Id="rId92" Type="http://schemas.openxmlformats.org/officeDocument/2006/relationships/hyperlink" Target="https://drive.google.com/open?id=1_c8nL4_YRIV1BvnHxWU4rhZDih-YmxRj" TargetMode="External"/><Relationship Id="rId616" Type="http://schemas.openxmlformats.org/officeDocument/2006/relationships/hyperlink" Target="https://gerandofalcoes.my.salesforce.com/0014X00002VKCunQAH" TargetMode="External"/><Relationship Id="rId823" Type="http://schemas.openxmlformats.org/officeDocument/2006/relationships/hyperlink" Target="https://gerandofalcoes.my.salesforce.com/0034X0000380O3R" TargetMode="External"/><Relationship Id="rId1453" Type="http://schemas.openxmlformats.org/officeDocument/2006/relationships/hyperlink" Target="https://gerandofalcoes.my.salesforce.com/0014P00003YSp84QAD" TargetMode="External"/><Relationship Id="rId1660" Type="http://schemas.openxmlformats.org/officeDocument/2006/relationships/hyperlink" Target="https://drive.google.com/open?id=1IwtHABHd2XuDwSQAlpCIHUBuVGuM9z67" TargetMode="External"/><Relationship Id="rId1758" Type="http://schemas.openxmlformats.org/officeDocument/2006/relationships/hyperlink" Target="https://www.linkedin.com/in/caioc-teixeira/" TargetMode="External"/><Relationship Id="rId1106" Type="http://schemas.openxmlformats.org/officeDocument/2006/relationships/hyperlink" Target="https://gerandofalcoes.my.salesforce.com/0014X00002VKCqMQAX" TargetMode="External"/><Relationship Id="rId1313" Type="http://schemas.openxmlformats.org/officeDocument/2006/relationships/hyperlink" Target="https://drive.google.com/open?id=1AvS6wJ80UsYBqa4RUeBU_ww6Mb6VcdWw" TargetMode="External"/><Relationship Id="rId1520" Type="http://schemas.openxmlformats.org/officeDocument/2006/relationships/hyperlink" Target="https://drive.google.com/open?id=1D7ViBDXw-_JVM4lzWBT0jO0bCzYrx0Bn" TargetMode="External"/><Relationship Id="rId1965" Type="http://schemas.openxmlformats.org/officeDocument/2006/relationships/hyperlink" Target="https://www.linkedin.com/in/kauannatoppa/" TargetMode="External"/><Relationship Id="rId1618" Type="http://schemas.openxmlformats.org/officeDocument/2006/relationships/hyperlink" Target="https://drive.google.com/open?id=18IIVpl92yAeK0kOIlec4xJFmm9zf0RHm" TargetMode="External"/><Relationship Id="rId1825" Type="http://schemas.openxmlformats.org/officeDocument/2006/relationships/hyperlink" Target="https://drive.google.com/open?id=18vDNDXgu1PuyjaitqGLkP_4VMAAPSlX-" TargetMode="External"/><Relationship Id="rId199" Type="http://schemas.openxmlformats.org/officeDocument/2006/relationships/hyperlink" Target="https://gerandofalcoes.my.salesforce.com/0014P00003AN2FkQAL" TargetMode="External"/><Relationship Id="rId2087" Type="http://schemas.openxmlformats.org/officeDocument/2006/relationships/hyperlink" Target="https://gerandofalcoes.my.salesforce.com/0014X00002VKCq3QAH" TargetMode="External"/><Relationship Id="rId2294" Type="http://schemas.openxmlformats.org/officeDocument/2006/relationships/hyperlink" Target="https://gerandofalcoes.my.salesforce.com/0014X00002VKCpbQAH" TargetMode="External"/><Relationship Id="rId266" Type="http://schemas.openxmlformats.org/officeDocument/2006/relationships/hyperlink" Target="https://drive.google.com/open?id=1ciExeS93bvtZmp1KaSLHTt0GX_Dcaoj9" TargetMode="External"/><Relationship Id="rId473" Type="http://schemas.openxmlformats.org/officeDocument/2006/relationships/hyperlink" Target="https://drive.google.com/open?id=1Xa9gr2KQpqkvkHJU3j16rvZTr6G3yksI" TargetMode="External"/><Relationship Id="rId680" Type="http://schemas.openxmlformats.org/officeDocument/2006/relationships/hyperlink" Target="https://drive.google.com/open?id=18wB2Y4ClSBeKimJ7jGVlT1t0M9MQxK7z" TargetMode="External"/><Relationship Id="rId2154" Type="http://schemas.openxmlformats.org/officeDocument/2006/relationships/hyperlink" Target="https://gerandofalcoes.my.salesforce.com/0034X0000380O44" TargetMode="External"/><Relationship Id="rId2361" Type="http://schemas.openxmlformats.org/officeDocument/2006/relationships/hyperlink" Target="https://gerandofalcoes.my.salesforce.com/0034X0000380O1z" TargetMode="External"/><Relationship Id="rId126" Type="http://schemas.openxmlformats.org/officeDocument/2006/relationships/hyperlink" Target="https://drive.google.com/open?id=1VQeGKAX9VqtC9FXxlon37W_owWZT8krx" TargetMode="External"/><Relationship Id="rId333" Type="http://schemas.openxmlformats.org/officeDocument/2006/relationships/hyperlink" Target="https://gerandofalcoes.my.salesforce.com/0014X00002VKCp5QAH" TargetMode="External"/><Relationship Id="rId540" Type="http://schemas.openxmlformats.org/officeDocument/2006/relationships/hyperlink" Target="https://gerandofalcoes.my.salesforce.com/0034P00003maBV4" TargetMode="External"/><Relationship Id="rId778" Type="http://schemas.openxmlformats.org/officeDocument/2006/relationships/hyperlink" Target="https://gerandofalcoes.my.salesforce.com/0014P00003YSp88QAD" TargetMode="External"/><Relationship Id="rId985" Type="http://schemas.openxmlformats.org/officeDocument/2006/relationships/hyperlink" Target="https://www.instagram.com/joaopaulo_epl/" TargetMode="External"/><Relationship Id="rId1170" Type="http://schemas.openxmlformats.org/officeDocument/2006/relationships/hyperlink" Target="https://gerandofalcoes.my.salesforce.com/0014P00003YSp8hQAD" TargetMode="External"/><Relationship Id="rId2014" Type="http://schemas.openxmlformats.org/officeDocument/2006/relationships/hyperlink" Target="https://gerandofalcoes.my.salesforce.com/0034P000043fOo9" TargetMode="External"/><Relationship Id="rId2221" Type="http://schemas.openxmlformats.org/officeDocument/2006/relationships/hyperlink" Target="https://gerandofalcoes.my.salesforce.com/0014X00002OEuauQAD" TargetMode="External"/><Relationship Id="rId638" Type="http://schemas.openxmlformats.org/officeDocument/2006/relationships/hyperlink" Target="https://gerandofalcoes.my.salesforce.com/0034P000045kxiF" TargetMode="External"/><Relationship Id="rId845" Type="http://schemas.openxmlformats.org/officeDocument/2006/relationships/hyperlink" Target="https://www.instagram.com/rafaelmendescx/" TargetMode="External"/><Relationship Id="rId1030" Type="http://schemas.openxmlformats.org/officeDocument/2006/relationships/hyperlink" Target="https://gerandofalcoes.my.salesforce.com/0014P00003SGWPTQA5" TargetMode="External"/><Relationship Id="rId1268" Type="http://schemas.openxmlformats.org/officeDocument/2006/relationships/hyperlink" Target="https://gerandofalcoes.my.salesforce.com/0014X00002VKCqYQAX" TargetMode="External"/><Relationship Id="rId1475" Type="http://schemas.openxmlformats.org/officeDocument/2006/relationships/hyperlink" Target="https://gerandofalcoes.my.salesforce.com/0014X00002VKCuuQAH" TargetMode="External"/><Relationship Id="rId1682" Type="http://schemas.openxmlformats.org/officeDocument/2006/relationships/hyperlink" Target="https://www.linkedin.com/in/tatiane-vasconcellos-de-oliveira-2309a2104" TargetMode="External"/><Relationship Id="rId2319" Type="http://schemas.openxmlformats.org/officeDocument/2006/relationships/hyperlink" Target="https://drive.google.com/open?id=1q7jxyRJ-znvLDQHFUadn5i-rMxxa-1AP" TargetMode="External"/><Relationship Id="rId400" Type="http://schemas.openxmlformats.org/officeDocument/2006/relationships/hyperlink" Target="https://drive.google.com/open?id=1k4ZYioVvl1zheiSss8wPkYSzfL12DhI2" TargetMode="External"/><Relationship Id="rId705" Type="http://schemas.openxmlformats.org/officeDocument/2006/relationships/hyperlink" Target="https://gerandofalcoes.my.salesforce.com/0034P000045kxiM" TargetMode="External"/><Relationship Id="rId1128" Type="http://schemas.openxmlformats.org/officeDocument/2006/relationships/hyperlink" Target="https://gerandofalcoes.my.salesforce.com/0014P00003YSp8tQAD" TargetMode="External"/><Relationship Id="rId1335" Type="http://schemas.openxmlformats.org/officeDocument/2006/relationships/hyperlink" Target="https://www.instagram.com/juhalves98/" TargetMode="External"/><Relationship Id="rId1542" Type="http://schemas.openxmlformats.org/officeDocument/2006/relationships/hyperlink" Target="https://gerandofalcoes.my.salesforce.com/0014P00003YSp8HQAT" TargetMode="External"/><Relationship Id="rId1987" Type="http://schemas.openxmlformats.org/officeDocument/2006/relationships/hyperlink" Target="https://gerandofalcoes.my.salesforce.com/0014P00003YSp7fQAD" TargetMode="External"/><Relationship Id="rId912" Type="http://schemas.openxmlformats.org/officeDocument/2006/relationships/hyperlink" Target="https://gerandofalcoes.my.salesforce.com/0034P000045kxic" TargetMode="External"/><Relationship Id="rId1847" Type="http://schemas.openxmlformats.org/officeDocument/2006/relationships/hyperlink" Target="https://gerandofalcoes.my.salesforce.com/0034X0000380O18" TargetMode="External"/><Relationship Id="rId41" Type="http://schemas.openxmlformats.org/officeDocument/2006/relationships/hyperlink" Target="https://gerandofalcoes.my.salesforce.com/0034X0000380O5u" TargetMode="External"/><Relationship Id="rId1402" Type="http://schemas.openxmlformats.org/officeDocument/2006/relationships/hyperlink" Target="https://gerandofalcoes.my.salesforce.com/0014P00003YSp8RQAT" TargetMode="External"/><Relationship Id="rId1707" Type="http://schemas.openxmlformats.org/officeDocument/2006/relationships/hyperlink" Target="https://gerandofalcoes.my.salesforce.com/0014X00002VKCptQAH" TargetMode="External"/><Relationship Id="rId190" Type="http://schemas.openxmlformats.org/officeDocument/2006/relationships/hyperlink" Target="https://drive.google.com/open?id=1kuKFqFzdXrEkPzUdcrBrkxyiRZSM9VWC" TargetMode="External"/><Relationship Id="rId288" Type="http://schemas.openxmlformats.org/officeDocument/2006/relationships/hyperlink" Target="https://drive.google.com/open?id=16Rwt9yHGLKMghRSy-Z73wPESlShzmg-a" TargetMode="External"/><Relationship Id="rId1914" Type="http://schemas.openxmlformats.org/officeDocument/2006/relationships/hyperlink" Target="https://gerandofalcoes.my.salesforce.com/0034X0000380O5w" TargetMode="External"/><Relationship Id="rId495" Type="http://schemas.openxmlformats.org/officeDocument/2006/relationships/hyperlink" Target="https://drive.google.com/open?id=14xpruNU-JEMcPzizwIYGukmehxhTWnS4" TargetMode="External"/><Relationship Id="rId2176" Type="http://schemas.openxmlformats.org/officeDocument/2006/relationships/hyperlink" Target="https://gerandofalcoes.my.salesforce.com/0014X00002VKCrxQAH" TargetMode="External"/><Relationship Id="rId2383" Type="http://schemas.openxmlformats.org/officeDocument/2006/relationships/hyperlink" Target="https://gerandofalcoes.my.salesforce.com/0034P000045kxiQ" TargetMode="External"/><Relationship Id="rId148" Type="http://schemas.openxmlformats.org/officeDocument/2006/relationships/hyperlink" Target="https://www.linkedin.com/in/izabel-porto-88b88149/" TargetMode="External"/><Relationship Id="rId355" Type="http://schemas.openxmlformats.org/officeDocument/2006/relationships/hyperlink" Target="https://drive.google.com/open?id=1qF_q3i7AnClc4oqp_gKB6lgkDG7w_U29" TargetMode="External"/><Relationship Id="rId562" Type="http://schemas.openxmlformats.org/officeDocument/2006/relationships/hyperlink" Target="https://gerandofalcoes.my.salesforce.com/0014X00002OEuaqQAD" TargetMode="External"/><Relationship Id="rId1192" Type="http://schemas.openxmlformats.org/officeDocument/2006/relationships/hyperlink" Target="https://www.instagram.com/pereiradalilla/" TargetMode="External"/><Relationship Id="rId2036" Type="http://schemas.openxmlformats.org/officeDocument/2006/relationships/hyperlink" Target="https://www.instagram.com/p/CaUwygILU-A/?utm_medium=copy_link" TargetMode="External"/><Relationship Id="rId2243" Type="http://schemas.openxmlformats.org/officeDocument/2006/relationships/hyperlink" Target="https://drive.google.com/open?id=18CsNI9jKYWszx6L-o82lHWzOq_VepQ_D" TargetMode="External"/><Relationship Id="rId215" Type="http://schemas.openxmlformats.org/officeDocument/2006/relationships/hyperlink" Target="https://gerandofalcoes.my.salesforce.com/0034P00003maBVa" TargetMode="External"/><Relationship Id="rId422" Type="http://schemas.openxmlformats.org/officeDocument/2006/relationships/hyperlink" Target="https://gerandofalcoes.my.salesforce.com/0034X0000380O4c" TargetMode="External"/><Relationship Id="rId867" Type="http://schemas.openxmlformats.org/officeDocument/2006/relationships/hyperlink" Target="https://gerandofalcoes.my.salesforce.com/0014X00002VKCr9QAH" TargetMode="External"/><Relationship Id="rId1052" Type="http://schemas.openxmlformats.org/officeDocument/2006/relationships/hyperlink" Target="https://gerandofalcoes.my.salesforce.com/0034X0000380O63" TargetMode="External"/><Relationship Id="rId1497" Type="http://schemas.openxmlformats.org/officeDocument/2006/relationships/hyperlink" Target="http://linkedin.com/in/sonia-bernardi-benini-070a9a75" TargetMode="External"/><Relationship Id="rId2103" Type="http://schemas.openxmlformats.org/officeDocument/2006/relationships/hyperlink" Target="https://gerandofalcoes.my.salesforce.com/0034X0000380O1d" TargetMode="External"/><Relationship Id="rId2310" Type="http://schemas.openxmlformats.org/officeDocument/2006/relationships/hyperlink" Target="https://www.instagram.com/maisquepalavraseditora/?hl=pt-br" TargetMode="External"/><Relationship Id="rId727" Type="http://schemas.openxmlformats.org/officeDocument/2006/relationships/hyperlink" Target="https://www.instagram.com/p/CRZT2CLMWFA1OaZiaF6TtyWRCqhb7_fo8Iy0dU0/?utm_medium=copy_link" TargetMode="External"/><Relationship Id="rId934" Type="http://schemas.openxmlformats.org/officeDocument/2006/relationships/hyperlink" Target="https://gerandofalcoes.my.salesforce.com/0014X00002VKCq1QAH" TargetMode="External"/><Relationship Id="rId1357" Type="http://schemas.openxmlformats.org/officeDocument/2006/relationships/hyperlink" Target="https://gerandofalcoes.my.salesforce.com/0014X00002VKCpgQAH" TargetMode="External"/><Relationship Id="rId1564" Type="http://schemas.openxmlformats.org/officeDocument/2006/relationships/hyperlink" Target="https://drive.google.com/open?id=1dzg8_53d_y6n4atnZZUurMaXqArr1L0Z" TargetMode="External"/><Relationship Id="rId1771" Type="http://schemas.openxmlformats.org/officeDocument/2006/relationships/hyperlink" Target="https://gerandofalcoes.my.salesforce.com/0034P000043fPDj" TargetMode="External"/><Relationship Id="rId63" Type="http://schemas.openxmlformats.org/officeDocument/2006/relationships/hyperlink" Target="https://www.instagram.com/fatima.queiroz1/" TargetMode="External"/><Relationship Id="rId1217" Type="http://schemas.openxmlformats.org/officeDocument/2006/relationships/hyperlink" Target="https://drive.google.com/open?id=1dkGONLBMSJ4G-fMKSAUskITLQFPX9d6e" TargetMode="External"/><Relationship Id="rId1424" Type="http://schemas.openxmlformats.org/officeDocument/2006/relationships/hyperlink" Target="https://www.linkedin.com/in/ana-paula-de-souza-5b7a7b216/" TargetMode="External"/><Relationship Id="rId1631" Type="http://schemas.openxmlformats.org/officeDocument/2006/relationships/hyperlink" Target="https://gerandofalcoes.my.salesforce.com/0014X00002VKCpuQAH" TargetMode="External"/><Relationship Id="rId1869" Type="http://schemas.openxmlformats.org/officeDocument/2006/relationships/hyperlink" Target="https://drive.google.com/open?id=1-Lys8KRyJab7v9y6Vry3eNjJLwmnS8GO" TargetMode="External"/><Relationship Id="rId1729" Type="http://schemas.openxmlformats.org/officeDocument/2006/relationships/hyperlink" Target="https://drive.google.com/open?id=1cmrF3r8WtBxT9meVWvBdfxgeNVlQM1Fs" TargetMode="External"/><Relationship Id="rId1936" Type="http://schemas.openxmlformats.org/officeDocument/2006/relationships/hyperlink" Target="https://gerandofalcoes.my.salesforce.com/0034X0000380O6h" TargetMode="External"/><Relationship Id="rId2198" Type="http://schemas.openxmlformats.org/officeDocument/2006/relationships/hyperlink" Target="https://gerandofalcoes.my.salesforce.com/0034X0000380O4z" TargetMode="External"/><Relationship Id="rId377" Type="http://schemas.openxmlformats.org/officeDocument/2006/relationships/hyperlink" Target="https://www.linkedin.com/feed/?trk=BR-SEM_google-adwords_Jordan-brand-sign-up" TargetMode="External"/><Relationship Id="rId584" Type="http://schemas.openxmlformats.org/officeDocument/2006/relationships/hyperlink" Target="https://gerandofalcoes.my.salesforce.com/0034P00003maBVY" TargetMode="External"/><Relationship Id="rId2058" Type="http://schemas.openxmlformats.org/officeDocument/2006/relationships/hyperlink" Target="https://www.instagram.com/bpp.cc" TargetMode="External"/><Relationship Id="rId2265" Type="http://schemas.openxmlformats.org/officeDocument/2006/relationships/hyperlink" Target="https://gerandofalcoes.my.salesforce.com/0014P00003YSp8eQAD" TargetMode="External"/><Relationship Id="rId5" Type="http://schemas.openxmlformats.org/officeDocument/2006/relationships/hyperlink" Target="https://drive.google.com/open?id=1_b8ujrLq-u8LqVIkB83dUkpYWwi8QLs5" TargetMode="External"/><Relationship Id="rId237" Type="http://schemas.openxmlformats.org/officeDocument/2006/relationships/hyperlink" Target="https://gerandofalcoes.my.salesforce.com/0034P00003maBUw" TargetMode="External"/><Relationship Id="rId791" Type="http://schemas.openxmlformats.org/officeDocument/2006/relationships/hyperlink" Target="https://www.linkedin.com/in/carol-santos-734382132/" TargetMode="External"/><Relationship Id="rId889" Type="http://schemas.openxmlformats.org/officeDocument/2006/relationships/hyperlink" Target="https://gerandofalcoes.my.salesforce.com/0034P000045kxjY" TargetMode="External"/><Relationship Id="rId1074" Type="http://schemas.openxmlformats.org/officeDocument/2006/relationships/hyperlink" Target="https://gerandofalcoes.my.salesforce.com/0014P00003YSp8XQAT" TargetMode="External"/><Relationship Id="rId444" Type="http://schemas.openxmlformats.org/officeDocument/2006/relationships/hyperlink" Target="https://drive.google.com/open?id=1W-RbqETXkXuAJWTN4ENjH2eqhMKhtjy9" TargetMode="External"/><Relationship Id="rId651" Type="http://schemas.openxmlformats.org/officeDocument/2006/relationships/hyperlink" Target="https://instagram.com/cruz_dryka?utm_medium=copy_link" TargetMode="External"/><Relationship Id="rId749" Type="http://schemas.openxmlformats.org/officeDocument/2006/relationships/hyperlink" Target="https://gerandofalcoes.my.salesforce.com/0034X0000380O4f" TargetMode="External"/><Relationship Id="rId1281" Type="http://schemas.openxmlformats.org/officeDocument/2006/relationships/hyperlink" Target="https://drive.google.com/open?id=1NcpScJnQR89BwYfeq5xujf8SrmWcrB42" TargetMode="External"/><Relationship Id="rId1379" Type="http://schemas.openxmlformats.org/officeDocument/2006/relationships/hyperlink" Target="https://drive.google.com/open?id=1hccLlmbhW8G5_N-A4CZhKK_51LSWNCXu" TargetMode="External"/><Relationship Id="rId1586" Type="http://schemas.openxmlformats.org/officeDocument/2006/relationships/hyperlink" Target="https://gerandofalcoes.my.salesforce.com/0014P00003I7WH2QAN" TargetMode="External"/><Relationship Id="rId2125" Type="http://schemas.openxmlformats.org/officeDocument/2006/relationships/hyperlink" Target="https://drive.google.com/open?id=1wn8v-vZMokyrYiVJLlfLldHgoQCSju4i" TargetMode="External"/><Relationship Id="rId2332" Type="http://schemas.openxmlformats.org/officeDocument/2006/relationships/hyperlink" Target="https://instagram.com/oxepriu?utm_medium=copy_link" TargetMode="External"/><Relationship Id="rId304" Type="http://schemas.openxmlformats.org/officeDocument/2006/relationships/hyperlink" Target="https://gerandofalcoes.my.salesforce.com/0034P000045kxjj" TargetMode="External"/><Relationship Id="rId511" Type="http://schemas.openxmlformats.org/officeDocument/2006/relationships/hyperlink" Target="https://www.instagram.com/juoliveira.coach/" TargetMode="External"/><Relationship Id="rId609" Type="http://schemas.openxmlformats.org/officeDocument/2006/relationships/hyperlink" Target="https://instagram.com/barbaracoelho_3?utm_medium=copy_link" TargetMode="External"/><Relationship Id="rId956" Type="http://schemas.openxmlformats.org/officeDocument/2006/relationships/hyperlink" Target="https://instagram.com/45preta?utm_medium=copy_link" TargetMode="External"/><Relationship Id="rId1141" Type="http://schemas.openxmlformats.org/officeDocument/2006/relationships/hyperlink" Target="https://gerandofalcoes.my.salesforce.com/0014X00002VKCvDQAX" TargetMode="External"/><Relationship Id="rId1239" Type="http://schemas.openxmlformats.org/officeDocument/2006/relationships/hyperlink" Target="https://gerandofalcoes.my.salesforce.com/0034X0000380O2J" TargetMode="External"/><Relationship Id="rId1793" Type="http://schemas.openxmlformats.org/officeDocument/2006/relationships/hyperlink" Target="https://www.linkedin.com/in/eduardo-neto-18a384138" TargetMode="External"/><Relationship Id="rId85" Type="http://schemas.openxmlformats.org/officeDocument/2006/relationships/hyperlink" Target="https://www.linkedin.com/in/silvana-alves-01454a216/" TargetMode="External"/><Relationship Id="rId816" Type="http://schemas.openxmlformats.org/officeDocument/2006/relationships/hyperlink" Target="https://www.linkedin.com/in/girlane-souza-do-nascimento-salarini-gimenez-894491236/" TargetMode="External"/><Relationship Id="rId1001" Type="http://schemas.openxmlformats.org/officeDocument/2006/relationships/hyperlink" Target="https://www.instagram.com/helena_assumpcao/" TargetMode="External"/><Relationship Id="rId1446" Type="http://schemas.openxmlformats.org/officeDocument/2006/relationships/hyperlink" Target="https://drive.google.com/open?id=1ZJ8RT5Ibx-6FU8cWWftRtYjZCNcM9Z2a" TargetMode="External"/><Relationship Id="rId1653" Type="http://schemas.openxmlformats.org/officeDocument/2006/relationships/hyperlink" Target="https://gerandofalcoes.my.salesforce.com/0014P00003AN2G9QAL" TargetMode="External"/><Relationship Id="rId1860" Type="http://schemas.openxmlformats.org/officeDocument/2006/relationships/hyperlink" Target="https://instagram.com/adoniranpaulinodospassos?utm_medium=copy_link" TargetMode="External"/><Relationship Id="rId1306" Type="http://schemas.openxmlformats.org/officeDocument/2006/relationships/hyperlink" Target="https://gerandofalcoes.my.salesforce.com/0034P000045kxiO" TargetMode="External"/><Relationship Id="rId1513" Type="http://schemas.openxmlformats.org/officeDocument/2006/relationships/hyperlink" Target="https://gerandofalcoes.my.salesforce.com/0014X00002VKCp1QAH" TargetMode="External"/><Relationship Id="rId1720" Type="http://schemas.openxmlformats.org/officeDocument/2006/relationships/hyperlink" Target="https://gerandofalcoes.my.salesforce.com/0014X00002VKCuAQAX" TargetMode="External"/><Relationship Id="rId1958" Type="http://schemas.openxmlformats.org/officeDocument/2006/relationships/hyperlink" Target="https://drive.google.com/open?id=15tfj4B3HYV2WpBN255HF3Ww7ZTqwOwN3" TargetMode="External"/><Relationship Id="rId12" Type="http://schemas.openxmlformats.org/officeDocument/2006/relationships/hyperlink" Target="https://drive.google.com/open?id=1qKTwgHROY_jcpuXYbHKzxUjCyoRRLB8y" TargetMode="External"/><Relationship Id="rId1818" Type="http://schemas.openxmlformats.org/officeDocument/2006/relationships/hyperlink" Target="https://drive.google.com/open?id=1MZOmvzs-8GIKlPZRjuPt2xc_okVXzWI5" TargetMode="External"/><Relationship Id="rId161" Type="http://schemas.openxmlformats.org/officeDocument/2006/relationships/hyperlink" Target="https://gerandofalcoes.my.salesforce.com/0014P00003SGWPiQAP" TargetMode="External"/><Relationship Id="rId399" Type="http://schemas.openxmlformats.org/officeDocument/2006/relationships/hyperlink" Target="https://www.instagram.com/dhujesus/" TargetMode="External"/><Relationship Id="rId2287" Type="http://schemas.openxmlformats.org/officeDocument/2006/relationships/hyperlink" Target="https://www.linkedin.com/in/victorlqueiroz/" TargetMode="External"/><Relationship Id="rId259" Type="http://schemas.openxmlformats.org/officeDocument/2006/relationships/hyperlink" Target="https://gerandofalcoes.my.salesforce.com/0014P00003YSp7mQAD" TargetMode="External"/><Relationship Id="rId466" Type="http://schemas.openxmlformats.org/officeDocument/2006/relationships/hyperlink" Target="https://www.linkedin.com/in/valeria-oliveira-campelo-32716964" TargetMode="External"/><Relationship Id="rId673" Type="http://schemas.openxmlformats.org/officeDocument/2006/relationships/hyperlink" Target="https://gerandofalcoes.my.salesforce.com/0034X0000380O3S" TargetMode="External"/><Relationship Id="rId880" Type="http://schemas.openxmlformats.org/officeDocument/2006/relationships/hyperlink" Target="https://gerandofalcoes.my.salesforce.com/0014P00003YSpAMQA1" TargetMode="External"/><Relationship Id="rId1096" Type="http://schemas.openxmlformats.org/officeDocument/2006/relationships/hyperlink" Target="https://www.instagram.com/solrevoredo/" TargetMode="External"/><Relationship Id="rId2147" Type="http://schemas.openxmlformats.org/officeDocument/2006/relationships/hyperlink" Target="https://gerandofalcoes.my.salesforce.com/0034P000043fOnU" TargetMode="External"/><Relationship Id="rId2354" Type="http://schemas.openxmlformats.org/officeDocument/2006/relationships/hyperlink" Target="https://drive.google.com/open?id=1Fz933v8wx-2nWaslhEt_XUHND3x5Y15I" TargetMode="External"/><Relationship Id="rId119" Type="http://schemas.openxmlformats.org/officeDocument/2006/relationships/hyperlink" Target="https://gerandofalcoes.my.salesforce.com/0014P00003AN2GIQA1" TargetMode="External"/><Relationship Id="rId326" Type="http://schemas.openxmlformats.org/officeDocument/2006/relationships/hyperlink" Target="https://gerandofalcoes.my.salesforce.com/0014X00002VKCtYQAX" TargetMode="External"/><Relationship Id="rId533" Type="http://schemas.openxmlformats.org/officeDocument/2006/relationships/hyperlink" Target="https://gerandofalcoes.my.salesforce.com/0034P000045kxjL" TargetMode="External"/><Relationship Id="rId978" Type="http://schemas.openxmlformats.org/officeDocument/2006/relationships/hyperlink" Target="https://gerandofalcoes.my.salesforce.com/0014P00003YSp9dQAD" TargetMode="External"/><Relationship Id="rId1163" Type="http://schemas.openxmlformats.org/officeDocument/2006/relationships/hyperlink" Target="https://gerandofalcoes.my.salesforce.com/0034X0000380O3l" TargetMode="External"/><Relationship Id="rId1370" Type="http://schemas.openxmlformats.org/officeDocument/2006/relationships/hyperlink" Target="https://drive.google.com/open?id=1f9eXomrR741q31ASOtg_LXlgCekiEKiD" TargetMode="External"/><Relationship Id="rId2007" Type="http://schemas.openxmlformats.org/officeDocument/2006/relationships/hyperlink" Target="https://gerandofalcoes.my.salesforce.com/0034P000045kxkE" TargetMode="External"/><Relationship Id="rId2214" Type="http://schemas.openxmlformats.org/officeDocument/2006/relationships/hyperlink" Target="https://drive.google.com/open?id=1NRjzM0YzW6TXzUa1JGnOpRDWj5AvAFYO" TargetMode="External"/><Relationship Id="rId740" Type="http://schemas.openxmlformats.org/officeDocument/2006/relationships/hyperlink" Target="https://www.linkedin.com/in/rafaelflavio/" TargetMode="External"/><Relationship Id="rId838" Type="http://schemas.openxmlformats.org/officeDocument/2006/relationships/hyperlink" Target="https://gerandofalcoes.my.salesforce.com/0014P00003SGWPLQA5" TargetMode="External"/><Relationship Id="rId1023" Type="http://schemas.openxmlformats.org/officeDocument/2006/relationships/hyperlink" Target="https://www.linkedin.com/in/valdir-brand%C3%A3o-50468b241/" TargetMode="External"/><Relationship Id="rId1468" Type="http://schemas.openxmlformats.org/officeDocument/2006/relationships/hyperlink" Target="https://gerandofalcoes.my.salesforce.com/0034P00003maBVQ" TargetMode="External"/><Relationship Id="rId1675" Type="http://schemas.openxmlformats.org/officeDocument/2006/relationships/hyperlink" Target="https://www.instagram.com/patypaty_santos/" TargetMode="External"/><Relationship Id="rId1882" Type="http://schemas.openxmlformats.org/officeDocument/2006/relationships/hyperlink" Target="https://gerandofalcoes.my.salesforce.com/0014P00003YSp8nQAD" TargetMode="External"/><Relationship Id="rId600" Type="http://schemas.openxmlformats.org/officeDocument/2006/relationships/hyperlink" Target="https://drive.google.com/open?id=1OG6XRETFVeoof_imlJh841Gb2lDADBFO" TargetMode="External"/><Relationship Id="rId1230" Type="http://schemas.openxmlformats.org/officeDocument/2006/relationships/hyperlink" Target="https://gerandofalcoes.my.salesforce.com/0034X0000380O4h" TargetMode="External"/><Relationship Id="rId1328" Type="http://schemas.openxmlformats.org/officeDocument/2006/relationships/hyperlink" Target="https://drive.google.com/open?id=16c95grNRgvjKFGcyS0g157IQSFrActyP" TargetMode="External"/><Relationship Id="rId1535" Type="http://schemas.openxmlformats.org/officeDocument/2006/relationships/hyperlink" Target="https://www.linkedin.com/in/anailton-fernandes-748899b1/" TargetMode="External"/><Relationship Id="rId905" Type="http://schemas.openxmlformats.org/officeDocument/2006/relationships/hyperlink" Target="https://www.instagram.com/invites/contact/?i=tg4haz6vs19d&amp;utm_content=nzp07bn" TargetMode="External"/><Relationship Id="rId1742" Type="http://schemas.openxmlformats.org/officeDocument/2006/relationships/hyperlink" Target="https://gerandofalcoes.my.salesforce.com/0014P00003YSp7iQAD" TargetMode="External"/><Relationship Id="rId34" Type="http://schemas.openxmlformats.org/officeDocument/2006/relationships/hyperlink" Target="https://gerandofalcoes.my.salesforce.com/0034X0000380O0a" TargetMode="External"/><Relationship Id="rId1602" Type="http://schemas.openxmlformats.org/officeDocument/2006/relationships/hyperlink" Target="https://drive.google.com/open?id=1Z7KbZmjiLEaN79ADvCm9CubfaAzU67_G" TargetMode="External"/><Relationship Id="rId183" Type="http://schemas.openxmlformats.org/officeDocument/2006/relationships/hyperlink" Target="https://gerandofalcoes.my.salesforce.com/0014X00002VKCqGQAX" TargetMode="External"/><Relationship Id="rId390" Type="http://schemas.openxmlformats.org/officeDocument/2006/relationships/hyperlink" Target="https://www.linkedin.com/in/wagner-ramalho-6783251b2/" TargetMode="External"/><Relationship Id="rId1907" Type="http://schemas.openxmlformats.org/officeDocument/2006/relationships/hyperlink" Target="https://gerandofalcoes.my.salesforce.com/0014X00002VKCpYQAX" TargetMode="External"/><Relationship Id="rId2071" Type="http://schemas.openxmlformats.org/officeDocument/2006/relationships/hyperlink" Target="http://instagram.com/bruno_m_anastacio" TargetMode="External"/><Relationship Id="rId250" Type="http://schemas.openxmlformats.org/officeDocument/2006/relationships/hyperlink" Target="https://drive.google.com/open?id=1z3SgdU1kHKHG-_eJjqHvFpJBI03WjvaQ" TargetMode="External"/><Relationship Id="rId488" Type="http://schemas.openxmlformats.org/officeDocument/2006/relationships/hyperlink" Target="https://gerandofalcoes.my.salesforce.com/0014X00002QTry4QAD" TargetMode="External"/><Relationship Id="rId695" Type="http://schemas.openxmlformats.org/officeDocument/2006/relationships/hyperlink" Target="https://www.instagram.com/marlenemarques7.1.4/" TargetMode="External"/><Relationship Id="rId2169" Type="http://schemas.openxmlformats.org/officeDocument/2006/relationships/hyperlink" Target="https://gerandofalcoes.my.salesforce.com/0034X0000380O2E" TargetMode="External"/><Relationship Id="rId2376" Type="http://schemas.openxmlformats.org/officeDocument/2006/relationships/hyperlink" Target="https://drive.google.com/open?id=135d4VKhf6FlL7nUTQdVQxHDqQidHnQMO" TargetMode="External"/><Relationship Id="rId110" Type="http://schemas.openxmlformats.org/officeDocument/2006/relationships/hyperlink" Target="https://gerandofalcoes.my.salesforce.com/0034X0000380O4b" TargetMode="External"/><Relationship Id="rId348" Type="http://schemas.openxmlformats.org/officeDocument/2006/relationships/hyperlink" Target="https://gerandofalcoes.my.salesforce.com/0014P00003YSp7sQAD" TargetMode="External"/><Relationship Id="rId555" Type="http://schemas.openxmlformats.org/officeDocument/2006/relationships/hyperlink" Target="https://www.instagram.com/p/CbQO4UrukK3nWiVe83ZNNp6k17j3yIKsV8Thr00/?utm_medium=copy_link" TargetMode="External"/><Relationship Id="rId762" Type="http://schemas.openxmlformats.org/officeDocument/2006/relationships/hyperlink" Target="https://gerandofalcoes.my.salesforce.com/0014P00003AN2GCQA1" TargetMode="External"/><Relationship Id="rId1185" Type="http://schemas.openxmlformats.org/officeDocument/2006/relationships/hyperlink" Target="https://gerandofalcoes.my.salesforce.com/0014P00003SGWPpQAP" TargetMode="External"/><Relationship Id="rId1392" Type="http://schemas.openxmlformats.org/officeDocument/2006/relationships/hyperlink" Target="https://www.instagram.com/stories/_ericadovale" TargetMode="External"/><Relationship Id="rId2029" Type="http://schemas.openxmlformats.org/officeDocument/2006/relationships/hyperlink" Target="https://drive.google.com/open?id=1QedQ5m8Kf4XOEg7-OrrB3XjYT4HKwWo4" TargetMode="External"/><Relationship Id="rId2236" Type="http://schemas.openxmlformats.org/officeDocument/2006/relationships/hyperlink" Target="https://www.linkedin.com/in/gustavo-do-vale-68460148" TargetMode="External"/><Relationship Id="rId208" Type="http://schemas.openxmlformats.org/officeDocument/2006/relationships/hyperlink" Target="https://gerandofalcoes.my.salesforce.com/0014X00002VKCqPQAX" TargetMode="External"/><Relationship Id="rId415" Type="http://schemas.openxmlformats.org/officeDocument/2006/relationships/hyperlink" Target="https://www.instagram.com/silvinhapaiva/" TargetMode="External"/><Relationship Id="rId622" Type="http://schemas.openxmlformats.org/officeDocument/2006/relationships/hyperlink" Target="https://gerandofalcoes.my.salesforce.com/0034P00003maBVI" TargetMode="External"/><Relationship Id="rId1045" Type="http://schemas.openxmlformats.org/officeDocument/2006/relationships/hyperlink" Target="https://drive.google.com/open?id=1O_sJeycCFlGKBUuTcMGwhCNeiLPz4CkV" TargetMode="External"/><Relationship Id="rId1252" Type="http://schemas.openxmlformats.org/officeDocument/2006/relationships/hyperlink" Target="https://gerandofalcoes.my.salesforce.com/0014X00002VKCpfQAH" TargetMode="External"/><Relationship Id="rId1697" Type="http://schemas.openxmlformats.org/officeDocument/2006/relationships/hyperlink" Target="https://drive.google.com/open?id=1nSlxtr6X-kMg8N04IoD0xfOEHKifbVG5" TargetMode="External"/><Relationship Id="rId2303" Type="http://schemas.openxmlformats.org/officeDocument/2006/relationships/hyperlink" Target="https://gerandofalcoes.my.salesforce.com/0034P000045kxid" TargetMode="External"/><Relationship Id="rId927" Type="http://schemas.openxmlformats.org/officeDocument/2006/relationships/hyperlink" Target="https://drive.google.com/open?id=15c1bR3HiBBg2Wkn7JBWmEREMXW6zN9Vw" TargetMode="External"/><Relationship Id="rId1112" Type="http://schemas.openxmlformats.org/officeDocument/2006/relationships/hyperlink" Target="https://gerandofalcoes.my.salesforce.com/0034X0000380O1w" TargetMode="External"/><Relationship Id="rId1557" Type="http://schemas.openxmlformats.org/officeDocument/2006/relationships/hyperlink" Target="https://gerandofalcoes.my.salesforce.com/0014P00003Ck8NjQAJ" TargetMode="External"/><Relationship Id="rId1764" Type="http://schemas.openxmlformats.org/officeDocument/2006/relationships/hyperlink" Target="https://drive.google.com/open?id=1NUDBxclDMFM_DIHhU1rrU_Ismp_pkflF" TargetMode="External"/><Relationship Id="rId1971" Type="http://schemas.openxmlformats.org/officeDocument/2006/relationships/hyperlink" Target="https://www.instagram.com/invites/contact/?i=g7usp6zbyvhn&amp;utm_content=z7gkh3" TargetMode="External"/><Relationship Id="rId56" Type="http://schemas.openxmlformats.org/officeDocument/2006/relationships/hyperlink" Target="https://drive.google.com/open?id=1W86-gCgDGYmxZdpB4nGkbTLTY715Ifd9" TargetMode="External"/><Relationship Id="rId1417" Type="http://schemas.openxmlformats.org/officeDocument/2006/relationships/hyperlink" Target="https://drive.google.com/open?id=1xgcb30nm2w755Xhxo_7gMJbd5bi1ggI2" TargetMode="External"/><Relationship Id="rId1624" Type="http://schemas.openxmlformats.org/officeDocument/2006/relationships/hyperlink" Target="https://gerandofalcoes.my.salesforce.com/0014P00003AN2FcQAL" TargetMode="External"/><Relationship Id="rId1831" Type="http://schemas.openxmlformats.org/officeDocument/2006/relationships/hyperlink" Target="https://gerandofalcoes.my.salesforce.com/0034X0000380O47" TargetMode="External"/><Relationship Id="rId1929" Type="http://schemas.openxmlformats.org/officeDocument/2006/relationships/hyperlink" Target="https://gerandofalcoes.my.salesforce.com/0034X0000380O32" TargetMode="External"/><Relationship Id="rId2093" Type="http://schemas.openxmlformats.org/officeDocument/2006/relationships/hyperlink" Target="https://www.instagram.com/leidedeolliveira/p/CU44lIIr6U-/?utm_medium=copy_link" TargetMode="External"/><Relationship Id="rId272" Type="http://schemas.openxmlformats.org/officeDocument/2006/relationships/hyperlink" Target="https://gerandofalcoes.my.salesforce.com/0034X0000380O1C" TargetMode="External"/><Relationship Id="rId577" Type="http://schemas.openxmlformats.org/officeDocument/2006/relationships/hyperlink" Target="https://instagram.com/associacaoservos?utm_medium=copy_link" TargetMode="External"/><Relationship Id="rId2160" Type="http://schemas.openxmlformats.org/officeDocument/2006/relationships/hyperlink" Target="https://gerandofalcoes.my.salesforce.com/0014X00002VKCp3QAH" TargetMode="External"/><Relationship Id="rId2258" Type="http://schemas.openxmlformats.org/officeDocument/2006/relationships/hyperlink" Target="https://gerandofalcoes.my.salesforce.com/0014X00002VKCuDQAX" TargetMode="External"/><Relationship Id="rId132" Type="http://schemas.openxmlformats.org/officeDocument/2006/relationships/hyperlink" Target="https://www.linkedin.com/in/geraldob/" TargetMode="External"/><Relationship Id="rId784" Type="http://schemas.openxmlformats.org/officeDocument/2006/relationships/hyperlink" Target="https://drive.google.com/open?id=19X1sPLlyVzh2E2IqH_daxOk0Rsz3rzLK" TargetMode="External"/><Relationship Id="rId991" Type="http://schemas.openxmlformats.org/officeDocument/2006/relationships/hyperlink" Target="https://gerandofalcoes.my.salesforce.com/0034P000045kxi0" TargetMode="External"/><Relationship Id="rId1067" Type="http://schemas.openxmlformats.org/officeDocument/2006/relationships/hyperlink" Target="https://gerandofalcoes.my.salesforce.com/0034X0000380O2X" TargetMode="External"/><Relationship Id="rId2020" Type="http://schemas.openxmlformats.org/officeDocument/2006/relationships/hyperlink" Target="https://www.linkedin.com/in/pamella-oliveira/" TargetMode="External"/><Relationship Id="rId437" Type="http://schemas.openxmlformats.org/officeDocument/2006/relationships/hyperlink" Target="https://drive.google.com/open?id=1Uq4uWmvj39wquK7N7NutG5SWepmVaT7s" TargetMode="External"/><Relationship Id="rId644" Type="http://schemas.openxmlformats.org/officeDocument/2006/relationships/hyperlink" Target="http://www.instagram.com/bah.manuela" TargetMode="External"/><Relationship Id="rId851" Type="http://schemas.openxmlformats.org/officeDocument/2006/relationships/hyperlink" Target="https://gerandofalcoes.my.salesforce.com/0034P000045kxkl" TargetMode="External"/><Relationship Id="rId1274" Type="http://schemas.openxmlformats.org/officeDocument/2006/relationships/hyperlink" Target="https://instagram.com/nara_sonallio?igshid=YmMyMTA2M2Y=" TargetMode="External"/><Relationship Id="rId1481" Type="http://schemas.openxmlformats.org/officeDocument/2006/relationships/hyperlink" Target="https://drive.google.com/open?id=1HCUP9jQN26Qm0a6dVhBZU32FcDhXXP1z" TargetMode="External"/><Relationship Id="rId1579" Type="http://schemas.openxmlformats.org/officeDocument/2006/relationships/hyperlink" Target="https://drive.google.com/open?id=1wZ0KsYzFj1-ILHzvgKn6-t_PzMrH0b5d" TargetMode="External"/><Relationship Id="rId2118" Type="http://schemas.openxmlformats.org/officeDocument/2006/relationships/hyperlink" Target="https://drive.google.com/open?id=1UmbAbVLcAcQ29l7BztKsTuk7sCF5vh0P" TargetMode="External"/><Relationship Id="rId2325" Type="http://schemas.openxmlformats.org/officeDocument/2006/relationships/hyperlink" Target="https://gerandofalcoes.my.salesforce.com/0014X00002VKCpOQAX" TargetMode="External"/><Relationship Id="rId504" Type="http://schemas.openxmlformats.org/officeDocument/2006/relationships/hyperlink" Target="https://gerandofalcoes.my.salesforce.com/0034X0000380O1i" TargetMode="External"/><Relationship Id="rId711" Type="http://schemas.openxmlformats.org/officeDocument/2006/relationships/hyperlink" Target="https://gerandofalcoes.my.salesforce.com/0014X00002VKCusQAH" TargetMode="External"/><Relationship Id="rId949" Type="http://schemas.openxmlformats.org/officeDocument/2006/relationships/hyperlink" Target="https://instagram.com/nathancrieatividade?igshid=YmMyMTA2M2Y=" TargetMode="External"/><Relationship Id="rId1134" Type="http://schemas.openxmlformats.org/officeDocument/2006/relationships/hyperlink" Target="https://www.linkedin.com/in/camilaincanto/" TargetMode="External"/><Relationship Id="rId1341" Type="http://schemas.openxmlformats.org/officeDocument/2006/relationships/hyperlink" Target="https://drive.google.com/open?id=1P-KQuNedF15j1__Lyg8wOUMl6U3_f0H2" TargetMode="External"/><Relationship Id="rId1786" Type="http://schemas.openxmlformats.org/officeDocument/2006/relationships/hyperlink" Target="https://drive.google.com/open?id=1RWdk7FQXqbO27ZKAu6jB9Jf3DgqwxSJp" TargetMode="External"/><Relationship Id="rId1993" Type="http://schemas.openxmlformats.org/officeDocument/2006/relationships/hyperlink" Target="http://instagram.com/pedrorochacosta" TargetMode="External"/><Relationship Id="rId78" Type="http://schemas.openxmlformats.org/officeDocument/2006/relationships/hyperlink" Target="https://www.instagram.com/associacaobenefanjosdeouro/" TargetMode="External"/><Relationship Id="rId809" Type="http://schemas.openxmlformats.org/officeDocument/2006/relationships/hyperlink" Target="https://www.linkedin.com/in/franklin-de-melo/" TargetMode="External"/><Relationship Id="rId1201" Type="http://schemas.openxmlformats.org/officeDocument/2006/relationships/hyperlink" Target="https://drive.google.com/open?id=1yhjmJSHKLHQ69HPnEz6-zTM0xr_bhItu" TargetMode="External"/><Relationship Id="rId1439" Type="http://schemas.openxmlformats.org/officeDocument/2006/relationships/hyperlink" Target="https://gerandofalcoes.my.salesforce.com/0014X00002VKCqkQAH" TargetMode="External"/><Relationship Id="rId1646" Type="http://schemas.openxmlformats.org/officeDocument/2006/relationships/hyperlink" Target="https://www.linkedin.com/in/elizeu-silva-2bb139101" TargetMode="External"/><Relationship Id="rId1853" Type="http://schemas.openxmlformats.org/officeDocument/2006/relationships/hyperlink" Target="https://drive.google.com/open?id=1H3dR8LywJB5dhzs5gZWMhNOXf6T0eiYa" TargetMode="External"/><Relationship Id="rId1506" Type="http://schemas.openxmlformats.org/officeDocument/2006/relationships/hyperlink" Target="https://www.linkedin.com/in/rodrigo-zacarias-23a8a81b3/" TargetMode="External"/><Relationship Id="rId1713" Type="http://schemas.openxmlformats.org/officeDocument/2006/relationships/hyperlink" Target="https://gerandofalcoes.my.salesforce.com/0034X0000380O1r" TargetMode="External"/><Relationship Id="rId1920" Type="http://schemas.openxmlformats.org/officeDocument/2006/relationships/hyperlink" Target="https://www.linkedin.com/in/ana-paula-almeida-rodrigues-b9002b44" TargetMode="External"/><Relationship Id="rId294" Type="http://schemas.openxmlformats.org/officeDocument/2006/relationships/hyperlink" Target="http://linkedin.com/in/nill-santos-a7b99b183" TargetMode="External"/><Relationship Id="rId2182" Type="http://schemas.openxmlformats.org/officeDocument/2006/relationships/hyperlink" Target="https://instagram.com/lanadotamojunto?igshid=YmMyMTA2M2Y=" TargetMode="External"/><Relationship Id="rId154" Type="http://schemas.openxmlformats.org/officeDocument/2006/relationships/hyperlink" Target="https://www.instagram.com/deborabatistacis/" TargetMode="External"/><Relationship Id="rId361" Type="http://schemas.openxmlformats.org/officeDocument/2006/relationships/hyperlink" Target="https://gerandofalcoes.my.salesforce.com/0014X00002VKCvEQAX" TargetMode="External"/><Relationship Id="rId599" Type="http://schemas.openxmlformats.org/officeDocument/2006/relationships/hyperlink" Target="https://gerandofalcoes.my.salesforce.com/0034X0000380O2s" TargetMode="External"/><Relationship Id="rId2042" Type="http://schemas.openxmlformats.org/officeDocument/2006/relationships/hyperlink" Target="https://gerandofalcoes.my.salesforce.com/0014X00002VKCqnQAH" TargetMode="External"/><Relationship Id="rId459" Type="http://schemas.openxmlformats.org/officeDocument/2006/relationships/hyperlink" Target="https://gerandofalcoes.my.salesforce.com/0014P00003AN2h4QAD" TargetMode="External"/><Relationship Id="rId666" Type="http://schemas.openxmlformats.org/officeDocument/2006/relationships/hyperlink" Target="https://gerandofalcoes.my.salesforce.com/0034P000045kxkk" TargetMode="External"/><Relationship Id="rId873" Type="http://schemas.openxmlformats.org/officeDocument/2006/relationships/hyperlink" Target="https://www.linkedin.com/in/francine-cabral-56a203157/" TargetMode="External"/><Relationship Id="rId1089" Type="http://schemas.openxmlformats.org/officeDocument/2006/relationships/hyperlink" Target="https://drive.google.com/open?id=1GyR81bknWt8oajozWNTUrLma3vUPQ8ul" TargetMode="External"/><Relationship Id="rId1296" Type="http://schemas.openxmlformats.org/officeDocument/2006/relationships/hyperlink" Target="https://gerandofalcoes.my.salesforce.com/0014X00002VKCqLQAX" TargetMode="External"/><Relationship Id="rId2347" Type="http://schemas.openxmlformats.org/officeDocument/2006/relationships/hyperlink" Target="https://gerandofalcoes.my.salesforce.com/0034X0000380O6G" TargetMode="External"/><Relationship Id="rId221" Type="http://schemas.openxmlformats.org/officeDocument/2006/relationships/hyperlink" Target="https://instagram.com/tom_maiorcapoeira?utm_medium=copy_link" TargetMode="External"/><Relationship Id="rId319" Type="http://schemas.openxmlformats.org/officeDocument/2006/relationships/hyperlink" Target="https://gerandofalcoes.my.salesforce.com/0034X0000380O1l" TargetMode="External"/><Relationship Id="rId526" Type="http://schemas.openxmlformats.org/officeDocument/2006/relationships/hyperlink" Target="https://drive.google.com/open?id=1UulyPyr83IFyDILsTaduL1o7Cwf66gbP" TargetMode="External"/><Relationship Id="rId1156" Type="http://schemas.openxmlformats.org/officeDocument/2006/relationships/hyperlink" Target="https://gerandofalcoes.my.salesforce.com/0034X0000380O2c" TargetMode="External"/><Relationship Id="rId1363" Type="http://schemas.openxmlformats.org/officeDocument/2006/relationships/hyperlink" Target="https://gerandofalcoes.my.salesforce.com/0034P000045kxjl" TargetMode="External"/><Relationship Id="rId2207" Type="http://schemas.openxmlformats.org/officeDocument/2006/relationships/hyperlink" Target="https://gerandofalcoes.my.salesforce.com/0014X00002PUOY7QAP" TargetMode="External"/><Relationship Id="rId733" Type="http://schemas.openxmlformats.org/officeDocument/2006/relationships/hyperlink" Target="https://drive.google.com/open?id=1weUZCZS_PVcl6rJKWbsmcf8TkodO0mcM" TargetMode="External"/><Relationship Id="rId940" Type="http://schemas.openxmlformats.org/officeDocument/2006/relationships/hyperlink" Target="https://gerandofalcoes.my.salesforce.com/0014X00002VKCpPQAX" TargetMode="External"/><Relationship Id="rId1016" Type="http://schemas.openxmlformats.org/officeDocument/2006/relationships/hyperlink" Target="https://gerandofalcoes.my.salesforce.com/0014X00002VKCtpQAH" TargetMode="External"/><Relationship Id="rId1570" Type="http://schemas.openxmlformats.org/officeDocument/2006/relationships/hyperlink" Target="https://www.instagram.com/umanovachance_aracati/" TargetMode="External"/><Relationship Id="rId1668" Type="http://schemas.openxmlformats.org/officeDocument/2006/relationships/hyperlink" Target="https://drive.google.com/open?id=1FQcTfWw_IHIbnu7jcLcrFAD0m65O-F-S" TargetMode="External"/><Relationship Id="rId1875" Type="http://schemas.openxmlformats.org/officeDocument/2006/relationships/hyperlink" Target="https://www.linkedin.com/in/winy-fabiano-42919b150" TargetMode="External"/><Relationship Id="rId800" Type="http://schemas.openxmlformats.org/officeDocument/2006/relationships/hyperlink" Target="https://www.instagram.com/pra.silvia.9/p/CYxP1L9p8Z3/?utm_medium=share_sheet" TargetMode="External"/><Relationship Id="rId1223" Type="http://schemas.openxmlformats.org/officeDocument/2006/relationships/hyperlink" Target="https://drive.google.com/open?id=1XulEWimax2WJSxW_F8l37ZtUxeeFBgyR" TargetMode="External"/><Relationship Id="rId1430" Type="http://schemas.openxmlformats.org/officeDocument/2006/relationships/hyperlink" Target="https://gerandofalcoes.my.salesforce.com/0014P00003YSp87QAD" TargetMode="External"/><Relationship Id="rId1528" Type="http://schemas.openxmlformats.org/officeDocument/2006/relationships/hyperlink" Target="https://drive.google.com/open?id=1gcgliDhEdM_0prKU-Gej3zxAbI3H8c_q" TargetMode="External"/><Relationship Id="rId1735" Type="http://schemas.openxmlformats.org/officeDocument/2006/relationships/hyperlink" Target="https://gerandofalcoes.my.salesforce.com/0034P00003maBVh" TargetMode="External"/><Relationship Id="rId1942" Type="http://schemas.openxmlformats.org/officeDocument/2006/relationships/hyperlink" Target="https://drive.google.com/open?id=1lVruTCt34Gfcu971bDo1y0-xo6P41EPF" TargetMode="External"/><Relationship Id="rId27" Type="http://schemas.openxmlformats.org/officeDocument/2006/relationships/hyperlink" Target="https://gerandofalcoes.my.salesforce.com/0014X00002VKCuLQAX" TargetMode="External"/><Relationship Id="rId1802" Type="http://schemas.openxmlformats.org/officeDocument/2006/relationships/hyperlink" Target="https://gerandofalcoes.my.salesforce.com/0034X0000380O5P" TargetMode="External"/><Relationship Id="rId176" Type="http://schemas.openxmlformats.org/officeDocument/2006/relationships/hyperlink" Target="https://instagram.com/tamy7827?utm_medium=copy_link" TargetMode="External"/><Relationship Id="rId383" Type="http://schemas.openxmlformats.org/officeDocument/2006/relationships/hyperlink" Target="https://drive.google.com/open?id=10XvDRwTJMfsKkC0kFu7xTWh5ePdPnqvW" TargetMode="External"/><Relationship Id="rId590" Type="http://schemas.openxmlformats.org/officeDocument/2006/relationships/hyperlink" Target="https://www.linkedin.com/in/raquel-narciso-70775a118/" TargetMode="External"/><Relationship Id="rId2064" Type="http://schemas.openxmlformats.org/officeDocument/2006/relationships/hyperlink" Target="https://drive.google.com/open?id=1rrLLVE3wghtQpyvPEqwpzDA7JHkOGbMw" TargetMode="External"/><Relationship Id="rId2271" Type="http://schemas.openxmlformats.org/officeDocument/2006/relationships/hyperlink" Target="https://gerandofalcoes.my.salesforce.com/0034P000045kxkM" TargetMode="External"/><Relationship Id="rId243" Type="http://schemas.openxmlformats.org/officeDocument/2006/relationships/hyperlink" Target="https://drive.google.com/open?id=1TuH7oeOiV50eTT_bsxMw4LZa4Ed0wqbS" TargetMode="External"/><Relationship Id="rId450" Type="http://schemas.openxmlformats.org/officeDocument/2006/relationships/hyperlink" Target="https://gerandofalcoes.my.salesforce.com/0014X00002VKCugQAH" TargetMode="External"/><Relationship Id="rId688" Type="http://schemas.openxmlformats.org/officeDocument/2006/relationships/hyperlink" Target="https://drive.google.com/open?id=1XUzHhlQDth3QLTll_kXA8v-OdFga_dyd" TargetMode="External"/><Relationship Id="rId895" Type="http://schemas.openxmlformats.org/officeDocument/2006/relationships/hyperlink" Target="https://gerandofalcoes.my.salesforce.com/0014X00002VKCuBQAX" TargetMode="External"/><Relationship Id="rId1080" Type="http://schemas.openxmlformats.org/officeDocument/2006/relationships/hyperlink" Target="http://instagram.com/vai_daiene" TargetMode="External"/><Relationship Id="rId2131" Type="http://schemas.openxmlformats.org/officeDocument/2006/relationships/hyperlink" Target="https://drive.google.com/open?id=1ayBZhrzuq5Zs4dq8iitt6RlqmoscT9YK" TargetMode="External"/><Relationship Id="rId2369" Type="http://schemas.openxmlformats.org/officeDocument/2006/relationships/hyperlink" Target="https://gerandofalcoes.my.salesforce.com/0034X0000315PQy" TargetMode="External"/><Relationship Id="rId103" Type="http://schemas.openxmlformats.org/officeDocument/2006/relationships/hyperlink" Target="https://www.linkedin.com/in/edna-padilha-93a183151/" TargetMode="External"/><Relationship Id="rId310" Type="http://schemas.openxmlformats.org/officeDocument/2006/relationships/hyperlink" Target="https://drive.google.com/open?id=1DIeaX3NqyOOH23coh_ArwkyIHy-jRA-R" TargetMode="External"/><Relationship Id="rId548" Type="http://schemas.openxmlformats.org/officeDocument/2006/relationships/hyperlink" Target="https://drive.google.com/open?id=1Y3QGHCbTo8ym3hVSVASmIi_iWDz-znC0" TargetMode="External"/><Relationship Id="rId755" Type="http://schemas.openxmlformats.org/officeDocument/2006/relationships/hyperlink" Target="https://gerandofalcoes.my.salesforce.com/0034X0000380O6K" TargetMode="External"/><Relationship Id="rId962" Type="http://schemas.openxmlformats.org/officeDocument/2006/relationships/hyperlink" Target="https://gerandofalcoes.my.salesforce.com/0034X0000380O6W" TargetMode="External"/><Relationship Id="rId1178" Type="http://schemas.openxmlformats.org/officeDocument/2006/relationships/hyperlink" Target="https://gerandofalcoes.my.salesforce.com/0014X00002UGscXQAT" TargetMode="External"/><Relationship Id="rId1385" Type="http://schemas.openxmlformats.org/officeDocument/2006/relationships/hyperlink" Target="https://gerandofalcoes.my.salesforce.com/0014P00003YSp8FQAT" TargetMode="External"/><Relationship Id="rId1592" Type="http://schemas.openxmlformats.org/officeDocument/2006/relationships/hyperlink" Target="https://drive.google.com/open?id=11hmuoV5By7TwSZEiox_U-pMWUecWMfTO" TargetMode="External"/><Relationship Id="rId2229" Type="http://schemas.openxmlformats.org/officeDocument/2006/relationships/hyperlink" Target="https://gerandofalcoes.my.salesforce.com/0014X00002VKCt0QAH" TargetMode="External"/><Relationship Id="rId91" Type="http://schemas.openxmlformats.org/officeDocument/2006/relationships/hyperlink" Target="https://www.instagram.com/invites/contact/?i=1sxetkgq92a07&amp;utm_content=pj9c0l" TargetMode="External"/><Relationship Id="rId408" Type="http://schemas.openxmlformats.org/officeDocument/2006/relationships/hyperlink" Target="https://gerandofalcoes.my.salesforce.com/0014P00003YSp8UQAT" TargetMode="External"/><Relationship Id="rId615" Type="http://schemas.openxmlformats.org/officeDocument/2006/relationships/hyperlink" Target="https://drive.google.com/open?id=1-aKVwh3CLvsF_ErH9avirRNDRtJNuc5L" TargetMode="External"/><Relationship Id="rId822" Type="http://schemas.openxmlformats.org/officeDocument/2006/relationships/hyperlink" Target="https://gerandofalcoes.my.salesforce.com/0014X00002VKCsFQAX" TargetMode="External"/><Relationship Id="rId1038" Type="http://schemas.openxmlformats.org/officeDocument/2006/relationships/hyperlink" Target="https://gerandofalcoes.my.salesforce.com/0014P00003YSpACQA1" TargetMode="External"/><Relationship Id="rId1245" Type="http://schemas.openxmlformats.org/officeDocument/2006/relationships/hyperlink" Target="https://br.linkedin.com/" TargetMode="External"/><Relationship Id="rId1452" Type="http://schemas.openxmlformats.org/officeDocument/2006/relationships/hyperlink" Target="https://www.instagram.com/miqueiascoosta/" TargetMode="External"/><Relationship Id="rId1897" Type="http://schemas.openxmlformats.org/officeDocument/2006/relationships/hyperlink" Target="https://drive.google.com/open?id=1hFpaQh1Er-ptYpVeMbd2ZFSsKNu2SNTW" TargetMode="External"/><Relationship Id="rId1105" Type="http://schemas.openxmlformats.org/officeDocument/2006/relationships/hyperlink" Target="https://drive.google.com/open?id=1n3xSctsNxYHgzB6nSco9yWYHAI3fAb6r" TargetMode="External"/><Relationship Id="rId1312" Type="http://schemas.openxmlformats.org/officeDocument/2006/relationships/hyperlink" Target="https://www.instagram.com/uelitonrochaoficial" TargetMode="External"/><Relationship Id="rId1757" Type="http://schemas.openxmlformats.org/officeDocument/2006/relationships/hyperlink" Target="https://gerandofalcoes.my.salesforce.com/0034X0000380O1m" TargetMode="External"/><Relationship Id="rId1964" Type="http://schemas.openxmlformats.org/officeDocument/2006/relationships/hyperlink" Target="https://gerandofalcoes.my.salesforce.com/0034P000045kxjJ" TargetMode="External"/><Relationship Id="rId49" Type="http://schemas.openxmlformats.org/officeDocument/2006/relationships/hyperlink" Target="https://gerandofalcoes.my.salesforce.com/0014P00003YSp9wQAD" TargetMode="External"/><Relationship Id="rId1617" Type="http://schemas.openxmlformats.org/officeDocument/2006/relationships/hyperlink" Target="https://gerandofalcoes.my.salesforce.com/0034P000045kxim" TargetMode="External"/><Relationship Id="rId1824" Type="http://schemas.openxmlformats.org/officeDocument/2006/relationships/hyperlink" Target="https://gerandofalcoes.my.salesforce.com/0034X0000380O2N" TargetMode="External"/><Relationship Id="rId198" Type="http://schemas.openxmlformats.org/officeDocument/2006/relationships/hyperlink" Target="https://drive.google.com/open?id=1ztvguk7CYKaQV_XpTEEXr4TBWqPXhJc1" TargetMode="External"/><Relationship Id="rId2086" Type="http://schemas.openxmlformats.org/officeDocument/2006/relationships/hyperlink" Target="https://drive.google.com/open?id=1xQ17y6EOk8rXGMeFp_zlon9K2-t2RZJs" TargetMode="External"/><Relationship Id="rId2293" Type="http://schemas.openxmlformats.org/officeDocument/2006/relationships/hyperlink" Target="https://drive.google.com/open?id=1_0mlwdMXkW5YSV6cRGSh2d8G4969gwQp" TargetMode="External"/><Relationship Id="rId265" Type="http://schemas.openxmlformats.org/officeDocument/2006/relationships/hyperlink" Target="https://gerandofalcoes.my.salesforce.com/0034P000045kxie" TargetMode="External"/><Relationship Id="rId472" Type="http://schemas.openxmlformats.org/officeDocument/2006/relationships/hyperlink" Target="https://www.instagram.com/invites/contact/?i=38p196ub57as&amp;utm_content=x51893" TargetMode="External"/><Relationship Id="rId2153" Type="http://schemas.openxmlformats.org/officeDocument/2006/relationships/hyperlink" Target="https://gerandofalcoes.my.salesforce.com/0014X00002VKCsBQAX" TargetMode="External"/><Relationship Id="rId2360" Type="http://schemas.openxmlformats.org/officeDocument/2006/relationships/hyperlink" Target="https://gerandofalcoes.my.salesforce.com/0014X00002VKCpIQAX" TargetMode="External"/><Relationship Id="rId125" Type="http://schemas.openxmlformats.org/officeDocument/2006/relationships/hyperlink" Target="https://gerandofalcoes.my.salesforce.com/0034P000045kxjz" TargetMode="External"/><Relationship Id="rId332" Type="http://schemas.openxmlformats.org/officeDocument/2006/relationships/hyperlink" Target="https://drive.google.com/open?id=1DKY-InFZXUqBBZyOmp_kqN5PD8sCjywv" TargetMode="External"/><Relationship Id="rId777" Type="http://schemas.openxmlformats.org/officeDocument/2006/relationships/hyperlink" Target="https://drive.google.com/open?id=1xbChjiXENRjFS25V3LN4VmYDjHQSrQ1y" TargetMode="External"/><Relationship Id="rId984" Type="http://schemas.openxmlformats.org/officeDocument/2006/relationships/hyperlink" Target="https://www.linkedin.com/in/joaopaulorochacamargo/" TargetMode="External"/><Relationship Id="rId2013" Type="http://schemas.openxmlformats.org/officeDocument/2006/relationships/hyperlink" Target="https://gerandofalcoes.my.salesforce.com/0014P00003SGWQ8QAP" TargetMode="External"/><Relationship Id="rId2220" Type="http://schemas.openxmlformats.org/officeDocument/2006/relationships/hyperlink" Target="https://drive.google.com/open?id=1sHEUX33s7RrZ0N0VAqDK0qgtfp3hLqEi" TargetMode="External"/><Relationship Id="rId637" Type="http://schemas.openxmlformats.org/officeDocument/2006/relationships/hyperlink" Target="https://gerandofalcoes.my.salesforce.com/0014P00003YSp7eQAD" TargetMode="External"/><Relationship Id="rId844" Type="http://schemas.openxmlformats.org/officeDocument/2006/relationships/hyperlink" Target="https://gerandofalcoes.my.salesforce.com/0034X0000380O3k" TargetMode="External"/><Relationship Id="rId1267" Type="http://schemas.openxmlformats.org/officeDocument/2006/relationships/hyperlink" Target="https://drive.google.com/open?id=1Z7g0O8jNzhBBXqpVxRAfTjxnSBfS2s8p" TargetMode="External"/><Relationship Id="rId1474" Type="http://schemas.openxmlformats.org/officeDocument/2006/relationships/hyperlink" Target="https://drive.google.com/open?id=1CzKxzIX-HTAbUhwkS0GrOtuR1ZJm8WEj" TargetMode="External"/><Relationship Id="rId1681" Type="http://schemas.openxmlformats.org/officeDocument/2006/relationships/hyperlink" Target="https://gerandofalcoes.my.salesforce.com/0034P000045kxka" TargetMode="External"/><Relationship Id="rId2318" Type="http://schemas.openxmlformats.org/officeDocument/2006/relationships/hyperlink" Target="https://gerandofalcoes.my.salesforce.com/0034X0000380O6p" TargetMode="External"/><Relationship Id="rId704" Type="http://schemas.openxmlformats.org/officeDocument/2006/relationships/hyperlink" Target="https://gerandofalcoes.my.salesforce.com/0014P00003YSp7lQAD" TargetMode="External"/><Relationship Id="rId911" Type="http://schemas.openxmlformats.org/officeDocument/2006/relationships/hyperlink" Target="https://gerandofalcoes.my.salesforce.com/0014P00003YSp81QAD" TargetMode="External"/><Relationship Id="rId1127" Type="http://schemas.openxmlformats.org/officeDocument/2006/relationships/hyperlink" Target="https://drive.google.com/open?id=1bHsGUao27GzzCvoqQtdNG0YlcaZ8r7HK" TargetMode="External"/><Relationship Id="rId1334" Type="http://schemas.openxmlformats.org/officeDocument/2006/relationships/hyperlink" Target="https://www.linkedin.com/in/projeto-os-sonhadores-fernand%C3%B3polis-214b35200/" TargetMode="External"/><Relationship Id="rId1541" Type="http://schemas.openxmlformats.org/officeDocument/2006/relationships/hyperlink" Target="https://drive.google.com/open?id=197iIb1zanrEMyLwY7frXhQ67AfPgp2i0" TargetMode="External"/><Relationship Id="rId1779" Type="http://schemas.openxmlformats.org/officeDocument/2006/relationships/hyperlink" Target="https://gerandofalcoes.my.salesforce.com/0014P00003YSpAIQA1" TargetMode="External"/><Relationship Id="rId1986" Type="http://schemas.openxmlformats.org/officeDocument/2006/relationships/hyperlink" Target="https://drive.google.com/open?id=1IC_xNtVEGCvac2r8WTFQEp236RM3NI4I" TargetMode="External"/><Relationship Id="rId40" Type="http://schemas.openxmlformats.org/officeDocument/2006/relationships/hyperlink" Target="https://gerandofalcoes.my.salesforce.com/0014X00002VKCpjQAH" TargetMode="External"/><Relationship Id="rId1401" Type="http://schemas.openxmlformats.org/officeDocument/2006/relationships/hyperlink" Target="https://drive.google.com/open?id=149-t5KDdU-ThjbJi8Q__rsau8Il3CISt" TargetMode="External"/><Relationship Id="rId1639" Type="http://schemas.openxmlformats.org/officeDocument/2006/relationships/hyperlink" Target="https://drive.google.com/open?id=1XPna0RseEvDFPWGSmRqqa7d3l5GJ32ee" TargetMode="External"/><Relationship Id="rId1846" Type="http://schemas.openxmlformats.org/officeDocument/2006/relationships/hyperlink" Target="https://gerandofalcoes.my.salesforce.com/0014X00002VKCstQAH" TargetMode="External"/><Relationship Id="rId1706" Type="http://schemas.openxmlformats.org/officeDocument/2006/relationships/hyperlink" Target="https://drive.google.com/open?id=1MMXWQerkqwsIAZAz8dY_kaKkI4sXGc3s" TargetMode="External"/><Relationship Id="rId1913" Type="http://schemas.openxmlformats.org/officeDocument/2006/relationships/hyperlink" Target="https://gerandofalcoes.my.salesforce.com/0014X00002VKCouQAH" TargetMode="External"/><Relationship Id="rId287" Type="http://schemas.openxmlformats.org/officeDocument/2006/relationships/hyperlink" Target="https://gerandofalcoes.my.salesforce.com/0034X0000380O11" TargetMode="External"/><Relationship Id="rId494" Type="http://schemas.openxmlformats.org/officeDocument/2006/relationships/hyperlink" Target="https://www.linkedin.com/in/johnny-santana-014aa0216/" TargetMode="External"/><Relationship Id="rId2175" Type="http://schemas.openxmlformats.org/officeDocument/2006/relationships/hyperlink" Target="https://drive.google.com/open?id=1IMThmpvK_CfgAsn-Bz__CxzBUVCFks4J" TargetMode="External"/><Relationship Id="rId2382" Type="http://schemas.openxmlformats.org/officeDocument/2006/relationships/hyperlink" Target="https://gerandofalcoes.my.salesforce.com/0014P00003YSp7pQAD" TargetMode="External"/><Relationship Id="rId147" Type="http://schemas.openxmlformats.org/officeDocument/2006/relationships/hyperlink" Target="https://gerandofalcoes.my.salesforce.com/0034P000043fOno" TargetMode="External"/><Relationship Id="rId354" Type="http://schemas.openxmlformats.org/officeDocument/2006/relationships/hyperlink" Target="https://instagram.com/wilaneide_campos?utm_medium=copy_link" TargetMode="External"/><Relationship Id="rId799" Type="http://schemas.openxmlformats.org/officeDocument/2006/relationships/hyperlink" Target="https://gerandofalcoes.my.salesforce.com/0034X0000380O3F" TargetMode="External"/><Relationship Id="rId1191" Type="http://schemas.openxmlformats.org/officeDocument/2006/relationships/hyperlink" Target="https://gerandofalcoes.my.salesforce.com/0034P000045kxiz" TargetMode="External"/><Relationship Id="rId2035" Type="http://schemas.openxmlformats.org/officeDocument/2006/relationships/hyperlink" Target="https://gerandofalcoes.my.salesforce.com/0034P00003maBVc" TargetMode="External"/><Relationship Id="rId561" Type="http://schemas.openxmlformats.org/officeDocument/2006/relationships/hyperlink" Target="https://drive.google.com/open?id=15-c3u4UvtBJAJKWCM81WMRBQVW5uTX2n" TargetMode="External"/><Relationship Id="rId659" Type="http://schemas.openxmlformats.org/officeDocument/2006/relationships/hyperlink" Target="https://instagram.com/lucasholandasv?utm_medium=copy_link" TargetMode="External"/><Relationship Id="rId866" Type="http://schemas.openxmlformats.org/officeDocument/2006/relationships/hyperlink" Target="https://drive.google.com/open?id=1tYyJSmrO54A7ctxwjHAYQud7l2aYEN7D" TargetMode="External"/><Relationship Id="rId1289" Type="http://schemas.openxmlformats.org/officeDocument/2006/relationships/hyperlink" Target="https://instagram.com/andredasaguias?utm_medium=copy_link" TargetMode="External"/><Relationship Id="rId1496" Type="http://schemas.openxmlformats.org/officeDocument/2006/relationships/hyperlink" Target="https://gerandofalcoes.my.salesforce.com/0034X000033zzcD" TargetMode="External"/><Relationship Id="rId2242" Type="http://schemas.openxmlformats.org/officeDocument/2006/relationships/hyperlink" Target="https://instagram.com/fabiioanacleto?utm_medium=copy_link" TargetMode="External"/><Relationship Id="rId214" Type="http://schemas.openxmlformats.org/officeDocument/2006/relationships/hyperlink" Target="https://gerandofalcoes.my.salesforce.com/0014P00003AN2G6QAL" TargetMode="External"/><Relationship Id="rId421" Type="http://schemas.openxmlformats.org/officeDocument/2006/relationships/hyperlink" Target="https://gerandofalcoes.my.salesforce.com/0014X00002VKCqtQAH" TargetMode="External"/><Relationship Id="rId519" Type="http://schemas.openxmlformats.org/officeDocument/2006/relationships/hyperlink" Target="https://drive.google.com/open?id=17ZG_6zNDm8WYy3yyleKlYnErdOswbd6d" TargetMode="External"/><Relationship Id="rId1051" Type="http://schemas.openxmlformats.org/officeDocument/2006/relationships/hyperlink" Target="https://gerandofalcoes.my.salesforce.com/0014X00002VKCslQAH" TargetMode="External"/><Relationship Id="rId1149" Type="http://schemas.openxmlformats.org/officeDocument/2006/relationships/hyperlink" Target="https://drive.google.com/open?id=1FS1cYvmyQ1TCh2s1iBCFGARCtzywTJM7" TargetMode="External"/><Relationship Id="rId1356" Type="http://schemas.openxmlformats.org/officeDocument/2006/relationships/hyperlink" Target="https://drive.google.com/open?id=1DEHDZDM4tdR1Er_CNaNX3APZylQ1vCxm" TargetMode="External"/><Relationship Id="rId2102" Type="http://schemas.openxmlformats.org/officeDocument/2006/relationships/hyperlink" Target="https://gerandofalcoes.my.salesforce.com/0014X00002VKCsaQAH" TargetMode="External"/><Relationship Id="rId726" Type="http://schemas.openxmlformats.org/officeDocument/2006/relationships/hyperlink" Target="https://www.linkedin.com/in/jaqueline-oliveira-90664a1b5/?midToken=AQHIDWjkjLIB5g&amp;midSig=3fVuhkKMUVEpQ1&amp;trk=eml-email_job_alert_digest_01-header-40-profile&amp;trkEmail=eml-email_job_alert_digest_01-header-40-profile-null-dwi6c6%7Ekr6nedsj%7E51-null-neptune%252" TargetMode="External"/><Relationship Id="rId933" Type="http://schemas.openxmlformats.org/officeDocument/2006/relationships/hyperlink" Target="https://drive.google.com/open?id=1PfbGNl0JS3wD9XQbpc4Dmax5oiWgqZO4" TargetMode="External"/><Relationship Id="rId1009" Type="http://schemas.openxmlformats.org/officeDocument/2006/relationships/hyperlink" Target="https://gerandofalcoes.my.salesforce.com/0034X0000380O5x" TargetMode="External"/><Relationship Id="rId1563" Type="http://schemas.openxmlformats.org/officeDocument/2006/relationships/hyperlink" Target="https://www.instagram.com/nobredazo/" TargetMode="External"/><Relationship Id="rId1770" Type="http://schemas.openxmlformats.org/officeDocument/2006/relationships/hyperlink" Target="https://gerandofalcoes.my.salesforce.com/0014P00003SGWPnQAP" TargetMode="External"/><Relationship Id="rId1868" Type="http://schemas.openxmlformats.org/officeDocument/2006/relationships/hyperlink" Target="http://robertamaranhao.pe/" TargetMode="External"/><Relationship Id="rId62" Type="http://schemas.openxmlformats.org/officeDocument/2006/relationships/hyperlink" Target="https://www.linkedin.com/in/maria-de-f%C3%A1tima-queiroz-de-oliveira-0383a94b/" TargetMode="External"/><Relationship Id="rId1216" Type="http://schemas.openxmlformats.org/officeDocument/2006/relationships/hyperlink" Target="https://www.instagram.com/alinepierrobom" TargetMode="External"/><Relationship Id="rId1423" Type="http://schemas.openxmlformats.org/officeDocument/2006/relationships/hyperlink" Target="https://gerandofalcoes.my.salesforce.com/0034P00003maCd8" TargetMode="External"/><Relationship Id="rId1630" Type="http://schemas.openxmlformats.org/officeDocument/2006/relationships/hyperlink" Target="https://drive.google.com/open?id=14bXU21bXR6FHq480vfUXu9DUlP3nHY-A" TargetMode="External"/><Relationship Id="rId1728" Type="http://schemas.openxmlformats.org/officeDocument/2006/relationships/hyperlink" Target="https://instagram.com/odilonnaraujo?utm_medium=copy_link" TargetMode="External"/><Relationship Id="rId1935" Type="http://schemas.openxmlformats.org/officeDocument/2006/relationships/hyperlink" Target="https://gerandofalcoes.my.salesforce.com/0014X00002VKCrfQAH" TargetMode="External"/><Relationship Id="rId2197" Type="http://schemas.openxmlformats.org/officeDocument/2006/relationships/hyperlink" Target="https://gerandofalcoes.my.salesforce.com/0014X00002VKCsMQAX" TargetMode="External"/><Relationship Id="rId169" Type="http://schemas.openxmlformats.org/officeDocument/2006/relationships/hyperlink" Target="https://drive.google.com/open?id=1yvpmgaR7_4STXkh3M9QnI-8WTl4wX9hz" TargetMode="External"/><Relationship Id="rId376" Type="http://schemas.openxmlformats.org/officeDocument/2006/relationships/hyperlink" Target="https://gerandofalcoes.my.salesforce.com/0034P00003maBVo" TargetMode="External"/><Relationship Id="rId583" Type="http://schemas.openxmlformats.org/officeDocument/2006/relationships/hyperlink" Target="https://gerandofalcoes.my.salesforce.com/0014P00003AN2G4QAL" TargetMode="External"/><Relationship Id="rId790" Type="http://schemas.openxmlformats.org/officeDocument/2006/relationships/hyperlink" Target="https://gerandofalcoes.my.salesforce.com/0034P000045kxj9" TargetMode="External"/><Relationship Id="rId2057" Type="http://schemas.openxmlformats.org/officeDocument/2006/relationships/hyperlink" Target="http://www.linkedin.com/in/jedsonmoura" TargetMode="External"/><Relationship Id="rId2264" Type="http://schemas.openxmlformats.org/officeDocument/2006/relationships/hyperlink" Target="https://drive.google.com/open?id=1Hw-oE0dFFEbDF7PnqvfrBWXxrVeGjGFH" TargetMode="External"/><Relationship Id="rId4" Type="http://schemas.openxmlformats.org/officeDocument/2006/relationships/hyperlink" Target="https://instagram.com/ongabcjuntossomosfortes" TargetMode="External"/><Relationship Id="rId236" Type="http://schemas.openxmlformats.org/officeDocument/2006/relationships/hyperlink" Target="https://gerandofalcoes.my.salesforce.com/0014P00003AN2FWQA1" TargetMode="External"/><Relationship Id="rId443" Type="http://schemas.openxmlformats.org/officeDocument/2006/relationships/hyperlink" Target="https://gerandofalcoes.my.salesforce.com/0034X0000380O0o" TargetMode="External"/><Relationship Id="rId650" Type="http://schemas.openxmlformats.org/officeDocument/2006/relationships/hyperlink" Target="https://gerandofalcoes.my.salesforce.com/0034X0000380O4X" TargetMode="External"/><Relationship Id="rId888" Type="http://schemas.openxmlformats.org/officeDocument/2006/relationships/hyperlink" Target="https://gerandofalcoes.my.salesforce.com/0014P00003YSp8wQAD" TargetMode="External"/><Relationship Id="rId1073" Type="http://schemas.openxmlformats.org/officeDocument/2006/relationships/hyperlink" Target="https://drive.google.com/open?id=1m32qZqSFa1DIecIL-GkrHBaQr9pZwA-T" TargetMode="External"/><Relationship Id="rId1280" Type="http://schemas.openxmlformats.org/officeDocument/2006/relationships/hyperlink" Target="https://www.instagram.com/tulio_damascena/" TargetMode="External"/><Relationship Id="rId2124" Type="http://schemas.openxmlformats.org/officeDocument/2006/relationships/hyperlink" Target="https://gerandofalcoes.my.salesforce.com/0034X0000380O56" TargetMode="External"/><Relationship Id="rId2331" Type="http://schemas.openxmlformats.org/officeDocument/2006/relationships/hyperlink" Target="https://www.linkedin.com/in/priscila-dias-47560848/" TargetMode="External"/><Relationship Id="rId303" Type="http://schemas.openxmlformats.org/officeDocument/2006/relationships/hyperlink" Target="https://gerandofalcoes.my.salesforce.com/0014P00003YSp97QAD" TargetMode="External"/><Relationship Id="rId748" Type="http://schemas.openxmlformats.org/officeDocument/2006/relationships/hyperlink" Target="https://gerandofalcoes.my.salesforce.com/0014X00002VKCpWQAX" TargetMode="External"/><Relationship Id="rId955" Type="http://schemas.openxmlformats.org/officeDocument/2006/relationships/hyperlink" Target="https://gerandofalcoes.my.salesforce.com/0034X0000380O6f" TargetMode="External"/><Relationship Id="rId1140" Type="http://schemas.openxmlformats.org/officeDocument/2006/relationships/hyperlink" Target="https://drive.google.com/open?id=1-j9s7QePGLTyWOuXHV7NoblF8HsDWPQF" TargetMode="External"/><Relationship Id="rId1378" Type="http://schemas.openxmlformats.org/officeDocument/2006/relationships/hyperlink" Target="https://www.linkedin.com/in/carlos-moura-272b652a" TargetMode="External"/><Relationship Id="rId1585" Type="http://schemas.openxmlformats.org/officeDocument/2006/relationships/hyperlink" Target="https://drive.google.com/open?id=17ivgFZ9xSNJPixxu1U3-S3ySmpIEbZ1O" TargetMode="External"/><Relationship Id="rId1792" Type="http://schemas.openxmlformats.org/officeDocument/2006/relationships/hyperlink" Target="https://gerandofalcoes.my.salesforce.com/0034X0000380O23" TargetMode="External"/><Relationship Id="rId84" Type="http://schemas.openxmlformats.org/officeDocument/2006/relationships/hyperlink" Target="https://gerandofalcoes.my.salesforce.com/0034P000043fOoG" TargetMode="External"/><Relationship Id="rId510" Type="http://schemas.openxmlformats.org/officeDocument/2006/relationships/hyperlink" Target="https://gerandofalcoes.my.salesforce.com/0034X0000380O5J" TargetMode="External"/><Relationship Id="rId608" Type="http://schemas.openxmlformats.org/officeDocument/2006/relationships/hyperlink" Target="https://www.linkedin.com/in/barbaraprojetoswell" TargetMode="External"/><Relationship Id="rId815" Type="http://schemas.openxmlformats.org/officeDocument/2006/relationships/hyperlink" Target="https://gerandofalcoes.my.salesforce.com/0034P000043fOnr" TargetMode="External"/><Relationship Id="rId1238" Type="http://schemas.openxmlformats.org/officeDocument/2006/relationships/hyperlink" Target="https://gerandofalcoes.my.salesforce.com/0014X00002VKCp6QAH" TargetMode="External"/><Relationship Id="rId1445" Type="http://schemas.openxmlformats.org/officeDocument/2006/relationships/hyperlink" Target="https://www.instagram.com/thiagonascimentogf/" TargetMode="External"/><Relationship Id="rId1652" Type="http://schemas.openxmlformats.org/officeDocument/2006/relationships/hyperlink" Target="https://drive.google.com/open?id=1qia0QiSELP4YAoVAki4Q40V_SLiqTYKu" TargetMode="External"/><Relationship Id="rId1000" Type="http://schemas.openxmlformats.org/officeDocument/2006/relationships/hyperlink" Target="https://gerandofalcoes.my.salesforce.com/0034X0000380O1c" TargetMode="External"/><Relationship Id="rId1305" Type="http://schemas.openxmlformats.org/officeDocument/2006/relationships/hyperlink" Target="https://gerandofalcoes.my.salesforce.com/0014P00003YSp7nQAD" TargetMode="External"/><Relationship Id="rId1957" Type="http://schemas.openxmlformats.org/officeDocument/2006/relationships/hyperlink" Target="https://instagram.com/natysilva6770?utm_medium=copy_link" TargetMode="External"/><Relationship Id="rId1512" Type="http://schemas.openxmlformats.org/officeDocument/2006/relationships/hyperlink" Target="https://drive.google.com/open?id=1HT4684CcpU-x676TP-UGAjLLj7HHmGvB" TargetMode="External"/><Relationship Id="rId1817" Type="http://schemas.openxmlformats.org/officeDocument/2006/relationships/hyperlink" Target="https://www.instagram.com/kajesoares/" TargetMode="External"/><Relationship Id="rId11" Type="http://schemas.openxmlformats.org/officeDocument/2006/relationships/hyperlink" Target="https://gerandofalcoes.my.salesforce.com/0034P000045kxkq" TargetMode="External"/><Relationship Id="rId398" Type="http://schemas.openxmlformats.org/officeDocument/2006/relationships/hyperlink" Target="https://br.linkedin.com/in/eduardo-de-jesus-santos-aa554a11a" TargetMode="External"/><Relationship Id="rId2079" Type="http://schemas.openxmlformats.org/officeDocument/2006/relationships/hyperlink" Target="https://gerandofalcoes.my.salesforce.com/0034X0000380O42" TargetMode="External"/><Relationship Id="rId160" Type="http://schemas.openxmlformats.org/officeDocument/2006/relationships/hyperlink" Target="https://drive.google.com/open?id=1l9e5dMuuDvX7D1xI2UOLsF5PCW3ZRS7g" TargetMode="External"/><Relationship Id="rId2286" Type="http://schemas.openxmlformats.org/officeDocument/2006/relationships/hyperlink" Target="https://gerandofalcoes.my.salesforce.com/0034X0000380O38" TargetMode="External"/><Relationship Id="rId258" Type="http://schemas.openxmlformats.org/officeDocument/2006/relationships/hyperlink" Target="https://drive.google.com/open?id=12bq2yNKMFgFevP4NOtpDE4zTZAdaOs0T" TargetMode="External"/><Relationship Id="rId465" Type="http://schemas.openxmlformats.org/officeDocument/2006/relationships/hyperlink" Target="https://gerandofalcoes.my.salesforce.com/0034P000045kxjm" TargetMode="External"/><Relationship Id="rId672" Type="http://schemas.openxmlformats.org/officeDocument/2006/relationships/hyperlink" Target="https://gerandofalcoes.my.salesforce.com/0014X00002VKCqJQAX" TargetMode="External"/><Relationship Id="rId1095" Type="http://schemas.openxmlformats.org/officeDocument/2006/relationships/hyperlink" Target="https://gerandofalcoes.my.salesforce.com/0034X0000380O2Q" TargetMode="External"/><Relationship Id="rId2146" Type="http://schemas.openxmlformats.org/officeDocument/2006/relationships/hyperlink" Target="https://gerandofalcoes.my.salesforce.com/0014P00003SGWPMQA5" TargetMode="External"/><Relationship Id="rId2353" Type="http://schemas.openxmlformats.org/officeDocument/2006/relationships/hyperlink" Target="https://www.instagram.com/tigopereira/" TargetMode="External"/><Relationship Id="rId118" Type="http://schemas.openxmlformats.org/officeDocument/2006/relationships/hyperlink" Target="https://drive.google.com/open?id=1SGUef26sFJHWhRHQIcix6448u72adioe" TargetMode="External"/><Relationship Id="rId325" Type="http://schemas.openxmlformats.org/officeDocument/2006/relationships/hyperlink" Target="https://drive.google.com/open?id=1Rn7yzOY7D1rUE0MVucmQ7s9RkkSmkuW7" TargetMode="External"/><Relationship Id="rId532" Type="http://schemas.openxmlformats.org/officeDocument/2006/relationships/hyperlink" Target="https://gerandofalcoes.my.salesforce.com/0014P00003YSpP9QAL" TargetMode="External"/><Relationship Id="rId977" Type="http://schemas.openxmlformats.org/officeDocument/2006/relationships/hyperlink" Target="https://drive.google.com/open?id=1HdsfVH9xyWjPzEDHcAiTdF3JxOmmHCNt" TargetMode="External"/><Relationship Id="rId1162" Type="http://schemas.openxmlformats.org/officeDocument/2006/relationships/hyperlink" Target="https://gerandofalcoes.my.salesforce.com/0014X00002VKCqlQAH" TargetMode="External"/><Relationship Id="rId2006" Type="http://schemas.openxmlformats.org/officeDocument/2006/relationships/hyperlink" Target="https://gerandofalcoes.my.salesforce.com/0014P00003YSp9cQAD" TargetMode="External"/><Relationship Id="rId2213" Type="http://schemas.openxmlformats.org/officeDocument/2006/relationships/hyperlink" Target="https://www.instagram.com/" TargetMode="External"/><Relationship Id="rId837" Type="http://schemas.openxmlformats.org/officeDocument/2006/relationships/hyperlink" Target="https://drive.google.com/open?id=1Jgsj2EMzkF0aRnL7_hHF34vHXyHTJeSn" TargetMode="External"/><Relationship Id="rId1022" Type="http://schemas.openxmlformats.org/officeDocument/2006/relationships/hyperlink" Target="https://gerandofalcoes.my.salesforce.com/0034X0000380O1n" TargetMode="External"/><Relationship Id="rId1467" Type="http://schemas.openxmlformats.org/officeDocument/2006/relationships/hyperlink" Target="https://gerandofalcoes.my.salesforce.com/0014P00003AN2FzQAL" TargetMode="External"/><Relationship Id="rId1674" Type="http://schemas.openxmlformats.org/officeDocument/2006/relationships/hyperlink" Target="https://gerandofalcoes.my.salesforce.com/0034X0000380O5r" TargetMode="External"/><Relationship Id="rId1881" Type="http://schemas.openxmlformats.org/officeDocument/2006/relationships/hyperlink" Target="https://drive.google.com/open?id=18k3beDwBTDIcBmzLT6V7X7sZZ42lcbwo" TargetMode="External"/><Relationship Id="rId904" Type="http://schemas.openxmlformats.org/officeDocument/2006/relationships/hyperlink" Target="https://gerandofalcoes.my.salesforce.com/0034X0000380O1N" TargetMode="External"/><Relationship Id="rId1327" Type="http://schemas.openxmlformats.org/officeDocument/2006/relationships/hyperlink" Target="http://instagram.com/carla.rodriguesms" TargetMode="External"/><Relationship Id="rId1534" Type="http://schemas.openxmlformats.org/officeDocument/2006/relationships/hyperlink" Target="https://gerandofalcoes.my.salesforce.com/0034P000043fOnX" TargetMode="External"/><Relationship Id="rId1741" Type="http://schemas.openxmlformats.org/officeDocument/2006/relationships/hyperlink" Target="https://www.instagram.com/andrade6126?r=nametag" TargetMode="External"/><Relationship Id="rId1979" Type="http://schemas.openxmlformats.org/officeDocument/2006/relationships/hyperlink" Target="https://www.instagram.com/wellsmatos/" TargetMode="External"/><Relationship Id="rId33" Type="http://schemas.openxmlformats.org/officeDocument/2006/relationships/hyperlink" Target="https://gerandofalcoes.my.salesforce.com/0014X00002VKCsRQAX" TargetMode="External"/><Relationship Id="rId1601" Type="http://schemas.openxmlformats.org/officeDocument/2006/relationships/hyperlink" Target="https://www.instagram.com/jacyoliveira_iptm/" TargetMode="External"/><Relationship Id="rId1839" Type="http://schemas.openxmlformats.org/officeDocument/2006/relationships/hyperlink" Target="https://gerandofalcoes.my.salesforce.com/0034X0000380O6q" TargetMode="External"/><Relationship Id="rId182" Type="http://schemas.openxmlformats.org/officeDocument/2006/relationships/hyperlink" Target="https://drive.google.com/open?id=1u9UpjxpQETbNQ6ah3PYU11qE6TFnMDXM" TargetMode="External"/><Relationship Id="rId1906" Type="http://schemas.openxmlformats.org/officeDocument/2006/relationships/hyperlink" Target="https://drive.google.com/open?id=1x6dXVupTpE0-r0Yz9ttId9f3ZQAH-Rhy" TargetMode="External"/><Relationship Id="rId487" Type="http://schemas.openxmlformats.org/officeDocument/2006/relationships/hyperlink" Target="https://drive.google.com/open?id=1cpz2rPcnWbNs-8wibYDK4X6iIpgHF9j8" TargetMode="External"/><Relationship Id="rId694" Type="http://schemas.openxmlformats.org/officeDocument/2006/relationships/hyperlink" Target="https://gerandofalcoes.my.salesforce.com/0034P000045kxkD" TargetMode="External"/><Relationship Id="rId2070" Type="http://schemas.openxmlformats.org/officeDocument/2006/relationships/hyperlink" Target="https://br.linkedin.com/in/bruno-marcondes-anastacio-6b3b3b95" TargetMode="External"/><Relationship Id="rId2168" Type="http://schemas.openxmlformats.org/officeDocument/2006/relationships/hyperlink" Target="https://gerandofalcoes.my.salesforce.com/0014X00002VKCpMQAX" TargetMode="External"/><Relationship Id="rId2375" Type="http://schemas.openxmlformats.org/officeDocument/2006/relationships/hyperlink" Target="https://instagram.com/casa.sorriso.da.crianca?utm_medium=copy_link" TargetMode="External"/><Relationship Id="rId347" Type="http://schemas.openxmlformats.org/officeDocument/2006/relationships/hyperlink" Target="https://drive.google.com/open?id=1sWpcgSLrIiiyuvcqUYmBWRvc4AN4ngMr" TargetMode="External"/><Relationship Id="rId999" Type="http://schemas.openxmlformats.org/officeDocument/2006/relationships/hyperlink" Target="https://gerandofalcoes.my.salesforce.com/0014X00002VKCtyQAH" TargetMode="External"/><Relationship Id="rId1184" Type="http://schemas.openxmlformats.org/officeDocument/2006/relationships/hyperlink" Target="https://instagram.com/allana.tamires11?utm_medium=copy_link" TargetMode="External"/><Relationship Id="rId2028" Type="http://schemas.openxmlformats.org/officeDocument/2006/relationships/hyperlink" Target="https://gerandofalcoes.my.salesforce.com/0034X0000380O4p" TargetMode="External"/><Relationship Id="rId554" Type="http://schemas.openxmlformats.org/officeDocument/2006/relationships/hyperlink" Target="http://www.linkedin.com/in/valeria-castro-da-silva-ab183819a" TargetMode="External"/><Relationship Id="rId761" Type="http://schemas.openxmlformats.org/officeDocument/2006/relationships/hyperlink" Target="https://drive.google.com/open?id=1D-DtTq4pgJzoj3WYPPmUe6JkYLdKJ62_" TargetMode="External"/><Relationship Id="rId859" Type="http://schemas.openxmlformats.org/officeDocument/2006/relationships/hyperlink" Target="https://gerandofalcoes.my.salesforce.com/0034X0000380O3r" TargetMode="External"/><Relationship Id="rId1391" Type="http://schemas.openxmlformats.org/officeDocument/2006/relationships/hyperlink" Target="https://www.linkedin.com/in/ericadovale/" TargetMode="External"/><Relationship Id="rId1489" Type="http://schemas.openxmlformats.org/officeDocument/2006/relationships/hyperlink" Target="https://drive.google.com/open?id=1S24f8Tf281yIwIDOzDGY9GqFv7Sug8wx" TargetMode="External"/><Relationship Id="rId1696" Type="http://schemas.openxmlformats.org/officeDocument/2006/relationships/hyperlink" Target="https://www.instagram.com/lidinalva.fernandes/" TargetMode="External"/><Relationship Id="rId2235" Type="http://schemas.openxmlformats.org/officeDocument/2006/relationships/hyperlink" Target="https://gerandofalcoes.my.salesforce.com/0034X0000380O4d" TargetMode="External"/><Relationship Id="rId207" Type="http://schemas.openxmlformats.org/officeDocument/2006/relationships/hyperlink" Target="https://drive.google.com/open?id=1EKY3CYmJx8lpAODcH9_s8EHaiUhRnlGH" TargetMode="External"/><Relationship Id="rId414" Type="http://schemas.openxmlformats.org/officeDocument/2006/relationships/hyperlink" Target="https://gerandofalcoes.my.salesforce.com/0034X0000380O3v" TargetMode="External"/><Relationship Id="rId621" Type="http://schemas.openxmlformats.org/officeDocument/2006/relationships/hyperlink" Target="https://gerandofalcoes.my.salesforce.com/0014P00003AN2etQAD" TargetMode="External"/><Relationship Id="rId1044" Type="http://schemas.openxmlformats.org/officeDocument/2006/relationships/hyperlink" Target="https://www.instagram.com/biafree_/" TargetMode="External"/><Relationship Id="rId1251" Type="http://schemas.openxmlformats.org/officeDocument/2006/relationships/hyperlink" Target="https://drive.google.com/open?id=14OYEeXNPDyuO4L63ffRh9V8L_Ov9s7nP" TargetMode="External"/><Relationship Id="rId1349" Type="http://schemas.openxmlformats.org/officeDocument/2006/relationships/hyperlink" Target="https://gerandofalcoes.my.salesforce.com/0014X00002VKCphQAH" TargetMode="External"/><Relationship Id="rId2302" Type="http://schemas.openxmlformats.org/officeDocument/2006/relationships/hyperlink" Target="https://gerandofalcoes.my.salesforce.com/0014P00003YSp82QAD" TargetMode="External"/><Relationship Id="rId719" Type="http://schemas.openxmlformats.org/officeDocument/2006/relationships/hyperlink" Target="https://drive.google.com/open?id=1WrtpTPBbQI9kd-un0pVCI2OgLmT_RNMx" TargetMode="External"/><Relationship Id="rId926" Type="http://schemas.openxmlformats.org/officeDocument/2006/relationships/hyperlink" Target="https://instagram.com/renatapedroenrique?utm_medium=copy_link" TargetMode="External"/><Relationship Id="rId1111" Type="http://schemas.openxmlformats.org/officeDocument/2006/relationships/hyperlink" Target="https://gerandofalcoes.my.salesforce.com/0014X00002VKCtVQAX" TargetMode="External"/><Relationship Id="rId1556" Type="http://schemas.openxmlformats.org/officeDocument/2006/relationships/hyperlink" Target="https://drive.google.com/open?id=1pQSaaaClbh3ZFWjSdbo6bNEW1MmE7TZW" TargetMode="External"/><Relationship Id="rId1763" Type="http://schemas.openxmlformats.org/officeDocument/2006/relationships/hyperlink" Target="https://instagram.com/amandavisan?utm_medium=copy_link" TargetMode="External"/><Relationship Id="rId1970" Type="http://schemas.openxmlformats.org/officeDocument/2006/relationships/hyperlink" Target="https://www.linkedin.com/in/ong-libertarios-do-cap%C3%A3o-redondo-0a58b157" TargetMode="External"/><Relationship Id="rId55" Type="http://schemas.openxmlformats.org/officeDocument/2006/relationships/hyperlink" Target="https://www.instagram.com/p/Cb_SYjmskiD/?utm_medium=copy_link" TargetMode="External"/><Relationship Id="rId1209" Type="http://schemas.openxmlformats.org/officeDocument/2006/relationships/hyperlink" Target="https://gerandofalcoes.my.salesforce.com/0014P00003AN2FqQAL" TargetMode="External"/><Relationship Id="rId1416" Type="http://schemas.openxmlformats.org/officeDocument/2006/relationships/hyperlink" Target="https://www.linkedin.com/in/geraldo-souza-52863a134/" TargetMode="External"/><Relationship Id="rId1623" Type="http://schemas.openxmlformats.org/officeDocument/2006/relationships/hyperlink" Target="https://drive.google.com/open?id=1e32fkozuD90R7Y0QO35bq2AOVv34I9Kt" TargetMode="External"/><Relationship Id="rId1830" Type="http://schemas.openxmlformats.org/officeDocument/2006/relationships/hyperlink" Target="https://gerandofalcoes.my.salesforce.com/0014X00002VKCrcQAH" TargetMode="External"/><Relationship Id="rId1928" Type="http://schemas.openxmlformats.org/officeDocument/2006/relationships/hyperlink" Target="https://gerandofalcoes.my.salesforce.com/0014X00002VKCr3QAH" TargetMode="External"/><Relationship Id="rId2092" Type="http://schemas.openxmlformats.org/officeDocument/2006/relationships/hyperlink" Target="https://gerandofalcoes.my.salesforce.com/0034X0000380O5T" TargetMode="External"/><Relationship Id="rId271" Type="http://schemas.openxmlformats.org/officeDocument/2006/relationships/hyperlink" Target="https://gerandofalcoes.my.salesforce.com/0014X00002VKCplQAH" TargetMode="External"/><Relationship Id="rId131" Type="http://schemas.openxmlformats.org/officeDocument/2006/relationships/hyperlink" Target="https://gerandofalcoes.my.salesforce.com/0034X0000380O1S" TargetMode="External"/><Relationship Id="rId369" Type="http://schemas.openxmlformats.org/officeDocument/2006/relationships/hyperlink" Target="https://gerandofalcoes.my.salesforce.com/0034X0000380O6B" TargetMode="External"/><Relationship Id="rId576" Type="http://schemas.openxmlformats.org/officeDocument/2006/relationships/hyperlink" Target="https://gerandofalcoes.my.salesforce.com/0034P000045kxjq" TargetMode="External"/><Relationship Id="rId783" Type="http://schemas.openxmlformats.org/officeDocument/2006/relationships/hyperlink" Target="https://instagram.com/centrocomunitariomario?utm_medium=copy_link" TargetMode="External"/><Relationship Id="rId990" Type="http://schemas.openxmlformats.org/officeDocument/2006/relationships/hyperlink" Target="https://gerandofalcoes.my.salesforce.com/0014P00003YSp7PQAT" TargetMode="External"/><Relationship Id="rId2257" Type="http://schemas.openxmlformats.org/officeDocument/2006/relationships/hyperlink" Target="https://drive.google.com/open?id=1g0owkhywxZp81VbSXi3F8J5_z5kZIHYc" TargetMode="External"/><Relationship Id="rId229" Type="http://schemas.openxmlformats.org/officeDocument/2006/relationships/hyperlink" Target="https://www.linkedin.com/feed/" TargetMode="External"/><Relationship Id="rId436" Type="http://schemas.openxmlformats.org/officeDocument/2006/relationships/hyperlink" Target="https://instagram.com/ivette.macedo?utm_medium=copy_link" TargetMode="External"/><Relationship Id="rId643" Type="http://schemas.openxmlformats.org/officeDocument/2006/relationships/hyperlink" Target="https://gerandofalcoes.my.salesforce.com/0034P000045kxjo" TargetMode="External"/><Relationship Id="rId1066" Type="http://schemas.openxmlformats.org/officeDocument/2006/relationships/hyperlink" Target="https://gerandofalcoes.my.salesforce.com/0014X00002VKD05QAH" TargetMode="External"/><Relationship Id="rId1273" Type="http://schemas.openxmlformats.org/officeDocument/2006/relationships/hyperlink" Target="https://gerandofalcoes.my.salesforce.com/0034P000045kxk1" TargetMode="External"/><Relationship Id="rId1480" Type="http://schemas.openxmlformats.org/officeDocument/2006/relationships/hyperlink" Target="https://gerandofalcoes.my.salesforce.com/0034X0000380O5F" TargetMode="External"/><Relationship Id="rId2117" Type="http://schemas.openxmlformats.org/officeDocument/2006/relationships/hyperlink" Target="https://www.instagram.com/daianekm/" TargetMode="External"/><Relationship Id="rId2324" Type="http://schemas.openxmlformats.org/officeDocument/2006/relationships/hyperlink" Target="https://drive.google.com/open?id=1IYJSAH5GQdcbBfvhdt-tGKd58I2GUtH1" TargetMode="External"/><Relationship Id="rId850" Type="http://schemas.openxmlformats.org/officeDocument/2006/relationships/hyperlink" Target="https://gerandofalcoes.my.salesforce.com/0014P00003YSpA9QAL" TargetMode="External"/><Relationship Id="rId948" Type="http://schemas.openxmlformats.org/officeDocument/2006/relationships/hyperlink" Target="https://gerandofalcoes.my.salesforce.com/0034X0000380O50" TargetMode="External"/><Relationship Id="rId1133" Type="http://schemas.openxmlformats.org/officeDocument/2006/relationships/hyperlink" Target="https://gerandofalcoes.my.salesforce.com/0034P00003maBVM" TargetMode="External"/><Relationship Id="rId1578" Type="http://schemas.openxmlformats.org/officeDocument/2006/relationships/hyperlink" Target="https://www.linkedin.com/in/anderson-carvalho-249bba114" TargetMode="External"/><Relationship Id="rId1785" Type="http://schemas.openxmlformats.org/officeDocument/2006/relationships/hyperlink" Target="https://gerandofalcoes.my.salesforce.com/0034P000045kxjE" TargetMode="External"/><Relationship Id="rId1992" Type="http://schemas.openxmlformats.org/officeDocument/2006/relationships/hyperlink" Target="http://www.linkedin.com/in/pedroarocha" TargetMode="External"/><Relationship Id="rId77" Type="http://schemas.openxmlformats.org/officeDocument/2006/relationships/hyperlink" Target="https://gerandofalcoes.my.salesforce.com/0034P000045kxkC" TargetMode="External"/><Relationship Id="rId503" Type="http://schemas.openxmlformats.org/officeDocument/2006/relationships/hyperlink" Target="https://gerandofalcoes.my.salesforce.com/0014X00002VKCpcQAH" TargetMode="External"/><Relationship Id="rId710" Type="http://schemas.openxmlformats.org/officeDocument/2006/relationships/hyperlink" Target="https://drive.google.com/open?id=1Sc5EggRHr87NsYCkct6JhcHUD2SQOdOC" TargetMode="External"/><Relationship Id="rId808" Type="http://schemas.openxmlformats.org/officeDocument/2006/relationships/hyperlink" Target="https://gerandofalcoes.my.salesforce.com/0034X0000380O0e" TargetMode="External"/><Relationship Id="rId1340" Type="http://schemas.openxmlformats.org/officeDocument/2006/relationships/hyperlink" Target="http://instagram.com/sadraquealbino" TargetMode="External"/><Relationship Id="rId1438" Type="http://schemas.openxmlformats.org/officeDocument/2006/relationships/hyperlink" Target="https://drive.google.com/open?id=191Qwezuicdw_GVKGLTd_BLjRldNLNTAp" TargetMode="External"/><Relationship Id="rId1645" Type="http://schemas.openxmlformats.org/officeDocument/2006/relationships/hyperlink" Target="https://gerandofalcoes.my.salesforce.com/0034P000043fOnk" TargetMode="External"/><Relationship Id="rId1200" Type="http://schemas.openxmlformats.org/officeDocument/2006/relationships/hyperlink" Target="https://www.instagram.com/deniseburjack/" TargetMode="External"/><Relationship Id="rId1852" Type="http://schemas.openxmlformats.org/officeDocument/2006/relationships/hyperlink" Target="https://www.instagram.com/llaisnogueira/" TargetMode="External"/><Relationship Id="rId1505" Type="http://schemas.openxmlformats.org/officeDocument/2006/relationships/hyperlink" Target="https://gerandofalcoes.my.salesforce.com/0034P000043fOnv" TargetMode="External"/><Relationship Id="rId1712" Type="http://schemas.openxmlformats.org/officeDocument/2006/relationships/hyperlink" Target="https://gerandofalcoes.my.salesforce.com/0014X00002VKCv6QAH" TargetMode="External"/><Relationship Id="rId293" Type="http://schemas.openxmlformats.org/officeDocument/2006/relationships/hyperlink" Target="https://gerandofalcoes.my.salesforce.com/0034P00003maBVb" TargetMode="External"/><Relationship Id="rId2181" Type="http://schemas.openxmlformats.org/officeDocument/2006/relationships/hyperlink" Target="https://gerandofalcoes.my.salesforce.com/0034X0000315PQv" TargetMode="External"/><Relationship Id="rId153" Type="http://schemas.openxmlformats.org/officeDocument/2006/relationships/hyperlink" Target="https://www.linkedin.com/in/debora-batista-04a18614a/" TargetMode="External"/><Relationship Id="rId360" Type="http://schemas.openxmlformats.org/officeDocument/2006/relationships/hyperlink" Target="https://drive.google.com/open?id=1F0qWftRinH5tEMXSP6o8b_yxlIb_wmg8" TargetMode="External"/><Relationship Id="rId598" Type="http://schemas.openxmlformats.org/officeDocument/2006/relationships/hyperlink" Target="https://gerandofalcoes.my.salesforce.com/0014X00002VKCqVQAX" TargetMode="External"/><Relationship Id="rId2041" Type="http://schemas.openxmlformats.org/officeDocument/2006/relationships/hyperlink" Target="https://drive.google.com/open?id=1IXSpphApgiOhfjqdwglDlDsHeEw5_wQ0" TargetMode="External"/><Relationship Id="rId2279" Type="http://schemas.openxmlformats.org/officeDocument/2006/relationships/hyperlink" Target="https://www.instagram.com/rafaelmarcelinooliveira/" TargetMode="External"/><Relationship Id="rId220" Type="http://schemas.openxmlformats.org/officeDocument/2006/relationships/hyperlink" Target="https://instagram.com/tom_maiorcapoeira?utm_medium=copy_link" TargetMode="External"/><Relationship Id="rId458" Type="http://schemas.openxmlformats.org/officeDocument/2006/relationships/hyperlink" Target="https://drive.google.com/open?id=1TPONM5_mA8YyulITWmDE8J2mZ_E_Z0lg" TargetMode="External"/><Relationship Id="rId665" Type="http://schemas.openxmlformats.org/officeDocument/2006/relationships/hyperlink" Target="https://gerandofalcoes.my.salesforce.com/0014P00003YSpA8QAL" TargetMode="External"/><Relationship Id="rId872" Type="http://schemas.openxmlformats.org/officeDocument/2006/relationships/hyperlink" Target="https://gerandofalcoes.my.salesforce.com/0034X0000380O3A" TargetMode="External"/><Relationship Id="rId1088" Type="http://schemas.openxmlformats.org/officeDocument/2006/relationships/hyperlink" Target="https://instagram.com/projeto_geracao_gk?utm_medium=copy_link" TargetMode="External"/><Relationship Id="rId1295" Type="http://schemas.openxmlformats.org/officeDocument/2006/relationships/hyperlink" Target="https://drive.google.com/open?id=1w7ZIPdjBfE10twZRAsU8knj-QGt-mRFB" TargetMode="External"/><Relationship Id="rId2139" Type="http://schemas.openxmlformats.org/officeDocument/2006/relationships/hyperlink" Target="https://gerandofalcoes.my.salesforce.com/0014X00002VKCv7QAH" TargetMode="External"/><Relationship Id="rId2346" Type="http://schemas.openxmlformats.org/officeDocument/2006/relationships/hyperlink" Target="https://gerandofalcoes.my.salesforce.com/0014X00002VKCqRQAX" TargetMode="External"/><Relationship Id="rId318" Type="http://schemas.openxmlformats.org/officeDocument/2006/relationships/hyperlink" Target="https://gerandofalcoes.my.salesforce.com/0014X00002VKCtWQAX" TargetMode="External"/><Relationship Id="rId525" Type="http://schemas.openxmlformats.org/officeDocument/2006/relationships/hyperlink" Target="https://www.instagram.com/joao_oninguem/" TargetMode="External"/><Relationship Id="rId732" Type="http://schemas.openxmlformats.org/officeDocument/2006/relationships/hyperlink" Target="https://www.instagram.com/oiestevam/" TargetMode="External"/><Relationship Id="rId1155" Type="http://schemas.openxmlformats.org/officeDocument/2006/relationships/hyperlink" Target="https://gerandofalcoes.my.salesforce.com/0014X00002VKCsyQAH" TargetMode="External"/><Relationship Id="rId1362" Type="http://schemas.openxmlformats.org/officeDocument/2006/relationships/hyperlink" Target="https://gerandofalcoes.my.salesforce.com/0014P00003YSp99QAD" TargetMode="External"/><Relationship Id="rId2206" Type="http://schemas.openxmlformats.org/officeDocument/2006/relationships/hyperlink" Target="https://drive.google.com/open?id=1Fz8WvRtR07h88gWr3LF_Lu_sqX8hMejS" TargetMode="External"/><Relationship Id="rId99" Type="http://schemas.openxmlformats.org/officeDocument/2006/relationships/hyperlink" Target="https://instagram.com/abeducacional?utm_medium=copy_link" TargetMode="External"/><Relationship Id="rId1015" Type="http://schemas.openxmlformats.org/officeDocument/2006/relationships/hyperlink" Target="https://drive.google.com/open?id=1qvE8fN0aN5hVDltkRttTK1zfrul3EATd" TargetMode="External"/><Relationship Id="rId1222" Type="http://schemas.openxmlformats.org/officeDocument/2006/relationships/hyperlink" Target="https://gerandofalcoes.my.salesforce.com/0034X0000380O3O" TargetMode="External"/><Relationship Id="rId1667" Type="http://schemas.openxmlformats.org/officeDocument/2006/relationships/hyperlink" Target="http://www.linkedin.com/company/institutorugbyparatodos/" TargetMode="External"/><Relationship Id="rId1874" Type="http://schemas.openxmlformats.org/officeDocument/2006/relationships/hyperlink" Target="https://gerandofalcoes.my.salesforce.com/0034X0000380O5I" TargetMode="External"/><Relationship Id="rId1527" Type="http://schemas.openxmlformats.org/officeDocument/2006/relationships/hyperlink" Target="https://instagram.com/mestrenordestino?utm_medium=copy_link" TargetMode="External"/><Relationship Id="rId1734" Type="http://schemas.openxmlformats.org/officeDocument/2006/relationships/hyperlink" Target="https://gerandofalcoes.my.salesforce.com/0014P00003AN2GDQA1" TargetMode="External"/><Relationship Id="rId1941" Type="http://schemas.openxmlformats.org/officeDocument/2006/relationships/hyperlink" Target="https://instagram.com/daianisoares_?utm_medium=copy_link" TargetMode="External"/><Relationship Id="rId26" Type="http://schemas.openxmlformats.org/officeDocument/2006/relationships/hyperlink" Target="https://drive.google.com/open?id=1AsfuKArR241exDWT9e65CC8Va9i1SOpn" TargetMode="External"/><Relationship Id="rId175" Type="http://schemas.openxmlformats.org/officeDocument/2006/relationships/hyperlink" Target="https://gerandofalcoes.my.salesforce.com/0034X0000380O5B" TargetMode="External"/><Relationship Id="rId1801" Type="http://schemas.openxmlformats.org/officeDocument/2006/relationships/hyperlink" Target="https://gerandofalcoes.my.salesforce.com/0014X00002VKCu0QAH" TargetMode="External"/><Relationship Id="rId382" Type="http://schemas.openxmlformats.org/officeDocument/2006/relationships/hyperlink" Target="https://www.instagram.com/reel/CbyAZQEu3ls/?utm_medium=copy_link" TargetMode="External"/><Relationship Id="rId687" Type="http://schemas.openxmlformats.org/officeDocument/2006/relationships/hyperlink" Target="https://instagram.com/eng.rafaelsantiago?utm_medium=copy_link" TargetMode="External"/><Relationship Id="rId2063" Type="http://schemas.openxmlformats.org/officeDocument/2006/relationships/hyperlink" Target="https://www.instagram.com/p/Cbr6uZVLlXL/?utm_medium=copy_link" TargetMode="External"/><Relationship Id="rId2270" Type="http://schemas.openxmlformats.org/officeDocument/2006/relationships/hyperlink" Target="https://gerandofalcoes.my.salesforce.com/0014P00003YSp9kQAD" TargetMode="External"/><Relationship Id="rId2368" Type="http://schemas.openxmlformats.org/officeDocument/2006/relationships/hyperlink" Target="https://gerandofalcoes.my.salesforce.com/0014X00002OEuapQAD" TargetMode="External"/><Relationship Id="rId242" Type="http://schemas.openxmlformats.org/officeDocument/2006/relationships/hyperlink" Target="https://www.linkedin.com/in/ana-neiry-moura-a50781196" TargetMode="External"/><Relationship Id="rId894" Type="http://schemas.openxmlformats.org/officeDocument/2006/relationships/hyperlink" Target="https://drive.google.com/open?id=1VX6LjY5bCPKPIxMwfEjNXPk0_7w7ifIF" TargetMode="External"/><Relationship Id="rId1177" Type="http://schemas.openxmlformats.org/officeDocument/2006/relationships/hyperlink" Target="https://drive.google.com/open?id=1aIakRJrrnNQI6pYM2dTa4tHlJFuSIxES" TargetMode="External"/><Relationship Id="rId2130" Type="http://schemas.openxmlformats.org/officeDocument/2006/relationships/hyperlink" Target="https://gerandofalcoes.my.salesforce.com/0034P00003maBVf" TargetMode="External"/><Relationship Id="rId102" Type="http://schemas.openxmlformats.org/officeDocument/2006/relationships/hyperlink" Target="https://gerandofalcoes.my.salesforce.com/0034P000045kxkH" TargetMode="External"/><Relationship Id="rId547" Type="http://schemas.openxmlformats.org/officeDocument/2006/relationships/hyperlink" Target="https://www.instagram.com/flaviasimonsen/" TargetMode="External"/><Relationship Id="rId754" Type="http://schemas.openxmlformats.org/officeDocument/2006/relationships/hyperlink" Target="https://gerandofalcoes.my.salesforce.com/0014X00002VKCr5QAH" TargetMode="External"/><Relationship Id="rId961" Type="http://schemas.openxmlformats.org/officeDocument/2006/relationships/hyperlink" Target="https://gerandofalcoes.my.salesforce.com/0014X00002VKCpnQAH" TargetMode="External"/><Relationship Id="rId1384" Type="http://schemas.openxmlformats.org/officeDocument/2006/relationships/hyperlink" Target="https://drive.google.com/open?id=1-qvgmOicpJPtEdLI1ygh-OGRYsMVFqZ1" TargetMode="External"/><Relationship Id="rId1591" Type="http://schemas.openxmlformats.org/officeDocument/2006/relationships/hyperlink" Target="https://instagram.com/institutopelicano?utm_medium=copy_link" TargetMode="External"/><Relationship Id="rId1689" Type="http://schemas.openxmlformats.org/officeDocument/2006/relationships/hyperlink" Target="https://drive.google.com/open?id=1T8zUC8oVVj2kuPEB7OxgzxBisBD0zJEg" TargetMode="External"/><Relationship Id="rId2228" Type="http://schemas.openxmlformats.org/officeDocument/2006/relationships/hyperlink" Target="https://drive.google.com/open?id=1TSSX-7tp0nUxmMCLNn0vUPpyGAgpKm0Q" TargetMode="External"/><Relationship Id="rId90" Type="http://schemas.openxmlformats.org/officeDocument/2006/relationships/hyperlink" Target="https://www.linkedin.com/feed/?trk=guest_homepage-basic_nav-header-signin" TargetMode="External"/><Relationship Id="rId407" Type="http://schemas.openxmlformats.org/officeDocument/2006/relationships/hyperlink" Target="https://drive.google.com/open?id=1hNKiHNXNVBUVNa-9i0cn26bPYHXyIEzf" TargetMode="External"/><Relationship Id="rId614" Type="http://schemas.openxmlformats.org/officeDocument/2006/relationships/hyperlink" Target="https://instagram.com/elisangelapedrosolopes?utm_medium=copy_link" TargetMode="External"/><Relationship Id="rId821" Type="http://schemas.openxmlformats.org/officeDocument/2006/relationships/hyperlink" Target="https://drive.google.com/open?id=1q1dT4_8jCA8CV4bWK78gQ7gmvlb1Osfk" TargetMode="External"/><Relationship Id="rId1037" Type="http://schemas.openxmlformats.org/officeDocument/2006/relationships/hyperlink" Target="https://drive.google.com/open?id=1CmKPbPO66niLZ8l2D8MHK5sNWaKsYBBW" TargetMode="External"/><Relationship Id="rId1244" Type="http://schemas.openxmlformats.org/officeDocument/2006/relationships/hyperlink" Target="https://gerandofalcoes.my.salesforce.com/0034P000043fOnw" TargetMode="External"/><Relationship Id="rId1451" Type="http://schemas.openxmlformats.org/officeDocument/2006/relationships/hyperlink" Target="https://www.linkedin.com/in/miqu%C3%A9ias-costa-b578b18a/" TargetMode="External"/><Relationship Id="rId1896" Type="http://schemas.openxmlformats.org/officeDocument/2006/relationships/hyperlink" Target="https://www.linkedin.com/in/abel-gomes-9820221b9" TargetMode="External"/><Relationship Id="rId919" Type="http://schemas.openxmlformats.org/officeDocument/2006/relationships/hyperlink" Target="https://gerandofalcoes.my.salesforce.com/0014P00003YSp7SQAT" TargetMode="External"/><Relationship Id="rId1104" Type="http://schemas.openxmlformats.org/officeDocument/2006/relationships/hyperlink" Target="http://www.instagram.com/fabriciosilvestre" TargetMode="External"/><Relationship Id="rId1311" Type="http://schemas.openxmlformats.org/officeDocument/2006/relationships/hyperlink" Target="https://www.linkedin.com/in/uelitonrocha" TargetMode="External"/><Relationship Id="rId1549" Type="http://schemas.openxmlformats.org/officeDocument/2006/relationships/hyperlink" Target="https://drive.google.com/open?id=1vkyUXgOiy90ukB99Kobu_KVZEsRsIeIb" TargetMode="External"/><Relationship Id="rId1756" Type="http://schemas.openxmlformats.org/officeDocument/2006/relationships/hyperlink" Target="https://gerandofalcoes.my.salesforce.com/0014X00002VKCuTQAX" TargetMode="External"/><Relationship Id="rId1963" Type="http://schemas.openxmlformats.org/officeDocument/2006/relationships/hyperlink" Target="https://gerandofalcoes.my.salesforce.com/0014P00003YSp8iQAD" TargetMode="External"/><Relationship Id="rId48" Type="http://schemas.openxmlformats.org/officeDocument/2006/relationships/hyperlink" Target="https://drive.google.com/open?id=1DopXQ2Kbw48Rot2Z5_SrFY-HRZPesqcY" TargetMode="External"/><Relationship Id="rId1409" Type="http://schemas.openxmlformats.org/officeDocument/2006/relationships/hyperlink" Target="https://drive.google.com/open?id=1mMffRIe5BYQ4hHXtx6OkSMkjyXX_ndYh" TargetMode="External"/><Relationship Id="rId1616" Type="http://schemas.openxmlformats.org/officeDocument/2006/relationships/hyperlink" Target="https://gerandofalcoes.my.salesforce.com/0014P00003YSp8BQAT" TargetMode="External"/><Relationship Id="rId1823" Type="http://schemas.openxmlformats.org/officeDocument/2006/relationships/hyperlink" Target="https://gerandofalcoes.my.salesforce.com/0014X00002VKCrVQAX" TargetMode="External"/><Relationship Id="rId197" Type="http://schemas.openxmlformats.org/officeDocument/2006/relationships/hyperlink" Target="https://instagram.com/miralucianah?igshid=YmMyMTA2M2Y=" TargetMode="External"/><Relationship Id="rId2085" Type="http://schemas.openxmlformats.org/officeDocument/2006/relationships/hyperlink" Target="https://gerandofalcoes.my.salesforce.com/0034P000045kxkX" TargetMode="External"/><Relationship Id="rId2292" Type="http://schemas.openxmlformats.org/officeDocument/2006/relationships/hyperlink" Target="https://www.instagram.com/marcelotrindadestm/" TargetMode="External"/><Relationship Id="rId264" Type="http://schemas.openxmlformats.org/officeDocument/2006/relationships/hyperlink" Target="https://gerandofalcoes.my.salesforce.com/0014P00003YSp83QAD" TargetMode="External"/><Relationship Id="rId471" Type="http://schemas.openxmlformats.org/officeDocument/2006/relationships/hyperlink" Target="https://www.linkedin.com/feed/?trk=homepage-basic_google-one-tap-submit" TargetMode="External"/><Relationship Id="rId2152" Type="http://schemas.openxmlformats.org/officeDocument/2006/relationships/hyperlink" Target="https://drive.google.com/open?id=1rA2UKjTdRNMrvqo-UNcCFGemWBEHXEHS" TargetMode="External"/><Relationship Id="rId124" Type="http://schemas.openxmlformats.org/officeDocument/2006/relationships/hyperlink" Target="https://gerandofalcoes.my.salesforce.com/0014P00003YSp9NQAT" TargetMode="External"/><Relationship Id="rId569" Type="http://schemas.openxmlformats.org/officeDocument/2006/relationships/hyperlink" Target="https://drive.google.com/open?id=1N6xx9C0ReN1U5tj8svm4_RcSBKrLDgVh" TargetMode="External"/><Relationship Id="rId776" Type="http://schemas.openxmlformats.org/officeDocument/2006/relationships/hyperlink" Target="https://www.instagram.com/netysantosoficial/" TargetMode="External"/><Relationship Id="rId983" Type="http://schemas.openxmlformats.org/officeDocument/2006/relationships/hyperlink" Target="https://gerandofalcoes.my.salesforce.com/0034X0000380O51" TargetMode="External"/><Relationship Id="rId1199" Type="http://schemas.openxmlformats.org/officeDocument/2006/relationships/hyperlink" Target="https://gerandofalcoes.my.salesforce.com/0034X0000380O3C" TargetMode="External"/><Relationship Id="rId331" Type="http://schemas.openxmlformats.org/officeDocument/2006/relationships/hyperlink" Target="https://www.instagram.com/p/Ca0wX3FO9f4/?utm_medium=copy_link" TargetMode="External"/><Relationship Id="rId429" Type="http://schemas.openxmlformats.org/officeDocument/2006/relationships/hyperlink" Target="https://gerandofalcoes.my.salesforce.com/0014P00003YSpAKQA1" TargetMode="External"/><Relationship Id="rId636" Type="http://schemas.openxmlformats.org/officeDocument/2006/relationships/hyperlink" Target="https://drive.google.com/open?id=1WqrhfnHkU7vVe6glLWce31NU2cSTN0U5" TargetMode="External"/><Relationship Id="rId1059" Type="http://schemas.openxmlformats.org/officeDocument/2006/relationships/hyperlink" Target="https://www.instagram.com/jeffersonfquirino/" TargetMode="External"/><Relationship Id="rId1266" Type="http://schemas.openxmlformats.org/officeDocument/2006/relationships/hyperlink" Target="https://www.instagram.com/ducifpereira/" TargetMode="External"/><Relationship Id="rId1473" Type="http://schemas.openxmlformats.org/officeDocument/2006/relationships/hyperlink" Target="https://instagram.com/eudesjunioroficial?igshid=YmMyMTA2M2Y=" TargetMode="External"/><Relationship Id="rId2012" Type="http://schemas.openxmlformats.org/officeDocument/2006/relationships/hyperlink" Target="https://drive.google.com/open?id=1USZrRkMeeWjYB7Jwk7QFhWfBKTU9icaR" TargetMode="External"/><Relationship Id="rId2317" Type="http://schemas.openxmlformats.org/officeDocument/2006/relationships/hyperlink" Target="https://gerandofalcoes.my.salesforce.com/0014X00002VKCsDQAX" TargetMode="External"/><Relationship Id="rId843" Type="http://schemas.openxmlformats.org/officeDocument/2006/relationships/hyperlink" Target="https://gerandofalcoes.my.salesforce.com/0014X00002VKCrCQAX" TargetMode="External"/><Relationship Id="rId1126" Type="http://schemas.openxmlformats.org/officeDocument/2006/relationships/hyperlink" Target="https://gerandofalcoes.my.salesforce.com/0034X0000380O4l" TargetMode="External"/><Relationship Id="rId1680" Type="http://schemas.openxmlformats.org/officeDocument/2006/relationships/hyperlink" Target="https://gerandofalcoes.my.salesforce.com/0014P00003YSp9yQAD" TargetMode="External"/><Relationship Id="rId1778" Type="http://schemas.openxmlformats.org/officeDocument/2006/relationships/hyperlink" Target="https://drive.google.com/open?id=1BM8TrrQ7mXDV6Qh3bkAdy6v2fGHLqCYw" TargetMode="External"/><Relationship Id="rId1985" Type="http://schemas.openxmlformats.org/officeDocument/2006/relationships/hyperlink" Target="https://gerandofalcoes.my.salesforce.com/0034X0000380O0x" TargetMode="External"/><Relationship Id="rId703" Type="http://schemas.openxmlformats.org/officeDocument/2006/relationships/hyperlink" Target="https://drive.google.com/open?id=1cq5dCiTemBLySlvlY70JxCD-9yHxVC24" TargetMode="External"/><Relationship Id="rId910" Type="http://schemas.openxmlformats.org/officeDocument/2006/relationships/hyperlink" Target="https://drive.google.com/open?id=1ddE_J2H98RAfPg0mMgAHBLfCso0QoErV" TargetMode="External"/><Relationship Id="rId1333" Type="http://schemas.openxmlformats.org/officeDocument/2006/relationships/hyperlink" Target="https://gerandofalcoes.my.salesforce.com/0034X000032HsDd" TargetMode="External"/><Relationship Id="rId1540" Type="http://schemas.openxmlformats.org/officeDocument/2006/relationships/hyperlink" Target="https://instagram.com/tatianalinharesqueiroz?utm_medium=copy_link" TargetMode="External"/><Relationship Id="rId1638" Type="http://schemas.openxmlformats.org/officeDocument/2006/relationships/hyperlink" Target="https://instagram.com/leonardomoraesprecioso?utm_medium=copy_link" TargetMode="External"/><Relationship Id="rId1400" Type="http://schemas.openxmlformats.org/officeDocument/2006/relationships/hyperlink" Target="https://instagram.com/cinsantanaecf?utm_medium=copy_link" TargetMode="External"/><Relationship Id="rId1845" Type="http://schemas.openxmlformats.org/officeDocument/2006/relationships/hyperlink" Target="https://drive.google.com/open?id=1hB8NALZw1WGjiC7E-TLSfCaz6b42uXKz" TargetMode="External"/><Relationship Id="rId1705" Type="http://schemas.openxmlformats.org/officeDocument/2006/relationships/hyperlink" Target="https://www.instagram.com/projetosocialmaoamiga3/" TargetMode="External"/><Relationship Id="rId1912" Type="http://schemas.openxmlformats.org/officeDocument/2006/relationships/hyperlink" Target="https://drive.google.com/open?id=1ttgFAwuIeCw47J68v5MCzz0XeRZj0maB" TargetMode="External"/><Relationship Id="rId286" Type="http://schemas.openxmlformats.org/officeDocument/2006/relationships/hyperlink" Target="https://gerandofalcoes.my.salesforce.com/0014X00002VKCqjQAH" TargetMode="External"/><Relationship Id="rId493" Type="http://schemas.openxmlformats.org/officeDocument/2006/relationships/hyperlink" Target="https://gerandofalcoes.my.salesforce.com/0034P000043fOo5" TargetMode="External"/><Relationship Id="rId2174" Type="http://schemas.openxmlformats.org/officeDocument/2006/relationships/hyperlink" Target="https://gerandofalcoes.my.salesforce.com/0034X0000380O5y" TargetMode="External"/><Relationship Id="rId2381" Type="http://schemas.openxmlformats.org/officeDocument/2006/relationships/hyperlink" Target="https://drive.google.com/open?id=1eghUesdQZNwrSxd8N_x75ax79gVQ3PtQ" TargetMode="External"/><Relationship Id="rId146" Type="http://schemas.openxmlformats.org/officeDocument/2006/relationships/hyperlink" Target="https://gerandofalcoes.my.salesforce.com/0014P00003SGWPhQAP" TargetMode="External"/><Relationship Id="rId353" Type="http://schemas.openxmlformats.org/officeDocument/2006/relationships/hyperlink" Target="https://gerandofalcoes.my.salesforce.com/0034X0000380O6E" TargetMode="External"/><Relationship Id="rId560" Type="http://schemas.openxmlformats.org/officeDocument/2006/relationships/hyperlink" Target="https://www.instagram.com/tagjpa/" TargetMode="External"/><Relationship Id="rId798" Type="http://schemas.openxmlformats.org/officeDocument/2006/relationships/hyperlink" Target="https://gerandofalcoes.my.salesforce.com/0014X00002VKCt6QAH" TargetMode="External"/><Relationship Id="rId1190" Type="http://schemas.openxmlformats.org/officeDocument/2006/relationships/hyperlink" Target="https://gerandofalcoes.my.salesforce.com/0014P00003YSp8OQAT" TargetMode="External"/><Relationship Id="rId2034" Type="http://schemas.openxmlformats.org/officeDocument/2006/relationships/hyperlink" Target="https://gerandofalcoes.my.salesforce.com/0014P00003AN2G8QAL" TargetMode="External"/><Relationship Id="rId2241" Type="http://schemas.openxmlformats.org/officeDocument/2006/relationships/hyperlink" Target="https://www.linkedin.com/feed/?trk=homepage-basic_google-one-tap-submit" TargetMode="External"/><Relationship Id="rId213" Type="http://schemas.openxmlformats.org/officeDocument/2006/relationships/hyperlink" Target="https://gerandofalcoes.my.salesforce.com/0034P00003maBVj" TargetMode="External"/><Relationship Id="rId420" Type="http://schemas.openxmlformats.org/officeDocument/2006/relationships/hyperlink" Target="https://drive.google.com/open?id=1yAAeHBAT6BO0GDR_tu-UAM5HRhOMV9n4" TargetMode="External"/><Relationship Id="rId658" Type="http://schemas.openxmlformats.org/officeDocument/2006/relationships/hyperlink" Target="https://gerandofalcoes.my.salesforce.com/0034X0000380O2k" TargetMode="External"/><Relationship Id="rId865" Type="http://schemas.openxmlformats.org/officeDocument/2006/relationships/hyperlink" Target="https://www.instagram.com/invites/contact/?i=lglce4a0w6zf&amp;utm_content=m0gavp" TargetMode="External"/><Relationship Id="rId1050" Type="http://schemas.openxmlformats.org/officeDocument/2006/relationships/hyperlink" Target="https://drive.google.com/open?id=19UflmionzOOzm7lv8spKCJlvYGESwkja" TargetMode="External"/><Relationship Id="rId1288" Type="http://schemas.openxmlformats.org/officeDocument/2006/relationships/hyperlink" Target="https://www.linkedin.com/in/andr%C3%A9-felipe-0baa0a1a4/" TargetMode="External"/><Relationship Id="rId1495" Type="http://schemas.openxmlformats.org/officeDocument/2006/relationships/hyperlink" Target="https://gerandofalcoes.my.salesforce.com/0014X00002QTWXtQAP" TargetMode="External"/><Relationship Id="rId2101" Type="http://schemas.openxmlformats.org/officeDocument/2006/relationships/hyperlink" Target="https://drive.google.com/open?id=1fmjbLoNoZml8MhtnTqIm3VE-kmmZM9yK" TargetMode="External"/><Relationship Id="rId2339" Type="http://schemas.openxmlformats.org/officeDocument/2006/relationships/hyperlink" Target="https://gerandofalcoes.my.salesforce.com/0014X00002VKCumQAH" TargetMode="External"/><Relationship Id="rId518" Type="http://schemas.openxmlformats.org/officeDocument/2006/relationships/hyperlink" Target="https://gerandofalcoes.my.salesforce.com/0034P000045kxkL" TargetMode="External"/><Relationship Id="rId725" Type="http://schemas.openxmlformats.org/officeDocument/2006/relationships/hyperlink" Target="https://gerandofalcoes.my.salesforce.com/0034P000045kxiI" TargetMode="External"/><Relationship Id="rId932" Type="http://schemas.openxmlformats.org/officeDocument/2006/relationships/hyperlink" Target="https://gerandofalcoes.my.salesforce.com/0034X0000380O2U" TargetMode="External"/><Relationship Id="rId1148" Type="http://schemas.openxmlformats.org/officeDocument/2006/relationships/hyperlink" Target="https://www.instagram.com/mrdrgs_/?utm_medium=copy_link" TargetMode="External"/><Relationship Id="rId1355" Type="http://schemas.openxmlformats.org/officeDocument/2006/relationships/hyperlink" Target="https://instagram.com/lamocamodaeacessorio?utm_medium=copy_link" TargetMode="External"/><Relationship Id="rId1562" Type="http://schemas.openxmlformats.org/officeDocument/2006/relationships/hyperlink" Target="https://gerandofalcoes.my.salesforce.com/0034X0000380O1j" TargetMode="External"/><Relationship Id="rId1008" Type="http://schemas.openxmlformats.org/officeDocument/2006/relationships/hyperlink" Target="https://gerandofalcoes.my.salesforce.com/0014X00002VKCsYQAX" TargetMode="External"/><Relationship Id="rId1215" Type="http://schemas.openxmlformats.org/officeDocument/2006/relationships/hyperlink" Target="https://www.linkedin.com/in/aline-pierrobom-cordeiro-233a8a24/" TargetMode="External"/><Relationship Id="rId1422" Type="http://schemas.openxmlformats.org/officeDocument/2006/relationships/hyperlink" Target="https://gerandofalcoes.my.salesforce.com/0014P00003AN2FvQAL" TargetMode="External"/><Relationship Id="rId1867" Type="http://schemas.openxmlformats.org/officeDocument/2006/relationships/hyperlink" Target="https://gerandofalcoes.my.salesforce.com/0034P000043fOo8" TargetMode="External"/><Relationship Id="rId61" Type="http://schemas.openxmlformats.org/officeDocument/2006/relationships/hyperlink" Target="https://gerandofalcoes.my.salesforce.com/0034P000045kxil" TargetMode="External"/><Relationship Id="rId1727" Type="http://schemas.openxmlformats.org/officeDocument/2006/relationships/hyperlink" Target="https://www.linkedin.com/in/odilon-ara%C3%BAjo-a188b9a0/" TargetMode="External"/><Relationship Id="rId1934" Type="http://schemas.openxmlformats.org/officeDocument/2006/relationships/hyperlink" Target="https://instagram.com/aline_assistente_social?utm_medium=copy_link" TargetMode="External"/><Relationship Id="rId19" Type="http://schemas.openxmlformats.org/officeDocument/2006/relationships/hyperlink" Target="https://gerandofalcoes.my.salesforce.com/0014P00003YSp8PQAT" TargetMode="External"/><Relationship Id="rId2196" Type="http://schemas.openxmlformats.org/officeDocument/2006/relationships/hyperlink" Target="https://drive.google.com/open?id=1gMFPQrmwb9ahrLWTTKtHIenL053AdSIs" TargetMode="External"/><Relationship Id="rId168" Type="http://schemas.openxmlformats.org/officeDocument/2006/relationships/hyperlink" Target="https://instagram.com/ong_jardimsaobernardo?utm_medium=copy_link" TargetMode="External"/><Relationship Id="rId375" Type="http://schemas.openxmlformats.org/officeDocument/2006/relationships/hyperlink" Target="https://gerandofalcoes.my.salesforce.com/0014P00003AN2GJQA1" TargetMode="External"/><Relationship Id="rId582" Type="http://schemas.openxmlformats.org/officeDocument/2006/relationships/hyperlink" Target="https://drive.google.com/open?id=1a2TSTHZpu2lyiQ1VjD7cKEDU3mxTPZph" TargetMode="External"/><Relationship Id="rId2056" Type="http://schemas.openxmlformats.org/officeDocument/2006/relationships/hyperlink" Target="https://gerandofalcoes.my.salesforce.com/0034X0000380O2w" TargetMode="External"/><Relationship Id="rId2263" Type="http://schemas.openxmlformats.org/officeDocument/2006/relationships/hyperlink" Target="https://www.linkedin.com/in/michel-a-carmo-931b249a/" TargetMode="External"/><Relationship Id="rId3" Type="http://schemas.openxmlformats.org/officeDocument/2006/relationships/hyperlink" Target="https://instagram.com/ongabcjuntossomosfortes" TargetMode="External"/><Relationship Id="rId235" Type="http://schemas.openxmlformats.org/officeDocument/2006/relationships/hyperlink" Target="https://drive.google.com/open?id=1SzUFRV30O5IPwgN01E23-IjIH24vHzIN" TargetMode="External"/><Relationship Id="rId442" Type="http://schemas.openxmlformats.org/officeDocument/2006/relationships/hyperlink" Target="https://gerandofalcoes.my.salesforce.com/0014X00002VKCsVQAX" TargetMode="External"/><Relationship Id="rId887" Type="http://schemas.openxmlformats.org/officeDocument/2006/relationships/hyperlink" Target="https://drive.google.com/open?id=1ZV3tSYZXLiikdDubztho0RJYO8IIoi24" TargetMode="External"/><Relationship Id="rId1072" Type="http://schemas.openxmlformats.org/officeDocument/2006/relationships/hyperlink" Target="https://www.linkedin.com/in/maiarawenceslau/" TargetMode="External"/><Relationship Id="rId2123" Type="http://schemas.openxmlformats.org/officeDocument/2006/relationships/hyperlink" Target="https://gerandofalcoes.my.salesforce.com/0014X00002VKCsOQAX" TargetMode="External"/><Relationship Id="rId2330" Type="http://schemas.openxmlformats.org/officeDocument/2006/relationships/hyperlink" Target="https://gerandofalcoes.my.salesforce.com/0034X0000380O6U" TargetMode="External"/><Relationship Id="rId302" Type="http://schemas.openxmlformats.org/officeDocument/2006/relationships/hyperlink" Target="https://drive.google.com/open?id=1FZ---GTUeueSKfGN6xgMGrb5LUcOgZMA" TargetMode="External"/><Relationship Id="rId747" Type="http://schemas.openxmlformats.org/officeDocument/2006/relationships/hyperlink" Target="https://drive.google.com/open?id=1ydpM216MGlSeF9gwi0optGF_kuGovcww" TargetMode="External"/><Relationship Id="rId954" Type="http://schemas.openxmlformats.org/officeDocument/2006/relationships/hyperlink" Target="https://gerandofalcoes.my.salesforce.com/0014X00002VKCpUQAX" TargetMode="External"/><Relationship Id="rId1377" Type="http://schemas.openxmlformats.org/officeDocument/2006/relationships/hyperlink" Target="https://gerandofalcoes.my.salesforce.com/0034X0000380O6N" TargetMode="External"/><Relationship Id="rId1584" Type="http://schemas.openxmlformats.org/officeDocument/2006/relationships/hyperlink" Target="https://gerandofalcoes.my.salesforce.com/0034X0000380O1p" TargetMode="External"/><Relationship Id="rId1791" Type="http://schemas.openxmlformats.org/officeDocument/2006/relationships/hyperlink" Target="https://gerandofalcoes.my.salesforce.com/0014X00002VKCpBQAX" TargetMode="External"/><Relationship Id="rId83" Type="http://schemas.openxmlformats.org/officeDocument/2006/relationships/hyperlink" Target="https://gerandofalcoes.my.salesforce.com/0014P00003SGWQGQA5" TargetMode="External"/><Relationship Id="rId607" Type="http://schemas.openxmlformats.org/officeDocument/2006/relationships/hyperlink" Target="https://gerandofalcoes.my.salesforce.com/0034P000043fPDi" TargetMode="External"/><Relationship Id="rId814" Type="http://schemas.openxmlformats.org/officeDocument/2006/relationships/hyperlink" Target="https://gerandofalcoes.my.salesforce.com/0014P00003SGWPkQAP" TargetMode="External"/><Relationship Id="rId1237" Type="http://schemas.openxmlformats.org/officeDocument/2006/relationships/hyperlink" Target="https://drive.google.com/open?id=1-_tSIf9D9gzdv6IZk3xXWeLHveo1BG-j" TargetMode="External"/><Relationship Id="rId1444" Type="http://schemas.openxmlformats.org/officeDocument/2006/relationships/hyperlink" Target="https://www.linkedin.com/in/thiago-nascimento-7486b1215/" TargetMode="External"/><Relationship Id="rId1651" Type="http://schemas.openxmlformats.org/officeDocument/2006/relationships/hyperlink" Target="https://www.instagram.com/p/Cbd_w16rh8J/?utm_medium=copy_link" TargetMode="External"/><Relationship Id="rId1889" Type="http://schemas.openxmlformats.org/officeDocument/2006/relationships/hyperlink" Target="https://instagram.com/brendavilhosa?utm_medium=copy_link" TargetMode="External"/><Relationship Id="rId1304" Type="http://schemas.openxmlformats.org/officeDocument/2006/relationships/hyperlink" Target="https://instagram.com/leoogrito?r=nametag" TargetMode="External"/><Relationship Id="rId1511" Type="http://schemas.openxmlformats.org/officeDocument/2006/relationships/hyperlink" Target="https://www.instagram.com/deborasouzaadv/" TargetMode="External"/><Relationship Id="rId1749" Type="http://schemas.openxmlformats.org/officeDocument/2006/relationships/hyperlink" Target="https://drive.google.com/open?id=1MVApdFAaNsCwnKU_vzJc2uPv9LPvf3te" TargetMode="External"/><Relationship Id="rId1956" Type="http://schemas.openxmlformats.org/officeDocument/2006/relationships/hyperlink" Target="https://gerandofalcoes.my.salesforce.com/0034X0000380O3M" TargetMode="External"/><Relationship Id="rId1609" Type="http://schemas.openxmlformats.org/officeDocument/2006/relationships/hyperlink" Target="https://gerandofalcoes.my.salesforce.com/0034X0000380O16" TargetMode="External"/><Relationship Id="rId1816" Type="http://schemas.openxmlformats.org/officeDocument/2006/relationships/hyperlink" Target="https://www.linkedin.com/in/katia-soares-38359858/" TargetMode="External"/><Relationship Id="rId10" Type="http://schemas.openxmlformats.org/officeDocument/2006/relationships/hyperlink" Target="https://gerandofalcoes.my.salesforce.com/0014P00003YSpAEQA1" TargetMode="External"/><Relationship Id="rId397" Type="http://schemas.openxmlformats.org/officeDocument/2006/relationships/hyperlink" Target="https://gerandofalcoes.my.salesforce.com/0034P000045kxk8" TargetMode="External"/><Relationship Id="rId2078" Type="http://schemas.openxmlformats.org/officeDocument/2006/relationships/hyperlink" Target="https://gerandofalcoes.my.salesforce.com/0014X00002VKCpEQAX" TargetMode="External"/><Relationship Id="rId2285" Type="http://schemas.openxmlformats.org/officeDocument/2006/relationships/hyperlink" Target="https://gerandofalcoes.my.salesforce.com/0014X00002VKCrIQAX" TargetMode="External"/><Relationship Id="rId257" Type="http://schemas.openxmlformats.org/officeDocument/2006/relationships/hyperlink" Target="https://instagram.com/domingos_lisboa_?igshid=YmMyMTA2M2Y=" TargetMode="External"/><Relationship Id="rId464" Type="http://schemas.openxmlformats.org/officeDocument/2006/relationships/hyperlink" Target="https://gerandofalcoes.my.salesforce.com/0014P00003YSp9AQAT" TargetMode="External"/><Relationship Id="rId1094" Type="http://schemas.openxmlformats.org/officeDocument/2006/relationships/hyperlink" Target="https://gerandofalcoes.my.salesforce.com/0014X00002VKCt7QAH" TargetMode="External"/><Relationship Id="rId2145" Type="http://schemas.openxmlformats.org/officeDocument/2006/relationships/hyperlink" Target="https://drive.google.com/open?id=1u-I8OnQXW6BalOyc67YpoV6NrG5fDXQ_" TargetMode="External"/><Relationship Id="rId117" Type="http://schemas.openxmlformats.org/officeDocument/2006/relationships/hyperlink" Target="https://gerandofalcoes.my.salesforce.com/0034P00003maBUz" TargetMode="External"/><Relationship Id="rId671" Type="http://schemas.openxmlformats.org/officeDocument/2006/relationships/hyperlink" Target="https://drive.google.com/open?id=1vdxL8wC3TC9OQui2Gob5g8VgAYtPcmf2" TargetMode="External"/><Relationship Id="rId769" Type="http://schemas.openxmlformats.org/officeDocument/2006/relationships/hyperlink" Target="https://www.instagram.com/p/CXeuv-YLkjdHTu3jpY5Qlrez33Z1_v6-iNVOqg0/?utm_medium=copy_link" TargetMode="External"/><Relationship Id="rId976" Type="http://schemas.openxmlformats.org/officeDocument/2006/relationships/hyperlink" Target="https://instagram.com/amanda.marques.3781?utm_medium=copy_link" TargetMode="External"/><Relationship Id="rId1399" Type="http://schemas.openxmlformats.org/officeDocument/2006/relationships/hyperlink" Target="https://www.linkedin.com/in/cintiasantanna1/" TargetMode="External"/><Relationship Id="rId2352" Type="http://schemas.openxmlformats.org/officeDocument/2006/relationships/hyperlink" Target="https://www.linkedin.com/in/tiago-pereira-6523b7199/" TargetMode="External"/><Relationship Id="rId324" Type="http://schemas.openxmlformats.org/officeDocument/2006/relationships/hyperlink" Target="https://www.instagram.com/souluizjr/" TargetMode="External"/><Relationship Id="rId531" Type="http://schemas.openxmlformats.org/officeDocument/2006/relationships/hyperlink" Target="https://drive.google.com/open?id=1vBmHq5mbtidoLd_SqXh7-F3ZdnOnYiBW" TargetMode="External"/><Relationship Id="rId629" Type="http://schemas.openxmlformats.org/officeDocument/2006/relationships/hyperlink" Target="https://gerandofalcoes.my.salesforce.com/0014P00003AN2G2QAL" TargetMode="External"/><Relationship Id="rId1161" Type="http://schemas.openxmlformats.org/officeDocument/2006/relationships/hyperlink" Target="https://drive.google.com/open?id=1qPlGqS03kcODDXb1OvWZMlJIT5qPjU21" TargetMode="External"/><Relationship Id="rId1259" Type="http://schemas.openxmlformats.org/officeDocument/2006/relationships/hyperlink" Target="https://gerandofalcoes.my.salesforce.com/0014X00002VKCtrQAH" TargetMode="External"/><Relationship Id="rId1466" Type="http://schemas.openxmlformats.org/officeDocument/2006/relationships/hyperlink" Target="https://drive.google.com/open?id=1FYt5O94lWRvFu-Qc_f3HZwJ2wOPTEf_A" TargetMode="External"/><Relationship Id="rId2005" Type="http://schemas.openxmlformats.org/officeDocument/2006/relationships/hyperlink" Target="https://drive.google.com/open?id=1hRSPSXM1WA4ZhHB5rg8ys_zp_D8vXBdc" TargetMode="External"/><Relationship Id="rId2212" Type="http://schemas.openxmlformats.org/officeDocument/2006/relationships/hyperlink" Target="https://www.linkedin.com/feed" TargetMode="External"/><Relationship Id="rId836" Type="http://schemas.openxmlformats.org/officeDocument/2006/relationships/hyperlink" Target="https://www.instagram.com/rennanleta/" TargetMode="External"/><Relationship Id="rId1021" Type="http://schemas.openxmlformats.org/officeDocument/2006/relationships/hyperlink" Target="https://gerandofalcoes.my.salesforce.com/0014X00002VKCrHQAX" TargetMode="External"/><Relationship Id="rId1119" Type="http://schemas.openxmlformats.org/officeDocument/2006/relationships/hyperlink" Target="https://gerandofalcoes.my.salesforce.com/0014X00002VKCpdQAH" TargetMode="External"/><Relationship Id="rId1673" Type="http://schemas.openxmlformats.org/officeDocument/2006/relationships/hyperlink" Target="https://gerandofalcoes.my.salesforce.com/0014X00002VKCv4QAH" TargetMode="External"/><Relationship Id="rId1880" Type="http://schemas.openxmlformats.org/officeDocument/2006/relationships/hyperlink" Target="https://www.instagram.com/p/CX_Yn-JI38r/?utm_medium=copy_link" TargetMode="External"/><Relationship Id="rId1978" Type="http://schemas.openxmlformats.org/officeDocument/2006/relationships/hyperlink" Target="https://www.linkedin.com/in/wellingtonsmatos/" TargetMode="External"/><Relationship Id="rId903" Type="http://schemas.openxmlformats.org/officeDocument/2006/relationships/hyperlink" Target="https://gerandofalcoes.my.salesforce.com/0014X00002VKCq4QAH" TargetMode="External"/><Relationship Id="rId1326" Type="http://schemas.openxmlformats.org/officeDocument/2006/relationships/hyperlink" Target="https://gerandofalcoes.my.salesforce.com/0034P000045kxkO" TargetMode="External"/><Relationship Id="rId1533" Type="http://schemas.openxmlformats.org/officeDocument/2006/relationships/hyperlink" Target="https://gerandofalcoes.my.salesforce.com/0014P00003SGWPPQA5" TargetMode="External"/><Relationship Id="rId1740" Type="http://schemas.openxmlformats.org/officeDocument/2006/relationships/hyperlink" Target="https://www.linkedin.com/in/ana-carolina-andrade-b104a284" TargetMode="External"/><Relationship Id="rId32" Type="http://schemas.openxmlformats.org/officeDocument/2006/relationships/hyperlink" Target="https://drive.google.com/open?id=1jI7U6TCxRrBLFWchVmlJfmEjWgg3mTPt" TargetMode="External"/><Relationship Id="rId1600" Type="http://schemas.openxmlformats.org/officeDocument/2006/relationships/hyperlink" Target="https://gerandofalcoes.my.salesforce.com/0034X000032HsHf" TargetMode="External"/><Relationship Id="rId1838" Type="http://schemas.openxmlformats.org/officeDocument/2006/relationships/hyperlink" Target="https://gerandofalcoes.my.salesforce.com/0014X00002VKCqFQAX" TargetMode="External"/><Relationship Id="rId181" Type="http://schemas.openxmlformats.org/officeDocument/2006/relationships/hyperlink" Target="https://instagram.com/douglascostamartins?utm_medium=copy_link" TargetMode="External"/><Relationship Id="rId1905" Type="http://schemas.openxmlformats.org/officeDocument/2006/relationships/hyperlink" Target="https://www.instagram.com/reel/CXyV4P5gQd-x0B0UQDh5Q8NEPswBr12-gy_xWs0/?utm_medium=copy_link" TargetMode="External"/><Relationship Id="rId279" Type="http://schemas.openxmlformats.org/officeDocument/2006/relationships/hyperlink" Target="https://drive.google.com/open?id=1ytSSF_6lXRM9WwPNS8Tj06WwhDxuGH4V" TargetMode="External"/><Relationship Id="rId486" Type="http://schemas.openxmlformats.org/officeDocument/2006/relationships/hyperlink" Target="https://www.instagram.com/p/CVO2cw2D7cS/?utm_medium=copy_link" TargetMode="External"/><Relationship Id="rId693" Type="http://schemas.openxmlformats.org/officeDocument/2006/relationships/hyperlink" Target="https://gerandofalcoes.my.salesforce.com/0014P00003YSp9bQAD" TargetMode="External"/><Relationship Id="rId2167" Type="http://schemas.openxmlformats.org/officeDocument/2006/relationships/hyperlink" Target="https://drive.google.com/open?id=1NFLh8c8ByQouWcetNaNyKR2uinpdv-xv" TargetMode="External"/><Relationship Id="rId2374" Type="http://schemas.openxmlformats.org/officeDocument/2006/relationships/hyperlink" Target="https://gerandofalcoes.my.salesforce.com/0034P000045kxiu" TargetMode="External"/><Relationship Id="rId139" Type="http://schemas.openxmlformats.org/officeDocument/2006/relationships/hyperlink" Target="https://gerandofalcoes.my.salesforce.com/0014X00002VKCqvQAH" TargetMode="External"/><Relationship Id="rId346" Type="http://schemas.openxmlformats.org/officeDocument/2006/relationships/hyperlink" Target="https://gerandofalcoes.my.salesforce.com/0034X0000380O3p" TargetMode="External"/><Relationship Id="rId553" Type="http://schemas.openxmlformats.org/officeDocument/2006/relationships/hyperlink" Target="https://gerandofalcoes.my.salesforce.com/0034X000038zvcx" TargetMode="External"/><Relationship Id="rId760" Type="http://schemas.openxmlformats.org/officeDocument/2006/relationships/hyperlink" Target="https://www.instagram.com/caasamigo/" TargetMode="External"/><Relationship Id="rId998" Type="http://schemas.openxmlformats.org/officeDocument/2006/relationships/hyperlink" Target="https://gerandofalcoes.my.salesforce.com/0034X0000380O4t" TargetMode="External"/><Relationship Id="rId1183" Type="http://schemas.openxmlformats.org/officeDocument/2006/relationships/hyperlink" Target="https://www.linkedin.com/in/allana-tamires-canuto-428397197" TargetMode="External"/><Relationship Id="rId1390" Type="http://schemas.openxmlformats.org/officeDocument/2006/relationships/hyperlink" Target="https://gerandofalcoes.my.salesforce.com/0034P000045kxiW" TargetMode="External"/><Relationship Id="rId2027" Type="http://schemas.openxmlformats.org/officeDocument/2006/relationships/hyperlink" Target="https://gerandofalcoes.my.salesforce.com/0014X00002VKCpxQAH" TargetMode="External"/><Relationship Id="rId2234" Type="http://schemas.openxmlformats.org/officeDocument/2006/relationships/hyperlink" Target="https://gerandofalcoes.my.salesforce.com/0014X00002VKCrQQAX" TargetMode="External"/><Relationship Id="rId206" Type="http://schemas.openxmlformats.org/officeDocument/2006/relationships/hyperlink" Target="https://instagram.com/dodo_silva.of?utm_medium=copy_link" TargetMode="External"/><Relationship Id="rId413" Type="http://schemas.openxmlformats.org/officeDocument/2006/relationships/hyperlink" Target="https://gerandofalcoes.my.salesforce.com/0014X00002VKCqTQAX" TargetMode="External"/><Relationship Id="rId858" Type="http://schemas.openxmlformats.org/officeDocument/2006/relationships/hyperlink" Target="https://gerandofalcoes.my.salesforce.com/0014X00002VKCsSQAX" TargetMode="External"/><Relationship Id="rId1043" Type="http://schemas.openxmlformats.org/officeDocument/2006/relationships/hyperlink" Target="https://www.linkedin.com/in/anabeatriz-freire/" TargetMode="External"/><Relationship Id="rId1488" Type="http://schemas.openxmlformats.org/officeDocument/2006/relationships/hyperlink" Target="https://www.linkedin.com/in/e-modesto-jr-9b08a979/" TargetMode="External"/><Relationship Id="rId1695" Type="http://schemas.openxmlformats.org/officeDocument/2006/relationships/hyperlink" Target="https://www.instagram.com/lidinalva.fernandes/" TargetMode="External"/><Relationship Id="rId620" Type="http://schemas.openxmlformats.org/officeDocument/2006/relationships/hyperlink" Target="https://drive.google.com/open?id=12yUzrzCvH7W-7QMEHTNLpQU8WHD_I1Jz" TargetMode="External"/><Relationship Id="rId718" Type="http://schemas.openxmlformats.org/officeDocument/2006/relationships/hyperlink" Target="https://www.linkedin.com/in/angelo-felipe-1261281b2" TargetMode="External"/><Relationship Id="rId925" Type="http://schemas.openxmlformats.org/officeDocument/2006/relationships/hyperlink" Target="https://gerandofalcoes.my.salesforce.com/0034X0000380O1b" TargetMode="External"/><Relationship Id="rId1250" Type="http://schemas.openxmlformats.org/officeDocument/2006/relationships/hyperlink" Target="https://www.instagram.com/fernando_eufigenio/p/CXs3iaQLd4O/?utm_medium=copy_link" TargetMode="External"/><Relationship Id="rId1348" Type="http://schemas.openxmlformats.org/officeDocument/2006/relationships/hyperlink" Target="https://drive.google.com/open?id=1LSeWpAYeYt-11CkpjLIFwsam5QN6fluS" TargetMode="External"/><Relationship Id="rId1555" Type="http://schemas.openxmlformats.org/officeDocument/2006/relationships/hyperlink" Target="https://www.instagram.com/nelriane_pantoja/" TargetMode="External"/><Relationship Id="rId1762" Type="http://schemas.openxmlformats.org/officeDocument/2006/relationships/hyperlink" Target="https://gerandofalcoes.my.salesforce.com/0034P000045kxip" TargetMode="External"/><Relationship Id="rId2301" Type="http://schemas.openxmlformats.org/officeDocument/2006/relationships/hyperlink" Target="https://drive.google.com/open?id=1Sg-gNg0LwNeZE7F82Gh1sjoPo3FtSsBq" TargetMode="External"/><Relationship Id="rId1110" Type="http://schemas.openxmlformats.org/officeDocument/2006/relationships/hyperlink" Target="https://drive.google.com/open?id=1RwiVosia2vn_uvKa8peUmPVynYuF6tr8" TargetMode="External"/><Relationship Id="rId1208" Type="http://schemas.openxmlformats.org/officeDocument/2006/relationships/hyperlink" Target="https://drive.google.com/open?id=1PY0kMS1OR8X1jAKlWyIYLPZQbzdw4osp" TargetMode="External"/><Relationship Id="rId1415" Type="http://schemas.openxmlformats.org/officeDocument/2006/relationships/hyperlink" Target="https://gerandofalcoes.my.salesforce.com/0034P000045kxjx" TargetMode="External"/><Relationship Id="rId54" Type="http://schemas.openxmlformats.org/officeDocument/2006/relationships/hyperlink" Target="https://terradedireitos.org.br/notic" TargetMode="External"/><Relationship Id="rId1622" Type="http://schemas.openxmlformats.org/officeDocument/2006/relationships/hyperlink" Target="https://www.instagram.com/manganga_hugueney/" TargetMode="External"/><Relationship Id="rId1927" Type="http://schemas.openxmlformats.org/officeDocument/2006/relationships/hyperlink" Target="https://drive.google.com/open?id=1mpT_OZt3DRBDicUM1bdyDPaLt-5zPx_w" TargetMode="External"/><Relationship Id="rId2091" Type="http://schemas.openxmlformats.org/officeDocument/2006/relationships/hyperlink" Target="https://gerandofalcoes.my.salesforce.com/0014X00002VKCpLQAX" TargetMode="External"/><Relationship Id="rId2189" Type="http://schemas.openxmlformats.org/officeDocument/2006/relationships/hyperlink" Target="https://www.instagram.com/shaolinbjj/" TargetMode="External"/><Relationship Id="rId270" Type="http://schemas.openxmlformats.org/officeDocument/2006/relationships/hyperlink" Target="https://drive.google.com/open?id=1avIcYCsxnm2gukfdoKNyoETt28xSY7oT" TargetMode="External"/><Relationship Id="rId2396" Type="http://schemas.openxmlformats.org/officeDocument/2006/relationships/printerSettings" Target="../printerSettings/printerSettings8.bin"/><Relationship Id="rId130" Type="http://schemas.openxmlformats.org/officeDocument/2006/relationships/hyperlink" Target="https://gerandofalcoes.my.salesforce.com/0014X00002VKCujQAH" TargetMode="External"/><Relationship Id="rId368" Type="http://schemas.openxmlformats.org/officeDocument/2006/relationships/hyperlink" Target="https://gerandofalcoes.my.salesforce.com/0014X00002VKCr6QAH" TargetMode="External"/><Relationship Id="rId575" Type="http://schemas.openxmlformats.org/officeDocument/2006/relationships/hyperlink" Target="https://gerandofalcoes.my.salesforce.com/0014P00003YSp9EQAT" TargetMode="External"/><Relationship Id="rId782" Type="http://schemas.openxmlformats.org/officeDocument/2006/relationships/hyperlink" Target="https://gerandofalcoes.my.salesforce.com/0034P000045kxiZ" TargetMode="External"/><Relationship Id="rId2049" Type="http://schemas.openxmlformats.org/officeDocument/2006/relationships/hyperlink" Target="https://drive.google.com/open?id=1PIj4L9JH-QV0Ocsv6W6PnkE1WKRUOPW2" TargetMode="External"/><Relationship Id="rId2256" Type="http://schemas.openxmlformats.org/officeDocument/2006/relationships/hyperlink" Target="https://www.instagram.com/patriciaoliveirasc/" TargetMode="External"/><Relationship Id="rId228" Type="http://schemas.openxmlformats.org/officeDocument/2006/relationships/hyperlink" Target="https://gerandofalcoes.my.salesforce.com/0034P000043fOnj" TargetMode="External"/><Relationship Id="rId435" Type="http://schemas.openxmlformats.org/officeDocument/2006/relationships/hyperlink" Target="https://www.linkedin.com/in/ivette-rodrigues-de-macedo-8070bb120/" TargetMode="External"/><Relationship Id="rId642" Type="http://schemas.openxmlformats.org/officeDocument/2006/relationships/hyperlink" Target="https://gerandofalcoes.my.salesforce.com/0014P00003YSp9CQAT" TargetMode="External"/><Relationship Id="rId1065" Type="http://schemas.openxmlformats.org/officeDocument/2006/relationships/hyperlink" Target="https://drive.google.com/open?id=1-px_7b9AqiI4graA-LAgL6ug5QTqwfZx" TargetMode="External"/><Relationship Id="rId1272" Type="http://schemas.openxmlformats.org/officeDocument/2006/relationships/hyperlink" Target="https://gerandofalcoes.my.salesforce.com/0014P00003YSp9PQAT" TargetMode="External"/><Relationship Id="rId2116" Type="http://schemas.openxmlformats.org/officeDocument/2006/relationships/hyperlink" Target="https://gerandofalcoes.my.salesforce.com/0034X0000380O2P" TargetMode="External"/><Relationship Id="rId2323" Type="http://schemas.openxmlformats.org/officeDocument/2006/relationships/hyperlink" Target="https://www.instagram.com/topclubxadrez" TargetMode="External"/><Relationship Id="rId502" Type="http://schemas.openxmlformats.org/officeDocument/2006/relationships/hyperlink" Target="https://drive.google.com/open?id=1zlMUS59KAGgi8gYTm8WS8kTrxqUfAjl5" TargetMode="External"/><Relationship Id="rId947" Type="http://schemas.openxmlformats.org/officeDocument/2006/relationships/hyperlink" Target="https://gerandofalcoes.my.salesforce.com/0014X00002VKCqNQAX" TargetMode="External"/><Relationship Id="rId1132" Type="http://schemas.openxmlformats.org/officeDocument/2006/relationships/hyperlink" Target="https://gerandofalcoes.my.salesforce.com/0014P00003AN2h5QAD" TargetMode="External"/><Relationship Id="rId1577" Type="http://schemas.openxmlformats.org/officeDocument/2006/relationships/hyperlink" Target="https://gerandofalcoes.my.salesforce.com/0034P000045kxkG" TargetMode="External"/><Relationship Id="rId1784" Type="http://schemas.openxmlformats.org/officeDocument/2006/relationships/hyperlink" Target="https://gerandofalcoes.my.salesforce.com/0014P00003YSp8dQAD" TargetMode="External"/><Relationship Id="rId1991" Type="http://schemas.openxmlformats.org/officeDocument/2006/relationships/hyperlink" Target="https://gerandofalcoes.my.salesforce.com/0034X000032HsKK" TargetMode="External"/><Relationship Id="rId76" Type="http://schemas.openxmlformats.org/officeDocument/2006/relationships/hyperlink" Target="https://gerandofalcoes.my.salesforce.com/0014P00003YSp9aQAD" TargetMode="External"/><Relationship Id="rId807" Type="http://schemas.openxmlformats.org/officeDocument/2006/relationships/hyperlink" Target="https://gerandofalcoes.my.salesforce.com/0014X00002VKCscQAH" TargetMode="External"/><Relationship Id="rId1437" Type="http://schemas.openxmlformats.org/officeDocument/2006/relationships/hyperlink" Target="https://www.instagram.com/fernandoddi/" TargetMode="External"/><Relationship Id="rId1644" Type="http://schemas.openxmlformats.org/officeDocument/2006/relationships/hyperlink" Target="https://gerandofalcoes.my.salesforce.com/0014P00003SGWPdQAP" TargetMode="External"/><Relationship Id="rId1851" Type="http://schemas.openxmlformats.org/officeDocument/2006/relationships/hyperlink" Target="https://gerandofalcoes.my.salesforce.com/0034X0000380O6k" TargetMode="External"/><Relationship Id="rId1504" Type="http://schemas.openxmlformats.org/officeDocument/2006/relationships/hyperlink" Target="https://gerandofalcoes.my.salesforce.com/0014P00003SGWPqQAP" TargetMode="External"/><Relationship Id="rId1711" Type="http://schemas.openxmlformats.org/officeDocument/2006/relationships/hyperlink" Target="https://drive.google.com/open?id=1RAgPd5DdIK-hiSAUxrtywNdQYVD-AUdW" TargetMode="External"/><Relationship Id="rId1949" Type="http://schemas.openxmlformats.org/officeDocument/2006/relationships/hyperlink" Target="https://gerandofalcoes.my.salesforce.com/0034X0000380O58" TargetMode="External"/><Relationship Id="rId292" Type="http://schemas.openxmlformats.org/officeDocument/2006/relationships/hyperlink" Target="https://gerandofalcoes.my.salesforce.com/0014P00003AN2G7QAL" TargetMode="External"/><Relationship Id="rId1809" Type="http://schemas.openxmlformats.org/officeDocument/2006/relationships/hyperlink" Target="https://drive.google.com/open?id=1YHylL6BWm1hitVgQJT8vmbey2vqKuPVh" TargetMode="External"/><Relationship Id="rId597" Type="http://schemas.openxmlformats.org/officeDocument/2006/relationships/hyperlink" Target="https://drive.google.com/open?id=12eipfxlQ-9jFTzg4dTPITGKQMopChRb2" TargetMode="External"/><Relationship Id="rId2180" Type="http://schemas.openxmlformats.org/officeDocument/2006/relationships/hyperlink" Target="https://gerandofalcoes.my.salesforce.com/0014X00002OEuamQAD" TargetMode="External"/><Relationship Id="rId2278" Type="http://schemas.openxmlformats.org/officeDocument/2006/relationships/hyperlink" Target="https://www.linkedin.com/in/rafaelmarcelinooliver/" TargetMode="External"/><Relationship Id="rId152" Type="http://schemas.openxmlformats.org/officeDocument/2006/relationships/hyperlink" Target="https://gerandofalcoes.my.salesforce.com/0034P000043fOnd" TargetMode="External"/><Relationship Id="rId457" Type="http://schemas.openxmlformats.org/officeDocument/2006/relationships/hyperlink" Target="https://gerandofalcoes.my.salesforce.com/0034X0000380O5v" TargetMode="External"/><Relationship Id="rId1087" Type="http://schemas.openxmlformats.org/officeDocument/2006/relationships/hyperlink" Target="https://gerandofalcoes.my.salesforce.com/0034X0000380O3I" TargetMode="External"/><Relationship Id="rId1294" Type="http://schemas.openxmlformats.org/officeDocument/2006/relationships/hyperlink" Target="http://www.instagram.com/auciliamaria_27/?hl=pt-br" TargetMode="External"/><Relationship Id="rId2040" Type="http://schemas.openxmlformats.org/officeDocument/2006/relationships/hyperlink" Target="https://www.instagram.com/p/CIeDBOhBvFF/?utm_medium=copy_link" TargetMode="External"/><Relationship Id="rId2138" Type="http://schemas.openxmlformats.org/officeDocument/2006/relationships/hyperlink" Target="https://drive.google.com/open?id=1q48-yS8uezvraaagbt8CYDO5WX6i6IjP" TargetMode="External"/><Relationship Id="rId664" Type="http://schemas.openxmlformats.org/officeDocument/2006/relationships/hyperlink" Target="https://drive.google.com/open?id=14jd-qqED4QMWqUkD6nVgzFvP7M_3_29n" TargetMode="External"/><Relationship Id="rId871" Type="http://schemas.openxmlformats.org/officeDocument/2006/relationships/hyperlink" Target="https://gerandofalcoes.my.salesforce.com/0014X00002VKCtuQAH" TargetMode="External"/><Relationship Id="rId969" Type="http://schemas.openxmlformats.org/officeDocument/2006/relationships/hyperlink" Target="https://gerandofalcoes.my.salesforce.com/0014X00002VKCtjQAH" TargetMode="External"/><Relationship Id="rId1599" Type="http://schemas.openxmlformats.org/officeDocument/2006/relationships/hyperlink" Target="https://gerandofalcoes.my.salesforce.com/0014X00002PUObkQAH" TargetMode="External"/><Relationship Id="rId2345" Type="http://schemas.openxmlformats.org/officeDocument/2006/relationships/hyperlink" Target="https://drive.google.com/open?id=1Q0RvFzw0SyAaJcMQ1sO3EByH4MOcnRWl" TargetMode="External"/><Relationship Id="rId317" Type="http://schemas.openxmlformats.org/officeDocument/2006/relationships/hyperlink" Target="https://instagram.com/julianderson_bodyboard?utm_medium=copy_link" TargetMode="External"/><Relationship Id="rId524" Type="http://schemas.openxmlformats.org/officeDocument/2006/relationships/hyperlink" Target="https://gerandofalcoes.my.salesforce.com/0034P000045kxia" TargetMode="External"/><Relationship Id="rId731" Type="http://schemas.openxmlformats.org/officeDocument/2006/relationships/hyperlink" Target="https://www.linkedin.com/in/lucas-estevam-a72ba749/" TargetMode="External"/><Relationship Id="rId1154" Type="http://schemas.openxmlformats.org/officeDocument/2006/relationships/hyperlink" Target="https://drive.google.com/open?id=1bGwzS2FbXBNqxyIOHeu_sV2tLssT2zBu" TargetMode="External"/><Relationship Id="rId1361" Type="http://schemas.openxmlformats.org/officeDocument/2006/relationships/hyperlink" Target="https://drive.google.com/open?id=1BNEGMU58VHaM7IeFqqseoC18H8oKQ52q" TargetMode="External"/><Relationship Id="rId1459" Type="http://schemas.openxmlformats.org/officeDocument/2006/relationships/hyperlink" Target="https://gerandofalcoes.my.salesforce.com/0034X000032Hs9p" TargetMode="External"/><Relationship Id="rId2205" Type="http://schemas.openxmlformats.org/officeDocument/2006/relationships/hyperlink" Target="https://www.instagram.com/deybsonjunior/" TargetMode="External"/><Relationship Id="rId98" Type="http://schemas.openxmlformats.org/officeDocument/2006/relationships/hyperlink" Target="https://www.instagram.com/p/CZUqsP6pdOo/?utm_medium=copy_lin" TargetMode="External"/><Relationship Id="rId829" Type="http://schemas.openxmlformats.org/officeDocument/2006/relationships/hyperlink" Target="https://gerandofalcoes.my.salesforce.com/0034X0000380O1J" TargetMode="External"/><Relationship Id="rId1014" Type="http://schemas.openxmlformats.org/officeDocument/2006/relationships/hyperlink" Target="https://instagram.com/sulasouza?utm_medium=copy_link" TargetMode="External"/><Relationship Id="rId1221" Type="http://schemas.openxmlformats.org/officeDocument/2006/relationships/hyperlink" Target="https://gerandofalcoes.my.salesforce.com/0014X00002VKCuWQAX" TargetMode="External"/><Relationship Id="rId1666" Type="http://schemas.openxmlformats.org/officeDocument/2006/relationships/hyperlink" Target="https://gerandofalcoes.my.salesforce.com/0034P00003maBVZ" TargetMode="External"/><Relationship Id="rId1873" Type="http://schemas.openxmlformats.org/officeDocument/2006/relationships/hyperlink" Target="https://gerandofalcoes.my.salesforce.com/0014X00002VKCrKQAX" TargetMode="External"/><Relationship Id="rId1319" Type="http://schemas.openxmlformats.org/officeDocument/2006/relationships/hyperlink" Target="https://gerandofalcoes.my.salesforce.com/0034X0000380O5E" TargetMode="External"/><Relationship Id="rId1526" Type="http://schemas.openxmlformats.org/officeDocument/2006/relationships/hyperlink" Target="https://gerandofalcoes.my.salesforce.com/0034P000045kxi4" TargetMode="External"/><Relationship Id="rId1733" Type="http://schemas.openxmlformats.org/officeDocument/2006/relationships/hyperlink" Target="https://drive.google.com/open?id=1S8z7NAzFJ9FUQGYX3CtXHfHbnEoKP_ik" TargetMode="External"/><Relationship Id="rId1940" Type="http://schemas.openxmlformats.org/officeDocument/2006/relationships/hyperlink" Target="https://www.linkedin.com/in/daiani-ferreira-soares-58973534" TargetMode="External"/><Relationship Id="rId25" Type="http://schemas.openxmlformats.org/officeDocument/2006/relationships/hyperlink" Target="https://www.instagram.com/genimeirebezerra/" TargetMode="External"/><Relationship Id="rId1800" Type="http://schemas.openxmlformats.org/officeDocument/2006/relationships/hyperlink" Target="https://drive.google.com/open?id=1KuJRrz0LJjkCms2jb4KlyhM15hnjx4Ru" TargetMode="External"/><Relationship Id="rId174" Type="http://schemas.openxmlformats.org/officeDocument/2006/relationships/hyperlink" Target="https://gerandofalcoes.my.salesforce.com/0014X00002VKCvAQAX" TargetMode="External"/><Relationship Id="rId381" Type="http://schemas.openxmlformats.org/officeDocument/2006/relationships/hyperlink" Target="https://www.linkedin.com/in/marcus-vinicius-do-nascimento-a0ab634b" TargetMode="External"/><Relationship Id="rId2062" Type="http://schemas.openxmlformats.org/officeDocument/2006/relationships/hyperlink" Target="https://www.instagram.com/p/CRAg6gKs8Lz/?utm_medium=copy_link" TargetMode="External"/><Relationship Id="rId241" Type="http://schemas.openxmlformats.org/officeDocument/2006/relationships/hyperlink" Target="https://gerandofalcoes.my.salesforce.com/0034P000043fOnY" TargetMode="External"/><Relationship Id="rId479" Type="http://schemas.openxmlformats.org/officeDocument/2006/relationships/hyperlink" Target="https://gerandofalcoes.my.salesforce.com/0034P00003maBUx" TargetMode="External"/><Relationship Id="rId686" Type="http://schemas.openxmlformats.org/officeDocument/2006/relationships/hyperlink" Target="https://www.linkedin.com/in/rafael-santiago-machado-0b1b67186" TargetMode="External"/><Relationship Id="rId893" Type="http://schemas.openxmlformats.org/officeDocument/2006/relationships/hyperlink" Target="https://www.instagram.com/mcdeboraglamurosaoficial" TargetMode="External"/><Relationship Id="rId2367" Type="http://schemas.openxmlformats.org/officeDocument/2006/relationships/hyperlink" Target="https://drive.google.com/open?id=1JYRVtljWjcJx8uAVYayPNz31Aw8vCF2a" TargetMode="External"/><Relationship Id="rId339" Type="http://schemas.openxmlformats.org/officeDocument/2006/relationships/hyperlink" Target="https://drive.google.com/open?id=1ZzfyDwvCqv6eBSmjT9tb0eFED9uqwRC4" TargetMode="External"/><Relationship Id="rId546" Type="http://schemas.openxmlformats.org/officeDocument/2006/relationships/hyperlink" Target="https://www.linkedin.com/in/flavia-silva-93b538230/" TargetMode="External"/><Relationship Id="rId753" Type="http://schemas.openxmlformats.org/officeDocument/2006/relationships/hyperlink" Target="https://gerandofalcoes.my.salesforce.com/0034X0000380O5e" TargetMode="External"/><Relationship Id="rId1176" Type="http://schemas.openxmlformats.org/officeDocument/2006/relationships/hyperlink" Target="https://www.instagram.com/suelenaraujo__/" TargetMode="External"/><Relationship Id="rId1383" Type="http://schemas.openxmlformats.org/officeDocument/2006/relationships/hyperlink" Target="https://www.instagram.com/zilldasouza/" TargetMode="External"/><Relationship Id="rId2227" Type="http://schemas.openxmlformats.org/officeDocument/2006/relationships/hyperlink" Target="https://gerandofalcoes.my.salesforce.com/0034X0000380O2p" TargetMode="External"/><Relationship Id="rId101" Type="http://schemas.openxmlformats.org/officeDocument/2006/relationships/hyperlink" Target="https://gerandofalcoes.my.salesforce.com/0014P00003YSp9fQAD" TargetMode="External"/><Relationship Id="rId406" Type="http://schemas.openxmlformats.org/officeDocument/2006/relationships/hyperlink" Target="https://gerandofalcoes.my.salesforce.com/0034P000045kxjb" TargetMode="External"/><Relationship Id="rId960" Type="http://schemas.openxmlformats.org/officeDocument/2006/relationships/hyperlink" Target="https://drive.google.com/open?id=19UnzA4FBL3N8VI-o_a1ayGXC_62PPrVJ" TargetMode="External"/><Relationship Id="rId1036" Type="http://schemas.openxmlformats.org/officeDocument/2006/relationships/hyperlink" Target="https://gerandofalcoes.my.salesforce.com/0034P000043fOnn" TargetMode="External"/><Relationship Id="rId1243" Type="http://schemas.openxmlformats.org/officeDocument/2006/relationships/hyperlink" Target="https://gerandofalcoes.my.salesforce.com/0014P00003SGWPrQAP" TargetMode="External"/><Relationship Id="rId1590" Type="http://schemas.openxmlformats.org/officeDocument/2006/relationships/hyperlink" Target="https://gerandofalcoes.my.salesforce.com/0034X0000380O1K" TargetMode="External"/><Relationship Id="rId1688" Type="http://schemas.openxmlformats.org/officeDocument/2006/relationships/hyperlink" Target="http://www.instagram.com/@_andresasiveirapsicologa" TargetMode="External"/><Relationship Id="rId1895" Type="http://schemas.openxmlformats.org/officeDocument/2006/relationships/hyperlink" Target="https://gerandofalcoes.my.salesforce.com/0034P000045kxin" TargetMode="External"/><Relationship Id="rId613" Type="http://schemas.openxmlformats.org/officeDocument/2006/relationships/hyperlink" Target="https://www.linkedin.com/in/elisangela-li-6b4865217" TargetMode="External"/><Relationship Id="rId820" Type="http://schemas.openxmlformats.org/officeDocument/2006/relationships/hyperlink" Target="https://gerandofalcoes.my.salesforce.com/0034X0000380O2i" TargetMode="External"/><Relationship Id="rId918" Type="http://schemas.openxmlformats.org/officeDocument/2006/relationships/hyperlink" Target="https://drive.google.com/open?id=18p5_PXIU6XPQWmXHv8NrldKY6-VRakoh" TargetMode="External"/><Relationship Id="rId1450" Type="http://schemas.openxmlformats.org/officeDocument/2006/relationships/hyperlink" Target="https://gerandofalcoes.my.salesforce.com/0034P00003xgujU" TargetMode="External"/><Relationship Id="rId1548" Type="http://schemas.openxmlformats.org/officeDocument/2006/relationships/hyperlink" Target="https://www.instagram.com/rasta.prof/" TargetMode="External"/><Relationship Id="rId1755" Type="http://schemas.openxmlformats.org/officeDocument/2006/relationships/hyperlink" Target="https://drive.google.com/open?id=1CoTJKhEOrxeitfu_kK6SptISmJnSCD9Z" TargetMode="External"/><Relationship Id="rId1103" Type="http://schemas.openxmlformats.org/officeDocument/2006/relationships/hyperlink" Target="https://br.linkedin.com/in/fabr%C3%ADcio-silvestre-94b35b20a" TargetMode="External"/><Relationship Id="rId1310" Type="http://schemas.openxmlformats.org/officeDocument/2006/relationships/hyperlink" Target="https://gerandofalcoes.my.salesforce.com/0034P000043fOoJ" TargetMode="External"/><Relationship Id="rId1408" Type="http://schemas.openxmlformats.org/officeDocument/2006/relationships/hyperlink" Target="https://gerandofalcoes.my.salesforce.com/0034P000045kxkt" TargetMode="External"/><Relationship Id="rId1962" Type="http://schemas.openxmlformats.org/officeDocument/2006/relationships/hyperlink" Target="https://drive.google.com/open?id=1VXnl6c2rksCP0gUrLtLx5IKgIylW5Psa" TargetMode="External"/><Relationship Id="rId47" Type="http://schemas.openxmlformats.org/officeDocument/2006/relationships/hyperlink" Target="https://www.instagram.com/p/CbkiBu3u8e-/?utm_medium=copy_link" TargetMode="External"/><Relationship Id="rId1615" Type="http://schemas.openxmlformats.org/officeDocument/2006/relationships/hyperlink" Target="https://drive.google.com/open?id=1-fjnPuj43pm9ct49n8NqWddiJ9p67DRX" TargetMode="External"/><Relationship Id="rId1822" Type="http://schemas.openxmlformats.org/officeDocument/2006/relationships/hyperlink" Target="https://drive.google.com/open?id=1avbizm6xs9ArRVa9-hvXirRX9eWFrjpO" TargetMode="External"/><Relationship Id="rId196" Type="http://schemas.openxmlformats.org/officeDocument/2006/relationships/hyperlink" Target="https://www.linkedin.com/in/luciana-mira-b97b34236/" TargetMode="External"/><Relationship Id="rId2084" Type="http://schemas.openxmlformats.org/officeDocument/2006/relationships/hyperlink" Target="https://gerandofalcoes.my.salesforce.com/0014P00003YSp9vQAD" TargetMode="External"/><Relationship Id="rId2291" Type="http://schemas.openxmlformats.org/officeDocument/2006/relationships/hyperlink" Target="https://www.instagram.com/marcelotrindadestm/" TargetMode="External"/><Relationship Id="rId263" Type="http://schemas.openxmlformats.org/officeDocument/2006/relationships/hyperlink" Target="https://drive.google.com/open?id=1XKgrKR1BGz63HlSzzh56Z8OCaWRwZ6Bj" TargetMode="External"/><Relationship Id="rId470" Type="http://schemas.openxmlformats.org/officeDocument/2006/relationships/hyperlink" Target="https://gerandofalcoes.my.salesforce.com/0034P000043fOoA" TargetMode="External"/><Relationship Id="rId2151" Type="http://schemas.openxmlformats.org/officeDocument/2006/relationships/hyperlink" Target="https://gerandofalcoes.my.salesforce.com/0034X0000380O2r" TargetMode="External"/><Relationship Id="rId2389" Type="http://schemas.openxmlformats.org/officeDocument/2006/relationships/hyperlink" Target="https://br.linkedin.com/in/barucvendito" TargetMode="External"/><Relationship Id="rId123" Type="http://schemas.openxmlformats.org/officeDocument/2006/relationships/hyperlink" Target="https://drive.google.com/open?id=1CzrTd6hgyZQCiwAJUaPchLWETLdrHNi_" TargetMode="External"/><Relationship Id="rId330" Type="http://schemas.openxmlformats.org/officeDocument/2006/relationships/hyperlink" Target="https://gerandofalcoes.my.salesforce.com/0034X000032Hs00" TargetMode="External"/><Relationship Id="rId568" Type="http://schemas.openxmlformats.org/officeDocument/2006/relationships/hyperlink" Target="http://www.instagram.com/lecawitzki" TargetMode="External"/><Relationship Id="rId775" Type="http://schemas.openxmlformats.org/officeDocument/2006/relationships/hyperlink" Target="https://gerandofalcoes.my.salesforce.com/0034X0000380O28" TargetMode="External"/><Relationship Id="rId982" Type="http://schemas.openxmlformats.org/officeDocument/2006/relationships/hyperlink" Target="https://gerandofalcoes.my.salesforce.com/0014X00002VKCqoQAH" TargetMode="External"/><Relationship Id="rId1198" Type="http://schemas.openxmlformats.org/officeDocument/2006/relationships/hyperlink" Target="https://gerandofalcoes.my.salesforce.com/0014X00002VKCqfQAH" TargetMode="External"/><Relationship Id="rId2011" Type="http://schemas.openxmlformats.org/officeDocument/2006/relationships/hyperlink" Target="https://gerandofalcoes.my.salesforce.com/0034X0000380O4N" TargetMode="External"/><Relationship Id="rId2249" Type="http://schemas.openxmlformats.org/officeDocument/2006/relationships/hyperlink" Target="https://gerandofalcoes.my.salesforce.com/0014P00003YSp8bQAD" TargetMode="External"/><Relationship Id="rId428" Type="http://schemas.openxmlformats.org/officeDocument/2006/relationships/hyperlink" Target="https://drive.google.com/open?id=1XHU-NepH1WwzgMqf_Vh1td87fyy0WcJl" TargetMode="External"/><Relationship Id="rId635" Type="http://schemas.openxmlformats.org/officeDocument/2006/relationships/hyperlink" Target="https://instagram.com/k_g_s_?utm_medium=copy_link" TargetMode="External"/><Relationship Id="rId842" Type="http://schemas.openxmlformats.org/officeDocument/2006/relationships/hyperlink" Target="https://drive.google.com/open?id=1a8B8SdyykY0i67bSJBJ90HrSbK0Gk-m2" TargetMode="External"/><Relationship Id="rId1058" Type="http://schemas.openxmlformats.org/officeDocument/2006/relationships/hyperlink" Target="https://br.linkedin.com/in/jefferson-quirino-44780a185" TargetMode="External"/><Relationship Id="rId1265" Type="http://schemas.openxmlformats.org/officeDocument/2006/relationships/hyperlink" Target="https://gerandofalcoes.my.salesforce.com/0034P00003maBVr" TargetMode="External"/><Relationship Id="rId1472" Type="http://schemas.openxmlformats.org/officeDocument/2006/relationships/hyperlink" Target="https://gerandofalcoes.my.salesforce.com/0034X0000380O4O" TargetMode="External"/><Relationship Id="rId2109" Type="http://schemas.openxmlformats.org/officeDocument/2006/relationships/hyperlink" Target="https://drive.google.com/open?id=1HK4WAnu3d0NCkSPRPQsYYUcYzf-WhLSN" TargetMode="External"/><Relationship Id="rId2316" Type="http://schemas.openxmlformats.org/officeDocument/2006/relationships/hyperlink" Target="https://drive.google.com/open?id=1OTsLXl7ofPhXYPGJRA87hbhO5k-y0x0O" TargetMode="External"/><Relationship Id="rId702" Type="http://schemas.openxmlformats.org/officeDocument/2006/relationships/hyperlink" Target="https://gerandofalcoes.my.salesforce.com/0034X0000380O40" TargetMode="External"/><Relationship Id="rId1125" Type="http://schemas.openxmlformats.org/officeDocument/2006/relationships/hyperlink" Target="https://gerandofalcoes.my.salesforce.com/0014X00002VKCqyQAH" TargetMode="External"/><Relationship Id="rId1332" Type="http://schemas.openxmlformats.org/officeDocument/2006/relationships/hyperlink" Target="https://gerandofalcoes.my.salesforce.com/0014X00002PUOaDQAX" TargetMode="External"/><Relationship Id="rId1777" Type="http://schemas.openxmlformats.org/officeDocument/2006/relationships/hyperlink" Target="https://www.linkedin.com/in/fernanda-bento-silva-82b93816a" TargetMode="External"/><Relationship Id="rId1984" Type="http://schemas.openxmlformats.org/officeDocument/2006/relationships/hyperlink" Target="https://gerandofalcoes.my.salesforce.com/0014X00002VKCoxQAH" TargetMode="External"/><Relationship Id="rId69" Type="http://schemas.openxmlformats.org/officeDocument/2006/relationships/hyperlink" Target="https://gerandofalcoes.my.salesforce.com/0034P00003maBVR" TargetMode="External"/><Relationship Id="rId1637" Type="http://schemas.openxmlformats.org/officeDocument/2006/relationships/hyperlink" Target="https://www.linkedin.com/in/leonardo-precioso-b1a063157" TargetMode="External"/><Relationship Id="rId1844" Type="http://schemas.openxmlformats.org/officeDocument/2006/relationships/hyperlink" Target="http://www.instagram.com/thamirescastroa" TargetMode="External"/><Relationship Id="rId1704" Type="http://schemas.openxmlformats.org/officeDocument/2006/relationships/hyperlink" Target="https://gerandofalcoes.my.salesforce.com/0034X0000380O1D" TargetMode="External"/><Relationship Id="rId285" Type="http://schemas.openxmlformats.org/officeDocument/2006/relationships/hyperlink" Target="https://drive.google.com/open?id=15bopVaqw2uyOnMBBXcQTw-L-5AEnTxfN" TargetMode="External"/><Relationship Id="rId1911" Type="http://schemas.openxmlformats.org/officeDocument/2006/relationships/hyperlink" Target="https://gerandofalcoes.my.salesforce.com/0034P000045kxjv" TargetMode="External"/><Relationship Id="rId492" Type="http://schemas.openxmlformats.org/officeDocument/2006/relationships/hyperlink" Target="https://gerandofalcoes.my.salesforce.com/0014P00003SGWQ4QAP" TargetMode="External"/><Relationship Id="rId797" Type="http://schemas.openxmlformats.org/officeDocument/2006/relationships/hyperlink" Target="https://drive.google.com/open?id=1zA23spmbDGEXc6fhr2tPyMjgz7fY8Xzw" TargetMode="External"/><Relationship Id="rId2173" Type="http://schemas.openxmlformats.org/officeDocument/2006/relationships/hyperlink" Target="https://gerandofalcoes.my.salesforce.com/0014X00002VKCt3QAH" TargetMode="External"/><Relationship Id="rId2380" Type="http://schemas.openxmlformats.org/officeDocument/2006/relationships/hyperlink" Target="http://instagram.com/gouveiia" TargetMode="External"/><Relationship Id="rId145" Type="http://schemas.openxmlformats.org/officeDocument/2006/relationships/hyperlink" Target="https://drive.google.com/open?id=1bTcF3h1NHitlMDgCERntcOL90XfPVMec" TargetMode="External"/><Relationship Id="rId352" Type="http://schemas.openxmlformats.org/officeDocument/2006/relationships/hyperlink" Target="https://gerandofalcoes.my.salesforce.com/0014X00002VKCteQAH" TargetMode="External"/><Relationship Id="rId1287" Type="http://schemas.openxmlformats.org/officeDocument/2006/relationships/hyperlink" Target="https://gerandofalcoes.my.salesforce.com/0034P00003maBV1" TargetMode="External"/><Relationship Id="rId2033" Type="http://schemas.openxmlformats.org/officeDocument/2006/relationships/hyperlink" Target="https://drive.google.com/open?id=1qDnQNuubPMMRK0-BUfbjvR3EfafGSjWU" TargetMode="External"/><Relationship Id="rId2240" Type="http://schemas.openxmlformats.org/officeDocument/2006/relationships/hyperlink" Target="https://gerandofalcoes.my.salesforce.com/0034P000043fOoH" TargetMode="External"/><Relationship Id="rId212" Type="http://schemas.openxmlformats.org/officeDocument/2006/relationships/hyperlink" Target="https://gerandofalcoes.my.salesforce.com/0014P00003AN2GFQA1" TargetMode="External"/><Relationship Id="rId657" Type="http://schemas.openxmlformats.org/officeDocument/2006/relationships/hyperlink" Target="https://gerandofalcoes.my.salesforce.com/0014X00002VKCuoQAH" TargetMode="External"/><Relationship Id="rId864" Type="http://schemas.openxmlformats.org/officeDocument/2006/relationships/hyperlink" Target="http://www.linkedin.com/in/clube-de-ajuda-b654b1230" TargetMode="External"/><Relationship Id="rId1494" Type="http://schemas.openxmlformats.org/officeDocument/2006/relationships/hyperlink" Target="https://drive.google.com/open?id=1myNI-9maAdB6jja7rCkomKgVBCl2OODy" TargetMode="External"/><Relationship Id="rId1799" Type="http://schemas.openxmlformats.org/officeDocument/2006/relationships/hyperlink" Target="https://instagram.com/fanycaligrafia?igshid=YmMyMTA2M2Y=" TargetMode="External"/><Relationship Id="rId2100" Type="http://schemas.openxmlformats.org/officeDocument/2006/relationships/hyperlink" Target="https://www.instagram.com/invites/contact/?i=z1sxzp187jde&amp;utm_content=2o5t1df" TargetMode="External"/><Relationship Id="rId2338" Type="http://schemas.openxmlformats.org/officeDocument/2006/relationships/hyperlink" Target="https://drive.google.com/open?id=1wq3GbxKYwOPTUUmJwsRsBT-FzcAZqdBz" TargetMode="External"/><Relationship Id="rId517" Type="http://schemas.openxmlformats.org/officeDocument/2006/relationships/hyperlink" Target="https://gerandofalcoes.my.salesforce.com/0014P00003YSp9jQAD" TargetMode="External"/><Relationship Id="rId724" Type="http://schemas.openxmlformats.org/officeDocument/2006/relationships/hyperlink" Target="https://gerandofalcoes.my.salesforce.com/0014P00003YSp7hQAD" TargetMode="External"/><Relationship Id="rId931" Type="http://schemas.openxmlformats.org/officeDocument/2006/relationships/hyperlink" Target="https://gerandofalcoes.my.salesforce.com/0014X00002VKCpwQAH" TargetMode="External"/><Relationship Id="rId1147" Type="http://schemas.openxmlformats.org/officeDocument/2006/relationships/hyperlink" Target="https://www.linkedin.com/in/marilene-rodrigues-a74774115/" TargetMode="External"/><Relationship Id="rId1354" Type="http://schemas.openxmlformats.org/officeDocument/2006/relationships/hyperlink" Target="https://gerandofalcoes.my.salesforce.com/0034X0000380O5q" TargetMode="External"/><Relationship Id="rId1561" Type="http://schemas.openxmlformats.org/officeDocument/2006/relationships/hyperlink" Target="https://gerandofalcoes.my.salesforce.com/0014X00002VKCpsQAH" TargetMode="External"/><Relationship Id="rId60" Type="http://schemas.openxmlformats.org/officeDocument/2006/relationships/hyperlink" Target="https://gerandofalcoes.my.salesforce.com/0014P00003YSp8AQAT" TargetMode="External"/><Relationship Id="rId1007" Type="http://schemas.openxmlformats.org/officeDocument/2006/relationships/hyperlink" Target="https://drive.google.com/open?id=1BcqfDOMnifC2l91kDs-IeUk9U-L005dh" TargetMode="External"/><Relationship Id="rId1214" Type="http://schemas.openxmlformats.org/officeDocument/2006/relationships/hyperlink" Target="https://gerandofalcoes.my.salesforce.com/0034X0000380O1M" TargetMode="External"/><Relationship Id="rId1421" Type="http://schemas.openxmlformats.org/officeDocument/2006/relationships/hyperlink" Target="https://drive.google.com/open?id=1qJOYwb1C9NFlkPliwPxCjsfAUa85gc9S" TargetMode="External"/><Relationship Id="rId1659" Type="http://schemas.openxmlformats.org/officeDocument/2006/relationships/hyperlink" Target="https://www.instagram.com/soraiatomaz/" TargetMode="External"/><Relationship Id="rId1866" Type="http://schemas.openxmlformats.org/officeDocument/2006/relationships/hyperlink" Target="https://gerandofalcoes.my.salesforce.com/0014P00003SGWQ7QAP" TargetMode="External"/><Relationship Id="rId1519" Type="http://schemas.openxmlformats.org/officeDocument/2006/relationships/hyperlink" Target="https://www.instagram.com/lisaniapereira/" TargetMode="External"/><Relationship Id="rId1726" Type="http://schemas.openxmlformats.org/officeDocument/2006/relationships/hyperlink" Target="https://gerandofalcoes.my.salesforce.com/0034P00003maBVJ" TargetMode="External"/><Relationship Id="rId1933" Type="http://schemas.openxmlformats.org/officeDocument/2006/relationships/hyperlink" Target="https://gerandofalcoes.my.salesforce.com/0034X0000380O3a" TargetMode="External"/><Relationship Id="rId18" Type="http://schemas.openxmlformats.org/officeDocument/2006/relationships/hyperlink" Target="https://drive.google.com/open?id=1YKtEYbWfXWVi9pFkx6cj9GK0SqeOwAJy" TargetMode="External"/><Relationship Id="rId2195" Type="http://schemas.openxmlformats.org/officeDocument/2006/relationships/hyperlink" Target="https://instagram.com/projeto_transformacak?utm_medium=copy_link" TargetMode="External"/><Relationship Id="rId167" Type="http://schemas.openxmlformats.org/officeDocument/2006/relationships/hyperlink" Target="https://gerandofalcoes.my.salesforce.com/0034P000045kxjU" TargetMode="External"/><Relationship Id="rId374" Type="http://schemas.openxmlformats.org/officeDocument/2006/relationships/hyperlink" Target="https://drive.google.com/open?id=15OtN6zsJgny46ska-ahOvVZaNPHSlklt" TargetMode="External"/><Relationship Id="rId581" Type="http://schemas.openxmlformats.org/officeDocument/2006/relationships/hyperlink" Target="https://instagram.com/marcos.nascimento.50364592" TargetMode="External"/><Relationship Id="rId2055" Type="http://schemas.openxmlformats.org/officeDocument/2006/relationships/hyperlink" Target="https://gerandofalcoes.my.salesforce.com/0014X00002VKCtTQAX" TargetMode="External"/><Relationship Id="rId2262" Type="http://schemas.openxmlformats.org/officeDocument/2006/relationships/hyperlink" Target="https://gerandofalcoes.my.salesforce.com/0034X0000380O0j" TargetMode="External"/><Relationship Id="rId234" Type="http://schemas.openxmlformats.org/officeDocument/2006/relationships/hyperlink" Target="https://www.instagram.com/lucas.duarte85/" TargetMode="External"/><Relationship Id="rId679" Type="http://schemas.openxmlformats.org/officeDocument/2006/relationships/hyperlink" Target="http://instagram.com/diogobandock" TargetMode="External"/><Relationship Id="rId886" Type="http://schemas.openxmlformats.org/officeDocument/2006/relationships/hyperlink" Target="https://gerandofalcoes.my.salesforce.com/0034X0000315PQu" TargetMode="External"/><Relationship Id="rId2" Type="http://schemas.openxmlformats.org/officeDocument/2006/relationships/hyperlink" Target="https://gerandofalcoes.my.salesforce.com/0034P000045kxjh" TargetMode="External"/><Relationship Id="rId441" Type="http://schemas.openxmlformats.org/officeDocument/2006/relationships/hyperlink" Target="https://drive.google.com/open?id=1kHA3ufOwb0v3HUfbgNM9dxqw8i37GE1r" TargetMode="External"/><Relationship Id="rId539" Type="http://schemas.openxmlformats.org/officeDocument/2006/relationships/hyperlink" Target="https://gerandofalcoes.my.salesforce.com/0014P00003AN2FeQAL" TargetMode="External"/><Relationship Id="rId746" Type="http://schemas.openxmlformats.org/officeDocument/2006/relationships/hyperlink" Target="https://www.instagram.com/invites/contact/?i=1btzj5eu98kn7&amp;utm_content=7y0214" TargetMode="External"/><Relationship Id="rId1071" Type="http://schemas.openxmlformats.org/officeDocument/2006/relationships/hyperlink" Target="https://gerandofalcoes.my.salesforce.com/0034P00003maBVG" TargetMode="External"/><Relationship Id="rId1169" Type="http://schemas.openxmlformats.org/officeDocument/2006/relationships/hyperlink" Target="https://drive.google.com/open?id=1tc78ni2iSK-AiUVvkC_T-WDFjGeL4L9F" TargetMode="External"/><Relationship Id="rId1376" Type="http://schemas.openxmlformats.org/officeDocument/2006/relationships/hyperlink" Target="https://gerandofalcoes.my.salesforce.com/0014X00002VKCtFQAX" TargetMode="External"/><Relationship Id="rId1583" Type="http://schemas.openxmlformats.org/officeDocument/2006/relationships/hyperlink" Target="https://gerandofalcoes.my.salesforce.com/0014X00002VKCrRQAX" TargetMode="External"/><Relationship Id="rId2122" Type="http://schemas.openxmlformats.org/officeDocument/2006/relationships/hyperlink" Target="https://drive.google.com/open?id=1pWsIHjF5Lgk-UdcdseUw5Ky7Xq37rghh" TargetMode="External"/><Relationship Id="rId301" Type="http://schemas.openxmlformats.org/officeDocument/2006/relationships/hyperlink" Target="https://gerandofalcoes.my.salesforce.com/0034X0000380O2u" TargetMode="External"/><Relationship Id="rId953" Type="http://schemas.openxmlformats.org/officeDocument/2006/relationships/hyperlink" Target="https://drive.google.com/open?id=10FmT6Z56cOI9-urh7X1DcDVxdKjsovd0" TargetMode="External"/><Relationship Id="rId1029" Type="http://schemas.openxmlformats.org/officeDocument/2006/relationships/hyperlink" Target="https://drive.google.com/open?id=1G8weItdmvo3bWZTbPvteV4dNycEqznAQ" TargetMode="External"/><Relationship Id="rId1236" Type="http://schemas.openxmlformats.org/officeDocument/2006/relationships/hyperlink" Target="https://www.linkedin.com/feed/" TargetMode="External"/><Relationship Id="rId1790" Type="http://schemas.openxmlformats.org/officeDocument/2006/relationships/hyperlink" Target="https://drive.google.com/open?id=1Ou4ys0a4DIUlv3fSI92VWV6sR3NsIGFH" TargetMode="External"/><Relationship Id="rId1888" Type="http://schemas.openxmlformats.org/officeDocument/2006/relationships/hyperlink" Target="https://gerandofalcoes.my.salesforce.com/0034X0000380O5h" TargetMode="External"/><Relationship Id="rId82" Type="http://schemas.openxmlformats.org/officeDocument/2006/relationships/hyperlink" Target="https://drive.google.com/open?id=1hg-hD2uUbXq64sKLniFoZ_8gEszACpl9" TargetMode="External"/><Relationship Id="rId606" Type="http://schemas.openxmlformats.org/officeDocument/2006/relationships/hyperlink" Target="https://gerandofalcoes.my.salesforce.com/0014P00003SGWPSQA5" TargetMode="External"/><Relationship Id="rId813" Type="http://schemas.openxmlformats.org/officeDocument/2006/relationships/hyperlink" Target="https://gerandofalcoes.my.salesforce.com/0034X0000380O2f" TargetMode="External"/><Relationship Id="rId1443" Type="http://schemas.openxmlformats.org/officeDocument/2006/relationships/hyperlink" Target="https://gerandofalcoes.my.salesforce.com/0034P00003xh63p" TargetMode="External"/><Relationship Id="rId1650" Type="http://schemas.openxmlformats.org/officeDocument/2006/relationships/hyperlink" Target="https://gerandofalcoes.my.salesforce.com/0034P00003maBVp" TargetMode="External"/><Relationship Id="rId1748" Type="http://schemas.openxmlformats.org/officeDocument/2006/relationships/hyperlink" Target="https://gerandofalcoes.my.salesforce.com/0034X0000380O26" TargetMode="External"/><Relationship Id="rId1303" Type="http://schemas.openxmlformats.org/officeDocument/2006/relationships/hyperlink" Target="https://gerandofalcoes.my.salesforce.com/0034P00003maBVs" TargetMode="External"/><Relationship Id="rId1510" Type="http://schemas.openxmlformats.org/officeDocument/2006/relationships/hyperlink" Target="https://gerandofalcoes.my.salesforce.com/0034X0000380O2G" TargetMode="External"/><Relationship Id="rId1955" Type="http://schemas.openxmlformats.org/officeDocument/2006/relationships/hyperlink" Target="https://gerandofalcoes.my.salesforce.com/0014X00002VKCsxQAH" TargetMode="External"/><Relationship Id="rId1608" Type="http://schemas.openxmlformats.org/officeDocument/2006/relationships/hyperlink" Target="https://gerandofalcoes.my.salesforce.com/0014X00002VKCsnQAH" TargetMode="External"/><Relationship Id="rId1815" Type="http://schemas.openxmlformats.org/officeDocument/2006/relationships/hyperlink" Target="https://gerandofalcoes.my.salesforce.com/0034P000043fPDn" TargetMode="External"/><Relationship Id="rId189" Type="http://schemas.openxmlformats.org/officeDocument/2006/relationships/hyperlink" Target="https://www.linkedin.com/in/anna-carolina-prado" TargetMode="External"/><Relationship Id="rId396" Type="http://schemas.openxmlformats.org/officeDocument/2006/relationships/hyperlink" Target="https://gerandofalcoes.my.salesforce.com/0014P00003YSp9WQAT" TargetMode="External"/><Relationship Id="rId2077" Type="http://schemas.openxmlformats.org/officeDocument/2006/relationships/hyperlink" Target="https://drive.google.com/open?id=1GY4nANPksxjm0L13hCM1n4v_7wwub2B6" TargetMode="External"/><Relationship Id="rId2284" Type="http://schemas.openxmlformats.org/officeDocument/2006/relationships/hyperlink" Target="https://drive.google.com/open?id=1GHU33DyiihLAtmGODHY45pZUeJkomseN" TargetMode="External"/><Relationship Id="rId256" Type="http://schemas.openxmlformats.org/officeDocument/2006/relationships/hyperlink" Target="https://gerandofalcoes.my.salesforce.com/0034X0000380O1F" TargetMode="External"/><Relationship Id="rId463" Type="http://schemas.openxmlformats.org/officeDocument/2006/relationships/hyperlink" Target="https://drive.google.com/open?id=1DeK0x2m-rWiqPmGPO-v-09b41HlSzC8u" TargetMode="External"/><Relationship Id="rId670" Type="http://schemas.openxmlformats.org/officeDocument/2006/relationships/hyperlink" Target="https://instagram.com/nathypassos_5?utm_medium=copy_link" TargetMode="External"/><Relationship Id="rId1093" Type="http://schemas.openxmlformats.org/officeDocument/2006/relationships/hyperlink" Target="https://drive.google.com/open?id=1qzgzznhG6K-pdYKrLKhu5c4n9mzB-A6O" TargetMode="External"/><Relationship Id="rId2144" Type="http://schemas.openxmlformats.org/officeDocument/2006/relationships/hyperlink" Target="https://instagram.com/instituto_saude_nos_bairros_?igshid=YmMyMTA2M2Y=" TargetMode="External"/><Relationship Id="rId2351" Type="http://schemas.openxmlformats.org/officeDocument/2006/relationships/hyperlink" Target="https://gerandofalcoes.my.salesforce.com/0034X0000380O1V" TargetMode="External"/><Relationship Id="rId116" Type="http://schemas.openxmlformats.org/officeDocument/2006/relationships/hyperlink" Target="https://gerandofalcoes.my.salesforce.com/0014P00003AN2FZQA1" TargetMode="External"/><Relationship Id="rId323" Type="http://schemas.openxmlformats.org/officeDocument/2006/relationships/hyperlink" Target="https://www.linkedin.com/in/souluizjr/" TargetMode="External"/><Relationship Id="rId530" Type="http://schemas.openxmlformats.org/officeDocument/2006/relationships/hyperlink" Target="https://www.instagram.com/elainecristinabassi/" TargetMode="External"/><Relationship Id="rId768" Type="http://schemas.openxmlformats.org/officeDocument/2006/relationships/hyperlink" Target="https://gerandofalcoes.my.salesforce.com/0034X0000380O5a" TargetMode="External"/><Relationship Id="rId975" Type="http://schemas.openxmlformats.org/officeDocument/2006/relationships/hyperlink" Target="https://gerandofalcoes.my.salesforce.com/0034P000045kxih" TargetMode="External"/><Relationship Id="rId1160" Type="http://schemas.openxmlformats.org/officeDocument/2006/relationships/hyperlink" Target="https://gerandofalcoes.my.salesforce.com/0034P000045kxkg" TargetMode="External"/><Relationship Id="rId1398" Type="http://schemas.openxmlformats.org/officeDocument/2006/relationships/hyperlink" Target="https://gerandofalcoes.my.salesforce.com/0034P00003maBVL" TargetMode="External"/><Relationship Id="rId2004" Type="http://schemas.openxmlformats.org/officeDocument/2006/relationships/hyperlink" Target="https://instagram.com/ruteniof?utm_medium=copy_link" TargetMode="External"/><Relationship Id="rId2211" Type="http://schemas.openxmlformats.org/officeDocument/2006/relationships/hyperlink" Target="https://gerandofalcoes.my.salesforce.com/0034P00003tZGGo" TargetMode="External"/><Relationship Id="rId628" Type="http://schemas.openxmlformats.org/officeDocument/2006/relationships/hyperlink" Target="https://drive.google.com/open?id=1PpS5wuc5fkogqW7R0mmCRtI1-XfBxAx5" TargetMode="External"/><Relationship Id="rId835" Type="http://schemas.openxmlformats.org/officeDocument/2006/relationships/hyperlink" Target="https://www.linkedin.com/in/rennan-leta/" TargetMode="External"/><Relationship Id="rId1258" Type="http://schemas.openxmlformats.org/officeDocument/2006/relationships/hyperlink" Target="https://drive.google.com/open?id=1knf9y3pOdm4Qi-UakzEVPYcG-jYz-p3s" TargetMode="External"/><Relationship Id="rId1465" Type="http://schemas.openxmlformats.org/officeDocument/2006/relationships/hyperlink" Target="https://www.linkedin.com/in/rodrigues-poliana/" TargetMode="External"/><Relationship Id="rId1672" Type="http://schemas.openxmlformats.org/officeDocument/2006/relationships/hyperlink" Target="https://drive.google.com/open?id=10wSsTRFd-IIHQPHAx-AIJWrEVmPbOua8" TargetMode="External"/><Relationship Id="rId2309" Type="http://schemas.openxmlformats.org/officeDocument/2006/relationships/hyperlink" Target="https://www.linkedin.com/in/editora-mais-que-palavras-52a72822/" TargetMode="External"/><Relationship Id="rId1020" Type="http://schemas.openxmlformats.org/officeDocument/2006/relationships/hyperlink" Target="https://drive.google.com/open?id=1w0HMeIkgg_Beu3Avu-vfkg6dFTDknm6Q" TargetMode="External"/><Relationship Id="rId1118" Type="http://schemas.openxmlformats.org/officeDocument/2006/relationships/hyperlink" Target="https://drive.google.com/open?id=1D708KwqVGxig8Gfxl13p7CByiPULx5Gp" TargetMode="External"/><Relationship Id="rId1325" Type="http://schemas.openxmlformats.org/officeDocument/2006/relationships/hyperlink" Target="https://gerandofalcoes.my.salesforce.com/0014P00003YSp9mQAD" TargetMode="External"/><Relationship Id="rId1532" Type="http://schemas.openxmlformats.org/officeDocument/2006/relationships/hyperlink" Target="https://drive.google.com/open?id=1disDhNks-CU26hJlJU8ef5S2w1FsT2iN" TargetMode="External"/><Relationship Id="rId1977" Type="http://schemas.openxmlformats.org/officeDocument/2006/relationships/hyperlink" Target="https://gerandofalcoes.my.salesforce.com/0034P000045kxjN" TargetMode="External"/><Relationship Id="rId902" Type="http://schemas.openxmlformats.org/officeDocument/2006/relationships/hyperlink" Target="https://drive.google.com/open?id=1iss5VPRxk2yMhdBiLeTmj31pbzJqI9qK" TargetMode="External"/><Relationship Id="rId1837" Type="http://schemas.openxmlformats.org/officeDocument/2006/relationships/hyperlink" Target="https://drive.google.com/open?id=1elfHJjbNYc5D_gUXGZ0oW7Jl2hVgc7Pr" TargetMode="External"/><Relationship Id="rId31" Type="http://schemas.openxmlformats.org/officeDocument/2006/relationships/hyperlink" Target="https://gerandofalcoes.my.salesforce.com/0034P000045kxiS" TargetMode="External"/><Relationship Id="rId2099" Type="http://schemas.openxmlformats.org/officeDocument/2006/relationships/hyperlink" Target="https://gerandofalcoes.my.salesforce.com/0034X0000380O3w" TargetMode="External"/><Relationship Id="rId180" Type="http://schemas.openxmlformats.org/officeDocument/2006/relationships/hyperlink" Target="https://www.linkedin.com/in/douglas-costa-martins-57b470214" TargetMode="External"/><Relationship Id="rId278" Type="http://schemas.openxmlformats.org/officeDocument/2006/relationships/hyperlink" Target="https://www.instagram.com/danyburu" TargetMode="External"/><Relationship Id="rId1904" Type="http://schemas.openxmlformats.org/officeDocument/2006/relationships/hyperlink" Target="https://www.linkedin.com/in/alcione-rodrigues-b22213121" TargetMode="External"/><Relationship Id="rId485" Type="http://schemas.openxmlformats.org/officeDocument/2006/relationships/hyperlink" Target="https://gerandofalcoes.my.salesforce.com/0034X0000380O4H" TargetMode="External"/><Relationship Id="rId692" Type="http://schemas.openxmlformats.org/officeDocument/2006/relationships/hyperlink" Target="https://drive.google.com/open?id=1S2ToFED9nE09Ebig4UTkVvtoROWPtlrm" TargetMode="External"/><Relationship Id="rId2166" Type="http://schemas.openxmlformats.org/officeDocument/2006/relationships/hyperlink" Target="https://instagram.com/juber_prosel?igshid=YmMyMTA2M2Y=" TargetMode="External"/><Relationship Id="rId2373" Type="http://schemas.openxmlformats.org/officeDocument/2006/relationships/hyperlink" Target="https://gerandofalcoes.my.salesforce.com/0014P00003YSp8JQAT" TargetMode="External"/><Relationship Id="rId138" Type="http://schemas.openxmlformats.org/officeDocument/2006/relationships/hyperlink" Target="https://drive.google.com/open?id=1QASxU1JNZM-N0hbcaswRXGfOFON-bSOV" TargetMode="External"/><Relationship Id="rId345" Type="http://schemas.openxmlformats.org/officeDocument/2006/relationships/hyperlink" Target="https://gerandofalcoes.my.salesforce.com/0014X00002VKCuvQAH" TargetMode="External"/><Relationship Id="rId552" Type="http://schemas.openxmlformats.org/officeDocument/2006/relationships/hyperlink" Target="https://gerandofalcoes.my.salesforce.com/0014X00002VMXzNQAX" TargetMode="External"/><Relationship Id="rId997" Type="http://schemas.openxmlformats.org/officeDocument/2006/relationships/hyperlink" Target="https://gerandofalcoes.my.salesforce.com/0014X00002VKCsGQAX" TargetMode="External"/><Relationship Id="rId1182" Type="http://schemas.openxmlformats.org/officeDocument/2006/relationships/hyperlink" Target="https://gerandofalcoes.my.salesforce.com/0034X0000380O0k" TargetMode="External"/><Relationship Id="rId2026" Type="http://schemas.openxmlformats.org/officeDocument/2006/relationships/hyperlink" Target="https://www.instagram.com/p/CQR0-4gF0moYnAf6RNobcLW1ZODNR1lrvNKSo80/?utm_medium=copy_link" TargetMode="External"/><Relationship Id="rId2233" Type="http://schemas.openxmlformats.org/officeDocument/2006/relationships/hyperlink" Target="https://drive.google.com/open?id=1UrFqjGgwUVLe0NZwcn7bk43ZrG9UCae5" TargetMode="External"/><Relationship Id="rId205" Type="http://schemas.openxmlformats.org/officeDocument/2006/relationships/hyperlink" Target="https://gerandofalcoes.my.salesforce.com/0034P00003maBVq" TargetMode="External"/><Relationship Id="rId412" Type="http://schemas.openxmlformats.org/officeDocument/2006/relationships/hyperlink" Target="https://drive.google.com/open?id=1WXCYkzMdFZYxaU475d8DQTf44nlW1gf1" TargetMode="External"/><Relationship Id="rId857" Type="http://schemas.openxmlformats.org/officeDocument/2006/relationships/hyperlink" Target="https://drive.google.com/open?id=1Z0mMSgxXbPsaQicyZbFm562CaVblcVj8" TargetMode="External"/><Relationship Id="rId1042" Type="http://schemas.openxmlformats.org/officeDocument/2006/relationships/hyperlink" Target="https://gerandofalcoes.my.salesforce.com/0034X0000380O2b" TargetMode="External"/><Relationship Id="rId1487" Type="http://schemas.openxmlformats.org/officeDocument/2006/relationships/hyperlink" Target="https://gerandofalcoes.my.salesforce.com/0034X0000380O30" TargetMode="External"/><Relationship Id="rId1694" Type="http://schemas.openxmlformats.org/officeDocument/2006/relationships/hyperlink" Target="https://gerandofalcoes.my.salesforce.com/0034P000043fOny" TargetMode="External"/><Relationship Id="rId2300" Type="http://schemas.openxmlformats.org/officeDocument/2006/relationships/hyperlink" Target="https://www.instagram.com/giselelasserre/" TargetMode="External"/><Relationship Id="rId717" Type="http://schemas.openxmlformats.org/officeDocument/2006/relationships/hyperlink" Target="https://gerandofalcoes.my.salesforce.com/0034P000043fOnZ" TargetMode="External"/><Relationship Id="rId924" Type="http://schemas.openxmlformats.org/officeDocument/2006/relationships/hyperlink" Target="https://gerandofalcoes.my.salesforce.com/0014X00002VKCqSQAX" TargetMode="External"/><Relationship Id="rId1347" Type="http://schemas.openxmlformats.org/officeDocument/2006/relationships/hyperlink" Target="https://gerandofalcoes.my.salesforce.com/0034X0000380O3J" TargetMode="External"/><Relationship Id="rId1554" Type="http://schemas.openxmlformats.org/officeDocument/2006/relationships/hyperlink" Target="https://gerandofalcoes.my.salesforce.com/0034X0000380O3G" TargetMode="External"/><Relationship Id="rId1761" Type="http://schemas.openxmlformats.org/officeDocument/2006/relationships/hyperlink" Target="https://gerandofalcoes.my.salesforce.com/0014P00003YSp8EQAT" TargetMode="External"/><Relationship Id="rId1999" Type="http://schemas.openxmlformats.org/officeDocument/2006/relationships/hyperlink" Target="https://www.instagram.com/luannykollas/" TargetMode="External"/><Relationship Id="rId53" Type="http://schemas.openxmlformats.org/officeDocument/2006/relationships/hyperlink" Target="https://gerandofalcoes.my.salesforce.com/0034X0000315PR1" TargetMode="External"/><Relationship Id="rId1207" Type="http://schemas.openxmlformats.org/officeDocument/2006/relationships/hyperlink" Target="https://instagram.com/nina.cardoso.dias?utm_medium=copy_link" TargetMode="External"/><Relationship Id="rId1414" Type="http://schemas.openxmlformats.org/officeDocument/2006/relationships/hyperlink" Target="https://gerandofalcoes.my.salesforce.com/0014P00003YSp9LQAT" TargetMode="External"/><Relationship Id="rId1621" Type="http://schemas.openxmlformats.org/officeDocument/2006/relationships/hyperlink" Target="https://www.linkedin.com/in/hugueney-gomes-49b00b84/" TargetMode="External"/><Relationship Id="rId1859" Type="http://schemas.openxmlformats.org/officeDocument/2006/relationships/hyperlink" Target="https://gerandofalcoes.my.salesforce.com/0034X0000380O5A" TargetMode="External"/><Relationship Id="rId1719" Type="http://schemas.openxmlformats.org/officeDocument/2006/relationships/hyperlink" Target="https://drive.google.com/open?id=1A1WYn7I1puNFY3N4w95Q2A0QefR_cIsm" TargetMode="External"/><Relationship Id="rId1926" Type="http://schemas.openxmlformats.org/officeDocument/2006/relationships/hyperlink" Target="https://www.instagram.com/p/CLsPnUJDm-2/?utm_medium=copy_link" TargetMode="External"/><Relationship Id="rId2090" Type="http://schemas.openxmlformats.org/officeDocument/2006/relationships/hyperlink" Target="https://drive.google.com/open?id=1ReQVD9HA1NyycChNCe6WAQHmMCCLRbuh" TargetMode="External"/><Relationship Id="rId2188" Type="http://schemas.openxmlformats.org/officeDocument/2006/relationships/hyperlink" Target="https://gerandofalcoes.my.salesforce.com/0034P00003maBV3" TargetMode="External"/><Relationship Id="rId2395" Type="http://schemas.openxmlformats.org/officeDocument/2006/relationships/hyperlink" Target="https://drive.google.com/open?id=1bcT4BaMgaUr8CwtxDUxlHp9o6ZRHUsaG" TargetMode="External"/><Relationship Id="rId367" Type="http://schemas.openxmlformats.org/officeDocument/2006/relationships/hyperlink" Target="https://drive.google.com/open?id=1j_c5zG_-8ONLfMZ5dwYyxoYOZW4-SWPZ" TargetMode="External"/><Relationship Id="rId574" Type="http://schemas.openxmlformats.org/officeDocument/2006/relationships/hyperlink" Target="https://drive.google.com/open?id=1ynOIQxRm5-YHrV4WZ3v3NyjEK_rlcWBW" TargetMode="External"/><Relationship Id="rId2048" Type="http://schemas.openxmlformats.org/officeDocument/2006/relationships/hyperlink" Target="https://instagram.com/jpbabo?igshid=YmMyMTA2M2Y=" TargetMode="External"/><Relationship Id="rId2255" Type="http://schemas.openxmlformats.org/officeDocument/2006/relationships/hyperlink" Target="https://www.linkedin.com/in/maria-patr%C3%ADcia-b3219913b/" TargetMode="External"/><Relationship Id="rId227" Type="http://schemas.openxmlformats.org/officeDocument/2006/relationships/hyperlink" Target="https://gerandofalcoes.my.salesforce.com/0014P00003SGWPcQAP" TargetMode="External"/><Relationship Id="rId781" Type="http://schemas.openxmlformats.org/officeDocument/2006/relationships/hyperlink" Target="https://gerandofalcoes.my.salesforce.com/0014P00003YSp7yQAD" TargetMode="External"/><Relationship Id="rId879" Type="http://schemas.openxmlformats.org/officeDocument/2006/relationships/hyperlink" Target="https://drive.google.com/open?id=1TcROEbaTNfzIZObWw0Dl61m2sB9SiUWG" TargetMode="External"/><Relationship Id="rId434" Type="http://schemas.openxmlformats.org/officeDocument/2006/relationships/hyperlink" Target="https://gerandofalcoes.my.salesforce.com/0034P000043fOnb" TargetMode="External"/><Relationship Id="rId641" Type="http://schemas.openxmlformats.org/officeDocument/2006/relationships/hyperlink" Target="https://drive.google.com/open?id=1Hle8CRXKdAaaawFhmWzB0FZHkkdF2154" TargetMode="External"/><Relationship Id="rId739" Type="http://schemas.openxmlformats.org/officeDocument/2006/relationships/hyperlink" Target="https://gerandofalcoes.my.salesforce.com/0034X0000380O48" TargetMode="External"/><Relationship Id="rId1064" Type="http://schemas.openxmlformats.org/officeDocument/2006/relationships/hyperlink" Target="https://gerandofalcoes.my.salesforce.com/0034X0000380O6m" TargetMode="External"/><Relationship Id="rId1271" Type="http://schemas.openxmlformats.org/officeDocument/2006/relationships/hyperlink" Target="https://drive.google.com/open?id=1yX6dSqsLb4mbbeget4N1u8fCSs0p3Av3" TargetMode="External"/><Relationship Id="rId1369" Type="http://schemas.openxmlformats.org/officeDocument/2006/relationships/hyperlink" Target="https://www.instagram.com/sararoyernp/" TargetMode="External"/><Relationship Id="rId1576" Type="http://schemas.openxmlformats.org/officeDocument/2006/relationships/hyperlink" Target="https://gerandofalcoes.my.salesforce.com/0014P00003YSp9eQAD" TargetMode="External"/><Relationship Id="rId2115" Type="http://schemas.openxmlformats.org/officeDocument/2006/relationships/hyperlink" Target="https://gerandofalcoes.my.salesforce.com/0014X00002VKCtmQAH" TargetMode="External"/><Relationship Id="rId2322" Type="http://schemas.openxmlformats.org/officeDocument/2006/relationships/hyperlink" Target="https://www.linkedin.com/mwlite/in/joao-oliveira-68b52450" TargetMode="External"/><Relationship Id="rId501" Type="http://schemas.openxmlformats.org/officeDocument/2006/relationships/hyperlink" Target="https://gerandofalcoes.my.salesforce.com/0034X0000380O3b" TargetMode="External"/><Relationship Id="rId946" Type="http://schemas.openxmlformats.org/officeDocument/2006/relationships/hyperlink" Target="https://drive.google.com/open?id=1tfRd7vxv3MUeINOaP4eYdLqqEWk8xwCt" TargetMode="External"/><Relationship Id="rId1131" Type="http://schemas.openxmlformats.org/officeDocument/2006/relationships/hyperlink" Target="https://drive.google.com/open?id=1w2x1FOnVpdxpl-AREkdjJx6S9wTz_fKS" TargetMode="External"/><Relationship Id="rId1229" Type="http://schemas.openxmlformats.org/officeDocument/2006/relationships/hyperlink" Target="https://gerandofalcoes.my.salesforce.com/0014X00002VKCtwQAH" TargetMode="External"/><Relationship Id="rId1783" Type="http://schemas.openxmlformats.org/officeDocument/2006/relationships/hyperlink" Target="https://drive.google.com/open?id=1T0NcV3efBT3pztjch7zZZ2AcPYK8xNht" TargetMode="External"/><Relationship Id="rId1990" Type="http://schemas.openxmlformats.org/officeDocument/2006/relationships/hyperlink" Target="https://gerandofalcoes.my.salesforce.com/0014X00002PUOdWQAX" TargetMode="External"/><Relationship Id="rId75" Type="http://schemas.openxmlformats.org/officeDocument/2006/relationships/hyperlink" Target="https://drive.google.com/open?id=1iPrd19Im6yCS6AHpCTiYkgistjLG-B3y" TargetMode="External"/><Relationship Id="rId806" Type="http://schemas.openxmlformats.org/officeDocument/2006/relationships/hyperlink" Target="https://drive.google.com/open?id=1Z3HBzY_hwLhy4AsANC9NRkSgranDK1s4" TargetMode="External"/><Relationship Id="rId1436" Type="http://schemas.openxmlformats.org/officeDocument/2006/relationships/hyperlink" Target="https://www.linkedin.com/in/fernando-ddi-802698229/" TargetMode="External"/><Relationship Id="rId1643" Type="http://schemas.openxmlformats.org/officeDocument/2006/relationships/hyperlink" Target="https://drive.google.com/open?id=1aREbOJyNzqsVVj6ge87C6rRmAV5tJOXG" TargetMode="External"/><Relationship Id="rId1850" Type="http://schemas.openxmlformats.org/officeDocument/2006/relationships/hyperlink" Target="https://gerandofalcoes.my.salesforce.com/0014X00002VKCsmQAH" TargetMode="External"/><Relationship Id="rId1503" Type="http://schemas.openxmlformats.org/officeDocument/2006/relationships/hyperlink" Target="https://drive.google.com/open?id=1M2fZZyvhgixP9OUMxTn5kMTWXPvzvC5R" TargetMode="External"/><Relationship Id="rId1710" Type="http://schemas.openxmlformats.org/officeDocument/2006/relationships/hyperlink" Target="https://www.instagram.com/euseliadutra/" TargetMode="External"/><Relationship Id="rId1948" Type="http://schemas.openxmlformats.org/officeDocument/2006/relationships/hyperlink" Target="https://gerandofalcoes.my.salesforce.com/0014X00002VKCv8QAH" TargetMode="External"/><Relationship Id="rId291" Type="http://schemas.openxmlformats.org/officeDocument/2006/relationships/hyperlink" Target="https://drive.google.com/open?id=1I5b07gaWLpz8Ng73UwluLcV7QfYbgZHM" TargetMode="External"/><Relationship Id="rId1808" Type="http://schemas.openxmlformats.org/officeDocument/2006/relationships/hyperlink" Target="https://instagram.com/samuel.soares.716195?utm_medium=copy_link" TargetMode="External"/><Relationship Id="rId151" Type="http://schemas.openxmlformats.org/officeDocument/2006/relationships/hyperlink" Target="https://gerandofalcoes.my.salesforce.com/0014P00003SGWPWQA5" TargetMode="External"/><Relationship Id="rId389" Type="http://schemas.openxmlformats.org/officeDocument/2006/relationships/hyperlink" Target="https://gerandofalcoes.my.salesforce.com/0034P000045kxjk" TargetMode="External"/><Relationship Id="rId596" Type="http://schemas.openxmlformats.org/officeDocument/2006/relationships/hyperlink" Target="https://www.instagram.com/ana.passos.315/" TargetMode="External"/><Relationship Id="rId2277" Type="http://schemas.openxmlformats.org/officeDocument/2006/relationships/hyperlink" Target="https://gerandofalcoes.my.salesforce.com/0034P00003maBVt" TargetMode="External"/><Relationship Id="rId249" Type="http://schemas.openxmlformats.org/officeDocument/2006/relationships/hyperlink" Target="https://gerandofalcoes.my.salesforce.com/0034P000045kxkA" TargetMode="External"/><Relationship Id="rId456" Type="http://schemas.openxmlformats.org/officeDocument/2006/relationships/hyperlink" Target="https://gerandofalcoes.my.salesforce.com/0014X00002VKCuMQAX" TargetMode="External"/><Relationship Id="rId663" Type="http://schemas.openxmlformats.org/officeDocument/2006/relationships/hyperlink" Target="https://instagram.com/baledarale?utm_medium=copy_link" TargetMode="External"/><Relationship Id="rId870" Type="http://schemas.openxmlformats.org/officeDocument/2006/relationships/hyperlink" Target="https://drive.google.com/open?id=16k1A_i-Qy-EFwPyOg-diBORfb3Z4WNPD" TargetMode="External"/><Relationship Id="rId1086" Type="http://schemas.openxmlformats.org/officeDocument/2006/relationships/hyperlink" Target="https://gerandofalcoes.my.salesforce.com/0014X00002VKCr7QAH" TargetMode="External"/><Relationship Id="rId1293" Type="http://schemas.openxmlformats.org/officeDocument/2006/relationships/hyperlink" Target="http://www.linkedin.com/in/auc%C3%ADlia-maria-silva-51a966161/" TargetMode="External"/><Relationship Id="rId2137" Type="http://schemas.openxmlformats.org/officeDocument/2006/relationships/hyperlink" Target="https://gerandofalcoes.my.salesforce.com/0034P000045kxi6" TargetMode="External"/><Relationship Id="rId2344" Type="http://schemas.openxmlformats.org/officeDocument/2006/relationships/hyperlink" Target="https://gerandofalcoes.my.salesforce.com/0034P000045kxjS" TargetMode="External"/><Relationship Id="rId109" Type="http://schemas.openxmlformats.org/officeDocument/2006/relationships/hyperlink" Target="https://gerandofalcoes.my.salesforce.com/0014X00002VKCtIQAX" TargetMode="External"/><Relationship Id="rId316" Type="http://schemas.openxmlformats.org/officeDocument/2006/relationships/hyperlink" Target="https://gerandofalcoes.my.salesforce.com/0034X0000380O2O" TargetMode="External"/><Relationship Id="rId523" Type="http://schemas.openxmlformats.org/officeDocument/2006/relationships/hyperlink" Target="https://gerandofalcoes.my.salesforce.com/0014P00003YSp7zQAD" TargetMode="External"/><Relationship Id="rId968" Type="http://schemas.openxmlformats.org/officeDocument/2006/relationships/hyperlink" Target="https://drive.google.com/open?id=1Wchw9b415gHMsWNW9a3oPIkk-m4YVYWm" TargetMode="External"/><Relationship Id="rId1153" Type="http://schemas.openxmlformats.org/officeDocument/2006/relationships/hyperlink" Target="https://instagram.com/detinha_aquino?utm_medium=copy_link" TargetMode="External"/><Relationship Id="rId1598" Type="http://schemas.openxmlformats.org/officeDocument/2006/relationships/hyperlink" Target="https://gerandofalcoes.my.salesforce.com/0034X0000380O4Y" TargetMode="External"/><Relationship Id="rId2204" Type="http://schemas.openxmlformats.org/officeDocument/2006/relationships/hyperlink" Target="https://www.linkedin.com/in/deybsonjunior/" TargetMode="External"/><Relationship Id="rId97" Type="http://schemas.openxmlformats.org/officeDocument/2006/relationships/hyperlink" Target="https://gerandofalcoes.my.salesforce.com/0034P000045kxk6" TargetMode="External"/><Relationship Id="rId730" Type="http://schemas.openxmlformats.org/officeDocument/2006/relationships/hyperlink" Target="https://gerandofalcoes.my.salesforce.com/0034P000045kxjc" TargetMode="External"/><Relationship Id="rId828" Type="http://schemas.openxmlformats.org/officeDocument/2006/relationships/hyperlink" Target="https://gerandofalcoes.my.salesforce.com/0014X00002VKCrGQAX" TargetMode="External"/><Relationship Id="rId1013" Type="http://schemas.openxmlformats.org/officeDocument/2006/relationships/hyperlink" Target="https://gerandofalcoes.my.salesforce.com/0034P000045kxjR" TargetMode="External"/><Relationship Id="rId1360" Type="http://schemas.openxmlformats.org/officeDocument/2006/relationships/hyperlink" Target="https://www.instagram.com/welitonssimao/" TargetMode="External"/><Relationship Id="rId1458" Type="http://schemas.openxmlformats.org/officeDocument/2006/relationships/hyperlink" Target="https://gerandofalcoes.my.salesforce.com/0014X00002PUOZAQA5" TargetMode="External"/><Relationship Id="rId1665" Type="http://schemas.openxmlformats.org/officeDocument/2006/relationships/hyperlink" Target="https://gerandofalcoes.my.salesforce.com/0014P00003AN2G5QAL" TargetMode="External"/><Relationship Id="rId1872" Type="http://schemas.openxmlformats.org/officeDocument/2006/relationships/hyperlink" Target="https://drive.google.com/open?id=1J4W7qCOEiSAjT49HUy1qeLgAGaugVMmn" TargetMode="External"/><Relationship Id="rId1220" Type="http://schemas.openxmlformats.org/officeDocument/2006/relationships/hyperlink" Target="https://drive.google.com/open?id=1jzecVy_m4r2ael14vH8L-t37J-W5FfPJ" TargetMode="External"/><Relationship Id="rId1318" Type="http://schemas.openxmlformats.org/officeDocument/2006/relationships/hyperlink" Target="https://gerandofalcoes.my.salesforce.com/0014X00002VKCpCQAX" TargetMode="External"/><Relationship Id="rId1525" Type="http://schemas.openxmlformats.org/officeDocument/2006/relationships/hyperlink" Target="https://gerandofalcoes.my.salesforce.com/0014P00003YSp7TQAT" TargetMode="External"/><Relationship Id="rId1732" Type="http://schemas.openxmlformats.org/officeDocument/2006/relationships/hyperlink" Target="https://instagram.com/joanagabi?utm_medium=copy_link" TargetMode="External"/><Relationship Id="rId24" Type="http://schemas.openxmlformats.org/officeDocument/2006/relationships/hyperlink" Target="https://gerandofalcoes.my.salesforce.com/0034X0000380O3N" TargetMode="External"/><Relationship Id="rId2299" Type="http://schemas.openxmlformats.org/officeDocument/2006/relationships/hyperlink" Target="https://www.linkedin.com/in/gisele.lasserre" TargetMode="External"/><Relationship Id="rId173" Type="http://schemas.openxmlformats.org/officeDocument/2006/relationships/hyperlink" Target="https://drive.google.com/open?id=1Ece9Gn3YjBjv7zPMv3WJzuOfuTsEInmy" TargetMode="External"/><Relationship Id="rId380" Type="http://schemas.openxmlformats.org/officeDocument/2006/relationships/hyperlink" Target="https://gerandofalcoes.my.salesforce.com/0034P00003maBV5" TargetMode="External"/><Relationship Id="rId2061" Type="http://schemas.openxmlformats.org/officeDocument/2006/relationships/hyperlink" Target="https://gerandofalcoes.my.salesforce.com/0034P000043fOnS" TargetMode="External"/><Relationship Id="rId240" Type="http://schemas.openxmlformats.org/officeDocument/2006/relationships/hyperlink" Target="https://gerandofalcoes.my.salesforce.com/0014P00003SGWPQQA5" TargetMode="External"/><Relationship Id="rId478" Type="http://schemas.openxmlformats.org/officeDocument/2006/relationships/hyperlink" Target="https://gerandofalcoes.my.salesforce.com/0014P00003AN2FXQA1" TargetMode="External"/><Relationship Id="rId685" Type="http://schemas.openxmlformats.org/officeDocument/2006/relationships/hyperlink" Target="https://gerandofalcoes.my.salesforce.com/0034P000045kxiB" TargetMode="External"/><Relationship Id="rId892" Type="http://schemas.openxmlformats.org/officeDocument/2006/relationships/hyperlink" Target="https://gerandofalcoes.my.salesforce.com/0034X0000380O6Y" TargetMode="External"/><Relationship Id="rId2159" Type="http://schemas.openxmlformats.org/officeDocument/2006/relationships/hyperlink" Target="https://drive.google.com/open?id=1CbNVEgi7SQumdVpdqjzYyGyvd0j6BerL" TargetMode="External"/><Relationship Id="rId2366" Type="http://schemas.openxmlformats.org/officeDocument/2006/relationships/hyperlink" Target="https://www.instagram.com/leandro_gabriel_escultor/" TargetMode="External"/><Relationship Id="rId100" Type="http://schemas.openxmlformats.org/officeDocument/2006/relationships/hyperlink" Target="https://drive.google.com/open?id=1D85jdlN2kCRG8kg6bH3r0BrlNem9yhzr" TargetMode="External"/><Relationship Id="rId338" Type="http://schemas.openxmlformats.org/officeDocument/2006/relationships/hyperlink" Target="https://gerandofalcoes.my.salesforce.com/0034X0000380O5n" TargetMode="External"/><Relationship Id="rId545" Type="http://schemas.openxmlformats.org/officeDocument/2006/relationships/hyperlink" Target="https://gerandofalcoes.my.salesforce.com/0034P000045kxjG" TargetMode="External"/><Relationship Id="rId752" Type="http://schemas.openxmlformats.org/officeDocument/2006/relationships/hyperlink" Target="https://gerandofalcoes.my.salesforce.com/0014X00002VKCryQAH" TargetMode="External"/><Relationship Id="rId1175" Type="http://schemas.openxmlformats.org/officeDocument/2006/relationships/hyperlink" Target="https://www.linkedin.com/in/suelen-ara%C3%BAjo-15922310a/" TargetMode="External"/><Relationship Id="rId1382" Type="http://schemas.openxmlformats.org/officeDocument/2006/relationships/hyperlink" Target="https://www.linkedin.com/in/zilda-souza-940792224/" TargetMode="External"/><Relationship Id="rId2019" Type="http://schemas.openxmlformats.org/officeDocument/2006/relationships/hyperlink" Target="https://gerandofalcoes.my.salesforce.com/0034X0000380O4m" TargetMode="External"/><Relationship Id="rId2226" Type="http://schemas.openxmlformats.org/officeDocument/2006/relationships/hyperlink" Target="https://gerandofalcoes.my.salesforce.com/0014X00002VKCsLQAX" TargetMode="External"/><Relationship Id="rId405" Type="http://schemas.openxmlformats.org/officeDocument/2006/relationships/hyperlink" Target="https://gerandofalcoes.my.salesforce.com/0014P00003YSp8zQAD" TargetMode="External"/><Relationship Id="rId612" Type="http://schemas.openxmlformats.org/officeDocument/2006/relationships/hyperlink" Target="https://gerandofalcoes.my.salesforce.com/0034P000043fOnQ" TargetMode="External"/><Relationship Id="rId1035" Type="http://schemas.openxmlformats.org/officeDocument/2006/relationships/hyperlink" Target="https://gerandofalcoes.my.salesforce.com/0014P00003SGWPgQAP" TargetMode="External"/><Relationship Id="rId1242" Type="http://schemas.openxmlformats.org/officeDocument/2006/relationships/hyperlink" Target="https://drive.google.com/open?id=1aoeco4DT1rOK7tfWD-uT-laPA73OpPuK" TargetMode="External"/><Relationship Id="rId1687" Type="http://schemas.openxmlformats.org/officeDocument/2006/relationships/hyperlink" Target="http://www.linkedin.com/in/andresa-silveira-psicologia-clinica-junguiana-688799b0" TargetMode="External"/><Relationship Id="rId1894" Type="http://schemas.openxmlformats.org/officeDocument/2006/relationships/hyperlink" Target="https://gerandofalcoes.my.salesforce.com/0014P00003YSp8CQAT" TargetMode="External"/><Relationship Id="rId917" Type="http://schemas.openxmlformats.org/officeDocument/2006/relationships/hyperlink" Target="https://www.instagram.com/p/CYv2Da4uKHuzBTqe-qUk55UBgeQdoAkAo3DXdc0/" TargetMode="External"/><Relationship Id="rId1102" Type="http://schemas.openxmlformats.org/officeDocument/2006/relationships/hyperlink" Target="https://gerandofalcoes.my.salesforce.com/0034P000045kxix" TargetMode="External"/><Relationship Id="rId1547" Type="http://schemas.openxmlformats.org/officeDocument/2006/relationships/hyperlink" Target="https://gerandofalcoes.my.salesforce.com/0034P000045kxjX" TargetMode="External"/><Relationship Id="rId1754" Type="http://schemas.openxmlformats.org/officeDocument/2006/relationships/hyperlink" Target="https://gerandofalcoes.my.salesforce.com/0034P000045kxiL" TargetMode="External"/><Relationship Id="rId1961" Type="http://schemas.openxmlformats.org/officeDocument/2006/relationships/hyperlink" Target="https://instagram.com/luzia_dani?utm_medium=copy_link" TargetMode="External"/><Relationship Id="rId46" Type="http://schemas.openxmlformats.org/officeDocument/2006/relationships/hyperlink" Target="https://www.linkedin.com/in/angelica-costa-0171b815" TargetMode="External"/><Relationship Id="rId1407" Type="http://schemas.openxmlformats.org/officeDocument/2006/relationships/hyperlink" Target="https://gerandofalcoes.my.salesforce.com/0014P00003YSpAHQA1" TargetMode="External"/><Relationship Id="rId1614" Type="http://schemas.openxmlformats.org/officeDocument/2006/relationships/hyperlink" Target="https://gerandofalcoes.my.salesforce.com/0034P000045kxkN" TargetMode="External"/><Relationship Id="rId1821" Type="http://schemas.openxmlformats.org/officeDocument/2006/relationships/hyperlink" Target="https://www.instagram.com/joaolino1001/" TargetMode="External"/><Relationship Id="rId195" Type="http://schemas.openxmlformats.org/officeDocument/2006/relationships/hyperlink" Target="https://gerandofalcoes.my.salesforce.com/0034P000045kxkT" TargetMode="External"/><Relationship Id="rId1919" Type="http://schemas.openxmlformats.org/officeDocument/2006/relationships/hyperlink" Target="https://gerandofalcoes.my.salesforce.com/0034P000045kxks" TargetMode="External"/><Relationship Id="rId2083" Type="http://schemas.openxmlformats.org/officeDocument/2006/relationships/hyperlink" Target="https://drive.google.com/open?id=1kFk9CsV0f0D4iXPyVEQ9AIL2QUa9ZcfN" TargetMode="External"/><Relationship Id="rId2290" Type="http://schemas.openxmlformats.org/officeDocument/2006/relationships/hyperlink" Target="https://gerandofalcoes.my.salesforce.com/0034X0000380O49" TargetMode="External"/><Relationship Id="rId2388" Type="http://schemas.openxmlformats.org/officeDocument/2006/relationships/hyperlink" Target="https://gerandofalcoes.my.salesforce.com/0034X0000380O4n" TargetMode="External"/><Relationship Id="rId262" Type="http://schemas.openxmlformats.org/officeDocument/2006/relationships/hyperlink" Target="https://www.instagram.com/neipontao/" TargetMode="External"/><Relationship Id="rId567" Type="http://schemas.openxmlformats.org/officeDocument/2006/relationships/hyperlink" Target="https://www.linkedin.com/in/leticiawitzki/" TargetMode="External"/><Relationship Id="rId1197" Type="http://schemas.openxmlformats.org/officeDocument/2006/relationships/hyperlink" Target="https://drive.google.com/open?id=114LbThhw49ODDTSx5kz04NEI_mAj5O6k" TargetMode="External"/><Relationship Id="rId2150" Type="http://schemas.openxmlformats.org/officeDocument/2006/relationships/hyperlink" Target="https://gerandofalcoes.my.salesforce.com/0014X00002VKCtKQAX" TargetMode="External"/><Relationship Id="rId2248" Type="http://schemas.openxmlformats.org/officeDocument/2006/relationships/hyperlink" Target="https://drive.google.com/open?id=1P8Eb0yUwwwtorf5hczvcG748-RM3B7Zl" TargetMode="External"/><Relationship Id="rId122" Type="http://schemas.openxmlformats.org/officeDocument/2006/relationships/hyperlink" Target="https://www.instagram.com/empreendedoraalinemelo/" TargetMode="External"/><Relationship Id="rId774" Type="http://schemas.openxmlformats.org/officeDocument/2006/relationships/hyperlink" Target="https://gerandofalcoes.my.salesforce.com/0014X00002VKCpRQAX" TargetMode="External"/><Relationship Id="rId981" Type="http://schemas.openxmlformats.org/officeDocument/2006/relationships/hyperlink" Target="https://drive.google.com/open?id=1K0uPLD82Xv86MaKjBfjcq-65Vyzl8-Pa" TargetMode="External"/><Relationship Id="rId1057" Type="http://schemas.openxmlformats.org/officeDocument/2006/relationships/hyperlink" Target="https://gerandofalcoes.my.salesforce.com/0034P00003maBVN" TargetMode="External"/><Relationship Id="rId2010" Type="http://schemas.openxmlformats.org/officeDocument/2006/relationships/hyperlink" Target="https://gerandofalcoes.my.salesforce.com/0014X00002VKCraQAH" TargetMode="External"/><Relationship Id="rId427" Type="http://schemas.openxmlformats.org/officeDocument/2006/relationships/hyperlink" Target="http://www.instagram.com/juliasgoulart" TargetMode="External"/><Relationship Id="rId634" Type="http://schemas.openxmlformats.org/officeDocument/2006/relationships/hyperlink" Target="https://gerandofalcoes.my.salesforce.com/0034P000045kxkI" TargetMode="External"/><Relationship Id="rId841" Type="http://schemas.openxmlformats.org/officeDocument/2006/relationships/hyperlink" Target="http://instagram.com/alexandretuller" TargetMode="External"/><Relationship Id="rId1264" Type="http://schemas.openxmlformats.org/officeDocument/2006/relationships/hyperlink" Target="https://gerandofalcoes.my.salesforce.com/0014P00003AN2GMQA1" TargetMode="External"/><Relationship Id="rId1471" Type="http://schemas.openxmlformats.org/officeDocument/2006/relationships/hyperlink" Target="https://gerandofalcoes.my.salesforce.com/0014X00002VKCq5QAH" TargetMode="External"/><Relationship Id="rId1569" Type="http://schemas.openxmlformats.org/officeDocument/2006/relationships/hyperlink" Target="https://gerandofalcoes.my.salesforce.com/0034P000045kxjd" TargetMode="External"/><Relationship Id="rId2108" Type="http://schemas.openxmlformats.org/officeDocument/2006/relationships/hyperlink" Target="https://www.instagram.com/tiokleyton/" TargetMode="External"/><Relationship Id="rId2315" Type="http://schemas.openxmlformats.org/officeDocument/2006/relationships/hyperlink" Target="https://www.facebook.com/iara.a.ferreira" TargetMode="External"/><Relationship Id="rId701" Type="http://schemas.openxmlformats.org/officeDocument/2006/relationships/hyperlink" Target="https://gerandofalcoes.my.salesforce.com/0014X00002VKCtCQAX" TargetMode="External"/><Relationship Id="rId939" Type="http://schemas.openxmlformats.org/officeDocument/2006/relationships/hyperlink" Target="https://drive.google.com/open?id=1HPdyeRveGNA7lNEMIeeIJMj3QAzAvrxV" TargetMode="External"/><Relationship Id="rId1124" Type="http://schemas.openxmlformats.org/officeDocument/2006/relationships/hyperlink" Target="https://drive.google.com/open?id=1Rmdbt8O7YB11o-idYSMZeghnTIyBbsjE" TargetMode="External"/><Relationship Id="rId1331" Type="http://schemas.openxmlformats.org/officeDocument/2006/relationships/hyperlink" Target="https://drive.google.com/open?id=1DbeysCamRKbMPNKy6N8-CB_ga-BzCG6x" TargetMode="External"/><Relationship Id="rId1776" Type="http://schemas.openxmlformats.org/officeDocument/2006/relationships/hyperlink" Target="https://gerandofalcoes.my.salesforce.com/0034P000043fOnl" TargetMode="External"/><Relationship Id="rId1983" Type="http://schemas.openxmlformats.org/officeDocument/2006/relationships/hyperlink" Target="https://www.instagram.com/claudia__alves79/tv/CYSYB6XjYeg/?utm_medium=copy_link" TargetMode="External"/><Relationship Id="rId68" Type="http://schemas.openxmlformats.org/officeDocument/2006/relationships/hyperlink" Target="https://gerandofalcoes.my.salesforce.com/0014P00003AN76yQAD" TargetMode="External"/><Relationship Id="rId1429" Type="http://schemas.openxmlformats.org/officeDocument/2006/relationships/hyperlink" Target="https://drive.google.com/open?id=18AJLVY3WdYRScJ0APoTXYcst3A1emt2l" TargetMode="External"/><Relationship Id="rId1636" Type="http://schemas.openxmlformats.org/officeDocument/2006/relationships/hyperlink" Target="https://gerandofalcoes.my.salesforce.com/0034P00003maBVO" TargetMode="External"/><Relationship Id="rId1843" Type="http://schemas.openxmlformats.org/officeDocument/2006/relationships/hyperlink" Target="https://www.linkedin.com/in/thamires-castro-03901810a" TargetMode="External"/><Relationship Id="rId1703" Type="http://schemas.openxmlformats.org/officeDocument/2006/relationships/hyperlink" Target="https://gerandofalcoes.my.salesforce.com/0014X00002VKCqhQAH" TargetMode="External"/><Relationship Id="rId1910" Type="http://schemas.openxmlformats.org/officeDocument/2006/relationships/hyperlink" Target="https://gerandofalcoes.my.salesforce.com/0014P00003YSp9JQAT" TargetMode="External"/><Relationship Id="rId284" Type="http://schemas.openxmlformats.org/officeDocument/2006/relationships/hyperlink" Target="https://gerandofalcoes.my.salesforce.com/0034X0000380O6O" TargetMode="External"/><Relationship Id="rId491" Type="http://schemas.openxmlformats.org/officeDocument/2006/relationships/hyperlink" Target="https://drive.google.com/open?id=10WLmah_jIu_mOuDf9rNcoZ2JYVUTpoKa" TargetMode="External"/><Relationship Id="rId2172" Type="http://schemas.openxmlformats.org/officeDocument/2006/relationships/hyperlink" Target="https://drive.google.com/open?id=11JTgCWa_kDUdF00hQ-Gj0EpC6bco3ilX" TargetMode="External"/><Relationship Id="rId144" Type="http://schemas.openxmlformats.org/officeDocument/2006/relationships/hyperlink" Target="https://www.instagram.com/reel/CcIXWTkOVYO/?igshid=MDJmNzVkMjY=" TargetMode="External"/><Relationship Id="rId589" Type="http://schemas.openxmlformats.org/officeDocument/2006/relationships/hyperlink" Target="https://gerandofalcoes.my.salesforce.com/0034X0000380O3m" TargetMode="External"/><Relationship Id="rId796" Type="http://schemas.openxmlformats.org/officeDocument/2006/relationships/hyperlink" Target="https://www.instagram.com/invites/contact/?i=168a3n2tcdxzr&amp;utm_content=1bisy0m" TargetMode="External"/><Relationship Id="rId351" Type="http://schemas.openxmlformats.org/officeDocument/2006/relationships/hyperlink" Target="https://drive.google.com/open?id=1-yhuPECC0S6LQZMkVrL4__fXQKLfOkYa" TargetMode="External"/><Relationship Id="rId449" Type="http://schemas.openxmlformats.org/officeDocument/2006/relationships/hyperlink" Target="https://drive.google.com/open?id=1fwwoX-CiBbIU-FfUN-XybkGTBiW5DwYN" TargetMode="External"/><Relationship Id="rId656" Type="http://schemas.openxmlformats.org/officeDocument/2006/relationships/hyperlink" Target="https://drive.google.com/open?id=1pip8RS_O0RegGFixI5GHr8K-HFQfxkB_" TargetMode="External"/><Relationship Id="rId863" Type="http://schemas.openxmlformats.org/officeDocument/2006/relationships/hyperlink" Target="https://gerandofalcoes.my.salesforce.com/0034X0000380O36" TargetMode="External"/><Relationship Id="rId1079" Type="http://schemas.openxmlformats.org/officeDocument/2006/relationships/hyperlink" Target="https://gerandofalcoes.my.salesforce.com/0034P000045kxiv" TargetMode="External"/><Relationship Id="rId1286" Type="http://schemas.openxmlformats.org/officeDocument/2006/relationships/hyperlink" Target="https://gerandofalcoes.my.salesforce.com/0014P00003AN2FbQAL" TargetMode="External"/><Relationship Id="rId1493" Type="http://schemas.openxmlformats.org/officeDocument/2006/relationships/hyperlink" Target="https://www.instagram.com/invites/contact/?i=a78487lju8t2&amp;utm_content=1o0ucpe" TargetMode="External"/><Relationship Id="rId2032" Type="http://schemas.openxmlformats.org/officeDocument/2006/relationships/hyperlink" Target="https://instagram.com/paca.ippenha?utm_medium=copy_link" TargetMode="External"/><Relationship Id="rId2337" Type="http://schemas.openxmlformats.org/officeDocument/2006/relationships/hyperlink" Target="https://www.instagram.com/iagossantos1/" TargetMode="External"/><Relationship Id="rId211" Type="http://schemas.openxmlformats.org/officeDocument/2006/relationships/hyperlink" Target="https://drive.google.com/open?id=11xStfQIHOB1A876zLCWO3380K6HrIHbA" TargetMode="External"/><Relationship Id="rId309" Type="http://schemas.openxmlformats.org/officeDocument/2006/relationships/hyperlink" Target="https://instagram.com/margaridamilech?igshid=YmMyMTA2M2Y=" TargetMode="External"/><Relationship Id="rId516" Type="http://schemas.openxmlformats.org/officeDocument/2006/relationships/hyperlink" Target="https://drive.google.com/open?id=17SjKmstH8BVVd_1qwiJR6nDQb7XDOlF4" TargetMode="External"/><Relationship Id="rId1146" Type="http://schemas.openxmlformats.org/officeDocument/2006/relationships/hyperlink" Target="https://gerandofalcoes.my.salesforce.com/0034P000045kxk9" TargetMode="External"/><Relationship Id="rId1798" Type="http://schemas.openxmlformats.org/officeDocument/2006/relationships/hyperlink" Target="https://br.linkedin.com/in/stefany-miranda-846776198" TargetMode="External"/><Relationship Id="rId723" Type="http://schemas.openxmlformats.org/officeDocument/2006/relationships/hyperlink" Target="https://drive.google.com/open?id=1O6rFTlh8KxWKAlRG7YDQg8JxxY2xNguD" TargetMode="External"/><Relationship Id="rId930" Type="http://schemas.openxmlformats.org/officeDocument/2006/relationships/hyperlink" Target="https://drive.google.com/open?id=1H_xJFtWztK_HgBtqRBCqFxyL6EDkqjQ-" TargetMode="External"/><Relationship Id="rId1006" Type="http://schemas.openxmlformats.org/officeDocument/2006/relationships/hyperlink" Target="http://instagran.com/marialauracostacoelho" TargetMode="External"/><Relationship Id="rId1353" Type="http://schemas.openxmlformats.org/officeDocument/2006/relationships/hyperlink" Target="https://gerandofalcoes.my.salesforce.com/0014X00002VKCpqQAH" TargetMode="External"/><Relationship Id="rId1560" Type="http://schemas.openxmlformats.org/officeDocument/2006/relationships/hyperlink" Target="https://drive.google.com/open?id=1n5agb_poi6fuwnrxEbn_hl_fupKxo6mT" TargetMode="External"/><Relationship Id="rId1658" Type="http://schemas.openxmlformats.org/officeDocument/2006/relationships/hyperlink" Target="https://gerandofalcoes.my.salesforce.com/0034P000045kxkf" TargetMode="External"/><Relationship Id="rId1865" Type="http://schemas.openxmlformats.org/officeDocument/2006/relationships/hyperlink" Target="https://drive.google.com/open?id=1_VmizHxq97IH7FVbnU8TNeHV0SvXI1H2" TargetMode="External"/><Relationship Id="rId1213" Type="http://schemas.openxmlformats.org/officeDocument/2006/relationships/hyperlink" Target="https://gerandofalcoes.my.salesforce.com/0014X00002VKCuHQAX" TargetMode="External"/><Relationship Id="rId1420" Type="http://schemas.openxmlformats.org/officeDocument/2006/relationships/hyperlink" Target="https://www.instagram.com/dener_marcos_xavier/" TargetMode="External"/><Relationship Id="rId1518" Type="http://schemas.openxmlformats.org/officeDocument/2006/relationships/hyperlink" Target="https://gerandofalcoes.my.salesforce.com/0034P00003maBVu" TargetMode="External"/><Relationship Id="rId1725" Type="http://schemas.openxmlformats.org/officeDocument/2006/relationships/hyperlink" Target="https://gerandofalcoes.my.salesforce.com/0014P00003AN2FsQAL" TargetMode="External"/><Relationship Id="rId1932" Type="http://schemas.openxmlformats.org/officeDocument/2006/relationships/hyperlink" Target="https://gerandofalcoes.my.salesforce.com/0014X00002VKCowQAH" TargetMode="External"/><Relationship Id="rId17" Type="http://schemas.openxmlformats.org/officeDocument/2006/relationships/hyperlink" Target="https://gerandofalcoes.my.salesforce.com/0034X0000380O15" TargetMode="External"/><Relationship Id="rId2194" Type="http://schemas.openxmlformats.org/officeDocument/2006/relationships/hyperlink" Target="https://www.linkedin.com/in/lucimara-ribeiro-costa-894061200" TargetMode="External"/><Relationship Id="rId166" Type="http://schemas.openxmlformats.org/officeDocument/2006/relationships/hyperlink" Target="https://gerandofalcoes.my.salesforce.com/0014P00003YSp8kQAD" TargetMode="External"/><Relationship Id="rId373" Type="http://schemas.openxmlformats.org/officeDocument/2006/relationships/hyperlink" Target="https://instagram.com/igorchatubinha?igshid=YmMyMTA2M2Y=" TargetMode="External"/><Relationship Id="rId580" Type="http://schemas.openxmlformats.org/officeDocument/2006/relationships/hyperlink" Target="https://gerandofalcoes.my.salesforce.com/0034X0000380O6r" TargetMode="External"/><Relationship Id="rId2054" Type="http://schemas.openxmlformats.org/officeDocument/2006/relationships/hyperlink" Target="https://drive.google.com/open?id=16nB59OzPcYxZ1HjcyXMdk0NL2tSBXE1t" TargetMode="External"/><Relationship Id="rId2261" Type="http://schemas.openxmlformats.org/officeDocument/2006/relationships/hyperlink" Target="https://gerandofalcoes.my.salesforce.com/0014X00002VKCsvQAH" TargetMode="External"/><Relationship Id="rId1" Type="http://schemas.openxmlformats.org/officeDocument/2006/relationships/hyperlink" Target="https://gerandofalcoes.my.salesforce.com/0014P00003YSp95QAD" TargetMode="External"/><Relationship Id="rId233" Type="http://schemas.openxmlformats.org/officeDocument/2006/relationships/hyperlink" Target="https://gerandofalcoes.my.salesforce.com/0034X0000380O2W" TargetMode="External"/><Relationship Id="rId440" Type="http://schemas.openxmlformats.org/officeDocument/2006/relationships/hyperlink" Target="https://www.instagram.com/vanessadaya04/" TargetMode="External"/><Relationship Id="rId678" Type="http://schemas.openxmlformats.org/officeDocument/2006/relationships/hyperlink" Target="https://gerandofalcoes.my.salesforce.com/0034P000045kxib" TargetMode="External"/><Relationship Id="rId885" Type="http://schemas.openxmlformats.org/officeDocument/2006/relationships/hyperlink" Target="https://gerandofalcoes.my.salesforce.com/0014X00002OEualQAD" TargetMode="External"/><Relationship Id="rId1070" Type="http://schemas.openxmlformats.org/officeDocument/2006/relationships/hyperlink" Target="https://gerandofalcoes.my.salesforce.com/0014P00003AN2FpQAL" TargetMode="External"/><Relationship Id="rId2121" Type="http://schemas.openxmlformats.org/officeDocument/2006/relationships/hyperlink" Target="https://www.instagram.com/forcajovem.km20/" TargetMode="External"/><Relationship Id="rId2359" Type="http://schemas.openxmlformats.org/officeDocument/2006/relationships/hyperlink" Target="https://drive.google.com/open?id=1Ctz_Q0XlN3K6bknRIsvn7jhkx8_si2a6" TargetMode="External"/><Relationship Id="rId300" Type="http://schemas.openxmlformats.org/officeDocument/2006/relationships/hyperlink" Target="https://gerandofalcoes.my.salesforce.com/0014X00002VKCs5QAH" TargetMode="External"/><Relationship Id="rId538" Type="http://schemas.openxmlformats.org/officeDocument/2006/relationships/hyperlink" Target="https://drive.google.com/open?id=1tVdspMTRBzD-0sYYoZNtp9RBCocTsDq4" TargetMode="External"/><Relationship Id="rId745" Type="http://schemas.openxmlformats.org/officeDocument/2006/relationships/hyperlink" Target="https://www.linkedin.com/in/henrique-costa-3a0b18121" TargetMode="External"/><Relationship Id="rId952" Type="http://schemas.openxmlformats.org/officeDocument/2006/relationships/hyperlink" Target="https://gerandofalcoes.my.salesforce.com/0034X0000380O3t" TargetMode="External"/><Relationship Id="rId1168" Type="http://schemas.openxmlformats.org/officeDocument/2006/relationships/hyperlink" Target="https://instagram.com/elda.nascimento.7334?utm_medium=copy_link" TargetMode="External"/><Relationship Id="rId1375" Type="http://schemas.openxmlformats.org/officeDocument/2006/relationships/hyperlink" Target="https://drive.google.com/open?id=1MEwwFouE4hHuMneSc9kUDlcYFqZNEA3Y" TargetMode="External"/><Relationship Id="rId1582" Type="http://schemas.openxmlformats.org/officeDocument/2006/relationships/hyperlink" Target="https://drive.google.com/open?id=1TPFVdgUXsGQHE3Tpqse86yaLSrKNinGo" TargetMode="External"/><Relationship Id="rId2219" Type="http://schemas.openxmlformats.org/officeDocument/2006/relationships/hyperlink" Target="https://gerandofalcoes.my.salesforce.com/0034X0000380O5C" TargetMode="External"/><Relationship Id="rId81" Type="http://schemas.openxmlformats.org/officeDocument/2006/relationships/hyperlink" Target="https://gerandofalcoes.my.salesforce.com/0034X0000380O5k" TargetMode="External"/><Relationship Id="rId605" Type="http://schemas.openxmlformats.org/officeDocument/2006/relationships/hyperlink" Target="https://drive.google.com/open?id=1NcFkDJp666d0gE23w4fwboFOwT-JcBLy" TargetMode="External"/><Relationship Id="rId812" Type="http://schemas.openxmlformats.org/officeDocument/2006/relationships/hyperlink" Target="https://gerandofalcoes.my.salesforce.com/0014X00002VKCsWQAX" TargetMode="External"/><Relationship Id="rId1028" Type="http://schemas.openxmlformats.org/officeDocument/2006/relationships/hyperlink" Target="https://www.instagram.com/ledabritodos/" TargetMode="External"/><Relationship Id="rId1235" Type="http://schemas.openxmlformats.org/officeDocument/2006/relationships/hyperlink" Target="https://gerandofalcoes.my.salesforce.com/0034P000045kxiV" TargetMode="External"/><Relationship Id="rId1442" Type="http://schemas.openxmlformats.org/officeDocument/2006/relationships/hyperlink" Target="https://gerandofalcoes.my.salesforce.com/0014P00003MjR9oQAF" TargetMode="External"/><Relationship Id="rId1887" Type="http://schemas.openxmlformats.org/officeDocument/2006/relationships/hyperlink" Target="https://gerandofalcoes.my.salesforce.com/0014X00002VKCtEQAX" TargetMode="External"/><Relationship Id="rId1302" Type="http://schemas.openxmlformats.org/officeDocument/2006/relationships/hyperlink" Target="https://gerandofalcoes.my.salesforce.com/0014P00003AN2GNQA1" TargetMode="External"/><Relationship Id="rId1747" Type="http://schemas.openxmlformats.org/officeDocument/2006/relationships/hyperlink" Target="https://gerandofalcoes.my.salesforce.com/0014X00002VKCuhQAH" TargetMode="External"/><Relationship Id="rId1954" Type="http://schemas.openxmlformats.org/officeDocument/2006/relationships/hyperlink" Target="https://drive.google.com/open?id=1Wpk3V6fdUQvLRQR_hBO_qYAQexmndDyX" TargetMode="External"/><Relationship Id="rId39" Type="http://schemas.openxmlformats.org/officeDocument/2006/relationships/hyperlink" Target="https://drive.google.com/open?id=1mO7dWomP8-pxQ6uFq8gty9Um1bkQvxIL" TargetMode="External"/><Relationship Id="rId1607" Type="http://schemas.openxmlformats.org/officeDocument/2006/relationships/hyperlink" Target="https://drive.google.com/open?id=1ONGUQeiHwav2gp4j1cpCsg_V2fZqdWLy" TargetMode="External"/><Relationship Id="rId1814" Type="http://schemas.openxmlformats.org/officeDocument/2006/relationships/hyperlink" Target="https://gerandofalcoes.my.salesforce.com/0014P00003SGWQ0QAP" TargetMode="External"/><Relationship Id="rId188" Type="http://schemas.openxmlformats.org/officeDocument/2006/relationships/hyperlink" Target="https://gerandofalcoes.my.salesforce.com/0034X0000380O1Q" TargetMode="External"/><Relationship Id="rId395" Type="http://schemas.openxmlformats.org/officeDocument/2006/relationships/hyperlink" Target="https://drive.google.com/open?id=1CU1IEK8P-Xbi3pJFi5C5NqoN5412bsr5" TargetMode="External"/><Relationship Id="rId2076" Type="http://schemas.openxmlformats.org/officeDocument/2006/relationships/hyperlink" Target="https://www.instagram.com/neo_cb1/" TargetMode="External"/><Relationship Id="rId2283" Type="http://schemas.openxmlformats.org/officeDocument/2006/relationships/hyperlink" Target="https://www.instagram.com/djmariorlmm/" TargetMode="External"/><Relationship Id="rId255" Type="http://schemas.openxmlformats.org/officeDocument/2006/relationships/hyperlink" Target="https://gerandofalcoes.my.salesforce.com/0014X00002VKCp8QAH" TargetMode="External"/><Relationship Id="rId462" Type="http://schemas.openxmlformats.org/officeDocument/2006/relationships/hyperlink" Target="https://www.instagram.com/nsalessavio/" TargetMode="External"/><Relationship Id="rId1092" Type="http://schemas.openxmlformats.org/officeDocument/2006/relationships/hyperlink" Target="https://www.instagram.com/lucilene_queiroz_adm/" TargetMode="External"/><Relationship Id="rId1397" Type="http://schemas.openxmlformats.org/officeDocument/2006/relationships/hyperlink" Target="https://gerandofalcoes.my.salesforce.com/0014P00003AN2FuQAL" TargetMode="External"/><Relationship Id="rId2143" Type="http://schemas.openxmlformats.org/officeDocument/2006/relationships/hyperlink" Target="https://gerandofalcoes.my.salesforce.com/0034X0000380O5M" TargetMode="External"/><Relationship Id="rId2350" Type="http://schemas.openxmlformats.org/officeDocument/2006/relationships/hyperlink" Target="https://gerandofalcoes.my.salesforce.com/0014X00002VKCvCQAX" TargetMode="External"/><Relationship Id="rId115" Type="http://schemas.openxmlformats.org/officeDocument/2006/relationships/hyperlink" Target="https://drive.google.com/open?id=1yNHsfCv56GQ8sXtsAiDUlqOTl2YLJW9R" TargetMode="External"/><Relationship Id="rId322" Type="http://schemas.openxmlformats.org/officeDocument/2006/relationships/hyperlink" Target="https://gerandofalcoes.my.salesforce.com/0034X0000380O2m" TargetMode="External"/><Relationship Id="rId767" Type="http://schemas.openxmlformats.org/officeDocument/2006/relationships/hyperlink" Target="https://gerandofalcoes.my.salesforce.com/0014X00002VKCrqQAH" TargetMode="External"/><Relationship Id="rId974" Type="http://schemas.openxmlformats.org/officeDocument/2006/relationships/hyperlink" Target="https://gerandofalcoes.my.salesforce.com/0014P00003YSp86QAD" TargetMode="External"/><Relationship Id="rId2003" Type="http://schemas.openxmlformats.org/officeDocument/2006/relationships/hyperlink" Target="https://www.linkedin.com/in/rutenio-florencio-0304431a3" TargetMode="External"/><Relationship Id="rId2210" Type="http://schemas.openxmlformats.org/officeDocument/2006/relationships/hyperlink" Target="https://gerandofalcoes.my.salesforce.com/0014P00003ERavoQAD" TargetMode="External"/><Relationship Id="rId627" Type="http://schemas.openxmlformats.org/officeDocument/2006/relationships/hyperlink" Target="https://instagram.com/matheusgoncalves.pastor?igshid=YmMyMTA2M2Y=" TargetMode="External"/><Relationship Id="rId834" Type="http://schemas.openxmlformats.org/officeDocument/2006/relationships/hyperlink" Target="https://gerandofalcoes.my.salesforce.com/0034P000045kxiy" TargetMode="External"/><Relationship Id="rId1257" Type="http://schemas.openxmlformats.org/officeDocument/2006/relationships/hyperlink" Target="https://www.instagram.com/roselymaria.oliveira/" TargetMode="External"/><Relationship Id="rId1464" Type="http://schemas.openxmlformats.org/officeDocument/2006/relationships/hyperlink" Target="https://gerandofalcoes.my.salesforce.com/0034P000043fOo2" TargetMode="External"/><Relationship Id="rId1671" Type="http://schemas.openxmlformats.org/officeDocument/2006/relationships/hyperlink" Target="https://instagram.com/lucasalvesamr?igshid=YmMyMTA2M2Y=" TargetMode="External"/><Relationship Id="rId2308" Type="http://schemas.openxmlformats.org/officeDocument/2006/relationships/hyperlink" Target="https://gerandofalcoes.my.salesforce.com/0034X0000380O14" TargetMode="External"/><Relationship Id="rId901" Type="http://schemas.openxmlformats.org/officeDocument/2006/relationships/hyperlink" Target="https://www.instagram.com/neggah_flor/" TargetMode="External"/><Relationship Id="rId1117" Type="http://schemas.openxmlformats.org/officeDocument/2006/relationships/hyperlink" Target="https://www.instagram.com/kalferreira.71/" TargetMode="External"/><Relationship Id="rId1324" Type="http://schemas.openxmlformats.org/officeDocument/2006/relationships/hyperlink" Target="https://drive.google.com/open?id=1i8tO4eXLd83t9Etkl39St9KyLJdW2wwg" TargetMode="External"/><Relationship Id="rId1531" Type="http://schemas.openxmlformats.org/officeDocument/2006/relationships/hyperlink" Target="https://www.linkedin.com/in/socorro-silveira-silveira-25593067" TargetMode="External"/><Relationship Id="rId1769" Type="http://schemas.openxmlformats.org/officeDocument/2006/relationships/hyperlink" Target="https://drive.google.com/open?id=1Z5oxvsM6OAY_yHO6T_1je5Av2ORcChto" TargetMode="External"/><Relationship Id="rId1976" Type="http://schemas.openxmlformats.org/officeDocument/2006/relationships/hyperlink" Target="https://gerandofalcoes.my.salesforce.com/0014P00003YSp8lQAD" TargetMode="External"/><Relationship Id="rId30" Type="http://schemas.openxmlformats.org/officeDocument/2006/relationships/hyperlink" Target="https://gerandofalcoes.my.salesforce.com/0014P00003YSp7rQAD" TargetMode="External"/><Relationship Id="rId1629" Type="http://schemas.openxmlformats.org/officeDocument/2006/relationships/hyperlink" Target="https://instagram.com/profjocelino?utm_medium=copy_link" TargetMode="External"/><Relationship Id="rId1836" Type="http://schemas.openxmlformats.org/officeDocument/2006/relationships/hyperlink" Target="https://www.instagram.com/caiocuadrado" TargetMode="External"/><Relationship Id="rId1903" Type="http://schemas.openxmlformats.org/officeDocument/2006/relationships/hyperlink" Target="https://gerandofalcoes.my.salesforce.com/0034P000043fOnT" TargetMode="External"/><Relationship Id="rId2098" Type="http://schemas.openxmlformats.org/officeDocument/2006/relationships/hyperlink" Target="https://gerandofalcoes.my.salesforce.com/0014X00002VKCpXQAX" TargetMode="External"/><Relationship Id="rId277" Type="http://schemas.openxmlformats.org/officeDocument/2006/relationships/hyperlink" Target="https://www.linkedin.com/in/danyburu" TargetMode="External"/><Relationship Id="rId484" Type="http://schemas.openxmlformats.org/officeDocument/2006/relationships/hyperlink" Target="https://gerandofalcoes.my.salesforce.com/0014X00002VKCqAQAX" TargetMode="External"/><Relationship Id="rId2165" Type="http://schemas.openxmlformats.org/officeDocument/2006/relationships/hyperlink" Target="https://gerandofalcoes.my.salesforce.com/0034X0000380O0z" TargetMode="External"/><Relationship Id="rId137" Type="http://schemas.openxmlformats.org/officeDocument/2006/relationships/hyperlink" Target="https://instagram.com/prtiaozinhosilva?utm_medium=copy_link" TargetMode="External"/><Relationship Id="rId344" Type="http://schemas.openxmlformats.org/officeDocument/2006/relationships/hyperlink" Target="https://drive.google.com/open?id=1ZfaGtCC4qFo1os5_ixtgg4i1Gg3KwztB" TargetMode="External"/><Relationship Id="rId691" Type="http://schemas.openxmlformats.org/officeDocument/2006/relationships/hyperlink" Target="https://www.instagram.com/brunasguedes/" TargetMode="External"/><Relationship Id="rId789" Type="http://schemas.openxmlformats.org/officeDocument/2006/relationships/hyperlink" Target="https://gerandofalcoes.my.salesforce.com/0014P00003YSp8YQAT" TargetMode="External"/><Relationship Id="rId996" Type="http://schemas.openxmlformats.org/officeDocument/2006/relationships/hyperlink" Target="http://www.linkedin.com/in/cibele-campos-38555035" TargetMode="External"/><Relationship Id="rId2025" Type="http://schemas.openxmlformats.org/officeDocument/2006/relationships/hyperlink" Target="https://www.google.com/url?sa=t&amp;source=web&amp;rct=j&amp;url=https://br.linkedin.com/in/priscilla-siqueira-841959137&amp;ved=2ahUKEwi8i6TJuqLxAhUllZUCHTnoCLgQjjgwAHoECAQQAg&amp;usg=AOvVaw3ilHL_Q4gf10IKc3aa-P_4" TargetMode="External"/><Relationship Id="rId2372" Type="http://schemas.openxmlformats.org/officeDocument/2006/relationships/hyperlink" Target="https://drive.google.com/open?id=1YNt-u9Yp81MTHmhUGELZbm0kIuk0xDO3" TargetMode="External"/><Relationship Id="rId551" Type="http://schemas.openxmlformats.org/officeDocument/2006/relationships/hyperlink" Target="https://drive.google.com/open?id=19274mQHKElpeDXjI75SSwerp9bZkYF_E" TargetMode="External"/><Relationship Id="rId649" Type="http://schemas.openxmlformats.org/officeDocument/2006/relationships/hyperlink" Target="https://gerandofalcoes.my.salesforce.com/0014X00002VKCqUQAX" TargetMode="External"/><Relationship Id="rId856" Type="http://schemas.openxmlformats.org/officeDocument/2006/relationships/hyperlink" Target="https://www.linkedin.com/in/livia-martins-b908773b" TargetMode="External"/><Relationship Id="rId1181" Type="http://schemas.openxmlformats.org/officeDocument/2006/relationships/hyperlink" Target="https://gerandofalcoes.my.salesforce.com/0014X00002VKCrMQAX" TargetMode="External"/><Relationship Id="rId1279" Type="http://schemas.openxmlformats.org/officeDocument/2006/relationships/hyperlink" Target="https://gerandofalcoes.my.salesforce.com/0034X0000380O2t" TargetMode="External"/><Relationship Id="rId1486" Type="http://schemas.openxmlformats.org/officeDocument/2006/relationships/hyperlink" Target="https://gerandofalcoes.my.salesforce.com/0014X00002VKCqgQAH" TargetMode="External"/><Relationship Id="rId2232" Type="http://schemas.openxmlformats.org/officeDocument/2006/relationships/hyperlink" Target="https://www.instagram.com/paulagm13" TargetMode="External"/><Relationship Id="rId204" Type="http://schemas.openxmlformats.org/officeDocument/2006/relationships/hyperlink" Target="https://gerandofalcoes.my.salesforce.com/0014P00003AN2GLQA1" TargetMode="External"/><Relationship Id="rId411" Type="http://schemas.openxmlformats.org/officeDocument/2006/relationships/hyperlink" Target="http://www.instagram.com/mararibeirorj" TargetMode="External"/><Relationship Id="rId509" Type="http://schemas.openxmlformats.org/officeDocument/2006/relationships/hyperlink" Target="https://gerandofalcoes.my.salesforce.com/0014X00002VKCqsQAH" TargetMode="External"/><Relationship Id="rId1041" Type="http://schemas.openxmlformats.org/officeDocument/2006/relationships/hyperlink" Target="https://gerandofalcoes.my.salesforce.com/0014X00002VKCsKQAX" TargetMode="External"/><Relationship Id="rId1139" Type="http://schemas.openxmlformats.org/officeDocument/2006/relationships/hyperlink" Target="https://instagram.com/eduardobeijo?utm_medium=copy_link" TargetMode="External"/><Relationship Id="rId1346" Type="http://schemas.openxmlformats.org/officeDocument/2006/relationships/hyperlink" Target="https://gerandofalcoes.my.salesforce.com/0014X00002VKCseQAH" TargetMode="External"/><Relationship Id="rId1693" Type="http://schemas.openxmlformats.org/officeDocument/2006/relationships/hyperlink" Target="https://gerandofalcoes.my.salesforce.com/0014P00003SGWPvQAP" TargetMode="External"/><Relationship Id="rId1998" Type="http://schemas.openxmlformats.org/officeDocument/2006/relationships/hyperlink" Target="https://gerandofalcoes.my.salesforce.com/0034X0000380O3c" TargetMode="External"/><Relationship Id="rId716" Type="http://schemas.openxmlformats.org/officeDocument/2006/relationships/hyperlink" Target="https://gerandofalcoes.my.salesforce.com/0014P00003SGWPRQA5" TargetMode="External"/><Relationship Id="rId923" Type="http://schemas.openxmlformats.org/officeDocument/2006/relationships/hyperlink" Target="https://drive.google.com/open?id=1Gssnn35jMpTcNOtvFuM6csVgnIEkJaPL" TargetMode="External"/><Relationship Id="rId1553" Type="http://schemas.openxmlformats.org/officeDocument/2006/relationships/hyperlink" Target="https://gerandofalcoes.my.salesforce.com/0014X00002VKCtbQAH" TargetMode="External"/><Relationship Id="rId1760" Type="http://schemas.openxmlformats.org/officeDocument/2006/relationships/hyperlink" Target="https://drive.google.com/open?id=14-8OnF6QzZqnLwiej1YYcb4sYkf04LRu" TargetMode="External"/><Relationship Id="rId1858" Type="http://schemas.openxmlformats.org/officeDocument/2006/relationships/hyperlink" Target="https://gerandofalcoes.my.salesforce.com/0014X00002VKCrLQAX" TargetMode="External"/><Relationship Id="rId52" Type="http://schemas.openxmlformats.org/officeDocument/2006/relationships/hyperlink" Target="https://gerandofalcoes.my.salesforce.com/0014X00002OEuasQAD" TargetMode="External"/><Relationship Id="rId1206" Type="http://schemas.openxmlformats.org/officeDocument/2006/relationships/hyperlink" Target="https://www.linkedin.com/in/nina-cardoso" TargetMode="External"/><Relationship Id="rId1413" Type="http://schemas.openxmlformats.org/officeDocument/2006/relationships/hyperlink" Target="https://drive.google.com/open?id=1P6wpHD7tOkz9wHxIZpwnAvA80x2YF1ce" TargetMode="External"/><Relationship Id="rId1620" Type="http://schemas.openxmlformats.org/officeDocument/2006/relationships/hyperlink" Target="https://gerandofalcoes.my.salesforce.com/0034X0000380O0v" TargetMode="External"/><Relationship Id="rId1718" Type="http://schemas.openxmlformats.org/officeDocument/2006/relationships/hyperlink" Target="https://gerandofalcoes.my.salesforce.com/0034X0000380O5L" TargetMode="External"/><Relationship Id="rId1925" Type="http://schemas.openxmlformats.org/officeDocument/2006/relationships/hyperlink" Target="https://www.linkedin.com/in/elisandra-aparecida-martins-melo-367843215/" TargetMode="External"/><Relationship Id="rId299" Type="http://schemas.openxmlformats.org/officeDocument/2006/relationships/hyperlink" Target="https://drive.google.com/open?id=12ACJNZM-_xQE_XPZsWU4x1rlI_3_zRCB" TargetMode="External"/><Relationship Id="rId2187" Type="http://schemas.openxmlformats.org/officeDocument/2006/relationships/hyperlink" Target="https://gerandofalcoes.my.salesforce.com/0014P00003AN2FdQAL" TargetMode="External"/><Relationship Id="rId2394" Type="http://schemas.openxmlformats.org/officeDocument/2006/relationships/hyperlink" Target="https://www.instagram.com/josias_adolfo/" TargetMode="External"/><Relationship Id="rId159" Type="http://schemas.openxmlformats.org/officeDocument/2006/relationships/hyperlink" Target="https://www.instagram.com/dra_flavia_goncalves/" TargetMode="External"/><Relationship Id="rId366" Type="http://schemas.openxmlformats.org/officeDocument/2006/relationships/hyperlink" Target="https://instagram.com/grazi_porfirio?igshid=YmMyMTA2M2Y=" TargetMode="External"/><Relationship Id="rId573" Type="http://schemas.openxmlformats.org/officeDocument/2006/relationships/hyperlink" Target="https://instagram.com/thiagooteromg" TargetMode="External"/><Relationship Id="rId780" Type="http://schemas.openxmlformats.org/officeDocument/2006/relationships/hyperlink" Target="https://drive.google.com/open?id=19i9F9BL9KltGy5VJs45Yxgjfi3WvziZ5" TargetMode="External"/><Relationship Id="rId2047" Type="http://schemas.openxmlformats.org/officeDocument/2006/relationships/hyperlink" Target="https://www.linkedin.com/in/jo%C3%A3o-paulo-farias-costa-b4a03131/" TargetMode="External"/><Relationship Id="rId2254" Type="http://schemas.openxmlformats.org/officeDocument/2006/relationships/hyperlink" Target="https://gerandofalcoes.my.salesforce.com/0034P00003maBVT" TargetMode="External"/><Relationship Id="rId226" Type="http://schemas.openxmlformats.org/officeDocument/2006/relationships/hyperlink" Target="https://drive.google.com/open?id=1Dw5zMvYnku585HPzOf1EfuBPYFd4oA0R" TargetMode="External"/><Relationship Id="rId433" Type="http://schemas.openxmlformats.org/officeDocument/2006/relationships/hyperlink" Target="https://gerandofalcoes.my.salesforce.com/0014P00003SGWPUQA5" TargetMode="External"/><Relationship Id="rId878" Type="http://schemas.openxmlformats.org/officeDocument/2006/relationships/hyperlink" Target="https://www.instagram.com/invites/contact/?i=1uk5pbe1kwr06&amp;utm_content=xtb5ir" TargetMode="External"/><Relationship Id="rId1063" Type="http://schemas.openxmlformats.org/officeDocument/2006/relationships/hyperlink" Target="https://gerandofalcoes.my.salesforce.com/0014X00002VKCtZQAX" TargetMode="External"/><Relationship Id="rId1270" Type="http://schemas.openxmlformats.org/officeDocument/2006/relationships/hyperlink" Target="https://www.instagram.com/tv/CW1d4PoJ9i3uLim6a8kU-pTEolYDhGriBcV9d80/?utm_medium=copy_link" TargetMode="External"/><Relationship Id="rId2114" Type="http://schemas.openxmlformats.org/officeDocument/2006/relationships/hyperlink" Target="https://drive.google.com/open?id=1z8C82dQUQ9psS2Z7HdHrjxfTSVZUvo5_" TargetMode="External"/><Relationship Id="rId640" Type="http://schemas.openxmlformats.org/officeDocument/2006/relationships/hyperlink" Target="https://www.instagram.com/eraldonoronha/" TargetMode="External"/><Relationship Id="rId738" Type="http://schemas.openxmlformats.org/officeDocument/2006/relationships/hyperlink" Target="https://gerandofalcoes.my.salesforce.com/0014X00002VKCrAQAX" TargetMode="External"/><Relationship Id="rId945" Type="http://schemas.openxmlformats.org/officeDocument/2006/relationships/hyperlink" Target="https://gerandofalcoes.my.salesforce.com/0034P000045kxi7" TargetMode="External"/><Relationship Id="rId1368" Type="http://schemas.openxmlformats.org/officeDocument/2006/relationships/hyperlink" Target="https://gerandofalcoes.my.salesforce.com/0034P000043fPDp" TargetMode="External"/><Relationship Id="rId1575" Type="http://schemas.openxmlformats.org/officeDocument/2006/relationships/hyperlink" Target="https://drive.google.com/open?id=1BSNyKWHVnZWy2IoTRtbhyWgbB_qW3tWL" TargetMode="External"/><Relationship Id="rId1782" Type="http://schemas.openxmlformats.org/officeDocument/2006/relationships/hyperlink" Target="https://instagram.com/marisalimalight?utm_medium=copy_link" TargetMode="External"/><Relationship Id="rId2321" Type="http://schemas.openxmlformats.org/officeDocument/2006/relationships/hyperlink" Target="https://gerandofalcoes.my.salesforce.com/0034X0000380O0f" TargetMode="External"/><Relationship Id="rId74" Type="http://schemas.openxmlformats.org/officeDocument/2006/relationships/hyperlink" Target="https://www.instagram.com/daniellecft" TargetMode="External"/><Relationship Id="rId500" Type="http://schemas.openxmlformats.org/officeDocument/2006/relationships/hyperlink" Target="https://gerandofalcoes.my.salesforce.com/0014X00002VKCp7QAH" TargetMode="External"/><Relationship Id="rId805" Type="http://schemas.openxmlformats.org/officeDocument/2006/relationships/hyperlink" Target="https://www.instagram.com/green_dias/" TargetMode="External"/><Relationship Id="rId1130" Type="http://schemas.openxmlformats.org/officeDocument/2006/relationships/hyperlink" Target="https://instagram.com/impactacao.social?igshid=78bok3lfo1lb" TargetMode="External"/><Relationship Id="rId1228" Type="http://schemas.openxmlformats.org/officeDocument/2006/relationships/hyperlink" Target="https://drive.google.com/open?id=1hTLSR6-GZo1Zve0K8rz16bx8eHgNOLiG" TargetMode="External"/><Relationship Id="rId1435" Type="http://schemas.openxmlformats.org/officeDocument/2006/relationships/hyperlink" Target="https://gerandofalcoes.my.salesforce.com/0034P00003maBUv" TargetMode="External"/><Relationship Id="rId1642" Type="http://schemas.openxmlformats.org/officeDocument/2006/relationships/hyperlink" Target="https://www.instagram.com/nanaroots/" TargetMode="External"/><Relationship Id="rId1947" Type="http://schemas.openxmlformats.org/officeDocument/2006/relationships/hyperlink" Target="https://drive.google.com/open?id=1kjvfjghNti_llx9gXaHaIqXHTYhr2buE" TargetMode="External"/><Relationship Id="rId1502" Type="http://schemas.openxmlformats.org/officeDocument/2006/relationships/hyperlink" Target="https://www.instagram.com/farelodequiat/" TargetMode="External"/><Relationship Id="rId1807" Type="http://schemas.openxmlformats.org/officeDocument/2006/relationships/hyperlink" Target="https://gerandofalcoes.my.salesforce.com/0034P000045kxjO" TargetMode="External"/><Relationship Id="rId290" Type="http://schemas.openxmlformats.org/officeDocument/2006/relationships/hyperlink" Target="https://gerandofalcoes.my.salesforce.com/0034X0000380O5d" TargetMode="External"/><Relationship Id="rId388" Type="http://schemas.openxmlformats.org/officeDocument/2006/relationships/hyperlink" Target="https://gerandofalcoes.my.salesforce.com/0014P00003YSp98QAD" TargetMode="External"/><Relationship Id="rId2069" Type="http://schemas.openxmlformats.org/officeDocument/2006/relationships/hyperlink" Target="https://gerandofalcoes.my.salesforce.com/0034X0000380O2Y" TargetMode="External"/><Relationship Id="rId150" Type="http://schemas.openxmlformats.org/officeDocument/2006/relationships/hyperlink" Target="https://drive.google.com/open?id=1ZkAetUpeyq7Ov8oNLUZlQXoPKPTlQaXZ" TargetMode="External"/><Relationship Id="rId595" Type="http://schemas.openxmlformats.org/officeDocument/2006/relationships/hyperlink" Target="https://www.linkedin.com/in/ana-c%C3%A9lia-passos-7032776a/" TargetMode="External"/><Relationship Id="rId2276" Type="http://schemas.openxmlformats.org/officeDocument/2006/relationships/hyperlink" Target="https://gerandofalcoes.my.salesforce.com/0014P00003AN2GOQA1" TargetMode="External"/><Relationship Id="rId248" Type="http://schemas.openxmlformats.org/officeDocument/2006/relationships/hyperlink" Target="https://gerandofalcoes.my.salesforce.com/0014P00003YSp9YQAT" TargetMode="External"/><Relationship Id="rId455" Type="http://schemas.openxmlformats.org/officeDocument/2006/relationships/hyperlink" Target="https://drive.google.com/open?id=1WU3jsP8P0IRYoVnD3lbFyEmSuqkcsGfn" TargetMode="External"/><Relationship Id="rId662" Type="http://schemas.openxmlformats.org/officeDocument/2006/relationships/hyperlink" Target="https://gerandofalcoes.my.salesforce.com/0034P000045kxi8" TargetMode="External"/><Relationship Id="rId1085" Type="http://schemas.openxmlformats.org/officeDocument/2006/relationships/hyperlink" Target="https://drive.google.com/open?id=1OFT6kzVB68N37t5wv7oU6Z29Ty40EB9E" TargetMode="External"/><Relationship Id="rId1292" Type="http://schemas.openxmlformats.org/officeDocument/2006/relationships/hyperlink" Target="https://gerandofalcoes.my.salesforce.com/0034X0000380O0d" TargetMode="External"/><Relationship Id="rId2136" Type="http://schemas.openxmlformats.org/officeDocument/2006/relationships/hyperlink" Target="https://gerandofalcoes.my.salesforce.com/0014P00003YSp7VQAT" TargetMode="External"/><Relationship Id="rId2343" Type="http://schemas.openxmlformats.org/officeDocument/2006/relationships/hyperlink" Target="https://gerandofalcoes.my.salesforce.com/0014P00003YSp8qQAD" TargetMode="External"/><Relationship Id="rId108" Type="http://schemas.openxmlformats.org/officeDocument/2006/relationships/hyperlink" Target="https://drive.google.com/open?id=1PgWD4jcAcrOt_AZvc55tkme3sK6f0_6_" TargetMode="External"/><Relationship Id="rId315" Type="http://schemas.openxmlformats.org/officeDocument/2006/relationships/hyperlink" Target="https://gerandofalcoes.my.salesforce.com/0014X00002VKCtUQAX" TargetMode="External"/><Relationship Id="rId522" Type="http://schemas.openxmlformats.org/officeDocument/2006/relationships/hyperlink" Target="https://drive.google.com/open?id=1DY7gtg5wo2GJ5wyabicCFWsbWJOlco4k" TargetMode="External"/><Relationship Id="rId967" Type="http://schemas.openxmlformats.org/officeDocument/2006/relationships/hyperlink" Target="https://www.instagram.com/tiadani_despertandoamor/" TargetMode="External"/><Relationship Id="rId1152" Type="http://schemas.openxmlformats.org/officeDocument/2006/relationships/hyperlink" Target="https://www.linkedin.com/in/odete-aquino-47946b236" TargetMode="External"/><Relationship Id="rId1597" Type="http://schemas.openxmlformats.org/officeDocument/2006/relationships/hyperlink" Target="https://gerandofalcoes.my.salesforce.com/0014X00002VKCrhQAH" TargetMode="External"/><Relationship Id="rId2203" Type="http://schemas.openxmlformats.org/officeDocument/2006/relationships/hyperlink" Target="https://gerandofalcoes.my.salesforce.com/0034X0000380O1O" TargetMode="External"/><Relationship Id="rId96" Type="http://schemas.openxmlformats.org/officeDocument/2006/relationships/hyperlink" Target="https://gerandofalcoes.my.salesforce.com/0014P00003YSp9UQAT" TargetMode="External"/><Relationship Id="rId827" Type="http://schemas.openxmlformats.org/officeDocument/2006/relationships/hyperlink" Target="https://gerandofalcoes.my.salesforce.com/0034X0000380O1a" TargetMode="External"/><Relationship Id="rId1012" Type="http://schemas.openxmlformats.org/officeDocument/2006/relationships/hyperlink" Target="https://gerandofalcoes.my.salesforce.com/0014P00003YSp8pQAD" TargetMode="External"/><Relationship Id="rId1457" Type="http://schemas.openxmlformats.org/officeDocument/2006/relationships/hyperlink" Target="https://drive.google.com/open?id=1rRiKpQEnzM8Ile6DC--zLasxwPkm7spI" TargetMode="External"/><Relationship Id="rId1664" Type="http://schemas.openxmlformats.org/officeDocument/2006/relationships/hyperlink" Target="https://drive.google.com/open?id=10eVEvJ6j6zTtL0hh7Atg8eoNSlKc52Vw" TargetMode="External"/><Relationship Id="rId1871" Type="http://schemas.openxmlformats.org/officeDocument/2006/relationships/hyperlink" Target="https://gerandofalcoes.my.salesforce.com/0034P000045kxkb" TargetMode="External"/><Relationship Id="rId1317" Type="http://schemas.openxmlformats.org/officeDocument/2006/relationships/hyperlink" Target="https://drive.google.com/open?id=10xPON_uVNHGixJz7F7l-m8L-x7YfCs_N" TargetMode="External"/><Relationship Id="rId1524" Type="http://schemas.openxmlformats.org/officeDocument/2006/relationships/hyperlink" Target="https://drive.google.com/open?id=1biw_yO1gJu4k-7U0RlhG0YCkMh8JKgvG" TargetMode="External"/><Relationship Id="rId1731" Type="http://schemas.openxmlformats.org/officeDocument/2006/relationships/hyperlink" Target="https://gerandofalcoes.my.salesforce.com/0034P00003u8pO7" TargetMode="External"/><Relationship Id="rId1969" Type="http://schemas.openxmlformats.org/officeDocument/2006/relationships/hyperlink" Target="https://gerandofalcoes.my.salesforce.com/0034P000043fPDo" TargetMode="External"/><Relationship Id="rId23" Type="http://schemas.openxmlformats.org/officeDocument/2006/relationships/hyperlink" Target="https://gerandofalcoes.my.salesforce.com/0014X00002VKCpyQAH" TargetMode="External"/><Relationship Id="rId1829" Type="http://schemas.openxmlformats.org/officeDocument/2006/relationships/hyperlink" Target="https://drive.google.com/open?id=1jePFUYdDBAn4RqRWXOOgSQuBTVep3YGp" TargetMode="External"/><Relationship Id="rId2298" Type="http://schemas.openxmlformats.org/officeDocument/2006/relationships/hyperlink" Target="https://gerandofalcoes.my.salesforce.com/0034X0000380O2D" TargetMode="External"/><Relationship Id="rId172" Type="http://schemas.openxmlformats.org/officeDocument/2006/relationships/hyperlink" Target="https://www.instagram.com/thiagobruno_medeirosilva/" TargetMode="External"/><Relationship Id="rId477" Type="http://schemas.openxmlformats.org/officeDocument/2006/relationships/hyperlink" Target="https://drive.google.com/open?id=1krRXhYM_OgGPfYWbO4IhS1o96TfQ-GP8" TargetMode="External"/><Relationship Id="rId684" Type="http://schemas.openxmlformats.org/officeDocument/2006/relationships/hyperlink" Target="https://gerandofalcoes.my.salesforce.com/0014P00003YSp7aQAD" TargetMode="External"/><Relationship Id="rId2060" Type="http://schemas.openxmlformats.org/officeDocument/2006/relationships/hyperlink" Target="https://gerandofalcoes.my.salesforce.com/0014P00003SGWFsQAP" TargetMode="External"/><Relationship Id="rId2158" Type="http://schemas.openxmlformats.org/officeDocument/2006/relationships/hyperlink" Target="https://gerandofalcoes.my.salesforce.com/0034X0000380O6i" TargetMode="External"/><Relationship Id="rId2365" Type="http://schemas.openxmlformats.org/officeDocument/2006/relationships/hyperlink" Target="https://gerandofalcoes.my.salesforce.com/0034P000045kxki" TargetMode="External"/><Relationship Id="rId337" Type="http://schemas.openxmlformats.org/officeDocument/2006/relationships/hyperlink" Target="https://gerandofalcoes.my.salesforce.com/0014X00002VKCtHQAX" TargetMode="External"/><Relationship Id="rId891" Type="http://schemas.openxmlformats.org/officeDocument/2006/relationships/hyperlink" Target="https://gerandofalcoes.my.salesforce.com/0014X00002VKCqeQAH" TargetMode="External"/><Relationship Id="rId989" Type="http://schemas.openxmlformats.org/officeDocument/2006/relationships/hyperlink" Target="https://drive.google.com/open?id=1W5EEXZrOu9b1r4kirwhWmOwoTzTF2WTJ" TargetMode="External"/><Relationship Id="rId2018" Type="http://schemas.openxmlformats.org/officeDocument/2006/relationships/hyperlink" Target="https://gerandofalcoes.my.salesforce.com/0014X00002VKCszQAH" TargetMode="External"/><Relationship Id="rId544" Type="http://schemas.openxmlformats.org/officeDocument/2006/relationships/hyperlink" Target="https://gerandofalcoes.my.salesforce.com/0014P00003YSp8fQAD" TargetMode="External"/><Relationship Id="rId751" Type="http://schemas.openxmlformats.org/officeDocument/2006/relationships/hyperlink" Target="https://drive.google.com/open?id=1jMPZ7RlzVgImiEzhp5hDHIUgt5emWVj7" TargetMode="External"/><Relationship Id="rId849" Type="http://schemas.openxmlformats.org/officeDocument/2006/relationships/hyperlink" Target="https://drive.google.com/open?id=1x0gXBjk6O2tQpAF2s9iiugy7jdJpbruz" TargetMode="External"/><Relationship Id="rId1174" Type="http://schemas.openxmlformats.org/officeDocument/2006/relationships/hyperlink" Target="https://gerandofalcoes.my.salesforce.com/0034X0000380O4E" TargetMode="External"/><Relationship Id="rId1381" Type="http://schemas.openxmlformats.org/officeDocument/2006/relationships/hyperlink" Target="https://gerandofalcoes.my.salesforce.com/0034X000033zzZd" TargetMode="External"/><Relationship Id="rId1479" Type="http://schemas.openxmlformats.org/officeDocument/2006/relationships/hyperlink" Target="https://gerandofalcoes.my.salesforce.com/0014X00002VKCsCQAX" TargetMode="External"/><Relationship Id="rId1686" Type="http://schemas.openxmlformats.org/officeDocument/2006/relationships/hyperlink" Target="https://gerandofalcoes.my.salesforce.com/0034X0000380O4Z" TargetMode="External"/><Relationship Id="rId2225" Type="http://schemas.openxmlformats.org/officeDocument/2006/relationships/hyperlink" Target="https://drive.google.com/open?id=1XwqRLzMU5KuZEEO1K9Dw_yqU0V6QN0xO" TargetMode="External"/><Relationship Id="rId404" Type="http://schemas.openxmlformats.org/officeDocument/2006/relationships/hyperlink" Target="https://drive.google.com/open?id=16IYy5qXBrxY-OwS5phXTVQvS2aEbgIna" TargetMode="External"/><Relationship Id="rId611" Type="http://schemas.openxmlformats.org/officeDocument/2006/relationships/hyperlink" Target="https://gerandofalcoes.my.salesforce.com/0014P00003SGWFqQAP" TargetMode="External"/><Relationship Id="rId1034" Type="http://schemas.openxmlformats.org/officeDocument/2006/relationships/hyperlink" Target="https://drive.google.com/open?id=1Zp_IvgzRTSUdoH-GoiZZXzO6ybjqgyss" TargetMode="External"/><Relationship Id="rId1241" Type="http://schemas.openxmlformats.org/officeDocument/2006/relationships/hyperlink" Target="https://www.instagram.com/daiannyteles.arquiteta/?hl=pt-br" TargetMode="External"/><Relationship Id="rId1339" Type="http://schemas.openxmlformats.org/officeDocument/2006/relationships/hyperlink" Target="https://www.linkedin.com/in/sadraque-albino-de-souza-57600871/" TargetMode="External"/><Relationship Id="rId1893" Type="http://schemas.openxmlformats.org/officeDocument/2006/relationships/hyperlink" Target="https://drive.google.com/open?id=1cDfta_XQldB9qXqiDerniJ-A7sIV_OTu" TargetMode="External"/><Relationship Id="rId709" Type="http://schemas.openxmlformats.org/officeDocument/2006/relationships/hyperlink" Target="https://gerandofalcoes.my.salesforce.com/0034P000045kxj6" TargetMode="External"/><Relationship Id="rId916" Type="http://schemas.openxmlformats.org/officeDocument/2006/relationships/hyperlink" Target="https://gerandofalcoes.my.salesforce.com/0034X0000380O59" TargetMode="External"/><Relationship Id="rId1101" Type="http://schemas.openxmlformats.org/officeDocument/2006/relationships/hyperlink" Target="https://gerandofalcoes.my.salesforce.com/0014P00003YSp8MQAT" TargetMode="External"/><Relationship Id="rId1546" Type="http://schemas.openxmlformats.org/officeDocument/2006/relationships/hyperlink" Target="https://gerandofalcoes.my.salesforce.com/0014P00003YSp8vQAD" TargetMode="External"/><Relationship Id="rId1753" Type="http://schemas.openxmlformats.org/officeDocument/2006/relationships/hyperlink" Target="https://gerandofalcoes.my.salesforce.com/0014P00003YSp7kQAD" TargetMode="External"/><Relationship Id="rId1960" Type="http://schemas.openxmlformats.org/officeDocument/2006/relationships/hyperlink" Target="https://gerandofalcoes.my.salesforce.com/0034P00003maBVX" TargetMode="External"/><Relationship Id="rId45" Type="http://schemas.openxmlformats.org/officeDocument/2006/relationships/hyperlink" Target="https://gerandofalcoes.my.salesforce.com/0034P000045kxiE" TargetMode="External"/><Relationship Id="rId1406" Type="http://schemas.openxmlformats.org/officeDocument/2006/relationships/hyperlink" Target="https://drive.google.com/open?id=1RPiNrFgwIbj924CRPuiMfmwuDj4DYHxo" TargetMode="External"/><Relationship Id="rId1613" Type="http://schemas.openxmlformats.org/officeDocument/2006/relationships/hyperlink" Target="https://gerandofalcoes.my.salesforce.com/0014P00003YSp9lQAD" TargetMode="External"/><Relationship Id="rId1820" Type="http://schemas.openxmlformats.org/officeDocument/2006/relationships/hyperlink" Target="https://gerandofalcoes.my.salesforce.com/0034P000045kxja" TargetMode="External"/><Relationship Id="rId194" Type="http://schemas.openxmlformats.org/officeDocument/2006/relationships/hyperlink" Target="https://gerandofalcoes.my.salesforce.com/0014P00003YSp9rQAD" TargetMode="External"/><Relationship Id="rId1918" Type="http://schemas.openxmlformats.org/officeDocument/2006/relationships/hyperlink" Target="https://gerandofalcoes.my.salesforce.com/0014P00003YSpAGQA1" TargetMode="External"/><Relationship Id="rId2082" Type="http://schemas.openxmlformats.org/officeDocument/2006/relationships/hyperlink" Target="https://gerandofalcoes.my.salesforce.com/0034X0000380O5Q" TargetMode="External"/><Relationship Id="rId261" Type="http://schemas.openxmlformats.org/officeDocument/2006/relationships/hyperlink" Target="https://br.linkedin.com/in/nei-pont%C3%A3o-4745453b" TargetMode="External"/><Relationship Id="rId499" Type="http://schemas.openxmlformats.org/officeDocument/2006/relationships/hyperlink" Target="https://drive.google.com/open?id=1aJOwgvCji1tbZXxgShJ7oLmk_XZW3NHQ" TargetMode="External"/><Relationship Id="rId2387" Type="http://schemas.openxmlformats.org/officeDocument/2006/relationships/hyperlink" Target="https://gerandofalcoes.my.salesforce.com/0014X00002VKCuRQAX" TargetMode="External"/><Relationship Id="rId359" Type="http://schemas.openxmlformats.org/officeDocument/2006/relationships/hyperlink" Target="https://gerandofalcoes.my.salesforce.com/0034P00003maEuB" TargetMode="External"/><Relationship Id="rId566" Type="http://schemas.openxmlformats.org/officeDocument/2006/relationships/hyperlink" Target="https://gerandofalcoes.my.salesforce.com/0034P000045kxkK" TargetMode="External"/><Relationship Id="rId773" Type="http://schemas.openxmlformats.org/officeDocument/2006/relationships/hyperlink" Target="https://drive.google.com/open?id=1ruczN6p4icdlPMVL_bS2_Ed64fEe55bU" TargetMode="External"/><Relationship Id="rId1196" Type="http://schemas.openxmlformats.org/officeDocument/2006/relationships/hyperlink" Target="https://www.instagram.com/robertaazevedo2020/" TargetMode="External"/><Relationship Id="rId2247" Type="http://schemas.openxmlformats.org/officeDocument/2006/relationships/hyperlink" Target="http://instagram.com/daudtm" TargetMode="External"/><Relationship Id="rId121" Type="http://schemas.openxmlformats.org/officeDocument/2006/relationships/hyperlink" Target="https://www.linkedin.com/in/empreendedoraalinemelo/" TargetMode="External"/><Relationship Id="rId219" Type="http://schemas.openxmlformats.org/officeDocument/2006/relationships/hyperlink" Target="https://gerandofalcoes.my.salesforce.com/0034P000043fOnh" TargetMode="External"/><Relationship Id="rId426" Type="http://schemas.openxmlformats.org/officeDocument/2006/relationships/hyperlink" Target="http://www.linkedin.com/in/juliasgoulart" TargetMode="External"/><Relationship Id="rId633" Type="http://schemas.openxmlformats.org/officeDocument/2006/relationships/hyperlink" Target="https://gerandofalcoes.my.salesforce.com/0014P00003YSp9gQAD" TargetMode="External"/><Relationship Id="rId980" Type="http://schemas.openxmlformats.org/officeDocument/2006/relationships/hyperlink" Target="http://instagram.com/guilhermengoularte" TargetMode="External"/><Relationship Id="rId1056" Type="http://schemas.openxmlformats.org/officeDocument/2006/relationships/hyperlink" Target="https://gerandofalcoes.my.salesforce.com/0014P00003AN2FwQAL" TargetMode="External"/><Relationship Id="rId1263" Type="http://schemas.openxmlformats.org/officeDocument/2006/relationships/hyperlink" Target="https://drive.google.com/open?id=1pqnyuJ25omkallO4lvBzIKmqUAvtSB7B" TargetMode="External"/><Relationship Id="rId2107" Type="http://schemas.openxmlformats.org/officeDocument/2006/relationships/hyperlink" Target="https://gerandofalcoes.my.salesforce.com/0034X0000380O5V" TargetMode="External"/><Relationship Id="rId2314" Type="http://schemas.openxmlformats.org/officeDocument/2006/relationships/hyperlink" Target="https://www.linkedin.com/in/iara-preto-57132b26/" TargetMode="External"/><Relationship Id="rId840" Type="http://schemas.openxmlformats.org/officeDocument/2006/relationships/hyperlink" Target="https://www.linkedin.com/in/alexandre-tuller-461a841a9/" TargetMode="External"/><Relationship Id="rId938" Type="http://schemas.openxmlformats.org/officeDocument/2006/relationships/hyperlink" Target="https://gerandofalcoes.my.salesforce.com/0034X0000380O10" TargetMode="External"/><Relationship Id="rId1470" Type="http://schemas.openxmlformats.org/officeDocument/2006/relationships/hyperlink" Target="https://drive.google.com/open?id=1Mq7IQuay9vLxj7j4giSWSWXbDws6rgch" TargetMode="External"/><Relationship Id="rId1568" Type="http://schemas.openxmlformats.org/officeDocument/2006/relationships/hyperlink" Target="https://gerandofalcoes.my.salesforce.com/0014P00003YSp91QAD" TargetMode="External"/><Relationship Id="rId1775" Type="http://schemas.openxmlformats.org/officeDocument/2006/relationships/hyperlink" Target="https://gerandofalcoes.my.salesforce.com/0014P00003SGWPeQAP" TargetMode="External"/><Relationship Id="rId67" Type="http://schemas.openxmlformats.org/officeDocument/2006/relationships/hyperlink" Target="https://drive.google.com/open?id=1rHserEXsnAhabtHdjOhaKZk33WgqOblD" TargetMode="External"/><Relationship Id="rId700" Type="http://schemas.openxmlformats.org/officeDocument/2006/relationships/hyperlink" Target="https://drive.google.com/open?id=1BlrfQHTbmqa4C4XH0KoP17kROuhqCxWo" TargetMode="External"/><Relationship Id="rId1123" Type="http://schemas.openxmlformats.org/officeDocument/2006/relationships/hyperlink" Target="https://gerandofalcoes.my.salesforce.com/0034P000043fOnc" TargetMode="External"/><Relationship Id="rId1330" Type="http://schemas.openxmlformats.org/officeDocument/2006/relationships/hyperlink" Target="https://gerandofalcoes.my.salesforce.com/0034P00003maBVV" TargetMode="External"/><Relationship Id="rId1428" Type="http://schemas.openxmlformats.org/officeDocument/2006/relationships/hyperlink" Target="https://gerandofalcoes.my.salesforce.com/0034P000045kxk5" TargetMode="External"/><Relationship Id="rId1635" Type="http://schemas.openxmlformats.org/officeDocument/2006/relationships/hyperlink" Target="https://gerandofalcoes.my.salesforce.com/0014P00003AN2FxQAL" TargetMode="External"/><Relationship Id="rId1982" Type="http://schemas.openxmlformats.org/officeDocument/2006/relationships/hyperlink" Target="https://gerandofalcoes.my.salesforce.com/0034X0000380O57" TargetMode="External"/><Relationship Id="rId1842" Type="http://schemas.openxmlformats.org/officeDocument/2006/relationships/hyperlink" Target="https://gerandofalcoes.my.salesforce.com/0034P000043fOo3" TargetMode="External"/><Relationship Id="rId1702" Type="http://schemas.openxmlformats.org/officeDocument/2006/relationships/hyperlink" Target="https://drive.google.com/open?id=1ivcu3DlTo3MRgE5wJUo_yLnaw5Ntu263" TargetMode="External"/><Relationship Id="rId283" Type="http://schemas.openxmlformats.org/officeDocument/2006/relationships/hyperlink" Target="https://gerandofalcoes.my.salesforce.com/0014X00002VKCv9QAH" TargetMode="External"/><Relationship Id="rId490" Type="http://schemas.openxmlformats.org/officeDocument/2006/relationships/hyperlink" Target="https://instagram.com/washington.tadeu.1?utm_medium=copy_link" TargetMode="External"/><Relationship Id="rId2171" Type="http://schemas.openxmlformats.org/officeDocument/2006/relationships/hyperlink" Target="https://gerandofalcoes.my.salesforce.com/0034P000045kxiA" TargetMode="External"/><Relationship Id="rId143" Type="http://schemas.openxmlformats.org/officeDocument/2006/relationships/hyperlink" Target="https://gerandofalcoes.my.salesforce.com/0034X0000380O1X" TargetMode="External"/><Relationship Id="rId350" Type="http://schemas.openxmlformats.org/officeDocument/2006/relationships/hyperlink" Target="https://www.facebook.com/professorgirleno1252/?ref=pages_you_manage" TargetMode="External"/><Relationship Id="rId588" Type="http://schemas.openxmlformats.org/officeDocument/2006/relationships/hyperlink" Target="https://gerandofalcoes.my.salesforce.com/0014X00002VKCt2QAH" TargetMode="External"/><Relationship Id="rId795" Type="http://schemas.openxmlformats.org/officeDocument/2006/relationships/hyperlink" Target="https://gerandofalcoes.my.salesforce.com/0034X0000380O3P" TargetMode="External"/><Relationship Id="rId2031" Type="http://schemas.openxmlformats.org/officeDocument/2006/relationships/hyperlink" Target="https://gerandofalcoes.my.salesforce.com/0034P000045kxkZ" TargetMode="External"/><Relationship Id="rId2269" Type="http://schemas.openxmlformats.org/officeDocument/2006/relationships/hyperlink" Target="https://drive.google.com/open?id=1JX1j7zdYz78QRqW-MRqw8f307d1MX0BT" TargetMode="External"/><Relationship Id="rId9" Type="http://schemas.openxmlformats.org/officeDocument/2006/relationships/hyperlink" Target="https://drive.google.com/open?id=1GGYFJ08MwDfc6GMEX2czdskzObwA4eFb" TargetMode="External"/><Relationship Id="rId210" Type="http://schemas.openxmlformats.org/officeDocument/2006/relationships/hyperlink" Target="https://instagram.com/paulomenndessilva?igshid=YmMyMTA2M2Y=" TargetMode="External"/><Relationship Id="rId448" Type="http://schemas.openxmlformats.org/officeDocument/2006/relationships/hyperlink" Target="https://www.instagram.com/pablytto_28/" TargetMode="External"/><Relationship Id="rId655" Type="http://schemas.openxmlformats.org/officeDocument/2006/relationships/hyperlink" Target="https://www.instagram.com/crismedeirospoa/" TargetMode="External"/><Relationship Id="rId862" Type="http://schemas.openxmlformats.org/officeDocument/2006/relationships/hyperlink" Target="https://gerandofalcoes.my.salesforce.com/0014X00002VKCt1QAH" TargetMode="External"/><Relationship Id="rId1078" Type="http://schemas.openxmlformats.org/officeDocument/2006/relationships/hyperlink" Target="https://gerandofalcoes.my.salesforce.com/0014P00003YSp8KQAT" TargetMode="External"/><Relationship Id="rId1285" Type="http://schemas.openxmlformats.org/officeDocument/2006/relationships/hyperlink" Target="https://drive.google.com/open?id=1ZH678H0YJevNusdsU4QirS0KmALi7kLa" TargetMode="External"/><Relationship Id="rId1492" Type="http://schemas.openxmlformats.org/officeDocument/2006/relationships/hyperlink" Target="https://www.linkedin.com/in/katiana-pena-morais-984186193" TargetMode="External"/><Relationship Id="rId2129" Type="http://schemas.openxmlformats.org/officeDocument/2006/relationships/hyperlink" Target="https://gerandofalcoes.my.salesforce.com/0014P00003AN2GBQA1" TargetMode="External"/><Relationship Id="rId2336" Type="http://schemas.openxmlformats.org/officeDocument/2006/relationships/hyperlink" Target="https://www.linkedin.com/in/iagossantos2/" TargetMode="External"/><Relationship Id="rId308" Type="http://schemas.openxmlformats.org/officeDocument/2006/relationships/hyperlink" Target="https://www.linkedin.com/in/margarida-minervina-da-silva-790661169" TargetMode="External"/><Relationship Id="rId515" Type="http://schemas.openxmlformats.org/officeDocument/2006/relationships/hyperlink" Target="https://www.linkedin.com/in/pedroarocha" TargetMode="External"/><Relationship Id="rId722" Type="http://schemas.openxmlformats.org/officeDocument/2006/relationships/hyperlink" Target="https://www.instagram.com/alexdecampos92/" TargetMode="External"/><Relationship Id="rId1145" Type="http://schemas.openxmlformats.org/officeDocument/2006/relationships/hyperlink" Target="https://gerandofalcoes.my.salesforce.com/0014P00003YSp9XQAT" TargetMode="External"/><Relationship Id="rId1352" Type="http://schemas.openxmlformats.org/officeDocument/2006/relationships/hyperlink" Target="https://drive.google.com/open?id=1q-agZp08I5VaRJ1fzWpFPO5w-O5SGTix" TargetMode="External"/><Relationship Id="rId1797" Type="http://schemas.openxmlformats.org/officeDocument/2006/relationships/hyperlink" Target="https://gerandofalcoes.my.salesforce.com/0034P000045kxiR" TargetMode="External"/><Relationship Id="rId89" Type="http://schemas.openxmlformats.org/officeDocument/2006/relationships/hyperlink" Target="https://gerandofalcoes.my.salesforce.com/0034P000043fOnR" TargetMode="External"/><Relationship Id="rId1005" Type="http://schemas.openxmlformats.org/officeDocument/2006/relationships/hyperlink" Target="https://www.linkedin.com/in/maria-laura-da-costa-coelho" TargetMode="External"/><Relationship Id="rId1212" Type="http://schemas.openxmlformats.org/officeDocument/2006/relationships/hyperlink" Target="https://instagram.com/amandaoliveiravw?utm_medium=copy_link" TargetMode="External"/><Relationship Id="rId1657" Type="http://schemas.openxmlformats.org/officeDocument/2006/relationships/hyperlink" Target="https://gerandofalcoes.my.salesforce.com/0014P00003YSpA3QAL" TargetMode="External"/><Relationship Id="rId1864" Type="http://schemas.openxmlformats.org/officeDocument/2006/relationships/hyperlink" Target="https://instagram.com/marcelasiqueeira?utm_medium=copy_link" TargetMode="External"/><Relationship Id="rId1517" Type="http://schemas.openxmlformats.org/officeDocument/2006/relationships/hyperlink" Target="https://gerandofalcoes.my.salesforce.com/0014P00003AN2GPQA1" TargetMode="External"/><Relationship Id="rId1724" Type="http://schemas.openxmlformats.org/officeDocument/2006/relationships/hyperlink" Target="https://drive.google.com/open?id=1tpqRxDesCZquAPPMJ3quJEmON3JDibP1" TargetMode="External"/><Relationship Id="rId16" Type="http://schemas.openxmlformats.org/officeDocument/2006/relationships/hyperlink" Target="https://gerandofalcoes.my.salesforce.com/0014X00002VKCucQAH" TargetMode="External"/><Relationship Id="rId1931" Type="http://schemas.openxmlformats.org/officeDocument/2006/relationships/hyperlink" Target="https://drive.google.com/open?id=1HkKsm0aumTPHbS1qXz45eyluI7e3m7Yj" TargetMode="External"/><Relationship Id="rId2193" Type="http://schemas.openxmlformats.org/officeDocument/2006/relationships/hyperlink" Target="https://gerandofalcoes.my.salesforce.com/0034X0000380O4J" TargetMode="External"/><Relationship Id="rId165" Type="http://schemas.openxmlformats.org/officeDocument/2006/relationships/hyperlink" Target="https://drive.google.com/open?id=1JKzcJkJTeqEu77Z1EPRvVpIVwSk9emuO" TargetMode="External"/><Relationship Id="rId372" Type="http://schemas.openxmlformats.org/officeDocument/2006/relationships/hyperlink" Target="https://gerandofalcoes.my.salesforce.com/0034X0000380O3y" TargetMode="External"/><Relationship Id="rId677" Type="http://schemas.openxmlformats.org/officeDocument/2006/relationships/hyperlink" Target="https://gerandofalcoes.my.salesforce.com/0014P00003YSp80QAD" TargetMode="External"/><Relationship Id="rId2053" Type="http://schemas.openxmlformats.org/officeDocument/2006/relationships/hyperlink" Target="https://www.instagram.com/gfmsouza/" TargetMode="External"/><Relationship Id="rId2260" Type="http://schemas.openxmlformats.org/officeDocument/2006/relationships/hyperlink" Target="https://drive.google.com/open?id=1AsKibMXjxCA_tuWYLgYgYw67P31MJzwk" TargetMode="External"/><Relationship Id="rId2358" Type="http://schemas.openxmlformats.org/officeDocument/2006/relationships/hyperlink" Target="https://www.instagram.com/tv/CW_cniLJnjj/?utm_medium=copy_link" TargetMode="External"/><Relationship Id="rId232" Type="http://schemas.openxmlformats.org/officeDocument/2006/relationships/hyperlink" Target="https://gerandofalcoes.my.salesforce.com/0014X00002VKCu2QAH" TargetMode="External"/><Relationship Id="rId884" Type="http://schemas.openxmlformats.org/officeDocument/2006/relationships/hyperlink" Target="https://gerandofalcoes.my.salesforce.com/0034X0000315PR5" TargetMode="External"/><Relationship Id="rId2120" Type="http://schemas.openxmlformats.org/officeDocument/2006/relationships/hyperlink" Target="https://gerandofalcoes.my.salesforce.com/0034X0000380O4a" TargetMode="External"/><Relationship Id="rId537" Type="http://schemas.openxmlformats.org/officeDocument/2006/relationships/hyperlink" Target="https://gerandofalcoes.my.salesforce.com/0034X0000380O2L" TargetMode="External"/><Relationship Id="rId744" Type="http://schemas.openxmlformats.org/officeDocument/2006/relationships/hyperlink" Target="https://gerandofalcoes.my.salesforce.com/0034X0000380O4C" TargetMode="External"/><Relationship Id="rId951" Type="http://schemas.openxmlformats.org/officeDocument/2006/relationships/hyperlink" Target="https://gerandofalcoes.my.salesforce.com/0014X00002VKCqzQAH" TargetMode="External"/><Relationship Id="rId1167" Type="http://schemas.openxmlformats.org/officeDocument/2006/relationships/hyperlink" Target="https://gerandofalcoes.my.salesforce.com/0034X0000380O3K" TargetMode="External"/><Relationship Id="rId1374" Type="http://schemas.openxmlformats.org/officeDocument/2006/relationships/hyperlink" Target="https://instagram.com/ma.raquelcabral?igshid=YmMyMTA2M2Y=" TargetMode="External"/><Relationship Id="rId1581" Type="http://schemas.openxmlformats.org/officeDocument/2006/relationships/hyperlink" Target="https://gerandofalcoes.my.salesforce.com/0034X0000380O5o" TargetMode="External"/><Relationship Id="rId1679" Type="http://schemas.openxmlformats.org/officeDocument/2006/relationships/hyperlink" Target="https://drive.google.com/open?id=1NXQ2UZcBcBUoQAEhuz89rUkwkghWJBXS" TargetMode="External"/><Relationship Id="rId2218" Type="http://schemas.openxmlformats.org/officeDocument/2006/relationships/hyperlink" Target="https://gerandofalcoes.my.salesforce.com/0014X00002VKCrDQAX" TargetMode="External"/><Relationship Id="rId80" Type="http://schemas.openxmlformats.org/officeDocument/2006/relationships/hyperlink" Target="https://gerandofalcoes.my.salesforce.com/0014X00002VKCv2QAH" TargetMode="External"/><Relationship Id="rId604" Type="http://schemas.openxmlformats.org/officeDocument/2006/relationships/hyperlink" Target="https://www.instagram.com/georgemarconisousa/" TargetMode="External"/><Relationship Id="rId811" Type="http://schemas.openxmlformats.org/officeDocument/2006/relationships/hyperlink" Target="https://drive.google.com/open?id=1mQcVqUlIlHD0mTp3BVZ00LRVRMMjJdQ3" TargetMode="External"/><Relationship Id="rId1027" Type="http://schemas.openxmlformats.org/officeDocument/2006/relationships/hyperlink" Target="https://gerandofalcoes.my.salesforce.com/0034P000045kxje" TargetMode="External"/><Relationship Id="rId1234" Type="http://schemas.openxmlformats.org/officeDocument/2006/relationships/hyperlink" Target="https://gerandofalcoes.my.salesforce.com/0014P00003YSp7uQAD" TargetMode="External"/><Relationship Id="rId1441" Type="http://schemas.openxmlformats.org/officeDocument/2006/relationships/hyperlink" Target="https://drive.google.com/open?id=1geGnNoeXC6rPFvARIRkb6yEE_z2Vkmti" TargetMode="External"/><Relationship Id="rId1886" Type="http://schemas.openxmlformats.org/officeDocument/2006/relationships/hyperlink" Target="https://drive.google.com/open?id=1Wk4VMVGXbvnh2_DC_ZcdHASXIERgcHx4" TargetMode="External"/><Relationship Id="rId909" Type="http://schemas.openxmlformats.org/officeDocument/2006/relationships/hyperlink" Target="https://instagram.com/leopoldo_matiass" TargetMode="External"/><Relationship Id="rId1301" Type="http://schemas.openxmlformats.org/officeDocument/2006/relationships/hyperlink" Target="https://drive.google.com/open?id=1cXF_Nq_oxUqIxORGcpK3B7r5HZZ3ZcN5" TargetMode="External"/><Relationship Id="rId1539" Type="http://schemas.openxmlformats.org/officeDocument/2006/relationships/hyperlink" Target="https://gerandofalcoes.my.salesforce.com/0034X0000380O2d" TargetMode="External"/><Relationship Id="rId1746" Type="http://schemas.openxmlformats.org/officeDocument/2006/relationships/hyperlink" Target="https://drive.google.com/open?id=1W1lbUSwcJ_6XMzLP1lRRITqh7ihX7Kcr" TargetMode="External"/><Relationship Id="rId1953" Type="http://schemas.openxmlformats.org/officeDocument/2006/relationships/hyperlink" Target="https://www.instagram.com/kamalartistapotiguar/" TargetMode="External"/><Relationship Id="rId38" Type="http://schemas.openxmlformats.org/officeDocument/2006/relationships/hyperlink" Target="http://linkedin.com/in/virginia-porto-leles-b5396429" TargetMode="External"/><Relationship Id="rId1606" Type="http://schemas.openxmlformats.org/officeDocument/2006/relationships/hyperlink" Target="https://www.instagram.com/wellton_brito/?hl=pt-br" TargetMode="External"/><Relationship Id="rId1813" Type="http://schemas.openxmlformats.org/officeDocument/2006/relationships/hyperlink" Target="https://drive.google.com/open?id=1C-mYkiCXLYAyKMWJ2tWkQHSvO_GzLGX7" TargetMode="External"/><Relationship Id="rId187" Type="http://schemas.openxmlformats.org/officeDocument/2006/relationships/hyperlink" Target="https://gerandofalcoes.my.salesforce.com/0014X00002VKCqZQAX" TargetMode="External"/><Relationship Id="rId394" Type="http://schemas.openxmlformats.org/officeDocument/2006/relationships/hyperlink" Target="https://gerandofalcoes.my.salesforce.com/0034P00003maBVm" TargetMode="External"/><Relationship Id="rId2075" Type="http://schemas.openxmlformats.org/officeDocument/2006/relationships/hyperlink" Target="https://www.linkedin.com/in/alcinesio-santana-filho-3b8711112/" TargetMode="External"/><Relationship Id="rId2282" Type="http://schemas.openxmlformats.org/officeDocument/2006/relationships/hyperlink" Target="https://gerandofalcoes.my.salesforce.com/0034X0000380O4B" TargetMode="External"/><Relationship Id="rId254" Type="http://schemas.openxmlformats.org/officeDocument/2006/relationships/hyperlink" Target="https://drive.google.com/open?id=10ctxV8nMn9fVaTyawjHOr35WgafNvNJD" TargetMode="External"/><Relationship Id="rId699" Type="http://schemas.openxmlformats.org/officeDocument/2006/relationships/hyperlink" Target="https://instagram.com/andrechatubamma?utm_medium=copy_link" TargetMode="External"/><Relationship Id="rId1091" Type="http://schemas.openxmlformats.org/officeDocument/2006/relationships/hyperlink" Target="https://gerandofalcoes.my.salesforce.com/0034X0000380O0t" TargetMode="External"/><Relationship Id="rId114" Type="http://schemas.openxmlformats.org/officeDocument/2006/relationships/hyperlink" Target="https://gerandofalcoes.my.salesforce.com/0034X0000380O6P" TargetMode="External"/><Relationship Id="rId461" Type="http://schemas.openxmlformats.org/officeDocument/2006/relationships/hyperlink" Target="https://www.linkedin.com/in/nilton-sales-s%C3%A1vio-876357172/" TargetMode="External"/><Relationship Id="rId559" Type="http://schemas.openxmlformats.org/officeDocument/2006/relationships/hyperlink" Target="https://www.linkedin.com/in/thiago-alves-a20278219/" TargetMode="External"/><Relationship Id="rId766" Type="http://schemas.openxmlformats.org/officeDocument/2006/relationships/hyperlink" Target="https://drive.google.com/open?id=1NMoH-HaLbSlankgw1qpkiKWHG4h1b63U" TargetMode="External"/><Relationship Id="rId1189" Type="http://schemas.openxmlformats.org/officeDocument/2006/relationships/hyperlink" Target="https://drive.google.com/open?id=1kHOJza-pShgYhPJVrQCFpf0zSdCllfSP" TargetMode="External"/><Relationship Id="rId1396" Type="http://schemas.openxmlformats.org/officeDocument/2006/relationships/hyperlink" Target="https://drive.google.com/open?id=1zcknCxc03z_TIXMQQX0ezbsILS9ev3RC" TargetMode="External"/><Relationship Id="rId2142" Type="http://schemas.openxmlformats.org/officeDocument/2006/relationships/hyperlink" Target="https://gerandofalcoes.my.salesforce.com/0014X00002VKCuYQAX" TargetMode="External"/><Relationship Id="rId321" Type="http://schemas.openxmlformats.org/officeDocument/2006/relationships/hyperlink" Target="https://gerandofalcoes.my.salesforce.com/0014X00002VKCsoQAH" TargetMode="External"/><Relationship Id="rId419" Type="http://schemas.openxmlformats.org/officeDocument/2006/relationships/hyperlink" Target="https://www.instagram.com/teodoromestre/" TargetMode="External"/><Relationship Id="rId626" Type="http://schemas.openxmlformats.org/officeDocument/2006/relationships/hyperlink" Target="https://gerandofalcoes.my.salesforce.com/0034X0000380O0p" TargetMode="External"/><Relationship Id="rId973" Type="http://schemas.openxmlformats.org/officeDocument/2006/relationships/hyperlink" Target="https://drive.google.com/open?id=1OGkEOsC_2v9Hhk5tdonIKLlV4iG6tvlX" TargetMode="External"/><Relationship Id="rId1049" Type="http://schemas.openxmlformats.org/officeDocument/2006/relationships/hyperlink" Target="https://instagram.com/renators30?igshid=YmMyMTA2M2Y=" TargetMode="External"/><Relationship Id="rId1256" Type="http://schemas.openxmlformats.org/officeDocument/2006/relationships/hyperlink" Target="https://gerandofalcoes.my.salesforce.com/0034X0000380O0i" TargetMode="External"/><Relationship Id="rId2002" Type="http://schemas.openxmlformats.org/officeDocument/2006/relationships/hyperlink" Target="https://gerandofalcoes.my.salesforce.com/0034P00003maBVK" TargetMode="External"/><Relationship Id="rId2307" Type="http://schemas.openxmlformats.org/officeDocument/2006/relationships/hyperlink" Target="https://gerandofalcoes.my.salesforce.com/0014X00002VKCuEQAX" TargetMode="External"/><Relationship Id="rId833" Type="http://schemas.openxmlformats.org/officeDocument/2006/relationships/hyperlink" Target="https://gerandofalcoes.my.salesforce.com/0014P00003YSp8NQAT" TargetMode="External"/><Relationship Id="rId1116" Type="http://schemas.openxmlformats.org/officeDocument/2006/relationships/hyperlink" Target="https://gerandofalcoes.my.salesforce.com/0034X0000380O3h" TargetMode="External"/><Relationship Id="rId1463" Type="http://schemas.openxmlformats.org/officeDocument/2006/relationships/hyperlink" Target="https://gerandofalcoes.my.salesforce.com/0014P00003SGWPzQAP" TargetMode="External"/><Relationship Id="rId1670" Type="http://schemas.openxmlformats.org/officeDocument/2006/relationships/hyperlink" Target="https://gerandofalcoes.my.salesforce.com/0034X0000380O29" TargetMode="External"/><Relationship Id="rId1768" Type="http://schemas.openxmlformats.org/officeDocument/2006/relationships/hyperlink" Target="https://instagram.com/patymaiav?utm_medium=copy_link" TargetMode="External"/><Relationship Id="rId900" Type="http://schemas.openxmlformats.org/officeDocument/2006/relationships/hyperlink" Target="https://www.linkedin.com/in/meirivania-s%C3%A1-correia-54159b1b7/" TargetMode="External"/><Relationship Id="rId1323" Type="http://schemas.openxmlformats.org/officeDocument/2006/relationships/hyperlink" Target="https://instagram.com/negrao.anderson?r=nametag" TargetMode="External"/><Relationship Id="rId1530" Type="http://schemas.openxmlformats.org/officeDocument/2006/relationships/hyperlink" Target="https://gerandofalcoes.my.salesforce.com/0034P000043fOnx" TargetMode="External"/><Relationship Id="rId1628" Type="http://schemas.openxmlformats.org/officeDocument/2006/relationships/hyperlink" Target="https://gerandofalcoes.my.salesforce.com/0034P000045kxjD" TargetMode="External"/><Relationship Id="rId1975" Type="http://schemas.openxmlformats.org/officeDocument/2006/relationships/hyperlink" Target="https://drive.google.com/open?id=11jM0D2-eDqegvOr3aUAzIJCtI5f2t2zq" TargetMode="External"/><Relationship Id="rId1835" Type="http://schemas.openxmlformats.org/officeDocument/2006/relationships/hyperlink" Target="https://www.linkedin.com/in/caiocuadrado" TargetMode="External"/><Relationship Id="rId1902" Type="http://schemas.openxmlformats.org/officeDocument/2006/relationships/hyperlink" Target="https://gerandofalcoes.my.salesforce.com/0014P00003SGWFtQAP" TargetMode="External"/><Relationship Id="rId2097" Type="http://schemas.openxmlformats.org/officeDocument/2006/relationships/hyperlink" Target="https://drive.google.com/open?id=14d4q5zPEwsp1mxuQ2iu1mYadHMbnDv9X" TargetMode="External"/><Relationship Id="rId276" Type="http://schemas.openxmlformats.org/officeDocument/2006/relationships/hyperlink" Target="https://gerandofalcoes.my.salesforce.com/0034X0000315PQx" TargetMode="External"/><Relationship Id="rId483" Type="http://schemas.openxmlformats.org/officeDocument/2006/relationships/hyperlink" Target="https://drive.google.com/open?id=1QEjlMADsuWE6DtKaz5gbbpdtDrTR18Yk" TargetMode="External"/><Relationship Id="rId690" Type="http://schemas.openxmlformats.org/officeDocument/2006/relationships/hyperlink" Target="https://gerandofalcoes.my.salesforce.com/0034X0000380O5b" TargetMode="External"/><Relationship Id="rId2164" Type="http://schemas.openxmlformats.org/officeDocument/2006/relationships/hyperlink" Target="https://gerandofalcoes.my.salesforce.com/0014X00002VKCsjQAH" TargetMode="External"/><Relationship Id="rId2371" Type="http://schemas.openxmlformats.org/officeDocument/2006/relationships/hyperlink" Target="https://gerandofalcoes.my.salesforce.com/0034P00003maBVk" TargetMode="External"/><Relationship Id="rId136" Type="http://schemas.openxmlformats.org/officeDocument/2006/relationships/hyperlink" Target="https://gerandofalcoes.my.salesforce.com/0034P000045kxkh" TargetMode="External"/><Relationship Id="rId343" Type="http://schemas.openxmlformats.org/officeDocument/2006/relationships/hyperlink" Target="https://instagram.com/arur.uberlandia?utm_medium=copy_link" TargetMode="External"/><Relationship Id="rId550" Type="http://schemas.openxmlformats.org/officeDocument/2006/relationships/hyperlink" Target="https://gerandofalcoes.my.salesforce.com/0034X000037xhcq" TargetMode="External"/><Relationship Id="rId788" Type="http://schemas.openxmlformats.org/officeDocument/2006/relationships/hyperlink" Target="https://drive.google.com/open?id=1_DeuH8b_5YLJ0RegHqFyg1qrLNAygTBT" TargetMode="External"/><Relationship Id="rId995" Type="http://schemas.openxmlformats.org/officeDocument/2006/relationships/hyperlink" Target="https://gerandofalcoes.my.salesforce.com/0034X0000380O4M" TargetMode="External"/><Relationship Id="rId1180" Type="http://schemas.openxmlformats.org/officeDocument/2006/relationships/hyperlink" Target="https://drive.google.com/open?id=1NaqmSUJToXATbOubX9BhwaQha-rH2Hp5" TargetMode="External"/><Relationship Id="rId2024" Type="http://schemas.openxmlformats.org/officeDocument/2006/relationships/hyperlink" Target="https://gerandofalcoes.my.salesforce.com/0034P000043fOoF" TargetMode="External"/><Relationship Id="rId2231" Type="http://schemas.openxmlformats.org/officeDocument/2006/relationships/hyperlink" Target="https://www.linkedin.com/mwlite/in/paula-mesquita-590468127" TargetMode="External"/><Relationship Id="rId203" Type="http://schemas.openxmlformats.org/officeDocument/2006/relationships/hyperlink" Target="https://drive.google.com/open?id=1WRxtyLgynDfR3A3pp3GuqarNaGfwgt-8" TargetMode="External"/><Relationship Id="rId648" Type="http://schemas.openxmlformats.org/officeDocument/2006/relationships/hyperlink" Target="https://drive.google.com/open?id=1-8hsmZHCCDQsyBGm3_P4SccI4B8TZnRd" TargetMode="External"/><Relationship Id="rId855" Type="http://schemas.openxmlformats.org/officeDocument/2006/relationships/hyperlink" Target="https://gerandofalcoes.my.salesforce.com/0034X0000380O24" TargetMode="External"/><Relationship Id="rId1040" Type="http://schemas.openxmlformats.org/officeDocument/2006/relationships/hyperlink" Target="https://drive.google.com/open?id=1VOuzwniU_as2i_QKJJe44rk9EDy8WEju" TargetMode="External"/><Relationship Id="rId1278" Type="http://schemas.openxmlformats.org/officeDocument/2006/relationships/hyperlink" Target="https://gerandofalcoes.my.salesforce.com/0014X00002VKCr1QAH" TargetMode="External"/><Relationship Id="rId1485" Type="http://schemas.openxmlformats.org/officeDocument/2006/relationships/hyperlink" Target="https://drive.google.com/open?id=1t57QA4dYLiKrek4AdN5j43w-Ua1fUxQL" TargetMode="External"/><Relationship Id="rId1692" Type="http://schemas.openxmlformats.org/officeDocument/2006/relationships/hyperlink" Target="https://drive.google.com/open?id=1YNMnDI12WC3suyEOjoKnvKgQyU5LnFbG" TargetMode="External"/><Relationship Id="rId2329" Type="http://schemas.openxmlformats.org/officeDocument/2006/relationships/hyperlink" Target="https://gerandofalcoes.my.salesforce.com/0014X00002VKCs2QAH" TargetMode="External"/><Relationship Id="rId410" Type="http://schemas.openxmlformats.org/officeDocument/2006/relationships/hyperlink" Target="http://www.linkedin.com/mararibeirosocial.rj" TargetMode="External"/><Relationship Id="rId508" Type="http://schemas.openxmlformats.org/officeDocument/2006/relationships/hyperlink" Target="https://drive.google.com/open?id=1aKqIxDIHExO-Xo3Ztcl1MaOv2TWR08Qg" TargetMode="External"/><Relationship Id="rId715" Type="http://schemas.openxmlformats.org/officeDocument/2006/relationships/hyperlink" Target="https://drive.google.com/open?id=1NyUIxCN_EMn57ez92pNa5zYn9zFdFnOJ" TargetMode="External"/><Relationship Id="rId922" Type="http://schemas.openxmlformats.org/officeDocument/2006/relationships/hyperlink" Target="https://www.instagram.com/seabrapantoja/" TargetMode="External"/><Relationship Id="rId1138" Type="http://schemas.openxmlformats.org/officeDocument/2006/relationships/hyperlink" Target="https://gerandofalcoes.my.salesforce.com/0034P000045kxk4" TargetMode="External"/><Relationship Id="rId1345" Type="http://schemas.openxmlformats.org/officeDocument/2006/relationships/hyperlink" Target="https://drive.google.com/open?id=19q4jDxBhv5lSMysDKMnqKn4pad3AEp5A" TargetMode="External"/><Relationship Id="rId1552" Type="http://schemas.openxmlformats.org/officeDocument/2006/relationships/hyperlink" Target="https://drive.google.com/open?id=1V9JVxVG5jUuQCduiHSJn8HBovL8fa-26" TargetMode="External"/><Relationship Id="rId1997" Type="http://schemas.openxmlformats.org/officeDocument/2006/relationships/hyperlink" Target="https://gerandofalcoes.my.salesforce.com/0014X00002VKCqBQAX" TargetMode="External"/><Relationship Id="rId1205" Type="http://schemas.openxmlformats.org/officeDocument/2006/relationships/hyperlink" Target="https://gerandofalcoes.my.salesforce.com/0034P00003maBV9" TargetMode="External"/><Relationship Id="rId1857" Type="http://schemas.openxmlformats.org/officeDocument/2006/relationships/hyperlink" Target="https://drive.google.com/open?id=1loJJUyGsE_giTAc2AGPLlRyMdQD6ucbs" TargetMode="External"/><Relationship Id="rId51" Type="http://schemas.openxmlformats.org/officeDocument/2006/relationships/hyperlink" Target="https://drive.google.com/open?id=1r1Y5LGZIy7sF3W48UJij1M-d6K9CLeJ4" TargetMode="External"/><Relationship Id="rId1412" Type="http://schemas.openxmlformats.org/officeDocument/2006/relationships/hyperlink" Target="https://www.instagram.com/futsal_sem_drogas/?hl=pt-br" TargetMode="External"/><Relationship Id="rId1717" Type="http://schemas.openxmlformats.org/officeDocument/2006/relationships/hyperlink" Target="https://gerandofalcoes.my.salesforce.com/0014X00002VKCqbQAH" TargetMode="External"/><Relationship Id="rId1924" Type="http://schemas.openxmlformats.org/officeDocument/2006/relationships/hyperlink" Target="https://gerandofalcoes.my.salesforce.com/0034P000043fOni" TargetMode="External"/><Relationship Id="rId298" Type="http://schemas.openxmlformats.org/officeDocument/2006/relationships/hyperlink" Target="https://www.linkedin.com/in/jaqueline-ribeiro-5265751ab" TargetMode="External"/><Relationship Id="rId158" Type="http://schemas.openxmlformats.org/officeDocument/2006/relationships/hyperlink" Target="https://www.linkedin.com/in/flavia-goncalves-983320199/" TargetMode="External"/><Relationship Id="rId2186" Type="http://schemas.openxmlformats.org/officeDocument/2006/relationships/hyperlink" Target="https://drive.google.com/open?id=14lAcDOp8D9ZBiB2_Ko9Y99pH9wKQte0r" TargetMode="External"/><Relationship Id="rId2393" Type="http://schemas.openxmlformats.org/officeDocument/2006/relationships/hyperlink" Target="https://gerandofalcoes.my.salesforce.com/0034X0000380O1v" TargetMode="External"/><Relationship Id="rId365" Type="http://schemas.openxmlformats.org/officeDocument/2006/relationships/hyperlink" Target="https://www.linkedin.com/in/graziella-porfirio-263b68190/" TargetMode="External"/><Relationship Id="rId572" Type="http://schemas.openxmlformats.org/officeDocument/2006/relationships/hyperlink" Target="https://www.linkedin.com/in/thiago-otero-100604203/" TargetMode="External"/><Relationship Id="rId2046" Type="http://schemas.openxmlformats.org/officeDocument/2006/relationships/hyperlink" Target="https://gerandofalcoes.my.salesforce.com/0034X0000380O3X" TargetMode="External"/><Relationship Id="rId2253" Type="http://schemas.openxmlformats.org/officeDocument/2006/relationships/hyperlink" Target="https://gerandofalcoes.my.salesforce.com/0014P00003AN2G0QAL" TargetMode="External"/><Relationship Id="rId225" Type="http://schemas.openxmlformats.org/officeDocument/2006/relationships/hyperlink" Target="https://www.instagram.com/tuany_nascimentoo/" TargetMode="External"/><Relationship Id="rId432" Type="http://schemas.openxmlformats.org/officeDocument/2006/relationships/hyperlink" Target="https://drive.google.com/open?id=1CFZ13sshI8_sczLZpd7M7iM8WVUxmUy8" TargetMode="External"/><Relationship Id="rId877" Type="http://schemas.openxmlformats.org/officeDocument/2006/relationships/hyperlink" Target="https://gerandofalcoes.my.salesforce.com/0034P000043fOo4" TargetMode="External"/><Relationship Id="rId1062" Type="http://schemas.openxmlformats.org/officeDocument/2006/relationships/hyperlink" Target="https://gerandofalcoes.my.salesforce.com/0034X0000380O5c" TargetMode="External"/><Relationship Id="rId2113" Type="http://schemas.openxmlformats.org/officeDocument/2006/relationships/hyperlink" Target="https://www.instagram.com/projeto.flordelotus/" TargetMode="External"/><Relationship Id="rId2320" Type="http://schemas.openxmlformats.org/officeDocument/2006/relationships/hyperlink" Target="https://gerandofalcoes.my.salesforce.com/0014X00002VKCshQAH" TargetMode="External"/><Relationship Id="rId737" Type="http://schemas.openxmlformats.org/officeDocument/2006/relationships/hyperlink" Target="https://drive.google.com/open?id=1Uz0kNTO4gYqQ5xDsg87M2rxEFgS8BmiX" TargetMode="External"/><Relationship Id="rId944" Type="http://schemas.openxmlformats.org/officeDocument/2006/relationships/hyperlink" Target="https://gerandofalcoes.my.salesforce.com/0014P00003YSp7WQAT" TargetMode="External"/><Relationship Id="rId1367" Type="http://schemas.openxmlformats.org/officeDocument/2006/relationships/hyperlink" Target="https://gerandofalcoes.my.salesforce.com/0014P00003SGWQDQA5" TargetMode="External"/><Relationship Id="rId1574" Type="http://schemas.openxmlformats.org/officeDocument/2006/relationships/hyperlink" Target="https://gerandofalcoes.my.salesforce.com/0034P000045kxjW" TargetMode="External"/><Relationship Id="rId1781" Type="http://schemas.openxmlformats.org/officeDocument/2006/relationships/hyperlink" Target="https://www.linkedin.com/in/per-marisa-limaoficial" TargetMode="External"/><Relationship Id="rId73" Type="http://schemas.openxmlformats.org/officeDocument/2006/relationships/hyperlink" Target="https://gerandofalcoes.my.salesforce.com/0034P000045kxjT" TargetMode="External"/><Relationship Id="rId804" Type="http://schemas.openxmlformats.org/officeDocument/2006/relationships/hyperlink" Target="http://linkedin.com/in/saimon-dias-946881178" TargetMode="External"/><Relationship Id="rId1227" Type="http://schemas.openxmlformats.org/officeDocument/2006/relationships/hyperlink" Target="https://instagram.com/_lucyenecosta?utm_medium=copy_link" TargetMode="External"/><Relationship Id="rId1434" Type="http://schemas.openxmlformats.org/officeDocument/2006/relationships/hyperlink" Target="https://gerandofalcoes.my.salesforce.com/0014P00003AN2FVQA1" TargetMode="External"/><Relationship Id="rId1641" Type="http://schemas.openxmlformats.org/officeDocument/2006/relationships/hyperlink" Target="https://gerandofalcoes.my.salesforce.com/0034X0000380O1f" TargetMode="External"/><Relationship Id="rId1879" Type="http://schemas.openxmlformats.org/officeDocument/2006/relationships/hyperlink" Target="https://gerandofalcoes.my.salesforce.com/0034X0000380O4P" TargetMode="External"/><Relationship Id="rId1501" Type="http://schemas.openxmlformats.org/officeDocument/2006/relationships/hyperlink" Target="https://gerandofalcoes.my.salesforce.com/0034X0000380O3o" TargetMode="External"/><Relationship Id="rId1739" Type="http://schemas.openxmlformats.org/officeDocument/2006/relationships/hyperlink" Target="https://gerandofalcoes.my.salesforce.com/0034X0000380O5W" TargetMode="External"/><Relationship Id="rId1946" Type="http://schemas.openxmlformats.org/officeDocument/2006/relationships/hyperlink" Target="https://www.instagram.com/djalmanunes_/" TargetMode="External"/><Relationship Id="rId1806" Type="http://schemas.openxmlformats.org/officeDocument/2006/relationships/hyperlink" Target="https://gerandofalcoes.my.salesforce.com/0014P00003YSp8mQAD" TargetMode="External"/><Relationship Id="rId387" Type="http://schemas.openxmlformats.org/officeDocument/2006/relationships/hyperlink" Target="https://drive.google.com/open?id=1Iu738Axk0nHFBsolrozWt-jg78cfgSSG" TargetMode="External"/><Relationship Id="rId594" Type="http://schemas.openxmlformats.org/officeDocument/2006/relationships/hyperlink" Target="https://gerandofalcoes.my.salesforce.com/0034X0000380O3L" TargetMode="External"/><Relationship Id="rId2068" Type="http://schemas.openxmlformats.org/officeDocument/2006/relationships/hyperlink" Target="https://gerandofalcoes.my.salesforce.com/0014X00002VKCuSQAX" TargetMode="External"/><Relationship Id="rId2275" Type="http://schemas.openxmlformats.org/officeDocument/2006/relationships/hyperlink" Target="https://gerandofalcoes.my.salesforce.com/0034P00003maBV7" TargetMode="External"/><Relationship Id="rId247" Type="http://schemas.openxmlformats.org/officeDocument/2006/relationships/hyperlink" Target="https://drive.google.com/open?id=1N3nXPknJi3xNo9nvSfxyRzzl8__J5j6K" TargetMode="External"/><Relationship Id="rId899" Type="http://schemas.openxmlformats.org/officeDocument/2006/relationships/hyperlink" Target="https://gerandofalcoes.my.salesforce.com/0034X0000380O1s" TargetMode="External"/><Relationship Id="rId1084" Type="http://schemas.openxmlformats.org/officeDocument/2006/relationships/hyperlink" Target="https://instagram.com/elainecmmarcondes?utm_medium=copy_link" TargetMode="External"/><Relationship Id="rId107" Type="http://schemas.openxmlformats.org/officeDocument/2006/relationships/hyperlink" Target="https://gerandofalcoes.my.salesforce.com/0034X0000380O2q" TargetMode="External"/><Relationship Id="rId454" Type="http://schemas.openxmlformats.org/officeDocument/2006/relationships/hyperlink" Target="https://www.instagram.com/rafaels085/" TargetMode="External"/><Relationship Id="rId661" Type="http://schemas.openxmlformats.org/officeDocument/2006/relationships/hyperlink" Target="https://gerandofalcoes.my.salesforce.com/0014P00003YSp7XQAT" TargetMode="External"/><Relationship Id="rId759" Type="http://schemas.openxmlformats.org/officeDocument/2006/relationships/hyperlink" Target="http://linkedin.com/in/leila-campos-62485822" TargetMode="External"/><Relationship Id="rId966" Type="http://schemas.openxmlformats.org/officeDocument/2006/relationships/hyperlink" Target="https://gerandofalcoes.my.salesforce.com/0034P000045kxkJ" TargetMode="External"/><Relationship Id="rId1291" Type="http://schemas.openxmlformats.org/officeDocument/2006/relationships/hyperlink" Target="https://gerandofalcoes.my.salesforce.com/0014X00002VKCp2QAH" TargetMode="External"/><Relationship Id="rId1389" Type="http://schemas.openxmlformats.org/officeDocument/2006/relationships/hyperlink" Target="https://gerandofalcoes.my.salesforce.com/0014P00003YSp7vQAD" TargetMode="External"/><Relationship Id="rId1596" Type="http://schemas.openxmlformats.org/officeDocument/2006/relationships/hyperlink" Target="https://drive.google.com/open?id=1WRIlpync4wfmuYPaJmDS6NpQvSbSRTG6" TargetMode="External"/><Relationship Id="rId2135" Type="http://schemas.openxmlformats.org/officeDocument/2006/relationships/hyperlink" Target="https://drive.google.com/open?id=1eFigh2xLItmVcciIouJGq0Jd_ywTEubS" TargetMode="External"/><Relationship Id="rId2342" Type="http://schemas.openxmlformats.org/officeDocument/2006/relationships/hyperlink" Target="https://instagram.com/jandersson_rocha?utm_medium=copy_link" TargetMode="External"/><Relationship Id="rId314" Type="http://schemas.openxmlformats.org/officeDocument/2006/relationships/hyperlink" Target="https://drive.google.com/open?id=1UEfAJhTvSofIwvU0ljef0BsUyWDyn5vo" TargetMode="External"/><Relationship Id="rId521" Type="http://schemas.openxmlformats.org/officeDocument/2006/relationships/hyperlink" Target="https://gerandofalcoes.my.salesforce.com/0034P00003maBVP" TargetMode="External"/><Relationship Id="rId619" Type="http://schemas.openxmlformats.org/officeDocument/2006/relationships/hyperlink" Target="https://www.instagram.com/lesliescarpelli/" TargetMode="External"/><Relationship Id="rId1151" Type="http://schemas.openxmlformats.org/officeDocument/2006/relationships/hyperlink" Target="https://gerandofalcoes.my.salesforce.com/0034P000045kxkv" TargetMode="External"/><Relationship Id="rId1249" Type="http://schemas.openxmlformats.org/officeDocument/2006/relationships/hyperlink" Target="https://gerandofalcoes.my.salesforce.com/0034X0000380O3Y" TargetMode="External"/><Relationship Id="rId2202" Type="http://schemas.openxmlformats.org/officeDocument/2006/relationships/hyperlink" Target="https://gerandofalcoes.my.salesforce.com/0014X00002VKCroQAH" TargetMode="External"/><Relationship Id="rId95" Type="http://schemas.openxmlformats.org/officeDocument/2006/relationships/hyperlink" Target="https://drive.google.com/open?id=14-QzNOLcw3_qC3PNnnXpvMD14rNBiiIT" TargetMode="External"/><Relationship Id="rId826" Type="http://schemas.openxmlformats.org/officeDocument/2006/relationships/hyperlink" Target="https://gerandofalcoes.my.salesforce.com/0014X00002VKCrtQAH" TargetMode="External"/><Relationship Id="rId1011" Type="http://schemas.openxmlformats.org/officeDocument/2006/relationships/hyperlink" Target="https://drive.google.com/open?id=1W4v3kidhiYPXUns4-PB8GBCUW47-9Gv6" TargetMode="External"/><Relationship Id="rId1109" Type="http://schemas.openxmlformats.org/officeDocument/2006/relationships/hyperlink" Target="https://www.instagram.com/narlizecf34/" TargetMode="External"/><Relationship Id="rId1456" Type="http://schemas.openxmlformats.org/officeDocument/2006/relationships/hyperlink" Target="https://www.instagram.com/p/CRHw61GH1gO/?utm_medium=copy_link" TargetMode="External"/><Relationship Id="rId1663" Type="http://schemas.openxmlformats.org/officeDocument/2006/relationships/hyperlink" Target="https://instagram.com/institutorosareviver?utm_medium=copy_link." TargetMode="External"/><Relationship Id="rId1870" Type="http://schemas.openxmlformats.org/officeDocument/2006/relationships/hyperlink" Target="https://gerandofalcoes.my.salesforce.com/0014P00003YSp9zQAD" TargetMode="External"/><Relationship Id="rId1968" Type="http://schemas.openxmlformats.org/officeDocument/2006/relationships/hyperlink" Target="https://gerandofalcoes.my.salesforce.com/0014P00003SGWQ3QAP" TargetMode="External"/><Relationship Id="rId1316" Type="http://schemas.openxmlformats.org/officeDocument/2006/relationships/hyperlink" Target="https://www.instagram.com/gleysonanderson23/" TargetMode="External"/><Relationship Id="rId1523" Type="http://schemas.openxmlformats.org/officeDocument/2006/relationships/hyperlink" Target="https://instagram.com/rneuzaribeiro?utm_medium=copy_link" TargetMode="External"/><Relationship Id="rId1730" Type="http://schemas.openxmlformats.org/officeDocument/2006/relationships/hyperlink" Target="https://gerandofalcoes.my.salesforce.com/0014P00003ESKdlQAH" TargetMode="External"/><Relationship Id="rId22" Type="http://schemas.openxmlformats.org/officeDocument/2006/relationships/hyperlink" Target="https://drive.google.com/open?id=1D3FMm5EPMy9xxomtp0Q5GT3_QKiB4PC3" TargetMode="External"/><Relationship Id="rId1828" Type="http://schemas.openxmlformats.org/officeDocument/2006/relationships/hyperlink" Target="https://instagram.com/anafelix2019?utm_medium=copy_link" TargetMode="External"/><Relationship Id="rId171" Type="http://schemas.openxmlformats.org/officeDocument/2006/relationships/hyperlink" Target="https://gerandofalcoes.my.salesforce.com/0034P000045kxi5" TargetMode="External"/><Relationship Id="rId2297" Type="http://schemas.openxmlformats.org/officeDocument/2006/relationships/hyperlink" Target="https://gerandofalcoes.my.salesforce.com/0014X00002VKCtxQAH" TargetMode="External"/><Relationship Id="rId269" Type="http://schemas.openxmlformats.org/officeDocument/2006/relationships/hyperlink" Target="https://www.instagram.com/p/CQXSEKlHgIM/?utm_medium=copy_link" TargetMode="External"/><Relationship Id="rId476" Type="http://schemas.openxmlformats.org/officeDocument/2006/relationships/hyperlink" Target="https://instagram.com/derineudo?igshid=YmMyMTA2M2Y=" TargetMode="External"/><Relationship Id="rId683" Type="http://schemas.openxmlformats.org/officeDocument/2006/relationships/hyperlink" Target="https://drive.google.com/open?id=1oFyiFHrnYyo0eINwARHqXDYr84KNhtR8" TargetMode="External"/><Relationship Id="rId890" Type="http://schemas.openxmlformats.org/officeDocument/2006/relationships/hyperlink" Target="https://drive.google.com/open?id=1amuHR4WwW8X01en8zblNGrBzpzCUyuQh" TargetMode="External"/><Relationship Id="rId2157" Type="http://schemas.openxmlformats.org/officeDocument/2006/relationships/hyperlink" Target="https://gerandofalcoes.my.salesforce.com/0014X00002VKCtMQAX" TargetMode="External"/><Relationship Id="rId2364" Type="http://schemas.openxmlformats.org/officeDocument/2006/relationships/hyperlink" Target="https://gerandofalcoes.my.salesforce.com/0014P00003YSpA6QAL" TargetMode="External"/><Relationship Id="rId129" Type="http://schemas.openxmlformats.org/officeDocument/2006/relationships/hyperlink" Target="https://drive.google.com/open?id=1fBPm0GzJ9e-Qz-t0nTTt1g9arZiDDEsP" TargetMode="External"/><Relationship Id="rId336" Type="http://schemas.openxmlformats.org/officeDocument/2006/relationships/hyperlink" Target="https://drive.google.com/open?id=1C6ewJpuHyQUU-kJqMvL2-fOTMl9fp52d" TargetMode="External"/><Relationship Id="rId543" Type="http://schemas.openxmlformats.org/officeDocument/2006/relationships/hyperlink" Target="https://drive.google.com/open?id=15CiDDWKxQs0xbQ9ENJ13_Gr6Y78YXFgB" TargetMode="External"/><Relationship Id="rId988" Type="http://schemas.openxmlformats.org/officeDocument/2006/relationships/hyperlink" Target="https://gerandofalcoes.my.salesforce.com/0034X0000380O6d" TargetMode="External"/><Relationship Id="rId1173" Type="http://schemas.openxmlformats.org/officeDocument/2006/relationships/hyperlink" Target="https://gerandofalcoes.my.salesforce.com/0014X00002VKCtdQAH" TargetMode="External"/><Relationship Id="rId1380" Type="http://schemas.openxmlformats.org/officeDocument/2006/relationships/hyperlink" Target="https://gerandofalcoes.my.salesforce.com/0014X00002QTWZVQA5" TargetMode="External"/><Relationship Id="rId2017" Type="http://schemas.openxmlformats.org/officeDocument/2006/relationships/hyperlink" Target="https://drive.google.com/open?id=1sW1HQrdD0H61CN5rMoErLj_bQC4xTJhg" TargetMode="External"/><Relationship Id="rId2224" Type="http://schemas.openxmlformats.org/officeDocument/2006/relationships/hyperlink" Target="https://instagram.com/rodrigosabiah?utm_medium=copy_link" TargetMode="External"/><Relationship Id="rId403" Type="http://schemas.openxmlformats.org/officeDocument/2006/relationships/hyperlink" Target="https://www.linkedin.com/in/francilaine-melo-856922212" TargetMode="External"/><Relationship Id="rId750" Type="http://schemas.openxmlformats.org/officeDocument/2006/relationships/hyperlink" Target="https://www.instagram.com/p/CcOSQB3u0Ck/?igshid=YmMyMTA2M2Y=" TargetMode="External"/><Relationship Id="rId848" Type="http://schemas.openxmlformats.org/officeDocument/2006/relationships/hyperlink" Target="https://gerandofalcoes.my.salesforce.com/0034X0000380O3g" TargetMode="External"/><Relationship Id="rId1033" Type="http://schemas.openxmlformats.org/officeDocument/2006/relationships/hyperlink" Target="https://www.instagram.com/p/CaE46CzuSzv/?utm_medium=copy_link" TargetMode="External"/><Relationship Id="rId1478" Type="http://schemas.openxmlformats.org/officeDocument/2006/relationships/hyperlink" Target="https://drive.google.com/open?id=1PFvZr5SYtMxDCEUGsGcCkFbdH0MDUZ7F" TargetMode="External"/><Relationship Id="rId1685" Type="http://schemas.openxmlformats.org/officeDocument/2006/relationships/hyperlink" Target="https://gerandofalcoes.my.salesforce.com/0014X00002VKCuPQAX" TargetMode="External"/><Relationship Id="rId1892" Type="http://schemas.openxmlformats.org/officeDocument/2006/relationships/hyperlink" Target="https://gerandofalcoes.my.salesforce.com/0034X0000380O2F" TargetMode="External"/><Relationship Id="rId610" Type="http://schemas.openxmlformats.org/officeDocument/2006/relationships/hyperlink" Target="https://drive.google.com/open?id=1NLWnQ4yd9EY_JJPhzaC6UQJoloADfSn1" TargetMode="External"/><Relationship Id="rId708" Type="http://schemas.openxmlformats.org/officeDocument/2006/relationships/hyperlink" Target="https://gerandofalcoes.my.salesforce.com/0014P00003YSp8VQAT" TargetMode="External"/><Relationship Id="rId915" Type="http://schemas.openxmlformats.org/officeDocument/2006/relationships/hyperlink" Target="https://gerandofalcoes.my.salesforce.com/0014X00002VKCtNQAX" TargetMode="External"/><Relationship Id="rId1240" Type="http://schemas.openxmlformats.org/officeDocument/2006/relationships/hyperlink" Target="http://linkedin.com/in/daianny-teles-3a399113a" TargetMode="External"/><Relationship Id="rId1338" Type="http://schemas.openxmlformats.org/officeDocument/2006/relationships/hyperlink" Target="https://gerandofalcoes.my.salesforce.com/0034P000043fOoB" TargetMode="External"/><Relationship Id="rId1545" Type="http://schemas.openxmlformats.org/officeDocument/2006/relationships/hyperlink" Target="https://drive.google.com/open?id=10HmRR2kNQVdcqv2JpNC4J7KT37I9V62T" TargetMode="External"/><Relationship Id="rId1100" Type="http://schemas.openxmlformats.org/officeDocument/2006/relationships/hyperlink" Target="https://drive.google.com/open?id=160KSnZ325d9Gqzne1yqUQsimzYRWZtI2" TargetMode="External"/><Relationship Id="rId1405" Type="http://schemas.openxmlformats.org/officeDocument/2006/relationships/hyperlink" Target="https://instagram.com/psidanielageneroso?utm_medium=copy_link" TargetMode="External"/><Relationship Id="rId1752" Type="http://schemas.openxmlformats.org/officeDocument/2006/relationships/hyperlink" Target="https://drive.google.com/open?id=1aV0IOJ6qofcARetE6a3AsIvgakN2vOxw" TargetMode="External"/><Relationship Id="rId44" Type="http://schemas.openxmlformats.org/officeDocument/2006/relationships/hyperlink" Target="https://gerandofalcoes.my.salesforce.com/0014P00003YSp7dQAD" TargetMode="External"/><Relationship Id="rId1612" Type="http://schemas.openxmlformats.org/officeDocument/2006/relationships/hyperlink" Target="https://drive.google.com/open?id=1jQXmdPzTBbgNUtYRc1mMWu5tOQMy8c9u" TargetMode="External"/><Relationship Id="rId1917" Type="http://schemas.openxmlformats.org/officeDocument/2006/relationships/hyperlink" Target="https://drive.google.com/open?id=1yxX85NXSxXoEzTJyrlXw7eYxy4Jmw-R-" TargetMode="External"/><Relationship Id="rId193" Type="http://schemas.openxmlformats.org/officeDocument/2006/relationships/hyperlink" Target="https://drive.google.com/open?id=1T-DFcSN06gNqxIw969HamOXmT9kVx_TF" TargetMode="External"/><Relationship Id="rId498" Type="http://schemas.openxmlformats.org/officeDocument/2006/relationships/hyperlink" Target="https://www.linkedin.com/in/mayara-barbosa-de-oliveira-266639b0/" TargetMode="External"/><Relationship Id="rId2081" Type="http://schemas.openxmlformats.org/officeDocument/2006/relationships/hyperlink" Target="https://gerandofalcoes.my.salesforce.com/0014X00002VKCpkQAH" TargetMode="External"/><Relationship Id="rId2179" Type="http://schemas.openxmlformats.org/officeDocument/2006/relationships/hyperlink" Target="https://drive.google.com/open?id=1KEUn6oZtH8yxhlP16X35B-giDuWwzjg5" TargetMode="External"/><Relationship Id="rId260" Type="http://schemas.openxmlformats.org/officeDocument/2006/relationships/hyperlink" Target="https://gerandofalcoes.my.salesforce.com/0034P000045kxiN" TargetMode="External"/><Relationship Id="rId2386" Type="http://schemas.openxmlformats.org/officeDocument/2006/relationships/hyperlink" Target="https://drive.google.com/open?id=1A1I10djPHRKN57w2nAJXsreZUlIrHIZN" TargetMode="External"/><Relationship Id="rId120" Type="http://schemas.openxmlformats.org/officeDocument/2006/relationships/hyperlink" Target="https://gerandofalcoes.my.salesforce.com/0034P00003maBVn" TargetMode="External"/><Relationship Id="rId358" Type="http://schemas.openxmlformats.org/officeDocument/2006/relationships/hyperlink" Target="https://gerandofalcoes.my.salesforce.com/0014P00003AN72DQAT" TargetMode="External"/><Relationship Id="rId565" Type="http://schemas.openxmlformats.org/officeDocument/2006/relationships/hyperlink" Target="https://gerandofalcoes.my.salesforce.com/0014P00003YSp9iQAD" TargetMode="External"/><Relationship Id="rId772" Type="http://schemas.openxmlformats.org/officeDocument/2006/relationships/hyperlink" Target="https://gerandofalcoes.my.salesforce.com/0034X0000380O1W" TargetMode="External"/><Relationship Id="rId1195" Type="http://schemas.openxmlformats.org/officeDocument/2006/relationships/hyperlink" Target="https://gerandofalcoes.my.salesforce.com/0034X0000380O0y" TargetMode="External"/><Relationship Id="rId2039" Type="http://schemas.openxmlformats.org/officeDocument/2006/relationships/hyperlink" Target="https://gerandofalcoes.my.salesforce.com/0034P00003maBVv" TargetMode="External"/><Relationship Id="rId2246" Type="http://schemas.openxmlformats.org/officeDocument/2006/relationships/hyperlink" Target="https://www.linkedin.com/in/matheus-daudt-14114349/" TargetMode="External"/><Relationship Id="rId218" Type="http://schemas.openxmlformats.org/officeDocument/2006/relationships/hyperlink" Target="https://gerandofalcoes.my.salesforce.com/0014P00003SGWPaQAP" TargetMode="External"/><Relationship Id="rId425" Type="http://schemas.openxmlformats.org/officeDocument/2006/relationships/hyperlink" Target="https://gerandofalcoes.my.salesforce.com/0034X0000380O2v" TargetMode="External"/><Relationship Id="rId632" Type="http://schemas.openxmlformats.org/officeDocument/2006/relationships/hyperlink" Target="https://drive.google.com/open?id=1GYVUOCb955xDBO36TxivcsqaWfvklovH" TargetMode="External"/><Relationship Id="rId1055" Type="http://schemas.openxmlformats.org/officeDocument/2006/relationships/hyperlink" Target="https://drive.google.com/open?id=1KZMRLmxRys9oJaJt5X5xyFNFh4UAsvto" TargetMode="External"/><Relationship Id="rId1262" Type="http://schemas.openxmlformats.org/officeDocument/2006/relationships/hyperlink" Target="https://www.instagram.com/nanicorrea/" TargetMode="External"/><Relationship Id="rId2106" Type="http://schemas.openxmlformats.org/officeDocument/2006/relationships/hyperlink" Target="https://gerandofalcoes.my.salesforce.com/0014X00002VKCrwQAH" TargetMode="External"/><Relationship Id="rId2313" Type="http://schemas.openxmlformats.org/officeDocument/2006/relationships/hyperlink" Target="https://gerandofalcoes.my.salesforce.com/0034X0000380O1P" TargetMode="External"/><Relationship Id="rId937" Type="http://schemas.openxmlformats.org/officeDocument/2006/relationships/hyperlink" Target="https://gerandofalcoes.my.salesforce.com/0014X00002VKCr2QAH" TargetMode="External"/><Relationship Id="rId1122" Type="http://schemas.openxmlformats.org/officeDocument/2006/relationships/hyperlink" Target="https://gerandofalcoes.my.salesforce.com/0014P00003SGWPVQA5" TargetMode="External"/><Relationship Id="rId1567" Type="http://schemas.openxmlformats.org/officeDocument/2006/relationships/hyperlink" Target="https://drive.google.com/open?id=1wJwSJPiq4lSd8stGKR8xZaWVvFD-7yaq" TargetMode="External"/><Relationship Id="rId1774" Type="http://schemas.openxmlformats.org/officeDocument/2006/relationships/hyperlink" Target="https://drive.google.com/open?id=1vlNrTAXCkRIb0hnx_m2iKgGvGQYF3_P4" TargetMode="External"/><Relationship Id="rId1981" Type="http://schemas.openxmlformats.org/officeDocument/2006/relationships/hyperlink" Target="https://gerandofalcoes.my.salesforce.com/0014X00002VKCsQQAX" TargetMode="External"/><Relationship Id="rId66" Type="http://schemas.openxmlformats.org/officeDocument/2006/relationships/hyperlink" Target="https://gerandofalcoes.my.salesforce.com/0034X0000380O5p" TargetMode="External"/><Relationship Id="rId1427" Type="http://schemas.openxmlformats.org/officeDocument/2006/relationships/hyperlink" Target="https://gerandofalcoes.my.salesforce.com/0014P00003YSp9TQAT" TargetMode="External"/><Relationship Id="rId1634" Type="http://schemas.openxmlformats.org/officeDocument/2006/relationships/hyperlink" Target="https://drive.google.com/open?id=1dr44lHgCslqrW6jTMpxqCvKZoEccJIRG" TargetMode="External"/><Relationship Id="rId1841" Type="http://schemas.openxmlformats.org/officeDocument/2006/relationships/hyperlink" Target="https://gerandofalcoes.my.salesforce.com/0014P00003SGWQ1QAP" TargetMode="External"/><Relationship Id="rId1939" Type="http://schemas.openxmlformats.org/officeDocument/2006/relationships/hyperlink" Target="https://gerandofalcoes.my.salesforce.com/0034P000045kxkd" TargetMode="External"/><Relationship Id="rId1701" Type="http://schemas.openxmlformats.org/officeDocument/2006/relationships/hyperlink" Target="https://www.instagram.com/leleto_alquimista/" TargetMode="External"/><Relationship Id="rId282" Type="http://schemas.openxmlformats.org/officeDocument/2006/relationships/hyperlink" Target="https://drive.google.com/open?id=1eofNdRdJGywYOGiJuT9mypy5nEtT8myB" TargetMode="External"/><Relationship Id="rId587" Type="http://schemas.openxmlformats.org/officeDocument/2006/relationships/hyperlink" Target="https://drive.google.com/open?id=1-BpQ0bchbt2m5DSsiADV8OLRLQK7jo5X" TargetMode="External"/><Relationship Id="rId2170" Type="http://schemas.openxmlformats.org/officeDocument/2006/relationships/hyperlink" Target="https://gerandofalcoes.my.salesforce.com/0014P00003YSp7ZQAT" TargetMode="External"/><Relationship Id="rId2268" Type="http://schemas.openxmlformats.org/officeDocument/2006/relationships/hyperlink" Target="https://www.instagram.com/gabiiveras/" TargetMode="External"/><Relationship Id="rId8" Type="http://schemas.openxmlformats.org/officeDocument/2006/relationships/hyperlink" Target="https://www.instagram.com/invites/contact/?i=draji9vq0nl6&amp;utm_content=o0rj2q" TargetMode="External"/><Relationship Id="rId142" Type="http://schemas.openxmlformats.org/officeDocument/2006/relationships/hyperlink" Target="https://gerandofalcoes.my.salesforce.com/0014X00002VKCq2QAH" TargetMode="External"/><Relationship Id="rId447" Type="http://schemas.openxmlformats.org/officeDocument/2006/relationships/hyperlink" Target="https://www.linkedin.com/in/pablo-lima-03848b103/" TargetMode="External"/><Relationship Id="rId794" Type="http://schemas.openxmlformats.org/officeDocument/2006/relationships/hyperlink" Target="https://gerandofalcoes.my.salesforce.com/0014X00002VKCqCQAX" TargetMode="External"/><Relationship Id="rId1077" Type="http://schemas.openxmlformats.org/officeDocument/2006/relationships/hyperlink" Target="https://drive.google.com/open?id=1TbReOcBxZf4O0ucSfR_EtBicRG66lffB" TargetMode="External"/><Relationship Id="rId2030" Type="http://schemas.openxmlformats.org/officeDocument/2006/relationships/hyperlink" Target="https://gerandofalcoes.my.salesforce.com/0014P00003YSp9xQAD" TargetMode="External"/><Relationship Id="rId2128" Type="http://schemas.openxmlformats.org/officeDocument/2006/relationships/hyperlink" Target="https://drive.google.com/open?id=122zLIQeEN1TpSNcW7kQt6mDg03mTynTL" TargetMode="External"/><Relationship Id="rId654" Type="http://schemas.openxmlformats.org/officeDocument/2006/relationships/hyperlink" Target="https://gerandofalcoes.my.salesforce.com/0034X0000380O5S" TargetMode="External"/><Relationship Id="rId861" Type="http://schemas.openxmlformats.org/officeDocument/2006/relationships/hyperlink" Target="https://drive.google.com/open?id=1YS0lRLaMxbnUTRGIbc7W715Vfjc7UG-M" TargetMode="External"/><Relationship Id="rId959" Type="http://schemas.openxmlformats.org/officeDocument/2006/relationships/hyperlink" Target="https://gerandofalcoes.my.salesforce.com/0034X0000380O4W" TargetMode="External"/><Relationship Id="rId1284" Type="http://schemas.openxmlformats.org/officeDocument/2006/relationships/hyperlink" Target="https://instagram.com/dah.7674?igshid=YmMyMTA2M2Y=" TargetMode="External"/><Relationship Id="rId1491" Type="http://schemas.openxmlformats.org/officeDocument/2006/relationships/hyperlink" Target="https://gerandofalcoes.my.salesforce.com/0034P00003tQ7A1" TargetMode="External"/><Relationship Id="rId1589" Type="http://schemas.openxmlformats.org/officeDocument/2006/relationships/hyperlink" Target="https://gerandofalcoes.my.salesforce.com/0014X00002VKCulQAH" TargetMode="External"/><Relationship Id="rId2335" Type="http://schemas.openxmlformats.org/officeDocument/2006/relationships/hyperlink" Target="https://gerandofalcoes.my.salesforce.com/0034X0000380O4G" TargetMode="External"/><Relationship Id="rId307" Type="http://schemas.openxmlformats.org/officeDocument/2006/relationships/hyperlink" Target="https://gerandofalcoes.my.salesforce.com/0034P000043fPDl" TargetMode="External"/><Relationship Id="rId514" Type="http://schemas.openxmlformats.org/officeDocument/2006/relationships/hyperlink" Target="https://gerandofalcoes.my.salesforce.com/0034P000043fOo7" TargetMode="External"/><Relationship Id="rId721" Type="http://schemas.openxmlformats.org/officeDocument/2006/relationships/hyperlink" Target="https://gerandofalcoes.my.salesforce.com/0034P000045kxkS" TargetMode="External"/><Relationship Id="rId1144" Type="http://schemas.openxmlformats.org/officeDocument/2006/relationships/hyperlink" Target="https://drive.google.com/open?id=1YUXXGrUr90tGP5PhxkyqYR__fXEeePM7" TargetMode="External"/><Relationship Id="rId1351" Type="http://schemas.openxmlformats.org/officeDocument/2006/relationships/hyperlink" Target="https://www.instagram.com/alexsandro_pereira123/" TargetMode="External"/><Relationship Id="rId1449" Type="http://schemas.openxmlformats.org/officeDocument/2006/relationships/hyperlink" Target="https://gerandofalcoes.my.salesforce.com/0014P00003MjOsqQAF" TargetMode="External"/><Relationship Id="rId1796" Type="http://schemas.openxmlformats.org/officeDocument/2006/relationships/hyperlink" Target="https://gerandofalcoes.my.salesforce.com/0014P00003YSp7qQAD" TargetMode="External"/><Relationship Id="rId88" Type="http://schemas.openxmlformats.org/officeDocument/2006/relationships/hyperlink" Target="https://gerandofalcoes.my.salesforce.com/0014P00003SGWFrQAP" TargetMode="External"/><Relationship Id="rId819" Type="http://schemas.openxmlformats.org/officeDocument/2006/relationships/hyperlink" Target="https://gerandofalcoes.my.salesforce.com/0014X00002VKCuUQAX" TargetMode="External"/><Relationship Id="rId1004" Type="http://schemas.openxmlformats.org/officeDocument/2006/relationships/hyperlink" Target="https://gerandofalcoes.my.salesforce.com/0034X0000380O2j" TargetMode="External"/><Relationship Id="rId1211" Type="http://schemas.openxmlformats.org/officeDocument/2006/relationships/hyperlink" Target="https://br.linkedin.com/in/amanda-oliveira-b197a2178" TargetMode="External"/><Relationship Id="rId1656" Type="http://schemas.openxmlformats.org/officeDocument/2006/relationships/hyperlink" Target="https://drive.google.com/open?id=1ThyReMFg1rZjRhb7CIxAPWVlY8_DDBdZ" TargetMode="External"/><Relationship Id="rId1863" Type="http://schemas.openxmlformats.org/officeDocument/2006/relationships/hyperlink" Target="https://gerandofalcoes.my.salesforce.com/0034X0000380O2y" TargetMode="External"/><Relationship Id="rId1309" Type="http://schemas.openxmlformats.org/officeDocument/2006/relationships/hyperlink" Target="https://gerandofalcoes.my.salesforce.com/0014P00003SGWQJQA5" TargetMode="External"/><Relationship Id="rId1516" Type="http://schemas.openxmlformats.org/officeDocument/2006/relationships/hyperlink" Target="https://drive.google.com/open?id=1lGGlJ-rg5gxqhNDJ3HqFa3cspLRUQdMV" TargetMode="External"/><Relationship Id="rId1723" Type="http://schemas.openxmlformats.org/officeDocument/2006/relationships/hyperlink" Target="https://instagram.com/raquelsuzi" TargetMode="External"/><Relationship Id="rId1930" Type="http://schemas.openxmlformats.org/officeDocument/2006/relationships/hyperlink" Target="https://www.instagram.com/p/CY_we9SAi8V/?utm_medium=share_sheet" TargetMode="External"/><Relationship Id="rId15" Type="http://schemas.openxmlformats.org/officeDocument/2006/relationships/hyperlink" Target="https://drive.google.com/open?id=1nZQ49SabNU3Vm4VK3EyQyAtHKI-Qn1Y-" TargetMode="External"/><Relationship Id="rId2192" Type="http://schemas.openxmlformats.org/officeDocument/2006/relationships/hyperlink" Target="https://gerandofalcoes.my.salesforce.com/0014X00002VKCuqQAH" TargetMode="External"/><Relationship Id="rId164" Type="http://schemas.openxmlformats.org/officeDocument/2006/relationships/hyperlink" Target="https://www.instagram.com/flavioalmeidaf3/" TargetMode="External"/><Relationship Id="rId371" Type="http://schemas.openxmlformats.org/officeDocument/2006/relationships/hyperlink" Target="https://gerandofalcoes.my.salesforce.com/0014X00002VKCsdQAH" TargetMode="External"/><Relationship Id="rId2052" Type="http://schemas.openxmlformats.org/officeDocument/2006/relationships/hyperlink" Target="https://www.linkedin.com/in/geraldo-fernandes-monteiro-de-souza-7b13a4163/" TargetMode="External"/><Relationship Id="rId469" Type="http://schemas.openxmlformats.org/officeDocument/2006/relationships/hyperlink" Target="https://gerandofalcoes.my.salesforce.com/0014P00003SGWQ9QAP" TargetMode="External"/><Relationship Id="rId676" Type="http://schemas.openxmlformats.org/officeDocument/2006/relationships/hyperlink" Target="https://drive.google.com/open?id=19YdOw9Sn-efnm--3BjtJ4miomfHQL2jt" TargetMode="External"/><Relationship Id="rId883" Type="http://schemas.openxmlformats.org/officeDocument/2006/relationships/hyperlink" Target="https://gerandofalcoes.my.salesforce.com/0014X00002OEuawQAD" TargetMode="External"/><Relationship Id="rId1099" Type="http://schemas.openxmlformats.org/officeDocument/2006/relationships/hyperlink" Target="https://gerandofalcoes.my.salesforce.com/0034P00003maBVD" TargetMode="External"/><Relationship Id="rId2357" Type="http://schemas.openxmlformats.org/officeDocument/2006/relationships/hyperlink" Target="https://www.linkedin.com/in/givanildo-amancio-3778b921/" TargetMode="External"/><Relationship Id="rId231" Type="http://schemas.openxmlformats.org/officeDocument/2006/relationships/hyperlink" Target="https://drive.google.com/open?id=1-gtEyyewmK0c6XfyRnXDbXLS_8VKo2Rw" TargetMode="External"/><Relationship Id="rId329" Type="http://schemas.openxmlformats.org/officeDocument/2006/relationships/hyperlink" Target="https://gerandofalcoes.my.salesforce.com/0014X00002PUOUaQAP" TargetMode="External"/><Relationship Id="rId536" Type="http://schemas.openxmlformats.org/officeDocument/2006/relationships/hyperlink" Target="https://gerandofalcoes.my.salesforce.com/0014X00002VKCtvQAH" TargetMode="External"/><Relationship Id="rId1166" Type="http://schemas.openxmlformats.org/officeDocument/2006/relationships/hyperlink" Target="https://gerandofalcoes.my.salesforce.com/0014X00002VKCq8QAH" TargetMode="External"/><Relationship Id="rId1373" Type="http://schemas.openxmlformats.org/officeDocument/2006/relationships/hyperlink" Target="https://www.linkedin.com/in/maria-raquel-9a561b112/" TargetMode="External"/><Relationship Id="rId2217" Type="http://schemas.openxmlformats.org/officeDocument/2006/relationships/hyperlink" Target="https://drive.google.com/open?id=10WaMBrY78SDtzY-BE0YNAB_tXY_R2-c1" TargetMode="External"/><Relationship Id="rId743" Type="http://schemas.openxmlformats.org/officeDocument/2006/relationships/hyperlink" Target="https://gerandofalcoes.my.salesforce.com/0014X00002VKCtGQAX" TargetMode="External"/><Relationship Id="rId950" Type="http://schemas.openxmlformats.org/officeDocument/2006/relationships/hyperlink" Target="https://drive.google.com/open?id=1k4BAIIeuXh31Ug0tfLxLra8vVJwPDPaq" TargetMode="External"/><Relationship Id="rId1026" Type="http://schemas.openxmlformats.org/officeDocument/2006/relationships/hyperlink" Target="https://gerandofalcoes.my.salesforce.com/0014P00003YSp92QAD" TargetMode="External"/><Relationship Id="rId1580" Type="http://schemas.openxmlformats.org/officeDocument/2006/relationships/hyperlink" Target="https://gerandofalcoes.my.salesforce.com/0014X00002VKCrNQAX" TargetMode="External"/><Relationship Id="rId1678" Type="http://schemas.openxmlformats.org/officeDocument/2006/relationships/hyperlink" Target="https://gerandofalcoes.my.salesforce.com/0034X0000380O37" TargetMode="External"/><Relationship Id="rId1885" Type="http://schemas.openxmlformats.org/officeDocument/2006/relationships/hyperlink" Target="https://www.instagram.com/p/Ca3UleMOwWn/?utm_medium=copy_link" TargetMode="External"/><Relationship Id="rId603" Type="http://schemas.openxmlformats.org/officeDocument/2006/relationships/hyperlink" Target="https://www.linkedin.com/in/george-marconi-sousa-silva-898a35140/" TargetMode="External"/><Relationship Id="rId810" Type="http://schemas.openxmlformats.org/officeDocument/2006/relationships/hyperlink" Target="https://www.instagram.com/franklindofutebol/" TargetMode="External"/><Relationship Id="rId908" Type="http://schemas.openxmlformats.org/officeDocument/2006/relationships/hyperlink" Target="https://gerandofalcoes.my.salesforce.com/0034P000045kxk0" TargetMode="External"/><Relationship Id="rId1233" Type="http://schemas.openxmlformats.org/officeDocument/2006/relationships/hyperlink" Target="https://drive.google.com/open?id=1qHiWuou3ZlcJzMiBF3ERMC3aDTI30Q9g" TargetMode="External"/><Relationship Id="rId1440" Type="http://schemas.openxmlformats.org/officeDocument/2006/relationships/hyperlink" Target="https://gerandofalcoes.my.salesforce.com/0034X0000380O2o" TargetMode="External"/><Relationship Id="rId1538" Type="http://schemas.openxmlformats.org/officeDocument/2006/relationships/hyperlink" Target="https://gerandofalcoes.my.salesforce.com/0014X00002VKD06QAH" TargetMode="External"/><Relationship Id="rId1300" Type="http://schemas.openxmlformats.org/officeDocument/2006/relationships/hyperlink" Target="https://gerandofalcoes.my.salesforce.com/0034P000045kxiP" TargetMode="External"/><Relationship Id="rId1745" Type="http://schemas.openxmlformats.org/officeDocument/2006/relationships/hyperlink" Target="https://www.instagram.com/rafaellernc/?hl=pt-br" TargetMode="External"/><Relationship Id="rId1952" Type="http://schemas.openxmlformats.org/officeDocument/2006/relationships/hyperlink" Target="https://gerandofalcoes.my.salesforce.com/0034X0000380O2C" TargetMode="External"/><Relationship Id="rId37" Type="http://schemas.openxmlformats.org/officeDocument/2006/relationships/hyperlink" Target="https://gerandofalcoes.my.salesforce.com/0034P000045kxkp" TargetMode="External"/><Relationship Id="rId1605" Type="http://schemas.openxmlformats.org/officeDocument/2006/relationships/hyperlink" Target="https://www.linkedin.com/in/wellton-brito-092536216/" TargetMode="External"/><Relationship Id="rId1812" Type="http://schemas.openxmlformats.org/officeDocument/2006/relationships/hyperlink" Target="http://instagram.com/fecampanile" TargetMode="External"/><Relationship Id="rId186" Type="http://schemas.openxmlformats.org/officeDocument/2006/relationships/hyperlink" Target="https://drive.google.com/open?id=1aVWsZuQKtwOb2equf8YECHz0D6mRdtSV" TargetMode="External"/><Relationship Id="rId393" Type="http://schemas.openxmlformats.org/officeDocument/2006/relationships/hyperlink" Target="https://gerandofalcoes.my.salesforce.com/0014P00003AN2GHQA1" TargetMode="External"/><Relationship Id="rId2074" Type="http://schemas.openxmlformats.org/officeDocument/2006/relationships/hyperlink" Target="https://gerandofalcoes.my.salesforce.com/0034P000045kxhz" TargetMode="External"/><Relationship Id="rId2281" Type="http://schemas.openxmlformats.org/officeDocument/2006/relationships/hyperlink" Target="https://gerandofalcoes.my.salesforce.com/0014X00002VKCu5QAH" TargetMode="External"/><Relationship Id="rId253" Type="http://schemas.openxmlformats.org/officeDocument/2006/relationships/hyperlink" Target="http://instagram.com/associacao.de.apoio.a.familia" TargetMode="External"/><Relationship Id="rId460" Type="http://schemas.openxmlformats.org/officeDocument/2006/relationships/hyperlink" Target="https://gerandofalcoes.my.salesforce.com/0034P00003maBVB" TargetMode="External"/><Relationship Id="rId698" Type="http://schemas.openxmlformats.org/officeDocument/2006/relationships/hyperlink" Target="https://gerandofalcoes.my.salesforce.com/0034P000045kxjH" TargetMode="External"/><Relationship Id="rId1090" Type="http://schemas.openxmlformats.org/officeDocument/2006/relationships/hyperlink" Target="https://gerandofalcoes.my.salesforce.com/0014X00002VKCpQQAX" TargetMode="External"/><Relationship Id="rId2141" Type="http://schemas.openxmlformats.org/officeDocument/2006/relationships/hyperlink" Target="https://drive.google.com/open?id=1tbkTpU_ZLQO61kdGA9EGBAUC9Yts0Sb-" TargetMode="External"/><Relationship Id="rId2379" Type="http://schemas.openxmlformats.org/officeDocument/2006/relationships/hyperlink" Target="https://www.linkedin.com/in/cesar-gouveia-0956535b/" TargetMode="External"/><Relationship Id="rId113" Type="http://schemas.openxmlformats.org/officeDocument/2006/relationships/hyperlink" Target="https://gerandofalcoes.my.salesforce.com/0014X00002VKCuIQAX" TargetMode="External"/><Relationship Id="rId320" Type="http://schemas.openxmlformats.org/officeDocument/2006/relationships/hyperlink" Target="https://drive.google.com/open?id=1INyDHbav6rDUxOgHptfEvB-HuzSAa2fQ" TargetMode="External"/><Relationship Id="rId558" Type="http://schemas.openxmlformats.org/officeDocument/2006/relationships/hyperlink" Target="https://gerandofalcoes.my.salesforce.com/0034X0000380O2n" TargetMode="External"/><Relationship Id="rId765" Type="http://schemas.openxmlformats.org/officeDocument/2006/relationships/hyperlink" Target="https://www.instagram.com/emanuelheliomar/?hl=pt-br" TargetMode="External"/><Relationship Id="rId972" Type="http://schemas.openxmlformats.org/officeDocument/2006/relationships/hyperlink" Target="https://instagram.com/carlamuller?utm_medium=copy_link" TargetMode="External"/><Relationship Id="rId1188" Type="http://schemas.openxmlformats.org/officeDocument/2006/relationships/hyperlink" Target="https://www.instagram.com/liviasilveiraa/" TargetMode="External"/><Relationship Id="rId1395" Type="http://schemas.openxmlformats.org/officeDocument/2006/relationships/hyperlink" Target="https://gerandofalcoes.my.salesforce.com/0034P000043fOnq" TargetMode="External"/><Relationship Id="rId2001" Type="http://schemas.openxmlformats.org/officeDocument/2006/relationships/hyperlink" Target="https://gerandofalcoes.my.salesforce.com/0014P00003AN2FtQAL" TargetMode="External"/><Relationship Id="rId2239" Type="http://schemas.openxmlformats.org/officeDocument/2006/relationships/hyperlink" Target="https://gerandofalcoes.my.salesforce.com/0014P00003SGWQHQA5" TargetMode="External"/><Relationship Id="rId418" Type="http://schemas.openxmlformats.org/officeDocument/2006/relationships/hyperlink" Target="https://gerandofalcoes.my.salesforce.com/0034P000045kxi2" TargetMode="External"/><Relationship Id="rId625" Type="http://schemas.openxmlformats.org/officeDocument/2006/relationships/hyperlink" Target="https://gerandofalcoes.my.salesforce.com/0014X00002VKCr4QAH" TargetMode="External"/><Relationship Id="rId832" Type="http://schemas.openxmlformats.org/officeDocument/2006/relationships/hyperlink" Target="https://drive.google.com/open?id=1znu1mzV1vrVerkb1oFzwn1-urt6xehFk" TargetMode="External"/><Relationship Id="rId1048" Type="http://schemas.openxmlformats.org/officeDocument/2006/relationships/hyperlink" Target="https://www.linkedin.com/in/renato-santos-ab7706197" TargetMode="External"/><Relationship Id="rId1255" Type="http://schemas.openxmlformats.org/officeDocument/2006/relationships/hyperlink" Target="https://gerandofalcoes.my.salesforce.com/0014X00002VKCuCQAX" TargetMode="External"/><Relationship Id="rId1462" Type="http://schemas.openxmlformats.org/officeDocument/2006/relationships/hyperlink" Target="https://drive.google.com/open?id=1Z-8UdHpGj_EhFWxZ-Eu759XUryXw26ji" TargetMode="External"/><Relationship Id="rId2306" Type="http://schemas.openxmlformats.org/officeDocument/2006/relationships/hyperlink" Target="https://drive.google.com/open?id=1GdhM8E50ilAGy_4jRE98zBEdFQKR8qZ2" TargetMode="External"/><Relationship Id="rId1115" Type="http://schemas.openxmlformats.org/officeDocument/2006/relationships/hyperlink" Target="https://gerandofalcoes.my.salesforce.com/0014X00002VKCrTQAX" TargetMode="External"/><Relationship Id="rId1322" Type="http://schemas.openxmlformats.org/officeDocument/2006/relationships/hyperlink" Target="https://gerandofalcoes.my.salesforce.com/0034X0000380O1E" TargetMode="External"/><Relationship Id="rId1767" Type="http://schemas.openxmlformats.org/officeDocument/2006/relationships/hyperlink" Target="https://www.linkedin.com/in/patricia-maia-485200217" TargetMode="External"/><Relationship Id="rId1974" Type="http://schemas.openxmlformats.org/officeDocument/2006/relationships/hyperlink" Target="https://gerandofalcoes.my.salesforce.com/0034P00003maBVF" TargetMode="External"/><Relationship Id="rId59" Type="http://schemas.openxmlformats.org/officeDocument/2006/relationships/hyperlink" Target="https://drive.google.com/open?id=1S2vAcVF5pEr6D4ag9I9rlhCrOE-SoiOx" TargetMode="External"/><Relationship Id="rId1627" Type="http://schemas.openxmlformats.org/officeDocument/2006/relationships/hyperlink" Target="https://gerandofalcoes.my.salesforce.com/0014P00003YSp8cQAD" TargetMode="External"/><Relationship Id="rId1834" Type="http://schemas.openxmlformats.org/officeDocument/2006/relationships/hyperlink" Target="https://gerandofalcoes.my.salesforce.com/0034X0000380O1y" TargetMode="External"/><Relationship Id="rId2096" Type="http://schemas.openxmlformats.org/officeDocument/2006/relationships/hyperlink" Target="https://gerandofalcoes.my.salesforce.com/0034P000045kxit" TargetMode="External"/><Relationship Id="rId1901" Type="http://schemas.openxmlformats.org/officeDocument/2006/relationships/hyperlink" Target="https://drive.google.com/open?id=1UaVBIpMGTvugcCNZe4DZC2_TqAtVspG2" TargetMode="External"/><Relationship Id="rId275" Type="http://schemas.openxmlformats.org/officeDocument/2006/relationships/hyperlink" Target="https://gerandofalcoes.my.salesforce.com/0014X00002OEuaoQAD" TargetMode="External"/><Relationship Id="rId482" Type="http://schemas.openxmlformats.org/officeDocument/2006/relationships/hyperlink" Target="https://drive.google.com/file/d/1yyWVo6-zEvSPLdaGus3hnUphF-01kGcV/view?usp=sharing" TargetMode="External"/><Relationship Id="rId2163" Type="http://schemas.openxmlformats.org/officeDocument/2006/relationships/hyperlink" Target="https://drive.google.com/open?id=1SH_DbYSC2GiQnWhbzfCh39xmTAEfzKcJ" TargetMode="External"/><Relationship Id="rId2370" Type="http://schemas.openxmlformats.org/officeDocument/2006/relationships/hyperlink" Target="https://gerandofalcoes.my.salesforce.com/0014P00003AN2GGQA1" TargetMode="External"/><Relationship Id="rId135" Type="http://schemas.openxmlformats.org/officeDocument/2006/relationships/hyperlink" Target="https://gerandofalcoes.my.salesforce.com/0014P00003YSpA5QAL" TargetMode="External"/><Relationship Id="rId342" Type="http://schemas.openxmlformats.org/officeDocument/2006/relationships/hyperlink" Target="http://linkedin.com/in/nilma-rodrigues-b1022a35" TargetMode="External"/><Relationship Id="rId787" Type="http://schemas.openxmlformats.org/officeDocument/2006/relationships/hyperlink" Target="http://www.linkedin.com/in/sergiomartins-269018212" TargetMode="External"/><Relationship Id="rId994" Type="http://schemas.openxmlformats.org/officeDocument/2006/relationships/hyperlink" Target="https://gerandofalcoes.my.salesforce.com/0014X00002VKCuZQAX" TargetMode="External"/><Relationship Id="rId2023" Type="http://schemas.openxmlformats.org/officeDocument/2006/relationships/hyperlink" Target="https://gerandofalcoes.my.salesforce.com/0014P00003SGWQFQA5" TargetMode="External"/><Relationship Id="rId2230" Type="http://schemas.openxmlformats.org/officeDocument/2006/relationships/hyperlink" Target="https://gerandofalcoes.my.salesforce.com/0034X0000380O2I" TargetMode="External"/><Relationship Id="rId202" Type="http://schemas.openxmlformats.org/officeDocument/2006/relationships/hyperlink" Target="https://instagram.com/gilmarlimafoco?utm_medium=copy_link" TargetMode="External"/><Relationship Id="rId647" Type="http://schemas.openxmlformats.org/officeDocument/2006/relationships/hyperlink" Target="https://gerandofalcoes.my.salesforce.com/0034P00003maBV6" TargetMode="External"/><Relationship Id="rId854" Type="http://schemas.openxmlformats.org/officeDocument/2006/relationships/hyperlink" Target="https://gerandofalcoes.my.salesforce.com/0014X00002VKCpNQAX" TargetMode="External"/><Relationship Id="rId1277" Type="http://schemas.openxmlformats.org/officeDocument/2006/relationships/hyperlink" Target="https://gerandofalcoes.my.salesforce.com/0034P00003maBVU" TargetMode="External"/><Relationship Id="rId1484" Type="http://schemas.openxmlformats.org/officeDocument/2006/relationships/hyperlink" Target="https://instagram.com/anapaulacaldas32?utm_medium=copy_link" TargetMode="External"/><Relationship Id="rId1691" Type="http://schemas.openxmlformats.org/officeDocument/2006/relationships/hyperlink" Target="https://gerandofalcoes.my.salesforce.com/0034X0000380O21" TargetMode="External"/><Relationship Id="rId2328" Type="http://schemas.openxmlformats.org/officeDocument/2006/relationships/hyperlink" Target="https://drive.google.com/open?id=1frMUwxJfV8frfnwKM00vkv__tHOXTxwO" TargetMode="External"/><Relationship Id="rId507" Type="http://schemas.openxmlformats.org/officeDocument/2006/relationships/hyperlink" Target="https://www.instagram.com/prelainecristina/" TargetMode="External"/><Relationship Id="rId714" Type="http://schemas.openxmlformats.org/officeDocument/2006/relationships/hyperlink" Target="https://www.instagram.com/marciacarfer.prof/" TargetMode="External"/><Relationship Id="rId921" Type="http://schemas.openxmlformats.org/officeDocument/2006/relationships/hyperlink" Target="http://linkedin.com/in/antonio-pantoja-70267485" TargetMode="External"/><Relationship Id="rId1137" Type="http://schemas.openxmlformats.org/officeDocument/2006/relationships/hyperlink" Target="https://gerandofalcoes.my.salesforce.com/0014P00003YSp9SQAT" TargetMode="External"/><Relationship Id="rId1344" Type="http://schemas.openxmlformats.org/officeDocument/2006/relationships/hyperlink" Target="http://linkedin.com/in/institutonawa" TargetMode="External"/><Relationship Id="rId1551" Type="http://schemas.openxmlformats.org/officeDocument/2006/relationships/hyperlink" Target="https://gerandofalcoes.my.salesforce.com/0034X0000380O43" TargetMode="External"/><Relationship Id="rId1789" Type="http://schemas.openxmlformats.org/officeDocument/2006/relationships/hyperlink" Target="https://www.instagram.com/p/CXqqWwSg_FCP7CfFKKFFc54U_V6ly_36EKdLgk0/?utm_medium=copy_link" TargetMode="External"/><Relationship Id="rId1996" Type="http://schemas.openxmlformats.org/officeDocument/2006/relationships/hyperlink" Target="https://drive.google.com/open?id=1T30YbF4PBNFeNwY5kaD87npAfuq5mKFf" TargetMode="External"/><Relationship Id="rId50" Type="http://schemas.openxmlformats.org/officeDocument/2006/relationships/hyperlink" Target="https://gerandofalcoes.my.salesforce.com/0034P000045kxkY" TargetMode="External"/><Relationship Id="rId1204" Type="http://schemas.openxmlformats.org/officeDocument/2006/relationships/hyperlink" Target="https://gerandofalcoes.my.salesforce.com/0014P00003AN2FjQAL" TargetMode="External"/><Relationship Id="rId1411" Type="http://schemas.openxmlformats.org/officeDocument/2006/relationships/hyperlink" Target="https://gerandofalcoes.my.salesforce.com/0034P000045kxkj" TargetMode="External"/><Relationship Id="rId1649" Type="http://schemas.openxmlformats.org/officeDocument/2006/relationships/hyperlink" Target="https://gerandofalcoes.my.salesforce.com/0014P00003AN2GKQA1" TargetMode="External"/><Relationship Id="rId1856" Type="http://schemas.openxmlformats.org/officeDocument/2006/relationships/hyperlink" Target="http://www.instagram.com/" TargetMode="External"/><Relationship Id="rId1509" Type="http://schemas.openxmlformats.org/officeDocument/2006/relationships/hyperlink" Target="https://gerandofalcoes.my.salesforce.com/0014X00002VKCtJQAX" TargetMode="External"/><Relationship Id="rId1716" Type="http://schemas.openxmlformats.org/officeDocument/2006/relationships/hyperlink" Target="https://drive.google.com/open?id=1smA-5eLgbZ3yegS-NscyXZ2MxSzaWxi4" TargetMode="External"/><Relationship Id="rId1923" Type="http://schemas.openxmlformats.org/officeDocument/2006/relationships/hyperlink" Target="https://gerandofalcoes.my.salesforce.com/0014P00003SGWPbQAP" TargetMode="External"/><Relationship Id="rId297" Type="http://schemas.openxmlformats.org/officeDocument/2006/relationships/hyperlink" Target="https://gerandofalcoes.my.salesforce.com/0034P000043fOnt" TargetMode="External"/><Relationship Id="rId2185" Type="http://schemas.openxmlformats.org/officeDocument/2006/relationships/hyperlink" Target="https://gerandofalcoes.my.salesforce.com/0034X0000380O6c" TargetMode="External"/><Relationship Id="rId2392" Type="http://schemas.openxmlformats.org/officeDocument/2006/relationships/hyperlink" Target="https://gerandofalcoes.my.salesforce.com/0014X00002VKCrpQAH" TargetMode="External"/><Relationship Id="rId157" Type="http://schemas.openxmlformats.org/officeDocument/2006/relationships/hyperlink" Target="https://gerandofalcoes.my.salesforce.com/0034X0000380O3i" TargetMode="External"/><Relationship Id="rId364" Type="http://schemas.openxmlformats.org/officeDocument/2006/relationships/hyperlink" Target="https://gerandofalcoes.my.salesforce.com/0034P000043fOns" TargetMode="External"/><Relationship Id="rId2045" Type="http://schemas.openxmlformats.org/officeDocument/2006/relationships/hyperlink" Target="https://gerandofalcoes.my.salesforce.com/0014X00002VKCrlQAH" TargetMode="External"/><Relationship Id="rId571" Type="http://schemas.openxmlformats.org/officeDocument/2006/relationships/hyperlink" Target="https://gerandofalcoes.my.salesforce.com/0034P00003maBVS" TargetMode="External"/><Relationship Id="rId669" Type="http://schemas.openxmlformats.org/officeDocument/2006/relationships/hyperlink" Target="https://gerandofalcoes.my.salesforce.com/0034X0000380O3j" TargetMode="External"/><Relationship Id="rId876" Type="http://schemas.openxmlformats.org/officeDocument/2006/relationships/hyperlink" Target="https://gerandofalcoes.my.salesforce.com/0014P00003SGWQ2QAP" TargetMode="External"/><Relationship Id="rId1299" Type="http://schemas.openxmlformats.org/officeDocument/2006/relationships/hyperlink" Target="https://gerandofalcoes.my.salesforce.com/0014P00003YSp7oQAD" TargetMode="External"/><Relationship Id="rId2252" Type="http://schemas.openxmlformats.org/officeDocument/2006/relationships/hyperlink" Target="https://drive.google.com/open?id=1VYbojSupCHwEjukFnAKTdCasdniOeQTt" TargetMode="External"/><Relationship Id="rId224" Type="http://schemas.openxmlformats.org/officeDocument/2006/relationships/hyperlink" Target="https://gerandofalcoes.my.salesforce.com/0034P00003maBVC" TargetMode="External"/><Relationship Id="rId431" Type="http://schemas.openxmlformats.org/officeDocument/2006/relationships/hyperlink" Target="https://instagram.com/gfernand_s?igshid=YmMyMTA2M2Y=" TargetMode="External"/><Relationship Id="rId529" Type="http://schemas.openxmlformats.org/officeDocument/2006/relationships/hyperlink" Target="http://www.linkedin.com/in/elainecbassi" TargetMode="External"/><Relationship Id="rId736" Type="http://schemas.openxmlformats.org/officeDocument/2006/relationships/hyperlink" Target="https://instagram.com/crisherculian" TargetMode="External"/><Relationship Id="rId1061" Type="http://schemas.openxmlformats.org/officeDocument/2006/relationships/hyperlink" Target="https://gerandofalcoes.my.salesforce.com/0014X00002VKCsNQAX" TargetMode="External"/><Relationship Id="rId1159" Type="http://schemas.openxmlformats.org/officeDocument/2006/relationships/hyperlink" Target="https://gerandofalcoes.my.salesforce.com/0014X00002UGqWjQAL" TargetMode="External"/><Relationship Id="rId1366" Type="http://schemas.openxmlformats.org/officeDocument/2006/relationships/hyperlink" Target="https://drive.google.com/open?id=1FmFANdpkSLGdP-0QEfMSlQjD_rx3l5Sy" TargetMode="External"/><Relationship Id="rId2112" Type="http://schemas.openxmlformats.org/officeDocument/2006/relationships/hyperlink" Target="https://www.linkedin.com/in/viviane-de-almeida-torres-ti-projetos-processos-scrum-sistemas/" TargetMode="External"/><Relationship Id="rId943" Type="http://schemas.openxmlformats.org/officeDocument/2006/relationships/hyperlink" Target="https://drive.google.com/open?id=1F9sDvK5LCJmzV7jAByB2ozTUF6Ir9316" TargetMode="External"/><Relationship Id="rId1019" Type="http://schemas.openxmlformats.org/officeDocument/2006/relationships/hyperlink" Target="https://www.instagram.com/davihschoenar/" TargetMode="External"/><Relationship Id="rId1573" Type="http://schemas.openxmlformats.org/officeDocument/2006/relationships/hyperlink" Target="https://gerandofalcoes.my.salesforce.com/0014P00003YSp8uQAD" TargetMode="External"/><Relationship Id="rId1780" Type="http://schemas.openxmlformats.org/officeDocument/2006/relationships/hyperlink" Target="https://gerandofalcoes.my.salesforce.com/0034P000045kxku" TargetMode="External"/><Relationship Id="rId1878" Type="http://schemas.openxmlformats.org/officeDocument/2006/relationships/hyperlink" Target="https://gerandofalcoes.my.salesforce.com/0014X00002VKCp9QAH" TargetMode="External"/><Relationship Id="rId72" Type="http://schemas.openxmlformats.org/officeDocument/2006/relationships/hyperlink" Target="https://gerandofalcoes.my.salesforce.com/0014P00003YSp8rQAD" TargetMode="External"/><Relationship Id="rId803" Type="http://schemas.openxmlformats.org/officeDocument/2006/relationships/hyperlink" Target="https://gerandofalcoes.my.salesforce.com/0034P000043fOoD" TargetMode="External"/><Relationship Id="rId1226" Type="http://schemas.openxmlformats.org/officeDocument/2006/relationships/hyperlink" Target="https://www.linkedin.com/learning/" TargetMode="External"/><Relationship Id="rId1433" Type="http://schemas.openxmlformats.org/officeDocument/2006/relationships/hyperlink" Target="https://drive.google.com/open?id=1FQn-u5aB9dAV8_kIWDfnz0oRRDP_dTfk" TargetMode="External"/><Relationship Id="rId1640" Type="http://schemas.openxmlformats.org/officeDocument/2006/relationships/hyperlink" Target="https://gerandofalcoes.my.salesforce.com/0014X00002VKCuzQAH" TargetMode="External"/><Relationship Id="rId1738" Type="http://schemas.openxmlformats.org/officeDocument/2006/relationships/hyperlink" Target="https://gerandofalcoes.my.salesforce.com/0014X00002VKCuKQAX" TargetMode="External"/><Relationship Id="rId1500" Type="http://schemas.openxmlformats.org/officeDocument/2006/relationships/hyperlink" Target="https://gerandofalcoes.my.salesforce.com/0014X00002VKCqWQAX" TargetMode="External"/><Relationship Id="rId1945" Type="http://schemas.openxmlformats.org/officeDocument/2006/relationships/hyperlink" Target="https://www.linkedin.com/in/djalma-nunes-609a09ab/" TargetMode="External"/><Relationship Id="rId1805" Type="http://schemas.openxmlformats.org/officeDocument/2006/relationships/hyperlink" Target="https://drive.google.com/open?id=1on4aWaykZfnvbdM3YJcKsN55JyXT8hmu" TargetMode="External"/><Relationship Id="rId179" Type="http://schemas.openxmlformats.org/officeDocument/2006/relationships/hyperlink" Target="https://gerandofalcoes.my.salesforce.com/0034P000045kxjr" TargetMode="External"/><Relationship Id="rId386" Type="http://schemas.openxmlformats.org/officeDocument/2006/relationships/hyperlink" Target="https://www.instagram.com/invites/contact/?i=1ppbywg2xzncw&amp;utm_content=n1qcaj6" TargetMode="External"/><Relationship Id="rId593" Type="http://schemas.openxmlformats.org/officeDocument/2006/relationships/hyperlink" Target="https://gerandofalcoes.my.salesforce.com/0014X00002VKCoyQAH" TargetMode="External"/><Relationship Id="rId2067" Type="http://schemas.openxmlformats.org/officeDocument/2006/relationships/hyperlink" Target="https://drive.google.com/open?id=1AMRHtPSw4gVAuQfpb6HPdKx_XHrGK0hJ" TargetMode="External"/><Relationship Id="rId2274" Type="http://schemas.openxmlformats.org/officeDocument/2006/relationships/hyperlink" Target="https://gerandofalcoes.my.salesforce.com/0014P00003AN2FhQAL" TargetMode="External"/><Relationship Id="rId246" Type="http://schemas.openxmlformats.org/officeDocument/2006/relationships/hyperlink" Target="https://instagram.com/elianerodrigues9?utm_medium=copy_link" TargetMode="External"/><Relationship Id="rId453" Type="http://schemas.openxmlformats.org/officeDocument/2006/relationships/hyperlink" Target="https://gerandofalcoes.my.salesforce.com/0034X0000380O5l" TargetMode="External"/><Relationship Id="rId660" Type="http://schemas.openxmlformats.org/officeDocument/2006/relationships/hyperlink" Target="https://drive.google.com/open?id=1J1D3x4kvx06zXSdYkIWHegwJk9kcOh3D" TargetMode="External"/><Relationship Id="rId898" Type="http://schemas.openxmlformats.org/officeDocument/2006/relationships/hyperlink" Target="https://gerandofalcoes.my.salesforce.com/0014X00002VKCqKQAX" TargetMode="External"/><Relationship Id="rId1083" Type="http://schemas.openxmlformats.org/officeDocument/2006/relationships/hyperlink" Target="https://gerandofalcoes.my.salesforce.com/0034P000045kxkB" TargetMode="External"/><Relationship Id="rId1290" Type="http://schemas.openxmlformats.org/officeDocument/2006/relationships/hyperlink" Target="https://drive.google.com/open?id=1pCja-Trkck6fHB43ploI9confDloy1fD" TargetMode="External"/><Relationship Id="rId2134" Type="http://schemas.openxmlformats.org/officeDocument/2006/relationships/hyperlink" Target="https://www.instagram.com/prdouglas_galdino/" TargetMode="External"/><Relationship Id="rId2341" Type="http://schemas.openxmlformats.org/officeDocument/2006/relationships/hyperlink" Target="https://www.linkedin.com/in/janderson-rocha-682b37196" TargetMode="External"/><Relationship Id="rId106" Type="http://schemas.openxmlformats.org/officeDocument/2006/relationships/hyperlink" Target="https://gerandofalcoes.my.salesforce.com/0014X00002VKCtsQAH" TargetMode="External"/><Relationship Id="rId313" Type="http://schemas.openxmlformats.org/officeDocument/2006/relationships/hyperlink" Target="https://instagram.com/adilmadaong?utm_medium=copy_link" TargetMode="External"/><Relationship Id="rId758" Type="http://schemas.openxmlformats.org/officeDocument/2006/relationships/hyperlink" Target="https://gerandofalcoes.my.salesforce.com/0034P000045kxiU" TargetMode="External"/><Relationship Id="rId965" Type="http://schemas.openxmlformats.org/officeDocument/2006/relationships/hyperlink" Target="https://gerandofalcoes.my.salesforce.com/0014P00003YSp9hQAD" TargetMode="External"/><Relationship Id="rId1150" Type="http://schemas.openxmlformats.org/officeDocument/2006/relationships/hyperlink" Target="https://gerandofalcoes.my.salesforce.com/0014P00003YSpAJQA1" TargetMode="External"/><Relationship Id="rId1388" Type="http://schemas.openxmlformats.org/officeDocument/2006/relationships/hyperlink" Target="https://drive.google.com/open?id=1dx6OilGI5hmvXndQWUC9nmaQYo6rbARY" TargetMode="External"/><Relationship Id="rId1595" Type="http://schemas.openxmlformats.org/officeDocument/2006/relationships/hyperlink" Target="https://www.instagram.com/p/CHSxAqQF5YR/?utm_medium=copy_link" TargetMode="External"/><Relationship Id="rId94" Type="http://schemas.openxmlformats.org/officeDocument/2006/relationships/hyperlink" Target="https://gerandofalcoes.my.salesforce.com/0034X0000380O0r" TargetMode="External"/><Relationship Id="rId520" Type="http://schemas.openxmlformats.org/officeDocument/2006/relationships/hyperlink" Target="https://gerandofalcoes.my.salesforce.com/0014P00003AN2FyQAL" TargetMode="External"/><Relationship Id="rId618" Type="http://schemas.openxmlformats.org/officeDocument/2006/relationships/hyperlink" Target="https://www.linkedin.com/in/lesliescarpelli/" TargetMode="External"/><Relationship Id="rId825" Type="http://schemas.openxmlformats.org/officeDocument/2006/relationships/hyperlink" Target="https://drive.google.com/open?id=1H01Dg1GEEdDXpmkdJFCo5vw-uKJl-HLo" TargetMode="External"/><Relationship Id="rId1248" Type="http://schemas.openxmlformats.org/officeDocument/2006/relationships/hyperlink" Target="https://gerandofalcoes.my.salesforce.com/0014X00002VKCttQAH" TargetMode="External"/><Relationship Id="rId1455" Type="http://schemas.openxmlformats.org/officeDocument/2006/relationships/hyperlink" Target="https://www.linkedin.com/in/luciana-sim%C3%A3ozinho-84943426" TargetMode="External"/><Relationship Id="rId1662" Type="http://schemas.openxmlformats.org/officeDocument/2006/relationships/hyperlink" Target="https://gerandofalcoes.my.salesforce.com/0034P000045kxir" TargetMode="External"/><Relationship Id="rId2201" Type="http://schemas.openxmlformats.org/officeDocument/2006/relationships/hyperlink" Target="https://drive.google.com/open?id=1U1OgFxNH0exPq5yQWYiyhZyzSjn1AG92" TargetMode="External"/><Relationship Id="rId1010" Type="http://schemas.openxmlformats.org/officeDocument/2006/relationships/hyperlink" Target="https://www.instagram.com/explore/tags/cantinhodaamizade??/" TargetMode="External"/><Relationship Id="rId1108" Type="http://schemas.openxmlformats.org/officeDocument/2006/relationships/hyperlink" Target="http://www.linkedin.com/in/narlize-costa-fonseca-0b78651b7" TargetMode="External"/><Relationship Id="rId1315" Type="http://schemas.openxmlformats.org/officeDocument/2006/relationships/hyperlink" Target="https://gerandofalcoes.my.salesforce.com/0034X0000380O5i" TargetMode="External"/><Relationship Id="rId1967" Type="http://schemas.openxmlformats.org/officeDocument/2006/relationships/hyperlink" Target="https://drive.google.com/open?id=1CxRMOUQnqZx3X_S3u08gR9_a5CBPTNHw" TargetMode="External"/><Relationship Id="rId1522" Type="http://schemas.openxmlformats.org/officeDocument/2006/relationships/hyperlink" Target="https://gerandofalcoes.my.salesforce.com/0034X0000380O3z" TargetMode="External"/><Relationship Id="rId21" Type="http://schemas.openxmlformats.org/officeDocument/2006/relationships/hyperlink" Target="https://instagram.com/mari.nunes.gomes" TargetMode="External"/><Relationship Id="rId2089" Type="http://schemas.openxmlformats.org/officeDocument/2006/relationships/hyperlink" Target="https://www.instagram.com/p/CfxNjLMp3nf/?igshid=YmMyMTA2M2Y=" TargetMode="External"/><Relationship Id="rId2296" Type="http://schemas.openxmlformats.org/officeDocument/2006/relationships/hyperlink" Target="https://drive.google.com/open?id=1k6pus-pX8QhiqKifKij2u9gT5Ev_wDZC" TargetMode="External"/><Relationship Id="rId268" Type="http://schemas.openxmlformats.org/officeDocument/2006/relationships/hyperlink" Target="https://gerandofalcoes.my.salesforce.com/0034P000043fOoC" TargetMode="External"/><Relationship Id="rId475" Type="http://schemas.openxmlformats.org/officeDocument/2006/relationships/hyperlink" Target="https://gerandofalcoes.my.salesforce.com/0034X0000380O4S" TargetMode="External"/><Relationship Id="rId682" Type="http://schemas.openxmlformats.org/officeDocument/2006/relationships/hyperlink" Target="https://gerandofalcoes.my.salesforce.com/0034X0000380O6n" TargetMode="External"/><Relationship Id="rId2156" Type="http://schemas.openxmlformats.org/officeDocument/2006/relationships/hyperlink" Target="https://drive.google.com/open?id=1Okes5Z737NEI0aUfQY8kQSunP_s0hF6C" TargetMode="External"/><Relationship Id="rId2363" Type="http://schemas.openxmlformats.org/officeDocument/2006/relationships/hyperlink" Target="https://drive.google.com/open?id=190GV41MOKCuo7fjmlP6_7sHvupPUtGrD" TargetMode="External"/><Relationship Id="rId128" Type="http://schemas.openxmlformats.org/officeDocument/2006/relationships/hyperlink" Target="https://gerandofalcoes.my.salesforce.com/0034P000045kxkx" TargetMode="External"/><Relationship Id="rId335" Type="http://schemas.openxmlformats.org/officeDocument/2006/relationships/hyperlink" Target="https://instagram.com/__daydias?utm_medium=copy_link" TargetMode="External"/><Relationship Id="rId542" Type="http://schemas.openxmlformats.org/officeDocument/2006/relationships/hyperlink" Target="https://www.instagram.com/lima3d/" TargetMode="External"/><Relationship Id="rId1172" Type="http://schemas.openxmlformats.org/officeDocument/2006/relationships/hyperlink" Target="https://drive.google.com/open?id=1YCUTags12IeOmwiyZ47diFhl9c3EeLhb" TargetMode="External"/><Relationship Id="rId2016" Type="http://schemas.openxmlformats.org/officeDocument/2006/relationships/hyperlink" Target="https://www.instagram.com/dancesar.tp/" TargetMode="External"/><Relationship Id="rId2223" Type="http://schemas.openxmlformats.org/officeDocument/2006/relationships/hyperlink" Target="https://www.linkedin.com/jobs/application-settings" TargetMode="External"/><Relationship Id="rId402" Type="http://schemas.openxmlformats.org/officeDocument/2006/relationships/hyperlink" Target="https://gerandofalcoes.my.salesforce.com/0034P000043fOnm" TargetMode="External"/><Relationship Id="rId1032" Type="http://schemas.openxmlformats.org/officeDocument/2006/relationships/hyperlink" Target="https://www.linkedin.com/in/claudia-souza-da-silva-189060204" TargetMode="External"/><Relationship Id="rId1989" Type="http://schemas.openxmlformats.org/officeDocument/2006/relationships/hyperlink" Target="https://drive.google.com/open?id=1474di_mZjxJXashfmEj3vgYAsZq5yuvO" TargetMode="External"/><Relationship Id="rId1849" Type="http://schemas.openxmlformats.org/officeDocument/2006/relationships/hyperlink" Target="https://drive.google.com/open?id=1_rj2uDOCIvcsIcToXNp2-O37cuxga6yM" TargetMode="External"/><Relationship Id="rId192" Type="http://schemas.openxmlformats.org/officeDocument/2006/relationships/hyperlink" Target="https://gerandofalcoes.my.salesforce.com/0034X0000380O5g" TargetMode="External"/><Relationship Id="rId1709" Type="http://schemas.openxmlformats.org/officeDocument/2006/relationships/hyperlink" Target="https://www.linkedin.com/in/euselia-dutra-97273084" TargetMode="External"/><Relationship Id="rId1916" Type="http://schemas.openxmlformats.org/officeDocument/2006/relationships/hyperlink" Target="https://www.instagram.com/asjr.professor/" TargetMode="External"/><Relationship Id="rId2080" Type="http://schemas.openxmlformats.org/officeDocument/2006/relationships/hyperlink" Target="https://drive.google.com/open?id=1iTJFsM1YYHY7c4XLdb21So1-0IsuYJFU" TargetMode="External"/><Relationship Id="rId869" Type="http://schemas.openxmlformats.org/officeDocument/2006/relationships/hyperlink" Target="https://instagram.com/pabllogoncallves?igshid=NDBlY2NjN2I=" TargetMode="External"/><Relationship Id="rId1499" Type="http://schemas.openxmlformats.org/officeDocument/2006/relationships/hyperlink" Target="https://drive.google.com/open?id=13oh3tORHU2YU_TcyCrP3lqe0ACn3qatv" TargetMode="External"/><Relationship Id="rId729" Type="http://schemas.openxmlformats.org/officeDocument/2006/relationships/hyperlink" Target="https://gerandofalcoes.my.salesforce.com/0014P00003YSp90QAD" TargetMode="External"/><Relationship Id="rId1359" Type="http://schemas.openxmlformats.org/officeDocument/2006/relationships/hyperlink" Target="https://www.linkedin.com/in/welitonsimao/" TargetMode="External"/><Relationship Id="rId936" Type="http://schemas.openxmlformats.org/officeDocument/2006/relationships/hyperlink" Target="https://drive.google.com/open?id=12SJaODvFWo7gGyc52I8n2z4lQea1JvcN" TargetMode="External"/><Relationship Id="rId1219" Type="http://schemas.openxmlformats.org/officeDocument/2006/relationships/hyperlink" Target="https://gerandofalcoes.my.salesforce.com/0034X0000380O5K" TargetMode="External"/><Relationship Id="rId1566" Type="http://schemas.openxmlformats.org/officeDocument/2006/relationships/hyperlink" Target="https://gerandofalcoes.my.salesforce.com/0034P000045kxkc" TargetMode="External"/><Relationship Id="rId1773" Type="http://schemas.openxmlformats.org/officeDocument/2006/relationships/hyperlink" Target="https://www.instagram.com/andre2294/" TargetMode="External"/><Relationship Id="rId1980" Type="http://schemas.openxmlformats.org/officeDocument/2006/relationships/hyperlink" Target="https://drive.google.com/open?id=1HmDukN8uFLVRocaTw_PAt9TnTZF2xu2M" TargetMode="External"/><Relationship Id="rId65" Type="http://schemas.openxmlformats.org/officeDocument/2006/relationships/hyperlink" Target="https://gerandofalcoes.my.salesforce.com/0014X00002VKCtaQAH" TargetMode="External"/><Relationship Id="rId1426" Type="http://schemas.openxmlformats.org/officeDocument/2006/relationships/hyperlink" Target="https://drive.google.com/open?id=1WC5XX3ZVNeAUzSqrW9n9PbtAnflJkpq3" TargetMode="External"/><Relationship Id="rId1633" Type="http://schemas.openxmlformats.org/officeDocument/2006/relationships/hyperlink" Target="https://instagram.com/tavares_ger?utm_medium=copy_link" TargetMode="External"/><Relationship Id="rId1840" Type="http://schemas.openxmlformats.org/officeDocument/2006/relationships/hyperlink" Target="https://drive.google.com/open?id=1bQIsYyFNuqKx-ku43rDgtUKsF6ajDX9S" TargetMode="External"/><Relationship Id="rId1700" Type="http://schemas.openxmlformats.org/officeDocument/2006/relationships/hyperlink" Target="https://www.linkedin.com/in/wellington-nascimento-969a7234/" TargetMode="External"/><Relationship Id="rId379" Type="http://schemas.openxmlformats.org/officeDocument/2006/relationships/hyperlink" Target="https://gerandofalcoes.my.salesforce.com/0014P00003AN2FfQAL" TargetMode="External"/><Relationship Id="rId586" Type="http://schemas.openxmlformats.org/officeDocument/2006/relationships/hyperlink" Target="https://instagram.com/dener.moraes.dr?utm_medium=copy_link" TargetMode="External"/><Relationship Id="rId793" Type="http://schemas.openxmlformats.org/officeDocument/2006/relationships/hyperlink" Target="https://drive.google.com/open?id=1j8cxmOqbvNfenrC8kGyhg1jUDiIJkIMQ" TargetMode="External"/><Relationship Id="rId2267" Type="http://schemas.openxmlformats.org/officeDocument/2006/relationships/hyperlink" Target="https://www.linkedin.com/in/gabriela-veras-3b2879108/" TargetMode="External"/><Relationship Id="rId239" Type="http://schemas.openxmlformats.org/officeDocument/2006/relationships/hyperlink" Target="https://drive.google.com/open?id=1aT5Zp-0ZU4R8xA6SUmPvudXpAHz6zP6i" TargetMode="External"/><Relationship Id="rId446" Type="http://schemas.openxmlformats.org/officeDocument/2006/relationships/hyperlink" Target="https://gerandofalcoes.my.salesforce.com/0034X0000380O0b" TargetMode="External"/><Relationship Id="rId653" Type="http://schemas.openxmlformats.org/officeDocument/2006/relationships/hyperlink" Target="https://gerandofalcoes.my.salesforce.com/0014X00002VKCtgQAH" TargetMode="External"/><Relationship Id="rId1076" Type="http://schemas.openxmlformats.org/officeDocument/2006/relationships/hyperlink" Target="https://www.instagram.com/marlyroodrigues/" TargetMode="External"/><Relationship Id="rId1283" Type="http://schemas.openxmlformats.org/officeDocument/2006/relationships/hyperlink" Target="https://gerandofalcoes.my.salesforce.com/0034P000045kxke" TargetMode="External"/><Relationship Id="rId1490" Type="http://schemas.openxmlformats.org/officeDocument/2006/relationships/hyperlink" Target="https://gerandofalcoes.my.salesforce.com/0014P00003ERUfsQAH" TargetMode="External"/><Relationship Id="rId2127" Type="http://schemas.openxmlformats.org/officeDocument/2006/relationships/hyperlink" Target="https://gerandofalcoes.my.salesforce.com/0034P000045kxj3" TargetMode="External"/><Relationship Id="rId2334" Type="http://schemas.openxmlformats.org/officeDocument/2006/relationships/hyperlink" Target="https://gerandofalcoes.my.salesforce.com/0014X00002VKCpGQAX" TargetMode="External"/><Relationship Id="rId306" Type="http://schemas.openxmlformats.org/officeDocument/2006/relationships/hyperlink" Target="https://gerandofalcoes.my.salesforce.com/0014P00003SGWPtQAP" TargetMode="External"/><Relationship Id="rId860" Type="http://schemas.openxmlformats.org/officeDocument/2006/relationships/hyperlink" Target="https://www.instagram.com/d.diegoglima2/" TargetMode="External"/><Relationship Id="rId1143" Type="http://schemas.openxmlformats.org/officeDocument/2006/relationships/hyperlink" Target="https://www.instagram.com/reel/Cft8Vl_O5hl/?utm_source=ig_web_copy_link" TargetMode="External"/><Relationship Id="rId513" Type="http://schemas.openxmlformats.org/officeDocument/2006/relationships/hyperlink" Target="https://gerandofalcoes.my.salesforce.com/0014P00003SGWQ6QAP" TargetMode="External"/><Relationship Id="rId720" Type="http://schemas.openxmlformats.org/officeDocument/2006/relationships/hyperlink" Target="https://gerandofalcoes.my.salesforce.com/0014P00003YSp9qQAD" TargetMode="External"/><Relationship Id="rId1350" Type="http://schemas.openxmlformats.org/officeDocument/2006/relationships/hyperlink" Target="https://gerandofalcoes.my.salesforce.com/0034X0000380O4y" TargetMode="External"/><Relationship Id="rId1003" Type="http://schemas.openxmlformats.org/officeDocument/2006/relationships/hyperlink" Target="https://gerandofalcoes.my.salesforce.com/0014X00002VKCutQAH" TargetMode="External"/><Relationship Id="rId1210" Type="http://schemas.openxmlformats.org/officeDocument/2006/relationships/hyperlink" Target="https://gerandofalcoes.my.salesforce.com/0034P00003maBVH" TargetMode="External"/><Relationship Id="rId2191" Type="http://schemas.openxmlformats.org/officeDocument/2006/relationships/hyperlink" Target="https://drive.google.com/open?id=1nDYm1I-lZAJn9X0O6BanBlGUOH2Es6LQ" TargetMode="External"/><Relationship Id="rId163" Type="http://schemas.openxmlformats.org/officeDocument/2006/relationships/hyperlink" Target="https://www.linkedin.com/in/fl%C3%A1vio-almeida-729a731ba/" TargetMode="External"/><Relationship Id="rId370" Type="http://schemas.openxmlformats.org/officeDocument/2006/relationships/hyperlink" Target="https://drive.google.com/open?id=1tS-Qu0P5tKLGVVIQ0NO2Ggi4TDstN7L8" TargetMode="External"/><Relationship Id="rId2051" Type="http://schemas.openxmlformats.org/officeDocument/2006/relationships/hyperlink" Target="https://gerandofalcoes.my.salesforce.com/0034P000045kxj1" TargetMode="External"/><Relationship Id="rId230" Type="http://schemas.openxmlformats.org/officeDocument/2006/relationships/hyperlink" Target="https://www.instagram.com/pretaeliz" TargetMode="External"/><Relationship Id="rId1677" Type="http://schemas.openxmlformats.org/officeDocument/2006/relationships/hyperlink" Target="https://gerandofalcoes.my.salesforce.com/0014X00002VKCuJQAX" TargetMode="External"/><Relationship Id="rId1884" Type="http://schemas.openxmlformats.org/officeDocument/2006/relationships/hyperlink" Target="https://www.linkedin.com/in/daisy-cristina-martins-dos-santos-42440b200" TargetMode="External"/><Relationship Id="rId907" Type="http://schemas.openxmlformats.org/officeDocument/2006/relationships/hyperlink" Target="https://gerandofalcoes.my.salesforce.com/0014P00003YSp9OQAT" TargetMode="External"/><Relationship Id="rId1537" Type="http://schemas.openxmlformats.org/officeDocument/2006/relationships/hyperlink" Target="https://drive.google.com/open?id=1wqdRVNgdM9vY4wBXyQsneRFNwDcqiIb7" TargetMode="External"/><Relationship Id="rId1744" Type="http://schemas.openxmlformats.org/officeDocument/2006/relationships/hyperlink" Target="https://www.linkedin.com/in/rafaelle-bragan%C3%A7a-44543896/" TargetMode="External"/><Relationship Id="rId1951" Type="http://schemas.openxmlformats.org/officeDocument/2006/relationships/hyperlink" Target="https://gerandofalcoes.my.salesforce.com/0014X00002VKCtRQAX" TargetMode="External"/><Relationship Id="rId36" Type="http://schemas.openxmlformats.org/officeDocument/2006/relationships/hyperlink" Target="https://gerandofalcoes.my.salesforce.com/0014P00003YSpADQA1" TargetMode="External"/><Relationship Id="rId1604" Type="http://schemas.openxmlformats.org/officeDocument/2006/relationships/hyperlink" Target="https://gerandofalcoes.my.salesforce.com/0034P000043fPDk" TargetMode="External"/><Relationship Id="rId1811" Type="http://schemas.openxmlformats.org/officeDocument/2006/relationships/hyperlink" Target="https://gerandofalcoes.my.salesforce.com/0034P000045kxk3" TargetMode="External"/><Relationship Id="rId697" Type="http://schemas.openxmlformats.org/officeDocument/2006/relationships/hyperlink" Target="https://gerandofalcoes.my.salesforce.com/0014P00003YSp8gQAD" TargetMode="External"/><Relationship Id="rId2378" Type="http://schemas.openxmlformats.org/officeDocument/2006/relationships/hyperlink" Target="https://gerandofalcoes.my.salesforce.com/0034P00003maBVE" TargetMode="External"/><Relationship Id="rId1187" Type="http://schemas.openxmlformats.org/officeDocument/2006/relationships/hyperlink" Target="https://www.instagram.com/liviasilveiraa/?hl=pt-br" TargetMode="External"/><Relationship Id="rId557" Type="http://schemas.openxmlformats.org/officeDocument/2006/relationships/hyperlink" Target="https://gerandofalcoes.my.salesforce.com/0014X00002VKCsEQAX" TargetMode="External"/><Relationship Id="rId764" Type="http://schemas.openxmlformats.org/officeDocument/2006/relationships/hyperlink" Target="https://www.linkedin.com/in/emanuel-medeiros-72999369/" TargetMode="External"/><Relationship Id="rId971" Type="http://schemas.openxmlformats.org/officeDocument/2006/relationships/hyperlink" Target="https://gerandofalcoes.my.salesforce.com/0034X0000380O6F" TargetMode="External"/><Relationship Id="rId1394" Type="http://schemas.openxmlformats.org/officeDocument/2006/relationships/hyperlink" Target="https://gerandofalcoes.my.salesforce.com/0014P00003SGWPjQAP" TargetMode="External"/><Relationship Id="rId2238" Type="http://schemas.openxmlformats.org/officeDocument/2006/relationships/hyperlink" Target="https://drive.google.com/open?id=18QyWMyBso5nKdaxJbjilalMMEEzZOq5C" TargetMode="External"/><Relationship Id="rId417" Type="http://schemas.openxmlformats.org/officeDocument/2006/relationships/hyperlink" Target="https://gerandofalcoes.my.salesforce.com/0014P00003YSp7RQAT" TargetMode="External"/><Relationship Id="rId624" Type="http://schemas.openxmlformats.org/officeDocument/2006/relationships/hyperlink" Target="https://drive.google.com/open?id=1sMMP8sT5YFep0Zd9Mv9yDGZWZNCbqBt6" TargetMode="External"/><Relationship Id="rId831" Type="http://schemas.openxmlformats.org/officeDocument/2006/relationships/hyperlink" Target="https://instagram.com/alves__sevla?utm_medium=copy_link" TargetMode="External"/><Relationship Id="rId1047" Type="http://schemas.openxmlformats.org/officeDocument/2006/relationships/hyperlink" Target="https://gerandofalcoes.my.salesforce.com/0034X0000380O3d" TargetMode="External"/><Relationship Id="rId1254" Type="http://schemas.openxmlformats.org/officeDocument/2006/relationships/hyperlink" Target="https://drive.google.com/open?id=1SxiKyqV2xOHzIIozN5Ma7V_EM0lvm5jn" TargetMode="External"/><Relationship Id="rId1461" Type="http://schemas.openxmlformats.org/officeDocument/2006/relationships/hyperlink" Target="https://www.instagram.com/sandroczq/" TargetMode="External"/><Relationship Id="rId2305" Type="http://schemas.openxmlformats.org/officeDocument/2006/relationships/hyperlink" Target="https://instagram.com/leandrosoaresfla?utm_medium=copy_link" TargetMode="External"/><Relationship Id="rId1114" Type="http://schemas.openxmlformats.org/officeDocument/2006/relationships/hyperlink" Target="https://drive.google.com/open?id=1AjXqd6Bd4csw8z7lEfjPI1wirSW21NLN" TargetMode="External"/><Relationship Id="rId1321" Type="http://schemas.openxmlformats.org/officeDocument/2006/relationships/hyperlink" Target="https://gerandofalcoes.my.salesforce.com/0014X00002VKCuNQAX" TargetMode="External"/><Relationship Id="rId2095" Type="http://schemas.openxmlformats.org/officeDocument/2006/relationships/hyperlink" Target="https://gerandofalcoes.my.salesforce.com/0014P00003YSp8IQAT" TargetMode="External"/><Relationship Id="rId274" Type="http://schemas.openxmlformats.org/officeDocument/2006/relationships/hyperlink" Target="https://drive.google.com/open?id=1Z9_JhppkZ2Wj4c8OIrfad1jLgFYg_3LK" TargetMode="External"/><Relationship Id="rId481" Type="http://schemas.openxmlformats.org/officeDocument/2006/relationships/hyperlink" Target="https://gerandofalcoes.my.salesforce.com/0034P000045kxiC" TargetMode="External"/><Relationship Id="rId2162" Type="http://schemas.openxmlformats.org/officeDocument/2006/relationships/hyperlink" Target="https://www.instagram.com/reel/Cf-Y_jvAZlP/?igshid=YmMyMTA2M2Y=" TargetMode="External"/><Relationship Id="rId134" Type="http://schemas.openxmlformats.org/officeDocument/2006/relationships/hyperlink" Target="https://drive.google.com/open?id=1N5tO7FkWHKIS9DyxnO6sFjCPD2KvsY5A" TargetMode="External"/><Relationship Id="rId341" Type="http://schemas.openxmlformats.org/officeDocument/2006/relationships/hyperlink" Target="https://gerandofalcoes.my.salesforce.com/0034X0000380O0n" TargetMode="External"/><Relationship Id="rId2022" Type="http://schemas.openxmlformats.org/officeDocument/2006/relationships/hyperlink" Target="https://drive.google.com/open?id=19KfG4n48fH3hdBSwO3tgOMVnmaMNYI6A" TargetMode="External"/><Relationship Id="rId201" Type="http://schemas.openxmlformats.org/officeDocument/2006/relationships/hyperlink" Target="https://www.linkedin.com/in/gilmar-lima-a34b45161" TargetMode="External"/><Relationship Id="rId1788" Type="http://schemas.openxmlformats.org/officeDocument/2006/relationships/hyperlink" Target="https://gerandofalcoes.my.salesforce.com/0034X0000380O46" TargetMode="External"/><Relationship Id="rId1995" Type="http://schemas.openxmlformats.org/officeDocument/2006/relationships/hyperlink" Target="https://gerandofalcoes.my.salesforce.com/0034P000045kxjn" TargetMode="External"/><Relationship Id="rId1648" Type="http://schemas.openxmlformats.org/officeDocument/2006/relationships/hyperlink" Target="https://drive.google.com/open?id=15Hz5P0NoGMuUx7CMojEz98gbyl3gz4KE" TargetMode="External"/><Relationship Id="rId1508" Type="http://schemas.openxmlformats.org/officeDocument/2006/relationships/hyperlink" Target="https://drive.google.com/open?id=19gdmX7R4KOcvUbBvKjUmw37JQQLdNVMQ" TargetMode="External"/><Relationship Id="rId1855" Type="http://schemas.openxmlformats.org/officeDocument/2006/relationships/hyperlink" Target="https://gerandofalcoes.my.salesforce.com/0034X0000380O22" TargetMode="External"/><Relationship Id="rId1715" Type="http://schemas.openxmlformats.org/officeDocument/2006/relationships/hyperlink" Target="https://www.instagram.com/correiasilvaelaine" TargetMode="External"/><Relationship Id="rId1922" Type="http://schemas.openxmlformats.org/officeDocument/2006/relationships/hyperlink" Target="https://drive.google.com/open?id=11uUQOTvq0vidwHYMUQOADdzirZbRyUnh" TargetMode="External"/><Relationship Id="rId668" Type="http://schemas.openxmlformats.org/officeDocument/2006/relationships/hyperlink" Target="https://gerandofalcoes.my.salesforce.com/0014X00002VKCtXQAX" TargetMode="External"/><Relationship Id="rId875" Type="http://schemas.openxmlformats.org/officeDocument/2006/relationships/hyperlink" Target="https://drive.google.com/open?id=1sHyVqtOgGEZolkW9W01JGPuN42Lh50xz" TargetMode="External"/><Relationship Id="rId1298" Type="http://schemas.openxmlformats.org/officeDocument/2006/relationships/hyperlink" Target="https://drive.google.com/open?id=1J_HSc8fdB1ONZwFRbb9iBarbUCwDhRQ8" TargetMode="External"/><Relationship Id="rId2349" Type="http://schemas.openxmlformats.org/officeDocument/2006/relationships/hyperlink" Target="https://drive.google.com/open?id=1t8zCL03Ok-o5KYpuE57w336L1-IheByt" TargetMode="External"/><Relationship Id="rId528" Type="http://schemas.openxmlformats.org/officeDocument/2006/relationships/hyperlink" Target="https://gerandofalcoes.my.salesforce.com/0034P000043fOnf" TargetMode="External"/><Relationship Id="rId735" Type="http://schemas.openxmlformats.org/officeDocument/2006/relationships/hyperlink" Target="https://gerandofalcoes.my.salesforce.com/0034X0000380O69" TargetMode="External"/><Relationship Id="rId942" Type="http://schemas.openxmlformats.org/officeDocument/2006/relationships/hyperlink" Target="https://www.instagram.com/p/CYkbyTHO-84/?utm_medium=copy_link" TargetMode="External"/><Relationship Id="rId1158" Type="http://schemas.openxmlformats.org/officeDocument/2006/relationships/hyperlink" Target="https://drive.google.com/open?id=1NQmOvFTOd2Qfziq8z5XYBBfJCoJNU-Gc" TargetMode="External"/><Relationship Id="rId1365" Type="http://schemas.openxmlformats.org/officeDocument/2006/relationships/hyperlink" Target="https://www.instagram.com/jhowroots17/" TargetMode="External"/><Relationship Id="rId1572" Type="http://schemas.openxmlformats.org/officeDocument/2006/relationships/hyperlink" Target="https://drive.google.com/open?id=1FLmqsKGXy2cVgef1wEqEUMcklpG9cCor" TargetMode="External"/><Relationship Id="rId2209" Type="http://schemas.openxmlformats.org/officeDocument/2006/relationships/hyperlink" Target="https://drive.google.com/open?id=1C3W8E_PlOzSUICGDKY70cjR9fMrFEiqx" TargetMode="External"/><Relationship Id="rId1018" Type="http://schemas.openxmlformats.org/officeDocument/2006/relationships/hyperlink" Target="https://www.linkedin.com/in/davihschoenar/" TargetMode="External"/><Relationship Id="rId1225" Type="http://schemas.openxmlformats.org/officeDocument/2006/relationships/hyperlink" Target="https://gerandofalcoes.my.salesforce.com/0034X0000380O5U" TargetMode="External"/><Relationship Id="rId1432" Type="http://schemas.openxmlformats.org/officeDocument/2006/relationships/hyperlink" Target="https://www.instagram.com/thalita_o_garcia/" TargetMode="External"/><Relationship Id="rId71" Type="http://schemas.openxmlformats.org/officeDocument/2006/relationships/hyperlink" Target="https://drive.google.com/open?id=1DaVXQ2ZlBNvwQllm5oTv-_0QHlRR0xRn" TargetMode="External"/><Relationship Id="rId802" Type="http://schemas.openxmlformats.org/officeDocument/2006/relationships/hyperlink" Target="https://gerandofalcoes.my.salesforce.com/0014P00003SGWQCQA5" TargetMode="External"/><Relationship Id="rId178" Type="http://schemas.openxmlformats.org/officeDocument/2006/relationships/hyperlink" Target="https://gerandofalcoes.my.salesforce.com/0014P00003YSp9FQAT" TargetMode="External"/><Relationship Id="rId385" Type="http://schemas.openxmlformats.org/officeDocument/2006/relationships/hyperlink" Target="https://gerandofalcoes.my.salesforce.com/0034X0000380O65" TargetMode="External"/><Relationship Id="rId592" Type="http://schemas.openxmlformats.org/officeDocument/2006/relationships/hyperlink" Target="https://drive.google.com/open?id=1YkI5xGXSvtG8TIZt1DdiDMmYNElCIN6y" TargetMode="External"/><Relationship Id="rId2066" Type="http://schemas.openxmlformats.org/officeDocument/2006/relationships/hyperlink" Target="https://gerandofalcoes.my.salesforce.com/0034P00003maBV8" TargetMode="External"/><Relationship Id="rId2273" Type="http://schemas.openxmlformats.org/officeDocument/2006/relationships/hyperlink" Target="https://drive.google.com/open?id=1aJMhjSJo7bimfXEZeE06v_OkJuecINRE" TargetMode="External"/><Relationship Id="rId245" Type="http://schemas.openxmlformats.org/officeDocument/2006/relationships/hyperlink" Target="https://gerandofalcoes.my.salesforce.com/0034X0000380O0l" TargetMode="External"/><Relationship Id="rId452" Type="http://schemas.openxmlformats.org/officeDocument/2006/relationships/hyperlink" Target="https://gerandofalcoes.my.salesforce.com/0014X00002VKCqQQAX" TargetMode="External"/><Relationship Id="rId1082" Type="http://schemas.openxmlformats.org/officeDocument/2006/relationships/hyperlink" Target="https://gerandofalcoes.my.salesforce.com/0014P00003YSp9ZQAT" TargetMode="External"/><Relationship Id="rId2133" Type="http://schemas.openxmlformats.org/officeDocument/2006/relationships/hyperlink" Target="https://gerandofalcoes.my.salesforce.com/0034P000045kxjg" TargetMode="External"/><Relationship Id="rId2340" Type="http://schemas.openxmlformats.org/officeDocument/2006/relationships/hyperlink" Target="https://gerandofalcoes.my.salesforce.com/0034X0000380O1A" TargetMode="External"/><Relationship Id="rId105" Type="http://schemas.openxmlformats.org/officeDocument/2006/relationships/hyperlink" Target="https://drive.google.com/open?id=1NREC90Vapi9Pd3c3Qr7eTyVww-QgS0q5" TargetMode="External"/><Relationship Id="rId312" Type="http://schemas.openxmlformats.org/officeDocument/2006/relationships/hyperlink" Target="https://gerandofalcoes.my.salesforce.com/0034P000045knPD" TargetMode="External"/><Relationship Id="rId2200" Type="http://schemas.openxmlformats.org/officeDocument/2006/relationships/hyperlink" Target="https://www.instagram.com/p/Cc_megbpDFD/?igshid=YmMyMTA2M2Y=" TargetMode="External"/><Relationship Id="rId1899" Type="http://schemas.openxmlformats.org/officeDocument/2006/relationships/hyperlink" Target="https://gerandofalcoes.my.salesforce.com/0034X0000380O6Z" TargetMode="External"/><Relationship Id="rId1759" Type="http://schemas.openxmlformats.org/officeDocument/2006/relationships/hyperlink" Target="https://www.instagram.com/caito_ct/" TargetMode="External"/><Relationship Id="rId1966" Type="http://schemas.openxmlformats.org/officeDocument/2006/relationships/hyperlink" Target="https://instagram.com/kauannatoppa?utm_medium=copy_link" TargetMode="External"/><Relationship Id="rId1619" Type="http://schemas.openxmlformats.org/officeDocument/2006/relationships/hyperlink" Target="https://gerandofalcoes.my.salesforce.com/0014X00002VKCtzQAH" TargetMode="External"/><Relationship Id="rId1826" Type="http://schemas.openxmlformats.org/officeDocument/2006/relationships/hyperlink" Target="https://gerandofalcoes.my.salesforce.com/0014P00003YSp8LQAT" TargetMode="External"/><Relationship Id="rId779" Type="http://schemas.openxmlformats.org/officeDocument/2006/relationships/hyperlink" Target="https://gerandofalcoes.my.salesforce.com/0034P000045kxij" TargetMode="External"/><Relationship Id="rId986" Type="http://schemas.openxmlformats.org/officeDocument/2006/relationships/hyperlink" Target="https://drive.google.com/open?id=1t3zPR_a3R-ua7g9dt25GEXxHgrF0s7Zg" TargetMode="External"/><Relationship Id="rId639" Type="http://schemas.openxmlformats.org/officeDocument/2006/relationships/hyperlink" Target="https://www.linkedin.com/in/eraldonoronha/" TargetMode="External"/><Relationship Id="rId1269" Type="http://schemas.openxmlformats.org/officeDocument/2006/relationships/hyperlink" Target="https://gerandofalcoes.my.salesforce.com/0034X0000380O5N" TargetMode="External"/><Relationship Id="rId1476" Type="http://schemas.openxmlformats.org/officeDocument/2006/relationships/hyperlink" Target="https://gerandofalcoes.my.salesforce.com/0034X0000380O3U" TargetMode="External"/><Relationship Id="rId846" Type="http://schemas.openxmlformats.org/officeDocument/2006/relationships/hyperlink" Target="https://drive.google.com/open?id=1mGtZy48L_SOEgiifOFvGqZmBUKL8XHMB" TargetMode="External"/><Relationship Id="rId1129" Type="http://schemas.openxmlformats.org/officeDocument/2006/relationships/hyperlink" Target="https://gerandofalcoes.my.salesforce.com/0034P000045kxjV" TargetMode="External"/><Relationship Id="rId1683" Type="http://schemas.openxmlformats.org/officeDocument/2006/relationships/hyperlink" Target="https://www.instagram.com/reel/Cc8Og9xvizY/?igshid=YmMyMTA2M2Y=" TargetMode="External"/><Relationship Id="rId1890" Type="http://schemas.openxmlformats.org/officeDocument/2006/relationships/hyperlink" Target="https://drive.google.com/open?id=1PbbIjsAeffmEXCZLf3eQUwKVEaDDVrMg" TargetMode="External"/><Relationship Id="rId706" Type="http://schemas.openxmlformats.org/officeDocument/2006/relationships/hyperlink" Target="https://www.instagram.com/invites/contact/?i=1dh60zljmycae&amp;utm_content=7aex5q6" TargetMode="External"/><Relationship Id="rId913" Type="http://schemas.openxmlformats.org/officeDocument/2006/relationships/hyperlink" Target="https://www.instagram.com/p/Cb-FQDXO-0_/?utm_medium=copy_link" TargetMode="External"/><Relationship Id="rId1336" Type="http://schemas.openxmlformats.org/officeDocument/2006/relationships/hyperlink" Target="https://drive.google.com/open?id=1yPAfU7NiOiHCtCgAYlXpFLL2cCYucTG-" TargetMode="External"/><Relationship Id="rId1543" Type="http://schemas.openxmlformats.org/officeDocument/2006/relationships/hyperlink" Target="https://gerandofalcoes.my.salesforce.com/0034P000045kxis" TargetMode="External"/><Relationship Id="rId1750" Type="http://schemas.openxmlformats.org/officeDocument/2006/relationships/hyperlink" Target="https://gerandofalcoes.my.salesforce.com/0014X00002VKCpKQAX" TargetMode="External"/><Relationship Id="rId42" Type="http://schemas.openxmlformats.org/officeDocument/2006/relationships/hyperlink" Target="https://instagram.com/ana_siberlly?igshid=YmMyMTA2M2Y=" TargetMode="External"/><Relationship Id="rId1403" Type="http://schemas.openxmlformats.org/officeDocument/2006/relationships/hyperlink" Target="https://gerandofalcoes.my.salesforce.com/0034P000045kxj2" TargetMode="External"/><Relationship Id="rId1610" Type="http://schemas.openxmlformats.org/officeDocument/2006/relationships/hyperlink" Target="https://www.linkedin.com/in/laura-campos-braz-908957200/" TargetMode="External"/><Relationship Id="rId289" Type="http://schemas.openxmlformats.org/officeDocument/2006/relationships/hyperlink" Target="https://gerandofalcoes.my.salesforce.com/0014X00002VKCtqQAH" TargetMode="External"/><Relationship Id="rId496" Type="http://schemas.openxmlformats.org/officeDocument/2006/relationships/hyperlink" Target="https://gerandofalcoes.my.salesforce.com/0014X00002VKCuwQAH" TargetMode="External"/><Relationship Id="rId2177" Type="http://schemas.openxmlformats.org/officeDocument/2006/relationships/hyperlink" Target="https://gerandofalcoes.my.salesforce.com/0034X0000380O6V" TargetMode="External"/><Relationship Id="rId2384" Type="http://schemas.openxmlformats.org/officeDocument/2006/relationships/hyperlink" Target="https://www.linkedin.com/in/davidson-carvalho-429214236/" TargetMode="External"/><Relationship Id="rId149" Type="http://schemas.openxmlformats.org/officeDocument/2006/relationships/hyperlink" Target="https://www.linkedin.com/in/izabel-porto-88b88149/" TargetMode="External"/><Relationship Id="rId356" Type="http://schemas.openxmlformats.org/officeDocument/2006/relationships/hyperlink" Target="https://gerandofalcoes.my.salesforce.com/0014P00003YSp9MQAT" TargetMode="External"/><Relationship Id="rId563" Type="http://schemas.openxmlformats.org/officeDocument/2006/relationships/hyperlink" Target="https://gerandofalcoes.my.salesforce.com/0034X0000315PQz" TargetMode="External"/><Relationship Id="rId770" Type="http://schemas.openxmlformats.org/officeDocument/2006/relationships/hyperlink" Target="https://drive.google.com/open?id=1xSaNUitWCCNXUGZ-FNwECC1tkW8dI4L0" TargetMode="External"/><Relationship Id="rId1193" Type="http://schemas.openxmlformats.org/officeDocument/2006/relationships/hyperlink" Target="https://drive.google.com/open?id=1MWcxDyY72LE5a0FAEkrRPESAhcbkJKea" TargetMode="External"/><Relationship Id="rId2037" Type="http://schemas.openxmlformats.org/officeDocument/2006/relationships/hyperlink" Target="https://drive.google.com/open?id=1eNS6tPUNEcdgPuCchr41AlQzZ7tREe4u" TargetMode="External"/><Relationship Id="rId2244" Type="http://schemas.openxmlformats.org/officeDocument/2006/relationships/hyperlink" Target="https://gerandofalcoes.my.salesforce.com/0014X00002VKCu7QAH" TargetMode="External"/><Relationship Id="rId216" Type="http://schemas.openxmlformats.org/officeDocument/2006/relationships/hyperlink" Target="https://instagram.com/castro.lenir?utm_medium=copy_link" TargetMode="External"/><Relationship Id="rId423" Type="http://schemas.openxmlformats.org/officeDocument/2006/relationships/hyperlink" Target="https://drive.google.com/open?id=14HL6cJqBiU-3e08McYyiZ1-MQtYIJt2Q" TargetMode="External"/><Relationship Id="rId1053" Type="http://schemas.openxmlformats.org/officeDocument/2006/relationships/hyperlink" Target="https://instagram.com/julianamaiareal" TargetMode="External"/><Relationship Id="rId1260" Type="http://schemas.openxmlformats.org/officeDocument/2006/relationships/hyperlink" Target="https://gerandofalcoes.my.salesforce.com/0034X0000380O1Y" TargetMode="External"/><Relationship Id="rId2104" Type="http://schemas.openxmlformats.org/officeDocument/2006/relationships/hyperlink" Target="https://instagram.com/fatimafmayer?utm_medium=copy_link" TargetMode="External"/><Relationship Id="rId630" Type="http://schemas.openxmlformats.org/officeDocument/2006/relationships/hyperlink" Target="https://gerandofalcoes.my.salesforce.com/0034P00003maBVW" TargetMode="External"/><Relationship Id="rId2311" Type="http://schemas.openxmlformats.org/officeDocument/2006/relationships/hyperlink" Target="https://drive.google.com/open?id=1kdfLQFyUYD6ax3RZ8-MXrV-Dazke5ahb" TargetMode="External"/><Relationship Id="rId1120" Type="http://schemas.openxmlformats.org/officeDocument/2006/relationships/hyperlink" Target="https://gerandofalcoes.my.salesforce.com/0034X0000380O64" TargetMode="External"/><Relationship Id="rId1937" Type="http://schemas.openxmlformats.org/officeDocument/2006/relationships/hyperlink" Target="https://drive.google.com/open?id=1OVhP1ER0dEOAvtOCgpqOESk7v5BiU0N9" TargetMode="External"/><Relationship Id="rId280" Type="http://schemas.openxmlformats.org/officeDocument/2006/relationships/hyperlink" Target="https://gerandofalcoes.my.salesforce.com/0014X00002VKCsIQAX" TargetMode="External"/><Relationship Id="rId140" Type="http://schemas.openxmlformats.org/officeDocument/2006/relationships/hyperlink" Target="https://gerandofalcoes.my.salesforce.com/0034X0000380O5X" TargetMode="External"/><Relationship Id="rId6" Type="http://schemas.openxmlformats.org/officeDocument/2006/relationships/hyperlink" Target="https://gerandofalcoes.my.salesforce.com/0014X00002VKCtkQAH" TargetMode="External"/><Relationship Id="rId957" Type="http://schemas.openxmlformats.org/officeDocument/2006/relationships/hyperlink" Target="https://drive.google.com/open?id=1S6VzZQKAEYk_pZgPxr2xEelATWdRxCSl" TargetMode="External"/><Relationship Id="rId1587" Type="http://schemas.openxmlformats.org/officeDocument/2006/relationships/hyperlink" Target="https://gerandofalcoes.my.salesforce.com/0034P00003uQScg" TargetMode="External"/><Relationship Id="rId1794" Type="http://schemas.openxmlformats.org/officeDocument/2006/relationships/hyperlink" Target="https://instagram.com/eduuardoneto?igshid=YmMyMTA2M2Y=" TargetMode="External"/><Relationship Id="rId86" Type="http://schemas.openxmlformats.org/officeDocument/2006/relationships/hyperlink" Target="https://www.instagram.com/associacaobeneficenteamigas/" TargetMode="External"/><Relationship Id="rId817" Type="http://schemas.openxmlformats.org/officeDocument/2006/relationships/hyperlink" Target="https://instagram.com/gigimenez6?utm_medium=copy_link" TargetMode="External"/><Relationship Id="rId1447" Type="http://schemas.openxmlformats.org/officeDocument/2006/relationships/hyperlink" Target="https://gerandofalcoes.my.salesforce.com/0014P00003MjNTIQA3" TargetMode="External"/><Relationship Id="rId1654" Type="http://schemas.openxmlformats.org/officeDocument/2006/relationships/hyperlink" Target="https://gerandofalcoes.my.salesforce.com/0034P00003maBVd" TargetMode="External"/><Relationship Id="rId1861" Type="http://schemas.openxmlformats.org/officeDocument/2006/relationships/hyperlink" Target="https://drive.google.com/open?id=1iQQCVzJggVXX3WjPuawaZIkyknJcMq86" TargetMode="External"/><Relationship Id="rId1307" Type="http://schemas.openxmlformats.org/officeDocument/2006/relationships/hyperlink" Target="https://instagram.com/ca1olima?utm_medium=copy_link" TargetMode="External"/><Relationship Id="rId1514" Type="http://schemas.openxmlformats.org/officeDocument/2006/relationships/hyperlink" Target="https://gerandofalcoes.my.salesforce.com/0034X0000380O45" TargetMode="External"/><Relationship Id="rId1721" Type="http://schemas.openxmlformats.org/officeDocument/2006/relationships/hyperlink" Target="https://gerandofalcoes.my.salesforce.com/0034X0000380O0q" TargetMode="External"/><Relationship Id="rId13" Type="http://schemas.openxmlformats.org/officeDocument/2006/relationships/hyperlink" Target="https://gerandofalcoes.my.salesforce.com/0014P00003AN2FaQAL" TargetMode="External"/><Relationship Id="rId2288" Type="http://schemas.openxmlformats.org/officeDocument/2006/relationships/hyperlink" Target="https://drive.google.com/open?id=1V8Xk-XFQQ_K1xFlehXrJrg28hVTsJnLL" TargetMode="External"/><Relationship Id="rId467" Type="http://schemas.openxmlformats.org/officeDocument/2006/relationships/hyperlink" Target="https://instagram.com/ameasoficial?utm_medium=copy_link" TargetMode="External"/><Relationship Id="rId1097" Type="http://schemas.openxmlformats.org/officeDocument/2006/relationships/hyperlink" Target="https://drive.google.com/open?id=1-qUORzM0dfqwIkRyeX8lS50td8hES08B" TargetMode="External"/><Relationship Id="rId2148" Type="http://schemas.openxmlformats.org/officeDocument/2006/relationships/hyperlink" Target="https://instagram.com/andreluizmacedosilva?igshid=YmMyMTA2M2Y=" TargetMode="External"/><Relationship Id="rId674" Type="http://schemas.openxmlformats.org/officeDocument/2006/relationships/hyperlink" Target="https://www.linkedin.com/in/duda-lemos-264ab4115/" TargetMode="External"/><Relationship Id="rId881" Type="http://schemas.openxmlformats.org/officeDocument/2006/relationships/hyperlink" Target="https://gerandofalcoes.my.salesforce.com/0034P000045kxky" TargetMode="External"/><Relationship Id="rId2355" Type="http://schemas.openxmlformats.org/officeDocument/2006/relationships/hyperlink" Target="https://gerandofalcoes.my.salesforce.com/0014X00002VKCrgQAH" TargetMode="External"/><Relationship Id="rId327" Type="http://schemas.openxmlformats.org/officeDocument/2006/relationships/hyperlink" Target="https://gerandofalcoes.my.salesforce.com/0034X0000380O1T" TargetMode="External"/><Relationship Id="rId534" Type="http://schemas.openxmlformats.org/officeDocument/2006/relationships/hyperlink" Target="https://instagram.com/du_marques_oficial" TargetMode="External"/><Relationship Id="rId741" Type="http://schemas.openxmlformats.org/officeDocument/2006/relationships/hyperlink" Target="https://www.instagram.com/rafaelflavio/" TargetMode="External"/><Relationship Id="rId1164" Type="http://schemas.openxmlformats.org/officeDocument/2006/relationships/hyperlink" Target="https://www.linkedin.com/in/hans-henrique-s-mendon%C3%A7a-128589169/" TargetMode="External"/><Relationship Id="rId1371" Type="http://schemas.openxmlformats.org/officeDocument/2006/relationships/hyperlink" Target="https://gerandofalcoes.my.salesforce.com/0014P00003SGWPuQAP" TargetMode="External"/><Relationship Id="rId2008" Type="http://schemas.openxmlformats.org/officeDocument/2006/relationships/hyperlink" Target="https://www.instagram.com/zedanilo.guerra/" TargetMode="External"/><Relationship Id="rId2215" Type="http://schemas.openxmlformats.org/officeDocument/2006/relationships/hyperlink" Target="https://gerandofalcoes.my.salesforce.com/0014X00002VKCqOQAX" TargetMode="External"/><Relationship Id="rId601" Type="http://schemas.openxmlformats.org/officeDocument/2006/relationships/hyperlink" Target="https://gerandofalcoes.my.salesforce.com/0014X00002VKCpzQAH" TargetMode="External"/><Relationship Id="rId1024" Type="http://schemas.openxmlformats.org/officeDocument/2006/relationships/hyperlink" Target="https://www.instagram.com/institutobrandao10/?hl=pt-br" TargetMode="External"/><Relationship Id="rId1231" Type="http://schemas.openxmlformats.org/officeDocument/2006/relationships/hyperlink" Target="https://www.linkedin.com/in/gilsimaralima/"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gerandofalcoes.my.salesforce.com/0014X00002VKCqQQAX" TargetMode="External"/><Relationship Id="rId21" Type="http://schemas.openxmlformats.org/officeDocument/2006/relationships/hyperlink" Target="https://gerandofalcoes.my.salesforce.com/0014P00003YSp9aQAD" TargetMode="External"/><Relationship Id="rId324" Type="http://schemas.openxmlformats.org/officeDocument/2006/relationships/hyperlink" Target="https://gerandofalcoes.my.salesforce.com/0014X00002VKCr1QAH" TargetMode="External"/><Relationship Id="rId531" Type="http://schemas.openxmlformats.org/officeDocument/2006/relationships/hyperlink" Target="https://gerandofalcoes.my.salesforce.com/0014X00002VKCpmQAH" TargetMode="External"/><Relationship Id="rId170" Type="http://schemas.openxmlformats.org/officeDocument/2006/relationships/hyperlink" Target="https://gerandofalcoes.my.salesforce.com/0014X00002VKCtXQAX" TargetMode="External"/><Relationship Id="rId268" Type="http://schemas.openxmlformats.org/officeDocument/2006/relationships/hyperlink" Target="https://gerandofalcoes.my.salesforce.com/0014P00003AN2FwQAL" TargetMode="External"/><Relationship Id="rId475" Type="http://schemas.openxmlformats.org/officeDocument/2006/relationships/hyperlink" Target="https://gerandofalcoes.my.salesforce.com/0014P00003YSp8CQAT" TargetMode="External"/><Relationship Id="rId32" Type="http://schemas.openxmlformats.org/officeDocument/2006/relationships/hyperlink" Target="https://gerandofalcoes.my.salesforce.com/0014P00003AN2GIQA1" TargetMode="External"/><Relationship Id="rId128" Type="http://schemas.openxmlformats.org/officeDocument/2006/relationships/hyperlink" Target="https://gerandofalcoes.my.salesforce.com/0014X00002VKCuwQAH" TargetMode="External"/><Relationship Id="rId335" Type="http://schemas.openxmlformats.org/officeDocument/2006/relationships/hyperlink" Target="https://gerandofalcoes.my.salesforce.com/0014X00002VKCuNQAX" TargetMode="External"/><Relationship Id="rId542" Type="http://schemas.openxmlformats.org/officeDocument/2006/relationships/hyperlink" Target="https://gerandofalcoes.my.salesforce.com/0014X00002VKCtMQAX" TargetMode="External"/><Relationship Id="rId181" Type="http://schemas.openxmlformats.org/officeDocument/2006/relationships/hyperlink" Target="https://gerandofalcoes.my.salesforce.com/0014X00002VKCusQAH" TargetMode="External"/><Relationship Id="rId402" Type="http://schemas.openxmlformats.org/officeDocument/2006/relationships/hyperlink" Target="https://gerandofalcoes.my.salesforce.com/0014X00002VKCtDQAX" TargetMode="External"/><Relationship Id="rId279" Type="http://schemas.openxmlformats.org/officeDocument/2006/relationships/hyperlink" Target="https://gerandofalcoes.my.salesforce.com/0014P00003AN2FmQAL" TargetMode="External"/><Relationship Id="rId486" Type="http://schemas.openxmlformats.org/officeDocument/2006/relationships/hyperlink" Target="https://gerandofalcoes.my.salesforce.com/0014P00003YSpA1QAL" TargetMode="External"/><Relationship Id="rId43" Type="http://schemas.openxmlformats.org/officeDocument/2006/relationships/hyperlink" Target="https://gerandofalcoes.my.salesforce.com/0014P00003YSp8kQAD" TargetMode="External"/><Relationship Id="rId139" Type="http://schemas.openxmlformats.org/officeDocument/2006/relationships/hyperlink" Target="https://gerandofalcoes.my.salesforce.com/0014X00002VKCtvQAH" TargetMode="External"/><Relationship Id="rId346" Type="http://schemas.openxmlformats.org/officeDocument/2006/relationships/hyperlink" Target="https://gerandofalcoes.my.salesforce.com/0014P00003SGWQDQA5" TargetMode="External"/><Relationship Id="rId553" Type="http://schemas.openxmlformats.org/officeDocument/2006/relationships/hyperlink" Target="https://gerandofalcoes.my.salesforce.com/0014X00002VKCsMQAX" TargetMode="External"/><Relationship Id="rId192" Type="http://schemas.openxmlformats.org/officeDocument/2006/relationships/hyperlink" Target="https://gerandofalcoes.my.salesforce.com/0014P00003YSp7tQAD" TargetMode="External"/><Relationship Id="rId206" Type="http://schemas.openxmlformats.org/officeDocument/2006/relationships/hyperlink" Target="https://gerandofalcoes.my.salesforce.com/0014P00003SGWPkQAP" TargetMode="External"/><Relationship Id="rId413" Type="http://schemas.openxmlformats.org/officeDocument/2006/relationships/hyperlink" Target="https://gerandofalcoes.my.salesforce.com/0014P00003AN2FxQAL" TargetMode="External"/><Relationship Id="rId497" Type="http://schemas.openxmlformats.org/officeDocument/2006/relationships/hyperlink" Target="https://gerandofalcoes.my.salesforce.com/0014X00002VKCoxQAH" TargetMode="External"/><Relationship Id="rId357" Type="http://schemas.openxmlformats.org/officeDocument/2006/relationships/hyperlink" Target="https://gerandofalcoes.my.salesforce.com/0014P00003YSp9LQAT" TargetMode="External"/><Relationship Id="rId54" Type="http://schemas.openxmlformats.org/officeDocument/2006/relationships/hyperlink" Target="https://gerandofalcoes.my.salesforce.com/0014P00003AN2GFQA1" TargetMode="External"/><Relationship Id="rId217" Type="http://schemas.openxmlformats.org/officeDocument/2006/relationships/hyperlink" Target="https://gerandofalcoes.my.salesforce.com/0014X00002VKCsSQAX" TargetMode="External"/><Relationship Id="rId564" Type="http://schemas.openxmlformats.org/officeDocument/2006/relationships/hyperlink" Target="https://gerandofalcoes.my.salesforce.com/0014X00002VKCu7QAH" TargetMode="External"/><Relationship Id="rId424" Type="http://schemas.openxmlformats.org/officeDocument/2006/relationships/hyperlink" Target="https://gerandofalcoes.my.salesforce.com/0014P00003YSp9yQAD" TargetMode="External"/><Relationship Id="rId270" Type="http://schemas.openxmlformats.org/officeDocument/2006/relationships/hyperlink" Target="https://gerandofalcoes.my.salesforce.com/0014X00002VKCtZQAX" TargetMode="External"/><Relationship Id="rId65" Type="http://schemas.openxmlformats.org/officeDocument/2006/relationships/hyperlink" Target="https://gerandofalcoes.my.salesforce.com/0014X00002VKCp8QAH" TargetMode="External"/><Relationship Id="rId130" Type="http://schemas.openxmlformats.org/officeDocument/2006/relationships/hyperlink" Target="https://gerandofalcoes.my.salesforce.com/0014X00002VKCpcQAH" TargetMode="External"/><Relationship Id="rId368" Type="http://schemas.openxmlformats.org/officeDocument/2006/relationships/hyperlink" Target="https://gerandofalcoes.my.salesforce.com/0014X00002PUOZAQA5" TargetMode="External"/><Relationship Id="rId575" Type="http://schemas.openxmlformats.org/officeDocument/2006/relationships/hyperlink" Target="https://gerandofalcoes.my.salesforce.com/0014X00002VKCrkQAH" TargetMode="External"/><Relationship Id="rId228" Type="http://schemas.openxmlformats.org/officeDocument/2006/relationships/hyperlink" Target="https://gerandofalcoes.my.salesforce.com/0014X00002VKCqKQAX" TargetMode="External"/><Relationship Id="rId435" Type="http://schemas.openxmlformats.org/officeDocument/2006/relationships/hyperlink" Target="https://gerandofalcoes.my.salesforce.com/0014P00003ESKdlQAH" TargetMode="External"/><Relationship Id="rId281" Type="http://schemas.openxmlformats.org/officeDocument/2006/relationships/hyperlink" Target="https://gerandofalcoes.my.salesforce.com/0014X00002VKCqMQAX" TargetMode="External"/><Relationship Id="rId502" Type="http://schemas.openxmlformats.org/officeDocument/2006/relationships/hyperlink" Target="https://gerandofalcoes.my.salesforce.com/0014P00003AN2FtQAL" TargetMode="External"/><Relationship Id="rId76" Type="http://schemas.openxmlformats.org/officeDocument/2006/relationships/hyperlink" Target="https://gerandofalcoes.my.salesforce.com/0014P00003SGWPmQAP" TargetMode="External"/><Relationship Id="rId141" Type="http://schemas.openxmlformats.org/officeDocument/2006/relationships/hyperlink" Target="https://gerandofalcoes.my.salesforce.com/0014P00003YSp8fQAD" TargetMode="External"/><Relationship Id="rId379" Type="http://schemas.openxmlformats.org/officeDocument/2006/relationships/hyperlink" Target="https://gerandofalcoes.my.salesforce.com/0014P00003SGWPqQAP" TargetMode="External"/><Relationship Id="rId586" Type="http://schemas.openxmlformats.org/officeDocument/2006/relationships/hyperlink" Target="https://gerandofalcoes.my.salesforce.com/0014X00002VKCumQAH" TargetMode="External"/><Relationship Id="rId7" Type="http://schemas.openxmlformats.org/officeDocument/2006/relationships/hyperlink" Target="https://gerandofalcoes.my.salesforce.com/0014X00002VKCpyQAH" TargetMode="External"/><Relationship Id="rId239" Type="http://schemas.openxmlformats.org/officeDocument/2006/relationships/hyperlink" Target="https://gerandofalcoes.my.salesforce.com/0014X00002VKCpPQAX" TargetMode="External"/><Relationship Id="rId446" Type="http://schemas.openxmlformats.org/officeDocument/2006/relationships/hyperlink" Target="https://gerandofalcoes.my.salesforce.com/0014P00003SGWPeQAP" TargetMode="External"/><Relationship Id="rId292" Type="http://schemas.openxmlformats.org/officeDocument/2006/relationships/hyperlink" Target="https://gerandofalcoes.my.salesforce.com/0014P00003YSpAJQA1" TargetMode="External"/><Relationship Id="rId306" Type="http://schemas.openxmlformats.org/officeDocument/2006/relationships/hyperlink" Target="https://gerandofalcoes.my.salesforce.com/0014P00003AN2FjQAL" TargetMode="External"/><Relationship Id="rId87" Type="http://schemas.openxmlformats.org/officeDocument/2006/relationships/hyperlink" Target="https://gerandofalcoes.my.salesforce.com/0014X00002VKCtHQAX" TargetMode="External"/><Relationship Id="rId513" Type="http://schemas.openxmlformats.org/officeDocument/2006/relationships/hyperlink" Target="https://gerandofalcoes.my.salesforce.com/0014X00002VKCrlQAH" TargetMode="External"/><Relationship Id="rId597" Type="http://schemas.openxmlformats.org/officeDocument/2006/relationships/hyperlink" Target="https://gerandofalcoes.my.salesforce.com/0014P00003YSp7pQAD" TargetMode="External"/><Relationship Id="rId152" Type="http://schemas.openxmlformats.org/officeDocument/2006/relationships/hyperlink" Target="https://gerandofalcoes.my.salesforce.com/0014X00002VKCoyQAH" TargetMode="External"/><Relationship Id="rId457" Type="http://schemas.openxmlformats.org/officeDocument/2006/relationships/hyperlink" Target="https://gerandofalcoes.my.salesforce.com/0014X00002VKCrVQAX" TargetMode="External"/><Relationship Id="rId14" Type="http://schemas.openxmlformats.org/officeDocument/2006/relationships/hyperlink" Target="https://gerandofalcoes.my.salesforce.com/0014P00003YSp9wQAD" TargetMode="External"/><Relationship Id="rId56" Type="http://schemas.openxmlformats.org/officeDocument/2006/relationships/hyperlink" Target="https://gerandofalcoes.my.salesforce.com/0014P00003SGWPaQAP" TargetMode="External"/><Relationship Id="rId317" Type="http://schemas.openxmlformats.org/officeDocument/2006/relationships/hyperlink" Target="https://gerandofalcoes.my.salesforce.com/0014X00002VKCpfQAH" TargetMode="External"/><Relationship Id="rId359" Type="http://schemas.openxmlformats.org/officeDocument/2006/relationships/hyperlink" Target="https://gerandofalcoes.my.salesforce.com/0014P00003AN2FvQAL" TargetMode="External"/><Relationship Id="rId524" Type="http://schemas.openxmlformats.org/officeDocument/2006/relationships/hyperlink" Target="https://gerandofalcoes.my.salesforce.com/0014X00002VKCpLQAX" TargetMode="External"/><Relationship Id="rId566" Type="http://schemas.openxmlformats.org/officeDocument/2006/relationships/hyperlink" Target="https://gerandofalcoes.my.salesforce.com/0014P00003AN2G0QAL" TargetMode="External"/><Relationship Id="rId98" Type="http://schemas.openxmlformats.org/officeDocument/2006/relationships/hyperlink" Target="https://gerandofalcoes.my.salesforce.com/0014P00003AN2GJQA1" TargetMode="External"/><Relationship Id="rId121" Type="http://schemas.openxmlformats.org/officeDocument/2006/relationships/hyperlink" Target="https://gerandofalcoes.my.salesforce.com/0014P00003SGWQ9QAP" TargetMode="External"/><Relationship Id="rId163" Type="http://schemas.openxmlformats.org/officeDocument/2006/relationships/hyperlink" Target="https://gerandofalcoes.my.salesforce.com/0014P00003YSp9CQAT" TargetMode="External"/><Relationship Id="rId219" Type="http://schemas.openxmlformats.org/officeDocument/2006/relationships/hyperlink" Target="https://gerandofalcoes.my.salesforce.com/0014X00002VKCr9QAH" TargetMode="External"/><Relationship Id="rId370" Type="http://schemas.openxmlformats.org/officeDocument/2006/relationships/hyperlink" Target="https://gerandofalcoes.my.salesforce.com/0014P00003AN2FzQAL" TargetMode="External"/><Relationship Id="rId426" Type="http://schemas.openxmlformats.org/officeDocument/2006/relationships/hyperlink" Target="https://gerandofalcoes.my.salesforce.com/0014X00002VKCpFQAX" TargetMode="External"/><Relationship Id="rId230" Type="http://schemas.openxmlformats.org/officeDocument/2006/relationships/hyperlink" Target="https://gerandofalcoes.my.salesforce.com/0014P00003YSp9OQAT" TargetMode="External"/><Relationship Id="rId468" Type="http://schemas.openxmlformats.org/officeDocument/2006/relationships/hyperlink" Target="https://gerandofalcoes.my.salesforce.com/0014P00003SGWQ7QAP" TargetMode="External"/><Relationship Id="rId25" Type="http://schemas.openxmlformats.org/officeDocument/2006/relationships/hyperlink" Target="https://gerandofalcoes.my.salesforce.com/0014X00002VKCufQAH" TargetMode="External"/><Relationship Id="rId67" Type="http://schemas.openxmlformats.org/officeDocument/2006/relationships/hyperlink" Target="https://gerandofalcoes.my.salesforce.com/0014P00003YSp83QAD" TargetMode="External"/><Relationship Id="rId272" Type="http://schemas.openxmlformats.org/officeDocument/2006/relationships/hyperlink" Target="https://gerandofalcoes.my.salesforce.com/0014P00003AN2FpQAL" TargetMode="External"/><Relationship Id="rId328" Type="http://schemas.openxmlformats.org/officeDocument/2006/relationships/hyperlink" Target="https://gerandofalcoes.my.salesforce.com/0014X00002VKCqLQAX" TargetMode="External"/><Relationship Id="rId535" Type="http://schemas.openxmlformats.org/officeDocument/2006/relationships/hyperlink" Target="https://gerandofalcoes.my.salesforce.com/0014P00003YSp94QAD" TargetMode="External"/><Relationship Id="rId577" Type="http://schemas.openxmlformats.org/officeDocument/2006/relationships/hyperlink" Target="https://gerandofalcoes.my.salesforce.com/0014X00002VKCtxQAH" TargetMode="External"/><Relationship Id="rId132" Type="http://schemas.openxmlformats.org/officeDocument/2006/relationships/hyperlink" Target="https://gerandofalcoes.my.salesforce.com/0014X00002VKCqsQAH" TargetMode="External"/><Relationship Id="rId174" Type="http://schemas.openxmlformats.org/officeDocument/2006/relationships/hyperlink" Target="https://gerandofalcoes.my.salesforce.com/0014P00003YSp7aQAD" TargetMode="External"/><Relationship Id="rId381" Type="http://schemas.openxmlformats.org/officeDocument/2006/relationships/hyperlink" Target="https://gerandofalcoes.my.salesforce.com/0014X00002VKCp1QAH" TargetMode="External"/><Relationship Id="rId602" Type="http://schemas.openxmlformats.org/officeDocument/2006/relationships/comments" Target="../comments5.xml"/><Relationship Id="rId241" Type="http://schemas.openxmlformats.org/officeDocument/2006/relationships/hyperlink" Target="https://gerandofalcoes.my.salesforce.com/0014X00002VKCqNQAX" TargetMode="External"/><Relationship Id="rId437" Type="http://schemas.openxmlformats.org/officeDocument/2006/relationships/hyperlink" Target="https://gerandofalcoes.my.salesforce.com/0014X00002VKCuKQAX" TargetMode="External"/><Relationship Id="rId479" Type="http://schemas.openxmlformats.org/officeDocument/2006/relationships/hyperlink" Target="https://gerandofalcoes.my.salesforce.com/0014P00003YSp9JQAT" TargetMode="External"/><Relationship Id="rId36" Type="http://schemas.openxmlformats.org/officeDocument/2006/relationships/hyperlink" Target="https://gerandofalcoes.my.salesforce.com/0014P00003YSpA5QAL" TargetMode="External"/><Relationship Id="rId283" Type="http://schemas.openxmlformats.org/officeDocument/2006/relationships/hyperlink" Target="https://gerandofalcoes.my.salesforce.com/0014X00002VKCrTQAX" TargetMode="External"/><Relationship Id="rId339" Type="http://schemas.openxmlformats.org/officeDocument/2006/relationships/hyperlink" Target="https://gerandofalcoes.my.salesforce.com/0014P00003SGWQAQA5" TargetMode="External"/><Relationship Id="rId490" Type="http://schemas.openxmlformats.org/officeDocument/2006/relationships/hyperlink" Target="https://gerandofalcoes.my.salesforce.com/0014X00002VKCsxQAH" TargetMode="External"/><Relationship Id="rId504" Type="http://schemas.openxmlformats.org/officeDocument/2006/relationships/hyperlink" Target="https://gerandofalcoes.my.salesforce.com/0014X00002VKCraQAH" TargetMode="External"/><Relationship Id="rId546" Type="http://schemas.openxmlformats.org/officeDocument/2006/relationships/hyperlink" Target="https://gerandofalcoes.my.salesforce.com/0014P00003YSp7ZQAT" TargetMode="External"/><Relationship Id="rId78" Type="http://schemas.openxmlformats.org/officeDocument/2006/relationships/hyperlink" Target="https://gerandofalcoes.my.salesforce.com/0014P00003YSp97QAD" TargetMode="External"/><Relationship Id="rId101" Type="http://schemas.openxmlformats.org/officeDocument/2006/relationships/hyperlink" Target="https://gerandofalcoes.my.salesforce.com/0014P00003YSp98QAD" TargetMode="External"/><Relationship Id="rId143" Type="http://schemas.openxmlformats.org/officeDocument/2006/relationships/hyperlink" Target="https://gerandofalcoes.my.salesforce.com/0014X00002VMXzNQAX" TargetMode="External"/><Relationship Id="rId185" Type="http://schemas.openxmlformats.org/officeDocument/2006/relationships/hyperlink" Target="https://gerandofalcoes.my.salesforce.com/0014P00003YSp90QAD" TargetMode="External"/><Relationship Id="rId350" Type="http://schemas.openxmlformats.org/officeDocument/2006/relationships/hyperlink" Target="https://gerandofalcoes.my.salesforce.com/0014P00003YSp8FQAT" TargetMode="External"/><Relationship Id="rId406" Type="http://schemas.openxmlformats.org/officeDocument/2006/relationships/hyperlink" Target="https://gerandofalcoes.my.salesforce.com/0014X00002VKCsnQAH" TargetMode="External"/><Relationship Id="rId588" Type="http://schemas.openxmlformats.org/officeDocument/2006/relationships/hyperlink" Target="https://gerandofalcoes.my.salesforce.com/0014X00002VKCqRQAX" TargetMode="External"/><Relationship Id="rId9" Type="http://schemas.openxmlformats.org/officeDocument/2006/relationships/hyperlink" Target="https://gerandofalcoes.my.salesforce.com/0014P00003YSp7rQAD" TargetMode="External"/><Relationship Id="rId210" Type="http://schemas.openxmlformats.org/officeDocument/2006/relationships/hyperlink" Target="https://gerandofalcoes.my.salesforce.com/0014X00002VKCrGQAX" TargetMode="External"/><Relationship Id="rId392" Type="http://schemas.openxmlformats.org/officeDocument/2006/relationships/hyperlink" Target="https://gerandofalcoes.my.salesforce.com/0014P00003Ck8NjQAJ" TargetMode="External"/><Relationship Id="rId448" Type="http://schemas.openxmlformats.org/officeDocument/2006/relationships/hyperlink" Target="https://gerandofalcoes.my.salesforce.com/0014P00003YSp8dQAD" TargetMode="External"/><Relationship Id="rId252" Type="http://schemas.openxmlformats.org/officeDocument/2006/relationships/hyperlink" Target="https://gerandofalcoes.my.salesforce.com/0014P00003YSp7PQAT" TargetMode="External"/><Relationship Id="rId294" Type="http://schemas.openxmlformats.org/officeDocument/2006/relationships/hyperlink" Target="https://gerandofalcoes.my.salesforce.com/0014X00002UGqWjQAL" TargetMode="External"/><Relationship Id="rId308" Type="http://schemas.openxmlformats.org/officeDocument/2006/relationships/hyperlink" Target="https://gerandofalcoes.my.salesforce.com/0014X00002VKCuHQAX" TargetMode="External"/><Relationship Id="rId515" Type="http://schemas.openxmlformats.org/officeDocument/2006/relationships/hyperlink" Target="https://gerandofalcoes.my.salesforce.com/0014X00002VKCtTQAX" TargetMode="External"/><Relationship Id="rId47" Type="http://schemas.openxmlformats.org/officeDocument/2006/relationships/hyperlink" Target="https://gerandofalcoes.my.salesforce.com/0014X00002VKCqGQAX" TargetMode="External"/><Relationship Id="rId89" Type="http://schemas.openxmlformats.org/officeDocument/2006/relationships/hyperlink" Target="https://gerandofalcoes.my.salesforce.com/0014X00002VKCuvQAH" TargetMode="External"/><Relationship Id="rId112" Type="http://schemas.openxmlformats.org/officeDocument/2006/relationships/hyperlink" Target="https://gerandofalcoes.my.salesforce.com/0014P00003SGWPUQA5" TargetMode="External"/><Relationship Id="rId154" Type="http://schemas.openxmlformats.org/officeDocument/2006/relationships/hyperlink" Target="https://gerandofalcoes.my.salesforce.com/0014X00002VKCpzQAH" TargetMode="External"/><Relationship Id="rId361" Type="http://schemas.openxmlformats.org/officeDocument/2006/relationships/hyperlink" Target="https://gerandofalcoes.my.salesforce.com/0014P00003YSp87QAD" TargetMode="External"/><Relationship Id="rId557" Type="http://schemas.openxmlformats.org/officeDocument/2006/relationships/hyperlink" Target="https://gerandofalcoes.my.salesforce.com/0014X00002VKCqOQAX" TargetMode="External"/><Relationship Id="rId599" Type="http://schemas.openxmlformats.org/officeDocument/2006/relationships/hyperlink" Target="https://gerandofalcoes.my.salesforce.com/0014X00002VKCrpQAH" TargetMode="External"/><Relationship Id="rId196" Type="http://schemas.openxmlformats.org/officeDocument/2006/relationships/hyperlink" Target="https://gerandofalcoes.my.salesforce.com/0014X00002VKCpRQAX" TargetMode="External"/><Relationship Id="rId417" Type="http://schemas.openxmlformats.org/officeDocument/2006/relationships/hyperlink" Target="https://gerandofalcoes.my.salesforce.com/0014P00003AN2G9QAL" TargetMode="External"/><Relationship Id="rId459" Type="http://schemas.openxmlformats.org/officeDocument/2006/relationships/hyperlink" Target="https://gerandofalcoes.my.salesforce.com/0014X00002VKCrcQAH" TargetMode="External"/><Relationship Id="rId16" Type="http://schemas.openxmlformats.org/officeDocument/2006/relationships/hyperlink" Target="https://gerandofalcoes.my.salesforce.com/0014P00003YSp7xQAD" TargetMode="External"/><Relationship Id="rId221" Type="http://schemas.openxmlformats.org/officeDocument/2006/relationships/hyperlink" Target="https://gerandofalcoes.my.salesforce.com/0014P00003SGWQ2QAP" TargetMode="External"/><Relationship Id="rId263" Type="http://schemas.openxmlformats.org/officeDocument/2006/relationships/hyperlink" Target="https://gerandofalcoes.my.salesforce.com/0014P00003SGWPgQAP" TargetMode="External"/><Relationship Id="rId319" Type="http://schemas.openxmlformats.org/officeDocument/2006/relationships/hyperlink" Target="https://gerandofalcoes.my.salesforce.com/0014X00002VKCtrQAH" TargetMode="External"/><Relationship Id="rId470" Type="http://schemas.openxmlformats.org/officeDocument/2006/relationships/hyperlink" Target="https://gerandofalcoes.my.salesforce.com/0014X00002VKCrKQAX" TargetMode="External"/><Relationship Id="rId526" Type="http://schemas.openxmlformats.org/officeDocument/2006/relationships/hyperlink" Target="https://gerandofalcoes.my.salesforce.com/0014X00002VKCpXQAX" TargetMode="External"/><Relationship Id="rId58" Type="http://schemas.openxmlformats.org/officeDocument/2006/relationships/hyperlink" Target="https://gerandofalcoes.my.salesforce.com/0014P00003SGWPcQAP" TargetMode="External"/><Relationship Id="rId123" Type="http://schemas.openxmlformats.org/officeDocument/2006/relationships/hyperlink" Target="https://gerandofalcoes.my.salesforce.com/0014P00003AN2FXQA1" TargetMode="External"/><Relationship Id="rId330" Type="http://schemas.openxmlformats.org/officeDocument/2006/relationships/hyperlink" Target="https://gerandofalcoes.my.salesforce.com/0014P00003AN2GNQA1" TargetMode="External"/><Relationship Id="rId568" Type="http://schemas.openxmlformats.org/officeDocument/2006/relationships/hyperlink" Target="https://gerandofalcoes.my.salesforce.com/0014X00002VKCsvQAH" TargetMode="External"/><Relationship Id="rId165" Type="http://schemas.openxmlformats.org/officeDocument/2006/relationships/hyperlink" Target="https://gerandofalcoes.my.salesforce.com/0014X00002VKCqUQAX" TargetMode="External"/><Relationship Id="rId372" Type="http://schemas.openxmlformats.org/officeDocument/2006/relationships/hyperlink" Target="https://gerandofalcoes.my.salesforce.com/0014X00002VKCuuQAH" TargetMode="External"/><Relationship Id="rId428" Type="http://schemas.openxmlformats.org/officeDocument/2006/relationships/hyperlink" Target="https://gerandofalcoes.my.salesforce.com/0014X00002VKCq6QAH" TargetMode="External"/><Relationship Id="rId232" Type="http://schemas.openxmlformats.org/officeDocument/2006/relationships/hyperlink" Target="https://gerandofalcoes.my.salesforce.com/0014X00002VKCtNQAX" TargetMode="External"/><Relationship Id="rId274" Type="http://schemas.openxmlformats.org/officeDocument/2006/relationships/hyperlink" Target="https://gerandofalcoes.my.salesforce.com/0014P00003YSp8KQAT" TargetMode="External"/><Relationship Id="rId481" Type="http://schemas.openxmlformats.org/officeDocument/2006/relationships/hyperlink" Target="https://gerandofalcoes.my.salesforce.com/0014P00003YSpAGQA1" TargetMode="External"/><Relationship Id="rId27" Type="http://schemas.openxmlformats.org/officeDocument/2006/relationships/hyperlink" Target="https://gerandofalcoes.my.salesforce.com/0014P00003YSp9fQAD" TargetMode="External"/><Relationship Id="rId69" Type="http://schemas.openxmlformats.org/officeDocument/2006/relationships/hyperlink" Target="https://gerandofalcoes.my.salesforce.com/0014X00002VKCplQAH" TargetMode="External"/><Relationship Id="rId134" Type="http://schemas.openxmlformats.org/officeDocument/2006/relationships/hyperlink" Target="https://gerandofalcoes.my.salesforce.com/0014P00003YSp9jQAD" TargetMode="External"/><Relationship Id="rId537" Type="http://schemas.openxmlformats.org/officeDocument/2006/relationships/hyperlink" Target="https://gerandofalcoes.my.salesforce.com/0014X00002VKCv7QAH" TargetMode="External"/><Relationship Id="rId579" Type="http://schemas.openxmlformats.org/officeDocument/2006/relationships/hyperlink" Target="https://gerandofalcoes.my.salesforce.com/0014X00002VKCuEQAX" TargetMode="External"/><Relationship Id="rId80" Type="http://schemas.openxmlformats.org/officeDocument/2006/relationships/hyperlink" Target="https://gerandofalcoes.my.salesforce.com/0014P00003YSm8CQAT" TargetMode="External"/><Relationship Id="rId176" Type="http://schemas.openxmlformats.org/officeDocument/2006/relationships/hyperlink" Target="https://gerandofalcoes.my.salesforce.com/0014P00003YSp9bQAD" TargetMode="External"/><Relationship Id="rId341" Type="http://schemas.openxmlformats.org/officeDocument/2006/relationships/hyperlink" Target="https://gerandofalcoes.my.salesforce.com/0014X00002VKCseQAH" TargetMode="External"/><Relationship Id="rId383" Type="http://schemas.openxmlformats.org/officeDocument/2006/relationships/hyperlink" Target="https://gerandofalcoes.my.salesforce.com/0014X00002VKCqHQAX" TargetMode="External"/><Relationship Id="rId439" Type="http://schemas.openxmlformats.org/officeDocument/2006/relationships/hyperlink" Target="https://gerandofalcoes.my.salesforce.com/0014X00002VKCuhQAH" TargetMode="External"/><Relationship Id="rId590" Type="http://schemas.openxmlformats.org/officeDocument/2006/relationships/hyperlink" Target="https://gerandofalcoes.my.salesforce.com/0014X00002VKCrgQAH" TargetMode="External"/><Relationship Id="rId201" Type="http://schemas.openxmlformats.org/officeDocument/2006/relationships/hyperlink" Target="https://gerandofalcoes.my.salesforce.com/0014X00002VKCqCQAX" TargetMode="External"/><Relationship Id="rId243" Type="http://schemas.openxmlformats.org/officeDocument/2006/relationships/hyperlink" Target="https://gerandofalcoes.my.salesforce.com/0014X00002VKCpUQAX" TargetMode="External"/><Relationship Id="rId285" Type="http://schemas.openxmlformats.org/officeDocument/2006/relationships/hyperlink" Target="https://gerandofalcoes.my.salesforce.com/0014P00003SGWPVQA5" TargetMode="External"/><Relationship Id="rId450" Type="http://schemas.openxmlformats.org/officeDocument/2006/relationships/hyperlink" Target="https://gerandofalcoes.my.salesforce.com/0014X00002VKCpBQAX" TargetMode="External"/><Relationship Id="rId506" Type="http://schemas.openxmlformats.org/officeDocument/2006/relationships/hyperlink" Target="https://gerandofalcoes.my.salesforce.com/0014X00002VKCszQAH" TargetMode="External"/><Relationship Id="rId38" Type="http://schemas.openxmlformats.org/officeDocument/2006/relationships/hyperlink" Target="https://gerandofalcoes.my.salesforce.com/0014X00002VKCq2QAH" TargetMode="External"/><Relationship Id="rId103" Type="http://schemas.openxmlformats.org/officeDocument/2006/relationships/hyperlink" Target="https://gerandofalcoes.my.salesforce.com/0014P00003YSp9WQAT" TargetMode="External"/><Relationship Id="rId310" Type="http://schemas.openxmlformats.org/officeDocument/2006/relationships/hyperlink" Target="https://gerandofalcoes.my.salesforce.com/0014X00002VKCuWQAX" TargetMode="External"/><Relationship Id="rId492" Type="http://schemas.openxmlformats.org/officeDocument/2006/relationships/hyperlink" Target="https://gerandofalcoes.my.salesforce.com/0014P00003YSp8iQAD" TargetMode="External"/><Relationship Id="rId548" Type="http://schemas.openxmlformats.org/officeDocument/2006/relationships/hyperlink" Target="https://gerandofalcoes.my.salesforce.com/0014X00002VKCrxQAH" TargetMode="External"/><Relationship Id="rId91" Type="http://schemas.openxmlformats.org/officeDocument/2006/relationships/hyperlink" Target="https://gerandofalcoes.my.salesforce.com/0014X00002VKCteQAH" TargetMode="External"/><Relationship Id="rId145" Type="http://schemas.openxmlformats.org/officeDocument/2006/relationships/hyperlink" Target="https://gerandofalcoes.my.salesforce.com/0014X00002OEuaqQAD" TargetMode="External"/><Relationship Id="rId187" Type="http://schemas.openxmlformats.org/officeDocument/2006/relationships/hyperlink" Target="https://gerandofalcoes.my.salesforce.com/0014X00002VKCrAQAX" TargetMode="External"/><Relationship Id="rId352" Type="http://schemas.openxmlformats.org/officeDocument/2006/relationships/hyperlink" Target="https://gerandofalcoes.my.salesforce.com/0014P00003SGWPjQAP" TargetMode="External"/><Relationship Id="rId394" Type="http://schemas.openxmlformats.org/officeDocument/2006/relationships/hyperlink" Target="https://gerandofalcoes.my.salesforce.com/0014P00003YSpA0QAL" TargetMode="External"/><Relationship Id="rId408" Type="http://schemas.openxmlformats.org/officeDocument/2006/relationships/hyperlink" Target="https://gerandofalcoes.my.salesforce.com/0014P00003YSp8BQAT" TargetMode="External"/><Relationship Id="rId212" Type="http://schemas.openxmlformats.org/officeDocument/2006/relationships/hyperlink" Target="https://gerandofalcoes.my.salesforce.com/0014P00003SGWPLQA5" TargetMode="External"/><Relationship Id="rId254" Type="http://schemas.openxmlformats.org/officeDocument/2006/relationships/hyperlink" Target="https://gerandofalcoes.my.salesforce.com/0014X00002VKCsGQAX" TargetMode="External"/><Relationship Id="rId49" Type="http://schemas.openxmlformats.org/officeDocument/2006/relationships/hyperlink" Target="https://gerandofalcoes.my.salesforce.com/0014X00002VKCtOQAX" TargetMode="External"/><Relationship Id="rId114" Type="http://schemas.openxmlformats.org/officeDocument/2006/relationships/hyperlink" Target="https://gerandofalcoes.my.salesforce.com/0014X00002VKCsVQAX" TargetMode="External"/><Relationship Id="rId296" Type="http://schemas.openxmlformats.org/officeDocument/2006/relationships/hyperlink" Target="https://gerandofalcoes.my.salesforce.com/0014X00002VKCq8QAH" TargetMode="External"/><Relationship Id="rId461" Type="http://schemas.openxmlformats.org/officeDocument/2006/relationships/hyperlink" Target="https://gerandofalcoes.my.salesforce.com/0014X00002VKCqFQAX" TargetMode="External"/><Relationship Id="rId517" Type="http://schemas.openxmlformats.org/officeDocument/2006/relationships/hyperlink" Target="https://gerandofalcoes.my.salesforce.com/0014P00003AN2FiQAL" TargetMode="External"/><Relationship Id="rId559" Type="http://schemas.openxmlformats.org/officeDocument/2006/relationships/hyperlink" Target="https://gerandofalcoes.my.salesforce.com/0014X00002OEuauQAD" TargetMode="External"/><Relationship Id="rId60" Type="http://schemas.openxmlformats.org/officeDocument/2006/relationships/hyperlink" Target="https://gerandofalcoes.my.salesforce.com/0014P00003AN2FWQA1" TargetMode="External"/><Relationship Id="rId156" Type="http://schemas.openxmlformats.org/officeDocument/2006/relationships/hyperlink" Target="https://gerandofalcoes.my.salesforce.com/0014P00003SGWFqQAP" TargetMode="External"/><Relationship Id="rId198" Type="http://schemas.openxmlformats.org/officeDocument/2006/relationships/hyperlink" Target="https://gerandofalcoes.my.salesforce.com/0014P00003YSp7yQAD" TargetMode="External"/><Relationship Id="rId321" Type="http://schemas.openxmlformats.org/officeDocument/2006/relationships/hyperlink" Target="https://gerandofalcoes.my.salesforce.com/0014X00002VKCqYQAX" TargetMode="External"/><Relationship Id="rId363" Type="http://schemas.openxmlformats.org/officeDocument/2006/relationships/hyperlink" Target="https://gerandofalcoes.my.salesforce.com/0014X00002VKCqkQAH" TargetMode="External"/><Relationship Id="rId419" Type="http://schemas.openxmlformats.org/officeDocument/2006/relationships/hyperlink" Target="https://gerandofalcoes.my.salesforce.com/0014P00003YSp8GQAT" TargetMode="External"/><Relationship Id="rId570" Type="http://schemas.openxmlformats.org/officeDocument/2006/relationships/hyperlink" Target="https://gerandofalcoes.my.salesforce.com/0014P00003YSp9kQAD" TargetMode="External"/><Relationship Id="rId223" Type="http://schemas.openxmlformats.org/officeDocument/2006/relationships/hyperlink" Target="https://gerandofalcoes.my.salesforce.com/0014X00002OEuawQAD" TargetMode="External"/><Relationship Id="rId430" Type="http://schemas.openxmlformats.org/officeDocument/2006/relationships/hyperlink" Target="https://gerandofalcoes.my.salesforce.com/0014X00002VKCptQAH" TargetMode="External"/><Relationship Id="rId18" Type="http://schemas.openxmlformats.org/officeDocument/2006/relationships/hyperlink" Target="https://gerandofalcoes.my.salesforce.com/0014X00002VKCtaQAH" TargetMode="External"/><Relationship Id="rId265" Type="http://schemas.openxmlformats.org/officeDocument/2006/relationships/hyperlink" Target="https://gerandofalcoes.my.salesforce.com/0014X00002VKCsKQAX" TargetMode="External"/><Relationship Id="rId472" Type="http://schemas.openxmlformats.org/officeDocument/2006/relationships/hyperlink" Target="https://gerandofalcoes.my.salesforce.com/0014P00003YSp8nQAD" TargetMode="External"/><Relationship Id="rId528" Type="http://schemas.openxmlformats.org/officeDocument/2006/relationships/hyperlink" Target="https://gerandofalcoes.my.salesforce.com/0014X00002VKCrwQAH" TargetMode="External"/><Relationship Id="rId125" Type="http://schemas.openxmlformats.org/officeDocument/2006/relationships/hyperlink" Target="https://gerandofalcoes.my.salesforce.com/0014X00002VKCqAQAX" TargetMode="External"/><Relationship Id="rId167" Type="http://schemas.openxmlformats.org/officeDocument/2006/relationships/hyperlink" Target="https://gerandofalcoes.my.salesforce.com/0014X00002VKCuoQAH" TargetMode="External"/><Relationship Id="rId332" Type="http://schemas.openxmlformats.org/officeDocument/2006/relationships/hyperlink" Target="https://gerandofalcoes.my.salesforce.com/0014P00003SGWQJQA5" TargetMode="External"/><Relationship Id="rId374" Type="http://schemas.openxmlformats.org/officeDocument/2006/relationships/hyperlink" Target="https://gerandofalcoes.my.salesforce.com/0014X00002VKCqXQAX" TargetMode="External"/><Relationship Id="rId581" Type="http://schemas.openxmlformats.org/officeDocument/2006/relationships/hyperlink" Target="https://gerandofalcoes.my.salesforce.com/0014X00002VKCsDQAX" TargetMode="External"/><Relationship Id="rId71" Type="http://schemas.openxmlformats.org/officeDocument/2006/relationships/hyperlink" Target="https://gerandofalcoes.my.salesforce.com/0014X00002VKCsIQAX" TargetMode="External"/><Relationship Id="rId234" Type="http://schemas.openxmlformats.org/officeDocument/2006/relationships/hyperlink" Target="https://gerandofalcoes.my.salesforce.com/0014X00002VKCqSQAX" TargetMode="External"/><Relationship Id="rId2" Type="http://schemas.openxmlformats.org/officeDocument/2006/relationships/hyperlink" Target="https://gerandofalcoes.my.salesforce.com/0014X00002VKCtkQAH" TargetMode="External"/><Relationship Id="rId29" Type="http://schemas.openxmlformats.org/officeDocument/2006/relationships/hyperlink" Target="https://gerandofalcoes.my.salesforce.com/0014X00002VKCtIQAX" TargetMode="External"/><Relationship Id="rId276" Type="http://schemas.openxmlformats.org/officeDocument/2006/relationships/hyperlink" Target="https://gerandofalcoes.my.salesforce.com/0014X00002VKCr7QAH" TargetMode="External"/><Relationship Id="rId441" Type="http://schemas.openxmlformats.org/officeDocument/2006/relationships/hyperlink" Target="https://gerandofalcoes.my.salesforce.com/0014P00003YSp7kQAD" TargetMode="External"/><Relationship Id="rId483" Type="http://schemas.openxmlformats.org/officeDocument/2006/relationships/hyperlink" Target="https://gerandofalcoes.my.salesforce.com/0014X00002VKCr3QAH" TargetMode="External"/><Relationship Id="rId539" Type="http://schemas.openxmlformats.org/officeDocument/2006/relationships/hyperlink" Target="https://gerandofalcoes.my.salesforce.com/0014P00003SGWPMQA5" TargetMode="External"/><Relationship Id="rId40" Type="http://schemas.openxmlformats.org/officeDocument/2006/relationships/hyperlink" Target="https://gerandofalcoes.my.salesforce.com/0014P00003SGWPWQA5" TargetMode="External"/><Relationship Id="rId136" Type="http://schemas.openxmlformats.org/officeDocument/2006/relationships/hyperlink" Target="https://gerandofalcoes.my.salesforce.com/0014P00003YSp7zQAD" TargetMode="External"/><Relationship Id="rId178" Type="http://schemas.openxmlformats.org/officeDocument/2006/relationships/hyperlink" Target="https://gerandofalcoes.my.salesforce.com/0014X00002VKCtCQAX" TargetMode="External"/><Relationship Id="rId301" Type="http://schemas.openxmlformats.org/officeDocument/2006/relationships/hyperlink" Target="https://gerandofalcoes.my.salesforce.com/0014P00003SGWPpQAP" TargetMode="External"/><Relationship Id="rId343" Type="http://schemas.openxmlformats.org/officeDocument/2006/relationships/hyperlink" Target="https://gerandofalcoes.my.salesforce.com/0014X00002VKCpqQAH" TargetMode="External"/><Relationship Id="rId550" Type="http://schemas.openxmlformats.org/officeDocument/2006/relationships/hyperlink" Target="https://gerandofalcoes.my.salesforce.com/0014X00002VKCs0QAH" TargetMode="External"/><Relationship Id="rId82" Type="http://schemas.openxmlformats.org/officeDocument/2006/relationships/hyperlink" Target="https://gerandofalcoes.my.salesforce.com/0014X00002VKCtWQAX" TargetMode="External"/><Relationship Id="rId203" Type="http://schemas.openxmlformats.org/officeDocument/2006/relationships/hyperlink" Target="https://gerandofalcoes.my.salesforce.com/0014P00003SGWQCQA5" TargetMode="External"/><Relationship Id="rId385" Type="http://schemas.openxmlformats.org/officeDocument/2006/relationships/hyperlink" Target="https://gerandofalcoes.my.salesforce.com/0014P00003SGWPsQAP" TargetMode="External"/><Relationship Id="rId592" Type="http://schemas.openxmlformats.org/officeDocument/2006/relationships/hyperlink" Target="https://gerandofalcoes.my.salesforce.com/0014P00003YSpA6QAL" TargetMode="External"/><Relationship Id="rId245" Type="http://schemas.openxmlformats.org/officeDocument/2006/relationships/hyperlink" Target="https://gerandofalcoes.my.salesforce.com/0014X00002VKCpnQAH" TargetMode="External"/><Relationship Id="rId287" Type="http://schemas.openxmlformats.org/officeDocument/2006/relationships/hyperlink" Target="https://gerandofalcoes.my.salesforce.com/0014P00003YSp8tQAD" TargetMode="External"/><Relationship Id="rId410" Type="http://schemas.openxmlformats.org/officeDocument/2006/relationships/hyperlink" Target="https://gerandofalcoes.my.salesforce.com/0014P00003AN2FcQAL" TargetMode="External"/><Relationship Id="rId452" Type="http://schemas.openxmlformats.org/officeDocument/2006/relationships/hyperlink" Target="https://gerandofalcoes.my.salesforce.com/0014X00002VKCu0QAH" TargetMode="External"/><Relationship Id="rId494" Type="http://schemas.openxmlformats.org/officeDocument/2006/relationships/hyperlink" Target="https://gerandofalcoes.my.salesforce.com/0014P00003AN2FoQAL" TargetMode="External"/><Relationship Id="rId508" Type="http://schemas.openxmlformats.org/officeDocument/2006/relationships/hyperlink" Target="https://gerandofalcoes.my.salesforce.com/0014X00002VKCpxQAH" TargetMode="External"/><Relationship Id="rId105" Type="http://schemas.openxmlformats.org/officeDocument/2006/relationships/hyperlink" Target="https://gerandofalcoes.my.salesforce.com/0014P00003YSp8zQAD" TargetMode="External"/><Relationship Id="rId147" Type="http://schemas.openxmlformats.org/officeDocument/2006/relationships/hyperlink" Target="https://gerandofalcoes.my.salesforce.com/0014P00003AN2h6QAD" TargetMode="External"/><Relationship Id="rId312" Type="http://schemas.openxmlformats.org/officeDocument/2006/relationships/hyperlink" Target="https://gerandofalcoes.my.salesforce.com/0014X00002VKCtwQAH" TargetMode="External"/><Relationship Id="rId354" Type="http://schemas.openxmlformats.org/officeDocument/2006/relationships/hyperlink" Target="https://gerandofalcoes.my.salesforce.com/0014P00003YSp8RQAT" TargetMode="External"/><Relationship Id="rId51" Type="http://schemas.openxmlformats.org/officeDocument/2006/relationships/hyperlink" Target="https://gerandofalcoes.my.salesforce.com/0014P00003AN2FkQAL" TargetMode="External"/><Relationship Id="rId93" Type="http://schemas.openxmlformats.org/officeDocument/2006/relationships/hyperlink" Target="https://gerandofalcoes.my.salesforce.com/0014P00003AN72DQAT" TargetMode="External"/><Relationship Id="rId189" Type="http://schemas.openxmlformats.org/officeDocument/2006/relationships/hyperlink" Target="https://gerandofalcoes.my.salesforce.com/0014X00002VKCpWQAX" TargetMode="External"/><Relationship Id="rId396" Type="http://schemas.openxmlformats.org/officeDocument/2006/relationships/hyperlink" Target="https://gerandofalcoes.my.salesforce.com/0014P00003YSp8uQAD" TargetMode="External"/><Relationship Id="rId561" Type="http://schemas.openxmlformats.org/officeDocument/2006/relationships/hyperlink" Target="https://gerandofalcoes.my.salesforce.com/0014X00002VKCt0QAH" TargetMode="External"/><Relationship Id="rId214" Type="http://schemas.openxmlformats.org/officeDocument/2006/relationships/hyperlink" Target="https://gerandofalcoes.my.salesforce.com/0014X00002VKCrOQAX" TargetMode="External"/><Relationship Id="rId256" Type="http://schemas.openxmlformats.org/officeDocument/2006/relationships/hyperlink" Target="https://gerandofalcoes.my.salesforce.com/0014X00002VKCutQAH" TargetMode="External"/><Relationship Id="rId298" Type="http://schemas.openxmlformats.org/officeDocument/2006/relationships/hyperlink" Target="https://gerandofalcoes.my.salesforce.com/0014X00002VKCtdQAH" TargetMode="External"/><Relationship Id="rId421" Type="http://schemas.openxmlformats.org/officeDocument/2006/relationships/hyperlink" Target="https://gerandofalcoes.my.salesforce.com/0014X00002VKCqDQAX" TargetMode="External"/><Relationship Id="rId463" Type="http://schemas.openxmlformats.org/officeDocument/2006/relationships/hyperlink" Target="https://gerandofalcoes.my.salesforce.com/0014X00002VKCstQAH" TargetMode="External"/><Relationship Id="rId519" Type="http://schemas.openxmlformats.org/officeDocument/2006/relationships/hyperlink" Target="https://gerandofalcoes.my.salesforce.com/0014P00003YSp7OQAT" TargetMode="External"/><Relationship Id="rId116" Type="http://schemas.openxmlformats.org/officeDocument/2006/relationships/hyperlink" Target="https://gerandofalcoes.my.salesforce.com/0014X00002VKCugQAH" TargetMode="External"/><Relationship Id="rId158" Type="http://schemas.openxmlformats.org/officeDocument/2006/relationships/hyperlink" Target="https://gerandofalcoes.my.salesforce.com/0014P00003AN2etQAD" TargetMode="External"/><Relationship Id="rId323" Type="http://schemas.openxmlformats.org/officeDocument/2006/relationships/hyperlink" Target="https://gerandofalcoes.my.salesforce.com/0014P00003AN2FYQA1" TargetMode="External"/><Relationship Id="rId530" Type="http://schemas.openxmlformats.org/officeDocument/2006/relationships/hyperlink" Target="https://gerandofalcoes.my.salesforce.com/0014X00002VKCtmQAH" TargetMode="External"/><Relationship Id="rId20" Type="http://schemas.openxmlformats.org/officeDocument/2006/relationships/hyperlink" Target="https://gerandofalcoes.my.salesforce.com/0014P00003YSp8rQAD" TargetMode="External"/><Relationship Id="rId62" Type="http://schemas.openxmlformats.org/officeDocument/2006/relationships/hyperlink" Target="https://gerandofalcoes.my.salesforce.com/0014X00002VKCrZQAX" TargetMode="External"/><Relationship Id="rId365" Type="http://schemas.openxmlformats.org/officeDocument/2006/relationships/hyperlink" Target="https://gerandofalcoes.my.salesforce.com/0014P00003MjNTIQA3" TargetMode="External"/><Relationship Id="rId572" Type="http://schemas.openxmlformats.org/officeDocument/2006/relationships/hyperlink" Target="https://gerandofalcoes.my.salesforce.com/0014P00003AN2GOQA1" TargetMode="External"/><Relationship Id="rId225" Type="http://schemas.openxmlformats.org/officeDocument/2006/relationships/hyperlink" Target="https://gerandofalcoes.my.salesforce.com/0014P00003YSp8wQAD" TargetMode="External"/><Relationship Id="rId267" Type="http://schemas.openxmlformats.org/officeDocument/2006/relationships/hyperlink" Target="https://gerandofalcoes.my.salesforce.com/0014X00002VKCslQAH" TargetMode="External"/><Relationship Id="rId432" Type="http://schemas.openxmlformats.org/officeDocument/2006/relationships/hyperlink" Target="https://gerandofalcoes.my.salesforce.com/0014X00002VKCqbQAH" TargetMode="External"/><Relationship Id="rId474" Type="http://schemas.openxmlformats.org/officeDocument/2006/relationships/hyperlink" Target="https://gerandofalcoes.my.salesforce.com/0014X00002VKCt8QAH" TargetMode="External"/><Relationship Id="rId127" Type="http://schemas.openxmlformats.org/officeDocument/2006/relationships/hyperlink" Target="https://gerandofalcoes.my.salesforce.com/0014P00003SGWQ4QAP" TargetMode="External"/><Relationship Id="rId31" Type="http://schemas.openxmlformats.org/officeDocument/2006/relationships/hyperlink" Target="https://gerandofalcoes.my.salesforce.com/0014P00003AN2FZQA1" TargetMode="External"/><Relationship Id="rId73" Type="http://schemas.openxmlformats.org/officeDocument/2006/relationships/hyperlink" Target="https://gerandofalcoes.my.salesforce.com/0014X00002VKCqjQAH" TargetMode="External"/><Relationship Id="rId169" Type="http://schemas.openxmlformats.org/officeDocument/2006/relationships/hyperlink" Target="https://gerandofalcoes.my.salesforce.com/0014P00003YSpA8QAL" TargetMode="External"/><Relationship Id="rId334" Type="http://schemas.openxmlformats.org/officeDocument/2006/relationships/hyperlink" Target="https://gerandofalcoes.my.salesforce.com/0014X00002VKCpCQAX" TargetMode="External"/><Relationship Id="rId376" Type="http://schemas.openxmlformats.org/officeDocument/2006/relationships/hyperlink" Target="https://gerandofalcoes.my.salesforce.com/0014P00003ERUfsQAH" TargetMode="External"/><Relationship Id="rId541" Type="http://schemas.openxmlformats.org/officeDocument/2006/relationships/hyperlink" Target="https://gerandofalcoes.my.salesforce.com/0014X00002VKCsBQAX" TargetMode="External"/><Relationship Id="rId583" Type="http://schemas.openxmlformats.org/officeDocument/2006/relationships/hyperlink" Target="https://gerandofalcoes.my.salesforce.com/0014X00002VKCpOQAX" TargetMode="External"/><Relationship Id="rId4" Type="http://schemas.openxmlformats.org/officeDocument/2006/relationships/hyperlink" Target="https://gerandofalcoes.my.salesforce.com/0014P00003AN2FaQAL" TargetMode="External"/><Relationship Id="rId180" Type="http://schemas.openxmlformats.org/officeDocument/2006/relationships/hyperlink" Target="https://gerandofalcoes.my.salesforce.com/0014P00003YSp8VQAT" TargetMode="External"/><Relationship Id="rId236" Type="http://schemas.openxmlformats.org/officeDocument/2006/relationships/hyperlink" Target="https://gerandofalcoes.my.salesforce.com/0014X00002VKCpwQAH" TargetMode="External"/><Relationship Id="rId278" Type="http://schemas.openxmlformats.org/officeDocument/2006/relationships/hyperlink" Target="https://gerandofalcoes.my.salesforce.com/0014X00002VKCt7QAH" TargetMode="External"/><Relationship Id="rId401" Type="http://schemas.openxmlformats.org/officeDocument/2006/relationships/hyperlink" Target="https://gerandofalcoes.my.salesforce.com/0014X00002VKCulQAH" TargetMode="External"/><Relationship Id="rId443" Type="http://schemas.openxmlformats.org/officeDocument/2006/relationships/hyperlink" Target="https://gerandofalcoes.my.salesforce.com/0014P00003YSp8EQAT" TargetMode="External"/><Relationship Id="rId303" Type="http://schemas.openxmlformats.org/officeDocument/2006/relationships/hyperlink" Target="https://gerandofalcoes.my.salesforce.com/0014X00002VKCt4QAH" TargetMode="External"/><Relationship Id="rId485" Type="http://schemas.openxmlformats.org/officeDocument/2006/relationships/hyperlink" Target="https://gerandofalcoes.my.salesforce.com/0014X00002VKCrfQAH" TargetMode="External"/><Relationship Id="rId42" Type="http://schemas.openxmlformats.org/officeDocument/2006/relationships/hyperlink" Target="https://gerandofalcoes.my.salesforce.com/0014P00003SGWPiQAP" TargetMode="External"/><Relationship Id="rId84" Type="http://schemas.openxmlformats.org/officeDocument/2006/relationships/hyperlink" Target="https://gerandofalcoes.my.salesforce.com/0014X00002VKCtYQAX" TargetMode="External"/><Relationship Id="rId138" Type="http://schemas.openxmlformats.org/officeDocument/2006/relationships/hyperlink" Target="https://gerandofalcoes.my.salesforce.com/0014P00003YSpP9QAL" TargetMode="External"/><Relationship Id="rId345" Type="http://schemas.openxmlformats.org/officeDocument/2006/relationships/hyperlink" Target="https://gerandofalcoes.my.salesforce.com/0014P00003YSp99QAD" TargetMode="External"/><Relationship Id="rId387" Type="http://schemas.openxmlformats.org/officeDocument/2006/relationships/hyperlink" Target="https://gerandofalcoes.my.salesforce.com/0014X00002VKD06QAH" TargetMode="External"/><Relationship Id="rId510" Type="http://schemas.openxmlformats.org/officeDocument/2006/relationships/hyperlink" Target="https://gerandofalcoes.my.salesforce.com/0014P00003AN2G8QAL" TargetMode="External"/><Relationship Id="rId552" Type="http://schemas.openxmlformats.org/officeDocument/2006/relationships/hyperlink" Target="https://gerandofalcoes.my.salesforce.com/0014X00002VKCuqQAH" TargetMode="External"/><Relationship Id="rId594" Type="http://schemas.openxmlformats.org/officeDocument/2006/relationships/hyperlink" Target="https://gerandofalcoes.my.salesforce.com/0014P00003AN2GGQA1" TargetMode="External"/><Relationship Id="rId191" Type="http://schemas.openxmlformats.org/officeDocument/2006/relationships/hyperlink" Target="https://gerandofalcoes.my.salesforce.com/0014X00002VKCr5QAH" TargetMode="External"/><Relationship Id="rId205" Type="http://schemas.openxmlformats.org/officeDocument/2006/relationships/hyperlink" Target="https://gerandofalcoes.my.salesforce.com/0014X00002VKCsWQAX" TargetMode="External"/><Relationship Id="rId247" Type="http://schemas.openxmlformats.org/officeDocument/2006/relationships/hyperlink" Target="https://gerandofalcoes.my.salesforce.com/0014X00002VKCtjQAH" TargetMode="External"/><Relationship Id="rId412" Type="http://schemas.openxmlformats.org/officeDocument/2006/relationships/hyperlink" Target="https://gerandofalcoes.my.salesforce.com/0014X00002VKCpuQAH" TargetMode="External"/><Relationship Id="rId107" Type="http://schemas.openxmlformats.org/officeDocument/2006/relationships/hyperlink" Target="https://gerandofalcoes.my.salesforce.com/0014X00002VKCqTQAX" TargetMode="External"/><Relationship Id="rId289" Type="http://schemas.openxmlformats.org/officeDocument/2006/relationships/hyperlink" Target="https://gerandofalcoes.my.salesforce.com/0014P00003YSp9SQAT" TargetMode="External"/><Relationship Id="rId454" Type="http://schemas.openxmlformats.org/officeDocument/2006/relationships/hyperlink" Target="https://gerandofalcoes.my.salesforce.com/0014P00003YSp9RQAT" TargetMode="External"/><Relationship Id="rId496" Type="http://schemas.openxmlformats.org/officeDocument/2006/relationships/hyperlink" Target="https://gerandofalcoes.my.salesforce.com/0014X00002VKCsQQAX" TargetMode="External"/><Relationship Id="rId11" Type="http://schemas.openxmlformats.org/officeDocument/2006/relationships/hyperlink" Target="https://gerandofalcoes.my.salesforce.com/0014P00003YSpADQA1" TargetMode="External"/><Relationship Id="rId53" Type="http://schemas.openxmlformats.org/officeDocument/2006/relationships/hyperlink" Target="https://gerandofalcoes.my.salesforce.com/0014X00002VKCqPQAX" TargetMode="External"/><Relationship Id="rId149" Type="http://schemas.openxmlformats.org/officeDocument/2006/relationships/hyperlink" Target="https://gerandofalcoes.my.salesforce.com/0014X00002VKCrvQAH" TargetMode="External"/><Relationship Id="rId314" Type="http://schemas.openxmlformats.org/officeDocument/2006/relationships/hyperlink" Target="https://gerandofalcoes.my.salesforce.com/0014X00002VKCp6QAH" TargetMode="External"/><Relationship Id="rId356" Type="http://schemas.openxmlformats.org/officeDocument/2006/relationships/hyperlink" Target="https://gerandofalcoes.my.salesforce.com/0014P00003YSpA7QAL" TargetMode="External"/><Relationship Id="rId398" Type="http://schemas.openxmlformats.org/officeDocument/2006/relationships/hyperlink" Target="https://gerandofalcoes.my.salesforce.com/0014X00002VKCrNQAX" TargetMode="External"/><Relationship Id="rId521" Type="http://schemas.openxmlformats.org/officeDocument/2006/relationships/hyperlink" Target="https://gerandofalcoes.my.salesforce.com/0014X00002VKCpkQAH" TargetMode="External"/><Relationship Id="rId563" Type="http://schemas.openxmlformats.org/officeDocument/2006/relationships/hyperlink" Target="https://gerandofalcoes.my.salesforce.com/0014P00003SGWQHQA5" TargetMode="External"/><Relationship Id="rId95" Type="http://schemas.openxmlformats.org/officeDocument/2006/relationships/hyperlink" Target="https://gerandofalcoes.my.salesforce.com/0014P00003SGWPlQAP" TargetMode="External"/><Relationship Id="rId160" Type="http://schemas.openxmlformats.org/officeDocument/2006/relationships/hyperlink" Target="https://gerandofalcoes.my.salesforce.com/0014P00003AN2G2QAL" TargetMode="External"/><Relationship Id="rId216" Type="http://schemas.openxmlformats.org/officeDocument/2006/relationships/hyperlink" Target="https://gerandofalcoes.my.salesforce.com/0014X00002VKCpNQAX" TargetMode="External"/><Relationship Id="rId423" Type="http://schemas.openxmlformats.org/officeDocument/2006/relationships/hyperlink" Target="https://gerandofalcoes.my.salesforce.com/0014X00002VKCuJQAX" TargetMode="External"/><Relationship Id="rId258" Type="http://schemas.openxmlformats.org/officeDocument/2006/relationships/hyperlink" Target="https://gerandofalcoes.my.salesforce.com/0014P00003YSp8pQAD" TargetMode="External"/><Relationship Id="rId465" Type="http://schemas.openxmlformats.org/officeDocument/2006/relationships/hyperlink" Target="https://gerandofalcoes.my.salesforce.com/0014X00002VKCv1QAH" TargetMode="External"/><Relationship Id="rId22" Type="http://schemas.openxmlformats.org/officeDocument/2006/relationships/hyperlink" Target="https://gerandofalcoes.my.salesforce.com/0014X00002VKCv2QAH" TargetMode="External"/><Relationship Id="rId64" Type="http://schemas.openxmlformats.org/officeDocument/2006/relationships/hyperlink" Target="https://gerandofalcoes.my.salesforce.com/0014P00003YSp9HQAT" TargetMode="External"/><Relationship Id="rId118" Type="http://schemas.openxmlformats.org/officeDocument/2006/relationships/hyperlink" Target="https://gerandofalcoes.my.salesforce.com/0014X00002VKCuMQAX" TargetMode="External"/><Relationship Id="rId325" Type="http://schemas.openxmlformats.org/officeDocument/2006/relationships/hyperlink" Target="https://gerandofalcoes.my.salesforce.com/0014P00003YSpA2QAL" TargetMode="External"/><Relationship Id="rId367" Type="http://schemas.openxmlformats.org/officeDocument/2006/relationships/hyperlink" Target="https://gerandofalcoes.my.salesforce.com/0014P00003YSp84QAD" TargetMode="External"/><Relationship Id="rId532" Type="http://schemas.openxmlformats.org/officeDocument/2006/relationships/hyperlink" Target="https://gerandofalcoes.my.salesforce.com/0014X00002VKCsOQAX" TargetMode="External"/><Relationship Id="rId574" Type="http://schemas.openxmlformats.org/officeDocument/2006/relationships/hyperlink" Target="https://gerandofalcoes.my.salesforce.com/0014X00002VKCrIQAX" TargetMode="External"/><Relationship Id="rId171" Type="http://schemas.openxmlformats.org/officeDocument/2006/relationships/hyperlink" Target="https://gerandofalcoes.my.salesforce.com/0014X00002VKCqJQAX" TargetMode="External"/><Relationship Id="rId227" Type="http://schemas.openxmlformats.org/officeDocument/2006/relationships/hyperlink" Target="https://gerandofalcoes.my.salesforce.com/0014X00002VKCuBQAX" TargetMode="External"/><Relationship Id="rId269" Type="http://schemas.openxmlformats.org/officeDocument/2006/relationships/hyperlink" Target="https://gerandofalcoes.my.salesforce.com/0014X00002VKCsNQAX" TargetMode="External"/><Relationship Id="rId434" Type="http://schemas.openxmlformats.org/officeDocument/2006/relationships/hyperlink" Target="https://gerandofalcoes.my.salesforce.com/0014P00003AN2FsQAL" TargetMode="External"/><Relationship Id="rId476" Type="http://schemas.openxmlformats.org/officeDocument/2006/relationships/hyperlink" Target="https://gerandofalcoes.my.salesforce.com/0014X00002VKCpvQAH" TargetMode="External"/><Relationship Id="rId33" Type="http://schemas.openxmlformats.org/officeDocument/2006/relationships/hyperlink" Target="https://gerandofalcoes.my.salesforce.com/0014P00003YSp9NQAT" TargetMode="External"/><Relationship Id="rId129" Type="http://schemas.openxmlformats.org/officeDocument/2006/relationships/hyperlink" Target="https://gerandofalcoes.my.salesforce.com/0014X00002VKCp7QAH" TargetMode="External"/><Relationship Id="rId280" Type="http://schemas.openxmlformats.org/officeDocument/2006/relationships/hyperlink" Target="https://gerandofalcoes.my.salesforce.com/0014P00003YSp8MQAT" TargetMode="External"/><Relationship Id="rId336" Type="http://schemas.openxmlformats.org/officeDocument/2006/relationships/hyperlink" Target="https://gerandofalcoes.my.salesforce.com/0014P00003YSp9mQAD" TargetMode="External"/><Relationship Id="rId501" Type="http://schemas.openxmlformats.org/officeDocument/2006/relationships/hyperlink" Target="https://gerandofalcoes.my.salesforce.com/0014X00002VKCqBQAX" TargetMode="External"/><Relationship Id="rId543" Type="http://schemas.openxmlformats.org/officeDocument/2006/relationships/hyperlink" Target="https://gerandofalcoes.my.salesforce.com/0014X00002VKCp3QAH" TargetMode="External"/><Relationship Id="rId75" Type="http://schemas.openxmlformats.org/officeDocument/2006/relationships/hyperlink" Target="https://gerandofalcoes.my.salesforce.com/0014P00003AN2G7QAL" TargetMode="External"/><Relationship Id="rId140" Type="http://schemas.openxmlformats.org/officeDocument/2006/relationships/hyperlink" Target="https://gerandofalcoes.my.salesforce.com/0014P00003AN2FeQAL" TargetMode="External"/><Relationship Id="rId182" Type="http://schemas.openxmlformats.org/officeDocument/2006/relationships/hyperlink" Target="https://gerandofalcoes.my.salesforce.com/0014P00003SGWPRQA5" TargetMode="External"/><Relationship Id="rId378" Type="http://schemas.openxmlformats.org/officeDocument/2006/relationships/hyperlink" Target="https://gerandofalcoes.my.salesforce.com/0014X00002VKCqWQAX" TargetMode="External"/><Relationship Id="rId403" Type="http://schemas.openxmlformats.org/officeDocument/2006/relationships/hyperlink" Target="https://gerandofalcoes.my.salesforce.com/0014X00002VKCrhQAH" TargetMode="External"/><Relationship Id="rId585" Type="http://schemas.openxmlformats.org/officeDocument/2006/relationships/hyperlink" Target="https://gerandofalcoes.my.salesforce.com/0014X00002VKCpGQAX" TargetMode="External"/><Relationship Id="rId6" Type="http://schemas.openxmlformats.org/officeDocument/2006/relationships/hyperlink" Target="https://gerandofalcoes.my.salesforce.com/0014P00003YSp8PQAT" TargetMode="External"/><Relationship Id="rId238" Type="http://schemas.openxmlformats.org/officeDocument/2006/relationships/hyperlink" Target="https://gerandofalcoes.my.salesforce.com/0014X00002VKCr2QAH" TargetMode="External"/><Relationship Id="rId445" Type="http://schemas.openxmlformats.org/officeDocument/2006/relationships/hyperlink" Target="https://gerandofalcoes.my.salesforce.com/0014P00003SGWPnQAP" TargetMode="External"/><Relationship Id="rId487" Type="http://schemas.openxmlformats.org/officeDocument/2006/relationships/hyperlink" Target="https://gerandofalcoes.my.salesforce.com/0014X00002VKCubQAH" TargetMode="External"/><Relationship Id="rId291" Type="http://schemas.openxmlformats.org/officeDocument/2006/relationships/hyperlink" Target="https://gerandofalcoes.my.salesforce.com/0014P00003YSp9XQAT" TargetMode="External"/><Relationship Id="rId305" Type="http://schemas.openxmlformats.org/officeDocument/2006/relationships/hyperlink" Target="https://gerandofalcoes.my.salesforce.com/0014X00002PUOTvQAP" TargetMode="External"/><Relationship Id="rId347" Type="http://schemas.openxmlformats.org/officeDocument/2006/relationships/hyperlink" Target="https://gerandofalcoes.my.salesforce.com/0014P00003SGWPuQAP" TargetMode="External"/><Relationship Id="rId512" Type="http://schemas.openxmlformats.org/officeDocument/2006/relationships/hyperlink" Target="https://gerandofalcoes.my.salesforce.com/0014X00002VKCqnQAH" TargetMode="External"/><Relationship Id="rId44" Type="http://schemas.openxmlformats.org/officeDocument/2006/relationships/hyperlink" Target="https://gerandofalcoes.my.salesforce.com/0014P00003YSp7UQAT" TargetMode="External"/><Relationship Id="rId86" Type="http://schemas.openxmlformats.org/officeDocument/2006/relationships/hyperlink" Target="https://gerandofalcoes.my.salesforce.com/0014X00002VKCp5QAH" TargetMode="External"/><Relationship Id="rId151" Type="http://schemas.openxmlformats.org/officeDocument/2006/relationships/hyperlink" Target="https://gerandofalcoes.my.salesforce.com/0014X00002VKCt2QAH" TargetMode="External"/><Relationship Id="rId389" Type="http://schemas.openxmlformats.org/officeDocument/2006/relationships/hyperlink" Target="https://gerandofalcoes.my.salesforce.com/0014P00003YSp8vQAD" TargetMode="External"/><Relationship Id="rId554" Type="http://schemas.openxmlformats.org/officeDocument/2006/relationships/hyperlink" Target="https://gerandofalcoes.my.salesforce.com/0014X00002VKCroQAH" TargetMode="External"/><Relationship Id="rId596" Type="http://schemas.openxmlformats.org/officeDocument/2006/relationships/hyperlink" Target="https://gerandofalcoes.my.salesforce.com/0014P00003AN2FnQAL" TargetMode="External"/><Relationship Id="rId193" Type="http://schemas.openxmlformats.org/officeDocument/2006/relationships/hyperlink" Target="https://gerandofalcoes.my.salesforce.com/0014P00003AN2GCQA1" TargetMode="External"/><Relationship Id="rId207" Type="http://schemas.openxmlformats.org/officeDocument/2006/relationships/hyperlink" Target="https://gerandofalcoes.my.salesforce.com/0014X00002VKCuUQAX" TargetMode="External"/><Relationship Id="rId249" Type="http://schemas.openxmlformats.org/officeDocument/2006/relationships/hyperlink" Target="https://gerandofalcoes.my.salesforce.com/0014P00003YSp9dQAD" TargetMode="External"/><Relationship Id="rId414" Type="http://schemas.openxmlformats.org/officeDocument/2006/relationships/hyperlink" Target="https://gerandofalcoes.my.salesforce.com/0014X00002VKCuzQAH" TargetMode="External"/><Relationship Id="rId456" Type="http://schemas.openxmlformats.org/officeDocument/2006/relationships/hyperlink" Target="https://gerandofalcoes.my.salesforce.com/0014P00003YSp8yQAD" TargetMode="External"/><Relationship Id="rId498" Type="http://schemas.openxmlformats.org/officeDocument/2006/relationships/hyperlink" Target="https://gerandofalcoes.my.salesforce.com/0014P00003YSp7fQAD" TargetMode="External"/><Relationship Id="rId13" Type="http://schemas.openxmlformats.org/officeDocument/2006/relationships/hyperlink" Target="https://gerandofalcoes.my.salesforce.com/0014P00003YSp7dQAD" TargetMode="External"/><Relationship Id="rId109" Type="http://schemas.openxmlformats.org/officeDocument/2006/relationships/hyperlink" Target="https://gerandofalcoes.my.salesforce.com/0014X00002VKCqtQAH" TargetMode="External"/><Relationship Id="rId260" Type="http://schemas.openxmlformats.org/officeDocument/2006/relationships/hyperlink" Target="https://gerandofalcoes.my.salesforce.com/0014X00002VKCrHQAX" TargetMode="External"/><Relationship Id="rId316" Type="http://schemas.openxmlformats.org/officeDocument/2006/relationships/hyperlink" Target="https://gerandofalcoes.my.salesforce.com/0014X00002VKCttQAH" TargetMode="External"/><Relationship Id="rId523" Type="http://schemas.openxmlformats.org/officeDocument/2006/relationships/hyperlink" Target="https://gerandofalcoes.my.salesforce.com/0014X00002VKCq3QAH" TargetMode="External"/><Relationship Id="rId55" Type="http://schemas.openxmlformats.org/officeDocument/2006/relationships/hyperlink" Target="https://gerandofalcoes.my.salesforce.com/0014P00003AN2G6QAL" TargetMode="External"/><Relationship Id="rId97" Type="http://schemas.openxmlformats.org/officeDocument/2006/relationships/hyperlink" Target="https://gerandofalcoes.my.salesforce.com/0014X00002VKCsdQAH" TargetMode="External"/><Relationship Id="rId120" Type="http://schemas.openxmlformats.org/officeDocument/2006/relationships/hyperlink" Target="https://gerandofalcoes.my.salesforce.com/0014P00003YSp9AQAT" TargetMode="External"/><Relationship Id="rId358" Type="http://schemas.openxmlformats.org/officeDocument/2006/relationships/hyperlink" Target="https://gerandofalcoes.my.salesforce.com/0014P00003Ck7X8QAJ" TargetMode="External"/><Relationship Id="rId565" Type="http://schemas.openxmlformats.org/officeDocument/2006/relationships/hyperlink" Target="https://gerandofalcoes.my.salesforce.com/0014P00003YSp8bQAD" TargetMode="External"/><Relationship Id="rId162" Type="http://schemas.openxmlformats.org/officeDocument/2006/relationships/hyperlink" Target="https://gerandofalcoes.my.salesforce.com/0014P00003YSp7eQAD" TargetMode="External"/><Relationship Id="rId218" Type="http://schemas.openxmlformats.org/officeDocument/2006/relationships/hyperlink" Target="https://gerandofalcoes.my.salesforce.com/0014X00002VKCt1QAH" TargetMode="External"/><Relationship Id="rId425" Type="http://schemas.openxmlformats.org/officeDocument/2006/relationships/hyperlink" Target="https://gerandofalcoes.my.salesforce.com/0014X00002VKCuPQAX" TargetMode="External"/><Relationship Id="rId467" Type="http://schemas.openxmlformats.org/officeDocument/2006/relationships/hyperlink" Target="https://gerandofalcoes.my.salesforce.com/0014X00002VKCurQAH" TargetMode="External"/><Relationship Id="rId271" Type="http://schemas.openxmlformats.org/officeDocument/2006/relationships/hyperlink" Target="https://gerandofalcoes.my.salesforce.com/0014X00002VKD05QAH" TargetMode="External"/><Relationship Id="rId24" Type="http://schemas.openxmlformats.org/officeDocument/2006/relationships/hyperlink" Target="https://gerandofalcoes.my.salesforce.com/0014P00003SGWFrQAP" TargetMode="External"/><Relationship Id="rId66" Type="http://schemas.openxmlformats.org/officeDocument/2006/relationships/hyperlink" Target="https://gerandofalcoes.my.salesforce.com/0014P00003YSp7mQAD" TargetMode="External"/><Relationship Id="rId131" Type="http://schemas.openxmlformats.org/officeDocument/2006/relationships/hyperlink" Target="https://gerandofalcoes.my.salesforce.com/0014X00002VKCpDQAX" TargetMode="External"/><Relationship Id="rId327" Type="http://schemas.openxmlformats.org/officeDocument/2006/relationships/hyperlink" Target="https://gerandofalcoes.my.salesforce.com/0014X00002VKCp2QAH" TargetMode="External"/><Relationship Id="rId369" Type="http://schemas.openxmlformats.org/officeDocument/2006/relationships/hyperlink" Target="https://gerandofalcoes.my.salesforce.com/0014P00003SGWPzQAP" TargetMode="External"/><Relationship Id="rId534" Type="http://schemas.openxmlformats.org/officeDocument/2006/relationships/hyperlink" Target="https://gerandofalcoes.my.salesforce.com/0014P00003AN2GBQA1" TargetMode="External"/><Relationship Id="rId576" Type="http://schemas.openxmlformats.org/officeDocument/2006/relationships/hyperlink" Target="https://gerandofalcoes.my.salesforce.com/0014X00002VKCpbQAH" TargetMode="External"/><Relationship Id="rId173" Type="http://schemas.openxmlformats.org/officeDocument/2006/relationships/hyperlink" Target="https://gerandofalcoes.my.salesforce.com/0014X00002VKCukQAH" TargetMode="External"/><Relationship Id="rId229" Type="http://schemas.openxmlformats.org/officeDocument/2006/relationships/hyperlink" Target="https://gerandofalcoes.my.salesforce.com/0014X00002VKCq4QAH" TargetMode="External"/><Relationship Id="rId380" Type="http://schemas.openxmlformats.org/officeDocument/2006/relationships/hyperlink" Target="https://gerandofalcoes.my.salesforce.com/0014X00002VKCtJQAX" TargetMode="External"/><Relationship Id="rId436" Type="http://schemas.openxmlformats.org/officeDocument/2006/relationships/hyperlink" Target="https://gerandofalcoes.my.salesforce.com/0014P00003AN2GDQA1" TargetMode="External"/><Relationship Id="rId601" Type="http://schemas.openxmlformats.org/officeDocument/2006/relationships/vmlDrawing" Target="../drawings/vmlDrawing5.vml"/><Relationship Id="rId240" Type="http://schemas.openxmlformats.org/officeDocument/2006/relationships/hyperlink" Target="https://gerandofalcoes.my.salesforce.com/0014P00003YSp7WQAT" TargetMode="External"/><Relationship Id="rId478" Type="http://schemas.openxmlformats.org/officeDocument/2006/relationships/hyperlink" Target="https://gerandofalcoes.my.salesforce.com/0014X00002VKCpYQAX" TargetMode="External"/><Relationship Id="rId35" Type="http://schemas.openxmlformats.org/officeDocument/2006/relationships/hyperlink" Target="https://gerandofalcoes.my.salesforce.com/0014X00002VKCujQAH" TargetMode="External"/><Relationship Id="rId77" Type="http://schemas.openxmlformats.org/officeDocument/2006/relationships/hyperlink" Target="https://gerandofalcoes.my.salesforce.com/0014X00002VKCs5QAH" TargetMode="External"/><Relationship Id="rId100" Type="http://schemas.openxmlformats.org/officeDocument/2006/relationships/hyperlink" Target="https://gerandofalcoes.my.salesforce.com/0014X00002VKCspQAH" TargetMode="External"/><Relationship Id="rId282" Type="http://schemas.openxmlformats.org/officeDocument/2006/relationships/hyperlink" Target="https://gerandofalcoes.my.salesforce.com/0014X00002VKCtVQAX" TargetMode="External"/><Relationship Id="rId338" Type="http://schemas.openxmlformats.org/officeDocument/2006/relationships/hyperlink" Target="https://gerandofalcoes.my.salesforce.com/0014X00002PUOaDQAX" TargetMode="External"/><Relationship Id="rId503" Type="http://schemas.openxmlformats.org/officeDocument/2006/relationships/hyperlink" Target="https://gerandofalcoes.my.salesforce.com/0014P00003YSp9cQAD" TargetMode="External"/><Relationship Id="rId545" Type="http://schemas.openxmlformats.org/officeDocument/2006/relationships/hyperlink" Target="https://gerandofalcoes.my.salesforce.com/0014X00002VKCpMQAX" TargetMode="External"/><Relationship Id="rId587" Type="http://schemas.openxmlformats.org/officeDocument/2006/relationships/hyperlink" Target="https://gerandofalcoes.my.salesforce.com/0014P00003YSp8qQAD" TargetMode="External"/><Relationship Id="rId8" Type="http://schemas.openxmlformats.org/officeDocument/2006/relationships/hyperlink" Target="https://gerandofalcoes.my.salesforce.com/0014X00002VKCuLQAX" TargetMode="External"/><Relationship Id="rId142" Type="http://schemas.openxmlformats.org/officeDocument/2006/relationships/hyperlink" Target="https://gerandofalcoes.my.salesforce.com/0014P00003YSp8aQAD" TargetMode="External"/><Relationship Id="rId184" Type="http://schemas.openxmlformats.org/officeDocument/2006/relationships/hyperlink" Target="https://gerandofalcoes.my.salesforce.com/0014P00003YSp7hQAD" TargetMode="External"/><Relationship Id="rId391" Type="http://schemas.openxmlformats.org/officeDocument/2006/relationships/hyperlink" Target="https://gerandofalcoes.my.salesforce.com/0014X00002VKCtbQAH" TargetMode="External"/><Relationship Id="rId405" Type="http://schemas.openxmlformats.org/officeDocument/2006/relationships/hyperlink" Target="https://gerandofalcoes.my.salesforce.com/0014P00003SGWPoQAP" TargetMode="External"/><Relationship Id="rId447" Type="http://schemas.openxmlformats.org/officeDocument/2006/relationships/hyperlink" Target="https://gerandofalcoes.my.salesforce.com/0014P00003YSpAIQA1" TargetMode="External"/><Relationship Id="rId251" Type="http://schemas.openxmlformats.org/officeDocument/2006/relationships/hyperlink" Target="https://gerandofalcoes.my.salesforce.com/0014X00002VKCrbQAH" TargetMode="External"/><Relationship Id="rId489" Type="http://schemas.openxmlformats.org/officeDocument/2006/relationships/hyperlink" Target="https://gerandofalcoes.my.salesforce.com/0014X00002VKCtRQAX" TargetMode="External"/><Relationship Id="rId46" Type="http://schemas.openxmlformats.org/officeDocument/2006/relationships/hyperlink" Target="https://gerandofalcoes.my.salesforce.com/0014P00003YSp9FQAT" TargetMode="External"/><Relationship Id="rId293" Type="http://schemas.openxmlformats.org/officeDocument/2006/relationships/hyperlink" Target="https://gerandofalcoes.my.salesforce.com/0014X00002VKCsyQAH" TargetMode="External"/><Relationship Id="rId307" Type="http://schemas.openxmlformats.org/officeDocument/2006/relationships/hyperlink" Target="https://gerandofalcoes.my.salesforce.com/0014P00003AN2FqQAL" TargetMode="External"/><Relationship Id="rId349" Type="http://schemas.openxmlformats.org/officeDocument/2006/relationships/hyperlink" Target="https://gerandofalcoes.my.salesforce.com/0014X00002QTWZVQA5" TargetMode="External"/><Relationship Id="rId514" Type="http://schemas.openxmlformats.org/officeDocument/2006/relationships/hyperlink" Target="https://gerandofalcoes.my.salesforce.com/0014P00003YSp8QQAT" TargetMode="External"/><Relationship Id="rId556" Type="http://schemas.openxmlformats.org/officeDocument/2006/relationships/hyperlink" Target="https://gerandofalcoes.my.salesforce.com/0014P00003ERavoQAD" TargetMode="External"/><Relationship Id="rId88" Type="http://schemas.openxmlformats.org/officeDocument/2006/relationships/hyperlink" Target="https://gerandofalcoes.my.salesforce.com/0014X00002VKCr8QAH" TargetMode="External"/><Relationship Id="rId111" Type="http://schemas.openxmlformats.org/officeDocument/2006/relationships/hyperlink" Target="https://gerandofalcoes.my.salesforce.com/0014P00003YSpAKQA1" TargetMode="External"/><Relationship Id="rId153" Type="http://schemas.openxmlformats.org/officeDocument/2006/relationships/hyperlink" Target="https://gerandofalcoes.my.salesforce.com/0014X00002VKCqVQAX" TargetMode="External"/><Relationship Id="rId195" Type="http://schemas.openxmlformats.org/officeDocument/2006/relationships/hyperlink" Target="https://gerandofalcoes.my.salesforce.com/0014X00002VKD04QAH" TargetMode="External"/><Relationship Id="rId209" Type="http://schemas.openxmlformats.org/officeDocument/2006/relationships/hyperlink" Target="https://gerandofalcoes.my.salesforce.com/0014X00002VKCrtQAH" TargetMode="External"/><Relationship Id="rId360" Type="http://schemas.openxmlformats.org/officeDocument/2006/relationships/hyperlink" Target="https://gerandofalcoes.my.salesforce.com/0014P00003YSp9TQAT" TargetMode="External"/><Relationship Id="rId416" Type="http://schemas.openxmlformats.org/officeDocument/2006/relationships/hyperlink" Target="https://gerandofalcoes.my.salesforce.com/0014P00003AN2GKQA1" TargetMode="External"/><Relationship Id="rId598" Type="http://schemas.openxmlformats.org/officeDocument/2006/relationships/hyperlink" Target="https://gerandofalcoes.my.salesforce.com/0014X00002VKCuRQAX" TargetMode="External"/><Relationship Id="rId220" Type="http://schemas.openxmlformats.org/officeDocument/2006/relationships/hyperlink" Target="https://gerandofalcoes.my.salesforce.com/0014X00002VKCtuQAH" TargetMode="External"/><Relationship Id="rId458" Type="http://schemas.openxmlformats.org/officeDocument/2006/relationships/hyperlink" Target="https://gerandofalcoes.my.salesforce.com/0014P00003YSp8LQAT" TargetMode="External"/><Relationship Id="rId15" Type="http://schemas.openxmlformats.org/officeDocument/2006/relationships/hyperlink" Target="https://gerandofalcoes.my.salesforce.com/0014X00002OEuasQAD" TargetMode="External"/><Relationship Id="rId57" Type="http://schemas.openxmlformats.org/officeDocument/2006/relationships/hyperlink" Target="https://gerandofalcoes.my.salesforce.com/0014P00003AN2FlQAL" TargetMode="External"/><Relationship Id="rId262" Type="http://schemas.openxmlformats.org/officeDocument/2006/relationships/hyperlink" Target="https://gerandofalcoes.my.salesforce.com/0014P00003SGWPTQA5" TargetMode="External"/><Relationship Id="rId318" Type="http://schemas.openxmlformats.org/officeDocument/2006/relationships/hyperlink" Target="https://gerandofalcoes.my.salesforce.com/0014X00002VKCuCQAX" TargetMode="External"/><Relationship Id="rId525" Type="http://schemas.openxmlformats.org/officeDocument/2006/relationships/hyperlink" Target="https://gerandofalcoes.my.salesforce.com/0014P00003YSp8IQAT" TargetMode="External"/><Relationship Id="rId567" Type="http://schemas.openxmlformats.org/officeDocument/2006/relationships/hyperlink" Target="https://gerandofalcoes.my.salesforce.com/0014X00002VKCuDQAX" TargetMode="External"/><Relationship Id="rId99" Type="http://schemas.openxmlformats.org/officeDocument/2006/relationships/hyperlink" Target="https://gerandofalcoes.my.salesforce.com/0014P00003AN2FfQAL" TargetMode="External"/><Relationship Id="rId122" Type="http://schemas.openxmlformats.org/officeDocument/2006/relationships/hyperlink" Target="https://gerandofalcoes.my.salesforce.com/0014X00002VKCrWQAX" TargetMode="External"/><Relationship Id="rId164" Type="http://schemas.openxmlformats.org/officeDocument/2006/relationships/hyperlink" Target="https://gerandofalcoes.my.salesforce.com/0014P00003AN2FgQAL" TargetMode="External"/><Relationship Id="rId371" Type="http://schemas.openxmlformats.org/officeDocument/2006/relationships/hyperlink" Target="https://gerandofalcoes.my.salesforce.com/0014X00002VKCq5QAH" TargetMode="External"/><Relationship Id="rId427" Type="http://schemas.openxmlformats.org/officeDocument/2006/relationships/hyperlink" Target="https://gerandofalcoes.my.salesforce.com/0014P00003SGWPvQAP" TargetMode="External"/><Relationship Id="rId469" Type="http://schemas.openxmlformats.org/officeDocument/2006/relationships/hyperlink" Target="https://gerandofalcoes.my.salesforce.com/0014P00003YSp9zQAD" TargetMode="External"/><Relationship Id="rId26" Type="http://schemas.openxmlformats.org/officeDocument/2006/relationships/hyperlink" Target="https://gerandofalcoes.my.salesforce.com/0014P00003YSp9UQAT" TargetMode="External"/><Relationship Id="rId231" Type="http://schemas.openxmlformats.org/officeDocument/2006/relationships/hyperlink" Target="https://gerandofalcoes.my.salesforce.com/0014P00003YSp81QAD" TargetMode="External"/><Relationship Id="rId273" Type="http://schemas.openxmlformats.org/officeDocument/2006/relationships/hyperlink" Target="https://gerandofalcoes.my.salesforce.com/0014P00003YSp8XQAT" TargetMode="External"/><Relationship Id="rId329" Type="http://schemas.openxmlformats.org/officeDocument/2006/relationships/hyperlink" Target="https://gerandofalcoes.my.salesforce.com/0014P00003YSp7oQAD" TargetMode="External"/><Relationship Id="rId480" Type="http://schemas.openxmlformats.org/officeDocument/2006/relationships/hyperlink" Target="https://gerandofalcoes.my.salesforce.com/0014X00002VKCouQAH" TargetMode="External"/><Relationship Id="rId536" Type="http://schemas.openxmlformats.org/officeDocument/2006/relationships/hyperlink" Target="https://gerandofalcoes.my.salesforce.com/0014P00003YSp7VQAT" TargetMode="External"/><Relationship Id="rId68" Type="http://schemas.openxmlformats.org/officeDocument/2006/relationships/hyperlink" Target="https://gerandofalcoes.my.salesforce.com/0014P00003SGWQBQA5" TargetMode="External"/><Relationship Id="rId133" Type="http://schemas.openxmlformats.org/officeDocument/2006/relationships/hyperlink" Target="https://gerandofalcoes.my.salesforce.com/0014P00003SGWQ6QAP" TargetMode="External"/><Relationship Id="rId175" Type="http://schemas.openxmlformats.org/officeDocument/2006/relationships/hyperlink" Target="https://gerandofalcoes.my.salesforce.com/0014X00002VKCqaQAH" TargetMode="External"/><Relationship Id="rId340" Type="http://schemas.openxmlformats.org/officeDocument/2006/relationships/hyperlink" Target="https://gerandofalcoes.my.salesforce.com/0014X00002VKCueQAH" TargetMode="External"/><Relationship Id="rId578" Type="http://schemas.openxmlformats.org/officeDocument/2006/relationships/hyperlink" Target="https://gerandofalcoes.my.salesforce.com/0014P00003YSp82QAD" TargetMode="External"/><Relationship Id="rId200" Type="http://schemas.openxmlformats.org/officeDocument/2006/relationships/hyperlink" Target="https://gerandofalcoes.my.salesforce.com/0014P00003YSp8YQAT" TargetMode="External"/><Relationship Id="rId382" Type="http://schemas.openxmlformats.org/officeDocument/2006/relationships/hyperlink" Target="https://gerandofalcoes.my.salesforce.com/0014P00003AN2GPQA1" TargetMode="External"/><Relationship Id="rId438" Type="http://schemas.openxmlformats.org/officeDocument/2006/relationships/hyperlink" Target="https://gerandofalcoes.my.salesforce.com/0014P00003YSp7iQAD" TargetMode="External"/><Relationship Id="rId242" Type="http://schemas.openxmlformats.org/officeDocument/2006/relationships/hyperlink" Target="https://gerandofalcoes.my.salesforce.com/0014X00002VKCqzQAH" TargetMode="External"/><Relationship Id="rId284" Type="http://schemas.openxmlformats.org/officeDocument/2006/relationships/hyperlink" Target="https://gerandofalcoes.my.salesforce.com/0014X00002VKCpdQAH" TargetMode="External"/><Relationship Id="rId491" Type="http://schemas.openxmlformats.org/officeDocument/2006/relationships/hyperlink" Target="https://gerandofalcoes.my.salesforce.com/0014P00003AN2G3QAL" TargetMode="External"/><Relationship Id="rId505" Type="http://schemas.openxmlformats.org/officeDocument/2006/relationships/hyperlink" Target="https://gerandofalcoes.my.salesforce.com/0014P00003SGWQ8QAP" TargetMode="External"/><Relationship Id="rId37" Type="http://schemas.openxmlformats.org/officeDocument/2006/relationships/hyperlink" Target="https://gerandofalcoes.my.salesforce.com/0014X00002VKCqvQAH" TargetMode="External"/><Relationship Id="rId79" Type="http://schemas.openxmlformats.org/officeDocument/2006/relationships/hyperlink" Target="https://gerandofalcoes.my.salesforce.com/0014P00003SGWPtQAP" TargetMode="External"/><Relationship Id="rId102" Type="http://schemas.openxmlformats.org/officeDocument/2006/relationships/hyperlink" Target="https://gerandofalcoes.my.salesforce.com/0014P00003AN2GHQA1" TargetMode="External"/><Relationship Id="rId144" Type="http://schemas.openxmlformats.org/officeDocument/2006/relationships/hyperlink" Target="https://gerandofalcoes.my.salesforce.com/0014X00002VKCsEQAX" TargetMode="External"/><Relationship Id="rId547" Type="http://schemas.openxmlformats.org/officeDocument/2006/relationships/hyperlink" Target="https://gerandofalcoes.my.salesforce.com/0014X00002VKCt3QAH" TargetMode="External"/><Relationship Id="rId589" Type="http://schemas.openxmlformats.org/officeDocument/2006/relationships/hyperlink" Target="https://gerandofalcoes.my.salesforce.com/0014X00002VKCvCQAX" TargetMode="External"/><Relationship Id="rId90" Type="http://schemas.openxmlformats.org/officeDocument/2006/relationships/hyperlink" Target="https://gerandofalcoes.my.salesforce.com/0014P00003YSp7sQAD" TargetMode="External"/><Relationship Id="rId186" Type="http://schemas.openxmlformats.org/officeDocument/2006/relationships/hyperlink" Target="https://gerandofalcoes.my.salesforce.com/0014X00002VKCp4QAH" TargetMode="External"/><Relationship Id="rId351" Type="http://schemas.openxmlformats.org/officeDocument/2006/relationships/hyperlink" Target="https://gerandofalcoes.my.salesforce.com/0014P00003YSp7vQAD" TargetMode="External"/><Relationship Id="rId393" Type="http://schemas.openxmlformats.org/officeDocument/2006/relationships/hyperlink" Target="https://gerandofalcoes.my.salesforce.com/0014X00002VKCpsQAH" TargetMode="External"/><Relationship Id="rId407" Type="http://schemas.openxmlformats.org/officeDocument/2006/relationships/hyperlink" Target="https://gerandofalcoes.my.salesforce.com/0014P00003YSp9lQAD" TargetMode="External"/><Relationship Id="rId449" Type="http://schemas.openxmlformats.org/officeDocument/2006/relationships/hyperlink" Target="https://gerandofalcoes.my.salesforce.com/0014X00002VKCt9QAH" TargetMode="External"/><Relationship Id="rId211" Type="http://schemas.openxmlformats.org/officeDocument/2006/relationships/hyperlink" Target="https://gerandofalcoes.my.salesforce.com/0014P00003YSp8NQAT" TargetMode="External"/><Relationship Id="rId253" Type="http://schemas.openxmlformats.org/officeDocument/2006/relationships/hyperlink" Target="https://gerandofalcoes.my.salesforce.com/0014X00002VKCuZQAX" TargetMode="External"/><Relationship Id="rId295" Type="http://schemas.openxmlformats.org/officeDocument/2006/relationships/hyperlink" Target="https://gerandofalcoes.my.salesforce.com/0014X00002VKCqlQAH" TargetMode="External"/><Relationship Id="rId309" Type="http://schemas.openxmlformats.org/officeDocument/2006/relationships/hyperlink" Target="https://gerandofalcoes.my.salesforce.com/0014X00002VKCpAQAX" TargetMode="External"/><Relationship Id="rId460" Type="http://schemas.openxmlformats.org/officeDocument/2006/relationships/hyperlink" Target="https://gerandofalcoes.my.salesforce.com/0014X00002VKCuVQAX" TargetMode="External"/><Relationship Id="rId516" Type="http://schemas.openxmlformats.org/officeDocument/2006/relationships/hyperlink" Target="https://gerandofalcoes.my.salesforce.com/0014P00003SGWFsQAP" TargetMode="External"/><Relationship Id="rId48" Type="http://schemas.openxmlformats.org/officeDocument/2006/relationships/hyperlink" Target="https://gerandofalcoes.my.salesforce.com/0014X00002VKCqZQAX" TargetMode="External"/><Relationship Id="rId113" Type="http://schemas.openxmlformats.org/officeDocument/2006/relationships/hyperlink" Target="https://gerandofalcoes.my.salesforce.com/0014X00002VKCtAQAX" TargetMode="External"/><Relationship Id="rId320" Type="http://schemas.openxmlformats.org/officeDocument/2006/relationships/hyperlink" Target="https://gerandofalcoes.my.salesforce.com/0014P00003AN2GMQA1" TargetMode="External"/><Relationship Id="rId558" Type="http://schemas.openxmlformats.org/officeDocument/2006/relationships/hyperlink" Target="https://gerandofalcoes.my.salesforce.com/0014X00002VKCrDQAX" TargetMode="External"/><Relationship Id="rId155" Type="http://schemas.openxmlformats.org/officeDocument/2006/relationships/hyperlink" Target="https://gerandofalcoes.my.salesforce.com/0014P00003SGWPSQA5" TargetMode="External"/><Relationship Id="rId197" Type="http://schemas.openxmlformats.org/officeDocument/2006/relationships/hyperlink" Target="https://gerandofalcoes.my.salesforce.com/0014P00003YSp88QAD" TargetMode="External"/><Relationship Id="rId362" Type="http://schemas.openxmlformats.org/officeDocument/2006/relationships/hyperlink" Target="https://gerandofalcoes.my.salesforce.com/0014P00003AN2FVQA1" TargetMode="External"/><Relationship Id="rId418" Type="http://schemas.openxmlformats.org/officeDocument/2006/relationships/hyperlink" Target="https://gerandofalcoes.my.salesforce.com/0014P00003YSpA3QAL" TargetMode="External"/><Relationship Id="rId222" Type="http://schemas.openxmlformats.org/officeDocument/2006/relationships/hyperlink" Target="https://gerandofalcoes.my.salesforce.com/0014P00003YSpAMQA1" TargetMode="External"/><Relationship Id="rId264" Type="http://schemas.openxmlformats.org/officeDocument/2006/relationships/hyperlink" Target="https://gerandofalcoes.my.salesforce.com/0014P00003YSpACQA1" TargetMode="External"/><Relationship Id="rId471" Type="http://schemas.openxmlformats.org/officeDocument/2006/relationships/hyperlink" Target="https://gerandofalcoes.my.salesforce.com/0014X00002VKCp9QAH" TargetMode="External"/><Relationship Id="rId17" Type="http://schemas.openxmlformats.org/officeDocument/2006/relationships/hyperlink" Target="https://gerandofalcoes.my.salesforce.com/0014P00003YSp8AQAT" TargetMode="External"/><Relationship Id="rId59" Type="http://schemas.openxmlformats.org/officeDocument/2006/relationships/hyperlink" Target="https://gerandofalcoes.my.salesforce.com/0014X00002VKCu2QAH" TargetMode="External"/><Relationship Id="rId124" Type="http://schemas.openxmlformats.org/officeDocument/2006/relationships/hyperlink" Target="https://gerandofalcoes.my.salesforce.com/0014P00003YSp7bQAD" TargetMode="External"/><Relationship Id="rId527" Type="http://schemas.openxmlformats.org/officeDocument/2006/relationships/hyperlink" Target="https://gerandofalcoes.my.salesforce.com/0014X00002VKCsaQAH" TargetMode="External"/><Relationship Id="rId569" Type="http://schemas.openxmlformats.org/officeDocument/2006/relationships/hyperlink" Target="https://gerandofalcoes.my.salesforce.com/0014P00003YSp8eQAD" TargetMode="External"/><Relationship Id="rId70" Type="http://schemas.openxmlformats.org/officeDocument/2006/relationships/hyperlink" Target="https://gerandofalcoes.my.salesforce.com/0014X00002OEuaoQAD" TargetMode="External"/><Relationship Id="rId166" Type="http://schemas.openxmlformats.org/officeDocument/2006/relationships/hyperlink" Target="https://gerandofalcoes.my.salesforce.com/0014X00002VKCtgQAH" TargetMode="External"/><Relationship Id="rId331" Type="http://schemas.openxmlformats.org/officeDocument/2006/relationships/hyperlink" Target="https://gerandofalcoes.my.salesforce.com/0014P00003YSp7nQAD" TargetMode="External"/><Relationship Id="rId373" Type="http://schemas.openxmlformats.org/officeDocument/2006/relationships/hyperlink" Target="https://gerandofalcoes.my.salesforce.com/0014X00002VKCsCQAX" TargetMode="External"/><Relationship Id="rId429" Type="http://schemas.openxmlformats.org/officeDocument/2006/relationships/hyperlink" Target="https://gerandofalcoes.my.salesforce.com/0014X00002VKCqhQAH" TargetMode="External"/><Relationship Id="rId580" Type="http://schemas.openxmlformats.org/officeDocument/2006/relationships/hyperlink" Target="https://gerandofalcoes.my.salesforce.com/0014X00002VKCqmQAH" TargetMode="External"/><Relationship Id="rId1" Type="http://schemas.openxmlformats.org/officeDocument/2006/relationships/hyperlink" Target="https://gerandofalcoes.my.salesforce.com/0014P00003YSp95QAD" TargetMode="External"/><Relationship Id="rId233" Type="http://schemas.openxmlformats.org/officeDocument/2006/relationships/hyperlink" Target="https://gerandofalcoes.my.salesforce.com/0014P00003YSp7SQAT" TargetMode="External"/><Relationship Id="rId440" Type="http://schemas.openxmlformats.org/officeDocument/2006/relationships/hyperlink" Target="https://gerandofalcoes.my.salesforce.com/0014X00002VKCpKQAX" TargetMode="External"/><Relationship Id="rId28" Type="http://schemas.openxmlformats.org/officeDocument/2006/relationships/hyperlink" Target="https://gerandofalcoes.my.salesforce.com/0014X00002VKCtsQAH" TargetMode="External"/><Relationship Id="rId275" Type="http://schemas.openxmlformats.org/officeDocument/2006/relationships/hyperlink" Target="https://gerandofalcoes.my.salesforce.com/0014P00003YSp9ZQAT" TargetMode="External"/><Relationship Id="rId300" Type="http://schemas.openxmlformats.org/officeDocument/2006/relationships/hyperlink" Target="https://gerandofalcoes.my.salesforce.com/0014X00002VKCrMQAX" TargetMode="External"/><Relationship Id="rId482" Type="http://schemas.openxmlformats.org/officeDocument/2006/relationships/hyperlink" Target="https://gerandofalcoes.my.salesforce.com/0014P00003SGWPbQAP" TargetMode="External"/><Relationship Id="rId538" Type="http://schemas.openxmlformats.org/officeDocument/2006/relationships/hyperlink" Target="https://gerandofalcoes.my.salesforce.com/0014X00002VKCuYQAX" TargetMode="External"/><Relationship Id="rId81" Type="http://schemas.openxmlformats.org/officeDocument/2006/relationships/hyperlink" Target="https://gerandofalcoes.my.salesforce.com/0014X00002VKCtUQAX" TargetMode="External"/><Relationship Id="rId135" Type="http://schemas.openxmlformats.org/officeDocument/2006/relationships/hyperlink" Target="https://gerandofalcoes.my.salesforce.com/0014P00003AN2FyQAL" TargetMode="External"/><Relationship Id="rId177" Type="http://schemas.openxmlformats.org/officeDocument/2006/relationships/hyperlink" Target="https://gerandofalcoes.my.salesforce.com/0014P00003YSp8gQAD" TargetMode="External"/><Relationship Id="rId342" Type="http://schemas.openxmlformats.org/officeDocument/2006/relationships/hyperlink" Target="https://gerandofalcoes.my.salesforce.com/0014X00002VKCphQAH" TargetMode="External"/><Relationship Id="rId384" Type="http://schemas.openxmlformats.org/officeDocument/2006/relationships/hyperlink" Target="https://gerandofalcoes.my.salesforce.com/0014P00003YSp7TQAT" TargetMode="External"/><Relationship Id="rId591" Type="http://schemas.openxmlformats.org/officeDocument/2006/relationships/hyperlink" Target="https://gerandofalcoes.my.salesforce.com/0014X00002VKCpIQAX" TargetMode="External"/><Relationship Id="rId202" Type="http://schemas.openxmlformats.org/officeDocument/2006/relationships/hyperlink" Target="https://gerandofalcoes.my.salesforce.com/0014X00002VKCt6QAH" TargetMode="External"/><Relationship Id="rId244" Type="http://schemas.openxmlformats.org/officeDocument/2006/relationships/hyperlink" Target="https://gerandofalcoes.my.salesforce.com/0014X00002VKCreQAH" TargetMode="External"/><Relationship Id="rId39" Type="http://schemas.openxmlformats.org/officeDocument/2006/relationships/hyperlink" Target="https://gerandofalcoes.my.salesforce.com/0014P00003SGWPhQAP" TargetMode="External"/><Relationship Id="rId286" Type="http://schemas.openxmlformats.org/officeDocument/2006/relationships/hyperlink" Target="https://gerandofalcoes.my.salesforce.com/0014X00002VKCqyQAH" TargetMode="External"/><Relationship Id="rId451" Type="http://schemas.openxmlformats.org/officeDocument/2006/relationships/hyperlink" Target="https://gerandofalcoes.my.salesforce.com/0014P00003YSp7qQAD" TargetMode="External"/><Relationship Id="rId493" Type="http://schemas.openxmlformats.org/officeDocument/2006/relationships/hyperlink" Target="https://gerandofalcoes.my.salesforce.com/0014P00003SGWQ3QAP" TargetMode="External"/><Relationship Id="rId507" Type="http://schemas.openxmlformats.org/officeDocument/2006/relationships/hyperlink" Target="https://gerandofalcoes.my.salesforce.com/0014P00003SGWQFQA5" TargetMode="External"/><Relationship Id="rId549" Type="http://schemas.openxmlformats.org/officeDocument/2006/relationships/hyperlink" Target="https://gerandofalcoes.my.salesforce.com/0014X00002OEuamQAD" TargetMode="External"/><Relationship Id="rId50" Type="http://schemas.openxmlformats.org/officeDocument/2006/relationships/hyperlink" Target="https://gerandofalcoes.my.salesforce.com/0014P00003YSp9rQAD" TargetMode="External"/><Relationship Id="rId104" Type="http://schemas.openxmlformats.org/officeDocument/2006/relationships/hyperlink" Target="https://gerandofalcoes.my.salesforce.com/0014P00003SGWPfQAP" TargetMode="External"/><Relationship Id="rId146" Type="http://schemas.openxmlformats.org/officeDocument/2006/relationships/hyperlink" Target="https://gerandofalcoes.my.salesforce.com/0014P00003YSp9iQAD" TargetMode="External"/><Relationship Id="rId188" Type="http://schemas.openxmlformats.org/officeDocument/2006/relationships/hyperlink" Target="https://gerandofalcoes.my.salesforce.com/0014X00002VKCtGQAX" TargetMode="External"/><Relationship Id="rId311" Type="http://schemas.openxmlformats.org/officeDocument/2006/relationships/hyperlink" Target="https://gerandofalcoes.my.salesforce.com/0014X00002VKCqEQAX" TargetMode="External"/><Relationship Id="rId353" Type="http://schemas.openxmlformats.org/officeDocument/2006/relationships/hyperlink" Target="https://gerandofalcoes.my.salesforce.com/0014P00003AN2FuQAL" TargetMode="External"/><Relationship Id="rId395" Type="http://schemas.openxmlformats.org/officeDocument/2006/relationships/hyperlink" Target="https://gerandofalcoes.my.salesforce.com/0014P00003YSp91QAD" TargetMode="External"/><Relationship Id="rId409" Type="http://schemas.openxmlformats.org/officeDocument/2006/relationships/hyperlink" Target="https://gerandofalcoes.my.salesforce.com/0014X00002VKCtzQAH" TargetMode="External"/><Relationship Id="rId560" Type="http://schemas.openxmlformats.org/officeDocument/2006/relationships/hyperlink" Target="https://gerandofalcoes.my.salesforce.com/0014X00002VKCsLQAX" TargetMode="External"/><Relationship Id="rId92" Type="http://schemas.openxmlformats.org/officeDocument/2006/relationships/hyperlink" Target="https://gerandofalcoes.my.salesforce.com/0014P00003YSp9MQAT" TargetMode="External"/><Relationship Id="rId213" Type="http://schemas.openxmlformats.org/officeDocument/2006/relationships/hyperlink" Target="https://gerandofalcoes.my.salesforce.com/0014X00002VKCrCQAX" TargetMode="External"/><Relationship Id="rId420" Type="http://schemas.openxmlformats.org/officeDocument/2006/relationships/hyperlink" Target="https://gerandofalcoes.my.salesforce.com/0014P00003AN2G5QAL" TargetMode="External"/><Relationship Id="rId255" Type="http://schemas.openxmlformats.org/officeDocument/2006/relationships/hyperlink" Target="https://gerandofalcoes.my.salesforce.com/0014X00002VKCtyQAH" TargetMode="External"/><Relationship Id="rId297" Type="http://schemas.openxmlformats.org/officeDocument/2006/relationships/hyperlink" Target="https://gerandofalcoes.my.salesforce.com/0014P00003YSp8hQAD" TargetMode="External"/><Relationship Id="rId462" Type="http://schemas.openxmlformats.org/officeDocument/2006/relationships/hyperlink" Target="https://gerandofalcoes.my.salesforce.com/0014P00003SGWQ1QAP" TargetMode="External"/><Relationship Id="rId518" Type="http://schemas.openxmlformats.org/officeDocument/2006/relationships/hyperlink" Target="https://gerandofalcoes.my.salesforce.com/0014X00002VKCuSQAX" TargetMode="External"/><Relationship Id="rId115" Type="http://schemas.openxmlformats.org/officeDocument/2006/relationships/hyperlink" Target="https://gerandofalcoes.my.salesforce.com/0014X00002VKCv3QAH" TargetMode="External"/><Relationship Id="rId157" Type="http://schemas.openxmlformats.org/officeDocument/2006/relationships/hyperlink" Target="https://gerandofalcoes.my.salesforce.com/0014X00002VKCunQAH" TargetMode="External"/><Relationship Id="rId322" Type="http://schemas.openxmlformats.org/officeDocument/2006/relationships/hyperlink" Target="https://gerandofalcoes.my.salesforce.com/0014P00003YSp9PQAT" TargetMode="External"/><Relationship Id="rId364" Type="http://schemas.openxmlformats.org/officeDocument/2006/relationships/hyperlink" Target="https://gerandofalcoes.my.salesforce.com/0014P00003MjR9oQAF" TargetMode="External"/><Relationship Id="rId61" Type="http://schemas.openxmlformats.org/officeDocument/2006/relationships/hyperlink" Target="https://gerandofalcoes.my.salesforce.com/0014P00003SGWPQQA5" TargetMode="External"/><Relationship Id="rId199" Type="http://schemas.openxmlformats.org/officeDocument/2006/relationships/hyperlink" Target="https://gerandofalcoes.my.salesforce.com/0014P00003SGWPZQA5" TargetMode="External"/><Relationship Id="rId571" Type="http://schemas.openxmlformats.org/officeDocument/2006/relationships/hyperlink" Target="https://gerandofalcoes.my.salesforce.com/0014P00003AN2FhQAL" TargetMode="External"/><Relationship Id="rId19" Type="http://schemas.openxmlformats.org/officeDocument/2006/relationships/hyperlink" Target="https://gerandofalcoes.my.salesforce.com/0014P00003AN76yQAD" TargetMode="External"/><Relationship Id="rId224" Type="http://schemas.openxmlformats.org/officeDocument/2006/relationships/hyperlink" Target="https://gerandofalcoes.my.salesforce.com/0014X00002OEualQAD" TargetMode="External"/><Relationship Id="rId266" Type="http://schemas.openxmlformats.org/officeDocument/2006/relationships/hyperlink" Target="https://gerandofalcoes.my.salesforce.com/0014X00002VKCs4QAH" TargetMode="External"/><Relationship Id="rId431" Type="http://schemas.openxmlformats.org/officeDocument/2006/relationships/hyperlink" Target="https://gerandofalcoes.my.salesforce.com/0014X00002VKCv6QAH" TargetMode="External"/><Relationship Id="rId473" Type="http://schemas.openxmlformats.org/officeDocument/2006/relationships/hyperlink" Target="https://gerandofalcoes.my.salesforce.com/0014X00002VKCtEQAX" TargetMode="External"/><Relationship Id="rId529" Type="http://schemas.openxmlformats.org/officeDocument/2006/relationships/hyperlink" Target="https://gerandofalcoes.my.salesforce.com/0014X00002VKCrJQAX" TargetMode="External"/><Relationship Id="rId30" Type="http://schemas.openxmlformats.org/officeDocument/2006/relationships/hyperlink" Target="https://gerandofalcoes.my.salesforce.com/0014X00002VKCuIQAX" TargetMode="External"/><Relationship Id="rId126" Type="http://schemas.openxmlformats.org/officeDocument/2006/relationships/hyperlink" Target="https://gerandofalcoes.my.salesforce.com/0014X00002QTry4QAD" TargetMode="External"/><Relationship Id="rId168" Type="http://schemas.openxmlformats.org/officeDocument/2006/relationships/hyperlink" Target="https://gerandofalcoes.my.salesforce.com/0014P00003YSp7XQAT" TargetMode="External"/><Relationship Id="rId333" Type="http://schemas.openxmlformats.org/officeDocument/2006/relationships/hyperlink" Target="https://gerandofalcoes.my.salesforce.com/0014X00002VKCq0QAH" TargetMode="External"/><Relationship Id="rId540" Type="http://schemas.openxmlformats.org/officeDocument/2006/relationships/hyperlink" Target="https://gerandofalcoes.my.salesforce.com/0014X00002VKCtKQAX" TargetMode="External"/><Relationship Id="rId72" Type="http://schemas.openxmlformats.org/officeDocument/2006/relationships/hyperlink" Target="https://gerandofalcoes.my.salesforce.com/0014X00002VKCv9QAH" TargetMode="External"/><Relationship Id="rId375" Type="http://schemas.openxmlformats.org/officeDocument/2006/relationships/hyperlink" Target="https://gerandofalcoes.my.salesforce.com/0014X00002VKCqgQAH" TargetMode="External"/><Relationship Id="rId582" Type="http://schemas.openxmlformats.org/officeDocument/2006/relationships/hyperlink" Target="https://gerandofalcoes.my.salesforce.com/0014X00002VKCshQAH" TargetMode="External"/><Relationship Id="rId3" Type="http://schemas.openxmlformats.org/officeDocument/2006/relationships/hyperlink" Target="https://gerandofalcoes.my.salesforce.com/0014P00003YSpAEQA1" TargetMode="External"/><Relationship Id="rId235" Type="http://schemas.openxmlformats.org/officeDocument/2006/relationships/hyperlink" Target="https://gerandofalcoes.my.salesforce.com/0014X00002VMXzMQAX" TargetMode="External"/><Relationship Id="rId277" Type="http://schemas.openxmlformats.org/officeDocument/2006/relationships/hyperlink" Target="https://gerandofalcoes.my.salesforce.com/0014X00002VKCpQQAX" TargetMode="External"/><Relationship Id="rId400" Type="http://schemas.openxmlformats.org/officeDocument/2006/relationships/hyperlink" Target="https://gerandofalcoes.my.salesforce.com/0014P00003I7WH2QAN" TargetMode="External"/><Relationship Id="rId442" Type="http://schemas.openxmlformats.org/officeDocument/2006/relationships/hyperlink" Target="https://gerandofalcoes.my.salesforce.com/0014X00002VKCuTQAX" TargetMode="External"/><Relationship Id="rId484" Type="http://schemas.openxmlformats.org/officeDocument/2006/relationships/hyperlink" Target="https://gerandofalcoes.my.salesforce.com/0014X00002VKCowQAH" TargetMode="External"/><Relationship Id="rId137" Type="http://schemas.openxmlformats.org/officeDocument/2006/relationships/hyperlink" Target="https://gerandofalcoes.my.salesforce.com/0014P00003SGWPYQA5" TargetMode="External"/><Relationship Id="rId302" Type="http://schemas.openxmlformats.org/officeDocument/2006/relationships/hyperlink" Target="https://gerandofalcoes.my.salesforce.com/0014P00003YSp8OQAT" TargetMode="External"/><Relationship Id="rId344" Type="http://schemas.openxmlformats.org/officeDocument/2006/relationships/hyperlink" Target="https://gerandofalcoes.my.salesforce.com/0014X00002VKCpgQAH" TargetMode="External"/><Relationship Id="rId41" Type="http://schemas.openxmlformats.org/officeDocument/2006/relationships/hyperlink" Target="https://gerandofalcoes.my.salesforce.com/0014X00002VKCuiQAH" TargetMode="External"/><Relationship Id="rId83" Type="http://schemas.openxmlformats.org/officeDocument/2006/relationships/hyperlink" Target="https://gerandofalcoes.my.salesforce.com/0014X00002VKCsoQAH" TargetMode="External"/><Relationship Id="rId179" Type="http://schemas.openxmlformats.org/officeDocument/2006/relationships/hyperlink" Target="https://gerandofalcoes.my.salesforce.com/0014P00003YSp7lQAD" TargetMode="External"/><Relationship Id="rId386" Type="http://schemas.openxmlformats.org/officeDocument/2006/relationships/hyperlink" Target="https://gerandofalcoes.my.salesforce.com/0014P00003SGWPPQA5" TargetMode="External"/><Relationship Id="rId551" Type="http://schemas.openxmlformats.org/officeDocument/2006/relationships/hyperlink" Target="https://gerandofalcoes.my.salesforce.com/0014P00003AN2FdQAL" TargetMode="External"/><Relationship Id="rId593" Type="http://schemas.openxmlformats.org/officeDocument/2006/relationships/hyperlink" Target="https://gerandofalcoes.my.salesforce.com/0014X00002OEuapQAD" TargetMode="External"/><Relationship Id="rId190" Type="http://schemas.openxmlformats.org/officeDocument/2006/relationships/hyperlink" Target="https://gerandofalcoes.my.salesforce.com/0014X00002VKCryQAH" TargetMode="External"/><Relationship Id="rId204" Type="http://schemas.openxmlformats.org/officeDocument/2006/relationships/hyperlink" Target="https://gerandofalcoes.my.salesforce.com/0014X00002VKCscQAH" TargetMode="External"/><Relationship Id="rId246" Type="http://schemas.openxmlformats.org/officeDocument/2006/relationships/hyperlink" Target="https://gerandofalcoes.my.salesforce.com/0014P00003YSp9hQAD" TargetMode="External"/><Relationship Id="rId288" Type="http://schemas.openxmlformats.org/officeDocument/2006/relationships/hyperlink" Target="https://gerandofalcoes.my.salesforce.com/0014P00003AN2h5QAD" TargetMode="External"/><Relationship Id="rId411" Type="http://schemas.openxmlformats.org/officeDocument/2006/relationships/hyperlink" Target="https://gerandofalcoes.my.salesforce.com/0014P00003YSp8cQAD" TargetMode="External"/><Relationship Id="rId453" Type="http://schemas.openxmlformats.org/officeDocument/2006/relationships/hyperlink" Target="https://gerandofalcoes.my.salesforce.com/0014P00003YSp8mQAD" TargetMode="External"/><Relationship Id="rId509" Type="http://schemas.openxmlformats.org/officeDocument/2006/relationships/hyperlink" Target="https://gerandofalcoes.my.salesforce.com/0014P00003YSp9xQAD" TargetMode="External"/><Relationship Id="rId106" Type="http://schemas.openxmlformats.org/officeDocument/2006/relationships/hyperlink" Target="https://gerandofalcoes.my.salesforce.com/0014P00003YSp8UQAT" TargetMode="External"/><Relationship Id="rId313" Type="http://schemas.openxmlformats.org/officeDocument/2006/relationships/hyperlink" Target="https://gerandofalcoes.my.salesforce.com/0014P00003YSp7uQAD" TargetMode="External"/><Relationship Id="rId495" Type="http://schemas.openxmlformats.org/officeDocument/2006/relationships/hyperlink" Target="https://gerandofalcoes.my.salesforce.com/0014P00003YSp8lQAD" TargetMode="External"/><Relationship Id="rId10" Type="http://schemas.openxmlformats.org/officeDocument/2006/relationships/hyperlink" Target="https://gerandofalcoes.my.salesforce.com/0014X00002VKCsRQAX" TargetMode="External"/><Relationship Id="rId52" Type="http://schemas.openxmlformats.org/officeDocument/2006/relationships/hyperlink" Target="https://gerandofalcoes.my.salesforce.com/0014P00003AN2GLQA1" TargetMode="External"/><Relationship Id="rId94" Type="http://schemas.openxmlformats.org/officeDocument/2006/relationships/hyperlink" Target="https://gerandofalcoes.my.salesforce.com/0014X00002VKCvEQAX" TargetMode="External"/><Relationship Id="rId148" Type="http://schemas.openxmlformats.org/officeDocument/2006/relationships/hyperlink" Target="https://gerandofalcoes.my.salesforce.com/0014P00003YSp9EQAT" TargetMode="External"/><Relationship Id="rId355" Type="http://schemas.openxmlformats.org/officeDocument/2006/relationships/hyperlink" Target="https://gerandofalcoes.my.salesforce.com/0014P00003YSpAHQA1" TargetMode="External"/><Relationship Id="rId397" Type="http://schemas.openxmlformats.org/officeDocument/2006/relationships/hyperlink" Target="https://gerandofalcoes.my.salesforce.com/0014P00003YSp9eQAD" TargetMode="External"/><Relationship Id="rId520" Type="http://schemas.openxmlformats.org/officeDocument/2006/relationships/hyperlink" Target="https://gerandofalcoes.my.salesforce.com/0014X00002VKCpEQAX" TargetMode="External"/><Relationship Id="rId562" Type="http://schemas.openxmlformats.org/officeDocument/2006/relationships/hyperlink" Target="https://gerandofalcoes.my.salesforce.com/0014X00002VKCrQQAX" TargetMode="External"/><Relationship Id="rId215" Type="http://schemas.openxmlformats.org/officeDocument/2006/relationships/hyperlink" Target="https://gerandofalcoes.my.salesforce.com/0014P00003YSpA9QAL" TargetMode="External"/><Relationship Id="rId257" Type="http://schemas.openxmlformats.org/officeDocument/2006/relationships/hyperlink" Target="https://gerandofalcoes.my.salesforce.com/0014X00002VKCsYQAX" TargetMode="External"/><Relationship Id="rId422" Type="http://schemas.openxmlformats.org/officeDocument/2006/relationships/hyperlink" Target="https://gerandofalcoes.my.salesforce.com/0014X00002VKCv4QAH" TargetMode="External"/><Relationship Id="rId464" Type="http://schemas.openxmlformats.org/officeDocument/2006/relationships/hyperlink" Target="https://gerandofalcoes.my.salesforce.com/0014X00002VKCsmQAH" TargetMode="External"/><Relationship Id="rId299" Type="http://schemas.openxmlformats.org/officeDocument/2006/relationships/hyperlink" Target="https://gerandofalcoes.my.salesforce.com/0014X00002UGscXQAT" TargetMode="External"/><Relationship Id="rId63" Type="http://schemas.openxmlformats.org/officeDocument/2006/relationships/hyperlink" Target="https://gerandofalcoes.my.salesforce.com/0014P00003YSp9YQAT" TargetMode="External"/><Relationship Id="rId159" Type="http://schemas.openxmlformats.org/officeDocument/2006/relationships/hyperlink" Target="https://gerandofalcoes.my.salesforce.com/0014X00002VKCr4QAH" TargetMode="External"/><Relationship Id="rId366" Type="http://schemas.openxmlformats.org/officeDocument/2006/relationships/hyperlink" Target="https://gerandofalcoes.my.salesforce.com/0014P00003MjOsqQAF" TargetMode="External"/><Relationship Id="rId573" Type="http://schemas.openxmlformats.org/officeDocument/2006/relationships/hyperlink" Target="https://gerandofalcoes.my.salesforce.com/0014X00002VKCu5QAH" TargetMode="External"/><Relationship Id="rId226" Type="http://schemas.openxmlformats.org/officeDocument/2006/relationships/hyperlink" Target="https://gerandofalcoes.my.salesforce.com/0014X00002VKCqeQAH" TargetMode="External"/><Relationship Id="rId433" Type="http://schemas.openxmlformats.org/officeDocument/2006/relationships/hyperlink" Target="https://gerandofalcoes.my.salesforce.com/0014X00002VKCuAQAX" TargetMode="External"/><Relationship Id="rId74" Type="http://schemas.openxmlformats.org/officeDocument/2006/relationships/hyperlink" Target="https://gerandofalcoes.my.salesforce.com/0014X00002VKCtqQAH" TargetMode="External"/><Relationship Id="rId377" Type="http://schemas.openxmlformats.org/officeDocument/2006/relationships/hyperlink" Target="https://gerandofalcoes.my.salesforce.com/0014X00002QTWXtQAP" TargetMode="External"/><Relationship Id="rId500" Type="http://schemas.openxmlformats.org/officeDocument/2006/relationships/hyperlink" Target="https://gerandofalcoes.my.salesforce.com/0014P00003YSp9BQAT" TargetMode="External"/><Relationship Id="rId584" Type="http://schemas.openxmlformats.org/officeDocument/2006/relationships/hyperlink" Target="https://gerandofalcoes.my.salesforce.com/0014X00002VKCs2QAH" TargetMode="External"/><Relationship Id="rId5" Type="http://schemas.openxmlformats.org/officeDocument/2006/relationships/hyperlink" Target="https://gerandofalcoes.my.salesforce.com/0014X00002VKCucQAH" TargetMode="External"/><Relationship Id="rId237" Type="http://schemas.openxmlformats.org/officeDocument/2006/relationships/hyperlink" Target="https://gerandofalcoes.my.salesforce.com/0014X00002VKCq1QAH" TargetMode="External"/><Relationship Id="rId444" Type="http://schemas.openxmlformats.org/officeDocument/2006/relationships/hyperlink" Target="https://gerandofalcoes.my.salesforce.com/0014P00003SGWPxQAP" TargetMode="External"/><Relationship Id="rId290" Type="http://schemas.openxmlformats.org/officeDocument/2006/relationships/hyperlink" Target="https://gerandofalcoes.my.salesforce.com/0014X00002VKCvDQAX" TargetMode="External"/><Relationship Id="rId304" Type="http://schemas.openxmlformats.org/officeDocument/2006/relationships/hyperlink" Target="https://gerandofalcoes.my.salesforce.com/0014X00002VKCqfQAH" TargetMode="External"/><Relationship Id="rId388" Type="http://schemas.openxmlformats.org/officeDocument/2006/relationships/hyperlink" Target="https://gerandofalcoes.my.salesforce.com/0014P00003YSp8HQAT" TargetMode="External"/><Relationship Id="rId511" Type="http://schemas.openxmlformats.org/officeDocument/2006/relationships/hyperlink" Target="https://gerandofalcoes.my.salesforce.com/0014P00003AN6yVQAT" TargetMode="External"/><Relationship Id="rId85" Type="http://schemas.openxmlformats.org/officeDocument/2006/relationships/hyperlink" Target="https://gerandofalcoes.my.salesforce.com/0014X00002PUOUaQAP" TargetMode="External"/><Relationship Id="rId150" Type="http://schemas.openxmlformats.org/officeDocument/2006/relationships/hyperlink" Target="https://gerandofalcoes.my.salesforce.com/0014P00003AN2G4QAL" TargetMode="External"/><Relationship Id="rId595" Type="http://schemas.openxmlformats.org/officeDocument/2006/relationships/hyperlink" Target="https://gerandofalcoes.my.salesforce.com/0014P00003YSp8JQAT" TargetMode="External"/><Relationship Id="rId248" Type="http://schemas.openxmlformats.org/officeDocument/2006/relationships/hyperlink" Target="https://gerandofalcoes.my.salesforce.com/0014P00003YSp86QAD" TargetMode="External"/><Relationship Id="rId455" Type="http://schemas.openxmlformats.org/officeDocument/2006/relationships/hyperlink" Target="https://gerandofalcoes.my.salesforce.com/0014P00003SGWQ0QAP" TargetMode="External"/><Relationship Id="rId12" Type="http://schemas.openxmlformats.org/officeDocument/2006/relationships/hyperlink" Target="https://gerandofalcoes.my.salesforce.com/0014X00002VKCpjQAH" TargetMode="External"/><Relationship Id="rId108" Type="http://schemas.openxmlformats.org/officeDocument/2006/relationships/hyperlink" Target="https://gerandofalcoes.my.salesforce.com/0014P00003YSp7RQAT" TargetMode="External"/><Relationship Id="rId315" Type="http://schemas.openxmlformats.org/officeDocument/2006/relationships/hyperlink" Target="https://gerandofalcoes.my.salesforce.com/0014P00003SGWPrQAP" TargetMode="External"/><Relationship Id="rId522" Type="http://schemas.openxmlformats.org/officeDocument/2006/relationships/hyperlink" Target="https://gerandofalcoes.my.salesforce.com/0014P00003YSp9vQAD" TargetMode="External"/><Relationship Id="rId96" Type="http://schemas.openxmlformats.org/officeDocument/2006/relationships/hyperlink" Target="https://gerandofalcoes.my.salesforce.com/0014X00002VKCr6QAH" TargetMode="External"/><Relationship Id="rId161" Type="http://schemas.openxmlformats.org/officeDocument/2006/relationships/hyperlink" Target="https://gerandofalcoes.my.salesforce.com/0014P00003YSp9gQAD" TargetMode="External"/><Relationship Id="rId399" Type="http://schemas.openxmlformats.org/officeDocument/2006/relationships/hyperlink" Target="https://gerandofalcoes.my.salesforce.com/0014X00002VKCrRQAX" TargetMode="External"/><Relationship Id="rId259" Type="http://schemas.openxmlformats.org/officeDocument/2006/relationships/hyperlink" Target="https://gerandofalcoes.my.salesforce.com/0014X00002VKCtpQAH" TargetMode="External"/><Relationship Id="rId466" Type="http://schemas.openxmlformats.org/officeDocument/2006/relationships/hyperlink" Target="https://gerandofalcoes.my.salesforce.com/0014X00002VKCrLQAX" TargetMode="External"/><Relationship Id="rId23" Type="http://schemas.openxmlformats.org/officeDocument/2006/relationships/hyperlink" Target="https://gerandofalcoes.my.salesforce.com/0014P00003SGWQGQA5" TargetMode="External"/><Relationship Id="rId119" Type="http://schemas.openxmlformats.org/officeDocument/2006/relationships/hyperlink" Target="https://gerandofalcoes.my.salesforce.com/0014P00003AN2h4QAD" TargetMode="External"/><Relationship Id="rId326" Type="http://schemas.openxmlformats.org/officeDocument/2006/relationships/hyperlink" Target="https://gerandofalcoes.my.salesforce.com/0014P00003AN2FbQAL" TargetMode="External"/><Relationship Id="rId533" Type="http://schemas.openxmlformats.org/officeDocument/2006/relationships/hyperlink" Target="https://gerandofalcoes.my.salesforce.com/0014P00003YSp8SQAT" TargetMode="External"/><Relationship Id="rId172" Type="http://schemas.openxmlformats.org/officeDocument/2006/relationships/hyperlink" Target="https://gerandofalcoes.my.salesforce.com/0014P00003YSp80QAD" TargetMode="External"/><Relationship Id="rId477" Type="http://schemas.openxmlformats.org/officeDocument/2006/relationships/hyperlink" Target="https://gerandofalcoes.my.salesforce.com/0014P00003SGWFtQAP" TargetMode="External"/><Relationship Id="rId600" Type="http://schemas.openxmlformats.org/officeDocument/2006/relationships/printerSettings" Target="../printerSettings/printerSettings9.bin"/><Relationship Id="rId337" Type="http://schemas.openxmlformats.org/officeDocument/2006/relationships/hyperlink" Target="https://gerandofalcoes.my.salesforce.com/0014P00003AN2G1QAL" TargetMode="External"/><Relationship Id="rId34" Type="http://schemas.openxmlformats.org/officeDocument/2006/relationships/hyperlink" Target="https://gerandofalcoes.my.salesforce.com/0014P00003YSpALQA1" TargetMode="External"/><Relationship Id="rId544" Type="http://schemas.openxmlformats.org/officeDocument/2006/relationships/hyperlink" Target="https://gerandofalcoes.my.salesforce.com/0014X00002VKCsjQAH" TargetMode="External"/><Relationship Id="rId183" Type="http://schemas.openxmlformats.org/officeDocument/2006/relationships/hyperlink" Target="https://gerandofalcoes.my.salesforce.com/0014P00003YSp9qQAD" TargetMode="External"/><Relationship Id="rId390" Type="http://schemas.openxmlformats.org/officeDocument/2006/relationships/hyperlink" Target="https://gerandofalcoes.my.salesforce.com/0014X00002VKCriQAH" TargetMode="External"/><Relationship Id="rId404" Type="http://schemas.openxmlformats.org/officeDocument/2006/relationships/hyperlink" Target="https://gerandofalcoes.my.salesforce.com/0014X00002PUObkQAH" TargetMode="External"/><Relationship Id="rId250" Type="http://schemas.openxmlformats.org/officeDocument/2006/relationships/hyperlink" Target="https://gerandofalcoes.my.salesforce.com/0014X00002VKCqoQAH" TargetMode="External"/><Relationship Id="rId488" Type="http://schemas.openxmlformats.org/officeDocument/2006/relationships/hyperlink" Target="https://gerandofalcoes.my.salesforce.com/0014X00002VKCv8QAH" TargetMode="External"/><Relationship Id="rId45" Type="http://schemas.openxmlformats.org/officeDocument/2006/relationships/hyperlink" Target="https://gerandofalcoes.my.salesforce.com/0014X00002VKCvAQAX" TargetMode="External"/><Relationship Id="rId110" Type="http://schemas.openxmlformats.org/officeDocument/2006/relationships/hyperlink" Target="https://gerandofalcoes.my.salesforce.com/0014X00002VKCu1QAH" TargetMode="External"/><Relationship Id="rId348" Type="http://schemas.openxmlformats.org/officeDocument/2006/relationships/hyperlink" Target="https://gerandofalcoes.my.salesforce.com/0014X00002VKCtFQAX" TargetMode="External"/><Relationship Id="rId555" Type="http://schemas.openxmlformats.org/officeDocument/2006/relationships/hyperlink" Target="https://gerandofalcoes.my.salesforce.com/0014X00002PUOY7QAP" TargetMode="External"/><Relationship Id="rId194" Type="http://schemas.openxmlformats.org/officeDocument/2006/relationships/hyperlink" Target="https://gerandofalcoes.my.salesforce.com/0014X00002VKCrqQAH" TargetMode="External"/><Relationship Id="rId208" Type="http://schemas.openxmlformats.org/officeDocument/2006/relationships/hyperlink" Target="https://gerandofalcoes.my.salesforce.com/0014X00002VKCsFQAX" TargetMode="External"/><Relationship Id="rId415" Type="http://schemas.openxmlformats.org/officeDocument/2006/relationships/hyperlink" Target="https://gerandofalcoes.my.salesforce.com/0014P00003SGWPdQAP" TargetMode="External"/><Relationship Id="rId261" Type="http://schemas.openxmlformats.org/officeDocument/2006/relationships/hyperlink" Target="https://gerandofalcoes.my.salesforce.com/0014P00003YSp92QAD" TargetMode="External"/><Relationship Id="rId499" Type="http://schemas.openxmlformats.org/officeDocument/2006/relationships/hyperlink" Target="https://gerandofalcoes.my.salesforce.com/0014X00002PUOdWQA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T141"/>
  <sheetViews>
    <sheetView workbookViewId="0"/>
  </sheetViews>
  <sheetFormatPr defaultColWidth="12.6328125" defaultRowHeight="15.75" customHeight="1" x14ac:dyDescent="0.25"/>
  <cols>
    <col min="2" max="2" width="14.36328125" customWidth="1"/>
  </cols>
  <sheetData>
    <row r="1" spans="1:46" ht="13" x14ac:dyDescent="0.3">
      <c r="A1" s="1" t="s">
        <v>0</v>
      </c>
      <c r="B1" s="1" t="s">
        <v>1</v>
      </c>
      <c r="C1" s="1" t="s">
        <v>2</v>
      </c>
      <c r="D1" s="1" t="s">
        <v>3</v>
      </c>
      <c r="E1" s="2" t="s">
        <v>4</v>
      </c>
      <c r="F1" s="2" t="s">
        <v>5</v>
      </c>
      <c r="G1" s="2" t="s">
        <v>6</v>
      </c>
      <c r="H1" s="2" t="s">
        <v>7</v>
      </c>
      <c r="I1" s="2" t="s">
        <v>8</v>
      </c>
      <c r="J1" s="2"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row>
    <row r="2" spans="1:46" ht="15.75" customHeight="1" x14ac:dyDescent="0.25">
      <c r="A2" s="3" t="s">
        <v>46</v>
      </c>
      <c r="B2" s="3" t="s">
        <v>47</v>
      </c>
      <c r="C2" s="3" t="s">
        <v>48</v>
      </c>
      <c r="D2" s="3" t="s">
        <v>49</v>
      </c>
      <c r="E2" s="3" t="s">
        <v>50</v>
      </c>
      <c r="F2" s="3"/>
      <c r="H2" s="3"/>
      <c r="I2" s="3" t="s">
        <v>51</v>
      </c>
      <c r="J2" s="3" t="s">
        <v>52</v>
      </c>
      <c r="K2" s="3" t="s">
        <v>53</v>
      </c>
      <c r="M2" s="3" t="s">
        <v>54</v>
      </c>
      <c r="O2" s="3" t="s">
        <v>55</v>
      </c>
      <c r="P2" s="3"/>
      <c r="Q2" s="3" t="s">
        <v>56</v>
      </c>
      <c r="R2" s="3" t="s">
        <v>57</v>
      </c>
      <c r="T2" s="3">
        <v>3</v>
      </c>
      <c r="V2" s="3" t="s">
        <v>58</v>
      </c>
      <c r="Z2" s="3"/>
      <c r="AA2" s="3">
        <v>4</v>
      </c>
      <c r="AB2" s="3">
        <v>5</v>
      </c>
      <c r="AC2" s="3">
        <v>3</v>
      </c>
      <c r="AD2" s="3" t="s">
        <v>59</v>
      </c>
      <c r="AE2" s="3" t="s">
        <v>60</v>
      </c>
      <c r="AG2" s="3" t="s">
        <v>61</v>
      </c>
      <c r="AH2" s="3" t="s">
        <v>62</v>
      </c>
      <c r="AI2" s="3" t="s">
        <v>63</v>
      </c>
      <c r="AJ2" s="3" t="s">
        <v>64</v>
      </c>
      <c r="AL2" s="3" t="s">
        <v>65</v>
      </c>
    </row>
    <row r="3" spans="1:46" ht="15.75" customHeight="1" x14ac:dyDescent="0.25">
      <c r="A3" s="3" t="s">
        <v>46</v>
      </c>
      <c r="B3" s="3" t="s">
        <v>66</v>
      </c>
      <c r="C3" s="3" t="s">
        <v>67</v>
      </c>
      <c r="D3" s="3" t="s">
        <v>68</v>
      </c>
      <c r="E3" s="3" t="s">
        <v>69</v>
      </c>
      <c r="F3" s="3"/>
      <c r="H3" s="3">
        <v>21979530181</v>
      </c>
      <c r="I3" s="3" t="s">
        <v>70</v>
      </c>
      <c r="J3" s="3" t="s">
        <v>71</v>
      </c>
      <c r="K3" s="3" t="s">
        <v>72</v>
      </c>
      <c r="M3" s="3" t="s">
        <v>73</v>
      </c>
      <c r="O3" s="3">
        <v>20910061</v>
      </c>
      <c r="P3" s="3"/>
      <c r="Q3" s="3" t="s">
        <v>74</v>
      </c>
      <c r="R3" s="3" t="s">
        <v>75</v>
      </c>
      <c r="T3" s="3">
        <v>5</v>
      </c>
      <c r="V3" s="3" t="s">
        <v>76</v>
      </c>
      <c r="Z3" s="3" t="s">
        <v>62</v>
      </c>
      <c r="AA3" s="3">
        <v>0</v>
      </c>
      <c r="AB3" s="3">
        <v>4</v>
      </c>
      <c r="AC3" s="3">
        <v>0</v>
      </c>
      <c r="AD3" s="3" t="s">
        <v>77</v>
      </c>
      <c r="AE3" s="3"/>
      <c r="AG3" s="3" t="s">
        <v>61</v>
      </c>
      <c r="AH3" s="3" t="s">
        <v>62</v>
      </c>
      <c r="AI3" s="3"/>
      <c r="AJ3" s="3" t="s">
        <v>78</v>
      </c>
      <c r="AL3" s="3"/>
    </row>
    <row r="4" spans="1:46" ht="15.75" customHeight="1" x14ac:dyDescent="0.25">
      <c r="A4" s="3" t="s">
        <v>46</v>
      </c>
      <c r="B4" s="3" t="s">
        <v>79</v>
      </c>
      <c r="C4" s="3" t="s">
        <v>80</v>
      </c>
      <c r="D4" s="3" t="s">
        <v>81</v>
      </c>
      <c r="E4" s="3" t="s">
        <v>82</v>
      </c>
      <c r="F4" s="3" t="s">
        <v>83</v>
      </c>
      <c r="H4" s="3">
        <v>31973117450</v>
      </c>
      <c r="I4" s="3" t="s">
        <v>84</v>
      </c>
      <c r="J4" s="3" t="s">
        <v>85</v>
      </c>
      <c r="K4" s="3" t="s">
        <v>86</v>
      </c>
      <c r="M4" s="3" t="s">
        <v>87</v>
      </c>
      <c r="O4" s="3">
        <v>32681672</v>
      </c>
      <c r="P4" s="3" t="s">
        <v>88</v>
      </c>
      <c r="Q4" s="3" t="s">
        <v>89</v>
      </c>
      <c r="R4" s="3" t="s">
        <v>90</v>
      </c>
      <c r="T4" s="3">
        <v>3</v>
      </c>
      <c r="V4" s="3" t="s">
        <v>91</v>
      </c>
      <c r="X4" s="3"/>
      <c r="Z4" s="3" t="s">
        <v>62</v>
      </c>
      <c r="AA4" s="3">
        <v>7</v>
      </c>
      <c r="AB4" s="3">
        <v>22</v>
      </c>
      <c r="AC4" s="3">
        <v>2</v>
      </c>
      <c r="AD4" s="3" t="s">
        <v>92</v>
      </c>
      <c r="AE4" s="3" t="s">
        <v>93</v>
      </c>
      <c r="AG4" s="3" t="s">
        <v>61</v>
      </c>
      <c r="AH4" s="3" t="s">
        <v>62</v>
      </c>
      <c r="AI4" s="3" t="s">
        <v>94</v>
      </c>
      <c r="AJ4" s="3" t="s">
        <v>95</v>
      </c>
      <c r="AL4" s="3" t="s">
        <v>96</v>
      </c>
    </row>
    <row r="5" spans="1:46" ht="15.75" customHeight="1" x14ac:dyDescent="0.25">
      <c r="A5" s="3" t="s">
        <v>46</v>
      </c>
      <c r="B5" s="3" t="s">
        <v>97</v>
      </c>
      <c r="C5" s="3" t="s">
        <v>98</v>
      </c>
      <c r="D5" s="3" t="s">
        <v>99</v>
      </c>
      <c r="E5" s="3"/>
      <c r="F5" s="3"/>
      <c r="H5" s="4" t="s">
        <v>100</v>
      </c>
      <c r="I5" s="3" t="s">
        <v>101</v>
      </c>
      <c r="J5" s="3" t="s">
        <v>102</v>
      </c>
      <c r="K5" s="3" t="s">
        <v>103</v>
      </c>
      <c r="M5" s="3" t="s">
        <v>104</v>
      </c>
      <c r="O5" s="3">
        <v>15606104</v>
      </c>
      <c r="P5" s="3"/>
      <c r="Q5" s="3" t="s">
        <v>105</v>
      </c>
      <c r="R5" s="3" t="s">
        <v>75</v>
      </c>
      <c r="T5" s="3">
        <v>1</v>
      </c>
      <c r="V5" s="3"/>
      <c r="Z5" s="3"/>
      <c r="AA5" s="3">
        <v>1</v>
      </c>
      <c r="AB5" s="3">
        <v>5</v>
      </c>
      <c r="AC5" s="3">
        <v>3</v>
      </c>
      <c r="AD5" s="3" t="s">
        <v>106</v>
      </c>
      <c r="AE5" s="3" t="s">
        <v>107</v>
      </c>
      <c r="AG5" s="3" t="s">
        <v>61</v>
      </c>
      <c r="AH5" s="3" t="s">
        <v>62</v>
      </c>
      <c r="AI5" s="3" t="s">
        <v>108</v>
      </c>
      <c r="AJ5" s="3"/>
      <c r="AL5" s="3"/>
    </row>
    <row r="6" spans="1:46" ht="15.75" customHeight="1" x14ac:dyDescent="0.25">
      <c r="A6" s="3" t="s">
        <v>46</v>
      </c>
      <c r="B6" s="3" t="s">
        <v>109</v>
      </c>
      <c r="C6" s="3" t="s">
        <v>110</v>
      </c>
      <c r="D6" s="3" t="s">
        <v>111</v>
      </c>
      <c r="E6" s="3" t="s">
        <v>112</v>
      </c>
      <c r="H6" s="3"/>
      <c r="I6" s="3" t="s">
        <v>70</v>
      </c>
      <c r="J6" s="3" t="s">
        <v>113</v>
      </c>
      <c r="K6" s="3" t="s">
        <v>114</v>
      </c>
      <c r="M6" s="3" t="s">
        <v>73</v>
      </c>
      <c r="O6" s="3">
        <v>21061770</v>
      </c>
      <c r="Q6" s="3" t="s">
        <v>115</v>
      </c>
      <c r="R6" s="3" t="s">
        <v>116</v>
      </c>
      <c r="T6" s="3">
        <v>20</v>
      </c>
      <c r="V6" s="3" t="s">
        <v>117</v>
      </c>
      <c r="Z6" s="3"/>
      <c r="AA6" s="3">
        <v>0</v>
      </c>
      <c r="AB6" s="3">
        <v>12</v>
      </c>
      <c r="AC6" s="3">
        <v>1</v>
      </c>
      <c r="AD6" s="3" t="s">
        <v>118</v>
      </c>
      <c r="AE6" s="3" t="s">
        <v>119</v>
      </c>
      <c r="AG6" s="3" t="s">
        <v>61</v>
      </c>
      <c r="AH6" s="3" t="s">
        <v>120</v>
      </c>
      <c r="AI6" s="3"/>
      <c r="AJ6" s="3" t="s">
        <v>121</v>
      </c>
      <c r="AL6" s="3"/>
    </row>
    <row r="7" spans="1:46" ht="15.75" customHeight="1" x14ac:dyDescent="0.25">
      <c r="A7" s="3" t="s">
        <v>46</v>
      </c>
      <c r="B7" s="3" t="s">
        <v>122</v>
      </c>
      <c r="C7" s="3" t="s">
        <v>123</v>
      </c>
      <c r="D7" s="3" t="s">
        <v>124</v>
      </c>
      <c r="E7" s="3" t="s">
        <v>125</v>
      </c>
      <c r="H7" s="3">
        <v>11996124457</v>
      </c>
      <c r="I7" s="3" t="s">
        <v>101</v>
      </c>
      <c r="J7" s="3" t="s">
        <v>126</v>
      </c>
      <c r="K7" s="3" t="s">
        <v>127</v>
      </c>
      <c r="M7" s="3" t="s">
        <v>128</v>
      </c>
      <c r="O7" s="3">
        <v>5366000</v>
      </c>
      <c r="P7" s="3" t="s">
        <v>129</v>
      </c>
      <c r="Q7" s="3" t="s">
        <v>105</v>
      </c>
      <c r="R7" s="3" t="s">
        <v>130</v>
      </c>
      <c r="T7" s="3">
        <v>2</v>
      </c>
      <c r="V7" s="3" t="s">
        <v>131</v>
      </c>
      <c r="Z7" s="3" t="s">
        <v>62</v>
      </c>
      <c r="AA7" s="3">
        <v>2</v>
      </c>
      <c r="AB7" s="3">
        <v>6</v>
      </c>
      <c r="AC7" s="3">
        <v>2</v>
      </c>
      <c r="AD7" s="3" t="s">
        <v>132</v>
      </c>
      <c r="AE7" s="3" t="s">
        <v>133</v>
      </c>
      <c r="AG7" s="3" t="s">
        <v>61</v>
      </c>
      <c r="AH7" s="3" t="s">
        <v>120</v>
      </c>
      <c r="AI7" s="3" t="s">
        <v>134</v>
      </c>
      <c r="AJ7" s="3" t="s">
        <v>135</v>
      </c>
      <c r="AL7" s="3" t="s">
        <v>136</v>
      </c>
    </row>
    <row r="8" spans="1:46" ht="15.75" customHeight="1" x14ac:dyDescent="0.25">
      <c r="A8" s="3" t="s">
        <v>46</v>
      </c>
      <c r="B8" s="3" t="s">
        <v>137</v>
      </c>
      <c r="C8" s="3" t="s">
        <v>138</v>
      </c>
      <c r="D8" s="3" t="s">
        <v>138</v>
      </c>
      <c r="E8" s="3" t="s">
        <v>139</v>
      </c>
      <c r="F8" s="3" t="s">
        <v>140</v>
      </c>
      <c r="H8" s="3" t="s">
        <v>141</v>
      </c>
      <c r="I8" s="3" t="s">
        <v>84</v>
      </c>
      <c r="J8" s="3" t="s">
        <v>142</v>
      </c>
      <c r="K8" s="3" t="s">
        <v>143</v>
      </c>
      <c r="M8" s="3" t="s">
        <v>144</v>
      </c>
      <c r="O8" s="3" t="s">
        <v>145</v>
      </c>
      <c r="P8" s="3"/>
      <c r="Q8" s="3" t="s">
        <v>115</v>
      </c>
      <c r="R8" s="3" t="s">
        <v>146</v>
      </c>
      <c r="T8" s="3">
        <v>6</v>
      </c>
      <c r="V8" s="3" t="s">
        <v>147</v>
      </c>
      <c r="X8" s="3">
        <v>400</v>
      </c>
      <c r="Z8" s="3" t="s">
        <v>62</v>
      </c>
      <c r="AA8" s="3">
        <v>4</v>
      </c>
      <c r="AB8" s="3">
        <v>15</v>
      </c>
      <c r="AC8" s="3">
        <v>1</v>
      </c>
      <c r="AD8" s="3" t="s">
        <v>148</v>
      </c>
      <c r="AE8" s="5">
        <v>1</v>
      </c>
      <c r="AG8" s="3" t="s">
        <v>61</v>
      </c>
      <c r="AH8" s="3" t="s">
        <v>120</v>
      </c>
      <c r="AI8" s="3" t="s">
        <v>149</v>
      </c>
      <c r="AJ8" s="3" t="s">
        <v>150</v>
      </c>
      <c r="AL8" s="3" t="s">
        <v>151</v>
      </c>
    </row>
    <row r="9" spans="1:46" ht="15.75" customHeight="1" x14ac:dyDescent="0.25">
      <c r="A9" s="3" t="s">
        <v>152</v>
      </c>
      <c r="B9" s="3" t="s">
        <v>153</v>
      </c>
      <c r="C9" s="3" t="s">
        <v>154</v>
      </c>
      <c r="D9" s="3" t="s">
        <v>155</v>
      </c>
      <c r="E9" s="3" t="s">
        <v>156</v>
      </c>
      <c r="G9" s="3" t="s">
        <v>157</v>
      </c>
      <c r="H9" s="3" t="s">
        <v>158</v>
      </c>
      <c r="I9" s="3" t="s">
        <v>101</v>
      </c>
      <c r="J9" s="3" t="s">
        <v>159</v>
      </c>
      <c r="L9" s="3">
        <v>465</v>
      </c>
      <c r="M9" s="3" t="s">
        <v>128</v>
      </c>
      <c r="O9" s="3">
        <v>2670070</v>
      </c>
      <c r="P9" s="3" t="s">
        <v>160</v>
      </c>
      <c r="Q9" s="3" t="s">
        <v>115</v>
      </c>
      <c r="R9" s="3" t="s">
        <v>161</v>
      </c>
      <c r="S9" s="3" t="s">
        <v>162</v>
      </c>
      <c r="T9" s="3">
        <v>4</v>
      </c>
      <c r="U9" s="3" t="s">
        <v>163</v>
      </c>
      <c r="Y9" s="6">
        <v>43292</v>
      </c>
      <c r="Z9" s="3" t="s">
        <v>62</v>
      </c>
      <c r="AA9" s="3">
        <v>2</v>
      </c>
      <c r="AB9" s="3">
        <v>20</v>
      </c>
      <c r="AD9" s="3" t="s">
        <v>77</v>
      </c>
      <c r="AE9" s="3" t="s">
        <v>164</v>
      </c>
      <c r="AH9" s="3" t="s">
        <v>62</v>
      </c>
      <c r="AI9" s="3" t="s">
        <v>165</v>
      </c>
      <c r="AJ9" s="3" t="s">
        <v>166</v>
      </c>
      <c r="AK9" s="3" t="s">
        <v>167</v>
      </c>
      <c r="AL9" s="3" t="s">
        <v>168</v>
      </c>
      <c r="AM9" s="3" t="s">
        <v>169</v>
      </c>
    </row>
    <row r="10" spans="1:46" ht="15.75" customHeight="1" x14ac:dyDescent="0.25">
      <c r="A10" s="3" t="s">
        <v>152</v>
      </c>
      <c r="B10" s="3" t="s">
        <v>170</v>
      </c>
      <c r="C10" s="3" t="s">
        <v>171</v>
      </c>
      <c r="D10" s="3" t="s">
        <v>172</v>
      </c>
      <c r="E10" s="3" t="s">
        <v>173</v>
      </c>
      <c r="G10" s="3" t="s">
        <v>174</v>
      </c>
      <c r="H10" s="3" t="s">
        <v>175</v>
      </c>
      <c r="I10" s="3" t="s">
        <v>84</v>
      </c>
      <c r="J10" s="3" t="s">
        <v>176</v>
      </c>
      <c r="L10" s="3">
        <v>48</v>
      </c>
      <c r="M10" s="3" t="s">
        <v>177</v>
      </c>
      <c r="O10" s="3">
        <v>30421418</v>
      </c>
      <c r="P10" s="3" t="s">
        <v>178</v>
      </c>
      <c r="Q10" s="3" t="s">
        <v>179</v>
      </c>
      <c r="R10" s="3" t="s">
        <v>57</v>
      </c>
      <c r="S10" s="3" t="s">
        <v>180</v>
      </c>
      <c r="T10" s="3">
        <v>2</v>
      </c>
      <c r="U10" s="3" t="s">
        <v>181</v>
      </c>
      <c r="Y10" s="6">
        <v>35293</v>
      </c>
      <c r="Z10" s="3" t="s">
        <v>62</v>
      </c>
      <c r="AA10" s="3">
        <v>0</v>
      </c>
      <c r="AB10" s="3">
        <v>0</v>
      </c>
      <c r="AD10" s="3" t="s">
        <v>77</v>
      </c>
      <c r="AE10" s="3" t="s">
        <v>182</v>
      </c>
      <c r="AG10" s="3" t="s">
        <v>62</v>
      </c>
      <c r="AH10" s="3" t="s">
        <v>183</v>
      </c>
      <c r="AI10" s="3" t="s">
        <v>184</v>
      </c>
      <c r="AJ10" s="3" t="s">
        <v>185</v>
      </c>
      <c r="AK10" s="3" t="s">
        <v>186</v>
      </c>
      <c r="AL10" s="3" t="s">
        <v>187</v>
      </c>
      <c r="AM10" s="7" t="s">
        <v>188</v>
      </c>
    </row>
    <row r="11" spans="1:46" ht="15.75" customHeight="1" x14ac:dyDescent="0.25">
      <c r="A11" s="3" t="s">
        <v>152</v>
      </c>
      <c r="B11" s="3" t="s">
        <v>189</v>
      </c>
      <c r="C11" s="3" t="s">
        <v>190</v>
      </c>
      <c r="D11" s="3" t="s">
        <v>191</v>
      </c>
      <c r="E11" s="3" t="s">
        <v>192</v>
      </c>
      <c r="G11" s="3" t="s">
        <v>193</v>
      </c>
      <c r="H11" s="3" t="s">
        <v>194</v>
      </c>
      <c r="I11" s="3" t="s">
        <v>195</v>
      </c>
      <c r="J11" s="3" t="s">
        <v>196</v>
      </c>
      <c r="L11" s="3">
        <v>25</v>
      </c>
      <c r="M11" s="3" t="s">
        <v>197</v>
      </c>
      <c r="O11" s="3">
        <v>59090665</v>
      </c>
      <c r="P11" s="3" t="s">
        <v>198</v>
      </c>
      <c r="Q11" s="3" t="s">
        <v>199</v>
      </c>
      <c r="R11" s="3" t="s">
        <v>146</v>
      </c>
      <c r="S11" s="3" t="s">
        <v>180</v>
      </c>
      <c r="T11" s="3">
        <v>2</v>
      </c>
      <c r="U11" s="3" t="s">
        <v>200</v>
      </c>
      <c r="V11" s="3" t="s">
        <v>198</v>
      </c>
      <c r="Y11" s="6">
        <v>40678</v>
      </c>
      <c r="Z11" s="3" t="s">
        <v>120</v>
      </c>
      <c r="AA11" s="3">
        <v>0</v>
      </c>
      <c r="AB11" s="3">
        <v>7</v>
      </c>
      <c r="AD11" s="3" t="s">
        <v>77</v>
      </c>
      <c r="AE11" s="3" t="s">
        <v>201</v>
      </c>
      <c r="AG11" s="3" t="s">
        <v>120</v>
      </c>
      <c r="AH11" s="3" t="s">
        <v>62</v>
      </c>
      <c r="AI11" s="3" t="s">
        <v>202</v>
      </c>
      <c r="AJ11" s="3" t="s">
        <v>203</v>
      </c>
      <c r="AK11" s="3" t="s">
        <v>204</v>
      </c>
      <c r="AL11" s="3" t="s">
        <v>205</v>
      </c>
      <c r="AM11" s="3" t="s">
        <v>206</v>
      </c>
    </row>
    <row r="12" spans="1:46" ht="15.75" customHeight="1" x14ac:dyDescent="0.25">
      <c r="A12" s="3" t="s">
        <v>152</v>
      </c>
      <c r="B12" s="3" t="s">
        <v>207</v>
      </c>
      <c r="C12" s="3" t="s">
        <v>208</v>
      </c>
      <c r="D12" s="3" t="s">
        <v>209</v>
      </c>
      <c r="E12" s="3" t="s">
        <v>210</v>
      </c>
      <c r="G12" s="3" t="s">
        <v>211</v>
      </c>
      <c r="H12" s="3" t="s">
        <v>212</v>
      </c>
      <c r="I12" s="3" t="s">
        <v>70</v>
      </c>
      <c r="J12" s="3" t="s">
        <v>213</v>
      </c>
      <c r="L12" s="3">
        <v>94</v>
      </c>
      <c r="M12" s="3" t="s">
        <v>73</v>
      </c>
      <c r="O12" s="3">
        <v>22743051</v>
      </c>
      <c r="P12" s="3" t="s">
        <v>214</v>
      </c>
      <c r="Q12" s="3" t="s">
        <v>215</v>
      </c>
      <c r="R12" s="3" t="s">
        <v>216</v>
      </c>
      <c r="S12" s="3" t="s">
        <v>217</v>
      </c>
      <c r="T12" s="3">
        <v>2</v>
      </c>
      <c r="U12" s="3" t="s">
        <v>218</v>
      </c>
      <c r="Y12" s="8">
        <v>41922</v>
      </c>
      <c r="Z12" s="3" t="s">
        <v>62</v>
      </c>
      <c r="AA12" s="3">
        <v>4</v>
      </c>
      <c r="AB12" s="3">
        <v>10</v>
      </c>
      <c r="AD12" s="3" t="s">
        <v>77</v>
      </c>
      <c r="AE12" s="3" t="s">
        <v>219</v>
      </c>
      <c r="AG12" s="3" t="s">
        <v>120</v>
      </c>
      <c r="AH12" s="3" t="s">
        <v>62</v>
      </c>
      <c r="AI12" s="3" t="s">
        <v>220</v>
      </c>
      <c r="AK12" s="3" t="s">
        <v>221</v>
      </c>
      <c r="AL12" s="3" t="s">
        <v>222</v>
      </c>
      <c r="AM12" s="3" t="s">
        <v>223</v>
      </c>
    </row>
    <row r="13" spans="1:46" ht="15.75" customHeight="1" x14ac:dyDescent="0.25">
      <c r="A13" s="3" t="s">
        <v>152</v>
      </c>
      <c r="B13" s="3" t="s">
        <v>224</v>
      </c>
      <c r="C13" s="3" t="s">
        <v>225</v>
      </c>
      <c r="D13" s="3" t="s">
        <v>226</v>
      </c>
      <c r="E13" s="3" t="s">
        <v>227</v>
      </c>
      <c r="G13" s="3" t="s">
        <v>228</v>
      </c>
      <c r="H13" s="3" t="s">
        <v>229</v>
      </c>
      <c r="I13" s="3" t="s">
        <v>51</v>
      </c>
      <c r="J13" s="3" t="s">
        <v>230</v>
      </c>
      <c r="L13" s="3">
        <v>23</v>
      </c>
      <c r="M13" s="3" t="s">
        <v>231</v>
      </c>
      <c r="O13" s="3">
        <v>57015130</v>
      </c>
      <c r="P13" s="3" t="s">
        <v>232</v>
      </c>
      <c r="Q13" s="3" t="s">
        <v>199</v>
      </c>
      <c r="R13" s="3" t="s">
        <v>161</v>
      </c>
      <c r="S13" s="3" t="s">
        <v>180</v>
      </c>
      <c r="T13" s="3">
        <v>9</v>
      </c>
      <c r="U13" s="3" t="s">
        <v>233</v>
      </c>
      <c r="Y13" s="6">
        <v>43146</v>
      </c>
      <c r="Z13" s="3" t="s">
        <v>62</v>
      </c>
      <c r="AA13" s="3">
        <v>5</v>
      </c>
      <c r="AB13" s="3">
        <v>100</v>
      </c>
      <c r="AD13" s="3" t="s">
        <v>77</v>
      </c>
      <c r="AE13" s="3" t="s">
        <v>234</v>
      </c>
      <c r="AG13" s="3" t="s">
        <v>120</v>
      </c>
      <c r="AH13" s="3" t="s">
        <v>62</v>
      </c>
      <c r="AI13" s="3" t="s">
        <v>235</v>
      </c>
      <c r="AJ13" s="3" t="s">
        <v>236</v>
      </c>
      <c r="AK13" s="3" t="s">
        <v>237</v>
      </c>
      <c r="AL13" s="3" t="s">
        <v>238</v>
      </c>
      <c r="AM13" s="3" t="s">
        <v>239</v>
      </c>
    </row>
    <row r="14" spans="1:46" ht="15.75" customHeight="1" x14ac:dyDescent="0.25">
      <c r="A14" s="3" t="s">
        <v>152</v>
      </c>
      <c r="B14" s="3" t="s">
        <v>240</v>
      </c>
      <c r="C14" s="3" t="s">
        <v>241</v>
      </c>
      <c r="D14" s="3" t="s">
        <v>242</v>
      </c>
      <c r="E14" s="3" t="s">
        <v>243</v>
      </c>
      <c r="G14" s="3" t="s">
        <v>244</v>
      </c>
      <c r="H14" s="3" t="s">
        <v>245</v>
      </c>
      <c r="I14" s="3" t="s">
        <v>246</v>
      </c>
      <c r="J14" s="3" t="s">
        <v>247</v>
      </c>
      <c r="L14" s="3">
        <v>528</v>
      </c>
      <c r="M14" s="3" t="s">
        <v>248</v>
      </c>
      <c r="O14" s="3">
        <v>65047170</v>
      </c>
      <c r="P14" s="3" t="s">
        <v>249</v>
      </c>
      <c r="Q14" s="3" t="s">
        <v>250</v>
      </c>
      <c r="R14" s="3" t="s">
        <v>130</v>
      </c>
      <c r="S14" s="3" t="s">
        <v>180</v>
      </c>
      <c r="T14" s="3">
        <v>2</v>
      </c>
      <c r="U14" s="3" t="s">
        <v>251</v>
      </c>
      <c r="Y14" s="6">
        <v>43319</v>
      </c>
      <c r="Z14" s="3" t="s">
        <v>62</v>
      </c>
      <c r="AA14" s="3">
        <v>0</v>
      </c>
      <c r="AB14" s="3">
        <v>3</v>
      </c>
      <c r="AD14" s="3" t="s">
        <v>77</v>
      </c>
      <c r="AE14" s="3" t="s">
        <v>252</v>
      </c>
      <c r="AG14" s="3" t="s">
        <v>120</v>
      </c>
      <c r="AH14" s="3" t="s">
        <v>253</v>
      </c>
      <c r="AI14" s="3" t="s">
        <v>254</v>
      </c>
      <c r="AJ14" s="3" t="s">
        <v>255</v>
      </c>
      <c r="AK14" s="3" t="s">
        <v>256</v>
      </c>
      <c r="AL14" s="3" t="s">
        <v>257</v>
      </c>
      <c r="AM14" s="7" t="s">
        <v>258</v>
      </c>
    </row>
    <row r="15" spans="1:46" ht="15.75" customHeight="1" x14ac:dyDescent="0.25">
      <c r="A15" s="3" t="s">
        <v>152</v>
      </c>
      <c r="B15" s="3" t="s">
        <v>259</v>
      </c>
      <c r="C15" s="3" t="s">
        <v>260</v>
      </c>
      <c r="D15" s="3" t="s">
        <v>261</v>
      </c>
      <c r="E15" s="3" t="s">
        <v>262</v>
      </c>
      <c r="G15" s="3" t="s">
        <v>263</v>
      </c>
      <c r="H15" s="3" t="s">
        <v>264</v>
      </c>
      <c r="I15" s="3" t="s">
        <v>84</v>
      </c>
      <c r="J15" s="3" t="s">
        <v>265</v>
      </c>
      <c r="L15" s="3">
        <v>52</v>
      </c>
      <c r="M15" s="3" t="s">
        <v>266</v>
      </c>
      <c r="O15" s="3">
        <v>33938020</v>
      </c>
      <c r="Q15" s="3" t="s">
        <v>215</v>
      </c>
      <c r="R15" s="3" t="s">
        <v>130</v>
      </c>
      <c r="S15" s="3" t="s">
        <v>180</v>
      </c>
      <c r="T15" s="3">
        <v>6</v>
      </c>
      <c r="U15" s="3" t="s">
        <v>267</v>
      </c>
      <c r="V15" s="3" t="s">
        <v>268</v>
      </c>
      <c r="Y15" s="6">
        <v>42522</v>
      </c>
      <c r="Z15" s="3" t="s">
        <v>62</v>
      </c>
      <c r="AA15" s="3">
        <v>1</v>
      </c>
      <c r="AB15" s="3">
        <v>40</v>
      </c>
      <c r="AD15" s="3" t="s">
        <v>77</v>
      </c>
      <c r="AE15" s="3" t="s">
        <v>269</v>
      </c>
      <c r="AG15" s="3" t="s">
        <v>62</v>
      </c>
      <c r="AH15" s="3" t="s">
        <v>62</v>
      </c>
      <c r="AI15" s="3" t="s">
        <v>270</v>
      </c>
      <c r="AJ15" s="3" t="s">
        <v>271</v>
      </c>
      <c r="AL15" s="3" t="s">
        <v>272</v>
      </c>
      <c r="AM15" s="3" t="s">
        <v>273</v>
      </c>
    </row>
    <row r="16" spans="1:46" ht="15.75" customHeight="1" x14ac:dyDescent="0.25">
      <c r="A16" s="3" t="s">
        <v>152</v>
      </c>
      <c r="B16" s="3" t="s">
        <v>274</v>
      </c>
      <c r="C16" s="3" t="s">
        <v>275</v>
      </c>
      <c r="D16" s="3" t="s">
        <v>276</v>
      </c>
      <c r="E16" s="3" t="s">
        <v>277</v>
      </c>
      <c r="G16" s="3" t="s">
        <v>278</v>
      </c>
      <c r="H16" s="3" t="s">
        <v>279</v>
      </c>
      <c r="I16" s="3" t="s">
        <v>280</v>
      </c>
      <c r="J16" s="3" t="s">
        <v>281</v>
      </c>
      <c r="M16" s="3" t="s">
        <v>282</v>
      </c>
      <c r="Q16" s="3" t="s">
        <v>283</v>
      </c>
      <c r="R16" s="3" t="s">
        <v>57</v>
      </c>
      <c r="S16" s="3" t="s">
        <v>284</v>
      </c>
      <c r="T16" s="3">
        <v>11</v>
      </c>
      <c r="U16" s="3" t="s">
        <v>285</v>
      </c>
      <c r="Y16" s="6">
        <v>34559</v>
      </c>
      <c r="Z16" s="3" t="s">
        <v>62</v>
      </c>
      <c r="AA16" s="3">
        <v>3</v>
      </c>
      <c r="AB16" s="3">
        <v>20</v>
      </c>
      <c r="AD16" s="3" t="s">
        <v>77</v>
      </c>
      <c r="AE16" s="3" t="s">
        <v>286</v>
      </c>
      <c r="AG16" s="3" t="s">
        <v>120</v>
      </c>
      <c r="AH16" s="3" t="s">
        <v>62</v>
      </c>
      <c r="AI16" s="3" t="s">
        <v>287</v>
      </c>
      <c r="AJ16" s="3" t="s">
        <v>288</v>
      </c>
      <c r="AK16" s="3" t="s">
        <v>289</v>
      </c>
      <c r="AL16" s="3" t="s">
        <v>290</v>
      </c>
      <c r="AM16" s="3" t="s">
        <v>291</v>
      </c>
    </row>
    <row r="17" spans="1:44" ht="15.75" customHeight="1" x14ac:dyDescent="0.25">
      <c r="A17" s="3" t="s">
        <v>46</v>
      </c>
      <c r="B17" s="3" t="s">
        <v>292</v>
      </c>
      <c r="C17" s="3" t="s">
        <v>293</v>
      </c>
      <c r="E17" s="3" t="s">
        <v>294</v>
      </c>
      <c r="I17" s="3" t="s">
        <v>295</v>
      </c>
      <c r="J17" s="3" t="s">
        <v>296</v>
      </c>
      <c r="L17" s="3">
        <v>1439</v>
      </c>
      <c r="M17" s="3" t="s">
        <v>297</v>
      </c>
      <c r="O17" s="3" t="s">
        <v>298</v>
      </c>
      <c r="Q17" s="3" t="s">
        <v>56</v>
      </c>
      <c r="R17" s="3" t="s">
        <v>299</v>
      </c>
      <c r="S17" s="3" t="s">
        <v>300</v>
      </c>
      <c r="T17" s="3">
        <v>10</v>
      </c>
      <c r="U17" s="3" t="s">
        <v>301</v>
      </c>
      <c r="Y17" s="6">
        <v>41251</v>
      </c>
      <c r="Z17" s="3" t="s">
        <v>62</v>
      </c>
      <c r="AA17" s="3">
        <v>0</v>
      </c>
      <c r="AB17" s="3">
        <v>5</v>
      </c>
      <c r="AD17" s="3" t="s">
        <v>77</v>
      </c>
      <c r="AE17" s="3" t="s">
        <v>302</v>
      </c>
      <c r="AG17" s="3" t="s">
        <v>120</v>
      </c>
      <c r="AH17" s="3" t="s">
        <v>303</v>
      </c>
      <c r="AI17" s="3" t="s">
        <v>304</v>
      </c>
      <c r="AJ17" s="3" t="s">
        <v>305</v>
      </c>
      <c r="AK17" s="3" t="s">
        <v>306</v>
      </c>
    </row>
    <row r="18" spans="1:44" ht="15.75" customHeight="1" x14ac:dyDescent="0.25">
      <c r="A18" s="3" t="s">
        <v>46</v>
      </c>
      <c r="B18" s="3" t="s">
        <v>307</v>
      </c>
      <c r="C18" s="3" t="s">
        <v>308</v>
      </c>
      <c r="E18" s="3" t="s">
        <v>309</v>
      </c>
      <c r="I18" s="3" t="s">
        <v>310</v>
      </c>
      <c r="J18" s="3" t="s">
        <v>311</v>
      </c>
      <c r="L18" s="3">
        <v>194</v>
      </c>
      <c r="M18" s="3" t="s">
        <v>310</v>
      </c>
      <c r="O18" s="3">
        <v>85867640</v>
      </c>
      <c r="P18" s="3" t="s">
        <v>312</v>
      </c>
      <c r="Q18" s="3" t="s">
        <v>105</v>
      </c>
      <c r="R18" s="3" t="s">
        <v>130</v>
      </c>
      <c r="S18" s="3" t="s">
        <v>313</v>
      </c>
      <c r="T18" s="3">
        <v>5</v>
      </c>
      <c r="U18" s="3" t="s">
        <v>314</v>
      </c>
      <c r="V18" s="3" t="s">
        <v>315</v>
      </c>
      <c r="Y18" s="8">
        <v>38701</v>
      </c>
      <c r="Z18" s="3" t="s">
        <v>62</v>
      </c>
      <c r="AA18" s="3">
        <v>12</v>
      </c>
      <c r="AB18" s="3">
        <v>12</v>
      </c>
      <c r="AD18" s="3" t="s">
        <v>77</v>
      </c>
      <c r="AE18" s="3" t="s">
        <v>316</v>
      </c>
      <c r="AG18" s="3" t="s">
        <v>62</v>
      </c>
      <c r="AH18" s="3" t="s">
        <v>62</v>
      </c>
      <c r="AI18" s="3" t="s">
        <v>317</v>
      </c>
      <c r="AM18" s="7" t="s">
        <v>318</v>
      </c>
    </row>
    <row r="19" spans="1:44" ht="15.75" customHeight="1" x14ac:dyDescent="0.25">
      <c r="A19" s="3" t="s">
        <v>46</v>
      </c>
      <c r="B19" s="3" t="s">
        <v>319</v>
      </c>
      <c r="C19" s="3" t="s">
        <v>320</v>
      </c>
      <c r="E19" s="3" t="s">
        <v>321</v>
      </c>
      <c r="I19" s="3" t="s">
        <v>101</v>
      </c>
      <c r="J19" s="3" t="s">
        <v>322</v>
      </c>
      <c r="L19" s="3">
        <v>812</v>
      </c>
      <c r="M19" s="3" t="s">
        <v>323</v>
      </c>
      <c r="O19" s="3">
        <v>13530000</v>
      </c>
      <c r="P19" s="3" t="s">
        <v>324</v>
      </c>
      <c r="Q19" s="3" t="s">
        <v>325</v>
      </c>
      <c r="R19" s="3" t="s">
        <v>216</v>
      </c>
      <c r="S19" s="3" t="s">
        <v>326</v>
      </c>
      <c r="T19" s="3">
        <v>5</v>
      </c>
      <c r="U19" s="3" t="s">
        <v>327</v>
      </c>
      <c r="Y19" s="6">
        <v>39189</v>
      </c>
      <c r="Z19" s="3" t="s">
        <v>62</v>
      </c>
      <c r="AA19" s="3">
        <v>1</v>
      </c>
      <c r="AB19" s="3">
        <v>4</v>
      </c>
      <c r="AD19" s="3" t="s">
        <v>77</v>
      </c>
      <c r="AE19" s="3" t="s">
        <v>328</v>
      </c>
      <c r="AG19" s="3" t="s">
        <v>120</v>
      </c>
      <c r="AH19" s="3" t="s">
        <v>62</v>
      </c>
      <c r="AI19" s="3" t="s">
        <v>329</v>
      </c>
      <c r="AM19" s="3" t="s">
        <v>330</v>
      </c>
    </row>
    <row r="20" spans="1:44" ht="15.75" customHeight="1" x14ac:dyDescent="0.25">
      <c r="A20" s="3" t="s">
        <v>152</v>
      </c>
      <c r="B20" s="3" t="s">
        <v>331</v>
      </c>
      <c r="C20" s="3" t="s">
        <v>332</v>
      </c>
      <c r="D20" s="3" t="s">
        <v>333</v>
      </c>
      <c r="E20" s="3" t="s">
        <v>334</v>
      </c>
      <c r="G20" s="3" t="s">
        <v>335</v>
      </c>
      <c r="H20" s="3" t="s">
        <v>336</v>
      </c>
      <c r="I20" s="3" t="s">
        <v>310</v>
      </c>
      <c r="J20" s="3" t="s">
        <v>337</v>
      </c>
      <c r="L20" s="3">
        <v>2934</v>
      </c>
      <c r="M20" s="3" t="s">
        <v>338</v>
      </c>
      <c r="O20" s="3">
        <v>80310120</v>
      </c>
      <c r="P20" s="3" t="s">
        <v>339</v>
      </c>
      <c r="Q20" s="3" t="s">
        <v>199</v>
      </c>
      <c r="R20" s="3" t="s">
        <v>57</v>
      </c>
      <c r="S20" s="3" t="s">
        <v>180</v>
      </c>
      <c r="T20" s="3">
        <v>14</v>
      </c>
      <c r="U20" s="3" t="s">
        <v>340</v>
      </c>
      <c r="V20" s="3" t="s">
        <v>341</v>
      </c>
      <c r="Y20" s="6">
        <v>42999</v>
      </c>
      <c r="Z20" s="3" t="s">
        <v>62</v>
      </c>
      <c r="AA20" s="3">
        <v>1</v>
      </c>
      <c r="AB20" s="3">
        <v>120</v>
      </c>
      <c r="AD20" s="3" t="s">
        <v>77</v>
      </c>
      <c r="AE20" s="3" t="s">
        <v>342</v>
      </c>
      <c r="AG20" s="3" t="s">
        <v>120</v>
      </c>
      <c r="AH20" s="3" t="s">
        <v>62</v>
      </c>
      <c r="AI20" s="3" t="s">
        <v>343</v>
      </c>
      <c r="AJ20" s="3" t="s">
        <v>344</v>
      </c>
      <c r="AK20" s="3" t="s">
        <v>345</v>
      </c>
      <c r="AL20" s="3" t="s">
        <v>346</v>
      </c>
      <c r="AM20" s="3" t="s">
        <v>347</v>
      </c>
    </row>
    <row r="21" spans="1:44" ht="15.75" customHeight="1" x14ac:dyDescent="0.25">
      <c r="A21" s="3" t="s">
        <v>152</v>
      </c>
      <c r="B21" s="3" t="s">
        <v>348</v>
      </c>
      <c r="C21" s="3" t="s">
        <v>349</v>
      </c>
      <c r="D21" s="3" t="s">
        <v>350</v>
      </c>
      <c r="E21" s="3" t="s">
        <v>351</v>
      </c>
      <c r="G21" s="3" t="s">
        <v>352</v>
      </c>
      <c r="H21" s="3" t="s">
        <v>353</v>
      </c>
      <c r="I21" s="3" t="s">
        <v>84</v>
      </c>
      <c r="J21" s="3" t="s">
        <v>354</v>
      </c>
      <c r="L21" s="3">
        <v>66</v>
      </c>
      <c r="M21" s="3" t="s">
        <v>355</v>
      </c>
      <c r="O21" s="3">
        <v>39560000</v>
      </c>
      <c r="P21" s="3" t="s">
        <v>356</v>
      </c>
      <c r="Q21" s="3" t="s">
        <v>357</v>
      </c>
      <c r="R21" s="3" t="s">
        <v>130</v>
      </c>
      <c r="S21" s="3" t="s">
        <v>358</v>
      </c>
      <c r="T21" s="3">
        <v>4</v>
      </c>
      <c r="U21" s="3" t="s">
        <v>359</v>
      </c>
      <c r="Y21" s="6">
        <v>42554</v>
      </c>
      <c r="Z21" s="3" t="s">
        <v>62</v>
      </c>
      <c r="AA21" s="3">
        <v>0</v>
      </c>
      <c r="AB21" s="3">
        <v>13</v>
      </c>
      <c r="AD21" s="3" t="s">
        <v>77</v>
      </c>
      <c r="AE21" s="3" t="s">
        <v>360</v>
      </c>
      <c r="AG21" s="3" t="s">
        <v>120</v>
      </c>
      <c r="AH21" s="3" t="s">
        <v>120</v>
      </c>
      <c r="AI21" s="3" t="s">
        <v>361</v>
      </c>
      <c r="AJ21" s="3" t="s">
        <v>362</v>
      </c>
      <c r="AK21" s="3" t="s">
        <v>363</v>
      </c>
      <c r="AM21" s="7" t="s">
        <v>364</v>
      </c>
    </row>
    <row r="22" spans="1:44" ht="15.75" customHeight="1" x14ac:dyDescent="0.25">
      <c r="A22" s="3" t="s">
        <v>46</v>
      </c>
      <c r="B22" s="3" t="s">
        <v>365</v>
      </c>
      <c r="C22" s="3" t="s">
        <v>366</v>
      </c>
      <c r="E22" s="3" t="s">
        <v>367</v>
      </c>
      <c r="I22" s="3" t="s">
        <v>84</v>
      </c>
      <c r="J22" s="3" t="s">
        <v>368</v>
      </c>
      <c r="M22" s="3" t="s">
        <v>369</v>
      </c>
      <c r="P22" s="3" t="s">
        <v>370</v>
      </c>
      <c r="Q22" s="3" t="s">
        <v>56</v>
      </c>
      <c r="R22" s="3" t="s">
        <v>299</v>
      </c>
      <c r="S22" s="3" t="s">
        <v>371</v>
      </c>
      <c r="T22" s="3">
        <v>1</v>
      </c>
      <c r="U22" s="3" t="s">
        <v>372</v>
      </c>
      <c r="Y22" s="6">
        <v>42476</v>
      </c>
      <c r="Z22" s="3" t="s">
        <v>62</v>
      </c>
      <c r="AA22" s="3">
        <v>0</v>
      </c>
      <c r="AB22" s="3">
        <v>40</v>
      </c>
      <c r="AD22" s="3" t="s">
        <v>77</v>
      </c>
      <c r="AE22" s="3" t="s">
        <v>373</v>
      </c>
      <c r="AG22" s="3" t="s">
        <v>120</v>
      </c>
      <c r="AH22" s="3" t="s">
        <v>120</v>
      </c>
      <c r="AI22" s="3" t="s">
        <v>374</v>
      </c>
      <c r="AM22" s="3" t="s">
        <v>375</v>
      </c>
    </row>
    <row r="23" spans="1:44" ht="12.5" x14ac:dyDescent="0.25">
      <c r="A23" s="3" t="s">
        <v>46</v>
      </c>
      <c r="B23" s="3" t="s">
        <v>376</v>
      </c>
      <c r="C23" s="3" t="s">
        <v>377</v>
      </c>
      <c r="E23" s="3" t="s">
        <v>378</v>
      </c>
      <c r="I23" s="3" t="s">
        <v>379</v>
      </c>
      <c r="J23" s="3" t="s">
        <v>380</v>
      </c>
      <c r="L23" s="3">
        <v>35</v>
      </c>
      <c r="M23" s="3" t="s">
        <v>381</v>
      </c>
      <c r="Q23" s="3" t="s">
        <v>382</v>
      </c>
      <c r="R23" s="3" t="s">
        <v>146</v>
      </c>
      <c r="S23" s="3" t="s">
        <v>383</v>
      </c>
      <c r="T23" s="3">
        <v>8</v>
      </c>
      <c r="U23" s="3" t="s">
        <v>384</v>
      </c>
      <c r="V23" s="3" t="s">
        <v>385</v>
      </c>
      <c r="Y23" s="6">
        <v>43360</v>
      </c>
      <c r="Z23" s="3" t="s">
        <v>62</v>
      </c>
      <c r="AA23" s="3">
        <v>0</v>
      </c>
      <c r="AB23" s="3">
        <v>15</v>
      </c>
      <c r="AD23" s="3" t="s">
        <v>77</v>
      </c>
      <c r="AG23" s="3" t="s">
        <v>120</v>
      </c>
      <c r="AH23" s="3" t="s">
        <v>386</v>
      </c>
      <c r="AI23" s="3" t="s">
        <v>387</v>
      </c>
      <c r="AM23" s="3" t="s">
        <v>388</v>
      </c>
    </row>
    <row r="24" spans="1:44" ht="12.5" x14ac:dyDescent="0.25">
      <c r="A24" s="3" t="s">
        <v>46</v>
      </c>
      <c r="B24" s="3" t="s">
        <v>389</v>
      </c>
      <c r="C24" s="3" t="s">
        <v>390</v>
      </c>
      <c r="E24" s="3" t="s">
        <v>391</v>
      </c>
      <c r="I24" s="3" t="s">
        <v>101</v>
      </c>
      <c r="J24" s="3" t="s">
        <v>392</v>
      </c>
      <c r="L24" s="3">
        <v>2974</v>
      </c>
      <c r="M24" s="3" t="s">
        <v>393</v>
      </c>
      <c r="O24" s="3" t="s">
        <v>394</v>
      </c>
      <c r="Q24" s="3" t="s">
        <v>395</v>
      </c>
      <c r="R24" s="3" t="s">
        <v>57</v>
      </c>
      <c r="S24" s="3" t="s">
        <v>396</v>
      </c>
      <c r="T24" s="3">
        <v>1</v>
      </c>
      <c r="U24" s="3" t="s">
        <v>397</v>
      </c>
      <c r="V24" s="3" t="s">
        <v>398</v>
      </c>
      <c r="Y24" s="6">
        <v>38600</v>
      </c>
      <c r="Z24" s="3" t="s">
        <v>62</v>
      </c>
      <c r="AA24" s="3">
        <v>12</v>
      </c>
      <c r="AB24" s="3">
        <v>80</v>
      </c>
      <c r="AD24" s="3" t="s">
        <v>77</v>
      </c>
      <c r="AG24" s="3" t="s">
        <v>120</v>
      </c>
      <c r="AH24" s="3" t="s">
        <v>120</v>
      </c>
      <c r="AI24" s="3" t="s">
        <v>399</v>
      </c>
      <c r="AM24" s="7" t="s">
        <v>400</v>
      </c>
    </row>
    <row r="25" spans="1:44" ht="12.5" x14ac:dyDescent="0.25">
      <c r="A25" s="3" t="s">
        <v>152</v>
      </c>
      <c r="B25" s="3" t="s">
        <v>401</v>
      </c>
      <c r="C25" s="3" t="s">
        <v>402</v>
      </c>
      <c r="D25" s="3" t="s">
        <v>403</v>
      </c>
      <c r="E25" s="3" t="s">
        <v>404</v>
      </c>
      <c r="F25" s="3"/>
      <c r="G25" s="3" t="s">
        <v>405</v>
      </c>
      <c r="H25" s="3" t="s">
        <v>406</v>
      </c>
      <c r="I25" s="3" t="s">
        <v>407</v>
      </c>
      <c r="J25" s="3" t="s">
        <v>408</v>
      </c>
      <c r="K25" s="3"/>
      <c r="L25" s="3">
        <v>577</v>
      </c>
      <c r="M25" s="3" t="s">
        <v>409</v>
      </c>
      <c r="N25" s="3"/>
      <c r="O25" s="3">
        <v>91710020</v>
      </c>
      <c r="P25" s="3"/>
      <c r="Q25" s="3" t="s">
        <v>410</v>
      </c>
      <c r="R25" s="3" t="s">
        <v>411</v>
      </c>
      <c r="S25" s="3" t="s">
        <v>412</v>
      </c>
      <c r="T25" s="3">
        <v>6</v>
      </c>
      <c r="U25" s="3" t="s">
        <v>413</v>
      </c>
      <c r="W25" s="3"/>
      <c r="X25" s="3"/>
      <c r="Y25" s="8">
        <v>44134</v>
      </c>
      <c r="Z25" s="3" t="s">
        <v>62</v>
      </c>
      <c r="AA25" s="3">
        <v>0</v>
      </c>
      <c r="AB25" s="3">
        <v>10</v>
      </c>
      <c r="AC25" s="3"/>
      <c r="AD25" s="3" t="s">
        <v>77</v>
      </c>
      <c r="AE25" s="3" t="s">
        <v>414</v>
      </c>
      <c r="AF25" s="9"/>
      <c r="AG25" s="3" t="s">
        <v>120</v>
      </c>
      <c r="AH25" s="3" t="s">
        <v>120</v>
      </c>
      <c r="AI25" s="3" t="s">
        <v>415</v>
      </c>
      <c r="AJ25" s="3" t="s">
        <v>416</v>
      </c>
      <c r="AK25" s="3"/>
      <c r="AM25" s="3" t="s">
        <v>417</v>
      </c>
      <c r="AN25" s="3"/>
      <c r="AO25" s="3"/>
      <c r="AP25" s="3"/>
      <c r="AQ25" s="3"/>
      <c r="AR25" s="3"/>
    </row>
    <row r="26" spans="1:44" ht="12.5" x14ac:dyDescent="0.25">
      <c r="A26" s="3" t="s">
        <v>418</v>
      </c>
      <c r="B26" s="3" t="s">
        <v>419</v>
      </c>
      <c r="C26" s="3" t="s">
        <v>420</v>
      </c>
      <c r="D26" s="3" t="s">
        <v>421</v>
      </c>
      <c r="E26" s="3" t="s">
        <v>422</v>
      </c>
      <c r="F26" s="3" t="s">
        <v>423</v>
      </c>
      <c r="G26" s="3" t="s">
        <v>424</v>
      </c>
      <c r="H26" s="3" t="s">
        <v>425</v>
      </c>
      <c r="I26" s="3" t="s">
        <v>101</v>
      </c>
      <c r="J26" s="3" t="s">
        <v>426</v>
      </c>
      <c r="K26" s="3" t="s">
        <v>427</v>
      </c>
      <c r="L26" s="3">
        <v>97</v>
      </c>
      <c r="M26" s="3" t="s">
        <v>128</v>
      </c>
      <c r="O26" s="3">
        <v>8554030</v>
      </c>
      <c r="P26" s="3"/>
      <c r="Q26" s="3" t="s">
        <v>428</v>
      </c>
      <c r="R26" s="3" t="s">
        <v>429</v>
      </c>
      <c r="S26" s="3" t="s">
        <v>430</v>
      </c>
      <c r="T26" s="3">
        <v>5</v>
      </c>
      <c r="U26" s="3" t="s">
        <v>431</v>
      </c>
      <c r="V26" s="3"/>
      <c r="W26" s="3">
        <v>640</v>
      </c>
      <c r="X26" s="10">
        <v>3200</v>
      </c>
      <c r="Y26" s="6">
        <v>43606</v>
      </c>
      <c r="Z26" s="3" t="s">
        <v>62</v>
      </c>
      <c r="AA26" s="3">
        <v>23</v>
      </c>
      <c r="AB26" s="3">
        <v>0</v>
      </c>
      <c r="AC26" s="3">
        <v>1</v>
      </c>
      <c r="AD26" s="3" t="s">
        <v>432</v>
      </c>
      <c r="AE26" s="3" t="s">
        <v>433</v>
      </c>
      <c r="AF26" s="9">
        <v>0</v>
      </c>
      <c r="AG26" s="3" t="s">
        <v>62</v>
      </c>
      <c r="AH26" s="3" t="s">
        <v>62</v>
      </c>
      <c r="AI26" s="3" t="s">
        <v>434</v>
      </c>
      <c r="AJ26" s="3" t="s">
        <v>435</v>
      </c>
      <c r="AK26" s="3" t="s">
        <v>436</v>
      </c>
      <c r="AL26" s="3" t="s">
        <v>437</v>
      </c>
      <c r="AM26" s="3"/>
      <c r="AO26" s="3"/>
      <c r="AP26" s="3"/>
      <c r="AQ26" s="3"/>
      <c r="AR26" s="3" t="s">
        <v>438</v>
      </c>
    </row>
    <row r="27" spans="1:44" ht="12.5" x14ac:dyDescent="0.25">
      <c r="A27" s="3" t="s">
        <v>418</v>
      </c>
      <c r="B27" s="3" t="s">
        <v>439</v>
      </c>
      <c r="C27" s="3" t="s">
        <v>440</v>
      </c>
      <c r="D27" s="3"/>
      <c r="E27" s="3" t="s">
        <v>441</v>
      </c>
      <c r="I27" s="3" t="s">
        <v>101</v>
      </c>
      <c r="J27" s="3" t="s">
        <v>442</v>
      </c>
      <c r="L27" s="3">
        <v>96</v>
      </c>
      <c r="M27" s="3" t="s">
        <v>443</v>
      </c>
      <c r="O27" s="3" t="s">
        <v>444</v>
      </c>
      <c r="P27" s="3" t="s">
        <v>445</v>
      </c>
      <c r="Q27" s="3" t="s">
        <v>446</v>
      </c>
      <c r="R27" s="3" t="s">
        <v>130</v>
      </c>
      <c r="S27" s="3"/>
      <c r="T27" s="3">
        <v>5</v>
      </c>
      <c r="U27" s="3" t="s">
        <v>447</v>
      </c>
      <c r="V27" s="3" t="s">
        <v>448</v>
      </c>
      <c r="Y27" s="6">
        <v>40719</v>
      </c>
      <c r="Z27" s="3" t="s">
        <v>62</v>
      </c>
      <c r="AA27" s="3">
        <v>10</v>
      </c>
      <c r="AB27" s="3"/>
      <c r="AD27" s="3" t="s">
        <v>77</v>
      </c>
      <c r="AE27" s="3"/>
      <c r="AG27" s="3" t="s">
        <v>62</v>
      </c>
      <c r="AH27" s="3" t="s">
        <v>62</v>
      </c>
      <c r="AI27" s="3" t="s">
        <v>449</v>
      </c>
      <c r="AM27" s="3"/>
    </row>
    <row r="28" spans="1:44" ht="12.5" x14ac:dyDescent="0.25">
      <c r="A28" s="3" t="s">
        <v>418</v>
      </c>
      <c r="B28" s="3" t="s">
        <v>450</v>
      </c>
      <c r="C28" s="3" t="s">
        <v>451</v>
      </c>
      <c r="D28" s="3" t="s">
        <v>452</v>
      </c>
      <c r="E28" s="3" t="s">
        <v>422</v>
      </c>
      <c r="F28" s="3" t="s">
        <v>423</v>
      </c>
      <c r="G28" s="3" t="s">
        <v>453</v>
      </c>
      <c r="H28" s="3" t="s">
        <v>454</v>
      </c>
      <c r="I28" s="3" t="s">
        <v>101</v>
      </c>
      <c r="J28" s="3" t="s">
        <v>455</v>
      </c>
      <c r="K28" s="3" t="s">
        <v>456</v>
      </c>
      <c r="L28" s="3">
        <v>96</v>
      </c>
      <c r="M28" s="3" t="s">
        <v>393</v>
      </c>
      <c r="O28" s="3">
        <v>8554030</v>
      </c>
      <c r="Q28" s="3" t="s">
        <v>115</v>
      </c>
      <c r="R28" s="3" t="s">
        <v>57</v>
      </c>
      <c r="S28" s="3" t="s">
        <v>457</v>
      </c>
      <c r="T28" s="3">
        <v>4</v>
      </c>
      <c r="U28" s="3" t="s">
        <v>458</v>
      </c>
      <c r="W28" s="3">
        <v>150</v>
      </c>
      <c r="X28" s="10">
        <v>250</v>
      </c>
      <c r="Y28" s="6">
        <v>40719</v>
      </c>
      <c r="Z28" s="3" t="s">
        <v>62</v>
      </c>
      <c r="AA28" s="3">
        <v>6</v>
      </c>
      <c r="AB28" s="3">
        <v>0</v>
      </c>
      <c r="AC28" s="3">
        <v>1</v>
      </c>
      <c r="AD28" s="3" t="s">
        <v>432</v>
      </c>
      <c r="AE28" s="3">
        <v>1</v>
      </c>
      <c r="AF28" s="9">
        <v>0</v>
      </c>
      <c r="AG28" s="3" t="s">
        <v>62</v>
      </c>
      <c r="AH28" s="3" t="s">
        <v>62</v>
      </c>
      <c r="AI28" s="3" t="s">
        <v>434</v>
      </c>
      <c r="AJ28" s="3" t="s">
        <v>435</v>
      </c>
      <c r="AK28" s="3" t="s">
        <v>459</v>
      </c>
      <c r="AL28" s="3" t="s">
        <v>460</v>
      </c>
      <c r="AN28" s="3" t="s">
        <v>461</v>
      </c>
      <c r="AR28" s="3"/>
    </row>
    <row r="29" spans="1:44" ht="12.5" x14ac:dyDescent="0.25">
      <c r="A29" s="3" t="s">
        <v>152</v>
      </c>
      <c r="B29" s="3" t="s">
        <v>462</v>
      </c>
      <c r="C29" s="3" t="s">
        <v>463</v>
      </c>
      <c r="D29" s="3" t="s">
        <v>464</v>
      </c>
      <c r="E29" s="3" t="s">
        <v>465</v>
      </c>
      <c r="G29" s="3" t="s">
        <v>466</v>
      </c>
      <c r="H29" s="3" t="s">
        <v>467</v>
      </c>
      <c r="I29" s="3" t="s">
        <v>468</v>
      </c>
      <c r="J29" s="3" t="s">
        <v>469</v>
      </c>
      <c r="L29" s="3"/>
      <c r="M29" s="3" t="s">
        <v>470</v>
      </c>
      <c r="O29" s="3" t="s">
        <v>471</v>
      </c>
      <c r="P29" s="3" t="s">
        <v>472</v>
      </c>
      <c r="Q29" s="3" t="s">
        <v>473</v>
      </c>
      <c r="R29" s="3" t="s">
        <v>57</v>
      </c>
      <c r="S29" s="3" t="s">
        <v>300</v>
      </c>
      <c r="T29" s="3">
        <v>6</v>
      </c>
      <c r="U29" s="3" t="s">
        <v>474</v>
      </c>
      <c r="V29" s="3"/>
      <c r="Y29" s="6">
        <v>34211</v>
      </c>
      <c r="Z29" s="3" t="s">
        <v>62</v>
      </c>
      <c r="AA29" s="3">
        <v>0</v>
      </c>
      <c r="AB29" s="3">
        <v>10</v>
      </c>
      <c r="AD29" s="3" t="s">
        <v>77</v>
      </c>
      <c r="AE29" s="5">
        <v>0.1</v>
      </c>
      <c r="AG29" s="3" t="s">
        <v>62</v>
      </c>
      <c r="AH29" s="3" t="s">
        <v>120</v>
      </c>
      <c r="AI29" s="3" t="s">
        <v>475</v>
      </c>
      <c r="AJ29" s="3" t="s">
        <v>476</v>
      </c>
      <c r="AK29" s="3" t="s">
        <v>477</v>
      </c>
      <c r="AL29" s="3" t="s">
        <v>478</v>
      </c>
      <c r="AM29" s="3" t="s">
        <v>479</v>
      </c>
    </row>
    <row r="30" spans="1:44" ht="12.5" x14ac:dyDescent="0.25">
      <c r="A30" s="3" t="s">
        <v>152</v>
      </c>
      <c r="B30" s="3" t="s">
        <v>480</v>
      </c>
      <c r="C30" s="3" t="s">
        <v>481</v>
      </c>
      <c r="D30" s="3" t="s">
        <v>482</v>
      </c>
      <c r="E30" s="3" t="s">
        <v>483</v>
      </c>
      <c r="F30" s="3"/>
      <c r="G30" s="3" t="s">
        <v>484</v>
      </c>
      <c r="H30" s="3" t="s">
        <v>485</v>
      </c>
      <c r="I30" s="3" t="s">
        <v>101</v>
      </c>
      <c r="J30" s="3" t="s">
        <v>486</v>
      </c>
      <c r="K30" s="3"/>
      <c r="L30" s="3" t="s">
        <v>487</v>
      </c>
      <c r="M30" s="3" t="s">
        <v>128</v>
      </c>
      <c r="O30" s="3" t="s">
        <v>488</v>
      </c>
      <c r="P30" s="3" t="s">
        <v>489</v>
      </c>
      <c r="Q30" s="3" t="s">
        <v>490</v>
      </c>
      <c r="R30" s="3" t="s">
        <v>130</v>
      </c>
      <c r="S30" s="3" t="s">
        <v>300</v>
      </c>
      <c r="T30" s="3">
        <v>3</v>
      </c>
      <c r="U30" s="3" t="s">
        <v>491</v>
      </c>
      <c r="V30" s="3" t="s">
        <v>492</v>
      </c>
      <c r="W30" s="3"/>
      <c r="X30" s="3"/>
      <c r="Y30" s="6">
        <v>40021</v>
      </c>
      <c r="Z30" s="3" t="s">
        <v>62</v>
      </c>
      <c r="AA30" s="3">
        <v>0</v>
      </c>
      <c r="AB30" s="3">
        <v>8</v>
      </c>
      <c r="AC30" s="3"/>
      <c r="AD30" s="3" t="s">
        <v>77</v>
      </c>
      <c r="AE30" s="3" t="s">
        <v>493</v>
      </c>
      <c r="AF30" s="9"/>
      <c r="AG30" s="3" t="s">
        <v>120</v>
      </c>
      <c r="AH30" s="3" t="s">
        <v>62</v>
      </c>
      <c r="AI30" s="3" t="s">
        <v>494</v>
      </c>
      <c r="AJ30" s="3" t="s">
        <v>495</v>
      </c>
      <c r="AK30" s="3" t="s">
        <v>496</v>
      </c>
      <c r="AL30" s="3" t="s">
        <v>497</v>
      </c>
      <c r="AM30" s="3" t="s">
        <v>498</v>
      </c>
      <c r="AN30" s="3"/>
    </row>
    <row r="31" spans="1:44" ht="12.5" x14ac:dyDescent="0.25">
      <c r="A31" s="3" t="s">
        <v>46</v>
      </c>
      <c r="B31" s="3" t="s">
        <v>499</v>
      </c>
      <c r="C31" s="3" t="s">
        <v>500</v>
      </c>
      <c r="D31" s="3"/>
      <c r="E31" s="3" t="s">
        <v>501</v>
      </c>
      <c r="G31" s="3"/>
      <c r="H31" s="3"/>
      <c r="I31" s="3" t="s">
        <v>379</v>
      </c>
      <c r="J31" s="3" t="s">
        <v>502</v>
      </c>
      <c r="L31" s="3"/>
      <c r="M31" s="3" t="s">
        <v>381</v>
      </c>
      <c r="O31" s="3">
        <v>51030230</v>
      </c>
      <c r="P31" s="3" t="s">
        <v>503</v>
      </c>
      <c r="Q31" s="3" t="s">
        <v>504</v>
      </c>
      <c r="R31" s="3" t="s">
        <v>75</v>
      </c>
      <c r="S31" s="3" t="s">
        <v>505</v>
      </c>
      <c r="T31" s="3">
        <v>7</v>
      </c>
      <c r="U31" s="3" t="s">
        <v>506</v>
      </c>
      <c r="V31" s="3"/>
      <c r="Y31" s="6">
        <v>40583</v>
      </c>
      <c r="Z31" s="3" t="s">
        <v>62</v>
      </c>
      <c r="AA31" s="3">
        <v>0</v>
      </c>
      <c r="AB31" s="3">
        <v>0</v>
      </c>
      <c r="AD31" s="3" t="s">
        <v>77</v>
      </c>
      <c r="AE31" s="3" t="s">
        <v>507</v>
      </c>
      <c r="AG31" s="3" t="s">
        <v>508</v>
      </c>
      <c r="AH31" s="3" t="s">
        <v>120</v>
      </c>
      <c r="AI31" s="3" t="s">
        <v>509</v>
      </c>
      <c r="AJ31" s="3"/>
      <c r="AK31" s="3"/>
      <c r="AL31" s="3"/>
      <c r="AM31" s="7" t="s">
        <v>510</v>
      </c>
    </row>
    <row r="32" spans="1:44" ht="12.5" x14ac:dyDescent="0.25">
      <c r="A32" s="3" t="s">
        <v>46</v>
      </c>
      <c r="B32" s="3" t="s">
        <v>511</v>
      </c>
      <c r="C32" s="3" t="s">
        <v>512</v>
      </c>
      <c r="E32" s="3" t="s">
        <v>513</v>
      </c>
      <c r="I32" s="3" t="s">
        <v>379</v>
      </c>
      <c r="J32" s="3" t="s">
        <v>514</v>
      </c>
      <c r="L32" s="3">
        <v>303</v>
      </c>
      <c r="M32" s="3" t="s">
        <v>381</v>
      </c>
      <c r="O32" s="3" t="s">
        <v>515</v>
      </c>
      <c r="P32" s="3" t="s">
        <v>516</v>
      </c>
      <c r="Q32" s="3" t="s">
        <v>56</v>
      </c>
      <c r="R32" s="3" t="s">
        <v>216</v>
      </c>
      <c r="S32" s="3" t="s">
        <v>180</v>
      </c>
      <c r="T32" s="3">
        <v>3</v>
      </c>
      <c r="U32" s="3" t="s">
        <v>517</v>
      </c>
      <c r="V32" s="3" t="s">
        <v>518</v>
      </c>
      <c r="Y32" s="6">
        <v>40866</v>
      </c>
      <c r="Z32" s="3" t="s">
        <v>62</v>
      </c>
      <c r="AA32" s="3">
        <v>2</v>
      </c>
      <c r="AB32" s="3">
        <v>3</v>
      </c>
      <c r="AD32" s="3" t="s">
        <v>77</v>
      </c>
      <c r="AE32" s="3" t="s">
        <v>519</v>
      </c>
      <c r="AG32" s="3" t="s">
        <v>120</v>
      </c>
      <c r="AH32" s="3" t="s">
        <v>62</v>
      </c>
      <c r="AI32" s="3"/>
      <c r="AM32" s="3" t="s">
        <v>520</v>
      </c>
    </row>
    <row r="33" spans="1:46" ht="12.5" x14ac:dyDescent="0.25">
      <c r="A33" s="3" t="s">
        <v>46</v>
      </c>
      <c r="B33" s="3" t="s">
        <v>521</v>
      </c>
      <c r="C33" s="3" t="s">
        <v>522</v>
      </c>
      <c r="D33" s="3"/>
      <c r="E33" s="3" t="s">
        <v>523</v>
      </c>
      <c r="I33" s="3" t="s">
        <v>101</v>
      </c>
      <c r="J33" s="3" t="s">
        <v>524</v>
      </c>
      <c r="L33" s="3">
        <v>202</v>
      </c>
      <c r="M33" s="3" t="s">
        <v>128</v>
      </c>
      <c r="O33" s="3"/>
      <c r="P33" s="3"/>
      <c r="Q33" s="3" t="s">
        <v>525</v>
      </c>
      <c r="R33" s="3" t="s">
        <v>130</v>
      </c>
      <c r="S33" s="3" t="s">
        <v>371</v>
      </c>
      <c r="T33" s="3">
        <v>7</v>
      </c>
      <c r="U33" s="3" t="s">
        <v>526</v>
      </c>
      <c r="V33" s="3"/>
      <c r="Y33" s="8">
        <v>42590</v>
      </c>
      <c r="Z33" s="3" t="s">
        <v>62</v>
      </c>
      <c r="AA33" s="3">
        <v>0</v>
      </c>
      <c r="AB33" s="3">
        <v>16</v>
      </c>
      <c r="AD33" s="3" t="s">
        <v>77</v>
      </c>
      <c r="AE33" s="3" t="s">
        <v>527</v>
      </c>
      <c r="AG33" s="3" t="s">
        <v>120</v>
      </c>
      <c r="AH33" s="3" t="s">
        <v>62</v>
      </c>
      <c r="AI33" s="3" t="s">
        <v>528</v>
      </c>
      <c r="AM33" s="7" t="s">
        <v>529</v>
      </c>
    </row>
    <row r="34" spans="1:46" ht="12.5" x14ac:dyDescent="0.25">
      <c r="A34" s="3" t="s">
        <v>46</v>
      </c>
      <c r="B34" s="3" t="s">
        <v>530</v>
      </c>
      <c r="C34" s="3" t="s">
        <v>531</v>
      </c>
      <c r="E34" s="3" t="s">
        <v>532</v>
      </c>
      <c r="I34" s="3" t="s">
        <v>101</v>
      </c>
      <c r="J34" s="3" t="s">
        <v>533</v>
      </c>
      <c r="L34" s="3">
        <v>133</v>
      </c>
      <c r="M34" s="3" t="s">
        <v>128</v>
      </c>
      <c r="O34" s="3">
        <v>8031210</v>
      </c>
      <c r="P34" s="3"/>
      <c r="Q34" s="3" t="s">
        <v>473</v>
      </c>
      <c r="R34" s="3" t="s">
        <v>146</v>
      </c>
      <c r="S34" s="3" t="s">
        <v>534</v>
      </c>
      <c r="T34" s="3">
        <v>8</v>
      </c>
      <c r="U34" s="3" t="s">
        <v>535</v>
      </c>
      <c r="V34" s="3" t="s">
        <v>536</v>
      </c>
      <c r="Y34" s="6">
        <v>43329</v>
      </c>
      <c r="Z34" s="3" t="s">
        <v>62</v>
      </c>
      <c r="AA34" s="3">
        <v>0</v>
      </c>
      <c r="AB34" s="3">
        <v>10</v>
      </c>
      <c r="AD34" s="3" t="s">
        <v>77</v>
      </c>
      <c r="AE34" s="3" t="s">
        <v>537</v>
      </c>
      <c r="AG34" s="3" t="s">
        <v>120</v>
      </c>
      <c r="AH34" s="3" t="s">
        <v>120</v>
      </c>
      <c r="AI34" s="3" t="s">
        <v>538</v>
      </c>
      <c r="AM34" s="3" t="s">
        <v>539</v>
      </c>
    </row>
    <row r="35" spans="1:46" ht="12.5" x14ac:dyDescent="0.25">
      <c r="A35" s="3" t="s">
        <v>46</v>
      </c>
      <c r="B35" s="3" t="s">
        <v>540</v>
      </c>
      <c r="C35" s="3" t="s">
        <v>541</v>
      </c>
      <c r="E35" s="3" t="s">
        <v>542</v>
      </c>
      <c r="I35" s="3" t="s">
        <v>101</v>
      </c>
      <c r="J35" s="3" t="s">
        <v>543</v>
      </c>
      <c r="L35" s="3">
        <v>300</v>
      </c>
      <c r="M35" s="3" t="s">
        <v>128</v>
      </c>
      <c r="O35" s="3">
        <v>4882010</v>
      </c>
      <c r="P35" s="3"/>
      <c r="Q35" s="3" t="s">
        <v>544</v>
      </c>
      <c r="R35" s="3" t="s">
        <v>57</v>
      </c>
      <c r="S35" s="3" t="s">
        <v>180</v>
      </c>
      <c r="T35" s="3">
        <v>20</v>
      </c>
      <c r="U35" s="3" t="s">
        <v>545</v>
      </c>
      <c r="V35" s="3" t="s">
        <v>546</v>
      </c>
      <c r="Y35" s="6">
        <v>32795</v>
      </c>
      <c r="Z35" s="3" t="s">
        <v>62</v>
      </c>
      <c r="AA35" s="3">
        <v>51</v>
      </c>
      <c r="AB35" s="3">
        <v>3</v>
      </c>
      <c r="AD35" s="3" t="s">
        <v>77</v>
      </c>
      <c r="AE35" s="3" t="s">
        <v>547</v>
      </c>
      <c r="AG35" s="3" t="s">
        <v>62</v>
      </c>
      <c r="AH35" s="3" t="s">
        <v>62</v>
      </c>
      <c r="AI35" s="3" t="s">
        <v>548</v>
      </c>
      <c r="AM35" s="3" t="s">
        <v>549</v>
      </c>
    </row>
    <row r="36" spans="1:46" ht="12.5" x14ac:dyDescent="0.25">
      <c r="A36" s="3" t="s">
        <v>46</v>
      </c>
      <c r="B36" s="3" t="s">
        <v>550</v>
      </c>
      <c r="C36" s="3" t="s">
        <v>551</v>
      </c>
      <c r="D36" s="3" t="s">
        <v>552</v>
      </c>
      <c r="E36" s="3" t="s">
        <v>553</v>
      </c>
      <c r="F36" s="3" t="s">
        <v>554</v>
      </c>
      <c r="G36" s="3" t="s">
        <v>555</v>
      </c>
      <c r="H36" s="3" t="s">
        <v>556</v>
      </c>
      <c r="I36" s="3" t="s">
        <v>557</v>
      </c>
      <c r="J36" s="3" t="s">
        <v>558</v>
      </c>
      <c r="K36" s="3" t="s">
        <v>559</v>
      </c>
      <c r="L36" s="3">
        <v>0</v>
      </c>
      <c r="M36" s="3" t="s">
        <v>560</v>
      </c>
      <c r="N36" s="3" t="s">
        <v>561</v>
      </c>
      <c r="O36" s="3">
        <v>88090533</v>
      </c>
      <c r="P36" s="3" t="s">
        <v>562</v>
      </c>
      <c r="Q36" s="3" t="s">
        <v>215</v>
      </c>
      <c r="R36" s="3" t="s">
        <v>146</v>
      </c>
      <c r="S36" s="3" t="s">
        <v>430</v>
      </c>
      <c r="T36" s="3">
        <v>1</v>
      </c>
      <c r="U36" s="3" t="s">
        <v>563</v>
      </c>
      <c r="V36" s="3" t="s">
        <v>564</v>
      </c>
      <c r="W36" s="3">
        <v>40</v>
      </c>
      <c r="X36" s="3">
        <v>400</v>
      </c>
      <c r="Y36" s="8">
        <v>42537</v>
      </c>
      <c r="Z36" s="3" t="s">
        <v>62</v>
      </c>
      <c r="AA36" s="3">
        <v>8</v>
      </c>
      <c r="AB36" s="3">
        <v>8</v>
      </c>
      <c r="AC36" s="3">
        <v>1</v>
      </c>
      <c r="AD36" s="3" t="s">
        <v>148</v>
      </c>
      <c r="AE36" s="3" t="s">
        <v>565</v>
      </c>
      <c r="AF36" s="9">
        <v>18000</v>
      </c>
      <c r="AG36" s="3" t="s">
        <v>62</v>
      </c>
      <c r="AH36" s="3" t="s">
        <v>120</v>
      </c>
      <c r="AI36" s="3" t="s">
        <v>566</v>
      </c>
      <c r="AJ36" s="3" t="s">
        <v>567</v>
      </c>
      <c r="AK36" s="3" t="s">
        <v>568</v>
      </c>
      <c r="AL36" s="3" t="s">
        <v>569</v>
      </c>
      <c r="AM36" s="7" t="s">
        <v>570</v>
      </c>
      <c r="AN36" s="3" t="s">
        <v>571</v>
      </c>
      <c r="AO36" s="3" t="s">
        <v>572</v>
      </c>
      <c r="AP36" s="3" t="s">
        <v>573</v>
      </c>
      <c r="AQ36" s="3" t="s">
        <v>574</v>
      </c>
      <c r="AR36" s="3" t="s">
        <v>575</v>
      </c>
      <c r="AS36" s="3" t="s">
        <v>576</v>
      </c>
      <c r="AT36" s="3" t="s">
        <v>577</v>
      </c>
    </row>
    <row r="37" spans="1:46" ht="12.5" x14ac:dyDescent="0.25">
      <c r="A37" s="3" t="s">
        <v>46</v>
      </c>
      <c r="B37" s="3" t="s">
        <v>578</v>
      </c>
      <c r="C37" s="3" t="s">
        <v>579</v>
      </c>
      <c r="D37" s="3" t="s">
        <v>580</v>
      </c>
      <c r="E37" s="3" t="s">
        <v>581</v>
      </c>
      <c r="F37" s="3" t="s">
        <v>582</v>
      </c>
      <c r="G37" s="3" t="s">
        <v>583</v>
      </c>
      <c r="H37" s="3" t="s">
        <v>584</v>
      </c>
      <c r="I37" s="3" t="s">
        <v>468</v>
      </c>
      <c r="J37" s="3" t="s">
        <v>585</v>
      </c>
      <c r="K37" s="3" t="s">
        <v>586</v>
      </c>
      <c r="L37" s="3">
        <v>165</v>
      </c>
      <c r="M37" s="3" t="s">
        <v>470</v>
      </c>
      <c r="N37" s="3"/>
      <c r="O37" s="3">
        <v>60714430</v>
      </c>
      <c r="P37" s="3"/>
      <c r="Q37" s="3" t="s">
        <v>587</v>
      </c>
      <c r="R37" s="3" t="s">
        <v>57</v>
      </c>
      <c r="S37" s="3" t="s">
        <v>588</v>
      </c>
      <c r="T37" s="3">
        <v>8</v>
      </c>
      <c r="U37" s="3" t="s">
        <v>589</v>
      </c>
      <c r="V37" s="3" t="s">
        <v>590</v>
      </c>
      <c r="W37" s="3">
        <v>80</v>
      </c>
      <c r="X37" s="3">
        <v>600</v>
      </c>
      <c r="Y37" s="6">
        <v>43662</v>
      </c>
      <c r="Z37" s="3" t="s">
        <v>62</v>
      </c>
      <c r="AA37" s="3">
        <v>0</v>
      </c>
      <c r="AB37" s="3">
        <v>40</v>
      </c>
      <c r="AC37" s="3">
        <v>1</v>
      </c>
      <c r="AD37" s="3" t="s">
        <v>591</v>
      </c>
      <c r="AE37" s="3" t="s">
        <v>592</v>
      </c>
      <c r="AF37" s="9">
        <v>1500</v>
      </c>
      <c r="AG37" s="3" t="s">
        <v>120</v>
      </c>
      <c r="AH37" s="3" t="s">
        <v>120</v>
      </c>
      <c r="AI37" s="3" t="s">
        <v>593</v>
      </c>
      <c r="AJ37" s="3" t="s">
        <v>594</v>
      </c>
      <c r="AK37" s="3" t="s">
        <v>595</v>
      </c>
      <c r="AL37" s="3"/>
      <c r="AM37" s="7" t="s">
        <v>596</v>
      </c>
      <c r="AN37" s="3"/>
      <c r="AO37" s="3"/>
      <c r="AP37" s="3" t="s">
        <v>597</v>
      </c>
      <c r="AQ37" s="3"/>
      <c r="AR37" s="3" t="s">
        <v>598</v>
      </c>
      <c r="AS37" s="3"/>
      <c r="AT37" s="3"/>
    </row>
    <row r="38" spans="1:46" ht="12.5" x14ac:dyDescent="0.25">
      <c r="A38" s="3" t="s">
        <v>152</v>
      </c>
      <c r="B38" s="3" t="s">
        <v>599</v>
      </c>
      <c r="C38" s="3" t="s">
        <v>600</v>
      </c>
      <c r="D38" s="3" t="s">
        <v>601</v>
      </c>
      <c r="E38" s="3" t="s">
        <v>602</v>
      </c>
      <c r="F38" s="3"/>
      <c r="G38" s="3" t="s">
        <v>603</v>
      </c>
      <c r="H38" s="3" t="s">
        <v>604</v>
      </c>
      <c r="I38" s="3" t="s">
        <v>605</v>
      </c>
      <c r="J38" s="3" t="s">
        <v>606</v>
      </c>
      <c r="K38" s="3"/>
      <c r="L38" s="3">
        <v>122</v>
      </c>
      <c r="M38" s="3" t="s">
        <v>607</v>
      </c>
      <c r="O38" s="3">
        <v>49044203</v>
      </c>
      <c r="P38" s="3" t="s">
        <v>608</v>
      </c>
      <c r="Q38" s="3" t="s">
        <v>544</v>
      </c>
      <c r="R38" s="3" t="s">
        <v>609</v>
      </c>
      <c r="S38" s="3" t="s">
        <v>610</v>
      </c>
      <c r="T38" s="3">
        <v>2</v>
      </c>
      <c r="U38" s="3" t="s">
        <v>611</v>
      </c>
      <c r="V38" s="3" t="s">
        <v>612</v>
      </c>
      <c r="W38" s="3"/>
      <c r="X38" s="3"/>
      <c r="Y38" s="6">
        <v>36852</v>
      </c>
      <c r="Z38" s="3" t="s">
        <v>62</v>
      </c>
      <c r="AA38" s="3">
        <v>7</v>
      </c>
      <c r="AB38" s="3">
        <v>14</v>
      </c>
      <c r="AC38" s="3"/>
      <c r="AD38" s="3" t="s">
        <v>77</v>
      </c>
      <c r="AE38" s="3" t="s">
        <v>613</v>
      </c>
      <c r="AF38" s="9"/>
      <c r="AG38" s="3" t="s">
        <v>62</v>
      </c>
      <c r="AH38" s="3" t="s">
        <v>120</v>
      </c>
      <c r="AI38" s="3" t="s">
        <v>614</v>
      </c>
      <c r="AJ38" s="3" t="s">
        <v>615</v>
      </c>
      <c r="AK38" s="3"/>
      <c r="AM38" s="3" t="s">
        <v>616</v>
      </c>
      <c r="AP38" s="3"/>
      <c r="AR38" s="3"/>
    </row>
    <row r="39" spans="1:46" ht="12.5" x14ac:dyDescent="0.25">
      <c r="A39" s="3" t="s">
        <v>46</v>
      </c>
      <c r="B39" s="3" t="s">
        <v>617</v>
      </c>
      <c r="C39" s="3" t="s">
        <v>618</v>
      </c>
      <c r="D39" s="3" t="s">
        <v>619</v>
      </c>
      <c r="E39" s="3" t="s">
        <v>620</v>
      </c>
      <c r="F39" s="3" t="s">
        <v>621</v>
      </c>
      <c r="G39" s="3" t="s">
        <v>622</v>
      </c>
      <c r="H39" s="3" t="s">
        <v>623</v>
      </c>
      <c r="I39" s="3" t="s">
        <v>70</v>
      </c>
      <c r="J39" s="3" t="s">
        <v>624</v>
      </c>
      <c r="K39" s="3" t="s">
        <v>625</v>
      </c>
      <c r="L39" s="3">
        <v>46</v>
      </c>
      <c r="M39" s="3" t="s">
        <v>626</v>
      </c>
      <c r="N39" s="3"/>
      <c r="O39" s="3">
        <v>21044690</v>
      </c>
      <c r="P39" s="3" t="s">
        <v>627</v>
      </c>
      <c r="Q39" s="3" t="s">
        <v>628</v>
      </c>
      <c r="R39" s="3" t="s">
        <v>629</v>
      </c>
      <c r="S39" s="3" t="s">
        <v>630</v>
      </c>
      <c r="T39" s="3">
        <v>8</v>
      </c>
      <c r="U39" s="3" t="s">
        <v>631</v>
      </c>
      <c r="V39" s="3" t="s">
        <v>632</v>
      </c>
      <c r="W39" s="3">
        <v>300</v>
      </c>
      <c r="X39" s="10">
        <v>2000</v>
      </c>
      <c r="Y39" s="8">
        <v>42473</v>
      </c>
      <c r="Z39" s="3" t="s">
        <v>120</v>
      </c>
      <c r="AA39" s="3">
        <v>0</v>
      </c>
      <c r="AB39" s="3">
        <v>17</v>
      </c>
      <c r="AC39" s="3">
        <v>1</v>
      </c>
      <c r="AD39" s="3" t="s">
        <v>633</v>
      </c>
      <c r="AE39" s="3" t="s">
        <v>634</v>
      </c>
      <c r="AF39" s="9">
        <v>0</v>
      </c>
      <c r="AG39" s="3" t="s">
        <v>120</v>
      </c>
      <c r="AH39" s="3" t="s">
        <v>120</v>
      </c>
      <c r="AI39" s="3" t="s">
        <v>635</v>
      </c>
      <c r="AJ39" s="3" t="s">
        <v>636</v>
      </c>
      <c r="AK39" s="3" t="s">
        <v>636</v>
      </c>
      <c r="AL39" s="3"/>
      <c r="AM39" s="3" t="s">
        <v>637</v>
      </c>
      <c r="AN39" s="3"/>
      <c r="AO39" s="3"/>
      <c r="AP39" s="3"/>
      <c r="AQ39" s="3"/>
      <c r="AR39" s="3" t="s">
        <v>638</v>
      </c>
      <c r="AS39" s="3"/>
      <c r="AT39" s="3"/>
    </row>
    <row r="40" spans="1:46" ht="12.5" x14ac:dyDescent="0.25">
      <c r="A40" s="3" t="s">
        <v>46</v>
      </c>
      <c r="B40" s="3" t="s">
        <v>639</v>
      </c>
      <c r="C40" s="3" t="s">
        <v>640</v>
      </c>
      <c r="D40" s="3" t="s">
        <v>641</v>
      </c>
      <c r="E40" s="3" t="s">
        <v>642</v>
      </c>
      <c r="F40" s="3" t="s">
        <v>643</v>
      </c>
      <c r="G40" s="3" t="s">
        <v>644</v>
      </c>
      <c r="H40" s="3" t="s">
        <v>645</v>
      </c>
      <c r="I40" s="3" t="s">
        <v>557</v>
      </c>
      <c r="J40" s="3" t="s">
        <v>646</v>
      </c>
      <c r="K40" s="3" t="s">
        <v>647</v>
      </c>
      <c r="L40" s="3">
        <v>2125</v>
      </c>
      <c r="M40" s="3" t="s">
        <v>648</v>
      </c>
      <c r="N40" s="3" t="s">
        <v>649</v>
      </c>
      <c r="O40" s="3">
        <v>88015530</v>
      </c>
      <c r="P40" s="3" t="s">
        <v>650</v>
      </c>
      <c r="Q40" s="3" t="s">
        <v>651</v>
      </c>
      <c r="R40" s="3" t="s">
        <v>652</v>
      </c>
      <c r="S40" s="3" t="s">
        <v>653</v>
      </c>
      <c r="T40" s="3">
        <v>5</v>
      </c>
      <c r="U40" s="3" t="s">
        <v>654</v>
      </c>
      <c r="V40" s="3"/>
      <c r="W40" s="3">
        <v>50</v>
      </c>
      <c r="X40" s="10">
        <v>250</v>
      </c>
      <c r="Y40" s="6">
        <v>44431</v>
      </c>
      <c r="Z40" s="3" t="s">
        <v>62</v>
      </c>
      <c r="AA40" s="3">
        <v>6</v>
      </c>
      <c r="AB40" s="3">
        <v>10</v>
      </c>
      <c r="AC40" s="3">
        <v>1</v>
      </c>
      <c r="AD40" s="3" t="s">
        <v>655</v>
      </c>
      <c r="AE40" s="3">
        <v>1</v>
      </c>
      <c r="AF40" s="9">
        <v>50000</v>
      </c>
      <c r="AG40" s="3" t="s">
        <v>120</v>
      </c>
      <c r="AH40" s="3" t="s">
        <v>120</v>
      </c>
      <c r="AI40" s="3" t="s">
        <v>656</v>
      </c>
      <c r="AJ40" s="3" t="s">
        <v>657</v>
      </c>
      <c r="AK40" s="3" t="s">
        <v>658</v>
      </c>
      <c r="AM40" s="7" t="s">
        <v>659</v>
      </c>
      <c r="AO40" s="3" t="s">
        <v>660</v>
      </c>
      <c r="AP40" s="3" t="s">
        <v>661</v>
      </c>
      <c r="AQ40" s="3" t="s">
        <v>662</v>
      </c>
      <c r="AR40" s="3" t="s">
        <v>663</v>
      </c>
    </row>
    <row r="41" spans="1:46" ht="12.5" x14ac:dyDescent="0.25">
      <c r="A41" s="3" t="s">
        <v>46</v>
      </c>
      <c r="B41" s="3" t="s">
        <v>664</v>
      </c>
      <c r="C41" s="3" t="s">
        <v>665</v>
      </c>
      <c r="D41" s="3" t="s">
        <v>666</v>
      </c>
      <c r="E41" s="3" t="s">
        <v>667</v>
      </c>
      <c r="F41" s="3" t="s">
        <v>668</v>
      </c>
      <c r="G41" s="3" t="s">
        <v>669</v>
      </c>
      <c r="H41" s="3" t="s">
        <v>670</v>
      </c>
      <c r="I41" s="3" t="s">
        <v>84</v>
      </c>
      <c r="J41" s="3" t="s">
        <v>671</v>
      </c>
      <c r="K41" s="3" t="s">
        <v>672</v>
      </c>
      <c r="L41" s="3">
        <v>20</v>
      </c>
      <c r="M41" s="3" t="s">
        <v>177</v>
      </c>
      <c r="N41" s="3" t="s">
        <v>673</v>
      </c>
      <c r="O41" s="3">
        <v>30250000</v>
      </c>
      <c r="P41" s="3" t="s">
        <v>674</v>
      </c>
      <c r="Q41" s="3" t="s">
        <v>283</v>
      </c>
      <c r="R41" s="3" t="s">
        <v>75</v>
      </c>
      <c r="S41" s="3" t="s">
        <v>675</v>
      </c>
      <c r="T41" s="3">
        <v>1</v>
      </c>
      <c r="U41" s="3" t="s">
        <v>676</v>
      </c>
      <c r="V41" s="3"/>
      <c r="W41" s="3">
        <v>230</v>
      </c>
      <c r="X41" s="3">
        <v>700</v>
      </c>
      <c r="Y41" s="6">
        <v>42129</v>
      </c>
      <c r="Z41" s="3" t="s">
        <v>62</v>
      </c>
      <c r="AA41" s="3">
        <v>0</v>
      </c>
      <c r="AB41" s="3">
        <v>8</v>
      </c>
      <c r="AC41" s="3">
        <v>1</v>
      </c>
      <c r="AD41" s="3" t="s">
        <v>591</v>
      </c>
      <c r="AE41" s="3" t="s">
        <v>677</v>
      </c>
      <c r="AF41" s="9">
        <v>10000</v>
      </c>
      <c r="AG41" s="3" t="s">
        <v>120</v>
      </c>
      <c r="AH41" s="3" t="s">
        <v>120</v>
      </c>
      <c r="AI41" s="3" t="s">
        <v>134</v>
      </c>
      <c r="AJ41" s="3" t="s">
        <v>678</v>
      </c>
      <c r="AK41" s="3" t="s">
        <v>678</v>
      </c>
      <c r="AM41" s="3" t="s">
        <v>679</v>
      </c>
      <c r="AN41" s="3" t="s">
        <v>680</v>
      </c>
      <c r="AO41" s="3" t="s">
        <v>681</v>
      </c>
      <c r="AP41" s="3" t="s">
        <v>682</v>
      </c>
      <c r="AQ41" s="3" t="s">
        <v>683</v>
      </c>
      <c r="AR41" s="3" t="s">
        <v>684</v>
      </c>
    </row>
    <row r="42" spans="1:46" ht="12.5" x14ac:dyDescent="0.25">
      <c r="A42" s="3" t="s">
        <v>46</v>
      </c>
      <c r="B42" s="3" t="s">
        <v>685</v>
      </c>
      <c r="C42" s="3" t="s">
        <v>686</v>
      </c>
      <c r="D42" s="3" t="s">
        <v>687</v>
      </c>
      <c r="E42" s="3" t="s">
        <v>688</v>
      </c>
      <c r="F42" s="3" t="s">
        <v>689</v>
      </c>
      <c r="G42" s="3" t="s">
        <v>690</v>
      </c>
      <c r="H42" s="3" t="s">
        <v>691</v>
      </c>
      <c r="I42" s="3" t="s">
        <v>84</v>
      </c>
      <c r="J42" s="3" t="s">
        <v>692</v>
      </c>
      <c r="K42" s="3" t="s">
        <v>693</v>
      </c>
      <c r="L42" s="3">
        <v>47</v>
      </c>
      <c r="M42" s="3" t="s">
        <v>369</v>
      </c>
      <c r="N42" s="3"/>
      <c r="O42" s="3">
        <v>38410078</v>
      </c>
      <c r="P42" s="3" t="s">
        <v>694</v>
      </c>
      <c r="Q42" s="3" t="s">
        <v>544</v>
      </c>
      <c r="R42" s="3" t="s">
        <v>695</v>
      </c>
      <c r="S42" s="3" t="s">
        <v>696</v>
      </c>
      <c r="T42" s="3">
        <v>4</v>
      </c>
      <c r="U42" s="3" t="s">
        <v>697</v>
      </c>
      <c r="V42" s="3" t="s">
        <v>698</v>
      </c>
      <c r="W42" s="3">
        <v>328</v>
      </c>
      <c r="X42" s="10">
        <v>2000</v>
      </c>
      <c r="Y42" s="6">
        <v>42422</v>
      </c>
      <c r="Z42" s="3" t="s">
        <v>62</v>
      </c>
      <c r="AA42" s="3">
        <v>2</v>
      </c>
      <c r="AB42" s="3">
        <v>38</v>
      </c>
      <c r="AC42" s="3">
        <v>5</v>
      </c>
      <c r="AD42" s="3" t="s">
        <v>699</v>
      </c>
      <c r="AE42" s="3" t="s">
        <v>700</v>
      </c>
      <c r="AF42" s="9">
        <v>70000</v>
      </c>
      <c r="AG42" s="3" t="s">
        <v>120</v>
      </c>
      <c r="AH42" s="3" t="s">
        <v>120</v>
      </c>
      <c r="AI42" s="3" t="s">
        <v>701</v>
      </c>
      <c r="AJ42" s="3" t="s">
        <v>702</v>
      </c>
      <c r="AK42" s="3" t="s">
        <v>703</v>
      </c>
      <c r="AL42" s="3" t="s">
        <v>704</v>
      </c>
      <c r="AM42" s="7" t="s">
        <v>705</v>
      </c>
      <c r="AN42" s="3"/>
      <c r="AO42" s="3" t="s">
        <v>706</v>
      </c>
      <c r="AP42" s="3" t="s">
        <v>707</v>
      </c>
      <c r="AQ42" s="3" t="s">
        <v>708</v>
      </c>
      <c r="AR42" s="3" t="s">
        <v>709</v>
      </c>
    </row>
    <row r="43" spans="1:46" ht="12.5" x14ac:dyDescent="0.25">
      <c r="A43" s="3" t="s">
        <v>46</v>
      </c>
      <c r="B43" s="3" t="s">
        <v>710</v>
      </c>
      <c r="C43" s="3" t="s">
        <v>711</v>
      </c>
      <c r="D43" s="3"/>
      <c r="E43" s="3" t="s">
        <v>712</v>
      </c>
      <c r="F43" s="3"/>
      <c r="G43" s="3"/>
      <c r="H43" s="3"/>
      <c r="I43" s="3" t="s">
        <v>70</v>
      </c>
      <c r="J43" s="3" t="s">
        <v>713</v>
      </c>
      <c r="K43" s="3"/>
      <c r="L43" s="3">
        <v>151</v>
      </c>
      <c r="M43" s="3" t="s">
        <v>714</v>
      </c>
      <c r="N43" s="3"/>
      <c r="O43" s="3">
        <v>25214410</v>
      </c>
      <c r="P43" s="3" t="s">
        <v>715</v>
      </c>
      <c r="Q43" s="3" t="s">
        <v>716</v>
      </c>
      <c r="R43" s="3" t="s">
        <v>146</v>
      </c>
      <c r="S43" s="3" t="s">
        <v>717</v>
      </c>
      <c r="T43" s="3">
        <v>7</v>
      </c>
      <c r="U43" s="3" t="s">
        <v>718</v>
      </c>
      <c r="V43" s="3"/>
      <c r="W43" s="3"/>
      <c r="X43" s="10"/>
      <c r="Y43" s="6">
        <v>36001</v>
      </c>
      <c r="Z43" s="3" t="s">
        <v>62</v>
      </c>
      <c r="AA43" s="3">
        <v>0</v>
      </c>
      <c r="AB43" s="3">
        <v>22</v>
      </c>
      <c r="AC43" s="3"/>
      <c r="AD43" s="3" t="s">
        <v>77</v>
      </c>
      <c r="AE43" s="3" t="s">
        <v>719</v>
      </c>
      <c r="AF43" s="9"/>
      <c r="AG43" s="3" t="s">
        <v>120</v>
      </c>
      <c r="AH43" s="3" t="s">
        <v>120</v>
      </c>
      <c r="AI43" s="3" t="s">
        <v>720</v>
      </c>
      <c r="AJ43" s="3"/>
      <c r="AK43" s="3"/>
      <c r="AL43" s="3"/>
      <c r="AM43" s="3" t="s">
        <v>721</v>
      </c>
      <c r="AO43" s="3"/>
      <c r="AP43" s="3"/>
      <c r="AQ43" s="3"/>
      <c r="AR43" s="3"/>
    </row>
    <row r="44" spans="1:46" ht="12.5" x14ac:dyDescent="0.25">
      <c r="A44" s="3" t="s">
        <v>46</v>
      </c>
      <c r="B44" s="3" t="s">
        <v>722</v>
      </c>
      <c r="C44" s="3" t="s">
        <v>723</v>
      </c>
      <c r="E44" s="3" t="s">
        <v>724</v>
      </c>
      <c r="I44" s="3" t="s">
        <v>51</v>
      </c>
      <c r="J44" s="3" t="s">
        <v>725</v>
      </c>
      <c r="L44" s="3">
        <v>137</v>
      </c>
      <c r="M44" s="3" t="s">
        <v>231</v>
      </c>
      <c r="O44" s="3">
        <v>57017171</v>
      </c>
      <c r="P44" s="3"/>
      <c r="Q44" s="3" t="s">
        <v>199</v>
      </c>
      <c r="R44" s="3" t="s">
        <v>161</v>
      </c>
      <c r="S44" s="3" t="s">
        <v>180</v>
      </c>
      <c r="T44" s="3">
        <v>5</v>
      </c>
      <c r="U44" s="3" t="s">
        <v>726</v>
      </c>
      <c r="V44" s="3" t="s">
        <v>727</v>
      </c>
      <c r="Y44" s="6">
        <v>30944</v>
      </c>
      <c r="Z44" s="3" t="s">
        <v>62</v>
      </c>
      <c r="AA44" s="3">
        <v>0</v>
      </c>
      <c r="AB44" s="3">
        <v>10</v>
      </c>
      <c r="AD44" s="3" t="s">
        <v>77</v>
      </c>
      <c r="AE44" s="3" t="s">
        <v>728</v>
      </c>
      <c r="AG44" s="3" t="s">
        <v>120</v>
      </c>
      <c r="AH44" s="3" t="s">
        <v>62</v>
      </c>
      <c r="AI44" s="3" t="s">
        <v>635</v>
      </c>
      <c r="AM44" s="7" t="s">
        <v>729</v>
      </c>
    </row>
    <row r="45" spans="1:46" ht="12.5" x14ac:dyDescent="0.25">
      <c r="A45" s="3" t="s">
        <v>152</v>
      </c>
      <c r="B45" s="3" t="s">
        <v>730</v>
      </c>
      <c r="C45" s="3" t="s">
        <v>731</v>
      </c>
      <c r="D45" s="3" t="s">
        <v>732</v>
      </c>
      <c r="E45" s="3" t="s">
        <v>733</v>
      </c>
      <c r="G45" s="3" t="s">
        <v>734</v>
      </c>
      <c r="H45" s="3" t="s">
        <v>735</v>
      </c>
      <c r="I45" s="3" t="s">
        <v>70</v>
      </c>
      <c r="J45" s="3" t="s">
        <v>736</v>
      </c>
      <c r="L45" s="3">
        <v>10</v>
      </c>
      <c r="M45" s="3" t="s">
        <v>73</v>
      </c>
      <c r="O45" s="3">
        <v>23065006</v>
      </c>
      <c r="P45" s="3" t="s">
        <v>737</v>
      </c>
      <c r="Q45" s="3" t="s">
        <v>738</v>
      </c>
      <c r="R45" s="3" t="s">
        <v>739</v>
      </c>
      <c r="S45" s="3" t="s">
        <v>180</v>
      </c>
      <c r="T45" s="3">
        <v>4</v>
      </c>
      <c r="U45" s="3" t="s">
        <v>740</v>
      </c>
      <c r="V45" s="3"/>
      <c r="Y45" s="6">
        <v>43961</v>
      </c>
      <c r="Z45" s="3" t="s">
        <v>62</v>
      </c>
      <c r="AA45" s="3">
        <v>1</v>
      </c>
      <c r="AB45" s="3">
        <v>6</v>
      </c>
      <c r="AD45" s="3" t="s">
        <v>77</v>
      </c>
      <c r="AE45" s="3" t="s">
        <v>741</v>
      </c>
      <c r="AG45" s="3" t="s">
        <v>120</v>
      </c>
      <c r="AH45" s="3" t="s">
        <v>62</v>
      </c>
      <c r="AI45" s="3"/>
      <c r="AJ45" s="3" t="s">
        <v>742</v>
      </c>
      <c r="AK45" s="3" t="s">
        <v>743</v>
      </c>
      <c r="AM45" s="3" t="s">
        <v>744</v>
      </c>
    </row>
    <row r="46" spans="1:46" ht="12.5" x14ac:dyDescent="0.25">
      <c r="A46" s="3" t="s">
        <v>46</v>
      </c>
      <c r="B46" s="3" t="s">
        <v>745</v>
      </c>
      <c r="C46" s="3" t="s">
        <v>746</v>
      </c>
      <c r="D46" s="3"/>
      <c r="E46" s="3" t="s">
        <v>747</v>
      </c>
      <c r="G46" s="3"/>
      <c r="H46" s="3"/>
      <c r="I46" s="3" t="s">
        <v>101</v>
      </c>
      <c r="J46" s="3" t="s">
        <v>748</v>
      </c>
      <c r="L46" s="3">
        <v>992</v>
      </c>
      <c r="M46" s="3" t="s">
        <v>749</v>
      </c>
      <c r="O46" s="3" t="s">
        <v>750</v>
      </c>
      <c r="P46" s="3"/>
      <c r="Q46" s="3" t="s">
        <v>199</v>
      </c>
      <c r="R46" s="3" t="s">
        <v>161</v>
      </c>
      <c r="S46" s="3" t="s">
        <v>751</v>
      </c>
      <c r="T46" s="3">
        <v>2</v>
      </c>
      <c r="U46" s="3" t="s">
        <v>752</v>
      </c>
      <c r="V46" s="3"/>
      <c r="Y46" s="6">
        <v>42219</v>
      </c>
      <c r="Z46" s="3"/>
      <c r="AA46" s="3">
        <v>0</v>
      </c>
      <c r="AB46" s="3">
        <v>16</v>
      </c>
      <c r="AD46" s="3" t="s">
        <v>77</v>
      </c>
      <c r="AE46" s="3" t="s">
        <v>753</v>
      </c>
      <c r="AG46" s="3"/>
      <c r="AH46" s="3" t="s">
        <v>120</v>
      </c>
      <c r="AI46" s="3" t="s">
        <v>754</v>
      </c>
      <c r="AJ46" s="3"/>
      <c r="AK46" s="3"/>
      <c r="AM46" s="3" t="s">
        <v>755</v>
      </c>
    </row>
    <row r="47" spans="1:46" ht="12.5" x14ac:dyDescent="0.25">
      <c r="A47" s="3" t="s">
        <v>46</v>
      </c>
      <c r="B47" s="3" t="s">
        <v>756</v>
      </c>
      <c r="C47" s="3" t="s">
        <v>757</v>
      </c>
      <c r="D47" s="3"/>
      <c r="E47" s="3" t="s">
        <v>758</v>
      </c>
      <c r="I47" s="3" t="s">
        <v>70</v>
      </c>
      <c r="J47" s="3" t="s">
        <v>759</v>
      </c>
      <c r="L47" s="3"/>
      <c r="M47" s="3" t="s">
        <v>760</v>
      </c>
      <c r="O47" s="3" t="s">
        <v>761</v>
      </c>
      <c r="P47" s="3"/>
      <c r="Q47" s="3" t="s">
        <v>762</v>
      </c>
      <c r="R47" s="3" t="s">
        <v>77</v>
      </c>
      <c r="S47" s="3"/>
      <c r="T47" s="3">
        <v>1</v>
      </c>
      <c r="U47" s="3" t="s">
        <v>763</v>
      </c>
      <c r="V47" s="3"/>
      <c r="Y47" s="6">
        <v>37834</v>
      </c>
      <c r="Z47" s="3"/>
      <c r="AA47" s="3"/>
      <c r="AB47" s="3"/>
      <c r="AD47" s="3" t="s">
        <v>77</v>
      </c>
      <c r="AE47" s="3"/>
      <c r="AG47" s="3"/>
      <c r="AH47" s="3"/>
      <c r="AI47" s="3"/>
      <c r="AM47" s="3"/>
    </row>
    <row r="48" spans="1:46" ht="12.5" x14ac:dyDescent="0.25">
      <c r="A48" s="3" t="s">
        <v>46</v>
      </c>
      <c r="B48" s="3" t="s">
        <v>764</v>
      </c>
      <c r="C48" s="3" t="s">
        <v>765</v>
      </c>
      <c r="D48" s="3" t="s">
        <v>766</v>
      </c>
      <c r="E48" s="3" t="s">
        <v>767</v>
      </c>
      <c r="I48" s="3" t="s">
        <v>101</v>
      </c>
      <c r="J48" s="3" t="s">
        <v>768</v>
      </c>
      <c r="L48" s="3">
        <v>484</v>
      </c>
      <c r="M48" s="3" t="s">
        <v>128</v>
      </c>
      <c r="O48" s="3" t="s">
        <v>769</v>
      </c>
      <c r="P48" s="3" t="s">
        <v>770</v>
      </c>
      <c r="Q48" s="3" t="s">
        <v>395</v>
      </c>
      <c r="R48" s="3" t="s">
        <v>146</v>
      </c>
      <c r="S48" s="3"/>
      <c r="T48" s="3">
        <v>4</v>
      </c>
      <c r="U48" s="3" t="s">
        <v>771</v>
      </c>
      <c r="V48" s="3" t="s">
        <v>772</v>
      </c>
      <c r="Y48" s="6">
        <v>40119</v>
      </c>
      <c r="Z48" s="3" t="s">
        <v>62</v>
      </c>
      <c r="AA48" s="3">
        <v>0</v>
      </c>
      <c r="AB48" s="3">
        <v>170</v>
      </c>
      <c r="AD48" s="3" t="s">
        <v>77</v>
      </c>
      <c r="AE48" s="3" t="s">
        <v>773</v>
      </c>
      <c r="AG48" s="3" t="s">
        <v>62</v>
      </c>
      <c r="AH48" s="3" t="s">
        <v>62</v>
      </c>
      <c r="AI48" s="3" t="s">
        <v>774</v>
      </c>
      <c r="AM48" s="3" t="s">
        <v>775</v>
      </c>
    </row>
    <row r="49" spans="1:39" ht="12.5" x14ac:dyDescent="0.25">
      <c r="A49" s="3" t="s">
        <v>46</v>
      </c>
      <c r="B49" s="3" t="s">
        <v>776</v>
      </c>
      <c r="C49" s="3" t="s">
        <v>777</v>
      </c>
      <c r="E49" s="3">
        <v>31036828000123</v>
      </c>
      <c r="I49" s="3" t="s">
        <v>295</v>
      </c>
      <c r="J49" s="3" t="s">
        <v>778</v>
      </c>
      <c r="L49" s="3" t="s">
        <v>779</v>
      </c>
      <c r="M49" s="3" t="s">
        <v>780</v>
      </c>
      <c r="O49" s="3" t="s">
        <v>781</v>
      </c>
      <c r="P49" s="3" t="s">
        <v>782</v>
      </c>
      <c r="Q49" s="3" t="s">
        <v>783</v>
      </c>
      <c r="R49" s="3" t="s">
        <v>75</v>
      </c>
      <c r="T49" s="3">
        <v>1</v>
      </c>
      <c r="U49" s="3" t="s">
        <v>784</v>
      </c>
      <c r="V49" s="3"/>
      <c r="Y49" s="6">
        <v>42987</v>
      </c>
      <c r="Z49" s="3" t="s">
        <v>62</v>
      </c>
      <c r="AA49" s="3">
        <v>4</v>
      </c>
      <c r="AB49" s="3">
        <v>3</v>
      </c>
      <c r="AD49" s="3" t="s">
        <v>77</v>
      </c>
      <c r="AE49" s="3" t="s">
        <v>785</v>
      </c>
      <c r="AG49" s="3" t="s">
        <v>120</v>
      </c>
      <c r="AH49" s="3" t="s">
        <v>120</v>
      </c>
      <c r="AI49" s="3"/>
      <c r="AM49" s="3"/>
    </row>
    <row r="50" spans="1:39" ht="12.5" x14ac:dyDescent="0.25">
      <c r="A50" s="3" t="s">
        <v>46</v>
      </c>
      <c r="B50" s="3" t="s">
        <v>786</v>
      </c>
      <c r="C50" s="3" t="s">
        <v>787</v>
      </c>
      <c r="E50" s="3" t="s">
        <v>747</v>
      </c>
      <c r="I50" s="3" t="s">
        <v>295</v>
      </c>
      <c r="J50" s="3" t="s">
        <v>788</v>
      </c>
      <c r="L50" s="3">
        <v>0</v>
      </c>
      <c r="M50" s="3" t="s">
        <v>789</v>
      </c>
      <c r="O50" s="3">
        <v>29032567</v>
      </c>
      <c r="P50" s="3" t="s">
        <v>790</v>
      </c>
      <c r="Q50" s="3" t="s">
        <v>791</v>
      </c>
      <c r="R50" s="3" t="s">
        <v>161</v>
      </c>
      <c r="S50" s="3" t="s">
        <v>792</v>
      </c>
      <c r="T50" s="3">
        <v>24</v>
      </c>
      <c r="U50" s="3" t="s">
        <v>793</v>
      </c>
      <c r="Y50" s="6">
        <v>43893</v>
      </c>
      <c r="Z50" s="3" t="s">
        <v>120</v>
      </c>
      <c r="AA50" s="3">
        <v>0</v>
      </c>
      <c r="AB50" s="3">
        <v>8</v>
      </c>
      <c r="AD50" s="3" t="s">
        <v>77</v>
      </c>
      <c r="AE50" s="3" t="s">
        <v>794</v>
      </c>
      <c r="AG50" s="3" t="s">
        <v>120</v>
      </c>
      <c r="AH50" s="3" t="s">
        <v>62</v>
      </c>
      <c r="AI50" s="3" t="s">
        <v>635</v>
      </c>
      <c r="AM50" s="3" t="s">
        <v>795</v>
      </c>
    </row>
    <row r="51" spans="1:39" ht="12.5" x14ac:dyDescent="0.25">
      <c r="A51" s="3" t="s">
        <v>152</v>
      </c>
      <c r="B51" s="3" t="s">
        <v>796</v>
      </c>
      <c r="C51" s="3" t="s">
        <v>797</v>
      </c>
      <c r="D51" s="3" t="s">
        <v>798</v>
      </c>
      <c r="E51" s="3" t="s">
        <v>799</v>
      </c>
      <c r="G51" s="3" t="s">
        <v>800</v>
      </c>
      <c r="H51" s="3" t="s">
        <v>801</v>
      </c>
      <c r="I51" s="3" t="s">
        <v>70</v>
      </c>
      <c r="J51" s="3" t="s">
        <v>802</v>
      </c>
      <c r="L51" s="3">
        <v>669</v>
      </c>
      <c r="M51" s="3" t="s">
        <v>73</v>
      </c>
      <c r="O51" s="3">
        <v>21060630</v>
      </c>
      <c r="P51" s="3" t="s">
        <v>803</v>
      </c>
      <c r="Q51" s="3" t="s">
        <v>357</v>
      </c>
      <c r="R51" s="3" t="s">
        <v>116</v>
      </c>
      <c r="S51" s="3" t="s">
        <v>804</v>
      </c>
      <c r="T51" s="3">
        <v>2</v>
      </c>
      <c r="U51" s="3" t="s">
        <v>805</v>
      </c>
      <c r="V51" s="3" t="s">
        <v>806</v>
      </c>
      <c r="Y51" s="6">
        <v>43839</v>
      </c>
      <c r="Z51" s="3" t="s">
        <v>807</v>
      </c>
      <c r="AA51" s="3">
        <v>0</v>
      </c>
      <c r="AB51" s="3">
        <v>8</v>
      </c>
      <c r="AD51" s="3" t="s">
        <v>77</v>
      </c>
      <c r="AE51" s="3" t="s">
        <v>808</v>
      </c>
      <c r="AG51" s="3" t="s">
        <v>120</v>
      </c>
      <c r="AH51" s="3" t="s">
        <v>62</v>
      </c>
      <c r="AI51" s="3" t="s">
        <v>809</v>
      </c>
      <c r="AJ51" s="3" t="s">
        <v>810</v>
      </c>
      <c r="AK51" s="3" t="s">
        <v>811</v>
      </c>
      <c r="AM51" s="7" t="s">
        <v>812</v>
      </c>
    </row>
    <row r="52" spans="1:39" ht="12.5" x14ac:dyDescent="0.25">
      <c r="A52" s="3" t="s">
        <v>152</v>
      </c>
      <c r="B52" s="3" t="s">
        <v>813</v>
      </c>
      <c r="C52" s="3" t="s">
        <v>814</v>
      </c>
      <c r="D52" s="3" t="s">
        <v>815</v>
      </c>
      <c r="E52" s="3" t="s">
        <v>816</v>
      </c>
      <c r="G52" s="3" t="s">
        <v>817</v>
      </c>
      <c r="H52" s="3" t="s">
        <v>818</v>
      </c>
      <c r="I52" s="3" t="s">
        <v>70</v>
      </c>
      <c r="J52" s="3" t="s">
        <v>819</v>
      </c>
      <c r="L52" s="3">
        <v>25</v>
      </c>
      <c r="M52" s="3" t="s">
        <v>73</v>
      </c>
      <c r="O52" s="3">
        <v>20561092</v>
      </c>
      <c r="P52" s="3"/>
      <c r="Q52" s="3" t="s">
        <v>820</v>
      </c>
      <c r="R52" s="3" t="s">
        <v>57</v>
      </c>
      <c r="S52" s="3" t="s">
        <v>821</v>
      </c>
      <c r="T52" s="3">
        <v>1</v>
      </c>
      <c r="U52" s="3" t="s">
        <v>822</v>
      </c>
      <c r="V52" s="3" t="s">
        <v>823</v>
      </c>
      <c r="Y52" s="6">
        <v>41824</v>
      </c>
      <c r="Z52" s="3" t="s">
        <v>62</v>
      </c>
      <c r="AA52" s="3">
        <v>4</v>
      </c>
      <c r="AB52" s="3">
        <v>30</v>
      </c>
      <c r="AD52" s="3" t="s">
        <v>77</v>
      </c>
      <c r="AE52" s="3" t="s">
        <v>592</v>
      </c>
      <c r="AG52" s="3" t="s">
        <v>120</v>
      </c>
      <c r="AH52" s="3" t="s">
        <v>120</v>
      </c>
      <c r="AI52" s="3" t="s">
        <v>824</v>
      </c>
      <c r="AJ52" s="3" t="s">
        <v>825</v>
      </c>
      <c r="AK52" s="3" t="s">
        <v>826</v>
      </c>
      <c r="AL52" s="3" t="s">
        <v>827</v>
      </c>
      <c r="AM52" s="3" t="s">
        <v>828</v>
      </c>
    </row>
    <row r="53" spans="1:39" ht="12.5" x14ac:dyDescent="0.25">
      <c r="A53" s="3" t="s">
        <v>152</v>
      </c>
      <c r="B53" s="3" t="s">
        <v>829</v>
      </c>
      <c r="C53" s="3" t="s">
        <v>830</v>
      </c>
      <c r="D53" s="3" t="s">
        <v>831</v>
      </c>
      <c r="E53" s="3" t="s">
        <v>832</v>
      </c>
      <c r="G53" s="3" t="s">
        <v>833</v>
      </c>
      <c r="H53" s="3" t="s">
        <v>834</v>
      </c>
      <c r="I53" s="3" t="s">
        <v>101</v>
      </c>
      <c r="J53" s="3" t="s">
        <v>835</v>
      </c>
      <c r="L53" s="3">
        <v>568</v>
      </c>
      <c r="M53" s="3" t="s">
        <v>128</v>
      </c>
      <c r="O53" s="3"/>
      <c r="Q53" s="3" t="s">
        <v>357</v>
      </c>
      <c r="R53" s="3" t="s">
        <v>57</v>
      </c>
      <c r="S53" s="3" t="s">
        <v>371</v>
      </c>
      <c r="T53" s="3">
        <v>6</v>
      </c>
      <c r="U53" s="3" t="s">
        <v>836</v>
      </c>
      <c r="V53" s="3"/>
      <c r="Y53" s="6">
        <v>43812</v>
      </c>
      <c r="Z53" s="3" t="s">
        <v>62</v>
      </c>
      <c r="AA53" s="3">
        <v>2</v>
      </c>
      <c r="AB53" s="3">
        <v>20</v>
      </c>
      <c r="AD53" s="3" t="s">
        <v>77</v>
      </c>
      <c r="AE53" s="5">
        <v>1</v>
      </c>
      <c r="AG53" s="3" t="s">
        <v>62</v>
      </c>
      <c r="AH53" s="3" t="s">
        <v>120</v>
      </c>
      <c r="AI53" s="3" t="s">
        <v>837</v>
      </c>
      <c r="AJ53" s="3" t="s">
        <v>838</v>
      </c>
      <c r="AK53" s="3" t="s">
        <v>839</v>
      </c>
      <c r="AL53" s="3" t="s">
        <v>840</v>
      </c>
      <c r="AM53" s="3" t="s">
        <v>841</v>
      </c>
    </row>
    <row r="54" spans="1:39" ht="12.5" x14ac:dyDescent="0.25">
      <c r="A54" s="3" t="s">
        <v>152</v>
      </c>
      <c r="B54" s="3" t="s">
        <v>842</v>
      </c>
      <c r="C54" s="3" t="s">
        <v>843</v>
      </c>
      <c r="D54" s="3" t="s">
        <v>844</v>
      </c>
      <c r="E54" s="3" t="s">
        <v>845</v>
      </c>
      <c r="G54" s="3" t="s">
        <v>846</v>
      </c>
      <c r="H54" s="3" t="s">
        <v>229</v>
      </c>
      <c r="I54" s="3" t="s">
        <v>101</v>
      </c>
      <c r="J54" s="3" t="s">
        <v>847</v>
      </c>
      <c r="L54" s="3">
        <v>100</v>
      </c>
      <c r="M54" s="3" t="s">
        <v>128</v>
      </c>
      <c r="O54" s="3">
        <v>4161090</v>
      </c>
      <c r="P54" s="3" t="s">
        <v>848</v>
      </c>
      <c r="Q54" s="3" t="s">
        <v>783</v>
      </c>
      <c r="R54" s="3" t="s">
        <v>161</v>
      </c>
      <c r="S54" s="3" t="s">
        <v>180</v>
      </c>
      <c r="T54" s="3">
        <v>4</v>
      </c>
      <c r="U54" s="3" t="s">
        <v>849</v>
      </c>
      <c r="V54" s="3" t="s">
        <v>850</v>
      </c>
      <c r="Y54" s="8">
        <v>37236</v>
      </c>
      <c r="Z54" s="3" t="s">
        <v>62</v>
      </c>
      <c r="AA54" s="3">
        <v>0</v>
      </c>
      <c r="AB54" s="3">
        <v>8</v>
      </c>
      <c r="AD54" s="3" t="s">
        <v>77</v>
      </c>
      <c r="AE54" s="3" t="s">
        <v>851</v>
      </c>
      <c r="AG54" s="3" t="s">
        <v>62</v>
      </c>
      <c r="AH54" s="3" t="s">
        <v>62</v>
      </c>
      <c r="AI54" s="3" t="s">
        <v>852</v>
      </c>
      <c r="AJ54" s="3" t="s">
        <v>853</v>
      </c>
      <c r="AK54" s="3" t="s">
        <v>854</v>
      </c>
      <c r="AL54" s="3"/>
      <c r="AM54" s="3"/>
    </row>
    <row r="55" spans="1:39" ht="12.5" x14ac:dyDescent="0.25">
      <c r="A55" s="3" t="s">
        <v>152</v>
      </c>
      <c r="B55" s="3" t="s">
        <v>855</v>
      </c>
      <c r="C55" s="3" t="s">
        <v>856</v>
      </c>
      <c r="D55" s="3" t="s">
        <v>857</v>
      </c>
      <c r="E55" s="3" t="s">
        <v>858</v>
      </c>
      <c r="G55" s="3" t="s">
        <v>859</v>
      </c>
      <c r="H55" s="3" t="s">
        <v>860</v>
      </c>
      <c r="I55" s="3" t="s">
        <v>84</v>
      </c>
      <c r="J55" s="3" t="s">
        <v>861</v>
      </c>
      <c r="L55" s="3">
        <v>580</v>
      </c>
      <c r="M55" s="3" t="s">
        <v>266</v>
      </c>
      <c r="O55" s="3"/>
      <c r="P55" s="3" t="s">
        <v>862</v>
      </c>
      <c r="Q55" s="3" t="s">
        <v>56</v>
      </c>
      <c r="R55" s="3" t="s">
        <v>75</v>
      </c>
      <c r="S55" s="3" t="s">
        <v>180</v>
      </c>
      <c r="T55" s="3">
        <v>2</v>
      </c>
      <c r="U55" s="3">
        <v>1</v>
      </c>
      <c r="V55" s="3" t="s">
        <v>863</v>
      </c>
      <c r="Y55" s="8">
        <v>42542</v>
      </c>
      <c r="Z55" s="3" t="s">
        <v>62</v>
      </c>
      <c r="AA55" s="3">
        <v>0</v>
      </c>
      <c r="AB55" s="3">
        <v>42</v>
      </c>
      <c r="AD55" s="3" t="s">
        <v>77</v>
      </c>
      <c r="AE55" s="3">
        <v>4</v>
      </c>
      <c r="AG55" s="3" t="s">
        <v>120</v>
      </c>
      <c r="AH55" s="3" t="s">
        <v>62</v>
      </c>
      <c r="AI55" s="3" t="s">
        <v>864</v>
      </c>
      <c r="AJ55" s="3"/>
      <c r="AK55" s="3"/>
      <c r="AL55" s="3" t="s">
        <v>865</v>
      </c>
      <c r="AM55" s="3" t="s">
        <v>866</v>
      </c>
    </row>
    <row r="56" spans="1:39" ht="12.5" x14ac:dyDescent="0.25">
      <c r="A56" s="3" t="s">
        <v>152</v>
      </c>
      <c r="B56" s="3" t="s">
        <v>867</v>
      </c>
      <c r="C56" s="3" t="s">
        <v>868</v>
      </c>
      <c r="D56" s="3" t="s">
        <v>869</v>
      </c>
      <c r="E56" s="3" t="s">
        <v>870</v>
      </c>
      <c r="G56" s="3" t="s">
        <v>871</v>
      </c>
      <c r="H56" s="3" t="s">
        <v>872</v>
      </c>
      <c r="I56" s="3" t="s">
        <v>101</v>
      </c>
      <c r="J56" s="3" t="s">
        <v>873</v>
      </c>
      <c r="L56" s="3">
        <v>599</v>
      </c>
      <c r="M56" s="3" t="s">
        <v>874</v>
      </c>
      <c r="P56" s="3"/>
      <c r="Q56" s="3" t="s">
        <v>250</v>
      </c>
      <c r="R56" s="3" t="s">
        <v>146</v>
      </c>
      <c r="S56" s="3" t="s">
        <v>875</v>
      </c>
      <c r="T56" s="3">
        <v>6</v>
      </c>
      <c r="U56" s="3" t="s">
        <v>876</v>
      </c>
      <c r="V56" s="3" t="s">
        <v>877</v>
      </c>
      <c r="Y56" s="6">
        <v>42835</v>
      </c>
      <c r="Z56" s="3" t="s">
        <v>62</v>
      </c>
      <c r="AA56" s="3">
        <v>14</v>
      </c>
      <c r="AB56" s="3">
        <v>107</v>
      </c>
      <c r="AD56" s="3" t="s">
        <v>77</v>
      </c>
      <c r="AE56" s="3" t="s">
        <v>878</v>
      </c>
      <c r="AG56" s="3" t="s">
        <v>62</v>
      </c>
      <c r="AH56" s="3" t="s">
        <v>62</v>
      </c>
      <c r="AI56" s="3" t="s">
        <v>879</v>
      </c>
      <c r="AJ56" s="3" t="s">
        <v>880</v>
      </c>
      <c r="AK56" s="3" t="s">
        <v>881</v>
      </c>
      <c r="AL56" s="3" t="s">
        <v>882</v>
      </c>
      <c r="AM56" s="3" t="s">
        <v>883</v>
      </c>
    </row>
    <row r="57" spans="1:39" ht="12.5" x14ac:dyDescent="0.25">
      <c r="A57" s="3" t="s">
        <v>152</v>
      </c>
      <c r="B57" s="3" t="s">
        <v>884</v>
      </c>
      <c r="C57" s="3" t="s">
        <v>885</v>
      </c>
      <c r="D57" s="3" t="s">
        <v>886</v>
      </c>
      <c r="E57" s="3" t="s">
        <v>887</v>
      </c>
      <c r="G57" s="3" t="s">
        <v>888</v>
      </c>
      <c r="H57" s="3" t="s">
        <v>889</v>
      </c>
      <c r="I57" s="3" t="s">
        <v>101</v>
      </c>
      <c r="J57" s="3" t="s">
        <v>890</v>
      </c>
      <c r="L57" s="3">
        <v>22</v>
      </c>
      <c r="M57" s="3" t="s">
        <v>891</v>
      </c>
      <c r="O57" s="3">
        <v>7230340</v>
      </c>
      <c r="P57" s="3" t="s">
        <v>892</v>
      </c>
      <c r="Q57" s="3" t="s">
        <v>199</v>
      </c>
      <c r="R57" s="3" t="s">
        <v>893</v>
      </c>
      <c r="S57" s="3" t="s">
        <v>180</v>
      </c>
      <c r="T57" s="3">
        <v>4</v>
      </c>
      <c r="U57" s="3" t="s">
        <v>894</v>
      </c>
      <c r="V57" s="3"/>
      <c r="Y57" s="6">
        <v>43874</v>
      </c>
      <c r="Z57" s="3" t="s">
        <v>62</v>
      </c>
      <c r="AA57" s="3">
        <v>0</v>
      </c>
      <c r="AB57" s="3">
        <v>7</v>
      </c>
      <c r="AD57" s="3" t="s">
        <v>77</v>
      </c>
      <c r="AE57" s="3" t="s">
        <v>895</v>
      </c>
      <c r="AG57" s="3" t="s">
        <v>120</v>
      </c>
      <c r="AH57" s="3" t="s">
        <v>62</v>
      </c>
      <c r="AI57" s="3" t="s">
        <v>896</v>
      </c>
      <c r="AJ57" s="3" t="s">
        <v>897</v>
      </c>
      <c r="AK57" s="3" t="s">
        <v>898</v>
      </c>
      <c r="AL57" s="3" t="s">
        <v>899</v>
      </c>
      <c r="AM57" s="7" t="s">
        <v>900</v>
      </c>
    </row>
    <row r="58" spans="1:39" ht="12.5" x14ac:dyDescent="0.25">
      <c r="A58" s="3" t="s">
        <v>152</v>
      </c>
      <c r="B58" s="3" t="s">
        <v>901</v>
      </c>
      <c r="C58" s="3" t="s">
        <v>902</v>
      </c>
      <c r="D58" s="3" t="s">
        <v>903</v>
      </c>
      <c r="E58" s="3" t="s">
        <v>904</v>
      </c>
      <c r="G58" s="3" t="s">
        <v>905</v>
      </c>
      <c r="H58" s="3" t="s">
        <v>906</v>
      </c>
      <c r="I58" s="3" t="s">
        <v>468</v>
      </c>
      <c r="J58" s="3" t="s">
        <v>907</v>
      </c>
      <c r="L58" s="3">
        <v>2265</v>
      </c>
      <c r="M58" s="3" t="s">
        <v>470</v>
      </c>
      <c r="O58" s="3">
        <v>60345662</v>
      </c>
      <c r="P58" s="3" t="s">
        <v>908</v>
      </c>
      <c r="Q58" s="3" t="s">
        <v>115</v>
      </c>
      <c r="R58" s="3" t="s">
        <v>146</v>
      </c>
      <c r="S58" s="3" t="s">
        <v>909</v>
      </c>
      <c r="T58" s="3">
        <v>3</v>
      </c>
      <c r="U58" s="3" t="s">
        <v>910</v>
      </c>
      <c r="Y58" s="6">
        <v>44148</v>
      </c>
      <c r="Z58" s="3" t="s">
        <v>62</v>
      </c>
      <c r="AA58" s="3">
        <v>0</v>
      </c>
      <c r="AB58" s="3">
        <v>27</v>
      </c>
      <c r="AD58" s="3" t="s">
        <v>77</v>
      </c>
      <c r="AE58" s="3" t="s">
        <v>911</v>
      </c>
      <c r="AG58" s="3" t="s">
        <v>120</v>
      </c>
      <c r="AH58" s="3" t="s">
        <v>62</v>
      </c>
      <c r="AI58" s="3" t="s">
        <v>912</v>
      </c>
      <c r="AJ58" s="3" t="s">
        <v>913</v>
      </c>
      <c r="AK58" s="3" t="s">
        <v>914</v>
      </c>
      <c r="AL58" s="3" t="s">
        <v>915</v>
      </c>
      <c r="AM58" s="7" t="s">
        <v>916</v>
      </c>
    </row>
    <row r="59" spans="1:39" ht="12.5" x14ac:dyDescent="0.25">
      <c r="A59" s="3" t="s">
        <v>152</v>
      </c>
      <c r="B59" s="3" t="s">
        <v>917</v>
      </c>
      <c r="C59" s="3" t="s">
        <v>918</v>
      </c>
      <c r="D59" s="3" t="s">
        <v>919</v>
      </c>
      <c r="E59" s="3" t="s">
        <v>920</v>
      </c>
      <c r="G59" s="3" t="s">
        <v>921</v>
      </c>
      <c r="H59" s="3" t="s">
        <v>922</v>
      </c>
      <c r="I59" s="3" t="s">
        <v>70</v>
      </c>
      <c r="J59" s="3" t="s">
        <v>923</v>
      </c>
      <c r="L59" s="3">
        <v>88</v>
      </c>
      <c r="M59" s="3" t="s">
        <v>73</v>
      </c>
      <c r="O59" s="3">
        <v>20220380</v>
      </c>
      <c r="P59" s="3" t="s">
        <v>924</v>
      </c>
      <c r="Q59" s="3" t="s">
        <v>925</v>
      </c>
      <c r="R59" s="3" t="s">
        <v>926</v>
      </c>
      <c r="S59" s="3" t="s">
        <v>180</v>
      </c>
      <c r="T59" s="3">
        <v>3</v>
      </c>
      <c r="U59" s="3" t="s">
        <v>927</v>
      </c>
      <c r="Y59" s="8">
        <v>40554</v>
      </c>
      <c r="Z59" s="3" t="s">
        <v>62</v>
      </c>
      <c r="AA59" s="3">
        <v>0</v>
      </c>
      <c r="AB59" s="3">
        <v>10</v>
      </c>
      <c r="AD59" s="3" t="s">
        <v>77</v>
      </c>
      <c r="AE59" s="3" t="s">
        <v>928</v>
      </c>
      <c r="AG59" s="3" t="s">
        <v>120</v>
      </c>
      <c r="AH59" s="3" t="s">
        <v>62</v>
      </c>
      <c r="AI59" s="3" t="s">
        <v>929</v>
      </c>
      <c r="AJ59" s="3" t="s">
        <v>930</v>
      </c>
      <c r="AK59" s="3" t="s">
        <v>931</v>
      </c>
      <c r="AL59" s="3" t="s">
        <v>932</v>
      </c>
      <c r="AM59" s="3" t="s">
        <v>933</v>
      </c>
    </row>
    <row r="60" spans="1:39" ht="12.5" x14ac:dyDescent="0.25">
      <c r="A60" s="3" t="s">
        <v>152</v>
      </c>
      <c r="B60" s="3" t="s">
        <v>934</v>
      </c>
      <c r="C60" s="3" t="s">
        <v>935</v>
      </c>
      <c r="D60" s="3" t="s">
        <v>936</v>
      </c>
      <c r="E60" s="3" t="s">
        <v>937</v>
      </c>
      <c r="G60" s="3" t="s">
        <v>938</v>
      </c>
      <c r="H60" s="3" t="s">
        <v>939</v>
      </c>
      <c r="I60" s="3" t="s">
        <v>195</v>
      </c>
      <c r="J60" s="3" t="s">
        <v>940</v>
      </c>
      <c r="L60" s="3">
        <v>104</v>
      </c>
      <c r="M60" s="3" t="s">
        <v>941</v>
      </c>
      <c r="O60" s="3">
        <v>59250000</v>
      </c>
      <c r="P60" s="3" t="s">
        <v>942</v>
      </c>
      <c r="Q60" s="3" t="s">
        <v>115</v>
      </c>
      <c r="R60" s="3" t="s">
        <v>216</v>
      </c>
      <c r="S60" s="3" t="s">
        <v>943</v>
      </c>
      <c r="T60" s="3">
        <v>4</v>
      </c>
      <c r="U60" s="3" t="s">
        <v>944</v>
      </c>
      <c r="V60" s="3" t="s">
        <v>945</v>
      </c>
      <c r="Y60" s="6">
        <v>44089</v>
      </c>
      <c r="Z60" s="3" t="s">
        <v>62</v>
      </c>
      <c r="AA60" s="3">
        <v>0</v>
      </c>
      <c r="AB60" s="3">
        <v>15</v>
      </c>
      <c r="AD60" s="3" t="s">
        <v>77</v>
      </c>
      <c r="AE60" s="5">
        <v>0</v>
      </c>
      <c r="AG60" s="3" t="s">
        <v>120</v>
      </c>
      <c r="AH60" s="3" t="s">
        <v>946</v>
      </c>
      <c r="AI60" s="3" t="s">
        <v>947</v>
      </c>
      <c r="AJ60" s="3" t="s">
        <v>948</v>
      </c>
      <c r="AK60" s="3" t="s">
        <v>949</v>
      </c>
      <c r="AL60" s="3" t="s">
        <v>950</v>
      </c>
      <c r="AM60" s="3" t="s">
        <v>951</v>
      </c>
    </row>
    <row r="61" spans="1:39" ht="12.5" x14ac:dyDescent="0.25">
      <c r="A61" s="3" t="s">
        <v>152</v>
      </c>
      <c r="B61" s="3" t="s">
        <v>952</v>
      </c>
      <c r="C61" s="3" t="s">
        <v>953</v>
      </c>
      <c r="D61" s="3" t="s">
        <v>954</v>
      </c>
      <c r="E61" s="3" t="s">
        <v>955</v>
      </c>
      <c r="G61" s="3" t="s">
        <v>956</v>
      </c>
      <c r="H61" s="3" t="s">
        <v>957</v>
      </c>
      <c r="I61" s="3" t="s">
        <v>101</v>
      </c>
      <c r="J61" s="3" t="s">
        <v>958</v>
      </c>
      <c r="L61" s="3">
        <v>130</v>
      </c>
      <c r="M61" s="3" t="s">
        <v>443</v>
      </c>
      <c r="O61" s="3" t="s">
        <v>959</v>
      </c>
      <c r="P61" s="3" t="s">
        <v>960</v>
      </c>
      <c r="Q61" s="3" t="s">
        <v>544</v>
      </c>
      <c r="R61" s="3" t="s">
        <v>961</v>
      </c>
      <c r="S61" s="3" t="s">
        <v>962</v>
      </c>
      <c r="T61" s="3">
        <v>0</v>
      </c>
      <c r="U61" s="3" t="s">
        <v>960</v>
      </c>
      <c r="V61" s="3" t="s">
        <v>963</v>
      </c>
      <c r="Y61" s="6">
        <v>43903</v>
      </c>
      <c r="Z61" s="3" t="s">
        <v>62</v>
      </c>
      <c r="AA61" s="3">
        <v>0</v>
      </c>
      <c r="AB61" s="3">
        <v>0</v>
      </c>
      <c r="AD61" s="3" t="s">
        <v>77</v>
      </c>
      <c r="AE61" s="3" t="s">
        <v>964</v>
      </c>
      <c r="AG61" s="3" t="s">
        <v>120</v>
      </c>
      <c r="AH61" s="3" t="s">
        <v>120</v>
      </c>
      <c r="AI61" s="3" t="s">
        <v>965</v>
      </c>
      <c r="AJ61" s="3" t="s">
        <v>966</v>
      </c>
      <c r="AK61" s="3" t="s">
        <v>967</v>
      </c>
      <c r="AL61" s="3" t="s">
        <v>968</v>
      </c>
      <c r="AM61" s="7" t="s">
        <v>969</v>
      </c>
    </row>
    <row r="62" spans="1:39" ht="12.5" x14ac:dyDescent="0.25">
      <c r="A62" s="3" t="s">
        <v>46</v>
      </c>
      <c r="B62" s="3" t="s">
        <v>970</v>
      </c>
      <c r="C62" s="3" t="s">
        <v>971</v>
      </c>
      <c r="D62" s="3"/>
      <c r="E62" s="3" t="s">
        <v>972</v>
      </c>
      <c r="G62" s="3"/>
      <c r="H62" s="3"/>
      <c r="I62" s="3" t="s">
        <v>407</v>
      </c>
      <c r="J62" s="3" t="s">
        <v>973</v>
      </c>
      <c r="L62" s="3">
        <v>545</v>
      </c>
      <c r="M62" s="3" t="s">
        <v>409</v>
      </c>
      <c r="O62" s="3" t="s">
        <v>974</v>
      </c>
      <c r="P62" s="3"/>
      <c r="Q62" s="3" t="s">
        <v>975</v>
      </c>
      <c r="R62" s="3" t="s">
        <v>57</v>
      </c>
      <c r="S62" s="3" t="s">
        <v>976</v>
      </c>
      <c r="T62" s="3">
        <v>3</v>
      </c>
      <c r="U62" s="3" t="s">
        <v>977</v>
      </c>
      <c r="V62" s="3" t="s">
        <v>978</v>
      </c>
      <c r="Y62" s="6">
        <v>40142</v>
      </c>
      <c r="Z62" s="3" t="s">
        <v>62</v>
      </c>
      <c r="AA62" s="3">
        <v>0</v>
      </c>
      <c r="AB62" s="3">
        <v>6</v>
      </c>
      <c r="AD62" s="3" t="s">
        <v>77</v>
      </c>
      <c r="AE62" s="3" t="s">
        <v>979</v>
      </c>
      <c r="AG62" s="3" t="s">
        <v>62</v>
      </c>
      <c r="AH62" s="3" t="s">
        <v>120</v>
      </c>
      <c r="AI62" s="3" t="s">
        <v>980</v>
      </c>
      <c r="AJ62" s="3"/>
      <c r="AK62" s="3"/>
      <c r="AL62" s="3"/>
      <c r="AM62" s="3" t="s">
        <v>981</v>
      </c>
    </row>
    <row r="63" spans="1:39" ht="12.5" x14ac:dyDescent="0.25">
      <c r="A63" s="3" t="s">
        <v>46</v>
      </c>
      <c r="B63" s="3" t="s">
        <v>982</v>
      </c>
      <c r="C63" s="3" t="s">
        <v>983</v>
      </c>
      <c r="E63" s="3" t="s">
        <v>984</v>
      </c>
      <c r="I63" s="3" t="s">
        <v>101</v>
      </c>
      <c r="J63" s="3" t="s">
        <v>985</v>
      </c>
      <c r="L63" s="3">
        <v>96</v>
      </c>
      <c r="M63" s="3" t="s">
        <v>128</v>
      </c>
      <c r="O63" s="3">
        <v>5068010</v>
      </c>
      <c r="P63" s="3" t="s">
        <v>986</v>
      </c>
      <c r="Q63" s="3" t="s">
        <v>987</v>
      </c>
      <c r="R63" s="3" t="s">
        <v>988</v>
      </c>
      <c r="S63" s="3" t="s">
        <v>989</v>
      </c>
      <c r="T63" s="3">
        <v>7</v>
      </c>
      <c r="U63" s="3" t="s">
        <v>990</v>
      </c>
      <c r="V63" s="3" t="s">
        <v>991</v>
      </c>
      <c r="Y63" s="6">
        <v>41664</v>
      </c>
      <c r="Z63" s="3" t="s">
        <v>62</v>
      </c>
      <c r="AA63" s="3">
        <v>1</v>
      </c>
      <c r="AB63" s="3">
        <v>20</v>
      </c>
      <c r="AD63" s="3" t="s">
        <v>77</v>
      </c>
      <c r="AE63" s="3" t="s">
        <v>992</v>
      </c>
      <c r="AG63" s="3" t="s">
        <v>120</v>
      </c>
      <c r="AH63" s="3" t="s">
        <v>993</v>
      </c>
      <c r="AI63" s="3" t="s">
        <v>994</v>
      </c>
      <c r="AM63" s="3" t="s">
        <v>995</v>
      </c>
    </row>
    <row r="64" spans="1:39" ht="12.5" x14ac:dyDescent="0.25">
      <c r="A64" s="3" t="s">
        <v>152</v>
      </c>
      <c r="B64" s="3" t="s">
        <v>996</v>
      </c>
      <c r="C64" s="3" t="s">
        <v>997</v>
      </c>
      <c r="D64" s="3" t="s">
        <v>998</v>
      </c>
      <c r="E64" s="3" t="s">
        <v>999</v>
      </c>
      <c r="G64" s="3" t="s">
        <v>1000</v>
      </c>
      <c r="H64" s="3" t="s">
        <v>1001</v>
      </c>
      <c r="I64" s="3" t="s">
        <v>1002</v>
      </c>
      <c r="J64" s="3" t="s">
        <v>1003</v>
      </c>
      <c r="L64" s="3"/>
      <c r="M64" s="3" t="s">
        <v>1004</v>
      </c>
      <c r="O64" s="3">
        <v>48435000</v>
      </c>
      <c r="P64" s="3"/>
      <c r="Q64" s="3" t="s">
        <v>357</v>
      </c>
      <c r="R64" s="3" t="s">
        <v>116</v>
      </c>
      <c r="S64" s="3" t="s">
        <v>1005</v>
      </c>
      <c r="T64" s="3">
        <v>2</v>
      </c>
      <c r="U64" s="3" t="s">
        <v>1006</v>
      </c>
      <c r="V64" s="3"/>
      <c r="Y64" s="8">
        <v>44022</v>
      </c>
      <c r="Z64" s="3" t="s">
        <v>62</v>
      </c>
      <c r="AA64" s="3">
        <v>6</v>
      </c>
      <c r="AB64" s="3">
        <v>15</v>
      </c>
      <c r="AD64" s="3" t="s">
        <v>77</v>
      </c>
      <c r="AE64" s="5">
        <v>0.4</v>
      </c>
      <c r="AG64" s="3" t="s">
        <v>120</v>
      </c>
      <c r="AH64" s="3" t="s">
        <v>62</v>
      </c>
      <c r="AI64" s="3"/>
      <c r="AJ64" s="3" t="s">
        <v>1007</v>
      </c>
      <c r="AK64" s="3" t="s">
        <v>1008</v>
      </c>
      <c r="AL64" s="3" t="s">
        <v>1009</v>
      </c>
      <c r="AM64" s="3" t="s">
        <v>1010</v>
      </c>
    </row>
    <row r="65" spans="1:44" ht="12.5" x14ac:dyDescent="0.25">
      <c r="A65" s="3" t="s">
        <v>46</v>
      </c>
      <c r="B65" s="3" t="s">
        <v>1011</v>
      </c>
      <c r="C65" s="3" t="s">
        <v>1012</v>
      </c>
      <c r="D65" s="3"/>
      <c r="E65" s="3" t="s">
        <v>1013</v>
      </c>
      <c r="G65" s="3"/>
      <c r="H65" s="3"/>
      <c r="I65" s="3" t="s">
        <v>70</v>
      </c>
      <c r="J65" s="3" t="s">
        <v>1014</v>
      </c>
      <c r="L65" s="3">
        <v>409</v>
      </c>
      <c r="M65" s="3" t="s">
        <v>1015</v>
      </c>
      <c r="O65" s="3">
        <v>26130050</v>
      </c>
      <c r="P65" s="3"/>
      <c r="Q65" s="3" t="s">
        <v>1016</v>
      </c>
      <c r="R65" s="3" t="s">
        <v>57</v>
      </c>
      <c r="S65" s="3" t="s">
        <v>1017</v>
      </c>
      <c r="T65" s="3">
        <v>7</v>
      </c>
      <c r="U65" s="3" t="s">
        <v>1018</v>
      </c>
      <c r="V65" s="3"/>
      <c r="Y65" s="6">
        <v>43413</v>
      </c>
      <c r="Z65" s="3" t="s">
        <v>62</v>
      </c>
      <c r="AA65" s="3">
        <v>0</v>
      </c>
      <c r="AB65" s="3">
        <v>15</v>
      </c>
      <c r="AD65" s="3" t="s">
        <v>77</v>
      </c>
      <c r="AE65" s="3" t="s">
        <v>1019</v>
      </c>
      <c r="AG65" s="3" t="s">
        <v>120</v>
      </c>
      <c r="AH65" s="3" t="s">
        <v>62</v>
      </c>
      <c r="AI65" s="3" t="s">
        <v>1020</v>
      </c>
      <c r="AJ65" s="3"/>
      <c r="AK65" s="3"/>
      <c r="AL65" s="3"/>
      <c r="AM65" s="3" t="s">
        <v>1021</v>
      </c>
    </row>
    <row r="66" spans="1:44" ht="12.5" x14ac:dyDescent="0.25">
      <c r="A66" s="3" t="s">
        <v>46</v>
      </c>
      <c r="B66" s="3" t="s">
        <v>1022</v>
      </c>
      <c r="C66" s="3" t="s">
        <v>1023</v>
      </c>
      <c r="E66" s="3" t="s">
        <v>1024</v>
      </c>
      <c r="I66" s="3" t="s">
        <v>468</v>
      </c>
      <c r="J66" s="3" t="s">
        <v>1025</v>
      </c>
      <c r="L66" s="3">
        <v>484</v>
      </c>
      <c r="M66" s="3" t="s">
        <v>470</v>
      </c>
      <c r="O66" s="3">
        <v>60867540</v>
      </c>
      <c r="P66" s="3" t="s">
        <v>1026</v>
      </c>
      <c r="Q66" s="3" t="s">
        <v>490</v>
      </c>
      <c r="R66" s="3" t="s">
        <v>57</v>
      </c>
      <c r="S66" s="3" t="s">
        <v>1027</v>
      </c>
      <c r="T66" s="3">
        <v>3</v>
      </c>
      <c r="U66" s="3" t="s">
        <v>1028</v>
      </c>
      <c r="V66" s="3" t="s">
        <v>1029</v>
      </c>
      <c r="Y66" s="6">
        <v>41876</v>
      </c>
      <c r="Z66" s="3" t="s">
        <v>62</v>
      </c>
      <c r="AA66" s="3">
        <v>0</v>
      </c>
      <c r="AB66" s="3">
        <v>13</v>
      </c>
      <c r="AD66" s="3" t="s">
        <v>77</v>
      </c>
      <c r="AE66" s="3" t="s">
        <v>1030</v>
      </c>
      <c r="AG66" s="3" t="s">
        <v>120</v>
      </c>
      <c r="AH66" s="3" t="s">
        <v>62</v>
      </c>
      <c r="AI66" s="3" t="s">
        <v>1031</v>
      </c>
      <c r="AM66" s="3" t="s">
        <v>1032</v>
      </c>
    </row>
    <row r="67" spans="1:44" ht="12.5" x14ac:dyDescent="0.25">
      <c r="A67" s="3" t="s">
        <v>46</v>
      </c>
      <c r="B67" s="3" t="s">
        <v>1033</v>
      </c>
      <c r="C67" s="3" t="s">
        <v>1034</v>
      </c>
      <c r="E67" s="3" t="s">
        <v>1035</v>
      </c>
      <c r="I67" s="3" t="s">
        <v>468</v>
      </c>
      <c r="J67" s="3" t="s">
        <v>1036</v>
      </c>
      <c r="L67" s="3">
        <v>400</v>
      </c>
      <c r="M67" s="3" t="s">
        <v>470</v>
      </c>
      <c r="O67" s="3">
        <v>60347800</v>
      </c>
      <c r="P67" s="3"/>
      <c r="Q67" s="3" t="s">
        <v>357</v>
      </c>
      <c r="R67" s="3" t="s">
        <v>161</v>
      </c>
      <c r="S67" s="3" t="s">
        <v>180</v>
      </c>
      <c r="T67" s="3">
        <v>11</v>
      </c>
      <c r="U67" s="3" t="s">
        <v>1037</v>
      </c>
      <c r="V67" s="3" t="s">
        <v>1038</v>
      </c>
      <c r="Y67" s="6">
        <v>34704</v>
      </c>
      <c r="Z67" s="3" t="s">
        <v>62</v>
      </c>
      <c r="AA67" s="3">
        <v>0</v>
      </c>
      <c r="AB67" s="3">
        <v>21</v>
      </c>
      <c r="AD67" s="3" t="s">
        <v>77</v>
      </c>
      <c r="AE67" s="3" t="s">
        <v>1039</v>
      </c>
      <c r="AG67" s="3" t="s">
        <v>120</v>
      </c>
      <c r="AH67" s="3" t="s">
        <v>62</v>
      </c>
      <c r="AI67" s="3" t="s">
        <v>1040</v>
      </c>
      <c r="AM67" s="7" t="s">
        <v>1041</v>
      </c>
    </row>
    <row r="68" spans="1:44" ht="12.5" x14ac:dyDescent="0.25">
      <c r="A68" s="3" t="s">
        <v>152</v>
      </c>
      <c r="B68" s="3" t="s">
        <v>1042</v>
      </c>
      <c r="C68" s="3" t="s">
        <v>1043</v>
      </c>
      <c r="D68" s="3" t="s">
        <v>1044</v>
      </c>
      <c r="E68" s="3" t="s">
        <v>1045</v>
      </c>
      <c r="G68" s="3" t="s">
        <v>1046</v>
      </c>
      <c r="H68" s="3" t="s">
        <v>1047</v>
      </c>
      <c r="I68" s="3" t="s">
        <v>101</v>
      </c>
      <c r="J68" s="3" t="s">
        <v>1048</v>
      </c>
      <c r="L68" s="3">
        <v>355</v>
      </c>
      <c r="M68" s="3" t="s">
        <v>128</v>
      </c>
      <c r="O68" s="3">
        <v>8410020</v>
      </c>
      <c r="P68" s="3" t="s">
        <v>1049</v>
      </c>
      <c r="Q68" s="3" t="s">
        <v>115</v>
      </c>
      <c r="R68" s="3" t="s">
        <v>146</v>
      </c>
      <c r="S68" s="3" t="s">
        <v>371</v>
      </c>
      <c r="T68" s="3">
        <v>6</v>
      </c>
      <c r="U68" s="3" t="s">
        <v>1050</v>
      </c>
      <c r="V68" s="3" t="s">
        <v>1051</v>
      </c>
      <c r="Y68" s="6">
        <v>43327</v>
      </c>
      <c r="Z68" s="3" t="s">
        <v>62</v>
      </c>
      <c r="AA68" s="3">
        <v>0</v>
      </c>
      <c r="AB68" s="3">
        <v>25</v>
      </c>
      <c r="AD68" s="3" t="s">
        <v>77</v>
      </c>
      <c r="AE68" s="3" t="s">
        <v>1052</v>
      </c>
      <c r="AG68" s="3" t="s">
        <v>120</v>
      </c>
      <c r="AH68" s="3" t="s">
        <v>62</v>
      </c>
      <c r="AI68" s="3" t="s">
        <v>1053</v>
      </c>
      <c r="AJ68" s="3" t="s">
        <v>1054</v>
      </c>
      <c r="AK68" s="3" t="s">
        <v>1055</v>
      </c>
      <c r="AL68" s="3" t="s">
        <v>1056</v>
      </c>
      <c r="AM68" s="7" t="s">
        <v>1057</v>
      </c>
    </row>
    <row r="69" spans="1:44" ht="12.5" x14ac:dyDescent="0.25">
      <c r="A69" s="3" t="s">
        <v>46</v>
      </c>
      <c r="B69" s="3" t="s">
        <v>1058</v>
      </c>
      <c r="C69" s="3" t="s">
        <v>1059</v>
      </c>
      <c r="D69" s="3"/>
      <c r="E69" s="3" t="s">
        <v>1060</v>
      </c>
      <c r="G69" s="3"/>
      <c r="H69" s="3"/>
      <c r="I69" s="3" t="s">
        <v>101</v>
      </c>
      <c r="J69" s="3" t="s">
        <v>1061</v>
      </c>
      <c r="L69" s="3">
        <v>1324</v>
      </c>
      <c r="M69" s="3" t="s">
        <v>128</v>
      </c>
      <c r="O69" s="3">
        <v>8223000</v>
      </c>
      <c r="P69" s="3" t="s">
        <v>1062</v>
      </c>
      <c r="Q69" s="3" t="s">
        <v>1063</v>
      </c>
      <c r="R69" s="3" t="s">
        <v>116</v>
      </c>
      <c r="S69" s="3" t="s">
        <v>371</v>
      </c>
      <c r="T69" s="3">
        <v>3</v>
      </c>
      <c r="U69" s="3" t="s">
        <v>1064</v>
      </c>
      <c r="V69" s="3"/>
      <c r="Y69" s="6">
        <v>43079</v>
      </c>
      <c r="Z69" s="3" t="s">
        <v>62</v>
      </c>
      <c r="AA69" s="3">
        <v>0</v>
      </c>
      <c r="AB69" s="3">
        <v>9</v>
      </c>
      <c r="AD69" s="3" t="s">
        <v>77</v>
      </c>
      <c r="AE69" s="3" t="s">
        <v>1065</v>
      </c>
      <c r="AG69" s="3" t="s">
        <v>120</v>
      </c>
      <c r="AH69" s="3" t="s">
        <v>1066</v>
      </c>
      <c r="AI69" s="3" t="s">
        <v>635</v>
      </c>
      <c r="AJ69" s="3"/>
      <c r="AK69" s="3"/>
      <c r="AL69" s="3"/>
      <c r="AM69" s="3" t="s">
        <v>1067</v>
      </c>
    </row>
    <row r="70" spans="1:44" ht="12.5" x14ac:dyDescent="0.25">
      <c r="A70" s="3" t="s">
        <v>152</v>
      </c>
      <c r="B70" s="3" t="s">
        <v>1068</v>
      </c>
      <c r="C70" s="3" t="s">
        <v>1069</v>
      </c>
      <c r="D70" s="3" t="s">
        <v>1070</v>
      </c>
      <c r="E70" s="3" t="s">
        <v>1071</v>
      </c>
      <c r="G70" s="3" t="s">
        <v>1072</v>
      </c>
      <c r="H70" s="3" t="s">
        <v>1073</v>
      </c>
      <c r="I70" s="3" t="s">
        <v>101</v>
      </c>
      <c r="J70" s="3" t="s">
        <v>1074</v>
      </c>
      <c r="L70" s="3">
        <v>513</v>
      </c>
      <c r="M70" s="3" t="s">
        <v>128</v>
      </c>
      <c r="O70" s="3">
        <v>5614010</v>
      </c>
      <c r="P70" s="3" t="s">
        <v>1075</v>
      </c>
      <c r="Q70" s="3" t="s">
        <v>1076</v>
      </c>
      <c r="R70" s="3" t="s">
        <v>57</v>
      </c>
      <c r="S70" s="3" t="s">
        <v>1077</v>
      </c>
      <c r="T70" s="3">
        <v>2</v>
      </c>
      <c r="U70" s="3" t="s">
        <v>1078</v>
      </c>
      <c r="Y70" s="8">
        <v>40062</v>
      </c>
      <c r="Z70" s="3" t="s">
        <v>62</v>
      </c>
      <c r="AA70" s="3">
        <v>20</v>
      </c>
      <c r="AB70" s="3">
        <v>5</v>
      </c>
      <c r="AD70" s="3" t="s">
        <v>77</v>
      </c>
      <c r="AE70" s="3" t="s">
        <v>1079</v>
      </c>
      <c r="AG70" s="3" t="s">
        <v>120</v>
      </c>
      <c r="AH70" s="3" t="s">
        <v>62</v>
      </c>
      <c r="AI70" s="3" t="s">
        <v>1080</v>
      </c>
      <c r="AJ70" s="3" t="s">
        <v>1081</v>
      </c>
      <c r="AK70" s="3" t="s">
        <v>1082</v>
      </c>
      <c r="AL70" s="3" t="s">
        <v>1083</v>
      </c>
      <c r="AM70" s="3" t="s">
        <v>1084</v>
      </c>
    </row>
    <row r="71" spans="1:44" ht="12.5" x14ac:dyDescent="0.25">
      <c r="A71" s="3" t="s">
        <v>152</v>
      </c>
      <c r="B71" s="3" t="s">
        <v>1085</v>
      </c>
      <c r="C71" s="3" t="s">
        <v>1086</v>
      </c>
      <c r="D71" s="3" t="s">
        <v>1087</v>
      </c>
      <c r="E71" s="3" t="s">
        <v>1088</v>
      </c>
      <c r="G71" s="3" t="s">
        <v>1089</v>
      </c>
      <c r="H71" s="3" t="s">
        <v>1090</v>
      </c>
      <c r="I71" s="3" t="s">
        <v>84</v>
      </c>
      <c r="J71" s="3" t="s">
        <v>1091</v>
      </c>
      <c r="L71" s="3">
        <v>273</v>
      </c>
      <c r="M71" s="3" t="s">
        <v>1092</v>
      </c>
      <c r="O71" s="3">
        <v>35500030</v>
      </c>
      <c r="P71" s="3" t="s">
        <v>1093</v>
      </c>
      <c r="Q71" s="3" t="s">
        <v>1094</v>
      </c>
      <c r="R71" s="3" t="s">
        <v>130</v>
      </c>
      <c r="S71" s="3" t="s">
        <v>1095</v>
      </c>
      <c r="T71" s="3">
        <v>4</v>
      </c>
      <c r="U71" s="3" t="s">
        <v>1096</v>
      </c>
      <c r="Y71" s="6">
        <v>40731</v>
      </c>
      <c r="Z71" s="3" t="s">
        <v>62</v>
      </c>
      <c r="AA71" s="3">
        <v>1</v>
      </c>
      <c r="AB71" s="3">
        <v>8</v>
      </c>
      <c r="AD71" s="3" t="s">
        <v>77</v>
      </c>
      <c r="AE71" s="5">
        <v>0.7</v>
      </c>
      <c r="AG71" s="3" t="s">
        <v>62</v>
      </c>
      <c r="AH71" s="3" t="s">
        <v>62</v>
      </c>
      <c r="AI71" s="3"/>
      <c r="AJ71" s="3" t="s">
        <v>1097</v>
      </c>
      <c r="AK71" s="3" t="s">
        <v>1098</v>
      </c>
      <c r="AL71" s="3" t="s">
        <v>1099</v>
      </c>
      <c r="AM71" s="3" t="s">
        <v>1100</v>
      </c>
    </row>
    <row r="72" spans="1:44" ht="12.5" x14ac:dyDescent="0.25">
      <c r="A72" s="3" t="s">
        <v>46</v>
      </c>
      <c r="B72" s="3" t="s">
        <v>1101</v>
      </c>
      <c r="C72" s="3" t="s">
        <v>1102</v>
      </c>
      <c r="D72" s="3"/>
      <c r="E72" s="3" t="s">
        <v>1103</v>
      </c>
      <c r="G72" s="3"/>
      <c r="H72" s="3"/>
      <c r="I72" s="3" t="s">
        <v>70</v>
      </c>
      <c r="J72" s="3" t="s">
        <v>1104</v>
      </c>
      <c r="L72" s="3">
        <v>196</v>
      </c>
      <c r="M72" s="3" t="s">
        <v>1105</v>
      </c>
      <c r="O72" s="3">
        <v>25046010</v>
      </c>
      <c r="P72" s="3" t="s">
        <v>1106</v>
      </c>
      <c r="Q72" s="3" t="s">
        <v>215</v>
      </c>
      <c r="R72" s="3" t="s">
        <v>1107</v>
      </c>
      <c r="S72" s="3" t="s">
        <v>371</v>
      </c>
      <c r="T72" s="3">
        <v>3</v>
      </c>
      <c r="U72" s="3" t="s">
        <v>1108</v>
      </c>
      <c r="V72" s="3" t="s">
        <v>1109</v>
      </c>
      <c r="Y72" s="6">
        <v>41898</v>
      </c>
      <c r="Z72" s="3" t="s">
        <v>62</v>
      </c>
      <c r="AA72" s="3">
        <v>0</v>
      </c>
      <c r="AB72" s="3">
        <v>10</v>
      </c>
      <c r="AD72" s="3" t="s">
        <v>77</v>
      </c>
      <c r="AE72" s="3" t="s">
        <v>1110</v>
      </c>
      <c r="AG72" s="3" t="s">
        <v>62</v>
      </c>
      <c r="AH72" s="3" t="s">
        <v>62</v>
      </c>
      <c r="AI72" s="3" t="s">
        <v>1111</v>
      </c>
      <c r="AJ72" s="3"/>
      <c r="AK72" s="3"/>
      <c r="AL72" s="3"/>
      <c r="AM72" s="7" t="s">
        <v>1112</v>
      </c>
    </row>
    <row r="73" spans="1:44" ht="12.5" x14ac:dyDescent="0.25">
      <c r="A73" s="3" t="s">
        <v>46</v>
      </c>
      <c r="B73" s="3" t="s">
        <v>1113</v>
      </c>
      <c r="C73" s="3" t="s">
        <v>1114</v>
      </c>
      <c r="E73" s="3" t="s">
        <v>1115</v>
      </c>
      <c r="I73" s="3" t="s">
        <v>195</v>
      </c>
      <c r="J73" s="3" t="s">
        <v>1116</v>
      </c>
      <c r="L73" s="3">
        <v>1912</v>
      </c>
      <c r="M73" s="3" t="s">
        <v>197</v>
      </c>
      <c r="O73" s="3">
        <v>59064390</v>
      </c>
      <c r="P73" s="3"/>
      <c r="Q73" s="3" t="s">
        <v>1117</v>
      </c>
      <c r="R73" s="3" t="s">
        <v>216</v>
      </c>
      <c r="S73" s="3" t="s">
        <v>1118</v>
      </c>
      <c r="T73" s="3">
        <v>6</v>
      </c>
      <c r="U73" s="3" t="s">
        <v>1119</v>
      </c>
      <c r="V73" s="3"/>
      <c r="Y73" s="6">
        <v>43016</v>
      </c>
      <c r="Z73" s="3" t="s">
        <v>62</v>
      </c>
      <c r="AA73" s="3">
        <v>0</v>
      </c>
      <c r="AB73" s="3">
        <v>10</v>
      </c>
      <c r="AD73" s="3" t="s">
        <v>77</v>
      </c>
      <c r="AE73" s="3" t="s">
        <v>1120</v>
      </c>
      <c r="AG73" s="3" t="s">
        <v>120</v>
      </c>
      <c r="AH73" s="3" t="s">
        <v>62</v>
      </c>
      <c r="AI73" s="3" t="s">
        <v>1121</v>
      </c>
      <c r="AM73" s="3" t="s">
        <v>1122</v>
      </c>
    </row>
    <row r="74" spans="1:44" ht="12.5" x14ac:dyDescent="0.25">
      <c r="A74" s="3" t="s">
        <v>46</v>
      </c>
      <c r="B74" s="3" t="s">
        <v>1123</v>
      </c>
      <c r="C74" s="3" t="s">
        <v>1124</v>
      </c>
      <c r="D74" s="3" t="s">
        <v>1125</v>
      </c>
      <c r="E74" s="3" t="s">
        <v>1126</v>
      </c>
      <c r="F74" s="3" t="s">
        <v>1127</v>
      </c>
      <c r="G74" s="3" t="s">
        <v>1128</v>
      </c>
      <c r="H74" s="3" t="s">
        <v>1129</v>
      </c>
      <c r="I74" s="3" t="s">
        <v>84</v>
      </c>
      <c r="J74" s="3" t="s">
        <v>1130</v>
      </c>
      <c r="K74" s="3" t="s">
        <v>1131</v>
      </c>
      <c r="L74" s="3">
        <v>678</v>
      </c>
      <c r="M74" s="3" t="s">
        <v>87</v>
      </c>
      <c r="O74" s="3">
        <v>32606114</v>
      </c>
      <c r="Q74" s="3" t="s">
        <v>525</v>
      </c>
      <c r="R74" s="3" t="s">
        <v>1132</v>
      </c>
      <c r="S74" s="3" t="s">
        <v>1133</v>
      </c>
      <c r="T74" s="3">
        <v>6</v>
      </c>
      <c r="U74" s="3" t="s">
        <v>1134</v>
      </c>
      <c r="W74" s="3">
        <v>64</v>
      </c>
      <c r="X74" s="3">
        <v>300</v>
      </c>
      <c r="Y74" s="6">
        <v>38410</v>
      </c>
      <c r="Z74" s="3" t="s">
        <v>62</v>
      </c>
      <c r="AA74" s="3">
        <v>3</v>
      </c>
      <c r="AB74" s="3">
        <v>10</v>
      </c>
      <c r="AC74" s="3">
        <v>1</v>
      </c>
      <c r="AD74" s="3" t="s">
        <v>1135</v>
      </c>
      <c r="AE74" s="3" t="s">
        <v>1136</v>
      </c>
      <c r="AF74" s="9">
        <v>80000</v>
      </c>
      <c r="AG74" s="3" t="s">
        <v>120</v>
      </c>
      <c r="AH74" s="3" t="s">
        <v>120</v>
      </c>
      <c r="AI74" s="3" t="s">
        <v>1137</v>
      </c>
      <c r="AJ74" s="3" t="s">
        <v>1138</v>
      </c>
      <c r="AK74" s="3" t="s">
        <v>1139</v>
      </c>
      <c r="AL74" s="3" t="s">
        <v>1140</v>
      </c>
      <c r="AM74" s="3"/>
      <c r="AN74" s="3" t="s">
        <v>1141</v>
      </c>
      <c r="AO74" s="3" t="s">
        <v>1142</v>
      </c>
      <c r="AP74" s="3" t="s">
        <v>1143</v>
      </c>
      <c r="AR74" s="3" t="s">
        <v>1144</v>
      </c>
    </row>
    <row r="75" spans="1:44" ht="12.5" x14ac:dyDescent="0.25">
      <c r="A75" s="3" t="s">
        <v>46</v>
      </c>
      <c r="B75" s="3" t="s">
        <v>1145</v>
      </c>
      <c r="C75" s="3" t="s">
        <v>1146</v>
      </c>
      <c r="D75" s="3"/>
      <c r="E75" s="3" t="s">
        <v>1147</v>
      </c>
      <c r="F75" s="3"/>
      <c r="G75" s="3"/>
      <c r="H75" s="3"/>
      <c r="I75" s="3" t="s">
        <v>557</v>
      </c>
      <c r="J75" s="3" t="s">
        <v>1148</v>
      </c>
      <c r="K75" s="3"/>
      <c r="L75" s="3">
        <v>209</v>
      </c>
      <c r="M75" s="3" t="s">
        <v>1149</v>
      </c>
      <c r="O75" s="3">
        <v>88020530</v>
      </c>
      <c r="P75" s="3" t="s">
        <v>1150</v>
      </c>
      <c r="Q75" s="3" t="s">
        <v>357</v>
      </c>
      <c r="R75" s="3" t="s">
        <v>116</v>
      </c>
      <c r="S75" s="3" t="s">
        <v>1151</v>
      </c>
      <c r="T75" s="3">
        <v>4</v>
      </c>
      <c r="U75" s="3" t="s">
        <v>1152</v>
      </c>
      <c r="W75" s="3"/>
      <c r="X75" s="3"/>
      <c r="Y75" s="6">
        <v>44163</v>
      </c>
      <c r="Z75" s="3" t="s">
        <v>807</v>
      </c>
      <c r="AA75" s="3">
        <v>0</v>
      </c>
      <c r="AB75" s="3">
        <v>7</v>
      </c>
      <c r="AC75" s="3"/>
      <c r="AD75" s="3" t="s">
        <v>77</v>
      </c>
      <c r="AE75" s="3" t="s">
        <v>1153</v>
      </c>
      <c r="AF75" s="9"/>
      <c r="AG75" s="3" t="s">
        <v>1154</v>
      </c>
      <c r="AH75" s="3" t="s">
        <v>120</v>
      </c>
      <c r="AI75" s="3" t="s">
        <v>754</v>
      </c>
      <c r="AJ75" s="3"/>
      <c r="AK75" s="3"/>
      <c r="AL75" s="3"/>
      <c r="AM75" s="3" t="s">
        <v>1155</v>
      </c>
      <c r="AN75" s="3"/>
      <c r="AO75" s="3"/>
      <c r="AP75" s="3"/>
      <c r="AR75" s="3"/>
    </row>
    <row r="76" spans="1:44" ht="12.5" x14ac:dyDescent="0.25">
      <c r="A76" s="3" t="s">
        <v>46</v>
      </c>
      <c r="B76" s="3" t="s">
        <v>1156</v>
      </c>
      <c r="C76" s="3" t="s">
        <v>1157</v>
      </c>
      <c r="E76" s="3" t="s">
        <v>1158</v>
      </c>
      <c r="I76" s="3" t="s">
        <v>101</v>
      </c>
      <c r="J76" s="3" t="s">
        <v>1159</v>
      </c>
      <c r="L76" s="3">
        <v>87</v>
      </c>
      <c r="M76" s="3" t="s">
        <v>1160</v>
      </c>
      <c r="O76" s="3">
        <v>11440470</v>
      </c>
      <c r="P76" s="3" t="s">
        <v>1161</v>
      </c>
      <c r="Q76" s="3" t="s">
        <v>504</v>
      </c>
      <c r="R76" s="3" t="s">
        <v>429</v>
      </c>
      <c r="S76" s="3" t="s">
        <v>1162</v>
      </c>
      <c r="T76" s="3">
        <v>3</v>
      </c>
      <c r="U76" s="3" t="s">
        <v>1163</v>
      </c>
      <c r="V76" s="3" t="s">
        <v>1164</v>
      </c>
      <c r="Y76" s="8">
        <v>39271</v>
      </c>
      <c r="Z76" s="3" t="s">
        <v>62</v>
      </c>
      <c r="AA76" s="3">
        <v>12</v>
      </c>
      <c r="AB76" s="3">
        <v>2</v>
      </c>
      <c r="AD76" s="3" t="s">
        <v>77</v>
      </c>
      <c r="AE76" s="3" t="s">
        <v>1165</v>
      </c>
      <c r="AG76" s="3" t="s">
        <v>62</v>
      </c>
      <c r="AH76" s="3" t="s">
        <v>120</v>
      </c>
      <c r="AI76" s="3" t="s">
        <v>1166</v>
      </c>
      <c r="AM76" s="3" t="s">
        <v>1167</v>
      </c>
    </row>
    <row r="77" spans="1:44" ht="12.5" x14ac:dyDescent="0.25">
      <c r="A77" s="3" t="s">
        <v>46</v>
      </c>
      <c r="B77" s="3" t="s">
        <v>1168</v>
      </c>
      <c r="C77" s="3" t="s">
        <v>1169</v>
      </c>
      <c r="E77" s="3" t="s">
        <v>1170</v>
      </c>
      <c r="I77" s="3" t="s">
        <v>1171</v>
      </c>
      <c r="J77" s="3" t="s">
        <v>1172</v>
      </c>
      <c r="L77" s="3"/>
      <c r="M77" s="3" t="s">
        <v>1173</v>
      </c>
      <c r="O77" s="3">
        <v>58737000</v>
      </c>
      <c r="P77" s="3" t="s">
        <v>1174</v>
      </c>
      <c r="Q77" s="3" t="s">
        <v>1175</v>
      </c>
      <c r="R77" s="3" t="s">
        <v>161</v>
      </c>
      <c r="S77" s="3" t="s">
        <v>1176</v>
      </c>
      <c r="T77" s="3">
        <v>13</v>
      </c>
      <c r="U77" s="3" t="s">
        <v>1177</v>
      </c>
      <c r="V77" s="3" t="s">
        <v>1178</v>
      </c>
      <c r="Y77" s="6">
        <v>37747</v>
      </c>
      <c r="Z77" s="3" t="s">
        <v>62</v>
      </c>
      <c r="AA77" s="3">
        <v>0</v>
      </c>
      <c r="AB77" s="3">
        <v>28</v>
      </c>
      <c r="AD77" s="3" t="s">
        <v>77</v>
      </c>
      <c r="AE77" s="3" t="s">
        <v>1179</v>
      </c>
      <c r="AG77" s="3" t="s">
        <v>120</v>
      </c>
      <c r="AH77" s="3" t="s">
        <v>1180</v>
      </c>
      <c r="AI77" s="3" t="s">
        <v>1181</v>
      </c>
      <c r="AM77" s="3" t="s">
        <v>1182</v>
      </c>
    </row>
    <row r="78" spans="1:44" ht="12.5" x14ac:dyDescent="0.25">
      <c r="A78" s="3" t="s">
        <v>46</v>
      </c>
      <c r="B78" s="3" t="s">
        <v>1183</v>
      </c>
      <c r="C78" s="3" t="s">
        <v>1184</v>
      </c>
      <c r="D78" s="3" t="s">
        <v>1185</v>
      </c>
      <c r="E78" s="3" t="s">
        <v>1186</v>
      </c>
      <c r="I78" s="3" t="s">
        <v>70</v>
      </c>
      <c r="J78" s="3" t="s">
        <v>1187</v>
      </c>
      <c r="L78" s="3">
        <v>1891</v>
      </c>
      <c r="M78" s="3" t="s">
        <v>1188</v>
      </c>
      <c r="O78" s="3">
        <v>26530651</v>
      </c>
      <c r="P78" s="3" t="s">
        <v>1189</v>
      </c>
      <c r="Q78" s="3" t="s">
        <v>1190</v>
      </c>
      <c r="R78" s="3" t="s">
        <v>146</v>
      </c>
      <c r="S78" s="3" t="s">
        <v>1191</v>
      </c>
      <c r="T78" s="3">
        <v>4</v>
      </c>
      <c r="U78" s="3" t="s">
        <v>1192</v>
      </c>
      <c r="V78" s="3" t="s">
        <v>1193</v>
      </c>
      <c r="Y78" s="6">
        <v>37054</v>
      </c>
      <c r="Z78" s="3" t="s">
        <v>62</v>
      </c>
      <c r="AA78" s="3">
        <v>2</v>
      </c>
      <c r="AB78" s="3">
        <v>11</v>
      </c>
      <c r="AD78" s="3" t="s">
        <v>77</v>
      </c>
      <c r="AE78" s="3" t="s">
        <v>1194</v>
      </c>
      <c r="AG78" s="3" t="s">
        <v>1195</v>
      </c>
      <c r="AH78" s="3" t="s">
        <v>120</v>
      </c>
      <c r="AI78" s="3" t="s">
        <v>1196</v>
      </c>
      <c r="AM78" s="3" t="s">
        <v>1197</v>
      </c>
    </row>
    <row r="79" spans="1:44" ht="12.5" x14ac:dyDescent="0.25">
      <c r="A79" s="3" t="s">
        <v>46</v>
      </c>
      <c r="B79" s="3" t="s">
        <v>1198</v>
      </c>
      <c r="C79" s="3" t="s">
        <v>1199</v>
      </c>
      <c r="D79" s="3"/>
      <c r="E79" s="3" t="s">
        <v>1200</v>
      </c>
      <c r="I79" s="3" t="s">
        <v>84</v>
      </c>
      <c r="J79" s="3" t="s">
        <v>1201</v>
      </c>
      <c r="L79" s="3">
        <v>3876</v>
      </c>
      <c r="M79" s="3" t="s">
        <v>177</v>
      </c>
      <c r="O79" s="3"/>
      <c r="P79" s="3" t="s">
        <v>1202</v>
      </c>
      <c r="Q79" s="3" t="s">
        <v>1203</v>
      </c>
      <c r="R79" s="3" t="s">
        <v>1204</v>
      </c>
      <c r="S79" s="3" t="s">
        <v>1077</v>
      </c>
      <c r="T79" s="3">
        <v>10</v>
      </c>
      <c r="U79" s="3" t="s">
        <v>1205</v>
      </c>
      <c r="V79" s="3" t="s">
        <v>1206</v>
      </c>
      <c r="Y79" s="6">
        <v>35065</v>
      </c>
      <c r="Z79" s="3" t="s">
        <v>62</v>
      </c>
      <c r="AA79" s="3">
        <v>0</v>
      </c>
      <c r="AB79" s="3">
        <v>15</v>
      </c>
      <c r="AD79" s="3" t="s">
        <v>77</v>
      </c>
      <c r="AE79" s="3" t="s">
        <v>1207</v>
      </c>
      <c r="AG79" s="3" t="s">
        <v>120</v>
      </c>
      <c r="AH79" s="3" t="s">
        <v>120</v>
      </c>
      <c r="AI79" s="3" t="s">
        <v>1208</v>
      </c>
      <c r="AM79" s="3" t="s">
        <v>1209</v>
      </c>
    </row>
    <row r="80" spans="1:44" ht="12.5" x14ac:dyDescent="0.25">
      <c r="A80" s="3" t="s">
        <v>46</v>
      </c>
      <c r="B80" s="3" t="s">
        <v>1210</v>
      </c>
      <c r="C80" s="3" t="s">
        <v>1211</v>
      </c>
      <c r="E80" s="3" t="s">
        <v>747</v>
      </c>
      <c r="I80" s="3" t="s">
        <v>101</v>
      </c>
      <c r="J80" s="3" t="s">
        <v>1212</v>
      </c>
      <c r="L80" s="3">
        <v>52</v>
      </c>
      <c r="M80" s="3" t="s">
        <v>128</v>
      </c>
      <c r="P80" s="3"/>
      <c r="Q80" s="3" t="s">
        <v>1213</v>
      </c>
      <c r="R80" s="3" t="s">
        <v>77</v>
      </c>
      <c r="S80" s="3" t="s">
        <v>1214</v>
      </c>
      <c r="T80" s="3">
        <v>2</v>
      </c>
      <c r="U80" s="3" t="s">
        <v>1215</v>
      </c>
      <c r="V80" s="3"/>
      <c r="Y80" s="6">
        <v>42426</v>
      </c>
      <c r="Z80" s="3" t="s">
        <v>807</v>
      </c>
      <c r="AA80" s="3">
        <v>0</v>
      </c>
      <c r="AB80" s="3">
        <v>11</v>
      </c>
      <c r="AD80" s="3" t="s">
        <v>77</v>
      </c>
      <c r="AE80" s="3" t="s">
        <v>1216</v>
      </c>
      <c r="AG80" s="3" t="s">
        <v>120</v>
      </c>
      <c r="AH80" s="3" t="s">
        <v>120</v>
      </c>
      <c r="AI80" s="3" t="s">
        <v>1217</v>
      </c>
      <c r="AM80" s="7" t="s">
        <v>1218</v>
      </c>
    </row>
    <row r="81" spans="1:46" ht="12.5" x14ac:dyDescent="0.25">
      <c r="A81" s="3" t="s">
        <v>152</v>
      </c>
      <c r="B81" s="3" t="s">
        <v>1219</v>
      </c>
      <c r="C81" s="3" t="s">
        <v>1220</v>
      </c>
      <c r="D81" s="3" t="s">
        <v>1221</v>
      </c>
      <c r="E81" s="3" t="s">
        <v>1222</v>
      </c>
      <c r="F81" s="3" t="s">
        <v>1223</v>
      </c>
      <c r="G81" s="3" t="s">
        <v>1224</v>
      </c>
      <c r="H81" s="3" t="s">
        <v>1225</v>
      </c>
      <c r="I81" s="3" t="s">
        <v>84</v>
      </c>
      <c r="J81" s="3" t="s">
        <v>1226</v>
      </c>
      <c r="K81" s="3" t="s">
        <v>1227</v>
      </c>
      <c r="L81" s="3">
        <v>50</v>
      </c>
      <c r="M81" s="3" t="s">
        <v>266</v>
      </c>
      <c r="N81" s="3" t="s">
        <v>1228</v>
      </c>
      <c r="O81" s="3">
        <v>32187585</v>
      </c>
      <c r="P81" s="3" t="s">
        <v>1229</v>
      </c>
      <c r="Q81" s="3" t="s">
        <v>56</v>
      </c>
      <c r="R81" s="3" t="s">
        <v>1230</v>
      </c>
      <c r="S81" s="3" t="s">
        <v>1231</v>
      </c>
      <c r="T81" s="3">
        <v>10</v>
      </c>
      <c r="U81" s="3" t="s">
        <v>1232</v>
      </c>
      <c r="V81" s="3" t="s">
        <v>1233</v>
      </c>
      <c r="W81" s="3">
        <v>300</v>
      </c>
      <c r="X81" s="10">
        <v>5200</v>
      </c>
      <c r="Y81" s="6">
        <v>43025</v>
      </c>
      <c r="Z81" s="3" t="s">
        <v>62</v>
      </c>
      <c r="AA81" s="3">
        <v>0</v>
      </c>
      <c r="AB81" s="3">
        <v>5</v>
      </c>
      <c r="AC81" s="3">
        <v>3</v>
      </c>
      <c r="AD81" s="3" t="s">
        <v>1234</v>
      </c>
      <c r="AE81" s="3" t="s">
        <v>1235</v>
      </c>
      <c r="AF81" s="9">
        <v>3000</v>
      </c>
      <c r="AG81" s="3" t="s">
        <v>120</v>
      </c>
      <c r="AH81" s="3" t="s">
        <v>120</v>
      </c>
      <c r="AI81" s="3" t="s">
        <v>1236</v>
      </c>
      <c r="AJ81" s="3" t="s">
        <v>1237</v>
      </c>
      <c r="AK81" s="3" t="s">
        <v>1238</v>
      </c>
      <c r="AL81" s="3" t="s">
        <v>1239</v>
      </c>
      <c r="AM81" s="7" t="s">
        <v>1240</v>
      </c>
      <c r="AN81" s="3" t="s">
        <v>1241</v>
      </c>
      <c r="AO81" s="3" t="s">
        <v>1242</v>
      </c>
      <c r="AP81" s="3" t="s">
        <v>1243</v>
      </c>
      <c r="AQ81" s="3" t="s">
        <v>1244</v>
      </c>
      <c r="AR81" s="3" t="s">
        <v>1245</v>
      </c>
    </row>
    <row r="82" spans="1:46" ht="12.5" x14ac:dyDescent="0.25">
      <c r="A82" s="3" t="s">
        <v>46</v>
      </c>
      <c r="B82" s="3" t="s">
        <v>1246</v>
      </c>
      <c r="C82" s="3" t="s">
        <v>1247</v>
      </c>
      <c r="D82" s="3" t="s">
        <v>1248</v>
      </c>
      <c r="E82" s="3" t="s">
        <v>1249</v>
      </c>
      <c r="F82" s="3" t="s">
        <v>1250</v>
      </c>
      <c r="G82" s="3" t="s">
        <v>1251</v>
      </c>
      <c r="H82" s="3" t="s">
        <v>1252</v>
      </c>
      <c r="I82" s="3" t="s">
        <v>101</v>
      </c>
      <c r="J82" s="3" t="s">
        <v>1253</v>
      </c>
      <c r="K82" s="3" t="s">
        <v>1254</v>
      </c>
      <c r="L82" s="3">
        <v>803</v>
      </c>
      <c r="M82" s="3" t="s">
        <v>1255</v>
      </c>
      <c r="N82" s="3"/>
      <c r="O82" s="3">
        <v>8430465</v>
      </c>
      <c r="P82" s="3" t="s">
        <v>1256</v>
      </c>
      <c r="Q82" s="3" t="s">
        <v>215</v>
      </c>
      <c r="R82" s="3" t="s">
        <v>146</v>
      </c>
      <c r="S82" s="3" t="s">
        <v>675</v>
      </c>
      <c r="T82" s="3">
        <v>3</v>
      </c>
      <c r="U82" s="3" t="s">
        <v>1257</v>
      </c>
      <c r="V82" s="3"/>
      <c r="W82" s="3">
        <v>150</v>
      </c>
      <c r="X82" s="10">
        <v>3800</v>
      </c>
      <c r="Y82" s="8">
        <v>43999</v>
      </c>
      <c r="Z82" s="3" t="s">
        <v>62</v>
      </c>
      <c r="AA82" s="3">
        <v>0</v>
      </c>
      <c r="AB82" s="3">
        <v>15</v>
      </c>
      <c r="AC82" s="3">
        <v>2</v>
      </c>
      <c r="AD82" s="3" t="s">
        <v>1258</v>
      </c>
      <c r="AE82" s="3" t="s">
        <v>1259</v>
      </c>
      <c r="AF82" s="9">
        <v>3400</v>
      </c>
      <c r="AG82" s="3" t="s">
        <v>120</v>
      </c>
      <c r="AH82" s="3" t="s">
        <v>120</v>
      </c>
      <c r="AI82" s="3"/>
      <c r="AJ82" s="3" t="s">
        <v>1260</v>
      </c>
      <c r="AK82" s="3" t="s">
        <v>1261</v>
      </c>
      <c r="AL82" s="3"/>
      <c r="AM82" s="3"/>
      <c r="AN82" s="3" t="s">
        <v>1262</v>
      </c>
      <c r="AO82" s="3" t="s">
        <v>1263</v>
      </c>
      <c r="AP82" s="3" t="s">
        <v>1264</v>
      </c>
      <c r="AQ82" s="3" t="s">
        <v>1265</v>
      </c>
      <c r="AR82" s="3" t="s">
        <v>1266</v>
      </c>
      <c r="AS82" s="3" t="s">
        <v>1267</v>
      </c>
      <c r="AT82" s="3" t="s">
        <v>1268</v>
      </c>
    </row>
    <row r="83" spans="1:46" ht="12.5" x14ac:dyDescent="0.25">
      <c r="A83" s="3" t="s">
        <v>46</v>
      </c>
      <c r="B83" s="3" t="s">
        <v>1269</v>
      </c>
      <c r="C83" s="3" t="s">
        <v>1270</v>
      </c>
      <c r="D83" s="3" t="s">
        <v>1271</v>
      </c>
      <c r="E83" s="3" t="s">
        <v>1272</v>
      </c>
      <c r="F83" s="3" t="s">
        <v>1273</v>
      </c>
      <c r="G83" s="3" t="s">
        <v>1274</v>
      </c>
      <c r="H83" s="3" t="s">
        <v>1275</v>
      </c>
      <c r="I83" s="3" t="s">
        <v>407</v>
      </c>
      <c r="J83" s="3" t="s">
        <v>1276</v>
      </c>
      <c r="K83" s="3" t="s">
        <v>1277</v>
      </c>
      <c r="L83" s="3">
        <v>199</v>
      </c>
      <c r="M83" s="3" t="s">
        <v>1278</v>
      </c>
      <c r="N83" s="3" t="s">
        <v>1279</v>
      </c>
      <c r="O83" s="3">
        <v>93225100</v>
      </c>
      <c r="P83" s="3" t="s">
        <v>1280</v>
      </c>
      <c r="Q83" s="3" t="s">
        <v>1281</v>
      </c>
      <c r="R83" s="3" t="s">
        <v>146</v>
      </c>
      <c r="S83" s="3" t="s">
        <v>1282</v>
      </c>
      <c r="T83" s="3">
        <v>10</v>
      </c>
      <c r="U83" s="3">
        <v>12</v>
      </c>
      <c r="W83" s="3">
        <v>110</v>
      </c>
      <c r="X83" s="10">
        <v>110</v>
      </c>
      <c r="Y83" s="6">
        <v>42565</v>
      </c>
      <c r="Z83" s="3" t="s">
        <v>62</v>
      </c>
      <c r="AA83" s="3">
        <v>0</v>
      </c>
      <c r="AB83" s="3">
        <v>10</v>
      </c>
      <c r="AC83" s="3">
        <v>3</v>
      </c>
      <c r="AD83" s="3" t="s">
        <v>1283</v>
      </c>
      <c r="AE83" s="3" t="s">
        <v>1284</v>
      </c>
      <c r="AF83" s="9">
        <v>17000</v>
      </c>
      <c r="AG83" s="3" t="s">
        <v>120</v>
      </c>
      <c r="AH83" s="3" t="s">
        <v>120</v>
      </c>
      <c r="AJ83" s="3" t="s">
        <v>1285</v>
      </c>
      <c r="AK83" s="3" t="s">
        <v>1286</v>
      </c>
      <c r="AL83" s="3" t="s">
        <v>1287</v>
      </c>
      <c r="AN83" s="3"/>
      <c r="AO83" s="3" t="s">
        <v>1288</v>
      </c>
      <c r="AP83" s="3" t="s">
        <v>1289</v>
      </c>
      <c r="AQ83" s="3" t="s">
        <v>1290</v>
      </c>
      <c r="AR83" s="3" t="s">
        <v>1291</v>
      </c>
      <c r="AS83" s="3"/>
      <c r="AT83" s="3"/>
    </row>
    <row r="84" spans="1:46" ht="12.5" x14ac:dyDescent="0.25">
      <c r="A84" s="3" t="s">
        <v>46</v>
      </c>
      <c r="B84" s="3" t="s">
        <v>1292</v>
      </c>
      <c r="C84" s="3" t="s">
        <v>1293</v>
      </c>
      <c r="D84" s="3" t="s">
        <v>1294</v>
      </c>
      <c r="E84" s="3" t="s">
        <v>1295</v>
      </c>
      <c r="F84" s="3" t="s">
        <v>1296</v>
      </c>
      <c r="G84" s="3" t="s">
        <v>1297</v>
      </c>
      <c r="H84" s="3" t="s">
        <v>1298</v>
      </c>
      <c r="I84" s="3" t="s">
        <v>101</v>
      </c>
      <c r="J84" s="3" t="s">
        <v>1299</v>
      </c>
      <c r="K84" s="3" t="s">
        <v>1300</v>
      </c>
      <c r="L84" s="3">
        <v>49</v>
      </c>
      <c r="M84" s="3" t="s">
        <v>128</v>
      </c>
      <c r="N84" s="3" t="s">
        <v>1301</v>
      </c>
      <c r="O84" s="3">
        <v>2545060</v>
      </c>
      <c r="P84" s="3" t="s">
        <v>1302</v>
      </c>
      <c r="Q84" s="3" t="s">
        <v>1303</v>
      </c>
      <c r="R84" s="3" t="s">
        <v>216</v>
      </c>
      <c r="S84" s="3" t="s">
        <v>430</v>
      </c>
      <c r="T84" s="3">
        <v>4</v>
      </c>
      <c r="U84" s="3" t="s">
        <v>1304</v>
      </c>
      <c r="W84" s="3">
        <v>70</v>
      </c>
      <c r="X84" s="10">
        <v>24000</v>
      </c>
      <c r="Y84" s="6">
        <v>43980</v>
      </c>
      <c r="Z84" s="3" t="s">
        <v>62</v>
      </c>
      <c r="AA84" s="3">
        <v>0</v>
      </c>
      <c r="AB84" s="3">
        <v>14</v>
      </c>
      <c r="AC84" s="3">
        <v>5</v>
      </c>
      <c r="AD84" s="3" t="s">
        <v>1305</v>
      </c>
      <c r="AE84" s="3" t="s">
        <v>1306</v>
      </c>
      <c r="AF84" s="9">
        <v>80000</v>
      </c>
      <c r="AG84" s="3" t="s">
        <v>120</v>
      </c>
      <c r="AH84" s="3" t="s">
        <v>120</v>
      </c>
      <c r="AI84" s="3" t="s">
        <v>1307</v>
      </c>
      <c r="AJ84" s="3" t="s">
        <v>1308</v>
      </c>
      <c r="AK84" s="3" t="s">
        <v>1309</v>
      </c>
      <c r="AL84" s="3"/>
      <c r="AO84" s="3" t="s">
        <v>1310</v>
      </c>
      <c r="AP84" s="3" t="s">
        <v>1311</v>
      </c>
      <c r="AQ84" s="3" t="s">
        <v>1312</v>
      </c>
      <c r="AR84" s="3" t="s">
        <v>1313</v>
      </c>
    </row>
    <row r="85" spans="1:46" ht="12.5" x14ac:dyDescent="0.25">
      <c r="A85" s="3" t="s">
        <v>46</v>
      </c>
      <c r="B85" s="3" t="s">
        <v>1314</v>
      </c>
      <c r="C85" s="3" t="s">
        <v>1315</v>
      </c>
      <c r="D85" s="3" t="s">
        <v>1316</v>
      </c>
      <c r="E85" s="3" t="s">
        <v>1317</v>
      </c>
      <c r="F85" s="3" t="s">
        <v>1318</v>
      </c>
      <c r="G85" s="3" t="s">
        <v>1319</v>
      </c>
      <c r="H85" s="3" t="s">
        <v>623</v>
      </c>
      <c r="I85" s="3" t="s">
        <v>468</v>
      </c>
      <c r="J85" s="3" t="s">
        <v>1320</v>
      </c>
      <c r="K85" s="3" t="s">
        <v>1321</v>
      </c>
      <c r="L85" s="3">
        <v>17</v>
      </c>
      <c r="M85" s="3" t="s">
        <v>470</v>
      </c>
      <c r="N85" s="3"/>
      <c r="O85" s="3">
        <v>60542135</v>
      </c>
      <c r="P85" s="3" t="s">
        <v>1322</v>
      </c>
      <c r="Q85" s="3" t="s">
        <v>395</v>
      </c>
      <c r="R85" s="3" t="s">
        <v>77</v>
      </c>
      <c r="S85" s="3" t="s">
        <v>430</v>
      </c>
      <c r="T85" s="3">
        <v>4</v>
      </c>
      <c r="U85" s="3" t="s">
        <v>1323</v>
      </c>
      <c r="W85" s="3">
        <v>200</v>
      </c>
      <c r="X85" s="10">
        <v>1226</v>
      </c>
      <c r="Y85" s="6">
        <v>43106</v>
      </c>
      <c r="Z85" s="3" t="s">
        <v>62</v>
      </c>
      <c r="AA85" s="3">
        <v>0</v>
      </c>
      <c r="AB85" s="3">
        <v>12</v>
      </c>
      <c r="AC85" s="3">
        <v>1</v>
      </c>
      <c r="AD85" s="3" t="s">
        <v>148</v>
      </c>
      <c r="AE85" s="3">
        <v>5</v>
      </c>
      <c r="AF85" s="9">
        <v>1209993</v>
      </c>
      <c r="AG85" s="3" t="s">
        <v>120</v>
      </c>
      <c r="AH85" s="3" t="s">
        <v>120</v>
      </c>
      <c r="AI85" s="3"/>
      <c r="AJ85" s="3" t="s">
        <v>1324</v>
      </c>
      <c r="AK85" s="3" t="s">
        <v>1324</v>
      </c>
      <c r="AN85" s="3" t="s">
        <v>1325</v>
      </c>
      <c r="AO85" s="3" t="s">
        <v>1326</v>
      </c>
      <c r="AP85" s="3" t="s">
        <v>1327</v>
      </c>
      <c r="AQ85" s="3" t="s">
        <v>1328</v>
      </c>
      <c r="AR85" s="3"/>
      <c r="AT85" s="3" t="s">
        <v>1329</v>
      </c>
    </row>
    <row r="86" spans="1:46" ht="12.5" x14ac:dyDescent="0.25">
      <c r="A86" s="3" t="s">
        <v>46</v>
      </c>
      <c r="B86" s="3" t="s">
        <v>1330</v>
      </c>
      <c r="C86" s="3" t="s">
        <v>1331</v>
      </c>
      <c r="D86" s="3" t="s">
        <v>1332</v>
      </c>
      <c r="E86" s="3" t="s">
        <v>1333</v>
      </c>
      <c r="F86" s="3" t="s">
        <v>1334</v>
      </c>
      <c r="G86" s="3" t="s">
        <v>1335</v>
      </c>
      <c r="H86" s="3" t="s">
        <v>1336</v>
      </c>
      <c r="I86" s="3" t="s">
        <v>84</v>
      </c>
      <c r="J86" s="3" t="s">
        <v>1337</v>
      </c>
      <c r="K86" s="3" t="s">
        <v>1338</v>
      </c>
      <c r="L86" s="3">
        <v>80</v>
      </c>
      <c r="M86" s="3" t="s">
        <v>1339</v>
      </c>
      <c r="O86" s="3">
        <v>39400441</v>
      </c>
      <c r="P86" s="3" t="s">
        <v>1340</v>
      </c>
      <c r="Q86" s="3" t="s">
        <v>1341</v>
      </c>
      <c r="R86" s="3" t="s">
        <v>146</v>
      </c>
      <c r="S86" s="3" t="s">
        <v>1342</v>
      </c>
      <c r="T86" s="3">
        <v>2</v>
      </c>
      <c r="U86" s="3" t="s">
        <v>1343</v>
      </c>
      <c r="W86" s="3">
        <v>300</v>
      </c>
      <c r="X86" s="10">
        <v>800</v>
      </c>
      <c r="Y86" s="6">
        <v>40939</v>
      </c>
      <c r="Z86" s="3" t="s">
        <v>62</v>
      </c>
      <c r="AA86" s="3">
        <v>2</v>
      </c>
      <c r="AB86" s="3">
        <v>10</v>
      </c>
      <c r="AC86" s="3">
        <v>2</v>
      </c>
      <c r="AD86" s="3" t="s">
        <v>1344</v>
      </c>
      <c r="AE86" s="3" t="s">
        <v>1345</v>
      </c>
      <c r="AF86" s="9">
        <v>8000</v>
      </c>
      <c r="AG86" s="3" t="s">
        <v>120</v>
      </c>
      <c r="AH86" s="3" t="s">
        <v>120</v>
      </c>
      <c r="AI86" s="3" t="s">
        <v>1346</v>
      </c>
      <c r="AJ86" s="3" t="s">
        <v>1347</v>
      </c>
      <c r="AK86" s="3" t="s">
        <v>1348</v>
      </c>
      <c r="AL86" s="3" t="s">
        <v>1349</v>
      </c>
      <c r="AN86" s="3" t="s">
        <v>1350</v>
      </c>
      <c r="AO86" s="3" t="s">
        <v>1351</v>
      </c>
      <c r="AP86" s="3" t="s">
        <v>1352</v>
      </c>
      <c r="AQ86" s="3" t="s">
        <v>1353</v>
      </c>
      <c r="AR86" s="3" t="s">
        <v>1354</v>
      </c>
      <c r="AT86" s="3" t="s">
        <v>1355</v>
      </c>
    </row>
    <row r="87" spans="1:46" ht="12.5" x14ac:dyDescent="0.25">
      <c r="A87" s="3" t="s">
        <v>46</v>
      </c>
      <c r="B87" s="3" t="s">
        <v>1356</v>
      </c>
      <c r="C87" s="3" t="s">
        <v>1357</v>
      </c>
      <c r="D87" s="3" t="s">
        <v>1358</v>
      </c>
      <c r="E87" s="3" t="s">
        <v>1359</v>
      </c>
      <c r="F87" s="3" t="s">
        <v>1360</v>
      </c>
      <c r="G87" s="3" t="s">
        <v>1361</v>
      </c>
      <c r="H87" s="3" t="s">
        <v>1362</v>
      </c>
      <c r="I87" s="3" t="s">
        <v>84</v>
      </c>
      <c r="J87" s="3" t="s">
        <v>1363</v>
      </c>
      <c r="K87" s="3" t="s">
        <v>1364</v>
      </c>
      <c r="L87" s="3">
        <v>30</v>
      </c>
      <c r="M87" s="3" t="s">
        <v>177</v>
      </c>
      <c r="O87" s="3">
        <v>31250530</v>
      </c>
      <c r="P87" s="3"/>
      <c r="Q87" s="3" t="s">
        <v>199</v>
      </c>
      <c r="R87" s="3" t="s">
        <v>1365</v>
      </c>
      <c r="S87" s="3" t="s">
        <v>1366</v>
      </c>
      <c r="T87" s="3">
        <v>3</v>
      </c>
      <c r="U87" s="3" t="s">
        <v>1367</v>
      </c>
      <c r="V87" s="3" t="s">
        <v>1368</v>
      </c>
      <c r="W87" s="3">
        <v>0</v>
      </c>
      <c r="X87" s="10">
        <v>6000</v>
      </c>
      <c r="Y87" s="6">
        <v>43511</v>
      </c>
      <c r="Z87" s="3" t="s">
        <v>62</v>
      </c>
      <c r="AA87" s="3">
        <v>0</v>
      </c>
      <c r="AB87" s="3">
        <v>10</v>
      </c>
      <c r="AC87" s="3">
        <v>1</v>
      </c>
      <c r="AD87" s="3" t="s">
        <v>633</v>
      </c>
      <c r="AE87" s="3">
        <v>1</v>
      </c>
      <c r="AF87" s="9">
        <v>0</v>
      </c>
      <c r="AG87" s="3" t="s">
        <v>120</v>
      </c>
      <c r="AH87" s="3" t="s">
        <v>120</v>
      </c>
      <c r="AI87" s="3"/>
      <c r="AJ87" s="3" t="s">
        <v>1369</v>
      </c>
      <c r="AK87" s="3" t="s">
        <v>1369</v>
      </c>
      <c r="AL87" s="3" t="s">
        <v>1370</v>
      </c>
      <c r="AN87" s="3"/>
      <c r="AO87" s="3" t="s">
        <v>1371</v>
      </c>
      <c r="AP87" s="3" t="s">
        <v>1372</v>
      </c>
      <c r="AQ87" s="3" t="s">
        <v>1373</v>
      </c>
      <c r="AR87" s="3" t="s">
        <v>1374</v>
      </c>
      <c r="AT87" s="3"/>
    </row>
    <row r="88" spans="1:46" ht="12.5" x14ac:dyDescent="0.25">
      <c r="A88" s="3" t="s">
        <v>46</v>
      </c>
      <c r="B88" s="3" t="s">
        <v>1375</v>
      </c>
      <c r="C88" s="3" t="s">
        <v>1376</v>
      </c>
      <c r="D88" s="3" t="s">
        <v>1377</v>
      </c>
      <c r="E88" s="3" t="s">
        <v>620</v>
      </c>
      <c r="F88" s="3" t="s">
        <v>1378</v>
      </c>
      <c r="G88" s="3" t="s">
        <v>1379</v>
      </c>
      <c r="H88" s="3" t="s">
        <v>1380</v>
      </c>
      <c r="I88" s="3" t="s">
        <v>1381</v>
      </c>
      <c r="J88" s="3" t="s">
        <v>1382</v>
      </c>
      <c r="K88" s="3" t="s">
        <v>1383</v>
      </c>
      <c r="L88" s="3">
        <v>2</v>
      </c>
      <c r="M88" s="3" t="s">
        <v>1384</v>
      </c>
      <c r="O88" s="3">
        <v>73150150</v>
      </c>
      <c r="Q88" s="3" t="s">
        <v>1385</v>
      </c>
      <c r="R88" s="3" t="s">
        <v>161</v>
      </c>
      <c r="S88" s="3" t="s">
        <v>1386</v>
      </c>
      <c r="T88" s="3">
        <v>20</v>
      </c>
      <c r="U88" s="3" t="s">
        <v>1387</v>
      </c>
      <c r="V88" s="3"/>
      <c r="W88" s="3">
        <v>45</v>
      </c>
      <c r="X88" s="10">
        <v>500</v>
      </c>
      <c r="Y88" s="6">
        <v>41813</v>
      </c>
      <c r="Z88" s="3" t="s">
        <v>120</v>
      </c>
      <c r="AA88" s="3">
        <v>0</v>
      </c>
      <c r="AB88" s="3">
        <v>7</v>
      </c>
      <c r="AC88" s="3">
        <v>4</v>
      </c>
      <c r="AD88" s="3" t="s">
        <v>1388</v>
      </c>
      <c r="AE88" s="3" t="s">
        <v>1389</v>
      </c>
      <c r="AF88" s="9">
        <v>70000</v>
      </c>
      <c r="AG88" s="3" t="s">
        <v>120</v>
      </c>
      <c r="AH88" s="3" t="s">
        <v>120</v>
      </c>
      <c r="AI88" s="3" t="s">
        <v>1390</v>
      </c>
      <c r="AJ88" s="3" t="s">
        <v>1391</v>
      </c>
      <c r="AK88" s="3" t="s">
        <v>1392</v>
      </c>
      <c r="AL88" s="3"/>
      <c r="AN88" s="3" t="s">
        <v>1393</v>
      </c>
      <c r="AO88" s="3" t="s">
        <v>1394</v>
      </c>
      <c r="AP88" s="3" t="s">
        <v>1395</v>
      </c>
      <c r="AQ88" s="3"/>
      <c r="AR88" s="3" t="s">
        <v>1396</v>
      </c>
      <c r="AS88" s="3" t="s">
        <v>1397</v>
      </c>
      <c r="AT88" s="3" t="s">
        <v>1398</v>
      </c>
    </row>
    <row r="89" spans="1:46" ht="12.5" x14ac:dyDescent="0.25">
      <c r="A89" s="3" t="s">
        <v>46</v>
      </c>
      <c r="B89" s="3" t="s">
        <v>1399</v>
      </c>
      <c r="C89" s="3" t="s">
        <v>1400</v>
      </c>
      <c r="D89" s="3" t="s">
        <v>1401</v>
      </c>
      <c r="E89" s="3" t="s">
        <v>1402</v>
      </c>
      <c r="F89" s="3" t="s">
        <v>1403</v>
      </c>
      <c r="G89" s="3" t="s">
        <v>1404</v>
      </c>
      <c r="H89" s="3" t="s">
        <v>1405</v>
      </c>
      <c r="I89" s="3" t="s">
        <v>84</v>
      </c>
      <c r="J89" s="3" t="s">
        <v>1406</v>
      </c>
      <c r="K89" s="3" t="s">
        <v>1407</v>
      </c>
      <c r="L89" s="3">
        <v>33</v>
      </c>
      <c r="M89" s="3" t="s">
        <v>177</v>
      </c>
      <c r="N89" s="3" t="s">
        <v>1301</v>
      </c>
      <c r="O89" s="3">
        <v>31985150</v>
      </c>
      <c r="P89" s="3" t="s">
        <v>1408</v>
      </c>
      <c r="Q89" s="3" t="s">
        <v>473</v>
      </c>
      <c r="R89" s="3" t="s">
        <v>130</v>
      </c>
      <c r="S89" s="3" t="s">
        <v>430</v>
      </c>
      <c r="T89" s="3">
        <v>10</v>
      </c>
      <c r="U89" s="3" t="s">
        <v>1409</v>
      </c>
      <c r="V89" s="3" t="s">
        <v>1410</v>
      </c>
      <c r="W89" s="3">
        <v>726</v>
      </c>
      <c r="X89" s="10">
        <v>4025</v>
      </c>
      <c r="Y89" s="6">
        <v>39286</v>
      </c>
      <c r="Z89" s="3" t="s">
        <v>62</v>
      </c>
      <c r="AA89" s="3">
        <v>10</v>
      </c>
      <c r="AB89" s="3">
        <v>20</v>
      </c>
      <c r="AC89" s="3">
        <v>5</v>
      </c>
      <c r="AD89" s="3" t="s">
        <v>1411</v>
      </c>
      <c r="AE89" s="3">
        <v>5</v>
      </c>
      <c r="AF89" s="9">
        <v>306039</v>
      </c>
      <c r="AG89" s="3" t="s">
        <v>62</v>
      </c>
      <c r="AH89" s="3" t="s">
        <v>120</v>
      </c>
      <c r="AI89" s="3" t="s">
        <v>1412</v>
      </c>
      <c r="AJ89" s="3" t="s">
        <v>1413</v>
      </c>
      <c r="AK89" s="3" t="s">
        <v>1414</v>
      </c>
      <c r="AL89" s="3" t="s">
        <v>1415</v>
      </c>
      <c r="AM89" s="7" t="s">
        <v>1416</v>
      </c>
      <c r="AN89" s="3" t="s">
        <v>1417</v>
      </c>
      <c r="AO89" s="3" t="s">
        <v>1418</v>
      </c>
      <c r="AP89" s="3" t="s">
        <v>1419</v>
      </c>
      <c r="AQ89" s="3" t="s">
        <v>1420</v>
      </c>
      <c r="AR89" s="3" t="s">
        <v>1421</v>
      </c>
      <c r="AS89" s="3" t="s">
        <v>1422</v>
      </c>
      <c r="AT89" s="3" t="s">
        <v>1423</v>
      </c>
    </row>
    <row r="90" spans="1:46" ht="12.5" x14ac:dyDescent="0.25">
      <c r="A90" s="3" t="s">
        <v>46</v>
      </c>
      <c r="B90" s="3" t="s">
        <v>1424</v>
      </c>
      <c r="C90" s="3" t="s">
        <v>1425</v>
      </c>
      <c r="D90" s="3" t="s">
        <v>1426</v>
      </c>
      <c r="E90" s="3" t="s">
        <v>1427</v>
      </c>
      <c r="F90" s="3" t="s">
        <v>1428</v>
      </c>
      <c r="G90" s="3" t="s">
        <v>1429</v>
      </c>
      <c r="H90" s="3" t="s">
        <v>1430</v>
      </c>
      <c r="I90" s="3" t="s">
        <v>84</v>
      </c>
      <c r="J90" s="3" t="s">
        <v>1431</v>
      </c>
      <c r="K90" s="3" t="s">
        <v>1432</v>
      </c>
      <c r="L90" s="3">
        <v>247</v>
      </c>
      <c r="M90" s="3" t="s">
        <v>266</v>
      </c>
      <c r="N90" s="3" t="s">
        <v>1433</v>
      </c>
      <c r="O90" s="3">
        <v>32371120</v>
      </c>
      <c r="P90" s="3"/>
      <c r="Q90" s="3" t="s">
        <v>1434</v>
      </c>
      <c r="R90" s="3" t="s">
        <v>161</v>
      </c>
      <c r="S90" s="3" t="s">
        <v>1435</v>
      </c>
      <c r="T90" s="3">
        <v>12</v>
      </c>
      <c r="U90" s="3" t="s">
        <v>1436</v>
      </c>
      <c r="V90" s="3" t="s">
        <v>1437</v>
      </c>
      <c r="W90" s="3">
        <v>80</v>
      </c>
      <c r="X90" s="10">
        <v>1000</v>
      </c>
      <c r="Y90" s="6">
        <v>38107</v>
      </c>
      <c r="Z90" s="3" t="s">
        <v>62</v>
      </c>
      <c r="AA90" s="3">
        <v>0</v>
      </c>
      <c r="AB90" s="3">
        <v>8</v>
      </c>
      <c r="AC90" s="3">
        <v>3</v>
      </c>
      <c r="AD90" s="3" t="s">
        <v>1438</v>
      </c>
      <c r="AE90" s="3" t="s">
        <v>1439</v>
      </c>
      <c r="AF90" s="9">
        <v>80000</v>
      </c>
      <c r="AG90" s="3" t="s">
        <v>120</v>
      </c>
      <c r="AH90" s="3" t="s">
        <v>120</v>
      </c>
      <c r="AI90" s="3" t="s">
        <v>1440</v>
      </c>
      <c r="AJ90" s="3" t="s">
        <v>1441</v>
      </c>
      <c r="AK90" s="3" t="s">
        <v>1442</v>
      </c>
      <c r="AL90" s="3" t="s">
        <v>1443</v>
      </c>
      <c r="AM90" s="7" t="s">
        <v>1444</v>
      </c>
      <c r="AN90" s="3" t="s">
        <v>1445</v>
      </c>
      <c r="AO90" s="3" t="s">
        <v>1446</v>
      </c>
      <c r="AP90" s="3" t="s">
        <v>1447</v>
      </c>
      <c r="AQ90" s="3" t="s">
        <v>1448</v>
      </c>
      <c r="AR90" s="3" t="s">
        <v>1449</v>
      </c>
      <c r="AS90" s="3"/>
      <c r="AT90" s="3"/>
    </row>
    <row r="91" spans="1:46" ht="12.5" x14ac:dyDescent="0.25">
      <c r="A91" s="3" t="s">
        <v>46</v>
      </c>
      <c r="B91" s="3" t="s">
        <v>1450</v>
      </c>
      <c r="C91" s="3" t="s">
        <v>1451</v>
      </c>
      <c r="D91" s="3" t="s">
        <v>1452</v>
      </c>
      <c r="E91" s="3" t="s">
        <v>1453</v>
      </c>
      <c r="F91" s="3" t="s">
        <v>1454</v>
      </c>
      <c r="G91" s="3" t="s">
        <v>1455</v>
      </c>
      <c r="H91" s="3" t="s">
        <v>1456</v>
      </c>
      <c r="I91" s="3" t="s">
        <v>84</v>
      </c>
      <c r="J91" s="3" t="s">
        <v>1457</v>
      </c>
      <c r="K91" s="3" t="s">
        <v>1458</v>
      </c>
      <c r="L91" s="3">
        <v>16</v>
      </c>
      <c r="M91" s="3" t="s">
        <v>1459</v>
      </c>
      <c r="N91" s="3" t="s">
        <v>1460</v>
      </c>
      <c r="O91" s="3">
        <v>35180071</v>
      </c>
      <c r="P91" s="3" t="s">
        <v>1461</v>
      </c>
      <c r="Q91" s="3" t="s">
        <v>115</v>
      </c>
      <c r="R91" s="3" t="s">
        <v>216</v>
      </c>
      <c r="S91" s="3" t="s">
        <v>1462</v>
      </c>
      <c r="T91" s="3">
        <v>22</v>
      </c>
      <c r="U91" s="3" t="s">
        <v>1463</v>
      </c>
      <c r="V91" s="3" t="s">
        <v>1464</v>
      </c>
      <c r="W91" s="3">
        <v>600</v>
      </c>
      <c r="X91" s="10">
        <v>300</v>
      </c>
      <c r="Y91" s="6">
        <v>43989</v>
      </c>
      <c r="Z91" s="3" t="s">
        <v>62</v>
      </c>
      <c r="AA91" s="3">
        <v>0</v>
      </c>
      <c r="AB91" s="3">
        <v>10</v>
      </c>
      <c r="AC91" s="3">
        <v>2</v>
      </c>
      <c r="AD91" s="3" t="s">
        <v>1465</v>
      </c>
      <c r="AE91" s="3" t="s">
        <v>1466</v>
      </c>
      <c r="AF91" s="9">
        <v>1000</v>
      </c>
      <c r="AG91" s="3" t="s">
        <v>120</v>
      </c>
      <c r="AH91" s="3" t="s">
        <v>120</v>
      </c>
      <c r="AI91" s="3" t="s">
        <v>1467</v>
      </c>
      <c r="AJ91" s="3" t="s">
        <v>1468</v>
      </c>
      <c r="AK91" s="3" t="s">
        <v>1469</v>
      </c>
      <c r="AL91" s="3" t="s">
        <v>1470</v>
      </c>
      <c r="AM91" s="3"/>
      <c r="AN91" s="3"/>
      <c r="AO91" s="3" t="s">
        <v>1471</v>
      </c>
      <c r="AP91" s="3" t="s">
        <v>1472</v>
      </c>
      <c r="AQ91" s="3"/>
      <c r="AR91" s="3" t="s">
        <v>1473</v>
      </c>
    </row>
    <row r="92" spans="1:46" ht="12.5" x14ac:dyDescent="0.25">
      <c r="A92" s="3" t="s">
        <v>46</v>
      </c>
      <c r="B92" s="3" t="s">
        <v>1474</v>
      </c>
      <c r="C92" s="3" t="s">
        <v>1475</v>
      </c>
      <c r="D92" s="3" t="s">
        <v>1476</v>
      </c>
      <c r="E92" s="3" t="s">
        <v>1477</v>
      </c>
      <c r="F92" s="3" t="s">
        <v>1478</v>
      </c>
      <c r="G92" s="3" t="s">
        <v>1479</v>
      </c>
      <c r="H92" s="3" t="s">
        <v>1480</v>
      </c>
      <c r="I92" s="3" t="s">
        <v>101</v>
      </c>
      <c r="J92" s="3" t="s">
        <v>1481</v>
      </c>
      <c r="K92" s="3" t="s">
        <v>1482</v>
      </c>
      <c r="L92" s="3">
        <v>35</v>
      </c>
      <c r="M92" s="3" t="s">
        <v>128</v>
      </c>
      <c r="N92" s="3"/>
      <c r="O92" s="3">
        <v>5882330</v>
      </c>
      <c r="P92" s="3"/>
      <c r="Q92" s="3" t="s">
        <v>89</v>
      </c>
      <c r="R92" s="3" t="s">
        <v>1483</v>
      </c>
      <c r="S92" s="3" t="s">
        <v>1133</v>
      </c>
      <c r="T92" s="3">
        <v>3</v>
      </c>
      <c r="U92" s="3" t="s">
        <v>1484</v>
      </c>
      <c r="V92" s="3"/>
      <c r="W92" s="10">
        <v>1400</v>
      </c>
      <c r="X92" s="10">
        <v>3000</v>
      </c>
      <c r="Y92" s="6">
        <v>36568</v>
      </c>
      <c r="Z92" s="3" t="s">
        <v>62</v>
      </c>
      <c r="AA92" s="3">
        <v>32</v>
      </c>
      <c r="AB92" s="3">
        <v>5</v>
      </c>
      <c r="AC92" s="3">
        <v>5</v>
      </c>
      <c r="AD92" s="3" t="s">
        <v>1485</v>
      </c>
      <c r="AE92" s="3" t="s">
        <v>1486</v>
      </c>
      <c r="AF92" s="9">
        <v>1.40083895</v>
      </c>
      <c r="AG92" s="3" t="s">
        <v>120</v>
      </c>
      <c r="AH92" s="3" t="s">
        <v>120</v>
      </c>
      <c r="AI92" s="3" t="s">
        <v>1487</v>
      </c>
      <c r="AJ92" s="3" t="s">
        <v>1488</v>
      </c>
      <c r="AK92" s="3" t="s">
        <v>1489</v>
      </c>
      <c r="AL92" s="3" t="s">
        <v>1490</v>
      </c>
      <c r="AN92" s="3"/>
      <c r="AO92" s="3" t="s">
        <v>1491</v>
      </c>
      <c r="AP92" s="3" t="s">
        <v>1492</v>
      </c>
      <c r="AQ92" s="3" t="s">
        <v>1493</v>
      </c>
      <c r="AR92" s="3" t="s">
        <v>1494</v>
      </c>
      <c r="AS92" s="3" t="s">
        <v>1495</v>
      </c>
      <c r="AT92" s="3"/>
    </row>
    <row r="93" spans="1:46" ht="12.5" x14ac:dyDescent="0.25">
      <c r="A93" s="3" t="s">
        <v>46</v>
      </c>
      <c r="B93" s="3" t="s">
        <v>1496</v>
      </c>
      <c r="C93" s="3" t="s">
        <v>1497</v>
      </c>
      <c r="D93" s="3" t="s">
        <v>1497</v>
      </c>
      <c r="E93" s="3" t="s">
        <v>620</v>
      </c>
      <c r="F93" s="3" t="s">
        <v>1498</v>
      </c>
      <c r="G93" s="3" t="s">
        <v>1499</v>
      </c>
      <c r="H93" s="3" t="s">
        <v>1500</v>
      </c>
      <c r="I93" s="3" t="s">
        <v>84</v>
      </c>
      <c r="J93" s="3" t="s">
        <v>1501</v>
      </c>
      <c r="K93" s="3" t="s">
        <v>1501</v>
      </c>
      <c r="L93" s="3">
        <v>0</v>
      </c>
      <c r="M93" s="3" t="s">
        <v>177</v>
      </c>
      <c r="N93" s="3" t="s">
        <v>1501</v>
      </c>
      <c r="O93" s="3">
        <v>0</v>
      </c>
      <c r="Q93" s="3" t="s">
        <v>179</v>
      </c>
      <c r="R93" s="3" t="s">
        <v>75</v>
      </c>
      <c r="S93" s="3" t="s">
        <v>696</v>
      </c>
      <c r="T93" s="3">
        <v>10</v>
      </c>
      <c r="U93" s="3" t="s">
        <v>1502</v>
      </c>
      <c r="W93" s="10">
        <v>10</v>
      </c>
      <c r="X93" s="10">
        <v>500</v>
      </c>
      <c r="Y93" s="6">
        <v>44415</v>
      </c>
      <c r="Z93" s="3" t="s">
        <v>120</v>
      </c>
      <c r="AA93" s="3">
        <v>0</v>
      </c>
      <c r="AB93" s="3">
        <v>0</v>
      </c>
      <c r="AC93" s="3">
        <v>2</v>
      </c>
      <c r="AD93" s="3" t="s">
        <v>132</v>
      </c>
      <c r="AE93" s="3" t="s">
        <v>592</v>
      </c>
      <c r="AF93" s="9">
        <v>0</v>
      </c>
      <c r="AG93" s="3" t="s">
        <v>62</v>
      </c>
      <c r="AH93" s="3" t="s">
        <v>120</v>
      </c>
      <c r="AI93" s="3"/>
      <c r="AJ93" s="3" t="s">
        <v>1503</v>
      </c>
      <c r="AK93" s="3" t="s">
        <v>1504</v>
      </c>
      <c r="AL93" s="3" t="s">
        <v>1505</v>
      </c>
      <c r="AO93" s="3"/>
      <c r="AP93" s="3"/>
      <c r="AQ93" s="3"/>
      <c r="AR93" s="3" t="s">
        <v>1506</v>
      </c>
      <c r="AS93" s="3"/>
    </row>
    <row r="94" spans="1:46" ht="12.5" x14ac:dyDescent="0.25">
      <c r="A94" s="3" t="s">
        <v>46</v>
      </c>
      <c r="B94" s="3" t="s">
        <v>1507</v>
      </c>
      <c r="C94" s="3" t="s">
        <v>1508</v>
      </c>
      <c r="D94" s="3" t="s">
        <v>1509</v>
      </c>
      <c r="E94" s="3" t="s">
        <v>1510</v>
      </c>
      <c r="F94" s="3" t="s">
        <v>1511</v>
      </c>
      <c r="G94" s="3" t="s">
        <v>1512</v>
      </c>
      <c r="H94" s="3" t="s">
        <v>1513</v>
      </c>
      <c r="I94" s="3" t="s">
        <v>84</v>
      </c>
      <c r="J94" s="3" t="s">
        <v>1514</v>
      </c>
      <c r="K94" s="3" t="s">
        <v>1515</v>
      </c>
      <c r="L94" s="3">
        <v>0</v>
      </c>
      <c r="M94" s="3" t="s">
        <v>1516</v>
      </c>
      <c r="N94" s="3"/>
      <c r="O94" s="3">
        <v>36170000</v>
      </c>
      <c r="P94" s="3" t="s">
        <v>1517</v>
      </c>
      <c r="Q94" s="3" t="s">
        <v>1518</v>
      </c>
      <c r="R94" s="3" t="s">
        <v>75</v>
      </c>
      <c r="S94" s="3" t="s">
        <v>430</v>
      </c>
      <c r="T94" s="3">
        <v>6</v>
      </c>
      <c r="U94" s="3" t="s">
        <v>1519</v>
      </c>
      <c r="V94" s="3" t="s">
        <v>1520</v>
      </c>
      <c r="W94" s="3">
        <v>75</v>
      </c>
      <c r="X94" s="10">
        <v>1500</v>
      </c>
      <c r="Y94" s="6">
        <v>42476</v>
      </c>
      <c r="Z94" s="3" t="s">
        <v>62</v>
      </c>
      <c r="AA94" s="3">
        <v>0</v>
      </c>
      <c r="AB94" s="3">
        <v>12</v>
      </c>
      <c r="AC94" s="3">
        <v>1</v>
      </c>
      <c r="AD94" s="3" t="s">
        <v>655</v>
      </c>
      <c r="AE94" s="3" t="s">
        <v>1521</v>
      </c>
      <c r="AF94" s="9">
        <v>7800</v>
      </c>
      <c r="AG94" s="3" t="s">
        <v>120</v>
      </c>
      <c r="AH94" s="3" t="s">
        <v>120</v>
      </c>
      <c r="AJ94" s="3" t="s">
        <v>1522</v>
      </c>
      <c r="AK94" s="3" t="s">
        <v>1523</v>
      </c>
      <c r="AL94" s="3" t="s">
        <v>1524</v>
      </c>
      <c r="AN94" s="3" t="s">
        <v>1525</v>
      </c>
      <c r="AO94" s="3" t="s">
        <v>1526</v>
      </c>
      <c r="AP94" s="3" t="s">
        <v>1527</v>
      </c>
      <c r="AQ94" s="3" t="s">
        <v>1528</v>
      </c>
      <c r="AR94" s="3" t="s">
        <v>1529</v>
      </c>
    </row>
    <row r="95" spans="1:46" ht="12.5" x14ac:dyDescent="0.25">
      <c r="A95" s="3" t="s">
        <v>46</v>
      </c>
      <c r="B95" s="3" t="s">
        <v>1530</v>
      </c>
      <c r="C95" s="3" t="s">
        <v>1531</v>
      </c>
      <c r="D95" s="3" t="s">
        <v>1532</v>
      </c>
      <c r="E95" s="3" t="s">
        <v>1533</v>
      </c>
      <c r="F95" s="3" t="s">
        <v>1534</v>
      </c>
      <c r="G95" s="3" t="s">
        <v>1535</v>
      </c>
      <c r="H95" s="3" t="s">
        <v>1536</v>
      </c>
      <c r="I95" s="3" t="s">
        <v>84</v>
      </c>
      <c r="J95" s="3" t="s">
        <v>1537</v>
      </c>
      <c r="K95" s="3" t="s">
        <v>1538</v>
      </c>
      <c r="L95" s="3">
        <v>375</v>
      </c>
      <c r="M95" s="3" t="s">
        <v>266</v>
      </c>
      <c r="N95" s="3" t="s">
        <v>1539</v>
      </c>
      <c r="O95" s="3">
        <v>32042430</v>
      </c>
      <c r="P95" s="3" t="s">
        <v>1540</v>
      </c>
      <c r="Q95" s="3" t="s">
        <v>115</v>
      </c>
      <c r="R95" s="3" t="s">
        <v>216</v>
      </c>
      <c r="S95" s="3" t="s">
        <v>1541</v>
      </c>
      <c r="T95" s="3">
        <v>6</v>
      </c>
      <c r="U95" s="3" t="s">
        <v>1542</v>
      </c>
      <c r="V95" s="3" t="s">
        <v>1543</v>
      </c>
      <c r="W95" s="3">
        <v>70</v>
      </c>
      <c r="X95" s="10">
        <v>3000</v>
      </c>
      <c r="Y95" s="6">
        <v>44059</v>
      </c>
      <c r="Z95" s="3" t="s">
        <v>62</v>
      </c>
      <c r="AA95" s="3">
        <v>20</v>
      </c>
      <c r="AB95" s="3">
        <v>8</v>
      </c>
      <c r="AC95" s="3">
        <v>5</v>
      </c>
      <c r="AD95" s="3" t="s">
        <v>1544</v>
      </c>
      <c r="AE95" s="3" t="s">
        <v>1545</v>
      </c>
      <c r="AF95" s="9">
        <v>60000</v>
      </c>
      <c r="AG95" s="3" t="s">
        <v>62</v>
      </c>
      <c r="AH95" s="3" t="s">
        <v>120</v>
      </c>
      <c r="AI95" s="3" t="s">
        <v>1546</v>
      </c>
      <c r="AJ95" s="3" t="s">
        <v>1547</v>
      </c>
      <c r="AK95" s="3" t="s">
        <v>1548</v>
      </c>
      <c r="AL95" s="3" t="s">
        <v>151</v>
      </c>
      <c r="AN95" s="3" t="s">
        <v>1549</v>
      </c>
      <c r="AO95" s="3" t="s">
        <v>1550</v>
      </c>
      <c r="AP95" s="3" t="s">
        <v>1551</v>
      </c>
      <c r="AQ95" s="3"/>
      <c r="AR95" s="3" t="s">
        <v>1552</v>
      </c>
      <c r="AT95" s="3" t="s">
        <v>1553</v>
      </c>
    </row>
    <row r="96" spans="1:46" ht="12.5" x14ac:dyDescent="0.25">
      <c r="A96" s="3" t="s">
        <v>152</v>
      </c>
      <c r="B96" s="3" t="s">
        <v>1554</v>
      </c>
      <c r="C96" s="3" t="s">
        <v>1555</v>
      </c>
      <c r="D96" s="3" t="s">
        <v>1555</v>
      </c>
      <c r="E96" s="3" t="s">
        <v>1556</v>
      </c>
      <c r="F96" s="3" t="s">
        <v>1557</v>
      </c>
      <c r="G96" s="3" t="s">
        <v>1558</v>
      </c>
      <c r="H96" s="3" t="s">
        <v>1559</v>
      </c>
      <c r="I96" s="3" t="s">
        <v>379</v>
      </c>
      <c r="J96" s="3" t="s">
        <v>1560</v>
      </c>
      <c r="K96" s="3" t="s">
        <v>1561</v>
      </c>
      <c r="L96" s="3">
        <v>83</v>
      </c>
      <c r="M96" s="3" t="s">
        <v>1562</v>
      </c>
      <c r="N96" s="3" t="s">
        <v>1563</v>
      </c>
      <c r="O96" s="3">
        <v>53130510</v>
      </c>
      <c r="P96" s="3"/>
      <c r="Q96" s="3" t="s">
        <v>651</v>
      </c>
      <c r="R96" s="3" t="s">
        <v>75</v>
      </c>
      <c r="S96" s="3" t="s">
        <v>430</v>
      </c>
      <c r="T96" s="3">
        <v>15</v>
      </c>
      <c r="U96" s="3" t="s">
        <v>1564</v>
      </c>
      <c r="V96" s="3" t="s">
        <v>1565</v>
      </c>
      <c r="W96" s="3">
        <v>900</v>
      </c>
      <c r="X96" s="10">
        <v>2250</v>
      </c>
      <c r="Y96" s="6">
        <v>43400</v>
      </c>
      <c r="Z96" s="3" t="s">
        <v>62</v>
      </c>
      <c r="AA96" s="3">
        <v>0</v>
      </c>
      <c r="AB96" s="3">
        <v>30</v>
      </c>
      <c r="AC96" s="3">
        <v>0</v>
      </c>
      <c r="AD96" s="3" t="s">
        <v>591</v>
      </c>
      <c r="AE96" s="3">
        <v>0</v>
      </c>
      <c r="AF96" s="9">
        <v>6</v>
      </c>
      <c r="AG96" s="3" t="s">
        <v>120</v>
      </c>
      <c r="AH96" s="3" t="s">
        <v>120</v>
      </c>
      <c r="AI96" s="3"/>
      <c r="AJ96" s="3" t="s">
        <v>1566</v>
      </c>
      <c r="AK96" s="3"/>
      <c r="AL96" s="3"/>
      <c r="AN96" s="3"/>
      <c r="AO96" s="3" t="s">
        <v>1567</v>
      </c>
      <c r="AP96" s="3" t="s">
        <v>1568</v>
      </c>
      <c r="AQ96" s="3" t="s">
        <v>1569</v>
      </c>
      <c r="AR96" s="3" t="s">
        <v>1570</v>
      </c>
      <c r="AT96" s="3"/>
    </row>
    <row r="97" spans="1:46" ht="12.5" x14ac:dyDescent="0.25">
      <c r="A97" s="3" t="s">
        <v>46</v>
      </c>
      <c r="B97" s="3" t="s">
        <v>1571</v>
      </c>
      <c r="C97" s="3" t="s">
        <v>1572</v>
      </c>
      <c r="D97" s="3" t="s">
        <v>1573</v>
      </c>
      <c r="E97" s="3" t="s">
        <v>1574</v>
      </c>
      <c r="F97" s="3" t="s">
        <v>1575</v>
      </c>
      <c r="G97" s="3" t="s">
        <v>1576</v>
      </c>
      <c r="H97" s="3" t="s">
        <v>1577</v>
      </c>
      <c r="I97" s="3" t="s">
        <v>101</v>
      </c>
      <c r="J97" s="3" t="s">
        <v>1578</v>
      </c>
      <c r="K97" s="3" t="s">
        <v>1579</v>
      </c>
      <c r="L97" s="3">
        <v>47</v>
      </c>
      <c r="M97" s="3" t="s">
        <v>1580</v>
      </c>
      <c r="N97" s="3"/>
      <c r="O97" s="3">
        <v>8772560</v>
      </c>
      <c r="Q97" s="3" t="s">
        <v>1581</v>
      </c>
      <c r="R97" s="3" t="s">
        <v>1582</v>
      </c>
      <c r="S97" s="3" t="s">
        <v>430</v>
      </c>
      <c r="T97" s="3">
        <v>1</v>
      </c>
      <c r="U97" s="3" t="s">
        <v>1583</v>
      </c>
      <c r="V97" s="3" t="s">
        <v>1584</v>
      </c>
      <c r="W97" s="3">
        <v>160</v>
      </c>
      <c r="X97" s="10">
        <v>1100</v>
      </c>
      <c r="Y97" s="8">
        <v>42063</v>
      </c>
      <c r="Z97" s="3" t="s">
        <v>62</v>
      </c>
      <c r="AA97" s="3">
        <v>1</v>
      </c>
      <c r="AB97" s="3">
        <v>30</v>
      </c>
      <c r="AC97" s="3">
        <v>4</v>
      </c>
      <c r="AD97" s="3" t="s">
        <v>1585</v>
      </c>
      <c r="AE97" s="3" t="s">
        <v>1586</v>
      </c>
      <c r="AF97" s="9">
        <v>12308853</v>
      </c>
      <c r="AG97" s="3" t="s">
        <v>120</v>
      </c>
      <c r="AH97" s="3" t="s">
        <v>120</v>
      </c>
      <c r="AI97" s="3" t="s">
        <v>1587</v>
      </c>
      <c r="AJ97" s="3" t="s">
        <v>1588</v>
      </c>
      <c r="AK97" s="3" t="s">
        <v>1589</v>
      </c>
      <c r="AL97" s="3" t="s">
        <v>1590</v>
      </c>
      <c r="AM97" s="7" t="s">
        <v>1591</v>
      </c>
      <c r="AN97" s="3" t="s">
        <v>1592</v>
      </c>
      <c r="AO97" s="3" t="s">
        <v>1593</v>
      </c>
      <c r="AP97" s="3" t="s">
        <v>1594</v>
      </c>
      <c r="AQ97" s="3" t="s">
        <v>1595</v>
      </c>
      <c r="AR97" s="3" t="s">
        <v>1596</v>
      </c>
      <c r="AS97" s="3" t="s">
        <v>1597</v>
      </c>
      <c r="AT97" s="3" t="s">
        <v>1598</v>
      </c>
    </row>
    <row r="98" spans="1:46" ht="12.5" x14ac:dyDescent="0.25">
      <c r="A98" s="3" t="s">
        <v>46</v>
      </c>
      <c r="B98" s="3" t="s">
        <v>1599</v>
      </c>
      <c r="C98" s="3" t="s">
        <v>1600</v>
      </c>
      <c r="D98" s="3" t="s">
        <v>1601</v>
      </c>
      <c r="E98" s="3" t="s">
        <v>1602</v>
      </c>
      <c r="F98" s="3" t="s">
        <v>1603</v>
      </c>
      <c r="G98" s="3" t="s">
        <v>1604</v>
      </c>
      <c r="H98" s="3" t="s">
        <v>1605</v>
      </c>
      <c r="I98" s="3" t="s">
        <v>70</v>
      </c>
      <c r="J98" s="3" t="s">
        <v>1606</v>
      </c>
      <c r="K98" s="3" t="s">
        <v>1607</v>
      </c>
      <c r="L98" s="3">
        <v>310</v>
      </c>
      <c r="M98" s="3" t="s">
        <v>1608</v>
      </c>
      <c r="N98" s="3" t="s">
        <v>1609</v>
      </c>
      <c r="O98" s="3">
        <v>26295093</v>
      </c>
      <c r="Q98" s="3" t="s">
        <v>1518</v>
      </c>
      <c r="R98" s="3" t="s">
        <v>1610</v>
      </c>
      <c r="S98" s="3" t="s">
        <v>1611</v>
      </c>
      <c r="T98" s="3">
        <v>11</v>
      </c>
      <c r="U98" s="3" t="s">
        <v>1612</v>
      </c>
      <c r="V98" s="3"/>
      <c r="W98" s="3">
        <v>200</v>
      </c>
      <c r="X98" s="10">
        <v>6000</v>
      </c>
      <c r="Y98" s="6">
        <v>39459</v>
      </c>
      <c r="Z98" s="3" t="s">
        <v>62</v>
      </c>
      <c r="AA98" s="3">
        <v>0</v>
      </c>
      <c r="AB98" s="3">
        <v>15</v>
      </c>
      <c r="AC98" s="3">
        <v>1</v>
      </c>
      <c r="AD98" s="3" t="s">
        <v>118</v>
      </c>
      <c r="AE98" s="3" t="s">
        <v>1613</v>
      </c>
      <c r="AF98" s="9">
        <v>2937202</v>
      </c>
      <c r="AG98" s="3" t="s">
        <v>120</v>
      </c>
      <c r="AH98" s="3" t="s">
        <v>120</v>
      </c>
      <c r="AI98" s="3" t="s">
        <v>1614</v>
      </c>
      <c r="AJ98" s="3" t="s">
        <v>1615</v>
      </c>
      <c r="AK98" s="3" t="s">
        <v>1616</v>
      </c>
      <c r="AL98" s="3"/>
      <c r="AM98" s="3"/>
      <c r="AN98" s="3" t="s">
        <v>1617</v>
      </c>
      <c r="AO98" s="3" t="s">
        <v>1618</v>
      </c>
      <c r="AP98" s="3" t="s">
        <v>1619</v>
      </c>
      <c r="AQ98" s="3"/>
      <c r="AR98" s="3" t="s">
        <v>1620</v>
      </c>
      <c r="AS98" s="3"/>
      <c r="AT98" s="3" t="s">
        <v>1621</v>
      </c>
    </row>
    <row r="99" spans="1:46" ht="12.5" x14ac:dyDescent="0.25">
      <c r="A99" s="3" t="s">
        <v>46</v>
      </c>
      <c r="B99" s="3" t="s">
        <v>1622</v>
      </c>
      <c r="C99" s="3" t="s">
        <v>1623</v>
      </c>
      <c r="D99" s="3" t="s">
        <v>1624</v>
      </c>
      <c r="E99" s="3" t="s">
        <v>1625</v>
      </c>
      <c r="F99" s="3" t="s">
        <v>1626</v>
      </c>
      <c r="G99" s="3" t="s">
        <v>1627</v>
      </c>
      <c r="H99" s="3" t="s">
        <v>1628</v>
      </c>
      <c r="I99" s="3" t="s">
        <v>246</v>
      </c>
      <c r="J99" s="3" t="s">
        <v>1629</v>
      </c>
      <c r="K99" s="3" t="s">
        <v>1630</v>
      </c>
      <c r="L99" s="3">
        <v>14</v>
      </c>
      <c r="M99" s="3" t="s">
        <v>1631</v>
      </c>
      <c r="N99" s="3" t="s">
        <v>1632</v>
      </c>
      <c r="O99" s="3">
        <v>65130000</v>
      </c>
      <c r="P99" s="3" t="s">
        <v>1633</v>
      </c>
      <c r="Q99" s="3" t="s">
        <v>587</v>
      </c>
      <c r="R99" s="3" t="s">
        <v>1634</v>
      </c>
      <c r="S99" s="3" t="s">
        <v>1635</v>
      </c>
      <c r="T99" s="3">
        <v>19</v>
      </c>
      <c r="U99" s="3" t="s">
        <v>1636</v>
      </c>
      <c r="W99" s="3">
        <v>140</v>
      </c>
      <c r="X99" s="10">
        <v>773</v>
      </c>
      <c r="Y99" s="6">
        <v>42947</v>
      </c>
      <c r="Z99" s="3" t="s">
        <v>62</v>
      </c>
      <c r="AA99" s="3">
        <v>0</v>
      </c>
      <c r="AB99" s="3">
        <v>10</v>
      </c>
      <c r="AC99" s="3">
        <v>1</v>
      </c>
      <c r="AD99" s="3" t="s">
        <v>633</v>
      </c>
      <c r="AE99" s="3">
        <v>0</v>
      </c>
      <c r="AF99" s="9">
        <v>0</v>
      </c>
      <c r="AG99" s="3" t="s">
        <v>120</v>
      </c>
      <c r="AH99" s="3" t="s">
        <v>120</v>
      </c>
      <c r="AI99" s="3" t="s">
        <v>1637</v>
      </c>
      <c r="AJ99" s="3" t="s">
        <v>1638</v>
      </c>
      <c r="AK99" s="3" t="s">
        <v>1639</v>
      </c>
      <c r="AN99" s="3"/>
      <c r="AO99" s="3" t="s">
        <v>1640</v>
      </c>
      <c r="AP99" s="3" t="s">
        <v>1641</v>
      </c>
      <c r="AQ99" s="3" t="s">
        <v>1642</v>
      </c>
      <c r="AR99" s="3" t="s">
        <v>1643</v>
      </c>
      <c r="AS99" s="3" t="s">
        <v>1644</v>
      </c>
      <c r="AT99" s="3" t="s">
        <v>1645</v>
      </c>
    </row>
    <row r="100" spans="1:46" ht="12.5" x14ac:dyDescent="0.25">
      <c r="A100" s="3" t="s">
        <v>46</v>
      </c>
      <c r="B100" s="3" t="s">
        <v>1646</v>
      </c>
      <c r="C100" s="3" t="s">
        <v>1647</v>
      </c>
      <c r="D100" s="3" t="s">
        <v>1648</v>
      </c>
      <c r="E100" s="3" t="s">
        <v>1649</v>
      </c>
      <c r="F100" s="3" t="s">
        <v>1650</v>
      </c>
      <c r="G100" s="3" t="s">
        <v>1651</v>
      </c>
      <c r="H100" s="3" t="s">
        <v>1652</v>
      </c>
      <c r="I100" s="3" t="s">
        <v>84</v>
      </c>
      <c r="J100" s="3" t="s">
        <v>1653</v>
      </c>
      <c r="K100" s="3" t="s">
        <v>1654</v>
      </c>
      <c r="L100" s="3">
        <v>1220</v>
      </c>
      <c r="M100" s="3" t="s">
        <v>1655</v>
      </c>
      <c r="N100" s="3"/>
      <c r="O100" s="3">
        <v>30494100</v>
      </c>
      <c r="P100" s="3"/>
      <c r="Q100" s="3" t="s">
        <v>250</v>
      </c>
      <c r="R100" s="3" t="s">
        <v>75</v>
      </c>
      <c r="S100" s="3" t="s">
        <v>430</v>
      </c>
      <c r="T100" s="3">
        <v>5</v>
      </c>
      <c r="U100" s="3" t="s">
        <v>1656</v>
      </c>
      <c r="W100" s="3">
        <v>60</v>
      </c>
      <c r="X100" s="3">
        <v>300</v>
      </c>
      <c r="Y100" s="6">
        <v>39097</v>
      </c>
      <c r="Z100" s="3" t="s">
        <v>62</v>
      </c>
      <c r="AA100" s="3">
        <v>5</v>
      </c>
      <c r="AB100" s="3">
        <v>15</v>
      </c>
      <c r="AC100" s="3">
        <v>2</v>
      </c>
      <c r="AD100" s="3" t="s">
        <v>1657</v>
      </c>
      <c r="AE100" s="3" t="s">
        <v>1658</v>
      </c>
      <c r="AF100" s="9">
        <v>186000</v>
      </c>
      <c r="AG100" s="3" t="s">
        <v>120</v>
      </c>
      <c r="AH100" s="3" t="s">
        <v>120</v>
      </c>
      <c r="AI100" s="3" t="s">
        <v>1659</v>
      </c>
      <c r="AJ100" s="3" t="s">
        <v>1660</v>
      </c>
      <c r="AK100" s="3" t="s">
        <v>1661</v>
      </c>
      <c r="AL100" s="3" t="s">
        <v>1662</v>
      </c>
      <c r="AM100" s="7" t="s">
        <v>1663</v>
      </c>
      <c r="AO100" s="3" t="s">
        <v>1664</v>
      </c>
      <c r="AP100" s="3" t="s">
        <v>1665</v>
      </c>
      <c r="AQ100" s="3"/>
      <c r="AR100" s="3" t="s">
        <v>1666</v>
      </c>
      <c r="AS100" s="3" t="s">
        <v>1667</v>
      </c>
      <c r="AT100" s="3" t="s">
        <v>1668</v>
      </c>
    </row>
    <row r="101" spans="1:46" ht="12.5" x14ac:dyDescent="0.25">
      <c r="A101" s="3" t="s">
        <v>152</v>
      </c>
      <c r="B101" s="3" t="s">
        <v>1669</v>
      </c>
      <c r="C101" s="3" t="s">
        <v>1670</v>
      </c>
      <c r="D101" s="3" t="s">
        <v>1671</v>
      </c>
      <c r="E101" s="3" t="s">
        <v>1672</v>
      </c>
      <c r="F101" s="3" t="s">
        <v>1673</v>
      </c>
      <c r="G101" s="3" t="s">
        <v>1674</v>
      </c>
      <c r="H101" s="3" t="s">
        <v>1675</v>
      </c>
      <c r="I101" s="3" t="s">
        <v>1676</v>
      </c>
      <c r="J101" s="3" t="s">
        <v>1677</v>
      </c>
      <c r="K101" s="3" t="s">
        <v>1678</v>
      </c>
      <c r="L101" s="3">
        <v>775</v>
      </c>
      <c r="M101" s="3" t="s">
        <v>1679</v>
      </c>
      <c r="O101" s="3">
        <v>68193000</v>
      </c>
      <c r="P101" s="3" t="s">
        <v>1680</v>
      </c>
      <c r="Q101" s="3" t="s">
        <v>1076</v>
      </c>
      <c r="R101" s="3" t="s">
        <v>161</v>
      </c>
      <c r="S101" s="3" t="s">
        <v>1681</v>
      </c>
      <c r="T101" s="3">
        <v>2</v>
      </c>
      <c r="U101" s="3" t="s">
        <v>1682</v>
      </c>
      <c r="V101" s="3" t="s">
        <v>1683</v>
      </c>
      <c r="W101" s="3">
        <v>500</v>
      </c>
      <c r="X101" s="10">
        <v>10000</v>
      </c>
      <c r="Y101" s="6">
        <v>40130</v>
      </c>
      <c r="Z101" s="3" t="s">
        <v>62</v>
      </c>
      <c r="AA101" s="3">
        <v>7</v>
      </c>
      <c r="AB101" s="3">
        <v>2</v>
      </c>
      <c r="AC101" s="3">
        <v>4</v>
      </c>
      <c r="AD101" s="3" t="s">
        <v>1684</v>
      </c>
      <c r="AE101" s="3">
        <v>3</v>
      </c>
      <c r="AF101" s="9">
        <v>789079</v>
      </c>
      <c r="AG101" s="3" t="s">
        <v>120</v>
      </c>
      <c r="AH101" s="3" t="s">
        <v>120</v>
      </c>
      <c r="AI101" s="3" t="s">
        <v>1685</v>
      </c>
      <c r="AJ101" s="3" t="s">
        <v>1686</v>
      </c>
      <c r="AK101" s="3" t="s">
        <v>1687</v>
      </c>
      <c r="AL101" s="3" t="s">
        <v>1688</v>
      </c>
      <c r="AM101" s="7" t="s">
        <v>1689</v>
      </c>
      <c r="AN101" s="3" t="s">
        <v>1690</v>
      </c>
      <c r="AO101" s="3" t="s">
        <v>1691</v>
      </c>
      <c r="AP101" s="3" t="s">
        <v>1692</v>
      </c>
      <c r="AQ101" s="3" t="s">
        <v>1693</v>
      </c>
      <c r="AR101" s="3" t="s">
        <v>1694</v>
      </c>
      <c r="AS101" s="3" t="s">
        <v>1695</v>
      </c>
      <c r="AT101" s="3" t="s">
        <v>1696</v>
      </c>
    </row>
    <row r="102" spans="1:46" ht="12.5" x14ac:dyDescent="0.25">
      <c r="A102" s="3" t="s">
        <v>46</v>
      </c>
      <c r="B102" s="3" t="s">
        <v>1697</v>
      </c>
      <c r="C102" s="3" t="s">
        <v>1698</v>
      </c>
      <c r="D102" s="3" t="s">
        <v>1699</v>
      </c>
      <c r="E102" s="3" t="s">
        <v>620</v>
      </c>
      <c r="F102" s="3" t="s">
        <v>1700</v>
      </c>
      <c r="G102" s="3" t="s">
        <v>1701</v>
      </c>
      <c r="H102" s="3" t="s">
        <v>1702</v>
      </c>
      <c r="I102" s="3" t="s">
        <v>84</v>
      </c>
      <c r="J102" s="3" t="s">
        <v>1703</v>
      </c>
      <c r="K102" s="3" t="s">
        <v>1704</v>
      </c>
      <c r="L102" s="3">
        <v>193</v>
      </c>
      <c r="M102" s="3" t="s">
        <v>177</v>
      </c>
      <c r="N102" s="3" t="s">
        <v>1705</v>
      </c>
      <c r="O102" s="3">
        <v>3120010</v>
      </c>
      <c r="P102" s="3" t="s">
        <v>1706</v>
      </c>
      <c r="Q102" s="3" t="s">
        <v>587</v>
      </c>
      <c r="R102" s="3" t="s">
        <v>57</v>
      </c>
      <c r="S102" s="3" t="s">
        <v>1707</v>
      </c>
      <c r="T102" s="3">
        <v>5</v>
      </c>
      <c r="U102" s="3" t="s">
        <v>1708</v>
      </c>
      <c r="V102" s="3" t="s">
        <v>1709</v>
      </c>
      <c r="W102" s="3">
        <v>215</v>
      </c>
      <c r="X102" s="10">
        <v>900</v>
      </c>
      <c r="Y102" s="8">
        <v>42459</v>
      </c>
      <c r="Z102" s="3" t="s">
        <v>120</v>
      </c>
      <c r="AA102" s="3">
        <v>0</v>
      </c>
      <c r="AB102" s="3">
        <v>8</v>
      </c>
      <c r="AC102" s="3">
        <v>3</v>
      </c>
      <c r="AD102" s="3" t="s">
        <v>1344</v>
      </c>
      <c r="AE102" s="3" t="s">
        <v>1710</v>
      </c>
      <c r="AF102" s="9">
        <v>1250</v>
      </c>
      <c r="AG102" s="3" t="s">
        <v>62</v>
      </c>
      <c r="AH102" s="3" t="s">
        <v>62</v>
      </c>
      <c r="AI102" s="3" t="s">
        <v>1711</v>
      </c>
      <c r="AJ102" s="3" t="s">
        <v>1712</v>
      </c>
      <c r="AK102" s="3" t="s">
        <v>1713</v>
      </c>
      <c r="AL102" s="3"/>
      <c r="AM102" s="3"/>
      <c r="AN102" s="3" t="s">
        <v>1714</v>
      </c>
      <c r="AO102" s="3"/>
      <c r="AP102" s="3"/>
      <c r="AQ102" s="3"/>
      <c r="AR102" s="3"/>
      <c r="AS102" s="3"/>
      <c r="AT102" s="3"/>
    </row>
    <row r="103" spans="1:46" ht="12.5" x14ac:dyDescent="0.25">
      <c r="A103" s="3" t="s">
        <v>46</v>
      </c>
      <c r="B103" s="3" t="s">
        <v>1715</v>
      </c>
      <c r="C103" s="3" t="s">
        <v>1716</v>
      </c>
      <c r="D103" s="3" t="s">
        <v>1717</v>
      </c>
      <c r="E103" s="3" t="s">
        <v>1718</v>
      </c>
      <c r="F103" s="3" t="s">
        <v>1719</v>
      </c>
      <c r="G103" s="3" t="s">
        <v>1720</v>
      </c>
      <c r="H103" s="3" t="s">
        <v>1721</v>
      </c>
      <c r="I103" s="3" t="s">
        <v>101</v>
      </c>
      <c r="J103" s="3" t="s">
        <v>1722</v>
      </c>
      <c r="K103" s="3" t="s">
        <v>1723</v>
      </c>
      <c r="L103" s="3">
        <v>42</v>
      </c>
      <c r="M103" s="3" t="s">
        <v>1724</v>
      </c>
      <c r="N103" s="3"/>
      <c r="O103" s="3">
        <v>8247010</v>
      </c>
      <c r="P103" s="3"/>
      <c r="Q103" s="3" t="s">
        <v>1725</v>
      </c>
      <c r="R103" s="3" t="s">
        <v>216</v>
      </c>
      <c r="S103" s="3" t="s">
        <v>1726</v>
      </c>
      <c r="T103" s="3">
        <v>7</v>
      </c>
      <c r="U103" s="3" t="s">
        <v>1727</v>
      </c>
      <c r="V103" s="3"/>
      <c r="W103" s="3">
        <v>420</v>
      </c>
      <c r="X103" s="10">
        <v>2225</v>
      </c>
      <c r="Y103" s="6">
        <v>42807</v>
      </c>
      <c r="Z103" s="3" t="s">
        <v>62</v>
      </c>
      <c r="AA103" s="3">
        <v>0</v>
      </c>
      <c r="AB103" s="3">
        <v>8</v>
      </c>
      <c r="AC103" s="3">
        <v>2</v>
      </c>
      <c r="AD103" s="3" t="s">
        <v>1344</v>
      </c>
      <c r="AE103" s="3" t="s">
        <v>1728</v>
      </c>
      <c r="AF103" s="9">
        <v>575</v>
      </c>
      <c r="AG103" s="3" t="s">
        <v>120</v>
      </c>
      <c r="AH103" s="3" t="s">
        <v>120</v>
      </c>
      <c r="AI103" s="3"/>
      <c r="AJ103" s="3" t="s">
        <v>1729</v>
      </c>
      <c r="AK103" s="3" t="s">
        <v>1730</v>
      </c>
      <c r="AN103" s="3" t="s">
        <v>1731</v>
      </c>
      <c r="AO103" s="3" t="s">
        <v>1732</v>
      </c>
      <c r="AP103" s="3" t="s">
        <v>1733</v>
      </c>
      <c r="AQ103" s="3" t="s">
        <v>1734</v>
      </c>
      <c r="AR103" s="3" t="s">
        <v>1735</v>
      </c>
      <c r="AS103" s="3" t="s">
        <v>1736</v>
      </c>
    </row>
    <row r="104" spans="1:46" ht="12.5" x14ac:dyDescent="0.25">
      <c r="A104" s="3" t="s">
        <v>46</v>
      </c>
      <c r="B104" s="3" t="s">
        <v>1737</v>
      </c>
      <c r="C104" s="3" t="s">
        <v>1738</v>
      </c>
      <c r="D104" s="3" t="s">
        <v>1739</v>
      </c>
      <c r="E104" s="3" t="s">
        <v>620</v>
      </c>
      <c r="F104" s="3" t="s">
        <v>1740</v>
      </c>
      <c r="G104" s="3" t="s">
        <v>1741</v>
      </c>
      <c r="H104" s="3" t="s">
        <v>1742</v>
      </c>
      <c r="I104" s="3" t="s">
        <v>84</v>
      </c>
      <c r="J104" s="3" t="s">
        <v>1743</v>
      </c>
      <c r="K104" s="3" t="s">
        <v>1744</v>
      </c>
      <c r="L104" s="3">
        <v>171</v>
      </c>
      <c r="M104" s="3" t="s">
        <v>177</v>
      </c>
      <c r="O104" s="3">
        <v>30490290</v>
      </c>
      <c r="Q104" s="3" t="s">
        <v>115</v>
      </c>
      <c r="R104" s="3" t="s">
        <v>1745</v>
      </c>
      <c r="S104" s="3" t="s">
        <v>1746</v>
      </c>
      <c r="T104" s="3">
        <v>2</v>
      </c>
      <c r="U104" s="3" t="s">
        <v>1747</v>
      </c>
      <c r="W104" s="3">
        <v>144</v>
      </c>
      <c r="X104" s="10">
        <v>360</v>
      </c>
      <c r="Y104" s="6">
        <v>43416</v>
      </c>
      <c r="Z104" s="3" t="s">
        <v>120</v>
      </c>
      <c r="AA104" s="3">
        <v>0</v>
      </c>
      <c r="AB104" s="3">
        <v>15</v>
      </c>
      <c r="AC104" s="3">
        <v>2</v>
      </c>
      <c r="AD104" s="3" t="s">
        <v>132</v>
      </c>
      <c r="AE104" s="3" t="s">
        <v>1748</v>
      </c>
      <c r="AF104" s="9">
        <v>9000</v>
      </c>
      <c r="AG104" s="3" t="s">
        <v>120</v>
      </c>
      <c r="AH104" s="3" t="s">
        <v>120</v>
      </c>
      <c r="AJ104" s="3" t="s">
        <v>1749</v>
      </c>
      <c r="AK104" s="3" t="s">
        <v>1750</v>
      </c>
      <c r="AN104" s="3" t="s">
        <v>1751</v>
      </c>
      <c r="AO104" s="3"/>
      <c r="AP104" s="3"/>
      <c r="AQ104" s="3" t="s">
        <v>1752</v>
      </c>
      <c r="AR104" s="3" t="s">
        <v>1753</v>
      </c>
      <c r="AS104" s="3"/>
    </row>
    <row r="105" spans="1:46" ht="12.5" x14ac:dyDescent="0.25">
      <c r="A105" s="3" t="s">
        <v>46</v>
      </c>
      <c r="B105" s="3" t="s">
        <v>1754</v>
      </c>
      <c r="C105" s="3" t="s">
        <v>1755</v>
      </c>
      <c r="D105" s="3" t="s">
        <v>1756</v>
      </c>
      <c r="E105" s="3" t="s">
        <v>1757</v>
      </c>
      <c r="F105" s="3" t="s">
        <v>1758</v>
      </c>
      <c r="G105" s="3" t="s">
        <v>1759</v>
      </c>
      <c r="H105" s="3" t="s">
        <v>1760</v>
      </c>
      <c r="I105" s="3" t="s">
        <v>101</v>
      </c>
      <c r="J105" s="3" t="s">
        <v>1761</v>
      </c>
      <c r="K105" s="3" t="s">
        <v>1762</v>
      </c>
      <c r="L105" s="3">
        <v>85</v>
      </c>
      <c r="M105" s="3" t="s">
        <v>128</v>
      </c>
      <c r="O105" s="3">
        <v>5874030</v>
      </c>
      <c r="P105" s="3" t="s">
        <v>1763</v>
      </c>
      <c r="Q105" s="3" t="s">
        <v>1764</v>
      </c>
      <c r="R105" s="3" t="s">
        <v>57</v>
      </c>
      <c r="S105" s="3" t="s">
        <v>1366</v>
      </c>
      <c r="T105" s="3">
        <v>6</v>
      </c>
      <c r="U105" s="3" t="s">
        <v>1765</v>
      </c>
      <c r="V105" s="3"/>
      <c r="W105" s="3">
        <v>49</v>
      </c>
      <c r="X105" s="10">
        <v>3321</v>
      </c>
      <c r="Y105" s="8">
        <v>43081</v>
      </c>
      <c r="Z105" s="3" t="s">
        <v>62</v>
      </c>
      <c r="AA105" s="3">
        <v>0</v>
      </c>
      <c r="AB105" s="3">
        <v>39</v>
      </c>
      <c r="AC105" s="3">
        <v>2</v>
      </c>
      <c r="AD105" s="3" t="s">
        <v>1766</v>
      </c>
      <c r="AE105" s="3" t="s">
        <v>1767</v>
      </c>
      <c r="AF105" s="9">
        <v>24000</v>
      </c>
      <c r="AG105" s="3" t="s">
        <v>120</v>
      </c>
      <c r="AH105" s="3" t="s">
        <v>120</v>
      </c>
      <c r="AI105" s="3" t="s">
        <v>1768</v>
      </c>
      <c r="AJ105" s="3" t="s">
        <v>1769</v>
      </c>
      <c r="AK105" s="3" t="s">
        <v>1770</v>
      </c>
      <c r="AL105" s="3" t="s">
        <v>1771</v>
      </c>
      <c r="AN105" s="3"/>
      <c r="AO105" s="3" t="s">
        <v>1772</v>
      </c>
      <c r="AP105" s="3" t="s">
        <v>1773</v>
      </c>
      <c r="AQ105" s="3" t="s">
        <v>1774</v>
      </c>
      <c r="AR105" s="3" t="s">
        <v>1775</v>
      </c>
      <c r="AS105" s="3"/>
    </row>
    <row r="106" spans="1:46" ht="12.5" x14ac:dyDescent="0.25">
      <c r="A106" s="3" t="s">
        <v>46</v>
      </c>
      <c r="B106" s="3" t="s">
        <v>1776</v>
      </c>
      <c r="C106" s="3" t="s">
        <v>1777</v>
      </c>
      <c r="D106" s="3" t="s">
        <v>1778</v>
      </c>
      <c r="E106" s="3" t="s">
        <v>1779</v>
      </c>
      <c r="F106" s="3" t="s">
        <v>1780</v>
      </c>
      <c r="G106" s="3" t="s">
        <v>1781</v>
      </c>
      <c r="H106" s="3" t="s">
        <v>1782</v>
      </c>
      <c r="I106" s="3" t="s">
        <v>379</v>
      </c>
      <c r="J106" s="3" t="s">
        <v>1783</v>
      </c>
      <c r="K106" s="3" t="s">
        <v>1784</v>
      </c>
      <c r="L106" s="3">
        <v>247</v>
      </c>
      <c r="M106" s="3" t="s">
        <v>381</v>
      </c>
      <c r="N106" s="3"/>
      <c r="O106" s="3">
        <v>50860390</v>
      </c>
      <c r="P106" s="3" t="s">
        <v>1785</v>
      </c>
      <c r="Q106" s="3" t="s">
        <v>77</v>
      </c>
      <c r="R106" s="3" t="s">
        <v>429</v>
      </c>
      <c r="S106" s="3" t="s">
        <v>430</v>
      </c>
      <c r="T106" s="3">
        <v>4</v>
      </c>
      <c r="U106" s="3" t="s">
        <v>1786</v>
      </c>
      <c r="V106" s="3"/>
      <c r="W106" s="3">
        <v>67</v>
      </c>
      <c r="X106" s="10">
        <v>184</v>
      </c>
      <c r="Y106" s="6">
        <v>42371</v>
      </c>
      <c r="Z106" s="3" t="s">
        <v>62</v>
      </c>
      <c r="AA106" s="3">
        <v>2</v>
      </c>
      <c r="AB106" s="3">
        <v>4</v>
      </c>
      <c r="AC106" s="3">
        <v>3</v>
      </c>
      <c r="AD106" s="3" t="s">
        <v>1787</v>
      </c>
      <c r="AE106" s="3">
        <v>89</v>
      </c>
      <c r="AF106" s="9">
        <v>0</v>
      </c>
      <c r="AG106" s="3" t="s">
        <v>62</v>
      </c>
      <c r="AH106" s="3" t="s">
        <v>120</v>
      </c>
      <c r="AI106" s="3" t="s">
        <v>1788</v>
      </c>
      <c r="AJ106" s="3" t="s">
        <v>1789</v>
      </c>
      <c r="AK106" s="3" t="s">
        <v>1790</v>
      </c>
      <c r="AL106" s="3" t="s">
        <v>1791</v>
      </c>
      <c r="AN106" s="3" t="s">
        <v>1792</v>
      </c>
      <c r="AO106" s="3" t="s">
        <v>1793</v>
      </c>
      <c r="AP106" s="3" t="s">
        <v>1794</v>
      </c>
      <c r="AQ106" s="3" t="s">
        <v>1795</v>
      </c>
      <c r="AR106" s="3" t="s">
        <v>1796</v>
      </c>
      <c r="AS106" s="3" t="s">
        <v>1797</v>
      </c>
      <c r="AT106" s="3" t="s">
        <v>1798</v>
      </c>
    </row>
    <row r="107" spans="1:46" ht="12.5" x14ac:dyDescent="0.25">
      <c r="A107" s="3" t="s">
        <v>46</v>
      </c>
      <c r="B107" s="3" t="s">
        <v>1799</v>
      </c>
      <c r="C107" s="3" t="s">
        <v>1800</v>
      </c>
      <c r="D107" s="3" t="s">
        <v>1801</v>
      </c>
      <c r="E107" s="3" t="s">
        <v>1802</v>
      </c>
      <c r="F107" s="3" t="s">
        <v>1803</v>
      </c>
      <c r="G107" s="3" t="s">
        <v>1804</v>
      </c>
      <c r="H107" s="3" t="s">
        <v>1805</v>
      </c>
      <c r="I107" s="3" t="s">
        <v>280</v>
      </c>
      <c r="J107" s="3" t="s">
        <v>1806</v>
      </c>
      <c r="K107" s="3" t="s">
        <v>1807</v>
      </c>
      <c r="L107" s="3">
        <v>50</v>
      </c>
      <c r="M107" s="3" t="s">
        <v>1808</v>
      </c>
      <c r="N107" s="3"/>
      <c r="O107" s="3">
        <v>75522150</v>
      </c>
      <c r="P107" s="3"/>
      <c r="Q107" s="3" t="s">
        <v>250</v>
      </c>
      <c r="R107" s="3" t="s">
        <v>1809</v>
      </c>
      <c r="S107" s="3" t="s">
        <v>1810</v>
      </c>
      <c r="T107" s="3">
        <v>5</v>
      </c>
      <c r="U107" s="3" t="s">
        <v>1811</v>
      </c>
      <c r="V107" s="3" t="s">
        <v>1812</v>
      </c>
      <c r="W107" s="3">
        <v>76</v>
      </c>
      <c r="X107" s="10">
        <v>2005</v>
      </c>
      <c r="Y107" s="6">
        <v>33701</v>
      </c>
      <c r="Z107" s="3" t="s">
        <v>62</v>
      </c>
      <c r="AA107" s="3">
        <v>5</v>
      </c>
      <c r="AB107" s="3">
        <v>14</v>
      </c>
      <c r="AC107" s="3">
        <v>4</v>
      </c>
      <c r="AD107" s="3" t="s">
        <v>1813</v>
      </c>
      <c r="AE107" s="3" t="s">
        <v>1814</v>
      </c>
      <c r="AF107" s="9">
        <v>72328123</v>
      </c>
      <c r="AG107" s="3" t="s">
        <v>120</v>
      </c>
      <c r="AH107" s="3" t="s">
        <v>120</v>
      </c>
      <c r="AI107" s="3"/>
      <c r="AJ107" s="3" t="s">
        <v>1815</v>
      </c>
      <c r="AK107" s="3" t="s">
        <v>1816</v>
      </c>
      <c r="AL107" s="3"/>
      <c r="AN107" s="3"/>
      <c r="AO107" s="3" t="s">
        <v>1817</v>
      </c>
      <c r="AP107" s="3" t="s">
        <v>1818</v>
      </c>
      <c r="AQ107" s="3" t="s">
        <v>1819</v>
      </c>
      <c r="AR107" s="3" t="s">
        <v>1820</v>
      </c>
      <c r="AS107" s="3" t="s">
        <v>1821</v>
      </c>
      <c r="AT107" s="3"/>
    </row>
    <row r="108" spans="1:46" ht="12.5" x14ac:dyDescent="0.25">
      <c r="A108" s="3" t="s">
        <v>46</v>
      </c>
      <c r="B108" s="3" t="s">
        <v>1822</v>
      </c>
      <c r="C108" s="3" t="s">
        <v>1823</v>
      </c>
      <c r="D108" s="3" t="s">
        <v>1824</v>
      </c>
      <c r="E108" s="3" t="s">
        <v>1825</v>
      </c>
      <c r="F108" s="3" t="s">
        <v>1826</v>
      </c>
      <c r="G108" s="3" t="s">
        <v>1827</v>
      </c>
      <c r="H108" s="3" t="s">
        <v>1828</v>
      </c>
      <c r="I108" s="3" t="s">
        <v>101</v>
      </c>
      <c r="J108" s="3" t="s">
        <v>1829</v>
      </c>
      <c r="K108" s="3" t="s">
        <v>1830</v>
      </c>
      <c r="L108" s="3">
        <v>33</v>
      </c>
      <c r="M108" s="3" t="s">
        <v>128</v>
      </c>
      <c r="N108" s="3" t="s">
        <v>1831</v>
      </c>
      <c r="O108" s="3">
        <v>4814195</v>
      </c>
      <c r="P108" s="3"/>
      <c r="Q108" s="3" t="s">
        <v>115</v>
      </c>
      <c r="R108" s="3" t="s">
        <v>57</v>
      </c>
      <c r="S108" s="3" t="s">
        <v>430</v>
      </c>
      <c r="T108" s="3">
        <v>3</v>
      </c>
      <c r="U108" s="3" t="s">
        <v>1832</v>
      </c>
      <c r="V108" s="3"/>
      <c r="W108" s="3">
        <v>44</v>
      </c>
      <c r="X108" s="10">
        <v>260</v>
      </c>
      <c r="Y108" s="6">
        <v>41749</v>
      </c>
      <c r="Z108" s="3" t="s">
        <v>62</v>
      </c>
      <c r="AA108" s="3">
        <v>0</v>
      </c>
      <c r="AB108" s="3">
        <v>8</v>
      </c>
      <c r="AC108" s="3">
        <v>1</v>
      </c>
      <c r="AD108" s="3" t="s">
        <v>591</v>
      </c>
      <c r="AE108" s="3">
        <v>25</v>
      </c>
      <c r="AF108" s="9">
        <v>4000</v>
      </c>
      <c r="AG108" s="3" t="s">
        <v>120</v>
      </c>
      <c r="AH108" s="3" t="s">
        <v>120</v>
      </c>
      <c r="AI108" s="3"/>
      <c r="AJ108" s="3" t="s">
        <v>1833</v>
      </c>
      <c r="AK108" s="3" t="s">
        <v>1834</v>
      </c>
      <c r="AL108" s="3"/>
      <c r="AM108" s="3"/>
      <c r="AN108" s="3" t="s">
        <v>1835</v>
      </c>
      <c r="AO108" s="3" t="s">
        <v>1836</v>
      </c>
      <c r="AP108" s="3" t="s">
        <v>1837</v>
      </c>
      <c r="AQ108" s="3"/>
      <c r="AR108" s="3" t="s">
        <v>1838</v>
      </c>
      <c r="AS108" s="3" t="s">
        <v>1839</v>
      </c>
    </row>
    <row r="109" spans="1:46" ht="12.5" x14ac:dyDescent="0.25">
      <c r="A109" s="3" t="s">
        <v>46</v>
      </c>
      <c r="B109" s="3" t="s">
        <v>1840</v>
      </c>
      <c r="C109" s="3" t="s">
        <v>1841</v>
      </c>
      <c r="D109" s="3" t="s">
        <v>155</v>
      </c>
      <c r="E109" s="3" t="s">
        <v>1842</v>
      </c>
      <c r="F109" s="3" t="s">
        <v>1843</v>
      </c>
      <c r="G109" s="3" t="s">
        <v>1844</v>
      </c>
      <c r="H109" s="3" t="s">
        <v>1845</v>
      </c>
      <c r="I109" s="3" t="s">
        <v>1002</v>
      </c>
      <c r="J109" s="3" t="s">
        <v>1846</v>
      </c>
      <c r="K109" s="3" t="s">
        <v>1847</v>
      </c>
      <c r="L109" s="3">
        <v>121</v>
      </c>
      <c r="M109" s="3" t="s">
        <v>1848</v>
      </c>
      <c r="N109" s="3" t="s">
        <v>1849</v>
      </c>
      <c r="O109" s="3">
        <v>45810000</v>
      </c>
      <c r="P109" s="3" t="s">
        <v>1850</v>
      </c>
      <c r="Q109" s="3" t="s">
        <v>77</v>
      </c>
      <c r="R109" s="3" t="s">
        <v>216</v>
      </c>
      <c r="S109" s="3" t="s">
        <v>1851</v>
      </c>
      <c r="T109" s="3">
        <v>47</v>
      </c>
      <c r="U109" s="3" t="s">
        <v>1852</v>
      </c>
      <c r="V109" s="3" t="s">
        <v>1853</v>
      </c>
      <c r="W109" s="3">
        <v>800</v>
      </c>
      <c r="X109" s="10">
        <v>30000</v>
      </c>
      <c r="Y109" s="6">
        <v>40389</v>
      </c>
      <c r="Z109" s="3" t="s">
        <v>62</v>
      </c>
      <c r="AA109" s="3">
        <v>3</v>
      </c>
      <c r="AB109" s="3">
        <v>30</v>
      </c>
      <c r="AC109" s="3">
        <v>2</v>
      </c>
      <c r="AD109" s="3" t="s">
        <v>1854</v>
      </c>
      <c r="AE109" s="3" t="s">
        <v>1855</v>
      </c>
      <c r="AF109" s="9">
        <v>30000</v>
      </c>
      <c r="AG109" s="3" t="s">
        <v>62</v>
      </c>
      <c r="AH109" s="3" t="s">
        <v>62</v>
      </c>
      <c r="AI109" s="3" t="s">
        <v>1856</v>
      </c>
      <c r="AJ109" s="3" t="s">
        <v>1857</v>
      </c>
      <c r="AK109" s="3" t="s">
        <v>1858</v>
      </c>
      <c r="AL109" s="3" t="s">
        <v>1859</v>
      </c>
      <c r="AM109" s="3"/>
      <c r="AN109" s="3"/>
      <c r="AO109" s="3" t="s">
        <v>1860</v>
      </c>
      <c r="AP109" s="3" t="s">
        <v>1861</v>
      </c>
      <c r="AQ109" s="3" t="s">
        <v>1862</v>
      </c>
      <c r="AR109" s="3" t="s">
        <v>1863</v>
      </c>
      <c r="AS109" s="3"/>
    </row>
    <row r="110" spans="1:46" ht="12.5" x14ac:dyDescent="0.25">
      <c r="A110" s="3" t="s">
        <v>46</v>
      </c>
      <c r="B110" s="3" t="s">
        <v>1864</v>
      </c>
      <c r="C110" s="3" t="s">
        <v>1865</v>
      </c>
      <c r="D110" s="3" t="s">
        <v>1866</v>
      </c>
      <c r="E110" s="3" t="s">
        <v>1867</v>
      </c>
      <c r="F110" s="3" t="s">
        <v>1868</v>
      </c>
      <c r="G110" s="3" t="s">
        <v>1869</v>
      </c>
      <c r="H110" s="3" t="s">
        <v>1870</v>
      </c>
      <c r="I110" s="3" t="s">
        <v>1871</v>
      </c>
      <c r="J110" s="3" t="s">
        <v>1872</v>
      </c>
      <c r="K110" s="3" t="s">
        <v>1873</v>
      </c>
      <c r="L110" s="3">
        <v>11</v>
      </c>
      <c r="M110" s="3" t="s">
        <v>1874</v>
      </c>
      <c r="N110" s="3"/>
      <c r="O110" s="3">
        <v>69153040</v>
      </c>
      <c r="P110" s="3" t="s">
        <v>1875</v>
      </c>
      <c r="Q110" s="3" t="s">
        <v>1876</v>
      </c>
      <c r="R110" s="3" t="s">
        <v>1877</v>
      </c>
      <c r="S110" s="3" t="s">
        <v>1878</v>
      </c>
      <c r="T110" s="3">
        <v>26</v>
      </c>
      <c r="U110" s="3" t="s">
        <v>1879</v>
      </c>
      <c r="V110" s="3" t="s">
        <v>1880</v>
      </c>
      <c r="W110" s="3">
        <v>310</v>
      </c>
      <c r="X110" s="10">
        <v>5000</v>
      </c>
      <c r="Y110" s="6">
        <v>41387</v>
      </c>
      <c r="Z110" s="3" t="s">
        <v>62</v>
      </c>
      <c r="AA110" s="3">
        <v>4</v>
      </c>
      <c r="AB110" s="3">
        <v>20</v>
      </c>
      <c r="AC110" s="3">
        <v>3</v>
      </c>
      <c r="AD110" s="3" t="s">
        <v>1881</v>
      </c>
      <c r="AE110" s="3" t="s">
        <v>1882</v>
      </c>
      <c r="AF110" s="9">
        <v>170000</v>
      </c>
      <c r="AG110" s="3" t="s">
        <v>120</v>
      </c>
      <c r="AH110" s="3" t="s">
        <v>62</v>
      </c>
      <c r="AI110" s="3" t="s">
        <v>1883</v>
      </c>
      <c r="AJ110" s="3" t="s">
        <v>1884</v>
      </c>
      <c r="AK110" s="3" t="s">
        <v>1885</v>
      </c>
      <c r="AL110" s="3"/>
      <c r="AM110" s="7" t="s">
        <v>1886</v>
      </c>
      <c r="AN110" s="3" t="s">
        <v>1887</v>
      </c>
      <c r="AO110" s="3" t="s">
        <v>1888</v>
      </c>
      <c r="AP110" s="3" t="s">
        <v>1889</v>
      </c>
      <c r="AQ110" s="3"/>
      <c r="AR110" s="3" t="s">
        <v>1890</v>
      </c>
      <c r="AS110" s="3" t="s">
        <v>1891</v>
      </c>
      <c r="AT110" s="3"/>
    </row>
    <row r="111" spans="1:46" ht="12.5" x14ac:dyDescent="0.25">
      <c r="A111" s="3" t="s">
        <v>46</v>
      </c>
      <c r="B111" s="3" t="s">
        <v>1892</v>
      </c>
      <c r="C111" s="3" t="s">
        <v>1893</v>
      </c>
      <c r="D111" s="3" t="s">
        <v>1894</v>
      </c>
      <c r="E111" s="3" t="s">
        <v>1895</v>
      </c>
      <c r="F111" s="3" t="s">
        <v>1896</v>
      </c>
      <c r="G111" s="3" t="s">
        <v>1897</v>
      </c>
      <c r="H111" s="3" t="s">
        <v>1898</v>
      </c>
      <c r="I111" s="3" t="s">
        <v>101</v>
      </c>
      <c r="J111" s="3" t="s">
        <v>1899</v>
      </c>
      <c r="K111" s="3" t="s">
        <v>1900</v>
      </c>
      <c r="L111" s="3">
        <v>636</v>
      </c>
      <c r="M111" s="3" t="s">
        <v>128</v>
      </c>
      <c r="N111" s="3" t="s">
        <v>1901</v>
      </c>
      <c r="O111" s="3">
        <v>8225380</v>
      </c>
      <c r="P111" s="3"/>
      <c r="Q111" s="3" t="s">
        <v>1902</v>
      </c>
      <c r="R111" s="3" t="s">
        <v>429</v>
      </c>
      <c r="S111" s="3" t="s">
        <v>1366</v>
      </c>
      <c r="T111" s="3">
        <v>5</v>
      </c>
      <c r="U111" s="3" t="s">
        <v>1903</v>
      </c>
      <c r="V111" s="3" t="s">
        <v>1904</v>
      </c>
      <c r="W111" s="3">
        <v>120</v>
      </c>
      <c r="X111" s="10">
        <v>3200</v>
      </c>
      <c r="Y111" s="8">
        <v>44032</v>
      </c>
      <c r="Z111" s="3" t="s">
        <v>62</v>
      </c>
      <c r="AA111" s="3">
        <v>2</v>
      </c>
      <c r="AB111" s="3">
        <v>18</v>
      </c>
      <c r="AC111" s="3">
        <v>1</v>
      </c>
      <c r="AD111" s="3" t="s">
        <v>591</v>
      </c>
      <c r="AE111" s="3" t="s">
        <v>1905</v>
      </c>
      <c r="AF111" s="9">
        <v>9000</v>
      </c>
      <c r="AG111" s="3" t="s">
        <v>120</v>
      </c>
      <c r="AH111" s="3" t="s">
        <v>120</v>
      </c>
      <c r="AI111" s="3"/>
      <c r="AJ111" s="3" t="s">
        <v>1906</v>
      </c>
      <c r="AK111" s="3" t="s">
        <v>1907</v>
      </c>
      <c r="AL111" s="3"/>
      <c r="AM111" s="3"/>
      <c r="AN111" s="3"/>
      <c r="AO111" s="3"/>
      <c r="AP111" s="3"/>
      <c r="AQ111" s="3"/>
      <c r="AR111" s="3" t="s">
        <v>1908</v>
      </c>
      <c r="AS111" s="3"/>
      <c r="AT111" s="3"/>
    </row>
    <row r="112" spans="1:46" ht="12.5" x14ac:dyDescent="0.25">
      <c r="A112" s="3" t="s">
        <v>46</v>
      </c>
      <c r="B112" s="3" t="s">
        <v>1909</v>
      </c>
      <c r="C112" s="3" t="s">
        <v>1910</v>
      </c>
      <c r="D112" s="3" t="s">
        <v>1911</v>
      </c>
      <c r="E112" s="3" t="s">
        <v>1912</v>
      </c>
      <c r="F112" s="3" t="s">
        <v>1913</v>
      </c>
      <c r="G112" s="3" t="s">
        <v>1914</v>
      </c>
      <c r="H112" s="3" t="s">
        <v>1915</v>
      </c>
      <c r="I112" s="3" t="s">
        <v>84</v>
      </c>
      <c r="J112" s="3" t="s">
        <v>1916</v>
      </c>
      <c r="K112" s="3" t="s">
        <v>1917</v>
      </c>
      <c r="L112" s="3">
        <v>210</v>
      </c>
      <c r="M112" s="3" t="s">
        <v>1918</v>
      </c>
      <c r="N112" s="3"/>
      <c r="O112" s="3">
        <v>36280000</v>
      </c>
      <c r="P112" s="3"/>
      <c r="Q112" s="3" t="s">
        <v>544</v>
      </c>
      <c r="R112" s="3" t="s">
        <v>130</v>
      </c>
      <c r="S112" s="3" t="s">
        <v>1919</v>
      </c>
      <c r="T112" s="3">
        <v>10</v>
      </c>
      <c r="U112" s="3" t="s">
        <v>1920</v>
      </c>
      <c r="V112" s="3" t="s">
        <v>1921</v>
      </c>
      <c r="W112" s="3">
        <v>100</v>
      </c>
      <c r="X112" s="10">
        <v>1600</v>
      </c>
      <c r="Y112" s="6">
        <v>41392</v>
      </c>
      <c r="Z112" s="3" t="s">
        <v>62</v>
      </c>
      <c r="AA112" s="3">
        <v>0</v>
      </c>
      <c r="AB112" s="3">
        <v>4</v>
      </c>
      <c r="AC112" s="3">
        <v>2</v>
      </c>
      <c r="AD112" s="3" t="s">
        <v>1922</v>
      </c>
      <c r="AE112" s="3" t="s">
        <v>1923</v>
      </c>
      <c r="AF112" s="9">
        <v>1080</v>
      </c>
      <c r="AG112" s="3" t="s">
        <v>120</v>
      </c>
      <c r="AH112" s="3" t="s">
        <v>62</v>
      </c>
      <c r="AI112" s="3" t="s">
        <v>1924</v>
      </c>
      <c r="AJ112" s="3" t="s">
        <v>1925</v>
      </c>
      <c r="AK112" s="3" t="s">
        <v>1926</v>
      </c>
      <c r="AL112" s="3" t="s">
        <v>1927</v>
      </c>
      <c r="AN112" s="3" t="s">
        <v>1928</v>
      </c>
      <c r="AO112" s="3" t="s">
        <v>1929</v>
      </c>
      <c r="AP112" s="3" t="s">
        <v>1930</v>
      </c>
      <c r="AQ112" s="3" t="s">
        <v>1931</v>
      </c>
      <c r="AR112" s="3" t="s">
        <v>1932</v>
      </c>
      <c r="AS112" s="3"/>
      <c r="AT112" s="3" t="s">
        <v>1933</v>
      </c>
    </row>
    <row r="113" spans="1:46" ht="12.5" x14ac:dyDescent="0.25">
      <c r="A113" s="3" t="s">
        <v>46</v>
      </c>
      <c r="B113" s="3" t="s">
        <v>1934</v>
      </c>
      <c r="C113" s="3" t="s">
        <v>1935</v>
      </c>
      <c r="D113" s="3" t="s">
        <v>1936</v>
      </c>
      <c r="E113" s="3" t="s">
        <v>1937</v>
      </c>
      <c r="F113" s="3" t="s">
        <v>1938</v>
      </c>
      <c r="G113" s="3" t="s">
        <v>1939</v>
      </c>
      <c r="H113" s="3" t="s">
        <v>1940</v>
      </c>
      <c r="I113" s="3" t="s">
        <v>84</v>
      </c>
      <c r="J113" s="3" t="s">
        <v>1941</v>
      </c>
      <c r="K113" s="3" t="s">
        <v>1942</v>
      </c>
      <c r="L113" s="3">
        <v>31</v>
      </c>
      <c r="M113" s="3" t="s">
        <v>177</v>
      </c>
      <c r="N113" s="3" t="s">
        <v>1943</v>
      </c>
      <c r="O113" s="3">
        <v>31578200</v>
      </c>
      <c r="Q113" s="3" t="s">
        <v>1944</v>
      </c>
      <c r="R113" s="3" t="s">
        <v>216</v>
      </c>
      <c r="S113" s="3" t="s">
        <v>430</v>
      </c>
      <c r="T113" s="3">
        <v>5</v>
      </c>
      <c r="U113" s="3" t="s">
        <v>1945</v>
      </c>
      <c r="V113" s="3" t="s">
        <v>1946</v>
      </c>
      <c r="W113" s="3">
        <v>20</v>
      </c>
      <c r="X113" s="10">
        <v>100</v>
      </c>
      <c r="Y113" s="6">
        <v>43941</v>
      </c>
      <c r="Z113" s="3" t="s">
        <v>62</v>
      </c>
      <c r="AA113" s="3">
        <v>0</v>
      </c>
      <c r="AB113" s="3">
        <v>20</v>
      </c>
      <c r="AC113" s="3">
        <v>2</v>
      </c>
      <c r="AD113" s="3" t="s">
        <v>1344</v>
      </c>
      <c r="AE113" s="3" t="s">
        <v>1947</v>
      </c>
      <c r="AF113" s="9">
        <v>2485</v>
      </c>
      <c r="AG113" s="3" t="s">
        <v>120</v>
      </c>
      <c r="AH113" s="3" t="s">
        <v>120</v>
      </c>
      <c r="AI113" s="3"/>
      <c r="AJ113" s="3"/>
      <c r="AK113" s="3" t="s">
        <v>1948</v>
      </c>
      <c r="AL113" s="3"/>
      <c r="AN113" s="3"/>
      <c r="AO113" s="3"/>
      <c r="AP113" s="3"/>
      <c r="AQ113" s="3"/>
      <c r="AR113" s="3" t="s">
        <v>1949</v>
      </c>
      <c r="AT113" s="3"/>
    </row>
    <row r="114" spans="1:46" ht="12.5" x14ac:dyDescent="0.25">
      <c r="A114" s="3" t="s">
        <v>152</v>
      </c>
      <c r="B114" s="3" t="s">
        <v>1950</v>
      </c>
      <c r="C114" s="3" t="s">
        <v>1951</v>
      </c>
      <c r="D114" s="3" t="s">
        <v>1952</v>
      </c>
      <c r="E114" s="3" t="s">
        <v>1953</v>
      </c>
      <c r="F114" s="3" t="s">
        <v>1954</v>
      </c>
      <c r="G114" s="3" t="s">
        <v>1955</v>
      </c>
      <c r="H114" s="3" t="s">
        <v>1956</v>
      </c>
      <c r="I114" s="3" t="s">
        <v>1381</v>
      </c>
      <c r="J114" s="3" t="s">
        <v>1957</v>
      </c>
      <c r="K114" s="3" t="s">
        <v>1958</v>
      </c>
      <c r="L114" s="3">
        <v>3</v>
      </c>
      <c r="M114" s="3" t="s">
        <v>1959</v>
      </c>
      <c r="N114" s="3" t="s">
        <v>1960</v>
      </c>
      <c r="O114" s="3">
        <v>72311216</v>
      </c>
      <c r="Q114" s="3" t="s">
        <v>1961</v>
      </c>
      <c r="R114" s="3" t="s">
        <v>57</v>
      </c>
      <c r="S114" s="3" t="s">
        <v>675</v>
      </c>
      <c r="T114" s="3">
        <v>5</v>
      </c>
      <c r="U114" s="3" t="s">
        <v>1962</v>
      </c>
      <c r="V114" s="3" t="s">
        <v>1963</v>
      </c>
      <c r="W114" s="3">
        <v>980</v>
      </c>
      <c r="X114" s="10">
        <v>9590</v>
      </c>
      <c r="Y114" s="6">
        <v>42860</v>
      </c>
      <c r="Z114" s="3" t="s">
        <v>62</v>
      </c>
      <c r="AA114" s="3">
        <v>2</v>
      </c>
      <c r="AB114" s="3">
        <v>50</v>
      </c>
      <c r="AC114" s="3">
        <v>4</v>
      </c>
      <c r="AD114" s="3" t="s">
        <v>1964</v>
      </c>
      <c r="AE114" s="3" t="s">
        <v>1965</v>
      </c>
      <c r="AF114" s="9">
        <v>166140</v>
      </c>
      <c r="AG114" s="3" t="s">
        <v>120</v>
      </c>
      <c r="AH114" s="3" t="s">
        <v>120</v>
      </c>
      <c r="AI114" s="3" t="s">
        <v>1966</v>
      </c>
      <c r="AJ114" s="3" t="s">
        <v>1967</v>
      </c>
      <c r="AK114" s="3" t="s">
        <v>1968</v>
      </c>
      <c r="AL114" s="3" t="s">
        <v>1969</v>
      </c>
      <c r="AN114" s="3" t="s">
        <v>1970</v>
      </c>
      <c r="AO114" s="3" t="s">
        <v>1971</v>
      </c>
      <c r="AP114" s="3" t="s">
        <v>1972</v>
      </c>
      <c r="AQ114" s="3" t="s">
        <v>1973</v>
      </c>
      <c r="AR114" s="3" t="s">
        <v>1974</v>
      </c>
      <c r="AT114" s="3" t="s">
        <v>1975</v>
      </c>
    </row>
    <row r="115" spans="1:46" ht="12.5" x14ac:dyDescent="0.25">
      <c r="A115" s="3" t="s">
        <v>46</v>
      </c>
      <c r="B115" s="3" t="s">
        <v>1976</v>
      </c>
      <c r="C115" s="3" t="s">
        <v>1977</v>
      </c>
      <c r="D115" s="3" t="s">
        <v>1978</v>
      </c>
      <c r="E115" s="3" t="s">
        <v>1979</v>
      </c>
      <c r="F115" s="3" t="s">
        <v>1980</v>
      </c>
      <c r="G115" s="3" t="s">
        <v>1981</v>
      </c>
      <c r="H115" s="3" t="s">
        <v>1982</v>
      </c>
      <c r="I115" s="3" t="s">
        <v>1002</v>
      </c>
      <c r="J115" s="3" t="s">
        <v>1983</v>
      </c>
      <c r="K115" s="3" t="s">
        <v>1984</v>
      </c>
      <c r="L115" s="3">
        <v>61</v>
      </c>
      <c r="M115" s="3" t="s">
        <v>1848</v>
      </c>
      <c r="N115" s="3" t="s">
        <v>1985</v>
      </c>
      <c r="O115" s="3">
        <v>41920530</v>
      </c>
      <c r="Q115" s="3" t="s">
        <v>473</v>
      </c>
      <c r="R115" s="3" t="s">
        <v>161</v>
      </c>
      <c r="S115" s="3" t="s">
        <v>1986</v>
      </c>
      <c r="T115" s="3">
        <v>5</v>
      </c>
      <c r="U115" s="3" t="s">
        <v>1987</v>
      </c>
      <c r="V115" s="3" t="s">
        <v>1988</v>
      </c>
      <c r="W115" s="3">
        <v>180</v>
      </c>
      <c r="X115" s="10">
        <v>18000</v>
      </c>
      <c r="Y115" s="6">
        <v>40399</v>
      </c>
      <c r="Z115" s="3" t="s">
        <v>62</v>
      </c>
      <c r="AA115" s="3">
        <v>1</v>
      </c>
      <c r="AB115" s="3">
        <v>18</v>
      </c>
      <c r="AC115" s="3">
        <v>3</v>
      </c>
      <c r="AD115" s="3" t="s">
        <v>1234</v>
      </c>
      <c r="AE115" s="3" t="s">
        <v>1989</v>
      </c>
      <c r="AF115" s="9">
        <v>90000</v>
      </c>
      <c r="AG115" s="3" t="s">
        <v>120</v>
      </c>
      <c r="AH115" s="3" t="s">
        <v>120</v>
      </c>
      <c r="AI115" s="3"/>
      <c r="AJ115" s="3" t="s">
        <v>1990</v>
      </c>
      <c r="AK115" s="3" t="s">
        <v>1991</v>
      </c>
      <c r="AL115" s="3"/>
      <c r="AN115" s="3"/>
      <c r="AO115" s="3" t="s">
        <v>1992</v>
      </c>
      <c r="AP115" s="3" t="s">
        <v>1993</v>
      </c>
      <c r="AQ115" s="3"/>
      <c r="AR115" s="3" t="s">
        <v>1994</v>
      </c>
      <c r="AT115" s="3"/>
    </row>
    <row r="116" spans="1:46" ht="12.5" x14ac:dyDescent="0.25">
      <c r="A116" s="3" t="s">
        <v>46</v>
      </c>
      <c r="B116" s="3" t="s">
        <v>1995</v>
      </c>
      <c r="C116" s="3" t="s">
        <v>1996</v>
      </c>
      <c r="D116" s="3" t="s">
        <v>1997</v>
      </c>
      <c r="E116" s="3" t="s">
        <v>1998</v>
      </c>
      <c r="F116" s="3" t="s">
        <v>1999</v>
      </c>
      <c r="G116" s="3" t="s">
        <v>2000</v>
      </c>
      <c r="H116" s="3" t="s">
        <v>2001</v>
      </c>
      <c r="I116" s="3" t="s">
        <v>101</v>
      </c>
      <c r="J116" s="3" t="s">
        <v>2002</v>
      </c>
      <c r="K116" s="3" t="s">
        <v>2003</v>
      </c>
      <c r="L116" s="3">
        <v>59</v>
      </c>
      <c r="M116" s="3" t="s">
        <v>128</v>
      </c>
      <c r="N116" s="3"/>
      <c r="O116" s="3">
        <v>2672060</v>
      </c>
      <c r="Q116" s="3" t="s">
        <v>1518</v>
      </c>
      <c r="R116" s="3" t="s">
        <v>695</v>
      </c>
      <c r="S116" s="3" t="s">
        <v>430</v>
      </c>
      <c r="T116" s="3">
        <v>4</v>
      </c>
      <c r="U116" s="3" t="s">
        <v>2004</v>
      </c>
      <c r="V116" s="3"/>
      <c r="W116" s="3">
        <v>150</v>
      </c>
      <c r="X116" s="10">
        <v>3400</v>
      </c>
      <c r="Y116" s="6">
        <v>41285</v>
      </c>
      <c r="Z116" s="3" t="s">
        <v>62</v>
      </c>
      <c r="AA116" s="3">
        <v>10</v>
      </c>
      <c r="AB116" s="3">
        <v>5</v>
      </c>
      <c r="AC116" s="3">
        <v>2</v>
      </c>
      <c r="AD116" s="3" t="s">
        <v>2005</v>
      </c>
      <c r="AE116" s="3" t="s">
        <v>2006</v>
      </c>
      <c r="AF116" s="9">
        <v>109377</v>
      </c>
      <c r="AG116" s="3" t="s">
        <v>120</v>
      </c>
      <c r="AH116" s="3" t="s">
        <v>62</v>
      </c>
      <c r="AI116" s="3" t="s">
        <v>2007</v>
      </c>
      <c r="AJ116" s="3" t="s">
        <v>2008</v>
      </c>
      <c r="AK116" s="3" t="s">
        <v>2009</v>
      </c>
      <c r="AL116" s="3" t="s">
        <v>2010</v>
      </c>
      <c r="AN116" s="3"/>
      <c r="AO116" s="3" t="s">
        <v>2011</v>
      </c>
      <c r="AP116" s="3" t="s">
        <v>2012</v>
      </c>
      <c r="AQ116" s="3"/>
      <c r="AR116" s="3" t="s">
        <v>2013</v>
      </c>
      <c r="AT116" s="3"/>
    </row>
    <row r="117" spans="1:46" ht="12.5" x14ac:dyDescent="0.25">
      <c r="A117" s="3" t="s">
        <v>46</v>
      </c>
      <c r="B117" s="3" t="s">
        <v>2014</v>
      </c>
      <c r="C117" s="3" t="s">
        <v>2015</v>
      </c>
      <c r="D117" s="3" t="s">
        <v>2016</v>
      </c>
      <c r="E117" s="3" t="s">
        <v>2017</v>
      </c>
      <c r="F117" s="3" t="s">
        <v>2018</v>
      </c>
      <c r="G117" s="3" t="s">
        <v>2019</v>
      </c>
      <c r="H117" s="3" t="s">
        <v>2020</v>
      </c>
      <c r="I117" s="3" t="s">
        <v>101</v>
      </c>
      <c r="J117" s="3" t="s">
        <v>2021</v>
      </c>
      <c r="K117" s="3" t="s">
        <v>2022</v>
      </c>
      <c r="L117" s="3">
        <v>35</v>
      </c>
      <c r="M117" s="3" t="s">
        <v>393</v>
      </c>
      <c r="N117" s="3"/>
      <c r="O117" s="3">
        <v>8616585</v>
      </c>
      <c r="Q117" s="3" t="s">
        <v>2023</v>
      </c>
      <c r="R117" s="3" t="s">
        <v>75</v>
      </c>
      <c r="S117" s="3" t="s">
        <v>430</v>
      </c>
      <c r="T117" s="3">
        <v>1</v>
      </c>
      <c r="U117" s="3">
        <v>0</v>
      </c>
      <c r="V117" s="3"/>
      <c r="W117" s="3">
        <v>150</v>
      </c>
      <c r="X117" s="10">
        <v>1500</v>
      </c>
      <c r="Y117" s="6">
        <v>43060</v>
      </c>
      <c r="Z117" s="3" t="s">
        <v>62</v>
      </c>
      <c r="AA117" s="3">
        <v>1</v>
      </c>
      <c r="AB117" s="3">
        <v>8</v>
      </c>
      <c r="AC117" s="3">
        <v>2</v>
      </c>
      <c r="AD117" s="3" t="s">
        <v>1344</v>
      </c>
      <c r="AE117" s="3" t="s">
        <v>2024</v>
      </c>
      <c r="AF117" s="9">
        <v>10</v>
      </c>
      <c r="AG117" s="3" t="s">
        <v>62</v>
      </c>
      <c r="AH117" s="3" t="s">
        <v>120</v>
      </c>
      <c r="AI117" s="3"/>
      <c r="AJ117" s="3" t="s">
        <v>2025</v>
      </c>
      <c r="AK117" s="3" t="s">
        <v>2026</v>
      </c>
      <c r="AL117" s="3" t="s">
        <v>2027</v>
      </c>
      <c r="AO117" s="3" t="s">
        <v>2028</v>
      </c>
      <c r="AP117" s="3"/>
      <c r="AR117" s="3" t="s">
        <v>2029</v>
      </c>
    </row>
    <row r="118" spans="1:46" ht="12.5" x14ac:dyDescent="0.25">
      <c r="A118" s="3" t="s">
        <v>46</v>
      </c>
      <c r="B118" s="3" t="s">
        <v>2030</v>
      </c>
      <c r="C118" s="3" t="s">
        <v>2031</v>
      </c>
      <c r="D118" s="3" t="s">
        <v>2032</v>
      </c>
      <c r="E118" s="3" t="s">
        <v>2033</v>
      </c>
      <c r="F118" s="3" t="s">
        <v>2034</v>
      </c>
      <c r="G118" s="3" t="s">
        <v>2035</v>
      </c>
      <c r="H118" s="3" t="s">
        <v>2036</v>
      </c>
      <c r="I118" s="3" t="s">
        <v>557</v>
      </c>
      <c r="J118" s="3" t="s">
        <v>2037</v>
      </c>
      <c r="K118" s="3" t="s">
        <v>2038</v>
      </c>
      <c r="L118" s="3">
        <v>114</v>
      </c>
      <c r="M118" s="3" t="s">
        <v>2039</v>
      </c>
      <c r="N118" s="3" t="s">
        <v>2040</v>
      </c>
      <c r="O118" s="3">
        <v>88090575</v>
      </c>
      <c r="P118" s="3" t="s">
        <v>2041</v>
      </c>
      <c r="Q118" s="3" t="s">
        <v>987</v>
      </c>
      <c r="R118" s="3" t="s">
        <v>2042</v>
      </c>
      <c r="S118" s="3" t="s">
        <v>430</v>
      </c>
      <c r="T118" s="3">
        <v>8</v>
      </c>
      <c r="U118" s="3" t="s">
        <v>2043</v>
      </c>
      <c r="V118" s="3" t="s">
        <v>2044</v>
      </c>
      <c r="W118" s="3">
        <v>37</v>
      </c>
      <c r="X118" s="10">
        <v>17685</v>
      </c>
      <c r="Y118" s="6">
        <v>44088</v>
      </c>
      <c r="Z118" s="3" t="s">
        <v>62</v>
      </c>
      <c r="AA118" s="3">
        <v>1</v>
      </c>
      <c r="AB118" s="3">
        <v>9</v>
      </c>
      <c r="AC118" s="3">
        <v>2</v>
      </c>
      <c r="AD118" s="3" t="s">
        <v>132</v>
      </c>
      <c r="AE118" s="3" t="s">
        <v>2045</v>
      </c>
      <c r="AF118" s="9">
        <v>108000</v>
      </c>
      <c r="AG118" s="3" t="s">
        <v>120</v>
      </c>
      <c r="AH118" s="3" t="s">
        <v>120</v>
      </c>
      <c r="AI118" s="3" t="s">
        <v>2046</v>
      </c>
      <c r="AJ118" s="3" t="s">
        <v>2047</v>
      </c>
      <c r="AK118" s="3" t="s">
        <v>2048</v>
      </c>
      <c r="AL118" s="3"/>
      <c r="AN118" s="3" t="s">
        <v>2049</v>
      </c>
      <c r="AO118" s="3" t="s">
        <v>2050</v>
      </c>
      <c r="AP118" s="3" t="s">
        <v>2051</v>
      </c>
      <c r="AQ118" s="3" t="s">
        <v>2052</v>
      </c>
      <c r="AR118" s="3" t="s">
        <v>2053</v>
      </c>
    </row>
    <row r="119" spans="1:46" ht="12.5" x14ac:dyDescent="0.25">
      <c r="A119" s="3" t="s">
        <v>46</v>
      </c>
      <c r="B119" s="3" t="s">
        <v>2054</v>
      </c>
      <c r="C119" s="3" t="s">
        <v>2055</v>
      </c>
      <c r="D119" s="3" t="s">
        <v>2056</v>
      </c>
      <c r="E119" s="3" t="s">
        <v>2057</v>
      </c>
      <c r="F119" s="3" t="s">
        <v>2058</v>
      </c>
      <c r="G119" s="3" t="s">
        <v>2059</v>
      </c>
      <c r="H119" s="3" t="s">
        <v>2060</v>
      </c>
      <c r="I119" s="3" t="s">
        <v>70</v>
      </c>
      <c r="J119" s="3" t="s">
        <v>2061</v>
      </c>
      <c r="K119" s="3" t="s">
        <v>2062</v>
      </c>
      <c r="L119" s="3">
        <v>0</v>
      </c>
      <c r="M119" s="3" t="s">
        <v>626</v>
      </c>
      <c r="N119" s="3" t="s">
        <v>2063</v>
      </c>
      <c r="O119" s="3">
        <v>21040241</v>
      </c>
      <c r="P119" s="3" t="s">
        <v>2064</v>
      </c>
      <c r="Q119" s="3" t="s">
        <v>1764</v>
      </c>
      <c r="R119" s="3" t="s">
        <v>2065</v>
      </c>
      <c r="S119" s="3" t="s">
        <v>2066</v>
      </c>
      <c r="T119" s="3">
        <v>16</v>
      </c>
      <c r="U119" s="3" t="s">
        <v>2067</v>
      </c>
      <c r="V119" s="3" t="s">
        <v>2068</v>
      </c>
      <c r="W119" s="3">
        <v>180</v>
      </c>
      <c r="X119" s="10">
        <v>1250</v>
      </c>
      <c r="Y119" s="8">
        <v>38301</v>
      </c>
      <c r="Z119" s="3" t="s">
        <v>62</v>
      </c>
      <c r="AA119" s="3">
        <v>16</v>
      </c>
      <c r="AB119" s="3">
        <v>0</v>
      </c>
      <c r="AC119" s="3">
        <v>4</v>
      </c>
      <c r="AD119" s="3" t="s">
        <v>2069</v>
      </c>
      <c r="AE119" s="3">
        <v>2</v>
      </c>
      <c r="AF119" s="9">
        <v>250777</v>
      </c>
      <c r="AG119" s="3" t="s">
        <v>120</v>
      </c>
      <c r="AH119" s="3" t="s">
        <v>120</v>
      </c>
      <c r="AI119" s="3" t="s">
        <v>2070</v>
      </c>
      <c r="AJ119" s="3" t="s">
        <v>2071</v>
      </c>
      <c r="AK119" s="3" t="s">
        <v>2072</v>
      </c>
      <c r="AL119" s="3" t="s">
        <v>2073</v>
      </c>
      <c r="AN119" s="3" t="s">
        <v>2074</v>
      </c>
      <c r="AO119" s="3" t="s">
        <v>2075</v>
      </c>
      <c r="AP119" s="3" t="s">
        <v>2076</v>
      </c>
      <c r="AQ119" s="3" t="s">
        <v>2077</v>
      </c>
      <c r="AR119" s="3" t="s">
        <v>2078</v>
      </c>
      <c r="AS119" s="3" t="s">
        <v>2079</v>
      </c>
      <c r="AT119" s="3" t="s">
        <v>2080</v>
      </c>
    </row>
    <row r="120" spans="1:46" ht="12.5" x14ac:dyDescent="0.25">
      <c r="A120" s="3" t="s">
        <v>46</v>
      </c>
      <c r="B120" s="3" t="s">
        <v>2081</v>
      </c>
      <c r="C120" s="3" t="s">
        <v>2082</v>
      </c>
      <c r="D120" s="3" t="s">
        <v>2083</v>
      </c>
      <c r="E120" s="3" t="s">
        <v>2084</v>
      </c>
      <c r="F120" s="3" t="s">
        <v>2085</v>
      </c>
      <c r="G120" s="3" t="s">
        <v>2086</v>
      </c>
      <c r="H120" s="3" t="s">
        <v>2087</v>
      </c>
      <c r="I120" s="3" t="s">
        <v>468</v>
      </c>
      <c r="J120" s="3" t="s">
        <v>2088</v>
      </c>
      <c r="K120" s="3" t="s">
        <v>647</v>
      </c>
      <c r="L120" s="3">
        <v>295</v>
      </c>
      <c r="M120" s="3" t="s">
        <v>2089</v>
      </c>
      <c r="N120" s="3"/>
      <c r="O120" s="3">
        <v>63800000</v>
      </c>
      <c r="P120" s="3" t="s">
        <v>2090</v>
      </c>
      <c r="Q120" s="3" t="s">
        <v>56</v>
      </c>
      <c r="R120" s="3" t="s">
        <v>299</v>
      </c>
      <c r="S120" s="3" t="s">
        <v>430</v>
      </c>
      <c r="T120" s="3">
        <v>8</v>
      </c>
      <c r="U120" s="3" t="s">
        <v>2091</v>
      </c>
      <c r="V120" s="3"/>
      <c r="W120" s="3">
        <v>120</v>
      </c>
      <c r="X120" s="10">
        <v>660</v>
      </c>
      <c r="Y120" s="6">
        <v>43806</v>
      </c>
      <c r="Z120" s="3" t="s">
        <v>62</v>
      </c>
      <c r="AA120" s="3">
        <v>0</v>
      </c>
      <c r="AB120" s="3">
        <v>17</v>
      </c>
      <c r="AC120" s="3">
        <v>1</v>
      </c>
      <c r="AD120" s="3" t="s">
        <v>118</v>
      </c>
      <c r="AE120" s="3" t="s">
        <v>2092</v>
      </c>
      <c r="AF120" s="9">
        <v>6000</v>
      </c>
      <c r="AG120" s="3" t="s">
        <v>120</v>
      </c>
      <c r="AH120" s="3" t="s">
        <v>120</v>
      </c>
      <c r="AI120" s="3"/>
      <c r="AJ120" s="3" t="s">
        <v>2093</v>
      </c>
      <c r="AK120" s="3" t="s">
        <v>2094</v>
      </c>
      <c r="AL120" s="3"/>
      <c r="AN120" s="3"/>
      <c r="AO120" s="3" t="s">
        <v>2095</v>
      </c>
      <c r="AP120" s="3" t="s">
        <v>2096</v>
      </c>
      <c r="AQ120" s="3"/>
      <c r="AR120" s="3"/>
      <c r="AS120" s="3"/>
      <c r="AT120" s="3" t="s">
        <v>2097</v>
      </c>
    </row>
    <row r="121" spans="1:46" ht="12.5" x14ac:dyDescent="0.25">
      <c r="A121" s="3" t="s">
        <v>46</v>
      </c>
      <c r="B121" s="3" t="s">
        <v>2098</v>
      </c>
      <c r="C121" s="3" t="s">
        <v>2099</v>
      </c>
      <c r="D121" s="3" t="s">
        <v>2100</v>
      </c>
      <c r="E121" s="3" t="s">
        <v>2101</v>
      </c>
      <c r="F121" s="3" t="s">
        <v>2102</v>
      </c>
      <c r="G121" s="3" t="s">
        <v>2103</v>
      </c>
      <c r="H121" s="3" t="s">
        <v>2104</v>
      </c>
      <c r="I121" s="3" t="s">
        <v>84</v>
      </c>
      <c r="J121" s="3" t="s">
        <v>2105</v>
      </c>
      <c r="K121" s="3" t="s">
        <v>2106</v>
      </c>
      <c r="L121" s="3">
        <v>35</v>
      </c>
      <c r="M121" s="3" t="s">
        <v>2107</v>
      </c>
      <c r="N121" s="3"/>
      <c r="O121" s="3">
        <v>36025360</v>
      </c>
      <c r="P121" s="3"/>
      <c r="Q121" s="3" t="s">
        <v>199</v>
      </c>
      <c r="R121" s="3" t="s">
        <v>75</v>
      </c>
      <c r="S121" s="3" t="s">
        <v>1133</v>
      </c>
      <c r="T121" s="3">
        <v>1</v>
      </c>
      <c r="U121" s="3" t="s">
        <v>2108</v>
      </c>
      <c r="V121" s="3"/>
      <c r="W121" s="3">
        <v>80</v>
      </c>
      <c r="X121" s="10">
        <v>5120</v>
      </c>
      <c r="Y121" s="8">
        <v>44243</v>
      </c>
      <c r="Z121" s="3" t="s">
        <v>62</v>
      </c>
      <c r="AA121" s="3">
        <v>0</v>
      </c>
      <c r="AB121" s="3">
        <v>27</v>
      </c>
      <c r="AC121" s="3">
        <v>4</v>
      </c>
      <c r="AD121" s="3" t="s">
        <v>2109</v>
      </c>
      <c r="AE121" s="3" t="s">
        <v>2110</v>
      </c>
      <c r="AF121" s="9">
        <v>28000</v>
      </c>
      <c r="AG121" s="3" t="s">
        <v>120</v>
      </c>
      <c r="AH121" s="3" t="s">
        <v>120</v>
      </c>
      <c r="AI121" s="3" t="s">
        <v>2111</v>
      </c>
      <c r="AJ121" s="3" t="s">
        <v>2112</v>
      </c>
      <c r="AK121" s="3" t="s">
        <v>2113</v>
      </c>
      <c r="AL121" s="3" t="s">
        <v>2114</v>
      </c>
      <c r="AN121" s="3" t="s">
        <v>2115</v>
      </c>
      <c r="AO121" s="3" t="s">
        <v>2116</v>
      </c>
      <c r="AP121" s="3" t="s">
        <v>2117</v>
      </c>
      <c r="AQ121" s="3" t="s">
        <v>2118</v>
      </c>
      <c r="AR121" s="3" t="s">
        <v>2119</v>
      </c>
      <c r="AS121" s="3"/>
      <c r="AT121" s="3" t="s">
        <v>2120</v>
      </c>
    </row>
    <row r="122" spans="1:46" ht="12.5" x14ac:dyDescent="0.25">
      <c r="A122" s="3" t="s">
        <v>46</v>
      </c>
      <c r="B122" s="3" t="s">
        <v>2121</v>
      </c>
      <c r="C122" s="3" t="s">
        <v>2122</v>
      </c>
      <c r="D122" s="3" t="s">
        <v>2123</v>
      </c>
      <c r="E122" s="3" t="s">
        <v>2124</v>
      </c>
      <c r="F122" s="3" t="s">
        <v>2125</v>
      </c>
      <c r="G122" s="3" t="s">
        <v>2126</v>
      </c>
      <c r="H122" s="3" t="s">
        <v>623</v>
      </c>
      <c r="I122" s="3" t="s">
        <v>84</v>
      </c>
      <c r="J122" s="3" t="s">
        <v>2127</v>
      </c>
      <c r="K122" s="3" t="s">
        <v>2128</v>
      </c>
      <c r="L122" s="3">
        <v>704</v>
      </c>
      <c r="M122" s="3" t="s">
        <v>2129</v>
      </c>
      <c r="O122" s="3">
        <v>30624080</v>
      </c>
      <c r="P122" s="3"/>
      <c r="Q122" s="3" t="s">
        <v>77</v>
      </c>
      <c r="R122" s="3" t="s">
        <v>161</v>
      </c>
      <c r="S122" s="3" t="s">
        <v>653</v>
      </c>
      <c r="T122" s="3">
        <v>3</v>
      </c>
      <c r="U122" s="3" t="s">
        <v>2130</v>
      </c>
      <c r="W122" s="3">
        <v>200</v>
      </c>
      <c r="X122" s="10">
        <v>1000</v>
      </c>
      <c r="Y122" s="6">
        <v>42874</v>
      </c>
      <c r="Z122" s="3" t="s">
        <v>62</v>
      </c>
      <c r="AA122" s="3">
        <v>0</v>
      </c>
      <c r="AB122" s="3">
        <v>6</v>
      </c>
      <c r="AC122" s="3">
        <v>1</v>
      </c>
      <c r="AD122" s="3" t="s">
        <v>432</v>
      </c>
      <c r="AE122" s="3" t="s">
        <v>2131</v>
      </c>
      <c r="AF122" s="9">
        <v>384000</v>
      </c>
      <c r="AG122" s="3" t="s">
        <v>120</v>
      </c>
      <c r="AH122" s="3" t="s">
        <v>120</v>
      </c>
      <c r="AI122" s="3" t="s">
        <v>2132</v>
      </c>
      <c r="AJ122" s="3" t="s">
        <v>2133</v>
      </c>
      <c r="AK122" s="3" t="s">
        <v>2134</v>
      </c>
      <c r="AL122" s="3" t="s">
        <v>2135</v>
      </c>
      <c r="AN122" s="3" t="s">
        <v>2136</v>
      </c>
      <c r="AO122" s="3" t="s">
        <v>2137</v>
      </c>
      <c r="AP122" s="3" t="s">
        <v>2138</v>
      </c>
      <c r="AQ122" s="3" t="s">
        <v>2139</v>
      </c>
      <c r="AR122" s="3" t="s">
        <v>2140</v>
      </c>
      <c r="AS122" s="3" t="s">
        <v>2141</v>
      </c>
      <c r="AT122" s="3" t="s">
        <v>2142</v>
      </c>
    </row>
    <row r="123" spans="1:46" ht="12.5" x14ac:dyDescent="0.25">
      <c r="A123" s="3" t="s">
        <v>46</v>
      </c>
      <c r="B123" s="3" t="s">
        <v>2143</v>
      </c>
      <c r="C123" s="3" t="s">
        <v>2144</v>
      </c>
      <c r="D123" s="3" t="s">
        <v>2145</v>
      </c>
      <c r="E123" s="3" t="s">
        <v>2146</v>
      </c>
      <c r="F123" s="3" t="s">
        <v>2147</v>
      </c>
      <c r="G123" s="3" t="s">
        <v>2148</v>
      </c>
      <c r="H123" s="3" t="s">
        <v>2149</v>
      </c>
      <c r="I123" s="3" t="s">
        <v>1002</v>
      </c>
      <c r="J123" s="3" t="s">
        <v>2150</v>
      </c>
      <c r="K123" s="3" t="s">
        <v>2151</v>
      </c>
      <c r="L123" s="3">
        <v>36</v>
      </c>
      <c r="M123" s="3" t="s">
        <v>2152</v>
      </c>
      <c r="O123" s="3">
        <v>45680000</v>
      </c>
      <c r="P123" s="3" t="s">
        <v>2153</v>
      </c>
      <c r="Q123" s="3" t="s">
        <v>762</v>
      </c>
      <c r="R123" s="3" t="s">
        <v>57</v>
      </c>
      <c r="S123" s="3" t="s">
        <v>2154</v>
      </c>
      <c r="T123" s="3">
        <v>7</v>
      </c>
      <c r="U123" s="3" t="s">
        <v>2155</v>
      </c>
      <c r="V123" s="3" t="s">
        <v>2156</v>
      </c>
      <c r="W123" s="3">
        <v>0</v>
      </c>
      <c r="X123" s="10">
        <v>500</v>
      </c>
      <c r="Y123" s="6">
        <v>38558</v>
      </c>
      <c r="Z123" s="3" t="s">
        <v>62</v>
      </c>
      <c r="AA123" s="3">
        <v>2</v>
      </c>
      <c r="AB123" s="3">
        <v>3</v>
      </c>
      <c r="AC123" s="3">
        <v>1</v>
      </c>
      <c r="AD123" s="3" t="s">
        <v>148</v>
      </c>
      <c r="AE123" s="3" t="s">
        <v>2157</v>
      </c>
      <c r="AF123" s="9">
        <v>55000</v>
      </c>
      <c r="AG123" s="3" t="s">
        <v>120</v>
      </c>
      <c r="AH123" s="3" t="s">
        <v>120</v>
      </c>
      <c r="AI123" s="3" t="s">
        <v>2158</v>
      </c>
      <c r="AJ123" s="3" t="s">
        <v>2159</v>
      </c>
      <c r="AK123" s="3" t="s">
        <v>2160</v>
      </c>
      <c r="AL123" s="3" t="s">
        <v>2161</v>
      </c>
      <c r="AN123" s="3" t="s">
        <v>2162</v>
      </c>
      <c r="AO123" s="3" t="s">
        <v>2163</v>
      </c>
      <c r="AP123" s="3" t="s">
        <v>2164</v>
      </c>
      <c r="AQ123" s="3"/>
      <c r="AR123" s="3" t="s">
        <v>2165</v>
      </c>
      <c r="AS123" s="3"/>
      <c r="AT123" s="3"/>
    </row>
    <row r="124" spans="1:46" ht="12.5" x14ac:dyDescent="0.25">
      <c r="A124" s="3" t="s">
        <v>152</v>
      </c>
      <c r="B124" s="3" t="s">
        <v>2166</v>
      </c>
      <c r="C124" s="3" t="s">
        <v>2167</v>
      </c>
      <c r="D124" s="3" t="s">
        <v>2168</v>
      </c>
      <c r="E124" s="3" t="s">
        <v>2169</v>
      </c>
      <c r="F124" s="3" t="s">
        <v>2170</v>
      </c>
      <c r="G124" s="3" t="s">
        <v>2171</v>
      </c>
      <c r="H124" s="3" t="s">
        <v>2172</v>
      </c>
      <c r="I124" s="3" t="s">
        <v>84</v>
      </c>
      <c r="J124" s="3" t="s">
        <v>2173</v>
      </c>
      <c r="K124" s="3" t="s">
        <v>647</v>
      </c>
      <c r="L124" s="3">
        <v>0</v>
      </c>
      <c r="M124" s="3" t="s">
        <v>2174</v>
      </c>
      <c r="N124" s="3" t="s">
        <v>2175</v>
      </c>
      <c r="O124" s="3">
        <v>36420000</v>
      </c>
      <c r="P124" s="3"/>
      <c r="Q124" s="3" t="s">
        <v>2176</v>
      </c>
      <c r="R124" s="3" t="s">
        <v>75</v>
      </c>
      <c r="S124" s="3" t="s">
        <v>2177</v>
      </c>
      <c r="T124" s="3">
        <v>19</v>
      </c>
      <c r="U124" s="3" t="s">
        <v>2178</v>
      </c>
      <c r="V124" s="3" t="s">
        <v>2179</v>
      </c>
      <c r="W124" s="3">
        <v>314</v>
      </c>
      <c r="X124" s="10">
        <v>1200</v>
      </c>
      <c r="Y124" s="6">
        <v>37296</v>
      </c>
      <c r="Z124" s="3" t="s">
        <v>62</v>
      </c>
      <c r="AA124" s="3">
        <v>34</v>
      </c>
      <c r="AB124" s="3">
        <v>4</v>
      </c>
      <c r="AC124" s="3">
        <v>4</v>
      </c>
      <c r="AD124" s="3" t="s">
        <v>2180</v>
      </c>
      <c r="AE124" s="3" t="s">
        <v>2181</v>
      </c>
      <c r="AF124" s="9">
        <v>650000</v>
      </c>
      <c r="AG124" s="3" t="s">
        <v>120</v>
      </c>
      <c r="AH124" s="3" t="s">
        <v>62</v>
      </c>
      <c r="AI124" s="3" t="s">
        <v>2182</v>
      </c>
      <c r="AJ124" s="3" t="s">
        <v>2183</v>
      </c>
      <c r="AK124" s="3" t="s">
        <v>2184</v>
      </c>
      <c r="AL124" s="3" t="s">
        <v>2185</v>
      </c>
      <c r="AM124" s="7" t="s">
        <v>2186</v>
      </c>
      <c r="AN124" s="3"/>
      <c r="AO124" s="3"/>
      <c r="AP124" s="3"/>
      <c r="AQ124" s="3"/>
      <c r="AR124" s="3"/>
      <c r="AS124" s="3"/>
      <c r="AT124" s="3"/>
    </row>
    <row r="125" spans="1:46" ht="12.5" x14ac:dyDescent="0.25">
      <c r="A125" s="3" t="s">
        <v>46</v>
      </c>
      <c r="B125" s="3" t="s">
        <v>2187</v>
      </c>
      <c r="C125" s="3" t="s">
        <v>2188</v>
      </c>
      <c r="D125" s="3" t="s">
        <v>2189</v>
      </c>
      <c r="E125" s="3" t="s">
        <v>2190</v>
      </c>
      <c r="F125" s="3" t="s">
        <v>2191</v>
      </c>
      <c r="G125" s="3" t="s">
        <v>2192</v>
      </c>
      <c r="H125" s="3" t="s">
        <v>2193</v>
      </c>
      <c r="I125" s="3" t="s">
        <v>1381</v>
      </c>
      <c r="J125" s="3" t="s">
        <v>2194</v>
      </c>
      <c r="K125" s="3" t="s">
        <v>2195</v>
      </c>
      <c r="L125" s="3">
        <v>12</v>
      </c>
      <c r="M125" s="3" t="s">
        <v>2196</v>
      </c>
      <c r="N125" s="3"/>
      <c r="O125" s="3">
        <v>72236800</v>
      </c>
      <c r="P125" s="3"/>
      <c r="Q125" s="3" t="s">
        <v>525</v>
      </c>
      <c r="R125" s="3" t="s">
        <v>146</v>
      </c>
      <c r="S125" s="3" t="s">
        <v>2197</v>
      </c>
      <c r="T125" s="3">
        <v>10</v>
      </c>
      <c r="U125" s="3" t="s">
        <v>2198</v>
      </c>
      <c r="V125" s="3" t="s">
        <v>2199</v>
      </c>
      <c r="W125" s="10">
        <v>3000</v>
      </c>
      <c r="X125" s="10">
        <v>5500</v>
      </c>
      <c r="Y125" s="6">
        <v>38144</v>
      </c>
      <c r="Z125" s="3" t="s">
        <v>62</v>
      </c>
      <c r="AA125" s="3">
        <v>0</v>
      </c>
      <c r="AB125" s="3">
        <v>20</v>
      </c>
      <c r="AC125" s="3">
        <v>1</v>
      </c>
      <c r="AD125" s="3" t="s">
        <v>118</v>
      </c>
      <c r="AE125" s="3" t="s">
        <v>2200</v>
      </c>
      <c r="AF125" s="9">
        <v>400000</v>
      </c>
      <c r="AG125" s="3" t="s">
        <v>62</v>
      </c>
      <c r="AH125" s="3" t="s">
        <v>120</v>
      </c>
      <c r="AI125" s="3"/>
      <c r="AJ125" s="3" t="s">
        <v>2201</v>
      </c>
      <c r="AK125" s="3" t="s">
        <v>2202</v>
      </c>
      <c r="AL125" s="3" t="s">
        <v>2203</v>
      </c>
      <c r="AM125" s="3"/>
      <c r="AN125" s="3" t="s">
        <v>2204</v>
      </c>
      <c r="AO125" s="3" t="s">
        <v>2205</v>
      </c>
      <c r="AP125" s="3" t="s">
        <v>2206</v>
      </c>
      <c r="AQ125" s="3" t="s">
        <v>2207</v>
      </c>
      <c r="AR125" s="3" t="s">
        <v>2208</v>
      </c>
    </row>
    <row r="126" spans="1:46" ht="12.5" x14ac:dyDescent="0.25">
      <c r="A126" s="3" t="s">
        <v>46</v>
      </c>
      <c r="B126" s="3" t="s">
        <v>2209</v>
      </c>
      <c r="C126" s="3" t="s">
        <v>2210</v>
      </c>
      <c r="D126" s="3" t="s">
        <v>2211</v>
      </c>
      <c r="E126" s="3" t="s">
        <v>620</v>
      </c>
      <c r="F126" s="3" t="s">
        <v>2212</v>
      </c>
      <c r="G126" s="3" t="s">
        <v>2213</v>
      </c>
      <c r="H126" s="3" t="s">
        <v>2214</v>
      </c>
      <c r="I126" s="3" t="s">
        <v>1676</v>
      </c>
      <c r="J126" s="3" t="s">
        <v>2215</v>
      </c>
      <c r="K126" s="3" t="s">
        <v>2216</v>
      </c>
      <c r="L126" s="3">
        <v>21</v>
      </c>
      <c r="M126" s="3" t="s">
        <v>2217</v>
      </c>
      <c r="N126" s="3" t="s">
        <v>2218</v>
      </c>
      <c r="O126" s="3">
        <v>66823086</v>
      </c>
      <c r="P126" s="3">
        <v>66823086</v>
      </c>
      <c r="Q126" s="3" t="s">
        <v>783</v>
      </c>
      <c r="R126" s="3" t="s">
        <v>75</v>
      </c>
      <c r="S126" s="3" t="s">
        <v>2219</v>
      </c>
      <c r="T126" s="3">
        <v>2</v>
      </c>
      <c r="U126" s="3" t="s">
        <v>2220</v>
      </c>
      <c r="V126" s="3" t="s">
        <v>2221</v>
      </c>
      <c r="W126" s="10">
        <v>20</v>
      </c>
      <c r="X126" s="10">
        <v>700</v>
      </c>
      <c r="Y126" s="6">
        <v>43091</v>
      </c>
      <c r="Z126" s="3" t="s">
        <v>120</v>
      </c>
      <c r="AA126" s="3">
        <v>0</v>
      </c>
      <c r="AB126" s="3">
        <v>6</v>
      </c>
      <c r="AC126" s="3">
        <v>2</v>
      </c>
      <c r="AD126" s="3" t="s">
        <v>1465</v>
      </c>
      <c r="AE126" s="3">
        <v>1</v>
      </c>
      <c r="AF126" s="9">
        <v>0</v>
      </c>
      <c r="AG126" s="3" t="s">
        <v>120</v>
      </c>
      <c r="AH126" s="3" t="s">
        <v>120</v>
      </c>
      <c r="AI126" s="3" t="s">
        <v>2222</v>
      </c>
      <c r="AJ126" s="3" t="s">
        <v>2222</v>
      </c>
      <c r="AK126" s="3" t="s">
        <v>2223</v>
      </c>
      <c r="AL126" s="3" t="s">
        <v>2223</v>
      </c>
      <c r="AM126" s="7" t="s">
        <v>2224</v>
      </c>
      <c r="AN126" s="3"/>
      <c r="AO126" s="3"/>
      <c r="AP126" s="3"/>
      <c r="AQ126" s="3"/>
      <c r="AR126" s="3" t="s">
        <v>2225</v>
      </c>
    </row>
    <row r="127" spans="1:46" ht="12.5" x14ac:dyDescent="0.25">
      <c r="A127" s="3" t="s">
        <v>46</v>
      </c>
      <c r="B127" s="3" t="s">
        <v>2226</v>
      </c>
      <c r="C127" s="3" t="s">
        <v>2227</v>
      </c>
      <c r="D127" s="3" t="s">
        <v>2228</v>
      </c>
      <c r="E127" s="3" t="s">
        <v>2229</v>
      </c>
      <c r="F127" s="3" t="s">
        <v>2230</v>
      </c>
      <c r="G127" s="3" t="s">
        <v>2231</v>
      </c>
      <c r="H127" s="3" t="s">
        <v>2232</v>
      </c>
      <c r="I127" s="3" t="s">
        <v>84</v>
      </c>
      <c r="J127" s="3" t="s">
        <v>2233</v>
      </c>
      <c r="K127" s="3" t="s">
        <v>647</v>
      </c>
      <c r="L127" s="3">
        <v>278</v>
      </c>
      <c r="M127" s="3" t="s">
        <v>2234</v>
      </c>
      <c r="N127" s="3"/>
      <c r="O127" s="3">
        <v>39645000</v>
      </c>
      <c r="P127" s="3"/>
      <c r="Q127" s="3" t="s">
        <v>2235</v>
      </c>
      <c r="R127" s="3" t="s">
        <v>2236</v>
      </c>
      <c r="S127" s="3" t="s">
        <v>2237</v>
      </c>
      <c r="T127" s="3">
        <v>17</v>
      </c>
      <c r="U127" s="3" t="s">
        <v>2238</v>
      </c>
      <c r="V127" s="3" t="s">
        <v>2239</v>
      </c>
      <c r="W127" s="10">
        <v>150</v>
      </c>
      <c r="X127" s="10">
        <v>5000</v>
      </c>
      <c r="Y127" s="6">
        <v>36278</v>
      </c>
      <c r="Z127" s="3" t="s">
        <v>62</v>
      </c>
      <c r="AA127" s="3">
        <v>6</v>
      </c>
      <c r="AB127" s="3">
        <v>32</v>
      </c>
      <c r="AC127" s="3">
        <v>4</v>
      </c>
      <c r="AD127" s="3" t="s">
        <v>2240</v>
      </c>
      <c r="AE127" s="3" t="s">
        <v>2241</v>
      </c>
      <c r="AF127" s="9">
        <v>881325</v>
      </c>
      <c r="AG127" s="3" t="s">
        <v>62</v>
      </c>
      <c r="AH127" s="3" t="s">
        <v>120</v>
      </c>
      <c r="AI127" s="3" t="s">
        <v>2242</v>
      </c>
      <c r="AJ127" s="3" t="s">
        <v>2243</v>
      </c>
      <c r="AK127" s="3" t="s">
        <v>2244</v>
      </c>
      <c r="AL127" s="3" t="s">
        <v>2245</v>
      </c>
      <c r="AM127" s="3"/>
      <c r="AN127" s="3" t="s">
        <v>2246</v>
      </c>
      <c r="AO127" s="3" t="s">
        <v>2247</v>
      </c>
      <c r="AP127" s="3" t="s">
        <v>2248</v>
      </c>
      <c r="AQ127" s="3" t="s">
        <v>2249</v>
      </c>
      <c r="AR127" s="3" t="s">
        <v>2250</v>
      </c>
      <c r="AS127" s="3" t="s">
        <v>2251</v>
      </c>
      <c r="AT127" s="3" t="s">
        <v>2252</v>
      </c>
    </row>
    <row r="128" spans="1:46" ht="12.5" x14ac:dyDescent="0.25">
      <c r="A128" s="3" t="s">
        <v>46</v>
      </c>
      <c r="B128" s="3" t="s">
        <v>2253</v>
      </c>
      <c r="C128" s="3" t="s">
        <v>2254</v>
      </c>
      <c r="D128" s="3" t="s">
        <v>2255</v>
      </c>
      <c r="E128" s="3" t="s">
        <v>620</v>
      </c>
      <c r="F128" s="3" t="s">
        <v>2256</v>
      </c>
      <c r="G128" s="3" t="s">
        <v>2257</v>
      </c>
      <c r="H128" s="3" t="s">
        <v>2258</v>
      </c>
      <c r="I128" s="3" t="s">
        <v>84</v>
      </c>
      <c r="J128" s="3" t="s">
        <v>2259</v>
      </c>
      <c r="K128" s="3" t="s">
        <v>2260</v>
      </c>
      <c r="L128" s="3">
        <v>310</v>
      </c>
      <c r="M128" s="3" t="s">
        <v>177</v>
      </c>
      <c r="N128" s="3" t="s">
        <v>2261</v>
      </c>
      <c r="O128" s="3">
        <v>31250700</v>
      </c>
      <c r="P128" s="3" t="s">
        <v>2262</v>
      </c>
      <c r="Q128" s="3" t="s">
        <v>395</v>
      </c>
      <c r="R128" s="3" t="s">
        <v>161</v>
      </c>
      <c r="S128" s="3" t="s">
        <v>1746</v>
      </c>
      <c r="T128" s="3">
        <v>2</v>
      </c>
      <c r="U128" s="3" t="s">
        <v>2263</v>
      </c>
      <c r="V128" s="3"/>
      <c r="W128" s="3">
        <v>150</v>
      </c>
      <c r="X128" s="10">
        <v>2200</v>
      </c>
      <c r="Y128" s="8">
        <v>43419</v>
      </c>
      <c r="Z128" s="3" t="s">
        <v>120</v>
      </c>
      <c r="AA128" s="3">
        <v>0</v>
      </c>
      <c r="AB128" s="3">
        <v>7</v>
      </c>
      <c r="AC128" s="3">
        <v>0</v>
      </c>
      <c r="AD128" s="3" t="s">
        <v>633</v>
      </c>
      <c r="AE128" s="3">
        <v>0</v>
      </c>
      <c r="AF128" s="9">
        <v>0</v>
      </c>
      <c r="AG128" s="3" t="s">
        <v>120</v>
      </c>
      <c r="AH128" s="3" t="s">
        <v>120</v>
      </c>
      <c r="AI128" s="3" t="s">
        <v>2264</v>
      </c>
      <c r="AJ128" s="3" t="s">
        <v>2265</v>
      </c>
      <c r="AK128" s="3" t="s">
        <v>2266</v>
      </c>
      <c r="AL128" s="3"/>
      <c r="AM128" s="3"/>
      <c r="AN128" s="3" t="s">
        <v>2267</v>
      </c>
      <c r="AO128" s="3"/>
      <c r="AP128" s="3"/>
      <c r="AQ128" s="3"/>
      <c r="AR128" s="3" t="s">
        <v>2268</v>
      </c>
      <c r="AS128" s="3"/>
      <c r="AT128" s="3"/>
    </row>
    <row r="129" spans="1:46" ht="12.5" x14ac:dyDescent="0.25">
      <c r="A129" s="3" t="s">
        <v>46</v>
      </c>
      <c r="B129" s="3" t="s">
        <v>2269</v>
      </c>
      <c r="C129" s="3" t="s">
        <v>2270</v>
      </c>
      <c r="D129" s="3" t="s">
        <v>2271</v>
      </c>
      <c r="E129" s="3" t="s">
        <v>2272</v>
      </c>
      <c r="F129" s="3" t="s">
        <v>2273</v>
      </c>
      <c r="G129" s="3" t="s">
        <v>2274</v>
      </c>
      <c r="H129" s="3" t="s">
        <v>2275</v>
      </c>
      <c r="I129" s="3" t="s">
        <v>70</v>
      </c>
      <c r="J129" s="3" t="s">
        <v>2276</v>
      </c>
      <c r="K129" s="3" t="s">
        <v>2277</v>
      </c>
      <c r="L129" s="3">
        <v>328</v>
      </c>
      <c r="M129" s="3" t="s">
        <v>626</v>
      </c>
      <c r="N129" s="3"/>
      <c r="O129" s="3">
        <v>21730270</v>
      </c>
      <c r="P129" s="3"/>
      <c r="Q129" s="3" t="s">
        <v>395</v>
      </c>
      <c r="R129" s="3" t="s">
        <v>739</v>
      </c>
      <c r="S129" s="3" t="s">
        <v>1435</v>
      </c>
      <c r="T129" s="3">
        <v>4</v>
      </c>
      <c r="U129" s="3" t="s">
        <v>2278</v>
      </c>
      <c r="V129" s="3" t="s">
        <v>2279</v>
      </c>
      <c r="W129" s="3">
        <v>60</v>
      </c>
      <c r="X129" s="10">
        <v>6400</v>
      </c>
      <c r="Y129" s="6">
        <v>43833</v>
      </c>
      <c r="Z129" s="3" t="s">
        <v>62</v>
      </c>
      <c r="AA129" s="3">
        <v>5</v>
      </c>
      <c r="AB129" s="3">
        <v>15</v>
      </c>
      <c r="AC129" s="3">
        <v>2</v>
      </c>
      <c r="AD129" s="3" t="s">
        <v>2280</v>
      </c>
      <c r="AE129" s="3" t="s">
        <v>2281</v>
      </c>
      <c r="AF129" s="9">
        <v>86378.49</v>
      </c>
      <c r="AG129" s="3" t="s">
        <v>62</v>
      </c>
      <c r="AH129" s="3" t="s">
        <v>62</v>
      </c>
      <c r="AI129" s="3"/>
      <c r="AJ129" s="3" t="s">
        <v>2282</v>
      </c>
      <c r="AK129" s="3" t="s">
        <v>2283</v>
      </c>
      <c r="AL129" s="3" t="s">
        <v>2284</v>
      </c>
      <c r="AN129" s="3" t="s">
        <v>2285</v>
      </c>
      <c r="AO129" s="3" t="s">
        <v>2286</v>
      </c>
      <c r="AP129" s="3" t="s">
        <v>2287</v>
      </c>
      <c r="AQ129" s="3"/>
      <c r="AR129" s="3" t="s">
        <v>2288</v>
      </c>
      <c r="AS129" s="3"/>
      <c r="AT129" s="3"/>
    </row>
    <row r="130" spans="1:46" ht="12.5" x14ac:dyDescent="0.25">
      <c r="A130" s="3" t="s">
        <v>152</v>
      </c>
      <c r="B130" s="3" t="s">
        <v>2289</v>
      </c>
      <c r="C130" s="3" t="s">
        <v>2290</v>
      </c>
      <c r="D130" s="3" t="s">
        <v>2291</v>
      </c>
      <c r="E130" s="3" t="s">
        <v>2292</v>
      </c>
      <c r="F130" s="3" t="s">
        <v>2293</v>
      </c>
      <c r="G130" s="3" t="s">
        <v>2294</v>
      </c>
      <c r="H130" s="3" t="s">
        <v>2295</v>
      </c>
      <c r="I130" s="3" t="s">
        <v>101</v>
      </c>
      <c r="J130" s="3" t="s">
        <v>2296</v>
      </c>
      <c r="K130" s="3" t="s">
        <v>2297</v>
      </c>
      <c r="L130" s="3">
        <v>27</v>
      </c>
      <c r="M130" s="3" t="s">
        <v>128</v>
      </c>
      <c r="N130" s="3"/>
      <c r="O130" s="3">
        <v>4235320</v>
      </c>
      <c r="P130" s="3"/>
      <c r="Q130" s="3" t="s">
        <v>199</v>
      </c>
      <c r="R130" s="3" t="s">
        <v>146</v>
      </c>
      <c r="S130" s="3" t="s">
        <v>430</v>
      </c>
      <c r="T130" s="3">
        <v>1</v>
      </c>
      <c r="U130" s="3" t="s">
        <v>2298</v>
      </c>
      <c r="V130" s="3"/>
      <c r="W130" s="3">
        <v>902</v>
      </c>
      <c r="X130" s="10">
        <v>2000</v>
      </c>
      <c r="Y130" s="8">
        <v>44035</v>
      </c>
      <c r="Z130" s="3" t="s">
        <v>62</v>
      </c>
      <c r="AA130" s="3">
        <v>0</v>
      </c>
      <c r="AB130" s="3">
        <v>21</v>
      </c>
      <c r="AC130" s="3">
        <v>1</v>
      </c>
      <c r="AD130" s="3" t="s">
        <v>2299</v>
      </c>
      <c r="AE130" s="3">
        <v>1</v>
      </c>
      <c r="AF130" s="9">
        <v>0</v>
      </c>
      <c r="AG130" s="3" t="s">
        <v>62</v>
      </c>
      <c r="AH130" s="3" t="s">
        <v>120</v>
      </c>
      <c r="AI130" s="3"/>
      <c r="AJ130" s="3" t="s">
        <v>2300</v>
      </c>
      <c r="AK130" s="3" t="s">
        <v>2301</v>
      </c>
      <c r="AL130" s="3"/>
      <c r="AN130" s="3" t="s">
        <v>2302</v>
      </c>
      <c r="AO130" s="3" t="s">
        <v>2303</v>
      </c>
      <c r="AP130" s="3" t="s">
        <v>2304</v>
      </c>
      <c r="AR130" s="3" t="s">
        <v>2305</v>
      </c>
      <c r="AT130" s="3" t="s">
        <v>2306</v>
      </c>
    </row>
    <row r="131" spans="1:46" ht="12.5" x14ac:dyDescent="0.25">
      <c r="A131" s="3" t="s">
        <v>46</v>
      </c>
      <c r="B131" s="3" t="s">
        <v>2307</v>
      </c>
      <c r="C131" s="3" t="s">
        <v>2308</v>
      </c>
      <c r="D131" s="3" t="s">
        <v>2309</v>
      </c>
      <c r="E131" s="3" t="s">
        <v>2310</v>
      </c>
      <c r="F131" s="3" t="s">
        <v>2311</v>
      </c>
      <c r="G131" s="3" t="s">
        <v>2312</v>
      </c>
      <c r="H131" s="3" t="s">
        <v>2313</v>
      </c>
      <c r="I131" s="3" t="s">
        <v>51</v>
      </c>
      <c r="J131" s="3" t="s">
        <v>2314</v>
      </c>
      <c r="K131" s="3" t="s">
        <v>2315</v>
      </c>
      <c r="L131" s="3">
        <v>274</v>
      </c>
      <c r="M131" s="3" t="s">
        <v>231</v>
      </c>
      <c r="N131" s="3" t="s">
        <v>2316</v>
      </c>
      <c r="O131" s="3">
        <v>57081596</v>
      </c>
      <c r="P131" s="3" t="s">
        <v>2317</v>
      </c>
      <c r="Q131" s="3" t="s">
        <v>250</v>
      </c>
      <c r="R131" s="3" t="s">
        <v>57</v>
      </c>
      <c r="S131" s="3" t="s">
        <v>430</v>
      </c>
      <c r="T131" s="3">
        <v>5</v>
      </c>
      <c r="U131" s="3" t="s">
        <v>2318</v>
      </c>
      <c r="V131" s="3" t="s">
        <v>2319</v>
      </c>
      <c r="W131" s="3">
        <v>20</v>
      </c>
      <c r="X131" s="10">
        <v>260</v>
      </c>
      <c r="Y131" s="6">
        <v>43393</v>
      </c>
      <c r="Z131" s="3" t="s">
        <v>62</v>
      </c>
      <c r="AA131" s="3">
        <v>0</v>
      </c>
      <c r="AB131" s="3">
        <v>35</v>
      </c>
      <c r="AC131" s="3">
        <v>2</v>
      </c>
      <c r="AD131" s="3" t="s">
        <v>1465</v>
      </c>
      <c r="AE131" s="3" t="s">
        <v>2320</v>
      </c>
      <c r="AF131" s="9">
        <v>15707</v>
      </c>
      <c r="AG131" s="3" t="s">
        <v>120</v>
      </c>
      <c r="AH131" s="3" t="s">
        <v>120</v>
      </c>
      <c r="AI131" s="3" t="s">
        <v>2321</v>
      </c>
      <c r="AJ131" s="3" t="s">
        <v>2322</v>
      </c>
      <c r="AK131" s="3" t="s">
        <v>2323</v>
      </c>
      <c r="AL131" s="3" t="s">
        <v>2324</v>
      </c>
      <c r="AM131" s="7" t="s">
        <v>2325</v>
      </c>
      <c r="AN131" s="3" t="s">
        <v>2326</v>
      </c>
      <c r="AO131" s="3" t="s">
        <v>2327</v>
      </c>
      <c r="AP131" s="3" t="s">
        <v>2328</v>
      </c>
      <c r="AQ131" s="3" t="s">
        <v>2329</v>
      </c>
      <c r="AR131" s="3" t="s">
        <v>2330</v>
      </c>
      <c r="AT131" s="3" t="s">
        <v>2331</v>
      </c>
    </row>
    <row r="132" spans="1:46" ht="12.5" x14ac:dyDescent="0.25">
      <c r="A132" s="3" t="s">
        <v>46</v>
      </c>
      <c r="B132" s="3" t="s">
        <v>2332</v>
      </c>
      <c r="C132" s="3" t="s">
        <v>2333</v>
      </c>
      <c r="D132" s="3" t="s">
        <v>2334</v>
      </c>
      <c r="E132" s="3" t="s">
        <v>2335</v>
      </c>
      <c r="F132" s="3" t="s">
        <v>2336</v>
      </c>
      <c r="G132" s="3" t="s">
        <v>2337</v>
      </c>
      <c r="H132" s="3" t="s">
        <v>2338</v>
      </c>
      <c r="I132" s="3" t="s">
        <v>84</v>
      </c>
      <c r="J132" s="3" t="s">
        <v>2339</v>
      </c>
      <c r="K132" s="3" t="s">
        <v>2340</v>
      </c>
      <c r="L132" s="3">
        <v>669</v>
      </c>
      <c r="M132" s="3" t="s">
        <v>2341</v>
      </c>
      <c r="N132" s="3"/>
      <c r="O132" s="3">
        <v>35179000</v>
      </c>
      <c r="P132" s="3"/>
      <c r="Q132" s="3" t="s">
        <v>77</v>
      </c>
      <c r="R132" s="3" t="s">
        <v>75</v>
      </c>
      <c r="S132" s="3" t="s">
        <v>2342</v>
      </c>
      <c r="T132" s="3">
        <v>1</v>
      </c>
      <c r="U132" s="3" t="s">
        <v>2343</v>
      </c>
      <c r="V132" s="3"/>
      <c r="W132" s="3">
        <v>45</v>
      </c>
      <c r="X132" s="10">
        <v>3700</v>
      </c>
      <c r="Y132" s="6">
        <v>39901</v>
      </c>
      <c r="Z132" s="3" t="s">
        <v>62</v>
      </c>
      <c r="AA132" s="3">
        <v>0</v>
      </c>
      <c r="AB132" s="3">
        <v>13</v>
      </c>
      <c r="AC132" s="3">
        <v>1</v>
      </c>
      <c r="AD132" s="3" t="s">
        <v>633</v>
      </c>
      <c r="AE132" s="3" t="s">
        <v>2344</v>
      </c>
      <c r="AF132" s="9">
        <v>6000</v>
      </c>
      <c r="AG132" s="3" t="s">
        <v>120</v>
      </c>
      <c r="AH132" s="3" t="s">
        <v>120</v>
      </c>
      <c r="AI132" s="3"/>
      <c r="AJ132" s="3" t="s">
        <v>2345</v>
      </c>
      <c r="AK132" s="3" t="s">
        <v>2346</v>
      </c>
      <c r="AL132" s="3"/>
      <c r="AM132" s="3"/>
      <c r="AN132" s="3"/>
      <c r="AO132" s="3" t="s">
        <v>2347</v>
      </c>
      <c r="AP132" s="3" t="s">
        <v>2348</v>
      </c>
      <c r="AQ132" s="3"/>
      <c r="AR132" s="3" t="s">
        <v>2349</v>
      </c>
      <c r="AT132" s="3"/>
    </row>
    <row r="133" spans="1:46" ht="12.5" x14ac:dyDescent="0.25">
      <c r="A133" s="3" t="s">
        <v>152</v>
      </c>
      <c r="B133" s="3" t="s">
        <v>2350</v>
      </c>
      <c r="C133" s="3" t="s">
        <v>2351</v>
      </c>
      <c r="D133" s="3" t="s">
        <v>2352</v>
      </c>
      <c r="E133" s="3" t="s">
        <v>2353</v>
      </c>
      <c r="F133" s="3" t="s">
        <v>2354</v>
      </c>
      <c r="G133" s="3" t="s">
        <v>2355</v>
      </c>
      <c r="H133" s="3" t="s">
        <v>2356</v>
      </c>
      <c r="I133" s="3" t="s">
        <v>1171</v>
      </c>
      <c r="J133" s="3" t="s">
        <v>2357</v>
      </c>
      <c r="K133" s="3" t="s">
        <v>647</v>
      </c>
      <c r="L133" s="3">
        <v>156</v>
      </c>
      <c r="M133" s="3" t="s">
        <v>2358</v>
      </c>
      <c r="N133" s="3"/>
      <c r="O133" s="3">
        <v>58908000</v>
      </c>
      <c r="P133" s="3"/>
      <c r="Q133" s="3" t="s">
        <v>1764</v>
      </c>
      <c r="R133" s="3" t="s">
        <v>130</v>
      </c>
      <c r="S133" s="3" t="s">
        <v>1231</v>
      </c>
      <c r="T133" s="3">
        <v>10</v>
      </c>
      <c r="U133" s="3" t="s">
        <v>2359</v>
      </c>
      <c r="V133" s="3"/>
      <c r="W133" s="3">
        <v>280</v>
      </c>
      <c r="X133" s="10">
        <v>2100</v>
      </c>
      <c r="Y133" s="8">
        <v>39391</v>
      </c>
      <c r="Z133" s="3" t="s">
        <v>62</v>
      </c>
      <c r="AA133" s="3">
        <v>12</v>
      </c>
      <c r="AB133" s="3">
        <v>9</v>
      </c>
      <c r="AC133" s="3">
        <v>3</v>
      </c>
      <c r="AD133" s="3" t="s">
        <v>2360</v>
      </c>
      <c r="AE133" s="3" t="s">
        <v>2361</v>
      </c>
      <c r="AF133" s="9">
        <v>880000</v>
      </c>
      <c r="AG133" s="3" t="s">
        <v>62</v>
      </c>
      <c r="AH133" s="3" t="s">
        <v>120</v>
      </c>
      <c r="AI133" s="3" t="s">
        <v>2362</v>
      </c>
      <c r="AJ133" s="3" t="s">
        <v>2363</v>
      </c>
      <c r="AK133" s="3" t="s">
        <v>2364</v>
      </c>
      <c r="AL133" s="3" t="s">
        <v>2365</v>
      </c>
      <c r="AM133" s="3"/>
      <c r="AN133" s="3" t="s">
        <v>2366</v>
      </c>
      <c r="AO133" s="3" t="s">
        <v>2367</v>
      </c>
      <c r="AP133" s="3" t="s">
        <v>2368</v>
      </c>
      <c r="AQ133" s="3" t="s">
        <v>2369</v>
      </c>
      <c r="AR133" s="3" t="s">
        <v>2370</v>
      </c>
      <c r="AS133" s="3" t="s">
        <v>2371</v>
      </c>
      <c r="AT133" s="3" t="s">
        <v>2372</v>
      </c>
    </row>
    <row r="134" spans="1:46" ht="12.5" x14ac:dyDescent="0.25">
      <c r="A134" s="3" t="s">
        <v>46</v>
      </c>
      <c r="B134" s="3" t="s">
        <v>2373</v>
      </c>
      <c r="C134" s="3" t="s">
        <v>2374</v>
      </c>
      <c r="D134" s="3" t="s">
        <v>2374</v>
      </c>
      <c r="E134" s="3" t="s">
        <v>2375</v>
      </c>
      <c r="F134" s="3" t="s">
        <v>2376</v>
      </c>
      <c r="G134" s="3" t="s">
        <v>2377</v>
      </c>
      <c r="H134" s="3" t="s">
        <v>2378</v>
      </c>
      <c r="I134" s="3" t="s">
        <v>468</v>
      </c>
      <c r="J134" s="3" t="s">
        <v>2379</v>
      </c>
      <c r="K134" s="3" t="s">
        <v>647</v>
      </c>
      <c r="L134" s="3">
        <v>889</v>
      </c>
      <c r="M134" s="3" t="s">
        <v>470</v>
      </c>
      <c r="N134" s="3" t="s">
        <v>2380</v>
      </c>
      <c r="O134" s="3">
        <v>60015220</v>
      </c>
      <c r="P134" s="3" t="s">
        <v>2381</v>
      </c>
      <c r="Q134" s="3" t="s">
        <v>1341</v>
      </c>
      <c r="R134" s="3" t="s">
        <v>216</v>
      </c>
      <c r="S134" s="3" t="s">
        <v>430</v>
      </c>
      <c r="T134" s="3">
        <v>4</v>
      </c>
      <c r="U134" s="3" t="s">
        <v>2382</v>
      </c>
      <c r="W134" s="3">
        <v>120</v>
      </c>
      <c r="X134" s="10">
        <v>400</v>
      </c>
      <c r="Y134" s="6">
        <v>44057</v>
      </c>
      <c r="Z134" s="3" t="s">
        <v>62</v>
      </c>
      <c r="AA134" s="3">
        <v>4</v>
      </c>
      <c r="AB134" s="3">
        <v>15</v>
      </c>
      <c r="AC134" s="3">
        <v>3</v>
      </c>
      <c r="AD134" s="3" t="s">
        <v>1344</v>
      </c>
      <c r="AE134" s="3" t="s">
        <v>2383</v>
      </c>
      <c r="AF134" s="9">
        <v>25000</v>
      </c>
      <c r="AG134" s="3" t="s">
        <v>120</v>
      </c>
      <c r="AH134" s="3" t="s">
        <v>120</v>
      </c>
      <c r="AI134" s="3" t="s">
        <v>2384</v>
      </c>
      <c r="AJ134" s="3" t="s">
        <v>2385</v>
      </c>
      <c r="AK134" s="3" t="s">
        <v>2386</v>
      </c>
      <c r="AL134" s="3" t="s">
        <v>2387</v>
      </c>
      <c r="AN134" s="3" t="s">
        <v>2388</v>
      </c>
      <c r="AO134" s="3" t="s">
        <v>2389</v>
      </c>
      <c r="AP134" s="3" t="s">
        <v>2390</v>
      </c>
      <c r="AQ134" s="3" t="s">
        <v>2391</v>
      </c>
      <c r="AR134" s="3"/>
      <c r="AS134" s="3" t="s">
        <v>2392</v>
      </c>
      <c r="AT134" s="3"/>
    </row>
    <row r="135" spans="1:46" ht="12.5" x14ac:dyDescent="0.25">
      <c r="A135" s="3" t="s">
        <v>46</v>
      </c>
      <c r="B135" s="3" t="s">
        <v>2393</v>
      </c>
      <c r="C135" s="3" t="s">
        <v>2394</v>
      </c>
      <c r="D135" s="3" t="s">
        <v>2395</v>
      </c>
      <c r="E135" s="3" t="s">
        <v>2396</v>
      </c>
      <c r="F135" s="3" t="s">
        <v>2397</v>
      </c>
      <c r="G135" s="3" t="s">
        <v>2398</v>
      </c>
      <c r="H135" s="3" t="s">
        <v>2399</v>
      </c>
      <c r="I135" s="3" t="s">
        <v>379</v>
      </c>
      <c r="J135" s="3" t="s">
        <v>2400</v>
      </c>
      <c r="K135" s="3" t="s">
        <v>2401</v>
      </c>
      <c r="L135" s="3">
        <v>161</v>
      </c>
      <c r="M135" s="3" t="s">
        <v>381</v>
      </c>
      <c r="N135" s="3" t="s">
        <v>2402</v>
      </c>
      <c r="O135" s="3">
        <v>50720139</v>
      </c>
      <c r="P135" s="3"/>
      <c r="Q135" s="3" t="s">
        <v>987</v>
      </c>
      <c r="R135" s="3" t="s">
        <v>161</v>
      </c>
      <c r="S135" s="3" t="s">
        <v>2403</v>
      </c>
      <c r="T135" s="3">
        <v>4</v>
      </c>
      <c r="U135" s="3" t="s">
        <v>2404</v>
      </c>
      <c r="V135" s="3" t="s">
        <v>2405</v>
      </c>
      <c r="W135" s="3">
        <v>150</v>
      </c>
      <c r="X135" s="10">
        <v>3000</v>
      </c>
      <c r="Y135" s="6">
        <v>41790</v>
      </c>
      <c r="Z135" s="3" t="s">
        <v>62</v>
      </c>
      <c r="AA135" s="3">
        <v>0</v>
      </c>
      <c r="AB135" s="3">
        <v>8</v>
      </c>
      <c r="AC135" s="3">
        <v>2</v>
      </c>
      <c r="AD135" s="3" t="s">
        <v>2406</v>
      </c>
      <c r="AE135" s="3" t="s">
        <v>2407</v>
      </c>
      <c r="AF135" s="9">
        <v>50000</v>
      </c>
      <c r="AG135" s="3" t="s">
        <v>120</v>
      </c>
      <c r="AH135" s="3" t="s">
        <v>120</v>
      </c>
      <c r="AI135" s="3" t="s">
        <v>2408</v>
      </c>
      <c r="AJ135" s="3" t="s">
        <v>2409</v>
      </c>
      <c r="AK135" s="3" t="s">
        <v>2409</v>
      </c>
      <c r="AL135" s="3"/>
      <c r="AN135" s="3" t="s">
        <v>2410</v>
      </c>
      <c r="AO135" s="3" t="s">
        <v>2411</v>
      </c>
      <c r="AP135" s="3" t="s">
        <v>2412</v>
      </c>
      <c r="AQ135" s="3" t="s">
        <v>2413</v>
      </c>
      <c r="AR135" s="3" t="s">
        <v>2414</v>
      </c>
      <c r="AS135" s="3" t="s">
        <v>2415</v>
      </c>
      <c r="AT135" s="3" t="s">
        <v>2416</v>
      </c>
    </row>
    <row r="136" spans="1:46" ht="12.5" x14ac:dyDescent="0.25">
      <c r="A136" s="3" t="s">
        <v>46</v>
      </c>
      <c r="B136" s="3" t="s">
        <v>2417</v>
      </c>
      <c r="C136" s="3" t="s">
        <v>2418</v>
      </c>
      <c r="D136" s="3" t="s">
        <v>2419</v>
      </c>
      <c r="E136" s="3" t="s">
        <v>2420</v>
      </c>
      <c r="F136" s="3" t="s">
        <v>2421</v>
      </c>
      <c r="G136" s="3" t="s">
        <v>2422</v>
      </c>
      <c r="H136" s="3" t="s">
        <v>2423</v>
      </c>
      <c r="I136" s="3" t="s">
        <v>195</v>
      </c>
      <c r="J136" s="3" t="s">
        <v>2424</v>
      </c>
      <c r="K136" s="3" t="s">
        <v>647</v>
      </c>
      <c r="L136" s="3">
        <v>80</v>
      </c>
      <c r="M136" s="3" t="s">
        <v>2425</v>
      </c>
      <c r="N136" s="3"/>
      <c r="O136" s="3">
        <v>59194000</v>
      </c>
      <c r="P136" s="3"/>
      <c r="Q136" s="3" t="s">
        <v>1303</v>
      </c>
      <c r="R136" s="3" t="s">
        <v>75</v>
      </c>
      <c r="S136" s="3" t="s">
        <v>2426</v>
      </c>
      <c r="T136" s="3">
        <v>3</v>
      </c>
      <c r="U136" s="3" t="s">
        <v>2427</v>
      </c>
      <c r="V136" s="3"/>
      <c r="W136" s="3">
        <v>80</v>
      </c>
      <c r="X136" s="10">
        <v>900</v>
      </c>
      <c r="Y136" s="6">
        <v>43182</v>
      </c>
      <c r="Z136" s="3" t="s">
        <v>62</v>
      </c>
      <c r="AA136" s="3">
        <v>0</v>
      </c>
      <c r="AB136" s="3">
        <v>5</v>
      </c>
      <c r="AC136" s="3">
        <v>1</v>
      </c>
      <c r="AD136" s="3" t="s">
        <v>655</v>
      </c>
      <c r="AE136" s="3" t="s">
        <v>2428</v>
      </c>
      <c r="AF136" s="9">
        <v>24000</v>
      </c>
      <c r="AG136" s="3" t="s">
        <v>120</v>
      </c>
      <c r="AH136" s="3" t="s">
        <v>120</v>
      </c>
      <c r="AI136" s="3" t="s">
        <v>2429</v>
      </c>
      <c r="AJ136" s="3" t="s">
        <v>2430</v>
      </c>
      <c r="AK136" s="3" t="s">
        <v>2430</v>
      </c>
      <c r="AL136" s="3" t="s">
        <v>2431</v>
      </c>
      <c r="AN136" s="3" t="s">
        <v>2432</v>
      </c>
      <c r="AO136" s="3" t="s">
        <v>2433</v>
      </c>
      <c r="AP136" s="3" t="s">
        <v>2434</v>
      </c>
      <c r="AQ136" s="3" t="s">
        <v>2435</v>
      </c>
      <c r="AR136" s="3" t="s">
        <v>2436</v>
      </c>
      <c r="AS136" s="3"/>
      <c r="AT136" s="3" t="s">
        <v>2437</v>
      </c>
    </row>
    <row r="137" spans="1:46" ht="12.5" x14ac:dyDescent="0.25">
      <c r="A137" s="3" t="s">
        <v>46</v>
      </c>
      <c r="B137" s="3" t="s">
        <v>2438</v>
      </c>
      <c r="C137" s="3" t="s">
        <v>2439</v>
      </c>
      <c r="D137" s="3" t="s">
        <v>2440</v>
      </c>
      <c r="E137" s="3" t="s">
        <v>2441</v>
      </c>
      <c r="F137" s="3" t="s">
        <v>2442</v>
      </c>
      <c r="G137" s="3" t="s">
        <v>2443</v>
      </c>
      <c r="H137" s="3" t="s">
        <v>2444</v>
      </c>
      <c r="I137" s="3" t="s">
        <v>70</v>
      </c>
      <c r="J137" s="3" t="s">
        <v>2445</v>
      </c>
      <c r="K137" s="3" t="s">
        <v>2062</v>
      </c>
      <c r="L137" s="3">
        <v>690</v>
      </c>
      <c r="M137" s="3" t="s">
        <v>626</v>
      </c>
      <c r="N137" s="3" t="s">
        <v>2446</v>
      </c>
      <c r="O137" s="3">
        <v>21061240</v>
      </c>
      <c r="P137" s="3" t="s">
        <v>2447</v>
      </c>
      <c r="Q137" s="3" t="s">
        <v>56</v>
      </c>
      <c r="R137" s="3" t="s">
        <v>130</v>
      </c>
      <c r="S137" s="3" t="s">
        <v>1435</v>
      </c>
      <c r="T137" s="3">
        <v>13</v>
      </c>
      <c r="U137" s="3" t="s">
        <v>2448</v>
      </c>
      <c r="V137" s="3" t="s">
        <v>2449</v>
      </c>
      <c r="W137" s="3">
        <v>30</v>
      </c>
      <c r="X137" s="10">
        <v>800</v>
      </c>
      <c r="Y137" s="6">
        <v>41253</v>
      </c>
      <c r="Z137" s="3" t="s">
        <v>62</v>
      </c>
      <c r="AA137" s="3">
        <v>0</v>
      </c>
      <c r="AB137" s="3">
        <v>18</v>
      </c>
      <c r="AC137" s="3">
        <v>1</v>
      </c>
      <c r="AD137" s="3" t="s">
        <v>148</v>
      </c>
      <c r="AE137" s="3">
        <v>1</v>
      </c>
      <c r="AF137" s="9">
        <v>0</v>
      </c>
      <c r="AG137" s="3" t="s">
        <v>62</v>
      </c>
      <c r="AH137" s="3" t="s">
        <v>120</v>
      </c>
      <c r="AI137" s="3"/>
      <c r="AJ137" s="3" t="s">
        <v>2450</v>
      </c>
      <c r="AK137" s="3" t="s">
        <v>2451</v>
      </c>
      <c r="AL137" s="3"/>
      <c r="AN137" s="3"/>
      <c r="AO137" s="3" t="s">
        <v>2452</v>
      </c>
      <c r="AP137" s="3" t="s">
        <v>2453</v>
      </c>
      <c r="AQ137" s="3"/>
      <c r="AR137" s="3" t="s">
        <v>2454</v>
      </c>
      <c r="AS137" s="3"/>
      <c r="AT137" s="3"/>
    </row>
    <row r="138" spans="1:46" ht="12.5" x14ac:dyDescent="0.25">
      <c r="A138" s="3" t="s">
        <v>46</v>
      </c>
      <c r="B138" s="3" t="s">
        <v>2455</v>
      </c>
      <c r="C138" s="3" t="s">
        <v>2456</v>
      </c>
      <c r="D138" s="3" t="s">
        <v>2457</v>
      </c>
      <c r="E138" s="3" t="s">
        <v>2458</v>
      </c>
      <c r="F138" s="3" t="s">
        <v>2459</v>
      </c>
      <c r="G138" s="3" t="s">
        <v>2460</v>
      </c>
      <c r="H138" s="3" t="s">
        <v>2461</v>
      </c>
      <c r="I138" s="3" t="s">
        <v>84</v>
      </c>
      <c r="J138" s="3" t="s">
        <v>2462</v>
      </c>
      <c r="K138" s="3" t="s">
        <v>2463</v>
      </c>
      <c r="L138" s="3">
        <v>21</v>
      </c>
      <c r="M138" s="3" t="s">
        <v>177</v>
      </c>
      <c r="N138" s="3" t="s">
        <v>2464</v>
      </c>
      <c r="O138" s="3">
        <v>30880310</v>
      </c>
      <c r="P138" s="3" t="s">
        <v>2465</v>
      </c>
      <c r="Q138" s="3" t="s">
        <v>2466</v>
      </c>
      <c r="R138" s="3" t="s">
        <v>57</v>
      </c>
      <c r="S138" s="3" t="s">
        <v>1231</v>
      </c>
      <c r="T138" s="3">
        <v>6</v>
      </c>
      <c r="U138" s="3" t="s">
        <v>2467</v>
      </c>
      <c r="V138" s="3" t="s">
        <v>2468</v>
      </c>
      <c r="W138" s="3">
        <v>520</v>
      </c>
      <c r="X138" s="10">
        <v>2500</v>
      </c>
      <c r="Y138" s="6">
        <v>42509</v>
      </c>
      <c r="Z138" s="3" t="s">
        <v>62</v>
      </c>
      <c r="AA138" s="3">
        <v>0</v>
      </c>
      <c r="AB138" s="3">
        <v>20</v>
      </c>
      <c r="AC138" s="3">
        <v>3</v>
      </c>
      <c r="AD138" s="3" t="s">
        <v>2469</v>
      </c>
      <c r="AE138" s="3" t="s">
        <v>2470</v>
      </c>
      <c r="AF138" s="9">
        <v>54875.040000000001</v>
      </c>
      <c r="AG138" s="3" t="s">
        <v>120</v>
      </c>
      <c r="AH138" s="3" t="s">
        <v>120</v>
      </c>
      <c r="AI138" s="3" t="s">
        <v>2471</v>
      </c>
      <c r="AJ138" s="3" t="s">
        <v>2472</v>
      </c>
      <c r="AK138" s="3" t="s">
        <v>2473</v>
      </c>
      <c r="AL138" s="3" t="s">
        <v>2474</v>
      </c>
      <c r="AN138" s="3"/>
      <c r="AO138" s="3" t="s">
        <v>2475</v>
      </c>
      <c r="AP138" s="3" t="s">
        <v>2476</v>
      </c>
      <c r="AQ138" s="3" t="s">
        <v>2477</v>
      </c>
      <c r="AR138" s="3"/>
      <c r="AS138" s="3" t="s">
        <v>2478</v>
      </c>
      <c r="AT138" s="3"/>
    </row>
    <row r="139" spans="1:46" ht="12.5" x14ac:dyDescent="0.25">
      <c r="A139" s="3" t="s">
        <v>46</v>
      </c>
      <c r="B139" s="3" t="s">
        <v>2479</v>
      </c>
      <c r="C139" s="3" t="s">
        <v>2480</v>
      </c>
      <c r="D139" s="3" t="s">
        <v>2481</v>
      </c>
      <c r="E139" s="3" t="s">
        <v>2482</v>
      </c>
      <c r="F139" s="3" t="s">
        <v>2483</v>
      </c>
      <c r="G139" s="3" t="s">
        <v>2484</v>
      </c>
      <c r="H139" s="3" t="s">
        <v>2485</v>
      </c>
      <c r="I139" s="3" t="s">
        <v>84</v>
      </c>
      <c r="J139" s="3" t="s">
        <v>2486</v>
      </c>
      <c r="K139" s="3" t="s">
        <v>2106</v>
      </c>
      <c r="L139" s="3">
        <v>166</v>
      </c>
      <c r="M139" s="3" t="s">
        <v>2107</v>
      </c>
      <c r="N139" s="3" t="s">
        <v>673</v>
      </c>
      <c r="O139" s="3">
        <v>36025540</v>
      </c>
      <c r="P139" s="3"/>
      <c r="Q139" s="3" t="s">
        <v>2487</v>
      </c>
      <c r="R139" s="3" t="s">
        <v>116</v>
      </c>
      <c r="S139" s="3" t="s">
        <v>1282</v>
      </c>
      <c r="T139" s="3">
        <v>1</v>
      </c>
      <c r="U139" s="3" t="s">
        <v>2488</v>
      </c>
      <c r="V139" s="3"/>
      <c r="W139" s="3">
        <v>70</v>
      </c>
      <c r="X139" s="10">
        <v>3952</v>
      </c>
      <c r="Y139" s="8">
        <v>43133</v>
      </c>
      <c r="Z139" s="3" t="s">
        <v>62</v>
      </c>
      <c r="AA139" s="3">
        <v>0</v>
      </c>
      <c r="AB139" s="3">
        <v>20</v>
      </c>
      <c r="AC139" s="3">
        <v>1</v>
      </c>
      <c r="AD139" s="3" t="s">
        <v>148</v>
      </c>
      <c r="AE139" s="3" t="s">
        <v>2489</v>
      </c>
      <c r="AF139" s="9">
        <v>15000</v>
      </c>
      <c r="AG139" s="3" t="s">
        <v>120</v>
      </c>
      <c r="AH139" s="3" t="s">
        <v>62</v>
      </c>
      <c r="AI139" s="3"/>
      <c r="AJ139" s="3" t="s">
        <v>2490</v>
      </c>
      <c r="AK139" s="3" t="s">
        <v>2491</v>
      </c>
      <c r="AL139" s="3"/>
      <c r="AN139" s="3" t="s">
        <v>2492</v>
      </c>
      <c r="AO139" s="3" t="s">
        <v>2493</v>
      </c>
      <c r="AP139" s="3" t="s">
        <v>2494</v>
      </c>
      <c r="AQ139" s="3" t="s">
        <v>2495</v>
      </c>
      <c r="AR139" s="3" t="s">
        <v>2496</v>
      </c>
      <c r="AS139" s="3"/>
    </row>
    <row r="140" spans="1:46" ht="12.5"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10"/>
      <c r="Y140" s="6"/>
      <c r="Z140" s="3"/>
      <c r="AA140" s="3"/>
      <c r="AB140" s="3"/>
      <c r="AC140" s="3"/>
      <c r="AD140" s="3"/>
      <c r="AE140" s="3"/>
      <c r="AF140" s="9"/>
      <c r="AG140" s="3"/>
      <c r="AH140" s="3"/>
      <c r="AI140" s="3"/>
      <c r="AJ140" s="3"/>
      <c r="AK140" s="3"/>
      <c r="AL140" s="3"/>
      <c r="AN140" s="3"/>
      <c r="AO140" s="3"/>
      <c r="AP140" s="3"/>
      <c r="AQ140" s="3"/>
      <c r="AR140" s="3"/>
      <c r="AS140" s="3"/>
    </row>
    <row r="141" spans="1:46" ht="12.5" x14ac:dyDescent="0.25">
      <c r="A141" s="3"/>
      <c r="B141" s="3"/>
      <c r="C141" s="3"/>
      <c r="D141" s="3"/>
      <c r="E141" s="3"/>
      <c r="F141" s="3"/>
      <c r="G141" s="3"/>
      <c r="H141" s="3"/>
      <c r="I141" s="3"/>
      <c r="J141" s="3"/>
      <c r="K141" s="3"/>
      <c r="L141" s="3"/>
      <c r="M141" s="3"/>
      <c r="N141" s="3"/>
      <c r="O141" s="3"/>
      <c r="Q141" s="3"/>
      <c r="R141" s="3"/>
      <c r="S141" s="3"/>
      <c r="T141" s="3"/>
      <c r="U141" s="3"/>
      <c r="W141" s="3"/>
      <c r="X141" s="10"/>
      <c r="Y141" s="6"/>
      <c r="Z141" s="3"/>
      <c r="AA141" s="3"/>
      <c r="AB141" s="3"/>
      <c r="AC141" s="3"/>
      <c r="AD141" s="3"/>
      <c r="AE141" s="3"/>
      <c r="AF141" s="9"/>
      <c r="AG141" s="3"/>
      <c r="AH141" s="3"/>
      <c r="AJ141" s="3"/>
      <c r="AK141" s="3"/>
      <c r="AN141" s="3"/>
      <c r="AO141" s="3"/>
      <c r="AP141" s="3"/>
      <c r="AQ141" s="3"/>
      <c r="AR141" s="3"/>
    </row>
  </sheetData>
  <autoFilter ref="A1:AT139" xr:uid="{00000000-0009-0000-0000-000000000000}"/>
  <hyperlinks>
    <hyperlink ref="AM10" r:id="rId1" xr:uid="{00000000-0004-0000-0000-000000000000}"/>
    <hyperlink ref="AM14" r:id="rId2" xr:uid="{00000000-0004-0000-0000-000001000000}"/>
    <hyperlink ref="AM18" r:id="rId3" xr:uid="{00000000-0004-0000-0000-000002000000}"/>
    <hyperlink ref="AM21" r:id="rId4" xr:uid="{00000000-0004-0000-0000-000003000000}"/>
    <hyperlink ref="AM24" r:id="rId5" xr:uid="{00000000-0004-0000-0000-000004000000}"/>
    <hyperlink ref="AM31" r:id="rId6" xr:uid="{00000000-0004-0000-0000-000005000000}"/>
    <hyperlink ref="AM33" r:id="rId7" xr:uid="{00000000-0004-0000-0000-000006000000}"/>
    <hyperlink ref="AM36" r:id="rId8" xr:uid="{00000000-0004-0000-0000-000007000000}"/>
    <hyperlink ref="AM37" r:id="rId9" xr:uid="{00000000-0004-0000-0000-000008000000}"/>
    <hyperlink ref="AM40" r:id="rId10" xr:uid="{00000000-0004-0000-0000-000009000000}"/>
    <hyperlink ref="AM42" r:id="rId11" xr:uid="{00000000-0004-0000-0000-00000A000000}"/>
    <hyperlink ref="AM44" r:id="rId12" xr:uid="{00000000-0004-0000-0000-00000B000000}"/>
    <hyperlink ref="AM51" r:id="rId13" xr:uid="{00000000-0004-0000-0000-00000C000000}"/>
    <hyperlink ref="AM57" r:id="rId14" xr:uid="{00000000-0004-0000-0000-00000D000000}"/>
    <hyperlink ref="AM58" r:id="rId15" xr:uid="{00000000-0004-0000-0000-00000E000000}"/>
    <hyperlink ref="AM61" r:id="rId16" xr:uid="{00000000-0004-0000-0000-00000F000000}"/>
    <hyperlink ref="AM67" r:id="rId17" xr:uid="{00000000-0004-0000-0000-000010000000}"/>
    <hyperlink ref="AM68" r:id="rId18" xr:uid="{00000000-0004-0000-0000-000011000000}"/>
    <hyperlink ref="AM72" r:id="rId19" xr:uid="{00000000-0004-0000-0000-000012000000}"/>
    <hyperlink ref="AM80" r:id="rId20" xr:uid="{00000000-0004-0000-0000-000013000000}"/>
    <hyperlink ref="AM81" r:id="rId21" xr:uid="{00000000-0004-0000-0000-000014000000}"/>
    <hyperlink ref="AM89" r:id="rId22" xr:uid="{00000000-0004-0000-0000-000015000000}"/>
    <hyperlink ref="AM90" r:id="rId23" xr:uid="{00000000-0004-0000-0000-000016000000}"/>
    <hyperlink ref="AM97" r:id="rId24" xr:uid="{00000000-0004-0000-0000-000017000000}"/>
    <hyperlink ref="AM100" r:id="rId25" xr:uid="{00000000-0004-0000-0000-000018000000}"/>
    <hyperlink ref="AM101" r:id="rId26" xr:uid="{00000000-0004-0000-0000-000019000000}"/>
    <hyperlink ref="AM110" r:id="rId27" xr:uid="{00000000-0004-0000-0000-00001A000000}"/>
    <hyperlink ref="AM124" r:id="rId28" xr:uid="{00000000-0004-0000-0000-00001B000000}"/>
    <hyperlink ref="AM126" r:id="rId29" xr:uid="{00000000-0004-0000-0000-00001C000000}"/>
    <hyperlink ref="AM131" r:id="rId30" xr:uid="{00000000-0004-0000-0000-00001D000000}"/>
  </hyperlinks>
  <pageMargins left="0.511811024" right="0.511811024" top="0.78740157499999996" bottom="0.78740157499999996" header="0.31496062000000002" footer="0.31496062000000002"/>
  <pageSetup paperSize="9" orientation="portrait" verticalDpi="597" r:id="rId31"/>
  <legacyDrawing r:id="rId3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M141"/>
  <sheetViews>
    <sheetView workbookViewId="0">
      <pane ySplit="1" topLeftCell="A2" activePane="bottomLeft" state="frozen"/>
      <selection pane="bottomLeft" activeCell="B3" sqref="B3"/>
    </sheetView>
  </sheetViews>
  <sheetFormatPr defaultColWidth="12.6328125" defaultRowHeight="15.75" customHeight="1" x14ac:dyDescent="0.25"/>
  <sheetData>
    <row r="1" spans="1:39" ht="13" x14ac:dyDescent="0.3">
      <c r="A1" s="1" t="s">
        <v>0</v>
      </c>
      <c r="B1" s="1" t="s">
        <v>2497</v>
      </c>
      <c r="C1" s="1" t="s">
        <v>2498</v>
      </c>
      <c r="D1" s="1" t="s">
        <v>2499</v>
      </c>
      <c r="E1" s="1" t="s">
        <v>2500</v>
      </c>
      <c r="F1" s="1" t="s">
        <v>2501</v>
      </c>
      <c r="G1" s="1" t="s">
        <v>2502</v>
      </c>
      <c r="H1" s="1" t="s">
        <v>2503</v>
      </c>
      <c r="I1" s="1" t="s">
        <v>2504</v>
      </c>
      <c r="J1" s="1" t="s">
        <v>2505</v>
      </c>
      <c r="K1" s="1" t="s">
        <v>2506</v>
      </c>
      <c r="L1" s="1" t="s">
        <v>2507</v>
      </c>
      <c r="M1" s="1" t="s">
        <v>2508</v>
      </c>
      <c r="N1" s="1" t="s">
        <v>2509</v>
      </c>
      <c r="O1" s="1" t="s">
        <v>2510</v>
      </c>
      <c r="P1" s="1" t="s">
        <v>2511</v>
      </c>
      <c r="Q1" s="1" t="s">
        <v>2512</v>
      </c>
      <c r="R1" s="1" t="s">
        <v>2513</v>
      </c>
      <c r="S1" s="1" t="s">
        <v>2514</v>
      </c>
      <c r="T1" s="1" t="s">
        <v>2515</v>
      </c>
      <c r="U1" s="1" t="s">
        <v>2516</v>
      </c>
      <c r="V1" s="1" t="s">
        <v>2517</v>
      </c>
      <c r="W1" s="1" t="s">
        <v>2518</v>
      </c>
      <c r="X1" s="1" t="s">
        <v>2519</v>
      </c>
      <c r="Y1" s="1" t="s">
        <v>2520</v>
      </c>
      <c r="Z1" s="1" t="s">
        <v>2521</v>
      </c>
      <c r="AA1" s="1" t="s">
        <v>2522</v>
      </c>
      <c r="AB1" s="1" t="s">
        <v>2523</v>
      </c>
      <c r="AC1" s="1" t="s">
        <v>2524</v>
      </c>
      <c r="AD1" s="1" t="s">
        <v>2525</v>
      </c>
      <c r="AE1" s="1" t="s">
        <v>2526</v>
      </c>
      <c r="AF1" s="1" t="s">
        <v>2527</v>
      </c>
      <c r="AG1" s="1" t="s">
        <v>2528</v>
      </c>
      <c r="AH1" s="1" t="s">
        <v>2529</v>
      </c>
      <c r="AI1" s="1" t="s">
        <v>2530</v>
      </c>
      <c r="AJ1" s="1" t="s">
        <v>2531</v>
      </c>
      <c r="AK1" s="1" t="s">
        <v>2532</v>
      </c>
      <c r="AL1" s="1" t="s">
        <v>2533</v>
      </c>
      <c r="AM1" s="1" t="s">
        <v>2534</v>
      </c>
    </row>
    <row r="2" spans="1:39" ht="15.75" customHeight="1" x14ac:dyDescent="0.25">
      <c r="A2" s="3" t="s">
        <v>46</v>
      </c>
      <c r="B2" s="3" t="s">
        <v>2535</v>
      </c>
      <c r="C2" s="3" t="s">
        <v>2536</v>
      </c>
      <c r="D2" s="3" t="s">
        <v>2537</v>
      </c>
      <c r="E2" s="3" t="s">
        <v>2538</v>
      </c>
      <c r="G2" s="3" t="s">
        <v>2539</v>
      </c>
      <c r="H2" s="3">
        <v>31973117450</v>
      </c>
      <c r="I2" s="6">
        <v>34852</v>
      </c>
      <c r="J2" s="3">
        <v>26</v>
      </c>
      <c r="K2" s="3" t="s">
        <v>2540</v>
      </c>
      <c r="L2" s="10">
        <v>12243828626</v>
      </c>
      <c r="R2" s="3" t="s">
        <v>62</v>
      </c>
      <c r="T2" s="3" t="s">
        <v>2541</v>
      </c>
      <c r="V2" s="3" t="s">
        <v>2542</v>
      </c>
      <c r="W2" s="3" t="s">
        <v>2543</v>
      </c>
      <c r="X2" s="3" t="s">
        <v>2544</v>
      </c>
      <c r="Y2" s="3" t="s">
        <v>2545</v>
      </c>
      <c r="Z2" s="3" t="s">
        <v>2546</v>
      </c>
      <c r="AA2" s="3">
        <v>214</v>
      </c>
      <c r="AC2" s="3" t="s">
        <v>87</v>
      </c>
      <c r="AD2" s="3" t="s">
        <v>2547</v>
      </c>
      <c r="AE2" s="3" t="s">
        <v>84</v>
      </c>
      <c r="AF2" s="3" t="s">
        <v>2548</v>
      </c>
      <c r="AG2" s="3" t="s">
        <v>2549</v>
      </c>
      <c r="AH2" s="3" t="s">
        <v>2550</v>
      </c>
      <c r="AI2" s="3">
        <v>4</v>
      </c>
    </row>
    <row r="3" spans="1:39" ht="15.75" customHeight="1" x14ac:dyDescent="0.25">
      <c r="A3" s="3" t="s">
        <v>46</v>
      </c>
      <c r="B3" s="3" t="s">
        <v>2551</v>
      </c>
      <c r="C3" s="3" t="s">
        <v>2552</v>
      </c>
      <c r="D3" s="3" t="s">
        <v>2553</v>
      </c>
      <c r="E3" s="3" t="s">
        <v>2538</v>
      </c>
      <c r="G3" s="3" t="s">
        <v>2554</v>
      </c>
      <c r="H3" s="4" t="s">
        <v>100</v>
      </c>
      <c r="I3" s="6">
        <v>31866</v>
      </c>
      <c r="J3" s="3">
        <v>34</v>
      </c>
      <c r="K3" s="4" t="s">
        <v>2555</v>
      </c>
      <c r="L3" s="10">
        <v>34504841843</v>
      </c>
      <c r="R3" s="3" t="s">
        <v>62</v>
      </c>
      <c r="T3" s="3" t="s">
        <v>2541</v>
      </c>
      <c r="V3" s="3" t="s">
        <v>2556</v>
      </c>
      <c r="W3" s="3" t="s">
        <v>2543</v>
      </c>
      <c r="X3" s="3" t="s">
        <v>2544</v>
      </c>
      <c r="Y3" s="3" t="s">
        <v>2545</v>
      </c>
      <c r="Z3" s="3" t="s">
        <v>2557</v>
      </c>
      <c r="AA3" s="3">
        <v>98</v>
      </c>
      <c r="AC3" s="3" t="s">
        <v>104</v>
      </c>
      <c r="AD3" s="3" t="s">
        <v>2558</v>
      </c>
      <c r="AE3" s="3" t="s">
        <v>101</v>
      </c>
      <c r="AF3" s="3" t="s">
        <v>2548</v>
      </c>
      <c r="AG3" s="3" t="s">
        <v>2559</v>
      </c>
      <c r="AH3" s="3" t="s">
        <v>2550</v>
      </c>
      <c r="AI3" s="3">
        <v>4</v>
      </c>
    </row>
    <row r="4" spans="1:39" ht="15.75" customHeight="1" x14ac:dyDescent="0.25">
      <c r="A4" s="3" t="s">
        <v>46</v>
      </c>
      <c r="B4" s="3" t="s">
        <v>2560</v>
      </c>
      <c r="C4" s="3" t="s">
        <v>2561</v>
      </c>
      <c r="D4" s="3" t="s">
        <v>2562</v>
      </c>
      <c r="E4" s="3" t="s">
        <v>2538</v>
      </c>
      <c r="G4" s="3" t="s">
        <v>2563</v>
      </c>
      <c r="H4" s="4" t="s">
        <v>2564</v>
      </c>
      <c r="I4" s="6">
        <v>28030</v>
      </c>
      <c r="J4" s="3">
        <v>45</v>
      </c>
      <c r="K4" s="4" t="s">
        <v>2565</v>
      </c>
      <c r="L4" s="10">
        <v>8036727722</v>
      </c>
      <c r="M4" s="3" t="s">
        <v>2566</v>
      </c>
      <c r="T4" s="3" t="s">
        <v>2541</v>
      </c>
      <c r="V4" s="3" t="s">
        <v>2542</v>
      </c>
      <c r="W4" s="3" t="s">
        <v>2543</v>
      </c>
      <c r="X4" s="3" t="s">
        <v>2544</v>
      </c>
      <c r="Y4" s="3" t="s">
        <v>2545</v>
      </c>
      <c r="Z4" s="3" t="s">
        <v>2567</v>
      </c>
      <c r="AC4" s="3" t="s">
        <v>73</v>
      </c>
      <c r="AD4" s="3" t="s">
        <v>2568</v>
      </c>
      <c r="AE4" s="3" t="s">
        <v>70</v>
      </c>
      <c r="AF4" s="3" t="s">
        <v>2569</v>
      </c>
      <c r="AG4" s="3" t="s">
        <v>2559</v>
      </c>
      <c r="AH4" s="3" t="s">
        <v>2550</v>
      </c>
      <c r="AI4" s="3">
        <v>5</v>
      </c>
    </row>
    <row r="5" spans="1:39" ht="15.75" customHeight="1" x14ac:dyDescent="0.25">
      <c r="A5" s="3" t="s">
        <v>46</v>
      </c>
      <c r="B5" s="3" t="s">
        <v>2570</v>
      </c>
      <c r="C5" s="3" t="s">
        <v>2571</v>
      </c>
      <c r="D5" s="3" t="s">
        <v>2572</v>
      </c>
      <c r="E5" s="3" t="s">
        <v>2538</v>
      </c>
      <c r="G5" s="3" t="s">
        <v>2573</v>
      </c>
      <c r="H5" s="3">
        <v>82996419992</v>
      </c>
      <c r="I5" s="6">
        <v>30869</v>
      </c>
      <c r="J5" s="3">
        <v>37</v>
      </c>
      <c r="K5" s="4" t="s">
        <v>2574</v>
      </c>
      <c r="L5" s="10">
        <v>5239578400</v>
      </c>
      <c r="M5" s="3" t="s">
        <v>2575</v>
      </c>
      <c r="R5" s="3"/>
      <c r="T5" s="3" t="s">
        <v>2576</v>
      </c>
      <c r="V5" s="3" t="s">
        <v>2542</v>
      </c>
      <c r="W5" s="3" t="s">
        <v>2543</v>
      </c>
      <c r="X5" s="3" t="s">
        <v>2577</v>
      </c>
      <c r="Y5" s="3" t="s">
        <v>2545</v>
      </c>
      <c r="Z5" s="3" t="s">
        <v>2578</v>
      </c>
      <c r="AA5" s="3">
        <v>67</v>
      </c>
      <c r="AC5" s="3" t="s">
        <v>54</v>
      </c>
      <c r="AD5" s="3" t="s">
        <v>55</v>
      </c>
      <c r="AE5" s="3" t="s">
        <v>51</v>
      </c>
      <c r="AF5" s="3" t="s">
        <v>2569</v>
      </c>
      <c r="AG5" s="3" t="s">
        <v>2549</v>
      </c>
      <c r="AH5" s="3" t="s">
        <v>2579</v>
      </c>
      <c r="AI5" s="3">
        <v>6</v>
      </c>
    </row>
    <row r="6" spans="1:39" ht="15.75" customHeight="1" x14ac:dyDescent="0.25">
      <c r="A6" s="3" t="s">
        <v>46</v>
      </c>
      <c r="B6" s="3" t="s">
        <v>2580</v>
      </c>
      <c r="C6" s="3" t="s">
        <v>2581</v>
      </c>
      <c r="D6" s="3" t="s">
        <v>2582</v>
      </c>
      <c r="E6" s="3" t="s">
        <v>2538</v>
      </c>
      <c r="G6" s="3"/>
      <c r="H6" s="3" t="s">
        <v>2583</v>
      </c>
      <c r="I6" s="6">
        <v>35163</v>
      </c>
      <c r="J6" s="3">
        <v>25</v>
      </c>
      <c r="K6" s="3">
        <v>285033130</v>
      </c>
      <c r="L6" s="10">
        <v>15678185799</v>
      </c>
      <c r="M6" s="3" t="s">
        <v>2584</v>
      </c>
      <c r="R6" s="3" t="s">
        <v>62</v>
      </c>
      <c r="T6" s="3" t="s">
        <v>2541</v>
      </c>
      <c r="V6" s="3" t="s">
        <v>2542</v>
      </c>
      <c r="W6" s="3"/>
      <c r="X6" s="3"/>
      <c r="Y6" s="3"/>
      <c r="Z6" s="3" t="s">
        <v>2585</v>
      </c>
      <c r="AA6" s="3">
        <v>48</v>
      </c>
      <c r="AC6" s="3" t="s">
        <v>73</v>
      </c>
      <c r="AD6" s="3" t="s">
        <v>2586</v>
      </c>
      <c r="AE6" s="3" t="s">
        <v>70</v>
      </c>
      <c r="AF6" s="3" t="s">
        <v>2569</v>
      </c>
      <c r="AG6" s="3" t="s">
        <v>2587</v>
      </c>
      <c r="AH6" s="3" t="s">
        <v>2588</v>
      </c>
      <c r="AI6" s="3">
        <v>8</v>
      </c>
    </row>
    <row r="7" spans="1:39" ht="15.75" customHeight="1" x14ac:dyDescent="0.25">
      <c r="A7" s="3" t="s">
        <v>46</v>
      </c>
      <c r="B7" s="3" t="s">
        <v>2589</v>
      </c>
      <c r="C7" s="3" t="s">
        <v>2590</v>
      </c>
      <c r="D7" s="3" t="s">
        <v>2591</v>
      </c>
      <c r="E7" s="3" t="s">
        <v>2538</v>
      </c>
      <c r="G7" s="3" t="s">
        <v>2592</v>
      </c>
      <c r="H7" s="3">
        <v>11996124457</v>
      </c>
      <c r="I7" s="6">
        <v>31887</v>
      </c>
      <c r="J7" s="3">
        <v>34</v>
      </c>
      <c r="K7" s="3">
        <v>446821561</v>
      </c>
      <c r="L7" s="10">
        <v>23116132860</v>
      </c>
      <c r="M7" s="3"/>
      <c r="R7" s="3" t="s">
        <v>62</v>
      </c>
      <c r="T7" s="3" t="s">
        <v>2541</v>
      </c>
      <c r="V7" s="3" t="s">
        <v>2556</v>
      </c>
      <c r="W7" s="3" t="s">
        <v>2543</v>
      </c>
      <c r="X7" s="3" t="s">
        <v>2544</v>
      </c>
      <c r="Y7" s="3" t="s">
        <v>2545</v>
      </c>
      <c r="Z7" s="3" t="s">
        <v>2593</v>
      </c>
      <c r="AA7" s="3">
        <v>2</v>
      </c>
      <c r="AC7" s="3" t="s">
        <v>2594</v>
      </c>
      <c r="AD7" s="3" t="s">
        <v>2595</v>
      </c>
      <c r="AE7" s="3" t="s">
        <v>84</v>
      </c>
      <c r="AF7" s="3" t="s">
        <v>2569</v>
      </c>
      <c r="AG7" s="3" t="s">
        <v>2596</v>
      </c>
      <c r="AH7" s="3" t="s">
        <v>2588</v>
      </c>
      <c r="AI7" s="3">
        <v>5</v>
      </c>
      <c r="AL7" s="3"/>
      <c r="AM7" s="3"/>
    </row>
    <row r="8" spans="1:39" ht="15.75" customHeight="1" x14ac:dyDescent="0.25">
      <c r="A8" s="3" t="s">
        <v>46</v>
      </c>
      <c r="B8" s="3" t="s">
        <v>2597</v>
      </c>
      <c r="C8" s="3" t="s">
        <v>2598</v>
      </c>
      <c r="D8" s="3" t="s">
        <v>2599</v>
      </c>
      <c r="E8" s="3" t="s">
        <v>2538</v>
      </c>
      <c r="G8" s="3" t="s">
        <v>2600</v>
      </c>
      <c r="H8" s="3"/>
      <c r="I8" s="6">
        <v>25018</v>
      </c>
      <c r="J8" s="3">
        <v>53</v>
      </c>
      <c r="K8" s="3">
        <v>4473565</v>
      </c>
      <c r="L8" s="10">
        <v>68794878668</v>
      </c>
      <c r="M8" s="3" t="s">
        <v>2601</v>
      </c>
      <c r="R8" s="3" t="s">
        <v>120</v>
      </c>
      <c r="T8" s="3" t="s">
        <v>2576</v>
      </c>
      <c r="V8" s="3" t="s">
        <v>2556</v>
      </c>
      <c r="W8" s="3" t="s">
        <v>2543</v>
      </c>
      <c r="X8" s="3" t="s">
        <v>2544</v>
      </c>
      <c r="Y8" s="3" t="s">
        <v>2545</v>
      </c>
      <c r="Z8" s="3" t="s">
        <v>2602</v>
      </c>
      <c r="AA8" s="3">
        <v>1</v>
      </c>
      <c r="AC8" s="3" t="s">
        <v>144</v>
      </c>
      <c r="AD8" s="3" t="s">
        <v>145</v>
      </c>
      <c r="AE8" s="3" t="s">
        <v>84</v>
      </c>
      <c r="AF8" s="3" t="s">
        <v>2569</v>
      </c>
      <c r="AG8" s="3" t="s">
        <v>2603</v>
      </c>
      <c r="AH8" s="3" t="s">
        <v>2579</v>
      </c>
      <c r="AI8" s="3">
        <v>3</v>
      </c>
      <c r="AL8" s="3" t="s">
        <v>2604</v>
      </c>
      <c r="AM8" s="3" t="s">
        <v>2605</v>
      </c>
    </row>
    <row r="9" spans="1:39" ht="15.75" customHeight="1" x14ac:dyDescent="0.25">
      <c r="A9" s="3" t="s">
        <v>152</v>
      </c>
      <c r="B9" s="3" t="s">
        <v>2606</v>
      </c>
      <c r="C9" s="3" t="s">
        <v>2607</v>
      </c>
      <c r="D9" s="3" t="s">
        <v>2608</v>
      </c>
      <c r="E9" s="3" t="s">
        <v>2538</v>
      </c>
      <c r="F9" s="3" t="s">
        <v>2609</v>
      </c>
      <c r="G9" s="3" t="s">
        <v>263</v>
      </c>
      <c r="H9" s="3">
        <v>31971831708</v>
      </c>
      <c r="I9" s="6">
        <v>30589</v>
      </c>
      <c r="J9" s="3">
        <v>38</v>
      </c>
      <c r="K9" s="3" t="s">
        <v>2610</v>
      </c>
      <c r="L9" s="10">
        <v>1447066600</v>
      </c>
      <c r="M9" s="3" t="s">
        <v>2611</v>
      </c>
      <c r="N9" s="3"/>
      <c r="R9" s="3" t="s">
        <v>62</v>
      </c>
      <c r="S9" s="3" t="s">
        <v>2612</v>
      </c>
      <c r="Z9" s="3" t="s">
        <v>2613</v>
      </c>
      <c r="AA9" s="3">
        <v>220</v>
      </c>
      <c r="AB9" s="3" t="s">
        <v>2614</v>
      </c>
      <c r="AC9" s="3" t="s">
        <v>266</v>
      </c>
      <c r="AD9" s="3">
        <v>32145700</v>
      </c>
      <c r="AE9" s="3" t="s">
        <v>84</v>
      </c>
      <c r="AG9" s="3" t="s">
        <v>77</v>
      </c>
    </row>
    <row r="10" spans="1:39" ht="15.75" customHeight="1" x14ac:dyDescent="0.25">
      <c r="A10" s="3" t="s">
        <v>152</v>
      </c>
      <c r="B10" s="3" t="s">
        <v>2615</v>
      </c>
      <c r="C10" s="3" t="s">
        <v>2616</v>
      </c>
      <c r="D10" s="3" t="s">
        <v>2617</v>
      </c>
      <c r="E10" s="3" t="s">
        <v>2538</v>
      </c>
      <c r="F10" s="3" t="s">
        <v>2618</v>
      </c>
      <c r="G10" s="3" t="s">
        <v>193</v>
      </c>
      <c r="H10" s="3">
        <v>84988613764</v>
      </c>
      <c r="I10" s="6">
        <v>29785</v>
      </c>
      <c r="J10" s="3">
        <v>40</v>
      </c>
      <c r="K10" s="3">
        <v>1914429</v>
      </c>
      <c r="L10" s="10">
        <v>853693498</v>
      </c>
      <c r="M10" s="3" t="s">
        <v>198</v>
      </c>
      <c r="N10" s="3" t="s">
        <v>198</v>
      </c>
      <c r="R10" s="3" t="s">
        <v>62</v>
      </c>
      <c r="S10" s="3" t="s">
        <v>229</v>
      </c>
      <c r="Z10" s="3" t="s">
        <v>2619</v>
      </c>
      <c r="AA10" s="3">
        <v>10</v>
      </c>
      <c r="AC10" s="3" t="s">
        <v>197</v>
      </c>
      <c r="AD10" s="3" t="s">
        <v>2620</v>
      </c>
      <c r="AE10" s="3" t="s">
        <v>195</v>
      </c>
      <c r="AG10" s="3" t="s">
        <v>77</v>
      </c>
    </row>
    <row r="11" spans="1:39" ht="15.75" customHeight="1" x14ac:dyDescent="0.25">
      <c r="A11" s="3" t="s">
        <v>152</v>
      </c>
      <c r="B11" s="3" t="s">
        <v>2621</v>
      </c>
      <c r="C11" s="3" t="s">
        <v>2622</v>
      </c>
      <c r="D11" s="3" t="s">
        <v>2623</v>
      </c>
      <c r="E11" s="3" t="s">
        <v>2538</v>
      </c>
      <c r="F11" s="3" t="s">
        <v>2624</v>
      </c>
      <c r="G11" s="3" t="s">
        <v>211</v>
      </c>
      <c r="H11" s="3">
        <v>21968929016</v>
      </c>
      <c r="I11" s="8">
        <v>32177</v>
      </c>
      <c r="J11" s="3">
        <v>33</v>
      </c>
      <c r="K11" s="3">
        <v>239966807</v>
      </c>
      <c r="L11" s="10">
        <v>13059740771</v>
      </c>
      <c r="M11" s="3" t="s">
        <v>2625</v>
      </c>
      <c r="R11" s="3" t="s">
        <v>62</v>
      </c>
      <c r="S11" s="3" t="s">
        <v>2626</v>
      </c>
      <c r="Z11" s="3" t="s">
        <v>2627</v>
      </c>
      <c r="AA11" s="3">
        <v>339</v>
      </c>
      <c r="AC11" s="3" t="s">
        <v>73</v>
      </c>
      <c r="AD11" s="3"/>
      <c r="AE11" s="3" t="s">
        <v>70</v>
      </c>
      <c r="AG11" s="3" t="s">
        <v>77</v>
      </c>
    </row>
    <row r="12" spans="1:39" ht="15.75" customHeight="1" x14ac:dyDescent="0.25">
      <c r="A12" s="3" t="s">
        <v>152</v>
      </c>
      <c r="B12" s="3" t="s">
        <v>2628</v>
      </c>
      <c r="C12" s="3" t="s">
        <v>2629</v>
      </c>
      <c r="D12" s="3" t="s">
        <v>2630</v>
      </c>
      <c r="E12" s="3" t="s">
        <v>2538</v>
      </c>
      <c r="F12" s="3" t="s">
        <v>2609</v>
      </c>
      <c r="G12" s="3" t="s">
        <v>157</v>
      </c>
      <c r="H12" s="3">
        <v>11976970055</v>
      </c>
      <c r="I12" s="6">
        <v>29911</v>
      </c>
      <c r="J12" s="3">
        <v>40</v>
      </c>
      <c r="K12" s="3">
        <v>298406688</v>
      </c>
      <c r="L12" s="10">
        <v>31126208876</v>
      </c>
      <c r="M12" s="3" t="s">
        <v>2631</v>
      </c>
      <c r="R12" s="3" t="s">
        <v>62</v>
      </c>
      <c r="S12" s="3" t="s">
        <v>2632</v>
      </c>
      <c r="Z12" s="3" t="s">
        <v>2633</v>
      </c>
      <c r="AA12" s="3">
        <v>142</v>
      </c>
      <c r="AB12" s="3"/>
      <c r="AC12" s="3" t="s">
        <v>128</v>
      </c>
      <c r="AD12" s="3" t="s">
        <v>2634</v>
      </c>
      <c r="AE12" s="3" t="s">
        <v>101</v>
      </c>
      <c r="AG12" s="3" t="s">
        <v>77</v>
      </c>
    </row>
    <row r="13" spans="1:39" ht="15.75" customHeight="1" x14ac:dyDescent="0.25">
      <c r="A13" s="3" t="s">
        <v>152</v>
      </c>
      <c r="B13" s="3" t="s">
        <v>2635</v>
      </c>
      <c r="C13" s="3" t="s">
        <v>2636</v>
      </c>
      <c r="D13" s="3" t="s">
        <v>2637</v>
      </c>
      <c r="E13" s="3" t="s">
        <v>2538</v>
      </c>
      <c r="F13" s="3" t="s">
        <v>2638</v>
      </c>
      <c r="G13" s="3" t="s">
        <v>174</v>
      </c>
      <c r="H13" s="3">
        <v>31991542939</v>
      </c>
      <c r="I13" s="6">
        <v>30420</v>
      </c>
      <c r="J13" s="3">
        <v>38</v>
      </c>
      <c r="K13" s="3" t="s">
        <v>2639</v>
      </c>
      <c r="L13" s="10">
        <v>6219875656</v>
      </c>
      <c r="M13" s="3" t="s">
        <v>2640</v>
      </c>
      <c r="R13" s="3" t="s">
        <v>62</v>
      </c>
      <c r="S13" s="3" t="s">
        <v>2641</v>
      </c>
      <c r="Z13" s="3" t="s">
        <v>2642</v>
      </c>
      <c r="AA13" s="3">
        <v>177</v>
      </c>
      <c r="AB13" s="3" t="s">
        <v>2643</v>
      </c>
      <c r="AC13" s="3" t="s">
        <v>177</v>
      </c>
      <c r="AD13" s="3">
        <v>30431370</v>
      </c>
      <c r="AE13" s="3" t="s">
        <v>84</v>
      </c>
      <c r="AG13" s="3" t="s">
        <v>77</v>
      </c>
    </row>
    <row r="14" spans="1:39" ht="15.75" customHeight="1" x14ac:dyDescent="0.25">
      <c r="A14" s="3" t="s">
        <v>152</v>
      </c>
      <c r="B14" s="3" t="s">
        <v>2644</v>
      </c>
      <c r="C14" s="3" t="s">
        <v>2645</v>
      </c>
      <c r="D14" s="3" t="s">
        <v>2646</v>
      </c>
      <c r="E14" s="3" t="s">
        <v>2538</v>
      </c>
      <c r="F14" s="3" t="s">
        <v>2624</v>
      </c>
      <c r="G14" s="3" t="s">
        <v>244</v>
      </c>
      <c r="H14" s="3">
        <v>98982330200</v>
      </c>
      <c r="I14" s="6">
        <v>32596</v>
      </c>
      <c r="J14" s="3">
        <v>32</v>
      </c>
      <c r="K14" s="3">
        <v>20287420020</v>
      </c>
      <c r="L14" s="10">
        <v>3699743365</v>
      </c>
      <c r="M14" s="3" t="s">
        <v>2647</v>
      </c>
      <c r="R14" s="3" t="s">
        <v>62</v>
      </c>
      <c r="S14" s="3" t="s">
        <v>2648</v>
      </c>
      <c r="Z14" s="3" t="s">
        <v>247</v>
      </c>
      <c r="AA14" s="3">
        <v>528</v>
      </c>
      <c r="AB14" s="3"/>
      <c r="AC14" s="3" t="s">
        <v>248</v>
      </c>
      <c r="AD14" s="3"/>
      <c r="AE14" s="3" t="s">
        <v>246</v>
      </c>
      <c r="AG14" s="3" t="s">
        <v>77</v>
      </c>
    </row>
    <row r="15" spans="1:39" ht="15.75" customHeight="1" x14ac:dyDescent="0.25">
      <c r="A15" s="3" t="s">
        <v>46</v>
      </c>
      <c r="B15" s="3" t="s">
        <v>2649</v>
      </c>
      <c r="C15" s="3" t="s">
        <v>2650</v>
      </c>
      <c r="D15" s="3" t="s">
        <v>2651</v>
      </c>
      <c r="E15" s="3" t="s">
        <v>2538</v>
      </c>
      <c r="F15" s="3" t="s">
        <v>2638</v>
      </c>
      <c r="G15" s="3" t="s">
        <v>2652</v>
      </c>
      <c r="H15" s="3">
        <v>27998417917</v>
      </c>
      <c r="I15" s="6">
        <v>32688</v>
      </c>
      <c r="J15" s="3">
        <v>32</v>
      </c>
      <c r="K15" s="3">
        <v>1972800</v>
      </c>
      <c r="L15" s="10">
        <v>11776586743</v>
      </c>
      <c r="M15" s="3" t="s">
        <v>2653</v>
      </c>
      <c r="N15" s="3" t="s">
        <v>2654</v>
      </c>
      <c r="R15" s="3" t="s">
        <v>120</v>
      </c>
      <c r="Z15" s="3" t="s">
        <v>2655</v>
      </c>
      <c r="AA15" s="3">
        <v>418</v>
      </c>
      <c r="AB15" s="3"/>
      <c r="AC15" s="3" t="s">
        <v>297</v>
      </c>
      <c r="AD15" s="3" t="s">
        <v>2656</v>
      </c>
      <c r="AE15" s="3" t="s">
        <v>295</v>
      </c>
      <c r="AG15" s="3" t="s">
        <v>77</v>
      </c>
    </row>
    <row r="16" spans="1:39" ht="15.75" customHeight="1" x14ac:dyDescent="0.25">
      <c r="A16" s="3" t="s">
        <v>152</v>
      </c>
      <c r="B16" s="3" t="s">
        <v>2657</v>
      </c>
      <c r="C16" s="3" t="s">
        <v>2658</v>
      </c>
      <c r="D16" s="3" t="s">
        <v>2659</v>
      </c>
      <c r="E16" s="3" t="s">
        <v>2538</v>
      </c>
      <c r="F16" s="3" t="s">
        <v>2638</v>
      </c>
      <c r="G16" s="3" t="s">
        <v>278</v>
      </c>
      <c r="H16" s="3">
        <v>62985647849</v>
      </c>
      <c r="I16" s="6">
        <v>31957</v>
      </c>
      <c r="J16" s="3">
        <v>34</v>
      </c>
      <c r="K16" s="3">
        <v>4859623</v>
      </c>
      <c r="L16" s="10">
        <v>1425111106</v>
      </c>
      <c r="M16" s="3" t="s">
        <v>2660</v>
      </c>
      <c r="N16" s="3"/>
      <c r="R16" s="3" t="s">
        <v>62</v>
      </c>
      <c r="S16" s="3" t="s">
        <v>2661</v>
      </c>
      <c r="Z16" s="3" t="s">
        <v>2662</v>
      </c>
      <c r="AA16" s="3" t="s">
        <v>2663</v>
      </c>
      <c r="AB16" s="3" t="s">
        <v>2664</v>
      </c>
      <c r="AC16" s="3" t="s">
        <v>282</v>
      </c>
      <c r="AD16" s="3"/>
      <c r="AE16" s="3" t="s">
        <v>280</v>
      </c>
      <c r="AG16" s="3" t="s">
        <v>77</v>
      </c>
    </row>
    <row r="17" spans="1:39" ht="15.75" customHeight="1" x14ac:dyDescent="0.25">
      <c r="A17" s="3" t="s">
        <v>152</v>
      </c>
      <c r="B17" s="3" t="s">
        <v>2665</v>
      </c>
      <c r="C17" s="3" t="s">
        <v>2666</v>
      </c>
      <c r="D17" s="3" t="s">
        <v>2667</v>
      </c>
      <c r="E17" s="3" t="s">
        <v>2538</v>
      </c>
      <c r="F17" s="3" t="s">
        <v>2609</v>
      </c>
      <c r="G17" s="3" t="s">
        <v>2668</v>
      </c>
      <c r="H17" s="3">
        <v>82998370029</v>
      </c>
      <c r="I17" s="6">
        <v>32648</v>
      </c>
      <c r="J17" s="3">
        <v>32</v>
      </c>
      <c r="K17" s="3">
        <v>30112320</v>
      </c>
      <c r="L17" s="10">
        <v>6307912448</v>
      </c>
      <c r="M17" s="3" t="s">
        <v>2669</v>
      </c>
      <c r="N17" s="3"/>
      <c r="R17" s="3" t="s">
        <v>62</v>
      </c>
      <c r="S17" s="3" t="s">
        <v>2670</v>
      </c>
      <c r="Z17" s="3" t="s">
        <v>2671</v>
      </c>
      <c r="AA17" s="3">
        <v>381</v>
      </c>
      <c r="AB17" s="3"/>
      <c r="AC17" s="3" t="s">
        <v>231</v>
      </c>
      <c r="AD17" s="3"/>
      <c r="AE17" s="3" t="s">
        <v>51</v>
      </c>
      <c r="AG17" s="3" t="s">
        <v>77</v>
      </c>
    </row>
    <row r="18" spans="1:39" ht="15.75" customHeight="1" x14ac:dyDescent="0.25">
      <c r="A18" s="3" t="s">
        <v>46</v>
      </c>
      <c r="B18" s="3" t="s">
        <v>2672</v>
      </c>
      <c r="C18" s="3" t="s">
        <v>2673</v>
      </c>
      <c r="D18" s="3" t="s">
        <v>2674</v>
      </c>
      <c r="E18" s="3" t="s">
        <v>2538</v>
      </c>
      <c r="F18" s="3" t="s">
        <v>2638</v>
      </c>
      <c r="G18" s="3" t="s">
        <v>2675</v>
      </c>
      <c r="H18" s="3">
        <v>81999302643</v>
      </c>
      <c r="I18" s="6">
        <v>24651</v>
      </c>
      <c r="J18" s="3">
        <v>54</v>
      </c>
      <c r="K18" s="3">
        <v>3741158</v>
      </c>
      <c r="L18" s="10">
        <v>1122065493</v>
      </c>
      <c r="M18" s="3" t="s">
        <v>2647</v>
      </c>
      <c r="N18" s="3"/>
      <c r="R18" s="3" t="s">
        <v>62</v>
      </c>
      <c r="S18" s="3"/>
      <c r="Z18" s="3" t="s">
        <v>2676</v>
      </c>
      <c r="AA18" s="3">
        <v>4636</v>
      </c>
      <c r="AB18" s="3"/>
      <c r="AC18" s="3" t="s">
        <v>381</v>
      </c>
      <c r="AD18" s="3"/>
      <c r="AE18" s="3" t="s">
        <v>379</v>
      </c>
      <c r="AG18" s="3" t="s">
        <v>77</v>
      </c>
    </row>
    <row r="19" spans="1:39" ht="15.75" customHeight="1" x14ac:dyDescent="0.25">
      <c r="A19" s="3" t="s">
        <v>46</v>
      </c>
      <c r="B19" s="3" t="s">
        <v>2677</v>
      </c>
      <c r="C19" s="3" t="s">
        <v>2678</v>
      </c>
      <c r="D19" s="3" t="s">
        <v>2679</v>
      </c>
      <c r="E19" s="3" t="s">
        <v>2538</v>
      </c>
      <c r="F19" s="3" t="s">
        <v>2624</v>
      </c>
      <c r="G19" s="3" t="s">
        <v>2680</v>
      </c>
      <c r="H19" s="3">
        <v>11971406017</v>
      </c>
      <c r="I19" s="6">
        <v>26935</v>
      </c>
      <c r="J19" s="3">
        <v>48</v>
      </c>
      <c r="K19" s="3">
        <v>226050919</v>
      </c>
      <c r="L19" s="10">
        <v>9518046859</v>
      </c>
      <c r="M19" s="3" t="s">
        <v>2681</v>
      </c>
      <c r="N19" s="3"/>
      <c r="R19" s="3" t="s">
        <v>62</v>
      </c>
      <c r="Z19" s="3" t="s">
        <v>2682</v>
      </c>
      <c r="AA19" s="3">
        <v>176</v>
      </c>
      <c r="AC19" s="3" t="s">
        <v>443</v>
      </c>
      <c r="AD19" s="3" t="s">
        <v>2683</v>
      </c>
      <c r="AE19" s="3" t="s">
        <v>101</v>
      </c>
      <c r="AG19" s="3" t="s">
        <v>77</v>
      </c>
    </row>
    <row r="20" spans="1:39" ht="15.75" customHeight="1" x14ac:dyDescent="0.25">
      <c r="A20" s="3" t="s">
        <v>46</v>
      </c>
      <c r="B20" s="3" t="s">
        <v>2684</v>
      </c>
      <c r="C20" s="3" t="s">
        <v>2685</v>
      </c>
      <c r="D20" s="3" t="s">
        <v>2686</v>
      </c>
      <c r="E20" s="3" t="s">
        <v>2538</v>
      </c>
      <c r="F20" s="3" t="s">
        <v>2638</v>
      </c>
      <c r="G20" s="3" t="s">
        <v>2687</v>
      </c>
      <c r="H20" s="3">
        <v>45999712917</v>
      </c>
      <c r="I20" s="8">
        <v>29876</v>
      </c>
      <c r="J20" s="3">
        <v>40</v>
      </c>
      <c r="K20" s="3">
        <v>80828691</v>
      </c>
      <c r="L20" s="10">
        <v>3861645920</v>
      </c>
      <c r="M20" s="3" t="s">
        <v>2544</v>
      </c>
      <c r="N20" s="3" t="s">
        <v>2688</v>
      </c>
      <c r="R20" s="3" t="s">
        <v>62</v>
      </c>
      <c r="Z20" s="3" t="s">
        <v>2689</v>
      </c>
      <c r="AA20" s="3" t="s">
        <v>2690</v>
      </c>
      <c r="AC20" s="3" t="s">
        <v>2691</v>
      </c>
      <c r="AD20" s="3">
        <v>85867516</v>
      </c>
      <c r="AE20" s="3" t="s">
        <v>310</v>
      </c>
      <c r="AG20" s="3" t="s">
        <v>77</v>
      </c>
    </row>
    <row r="21" spans="1:39" ht="15.75" customHeight="1" x14ac:dyDescent="0.25">
      <c r="A21" s="3" t="s">
        <v>152</v>
      </c>
      <c r="B21" s="3" t="s">
        <v>2692</v>
      </c>
      <c r="C21" s="3" t="s">
        <v>2693</v>
      </c>
      <c r="D21" s="3" t="s">
        <v>2694</v>
      </c>
      <c r="E21" s="3" t="s">
        <v>2538</v>
      </c>
      <c r="F21" s="3" t="s">
        <v>2624</v>
      </c>
      <c r="G21" s="3" t="s">
        <v>335</v>
      </c>
      <c r="H21" s="3">
        <v>41997585118</v>
      </c>
      <c r="I21" s="8">
        <v>33938</v>
      </c>
      <c r="J21" s="3">
        <v>29</v>
      </c>
      <c r="K21" s="3">
        <v>109669598</v>
      </c>
      <c r="L21" s="10">
        <v>7806187936</v>
      </c>
      <c r="M21" s="3" t="s">
        <v>2695</v>
      </c>
      <c r="N21" s="3"/>
      <c r="R21" s="3" t="s">
        <v>62</v>
      </c>
      <c r="S21" s="3" t="s">
        <v>2696</v>
      </c>
      <c r="Z21" s="3" t="s">
        <v>2697</v>
      </c>
      <c r="AA21" s="3">
        <v>572</v>
      </c>
      <c r="AB21" s="3"/>
      <c r="AC21" s="3" t="s">
        <v>338</v>
      </c>
      <c r="AD21" s="3"/>
      <c r="AE21" s="3" t="s">
        <v>310</v>
      </c>
      <c r="AG21" s="3" t="s">
        <v>77</v>
      </c>
    </row>
    <row r="22" spans="1:39" ht="15.75" customHeight="1" x14ac:dyDescent="0.25">
      <c r="A22" s="3" t="s">
        <v>152</v>
      </c>
      <c r="B22" s="3" t="s">
        <v>2698</v>
      </c>
      <c r="C22" s="3" t="s">
        <v>2699</v>
      </c>
      <c r="D22" s="3" t="s">
        <v>2700</v>
      </c>
      <c r="E22" s="3" t="s">
        <v>2538</v>
      </c>
      <c r="F22" s="3" t="s">
        <v>2638</v>
      </c>
      <c r="G22" s="3" t="s">
        <v>352</v>
      </c>
      <c r="H22" s="3">
        <v>38999558825</v>
      </c>
      <c r="I22" s="6">
        <v>33971</v>
      </c>
      <c r="J22" s="3">
        <v>28</v>
      </c>
      <c r="K22" s="3" t="s">
        <v>2701</v>
      </c>
      <c r="L22" s="10">
        <v>10935306692</v>
      </c>
      <c r="M22" s="3" t="s">
        <v>2702</v>
      </c>
      <c r="N22" s="3" t="s">
        <v>2703</v>
      </c>
      <c r="R22" s="3" t="s">
        <v>62</v>
      </c>
      <c r="S22" s="3" t="s">
        <v>2704</v>
      </c>
      <c r="Z22" s="3" t="s">
        <v>2705</v>
      </c>
      <c r="AA22" s="3" t="s">
        <v>779</v>
      </c>
      <c r="AC22" s="3" t="s">
        <v>355</v>
      </c>
      <c r="AD22" s="3" t="s">
        <v>2706</v>
      </c>
      <c r="AE22" s="3" t="s">
        <v>84</v>
      </c>
      <c r="AG22" s="3" t="s">
        <v>77</v>
      </c>
    </row>
    <row r="23" spans="1:39" ht="15.75" customHeight="1" x14ac:dyDescent="0.25">
      <c r="A23" s="3" t="s">
        <v>46</v>
      </c>
      <c r="B23" s="3" t="s">
        <v>2707</v>
      </c>
      <c r="C23" s="3" t="s">
        <v>2708</v>
      </c>
      <c r="D23" s="3" t="s">
        <v>2709</v>
      </c>
      <c r="E23" s="3" t="s">
        <v>2538</v>
      </c>
      <c r="F23" s="3" t="s">
        <v>2638</v>
      </c>
      <c r="G23" s="3" t="s">
        <v>2710</v>
      </c>
      <c r="H23" s="3">
        <v>16981337692</v>
      </c>
      <c r="I23" s="6">
        <v>33515</v>
      </c>
      <c r="J23" s="3">
        <v>30</v>
      </c>
      <c r="K23" s="3">
        <v>474263976</v>
      </c>
      <c r="L23" s="10">
        <v>39668565819</v>
      </c>
      <c r="M23" s="3" t="s">
        <v>2711</v>
      </c>
      <c r="N23" s="3" t="s">
        <v>2712</v>
      </c>
      <c r="R23" s="3" t="s">
        <v>120</v>
      </c>
      <c r="Z23" s="3" t="s">
        <v>2713</v>
      </c>
      <c r="AA23" s="3">
        <v>88</v>
      </c>
      <c r="AC23" s="3" t="s">
        <v>323</v>
      </c>
      <c r="AD23" s="3">
        <v>29160168</v>
      </c>
      <c r="AE23" s="3" t="s">
        <v>101</v>
      </c>
      <c r="AG23" s="3" t="s">
        <v>77</v>
      </c>
    </row>
    <row r="24" spans="1:39" ht="15.75" customHeight="1" x14ac:dyDescent="0.25">
      <c r="A24" s="3" t="s">
        <v>46</v>
      </c>
      <c r="B24" s="3" t="s">
        <v>2714</v>
      </c>
      <c r="C24" s="3" t="s">
        <v>2715</v>
      </c>
      <c r="D24" s="3" t="s">
        <v>2716</v>
      </c>
      <c r="E24" s="3" t="s">
        <v>2538</v>
      </c>
      <c r="F24" s="3" t="s">
        <v>2638</v>
      </c>
      <c r="G24" s="3" t="s">
        <v>2717</v>
      </c>
      <c r="H24" s="3">
        <v>34999661345</v>
      </c>
      <c r="I24" s="6">
        <v>35151</v>
      </c>
      <c r="J24" s="3">
        <v>25</v>
      </c>
      <c r="K24" s="3" t="s">
        <v>2718</v>
      </c>
      <c r="L24" s="10">
        <v>12088517642</v>
      </c>
      <c r="M24" s="3" t="s">
        <v>2719</v>
      </c>
      <c r="N24" s="3" t="s">
        <v>2720</v>
      </c>
      <c r="R24" s="3" t="s">
        <v>120</v>
      </c>
      <c r="Z24" s="3" t="s">
        <v>2721</v>
      </c>
      <c r="AA24" s="3" t="s">
        <v>2722</v>
      </c>
      <c r="AC24" s="3" t="s">
        <v>369</v>
      </c>
      <c r="AD24" s="3"/>
      <c r="AE24" s="3" t="s">
        <v>84</v>
      </c>
      <c r="AG24" s="3" t="s">
        <v>77</v>
      </c>
    </row>
    <row r="25" spans="1:39" ht="12.5" x14ac:dyDescent="0.25">
      <c r="A25" s="3" t="s">
        <v>46</v>
      </c>
      <c r="B25" s="3" t="s">
        <v>2723</v>
      </c>
      <c r="C25" s="3" t="s">
        <v>2724</v>
      </c>
      <c r="D25" s="3" t="s">
        <v>2725</v>
      </c>
      <c r="E25" s="3" t="s">
        <v>2538</v>
      </c>
      <c r="F25" s="3" t="s">
        <v>2638</v>
      </c>
      <c r="G25" s="3" t="s">
        <v>2726</v>
      </c>
      <c r="H25" s="3">
        <v>11949240035</v>
      </c>
      <c r="I25" s="6">
        <v>32640</v>
      </c>
      <c r="J25" s="3">
        <v>32</v>
      </c>
      <c r="K25" s="3">
        <v>476299378</v>
      </c>
      <c r="L25" s="10">
        <v>38664039844</v>
      </c>
      <c r="M25" s="3" t="s">
        <v>2727</v>
      </c>
      <c r="N25" s="3" t="s">
        <v>2728</v>
      </c>
      <c r="R25" s="3" t="s">
        <v>62</v>
      </c>
      <c r="Z25" s="3" t="s">
        <v>2729</v>
      </c>
      <c r="AA25" s="3">
        <v>28</v>
      </c>
      <c r="AB25" s="3" t="s">
        <v>2730</v>
      </c>
      <c r="AC25" s="3" t="s">
        <v>128</v>
      </c>
      <c r="AD25" s="3" t="s">
        <v>2731</v>
      </c>
      <c r="AE25" s="3" t="s">
        <v>101</v>
      </c>
      <c r="AG25" s="3" t="s">
        <v>77</v>
      </c>
    </row>
    <row r="26" spans="1:39" ht="12.5" x14ac:dyDescent="0.25">
      <c r="A26" s="3" t="s">
        <v>46</v>
      </c>
      <c r="B26" s="3" t="s">
        <v>2732</v>
      </c>
      <c r="C26" s="3" t="s">
        <v>2733</v>
      </c>
      <c r="D26" s="3" t="s">
        <v>2734</v>
      </c>
      <c r="E26" s="3" t="s">
        <v>2538</v>
      </c>
      <c r="F26" s="3" t="s">
        <v>2638</v>
      </c>
      <c r="G26" s="3" t="s">
        <v>644</v>
      </c>
      <c r="H26" s="3" t="s">
        <v>2735</v>
      </c>
      <c r="I26" s="6">
        <v>30964</v>
      </c>
      <c r="J26" s="3">
        <v>37</v>
      </c>
      <c r="K26" s="3">
        <v>6775147</v>
      </c>
      <c r="L26" s="10">
        <v>4469182966</v>
      </c>
      <c r="M26" s="3" t="s">
        <v>2736</v>
      </c>
      <c r="N26" s="3"/>
      <c r="R26" s="3" t="s">
        <v>62</v>
      </c>
      <c r="V26" s="3"/>
      <c r="X26" s="3" t="s">
        <v>2737</v>
      </c>
      <c r="Z26" s="3" t="s">
        <v>2738</v>
      </c>
      <c r="AA26" s="3">
        <v>286</v>
      </c>
      <c r="AB26" s="3" t="s">
        <v>2739</v>
      </c>
      <c r="AC26" s="3" t="s">
        <v>648</v>
      </c>
      <c r="AD26" s="3" t="s">
        <v>2740</v>
      </c>
      <c r="AE26" s="3" t="s">
        <v>557</v>
      </c>
      <c r="AF26" s="3" t="s">
        <v>2741</v>
      </c>
      <c r="AG26" s="3" t="s">
        <v>2596</v>
      </c>
      <c r="AH26" s="3" t="s">
        <v>2588</v>
      </c>
      <c r="AI26" s="3">
        <v>3</v>
      </c>
      <c r="AL26" s="3" t="s">
        <v>2742</v>
      </c>
      <c r="AM26" s="3" t="s">
        <v>2743</v>
      </c>
    </row>
    <row r="27" spans="1:39" ht="12.5" x14ac:dyDescent="0.25">
      <c r="A27" s="3" t="s">
        <v>46</v>
      </c>
      <c r="B27" s="3" t="s">
        <v>2744</v>
      </c>
      <c r="C27" s="3" t="s">
        <v>2745</v>
      </c>
      <c r="D27" s="3" t="s">
        <v>2746</v>
      </c>
      <c r="E27" s="3" t="s">
        <v>2538</v>
      </c>
      <c r="F27" s="3" t="s">
        <v>2638</v>
      </c>
      <c r="G27" s="3" t="s">
        <v>2747</v>
      </c>
      <c r="H27" s="3">
        <v>81998219302</v>
      </c>
      <c r="I27" s="6">
        <v>29801</v>
      </c>
      <c r="J27" s="3">
        <v>40</v>
      </c>
      <c r="K27" s="3">
        <v>5423728</v>
      </c>
      <c r="L27" s="10">
        <v>872098451</v>
      </c>
      <c r="M27" s="3" t="s">
        <v>2748</v>
      </c>
      <c r="R27" s="3" t="s">
        <v>62</v>
      </c>
      <c r="Z27" s="3" t="s">
        <v>2749</v>
      </c>
      <c r="AA27" s="3" t="s">
        <v>2750</v>
      </c>
      <c r="AC27" s="3" t="s">
        <v>381</v>
      </c>
      <c r="AD27" s="3" t="s">
        <v>2751</v>
      </c>
      <c r="AE27" s="3" t="s">
        <v>379</v>
      </c>
      <c r="AG27" s="3" t="s">
        <v>77</v>
      </c>
    </row>
    <row r="28" spans="1:39" ht="12.5" x14ac:dyDescent="0.25">
      <c r="A28" s="3" t="s">
        <v>46</v>
      </c>
      <c r="B28" s="3" t="s">
        <v>2752</v>
      </c>
      <c r="C28" s="3" t="s">
        <v>2753</v>
      </c>
      <c r="D28" s="3" t="s">
        <v>2754</v>
      </c>
      <c r="E28" s="3" t="s">
        <v>2538</v>
      </c>
      <c r="F28" s="3" t="s">
        <v>2638</v>
      </c>
      <c r="G28" s="3" t="s">
        <v>2755</v>
      </c>
      <c r="H28" s="3">
        <v>37991988847</v>
      </c>
      <c r="I28" s="6">
        <v>22007</v>
      </c>
      <c r="J28" s="3">
        <v>61</v>
      </c>
      <c r="K28" s="3">
        <v>4476690</v>
      </c>
      <c r="L28" s="10">
        <v>735765499</v>
      </c>
      <c r="M28" s="3" t="s">
        <v>2756</v>
      </c>
      <c r="N28" s="3"/>
      <c r="R28" s="3" t="s">
        <v>62</v>
      </c>
      <c r="Z28" s="3" t="s">
        <v>2757</v>
      </c>
      <c r="AA28" s="3">
        <v>980</v>
      </c>
      <c r="AB28" s="3" t="s">
        <v>2758</v>
      </c>
      <c r="AC28" s="3" t="s">
        <v>1092</v>
      </c>
      <c r="AD28" s="3">
        <v>35500533</v>
      </c>
      <c r="AE28" s="3" t="s">
        <v>84</v>
      </c>
      <c r="AG28" s="3" t="s">
        <v>77</v>
      </c>
    </row>
    <row r="29" spans="1:39" ht="12.5" x14ac:dyDescent="0.25">
      <c r="A29" s="3" t="s">
        <v>46</v>
      </c>
      <c r="B29" s="3" t="s">
        <v>2759</v>
      </c>
      <c r="C29" s="3" t="s">
        <v>2658</v>
      </c>
      <c r="D29" s="3" t="s">
        <v>2760</v>
      </c>
      <c r="E29" s="3" t="s">
        <v>2538</v>
      </c>
      <c r="F29" s="3" t="s">
        <v>2638</v>
      </c>
      <c r="G29" s="3" t="s">
        <v>2761</v>
      </c>
      <c r="H29" s="3">
        <v>11960184046</v>
      </c>
      <c r="I29" s="8">
        <v>33236</v>
      </c>
      <c r="J29" s="3">
        <v>31</v>
      </c>
      <c r="K29" s="3">
        <v>493101986</v>
      </c>
      <c r="L29" s="10">
        <v>39091613831</v>
      </c>
      <c r="M29" s="3" t="s">
        <v>2762</v>
      </c>
      <c r="R29" s="3" t="s">
        <v>62</v>
      </c>
      <c r="Z29" s="3" t="s">
        <v>2763</v>
      </c>
      <c r="AA29" s="3">
        <v>202</v>
      </c>
      <c r="AB29" s="3"/>
      <c r="AC29" s="3" t="s">
        <v>128</v>
      </c>
      <c r="AD29" s="3"/>
      <c r="AE29" s="3" t="s">
        <v>101</v>
      </c>
      <c r="AG29" s="3" t="s">
        <v>77</v>
      </c>
    </row>
    <row r="30" spans="1:39" ht="12.5" x14ac:dyDescent="0.25">
      <c r="A30" s="3" t="s">
        <v>46</v>
      </c>
      <c r="B30" s="3" t="s">
        <v>2764</v>
      </c>
      <c r="C30" s="3" t="s">
        <v>2765</v>
      </c>
      <c r="D30" s="3" t="s">
        <v>2766</v>
      </c>
      <c r="E30" s="3" t="s">
        <v>2538</v>
      </c>
      <c r="F30" s="3" t="s">
        <v>2638</v>
      </c>
      <c r="G30" s="3" t="s">
        <v>2767</v>
      </c>
      <c r="H30" s="3">
        <v>11957260556</v>
      </c>
      <c r="I30" s="6">
        <v>25641</v>
      </c>
      <c r="J30" s="3">
        <v>51</v>
      </c>
      <c r="K30" s="3">
        <v>224341339</v>
      </c>
      <c r="L30" s="10">
        <v>15689631817</v>
      </c>
      <c r="M30" s="3" t="s">
        <v>2768</v>
      </c>
      <c r="N30" s="3"/>
      <c r="R30" s="3" t="s">
        <v>62</v>
      </c>
      <c r="X30" s="3"/>
      <c r="Z30" s="3" t="s">
        <v>2769</v>
      </c>
      <c r="AA30" s="3">
        <v>1658</v>
      </c>
      <c r="AB30" s="3" t="s">
        <v>2770</v>
      </c>
      <c r="AC30" s="3" t="s">
        <v>128</v>
      </c>
      <c r="AD30" s="3" t="s">
        <v>2771</v>
      </c>
      <c r="AE30" s="3" t="s">
        <v>101</v>
      </c>
      <c r="AF30" s="3"/>
      <c r="AG30" s="3" t="s">
        <v>77</v>
      </c>
      <c r="AH30" s="3"/>
      <c r="AI30" s="3"/>
      <c r="AM30" s="3"/>
    </row>
    <row r="31" spans="1:39" ht="12.5" x14ac:dyDescent="0.25">
      <c r="A31" s="3" t="s">
        <v>46</v>
      </c>
      <c r="B31" s="3" t="s">
        <v>2772</v>
      </c>
      <c r="C31" s="3" t="s">
        <v>2773</v>
      </c>
      <c r="D31" s="3" t="s">
        <v>2774</v>
      </c>
      <c r="E31" s="3" t="s">
        <v>2538</v>
      </c>
      <c r="F31" s="3" t="s">
        <v>2638</v>
      </c>
      <c r="G31" s="3" t="s">
        <v>2775</v>
      </c>
      <c r="H31" s="3" t="s">
        <v>560</v>
      </c>
      <c r="I31" s="6">
        <v>32270</v>
      </c>
      <c r="J31" s="3">
        <v>33</v>
      </c>
      <c r="K31" s="3">
        <v>50462932</v>
      </c>
      <c r="L31" s="10">
        <v>7399365903</v>
      </c>
      <c r="M31" s="3" t="s">
        <v>2776</v>
      </c>
      <c r="N31" s="3" t="s">
        <v>2777</v>
      </c>
      <c r="R31" s="3" t="s">
        <v>120</v>
      </c>
      <c r="V31" s="3"/>
      <c r="X31" s="3" t="s">
        <v>2544</v>
      </c>
      <c r="Z31" s="3" t="s">
        <v>2778</v>
      </c>
      <c r="AA31" s="3">
        <v>555</v>
      </c>
      <c r="AB31" s="3" t="s">
        <v>2779</v>
      </c>
      <c r="AC31" s="3" t="s">
        <v>560</v>
      </c>
      <c r="AD31" s="3" t="s">
        <v>2780</v>
      </c>
      <c r="AE31" s="3" t="s">
        <v>557</v>
      </c>
      <c r="AF31" s="3" t="s">
        <v>2569</v>
      </c>
      <c r="AG31" s="3" t="s">
        <v>2587</v>
      </c>
      <c r="AH31" s="3" t="s">
        <v>2588</v>
      </c>
      <c r="AI31" s="3">
        <v>2</v>
      </c>
      <c r="AL31" s="3"/>
      <c r="AM31" s="3" t="s">
        <v>2781</v>
      </c>
    </row>
    <row r="32" spans="1:39" ht="12.5" x14ac:dyDescent="0.25">
      <c r="A32" s="3" t="s">
        <v>46</v>
      </c>
      <c r="B32" s="3" t="s">
        <v>2782</v>
      </c>
      <c r="C32" s="3" t="s">
        <v>2783</v>
      </c>
      <c r="D32" s="3" t="s">
        <v>2784</v>
      </c>
      <c r="E32" s="3" t="s">
        <v>2538</v>
      </c>
      <c r="F32" s="3" t="s">
        <v>2638</v>
      </c>
      <c r="G32" s="3" t="s">
        <v>583</v>
      </c>
      <c r="H32" s="3" t="s">
        <v>2785</v>
      </c>
      <c r="I32" s="6">
        <v>35645</v>
      </c>
      <c r="J32" s="3">
        <v>24</v>
      </c>
      <c r="K32" s="3">
        <v>20083138662</v>
      </c>
      <c r="L32" s="10">
        <v>61192114388</v>
      </c>
      <c r="M32" s="3" t="s">
        <v>2584</v>
      </c>
      <c r="N32" s="3" t="s">
        <v>2786</v>
      </c>
      <c r="O32" s="3"/>
      <c r="P32" s="3"/>
      <c r="R32" s="3" t="s">
        <v>62</v>
      </c>
      <c r="T32" s="3"/>
      <c r="U32" s="3"/>
      <c r="V32" s="3" t="s">
        <v>2542</v>
      </c>
      <c r="X32" s="3"/>
      <c r="Z32" s="3" t="s">
        <v>585</v>
      </c>
      <c r="AA32" s="3">
        <v>165</v>
      </c>
      <c r="AB32" s="3"/>
      <c r="AC32" s="3" t="s">
        <v>470</v>
      </c>
      <c r="AD32" s="3" t="s">
        <v>2787</v>
      </c>
      <c r="AE32" s="3" t="s">
        <v>468</v>
      </c>
      <c r="AF32" s="3" t="s">
        <v>2569</v>
      </c>
      <c r="AG32" s="3" t="s">
        <v>2603</v>
      </c>
      <c r="AH32" s="3" t="s">
        <v>2588</v>
      </c>
      <c r="AI32" s="3">
        <v>3</v>
      </c>
      <c r="AL32" s="3" t="s">
        <v>2788</v>
      </c>
      <c r="AM32" s="3" t="s">
        <v>2789</v>
      </c>
    </row>
    <row r="33" spans="1:39" ht="12.5" x14ac:dyDescent="0.25">
      <c r="A33" s="3" t="s">
        <v>152</v>
      </c>
      <c r="B33" s="3" t="s">
        <v>2790</v>
      </c>
      <c r="C33" s="3" t="s">
        <v>2791</v>
      </c>
      <c r="D33" s="3" t="s">
        <v>2792</v>
      </c>
      <c r="E33" s="3" t="s">
        <v>2538</v>
      </c>
      <c r="F33" s="3" t="s">
        <v>2638</v>
      </c>
      <c r="G33" s="3" t="s">
        <v>603</v>
      </c>
      <c r="H33" s="3">
        <v>981045284</v>
      </c>
      <c r="I33" s="8">
        <v>28020</v>
      </c>
      <c r="J33" s="3">
        <v>45</v>
      </c>
      <c r="K33" s="3">
        <v>1004188307</v>
      </c>
      <c r="L33" s="10">
        <v>85591661572</v>
      </c>
      <c r="M33" s="3" t="s">
        <v>2793</v>
      </c>
      <c r="N33" s="3" t="s">
        <v>2794</v>
      </c>
      <c r="R33" s="3" t="s">
        <v>62</v>
      </c>
      <c r="S33" s="3"/>
      <c r="V33" s="3"/>
      <c r="Z33" s="3" t="s">
        <v>606</v>
      </c>
      <c r="AA33" s="3" t="s">
        <v>2795</v>
      </c>
      <c r="AB33" s="3" t="s">
        <v>2796</v>
      </c>
      <c r="AC33" s="3" t="s">
        <v>607</v>
      </c>
      <c r="AD33" s="3"/>
      <c r="AE33" s="3" t="s">
        <v>605</v>
      </c>
      <c r="AF33" s="3"/>
      <c r="AG33" s="3" t="s">
        <v>77</v>
      </c>
      <c r="AH33" s="3"/>
      <c r="AI33" s="3"/>
      <c r="AL33" s="3"/>
      <c r="AM33" s="3"/>
    </row>
    <row r="34" spans="1:39" ht="12.5" x14ac:dyDescent="0.25">
      <c r="A34" s="3" t="s">
        <v>46</v>
      </c>
      <c r="B34" s="3" t="s">
        <v>2797</v>
      </c>
      <c r="C34" s="3" t="s">
        <v>2798</v>
      </c>
      <c r="D34" s="3" t="s">
        <v>2799</v>
      </c>
      <c r="E34" s="3" t="s">
        <v>2538</v>
      </c>
      <c r="F34" s="3" t="s">
        <v>2638</v>
      </c>
      <c r="G34" s="3" t="s">
        <v>2800</v>
      </c>
      <c r="H34" s="3" t="s">
        <v>2801</v>
      </c>
      <c r="I34" s="6">
        <v>34339</v>
      </c>
      <c r="J34" s="3">
        <v>27</v>
      </c>
      <c r="K34" s="3">
        <v>214921991</v>
      </c>
      <c r="L34" s="10">
        <v>13607868727</v>
      </c>
      <c r="M34" s="3" t="s">
        <v>2802</v>
      </c>
      <c r="N34" s="3" t="s">
        <v>2566</v>
      </c>
      <c r="R34" s="3" t="s">
        <v>120</v>
      </c>
      <c r="V34" s="3" t="s">
        <v>2542</v>
      </c>
      <c r="X34" s="3"/>
      <c r="Z34" s="3" t="s">
        <v>2803</v>
      </c>
      <c r="AA34" s="3">
        <v>57</v>
      </c>
      <c r="AB34" s="3" t="s">
        <v>2804</v>
      </c>
      <c r="AC34" s="3" t="s">
        <v>626</v>
      </c>
      <c r="AD34" s="3" t="s">
        <v>2805</v>
      </c>
      <c r="AE34" s="3" t="s">
        <v>70</v>
      </c>
      <c r="AF34" s="3" t="s">
        <v>2569</v>
      </c>
      <c r="AG34" s="3" t="s">
        <v>2559</v>
      </c>
      <c r="AH34" s="3" t="s">
        <v>2588</v>
      </c>
      <c r="AI34" s="3">
        <v>5</v>
      </c>
      <c r="AL34" s="3" t="s">
        <v>2806</v>
      </c>
      <c r="AM34" s="3" t="s">
        <v>2806</v>
      </c>
    </row>
    <row r="35" spans="1:39" ht="12.5" x14ac:dyDescent="0.25">
      <c r="A35" s="3" t="s">
        <v>46</v>
      </c>
      <c r="B35" s="3" t="s">
        <v>2807</v>
      </c>
      <c r="C35" s="3" t="s">
        <v>2808</v>
      </c>
      <c r="D35" s="3" t="s">
        <v>2809</v>
      </c>
      <c r="E35" s="3" t="s">
        <v>2538</v>
      </c>
      <c r="F35" s="3" t="s">
        <v>2638</v>
      </c>
      <c r="G35" s="3" t="s">
        <v>2810</v>
      </c>
      <c r="H35" s="3" t="s">
        <v>2811</v>
      </c>
      <c r="I35" s="6">
        <v>29738</v>
      </c>
      <c r="J35" s="3">
        <v>40</v>
      </c>
      <c r="K35" s="3">
        <v>10312267</v>
      </c>
      <c r="L35" s="10">
        <v>4314983698</v>
      </c>
      <c r="M35" s="3" t="s">
        <v>2812</v>
      </c>
      <c r="N35" s="3" t="s">
        <v>2813</v>
      </c>
      <c r="R35" s="3" t="s">
        <v>120</v>
      </c>
      <c r="S35" s="3"/>
      <c r="X35" s="3" t="s">
        <v>2544</v>
      </c>
      <c r="Z35" s="3" t="s">
        <v>2814</v>
      </c>
      <c r="AA35" s="3">
        <v>3173134322</v>
      </c>
      <c r="AB35" s="3" t="s">
        <v>673</v>
      </c>
      <c r="AC35" s="3" t="s">
        <v>177</v>
      </c>
      <c r="AD35" s="3" t="s">
        <v>2815</v>
      </c>
      <c r="AE35" s="3" t="s">
        <v>84</v>
      </c>
      <c r="AF35" s="3" t="s">
        <v>2569</v>
      </c>
      <c r="AG35" s="3" t="s">
        <v>2587</v>
      </c>
      <c r="AH35" s="3" t="s">
        <v>2588</v>
      </c>
      <c r="AI35" s="3">
        <v>3</v>
      </c>
      <c r="AL35" s="3" t="s">
        <v>2816</v>
      </c>
      <c r="AM35" s="3" t="s">
        <v>2817</v>
      </c>
    </row>
    <row r="36" spans="1:39" ht="12.5" x14ac:dyDescent="0.25">
      <c r="A36" s="3" t="s">
        <v>46</v>
      </c>
      <c r="B36" s="3" t="s">
        <v>2818</v>
      </c>
      <c r="C36" s="3" t="s">
        <v>2819</v>
      </c>
      <c r="D36" s="3" t="s">
        <v>2820</v>
      </c>
      <c r="E36" s="3" t="s">
        <v>2538</v>
      </c>
      <c r="F36" s="3" t="s">
        <v>2624</v>
      </c>
      <c r="G36" s="3" t="s">
        <v>690</v>
      </c>
      <c r="H36" s="3" t="s">
        <v>2821</v>
      </c>
      <c r="I36" s="6">
        <v>26253</v>
      </c>
      <c r="J36" s="3">
        <v>50</v>
      </c>
      <c r="K36" s="3">
        <v>20031168</v>
      </c>
      <c r="L36" s="10">
        <v>56383681168</v>
      </c>
      <c r="M36" s="3" t="s">
        <v>2822</v>
      </c>
      <c r="N36" s="3" t="s">
        <v>2823</v>
      </c>
      <c r="P36" s="3"/>
      <c r="R36" s="3" t="s">
        <v>62</v>
      </c>
      <c r="T36" s="3"/>
      <c r="U36" s="3"/>
      <c r="X36" s="3" t="s">
        <v>2577</v>
      </c>
      <c r="Z36" s="3" t="s">
        <v>2824</v>
      </c>
      <c r="AA36" s="3">
        <v>47</v>
      </c>
      <c r="AC36" s="3" t="s">
        <v>369</v>
      </c>
      <c r="AD36" s="3" t="s">
        <v>2825</v>
      </c>
      <c r="AE36" s="3" t="s">
        <v>84</v>
      </c>
      <c r="AF36" s="3" t="s">
        <v>2548</v>
      </c>
      <c r="AG36" s="3" t="s">
        <v>2587</v>
      </c>
      <c r="AH36" s="3" t="s">
        <v>2550</v>
      </c>
      <c r="AI36" s="3">
        <v>3</v>
      </c>
      <c r="AL36" s="3" t="s">
        <v>702</v>
      </c>
      <c r="AM36" s="3" t="s">
        <v>2826</v>
      </c>
    </row>
    <row r="37" spans="1:39" ht="12.5" x14ac:dyDescent="0.25">
      <c r="A37" s="3" t="s">
        <v>46</v>
      </c>
      <c r="B37" s="3" t="s">
        <v>2827</v>
      </c>
      <c r="C37" s="3" t="s">
        <v>2828</v>
      </c>
      <c r="D37" s="3" t="s">
        <v>2829</v>
      </c>
      <c r="E37" s="3" t="s">
        <v>2538</v>
      </c>
      <c r="F37" s="3" t="s">
        <v>2638</v>
      </c>
      <c r="G37" s="3" t="s">
        <v>2830</v>
      </c>
      <c r="H37" s="3">
        <v>21982769202</v>
      </c>
      <c r="I37" s="8">
        <v>27277</v>
      </c>
      <c r="J37" s="3">
        <v>47</v>
      </c>
      <c r="K37" s="3">
        <v>93497659</v>
      </c>
      <c r="L37" s="10">
        <v>7245794782</v>
      </c>
      <c r="M37" s="3" t="s">
        <v>2831</v>
      </c>
      <c r="N37" s="3" t="s">
        <v>2832</v>
      </c>
      <c r="R37" s="3" t="s">
        <v>120</v>
      </c>
      <c r="X37" s="3"/>
      <c r="Z37" s="3" t="s">
        <v>2833</v>
      </c>
      <c r="AA37" s="3">
        <v>11</v>
      </c>
      <c r="AB37" s="3"/>
      <c r="AC37" s="3" t="s">
        <v>714</v>
      </c>
      <c r="AD37" s="3" t="s">
        <v>2834</v>
      </c>
      <c r="AE37" s="3" t="s">
        <v>70</v>
      </c>
      <c r="AF37" s="3"/>
      <c r="AG37" s="3" t="s">
        <v>77</v>
      </c>
      <c r="AH37" s="3"/>
      <c r="AI37" s="3"/>
      <c r="AL37" s="3"/>
      <c r="AM37" s="3"/>
    </row>
    <row r="38" spans="1:39" ht="12.5" x14ac:dyDescent="0.25">
      <c r="A38" s="3" t="s">
        <v>46</v>
      </c>
      <c r="B38" s="3" t="s">
        <v>2835</v>
      </c>
      <c r="C38" s="3" t="s">
        <v>2836</v>
      </c>
      <c r="D38" s="3" t="s">
        <v>2837</v>
      </c>
      <c r="E38" s="3" t="s">
        <v>2538</v>
      </c>
      <c r="F38" s="3" t="s">
        <v>2624</v>
      </c>
      <c r="G38" s="3" t="s">
        <v>2838</v>
      </c>
      <c r="H38" s="3">
        <v>82988184714</v>
      </c>
      <c r="I38" s="8">
        <v>30601</v>
      </c>
      <c r="J38" s="3">
        <v>38</v>
      </c>
      <c r="K38" s="3">
        <v>98001093615</v>
      </c>
      <c r="L38" s="10">
        <v>4814680481</v>
      </c>
      <c r="M38" s="3" t="s">
        <v>2839</v>
      </c>
      <c r="N38" s="3"/>
      <c r="R38" s="3" t="s">
        <v>62</v>
      </c>
      <c r="X38" s="3"/>
      <c r="Z38" s="3" t="s">
        <v>2840</v>
      </c>
      <c r="AA38" s="3">
        <v>386</v>
      </c>
      <c r="AB38" s="3"/>
      <c r="AC38" s="3" t="s">
        <v>231</v>
      </c>
      <c r="AD38" s="3" t="s">
        <v>2841</v>
      </c>
      <c r="AE38" s="3" t="s">
        <v>51</v>
      </c>
      <c r="AF38" s="3"/>
      <c r="AG38" s="3" t="s">
        <v>77</v>
      </c>
      <c r="AH38" s="3"/>
      <c r="AI38" s="3"/>
      <c r="AL38" s="3"/>
      <c r="AM38" s="3"/>
    </row>
    <row r="39" spans="1:39" ht="12.5" x14ac:dyDescent="0.25">
      <c r="A39" s="3" t="s">
        <v>152</v>
      </c>
      <c r="B39" s="3" t="s">
        <v>2842</v>
      </c>
      <c r="C39" s="3" t="s">
        <v>2843</v>
      </c>
      <c r="D39" s="3" t="s">
        <v>2844</v>
      </c>
      <c r="E39" s="3" t="s">
        <v>2538</v>
      </c>
      <c r="F39" s="3" t="s">
        <v>2624</v>
      </c>
      <c r="G39" s="3" t="s">
        <v>405</v>
      </c>
      <c r="H39" s="3">
        <v>51996206480</v>
      </c>
      <c r="I39" s="6">
        <v>29299</v>
      </c>
      <c r="J39" s="3">
        <v>41</v>
      </c>
      <c r="K39" s="3">
        <v>1073275453</v>
      </c>
      <c r="L39" s="10">
        <v>80674607015</v>
      </c>
      <c r="M39" s="3" t="s">
        <v>2845</v>
      </c>
      <c r="N39" s="3" t="s">
        <v>2846</v>
      </c>
      <c r="R39" s="3" t="s">
        <v>120</v>
      </c>
      <c r="S39" s="3" t="s">
        <v>2847</v>
      </c>
      <c r="V39" s="3"/>
      <c r="Z39" s="3" t="s">
        <v>2848</v>
      </c>
      <c r="AA39" s="3">
        <v>203</v>
      </c>
      <c r="AB39" s="3"/>
      <c r="AC39" s="3" t="s">
        <v>409</v>
      </c>
      <c r="AD39" s="3" t="s">
        <v>2849</v>
      </c>
      <c r="AE39" s="3" t="s">
        <v>407</v>
      </c>
      <c r="AF39" s="3"/>
      <c r="AG39" s="3" t="s">
        <v>77</v>
      </c>
      <c r="AH39" s="3"/>
      <c r="AI39" s="3"/>
      <c r="AL39" s="3"/>
      <c r="AM39" s="3"/>
    </row>
    <row r="40" spans="1:39" ht="12.5" x14ac:dyDescent="0.25">
      <c r="A40" s="3" t="s">
        <v>46</v>
      </c>
      <c r="B40" s="3" t="s">
        <v>2850</v>
      </c>
      <c r="C40" s="3" t="s">
        <v>2851</v>
      </c>
      <c r="D40" s="3" t="s">
        <v>2852</v>
      </c>
      <c r="E40" s="3" t="s">
        <v>2538</v>
      </c>
      <c r="F40" s="3" t="s">
        <v>2624</v>
      </c>
      <c r="G40" s="3" t="s">
        <v>2853</v>
      </c>
      <c r="H40" s="3">
        <v>27997907663</v>
      </c>
      <c r="I40" s="8">
        <v>30128</v>
      </c>
      <c r="J40" s="3">
        <v>39</v>
      </c>
      <c r="K40" s="3" t="s">
        <v>2854</v>
      </c>
      <c r="L40" s="10">
        <v>9208962784</v>
      </c>
      <c r="M40" s="3" t="s">
        <v>2855</v>
      </c>
      <c r="R40" s="3" t="s">
        <v>62</v>
      </c>
      <c r="X40" s="3"/>
      <c r="Z40" s="3" t="s">
        <v>788</v>
      </c>
      <c r="AA40" s="3" t="s">
        <v>2856</v>
      </c>
      <c r="AB40" s="3"/>
      <c r="AC40" s="3" t="s">
        <v>789</v>
      </c>
      <c r="AD40" s="3">
        <v>29032567</v>
      </c>
      <c r="AE40" s="3" t="s">
        <v>295</v>
      </c>
      <c r="AF40" s="3"/>
      <c r="AG40" s="3" t="s">
        <v>77</v>
      </c>
      <c r="AH40" s="3"/>
      <c r="AI40" s="3"/>
      <c r="AL40" s="3"/>
      <c r="AM40" s="3"/>
    </row>
    <row r="41" spans="1:39" ht="12.5" x14ac:dyDescent="0.25">
      <c r="A41" s="3" t="s">
        <v>152</v>
      </c>
      <c r="B41" s="3" t="s">
        <v>2857</v>
      </c>
      <c r="C41" s="3" t="s">
        <v>2858</v>
      </c>
      <c r="D41" s="3" t="s">
        <v>2859</v>
      </c>
      <c r="E41" s="3" t="s">
        <v>2538</v>
      </c>
      <c r="F41" s="3" t="s">
        <v>2638</v>
      </c>
      <c r="G41" s="3" t="s">
        <v>800</v>
      </c>
      <c r="H41" s="3">
        <v>21975228269</v>
      </c>
      <c r="I41" s="6">
        <v>34357</v>
      </c>
      <c r="J41" s="3">
        <v>27</v>
      </c>
      <c r="K41" s="3">
        <v>266282367</v>
      </c>
      <c r="L41" s="10">
        <v>15793840729</v>
      </c>
      <c r="M41" s="3" t="s">
        <v>2860</v>
      </c>
      <c r="N41" s="3" t="s">
        <v>2861</v>
      </c>
      <c r="R41" s="3" t="s">
        <v>120</v>
      </c>
      <c r="S41" s="3" t="s">
        <v>2862</v>
      </c>
      <c r="X41" s="3"/>
      <c r="Z41" s="3" t="s">
        <v>2863</v>
      </c>
      <c r="AA41" s="3">
        <v>1250</v>
      </c>
      <c r="AB41" s="3" t="s">
        <v>2864</v>
      </c>
      <c r="AC41" s="3" t="s">
        <v>73</v>
      </c>
      <c r="AD41" s="3" t="s">
        <v>2865</v>
      </c>
      <c r="AE41" s="3" t="s">
        <v>70</v>
      </c>
      <c r="AF41" s="3"/>
      <c r="AG41" s="3" t="s">
        <v>77</v>
      </c>
      <c r="AH41" s="3"/>
      <c r="AI41" s="3"/>
      <c r="AL41" s="3"/>
      <c r="AM41" s="3"/>
    </row>
    <row r="42" spans="1:39" ht="12.5" x14ac:dyDescent="0.25">
      <c r="A42" s="3" t="s">
        <v>152</v>
      </c>
      <c r="B42" s="3" t="s">
        <v>2866</v>
      </c>
      <c r="C42" s="3" t="s">
        <v>2867</v>
      </c>
      <c r="D42" s="3" t="s">
        <v>2868</v>
      </c>
      <c r="E42" s="3" t="s">
        <v>2538</v>
      </c>
      <c r="F42" s="3" t="s">
        <v>2638</v>
      </c>
      <c r="G42" s="3" t="s">
        <v>817</v>
      </c>
      <c r="H42" s="3">
        <v>21968209843</v>
      </c>
      <c r="I42" s="6">
        <v>31165</v>
      </c>
      <c r="J42" s="3">
        <v>36</v>
      </c>
      <c r="K42" s="3">
        <v>200486132</v>
      </c>
      <c r="L42" s="10">
        <v>11370929714</v>
      </c>
      <c r="M42" s="3" t="s">
        <v>2869</v>
      </c>
      <c r="N42" s="3"/>
      <c r="R42" s="3" t="s">
        <v>62</v>
      </c>
      <c r="S42" s="3" t="s">
        <v>2870</v>
      </c>
      <c r="X42" s="3"/>
      <c r="Z42" s="3" t="s">
        <v>2871</v>
      </c>
      <c r="AA42" s="3">
        <v>130</v>
      </c>
      <c r="AB42" s="3" t="s">
        <v>2872</v>
      </c>
      <c r="AC42" s="3" t="s">
        <v>73</v>
      </c>
      <c r="AD42" s="3"/>
      <c r="AE42" s="3" t="s">
        <v>70</v>
      </c>
      <c r="AF42" s="3"/>
      <c r="AG42" s="3" t="s">
        <v>77</v>
      </c>
      <c r="AH42" s="3"/>
      <c r="AI42" s="3"/>
      <c r="AL42" s="3"/>
      <c r="AM42" s="3"/>
    </row>
    <row r="43" spans="1:39" ht="12.5" x14ac:dyDescent="0.25">
      <c r="A43" s="3" t="s">
        <v>152</v>
      </c>
      <c r="B43" s="3" t="s">
        <v>2873</v>
      </c>
      <c r="C43" s="3" t="s">
        <v>2874</v>
      </c>
      <c r="D43" s="3" t="s">
        <v>2875</v>
      </c>
      <c r="E43" s="3" t="s">
        <v>2538</v>
      </c>
      <c r="F43" s="3" t="s">
        <v>2609</v>
      </c>
      <c r="G43" s="3" t="s">
        <v>833</v>
      </c>
      <c r="H43" s="3">
        <v>11954302739</v>
      </c>
      <c r="I43" s="6">
        <v>33239</v>
      </c>
      <c r="J43" s="3">
        <v>30</v>
      </c>
      <c r="K43" s="3">
        <v>472189402</v>
      </c>
      <c r="L43" s="10">
        <v>32958195805</v>
      </c>
      <c r="M43" s="3" t="s">
        <v>2876</v>
      </c>
      <c r="N43" s="3"/>
      <c r="R43" s="3" t="s">
        <v>62</v>
      </c>
      <c r="S43" s="3" t="s">
        <v>2877</v>
      </c>
      <c r="Z43" s="3" t="s">
        <v>2878</v>
      </c>
      <c r="AA43" s="3">
        <v>900</v>
      </c>
      <c r="AB43" s="3" t="s">
        <v>2879</v>
      </c>
      <c r="AC43" s="3" t="s">
        <v>128</v>
      </c>
      <c r="AD43" s="3" t="s">
        <v>2880</v>
      </c>
      <c r="AE43" s="3" t="s">
        <v>101</v>
      </c>
      <c r="AG43" s="3" t="s">
        <v>77</v>
      </c>
    </row>
    <row r="44" spans="1:39" ht="12.5" x14ac:dyDescent="0.25">
      <c r="A44" s="3" t="s">
        <v>152</v>
      </c>
      <c r="B44" s="3" t="s">
        <v>2881</v>
      </c>
      <c r="C44" s="3" t="s">
        <v>2882</v>
      </c>
      <c r="D44" s="3" t="s">
        <v>2883</v>
      </c>
      <c r="E44" s="3" t="s">
        <v>2538</v>
      </c>
      <c r="F44" s="3" t="s">
        <v>2638</v>
      </c>
      <c r="G44" s="3" t="s">
        <v>846</v>
      </c>
      <c r="H44" s="3">
        <v>11947479020</v>
      </c>
      <c r="I44" s="6">
        <v>28885</v>
      </c>
      <c r="J44" s="3">
        <v>42</v>
      </c>
      <c r="K44" s="3">
        <v>275487970</v>
      </c>
      <c r="L44" s="10">
        <v>28358592841</v>
      </c>
      <c r="M44" s="3" t="s">
        <v>2884</v>
      </c>
      <c r="R44" s="3" t="s">
        <v>62</v>
      </c>
      <c r="S44" s="3" t="s">
        <v>229</v>
      </c>
      <c r="Z44" s="3" t="s">
        <v>2885</v>
      </c>
      <c r="AA44" s="3">
        <v>44</v>
      </c>
      <c r="AB44" s="3"/>
      <c r="AC44" s="3" t="s">
        <v>128</v>
      </c>
      <c r="AD44" s="3">
        <v>4161090</v>
      </c>
      <c r="AE44" s="3" t="s">
        <v>101</v>
      </c>
      <c r="AG44" s="3" t="s">
        <v>77</v>
      </c>
    </row>
    <row r="45" spans="1:39" ht="12.5" x14ac:dyDescent="0.25">
      <c r="A45" s="3" t="s">
        <v>152</v>
      </c>
      <c r="B45" s="3" t="s">
        <v>2886</v>
      </c>
      <c r="C45" s="3" t="s">
        <v>2887</v>
      </c>
      <c r="D45" s="3" t="s">
        <v>2888</v>
      </c>
      <c r="E45" s="3" t="s">
        <v>2538</v>
      </c>
      <c r="F45" s="3" t="s">
        <v>2624</v>
      </c>
      <c r="G45" s="3" t="s">
        <v>859</v>
      </c>
      <c r="H45" s="3">
        <v>31998504420</v>
      </c>
      <c r="I45" s="6">
        <v>32590</v>
      </c>
      <c r="J45" s="3">
        <v>32</v>
      </c>
      <c r="K45" s="3" t="s">
        <v>2889</v>
      </c>
      <c r="L45" s="10">
        <v>9849625651</v>
      </c>
      <c r="M45" s="3" t="s">
        <v>2719</v>
      </c>
      <c r="N45" s="3"/>
      <c r="R45" s="3" t="s">
        <v>62</v>
      </c>
      <c r="S45" s="3" t="s">
        <v>2890</v>
      </c>
      <c r="Z45" s="3" t="s">
        <v>2891</v>
      </c>
      <c r="AA45" s="3">
        <v>197</v>
      </c>
      <c r="AB45" s="3" t="s">
        <v>2892</v>
      </c>
      <c r="AC45" s="3" t="s">
        <v>266</v>
      </c>
      <c r="AD45" s="3" t="s">
        <v>2893</v>
      </c>
      <c r="AE45" s="3" t="s">
        <v>84</v>
      </c>
      <c r="AG45" s="3" t="s">
        <v>77</v>
      </c>
    </row>
    <row r="46" spans="1:39" ht="12.5" x14ac:dyDescent="0.25">
      <c r="A46" s="3" t="s">
        <v>152</v>
      </c>
      <c r="B46" s="3" t="s">
        <v>2894</v>
      </c>
      <c r="C46" s="3" t="s">
        <v>2715</v>
      </c>
      <c r="D46" s="3" t="s">
        <v>2895</v>
      </c>
      <c r="E46" s="3" t="s">
        <v>2538</v>
      </c>
      <c r="F46" s="3" t="s">
        <v>2609</v>
      </c>
      <c r="G46" s="3" t="s">
        <v>871</v>
      </c>
      <c r="H46" s="3">
        <v>17982260179</v>
      </c>
      <c r="I46" s="6">
        <v>32633</v>
      </c>
      <c r="J46" s="3">
        <v>32</v>
      </c>
      <c r="K46" s="3">
        <v>448376799</v>
      </c>
      <c r="L46" s="10">
        <v>38255078827</v>
      </c>
      <c r="M46" s="3" t="s">
        <v>2896</v>
      </c>
      <c r="R46" s="3" t="s">
        <v>62</v>
      </c>
      <c r="S46" s="3" t="s">
        <v>2897</v>
      </c>
      <c r="Z46" s="3" t="s">
        <v>2898</v>
      </c>
      <c r="AA46" s="3">
        <v>599</v>
      </c>
      <c r="AC46" s="3" t="s">
        <v>874</v>
      </c>
      <c r="AD46" s="3"/>
      <c r="AE46" s="3" t="s">
        <v>101</v>
      </c>
      <c r="AG46" s="3" t="s">
        <v>77</v>
      </c>
    </row>
    <row r="47" spans="1:39" ht="12.5" x14ac:dyDescent="0.25">
      <c r="A47" s="3" t="s">
        <v>152</v>
      </c>
      <c r="B47" s="3" t="s">
        <v>2899</v>
      </c>
      <c r="C47" s="3" t="s">
        <v>2900</v>
      </c>
      <c r="D47" s="3" t="s">
        <v>2901</v>
      </c>
      <c r="E47" s="3" t="s">
        <v>2538</v>
      </c>
      <c r="F47" s="3" t="s">
        <v>2624</v>
      </c>
      <c r="G47" s="3" t="s">
        <v>888</v>
      </c>
      <c r="H47" s="3">
        <v>11974476721</v>
      </c>
      <c r="I47" s="6">
        <v>31713</v>
      </c>
      <c r="J47" s="3">
        <v>35</v>
      </c>
      <c r="K47" s="3">
        <v>395744076</v>
      </c>
      <c r="L47" s="10">
        <v>6125772950</v>
      </c>
      <c r="M47" s="3" t="s">
        <v>2902</v>
      </c>
      <c r="N47" s="3"/>
      <c r="R47" s="3" t="s">
        <v>62</v>
      </c>
      <c r="S47" s="3" t="s">
        <v>2903</v>
      </c>
      <c r="Z47" s="3" t="s">
        <v>2904</v>
      </c>
      <c r="AA47" s="3">
        <v>2315</v>
      </c>
      <c r="AB47" s="3" t="s">
        <v>2905</v>
      </c>
      <c r="AC47" s="3" t="s">
        <v>891</v>
      </c>
      <c r="AD47" s="3"/>
      <c r="AE47" s="3" t="s">
        <v>101</v>
      </c>
      <c r="AG47" s="3" t="s">
        <v>77</v>
      </c>
    </row>
    <row r="48" spans="1:39" ht="12.5" x14ac:dyDescent="0.25">
      <c r="A48" s="3" t="s">
        <v>152</v>
      </c>
      <c r="B48" s="3" t="s">
        <v>2906</v>
      </c>
      <c r="C48" s="3" t="s">
        <v>2907</v>
      </c>
      <c r="D48" s="3" t="s">
        <v>2908</v>
      </c>
      <c r="E48" s="3" t="s">
        <v>2538</v>
      </c>
      <c r="F48" s="3" t="s">
        <v>2638</v>
      </c>
      <c r="G48" s="3" t="s">
        <v>2909</v>
      </c>
      <c r="H48" s="3">
        <v>85997225088</v>
      </c>
      <c r="I48" s="6">
        <v>36392</v>
      </c>
      <c r="J48" s="3">
        <v>22</v>
      </c>
      <c r="K48" s="3">
        <v>2008010459355</v>
      </c>
      <c r="L48" s="10">
        <v>7929879348</v>
      </c>
      <c r="M48" s="3" t="s">
        <v>2910</v>
      </c>
      <c r="N48" s="3"/>
      <c r="R48" s="3" t="s">
        <v>62</v>
      </c>
      <c r="S48" s="3" t="s">
        <v>2911</v>
      </c>
      <c r="Z48" s="3" t="s">
        <v>907</v>
      </c>
      <c r="AA48" s="3">
        <v>2265</v>
      </c>
      <c r="AB48" s="3"/>
      <c r="AC48" s="3" t="s">
        <v>470</v>
      </c>
      <c r="AD48" s="3">
        <v>60345662</v>
      </c>
      <c r="AE48" s="3" t="s">
        <v>468</v>
      </c>
      <c r="AG48" s="3" t="s">
        <v>77</v>
      </c>
    </row>
    <row r="49" spans="1:39" ht="12.5" x14ac:dyDescent="0.25">
      <c r="A49" s="3" t="s">
        <v>152</v>
      </c>
      <c r="B49" s="3" t="s">
        <v>2912</v>
      </c>
      <c r="C49" s="3" t="s">
        <v>2913</v>
      </c>
      <c r="D49" s="3" t="s">
        <v>2914</v>
      </c>
      <c r="E49" s="3" t="s">
        <v>2538</v>
      </c>
      <c r="F49" s="3" t="s">
        <v>2624</v>
      </c>
      <c r="G49" s="3" t="s">
        <v>921</v>
      </c>
      <c r="H49" s="3">
        <v>21964220934</v>
      </c>
      <c r="I49" s="8">
        <v>31474</v>
      </c>
      <c r="J49" s="3">
        <v>35</v>
      </c>
      <c r="K49" s="3">
        <v>209395748</v>
      </c>
      <c r="L49" s="10">
        <v>10515768731</v>
      </c>
      <c r="M49" s="3" t="s">
        <v>2915</v>
      </c>
      <c r="R49" s="3" t="s">
        <v>62</v>
      </c>
      <c r="S49" s="3" t="s">
        <v>2916</v>
      </c>
      <c r="Z49" s="3" t="s">
        <v>923</v>
      </c>
      <c r="AA49" s="3" t="s">
        <v>2917</v>
      </c>
      <c r="AB49" s="3"/>
      <c r="AC49" s="3" t="s">
        <v>73</v>
      </c>
      <c r="AD49" s="3">
        <v>20220380</v>
      </c>
      <c r="AE49" s="3" t="s">
        <v>70</v>
      </c>
      <c r="AG49" s="3" t="s">
        <v>77</v>
      </c>
    </row>
    <row r="50" spans="1:39" ht="12.5" x14ac:dyDescent="0.25">
      <c r="A50" s="3" t="s">
        <v>152</v>
      </c>
      <c r="B50" s="3" t="s">
        <v>2918</v>
      </c>
      <c r="C50" s="3" t="s">
        <v>2773</v>
      </c>
      <c r="D50" s="3" t="s">
        <v>2919</v>
      </c>
      <c r="E50" s="3" t="s">
        <v>2538</v>
      </c>
      <c r="F50" s="3" t="s">
        <v>2638</v>
      </c>
      <c r="G50" s="3" t="s">
        <v>938</v>
      </c>
      <c r="H50" s="3">
        <v>84988652115</v>
      </c>
      <c r="I50" s="6">
        <v>29134</v>
      </c>
      <c r="J50" s="3">
        <v>42</v>
      </c>
      <c r="K50" s="3">
        <v>4093599</v>
      </c>
      <c r="L50" s="10">
        <v>51840782234</v>
      </c>
      <c r="M50" s="3" t="s">
        <v>2920</v>
      </c>
      <c r="R50" s="3" t="s">
        <v>62</v>
      </c>
      <c r="S50" s="3" t="s">
        <v>2921</v>
      </c>
      <c r="Z50" s="3" t="s">
        <v>2922</v>
      </c>
      <c r="AA50" s="3" t="s">
        <v>2722</v>
      </c>
      <c r="AC50" s="3"/>
      <c r="AD50" s="3" t="s">
        <v>2923</v>
      </c>
      <c r="AE50" s="3" t="s">
        <v>195</v>
      </c>
      <c r="AG50" s="3" t="s">
        <v>77</v>
      </c>
    </row>
    <row r="51" spans="1:39" ht="12.5" x14ac:dyDescent="0.25">
      <c r="A51" s="3" t="s">
        <v>152</v>
      </c>
      <c r="B51" s="3" t="s">
        <v>2924</v>
      </c>
      <c r="C51" s="3" t="s">
        <v>2733</v>
      </c>
      <c r="D51" s="3" t="s">
        <v>2925</v>
      </c>
      <c r="E51" s="3" t="s">
        <v>2538</v>
      </c>
      <c r="F51" s="3" t="s">
        <v>2624</v>
      </c>
      <c r="G51" s="3" t="s">
        <v>734</v>
      </c>
      <c r="H51" s="3">
        <v>21998099817</v>
      </c>
      <c r="I51" s="6">
        <v>32065</v>
      </c>
      <c r="J51" s="3">
        <v>34</v>
      </c>
      <c r="K51" s="3">
        <v>213056716</v>
      </c>
      <c r="L51" s="10">
        <v>5904431783</v>
      </c>
      <c r="M51" s="3" t="s">
        <v>2926</v>
      </c>
      <c r="R51" s="3" t="s">
        <v>62</v>
      </c>
      <c r="S51" s="3" t="s">
        <v>2927</v>
      </c>
      <c r="Z51" s="3" t="s">
        <v>2928</v>
      </c>
      <c r="AA51" s="3">
        <v>117</v>
      </c>
      <c r="AB51" s="3"/>
      <c r="AC51" s="3"/>
      <c r="AD51" s="3" t="s">
        <v>2929</v>
      </c>
      <c r="AE51" s="3" t="s">
        <v>70</v>
      </c>
      <c r="AG51" s="3" t="s">
        <v>77</v>
      </c>
    </row>
    <row r="52" spans="1:39" ht="12.5" x14ac:dyDescent="0.25">
      <c r="A52" s="3" t="s">
        <v>152</v>
      </c>
      <c r="B52" s="3" t="s">
        <v>2930</v>
      </c>
      <c r="C52" s="3" t="s">
        <v>2931</v>
      </c>
      <c r="D52" s="3" t="s">
        <v>2932</v>
      </c>
      <c r="E52" s="3" t="s">
        <v>2538</v>
      </c>
      <c r="F52" s="3" t="s">
        <v>2609</v>
      </c>
      <c r="G52" s="3" t="s">
        <v>956</v>
      </c>
      <c r="H52" s="3">
        <v>11953054694</v>
      </c>
      <c r="I52" s="6">
        <v>30193</v>
      </c>
      <c r="J52" s="3">
        <v>39</v>
      </c>
      <c r="K52" s="3">
        <v>261480108</v>
      </c>
      <c r="L52" s="10">
        <v>30567961800</v>
      </c>
      <c r="M52" s="3" t="s">
        <v>2933</v>
      </c>
      <c r="N52" s="3" t="s">
        <v>960</v>
      </c>
      <c r="R52" s="3" t="s">
        <v>62</v>
      </c>
      <c r="S52" s="3" t="s">
        <v>229</v>
      </c>
      <c r="Z52" s="3" t="s">
        <v>2934</v>
      </c>
      <c r="AA52" s="3">
        <v>259</v>
      </c>
      <c r="AB52" s="3"/>
      <c r="AC52" s="3"/>
      <c r="AD52" s="3"/>
      <c r="AE52" s="3" t="s">
        <v>101</v>
      </c>
      <c r="AG52" s="3" t="s">
        <v>77</v>
      </c>
    </row>
    <row r="53" spans="1:39" ht="12.5" x14ac:dyDescent="0.25">
      <c r="A53" s="3" t="s">
        <v>46</v>
      </c>
      <c r="B53" s="3" t="s">
        <v>2935</v>
      </c>
      <c r="C53" s="3" t="s">
        <v>2936</v>
      </c>
      <c r="D53" s="3" t="s">
        <v>2937</v>
      </c>
      <c r="E53" s="3" t="s">
        <v>2538</v>
      </c>
      <c r="F53" s="3" t="s">
        <v>2638</v>
      </c>
      <c r="G53" s="3"/>
      <c r="H53" s="3">
        <v>51980124645</v>
      </c>
      <c r="I53" s="8">
        <v>31106</v>
      </c>
      <c r="J53" s="3">
        <v>36</v>
      </c>
      <c r="K53" s="3">
        <v>1084578581</v>
      </c>
      <c r="L53" s="10">
        <v>377806030</v>
      </c>
      <c r="M53" s="3" t="s">
        <v>2938</v>
      </c>
      <c r="R53" s="3" t="s">
        <v>62</v>
      </c>
      <c r="S53" s="3"/>
      <c r="Z53" s="3" t="s">
        <v>2939</v>
      </c>
      <c r="AA53" s="3">
        <v>70</v>
      </c>
      <c r="AB53" s="3"/>
      <c r="AC53" s="3"/>
      <c r="AD53" s="3"/>
      <c r="AE53" s="3" t="s">
        <v>407</v>
      </c>
      <c r="AG53" s="3" t="s">
        <v>77</v>
      </c>
    </row>
    <row r="54" spans="1:39" ht="12.5" x14ac:dyDescent="0.25">
      <c r="A54" s="3" t="s">
        <v>46</v>
      </c>
      <c r="B54" s="3" t="s">
        <v>2940</v>
      </c>
      <c r="C54" s="3" t="s">
        <v>2941</v>
      </c>
      <c r="D54" s="3" t="s">
        <v>2942</v>
      </c>
      <c r="E54" s="3" t="s">
        <v>2538</v>
      </c>
      <c r="F54" s="3" t="s">
        <v>2638</v>
      </c>
      <c r="G54" s="3"/>
      <c r="H54" s="3">
        <v>11957260556</v>
      </c>
      <c r="I54" s="6">
        <v>25641</v>
      </c>
      <c r="J54" s="3">
        <v>51</v>
      </c>
      <c r="K54" s="3">
        <v>224341339</v>
      </c>
      <c r="L54" s="10">
        <v>15689631817</v>
      </c>
      <c r="M54" s="3" t="s">
        <v>2943</v>
      </c>
      <c r="N54" s="3"/>
      <c r="R54" s="3" t="s">
        <v>62</v>
      </c>
      <c r="S54" s="3"/>
      <c r="Z54" s="3" t="s">
        <v>2944</v>
      </c>
      <c r="AA54" s="3">
        <v>1658</v>
      </c>
      <c r="AB54" s="3"/>
      <c r="AC54" s="3"/>
      <c r="AD54" s="3" t="s">
        <v>2771</v>
      </c>
      <c r="AE54" s="3" t="s">
        <v>101</v>
      </c>
      <c r="AG54" s="3" t="s">
        <v>77</v>
      </c>
    </row>
    <row r="55" spans="1:39" ht="12.5" x14ac:dyDescent="0.25">
      <c r="A55" s="3" t="s">
        <v>152</v>
      </c>
      <c r="B55" s="3" t="s">
        <v>2945</v>
      </c>
      <c r="C55" s="3" t="s">
        <v>2946</v>
      </c>
      <c r="D55" s="3" t="s">
        <v>2947</v>
      </c>
      <c r="E55" s="3" t="s">
        <v>2538</v>
      </c>
      <c r="F55" s="3" t="s">
        <v>2638</v>
      </c>
      <c r="G55" s="3" t="s">
        <v>1000</v>
      </c>
      <c r="H55" s="3">
        <v>79996892013</v>
      </c>
      <c r="I55" s="6">
        <v>34122</v>
      </c>
      <c r="J55" s="3">
        <v>28</v>
      </c>
      <c r="K55" s="3">
        <v>1587222213</v>
      </c>
      <c r="L55" s="10">
        <v>5150424552</v>
      </c>
      <c r="M55" s="3" t="s">
        <v>2948</v>
      </c>
      <c r="N55" s="3"/>
      <c r="R55" s="3" t="s">
        <v>62</v>
      </c>
      <c r="S55" s="3" t="s">
        <v>2949</v>
      </c>
      <c r="V55" s="3"/>
      <c r="Z55" s="3" t="s">
        <v>1003</v>
      </c>
      <c r="AA55" s="3" t="s">
        <v>2722</v>
      </c>
      <c r="AB55" s="3"/>
      <c r="AC55" s="3" t="s">
        <v>1004</v>
      </c>
      <c r="AD55" s="3" t="s">
        <v>2950</v>
      </c>
      <c r="AE55" s="3" t="s">
        <v>1002</v>
      </c>
      <c r="AF55" s="3"/>
      <c r="AG55" s="3" t="s">
        <v>77</v>
      </c>
      <c r="AH55" s="3"/>
      <c r="AI55" s="3"/>
      <c r="AL55" s="3"/>
      <c r="AM55" s="3"/>
    </row>
    <row r="56" spans="1:39" ht="12.5" x14ac:dyDescent="0.25">
      <c r="A56" s="3" t="s">
        <v>46</v>
      </c>
      <c r="B56" s="3" t="s">
        <v>2951</v>
      </c>
      <c r="C56" s="3" t="s">
        <v>2952</v>
      </c>
      <c r="D56" s="3" t="s">
        <v>2953</v>
      </c>
      <c r="E56" s="3" t="s">
        <v>2538</v>
      </c>
      <c r="F56" s="3" t="s">
        <v>2638</v>
      </c>
      <c r="G56" s="3" t="s">
        <v>2954</v>
      </c>
      <c r="H56" s="3">
        <v>85997118820</v>
      </c>
      <c r="I56" s="6">
        <v>33410</v>
      </c>
      <c r="J56" s="3">
        <v>30</v>
      </c>
      <c r="K56" s="3">
        <v>2005007012227</v>
      </c>
      <c r="L56" s="10">
        <v>4265310354</v>
      </c>
      <c r="M56" s="3" t="s">
        <v>2625</v>
      </c>
      <c r="N56" s="3" t="s">
        <v>2955</v>
      </c>
      <c r="R56" s="3" t="s">
        <v>120</v>
      </c>
      <c r="X56" s="3"/>
      <c r="Z56" s="3" t="s">
        <v>2956</v>
      </c>
      <c r="AA56" s="3">
        <v>193</v>
      </c>
      <c r="AB56" s="3"/>
      <c r="AC56" s="3" t="s">
        <v>470</v>
      </c>
      <c r="AD56" s="3" t="s">
        <v>2957</v>
      </c>
      <c r="AE56" s="3" t="s">
        <v>468</v>
      </c>
      <c r="AF56" s="3"/>
      <c r="AG56" s="3" t="s">
        <v>77</v>
      </c>
      <c r="AH56" s="3"/>
      <c r="AI56" s="3"/>
      <c r="AL56" s="3"/>
      <c r="AM56" s="3"/>
    </row>
    <row r="57" spans="1:39" ht="12.5" x14ac:dyDescent="0.25">
      <c r="A57" s="3" t="s">
        <v>46</v>
      </c>
      <c r="B57" s="3" t="s">
        <v>2958</v>
      </c>
      <c r="C57" s="3" t="s">
        <v>2959</v>
      </c>
      <c r="D57" s="3" t="s">
        <v>2960</v>
      </c>
      <c r="E57" s="3" t="s">
        <v>2538</v>
      </c>
      <c r="F57" s="3" t="s">
        <v>2638</v>
      </c>
      <c r="G57" s="3" t="s">
        <v>2961</v>
      </c>
      <c r="H57" s="3">
        <v>21996779604</v>
      </c>
      <c r="I57" s="6">
        <v>31029</v>
      </c>
      <c r="J57" s="3">
        <v>37</v>
      </c>
      <c r="K57" s="3">
        <v>206081564</v>
      </c>
      <c r="L57" s="10">
        <v>10239957784</v>
      </c>
      <c r="M57" s="3" t="s">
        <v>2647</v>
      </c>
      <c r="N57" s="3"/>
      <c r="R57" s="3" t="s">
        <v>62</v>
      </c>
      <c r="S57" s="3"/>
      <c r="X57" s="3"/>
      <c r="Z57" s="3" t="s">
        <v>2962</v>
      </c>
      <c r="AA57" s="3" t="s">
        <v>2963</v>
      </c>
      <c r="AB57" s="3"/>
      <c r="AC57" s="3" t="s">
        <v>1015</v>
      </c>
      <c r="AD57" s="3"/>
      <c r="AE57" s="3" t="s">
        <v>70</v>
      </c>
      <c r="AF57" s="3"/>
      <c r="AG57" s="3" t="s">
        <v>77</v>
      </c>
      <c r="AH57" s="3"/>
      <c r="AI57" s="3"/>
      <c r="AL57" s="3"/>
      <c r="AM57" s="3"/>
    </row>
    <row r="58" spans="1:39" ht="12.5" x14ac:dyDescent="0.25">
      <c r="A58" s="3" t="s">
        <v>152</v>
      </c>
      <c r="B58" s="3" t="s">
        <v>2964</v>
      </c>
      <c r="C58" s="3" t="s">
        <v>2965</v>
      </c>
      <c r="D58" s="3" t="s">
        <v>2966</v>
      </c>
      <c r="E58" s="3" t="s">
        <v>2538</v>
      </c>
      <c r="F58" s="3" t="s">
        <v>2624</v>
      </c>
      <c r="G58" s="3" t="s">
        <v>466</v>
      </c>
      <c r="H58" s="3">
        <v>85994357303</v>
      </c>
      <c r="I58" s="6">
        <v>30305</v>
      </c>
      <c r="J58" s="3">
        <v>39</v>
      </c>
      <c r="K58" s="3">
        <v>98012046966</v>
      </c>
      <c r="L58" s="10">
        <v>94089573415</v>
      </c>
      <c r="M58" s="3" t="s">
        <v>2967</v>
      </c>
      <c r="N58" s="3"/>
      <c r="R58" s="3" t="s">
        <v>62</v>
      </c>
      <c r="S58" s="3" t="s">
        <v>2968</v>
      </c>
      <c r="Z58" s="3" t="s">
        <v>2969</v>
      </c>
      <c r="AA58" s="3" t="s">
        <v>2722</v>
      </c>
      <c r="AB58" s="3"/>
      <c r="AC58" s="3" t="s">
        <v>470</v>
      </c>
      <c r="AD58" s="3" t="s">
        <v>471</v>
      </c>
      <c r="AE58" s="3" t="s">
        <v>468</v>
      </c>
      <c r="AG58" s="3" t="s">
        <v>77</v>
      </c>
    </row>
    <row r="59" spans="1:39" ht="12.5" x14ac:dyDescent="0.25">
      <c r="A59" s="3" t="s">
        <v>152</v>
      </c>
      <c r="B59" s="3" t="s">
        <v>2970</v>
      </c>
      <c r="C59" s="3" t="s">
        <v>2636</v>
      </c>
      <c r="D59" s="3" t="s">
        <v>2971</v>
      </c>
      <c r="E59" s="3" t="s">
        <v>2538</v>
      </c>
      <c r="F59" s="3" t="s">
        <v>2638</v>
      </c>
      <c r="G59" s="3" t="s">
        <v>484</v>
      </c>
      <c r="H59" s="3">
        <v>11983587946</v>
      </c>
      <c r="I59" s="8">
        <v>29859</v>
      </c>
      <c r="J59" s="3">
        <v>40</v>
      </c>
      <c r="K59" s="3">
        <v>34866090</v>
      </c>
      <c r="L59" s="10">
        <v>22081401843</v>
      </c>
      <c r="M59" s="3" t="s">
        <v>2625</v>
      </c>
      <c r="R59" s="3" t="s">
        <v>62</v>
      </c>
      <c r="S59" s="3" t="s">
        <v>2972</v>
      </c>
      <c r="Z59" s="3" t="s">
        <v>486</v>
      </c>
      <c r="AA59" s="3">
        <v>62</v>
      </c>
      <c r="AB59" s="3" t="s">
        <v>2973</v>
      </c>
      <c r="AC59" s="3" t="s">
        <v>128</v>
      </c>
      <c r="AD59" s="3" t="s">
        <v>488</v>
      </c>
      <c r="AE59" s="3" t="s">
        <v>101</v>
      </c>
      <c r="AG59" s="3" t="s">
        <v>77</v>
      </c>
    </row>
    <row r="60" spans="1:39" ht="12.5" x14ac:dyDescent="0.25">
      <c r="A60" s="3" t="s">
        <v>418</v>
      </c>
      <c r="B60" s="3" t="s">
        <v>2974</v>
      </c>
      <c r="C60" s="3" t="s">
        <v>2975</v>
      </c>
      <c r="D60" s="3" t="s">
        <v>2976</v>
      </c>
      <c r="E60" s="3" t="s">
        <v>2538</v>
      </c>
      <c r="F60" s="3" t="s">
        <v>2618</v>
      </c>
      <c r="G60" s="3" t="s">
        <v>2977</v>
      </c>
      <c r="H60" s="3">
        <v>11948701512</v>
      </c>
      <c r="I60" s="6">
        <v>32255</v>
      </c>
      <c r="J60" s="3">
        <v>33</v>
      </c>
      <c r="K60" s="3">
        <v>343002061</v>
      </c>
      <c r="L60" s="10">
        <v>35973851842</v>
      </c>
      <c r="M60" s="3" t="s">
        <v>2625</v>
      </c>
      <c r="N60" s="3" t="s">
        <v>2978</v>
      </c>
      <c r="P60" s="3" t="s">
        <v>2979</v>
      </c>
      <c r="R60" s="3" t="s">
        <v>62</v>
      </c>
      <c r="S60" s="3"/>
      <c r="T60" s="3" t="s">
        <v>2576</v>
      </c>
      <c r="U60" s="3" t="s">
        <v>2980</v>
      </c>
      <c r="Z60" s="3" t="s">
        <v>2981</v>
      </c>
      <c r="AA60" s="3">
        <v>60</v>
      </c>
      <c r="AC60" s="3" t="s">
        <v>443</v>
      </c>
      <c r="AD60" s="3" t="s">
        <v>2982</v>
      </c>
      <c r="AE60" s="3" t="s">
        <v>101</v>
      </c>
      <c r="AG60" s="3" t="s">
        <v>77</v>
      </c>
    </row>
    <row r="61" spans="1:39" ht="12.5" x14ac:dyDescent="0.25">
      <c r="A61" s="3" t="s">
        <v>418</v>
      </c>
      <c r="B61" s="3" t="s">
        <v>2983</v>
      </c>
      <c r="C61" s="3" t="s">
        <v>2650</v>
      </c>
      <c r="D61" s="3" t="s">
        <v>2984</v>
      </c>
      <c r="E61" s="3" t="s">
        <v>2538</v>
      </c>
      <c r="F61" s="3"/>
      <c r="G61" s="3" t="s">
        <v>2985</v>
      </c>
      <c r="H61" s="3" t="s">
        <v>2986</v>
      </c>
      <c r="I61" s="8">
        <v>33926</v>
      </c>
      <c r="J61" s="3">
        <v>29</v>
      </c>
      <c r="K61" s="3">
        <v>490212335</v>
      </c>
      <c r="L61" s="10">
        <v>41187012866</v>
      </c>
      <c r="M61" s="3" t="s">
        <v>2987</v>
      </c>
      <c r="N61" s="3" t="s">
        <v>2978</v>
      </c>
      <c r="O61" s="3"/>
      <c r="P61" s="3"/>
      <c r="R61" s="3" t="s">
        <v>62</v>
      </c>
      <c r="S61" s="3"/>
      <c r="T61" s="3"/>
      <c r="U61" s="3"/>
      <c r="X61" s="3" t="s">
        <v>2544</v>
      </c>
      <c r="Z61" s="3" t="s">
        <v>2988</v>
      </c>
      <c r="AA61" s="3">
        <v>100</v>
      </c>
      <c r="AB61" s="3" t="s">
        <v>2989</v>
      </c>
      <c r="AC61" s="3" t="s">
        <v>393</v>
      </c>
      <c r="AD61" s="3" t="s">
        <v>2990</v>
      </c>
      <c r="AE61" s="3" t="s">
        <v>101</v>
      </c>
      <c r="AF61" s="3" t="s">
        <v>2569</v>
      </c>
      <c r="AG61" s="3" t="s">
        <v>2559</v>
      </c>
      <c r="AH61" s="3" t="s">
        <v>2550</v>
      </c>
      <c r="AI61" s="3">
        <v>3</v>
      </c>
      <c r="AL61" s="3" t="s">
        <v>2991</v>
      </c>
      <c r="AM61" s="3" t="s">
        <v>2992</v>
      </c>
    </row>
    <row r="62" spans="1:39" ht="12.5" x14ac:dyDescent="0.25">
      <c r="A62" s="3" t="s">
        <v>418</v>
      </c>
      <c r="B62" s="3" t="s">
        <v>2993</v>
      </c>
      <c r="C62" s="3" t="s">
        <v>2699</v>
      </c>
      <c r="D62" s="3" t="s">
        <v>2994</v>
      </c>
      <c r="E62" s="3" t="s">
        <v>2538</v>
      </c>
      <c r="F62" s="3" t="s">
        <v>2618</v>
      </c>
      <c r="G62" s="3" t="s">
        <v>2995</v>
      </c>
      <c r="H62" s="3" t="s">
        <v>2996</v>
      </c>
      <c r="I62" s="6">
        <v>30840</v>
      </c>
      <c r="J62" s="3">
        <v>37</v>
      </c>
      <c r="K62" s="3">
        <v>345660560</v>
      </c>
      <c r="L62" s="10">
        <v>32640916823</v>
      </c>
      <c r="M62" s="3" t="s">
        <v>2647</v>
      </c>
      <c r="N62" s="3" t="s">
        <v>2997</v>
      </c>
      <c r="O62" s="3" t="s">
        <v>2998</v>
      </c>
      <c r="P62" s="3" t="s">
        <v>2979</v>
      </c>
      <c r="R62" s="3" t="s">
        <v>120</v>
      </c>
      <c r="T62" s="3" t="s">
        <v>2576</v>
      </c>
      <c r="U62" s="3" t="s">
        <v>2980</v>
      </c>
      <c r="X62" s="3" t="s">
        <v>2544</v>
      </c>
      <c r="Z62" s="3" t="s">
        <v>2999</v>
      </c>
      <c r="AA62" s="3">
        <v>253</v>
      </c>
      <c r="AB62" s="3"/>
      <c r="AC62" s="3" t="s">
        <v>128</v>
      </c>
      <c r="AD62" s="3" t="s">
        <v>3000</v>
      </c>
      <c r="AE62" s="3" t="s">
        <v>101</v>
      </c>
      <c r="AF62" s="3" t="s">
        <v>2569</v>
      </c>
      <c r="AG62" s="3" t="s">
        <v>2559</v>
      </c>
      <c r="AH62" s="3" t="s">
        <v>2550</v>
      </c>
      <c r="AI62" s="3">
        <v>4</v>
      </c>
      <c r="AL62" s="3" t="s">
        <v>3001</v>
      </c>
      <c r="AM62" s="3" t="s">
        <v>3002</v>
      </c>
    </row>
    <row r="63" spans="1:39" ht="12.5" x14ac:dyDescent="0.25">
      <c r="A63" s="3" t="s">
        <v>46</v>
      </c>
      <c r="B63" s="3" t="s">
        <v>3003</v>
      </c>
      <c r="C63" s="3" t="s">
        <v>3004</v>
      </c>
      <c r="D63" s="3" t="s">
        <v>3005</v>
      </c>
      <c r="E63" s="3" t="s">
        <v>2538</v>
      </c>
      <c r="F63" s="3" t="s">
        <v>2638</v>
      </c>
      <c r="G63" s="3" t="s">
        <v>3006</v>
      </c>
      <c r="H63" s="3">
        <v>13997400586</v>
      </c>
      <c r="I63" s="6">
        <v>33719</v>
      </c>
      <c r="J63" s="3">
        <v>29</v>
      </c>
      <c r="K63" s="3" t="s">
        <v>3007</v>
      </c>
      <c r="L63" s="10">
        <v>39923214877</v>
      </c>
      <c r="M63" s="3" t="s">
        <v>3008</v>
      </c>
      <c r="N63" s="3" t="s">
        <v>3009</v>
      </c>
      <c r="R63" s="3" t="s">
        <v>120</v>
      </c>
      <c r="V63" s="3"/>
      <c r="Z63" s="3" t="s">
        <v>748</v>
      </c>
      <c r="AA63" s="3">
        <v>922</v>
      </c>
      <c r="AB63" s="3"/>
      <c r="AC63" s="3" t="s">
        <v>749</v>
      </c>
      <c r="AD63" s="3" t="s">
        <v>750</v>
      </c>
      <c r="AE63" s="3" t="s">
        <v>101</v>
      </c>
      <c r="AF63" s="3"/>
      <c r="AG63" s="3" t="s">
        <v>77</v>
      </c>
      <c r="AH63" s="3"/>
      <c r="AI63" s="3"/>
      <c r="AL63" s="3"/>
      <c r="AM63" s="3"/>
    </row>
    <row r="64" spans="1:39" ht="12.5" x14ac:dyDescent="0.25">
      <c r="A64" s="3" t="s">
        <v>46</v>
      </c>
      <c r="B64" s="3" t="s">
        <v>3010</v>
      </c>
      <c r="C64" s="3" t="s">
        <v>3011</v>
      </c>
      <c r="D64" s="3" t="s">
        <v>3012</v>
      </c>
      <c r="E64" s="3" t="s">
        <v>2538</v>
      </c>
      <c r="F64" s="3" t="s">
        <v>2624</v>
      </c>
      <c r="G64" s="3" t="s">
        <v>3013</v>
      </c>
      <c r="H64" s="3" t="s">
        <v>3014</v>
      </c>
      <c r="I64" s="6">
        <v>32072</v>
      </c>
      <c r="J64" s="3">
        <v>34</v>
      </c>
      <c r="K64" s="3">
        <v>554474177</v>
      </c>
      <c r="L64" s="10">
        <v>4007657564</v>
      </c>
      <c r="M64" s="3" t="s">
        <v>3015</v>
      </c>
      <c r="N64" s="3"/>
      <c r="R64" s="3" t="s">
        <v>62</v>
      </c>
      <c r="X64" s="3"/>
      <c r="Z64" s="3" t="s">
        <v>3016</v>
      </c>
      <c r="AA64" s="3">
        <v>830</v>
      </c>
      <c r="AB64" s="3"/>
      <c r="AC64" s="3" t="s">
        <v>128</v>
      </c>
      <c r="AD64" s="3" t="s">
        <v>3017</v>
      </c>
      <c r="AE64" s="3" t="s">
        <v>101</v>
      </c>
      <c r="AF64" s="3"/>
      <c r="AG64" s="3" t="s">
        <v>77</v>
      </c>
      <c r="AH64" s="3"/>
      <c r="AI64" s="3"/>
      <c r="AL64" s="3"/>
      <c r="AM64" s="3"/>
    </row>
    <row r="65" spans="1:39" ht="12.5" x14ac:dyDescent="0.25">
      <c r="A65" s="3" t="s">
        <v>46</v>
      </c>
      <c r="B65" s="3" t="s">
        <v>3018</v>
      </c>
      <c r="C65" s="3" t="s">
        <v>3019</v>
      </c>
      <c r="D65" s="3" t="s">
        <v>3020</v>
      </c>
      <c r="E65" s="3" t="s">
        <v>2538</v>
      </c>
      <c r="F65" s="3" t="s">
        <v>2638</v>
      </c>
      <c r="G65" s="3" t="s">
        <v>3021</v>
      </c>
      <c r="H65" s="3">
        <v>997016384</v>
      </c>
      <c r="I65" s="6">
        <v>28750</v>
      </c>
      <c r="J65" s="3">
        <v>43</v>
      </c>
      <c r="K65" s="3">
        <v>1468344</v>
      </c>
      <c r="L65" s="10">
        <v>8491423770</v>
      </c>
      <c r="M65" s="3" t="s">
        <v>2845</v>
      </c>
      <c r="N65" s="3" t="s">
        <v>3022</v>
      </c>
      <c r="P65" s="3"/>
      <c r="R65" s="3" t="s">
        <v>120</v>
      </c>
      <c r="T65" s="3"/>
      <c r="U65" s="3"/>
      <c r="X65" s="3"/>
      <c r="Z65" s="3" t="s">
        <v>3023</v>
      </c>
      <c r="AA65" s="3">
        <v>69</v>
      </c>
      <c r="AB65" s="3"/>
      <c r="AC65" s="3" t="s">
        <v>780</v>
      </c>
      <c r="AD65" s="3">
        <v>29166054</v>
      </c>
      <c r="AE65" s="3" t="s">
        <v>295</v>
      </c>
      <c r="AF65" s="3"/>
      <c r="AG65" s="3" t="s">
        <v>77</v>
      </c>
      <c r="AH65" s="3"/>
      <c r="AI65" s="3"/>
      <c r="AL65" s="3"/>
      <c r="AM65" s="3"/>
    </row>
    <row r="66" spans="1:39" ht="12.5" x14ac:dyDescent="0.25">
      <c r="A66" s="3" t="s">
        <v>46</v>
      </c>
      <c r="B66" s="3" t="s">
        <v>3024</v>
      </c>
      <c r="C66" s="3" t="s">
        <v>2773</v>
      </c>
      <c r="D66" s="3" t="s">
        <v>3025</v>
      </c>
      <c r="E66" s="3" t="s">
        <v>2538</v>
      </c>
      <c r="F66" s="3" t="s">
        <v>2638</v>
      </c>
      <c r="G66" s="3" t="s">
        <v>3026</v>
      </c>
      <c r="H66" s="3">
        <v>85999853687</v>
      </c>
      <c r="I66" s="6">
        <v>20958</v>
      </c>
      <c r="J66" s="3">
        <v>64</v>
      </c>
      <c r="K66" s="3">
        <v>95002672606</v>
      </c>
      <c r="L66" s="10">
        <v>9164235300</v>
      </c>
      <c r="M66" s="3" t="s">
        <v>3027</v>
      </c>
      <c r="N66" s="3"/>
      <c r="R66" s="3" t="s">
        <v>62</v>
      </c>
      <c r="X66" s="3"/>
      <c r="Z66" s="3" t="s">
        <v>3028</v>
      </c>
      <c r="AA66" s="3">
        <v>640</v>
      </c>
      <c r="AB66" s="3"/>
      <c r="AC66" s="3" t="s">
        <v>470</v>
      </c>
      <c r="AD66" s="3">
        <v>60160250</v>
      </c>
      <c r="AE66" s="3" t="s">
        <v>468</v>
      </c>
      <c r="AF66" s="3"/>
      <c r="AG66" s="3" t="s">
        <v>77</v>
      </c>
      <c r="AH66" s="3"/>
      <c r="AI66" s="3"/>
      <c r="AL66" s="3"/>
      <c r="AM66" s="3"/>
    </row>
    <row r="67" spans="1:39" ht="12.5" x14ac:dyDescent="0.25">
      <c r="A67" s="3" t="s">
        <v>152</v>
      </c>
      <c r="B67" s="3" t="s">
        <v>3029</v>
      </c>
      <c r="C67" s="3" t="s">
        <v>3030</v>
      </c>
      <c r="D67" s="3" t="s">
        <v>3031</v>
      </c>
      <c r="E67" s="3" t="s">
        <v>2538</v>
      </c>
      <c r="F67" s="3" t="s">
        <v>2624</v>
      </c>
      <c r="G67" s="3" t="s">
        <v>1046</v>
      </c>
      <c r="H67" s="3">
        <v>11952342824</v>
      </c>
      <c r="I67" s="6">
        <v>30808</v>
      </c>
      <c r="J67" s="3">
        <v>37</v>
      </c>
      <c r="K67" s="3">
        <v>405981041</v>
      </c>
      <c r="L67" s="10">
        <v>33155032812</v>
      </c>
      <c r="M67" s="3" t="s">
        <v>3032</v>
      </c>
      <c r="N67" s="3"/>
      <c r="R67" s="3" t="s">
        <v>62</v>
      </c>
      <c r="S67" s="3" t="s">
        <v>3033</v>
      </c>
      <c r="Z67" s="3" t="s">
        <v>3034</v>
      </c>
      <c r="AA67" s="3">
        <v>398</v>
      </c>
      <c r="AB67" s="3" t="s">
        <v>3035</v>
      </c>
      <c r="AC67" s="3" t="s">
        <v>128</v>
      </c>
      <c r="AD67" s="3" t="s">
        <v>3036</v>
      </c>
      <c r="AE67" s="3" t="s">
        <v>101</v>
      </c>
      <c r="AG67" s="3" t="s">
        <v>77</v>
      </c>
    </row>
    <row r="68" spans="1:39" ht="12.5" x14ac:dyDescent="0.25">
      <c r="A68" s="3" t="s">
        <v>46</v>
      </c>
      <c r="B68" s="3" t="s">
        <v>3037</v>
      </c>
      <c r="C68" s="3" t="s">
        <v>3038</v>
      </c>
      <c r="D68" s="3" t="s">
        <v>3039</v>
      </c>
      <c r="E68" s="3" t="s">
        <v>2538</v>
      </c>
      <c r="F68" s="3" t="s">
        <v>2624</v>
      </c>
      <c r="G68" s="3" t="s">
        <v>3040</v>
      </c>
      <c r="H68" s="3">
        <v>11978473222</v>
      </c>
      <c r="I68" s="6">
        <v>34907</v>
      </c>
      <c r="J68" s="3">
        <v>26</v>
      </c>
      <c r="K68" s="3">
        <v>475470308</v>
      </c>
      <c r="L68" s="10">
        <v>43181241857</v>
      </c>
      <c r="M68" s="3" t="s">
        <v>3041</v>
      </c>
      <c r="N68" s="3"/>
      <c r="R68" s="3" t="s">
        <v>120</v>
      </c>
      <c r="S68" s="3"/>
      <c r="Z68" s="3" t="s">
        <v>1061</v>
      </c>
      <c r="AA68" s="3">
        <v>1324</v>
      </c>
      <c r="AB68" s="3"/>
      <c r="AC68" s="3" t="s">
        <v>128</v>
      </c>
      <c r="AD68" s="3" t="s">
        <v>3042</v>
      </c>
      <c r="AE68" s="3" t="s">
        <v>101</v>
      </c>
      <c r="AG68" s="3" t="s">
        <v>77</v>
      </c>
    </row>
    <row r="69" spans="1:39" ht="12.5" x14ac:dyDescent="0.25">
      <c r="A69" s="3" t="s">
        <v>152</v>
      </c>
      <c r="B69" s="3" t="s">
        <v>3043</v>
      </c>
      <c r="C69" s="3" t="s">
        <v>3044</v>
      </c>
      <c r="D69" s="3" t="s">
        <v>3045</v>
      </c>
      <c r="E69" s="3" t="s">
        <v>2538</v>
      </c>
      <c r="F69" s="3" t="s">
        <v>2624</v>
      </c>
      <c r="G69" s="3" t="s">
        <v>1072</v>
      </c>
      <c r="H69" s="3">
        <v>11989830049</v>
      </c>
      <c r="I69" s="6">
        <v>28217</v>
      </c>
      <c r="J69" s="3">
        <v>44</v>
      </c>
      <c r="K69" s="3">
        <v>117023863</v>
      </c>
      <c r="L69" s="10">
        <v>25480870858</v>
      </c>
      <c r="M69" s="3" t="s">
        <v>3046</v>
      </c>
      <c r="R69" s="3" t="s">
        <v>62</v>
      </c>
      <c r="S69" s="3" t="s">
        <v>3047</v>
      </c>
      <c r="Z69" s="3" t="s">
        <v>3048</v>
      </c>
      <c r="AA69" s="3">
        <v>1257</v>
      </c>
      <c r="AB69" s="3"/>
      <c r="AC69" s="3" t="s">
        <v>128</v>
      </c>
      <c r="AD69" s="3" t="s">
        <v>3049</v>
      </c>
      <c r="AE69" s="3" t="s">
        <v>101</v>
      </c>
      <c r="AG69" s="3" t="s">
        <v>77</v>
      </c>
    </row>
    <row r="70" spans="1:39" ht="12.5" x14ac:dyDescent="0.25">
      <c r="A70" s="3" t="s">
        <v>152</v>
      </c>
      <c r="B70" s="3" t="s">
        <v>3050</v>
      </c>
      <c r="C70" s="3" t="s">
        <v>3051</v>
      </c>
      <c r="D70" s="3" t="s">
        <v>3052</v>
      </c>
      <c r="E70" s="3" t="s">
        <v>2538</v>
      </c>
      <c r="F70" s="3" t="s">
        <v>2624</v>
      </c>
      <c r="G70" s="3" t="s">
        <v>1089</v>
      </c>
      <c r="H70" s="3">
        <v>37991988847</v>
      </c>
      <c r="I70" s="6">
        <v>22007</v>
      </c>
      <c r="J70" s="3">
        <v>61</v>
      </c>
      <c r="K70" s="3" t="s">
        <v>3053</v>
      </c>
      <c r="L70" s="10">
        <v>3664345860</v>
      </c>
      <c r="M70" s="3" t="s">
        <v>3054</v>
      </c>
      <c r="N70" s="3"/>
      <c r="R70" s="3" t="s">
        <v>62</v>
      </c>
      <c r="S70" s="3" t="s">
        <v>3055</v>
      </c>
      <c r="Z70" s="3" t="s">
        <v>3056</v>
      </c>
      <c r="AA70" s="3">
        <v>980</v>
      </c>
      <c r="AC70" s="3"/>
      <c r="AD70" s="3">
        <v>35500533</v>
      </c>
      <c r="AE70" s="3" t="s">
        <v>84</v>
      </c>
      <c r="AG70" s="3" t="s">
        <v>77</v>
      </c>
    </row>
    <row r="71" spans="1:39" ht="12.5" x14ac:dyDescent="0.25">
      <c r="A71" s="3" t="s">
        <v>46</v>
      </c>
      <c r="B71" s="3" t="s">
        <v>3057</v>
      </c>
      <c r="C71" s="3" t="s">
        <v>3058</v>
      </c>
      <c r="D71" s="3" t="s">
        <v>3059</v>
      </c>
      <c r="E71" s="3" t="s">
        <v>2538</v>
      </c>
      <c r="F71" s="3" t="s">
        <v>2638</v>
      </c>
      <c r="G71" s="3" t="s">
        <v>3060</v>
      </c>
      <c r="H71" s="3">
        <v>21971838259</v>
      </c>
      <c r="I71" s="6">
        <v>25916</v>
      </c>
      <c r="J71" s="3">
        <v>51</v>
      </c>
      <c r="K71" s="3">
        <v>82982901</v>
      </c>
      <c r="L71" s="10">
        <v>98204467753</v>
      </c>
      <c r="M71" s="3" t="s">
        <v>3061</v>
      </c>
      <c r="N71" s="3"/>
      <c r="R71" s="3" t="s">
        <v>62</v>
      </c>
      <c r="S71" s="3"/>
      <c r="Z71" s="3" t="s">
        <v>3062</v>
      </c>
      <c r="AA71" s="3">
        <v>52</v>
      </c>
      <c r="AB71" s="3"/>
      <c r="AC71" s="3" t="s">
        <v>1105</v>
      </c>
      <c r="AD71" s="3" t="s">
        <v>3063</v>
      </c>
      <c r="AE71" s="3" t="s">
        <v>70</v>
      </c>
      <c r="AG71" s="3" t="s">
        <v>77</v>
      </c>
    </row>
    <row r="72" spans="1:39" ht="12.5" x14ac:dyDescent="0.25">
      <c r="A72" s="3" t="s">
        <v>46</v>
      </c>
      <c r="B72" s="3" t="s">
        <v>3064</v>
      </c>
      <c r="C72" s="3" t="s">
        <v>3065</v>
      </c>
      <c r="D72" s="3" t="s">
        <v>3066</v>
      </c>
      <c r="E72" s="3" t="s">
        <v>2538</v>
      </c>
      <c r="F72" s="3" t="s">
        <v>2638</v>
      </c>
      <c r="G72" s="3" t="s">
        <v>3067</v>
      </c>
      <c r="H72" s="3">
        <v>21964499387</v>
      </c>
      <c r="I72" s="6">
        <v>30580</v>
      </c>
      <c r="J72" s="3">
        <v>38</v>
      </c>
      <c r="K72" s="3" t="s">
        <v>3068</v>
      </c>
      <c r="L72" s="10">
        <v>9714638755</v>
      </c>
      <c r="M72" s="3" t="s">
        <v>3069</v>
      </c>
      <c r="N72" s="3" t="s">
        <v>3070</v>
      </c>
      <c r="P72" s="3"/>
      <c r="R72" s="3" t="s">
        <v>62</v>
      </c>
      <c r="T72" s="3"/>
      <c r="U72" s="3"/>
      <c r="V72" s="3"/>
      <c r="Z72" s="3" t="s">
        <v>3071</v>
      </c>
      <c r="AA72" s="3">
        <v>625</v>
      </c>
      <c r="AC72" s="3" t="s">
        <v>760</v>
      </c>
      <c r="AD72" s="3" t="s">
        <v>3072</v>
      </c>
      <c r="AE72" s="3" t="s">
        <v>70</v>
      </c>
      <c r="AF72" s="3"/>
      <c r="AG72" s="3" t="s">
        <v>77</v>
      </c>
      <c r="AH72" s="3"/>
      <c r="AI72" s="3"/>
      <c r="AL72" s="3"/>
      <c r="AM72" s="3"/>
    </row>
    <row r="73" spans="1:39" ht="12.5" x14ac:dyDescent="0.25">
      <c r="A73" s="3" t="s">
        <v>46</v>
      </c>
      <c r="B73" s="3" t="s">
        <v>3073</v>
      </c>
      <c r="C73" s="3" t="s">
        <v>3074</v>
      </c>
      <c r="D73" s="3" t="s">
        <v>3075</v>
      </c>
      <c r="E73" s="3" t="s">
        <v>2538</v>
      </c>
      <c r="F73" s="3" t="s">
        <v>2638</v>
      </c>
      <c r="G73" s="3" t="s">
        <v>3076</v>
      </c>
      <c r="H73" s="3">
        <v>48984473140</v>
      </c>
      <c r="I73" s="8">
        <v>30502</v>
      </c>
      <c r="J73" s="3">
        <v>38</v>
      </c>
      <c r="K73" s="3">
        <v>44161093</v>
      </c>
      <c r="L73" s="10">
        <v>827184905</v>
      </c>
      <c r="M73" s="3" t="s">
        <v>3077</v>
      </c>
      <c r="N73" s="3" t="s">
        <v>3078</v>
      </c>
      <c r="O73" s="3"/>
      <c r="P73" s="3"/>
      <c r="R73" s="3" t="s">
        <v>120</v>
      </c>
      <c r="T73" s="3"/>
      <c r="U73" s="3"/>
      <c r="V73" s="3"/>
      <c r="Z73" s="3" t="s">
        <v>1148</v>
      </c>
      <c r="AA73" s="3">
        <v>209</v>
      </c>
      <c r="AC73" s="3" t="s">
        <v>1149</v>
      </c>
      <c r="AD73" s="3"/>
      <c r="AE73" s="3" t="s">
        <v>557</v>
      </c>
      <c r="AF73" s="3"/>
      <c r="AG73" s="3" t="s">
        <v>77</v>
      </c>
      <c r="AH73" s="3"/>
      <c r="AI73" s="3"/>
      <c r="AL73" s="3"/>
      <c r="AM73" s="3"/>
    </row>
    <row r="74" spans="1:39" ht="12.5" x14ac:dyDescent="0.25">
      <c r="A74" s="3" t="s">
        <v>46</v>
      </c>
      <c r="B74" s="3" t="s">
        <v>3079</v>
      </c>
      <c r="C74" s="3" t="s">
        <v>3080</v>
      </c>
      <c r="D74" s="3" t="s">
        <v>3081</v>
      </c>
      <c r="E74" s="3" t="s">
        <v>2538</v>
      </c>
      <c r="F74" s="3" t="s">
        <v>2638</v>
      </c>
      <c r="G74" s="3" t="s">
        <v>3082</v>
      </c>
      <c r="H74" s="3">
        <v>11942506555</v>
      </c>
      <c r="I74" s="6">
        <v>21400</v>
      </c>
      <c r="J74" s="3">
        <v>63</v>
      </c>
      <c r="K74" s="3" t="s">
        <v>3083</v>
      </c>
      <c r="L74" s="10">
        <v>29370671900</v>
      </c>
      <c r="M74" s="3" t="s">
        <v>3084</v>
      </c>
      <c r="N74" s="3" t="s">
        <v>3085</v>
      </c>
      <c r="R74" s="3" t="s">
        <v>120</v>
      </c>
      <c r="S74" s="3"/>
      <c r="Z74" s="3" t="s">
        <v>3086</v>
      </c>
      <c r="AA74" s="3" t="s">
        <v>3087</v>
      </c>
      <c r="AB74" s="3" t="s">
        <v>3088</v>
      </c>
      <c r="AC74" s="3" t="s">
        <v>1160</v>
      </c>
      <c r="AD74" s="3" t="s">
        <v>3089</v>
      </c>
      <c r="AE74" s="3" t="s">
        <v>101</v>
      </c>
      <c r="AG74" s="3" t="s">
        <v>77</v>
      </c>
    </row>
    <row r="75" spans="1:39" ht="12.5" x14ac:dyDescent="0.25">
      <c r="A75" s="3" t="s">
        <v>46</v>
      </c>
      <c r="B75" s="3" t="s">
        <v>3090</v>
      </c>
      <c r="C75" s="3" t="s">
        <v>3091</v>
      </c>
      <c r="D75" s="3" t="s">
        <v>3092</v>
      </c>
      <c r="E75" s="3" t="s">
        <v>2538</v>
      </c>
      <c r="F75" s="3" t="s">
        <v>2638</v>
      </c>
      <c r="G75" s="3" t="s">
        <v>3093</v>
      </c>
      <c r="H75" s="3">
        <v>83999025942</v>
      </c>
      <c r="I75" s="6">
        <v>27469</v>
      </c>
      <c r="J75" s="3">
        <v>46</v>
      </c>
      <c r="K75" s="3" t="s">
        <v>3094</v>
      </c>
      <c r="L75" s="10">
        <v>2570252433</v>
      </c>
      <c r="M75" s="3" t="s">
        <v>3095</v>
      </c>
      <c r="N75" s="3" t="s">
        <v>3096</v>
      </c>
      <c r="R75" s="3" t="s">
        <v>62</v>
      </c>
      <c r="Z75" s="3" t="s">
        <v>3097</v>
      </c>
      <c r="AA75" s="3" t="s">
        <v>3098</v>
      </c>
      <c r="AB75" s="3"/>
      <c r="AC75" s="3" t="s">
        <v>1173</v>
      </c>
      <c r="AD75" s="3" t="s">
        <v>3099</v>
      </c>
      <c r="AE75" s="3" t="s">
        <v>1171</v>
      </c>
      <c r="AG75" s="3" t="s">
        <v>77</v>
      </c>
    </row>
    <row r="76" spans="1:39" ht="12.5" x14ac:dyDescent="0.25">
      <c r="A76" s="3" t="s">
        <v>46</v>
      </c>
      <c r="B76" s="3" t="s">
        <v>3100</v>
      </c>
      <c r="C76" s="3" t="s">
        <v>2636</v>
      </c>
      <c r="D76" s="3" t="s">
        <v>3101</v>
      </c>
      <c r="E76" s="3" t="s">
        <v>2538</v>
      </c>
      <c r="F76" s="3" t="s">
        <v>2638</v>
      </c>
      <c r="G76" s="3" t="s">
        <v>3102</v>
      </c>
      <c r="H76" s="3">
        <v>21988025664</v>
      </c>
      <c r="I76" s="6">
        <v>28130</v>
      </c>
      <c r="J76" s="3">
        <v>44</v>
      </c>
      <c r="K76" s="3" t="s">
        <v>3103</v>
      </c>
      <c r="L76" s="10">
        <v>7601852717</v>
      </c>
      <c r="M76" s="3" t="s">
        <v>2845</v>
      </c>
      <c r="N76" s="3" t="s">
        <v>3104</v>
      </c>
      <c r="R76" s="3" t="s">
        <v>120</v>
      </c>
      <c r="S76" s="3"/>
      <c r="Z76" s="3" t="s">
        <v>3105</v>
      </c>
      <c r="AA76" s="3" t="s">
        <v>3106</v>
      </c>
      <c r="AB76" s="3"/>
      <c r="AC76" s="3" t="s">
        <v>1188</v>
      </c>
      <c r="AD76" s="3" t="s">
        <v>3107</v>
      </c>
      <c r="AE76" s="3" t="s">
        <v>70</v>
      </c>
      <c r="AG76" s="3" t="s">
        <v>77</v>
      </c>
    </row>
    <row r="77" spans="1:39" ht="12.5" x14ac:dyDescent="0.25">
      <c r="A77" s="3" t="s">
        <v>46</v>
      </c>
      <c r="B77" s="3" t="s">
        <v>3108</v>
      </c>
      <c r="C77" s="3" t="s">
        <v>2708</v>
      </c>
      <c r="D77" s="3" t="s">
        <v>3109</v>
      </c>
      <c r="E77" s="3" t="s">
        <v>2538</v>
      </c>
      <c r="F77" s="3" t="s">
        <v>2638</v>
      </c>
      <c r="G77" s="3" t="s">
        <v>3110</v>
      </c>
      <c r="H77" s="3">
        <v>31999403487</v>
      </c>
      <c r="I77" s="6">
        <v>27954</v>
      </c>
      <c r="J77" s="3">
        <v>45</v>
      </c>
      <c r="K77" s="3" t="s">
        <v>3111</v>
      </c>
      <c r="L77" s="10">
        <v>2881724698</v>
      </c>
      <c r="M77" s="3" t="s">
        <v>3112</v>
      </c>
      <c r="N77" s="3" t="s">
        <v>3113</v>
      </c>
      <c r="P77" s="3"/>
      <c r="R77" s="3" t="s">
        <v>120</v>
      </c>
      <c r="T77" s="3"/>
      <c r="U77" s="3"/>
      <c r="Z77" s="3" t="s">
        <v>3114</v>
      </c>
      <c r="AA77" s="3">
        <v>101</v>
      </c>
      <c r="AC77" s="3" t="s">
        <v>177</v>
      </c>
      <c r="AD77" s="3">
        <v>30335030</v>
      </c>
      <c r="AE77" s="3" t="s">
        <v>84</v>
      </c>
      <c r="AG77" s="3" t="s">
        <v>77</v>
      </c>
    </row>
    <row r="78" spans="1:39" ht="12.5" x14ac:dyDescent="0.25">
      <c r="A78" s="3" t="s">
        <v>46</v>
      </c>
      <c r="B78" s="3" t="s">
        <v>3115</v>
      </c>
      <c r="C78" s="3" t="s">
        <v>3116</v>
      </c>
      <c r="D78" s="3" t="s">
        <v>3117</v>
      </c>
      <c r="E78" s="3" t="s">
        <v>2538</v>
      </c>
      <c r="F78" s="3" t="s">
        <v>2638</v>
      </c>
      <c r="G78" s="3" t="s">
        <v>3118</v>
      </c>
      <c r="H78" s="3">
        <v>11948103247</v>
      </c>
      <c r="I78" s="6">
        <v>30001</v>
      </c>
      <c r="J78" s="3">
        <v>39</v>
      </c>
      <c r="K78" s="3">
        <v>329719555</v>
      </c>
      <c r="L78" s="10">
        <v>31935694880</v>
      </c>
      <c r="M78" s="3" t="s">
        <v>3119</v>
      </c>
      <c r="N78" s="3"/>
      <c r="R78" s="3" t="s">
        <v>62</v>
      </c>
      <c r="X78" s="3"/>
      <c r="Z78" s="3" t="s">
        <v>3120</v>
      </c>
      <c r="AA78" s="3">
        <v>5</v>
      </c>
      <c r="AB78" s="3" t="s">
        <v>3121</v>
      </c>
      <c r="AC78" s="3" t="s">
        <v>128</v>
      </c>
      <c r="AD78" s="3"/>
      <c r="AE78" s="3" t="s">
        <v>101</v>
      </c>
      <c r="AF78" s="3"/>
      <c r="AG78" s="3" t="s">
        <v>77</v>
      </c>
      <c r="AH78" s="3"/>
      <c r="AI78" s="3"/>
      <c r="AL78" s="3"/>
      <c r="AM78" s="3"/>
    </row>
    <row r="79" spans="1:39" ht="12.5" x14ac:dyDescent="0.25">
      <c r="A79" s="3" t="s">
        <v>46</v>
      </c>
      <c r="B79" s="3" t="s">
        <v>3122</v>
      </c>
      <c r="C79" s="3" t="s">
        <v>3123</v>
      </c>
      <c r="D79" s="3" t="s">
        <v>3124</v>
      </c>
      <c r="E79" s="3" t="s">
        <v>2538</v>
      </c>
      <c r="F79" s="3" t="s">
        <v>2638</v>
      </c>
      <c r="G79" s="3" t="s">
        <v>3125</v>
      </c>
      <c r="H79" s="3">
        <v>84988240254</v>
      </c>
      <c r="I79" s="6">
        <v>27717</v>
      </c>
      <c r="J79" s="3">
        <v>46</v>
      </c>
      <c r="K79" s="3" t="s">
        <v>3126</v>
      </c>
      <c r="L79" s="10">
        <v>2126717402</v>
      </c>
      <c r="M79" s="3" t="s">
        <v>3127</v>
      </c>
      <c r="N79" s="3" t="s">
        <v>3128</v>
      </c>
      <c r="O79" s="3"/>
      <c r="P79" s="3"/>
      <c r="R79" s="3" t="s">
        <v>120</v>
      </c>
      <c r="T79" s="3"/>
      <c r="U79" s="3"/>
      <c r="X79" s="3"/>
      <c r="Z79" s="3" t="s">
        <v>3129</v>
      </c>
      <c r="AA79" s="3">
        <v>292</v>
      </c>
      <c r="AB79" s="3"/>
      <c r="AC79" s="3" t="s">
        <v>197</v>
      </c>
      <c r="AD79" s="3" t="s">
        <v>3130</v>
      </c>
      <c r="AE79" s="3" t="s">
        <v>195</v>
      </c>
      <c r="AF79" s="3"/>
      <c r="AG79" s="3" t="s">
        <v>77</v>
      </c>
      <c r="AH79" s="3"/>
      <c r="AI79" s="3"/>
      <c r="AL79" s="3"/>
      <c r="AM79" s="3"/>
    </row>
    <row r="80" spans="1:39" ht="12.5" x14ac:dyDescent="0.25">
      <c r="A80" s="3" t="s">
        <v>46</v>
      </c>
      <c r="B80" s="3" t="s">
        <v>3131</v>
      </c>
      <c r="C80" s="3" t="s">
        <v>3132</v>
      </c>
      <c r="D80" s="3" t="s">
        <v>3133</v>
      </c>
      <c r="E80" s="3" t="s">
        <v>2538</v>
      </c>
      <c r="F80" s="3" t="s">
        <v>2618</v>
      </c>
      <c r="G80" s="3" t="s">
        <v>3134</v>
      </c>
      <c r="H80" s="3" t="s">
        <v>3135</v>
      </c>
      <c r="I80" s="8">
        <v>28498</v>
      </c>
      <c r="J80" s="3">
        <v>43</v>
      </c>
      <c r="K80" s="3">
        <v>8700054</v>
      </c>
      <c r="L80" s="10">
        <v>3956777697</v>
      </c>
      <c r="M80" s="3" t="s">
        <v>3136</v>
      </c>
      <c r="N80" s="3"/>
      <c r="O80" s="3" t="s">
        <v>3137</v>
      </c>
      <c r="P80" s="3" t="s">
        <v>3138</v>
      </c>
      <c r="R80" s="3" t="s">
        <v>62</v>
      </c>
      <c r="T80" s="3" t="s">
        <v>2541</v>
      </c>
      <c r="U80" s="3" t="s">
        <v>2980</v>
      </c>
      <c r="X80" s="3" t="s">
        <v>2544</v>
      </c>
      <c r="Z80" s="3" t="s">
        <v>3139</v>
      </c>
      <c r="AA80" s="3">
        <v>56</v>
      </c>
      <c r="AB80" s="3" t="s">
        <v>1539</v>
      </c>
      <c r="AC80" s="3" t="s">
        <v>87</v>
      </c>
      <c r="AD80" s="3" t="s">
        <v>3140</v>
      </c>
      <c r="AE80" s="3" t="s">
        <v>84</v>
      </c>
      <c r="AF80" s="3" t="s">
        <v>2569</v>
      </c>
      <c r="AG80" s="3" t="s">
        <v>2603</v>
      </c>
      <c r="AH80" s="3" t="s">
        <v>2550</v>
      </c>
      <c r="AI80" s="3">
        <v>2</v>
      </c>
      <c r="AL80" s="3" t="s">
        <v>3141</v>
      </c>
      <c r="AM80" s="3" t="s">
        <v>3142</v>
      </c>
    </row>
    <row r="81" spans="1:39" ht="12.5" x14ac:dyDescent="0.25">
      <c r="A81" s="3" t="s">
        <v>46</v>
      </c>
      <c r="B81" s="3" t="s">
        <v>3143</v>
      </c>
      <c r="C81" s="3" t="s">
        <v>3144</v>
      </c>
      <c r="D81" s="3" t="s">
        <v>3145</v>
      </c>
      <c r="E81" s="3" t="s">
        <v>2538</v>
      </c>
      <c r="F81" s="3" t="s">
        <v>2618</v>
      </c>
      <c r="G81" s="3" t="s">
        <v>3146</v>
      </c>
      <c r="H81" s="3" t="s">
        <v>3147</v>
      </c>
      <c r="I81" s="6">
        <v>32407</v>
      </c>
      <c r="J81" s="3">
        <v>33</v>
      </c>
      <c r="K81" s="3">
        <v>3075979884</v>
      </c>
      <c r="L81" s="10">
        <v>2467392074</v>
      </c>
      <c r="M81" s="3" t="s">
        <v>2647</v>
      </c>
      <c r="N81" s="3"/>
      <c r="O81" s="3"/>
      <c r="P81" s="3" t="s">
        <v>2979</v>
      </c>
      <c r="R81" s="3" t="s">
        <v>62</v>
      </c>
      <c r="T81" s="3" t="s">
        <v>2576</v>
      </c>
      <c r="U81" s="3" t="s">
        <v>2980</v>
      </c>
      <c r="V81" s="3" t="s">
        <v>2542</v>
      </c>
      <c r="X81" s="3"/>
      <c r="Z81" s="3" t="s">
        <v>3148</v>
      </c>
      <c r="AA81" s="3">
        <v>619</v>
      </c>
      <c r="AB81" s="3"/>
      <c r="AC81" s="3" t="s">
        <v>1278</v>
      </c>
      <c r="AD81" s="3" t="s">
        <v>3149</v>
      </c>
      <c r="AE81" s="3" t="s">
        <v>407</v>
      </c>
      <c r="AF81" s="3" t="s">
        <v>2569</v>
      </c>
      <c r="AG81" s="3" t="s">
        <v>2559</v>
      </c>
      <c r="AH81" s="3" t="s">
        <v>2550</v>
      </c>
      <c r="AI81" s="3">
        <v>4</v>
      </c>
      <c r="AL81" s="3" t="s">
        <v>3150</v>
      </c>
      <c r="AM81" s="3" t="s">
        <v>3150</v>
      </c>
    </row>
    <row r="82" spans="1:39" ht="12.5" x14ac:dyDescent="0.25">
      <c r="A82" s="3" t="s">
        <v>152</v>
      </c>
      <c r="B82" s="3" t="s">
        <v>3151</v>
      </c>
      <c r="C82" s="3" t="s">
        <v>2959</v>
      </c>
      <c r="D82" s="3" t="s">
        <v>3152</v>
      </c>
      <c r="E82" s="3" t="s">
        <v>2538</v>
      </c>
      <c r="F82" s="3" t="s">
        <v>2618</v>
      </c>
      <c r="G82" s="3" t="s">
        <v>1224</v>
      </c>
      <c r="H82" s="3" t="s">
        <v>3153</v>
      </c>
      <c r="I82" s="6">
        <v>31360</v>
      </c>
      <c r="J82" s="3">
        <v>36</v>
      </c>
      <c r="K82" s="3">
        <v>13283449</v>
      </c>
      <c r="L82" s="10">
        <v>7696157671</v>
      </c>
      <c r="M82" s="3" t="s">
        <v>3154</v>
      </c>
      <c r="O82" s="3"/>
      <c r="P82" s="3" t="s">
        <v>3138</v>
      </c>
      <c r="R82" s="3" t="s">
        <v>120</v>
      </c>
      <c r="S82" s="3" t="s">
        <v>3155</v>
      </c>
      <c r="T82" s="3" t="s">
        <v>2541</v>
      </c>
      <c r="U82" s="3" t="s">
        <v>2980</v>
      </c>
      <c r="V82" s="3" t="s">
        <v>2542</v>
      </c>
      <c r="Z82" s="3" t="s">
        <v>1226</v>
      </c>
      <c r="AA82" s="3">
        <v>50</v>
      </c>
      <c r="AB82" s="3" t="s">
        <v>3156</v>
      </c>
      <c r="AC82" s="3" t="s">
        <v>266</v>
      </c>
      <c r="AD82" s="3" t="s">
        <v>3157</v>
      </c>
      <c r="AE82" s="3" t="s">
        <v>84</v>
      </c>
      <c r="AF82" s="3" t="s">
        <v>2741</v>
      </c>
      <c r="AG82" s="3" t="s">
        <v>2559</v>
      </c>
      <c r="AH82" s="3" t="s">
        <v>2550</v>
      </c>
      <c r="AI82" s="3">
        <v>5</v>
      </c>
      <c r="AL82" s="3" t="s">
        <v>3158</v>
      </c>
      <c r="AM82" s="3" t="s">
        <v>3159</v>
      </c>
    </row>
    <row r="83" spans="1:39" ht="12.5" x14ac:dyDescent="0.25">
      <c r="A83" s="3" t="s">
        <v>46</v>
      </c>
      <c r="B83" s="3" t="s">
        <v>3160</v>
      </c>
      <c r="C83" s="3" t="s">
        <v>3161</v>
      </c>
      <c r="D83" s="3" t="s">
        <v>3162</v>
      </c>
      <c r="E83" s="3" t="s">
        <v>2538</v>
      </c>
      <c r="F83" s="3" t="s">
        <v>2618</v>
      </c>
      <c r="G83" s="3" t="s">
        <v>1251</v>
      </c>
      <c r="H83" s="3" t="s">
        <v>3163</v>
      </c>
      <c r="I83" s="6">
        <v>29080</v>
      </c>
      <c r="J83" s="3">
        <v>42</v>
      </c>
      <c r="K83" s="3">
        <v>334201226</v>
      </c>
      <c r="L83" s="10">
        <v>29955824859</v>
      </c>
      <c r="M83" s="3" t="s">
        <v>3164</v>
      </c>
      <c r="N83" s="3" t="s">
        <v>3165</v>
      </c>
      <c r="O83" s="3" t="s">
        <v>3137</v>
      </c>
      <c r="P83" s="3" t="s">
        <v>2979</v>
      </c>
      <c r="R83" s="3" t="s">
        <v>120</v>
      </c>
      <c r="S83" s="3"/>
      <c r="T83" s="3" t="s">
        <v>2576</v>
      </c>
      <c r="U83" s="3" t="s">
        <v>2980</v>
      </c>
      <c r="V83" s="3" t="s">
        <v>2542</v>
      </c>
      <c r="X83" s="3"/>
      <c r="Z83" s="3" t="s">
        <v>3166</v>
      </c>
      <c r="AA83" s="3">
        <v>180</v>
      </c>
      <c r="AB83" s="3" t="s">
        <v>3167</v>
      </c>
      <c r="AC83" s="3" t="s">
        <v>1255</v>
      </c>
      <c r="AD83" s="3" t="s">
        <v>3168</v>
      </c>
      <c r="AE83" s="3" t="s">
        <v>101</v>
      </c>
      <c r="AF83" s="3" t="s">
        <v>2569</v>
      </c>
      <c r="AG83" s="3" t="s">
        <v>2603</v>
      </c>
      <c r="AH83" s="3" t="s">
        <v>2550</v>
      </c>
      <c r="AI83" s="3">
        <v>4</v>
      </c>
      <c r="AL83" s="3" t="s">
        <v>3169</v>
      </c>
      <c r="AM83" s="3" t="s">
        <v>3170</v>
      </c>
    </row>
    <row r="84" spans="1:39" ht="12.5" x14ac:dyDescent="0.25">
      <c r="A84" s="3" t="s">
        <v>46</v>
      </c>
      <c r="B84" s="3" t="s">
        <v>3171</v>
      </c>
      <c r="C84" s="3" t="s">
        <v>3172</v>
      </c>
      <c r="D84" s="3" t="s">
        <v>3173</v>
      </c>
      <c r="E84" s="3" t="s">
        <v>2538</v>
      </c>
      <c r="F84" s="3" t="s">
        <v>2618</v>
      </c>
      <c r="G84" s="3" t="s">
        <v>3174</v>
      </c>
      <c r="H84" s="3" t="s">
        <v>3175</v>
      </c>
      <c r="I84" s="6">
        <v>34220</v>
      </c>
      <c r="J84" s="3">
        <v>28</v>
      </c>
      <c r="K84" s="3">
        <v>17303714</v>
      </c>
      <c r="L84" s="10">
        <v>10771877692</v>
      </c>
      <c r="M84" s="3" t="s">
        <v>3176</v>
      </c>
      <c r="N84" s="3" t="s">
        <v>3177</v>
      </c>
      <c r="O84" s="3"/>
      <c r="P84" s="3" t="s">
        <v>2979</v>
      </c>
      <c r="R84" s="3" t="s">
        <v>120</v>
      </c>
      <c r="T84" s="3" t="s">
        <v>2541</v>
      </c>
      <c r="U84" s="3" t="s">
        <v>2980</v>
      </c>
      <c r="V84" s="3"/>
      <c r="X84" s="3" t="s">
        <v>2544</v>
      </c>
      <c r="Z84" s="3" t="s">
        <v>3178</v>
      </c>
      <c r="AA84" s="3">
        <v>16</v>
      </c>
      <c r="AB84" s="3" t="s">
        <v>1460</v>
      </c>
      <c r="AC84" s="3" t="s">
        <v>1459</v>
      </c>
      <c r="AD84" s="3" t="s">
        <v>3179</v>
      </c>
      <c r="AE84" s="3" t="s">
        <v>84</v>
      </c>
      <c r="AF84" s="3" t="s">
        <v>2741</v>
      </c>
      <c r="AG84" s="3" t="s">
        <v>2587</v>
      </c>
      <c r="AH84" s="3" t="s">
        <v>2550</v>
      </c>
      <c r="AI84" s="3">
        <v>3</v>
      </c>
      <c r="AL84" s="3" t="s">
        <v>3180</v>
      </c>
      <c r="AM84" s="3" t="s">
        <v>3181</v>
      </c>
    </row>
    <row r="85" spans="1:39" ht="12.5" x14ac:dyDescent="0.25">
      <c r="A85" s="3" t="s">
        <v>46</v>
      </c>
      <c r="B85" s="3" t="s">
        <v>3182</v>
      </c>
      <c r="C85" s="3" t="s">
        <v>2678</v>
      </c>
      <c r="D85" s="3" t="s">
        <v>3183</v>
      </c>
      <c r="E85" s="3" t="s">
        <v>2538</v>
      </c>
      <c r="F85" s="3" t="s">
        <v>2618</v>
      </c>
      <c r="G85" s="3" t="s">
        <v>1319</v>
      </c>
      <c r="H85" s="3" t="s">
        <v>3184</v>
      </c>
      <c r="I85" s="6">
        <v>34529</v>
      </c>
      <c r="J85" s="3">
        <v>27</v>
      </c>
      <c r="K85" s="3">
        <v>2008010290229</v>
      </c>
      <c r="L85" s="10">
        <v>5651872361</v>
      </c>
      <c r="M85" s="3"/>
      <c r="N85" s="3" t="s">
        <v>3185</v>
      </c>
      <c r="O85" s="3" t="s">
        <v>2998</v>
      </c>
      <c r="P85" s="3" t="s">
        <v>3138</v>
      </c>
      <c r="R85" s="3" t="s">
        <v>120</v>
      </c>
      <c r="T85" s="3" t="s">
        <v>2541</v>
      </c>
      <c r="U85" s="3" t="s">
        <v>2980</v>
      </c>
      <c r="V85" s="3" t="s">
        <v>2542</v>
      </c>
      <c r="X85" s="3"/>
      <c r="Z85" s="3" t="s">
        <v>1320</v>
      </c>
      <c r="AA85" s="3">
        <v>17</v>
      </c>
      <c r="AB85" s="3"/>
      <c r="AC85" s="3" t="s">
        <v>470</v>
      </c>
      <c r="AD85" s="3" t="s">
        <v>3186</v>
      </c>
      <c r="AE85" s="3" t="s">
        <v>468</v>
      </c>
      <c r="AF85" s="3" t="s">
        <v>2741</v>
      </c>
      <c r="AG85" s="3" t="s">
        <v>2603</v>
      </c>
      <c r="AH85" s="3" t="s">
        <v>2550</v>
      </c>
      <c r="AI85" s="3">
        <v>2</v>
      </c>
      <c r="AL85" s="3" t="s">
        <v>3187</v>
      </c>
      <c r="AM85" s="3" t="s">
        <v>3188</v>
      </c>
    </row>
    <row r="86" spans="1:39" ht="12.5" x14ac:dyDescent="0.25">
      <c r="A86" s="3" t="s">
        <v>46</v>
      </c>
      <c r="B86" s="3" t="s">
        <v>3189</v>
      </c>
      <c r="C86" s="3" t="s">
        <v>3190</v>
      </c>
      <c r="D86" s="3" t="s">
        <v>3191</v>
      </c>
      <c r="E86" s="3" t="s">
        <v>2538</v>
      </c>
      <c r="F86" s="3" t="s">
        <v>2618</v>
      </c>
      <c r="G86" s="3" t="s">
        <v>3192</v>
      </c>
      <c r="H86" s="3" t="s">
        <v>3193</v>
      </c>
      <c r="I86" s="6">
        <v>23767</v>
      </c>
      <c r="J86" s="3">
        <v>56</v>
      </c>
      <c r="K86" s="3">
        <v>3994120</v>
      </c>
      <c r="L86" s="10">
        <v>57707464672</v>
      </c>
      <c r="M86" s="3" t="s">
        <v>3194</v>
      </c>
      <c r="N86" s="3" t="s">
        <v>3195</v>
      </c>
      <c r="O86" s="3" t="s">
        <v>3137</v>
      </c>
      <c r="P86" s="3" t="s">
        <v>2979</v>
      </c>
      <c r="R86" s="3" t="s">
        <v>120</v>
      </c>
      <c r="T86" s="3" t="s">
        <v>2541</v>
      </c>
      <c r="U86" s="3" t="s">
        <v>2980</v>
      </c>
      <c r="V86" s="3"/>
      <c r="X86" s="3" t="s">
        <v>2577</v>
      </c>
      <c r="Z86" s="3" t="s">
        <v>3196</v>
      </c>
      <c r="AA86" s="3">
        <v>448</v>
      </c>
      <c r="AB86" s="3" t="s">
        <v>2730</v>
      </c>
      <c r="AC86" s="3" t="s">
        <v>266</v>
      </c>
      <c r="AD86" s="3" t="s">
        <v>3197</v>
      </c>
      <c r="AE86" s="3" t="s">
        <v>84</v>
      </c>
      <c r="AF86" s="3" t="s">
        <v>2741</v>
      </c>
      <c r="AG86" s="3" t="s">
        <v>2559</v>
      </c>
      <c r="AH86" s="3" t="s">
        <v>2588</v>
      </c>
      <c r="AI86" s="3">
        <v>5</v>
      </c>
      <c r="AL86" s="3" t="s">
        <v>3198</v>
      </c>
      <c r="AM86" s="3" t="s">
        <v>3199</v>
      </c>
    </row>
    <row r="87" spans="1:39" ht="12.5" x14ac:dyDescent="0.25">
      <c r="A87" s="3" t="s">
        <v>46</v>
      </c>
      <c r="B87" s="3" t="s">
        <v>3200</v>
      </c>
      <c r="C87" s="3" t="s">
        <v>3201</v>
      </c>
      <c r="D87" s="3" t="s">
        <v>3202</v>
      </c>
      <c r="E87" s="3" t="s">
        <v>2538</v>
      </c>
      <c r="F87" s="3" t="s">
        <v>2618</v>
      </c>
      <c r="G87" s="3" t="s">
        <v>3203</v>
      </c>
      <c r="H87" s="3" t="s">
        <v>1336</v>
      </c>
      <c r="I87" s="6">
        <v>24169</v>
      </c>
      <c r="J87" s="3">
        <v>55</v>
      </c>
      <c r="K87" s="3">
        <v>12844307</v>
      </c>
      <c r="L87" s="10">
        <v>82305455615</v>
      </c>
      <c r="M87" s="3"/>
      <c r="N87" s="3"/>
      <c r="O87" s="3" t="s">
        <v>2998</v>
      </c>
      <c r="P87" s="3" t="s">
        <v>3138</v>
      </c>
      <c r="R87" s="3" t="s">
        <v>62</v>
      </c>
      <c r="T87" s="3" t="s">
        <v>2541</v>
      </c>
      <c r="U87" s="3" t="s">
        <v>2980</v>
      </c>
      <c r="V87" s="3" t="s">
        <v>2542</v>
      </c>
      <c r="X87" s="3"/>
      <c r="Z87" s="3" t="s">
        <v>3204</v>
      </c>
      <c r="AA87" s="3">
        <v>208</v>
      </c>
      <c r="AB87" s="3"/>
      <c r="AC87" s="3" t="s">
        <v>1339</v>
      </c>
      <c r="AD87" s="3" t="s">
        <v>3205</v>
      </c>
      <c r="AE87" s="3" t="s">
        <v>84</v>
      </c>
      <c r="AF87" s="3" t="s">
        <v>2569</v>
      </c>
      <c r="AG87" s="3" t="s">
        <v>2587</v>
      </c>
      <c r="AH87" s="3" t="s">
        <v>2550</v>
      </c>
      <c r="AI87" s="3">
        <v>3</v>
      </c>
      <c r="AL87" s="3" t="s">
        <v>3206</v>
      </c>
      <c r="AM87" s="3" t="s">
        <v>3206</v>
      </c>
    </row>
    <row r="88" spans="1:39" ht="12.5" x14ac:dyDescent="0.25">
      <c r="A88" s="3" t="s">
        <v>46</v>
      </c>
      <c r="B88" s="3" t="s">
        <v>3207</v>
      </c>
      <c r="C88" s="3" t="s">
        <v>3208</v>
      </c>
      <c r="D88" s="3" t="s">
        <v>3209</v>
      </c>
      <c r="E88" s="3" t="s">
        <v>2538</v>
      </c>
      <c r="F88" s="3" t="s">
        <v>2618</v>
      </c>
      <c r="G88" s="3" t="s">
        <v>3210</v>
      </c>
      <c r="H88" s="3" t="s">
        <v>3211</v>
      </c>
      <c r="I88" s="6">
        <v>25749</v>
      </c>
      <c r="J88" s="3">
        <v>51</v>
      </c>
      <c r="K88" s="3">
        <v>5071602</v>
      </c>
      <c r="L88" s="10">
        <v>85115886634</v>
      </c>
      <c r="M88" s="3" t="s">
        <v>3212</v>
      </c>
      <c r="N88" s="3"/>
      <c r="O88" s="3"/>
      <c r="P88" s="3" t="s">
        <v>3213</v>
      </c>
      <c r="R88" s="3" t="s">
        <v>62</v>
      </c>
      <c r="T88" s="3" t="s">
        <v>2541</v>
      </c>
      <c r="U88" s="3" t="s">
        <v>2980</v>
      </c>
      <c r="V88" s="3"/>
      <c r="X88" s="3" t="s">
        <v>2577</v>
      </c>
      <c r="Z88" s="3" t="s">
        <v>3214</v>
      </c>
      <c r="AA88" s="3">
        <v>245</v>
      </c>
      <c r="AB88" s="3"/>
      <c r="AC88" s="3" t="s">
        <v>177</v>
      </c>
      <c r="AD88" s="3" t="s">
        <v>3215</v>
      </c>
      <c r="AE88" s="3" t="s">
        <v>84</v>
      </c>
      <c r="AF88" s="3" t="s">
        <v>2741</v>
      </c>
      <c r="AG88" s="3" t="s">
        <v>2603</v>
      </c>
      <c r="AH88" s="3" t="s">
        <v>2588</v>
      </c>
      <c r="AI88" s="3">
        <v>5</v>
      </c>
      <c r="AL88" s="3" t="s">
        <v>3216</v>
      </c>
      <c r="AM88" s="3" t="s">
        <v>3217</v>
      </c>
    </row>
    <row r="89" spans="1:39" ht="12.5" x14ac:dyDescent="0.25">
      <c r="A89" s="3" t="s">
        <v>46</v>
      </c>
      <c r="B89" s="3" t="s">
        <v>3218</v>
      </c>
      <c r="C89" s="3" t="s">
        <v>3219</v>
      </c>
      <c r="D89" s="3" t="s">
        <v>3220</v>
      </c>
      <c r="E89" s="3" t="s">
        <v>2538</v>
      </c>
      <c r="F89" s="3" t="s">
        <v>2618</v>
      </c>
      <c r="G89" s="3" t="s">
        <v>3221</v>
      </c>
      <c r="H89" s="3" t="s">
        <v>3222</v>
      </c>
      <c r="I89" s="6">
        <v>31338</v>
      </c>
      <c r="J89" s="3">
        <v>36</v>
      </c>
      <c r="K89" s="3">
        <v>442847117</v>
      </c>
      <c r="L89" s="10">
        <v>33387682816</v>
      </c>
      <c r="M89" s="3" t="s">
        <v>3223</v>
      </c>
      <c r="N89" s="3"/>
      <c r="O89" s="3"/>
      <c r="P89" s="3" t="s">
        <v>2979</v>
      </c>
      <c r="R89" s="3" t="s">
        <v>62</v>
      </c>
      <c r="T89" s="3" t="s">
        <v>2541</v>
      </c>
      <c r="U89" s="3" t="s">
        <v>2980</v>
      </c>
      <c r="X89" s="3" t="s">
        <v>2577</v>
      </c>
      <c r="Z89" s="3" t="s">
        <v>3224</v>
      </c>
      <c r="AA89" s="3">
        <v>61</v>
      </c>
      <c r="AB89" s="3" t="s">
        <v>3225</v>
      </c>
      <c r="AC89" s="3" t="s">
        <v>128</v>
      </c>
      <c r="AD89" s="3" t="s">
        <v>3226</v>
      </c>
      <c r="AE89" s="3" t="s">
        <v>101</v>
      </c>
      <c r="AF89" s="3" t="s">
        <v>2569</v>
      </c>
      <c r="AG89" s="3" t="s">
        <v>2603</v>
      </c>
      <c r="AH89" s="3" t="s">
        <v>2550</v>
      </c>
      <c r="AI89" s="3">
        <v>2</v>
      </c>
      <c r="AL89" s="3" t="s">
        <v>3227</v>
      </c>
      <c r="AM89" s="3" t="s">
        <v>3228</v>
      </c>
    </row>
    <row r="90" spans="1:39" ht="12.5" x14ac:dyDescent="0.25">
      <c r="A90" s="3" t="s">
        <v>46</v>
      </c>
      <c r="B90" s="3" t="s">
        <v>3229</v>
      </c>
      <c r="C90" s="3" t="s">
        <v>3230</v>
      </c>
      <c r="D90" s="3" t="s">
        <v>3231</v>
      </c>
      <c r="E90" s="3" t="s">
        <v>2538</v>
      </c>
      <c r="F90" s="3" t="s">
        <v>2618</v>
      </c>
      <c r="G90" s="3" t="s">
        <v>1404</v>
      </c>
      <c r="H90" s="3" t="s">
        <v>3232</v>
      </c>
      <c r="I90" s="8">
        <v>31497</v>
      </c>
      <c r="J90" s="3">
        <v>35</v>
      </c>
      <c r="K90" s="3">
        <v>11426302</v>
      </c>
      <c r="L90" s="10">
        <v>6866416639</v>
      </c>
      <c r="M90" s="3" t="s">
        <v>3233</v>
      </c>
      <c r="N90" s="3" t="s">
        <v>2910</v>
      </c>
      <c r="O90" s="3" t="s">
        <v>3137</v>
      </c>
      <c r="P90" s="3" t="s">
        <v>3234</v>
      </c>
      <c r="R90" s="3" t="s">
        <v>62</v>
      </c>
      <c r="T90" s="3" t="s">
        <v>2541</v>
      </c>
      <c r="U90" s="3" t="s">
        <v>2980</v>
      </c>
      <c r="V90" s="3"/>
      <c r="X90" s="3" t="s">
        <v>2577</v>
      </c>
      <c r="Z90" s="3" t="s">
        <v>3235</v>
      </c>
      <c r="AA90" s="3">
        <v>25</v>
      </c>
      <c r="AB90" s="3" t="s">
        <v>3236</v>
      </c>
      <c r="AC90" s="3" t="s">
        <v>177</v>
      </c>
      <c r="AD90" s="3" t="s">
        <v>3237</v>
      </c>
      <c r="AE90" s="3" t="s">
        <v>84</v>
      </c>
      <c r="AF90" s="3" t="s">
        <v>2569</v>
      </c>
      <c r="AG90" s="3" t="s">
        <v>2587</v>
      </c>
      <c r="AH90" s="3" t="s">
        <v>2550</v>
      </c>
      <c r="AI90" s="3">
        <v>1</v>
      </c>
      <c r="AL90" s="3" t="s">
        <v>3238</v>
      </c>
      <c r="AM90" s="3" t="s">
        <v>3239</v>
      </c>
    </row>
    <row r="91" spans="1:39" ht="12.5" x14ac:dyDescent="0.25">
      <c r="A91" s="3" t="s">
        <v>46</v>
      </c>
      <c r="B91" s="3" t="s">
        <v>3240</v>
      </c>
      <c r="C91" s="3" t="s">
        <v>3241</v>
      </c>
      <c r="D91" s="3" t="s">
        <v>3242</v>
      </c>
      <c r="E91" s="3" t="s">
        <v>2538</v>
      </c>
      <c r="F91" s="3" t="s">
        <v>2618</v>
      </c>
      <c r="G91" s="3" t="s">
        <v>3243</v>
      </c>
      <c r="H91" s="3" t="s">
        <v>3244</v>
      </c>
      <c r="I91" s="6">
        <v>28664</v>
      </c>
      <c r="J91" s="3">
        <v>43</v>
      </c>
      <c r="K91" s="3">
        <v>1732436</v>
      </c>
      <c r="L91" s="10">
        <v>69866490106</v>
      </c>
      <c r="M91" s="3" t="s">
        <v>3245</v>
      </c>
      <c r="N91" s="3" t="s">
        <v>3246</v>
      </c>
      <c r="O91" s="3"/>
      <c r="P91" s="3" t="s">
        <v>3234</v>
      </c>
      <c r="R91" s="3" t="s">
        <v>120</v>
      </c>
      <c r="T91" s="3" t="s">
        <v>2541</v>
      </c>
      <c r="U91" s="3" t="s">
        <v>2980</v>
      </c>
      <c r="V91" s="3" t="s">
        <v>2542</v>
      </c>
      <c r="X91" s="3" t="s">
        <v>3245</v>
      </c>
      <c r="Z91" s="3" t="s">
        <v>3247</v>
      </c>
      <c r="AA91" s="3">
        <v>8</v>
      </c>
      <c r="AB91" s="3"/>
      <c r="AC91" s="3" t="s">
        <v>1384</v>
      </c>
      <c r="AD91" s="3" t="s">
        <v>3248</v>
      </c>
      <c r="AE91" s="3" t="s">
        <v>1381</v>
      </c>
      <c r="AF91" s="3" t="s">
        <v>2569</v>
      </c>
      <c r="AG91" s="3" t="s">
        <v>77</v>
      </c>
      <c r="AH91" s="3" t="s">
        <v>3249</v>
      </c>
      <c r="AI91" s="3">
        <v>4</v>
      </c>
      <c r="AL91" s="3" t="s">
        <v>3250</v>
      </c>
      <c r="AM91" s="3" t="s">
        <v>3251</v>
      </c>
    </row>
    <row r="92" spans="1:39" ht="12.5" x14ac:dyDescent="0.25">
      <c r="A92" s="3" t="s">
        <v>46</v>
      </c>
      <c r="B92" s="3" t="s">
        <v>3252</v>
      </c>
      <c r="C92" s="3" t="s">
        <v>3253</v>
      </c>
      <c r="D92" s="3" t="s">
        <v>3254</v>
      </c>
      <c r="E92" s="3" t="s">
        <v>2538</v>
      </c>
      <c r="F92" s="3" t="s">
        <v>2618</v>
      </c>
      <c r="G92" s="3" t="s">
        <v>3255</v>
      </c>
      <c r="H92" s="3" t="s">
        <v>3256</v>
      </c>
      <c r="I92" s="6">
        <v>32655</v>
      </c>
      <c r="J92" s="3">
        <v>32</v>
      </c>
      <c r="K92" s="3">
        <v>13477160</v>
      </c>
      <c r="L92" s="10">
        <v>7977813661</v>
      </c>
      <c r="M92" s="3" t="s">
        <v>3257</v>
      </c>
      <c r="N92" s="3" t="s">
        <v>3258</v>
      </c>
      <c r="O92" s="3"/>
      <c r="P92" s="3" t="s">
        <v>2979</v>
      </c>
      <c r="R92" s="3" t="s">
        <v>120</v>
      </c>
      <c r="T92" s="3" t="s">
        <v>2576</v>
      </c>
      <c r="U92" s="3" t="s">
        <v>2980</v>
      </c>
      <c r="V92" s="3"/>
      <c r="X92" s="3" t="s">
        <v>2544</v>
      </c>
      <c r="Z92" s="3" t="s">
        <v>3259</v>
      </c>
      <c r="AA92" s="3">
        <v>80</v>
      </c>
      <c r="AC92" s="3" t="s">
        <v>1516</v>
      </c>
      <c r="AD92" s="3" t="s">
        <v>3260</v>
      </c>
      <c r="AE92" s="3" t="s">
        <v>84</v>
      </c>
      <c r="AF92" s="3" t="s">
        <v>2569</v>
      </c>
      <c r="AG92" s="3" t="s">
        <v>3261</v>
      </c>
      <c r="AH92" s="3" t="s">
        <v>2588</v>
      </c>
      <c r="AI92" s="3">
        <v>2</v>
      </c>
      <c r="AL92" s="3" t="s">
        <v>3262</v>
      </c>
      <c r="AM92" s="3" t="s">
        <v>3263</v>
      </c>
    </row>
    <row r="93" spans="1:39" ht="12.5" x14ac:dyDescent="0.25">
      <c r="A93" s="3" t="s">
        <v>46</v>
      </c>
      <c r="B93" s="3" t="s">
        <v>3264</v>
      </c>
      <c r="C93" s="3" t="s">
        <v>3265</v>
      </c>
      <c r="D93" s="3" t="s">
        <v>3266</v>
      </c>
      <c r="E93" s="3" t="s">
        <v>2538</v>
      </c>
      <c r="F93" s="3" t="s">
        <v>2618</v>
      </c>
      <c r="G93" s="3" t="s">
        <v>2600</v>
      </c>
      <c r="H93" s="3" t="s">
        <v>3267</v>
      </c>
      <c r="I93" s="6">
        <v>25018</v>
      </c>
      <c r="J93" s="3">
        <v>53</v>
      </c>
      <c r="K93" s="3">
        <v>4473565</v>
      </c>
      <c r="L93" s="10">
        <v>68794878668</v>
      </c>
      <c r="M93" s="3" t="s">
        <v>2601</v>
      </c>
      <c r="N93" s="3" t="s">
        <v>3268</v>
      </c>
      <c r="O93" s="3" t="s">
        <v>3269</v>
      </c>
      <c r="P93" s="3" t="s">
        <v>3138</v>
      </c>
      <c r="R93" s="3" t="s">
        <v>120</v>
      </c>
      <c r="S93" s="3"/>
      <c r="T93" s="3" t="s">
        <v>2541</v>
      </c>
      <c r="U93" s="3" t="s">
        <v>2980</v>
      </c>
      <c r="X93" s="3" t="s">
        <v>2577</v>
      </c>
      <c r="Z93" s="3" t="s">
        <v>3270</v>
      </c>
      <c r="AA93" s="3">
        <v>1</v>
      </c>
      <c r="AB93" s="3"/>
      <c r="AC93" s="3" t="s">
        <v>144</v>
      </c>
      <c r="AD93" s="3" t="s">
        <v>145</v>
      </c>
      <c r="AE93" s="3" t="s">
        <v>84</v>
      </c>
      <c r="AF93" s="3" t="s">
        <v>2569</v>
      </c>
      <c r="AG93" s="3" t="s">
        <v>2603</v>
      </c>
      <c r="AH93" s="3" t="s">
        <v>2579</v>
      </c>
      <c r="AI93" s="3">
        <v>3</v>
      </c>
      <c r="AL93" s="3" t="s">
        <v>2604</v>
      </c>
      <c r="AM93" s="3" t="s">
        <v>2605</v>
      </c>
    </row>
    <row r="94" spans="1:39" ht="12.5" x14ac:dyDescent="0.25">
      <c r="A94" s="3" t="s">
        <v>152</v>
      </c>
      <c r="B94" s="3" t="s">
        <v>3271</v>
      </c>
      <c r="C94" s="3" t="s">
        <v>3272</v>
      </c>
      <c r="D94" s="3" t="s">
        <v>3273</v>
      </c>
      <c r="E94" s="3" t="s">
        <v>2538</v>
      </c>
      <c r="F94" s="3" t="s">
        <v>2618</v>
      </c>
      <c r="G94" s="3" t="s">
        <v>3274</v>
      </c>
      <c r="H94" s="3" t="s">
        <v>3275</v>
      </c>
      <c r="I94" s="6">
        <v>28614</v>
      </c>
      <c r="J94" s="3">
        <v>43</v>
      </c>
      <c r="K94" s="3">
        <v>4727447</v>
      </c>
      <c r="L94" s="10">
        <v>3204870405</v>
      </c>
      <c r="M94" s="3" t="s">
        <v>3276</v>
      </c>
      <c r="N94" s="3" t="s">
        <v>3277</v>
      </c>
      <c r="O94" s="3" t="s">
        <v>2998</v>
      </c>
      <c r="P94" s="3" t="s">
        <v>3234</v>
      </c>
      <c r="R94" s="3" t="s">
        <v>120</v>
      </c>
      <c r="S94" s="3" t="s">
        <v>3278</v>
      </c>
      <c r="T94" s="3" t="s">
        <v>2541</v>
      </c>
      <c r="U94" s="3" t="s">
        <v>2980</v>
      </c>
      <c r="X94" s="3" t="s">
        <v>2577</v>
      </c>
      <c r="Z94" s="3" t="s">
        <v>1560</v>
      </c>
      <c r="AA94" s="3">
        <v>83</v>
      </c>
      <c r="AB94" s="3" t="s">
        <v>1563</v>
      </c>
      <c r="AC94" s="3" t="s">
        <v>1562</v>
      </c>
      <c r="AD94" s="3" t="s">
        <v>3279</v>
      </c>
      <c r="AE94" s="3" t="s">
        <v>379</v>
      </c>
      <c r="AF94" s="3" t="s">
        <v>2569</v>
      </c>
      <c r="AG94" s="3" t="s">
        <v>2549</v>
      </c>
      <c r="AH94" s="3" t="s">
        <v>2588</v>
      </c>
      <c r="AI94" s="3">
        <v>2</v>
      </c>
      <c r="AL94" s="3" t="s">
        <v>3280</v>
      </c>
      <c r="AM94" s="3" t="s">
        <v>3281</v>
      </c>
    </row>
    <row r="95" spans="1:39" ht="12.5" x14ac:dyDescent="0.25">
      <c r="A95" s="3" t="s">
        <v>46</v>
      </c>
      <c r="B95" s="3" t="s">
        <v>3282</v>
      </c>
      <c r="C95" s="3" t="s">
        <v>3283</v>
      </c>
      <c r="D95" s="3" t="s">
        <v>3284</v>
      </c>
      <c r="E95" s="3" t="s">
        <v>2538</v>
      </c>
      <c r="F95" s="3" t="s">
        <v>2618</v>
      </c>
      <c r="G95" s="3" t="s">
        <v>3285</v>
      </c>
      <c r="H95" s="3" t="s">
        <v>3286</v>
      </c>
      <c r="I95" s="6">
        <v>30314</v>
      </c>
      <c r="J95" s="3">
        <v>39</v>
      </c>
      <c r="K95" s="3">
        <v>8092080</v>
      </c>
      <c r="L95" s="10">
        <v>5349952684</v>
      </c>
      <c r="M95" s="3" t="s">
        <v>3287</v>
      </c>
      <c r="N95" s="3" t="s">
        <v>3288</v>
      </c>
      <c r="O95" s="3"/>
      <c r="P95" s="3" t="s">
        <v>2979</v>
      </c>
      <c r="R95" s="3" t="s">
        <v>120</v>
      </c>
      <c r="S95" s="3"/>
      <c r="T95" s="3" t="s">
        <v>2576</v>
      </c>
      <c r="U95" s="3" t="s">
        <v>2980</v>
      </c>
      <c r="X95" s="3" t="s">
        <v>2577</v>
      </c>
      <c r="Z95" s="3" t="s">
        <v>3289</v>
      </c>
      <c r="AA95" s="3">
        <v>117</v>
      </c>
      <c r="AB95" s="3" t="s">
        <v>1539</v>
      </c>
      <c r="AC95" s="3" t="s">
        <v>177</v>
      </c>
      <c r="AD95" s="3" t="s">
        <v>3290</v>
      </c>
      <c r="AE95" s="3" t="s">
        <v>84</v>
      </c>
      <c r="AF95" s="3" t="s">
        <v>2741</v>
      </c>
      <c r="AG95" s="3" t="s">
        <v>3291</v>
      </c>
      <c r="AH95" s="3" t="s">
        <v>2579</v>
      </c>
      <c r="AI95" s="3">
        <v>4</v>
      </c>
      <c r="AL95" s="3" t="s">
        <v>3292</v>
      </c>
      <c r="AM95" s="3" t="s">
        <v>1503</v>
      </c>
    </row>
    <row r="96" spans="1:39" ht="12.5" x14ac:dyDescent="0.25">
      <c r="A96" s="3" t="s">
        <v>46</v>
      </c>
      <c r="B96" s="3" t="s">
        <v>3293</v>
      </c>
      <c r="C96" s="3" t="s">
        <v>3294</v>
      </c>
      <c r="D96" s="3" t="s">
        <v>3295</v>
      </c>
      <c r="E96" s="3" t="s">
        <v>2538</v>
      </c>
      <c r="F96" s="3" t="s">
        <v>2618</v>
      </c>
      <c r="G96" s="3" t="s">
        <v>3296</v>
      </c>
      <c r="H96" s="3" t="s">
        <v>3297</v>
      </c>
      <c r="I96" s="8">
        <v>30168</v>
      </c>
      <c r="J96" s="3">
        <v>39</v>
      </c>
      <c r="K96" s="3">
        <v>589540415</v>
      </c>
      <c r="L96" s="10">
        <v>5228039627</v>
      </c>
      <c r="M96" s="3" t="s">
        <v>3298</v>
      </c>
      <c r="N96" s="3" t="s">
        <v>3299</v>
      </c>
      <c r="O96" s="3"/>
      <c r="P96" s="3" t="s">
        <v>2979</v>
      </c>
      <c r="R96" s="3" t="s">
        <v>120</v>
      </c>
      <c r="T96" s="3" t="s">
        <v>2576</v>
      </c>
      <c r="U96" s="3" t="s">
        <v>2980</v>
      </c>
      <c r="X96" s="3" t="s">
        <v>2544</v>
      </c>
      <c r="Z96" s="3" t="s">
        <v>3300</v>
      </c>
      <c r="AA96" s="3">
        <v>225</v>
      </c>
      <c r="AB96" s="3"/>
      <c r="AC96" s="3" t="s">
        <v>1580</v>
      </c>
      <c r="AD96" s="3" t="s">
        <v>3301</v>
      </c>
      <c r="AE96" s="3" t="s">
        <v>101</v>
      </c>
      <c r="AF96" s="3" t="s">
        <v>2741</v>
      </c>
      <c r="AG96" s="3" t="s">
        <v>2549</v>
      </c>
      <c r="AH96" s="3" t="s">
        <v>2550</v>
      </c>
      <c r="AI96" s="3">
        <v>4</v>
      </c>
      <c r="AL96" s="3" t="s">
        <v>3302</v>
      </c>
      <c r="AM96" s="3" t="s">
        <v>1588</v>
      </c>
    </row>
    <row r="97" spans="1:39" ht="12.5" x14ac:dyDescent="0.25">
      <c r="A97" s="3" t="s">
        <v>46</v>
      </c>
      <c r="B97" s="3" t="s">
        <v>3303</v>
      </c>
      <c r="C97" s="3" t="s">
        <v>3304</v>
      </c>
      <c r="D97" s="3" t="s">
        <v>3305</v>
      </c>
      <c r="E97" s="3" t="s">
        <v>2538</v>
      </c>
      <c r="F97" s="3" t="s">
        <v>2618</v>
      </c>
      <c r="G97" s="3" t="s">
        <v>3306</v>
      </c>
      <c r="H97" s="3" t="s">
        <v>3307</v>
      </c>
      <c r="I97" s="6">
        <v>28073</v>
      </c>
      <c r="J97" s="3">
        <v>45</v>
      </c>
      <c r="K97" s="3">
        <v>101619989</v>
      </c>
      <c r="L97" s="10">
        <v>3864241790</v>
      </c>
      <c r="M97" s="3" t="s">
        <v>3136</v>
      </c>
      <c r="N97" s="3"/>
      <c r="O97" s="3" t="s">
        <v>2998</v>
      </c>
      <c r="P97" s="3" t="s">
        <v>2979</v>
      </c>
      <c r="R97" s="3" t="s">
        <v>62</v>
      </c>
      <c r="T97" s="3" t="s">
        <v>2576</v>
      </c>
      <c r="U97" s="3" t="s">
        <v>2980</v>
      </c>
      <c r="V97" s="3"/>
      <c r="X97" s="3" t="s">
        <v>2577</v>
      </c>
      <c r="Z97" s="3" t="s">
        <v>3308</v>
      </c>
      <c r="AA97" s="3">
        <v>194</v>
      </c>
      <c r="AC97" s="3" t="s">
        <v>1608</v>
      </c>
      <c r="AD97" s="3" t="s">
        <v>3309</v>
      </c>
      <c r="AE97" s="3" t="s">
        <v>70</v>
      </c>
      <c r="AF97" s="3" t="s">
        <v>2741</v>
      </c>
      <c r="AG97" s="3" t="s">
        <v>3310</v>
      </c>
      <c r="AH97" s="3" t="s">
        <v>2550</v>
      </c>
      <c r="AI97" s="3">
        <v>3</v>
      </c>
      <c r="AL97" s="3" t="s">
        <v>3311</v>
      </c>
      <c r="AM97" s="3" t="s">
        <v>3312</v>
      </c>
    </row>
    <row r="98" spans="1:39" ht="12.5" x14ac:dyDescent="0.25">
      <c r="A98" s="3" t="s">
        <v>46</v>
      </c>
      <c r="B98" s="3" t="s">
        <v>3313</v>
      </c>
      <c r="C98" s="3" t="s">
        <v>3314</v>
      </c>
      <c r="D98" s="3" t="s">
        <v>3315</v>
      </c>
      <c r="E98" s="3" t="s">
        <v>2538</v>
      </c>
      <c r="F98" s="3" t="s">
        <v>2618</v>
      </c>
      <c r="G98" s="3" t="s">
        <v>3316</v>
      </c>
      <c r="H98" s="3" t="s">
        <v>3317</v>
      </c>
      <c r="I98" s="6">
        <v>27899</v>
      </c>
      <c r="J98" s="3">
        <v>45</v>
      </c>
      <c r="K98" s="3">
        <v>198427948</v>
      </c>
      <c r="L98" s="10">
        <v>63945541387</v>
      </c>
      <c r="M98" s="3" t="s">
        <v>3318</v>
      </c>
      <c r="N98" s="3" t="s">
        <v>3319</v>
      </c>
      <c r="O98" s="3" t="s">
        <v>2998</v>
      </c>
      <c r="P98" s="3" t="s">
        <v>3320</v>
      </c>
      <c r="R98" s="3" t="s">
        <v>120</v>
      </c>
      <c r="T98" s="3" t="s">
        <v>2576</v>
      </c>
      <c r="U98" s="3" t="s">
        <v>2980</v>
      </c>
      <c r="X98" s="3" t="s">
        <v>2577</v>
      </c>
      <c r="Z98" s="3" t="s">
        <v>3321</v>
      </c>
      <c r="AA98" s="3">
        <v>17</v>
      </c>
      <c r="AB98" s="3"/>
      <c r="AC98" s="3" t="s">
        <v>1631</v>
      </c>
      <c r="AD98" s="3" t="s">
        <v>3322</v>
      </c>
      <c r="AE98" s="3" t="s">
        <v>246</v>
      </c>
      <c r="AF98" s="3" t="s">
        <v>2569</v>
      </c>
      <c r="AG98" s="3" t="s">
        <v>2603</v>
      </c>
      <c r="AH98" s="3" t="s">
        <v>2550</v>
      </c>
      <c r="AI98" s="3">
        <v>8</v>
      </c>
      <c r="AL98" s="3" t="s">
        <v>1638</v>
      </c>
      <c r="AM98" s="3" t="s">
        <v>1638</v>
      </c>
    </row>
    <row r="99" spans="1:39" ht="12.5" x14ac:dyDescent="0.25">
      <c r="A99" s="3" t="s">
        <v>46</v>
      </c>
      <c r="B99" s="3" t="s">
        <v>3323</v>
      </c>
      <c r="C99" s="3" t="s">
        <v>3324</v>
      </c>
      <c r="D99" s="3" t="s">
        <v>3325</v>
      </c>
      <c r="E99" s="3" t="s">
        <v>2538</v>
      </c>
      <c r="F99" s="3" t="s">
        <v>2618</v>
      </c>
      <c r="G99" s="3" t="s">
        <v>3326</v>
      </c>
      <c r="H99" s="3" t="s">
        <v>3327</v>
      </c>
      <c r="I99" s="6">
        <v>27160</v>
      </c>
      <c r="J99" s="3">
        <v>47</v>
      </c>
      <c r="K99" s="3">
        <v>6459894</v>
      </c>
      <c r="L99" s="10">
        <v>2893073689</v>
      </c>
      <c r="M99" s="3" t="s">
        <v>3328</v>
      </c>
      <c r="N99" s="3"/>
      <c r="O99" s="3" t="s">
        <v>3137</v>
      </c>
      <c r="P99" s="3" t="s">
        <v>3138</v>
      </c>
      <c r="R99" s="3" t="s">
        <v>62</v>
      </c>
      <c r="T99" s="3" t="s">
        <v>2541</v>
      </c>
      <c r="U99" s="3" t="s">
        <v>2980</v>
      </c>
      <c r="X99" s="3" t="s">
        <v>2544</v>
      </c>
      <c r="Z99" s="3" t="s">
        <v>3329</v>
      </c>
      <c r="AA99" s="3">
        <v>77</v>
      </c>
      <c r="AC99" s="3" t="s">
        <v>1655</v>
      </c>
      <c r="AD99" s="3" t="s">
        <v>3330</v>
      </c>
      <c r="AE99" s="3" t="s">
        <v>84</v>
      </c>
      <c r="AF99" s="3" t="s">
        <v>2548</v>
      </c>
      <c r="AG99" s="3" t="s">
        <v>2587</v>
      </c>
      <c r="AH99" s="3" t="s">
        <v>2550</v>
      </c>
      <c r="AI99" s="3">
        <v>4</v>
      </c>
      <c r="AL99" s="3" t="s">
        <v>3331</v>
      </c>
      <c r="AM99" s="3" t="s">
        <v>3332</v>
      </c>
    </row>
    <row r="100" spans="1:39" ht="12.5" x14ac:dyDescent="0.25">
      <c r="A100" s="3" t="s">
        <v>46</v>
      </c>
      <c r="B100" s="3" t="s">
        <v>3333</v>
      </c>
      <c r="C100" s="3" t="s">
        <v>3334</v>
      </c>
      <c r="D100" s="3" t="s">
        <v>3335</v>
      </c>
      <c r="E100" s="3" t="s">
        <v>2538</v>
      </c>
      <c r="F100" s="3" t="s">
        <v>2618</v>
      </c>
      <c r="G100" s="3" t="s">
        <v>3336</v>
      </c>
      <c r="H100" s="3" t="s">
        <v>3337</v>
      </c>
      <c r="I100" s="6">
        <v>31623</v>
      </c>
      <c r="J100" s="3">
        <v>35</v>
      </c>
      <c r="K100" s="3">
        <v>116085930</v>
      </c>
      <c r="L100" s="10">
        <v>7753823612</v>
      </c>
      <c r="M100" s="3" t="s">
        <v>3338</v>
      </c>
      <c r="N100" s="3" t="s">
        <v>3339</v>
      </c>
      <c r="O100" s="3"/>
      <c r="P100" s="3" t="s">
        <v>3138</v>
      </c>
      <c r="R100" s="3" t="s">
        <v>120</v>
      </c>
      <c r="T100" s="3" t="s">
        <v>2576</v>
      </c>
      <c r="U100" s="3" t="s">
        <v>2980</v>
      </c>
      <c r="X100" s="3" t="s">
        <v>2544</v>
      </c>
      <c r="Z100" s="3" t="s">
        <v>3340</v>
      </c>
      <c r="AA100" s="3">
        <v>163</v>
      </c>
      <c r="AB100" s="3" t="s">
        <v>1539</v>
      </c>
      <c r="AC100" s="3" t="s">
        <v>177</v>
      </c>
      <c r="AD100" s="3" t="s">
        <v>3341</v>
      </c>
      <c r="AE100" s="3" t="s">
        <v>84</v>
      </c>
      <c r="AF100" s="3" t="s">
        <v>2741</v>
      </c>
      <c r="AG100" s="3" t="s">
        <v>2559</v>
      </c>
      <c r="AH100" s="3" t="s">
        <v>2550</v>
      </c>
      <c r="AI100" s="3">
        <v>2</v>
      </c>
      <c r="AL100" s="3" t="s">
        <v>3342</v>
      </c>
      <c r="AM100" s="3" t="s">
        <v>3343</v>
      </c>
    </row>
    <row r="101" spans="1:39" ht="12.5" x14ac:dyDescent="0.25">
      <c r="A101" s="3" t="s">
        <v>46</v>
      </c>
      <c r="B101" s="3" t="s">
        <v>3344</v>
      </c>
      <c r="C101" s="3" t="s">
        <v>3345</v>
      </c>
      <c r="D101" s="3" t="s">
        <v>3346</v>
      </c>
      <c r="E101" s="3" t="s">
        <v>2538</v>
      </c>
      <c r="F101" s="3" t="s">
        <v>2618</v>
      </c>
      <c r="G101" s="3" t="s">
        <v>3347</v>
      </c>
      <c r="H101" s="3" t="s">
        <v>3348</v>
      </c>
      <c r="I101" s="6">
        <v>30883</v>
      </c>
      <c r="J101" s="3">
        <v>37</v>
      </c>
      <c r="K101" s="3">
        <v>402188779</v>
      </c>
      <c r="L101" s="10">
        <v>32938562845</v>
      </c>
      <c r="M101" s="3" t="s">
        <v>2845</v>
      </c>
      <c r="N101" s="3"/>
      <c r="O101" s="3"/>
      <c r="P101" s="3" t="s">
        <v>2979</v>
      </c>
      <c r="R101" s="3" t="s">
        <v>62</v>
      </c>
      <c r="T101" s="3" t="s">
        <v>2541</v>
      </c>
      <c r="U101" s="3" t="s">
        <v>2980</v>
      </c>
      <c r="V101" s="3"/>
      <c r="X101" s="3" t="s">
        <v>2544</v>
      </c>
      <c r="Z101" s="3" t="s">
        <v>3349</v>
      </c>
      <c r="AA101" s="3">
        <v>1778</v>
      </c>
      <c r="AB101" s="3"/>
      <c r="AC101" s="3" t="s">
        <v>1724</v>
      </c>
      <c r="AD101" s="3" t="s">
        <v>3350</v>
      </c>
      <c r="AE101" s="3" t="s">
        <v>101</v>
      </c>
      <c r="AF101" s="3" t="s">
        <v>2569</v>
      </c>
      <c r="AG101" s="3" t="s">
        <v>2559</v>
      </c>
      <c r="AH101" s="3" t="s">
        <v>2579</v>
      </c>
      <c r="AI101" s="3">
        <v>3</v>
      </c>
      <c r="AL101" s="3" t="s">
        <v>3351</v>
      </c>
      <c r="AM101" s="3" t="s">
        <v>1729</v>
      </c>
    </row>
    <row r="102" spans="1:39" ht="12.5" x14ac:dyDescent="0.25">
      <c r="A102" s="3" t="s">
        <v>46</v>
      </c>
      <c r="B102" s="3" t="s">
        <v>3352</v>
      </c>
      <c r="C102" s="3" t="s">
        <v>3353</v>
      </c>
      <c r="D102" s="3" t="s">
        <v>3354</v>
      </c>
      <c r="E102" s="3" t="s">
        <v>2538</v>
      </c>
      <c r="F102" s="3" t="s">
        <v>2618</v>
      </c>
      <c r="G102" s="3" t="s">
        <v>1741</v>
      </c>
      <c r="H102" s="3" t="s">
        <v>3355</v>
      </c>
      <c r="I102" s="6">
        <v>33085</v>
      </c>
      <c r="J102" s="3">
        <v>31</v>
      </c>
      <c r="K102" s="3">
        <v>16627411</v>
      </c>
      <c r="L102" s="10">
        <v>10058194673</v>
      </c>
      <c r="M102" s="3" t="s">
        <v>2647</v>
      </c>
      <c r="O102" s="3" t="s">
        <v>2998</v>
      </c>
      <c r="P102" s="3" t="s">
        <v>3138</v>
      </c>
      <c r="R102" s="3" t="s">
        <v>62</v>
      </c>
      <c r="S102" s="3"/>
      <c r="T102" s="3" t="s">
        <v>2541</v>
      </c>
      <c r="U102" s="3" t="s">
        <v>2980</v>
      </c>
      <c r="V102" s="3" t="s">
        <v>2542</v>
      </c>
      <c r="X102" s="3"/>
      <c r="Z102" s="3" t="s">
        <v>3356</v>
      </c>
      <c r="AA102" s="3">
        <v>77</v>
      </c>
      <c r="AC102" s="3" t="s">
        <v>177</v>
      </c>
      <c r="AD102" s="3" t="s">
        <v>3357</v>
      </c>
      <c r="AE102" s="3" t="s">
        <v>84</v>
      </c>
      <c r="AF102" s="3" t="s">
        <v>2569</v>
      </c>
      <c r="AG102" s="3" t="s">
        <v>2587</v>
      </c>
      <c r="AH102" s="3" t="s">
        <v>2550</v>
      </c>
      <c r="AI102" s="3">
        <v>2</v>
      </c>
      <c r="AL102" s="3" t="s">
        <v>3358</v>
      </c>
      <c r="AM102" s="3" t="s">
        <v>3359</v>
      </c>
    </row>
    <row r="103" spans="1:39" ht="12.5" x14ac:dyDescent="0.25">
      <c r="A103" s="3" t="s">
        <v>46</v>
      </c>
      <c r="B103" s="3" t="s">
        <v>3360</v>
      </c>
      <c r="C103" s="3" t="s">
        <v>3361</v>
      </c>
      <c r="D103" s="3" t="s">
        <v>3362</v>
      </c>
      <c r="E103" s="3" t="s">
        <v>2538</v>
      </c>
      <c r="F103" s="3" t="s">
        <v>2618</v>
      </c>
      <c r="G103" s="3" t="s">
        <v>3363</v>
      </c>
      <c r="H103" s="3" t="s">
        <v>3364</v>
      </c>
      <c r="I103" s="6">
        <v>31332</v>
      </c>
      <c r="J103" s="3">
        <v>36</v>
      </c>
      <c r="K103" s="3">
        <v>443804366</v>
      </c>
      <c r="L103" s="10">
        <v>33010096895</v>
      </c>
      <c r="M103" s="3" t="s">
        <v>2776</v>
      </c>
      <c r="N103" s="3"/>
      <c r="O103" s="3" t="s">
        <v>3137</v>
      </c>
      <c r="P103" s="3" t="s">
        <v>2979</v>
      </c>
      <c r="R103" s="3" t="s">
        <v>62</v>
      </c>
      <c r="T103" s="3" t="s">
        <v>2541</v>
      </c>
      <c r="U103" s="3" t="s">
        <v>3365</v>
      </c>
      <c r="V103" s="3"/>
      <c r="X103" s="3" t="s">
        <v>2544</v>
      </c>
      <c r="Z103" s="3" t="s">
        <v>1761</v>
      </c>
      <c r="AA103" s="3">
        <v>85</v>
      </c>
      <c r="AB103" s="3"/>
      <c r="AC103" s="3" t="s">
        <v>128</v>
      </c>
      <c r="AD103" s="3" t="s">
        <v>3366</v>
      </c>
      <c r="AE103" s="3" t="s">
        <v>101</v>
      </c>
      <c r="AF103" s="3" t="s">
        <v>2741</v>
      </c>
      <c r="AG103" s="3" t="s">
        <v>3291</v>
      </c>
      <c r="AH103" s="3" t="s">
        <v>2550</v>
      </c>
      <c r="AI103" s="3">
        <v>4</v>
      </c>
      <c r="AL103" s="3" t="s">
        <v>3367</v>
      </c>
      <c r="AM103" s="3" t="s">
        <v>3368</v>
      </c>
    </row>
    <row r="104" spans="1:39" ht="12.5" x14ac:dyDescent="0.25">
      <c r="A104" s="3" t="s">
        <v>46</v>
      </c>
      <c r="B104" s="3" t="s">
        <v>3369</v>
      </c>
      <c r="C104" s="3" t="s">
        <v>3370</v>
      </c>
      <c r="D104" s="3" t="s">
        <v>3371</v>
      </c>
      <c r="E104" s="3" t="s">
        <v>2538</v>
      </c>
      <c r="F104" s="3" t="s">
        <v>2618</v>
      </c>
      <c r="G104" s="3" t="s">
        <v>3372</v>
      </c>
      <c r="H104" s="3" t="s">
        <v>3373</v>
      </c>
      <c r="I104" s="6">
        <v>29121</v>
      </c>
      <c r="J104" s="3">
        <v>42</v>
      </c>
      <c r="K104" s="3">
        <v>4136453</v>
      </c>
      <c r="L104" s="10">
        <v>89943104104</v>
      </c>
      <c r="M104" s="3" t="s">
        <v>2647</v>
      </c>
      <c r="N104" s="3"/>
      <c r="O104" s="3" t="s">
        <v>2998</v>
      </c>
      <c r="P104" s="3" t="s">
        <v>2979</v>
      </c>
      <c r="R104" s="3" t="s">
        <v>62</v>
      </c>
      <c r="T104" s="3" t="s">
        <v>2576</v>
      </c>
      <c r="U104" s="3" t="s">
        <v>2980</v>
      </c>
      <c r="X104" s="3" t="s">
        <v>2544</v>
      </c>
      <c r="Z104" s="3" t="s">
        <v>3374</v>
      </c>
      <c r="AA104" s="3">
        <v>215</v>
      </c>
      <c r="AB104" s="3"/>
      <c r="AC104" s="3" t="s">
        <v>1808</v>
      </c>
      <c r="AD104" s="3" t="s">
        <v>3375</v>
      </c>
      <c r="AE104" s="3" t="s">
        <v>280</v>
      </c>
      <c r="AF104" s="3" t="s">
        <v>2548</v>
      </c>
      <c r="AG104" s="3" t="s">
        <v>2559</v>
      </c>
      <c r="AH104" s="3" t="s">
        <v>2550</v>
      </c>
      <c r="AI104" s="3">
        <v>4</v>
      </c>
      <c r="AL104" s="3" t="s">
        <v>3376</v>
      </c>
      <c r="AM104" s="3" t="s">
        <v>1815</v>
      </c>
    </row>
    <row r="105" spans="1:39" ht="12.5" x14ac:dyDescent="0.25">
      <c r="A105" s="3" t="s">
        <v>46</v>
      </c>
      <c r="B105" s="3" t="s">
        <v>3377</v>
      </c>
      <c r="C105" s="3" t="s">
        <v>3378</v>
      </c>
      <c r="D105" s="3" t="s">
        <v>3379</v>
      </c>
      <c r="E105" s="3" t="s">
        <v>2538</v>
      </c>
      <c r="F105" s="3" t="s">
        <v>2618</v>
      </c>
      <c r="G105" s="3" t="s">
        <v>3380</v>
      </c>
      <c r="H105" s="3" t="s">
        <v>3381</v>
      </c>
      <c r="I105" s="8">
        <v>28147</v>
      </c>
      <c r="J105" s="3">
        <v>44</v>
      </c>
      <c r="K105" s="3">
        <v>376110636</v>
      </c>
      <c r="L105" s="10">
        <v>26091876880</v>
      </c>
      <c r="M105" s="3" t="s">
        <v>3382</v>
      </c>
      <c r="O105" s="3" t="s">
        <v>3137</v>
      </c>
      <c r="P105" s="3" t="s">
        <v>3234</v>
      </c>
      <c r="R105" s="3" t="s">
        <v>62</v>
      </c>
      <c r="T105" s="3" t="s">
        <v>2541</v>
      </c>
      <c r="U105" s="3" t="s">
        <v>2980</v>
      </c>
      <c r="V105" s="3"/>
      <c r="X105" s="3" t="s">
        <v>2544</v>
      </c>
      <c r="Z105" s="3" t="s">
        <v>3383</v>
      </c>
      <c r="AA105" s="3">
        <v>137</v>
      </c>
      <c r="AB105" s="3" t="s">
        <v>647</v>
      </c>
      <c r="AC105" s="3" t="s">
        <v>128</v>
      </c>
      <c r="AD105" s="3" t="s">
        <v>3384</v>
      </c>
      <c r="AE105" s="3" t="s">
        <v>101</v>
      </c>
      <c r="AF105" s="3" t="s">
        <v>2569</v>
      </c>
      <c r="AG105" s="3" t="s">
        <v>2559</v>
      </c>
      <c r="AH105" s="3" t="s">
        <v>3385</v>
      </c>
      <c r="AI105" s="3">
        <v>2</v>
      </c>
      <c r="AL105" s="3" t="s">
        <v>3386</v>
      </c>
      <c r="AM105" s="3" t="s">
        <v>3387</v>
      </c>
    </row>
    <row r="106" spans="1:39" ht="12.5" x14ac:dyDescent="0.25">
      <c r="A106" s="3" t="s">
        <v>46</v>
      </c>
      <c r="B106" s="3" t="s">
        <v>3388</v>
      </c>
      <c r="C106" s="3" t="s">
        <v>3389</v>
      </c>
      <c r="D106" s="3" t="s">
        <v>3390</v>
      </c>
      <c r="E106" s="3" t="s">
        <v>2538</v>
      </c>
      <c r="F106" s="3" t="s">
        <v>2618</v>
      </c>
      <c r="G106" s="3" t="s">
        <v>3391</v>
      </c>
      <c r="H106" s="3" t="s">
        <v>3392</v>
      </c>
      <c r="I106" s="6">
        <v>30509</v>
      </c>
      <c r="J106" s="3">
        <v>38</v>
      </c>
      <c r="K106" s="3">
        <v>836844416</v>
      </c>
      <c r="L106" s="10">
        <v>2240643552</v>
      </c>
      <c r="M106" s="3" t="s">
        <v>3393</v>
      </c>
      <c r="N106" s="3" t="s">
        <v>3394</v>
      </c>
      <c r="O106" s="3" t="s">
        <v>3269</v>
      </c>
      <c r="P106" s="3" t="s">
        <v>2979</v>
      </c>
      <c r="R106" s="3" t="s">
        <v>62</v>
      </c>
      <c r="T106" s="3" t="s">
        <v>2541</v>
      </c>
      <c r="U106" s="3" t="s">
        <v>2980</v>
      </c>
      <c r="X106" s="3" t="s">
        <v>2577</v>
      </c>
      <c r="Z106" s="3" t="s">
        <v>3395</v>
      </c>
      <c r="AA106" s="3">
        <v>121</v>
      </c>
      <c r="AB106" s="3" t="s">
        <v>1539</v>
      </c>
      <c r="AC106" s="3" t="s">
        <v>1848</v>
      </c>
      <c r="AD106" s="3" t="s">
        <v>3396</v>
      </c>
      <c r="AE106" s="3" t="s">
        <v>1002</v>
      </c>
      <c r="AF106" s="3" t="s">
        <v>2548</v>
      </c>
      <c r="AG106" s="3" t="s">
        <v>3397</v>
      </c>
      <c r="AH106" s="3" t="s">
        <v>2550</v>
      </c>
      <c r="AI106" s="3">
        <v>6</v>
      </c>
      <c r="AL106" s="3" t="s">
        <v>3398</v>
      </c>
      <c r="AM106" s="3" t="s">
        <v>3399</v>
      </c>
    </row>
    <row r="107" spans="1:39" ht="12.5" x14ac:dyDescent="0.25">
      <c r="A107" s="3" t="s">
        <v>46</v>
      </c>
      <c r="B107" s="3" t="s">
        <v>3400</v>
      </c>
      <c r="C107" s="3" t="s">
        <v>3401</v>
      </c>
      <c r="D107" s="3" t="s">
        <v>3402</v>
      </c>
      <c r="E107" s="3" t="s">
        <v>2538</v>
      </c>
      <c r="F107" s="3" t="s">
        <v>2618</v>
      </c>
      <c r="G107" s="3" t="s">
        <v>3403</v>
      </c>
      <c r="H107" s="3" t="s">
        <v>3404</v>
      </c>
      <c r="I107" s="6">
        <v>28969</v>
      </c>
      <c r="J107" s="3">
        <v>42</v>
      </c>
      <c r="K107" s="3">
        <v>286213400</v>
      </c>
      <c r="L107" s="10">
        <v>27643928851</v>
      </c>
      <c r="M107" s="3" t="s">
        <v>3405</v>
      </c>
      <c r="N107" s="3"/>
      <c r="O107" s="3" t="s">
        <v>3137</v>
      </c>
      <c r="P107" s="3" t="s">
        <v>2979</v>
      </c>
      <c r="R107" s="3" t="s">
        <v>62</v>
      </c>
      <c r="T107" s="3" t="s">
        <v>2576</v>
      </c>
      <c r="U107" s="3" t="s">
        <v>2980</v>
      </c>
      <c r="X107" s="3" t="s">
        <v>2544</v>
      </c>
      <c r="Z107" s="3" t="s">
        <v>3406</v>
      </c>
      <c r="AA107" s="3">
        <v>381</v>
      </c>
      <c r="AB107" s="3"/>
      <c r="AC107" s="3" t="s">
        <v>128</v>
      </c>
      <c r="AD107" s="3" t="s">
        <v>3407</v>
      </c>
      <c r="AE107" s="3" t="s">
        <v>101</v>
      </c>
      <c r="AF107" s="3" t="s">
        <v>2569</v>
      </c>
      <c r="AG107" s="3" t="s">
        <v>2559</v>
      </c>
      <c r="AH107" s="3" t="s">
        <v>2550</v>
      </c>
      <c r="AI107" s="3">
        <v>7</v>
      </c>
      <c r="AL107" s="3" t="s">
        <v>3408</v>
      </c>
      <c r="AM107" s="3" t="s">
        <v>3409</v>
      </c>
    </row>
    <row r="108" spans="1:39" ht="12.5" x14ac:dyDescent="0.25">
      <c r="A108" s="3" t="s">
        <v>46</v>
      </c>
      <c r="B108" s="3" t="s">
        <v>3410</v>
      </c>
      <c r="C108" s="3" t="s">
        <v>3411</v>
      </c>
      <c r="D108" s="3" t="s">
        <v>3412</v>
      </c>
      <c r="E108" s="3" t="s">
        <v>2538</v>
      </c>
      <c r="F108" s="3" t="s">
        <v>2618</v>
      </c>
      <c r="G108" s="3" t="s">
        <v>3413</v>
      </c>
      <c r="H108" s="3" t="s">
        <v>3414</v>
      </c>
      <c r="I108" s="6">
        <v>28038</v>
      </c>
      <c r="J108" s="3">
        <v>45</v>
      </c>
      <c r="K108" s="3">
        <v>385871582</v>
      </c>
      <c r="L108" s="10">
        <v>3020000629</v>
      </c>
      <c r="M108" s="3" t="s">
        <v>3415</v>
      </c>
      <c r="N108" s="3" t="s">
        <v>3416</v>
      </c>
      <c r="O108" s="3" t="s">
        <v>3417</v>
      </c>
      <c r="P108" s="3" t="s">
        <v>2979</v>
      </c>
      <c r="R108" s="3" t="s">
        <v>120</v>
      </c>
      <c r="T108" s="3" t="s">
        <v>2541</v>
      </c>
      <c r="U108" s="3" t="s">
        <v>2980</v>
      </c>
      <c r="X108" s="3" t="s">
        <v>2577</v>
      </c>
      <c r="Z108" s="3" t="s">
        <v>3418</v>
      </c>
      <c r="AA108" s="3">
        <v>79</v>
      </c>
      <c r="AB108" s="3" t="s">
        <v>3419</v>
      </c>
      <c r="AC108" s="3" t="s">
        <v>1918</v>
      </c>
      <c r="AD108" s="3" t="s">
        <v>3420</v>
      </c>
      <c r="AE108" s="3" t="s">
        <v>84</v>
      </c>
      <c r="AF108" s="3" t="s">
        <v>2548</v>
      </c>
      <c r="AG108" s="3" t="s">
        <v>2559</v>
      </c>
      <c r="AH108" s="3" t="s">
        <v>2588</v>
      </c>
      <c r="AI108" s="3">
        <v>4</v>
      </c>
      <c r="AL108" s="3" t="s">
        <v>3421</v>
      </c>
      <c r="AM108" s="3" t="s">
        <v>3422</v>
      </c>
    </row>
    <row r="109" spans="1:39" ht="12.5" x14ac:dyDescent="0.25">
      <c r="A109" s="3" t="s">
        <v>46</v>
      </c>
      <c r="B109" s="3" t="s">
        <v>3423</v>
      </c>
      <c r="C109" s="3" t="s">
        <v>2773</v>
      </c>
      <c r="D109" s="3" t="s">
        <v>3424</v>
      </c>
      <c r="E109" s="3" t="s">
        <v>2538</v>
      </c>
      <c r="F109" s="3" t="s">
        <v>2618</v>
      </c>
      <c r="G109" s="3" t="s">
        <v>3425</v>
      </c>
      <c r="H109" s="3" t="s">
        <v>3426</v>
      </c>
      <c r="I109" s="6">
        <v>30202</v>
      </c>
      <c r="J109" s="3">
        <v>39</v>
      </c>
      <c r="K109" s="3">
        <v>9022050</v>
      </c>
      <c r="L109" s="10">
        <v>1446910601</v>
      </c>
      <c r="M109" s="3" t="s">
        <v>3427</v>
      </c>
      <c r="N109" s="3"/>
      <c r="O109" s="3"/>
      <c r="P109" s="3" t="s">
        <v>3138</v>
      </c>
      <c r="R109" s="3" t="s">
        <v>62</v>
      </c>
      <c r="T109" s="3" t="s">
        <v>2541</v>
      </c>
      <c r="U109" s="3" t="s">
        <v>2980</v>
      </c>
      <c r="X109" s="3" t="s">
        <v>2544</v>
      </c>
      <c r="Z109" s="3" t="s">
        <v>3428</v>
      </c>
      <c r="AA109" s="3">
        <v>369</v>
      </c>
      <c r="AB109" s="3" t="s">
        <v>3429</v>
      </c>
      <c r="AC109" s="3" t="s">
        <v>177</v>
      </c>
      <c r="AD109" s="3" t="s">
        <v>3430</v>
      </c>
      <c r="AE109" s="3" t="s">
        <v>84</v>
      </c>
      <c r="AF109" s="3" t="s">
        <v>2569</v>
      </c>
      <c r="AG109" s="3" t="s">
        <v>2559</v>
      </c>
      <c r="AH109" s="3" t="s">
        <v>3385</v>
      </c>
      <c r="AI109" s="3">
        <v>6</v>
      </c>
      <c r="AL109" s="3" t="s">
        <v>3431</v>
      </c>
      <c r="AM109" s="3" t="s">
        <v>3432</v>
      </c>
    </row>
    <row r="110" spans="1:39" ht="12.5" x14ac:dyDescent="0.25">
      <c r="A110" s="3" t="s">
        <v>46</v>
      </c>
      <c r="B110" s="3" t="s">
        <v>3433</v>
      </c>
      <c r="C110" s="3" t="s">
        <v>3434</v>
      </c>
      <c r="D110" s="3" t="s">
        <v>3435</v>
      </c>
      <c r="E110" s="3" t="s">
        <v>2538</v>
      </c>
      <c r="F110" s="3" t="s">
        <v>2618</v>
      </c>
      <c r="G110" s="3" t="s">
        <v>3436</v>
      </c>
      <c r="H110" s="3" t="s">
        <v>3437</v>
      </c>
      <c r="I110" s="6">
        <v>24785</v>
      </c>
      <c r="J110" s="3">
        <v>54</v>
      </c>
      <c r="K110" s="3">
        <v>761364</v>
      </c>
      <c r="L110" s="10">
        <v>20066821215</v>
      </c>
      <c r="M110" s="3" t="s">
        <v>3438</v>
      </c>
      <c r="N110" s="3"/>
      <c r="O110" s="3"/>
      <c r="P110" s="3" t="s">
        <v>2979</v>
      </c>
      <c r="R110" s="3" t="s">
        <v>62</v>
      </c>
      <c r="T110" s="3" t="s">
        <v>2541</v>
      </c>
      <c r="U110" s="3" t="s">
        <v>2980</v>
      </c>
      <c r="X110" s="3" t="s">
        <v>2577</v>
      </c>
      <c r="Z110" s="3" t="s">
        <v>3439</v>
      </c>
      <c r="AA110" s="3">
        <v>1828</v>
      </c>
      <c r="AB110" s="3" t="s">
        <v>647</v>
      </c>
      <c r="AC110" s="3" t="s">
        <v>1874</v>
      </c>
      <c r="AD110" s="3" t="s">
        <v>3440</v>
      </c>
      <c r="AE110" s="3" t="s">
        <v>1871</v>
      </c>
      <c r="AF110" s="3" t="s">
        <v>2741</v>
      </c>
      <c r="AG110" s="3" t="s">
        <v>3441</v>
      </c>
      <c r="AH110" s="3" t="s">
        <v>2550</v>
      </c>
      <c r="AI110" s="3">
        <v>5</v>
      </c>
      <c r="AL110" s="3" t="s">
        <v>1884</v>
      </c>
      <c r="AM110" s="3" t="s">
        <v>1884</v>
      </c>
    </row>
    <row r="111" spans="1:39" ht="12.5" x14ac:dyDescent="0.25">
      <c r="A111" s="3" t="s">
        <v>152</v>
      </c>
      <c r="B111" s="3" t="s">
        <v>3442</v>
      </c>
      <c r="C111" s="3" t="s">
        <v>3443</v>
      </c>
      <c r="D111" s="3" t="s">
        <v>3444</v>
      </c>
      <c r="E111" s="3" t="s">
        <v>2538</v>
      </c>
      <c r="F111" s="3" t="s">
        <v>2618</v>
      </c>
      <c r="G111" s="3" t="s">
        <v>1955</v>
      </c>
      <c r="H111" s="3" t="s">
        <v>3445</v>
      </c>
      <c r="I111" s="6">
        <v>27401</v>
      </c>
      <c r="J111" s="3">
        <v>46</v>
      </c>
      <c r="K111" s="3">
        <v>1277112</v>
      </c>
      <c r="L111" s="10">
        <v>50572059191</v>
      </c>
      <c r="M111" s="3" t="s">
        <v>3446</v>
      </c>
      <c r="N111" s="3" t="s">
        <v>3447</v>
      </c>
      <c r="O111" s="3" t="s">
        <v>3137</v>
      </c>
      <c r="P111" s="3" t="s">
        <v>3138</v>
      </c>
      <c r="R111" s="3" t="s">
        <v>120</v>
      </c>
      <c r="S111" s="3" t="s">
        <v>3448</v>
      </c>
      <c r="T111" s="3" t="s">
        <v>2576</v>
      </c>
      <c r="U111" s="3" t="s">
        <v>2980</v>
      </c>
      <c r="V111" s="3" t="s">
        <v>2542</v>
      </c>
      <c r="X111" s="3"/>
      <c r="Z111" s="3" t="s">
        <v>3449</v>
      </c>
      <c r="AA111" s="3">
        <v>3</v>
      </c>
      <c r="AB111" s="3"/>
      <c r="AC111" s="3" t="s">
        <v>1959</v>
      </c>
      <c r="AD111" s="3" t="s">
        <v>3450</v>
      </c>
      <c r="AE111" s="3" t="s">
        <v>1381</v>
      </c>
      <c r="AF111" s="3" t="s">
        <v>2569</v>
      </c>
      <c r="AG111" s="3" t="s">
        <v>2587</v>
      </c>
      <c r="AH111" s="3" t="s">
        <v>2579</v>
      </c>
      <c r="AI111" s="3">
        <v>4</v>
      </c>
      <c r="AL111" s="3" t="s">
        <v>3451</v>
      </c>
      <c r="AM111" s="3" t="s">
        <v>3452</v>
      </c>
    </row>
    <row r="112" spans="1:39" ht="12.5" x14ac:dyDescent="0.25">
      <c r="A112" s="3" t="s">
        <v>46</v>
      </c>
      <c r="B112" s="3" t="s">
        <v>3453</v>
      </c>
      <c r="C112" s="3" t="s">
        <v>3454</v>
      </c>
      <c r="D112" s="3" t="s">
        <v>3455</v>
      </c>
      <c r="E112" s="3" t="s">
        <v>2538</v>
      </c>
      <c r="F112" s="3" t="s">
        <v>2618</v>
      </c>
      <c r="G112" s="3" t="s">
        <v>3456</v>
      </c>
      <c r="H112" s="3" t="s">
        <v>3457</v>
      </c>
      <c r="I112" s="6">
        <v>25867</v>
      </c>
      <c r="J112" s="3">
        <v>51</v>
      </c>
      <c r="K112" s="3">
        <v>530302659</v>
      </c>
      <c r="L112" s="10">
        <v>59806486587</v>
      </c>
      <c r="M112" s="3" t="s">
        <v>3458</v>
      </c>
      <c r="N112" s="3"/>
      <c r="O112" s="3"/>
      <c r="P112" s="3" t="s">
        <v>3138</v>
      </c>
      <c r="R112" s="3" t="s">
        <v>62</v>
      </c>
      <c r="S112" s="3"/>
      <c r="T112" s="3" t="s">
        <v>2541</v>
      </c>
      <c r="U112" s="3" t="s">
        <v>2980</v>
      </c>
      <c r="V112" s="3" t="s">
        <v>3459</v>
      </c>
      <c r="X112" s="3"/>
      <c r="Z112" s="3" t="s">
        <v>3460</v>
      </c>
      <c r="AA112" s="3">
        <v>39</v>
      </c>
      <c r="AB112" s="3" t="s">
        <v>3461</v>
      </c>
      <c r="AC112" s="3" t="s">
        <v>1848</v>
      </c>
      <c r="AD112" s="3" t="s">
        <v>3462</v>
      </c>
      <c r="AE112" s="3" t="s">
        <v>1002</v>
      </c>
      <c r="AF112" s="3" t="s">
        <v>2569</v>
      </c>
      <c r="AG112" s="3" t="s">
        <v>3261</v>
      </c>
      <c r="AH112" s="3" t="s">
        <v>2550</v>
      </c>
      <c r="AI112" s="3">
        <v>4</v>
      </c>
      <c r="AL112" s="3" t="s">
        <v>3463</v>
      </c>
      <c r="AM112" s="3" t="s">
        <v>3464</v>
      </c>
    </row>
    <row r="113" spans="1:39" ht="12.5" x14ac:dyDescent="0.25">
      <c r="A113" s="3" t="s">
        <v>46</v>
      </c>
      <c r="B113" s="3" t="s">
        <v>3465</v>
      </c>
      <c r="C113" s="3" t="s">
        <v>3466</v>
      </c>
      <c r="D113" s="3" t="s">
        <v>3467</v>
      </c>
      <c r="E113" s="3" t="s">
        <v>2538</v>
      </c>
      <c r="F113" s="3" t="s">
        <v>2618</v>
      </c>
      <c r="G113" s="3" t="s">
        <v>2000</v>
      </c>
      <c r="H113" s="3" t="s">
        <v>3468</v>
      </c>
      <c r="I113" s="6">
        <v>28873</v>
      </c>
      <c r="J113" s="3">
        <v>42</v>
      </c>
      <c r="K113" s="3">
        <v>1121169</v>
      </c>
      <c r="L113" s="10">
        <v>27462527839</v>
      </c>
      <c r="M113" s="3" t="s">
        <v>2845</v>
      </c>
      <c r="N113" s="3"/>
      <c r="O113" s="3"/>
      <c r="P113" s="3" t="s">
        <v>2979</v>
      </c>
      <c r="R113" s="3" t="s">
        <v>62</v>
      </c>
      <c r="T113" s="3" t="s">
        <v>2576</v>
      </c>
      <c r="U113" s="3" t="s">
        <v>2980</v>
      </c>
      <c r="V113" s="3"/>
      <c r="X113" s="3" t="s">
        <v>2544</v>
      </c>
      <c r="Z113" s="3" t="s">
        <v>2002</v>
      </c>
      <c r="AA113" s="3">
        <v>59</v>
      </c>
      <c r="AB113" s="3"/>
      <c r="AC113" s="3" t="s">
        <v>128</v>
      </c>
      <c r="AD113" s="3" t="s">
        <v>3469</v>
      </c>
      <c r="AE113" s="3" t="s">
        <v>101</v>
      </c>
      <c r="AF113" s="3" t="s">
        <v>2741</v>
      </c>
      <c r="AG113" s="3" t="s">
        <v>2587</v>
      </c>
      <c r="AH113" s="3" t="s">
        <v>2550</v>
      </c>
      <c r="AI113" s="3">
        <v>4</v>
      </c>
      <c r="AL113" s="3" t="s">
        <v>3470</v>
      </c>
      <c r="AM113" s="3" t="s">
        <v>3471</v>
      </c>
    </row>
    <row r="114" spans="1:39" ht="12.5" x14ac:dyDescent="0.25">
      <c r="A114" s="3" t="s">
        <v>46</v>
      </c>
      <c r="B114" s="3" t="s">
        <v>3472</v>
      </c>
      <c r="C114" s="3" t="s">
        <v>3473</v>
      </c>
      <c r="D114" s="3" t="s">
        <v>3474</v>
      </c>
      <c r="E114" s="3" t="s">
        <v>2538</v>
      </c>
      <c r="F114" s="3" t="s">
        <v>2618</v>
      </c>
      <c r="G114" s="3" t="s">
        <v>3475</v>
      </c>
      <c r="H114" s="3" t="s">
        <v>3476</v>
      </c>
      <c r="I114" s="8">
        <v>29546</v>
      </c>
      <c r="J114" s="3">
        <v>41</v>
      </c>
      <c r="K114" s="3">
        <v>292876221</v>
      </c>
      <c r="L114" s="10">
        <v>29736308863</v>
      </c>
      <c r="M114" s="3" t="s">
        <v>3477</v>
      </c>
      <c r="N114" s="3"/>
      <c r="O114" s="3" t="s">
        <v>3137</v>
      </c>
      <c r="P114" s="3" t="s">
        <v>3138</v>
      </c>
      <c r="R114" s="3" t="s">
        <v>62</v>
      </c>
      <c r="S114" s="3"/>
      <c r="T114" s="3" t="s">
        <v>2541</v>
      </c>
      <c r="U114" s="3" t="s">
        <v>2980</v>
      </c>
      <c r="V114" s="3"/>
      <c r="X114" s="3" t="s">
        <v>2544</v>
      </c>
      <c r="Z114" s="3" t="s">
        <v>3478</v>
      </c>
      <c r="AA114" s="3">
        <v>751</v>
      </c>
      <c r="AB114" s="3"/>
      <c r="AC114" s="3" t="s">
        <v>393</v>
      </c>
      <c r="AD114" s="3" t="s">
        <v>3479</v>
      </c>
      <c r="AE114" s="3" t="s">
        <v>101</v>
      </c>
      <c r="AF114" s="3" t="s">
        <v>2569</v>
      </c>
      <c r="AG114" s="3" t="s">
        <v>2587</v>
      </c>
      <c r="AH114" s="3" t="s">
        <v>2550</v>
      </c>
      <c r="AI114" s="3">
        <v>3</v>
      </c>
      <c r="AL114" s="3" t="s">
        <v>3480</v>
      </c>
      <c r="AM114" s="3" t="s">
        <v>3481</v>
      </c>
    </row>
    <row r="115" spans="1:39" ht="12.5" x14ac:dyDescent="0.25">
      <c r="A115" s="3" t="s">
        <v>46</v>
      </c>
      <c r="B115" s="3" t="s">
        <v>3482</v>
      </c>
      <c r="C115" s="3" t="s">
        <v>3483</v>
      </c>
      <c r="D115" s="3" t="s">
        <v>3484</v>
      </c>
      <c r="E115" s="3" t="s">
        <v>2538</v>
      </c>
      <c r="F115" s="3" t="s">
        <v>2618</v>
      </c>
      <c r="G115" s="3" t="s">
        <v>3485</v>
      </c>
      <c r="H115" s="3" t="s">
        <v>3486</v>
      </c>
      <c r="I115" s="6">
        <v>32536</v>
      </c>
      <c r="J115" s="3">
        <v>32</v>
      </c>
      <c r="K115" s="3">
        <v>7545646</v>
      </c>
      <c r="L115" s="10">
        <v>99848422234</v>
      </c>
      <c r="M115" s="3"/>
      <c r="O115" s="3" t="s">
        <v>3137</v>
      </c>
      <c r="P115" s="3" t="s">
        <v>3234</v>
      </c>
      <c r="R115" s="3" t="s">
        <v>62</v>
      </c>
      <c r="T115" s="3" t="s">
        <v>2541</v>
      </c>
      <c r="U115" s="3" t="s">
        <v>2980</v>
      </c>
      <c r="V115" s="3" t="s">
        <v>2542</v>
      </c>
      <c r="X115" s="3"/>
      <c r="Z115" s="3" t="s">
        <v>3487</v>
      </c>
      <c r="AA115" s="3">
        <v>89</v>
      </c>
      <c r="AB115" s="3" t="s">
        <v>673</v>
      </c>
      <c r="AC115" s="3" t="s">
        <v>2039</v>
      </c>
      <c r="AD115" s="3" t="s">
        <v>3488</v>
      </c>
      <c r="AE115" s="3" t="s">
        <v>557</v>
      </c>
      <c r="AF115" s="3" t="s">
        <v>2569</v>
      </c>
      <c r="AG115" s="3" t="s">
        <v>2596</v>
      </c>
      <c r="AH115" s="3" t="s">
        <v>2550</v>
      </c>
      <c r="AI115" s="3">
        <v>7</v>
      </c>
      <c r="AL115" s="3" t="s">
        <v>3489</v>
      </c>
      <c r="AM115" s="3" t="s">
        <v>3490</v>
      </c>
    </row>
    <row r="116" spans="1:39" ht="12.5" x14ac:dyDescent="0.25">
      <c r="A116" s="3" t="s">
        <v>46</v>
      </c>
      <c r="B116" s="3" t="s">
        <v>3491</v>
      </c>
      <c r="C116" s="3" t="s">
        <v>3492</v>
      </c>
      <c r="D116" s="3" t="s">
        <v>3493</v>
      </c>
      <c r="E116" s="3" t="s">
        <v>2538</v>
      </c>
      <c r="F116" s="3" t="s">
        <v>2618</v>
      </c>
      <c r="G116" s="3" t="s">
        <v>3494</v>
      </c>
      <c r="H116" s="3" t="s">
        <v>3495</v>
      </c>
      <c r="I116" s="8">
        <v>27583</v>
      </c>
      <c r="J116" s="3">
        <v>46</v>
      </c>
      <c r="K116" s="3">
        <v>109220079</v>
      </c>
      <c r="L116" s="10">
        <v>4786934780</v>
      </c>
      <c r="M116" s="3" t="s">
        <v>3496</v>
      </c>
      <c r="N116" s="3" t="s">
        <v>3497</v>
      </c>
      <c r="O116" s="3" t="s">
        <v>3498</v>
      </c>
      <c r="P116" s="3" t="s">
        <v>3138</v>
      </c>
      <c r="R116" s="3" t="s">
        <v>120</v>
      </c>
      <c r="T116" s="3" t="s">
        <v>2541</v>
      </c>
      <c r="U116" s="3" t="s">
        <v>2980</v>
      </c>
      <c r="V116" s="3"/>
      <c r="X116" s="3" t="s">
        <v>2544</v>
      </c>
      <c r="Z116" s="3" t="s">
        <v>3499</v>
      </c>
      <c r="AA116" s="3">
        <v>53</v>
      </c>
      <c r="AB116" s="3" t="s">
        <v>3500</v>
      </c>
      <c r="AC116" s="3" t="s">
        <v>626</v>
      </c>
      <c r="AD116" s="3" t="s">
        <v>3501</v>
      </c>
      <c r="AE116" s="3" t="s">
        <v>70</v>
      </c>
      <c r="AF116" s="3" t="s">
        <v>2741</v>
      </c>
      <c r="AG116" s="3" t="s">
        <v>2559</v>
      </c>
      <c r="AH116" s="3" t="s">
        <v>2550</v>
      </c>
      <c r="AI116" s="3">
        <v>3</v>
      </c>
      <c r="AL116" s="3" t="s">
        <v>3386</v>
      </c>
      <c r="AM116" s="3" t="s">
        <v>3502</v>
      </c>
    </row>
    <row r="117" spans="1:39" ht="12.5" x14ac:dyDescent="0.25">
      <c r="A117" s="3" t="s">
        <v>46</v>
      </c>
      <c r="B117" s="3" t="s">
        <v>3503</v>
      </c>
      <c r="C117" s="3" t="s">
        <v>3504</v>
      </c>
      <c r="D117" s="3" t="s">
        <v>3505</v>
      </c>
      <c r="E117" s="3" t="s">
        <v>2538</v>
      </c>
      <c r="F117" s="3" t="s">
        <v>2618</v>
      </c>
      <c r="G117" s="3" t="s">
        <v>2086</v>
      </c>
      <c r="H117" s="3" t="s">
        <v>3506</v>
      </c>
      <c r="I117" s="6">
        <v>32066</v>
      </c>
      <c r="J117" s="3">
        <v>34</v>
      </c>
      <c r="K117" s="3">
        <v>2003021012119</v>
      </c>
      <c r="L117" s="10">
        <v>2057633322</v>
      </c>
      <c r="M117" s="3" t="s">
        <v>2625</v>
      </c>
      <c r="N117" s="3" t="s">
        <v>3507</v>
      </c>
      <c r="O117" s="3" t="s">
        <v>3498</v>
      </c>
      <c r="P117" s="3" t="s">
        <v>2979</v>
      </c>
      <c r="R117" s="3" t="s">
        <v>120</v>
      </c>
      <c r="T117" s="3" t="s">
        <v>2576</v>
      </c>
      <c r="U117" s="3" t="s">
        <v>3508</v>
      </c>
      <c r="V117" s="3"/>
      <c r="X117" s="3" t="s">
        <v>2577</v>
      </c>
      <c r="Z117" s="3" t="s">
        <v>3509</v>
      </c>
      <c r="AA117" s="3">
        <v>50</v>
      </c>
      <c r="AB117" s="3" t="s">
        <v>3510</v>
      </c>
      <c r="AC117" s="3" t="s">
        <v>2089</v>
      </c>
      <c r="AD117" s="3" t="s">
        <v>3511</v>
      </c>
      <c r="AE117" s="3" t="s">
        <v>468</v>
      </c>
      <c r="AF117" s="3" t="s">
        <v>2548</v>
      </c>
      <c r="AG117" s="3" t="s">
        <v>2587</v>
      </c>
      <c r="AH117" s="3" t="s">
        <v>2550</v>
      </c>
      <c r="AI117" s="3">
        <v>4</v>
      </c>
      <c r="AL117" s="3" t="s">
        <v>3512</v>
      </c>
      <c r="AM117" s="3" t="s">
        <v>3513</v>
      </c>
    </row>
    <row r="118" spans="1:39" ht="12.5" x14ac:dyDescent="0.25">
      <c r="A118" s="3" t="s">
        <v>46</v>
      </c>
      <c r="B118" s="3" t="s">
        <v>3514</v>
      </c>
      <c r="C118" s="3" t="s">
        <v>3515</v>
      </c>
      <c r="D118" s="3" t="s">
        <v>3516</v>
      </c>
      <c r="E118" s="3" t="s">
        <v>2538</v>
      </c>
      <c r="F118" s="3" t="s">
        <v>2618</v>
      </c>
      <c r="G118" s="3" t="s">
        <v>3517</v>
      </c>
      <c r="H118" s="3" t="s">
        <v>3518</v>
      </c>
      <c r="I118" s="6">
        <v>35217</v>
      </c>
      <c r="J118" s="3">
        <v>25</v>
      </c>
      <c r="K118" s="3">
        <v>18694251</v>
      </c>
      <c r="L118" s="10">
        <v>12884455639</v>
      </c>
      <c r="M118" s="3" t="s">
        <v>3136</v>
      </c>
      <c r="N118" s="3"/>
      <c r="O118" s="3" t="s">
        <v>3417</v>
      </c>
      <c r="P118" s="3" t="s">
        <v>3138</v>
      </c>
      <c r="R118" s="3" t="s">
        <v>62</v>
      </c>
      <c r="T118" s="3" t="s">
        <v>2576</v>
      </c>
      <c r="U118" s="3" t="s">
        <v>2980</v>
      </c>
      <c r="V118" s="3"/>
      <c r="X118" s="3" t="s">
        <v>2544</v>
      </c>
      <c r="Z118" s="3" t="s">
        <v>3519</v>
      </c>
      <c r="AA118" s="3">
        <v>34</v>
      </c>
      <c r="AB118" s="3" t="s">
        <v>2864</v>
      </c>
      <c r="AC118" s="3" t="s">
        <v>2107</v>
      </c>
      <c r="AD118" s="3" t="s">
        <v>3520</v>
      </c>
      <c r="AE118" s="3" t="s">
        <v>84</v>
      </c>
      <c r="AF118" s="3" t="s">
        <v>2569</v>
      </c>
      <c r="AG118" s="3" t="s">
        <v>2549</v>
      </c>
      <c r="AH118" s="3" t="s">
        <v>2550</v>
      </c>
      <c r="AI118" s="3">
        <v>3</v>
      </c>
      <c r="AL118" s="3" t="s">
        <v>3521</v>
      </c>
      <c r="AM118" s="3" t="s">
        <v>3521</v>
      </c>
    </row>
    <row r="119" spans="1:39" ht="12.5" x14ac:dyDescent="0.25">
      <c r="A119" s="3" t="s">
        <v>46</v>
      </c>
      <c r="B119" s="3" t="s">
        <v>3522</v>
      </c>
      <c r="C119" s="3" t="s">
        <v>3294</v>
      </c>
      <c r="D119" s="3" t="s">
        <v>3523</v>
      </c>
      <c r="E119" s="3" t="s">
        <v>2538</v>
      </c>
      <c r="F119" s="3" t="s">
        <v>2618</v>
      </c>
      <c r="G119" s="3" t="s">
        <v>3524</v>
      </c>
      <c r="H119" s="3" t="s">
        <v>3525</v>
      </c>
      <c r="I119" s="8">
        <v>31615</v>
      </c>
      <c r="J119" s="3">
        <v>35</v>
      </c>
      <c r="K119" s="3">
        <v>14231133</v>
      </c>
      <c r="L119" s="10">
        <v>7221656681</v>
      </c>
      <c r="M119" s="3" t="s">
        <v>3526</v>
      </c>
      <c r="N119" s="3"/>
      <c r="O119" s="3" t="s">
        <v>3269</v>
      </c>
      <c r="P119" s="3" t="s">
        <v>3234</v>
      </c>
      <c r="R119" s="3" t="s">
        <v>62</v>
      </c>
      <c r="T119" s="3" t="s">
        <v>2541</v>
      </c>
      <c r="U119" s="3" t="s">
        <v>2980</v>
      </c>
      <c r="V119" s="3" t="s">
        <v>2542</v>
      </c>
      <c r="X119" s="3"/>
      <c r="Z119" s="3" t="s">
        <v>3527</v>
      </c>
      <c r="AA119" s="3">
        <v>162</v>
      </c>
      <c r="AB119" s="3"/>
      <c r="AC119" s="3" t="s">
        <v>2129</v>
      </c>
      <c r="AD119" s="3" t="s">
        <v>3528</v>
      </c>
      <c r="AE119" s="3" t="s">
        <v>84</v>
      </c>
      <c r="AF119" s="3" t="s">
        <v>2569</v>
      </c>
      <c r="AG119" s="3" t="s">
        <v>2559</v>
      </c>
      <c r="AH119" s="3" t="s">
        <v>2550</v>
      </c>
      <c r="AI119" s="3">
        <v>2</v>
      </c>
      <c r="AL119" s="3" t="s">
        <v>3529</v>
      </c>
      <c r="AM119" s="3" t="s">
        <v>3530</v>
      </c>
    </row>
    <row r="120" spans="1:39" ht="12.5" x14ac:dyDescent="0.25">
      <c r="A120" s="3" t="s">
        <v>46</v>
      </c>
      <c r="B120" s="3" t="s">
        <v>3531</v>
      </c>
      <c r="C120" s="3" t="s">
        <v>3532</v>
      </c>
      <c r="D120" s="3" t="s">
        <v>3533</v>
      </c>
      <c r="E120" s="3" t="s">
        <v>2538</v>
      </c>
      <c r="F120" s="3" t="s">
        <v>2618</v>
      </c>
      <c r="G120" s="3" t="s">
        <v>3534</v>
      </c>
      <c r="H120" s="3" t="s">
        <v>3535</v>
      </c>
      <c r="I120" s="6">
        <v>29634</v>
      </c>
      <c r="J120" s="3">
        <v>40</v>
      </c>
      <c r="K120" s="3">
        <v>755230949</v>
      </c>
      <c r="L120" s="10">
        <v>3011593</v>
      </c>
      <c r="M120" s="3" t="s">
        <v>3536</v>
      </c>
      <c r="N120" s="3"/>
      <c r="O120" s="3"/>
      <c r="P120" s="3" t="s">
        <v>3138</v>
      </c>
      <c r="R120" s="3" t="s">
        <v>62</v>
      </c>
      <c r="T120" s="3" t="s">
        <v>2576</v>
      </c>
      <c r="U120" s="3" t="s">
        <v>2980</v>
      </c>
      <c r="V120" s="3"/>
      <c r="X120" s="3" t="s">
        <v>2737</v>
      </c>
      <c r="Z120" s="3" t="s">
        <v>3537</v>
      </c>
      <c r="AA120" s="3">
        <v>22</v>
      </c>
      <c r="AB120" s="3"/>
      <c r="AC120" s="3" t="s">
        <v>2152</v>
      </c>
      <c r="AD120" s="3" t="s">
        <v>3538</v>
      </c>
      <c r="AE120" s="3" t="s">
        <v>1002</v>
      </c>
      <c r="AF120" s="3" t="s">
        <v>2569</v>
      </c>
      <c r="AG120" s="3" t="s">
        <v>2603</v>
      </c>
      <c r="AH120" s="3" t="s">
        <v>2588</v>
      </c>
      <c r="AI120" s="3">
        <v>5</v>
      </c>
      <c r="AL120" s="3" t="s">
        <v>3539</v>
      </c>
      <c r="AM120" s="3" t="s">
        <v>3540</v>
      </c>
    </row>
    <row r="121" spans="1:39" ht="12.5" x14ac:dyDescent="0.25">
      <c r="A121" s="3" t="s">
        <v>152</v>
      </c>
      <c r="B121" s="3" t="s">
        <v>3541</v>
      </c>
      <c r="C121" s="3" t="s">
        <v>3542</v>
      </c>
      <c r="D121" s="3" t="s">
        <v>3543</v>
      </c>
      <c r="E121" s="3" t="s">
        <v>2538</v>
      </c>
      <c r="F121" s="3" t="s">
        <v>2618</v>
      </c>
      <c r="G121" s="3" t="s">
        <v>3544</v>
      </c>
      <c r="H121" s="3" t="s">
        <v>2172</v>
      </c>
      <c r="I121" s="6">
        <v>24031</v>
      </c>
      <c r="J121" s="3">
        <v>56</v>
      </c>
      <c r="K121" s="3">
        <v>3631829</v>
      </c>
      <c r="L121" s="10">
        <v>52308480653</v>
      </c>
      <c r="M121" s="3" t="s">
        <v>3545</v>
      </c>
      <c r="O121" s="3"/>
      <c r="P121" s="3" t="s">
        <v>3138</v>
      </c>
      <c r="R121" s="3" t="s">
        <v>62</v>
      </c>
      <c r="S121" s="3" t="s">
        <v>3546</v>
      </c>
      <c r="T121" s="3" t="s">
        <v>2541</v>
      </c>
      <c r="U121" s="3" t="s">
        <v>2980</v>
      </c>
      <c r="V121" s="3"/>
      <c r="X121" s="3" t="s">
        <v>2577</v>
      </c>
      <c r="Z121" s="3" t="s">
        <v>3547</v>
      </c>
      <c r="AA121" s="3">
        <v>19</v>
      </c>
      <c r="AB121" s="3" t="s">
        <v>1539</v>
      </c>
      <c r="AC121" s="3" t="s">
        <v>2174</v>
      </c>
      <c r="AD121" s="3" t="s">
        <v>3548</v>
      </c>
      <c r="AE121" s="3" t="s">
        <v>84</v>
      </c>
      <c r="AF121" s="3" t="s">
        <v>2741</v>
      </c>
      <c r="AG121" s="3" t="s">
        <v>2603</v>
      </c>
      <c r="AH121" s="3" t="s">
        <v>2550</v>
      </c>
      <c r="AI121" s="3">
        <v>3</v>
      </c>
      <c r="AL121" s="3" t="s">
        <v>3549</v>
      </c>
      <c r="AM121" s="3" t="s">
        <v>3550</v>
      </c>
    </row>
    <row r="122" spans="1:39" ht="12.5" x14ac:dyDescent="0.25">
      <c r="A122" s="3" t="s">
        <v>46</v>
      </c>
      <c r="B122" s="3" t="s">
        <v>3551</v>
      </c>
      <c r="C122" s="3" t="s">
        <v>3552</v>
      </c>
      <c r="D122" s="3" t="s">
        <v>3553</v>
      </c>
      <c r="E122" s="3" t="s">
        <v>2538</v>
      </c>
      <c r="F122" s="3" t="s">
        <v>2618</v>
      </c>
      <c r="G122" s="3" t="s">
        <v>2192</v>
      </c>
      <c r="H122" s="3" t="s">
        <v>3554</v>
      </c>
      <c r="I122" s="6">
        <v>26595</v>
      </c>
      <c r="J122" s="3">
        <v>49</v>
      </c>
      <c r="K122" s="3">
        <v>2167447</v>
      </c>
      <c r="L122" s="10">
        <v>49008650363</v>
      </c>
      <c r="M122" s="3" t="s">
        <v>3555</v>
      </c>
      <c r="O122" s="3" t="s">
        <v>2998</v>
      </c>
      <c r="P122" s="3" t="s">
        <v>2979</v>
      </c>
      <c r="R122" s="3" t="s">
        <v>62</v>
      </c>
      <c r="S122" s="3"/>
      <c r="T122" s="3" t="s">
        <v>2541</v>
      </c>
      <c r="U122" s="3" t="s">
        <v>2980</v>
      </c>
      <c r="V122" s="3"/>
      <c r="X122" s="3" t="s">
        <v>2544</v>
      </c>
      <c r="Z122" s="3" t="s">
        <v>3556</v>
      </c>
      <c r="AA122" s="3">
        <v>12</v>
      </c>
      <c r="AB122" s="3"/>
      <c r="AC122" s="3" t="s">
        <v>2196</v>
      </c>
      <c r="AD122" s="3" t="s">
        <v>3557</v>
      </c>
      <c r="AE122" s="3" t="s">
        <v>1381</v>
      </c>
      <c r="AF122" s="3" t="s">
        <v>2569</v>
      </c>
      <c r="AG122" s="3" t="s">
        <v>3558</v>
      </c>
      <c r="AH122" s="3" t="s">
        <v>2550</v>
      </c>
      <c r="AI122" s="3">
        <v>5</v>
      </c>
      <c r="AL122" s="3" t="s">
        <v>3559</v>
      </c>
      <c r="AM122" s="3" t="s">
        <v>3560</v>
      </c>
    </row>
    <row r="123" spans="1:39" ht="12.5" x14ac:dyDescent="0.25">
      <c r="A123" s="3" t="s">
        <v>152</v>
      </c>
      <c r="B123" s="3" t="s">
        <v>3561</v>
      </c>
      <c r="C123" s="3" t="s">
        <v>3562</v>
      </c>
      <c r="D123" s="3" t="s">
        <v>3563</v>
      </c>
      <c r="E123" s="3" t="s">
        <v>2538</v>
      </c>
      <c r="F123" s="3" t="s">
        <v>2618</v>
      </c>
      <c r="G123" s="3" t="s">
        <v>3564</v>
      </c>
      <c r="H123" s="3" t="s">
        <v>3565</v>
      </c>
      <c r="I123" s="8">
        <v>31503</v>
      </c>
      <c r="J123" s="3">
        <v>35</v>
      </c>
      <c r="K123" s="3">
        <v>410149871</v>
      </c>
      <c r="L123" s="10">
        <v>33604433819</v>
      </c>
      <c r="M123" s="3" t="s">
        <v>3566</v>
      </c>
      <c r="O123" s="3" t="s">
        <v>3137</v>
      </c>
      <c r="P123" s="3" t="s">
        <v>3138</v>
      </c>
      <c r="R123" s="3" t="s">
        <v>62</v>
      </c>
      <c r="S123" s="3" t="s">
        <v>3567</v>
      </c>
      <c r="T123" s="3" t="s">
        <v>2541</v>
      </c>
      <c r="U123" s="3" t="s">
        <v>2980</v>
      </c>
      <c r="X123" s="3" t="s">
        <v>2544</v>
      </c>
      <c r="Z123" s="3" t="s">
        <v>3568</v>
      </c>
      <c r="AA123" s="3">
        <v>1591</v>
      </c>
      <c r="AB123" s="3"/>
      <c r="AC123" s="3" t="s">
        <v>128</v>
      </c>
      <c r="AD123" s="3" t="s">
        <v>3569</v>
      </c>
      <c r="AE123" s="3" t="s">
        <v>101</v>
      </c>
      <c r="AF123" s="3" t="s">
        <v>2569</v>
      </c>
      <c r="AG123" s="3" t="s">
        <v>2603</v>
      </c>
      <c r="AH123" s="3" t="s">
        <v>2588</v>
      </c>
      <c r="AI123" s="3">
        <v>2</v>
      </c>
      <c r="AL123" s="3" t="s">
        <v>3570</v>
      </c>
      <c r="AM123" s="3" t="s">
        <v>3571</v>
      </c>
    </row>
    <row r="124" spans="1:39" ht="12.5" x14ac:dyDescent="0.25">
      <c r="A124" s="3" t="s">
        <v>46</v>
      </c>
      <c r="B124" s="3" t="s">
        <v>3572</v>
      </c>
      <c r="C124" s="3" t="s">
        <v>2658</v>
      </c>
      <c r="D124" s="3" t="s">
        <v>3573</v>
      </c>
      <c r="E124" s="3" t="s">
        <v>2538</v>
      </c>
      <c r="F124" s="3" t="s">
        <v>2618</v>
      </c>
      <c r="G124" s="3" t="s">
        <v>3574</v>
      </c>
      <c r="H124" s="3" t="s">
        <v>3575</v>
      </c>
      <c r="I124" s="8">
        <v>29171</v>
      </c>
      <c r="J124" s="3">
        <v>42</v>
      </c>
      <c r="K124" s="3">
        <v>367279198</v>
      </c>
      <c r="L124" s="10">
        <v>29000712831</v>
      </c>
      <c r="M124" s="3"/>
      <c r="O124" s="3" t="s">
        <v>3137</v>
      </c>
      <c r="P124" s="3" t="s">
        <v>3138</v>
      </c>
      <c r="R124" s="3" t="s">
        <v>62</v>
      </c>
      <c r="S124" s="3"/>
      <c r="T124" s="3" t="s">
        <v>2541</v>
      </c>
      <c r="U124" s="3" t="s">
        <v>2980</v>
      </c>
      <c r="V124" s="3" t="s">
        <v>2542</v>
      </c>
      <c r="X124" s="3"/>
      <c r="Z124" s="3" t="s">
        <v>3576</v>
      </c>
      <c r="AA124" s="3">
        <v>45</v>
      </c>
      <c r="AB124" s="3" t="s">
        <v>3577</v>
      </c>
      <c r="AC124" s="3" t="s">
        <v>128</v>
      </c>
      <c r="AD124" s="3" t="s">
        <v>3578</v>
      </c>
      <c r="AE124" s="3" t="s">
        <v>101</v>
      </c>
      <c r="AF124" s="3" t="s">
        <v>2569</v>
      </c>
      <c r="AG124" s="3" t="s">
        <v>2603</v>
      </c>
      <c r="AH124" s="3" t="s">
        <v>2588</v>
      </c>
      <c r="AI124" s="3">
        <v>4</v>
      </c>
      <c r="AL124" s="3" t="s">
        <v>3579</v>
      </c>
      <c r="AM124" s="3" t="s">
        <v>3580</v>
      </c>
    </row>
    <row r="125" spans="1:39" ht="12.5" x14ac:dyDescent="0.25">
      <c r="A125" s="3" t="s">
        <v>152</v>
      </c>
      <c r="B125" s="3" t="s">
        <v>3581</v>
      </c>
      <c r="C125" s="3" t="s">
        <v>3314</v>
      </c>
      <c r="D125" s="3" t="s">
        <v>3582</v>
      </c>
      <c r="E125" s="3" t="s">
        <v>2538</v>
      </c>
      <c r="F125" s="3" t="s">
        <v>2618</v>
      </c>
      <c r="G125" s="3" t="s">
        <v>1674</v>
      </c>
      <c r="H125" s="3" t="s">
        <v>3583</v>
      </c>
      <c r="I125" s="6">
        <v>25033</v>
      </c>
      <c r="J125" s="3">
        <v>53</v>
      </c>
      <c r="K125" s="3">
        <v>158162</v>
      </c>
      <c r="L125" s="10">
        <v>23240695200</v>
      </c>
      <c r="M125" s="3" t="s">
        <v>3584</v>
      </c>
      <c r="O125" s="3" t="s">
        <v>3137</v>
      </c>
      <c r="P125" s="3" t="s">
        <v>3234</v>
      </c>
      <c r="R125" s="3" t="s">
        <v>62</v>
      </c>
      <c r="S125" s="3" t="s">
        <v>3585</v>
      </c>
      <c r="T125" s="3" t="s">
        <v>3586</v>
      </c>
      <c r="U125" s="3" t="s">
        <v>2980</v>
      </c>
      <c r="V125" s="3"/>
      <c r="X125" s="3" t="s">
        <v>2577</v>
      </c>
      <c r="Z125" s="3" t="s">
        <v>3587</v>
      </c>
      <c r="AA125" s="3">
        <v>546</v>
      </c>
      <c r="AB125" s="3"/>
      <c r="AC125" s="3" t="s">
        <v>1679</v>
      </c>
      <c r="AD125" s="3" t="s">
        <v>3588</v>
      </c>
      <c r="AE125" s="3" t="s">
        <v>1676</v>
      </c>
      <c r="AF125" s="3" t="s">
        <v>2741</v>
      </c>
      <c r="AG125" s="3" t="s">
        <v>2549</v>
      </c>
      <c r="AH125" s="3" t="s">
        <v>2550</v>
      </c>
      <c r="AI125" s="3">
        <v>5</v>
      </c>
      <c r="AL125" s="3" t="s">
        <v>3589</v>
      </c>
      <c r="AM125" s="3" t="s">
        <v>3590</v>
      </c>
    </row>
    <row r="126" spans="1:39" ht="12.5" x14ac:dyDescent="0.25">
      <c r="A126" s="3" t="s">
        <v>46</v>
      </c>
      <c r="B126" s="3" t="s">
        <v>3591</v>
      </c>
      <c r="C126" s="3" t="s">
        <v>3592</v>
      </c>
      <c r="D126" s="3" t="s">
        <v>3593</v>
      </c>
      <c r="E126" s="3" t="s">
        <v>2538</v>
      </c>
      <c r="F126" s="3" t="s">
        <v>2618</v>
      </c>
      <c r="G126" s="3" t="s">
        <v>3594</v>
      </c>
      <c r="H126" s="3" t="s">
        <v>3595</v>
      </c>
      <c r="I126" s="8">
        <v>28694</v>
      </c>
      <c r="J126" s="3">
        <v>43</v>
      </c>
      <c r="K126" s="3">
        <v>11090748</v>
      </c>
      <c r="L126" s="10">
        <v>4131828600</v>
      </c>
      <c r="M126" s="3" t="s">
        <v>2647</v>
      </c>
      <c r="N126" s="3" t="s">
        <v>3596</v>
      </c>
      <c r="O126" s="3" t="s">
        <v>2998</v>
      </c>
      <c r="P126" s="3" t="s">
        <v>2979</v>
      </c>
      <c r="R126" s="3" t="s">
        <v>120</v>
      </c>
      <c r="S126" s="3"/>
      <c r="T126" s="3" t="s">
        <v>2541</v>
      </c>
      <c r="U126" s="3" t="s">
        <v>2980</v>
      </c>
      <c r="V126" s="3"/>
      <c r="X126" s="3" t="s">
        <v>2544</v>
      </c>
      <c r="Z126" s="3" t="s">
        <v>3597</v>
      </c>
      <c r="AA126" s="3">
        <v>76</v>
      </c>
      <c r="AB126" s="3"/>
      <c r="AC126" s="3" t="s">
        <v>2234</v>
      </c>
      <c r="AD126" s="3" t="s">
        <v>3598</v>
      </c>
      <c r="AE126" s="3" t="s">
        <v>84</v>
      </c>
      <c r="AF126" s="3" t="s">
        <v>2741</v>
      </c>
      <c r="AG126" s="3" t="s">
        <v>2587</v>
      </c>
      <c r="AH126" s="3" t="s">
        <v>2550</v>
      </c>
      <c r="AI126" s="3">
        <v>5</v>
      </c>
      <c r="AL126" s="3" t="s">
        <v>3599</v>
      </c>
      <c r="AM126" s="3" t="s">
        <v>3600</v>
      </c>
    </row>
    <row r="127" spans="1:39" ht="12.5" x14ac:dyDescent="0.25">
      <c r="A127" s="3" t="s">
        <v>46</v>
      </c>
      <c r="B127" s="3" t="s">
        <v>3601</v>
      </c>
      <c r="C127" s="3" t="s">
        <v>2783</v>
      </c>
      <c r="D127" s="3" t="s">
        <v>3602</v>
      </c>
      <c r="E127" s="3" t="s">
        <v>2538</v>
      </c>
      <c r="F127" s="3" t="s">
        <v>2618</v>
      </c>
      <c r="G127" s="3" t="s">
        <v>3603</v>
      </c>
      <c r="H127" s="3" t="s">
        <v>3604</v>
      </c>
      <c r="I127" s="6">
        <v>27178</v>
      </c>
      <c r="J127" s="3">
        <v>47</v>
      </c>
      <c r="K127" s="3">
        <v>7051290</v>
      </c>
      <c r="L127" s="10">
        <v>3055790618</v>
      </c>
      <c r="M127" s="3"/>
      <c r="N127" s="3"/>
      <c r="O127" s="3" t="s">
        <v>3605</v>
      </c>
      <c r="P127" s="3" t="s">
        <v>3138</v>
      </c>
      <c r="R127" s="3" t="s">
        <v>62</v>
      </c>
      <c r="T127" s="3" t="s">
        <v>2576</v>
      </c>
      <c r="U127" s="3" t="s">
        <v>2980</v>
      </c>
      <c r="V127" s="3" t="s">
        <v>3459</v>
      </c>
      <c r="X127" s="3"/>
      <c r="Z127" s="3" t="s">
        <v>3606</v>
      </c>
      <c r="AA127" s="3">
        <v>79</v>
      </c>
      <c r="AB127" s="3" t="s">
        <v>3607</v>
      </c>
      <c r="AC127" s="3" t="s">
        <v>177</v>
      </c>
      <c r="AD127" s="3" t="s">
        <v>3608</v>
      </c>
      <c r="AE127" s="3" t="s">
        <v>84</v>
      </c>
      <c r="AF127" s="3" t="s">
        <v>2569</v>
      </c>
      <c r="AG127" s="3" t="s">
        <v>2603</v>
      </c>
      <c r="AH127" s="3" t="s">
        <v>2588</v>
      </c>
      <c r="AI127" s="3">
        <v>5</v>
      </c>
      <c r="AL127" s="3" t="s">
        <v>3609</v>
      </c>
      <c r="AM127" s="3" t="s">
        <v>3610</v>
      </c>
    </row>
    <row r="128" spans="1:39" ht="12.5" x14ac:dyDescent="0.25">
      <c r="A128" s="3" t="s">
        <v>46</v>
      </c>
      <c r="B128" s="3" t="s">
        <v>3611</v>
      </c>
      <c r="C128" s="3" t="s">
        <v>3612</v>
      </c>
      <c r="D128" s="3" t="s">
        <v>3613</v>
      </c>
      <c r="E128" s="3" t="s">
        <v>2538</v>
      </c>
      <c r="F128" s="3" t="s">
        <v>2618</v>
      </c>
      <c r="G128" s="3" t="s">
        <v>3614</v>
      </c>
      <c r="H128" s="3" t="s">
        <v>3615</v>
      </c>
      <c r="I128" s="6">
        <v>31508</v>
      </c>
      <c r="J128" s="3">
        <v>35</v>
      </c>
      <c r="K128" s="3">
        <v>208684654</v>
      </c>
      <c r="L128" s="10">
        <v>10786739770</v>
      </c>
      <c r="M128" s="3" t="s">
        <v>3616</v>
      </c>
      <c r="N128" s="3"/>
      <c r="O128" s="3"/>
      <c r="P128" s="3" t="s">
        <v>3138</v>
      </c>
      <c r="R128" s="3" t="s">
        <v>62</v>
      </c>
      <c r="T128" s="3" t="s">
        <v>2541</v>
      </c>
      <c r="U128" s="3" t="s">
        <v>2980</v>
      </c>
      <c r="V128" s="3"/>
      <c r="X128" s="3" t="s">
        <v>2544</v>
      </c>
      <c r="Z128" s="3" t="s">
        <v>3617</v>
      </c>
      <c r="AA128" s="3">
        <v>383</v>
      </c>
      <c r="AB128" s="3" t="s">
        <v>3618</v>
      </c>
      <c r="AC128" s="3" t="s">
        <v>626</v>
      </c>
      <c r="AD128" s="3" t="s">
        <v>3619</v>
      </c>
      <c r="AE128" s="3" t="s">
        <v>70</v>
      </c>
      <c r="AF128" s="3" t="s">
        <v>2569</v>
      </c>
      <c r="AG128" s="3" t="s">
        <v>2603</v>
      </c>
      <c r="AH128" s="3" t="s">
        <v>2550</v>
      </c>
      <c r="AI128" s="3">
        <v>1</v>
      </c>
      <c r="AL128" s="3" t="s">
        <v>3620</v>
      </c>
      <c r="AM128" s="3" t="s">
        <v>2282</v>
      </c>
    </row>
    <row r="129" spans="1:39" ht="12.5" x14ac:dyDescent="0.25">
      <c r="A129" s="3" t="s">
        <v>46</v>
      </c>
      <c r="B129" s="3" t="s">
        <v>3621</v>
      </c>
      <c r="C129" s="3" t="s">
        <v>3622</v>
      </c>
      <c r="D129" s="3" t="s">
        <v>3623</v>
      </c>
      <c r="E129" s="3" t="s">
        <v>2538</v>
      </c>
      <c r="F129" s="3" t="s">
        <v>2618</v>
      </c>
      <c r="G129" s="3" t="s">
        <v>2213</v>
      </c>
      <c r="H129" s="3" t="s">
        <v>3624</v>
      </c>
      <c r="I129" s="6">
        <v>29772</v>
      </c>
      <c r="J129" s="3">
        <v>40</v>
      </c>
      <c r="K129" s="3">
        <v>3501882</v>
      </c>
      <c r="L129" s="10">
        <v>67547060234</v>
      </c>
      <c r="M129" s="3" t="s">
        <v>2625</v>
      </c>
      <c r="N129" s="3" t="s">
        <v>3625</v>
      </c>
      <c r="O129" s="3" t="s">
        <v>3137</v>
      </c>
      <c r="P129" s="3" t="s">
        <v>2979</v>
      </c>
      <c r="R129" s="3" t="s">
        <v>62</v>
      </c>
      <c r="T129" s="3" t="s">
        <v>2541</v>
      </c>
      <c r="U129" s="3" t="s">
        <v>3508</v>
      </c>
      <c r="V129" s="3" t="s">
        <v>2542</v>
      </c>
      <c r="X129" s="3"/>
      <c r="Z129" s="3" t="s">
        <v>3626</v>
      </c>
      <c r="AA129" s="3">
        <v>21</v>
      </c>
      <c r="AB129" s="3" t="s">
        <v>3627</v>
      </c>
      <c r="AC129" s="3" t="s">
        <v>2217</v>
      </c>
      <c r="AD129" s="3" t="s">
        <v>3628</v>
      </c>
      <c r="AE129" s="3" t="s">
        <v>1676</v>
      </c>
      <c r="AF129" s="3" t="s">
        <v>2569</v>
      </c>
      <c r="AG129" s="3" t="s">
        <v>2587</v>
      </c>
      <c r="AH129" s="3" t="s">
        <v>2550</v>
      </c>
      <c r="AI129" s="3">
        <v>5</v>
      </c>
      <c r="AL129" s="3" t="s">
        <v>3629</v>
      </c>
      <c r="AM129" s="3" t="s">
        <v>3629</v>
      </c>
    </row>
    <row r="130" spans="1:39" ht="12.5" x14ac:dyDescent="0.25">
      <c r="A130" s="3" t="s">
        <v>46</v>
      </c>
      <c r="B130" s="3" t="s">
        <v>3630</v>
      </c>
      <c r="C130" s="3" t="s">
        <v>3631</v>
      </c>
      <c r="D130" s="3" t="s">
        <v>3632</v>
      </c>
      <c r="E130" s="3" t="s">
        <v>2538</v>
      </c>
      <c r="F130" s="3" t="s">
        <v>2618</v>
      </c>
      <c r="G130" s="3" t="s">
        <v>3633</v>
      </c>
      <c r="H130" s="3" t="s">
        <v>3634</v>
      </c>
      <c r="I130" s="6">
        <v>27710</v>
      </c>
      <c r="J130" s="3">
        <v>46</v>
      </c>
      <c r="K130" s="3">
        <v>4694518</v>
      </c>
      <c r="L130" s="10">
        <v>2174142490</v>
      </c>
      <c r="M130" s="3" t="s">
        <v>2647</v>
      </c>
      <c r="N130" s="3"/>
      <c r="O130" s="3"/>
      <c r="P130" s="3"/>
      <c r="R130" s="3" t="s">
        <v>62</v>
      </c>
      <c r="T130" s="3"/>
      <c r="U130" s="3"/>
      <c r="V130" s="3" t="s">
        <v>2542</v>
      </c>
      <c r="X130" s="3"/>
      <c r="Z130" s="3" t="s">
        <v>3635</v>
      </c>
      <c r="AA130" s="3">
        <v>65</v>
      </c>
      <c r="AB130" s="3"/>
      <c r="AC130" s="3" t="s">
        <v>381</v>
      </c>
      <c r="AD130" s="3" t="s">
        <v>3636</v>
      </c>
      <c r="AE130" s="3" t="s">
        <v>379</v>
      </c>
      <c r="AF130" s="3" t="s">
        <v>2569</v>
      </c>
      <c r="AG130" s="3" t="s">
        <v>2559</v>
      </c>
      <c r="AH130" s="3" t="s">
        <v>2550</v>
      </c>
      <c r="AI130" s="3">
        <v>3</v>
      </c>
      <c r="AL130" s="3" t="s">
        <v>3637</v>
      </c>
      <c r="AM130" s="3" t="s">
        <v>3638</v>
      </c>
    </row>
    <row r="131" spans="1:39" ht="12.5" x14ac:dyDescent="0.25">
      <c r="A131" s="3" t="s">
        <v>46</v>
      </c>
      <c r="B131" s="3" t="s">
        <v>3639</v>
      </c>
      <c r="C131" s="3" t="s">
        <v>3640</v>
      </c>
      <c r="D131" s="3" t="s">
        <v>3641</v>
      </c>
      <c r="E131" s="3" t="s">
        <v>2538</v>
      </c>
      <c r="F131" s="3" t="s">
        <v>2618</v>
      </c>
      <c r="G131" s="3" t="s">
        <v>3642</v>
      </c>
      <c r="H131" s="3" t="s">
        <v>3643</v>
      </c>
      <c r="I131" s="6">
        <v>33211</v>
      </c>
      <c r="J131" s="3">
        <v>31</v>
      </c>
      <c r="K131" s="3">
        <v>18538087</v>
      </c>
      <c r="L131" s="10">
        <v>9256638673</v>
      </c>
      <c r="M131" s="3" t="s">
        <v>3644</v>
      </c>
      <c r="N131" s="3" t="s">
        <v>3645</v>
      </c>
      <c r="O131" s="3" t="s">
        <v>3137</v>
      </c>
      <c r="P131" s="3" t="s">
        <v>3138</v>
      </c>
      <c r="R131" s="3" t="s">
        <v>120</v>
      </c>
      <c r="S131" s="3"/>
      <c r="T131" s="3" t="s">
        <v>2541</v>
      </c>
      <c r="U131" s="3" t="s">
        <v>2980</v>
      </c>
      <c r="V131" s="3"/>
      <c r="X131" s="3" t="s">
        <v>2577</v>
      </c>
      <c r="Z131" s="3" t="s">
        <v>3646</v>
      </c>
      <c r="AA131" s="3">
        <v>1419</v>
      </c>
      <c r="AB131" s="3" t="s">
        <v>3647</v>
      </c>
      <c r="AC131" s="3" t="s">
        <v>231</v>
      </c>
      <c r="AD131" s="3" t="s">
        <v>3648</v>
      </c>
      <c r="AE131" s="3" t="s">
        <v>51</v>
      </c>
      <c r="AF131" s="3" t="s">
        <v>2741</v>
      </c>
      <c r="AG131" s="3" t="s">
        <v>2603</v>
      </c>
      <c r="AH131" s="3" t="s">
        <v>2588</v>
      </c>
      <c r="AI131" s="3">
        <v>2</v>
      </c>
      <c r="AL131" s="3" t="s">
        <v>3649</v>
      </c>
      <c r="AM131" s="3" t="s">
        <v>3650</v>
      </c>
    </row>
    <row r="132" spans="1:39" ht="12.5" x14ac:dyDescent="0.25">
      <c r="A132" s="3" t="s">
        <v>46</v>
      </c>
      <c r="B132" s="3" t="s">
        <v>3651</v>
      </c>
      <c r="C132" s="3" t="s">
        <v>3652</v>
      </c>
      <c r="D132" s="3" t="s">
        <v>3653</v>
      </c>
      <c r="E132" s="3" t="s">
        <v>2538</v>
      </c>
      <c r="F132" s="3" t="s">
        <v>2618</v>
      </c>
      <c r="G132" s="3" t="s">
        <v>2337</v>
      </c>
      <c r="H132" s="3" t="s">
        <v>3654</v>
      </c>
      <c r="I132" s="8">
        <v>29485</v>
      </c>
      <c r="J132" s="3">
        <v>41</v>
      </c>
      <c r="K132" s="3">
        <v>10110699</v>
      </c>
      <c r="L132" s="10">
        <v>1184412642</v>
      </c>
      <c r="M132" s="3" t="s">
        <v>2647</v>
      </c>
      <c r="N132" s="3"/>
      <c r="O132" s="3"/>
      <c r="P132" s="3" t="s">
        <v>2979</v>
      </c>
      <c r="R132" s="3" t="s">
        <v>62</v>
      </c>
      <c r="T132" s="3" t="s">
        <v>2576</v>
      </c>
      <c r="U132" s="3" t="s">
        <v>2980</v>
      </c>
      <c r="V132" s="3"/>
      <c r="X132" s="3" t="s">
        <v>2544</v>
      </c>
      <c r="Z132" s="3" t="s">
        <v>2339</v>
      </c>
      <c r="AA132" s="3">
        <v>669</v>
      </c>
      <c r="AB132" s="3"/>
      <c r="AC132" s="3" t="s">
        <v>2341</v>
      </c>
      <c r="AD132" s="3" t="s">
        <v>3655</v>
      </c>
      <c r="AE132" s="3" t="s">
        <v>84</v>
      </c>
      <c r="AF132" s="3" t="s">
        <v>2569</v>
      </c>
      <c r="AG132" s="3" t="s">
        <v>2559</v>
      </c>
      <c r="AH132" s="3" t="s">
        <v>2550</v>
      </c>
      <c r="AI132" s="3">
        <v>5</v>
      </c>
      <c r="AL132" s="3" t="s">
        <v>3656</v>
      </c>
      <c r="AM132" s="3" t="s">
        <v>3657</v>
      </c>
    </row>
    <row r="133" spans="1:39" ht="12.5" x14ac:dyDescent="0.25">
      <c r="A133" s="3" t="s">
        <v>152</v>
      </c>
      <c r="B133" s="3" t="s">
        <v>3658</v>
      </c>
      <c r="C133" s="3" t="s">
        <v>2773</v>
      </c>
      <c r="D133" s="3" t="s">
        <v>3659</v>
      </c>
      <c r="E133" s="3" t="s">
        <v>2538</v>
      </c>
      <c r="F133" s="3" t="s">
        <v>2618</v>
      </c>
      <c r="G133" s="3" t="s">
        <v>3660</v>
      </c>
      <c r="H133" s="3" t="s">
        <v>3661</v>
      </c>
      <c r="I133" s="6">
        <v>29469</v>
      </c>
      <c r="J133" s="3">
        <v>41</v>
      </c>
      <c r="K133" s="3">
        <v>2187640</v>
      </c>
      <c r="L133" s="10">
        <v>3536228429</v>
      </c>
      <c r="M133" s="3" t="s">
        <v>3662</v>
      </c>
      <c r="N133" s="3" t="s">
        <v>3663</v>
      </c>
      <c r="O133" s="3" t="s">
        <v>3269</v>
      </c>
      <c r="P133" s="3" t="s">
        <v>3138</v>
      </c>
      <c r="R133" s="3" t="s">
        <v>120</v>
      </c>
      <c r="S133" s="3" t="s">
        <v>3664</v>
      </c>
      <c r="T133" s="3" t="s">
        <v>2541</v>
      </c>
      <c r="U133" s="3" t="s">
        <v>2980</v>
      </c>
      <c r="X133" s="3" t="s">
        <v>2577</v>
      </c>
      <c r="Z133" s="3" t="s">
        <v>3665</v>
      </c>
      <c r="AA133" s="3">
        <v>103</v>
      </c>
      <c r="AB133" s="3"/>
      <c r="AC133" s="3" t="s">
        <v>2358</v>
      </c>
      <c r="AD133" s="3" t="s">
        <v>3666</v>
      </c>
      <c r="AE133" s="3" t="s">
        <v>1171</v>
      </c>
      <c r="AF133" s="3" t="s">
        <v>2548</v>
      </c>
      <c r="AG133" s="3" t="s">
        <v>2549</v>
      </c>
      <c r="AH133" s="3" t="s">
        <v>2550</v>
      </c>
      <c r="AI133" s="3">
        <v>4</v>
      </c>
      <c r="AL133" s="3" t="s">
        <v>3667</v>
      </c>
      <c r="AM133" s="3" t="s">
        <v>3668</v>
      </c>
    </row>
    <row r="134" spans="1:39" ht="12.5" x14ac:dyDescent="0.25">
      <c r="A134" s="3" t="s">
        <v>46</v>
      </c>
      <c r="B134" s="3" t="s">
        <v>3669</v>
      </c>
      <c r="C134" s="3" t="s">
        <v>3670</v>
      </c>
      <c r="D134" s="3" t="s">
        <v>3671</v>
      </c>
      <c r="E134" s="3" t="s">
        <v>2538</v>
      </c>
      <c r="F134" s="3" t="s">
        <v>2618</v>
      </c>
      <c r="G134" s="3" t="s">
        <v>3672</v>
      </c>
      <c r="H134" s="3" t="s">
        <v>3673</v>
      </c>
      <c r="I134" s="6">
        <v>33119</v>
      </c>
      <c r="J134" s="3">
        <v>31</v>
      </c>
      <c r="K134" s="3">
        <v>2002010013137</v>
      </c>
      <c r="L134" s="10">
        <v>2767634324</v>
      </c>
      <c r="M134" s="3" t="s">
        <v>3674</v>
      </c>
      <c r="N134" s="3"/>
      <c r="O134" s="3" t="s">
        <v>3137</v>
      </c>
      <c r="P134" s="3" t="s">
        <v>3234</v>
      </c>
      <c r="R134" s="3" t="s">
        <v>62</v>
      </c>
      <c r="S134" s="3"/>
      <c r="T134" s="3" t="s">
        <v>2576</v>
      </c>
      <c r="U134" s="3" t="s">
        <v>2980</v>
      </c>
      <c r="X134" s="3" t="s">
        <v>2577</v>
      </c>
      <c r="Z134" s="3" t="s">
        <v>3675</v>
      </c>
      <c r="AA134" s="3">
        <v>54</v>
      </c>
      <c r="AB134" s="3" t="s">
        <v>3676</v>
      </c>
      <c r="AC134" s="3" t="s">
        <v>470</v>
      </c>
      <c r="AD134" s="3" t="s">
        <v>3677</v>
      </c>
      <c r="AE134" s="3" t="s">
        <v>468</v>
      </c>
      <c r="AF134" s="3" t="s">
        <v>2569</v>
      </c>
      <c r="AG134" s="3" t="s">
        <v>2587</v>
      </c>
      <c r="AH134" s="3" t="s">
        <v>2579</v>
      </c>
      <c r="AI134" s="3">
        <v>3</v>
      </c>
      <c r="AL134" s="3" t="s">
        <v>3386</v>
      </c>
      <c r="AM134" s="3" t="s">
        <v>3678</v>
      </c>
    </row>
    <row r="135" spans="1:39" ht="12.5" x14ac:dyDescent="0.25">
      <c r="A135" s="3" t="s">
        <v>46</v>
      </c>
      <c r="B135" s="3" t="s">
        <v>3679</v>
      </c>
      <c r="C135" s="3" t="s">
        <v>3680</v>
      </c>
      <c r="D135" s="3" t="s">
        <v>3681</v>
      </c>
      <c r="E135" s="3" t="s">
        <v>2538</v>
      </c>
      <c r="F135" s="3" t="s">
        <v>2618</v>
      </c>
      <c r="G135" s="3" t="s">
        <v>3682</v>
      </c>
      <c r="H135" s="3" t="s">
        <v>3683</v>
      </c>
      <c r="I135" s="6">
        <v>28797</v>
      </c>
      <c r="J135" s="3">
        <v>43</v>
      </c>
      <c r="K135" s="3">
        <v>4827880</v>
      </c>
      <c r="L135" s="10">
        <v>3205923405</v>
      </c>
      <c r="M135" s="3" t="s">
        <v>3684</v>
      </c>
      <c r="N135" s="3" t="s">
        <v>2395</v>
      </c>
      <c r="O135" s="3"/>
      <c r="P135" s="3" t="s">
        <v>3138</v>
      </c>
      <c r="R135" s="3" t="s">
        <v>62</v>
      </c>
      <c r="T135" s="3" t="s">
        <v>2576</v>
      </c>
      <c r="U135" s="3" t="s">
        <v>2980</v>
      </c>
      <c r="X135" s="3" t="s">
        <v>2577</v>
      </c>
      <c r="Z135" s="3" t="s">
        <v>2400</v>
      </c>
      <c r="AA135" s="3">
        <v>32252801</v>
      </c>
      <c r="AB135" s="3"/>
      <c r="AC135" s="3" t="s">
        <v>381</v>
      </c>
      <c r="AD135" s="3" t="s">
        <v>3685</v>
      </c>
      <c r="AE135" s="3" t="s">
        <v>379</v>
      </c>
      <c r="AF135" s="3" t="s">
        <v>2741</v>
      </c>
      <c r="AG135" s="3" t="s">
        <v>2549</v>
      </c>
      <c r="AH135" s="3" t="s">
        <v>2588</v>
      </c>
      <c r="AI135" s="3">
        <v>5</v>
      </c>
      <c r="AL135" s="3" t="s">
        <v>3686</v>
      </c>
      <c r="AM135" s="3" t="s">
        <v>3687</v>
      </c>
    </row>
    <row r="136" spans="1:39" ht="12.5" x14ac:dyDescent="0.25">
      <c r="A136" s="3" t="s">
        <v>46</v>
      </c>
      <c r="B136" s="3" t="s">
        <v>3688</v>
      </c>
      <c r="C136" s="3" t="s">
        <v>3689</v>
      </c>
      <c r="D136" s="3" t="s">
        <v>3690</v>
      </c>
      <c r="E136" s="3" t="s">
        <v>2538</v>
      </c>
      <c r="F136" s="3" t="s">
        <v>2618</v>
      </c>
      <c r="G136" s="3" t="s">
        <v>2422</v>
      </c>
      <c r="H136" s="3" t="s">
        <v>3691</v>
      </c>
      <c r="I136" s="6">
        <v>30947</v>
      </c>
      <c r="J136" s="3">
        <v>37</v>
      </c>
      <c r="K136" s="3">
        <v>207111212</v>
      </c>
      <c r="L136" s="10">
        <v>11335668713</v>
      </c>
      <c r="M136" s="3" t="s">
        <v>3692</v>
      </c>
      <c r="N136" s="3" t="s">
        <v>3693</v>
      </c>
      <c r="O136" s="3" t="s">
        <v>2998</v>
      </c>
      <c r="P136" s="3" t="s">
        <v>2979</v>
      </c>
      <c r="R136" s="3" t="s">
        <v>120</v>
      </c>
      <c r="T136" s="3" t="s">
        <v>2576</v>
      </c>
      <c r="U136" s="3" t="s">
        <v>2980</v>
      </c>
      <c r="X136" s="3" t="s">
        <v>2577</v>
      </c>
      <c r="Z136" s="3" t="s">
        <v>3694</v>
      </c>
      <c r="AA136" s="3">
        <v>80</v>
      </c>
      <c r="AB136" s="3" t="s">
        <v>1539</v>
      </c>
      <c r="AC136" s="3" t="s">
        <v>2425</v>
      </c>
      <c r="AD136" s="3" t="s">
        <v>3695</v>
      </c>
      <c r="AE136" s="3" t="s">
        <v>195</v>
      </c>
      <c r="AF136" s="3" t="s">
        <v>2569</v>
      </c>
      <c r="AG136" s="3" t="s">
        <v>2603</v>
      </c>
      <c r="AH136" s="3" t="s">
        <v>2588</v>
      </c>
      <c r="AI136" s="3">
        <v>4</v>
      </c>
      <c r="AL136" s="3" t="s">
        <v>3696</v>
      </c>
      <c r="AM136" s="3" t="s">
        <v>3697</v>
      </c>
    </row>
    <row r="137" spans="1:39" ht="12.5" x14ac:dyDescent="0.25">
      <c r="A137" s="3" t="s">
        <v>46</v>
      </c>
      <c r="B137" s="3" t="s">
        <v>3698</v>
      </c>
      <c r="C137" s="3" t="s">
        <v>3699</v>
      </c>
      <c r="D137" s="3" t="s">
        <v>3700</v>
      </c>
      <c r="E137" s="3" t="s">
        <v>2538</v>
      </c>
      <c r="F137" s="3" t="s">
        <v>2618</v>
      </c>
      <c r="G137" s="3" t="s">
        <v>3701</v>
      </c>
      <c r="H137" s="3" t="s">
        <v>3702</v>
      </c>
      <c r="I137" s="6">
        <v>26171</v>
      </c>
      <c r="J137" s="3">
        <v>50</v>
      </c>
      <c r="K137" s="3">
        <v>103827135</v>
      </c>
      <c r="L137" s="10">
        <v>2096782759</v>
      </c>
      <c r="M137" s="3" t="s">
        <v>2776</v>
      </c>
      <c r="N137" s="3"/>
      <c r="O137" s="3" t="s">
        <v>3137</v>
      </c>
      <c r="P137" s="3" t="s">
        <v>3138</v>
      </c>
      <c r="R137" s="3" t="s">
        <v>62</v>
      </c>
      <c r="T137" s="3" t="s">
        <v>2541</v>
      </c>
      <c r="U137" s="3" t="s">
        <v>2980</v>
      </c>
      <c r="X137" s="3" t="s">
        <v>2577</v>
      </c>
      <c r="Z137" s="3" t="s">
        <v>2445</v>
      </c>
      <c r="AA137" s="3">
        <v>690</v>
      </c>
      <c r="AB137" s="3" t="s">
        <v>3703</v>
      </c>
      <c r="AC137" s="3" t="s">
        <v>626</v>
      </c>
      <c r="AD137" s="3" t="s">
        <v>3704</v>
      </c>
      <c r="AE137" s="3" t="s">
        <v>70</v>
      </c>
      <c r="AF137" s="3" t="s">
        <v>2741</v>
      </c>
      <c r="AG137" s="3" t="s">
        <v>2587</v>
      </c>
      <c r="AH137" s="3" t="s">
        <v>2550</v>
      </c>
      <c r="AI137" s="3">
        <v>3</v>
      </c>
      <c r="AL137" s="3" t="s">
        <v>3705</v>
      </c>
      <c r="AM137" s="3" t="s">
        <v>3706</v>
      </c>
    </row>
    <row r="138" spans="1:39" ht="12.5" x14ac:dyDescent="0.25">
      <c r="A138" s="3" t="s">
        <v>46</v>
      </c>
      <c r="B138" s="3" t="s">
        <v>3707</v>
      </c>
      <c r="C138" s="3" t="s">
        <v>3708</v>
      </c>
      <c r="D138" s="3" t="s">
        <v>3709</v>
      </c>
      <c r="E138" s="3" t="s">
        <v>2538</v>
      </c>
      <c r="F138" s="3" t="s">
        <v>2618</v>
      </c>
      <c r="G138" s="3" t="s">
        <v>3710</v>
      </c>
      <c r="H138" s="3" t="s">
        <v>3711</v>
      </c>
      <c r="I138" s="6">
        <v>26268</v>
      </c>
      <c r="J138" s="3">
        <v>50</v>
      </c>
      <c r="K138" s="3">
        <v>4198456</v>
      </c>
      <c r="L138" s="10">
        <v>78120187687</v>
      </c>
      <c r="M138" s="3" t="s">
        <v>3712</v>
      </c>
      <c r="N138" s="3"/>
      <c r="O138" s="3" t="s">
        <v>2998</v>
      </c>
      <c r="P138" s="3" t="s">
        <v>2979</v>
      </c>
      <c r="R138" s="3" t="s">
        <v>62</v>
      </c>
      <c r="T138" s="3" t="s">
        <v>2541</v>
      </c>
      <c r="U138" s="3" t="s">
        <v>2980</v>
      </c>
      <c r="X138" s="3" t="s">
        <v>2577</v>
      </c>
      <c r="Z138" s="3" t="s">
        <v>3713</v>
      </c>
      <c r="AA138" s="3">
        <v>118</v>
      </c>
      <c r="AB138" s="3" t="s">
        <v>3714</v>
      </c>
      <c r="AC138" s="3" t="s">
        <v>177</v>
      </c>
      <c r="AD138" s="3" t="s">
        <v>3715</v>
      </c>
      <c r="AE138" s="3" t="s">
        <v>84</v>
      </c>
      <c r="AF138" s="3" t="s">
        <v>2548</v>
      </c>
      <c r="AG138" s="3" t="s">
        <v>2596</v>
      </c>
      <c r="AH138" s="3" t="s">
        <v>2550</v>
      </c>
      <c r="AI138" s="3">
        <v>3</v>
      </c>
      <c r="AL138" s="3" t="s">
        <v>3716</v>
      </c>
      <c r="AM138" s="3" t="s">
        <v>3717</v>
      </c>
    </row>
    <row r="139" spans="1:39" ht="12.5" x14ac:dyDescent="0.25">
      <c r="A139" s="3" t="s">
        <v>46</v>
      </c>
      <c r="B139" s="3" t="s">
        <v>3718</v>
      </c>
      <c r="C139" s="3" t="s">
        <v>3719</v>
      </c>
      <c r="D139" s="3" t="s">
        <v>3720</v>
      </c>
      <c r="E139" s="3" t="s">
        <v>2538</v>
      </c>
      <c r="F139" s="3" t="s">
        <v>2618</v>
      </c>
      <c r="G139" s="3" t="s">
        <v>3721</v>
      </c>
      <c r="H139" s="3" t="s">
        <v>3722</v>
      </c>
      <c r="I139" s="6">
        <v>32766</v>
      </c>
      <c r="J139" s="3">
        <v>32</v>
      </c>
      <c r="K139" s="3">
        <v>15891455</v>
      </c>
      <c r="L139" s="10">
        <v>9229708666</v>
      </c>
      <c r="M139" s="3" t="s">
        <v>3723</v>
      </c>
      <c r="O139" s="3"/>
      <c r="P139" s="3" t="s">
        <v>3234</v>
      </c>
      <c r="R139" s="3" t="s">
        <v>62</v>
      </c>
      <c r="T139" s="3" t="s">
        <v>2541</v>
      </c>
      <c r="U139" s="3" t="s">
        <v>2980</v>
      </c>
      <c r="X139" s="3" t="s">
        <v>2544</v>
      </c>
      <c r="Z139" s="3" t="s">
        <v>3724</v>
      </c>
      <c r="AA139" s="3">
        <v>425</v>
      </c>
      <c r="AB139" s="3" t="s">
        <v>3725</v>
      </c>
      <c r="AC139" s="3" t="s">
        <v>2107</v>
      </c>
      <c r="AD139" s="3" t="s">
        <v>3726</v>
      </c>
      <c r="AE139" s="3" t="s">
        <v>84</v>
      </c>
      <c r="AF139" s="3" t="s">
        <v>2569</v>
      </c>
      <c r="AG139" s="3" t="s">
        <v>2603</v>
      </c>
      <c r="AH139" s="3" t="s">
        <v>2550</v>
      </c>
      <c r="AI139" s="3">
        <v>3</v>
      </c>
      <c r="AL139" s="3" t="s">
        <v>3727</v>
      </c>
      <c r="AM139" s="3" t="s">
        <v>3728</v>
      </c>
    </row>
    <row r="140" spans="1:39" ht="12.5" x14ac:dyDescent="0.25">
      <c r="A140" s="3"/>
      <c r="B140" s="3"/>
      <c r="C140" s="3"/>
      <c r="D140" s="3"/>
      <c r="E140" s="3"/>
      <c r="F140" s="3"/>
      <c r="G140" s="3"/>
      <c r="H140" s="3"/>
      <c r="I140" s="6"/>
      <c r="J140" s="3"/>
      <c r="K140" s="3"/>
      <c r="L140" s="10"/>
      <c r="M140" s="3"/>
      <c r="O140" s="3"/>
      <c r="P140" s="3"/>
      <c r="R140" s="3"/>
      <c r="T140" s="3"/>
      <c r="U140" s="3"/>
      <c r="X140" s="3"/>
      <c r="Z140" s="3"/>
      <c r="AA140" s="3"/>
      <c r="AB140" s="3"/>
      <c r="AC140" s="3"/>
      <c r="AD140" s="3"/>
      <c r="AE140" s="3"/>
      <c r="AF140" s="3"/>
      <c r="AG140" s="3"/>
      <c r="AH140" s="3"/>
      <c r="AI140" s="3"/>
      <c r="AL140" s="3"/>
      <c r="AM140" s="3"/>
    </row>
    <row r="141" spans="1:39" ht="12.5" x14ac:dyDescent="0.25">
      <c r="A141" s="3"/>
      <c r="B141" s="3"/>
      <c r="C141" s="3"/>
      <c r="D141" s="3"/>
      <c r="E141" s="3"/>
      <c r="F141" s="3"/>
      <c r="G141" s="3"/>
      <c r="H141" s="3"/>
      <c r="I141" s="6"/>
      <c r="J141" s="3"/>
      <c r="K141" s="3"/>
      <c r="L141" s="10"/>
      <c r="M141" s="3"/>
      <c r="P141" s="3"/>
      <c r="R141" s="3"/>
      <c r="T141" s="3"/>
      <c r="U141" s="3"/>
      <c r="X141" s="3"/>
      <c r="Z141" s="3"/>
      <c r="AA141" s="3"/>
      <c r="AB141" s="3"/>
      <c r="AC141" s="3"/>
      <c r="AD141" s="3"/>
      <c r="AE141" s="3"/>
      <c r="AF141" s="3"/>
      <c r="AG141" s="3"/>
      <c r="AH141" s="3"/>
      <c r="AI141" s="3"/>
      <c r="AL141" s="3"/>
      <c r="AM141" s="3"/>
    </row>
  </sheetData>
  <pageMargins left="0.511811024" right="0.511811024" top="0.78740157499999996" bottom="0.78740157499999996" header="0.31496062000000002" footer="0.31496062000000002"/>
  <pageSetup paperSize="9" orientation="portrait" verticalDpi="597"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E1101"/>
  <sheetViews>
    <sheetView workbookViewId="0">
      <pane ySplit="1" topLeftCell="A2" activePane="bottomLeft" state="frozen"/>
      <selection pane="bottomLeft" activeCell="B3" sqref="B3"/>
    </sheetView>
  </sheetViews>
  <sheetFormatPr defaultColWidth="12.6328125" defaultRowHeight="15.75" customHeight="1" x14ac:dyDescent="0.25"/>
  <cols>
    <col min="1" max="1" width="20.7265625" customWidth="1"/>
    <col min="5" max="5" width="32" customWidth="1"/>
  </cols>
  <sheetData>
    <row r="1" spans="1:5" ht="14.5" x14ac:dyDescent="0.35">
      <c r="A1" s="11" t="s">
        <v>3729</v>
      </c>
      <c r="B1" s="11" t="s">
        <v>3730</v>
      </c>
      <c r="C1" s="11" t="s">
        <v>3731</v>
      </c>
      <c r="D1" s="11" t="s">
        <v>3732</v>
      </c>
      <c r="E1" s="11" t="s">
        <v>3733</v>
      </c>
    </row>
    <row r="2" spans="1:5" ht="15.75" customHeight="1" x14ac:dyDescent="0.3">
      <c r="A2" s="12">
        <v>44544.545153136569</v>
      </c>
      <c r="B2" s="13" t="s">
        <v>3734</v>
      </c>
      <c r="C2" s="14" t="s">
        <v>3735</v>
      </c>
      <c r="D2" s="15" t="s">
        <v>3736</v>
      </c>
      <c r="E2" s="13" t="s">
        <v>3737</v>
      </c>
    </row>
    <row r="3" spans="1:5" ht="15.75" customHeight="1" x14ac:dyDescent="0.3">
      <c r="A3" s="12">
        <v>44544.545153136569</v>
      </c>
      <c r="B3" s="13" t="s">
        <v>3738</v>
      </c>
      <c r="C3" s="14" t="s">
        <v>3739</v>
      </c>
      <c r="D3" s="15" t="s">
        <v>3736</v>
      </c>
      <c r="E3" s="13" t="s">
        <v>3737</v>
      </c>
    </row>
    <row r="4" spans="1:5" ht="15.75" customHeight="1" x14ac:dyDescent="0.3">
      <c r="A4" s="12">
        <v>44544.242727106481</v>
      </c>
      <c r="B4" s="13" t="s">
        <v>3734</v>
      </c>
      <c r="C4" s="14" t="s">
        <v>3735</v>
      </c>
      <c r="D4" s="15" t="s">
        <v>3736</v>
      </c>
      <c r="E4" s="13" t="s">
        <v>3737</v>
      </c>
    </row>
    <row r="5" spans="1:5" ht="15.75" customHeight="1" x14ac:dyDescent="0.3">
      <c r="A5" s="12">
        <v>44544.242727106481</v>
      </c>
      <c r="B5" s="13" t="s">
        <v>3738</v>
      </c>
      <c r="C5" s="14" t="s">
        <v>3739</v>
      </c>
      <c r="D5" s="15" t="s">
        <v>3736</v>
      </c>
      <c r="E5" s="13" t="s">
        <v>3737</v>
      </c>
    </row>
    <row r="6" spans="1:5" ht="15.75" customHeight="1" x14ac:dyDescent="0.3">
      <c r="A6" s="12">
        <v>44543.242716805558</v>
      </c>
      <c r="B6" s="13" t="s">
        <v>3734</v>
      </c>
      <c r="C6" s="14" t="s">
        <v>3735</v>
      </c>
      <c r="D6" s="15" t="s">
        <v>3736</v>
      </c>
      <c r="E6" s="13" t="s">
        <v>3737</v>
      </c>
    </row>
    <row r="7" spans="1:5" ht="15.75" customHeight="1" x14ac:dyDescent="0.3">
      <c r="A7" s="12">
        <v>44543.242716805558</v>
      </c>
      <c r="B7" s="13" t="s">
        <v>3738</v>
      </c>
      <c r="C7" s="14" t="s">
        <v>3739</v>
      </c>
      <c r="D7" s="15" t="s">
        <v>3736</v>
      </c>
      <c r="E7" s="13" t="s">
        <v>3737</v>
      </c>
    </row>
    <row r="8" spans="1:5" ht="15.75" customHeight="1" x14ac:dyDescent="0.3">
      <c r="A8" s="12">
        <v>44542.24271820602</v>
      </c>
      <c r="B8" s="13" t="s">
        <v>3734</v>
      </c>
      <c r="C8" s="14" t="s">
        <v>3735</v>
      </c>
      <c r="D8" s="15" t="s">
        <v>3736</v>
      </c>
      <c r="E8" s="13" t="s">
        <v>3737</v>
      </c>
    </row>
    <row r="9" spans="1:5" ht="15.75" customHeight="1" x14ac:dyDescent="0.3">
      <c r="A9" s="12">
        <v>44542.24271820602</v>
      </c>
      <c r="B9" s="13" t="s">
        <v>3738</v>
      </c>
      <c r="C9" s="14" t="s">
        <v>3739</v>
      </c>
      <c r="D9" s="15" t="s">
        <v>3736</v>
      </c>
      <c r="E9" s="13" t="s">
        <v>3737</v>
      </c>
    </row>
    <row r="10" spans="1:5" ht="15.75" customHeight="1" x14ac:dyDescent="0.3">
      <c r="A10" s="12">
        <v>44541.242719375005</v>
      </c>
      <c r="B10" s="13" t="s">
        <v>3734</v>
      </c>
      <c r="C10" s="14" t="s">
        <v>3735</v>
      </c>
      <c r="D10" s="15" t="s">
        <v>3736</v>
      </c>
      <c r="E10" s="13" t="s">
        <v>3737</v>
      </c>
    </row>
    <row r="11" spans="1:5" ht="15.75" customHeight="1" x14ac:dyDescent="0.3">
      <c r="A11" s="12">
        <v>44541.242719375005</v>
      </c>
      <c r="B11" s="13" t="s">
        <v>3738</v>
      </c>
      <c r="C11" s="14" t="s">
        <v>3739</v>
      </c>
      <c r="D11" s="15" t="s">
        <v>3736</v>
      </c>
      <c r="E11" s="13" t="s">
        <v>3737</v>
      </c>
    </row>
    <row r="12" spans="1:5" ht="15.75" customHeight="1" x14ac:dyDescent="0.3">
      <c r="A12" s="12">
        <v>44540.242718009264</v>
      </c>
      <c r="B12" s="13" t="s">
        <v>3734</v>
      </c>
      <c r="C12" s="14" t="s">
        <v>3735</v>
      </c>
      <c r="D12" s="15" t="s">
        <v>3736</v>
      </c>
      <c r="E12" s="13" t="s">
        <v>3737</v>
      </c>
    </row>
    <row r="13" spans="1:5" ht="15.75" customHeight="1" x14ac:dyDescent="0.3">
      <c r="A13" s="12">
        <v>44540.242718009264</v>
      </c>
      <c r="B13" s="13" t="s">
        <v>3738</v>
      </c>
      <c r="C13" s="14" t="s">
        <v>3739</v>
      </c>
      <c r="D13" s="15" t="s">
        <v>3736</v>
      </c>
      <c r="E13" s="13" t="s">
        <v>3737</v>
      </c>
    </row>
    <row r="14" spans="1:5" ht="15.75" customHeight="1" x14ac:dyDescent="0.3">
      <c r="A14" s="12">
        <v>44539.242718912035</v>
      </c>
      <c r="B14" s="13" t="s">
        <v>3734</v>
      </c>
      <c r="C14" s="14" t="s">
        <v>3735</v>
      </c>
      <c r="D14" s="15" t="s">
        <v>3736</v>
      </c>
      <c r="E14" s="13" t="s">
        <v>3737</v>
      </c>
    </row>
    <row r="15" spans="1:5" ht="15.75" customHeight="1" x14ac:dyDescent="0.3">
      <c r="A15" s="12">
        <v>44539.242718912035</v>
      </c>
      <c r="B15" s="13" t="s">
        <v>3738</v>
      </c>
      <c r="C15" s="14" t="s">
        <v>3739</v>
      </c>
      <c r="D15" s="15" t="s">
        <v>3736</v>
      </c>
      <c r="E15" s="13" t="s">
        <v>3737</v>
      </c>
    </row>
    <row r="16" spans="1:5" ht="15.75" customHeight="1" x14ac:dyDescent="0.3">
      <c r="A16" s="12">
        <v>44538.24271903935</v>
      </c>
      <c r="B16" s="13" t="s">
        <v>3734</v>
      </c>
      <c r="C16" s="14" t="s">
        <v>3735</v>
      </c>
      <c r="D16" s="15" t="s">
        <v>3736</v>
      </c>
      <c r="E16" s="13" t="s">
        <v>3737</v>
      </c>
    </row>
    <row r="17" spans="1:5" ht="15.75" customHeight="1" x14ac:dyDescent="0.3">
      <c r="A17" s="12">
        <v>44538.24271903935</v>
      </c>
      <c r="B17" s="13" t="s">
        <v>3738</v>
      </c>
      <c r="C17" s="14" t="s">
        <v>3739</v>
      </c>
      <c r="D17" s="15" t="s">
        <v>3736</v>
      </c>
      <c r="E17" s="13" t="s">
        <v>3737</v>
      </c>
    </row>
    <row r="18" spans="1:5" ht="15.75" customHeight="1" x14ac:dyDescent="0.3">
      <c r="A18" s="12">
        <v>44537.242720949071</v>
      </c>
      <c r="B18" s="13" t="s">
        <v>3734</v>
      </c>
      <c r="C18" s="14" t="s">
        <v>3735</v>
      </c>
      <c r="D18" s="15" t="s">
        <v>3736</v>
      </c>
      <c r="E18" s="13" t="s">
        <v>3737</v>
      </c>
    </row>
    <row r="19" spans="1:5" ht="15.75" customHeight="1" x14ac:dyDescent="0.3">
      <c r="A19" s="12">
        <v>44537.242720949071</v>
      </c>
      <c r="B19" s="13" t="s">
        <v>3738</v>
      </c>
      <c r="C19" s="14" t="s">
        <v>3739</v>
      </c>
      <c r="D19" s="15" t="s">
        <v>3736</v>
      </c>
      <c r="E19" s="13" t="s">
        <v>3737</v>
      </c>
    </row>
    <row r="20" spans="1:5" ht="15.75" customHeight="1" x14ac:dyDescent="0.3">
      <c r="A20" s="12">
        <v>44536.242718807873</v>
      </c>
      <c r="B20" s="13" t="s">
        <v>3734</v>
      </c>
      <c r="C20" s="14" t="s">
        <v>3735</v>
      </c>
      <c r="D20" s="15" t="s">
        <v>3736</v>
      </c>
      <c r="E20" s="13" t="s">
        <v>3737</v>
      </c>
    </row>
    <row r="21" spans="1:5" ht="15.75" customHeight="1" x14ac:dyDescent="0.3">
      <c r="A21" s="12">
        <v>44536.242718807873</v>
      </c>
      <c r="B21" s="13" t="s">
        <v>3738</v>
      </c>
      <c r="C21" s="14" t="s">
        <v>3739</v>
      </c>
      <c r="D21" s="15" t="s">
        <v>3736</v>
      </c>
      <c r="E21" s="13" t="s">
        <v>3737</v>
      </c>
    </row>
    <row r="22" spans="1:5" ht="15.75" customHeight="1" x14ac:dyDescent="0.3">
      <c r="A22" s="12">
        <v>44535.242724479162</v>
      </c>
      <c r="B22" s="13" t="s">
        <v>3734</v>
      </c>
      <c r="C22" s="14" t="s">
        <v>3735</v>
      </c>
      <c r="D22" s="15" t="s">
        <v>3736</v>
      </c>
      <c r="E22" s="13" t="s">
        <v>3737</v>
      </c>
    </row>
    <row r="23" spans="1:5" ht="15.75" customHeight="1" x14ac:dyDescent="0.3">
      <c r="A23" s="12">
        <v>44535.242724479162</v>
      </c>
      <c r="B23" s="13" t="s">
        <v>3738</v>
      </c>
      <c r="C23" s="14" t="s">
        <v>3739</v>
      </c>
      <c r="D23" s="15" t="s">
        <v>3736</v>
      </c>
      <c r="E23" s="13" t="s">
        <v>3737</v>
      </c>
    </row>
    <row r="24" spans="1:5" ht="15.75" customHeight="1" x14ac:dyDescent="0.3">
      <c r="A24" s="12">
        <v>44534.242726261575</v>
      </c>
      <c r="B24" s="13" t="s">
        <v>3734</v>
      </c>
      <c r="C24" s="14" t="s">
        <v>3735</v>
      </c>
      <c r="D24" s="15" t="s">
        <v>3736</v>
      </c>
      <c r="E24" s="13" t="s">
        <v>3737</v>
      </c>
    </row>
    <row r="25" spans="1:5" ht="39" x14ac:dyDescent="0.3">
      <c r="A25" s="12">
        <v>44534.242726261575</v>
      </c>
      <c r="B25" s="13" t="s">
        <v>3738</v>
      </c>
      <c r="C25" s="14" t="s">
        <v>3739</v>
      </c>
      <c r="D25" s="15" t="s">
        <v>3736</v>
      </c>
      <c r="E25" s="13" t="s">
        <v>3737</v>
      </c>
    </row>
    <row r="26" spans="1:5" ht="39" x14ac:dyDescent="0.3">
      <c r="A26" s="12">
        <v>44533.242717615736</v>
      </c>
      <c r="B26" s="13" t="s">
        <v>3734</v>
      </c>
      <c r="C26" s="14" t="s">
        <v>3735</v>
      </c>
      <c r="D26" s="15" t="s">
        <v>3736</v>
      </c>
      <c r="E26" s="13" t="s">
        <v>3737</v>
      </c>
    </row>
    <row r="27" spans="1:5" ht="39" x14ac:dyDescent="0.3">
      <c r="A27" s="12">
        <v>44533.242717615736</v>
      </c>
      <c r="B27" s="13" t="s">
        <v>3738</v>
      </c>
      <c r="C27" s="14" t="s">
        <v>3739</v>
      </c>
      <c r="D27" s="15" t="s">
        <v>3736</v>
      </c>
      <c r="E27" s="13" t="s">
        <v>3737</v>
      </c>
    </row>
    <row r="28" spans="1:5" ht="39" x14ac:dyDescent="0.3">
      <c r="A28" s="12">
        <v>44532.242717962959</v>
      </c>
      <c r="B28" s="13" t="s">
        <v>3734</v>
      </c>
      <c r="C28" s="14" t="s">
        <v>3735</v>
      </c>
      <c r="D28" s="15" t="s">
        <v>3736</v>
      </c>
      <c r="E28" s="13" t="s">
        <v>3737</v>
      </c>
    </row>
    <row r="29" spans="1:5" ht="39" x14ac:dyDescent="0.3">
      <c r="A29" s="12">
        <v>44532.242717962959</v>
      </c>
      <c r="B29" s="13" t="s">
        <v>3738</v>
      </c>
      <c r="C29" s="14" t="s">
        <v>3739</v>
      </c>
      <c r="D29" s="15" t="s">
        <v>3736</v>
      </c>
      <c r="E29" s="13" t="s">
        <v>3737</v>
      </c>
    </row>
    <row r="30" spans="1:5" ht="39" x14ac:dyDescent="0.3">
      <c r="A30" s="12">
        <v>44531.24271914352</v>
      </c>
      <c r="B30" s="13" t="s">
        <v>3734</v>
      </c>
      <c r="C30" s="14" t="s">
        <v>3735</v>
      </c>
      <c r="D30" s="15" t="s">
        <v>3736</v>
      </c>
      <c r="E30" s="13" t="s">
        <v>3737</v>
      </c>
    </row>
    <row r="31" spans="1:5" ht="39" x14ac:dyDescent="0.3">
      <c r="A31" s="12">
        <v>44531.24271914352</v>
      </c>
      <c r="B31" s="13" t="s">
        <v>3738</v>
      </c>
      <c r="C31" s="14" t="s">
        <v>3739</v>
      </c>
      <c r="D31" s="15" t="s">
        <v>3736</v>
      </c>
      <c r="E31" s="13" t="s">
        <v>3737</v>
      </c>
    </row>
    <row r="32" spans="1:5" ht="39" x14ac:dyDescent="0.3">
      <c r="A32" s="12">
        <v>44530.242717743051</v>
      </c>
      <c r="B32" s="13" t="s">
        <v>3734</v>
      </c>
      <c r="C32" s="14" t="s">
        <v>3735</v>
      </c>
      <c r="D32" s="15" t="s">
        <v>3736</v>
      </c>
      <c r="E32" s="13" t="s">
        <v>3737</v>
      </c>
    </row>
    <row r="33" spans="1:5" ht="39" x14ac:dyDescent="0.3">
      <c r="A33" s="12">
        <v>44530.242717743051</v>
      </c>
      <c r="B33" s="13" t="s">
        <v>3738</v>
      </c>
      <c r="C33" s="14" t="s">
        <v>3739</v>
      </c>
      <c r="D33" s="15" t="s">
        <v>3736</v>
      </c>
      <c r="E33" s="13" t="s">
        <v>3737</v>
      </c>
    </row>
    <row r="34" spans="1:5" ht="39" x14ac:dyDescent="0.3">
      <c r="A34" s="12">
        <v>44529.242718981477</v>
      </c>
      <c r="B34" s="13" t="s">
        <v>3734</v>
      </c>
      <c r="C34" s="14" t="s">
        <v>3735</v>
      </c>
      <c r="D34" s="15" t="s">
        <v>3736</v>
      </c>
      <c r="E34" s="13" t="s">
        <v>3737</v>
      </c>
    </row>
    <row r="35" spans="1:5" ht="39" x14ac:dyDescent="0.3">
      <c r="A35" s="12">
        <v>44529.242718981477</v>
      </c>
      <c r="B35" s="13" t="s">
        <v>3738</v>
      </c>
      <c r="C35" s="14" t="s">
        <v>3739</v>
      </c>
      <c r="D35" s="15" t="s">
        <v>3736</v>
      </c>
      <c r="E35" s="13" t="s">
        <v>3737</v>
      </c>
    </row>
    <row r="36" spans="1:5" ht="39" x14ac:dyDescent="0.3">
      <c r="A36" s="12">
        <v>44528.242718298614</v>
      </c>
      <c r="B36" s="13" t="s">
        <v>3734</v>
      </c>
      <c r="C36" s="14" t="s">
        <v>3735</v>
      </c>
      <c r="D36" s="15" t="s">
        <v>3736</v>
      </c>
      <c r="E36" s="13" t="s">
        <v>3737</v>
      </c>
    </row>
    <row r="37" spans="1:5" ht="39" x14ac:dyDescent="0.3">
      <c r="A37" s="12">
        <v>44528.242718298614</v>
      </c>
      <c r="B37" s="13" t="s">
        <v>3738</v>
      </c>
      <c r="C37" s="14" t="s">
        <v>3739</v>
      </c>
      <c r="D37" s="15" t="s">
        <v>3736</v>
      </c>
      <c r="E37" s="13" t="s">
        <v>3737</v>
      </c>
    </row>
    <row r="38" spans="1:5" ht="39" x14ac:dyDescent="0.3">
      <c r="A38" s="12">
        <v>44527.242718020832</v>
      </c>
      <c r="B38" s="13" t="s">
        <v>3734</v>
      </c>
      <c r="C38" s="14" t="s">
        <v>3735</v>
      </c>
      <c r="D38" s="15" t="s">
        <v>3736</v>
      </c>
      <c r="E38" s="13" t="s">
        <v>3737</v>
      </c>
    </row>
    <row r="39" spans="1:5" ht="39" x14ac:dyDescent="0.3">
      <c r="A39" s="12">
        <v>44527.242718020832</v>
      </c>
      <c r="B39" s="13" t="s">
        <v>3738</v>
      </c>
      <c r="C39" s="14" t="s">
        <v>3739</v>
      </c>
      <c r="D39" s="15" t="s">
        <v>3736</v>
      </c>
      <c r="E39" s="13" t="s">
        <v>3737</v>
      </c>
    </row>
    <row r="40" spans="1:5" ht="39" x14ac:dyDescent="0.3">
      <c r="A40" s="12">
        <v>44526.242725671298</v>
      </c>
      <c r="B40" s="13" t="s">
        <v>3734</v>
      </c>
      <c r="C40" s="14" t="s">
        <v>3735</v>
      </c>
      <c r="D40" s="15" t="s">
        <v>3736</v>
      </c>
      <c r="E40" s="13" t="s">
        <v>3737</v>
      </c>
    </row>
    <row r="41" spans="1:5" ht="39" x14ac:dyDescent="0.3">
      <c r="A41" s="12">
        <v>44526.242725671298</v>
      </c>
      <c r="B41" s="13" t="s">
        <v>3738</v>
      </c>
      <c r="C41" s="14" t="s">
        <v>3739</v>
      </c>
      <c r="D41" s="15" t="s">
        <v>3736</v>
      </c>
      <c r="E41" s="13" t="s">
        <v>3737</v>
      </c>
    </row>
    <row r="42" spans="1:5" ht="39" x14ac:dyDescent="0.3">
      <c r="A42" s="12">
        <v>44525.242715682871</v>
      </c>
      <c r="B42" s="13" t="s">
        <v>3734</v>
      </c>
      <c r="C42" s="14" t="s">
        <v>3735</v>
      </c>
      <c r="D42" s="15" t="s">
        <v>3736</v>
      </c>
      <c r="E42" s="13" t="s">
        <v>3737</v>
      </c>
    </row>
    <row r="43" spans="1:5" ht="39" x14ac:dyDescent="0.3">
      <c r="A43" s="12">
        <v>44525.242715682871</v>
      </c>
      <c r="B43" s="13" t="s">
        <v>3738</v>
      </c>
      <c r="C43" s="14" t="s">
        <v>3739</v>
      </c>
      <c r="D43" s="15" t="s">
        <v>3736</v>
      </c>
      <c r="E43" s="13" t="s">
        <v>3737</v>
      </c>
    </row>
    <row r="44" spans="1:5" ht="39" x14ac:dyDescent="0.3">
      <c r="A44" s="12">
        <v>44524.242717777779</v>
      </c>
      <c r="B44" s="13" t="s">
        <v>3734</v>
      </c>
      <c r="C44" s="14" t="s">
        <v>3735</v>
      </c>
      <c r="D44" s="15" t="s">
        <v>3736</v>
      </c>
      <c r="E44" s="13" t="s">
        <v>3737</v>
      </c>
    </row>
    <row r="45" spans="1:5" ht="39" x14ac:dyDescent="0.3">
      <c r="A45" s="12">
        <v>44524.242717777779</v>
      </c>
      <c r="B45" s="13" t="s">
        <v>3738</v>
      </c>
      <c r="C45" s="14" t="s">
        <v>3739</v>
      </c>
      <c r="D45" s="15" t="s">
        <v>3736</v>
      </c>
      <c r="E45" s="13" t="s">
        <v>3737</v>
      </c>
    </row>
    <row r="46" spans="1:5" ht="39" x14ac:dyDescent="0.3">
      <c r="A46" s="12">
        <v>44523.242717407411</v>
      </c>
      <c r="B46" s="13" t="s">
        <v>3734</v>
      </c>
      <c r="C46" s="14" t="s">
        <v>3735</v>
      </c>
      <c r="D46" s="15" t="s">
        <v>3736</v>
      </c>
      <c r="E46" s="13" t="s">
        <v>3737</v>
      </c>
    </row>
    <row r="47" spans="1:5" ht="39" x14ac:dyDescent="0.3">
      <c r="A47" s="12">
        <v>44523.242717407411</v>
      </c>
      <c r="B47" s="13" t="s">
        <v>3738</v>
      </c>
      <c r="C47" s="14" t="s">
        <v>3739</v>
      </c>
      <c r="D47" s="15" t="s">
        <v>3736</v>
      </c>
      <c r="E47" s="13" t="s">
        <v>3737</v>
      </c>
    </row>
    <row r="48" spans="1:5" ht="39" x14ac:dyDescent="0.3">
      <c r="A48" s="12">
        <v>44522.242717789355</v>
      </c>
      <c r="B48" s="13" t="s">
        <v>3734</v>
      </c>
      <c r="C48" s="14" t="s">
        <v>3735</v>
      </c>
      <c r="D48" s="15" t="s">
        <v>3736</v>
      </c>
      <c r="E48" s="13" t="s">
        <v>3737</v>
      </c>
    </row>
    <row r="49" spans="1:5" ht="39" x14ac:dyDescent="0.3">
      <c r="A49" s="12">
        <v>44522.242717789355</v>
      </c>
      <c r="B49" s="13" t="s">
        <v>3738</v>
      </c>
      <c r="C49" s="14" t="s">
        <v>3739</v>
      </c>
      <c r="D49" s="15" t="s">
        <v>3736</v>
      </c>
      <c r="E49" s="13" t="s">
        <v>3737</v>
      </c>
    </row>
    <row r="50" spans="1:5" ht="39" x14ac:dyDescent="0.3">
      <c r="A50" s="12">
        <v>44521.242716747685</v>
      </c>
      <c r="B50" s="13" t="s">
        <v>3734</v>
      </c>
      <c r="C50" s="14" t="s">
        <v>3735</v>
      </c>
      <c r="D50" s="15" t="s">
        <v>3736</v>
      </c>
      <c r="E50" s="13" t="s">
        <v>3737</v>
      </c>
    </row>
    <row r="51" spans="1:5" ht="39" x14ac:dyDescent="0.3">
      <c r="A51" s="12">
        <v>44521.242716747685</v>
      </c>
      <c r="B51" s="13" t="s">
        <v>3738</v>
      </c>
      <c r="C51" s="14" t="s">
        <v>3739</v>
      </c>
      <c r="D51" s="15" t="s">
        <v>3736</v>
      </c>
      <c r="E51" s="13" t="s">
        <v>3737</v>
      </c>
    </row>
    <row r="52" spans="1:5" ht="39" x14ac:dyDescent="0.3">
      <c r="A52" s="12">
        <v>44520.242717222223</v>
      </c>
      <c r="B52" s="13" t="s">
        <v>3734</v>
      </c>
      <c r="C52" s="14" t="s">
        <v>3735</v>
      </c>
      <c r="D52" s="15" t="s">
        <v>3736</v>
      </c>
      <c r="E52" s="13" t="s">
        <v>3737</v>
      </c>
    </row>
    <row r="53" spans="1:5" ht="39" x14ac:dyDescent="0.3">
      <c r="A53" s="12">
        <v>44520.242717222223</v>
      </c>
      <c r="B53" s="13" t="s">
        <v>3738</v>
      </c>
      <c r="C53" s="14" t="s">
        <v>3739</v>
      </c>
      <c r="D53" s="15" t="s">
        <v>3736</v>
      </c>
      <c r="E53" s="13" t="s">
        <v>3737</v>
      </c>
    </row>
    <row r="54" spans="1:5" ht="39" x14ac:dyDescent="0.3">
      <c r="A54" s="12">
        <v>44519.242717106477</v>
      </c>
      <c r="B54" s="13" t="s">
        <v>3734</v>
      </c>
      <c r="C54" s="14" t="s">
        <v>3735</v>
      </c>
      <c r="D54" s="15" t="s">
        <v>3736</v>
      </c>
      <c r="E54" s="13" t="s">
        <v>3737</v>
      </c>
    </row>
    <row r="55" spans="1:5" ht="39" x14ac:dyDescent="0.3">
      <c r="A55" s="12">
        <v>44519.242717106477</v>
      </c>
      <c r="B55" s="13" t="s">
        <v>3738</v>
      </c>
      <c r="C55" s="14" t="s">
        <v>3739</v>
      </c>
      <c r="D55" s="15" t="s">
        <v>3736</v>
      </c>
      <c r="E55" s="13" t="s">
        <v>3737</v>
      </c>
    </row>
    <row r="56" spans="1:5" ht="39" x14ac:dyDescent="0.3">
      <c r="A56" s="12">
        <v>44518.242716261579</v>
      </c>
      <c r="B56" s="13" t="s">
        <v>3734</v>
      </c>
      <c r="C56" s="14" t="s">
        <v>3735</v>
      </c>
      <c r="D56" s="15" t="s">
        <v>3736</v>
      </c>
      <c r="E56" s="13" t="s">
        <v>3737</v>
      </c>
    </row>
    <row r="57" spans="1:5" ht="39" x14ac:dyDescent="0.3">
      <c r="A57" s="12">
        <v>44518.242716261579</v>
      </c>
      <c r="B57" s="13" t="s">
        <v>3738</v>
      </c>
      <c r="C57" s="14" t="s">
        <v>3739</v>
      </c>
      <c r="D57" s="15" t="s">
        <v>3736</v>
      </c>
      <c r="E57" s="13" t="s">
        <v>3737</v>
      </c>
    </row>
    <row r="58" spans="1:5" ht="39" x14ac:dyDescent="0.3">
      <c r="A58" s="12">
        <v>44517.242717476853</v>
      </c>
      <c r="B58" s="13" t="s">
        <v>3734</v>
      </c>
      <c r="C58" s="14" t="s">
        <v>3735</v>
      </c>
      <c r="D58" s="15" t="s">
        <v>3736</v>
      </c>
      <c r="E58" s="13" t="s">
        <v>3737</v>
      </c>
    </row>
    <row r="59" spans="1:5" ht="39" x14ac:dyDescent="0.3">
      <c r="A59" s="12">
        <v>44517.242717476853</v>
      </c>
      <c r="B59" s="13" t="s">
        <v>3738</v>
      </c>
      <c r="C59" s="14" t="s">
        <v>3739</v>
      </c>
      <c r="D59" s="15" t="s">
        <v>3736</v>
      </c>
      <c r="E59" s="13" t="s">
        <v>3737</v>
      </c>
    </row>
    <row r="60" spans="1:5" ht="39" x14ac:dyDescent="0.3">
      <c r="A60" s="12">
        <v>44516.242719745365</v>
      </c>
      <c r="B60" s="13" t="s">
        <v>3734</v>
      </c>
      <c r="C60" s="14" t="s">
        <v>3735</v>
      </c>
      <c r="D60" s="15" t="s">
        <v>3736</v>
      </c>
      <c r="E60" s="13" t="s">
        <v>3737</v>
      </c>
    </row>
    <row r="61" spans="1:5" ht="39" x14ac:dyDescent="0.3">
      <c r="A61" s="12">
        <v>44516.242719745365</v>
      </c>
      <c r="B61" s="13" t="s">
        <v>3738</v>
      </c>
      <c r="C61" s="14" t="s">
        <v>3739</v>
      </c>
      <c r="D61" s="15" t="s">
        <v>3736</v>
      </c>
      <c r="E61" s="13" t="s">
        <v>3737</v>
      </c>
    </row>
    <row r="62" spans="1:5" ht="39" x14ac:dyDescent="0.3">
      <c r="A62" s="12">
        <v>44515.242716736117</v>
      </c>
      <c r="B62" s="13" t="s">
        <v>3734</v>
      </c>
      <c r="C62" s="14" t="s">
        <v>3735</v>
      </c>
      <c r="D62" s="15" t="s">
        <v>3736</v>
      </c>
      <c r="E62" s="13" t="s">
        <v>3737</v>
      </c>
    </row>
    <row r="63" spans="1:5" ht="39" x14ac:dyDescent="0.3">
      <c r="A63" s="12">
        <v>44515.242716736117</v>
      </c>
      <c r="B63" s="13" t="s">
        <v>3738</v>
      </c>
      <c r="C63" s="14" t="s">
        <v>3739</v>
      </c>
      <c r="D63" s="15" t="s">
        <v>3736</v>
      </c>
      <c r="E63" s="13" t="s">
        <v>3737</v>
      </c>
    </row>
    <row r="64" spans="1:5" ht="39" x14ac:dyDescent="0.3">
      <c r="A64" s="12">
        <v>44514.242719467591</v>
      </c>
      <c r="B64" s="13" t="s">
        <v>3734</v>
      </c>
      <c r="C64" s="14" t="s">
        <v>3735</v>
      </c>
      <c r="D64" s="15" t="s">
        <v>3736</v>
      </c>
      <c r="E64" s="13" t="s">
        <v>3737</v>
      </c>
    </row>
    <row r="65" spans="1:5" ht="39" x14ac:dyDescent="0.3">
      <c r="A65" s="12">
        <v>44514.242719467591</v>
      </c>
      <c r="B65" s="13" t="s">
        <v>3738</v>
      </c>
      <c r="C65" s="14" t="s">
        <v>3739</v>
      </c>
      <c r="D65" s="15" t="s">
        <v>3736</v>
      </c>
      <c r="E65" s="13" t="s">
        <v>3737</v>
      </c>
    </row>
    <row r="66" spans="1:5" ht="39" x14ac:dyDescent="0.3">
      <c r="A66" s="12">
        <v>44513.242718530091</v>
      </c>
      <c r="B66" s="13" t="s">
        <v>3734</v>
      </c>
      <c r="C66" s="14" t="s">
        <v>3735</v>
      </c>
      <c r="D66" s="15" t="s">
        <v>3736</v>
      </c>
      <c r="E66" s="13" t="s">
        <v>3737</v>
      </c>
    </row>
    <row r="67" spans="1:5" ht="39" x14ac:dyDescent="0.3">
      <c r="A67" s="12">
        <v>44513.242718530091</v>
      </c>
      <c r="B67" s="13" t="s">
        <v>3738</v>
      </c>
      <c r="C67" s="14" t="s">
        <v>3739</v>
      </c>
      <c r="D67" s="15" t="s">
        <v>3736</v>
      </c>
      <c r="E67" s="13" t="s">
        <v>3737</v>
      </c>
    </row>
    <row r="68" spans="1:5" ht="39" x14ac:dyDescent="0.3">
      <c r="A68" s="12">
        <v>44512.242718715279</v>
      </c>
      <c r="B68" s="13" t="s">
        <v>3734</v>
      </c>
      <c r="C68" s="14" t="s">
        <v>3735</v>
      </c>
      <c r="D68" s="15" t="s">
        <v>3736</v>
      </c>
      <c r="E68" s="13" t="s">
        <v>3737</v>
      </c>
    </row>
    <row r="69" spans="1:5" ht="39" x14ac:dyDescent="0.3">
      <c r="A69" s="12">
        <v>44512.242718715279</v>
      </c>
      <c r="B69" s="13" t="s">
        <v>3738</v>
      </c>
      <c r="C69" s="14" t="s">
        <v>3739</v>
      </c>
      <c r="D69" s="15" t="s">
        <v>3736</v>
      </c>
      <c r="E69" s="13" t="s">
        <v>3737</v>
      </c>
    </row>
    <row r="70" spans="1:5" ht="39" x14ac:dyDescent="0.3">
      <c r="A70" s="12">
        <v>44511.242717118061</v>
      </c>
      <c r="B70" s="13" t="s">
        <v>3734</v>
      </c>
      <c r="C70" s="14" t="s">
        <v>3735</v>
      </c>
      <c r="D70" s="15" t="s">
        <v>3736</v>
      </c>
      <c r="E70" s="13" t="s">
        <v>3737</v>
      </c>
    </row>
    <row r="71" spans="1:5" ht="39" x14ac:dyDescent="0.3">
      <c r="A71" s="12">
        <v>44511.242717118061</v>
      </c>
      <c r="B71" s="13" t="s">
        <v>3738</v>
      </c>
      <c r="C71" s="14" t="s">
        <v>3739</v>
      </c>
      <c r="D71" s="15" t="s">
        <v>3736</v>
      </c>
      <c r="E71" s="13" t="s">
        <v>3737</v>
      </c>
    </row>
    <row r="72" spans="1:5" ht="39" x14ac:dyDescent="0.3">
      <c r="A72" s="12">
        <v>44510.242717407411</v>
      </c>
      <c r="B72" s="13" t="s">
        <v>3734</v>
      </c>
      <c r="C72" s="14" t="s">
        <v>3735</v>
      </c>
      <c r="D72" s="15" t="s">
        <v>3736</v>
      </c>
      <c r="E72" s="13" t="s">
        <v>3737</v>
      </c>
    </row>
    <row r="73" spans="1:5" ht="39" x14ac:dyDescent="0.3">
      <c r="A73" s="12">
        <v>44510.242717407411</v>
      </c>
      <c r="B73" s="13" t="s">
        <v>3738</v>
      </c>
      <c r="C73" s="14" t="s">
        <v>3739</v>
      </c>
      <c r="D73" s="15" t="s">
        <v>3736</v>
      </c>
      <c r="E73" s="13" t="s">
        <v>3737</v>
      </c>
    </row>
    <row r="74" spans="1:5" ht="39" x14ac:dyDescent="0.3">
      <c r="A74" s="12">
        <v>44509.242719976857</v>
      </c>
      <c r="B74" s="13" t="s">
        <v>3734</v>
      </c>
      <c r="C74" s="14" t="s">
        <v>3735</v>
      </c>
      <c r="D74" s="15" t="s">
        <v>3736</v>
      </c>
      <c r="E74" s="13" t="s">
        <v>3737</v>
      </c>
    </row>
    <row r="75" spans="1:5" ht="39" x14ac:dyDescent="0.3">
      <c r="A75" s="12">
        <v>44509.242719976857</v>
      </c>
      <c r="B75" s="13" t="s">
        <v>3738</v>
      </c>
      <c r="C75" s="14" t="s">
        <v>3739</v>
      </c>
      <c r="D75" s="15" t="s">
        <v>3736</v>
      </c>
      <c r="E75" s="13" t="s">
        <v>3737</v>
      </c>
    </row>
    <row r="76" spans="1:5" ht="39" x14ac:dyDescent="0.3">
      <c r="A76" s="12">
        <v>44508.242718460649</v>
      </c>
      <c r="B76" s="13" t="s">
        <v>3734</v>
      </c>
      <c r="C76" s="14" t="s">
        <v>3735</v>
      </c>
      <c r="D76" s="15" t="s">
        <v>3736</v>
      </c>
      <c r="E76" s="13" t="s">
        <v>3737</v>
      </c>
    </row>
    <row r="77" spans="1:5" ht="39" x14ac:dyDescent="0.3">
      <c r="A77" s="12">
        <v>44508.242718460649</v>
      </c>
      <c r="B77" s="13" t="s">
        <v>3738</v>
      </c>
      <c r="C77" s="14" t="s">
        <v>3739</v>
      </c>
      <c r="D77" s="15" t="s">
        <v>3736</v>
      </c>
      <c r="E77" s="13" t="s">
        <v>3737</v>
      </c>
    </row>
    <row r="78" spans="1:5" ht="39" x14ac:dyDescent="0.3">
      <c r="A78" s="12">
        <v>44507.201050636577</v>
      </c>
      <c r="B78" s="13" t="s">
        <v>3734</v>
      </c>
      <c r="C78" s="14" t="s">
        <v>3735</v>
      </c>
      <c r="D78" s="15" t="s">
        <v>3736</v>
      </c>
      <c r="E78" s="13" t="s">
        <v>3737</v>
      </c>
    </row>
    <row r="79" spans="1:5" ht="39" x14ac:dyDescent="0.3">
      <c r="A79" s="12">
        <v>44507.201050636577</v>
      </c>
      <c r="B79" s="13" t="s">
        <v>3738</v>
      </c>
      <c r="C79" s="14" t="s">
        <v>3739</v>
      </c>
      <c r="D79" s="15" t="s">
        <v>3736</v>
      </c>
      <c r="E79" s="13" t="s">
        <v>3737</v>
      </c>
    </row>
    <row r="80" spans="1:5" ht="39" x14ac:dyDescent="0.3">
      <c r="A80" s="12">
        <v>44506.201050914351</v>
      </c>
      <c r="B80" s="13" t="s">
        <v>3734</v>
      </c>
      <c r="C80" s="14" t="s">
        <v>3735</v>
      </c>
      <c r="D80" s="15" t="s">
        <v>3736</v>
      </c>
      <c r="E80" s="13" t="s">
        <v>3737</v>
      </c>
    </row>
    <row r="81" spans="1:5" ht="39" x14ac:dyDescent="0.3">
      <c r="A81" s="12">
        <v>44506.201050914351</v>
      </c>
      <c r="B81" s="13" t="s">
        <v>3738</v>
      </c>
      <c r="C81" s="14" t="s">
        <v>3739</v>
      </c>
      <c r="D81" s="15" t="s">
        <v>3736</v>
      </c>
      <c r="E81" s="13" t="s">
        <v>3737</v>
      </c>
    </row>
    <row r="82" spans="1:5" ht="39" x14ac:dyDescent="0.3">
      <c r="A82" s="12">
        <v>44505.201050057869</v>
      </c>
      <c r="B82" s="13" t="s">
        <v>3734</v>
      </c>
      <c r="C82" s="14" t="s">
        <v>3735</v>
      </c>
      <c r="D82" s="15" t="s">
        <v>3736</v>
      </c>
      <c r="E82" s="13" t="s">
        <v>3737</v>
      </c>
    </row>
    <row r="83" spans="1:5" ht="39" x14ac:dyDescent="0.3">
      <c r="A83" s="12">
        <v>44505.201050057869</v>
      </c>
      <c r="B83" s="13" t="s">
        <v>3738</v>
      </c>
      <c r="C83" s="14" t="s">
        <v>3739</v>
      </c>
      <c r="D83" s="15" t="s">
        <v>3736</v>
      </c>
      <c r="E83" s="13" t="s">
        <v>3737</v>
      </c>
    </row>
    <row r="84" spans="1:5" ht="39" x14ac:dyDescent="0.3">
      <c r="A84" s="12">
        <v>44504.201052303237</v>
      </c>
      <c r="B84" s="13" t="s">
        <v>3734</v>
      </c>
      <c r="C84" s="14" t="s">
        <v>3735</v>
      </c>
      <c r="D84" s="15" t="s">
        <v>3736</v>
      </c>
      <c r="E84" s="13" t="s">
        <v>3737</v>
      </c>
    </row>
    <row r="85" spans="1:5" ht="39" x14ac:dyDescent="0.3">
      <c r="A85" s="12">
        <v>44504.201052303237</v>
      </c>
      <c r="B85" s="13" t="s">
        <v>3738</v>
      </c>
      <c r="C85" s="14" t="s">
        <v>3739</v>
      </c>
      <c r="D85" s="15" t="s">
        <v>3736</v>
      </c>
      <c r="E85" s="13" t="s">
        <v>3737</v>
      </c>
    </row>
    <row r="86" spans="1:5" ht="39" x14ac:dyDescent="0.3">
      <c r="A86" s="12">
        <v>44503.201049988427</v>
      </c>
      <c r="B86" s="13" t="s">
        <v>3734</v>
      </c>
      <c r="C86" s="14" t="s">
        <v>3735</v>
      </c>
      <c r="D86" s="15" t="s">
        <v>3736</v>
      </c>
      <c r="E86" s="13" t="s">
        <v>3737</v>
      </c>
    </row>
    <row r="87" spans="1:5" ht="39" x14ac:dyDescent="0.3">
      <c r="A87" s="12">
        <v>44503.201049988427</v>
      </c>
      <c r="B87" s="13" t="s">
        <v>3738</v>
      </c>
      <c r="C87" s="14" t="s">
        <v>3739</v>
      </c>
      <c r="D87" s="15" t="s">
        <v>3736</v>
      </c>
      <c r="E87" s="13" t="s">
        <v>3737</v>
      </c>
    </row>
    <row r="88" spans="1:5" ht="39" x14ac:dyDescent="0.3">
      <c r="A88" s="12">
        <v>44502.20105048611</v>
      </c>
      <c r="B88" s="13" t="s">
        <v>3734</v>
      </c>
      <c r="C88" s="14" t="s">
        <v>3735</v>
      </c>
      <c r="D88" s="15" t="s">
        <v>3736</v>
      </c>
      <c r="E88" s="13" t="s">
        <v>3737</v>
      </c>
    </row>
    <row r="89" spans="1:5" ht="39" x14ac:dyDescent="0.3">
      <c r="A89" s="12">
        <v>44502.20105048611</v>
      </c>
      <c r="B89" s="13" t="s">
        <v>3738</v>
      </c>
      <c r="C89" s="14" t="s">
        <v>3739</v>
      </c>
      <c r="D89" s="15" t="s">
        <v>3736</v>
      </c>
      <c r="E89" s="13" t="s">
        <v>3737</v>
      </c>
    </row>
    <row r="90" spans="1:5" ht="39" x14ac:dyDescent="0.3">
      <c r="A90" s="12">
        <v>44501.201050474541</v>
      </c>
      <c r="B90" s="13" t="s">
        <v>3734</v>
      </c>
      <c r="C90" s="14" t="s">
        <v>3735</v>
      </c>
      <c r="D90" s="15" t="s">
        <v>3736</v>
      </c>
      <c r="E90" s="13" t="s">
        <v>3737</v>
      </c>
    </row>
    <row r="91" spans="1:5" ht="39" x14ac:dyDescent="0.3">
      <c r="A91" s="12">
        <v>44501.201050474541</v>
      </c>
      <c r="B91" s="13" t="s">
        <v>3738</v>
      </c>
      <c r="C91" s="14" t="s">
        <v>3739</v>
      </c>
      <c r="D91" s="15" t="s">
        <v>3736</v>
      </c>
      <c r="E91" s="13" t="s">
        <v>3737</v>
      </c>
    </row>
    <row r="92" spans="1:5" ht="39" x14ac:dyDescent="0.3">
      <c r="A92" s="12">
        <v>44500.201049733798</v>
      </c>
      <c r="B92" s="13" t="s">
        <v>3734</v>
      </c>
      <c r="C92" s="14" t="s">
        <v>3735</v>
      </c>
      <c r="D92" s="15" t="s">
        <v>3736</v>
      </c>
      <c r="E92" s="13" t="s">
        <v>3737</v>
      </c>
    </row>
    <row r="93" spans="1:5" ht="39" x14ac:dyDescent="0.3">
      <c r="A93" s="12">
        <v>44500.201049733798</v>
      </c>
      <c r="B93" s="13" t="s">
        <v>3738</v>
      </c>
      <c r="C93" s="14" t="s">
        <v>3739</v>
      </c>
      <c r="D93" s="15" t="s">
        <v>3736</v>
      </c>
      <c r="E93" s="13" t="s">
        <v>3737</v>
      </c>
    </row>
    <row r="94" spans="1:5" ht="39" x14ac:dyDescent="0.3">
      <c r="A94" s="12">
        <v>44499.201049178242</v>
      </c>
      <c r="B94" s="13" t="s">
        <v>3734</v>
      </c>
      <c r="C94" s="14" t="s">
        <v>3735</v>
      </c>
      <c r="D94" s="15" t="s">
        <v>3736</v>
      </c>
      <c r="E94" s="13" t="s">
        <v>3737</v>
      </c>
    </row>
    <row r="95" spans="1:5" ht="39" x14ac:dyDescent="0.3">
      <c r="A95" s="12">
        <v>44499.201049178242</v>
      </c>
      <c r="B95" s="13" t="s">
        <v>3738</v>
      </c>
      <c r="C95" s="14" t="s">
        <v>3739</v>
      </c>
      <c r="D95" s="15" t="s">
        <v>3736</v>
      </c>
      <c r="E95" s="13" t="s">
        <v>3737</v>
      </c>
    </row>
    <row r="96" spans="1:5" ht="39" x14ac:dyDescent="0.3">
      <c r="A96" s="12">
        <v>44498.201053287034</v>
      </c>
      <c r="B96" s="13" t="s">
        <v>3734</v>
      </c>
      <c r="C96" s="14" t="s">
        <v>3735</v>
      </c>
      <c r="D96" s="15" t="s">
        <v>3736</v>
      </c>
      <c r="E96" s="13" t="s">
        <v>3737</v>
      </c>
    </row>
    <row r="97" spans="1:5" ht="39" x14ac:dyDescent="0.3">
      <c r="A97" s="12">
        <v>44498.201053287034</v>
      </c>
      <c r="B97" s="13" t="s">
        <v>3738</v>
      </c>
      <c r="C97" s="14" t="s">
        <v>3739</v>
      </c>
      <c r="D97" s="15" t="s">
        <v>3736</v>
      </c>
      <c r="E97" s="13" t="s">
        <v>3737</v>
      </c>
    </row>
    <row r="98" spans="1:5" ht="39" x14ac:dyDescent="0.3">
      <c r="A98" s="12">
        <v>44497.201051099539</v>
      </c>
      <c r="B98" s="13" t="s">
        <v>3734</v>
      </c>
      <c r="C98" s="14" t="s">
        <v>3735</v>
      </c>
      <c r="D98" s="15" t="s">
        <v>3736</v>
      </c>
      <c r="E98" s="13" t="s">
        <v>3737</v>
      </c>
    </row>
    <row r="99" spans="1:5" ht="39" x14ac:dyDescent="0.3">
      <c r="A99" s="12">
        <v>44497.201051099539</v>
      </c>
      <c r="B99" s="13" t="s">
        <v>3738</v>
      </c>
      <c r="C99" s="14" t="s">
        <v>3739</v>
      </c>
      <c r="D99" s="15" t="s">
        <v>3736</v>
      </c>
      <c r="E99" s="13" t="s">
        <v>3737</v>
      </c>
    </row>
    <row r="100" spans="1:5" ht="39" x14ac:dyDescent="0.3">
      <c r="A100" s="12">
        <v>44496.201051597222</v>
      </c>
      <c r="B100" s="13" t="s">
        <v>3734</v>
      </c>
      <c r="C100" s="14" t="s">
        <v>3735</v>
      </c>
      <c r="D100" s="15" t="s">
        <v>3736</v>
      </c>
      <c r="E100" s="13" t="s">
        <v>3737</v>
      </c>
    </row>
    <row r="101" spans="1:5" ht="39" x14ac:dyDescent="0.3">
      <c r="A101" s="12">
        <v>44496.201051597222</v>
      </c>
      <c r="B101" s="13" t="s">
        <v>3738</v>
      </c>
      <c r="C101" s="14" t="s">
        <v>3739</v>
      </c>
      <c r="D101" s="15" t="s">
        <v>3736</v>
      </c>
      <c r="E101" s="13" t="s">
        <v>3737</v>
      </c>
    </row>
    <row r="102" spans="1:5" ht="13" x14ac:dyDescent="0.3">
      <c r="A102" s="16"/>
      <c r="B102" s="16"/>
      <c r="C102" s="17"/>
      <c r="D102" s="16"/>
      <c r="E102" s="16"/>
    </row>
    <row r="103" spans="1:5" ht="13" x14ac:dyDescent="0.3">
      <c r="A103" s="16"/>
      <c r="B103" s="16"/>
      <c r="C103" s="17"/>
      <c r="D103" s="16"/>
      <c r="E103" s="16"/>
    </row>
    <row r="104" spans="1:5" ht="13" x14ac:dyDescent="0.3">
      <c r="A104" s="16"/>
      <c r="B104" s="16"/>
      <c r="C104" s="17"/>
      <c r="D104" s="16"/>
      <c r="E104" s="16"/>
    </row>
    <row r="105" spans="1:5" ht="13" x14ac:dyDescent="0.3">
      <c r="A105" s="16"/>
      <c r="B105" s="16"/>
      <c r="C105" s="17"/>
      <c r="D105" s="16"/>
      <c r="E105" s="16"/>
    </row>
    <row r="106" spans="1:5" ht="13" x14ac:dyDescent="0.3">
      <c r="A106" s="16"/>
      <c r="B106" s="16"/>
      <c r="C106" s="17"/>
      <c r="D106" s="16"/>
      <c r="E106" s="16"/>
    </row>
    <row r="107" spans="1:5" ht="13" x14ac:dyDescent="0.3">
      <c r="A107" s="16"/>
      <c r="B107" s="16"/>
      <c r="C107" s="17"/>
      <c r="D107" s="16"/>
      <c r="E107" s="16"/>
    </row>
    <row r="108" spans="1:5" ht="13" x14ac:dyDescent="0.3">
      <c r="A108" s="16"/>
      <c r="B108" s="16"/>
      <c r="C108" s="17"/>
      <c r="D108" s="16"/>
      <c r="E108" s="16"/>
    </row>
    <row r="109" spans="1:5" ht="13" x14ac:dyDescent="0.3">
      <c r="A109" s="16"/>
      <c r="B109" s="16"/>
      <c r="C109" s="17"/>
      <c r="D109" s="16"/>
      <c r="E109" s="16"/>
    </row>
    <row r="110" spans="1:5" ht="13" x14ac:dyDescent="0.3">
      <c r="A110" s="16"/>
      <c r="B110" s="16"/>
      <c r="C110" s="17"/>
      <c r="D110" s="16"/>
      <c r="E110" s="16"/>
    </row>
    <row r="111" spans="1:5" ht="13" x14ac:dyDescent="0.3">
      <c r="A111" s="16"/>
      <c r="B111" s="16"/>
      <c r="C111" s="17"/>
      <c r="D111" s="16"/>
      <c r="E111" s="16"/>
    </row>
    <row r="112" spans="1:5" ht="13" x14ac:dyDescent="0.3">
      <c r="A112" s="16"/>
      <c r="B112" s="16"/>
      <c r="C112" s="17"/>
      <c r="D112" s="16"/>
      <c r="E112" s="16"/>
    </row>
    <row r="113" spans="1:5" ht="13" x14ac:dyDescent="0.3">
      <c r="A113" s="16"/>
      <c r="B113" s="16"/>
      <c r="C113" s="17"/>
      <c r="D113" s="16"/>
      <c r="E113" s="16"/>
    </row>
    <row r="114" spans="1:5" ht="13" x14ac:dyDescent="0.3">
      <c r="A114" s="16"/>
      <c r="B114" s="16"/>
      <c r="C114" s="17"/>
      <c r="D114" s="16"/>
      <c r="E114" s="16"/>
    </row>
    <row r="115" spans="1:5" ht="13" x14ac:dyDescent="0.3">
      <c r="A115" s="16"/>
      <c r="B115" s="16"/>
      <c r="C115" s="17"/>
      <c r="D115" s="16"/>
      <c r="E115" s="16"/>
    </row>
    <row r="116" spans="1:5" ht="13" x14ac:dyDescent="0.3">
      <c r="A116" s="16"/>
      <c r="B116" s="16"/>
      <c r="C116" s="17"/>
      <c r="D116" s="16"/>
      <c r="E116" s="16"/>
    </row>
    <row r="117" spans="1:5" ht="13" x14ac:dyDescent="0.3">
      <c r="A117" s="16"/>
      <c r="B117" s="16"/>
      <c r="C117" s="17"/>
      <c r="D117" s="16"/>
      <c r="E117" s="16"/>
    </row>
    <row r="118" spans="1:5" ht="13" x14ac:dyDescent="0.3">
      <c r="A118" s="16"/>
      <c r="B118" s="16"/>
      <c r="C118" s="17"/>
      <c r="D118" s="16"/>
      <c r="E118" s="16"/>
    </row>
    <row r="119" spans="1:5" ht="13" x14ac:dyDescent="0.3">
      <c r="A119" s="16"/>
      <c r="B119" s="16"/>
      <c r="C119" s="17"/>
      <c r="D119" s="16"/>
      <c r="E119" s="16"/>
    </row>
    <row r="120" spans="1:5" ht="13" x14ac:dyDescent="0.3">
      <c r="A120" s="16"/>
      <c r="B120" s="16"/>
      <c r="C120" s="17"/>
      <c r="D120" s="16"/>
      <c r="E120" s="16"/>
    </row>
    <row r="121" spans="1:5" ht="13" x14ac:dyDescent="0.3">
      <c r="A121" s="16"/>
      <c r="B121" s="16"/>
      <c r="C121" s="17"/>
      <c r="D121" s="16"/>
      <c r="E121" s="16"/>
    </row>
    <row r="122" spans="1:5" ht="13" x14ac:dyDescent="0.3">
      <c r="A122" s="16"/>
      <c r="B122" s="16"/>
      <c r="C122" s="17"/>
      <c r="D122" s="16"/>
      <c r="E122" s="16"/>
    </row>
    <row r="123" spans="1:5" ht="13" x14ac:dyDescent="0.3">
      <c r="A123" s="16"/>
      <c r="B123" s="16"/>
      <c r="C123" s="17"/>
      <c r="D123" s="16"/>
      <c r="E123" s="16"/>
    </row>
    <row r="124" spans="1:5" ht="13" x14ac:dyDescent="0.3">
      <c r="A124" s="16"/>
      <c r="B124" s="16"/>
      <c r="C124" s="17"/>
      <c r="D124" s="16"/>
      <c r="E124" s="16"/>
    </row>
    <row r="125" spans="1:5" ht="13" x14ac:dyDescent="0.3">
      <c r="A125" s="16"/>
      <c r="B125" s="16"/>
      <c r="C125" s="17"/>
      <c r="D125" s="16"/>
      <c r="E125" s="16"/>
    </row>
    <row r="126" spans="1:5" ht="13" x14ac:dyDescent="0.3">
      <c r="A126" s="16"/>
      <c r="B126" s="16"/>
      <c r="C126" s="17"/>
      <c r="D126" s="16"/>
      <c r="E126" s="16"/>
    </row>
    <row r="127" spans="1:5" ht="13" x14ac:dyDescent="0.3">
      <c r="A127" s="16"/>
      <c r="B127" s="16"/>
      <c r="C127" s="17"/>
      <c r="D127" s="16"/>
      <c r="E127" s="16"/>
    </row>
    <row r="128" spans="1:5" ht="13" x14ac:dyDescent="0.3">
      <c r="A128" s="16"/>
      <c r="B128" s="16"/>
      <c r="C128" s="17"/>
      <c r="D128" s="16"/>
      <c r="E128" s="16"/>
    </row>
    <row r="129" spans="1:5" ht="13" x14ac:dyDescent="0.3">
      <c r="A129" s="16"/>
      <c r="B129" s="16"/>
      <c r="C129" s="17"/>
      <c r="D129" s="16"/>
      <c r="E129" s="16"/>
    </row>
    <row r="130" spans="1:5" ht="13" x14ac:dyDescent="0.3">
      <c r="A130" s="16"/>
      <c r="B130" s="16"/>
      <c r="C130" s="17"/>
      <c r="D130" s="16"/>
      <c r="E130" s="16"/>
    </row>
    <row r="131" spans="1:5" ht="13" x14ac:dyDescent="0.3">
      <c r="A131" s="16"/>
      <c r="B131" s="16"/>
      <c r="C131" s="17"/>
      <c r="D131" s="16"/>
      <c r="E131" s="16"/>
    </row>
    <row r="132" spans="1:5" ht="13" x14ac:dyDescent="0.3">
      <c r="A132" s="16"/>
      <c r="B132" s="16"/>
      <c r="C132" s="17"/>
      <c r="D132" s="16"/>
      <c r="E132" s="16"/>
    </row>
    <row r="133" spans="1:5" ht="13" x14ac:dyDescent="0.3">
      <c r="A133" s="16"/>
      <c r="B133" s="16"/>
      <c r="C133" s="17"/>
      <c r="D133" s="16"/>
      <c r="E133" s="16"/>
    </row>
    <row r="134" spans="1:5" ht="13" x14ac:dyDescent="0.3">
      <c r="A134" s="16"/>
      <c r="B134" s="16"/>
      <c r="C134" s="17"/>
      <c r="D134" s="16"/>
      <c r="E134" s="16"/>
    </row>
    <row r="135" spans="1:5" ht="13" x14ac:dyDescent="0.3">
      <c r="A135" s="16"/>
      <c r="B135" s="16"/>
      <c r="C135" s="17"/>
      <c r="D135" s="16"/>
      <c r="E135" s="16"/>
    </row>
    <row r="136" spans="1:5" ht="13" x14ac:dyDescent="0.3">
      <c r="A136" s="16"/>
      <c r="B136" s="16"/>
      <c r="C136" s="17"/>
      <c r="D136" s="16"/>
      <c r="E136" s="16"/>
    </row>
    <row r="137" spans="1:5" ht="13" x14ac:dyDescent="0.3">
      <c r="A137" s="16"/>
      <c r="B137" s="16"/>
      <c r="C137" s="17"/>
      <c r="D137" s="16"/>
      <c r="E137" s="16"/>
    </row>
    <row r="138" spans="1:5" ht="13" x14ac:dyDescent="0.3">
      <c r="A138" s="16"/>
      <c r="B138" s="16"/>
      <c r="C138" s="17"/>
      <c r="D138" s="16"/>
      <c r="E138" s="16"/>
    </row>
    <row r="139" spans="1:5" ht="13" x14ac:dyDescent="0.3">
      <c r="A139" s="16"/>
      <c r="B139" s="16"/>
      <c r="C139" s="17"/>
      <c r="D139" s="16"/>
      <c r="E139" s="16"/>
    </row>
    <row r="140" spans="1:5" ht="13" x14ac:dyDescent="0.3">
      <c r="A140" s="16"/>
      <c r="B140" s="16"/>
      <c r="C140" s="17"/>
      <c r="D140" s="16"/>
      <c r="E140" s="16"/>
    </row>
    <row r="141" spans="1:5" ht="13" x14ac:dyDescent="0.3">
      <c r="A141" s="16"/>
      <c r="B141" s="16"/>
      <c r="C141" s="17"/>
      <c r="D141" s="16"/>
      <c r="E141" s="16"/>
    </row>
    <row r="142" spans="1:5" ht="13" x14ac:dyDescent="0.3">
      <c r="A142" s="16"/>
      <c r="B142" s="16"/>
      <c r="C142" s="17"/>
      <c r="D142" s="16"/>
      <c r="E142" s="16"/>
    </row>
    <row r="143" spans="1:5" ht="13" x14ac:dyDescent="0.3">
      <c r="A143" s="16"/>
      <c r="B143" s="16"/>
      <c r="C143" s="17"/>
      <c r="D143" s="16"/>
      <c r="E143" s="16"/>
    </row>
    <row r="144" spans="1:5" ht="13" x14ac:dyDescent="0.3">
      <c r="A144" s="16"/>
      <c r="B144" s="16"/>
      <c r="C144" s="17"/>
      <c r="D144" s="16"/>
      <c r="E144" s="16"/>
    </row>
    <row r="145" spans="1:5" ht="13" x14ac:dyDescent="0.3">
      <c r="A145" s="16"/>
      <c r="B145" s="16"/>
      <c r="C145" s="17"/>
      <c r="D145" s="16"/>
      <c r="E145" s="16"/>
    </row>
    <row r="146" spans="1:5" ht="13" x14ac:dyDescent="0.3">
      <c r="A146" s="16"/>
      <c r="B146" s="16"/>
      <c r="C146" s="17"/>
      <c r="D146" s="16"/>
      <c r="E146" s="16"/>
    </row>
    <row r="147" spans="1:5" ht="13" x14ac:dyDescent="0.3">
      <c r="A147" s="16"/>
      <c r="B147" s="16"/>
      <c r="C147" s="17"/>
      <c r="D147" s="16"/>
      <c r="E147" s="16"/>
    </row>
    <row r="148" spans="1:5" ht="13" x14ac:dyDescent="0.3">
      <c r="A148" s="16"/>
      <c r="B148" s="16"/>
      <c r="C148" s="17"/>
      <c r="D148" s="16"/>
      <c r="E148" s="16"/>
    </row>
    <row r="149" spans="1:5" ht="13" x14ac:dyDescent="0.3">
      <c r="A149" s="16"/>
      <c r="B149" s="16"/>
      <c r="C149" s="17"/>
      <c r="D149" s="16"/>
      <c r="E149" s="16"/>
    </row>
    <row r="150" spans="1:5" ht="13" x14ac:dyDescent="0.3">
      <c r="A150" s="16"/>
      <c r="B150" s="16"/>
      <c r="C150" s="17"/>
      <c r="D150" s="16"/>
      <c r="E150" s="16"/>
    </row>
    <row r="151" spans="1:5" ht="13" x14ac:dyDescent="0.3">
      <c r="A151" s="16"/>
      <c r="B151" s="16"/>
      <c r="C151" s="17"/>
      <c r="D151" s="16"/>
      <c r="E151" s="16"/>
    </row>
    <row r="152" spans="1:5" ht="13" x14ac:dyDescent="0.3">
      <c r="A152" s="16"/>
      <c r="B152" s="16"/>
      <c r="C152" s="17"/>
      <c r="D152" s="16"/>
      <c r="E152" s="16"/>
    </row>
    <row r="153" spans="1:5" ht="13" x14ac:dyDescent="0.3">
      <c r="A153" s="16"/>
      <c r="B153" s="16"/>
      <c r="C153" s="17"/>
      <c r="D153" s="16"/>
      <c r="E153" s="16"/>
    </row>
    <row r="154" spans="1:5" ht="13" x14ac:dyDescent="0.3">
      <c r="A154" s="16"/>
      <c r="B154" s="16"/>
      <c r="C154" s="17"/>
      <c r="D154" s="16"/>
      <c r="E154" s="16"/>
    </row>
    <row r="155" spans="1:5" ht="13" x14ac:dyDescent="0.3">
      <c r="A155" s="16"/>
      <c r="B155" s="16"/>
      <c r="C155" s="17"/>
      <c r="D155" s="16"/>
      <c r="E155" s="16"/>
    </row>
    <row r="156" spans="1:5" ht="13" x14ac:dyDescent="0.3">
      <c r="A156" s="16"/>
      <c r="B156" s="16"/>
      <c r="C156" s="17"/>
      <c r="D156" s="16"/>
      <c r="E156" s="16"/>
    </row>
    <row r="157" spans="1:5" ht="13" x14ac:dyDescent="0.3">
      <c r="A157" s="16"/>
      <c r="B157" s="16"/>
      <c r="C157" s="17"/>
      <c r="D157" s="16"/>
      <c r="E157" s="16"/>
    </row>
    <row r="158" spans="1:5" ht="13" x14ac:dyDescent="0.3">
      <c r="A158" s="16"/>
      <c r="B158" s="16"/>
      <c r="C158" s="17"/>
      <c r="D158" s="16"/>
      <c r="E158" s="16"/>
    </row>
    <row r="159" spans="1:5" ht="13" x14ac:dyDescent="0.3">
      <c r="A159" s="16"/>
      <c r="B159" s="16"/>
      <c r="C159" s="17"/>
      <c r="D159" s="16"/>
      <c r="E159" s="16"/>
    </row>
    <row r="160" spans="1:5" ht="13" x14ac:dyDescent="0.3">
      <c r="A160" s="16"/>
      <c r="B160" s="16"/>
      <c r="C160" s="17"/>
      <c r="D160" s="16"/>
      <c r="E160" s="16"/>
    </row>
    <row r="161" spans="1:5" ht="13" x14ac:dyDescent="0.3">
      <c r="A161" s="16"/>
      <c r="B161" s="16"/>
      <c r="C161" s="17"/>
      <c r="D161" s="16"/>
      <c r="E161" s="16"/>
    </row>
    <row r="162" spans="1:5" ht="13" x14ac:dyDescent="0.3">
      <c r="A162" s="16"/>
      <c r="B162" s="16"/>
      <c r="C162" s="17"/>
      <c r="D162" s="16"/>
      <c r="E162" s="16"/>
    </row>
    <row r="163" spans="1:5" ht="13" x14ac:dyDescent="0.3">
      <c r="A163" s="16"/>
      <c r="B163" s="16"/>
      <c r="C163" s="17"/>
      <c r="D163" s="16"/>
      <c r="E163" s="16"/>
    </row>
    <row r="164" spans="1:5" ht="13" x14ac:dyDescent="0.3">
      <c r="A164" s="16"/>
      <c r="B164" s="16"/>
      <c r="C164" s="17"/>
      <c r="D164" s="16"/>
      <c r="E164" s="16"/>
    </row>
    <row r="165" spans="1:5" ht="13" x14ac:dyDescent="0.3">
      <c r="A165" s="16"/>
      <c r="B165" s="16"/>
      <c r="C165" s="17"/>
      <c r="D165" s="16"/>
      <c r="E165" s="16"/>
    </row>
    <row r="166" spans="1:5" ht="13" x14ac:dyDescent="0.3">
      <c r="A166" s="16"/>
      <c r="B166" s="16"/>
      <c r="C166" s="17"/>
      <c r="D166" s="16"/>
      <c r="E166" s="16"/>
    </row>
    <row r="167" spans="1:5" ht="13" x14ac:dyDescent="0.3">
      <c r="A167" s="16"/>
      <c r="B167" s="16"/>
      <c r="C167" s="17"/>
      <c r="D167" s="16"/>
      <c r="E167" s="16"/>
    </row>
    <row r="168" spans="1:5" ht="13" x14ac:dyDescent="0.3">
      <c r="A168" s="16"/>
      <c r="B168" s="16"/>
      <c r="C168" s="17"/>
      <c r="D168" s="16"/>
      <c r="E168" s="16"/>
    </row>
    <row r="169" spans="1:5" ht="13" x14ac:dyDescent="0.3">
      <c r="A169" s="16"/>
      <c r="B169" s="16"/>
      <c r="C169" s="17"/>
      <c r="D169" s="16"/>
      <c r="E169" s="16"/>
    </row>
    <row r="170" spans="1:5" ht="13" x14ac:dyDescent="0.3">
      <c r="A170" s="16"/>
      <c r="B170" s="16"/>
      <c r="C170" s="17"/>
      <c r="D170" s="16"/>
      <c r="E170" s="16"/>
    </row>
    <row r="171" spans="1:5" ht="13" x14ac:dyDescent="0.3">
      <c r="A171" s="16"/>
      <c r="B171" s="16"/>
      <c r="C171" s="17"/>
      <c r="D171" s="16"/>
      <c r="E171" s="16"/>
    </row>
    <row r="172" spans="1:5" ht="13" x14ac:dyDescent="0.3">
      <c r="A172" s="16"/>
      <c r="B172" s="16"/>
      <c r="C172" s="17"/>
      <c r="D172" s="16"/>
      <c r="E172" s="16"/>
    </row>
    <row r="173" spans="1:5" ht="13" x14ac:dyDescent="0.3">
      <c r="A173" s="16"/>
      <c r="B173" s="16"/>
      <c r="C173" s="17"/>
      <c r="D173" s="16"/>
      <c r="E173" s="16"/>
    </row>
    <row r="174" spans="1:5" ht="13" x14ac:dyDescent="0.3">
      <c r="A174" s="16"/>
      <c r="B174" s="16"/>
      <c r="C174" s="17"/>
      <c r="D174" s="16"/>
      <c r="E174" s="16"/>
    </row>
    <row r="175" spans="1:5" ht="13" x14ac:dyDescent="0.3">
      <c r="A175" s="16"/>
      <c r="B175" s="16"/>
      <c r="C175" s="17"/>
      <c r="D175" s="16"/>
      <c r="E175" s="16"/>
    </row>
    <row r="176" spans="1:5" ht="13" x14ac:dyDescent="0.3">
      <c r="A176" s="16"/>
      <c r="B176" s="16"/>
      <c r="C176" s="17"/>
      <c r="D176" s="16"/>
      <c r="E176" s="16"/>
    </row>
    <row r="177" spans="1:5" ht="13" x14ac:dyDescent="0.3">
      <c r="A177" s="16"/>
      <c r="B177" s="16"/>
      <c r="C177" s="17"/>
      <c r="D177" s="16"/>
      <c r="E177" s="16"/>
    </row>
    <row r="178" spans="1:5" ht="13" x14ac:dyDescent="0.3">
      <c r="A178" s="16"/>
      <c r="B178" s="16"/>
      <c r="C178" s="17"/>
      <c r="D178" s="16"/>
      <c r="E178" s="16"/>
    </row>
    <row r="179" spans="1:5" ht="13" x14ac:dyDescent="0.3">
      <c r="A179" s="16"/>
      <c r="B179" s="16"/>
      <c r="C179" s="17"/>
      <c r="D179" s="16"/>
      <c r="E179" s="16"/>
    </row>
    <row r="180" spans="1:5" ht="13" x14ac:dyDescent="0.3">
      <c r="A180" s="16"/>
      <c r="B180" s="16"/>
      <c r="C180" s="17"/>
      <c r="D180" s="16"/>
      <c r="E180" s="16"/>
    </row>
    <row r="181" spans="1:5" ht="13" x14ac:dyDescent="0.3">
      <c r="A181" s="16"/>
      <c r="B181" s="16"/>
      <c r="C181" s="17"/>
      <c r="D181" s="16"/>
      <c r="E181" s="16"/>
    </row>
    <row r="182" spans="1:5" ht="13" x14ac:dyDescent="0.3">
      <c r="A182" s="16"/>
      <c r="B182" s="16"/>
      <c r="C182" s="17"/>
      <c r="D182" s="16"/>
      <c r="E182" s="16"/>
    </row>
    <row r="183" spans="1:5" ht="13" x14ac:dyDescent="0.3">
      <c r="A183" s="16"/>
      <c r="B183" s="16"/>
      <c r="C183" s="17"/>
      <c r="D183" s="16"/>
      <c r="E183" s="16"/>
    </row>
    <row r="184" spans="1:5" ht="13" x14ac:dyDescent="0.3">
      <c r="A184" s="16"/>
      <c r="B184" s="16"/>
      <c r="C184" s="17"/>
      <c r="D184" s="16"/>
      <c r="E184" s="16"/>
    </row>
    <row r="185" spans="1:5" ht="13" x14ac:dyDescent="0.3">
      <c r="A185" s="16"/>
      <c r="B185" s="16"/>
      <c r="C185" s="17"/>
      <c r="D185" s="16"/>
      <c r="E185" s="16"/>
    </row>
    <row r="186" spans="1:5" ht="13" x14ac:dyDescent="0.3">
      <c r="A186" s="16"/>
      <c r="B186" s="16"/>
      <c r="C186" s="17"/>
      <c r="D186" s="16"/>
      <c r="E186" s="16"/>
    </row>
    <row r="187" spans="1:5" ht="13" x14ac:dyDescent="0.3">
      <c r="A187" s="16"/>
      <c r="B187" s="16"/>
      <c r="C187" s="17"/>
      <c r="D187" s="16"/>
      <c r="E187" s="16"/>
    </row>
    <row r="188" spans="1:5" ht="13" x14ac:dyDescent="0.3">
      <c r="A188" s="16"/>
      <c r="B188" s="16"/>
      <c r="C188" s="17"/>
      <c r="D188" s="16"/>
      <c r="E188" s="16"/>
    </row>
    <row r="189" spans="1:5" ht="13" x14ac:dyDescent="0.3">
      <c r="A189" s="16"/>
      <c r="B189" s="16"/>
      <c r="C189" s="17"/>
      <c r="D189" s="16"/>
      <c r="E189" s="16"/>
    </row>
    <row r="190" spans="1:5" ht="13" x14ac:dyDescent="0.3">
      <c r="A190" s="16"/>
      <c r="B190" s="16"/>
      <c r="C190" s="17"/>
      <c r="D190" s="16"/>
      <c r="E190" s="16"/>
    </row>
    <row r="191" spans="1:5" ht="13" x14ac:dyDescent="0.3">
      <c r="A191" s="16"/>
      <c r="B191" s="16"/>
      <c r="C191" s="17"/>
      <c r="D191" s="16"/>
      <c r="E191" s="16"/>
    </row>
    <row r="192" spans="1:5" ht="13" x14ac:dyDescent="0.3">
      <c r="A192" s="16"/>
      <c r="B192" s="16"/>
      <c r="C192" s="17"/>
      <c r="D192" s="16"/>
      <c r="E192" s="16"/>
    </row>
    <row r="193" spans="1:5" ht="13" x14ac:dyDescent="0.3">
      <c r="A193" s="16"/>
      <c r="B193" s="16"/>
      <c r="C193" s="17"/>
      <c r="D193" s="16"/>
      <c r="E193" s="16"/>
    </row>
    <row r="194" spans="1:5" ht="13" x14ac:dyDescent="0.3">
      <c r="A194" s="16"/>
      <c r="B194" s="16"/>
      <c r="C194" s="17"/>
      <c r="D194" s="16"/>
      <c r="E194" s="16"/>
    </row>
    <row r="195" spans="1:5" ht="13" x14ac:dyDescent="0.3">
      <c r="A195" s="16"/>
      <c r="B195" s="16"/>
      <c r="C195" s="17"/>
      <c r="D195" s="16"/>
      <c r="E195" s="16"/>
    </row>
    <row r="196" spans="1:5" ht="13" x14ac:dyDescent="0.3">
      <c r="A196" s="16"/>
      <c r="B196" s="16"/>
      <c r="C196" s="17"/>
      <c r="D196" s="16"/>
      <c r="E196" s="16"/>
    </row>
    <row r="197" spans="1:5" ht="13" x14ac:dyDescent="0.3">
      <c r="A197" s="16"/>
      <c r="B197" s="16"/>
      <c r="C197" s="17"/>
      <c r="D197" s="16"/>
      <c r="E197" s="16"/>
    </row>
    <row r="198" spans="1:5" ht="13" x14ac:dyDescent="0.3">
      <c r="A198" s="16"/>
      <c r="B198" s="16"/>
      <c r="C198" s="17"/>
      <c r="D198" s="16"/>
      <c r="E198" s="16"/>
    </row>
    <row r="199" spans="1:5" ht="13" x14ac:dyDescent="0.3">
      <c r="A199" s="16"/>
      <c r="B199" s="16"/>
      <c r="C199" s="17"/>
      <c r="D199" s="16"/>
      <c r="E199" s="16"/>
    </row>
    <row r="200" spans="1:5" ht="13" x14ac:dyDescent="0.3">
      <c r="A200" s="16"/>
      <c r="B200" s="16"/>
      <c r="C200" s="17"/>
      <c r="D200" s="16"/>
      <c r="E200" s="16"/>
    </row>
    <row r="201" spans="1:5" ht="13" x14ac:dyDescent="0.3">
      <c r="A201" s="16"/>
      <c r="B201" s="16"/>
      <c r="C201" s="17"/>
      <c r="D201" s="16"/>
      <c r="E201" s="16"/>
    </row>
    <row r="202" spans="1:5" ht="13" x14ac:dyDescent="0.3">
      <c r="A202" s="16"/>
      <c r="B202" s="16"/>
      <c r="C202" s="17"/>
      <c r="D202" s="16"/>
      <c r="E202" s="16"/>
    </row>
    <row r="203" spans="1:5" ht="13" x14ac:dyDescent="0.3">
      <c r="A203" s="16"/>
      <c r="B203" s="16"/>
      <c r="C203" s="17"/>
      <c r="D203" s="16"/>
      <c r="E203" s="16"/>
    </row>
    <row r="204" spans="1:5" ht="13" x14ac:dyDescent="0.3">
      <c r="A204" s="16"/>
      <c r="B204" s="16"/>
      <c r="C204" s="17"/>
      <c r="D204" s="16"/>
      <c r="E204" s="16"/>
    </row>
    <row r="205" spans="1:5" ht="13" x14ac:dyDescent="0.3">
      <c r="A205" s="16"/>
      <c r="B205" s="16"/>
      <c r="C205" s="17"/>
      <c r="D205" s="16"/>
      <c r="E205" s="16"/>
    </row>
    <row r="206" spans="1:5" ht="13" x14ac:dyDescent="0.3">
      <c r="A206" s="16"/>
      <c r="B206" s="16"/>
      <c r="C206" s="17"/>
      <c r="D206" s="16"/>
      <c r="E206" s="16"/>
    </row>
    <row r="207" spans="1:5" ht="13" x14ac:dyDescent="0.3">
      <c r="A207" s="16"/>
      <c r="B207" s="16"/>
      <c r="C207" s="17"/>
      <c r="D207" s="16"/>
      <c r="E207" s="16"/>
    </row>
    <row r="208" spans="1:5" ht="13" x14ac:dyDescent="0.3">
      <c r="A208" s="16"/>
      <c r="B208" s="16"/>
      <c r="C208" s="17"/>
      <c r="D208" s="16"/>
      <c r="E208" s="16"/>
    </row>
    <row r="209" spans="1:5" ht="13" x14ac:dyDescent="0.3">
      <c r="A209" s="16"/>
      <c r="B209" s="16"/>
      <c r="C209" s="17"/>
      <c r="D209" s="16"/>
      <c r="E209" s="16"/>
    </row>
    <row r="210" spans="1:5" ht="13" x14ac:dyDescent="0.3">
      <c r="A210" s="16"/>
      <c r="B210" s="16"/>
      <c r="C210" s="17"/>
      <c r="D210" s="16"/>
      <c r="E210" s="16"/>
    </row>
    <row r="211" spans="1:5" ht="13" x14ac:dyDescent="0.3">
      <c r="A211" s="16"/>
      <c r="B211" s="16"/>
      <c r="C211" s="17"/>
      <c r="D211" s="16"/>
      <c r="E211" s="16"/>
    </row>
    <row r="212" spans="1:5" ht="13" x14ac:dyDescent="0.3">
      <c r="A212" s="16"/>
      <c r="B212" s="16"/>
      <c r="C212" s="17"/>
      <c r="D212" s="16"/>
      <c r="E212" s="16"/>
    </row>
    <row r="213" spans="1:5" ht="13" x14ac:dyDescent="0.3">
      <c r="A213" s="16"/>
      <c r="B213" s="16"/>
      <c r="C213" s="17"/>
      <c r="D213" s="16"/>
      <c r="E213" s="16"/>
    </row>
    <row r="214" spans="1:5" ht="13" x14ac:dyDescent="0.3">
      <c r="A214" s="16"/>
      <c r="B214" s="16"/>
      <c r="C214" s="17"/>
      <c r="D214" s="16"/>
      <c r="E214" s="16"/>
    </row>
    <row r="215" spans="1:5" ht="13" x14ac:dyDescent="0.3">
      <c r="A215" s="16"/>
      <c r="B215" s="16"/>
      <c r="C215" s="17"/>
      <c r="D215" s="16"/>
      <c r="E215" s="16"/>
    </row>
    <row r="216" spans="1:5" ht="13" x14ac:dyDescent="0.3">
      <c r="A216" s="16"/>
      <c r="B216" s="16"/>
      <c r="C216" s="17"/>
      <c r="D216" s="16"/>
      <c r="E216" s="16"/>
    </row>
    <row r="217" spans="1:5" ht="13" x14ac:dyDescent="0.3">
      <c r="A217" s="16"/>
      <c r="B217" s="16"/>
      <c r="C217" s="17"/>
      <c r="D217" s="16"/>
      <c r="E217" s="16"/>
    </row>
    <row r="218" spans="1:5" ht="13" x14ac:dyDescent="0.3">
      <c r="A218" s="16"/>
      <c r="B218" s="16"/>
      <c r="C218" s="17"/>
      <c r="D218" s="16"/>
      <c r="E218" s="16"/>
    </row>
    <row r="219" spans="1:5" ht="13" x14ac:dyDescent="0.3">
      <c r="A219" s="16"/>
      <c r="B219" s="16"/>
      <c r="C219" s="17"/>
      <c r="D219" s="16"/>
      <c r="E219" s="16"/>
    </row>
    <row r="220" spans="1:5" ht="13" x14ac:dyDescent="0.3">
      <c r="A220" s="16"/>
      <c r="B220" s="16"/>
      <c r="C220" s="17"/>
      <c r="D220" s="16"/>
      <c r="E220" s="16"/>
    </row>
    <row r="221" spans="1:5" ht="13" x14ac:dyDescent="0.3">
      <c r="A221" s="16"/>
      <c r="B221" s="16"/>
      <c r="C221" s="17"/>
      <c r="D221" s="16"/>
      <c r="E221" s="16"/>
    </row>
    <row r="222" spans="1:5" ht="13" x14ac:dyDescent="0.3">
      <c r="A222" s="16"/>
      <c r="B222" s="16"/>
      <c r="C222" s="17"/>
      <c r="D222" s="16"/>
      <c r="E222" s="16"/>
    </row>
    <row r="223" spans="1:5" ht="13" x14ac:dyDescent="0.3">
      <c r="A223" s="16"/>
      <c r="B223" s="16"/>
      <c r="C223" s="17"/>
      <c r="D223" s="16"/>
      <c r="E223" s="16"/>
    </row>
    <row r="224" spans="1:5" ht="13" x14ac:dyDescent="0.3">
      <c r="A224" s="16"/>
      <c r="B224" s="16"/>
      <c r="C224" s="17"/>
      <c r="D224" s="16"/>
      <c r="E224" s="16"/>
    </row>
    <row r="225" spans="1:5" ht="13" x14ac:dyDescent="0.3">
      <c r="A225" s="16"/>
      <c r="B225" s="16"/>
      <c r="C225" s="17"/>
      <c r="D225" s="16"/>
      <c r="E225" s="16"/>
    </row>
    <row r="226" spans="1:5" ht="13" x14ac:dyDescent="0.3">
      <c r="A226" s="16"/>
      <c r="B226" s="16"/>
      <c r="C226" s="17"/>
      <c r="D226" s="16"/>
      <c r="E226" s="16"/>
    </row>
    <row r="227" spans="1:5" ht="13" x14ac:dyDescent="0.3">
      <c r="A227" s="16"/>
      <c r="B227" s="16"/>
      <c r="C227" s="17"/>
      <c r="D227" s="16"/>
      <c r="E227" s="16"/>
    </row>
    <row r="228" spans="1:5" ht="13" x14ac:dyDescent="0.3">
      <c r="A228" s="16"/>
      <c r="B228" s="16"/>
      <c r="C228" s="17"/>
      <c r="D228" s="16"/>
      <c r="E228" s="16"/>
    </row>
    <row r="229" spans="1:5" ht="13" x14ac:dyDescent="0.3">
      <c r="A229" s="16"/>
      <c r="B229" s="16"/>
      <c r="C229" s="17"/>
      <c r="D229" s="16"/>
      <c r="E229" s="16"/>
    </row>
    <row r="230" spans="1:5" ht="13" x14ac:dyDescent="0.3">
      <c r="A230" s="16"/>
      <c r="B230" s="16"/>
      <c r="C230" s="17"/>
      <c r="D230" s="16"/>
      <c r="E230" s="16"/>
    </row>
    <row r="231" spans="1:5" ht="13" x14ac:dyDescent="0.3">
      <c r="A231" s="16"/>
      <c r="B231" s="16"/>
      <c r="C231" s="17"/>
      <c r="D231" s="16"/>
      <c r="E231" s="16"/>
    </row>
    <row r="232" spans="1:5" ht="13" x14ac:dyDescent="0.3">
      <c r="A232" s="16"/>
      <c r="B232" s="16"/>
      <c r="C232" s="17"/>
      <c r="D232" s="16"/>
      <c r="E232" s="16"/>
    </row>
    <row r="233" spans="1:5" ht="13" x14ac:dyDescent="0.3">
      <c r="A233" s="16"/>
      <c r="B233" s="16"/>
      <c r="C233" s="17"/>
      <c r="D233" s="16"/>
      <c r="E233" s="16"/>
    </row>
    <row r="234" spans="1:5" ht="13" x14ac:dyDescent="0.3">
      <c r="A234" s="16"/>
      <c r="B234" s="16"/>
      <c r="C234" s="17"/>
      <c r="D234" s="16"/>
      <c r="E234" s="16"/>
    </row>
    <row r="235" spans="1:5" ht="13" x14ac:dyDescent="0.3">
      <c r="A235" s="16"/>
      <c r="B235" s="16"/>
      <c r="C235" s="17"/>
      <c r="D235" s="16"/>
      <c r="E235" s="16"/>
    </row>
    <row r="236" spans="1:5" ht="13" x14ac:dyDescent="0.3">
      <c r="A236" s="16"/>
      <c r="B236" s="16"/>
      <c r="C236" s="17"/>
      <c r="D236" s="16"/>
      <c r="E236" s="16"/>
    </row>
    <row r="237" spans="1:5" ht="13" x14ac:dyDescent="0.3">
      <c r="A237" s="16"/>
      <c r="B237" s="16"/>
      <c r="C237" s="17"/>
      <c r="D237" s="16"/>
      <c r="E237" s="16"/>
    </row>
    <row r="238" spans="1:5" ht="13" x14ac:dyDescent="0.3">
      <c r="A238" s="16"/>
      <c r="B238" s="16"/>
      <c r="C238" s="17"/>
      <c r="D238" s="16"/>
      <c r="E238" s="16"/>
    </row>
    <row r="239" spans="1:5" ht="13" x14ac:dyDescent="0.3">
      <c r="A239" s="16"/>
      <c r="B239" s="16"/>
      <c r="C239" s="17"/>
      <c r="D239" s="16"/>
      <c r="E239" s="16"/>
    </row>
    <row r="240" spans="1:5" ht="13" x14ac:dyDescent="0.3">
      <c r="A240" s="16"/>
      <c r="B240" s="16"/>
      <c r="C240" s="17"/>
      <c r="D240" s="16"/>
      <c r="E240" s="16"/>
    </row>
    <row r="241" spans="1:5" ht="13" x14ac:dyDescent="0.3">
      <c r="A241" s="16"/>
      <c r="B241" s="16"/>
      <c r="C241" s="17"/>
      <c r="D241" s="16"/>
      <c r="E241" s="16"/>
    </row>
    <row r="242" spans="1:5" ht="13" x14ac:dyDescent="0.3">
      <c r="A242" s="16"/>
      <c r="B242" s="16"/>
      <c r="C242" s="17"/>
      <c r="D242" s="16"/>
      <c r="E242" s="16"/>
    </row>
    <row r="243" spans="1:5" ht="13" x14ac:dyDescent="0.3">
      <c r="A243" s="16"/>
      <c r="B243" s="16"/>
      <c r="C243" s="17"/>
      <c r="D243" s="16"/>
      <c r="E243" s="16"/>
    </row>
    <row r="244" spans="1:5" ht="13" x14ac:dyDescent="0.3">
      <c r="A244" s="16"/>
      <c r="B244" s="16"/>
      <c r="C244" s="17"/>
      <c r="D244" s="16"/>
      <c r="E244" s="16"/>
    </row>
    <row r="245" spans="1:5" ht="13" x14ac:dyDescent="0.3">
      <c r="A245" s="16"/>
      <c r="B245" s="16"/>
      <c r="C245" s="17"/>
      <c r="D245" s="16"/>
      <c r="E245" s="16"/>
    </row>
    <row r="246" spans="1:5" ht="13" x14ac:dyDescent="0.3">
      <c r="A246" s="16"/>
      <c r="B246" s="16"/>
      <c r="C246" s="17"/>
      <c r="D246" s="16"/>
      <c r="E246" s="16"/>
    </row>
    <row r="247" spans="1:5" ht="13" x14ac:dyDescent="0.3">
      <c r="A247" s="16"/>
      <c r="B247" s="16"/>
      <c r="C247" s="17"/>
      <c r="D247" s="16"/>
      <c r="E247" s="16"/>
    </row>
    <row r="248" spans="1:5" ht="13" x14ac:dyDescent="0.3">
      <c r="A248" s="16"/>
      <c r="B248" s="16"/>
      <c r="C248" s="17"/>
      <c r="D248" s="16"/>
      <c r="E248" s="16"/>
    </row>
    <row r="249" spans="1:5" ht="13" x14ac:dyDescent="0.3">
      <c r="A249" s="16"/>
      <c r="B249" s="16"/>
      <c r="C249" s="17"/>
      <c r="D249" s="16"/>
      <c r="E249" s="16"/>
    </row>
    <row r="250" spans="1:5" ht="13" x14ac:dyDescent="0.3">
      <c r="A250" s="16"/>
      <c r="B250" s="16"/>
      <c r="C250" s="17"/>
      <c r="D250" s="16"/>
      <c r="E250" s="16"/>
    </row>
    <row r="251" spans="1:5" ht="13" x14ac:dyDescent="0.3">
      <c r="A251" s="16"/>
      <c r="B251" s="16"/>
      <c r="C251" s="17"/>
      <c r="D251" s="16"/>
      <c r="E251" s="16"/>
    </row>
    <row r="252" spans="1:5" ht="13" x14ac:dyDescent="0.3">
      <c r="A252" s="16"/>
      <c r="B252" s="16"/>
      <c r="C252" s="17"/>
      <c r="D252" s="16"/>
      <c r="E252" s="16"/>
    </row>
    <row r="253" spans="1:5" ht="13" x14ac:dyDescent="0.3">
      <c r="A253" s="16"/>
      <c r="B253" s="16"/>
      <c r="C253" s="17"/>
      <c r="D253" s="16"/>
      <c r="E253" s="16"/>
    </row>
    <row r="254" spans="1:5" ht="13" x14ac:dyDescent="0.3">
      <c r="A254" s="16"/>
      <c r="B254" s="16"/>
      <c r="C254" s="17"/>
      <c r="D254" s="16"/>
      <c r="E254" s="16"/>
    </row>
    <row r="255" spans="1:5" ht="13" x14ac:dyDescent="0.3">
      <c r="A255" s="16"/>
      <c r="B255" s="16"/>
      <c r="C255" s="17"/>
      <c r="D255" s="16"/>
      <c r="E255" s="16"/>
    </row>
    <row r="256" spans="1:5" ht="13" x14ac:dyDescent="0.3">
      <c r="A256" s="16"/>
      <c r="B256" s="16"/>
      <c r="C256" s="17"/>
      <c r="D256" s="16"/>
      <c r="E256" s="16"/>
    </row>
    <row r="257" spans="1:5" ht="13" x14ac:dyDescent="0.3">
      <c r="A257" s="16"/>
      <c r="B257" s="16"/>
      <c r="C257" s="17"/>
      <c r="D257" s="16"/>
      <c r="E257" s="16"/>
    </row>
    <row r="258" spans="1:5" ht="13" x14ac:dyDescent="0.3">
      <c r="A258" s="16"/>
      <c r="B258" s="16"/>
      <c r="C258" s="17"/>
      <c r="D258" s="16"/>
      <c r="E258" s="16"/>
    </row>
    <row r="259" spans="1:5" ht="13" x14ac:dyDescent="0.3">
      <c r="A259" s="16"/>
      <c r="B259" s="16"/>
      <c r="C259" s="17"/>
      <c r="D259" s="16"/>
      <c r="E259" s="16"/>
    </row>
    <row r="260" spans="1:5" ht="13" x14ac:dyDescent="0.3">
      <c r="A260" s="16"/>
      <c r="B260" s="16"/>
      <c r="C260" s="17"/>
      <c r="D260" s="16"/>
      <c r="E260" s="16"/>
    </row>
    <row r="261" spans="1:5" ht="13" x14ac:dyDescent="0.3">
      <c r="A261" s="16"/>
      <c r="B261" s="16"/>
      <c r="C261" s="17"/>
      <c r="D261" s="16"/>
      <c r="E261" s="16"/>
    </row>
    <row r="262" spans="1:5" ht="13" x14ac:dyDescent="0.3">
      <c r="A262" s="16"/>
      <c r="B262" s="16"/>
      <c r="C262" s="17"/>
      <c r="D262" s="16"/>
      <c r="E262" s="16"/>
    </row>
    <row r="263" spans="1:5" ht="13" x14ac:dyDescent="0.3">
      <c r="A263" s="16"/>
      <c r="B263" s="16"/>
      <c r="C263" s="17"/>
      <c r="D263" s="16"/>
      <c r="E263" s="16"/>
    </row>
    <row r="264" spans="1:5" ht="13" x14ac:dyDescent="0.3">
      <c r="A264" s="16"/>
      <c r="B264" s="16"/>
      <c r="C264" s="17"/>
      <c r="D264" s="16"/>
      <c r="E264" s="16"/>
    </row>
    <row r="265" spans="1:5" ht="13" x14ac:dyDescent="0.3">
      <c r="A265" s="16"/>
      <c r="B265" s="16"/>
      <c r="C265" s="17"/>
      <c r="D265" s="16"/>
      <c r="E265" s="16"/>
    </row>
    <row r="266" spans="1:5" ht="13" x14ac:dyDescent="0.3">
      <c r="A266" s="16"/>
      <c r="B266" s="16"/>
      <c r="C266" s="17"/>
      <c r="D266" s="16"/>
      <c r="E266" s="16"/>
    </row>
    <row r="267" spans="1:5" ht="13" x14ac:dyDescent="0.3">
      <c r="A267" s="16"/>
      <c r="B267" s="16"/>
      <c r="C267" s="17"/>
      <c r="D267" s="16"/>
      <c r="E267" s="16"/>
    </row>
    <row r="268" spans="1:5" ht="13" x14ac:dyDescent="0.3">
      <c r="A268" s="16"/>
      <c r="B268" s="16"/>
      <c r="C268" s="17"/>
      <c r="D268" s="16"/>
      <c r="E268" s="16"/>
    </row>
    <row r="269" spans="1:5" ht="13" x14ac:dyDescent="0.3">
      <c r="A269" s="16"/>
      <c r="B269" s="16"/>
      <c r="C269" s="17"/>
      <c r="D269" s="16"/>
      <c r="E269" s="16"/>
    </row>
    <row r="270" spans="1:5" ht="13" x14ac:dyDescent="0.3">
      <c r="A270" s="16"/>
      <c r="B270" s="16"/>
      <c r="C270" s="17"/>
      <c r="D270" s="16"/>
      <c r="E270" s="16"/>
    </row>
    <row r="271" spans="1:5" ht="13" x14ac:dyDescent="0.3">
      <c r="A271" s="16"/>
      <c r="B271" s="16"/>
      <c r="C271" s="17"/>
      <c r="D271" s="16"/>
      <c r="E271" s="16"/>
    </row>
    <row r="272" spans="1:5" ht="13" x14ac:dyDescent="0.3">
      <c r="A272" s="16"/>
      <c r="B272" s="16"/>
      <c r="C272" s="17"/>
      <c r="D272" s="16"/>
      <c r="E272" s="16"/>
    </row>
    <row r="273" spans="1:5" ht="13" x14ac:dyDescent="0.3">
      <c r="A273" s="16"/>
      <c r="B273" s="16"/>
      <c r="C273" s="17"/>
      <c r="D273" s="16"/>
      <c r="E273" s="16"/>
    </row>
    <row r="274" spans="1:5" ht="13" x14ac:dyDescent="0.3">
      <c r="A274" s="16"/>
      <c r="B274" s="16"/>
      <c r="C274" s="17"/>
      <c r="D274" s="16"/>
      <c r="E274" s="16"/>
    </row>
    <row r="275" spans="1:5" ht="13" x14ac:dyDescent="0.3">
      <c r="A275" s="16"/>
      <c r="B275" s="16"/>
      <c r="C275" s="17"/>
      <c r="D275" s="16"/>
      <c r="E275" s="16"/>
    </row>
    <row r="276" spans="1:5" ht="13" x14ac:dyDescent="0.3">
      <c r="A276" s="16"/>
      <c r="B276" s="16"/>
      <c r="C276" s="17"/>
      <c r="D276" s="16"/>
      <c r="E276" s="16"/>
    </row>
    <row r="277" spans="1:5" ht="13" x14ac:dyDescent="0.3">
      <c r="A277" s="16"/>
      <c r="B277" s="16"/>
      <c r="C277" s="17"/>
      <c r="D277" s="16"/>
      <c r="E277" s="16"/>
    </row>
    <row r="278" spans="1:5" ht="13" x14ac:dyDescent="0.3">
      <c r="A278" s="16"/>
      <c r="B278" s="16"/>
      <c r="C278" s="17"/>
      <c r="D278" s="16"/>
      <c r="E278" s="16"/>
    </row>
    <row r="279" spans="1:5" ht="13" x14ac:dyDescent="0.3">
      <c r="A279" s="16"/>
      <c r="B279" s="16"/>
      <c r="C279" s="17"/>
      <c r="D279" s="16"/>
      <c r="E279" s="16"/>
    </row>
    <row r="280" spans="1:5" ht="13" x14ac:dyDescent="0.3">
      <c r="A280" s="16"/>
      <c r="B280" s="16"/>
      <c r="C280" s="17"/>
      <c r="D280" s="16"/>
      <c r="E280" s="16"/>
    </row>
    <row r="281" spans="1:5" ht="13" x14ac:dyDescent="0.3">
      <c r="A281" s="16"/>
      <c r="B281" s="16"/>
      <c r="C281" s="17"/>
      <c r="D281" s="16"/>
      <c r="E281" s="16"/>
    </row>
    <row r="282" spans="1:5" ht="13" x14ac:dyDescent="0.3">
      <c r="A282" s="16"/>
      <c r="B282" s="16"/>
      <c r="C282" s="17"/>
      <c r="D282" s="16"/>
      <c r="E282" s="16"/>
    </row>
    <row r="283" spans="1:5" ht="13" x14ac:dyDescent="0.3">
      <c r="A283" s="16"/>
      <c r="B283" s="16"/>
      <c r="C283" s="17"/>
      <c r="D283" s="16"/>
      <c r="E283" s="16"/>
    </row>
    <row r="284" spans="1:5" ht="13" x14ac:dyDescent="0.3">
      <c r="A284" s="16"/>
      <c r="B284" s="16"/>
      <c r="C284" s="17"/>
      <c r="D284" s="16"/>
      <c r="E284" s="16"/>
    </row>
    <row r="285" spans="1:5" ht="13" x14ac:dyDescent="0.3">
      <c r="A285" s="16"/>
      <c r="B285" s="16"/>
      <c r="C285" s="17"/>
      <c r="D285" s="16"/>
      <c r="E285" s="16"/>
    </row>
    <row r="286" spans="1:5" ht="13" x14ac:dyDescent="0.3">
      <c r="A286" s="16"/>
      <c r="B286" s="16"/>
      <c r="C286" s="17"/>
      <c r="D286" s="16"/>
      <c r="E286" s="16"/>
    </row>
    <row r="287" spans="1:5" ht="13" x14ac:dyDescent="0.3">
      <c r="A287" s="16"/>
      <c r="B287" s="16"/>
      <c r="C287" s="17"/>
      <c r="D287" s="16"/>
      <c r="E287" s="16"/>
    </row>
    <row r="288" spans="1:5" ht="13" x14ac:dyDescent="0.3">
      <c r="A288" s="16"/>
      <c r="B288" s="16"/>
      <c r="C288" s="17"/>
      <c r="D288" s="16"/>
      <c r="E288" s="16"/>
    </row>
    <row r="289" spans="1:5" ht="13" x14ac:dyDescent="0.3">
      <c r="A289" s="16"/>
      <c r="B289" s="16"/>
      <c r="C289" s="17"/>
      <c r="D289" s="16"/>
      <c r="E289" s="16"/>
    </row>
    <row r="290" spans="1:5" ht="13" x14ac:dyDescent="0.3">
      <c r="A290" s="16"/>
      <c r="B290" s="16"/>
      <c r="C290" s="17"/>
      <c r="D290" s="16"/>
      <c r="E290" s="16"/>
    </row>
    <row r="291" spans="1:5" ht="13" x14ac:dyDescent="0.3">
      <c r="A291" s="16"/>
      <c r="B291" s="16"/>
      <c r="C291" s="17"/>
      <c r="D291" s="16"/>
      <c r="E291" s="16"/>
    </row>
    <row r="292" spans="1:5" ht="13" x14ac:dyDescent="0.3">
      <c r="A292" s="16"/>
      <c r="B292" s="16"/>
      <c r="C292" s="17"/>
      <c r="D292" s="16"/>
      <c r="E292" s="16"/>
    </row>
    <row r="293" spans="1:5" ht="13" x14ac:dyDescent="0.3">
      <c r="A293" s="16"/>
      <c r="B293" s="16"/>
      <c r="C293" s="17"/>
      <c r="D293" s="16"/>
      <c r="E293" s="16"/>
    </row>
    <row r="294" spans="1:5" ht="13" x14ac:dyDescent="0.3">
      <c r="A294" s="16"/>
      <c r="B294" s="16"/>
      <c r="C294" s="17"/>
      <c r="D294" s="16"/>
      <c r="E294" s="16"/>
    </row>
    <row r="295" spans="1:5" ht="13" x14ac:dyDescent="0.3">
      <c r="A295" s="16"/>
      <c r="B295" s="16"/>
      <c r="C295" s="17"/>
      <c r="D295" s="16"/>
      <c r="E295" s="16"/>
    </row>
    <row r="296" spans="1:5" ht="13" x14ac:dyDescent="0.3">
      <c r="A296" s="16"/>
      <c r="B296" s="16"/>
      <c r="C296" s="17"/>
      <c r="D296" s="16"/>
      <c r="E296" s="16"/>
    </row>
    <row r="297" spans="1:5" ht="13" x14ac:dyDescent="0.3">
      <c r="A297" s="16"/>
      <c r="B297" s="16"/>
      <c r="C297" s="17"/>
      <c r="D297" s="16"/>
      <c r="E297" s="16"/>
    </row>
    <row r="298" spans="1:5" ht="13" x14ac:dyDescent="0.3">
      <c r="A298" s="16"/>
      <c r="B298" s="16"/>
      <c r="C298" s="17"/>
      <c r="D298" s="16"/>
      <c r="E298" s="16"/>
    </row>
    <row r="299" spans="1:5" ht="13" x14ac:dyDescent="0.3">
      <c r="A299" s="16"/>
      <c r="B299" s="16"/>
      <c r="C299" s="17"/>
      <c r="D299" s="16"/>
      <c r="E299" s="16"/>
    </row>
    <row r="300" spans="1:5" ht="13" x14ac:dyDescent="0.3">
      <c r="A300" s="16"/>
      <c r="B300" s="16"/>
      <c r="C300" s="17"/>
      <c r="D300" s="16"/>
      <c r="E300" s="16"/>
    </row>
    <row r="301" spans="1:5" ht="13" x14ac:dyDescent="0.3">
      <c r="A301" s="16"/>
      <c r="B301" s="16"/>
      <c r="C301" s="17"/>
      <c r="D301" s="16"/>
      <c r="E301" s="16"/>
    </row>
    <row r="302" spans="1:5" ht="13" x14ac:dyDescent="0.3">
      <c r="A302" s="16"/>
      <c r="B302" s="16"/>
      <c r="C302" s="17"/>
      <c r="D302" s="16"/>
      <c r="E302" s="16"/>
    </row>
    <row r="303" spans="1:5" ht="13" x14ac:dyDescent="0.3">
      <c r="A303" s="16"/>
      <c r="B303" s="16"/>
      <c r="C303" s="17"/>
      <c r="D303" s="16"/>
      <c r="E303" s="16"/>
    </row>
    <row r="304" spans="1:5" ht="13" x14ac:dyDescent="0.3">
      <c r="A304" s="16"/>
      <c r="B304" s="16"/>
      <c r="C304" s="17"/>
      <c r="D304" s="16"/>
      <c r="E304" s="16"/>
    </row>
    <row r="305" spans="1:5" ht="13" x14ac:dyDescent="0.3">
      <c r="A305" s="16"/>
      <c r="B305" s="16"/>
      <c r="C305" s="17"/>
      <c r="D305" s="16"/>
      <c r="E305" s="16"/>
    </row>
    <row r="306" spans="1:5" ht="13" x14ac:dyDescent="0.3">
      <c r="A306" s="16"/>
      <c r="B306" s="16"/>
      <c r="C306" s="17"/>
      <c r="D306" s="16"/>
      <c r="E306" s="16"/>
    </row>
    <row r="307" spans="1:5" ht="13" x14ac:dyDescent="0.3">
      <c r="A307" s="16"/>
      <c r="B307" s="16"/>
      <c r="C307" s="17"/>
      <c r="D307" s="16"/>
      <c r="E307" s="16"/>
    </row>
    <row r="308" spans="1:5" ht="13" x14ac:dyDescent="0.3">
      <c r="A308" s="16"/>
      <c r="B308" s="16"/>
      <c r="C308" s="17"/>
      <c r="D308" s="16"/>
      <c r="E308" s="16"/>
    </row>
    <row r="309" spans="1:5" ht="13" x14ac:dyDescent="0.3">
      <c r="A309" s="16"/>
      <c r="B309" s="16"/>
      <c r="C309" s="17"/>
      <c r="D309" s="16"/>
      <c r="E309" s="16"/>
    </row>
    <row r="310" spans="1:5" ht="13" x14ac:dyDescent="0.3">
      <c r="A310" s="16"/>
      <c r="B310" s="16"/>
      <c r="C310" s="17"/>
      <c r="D310" s="16"/>
      <c r="E310" s="16"/>
    </row>
    <row r="311" spans="1:5" ht="13" x14ac:dyDescent="0.3">
      <c r="A311" s="16"/>
      <c r="B311" s="16"/>
      <c r="C311" s="17"/>
      <c r="D311" s="16"/>
      <c r="E311" s="16"/>
    </row>
    <row r="312" spans="1:5" ht="13" x14ac:dyDescent="0.3">
      <c r="A312" s="16"/>
      <c r="B312" s="16"/>
      <c r="C312" s="17"/>
      <c r="D312" s="16"/>
      <c r="E312" s="16"/>
    </row>
    <row r="313" spans="1:5" ht="13" x14ac:dyDescent="0.3">
      <c r="A313" s="16"/>
      <c r="B313" s="16"/>
      <c r="C313" s="17"/>
      <c r="D313" s="16"/>
      <c r="E313" s="16"/>
    </row>
    <row r="314" spans="1:5" ht="13" x14ac:dyDescent="0.3">
      <c r="A314" s="16"/>
      <c r="B314" s="16"/>
      <c r="C314" s="17"/>
      <c r="D314" s="16"/>
      <c r="E314" s="16"/>
    </row>
    <row r="315" spans="1:5" ht="13" x14ac:dyDescent="0.3">
      <c r="A315" s="16"/>
      <c r="B315" s="16"/>
      <c r="C315" s="17"/>
      <c r="D315" s="16"/>
      <c r="E315" s="16"/>
    </row>
    <row r="316" spans="1:5" ht="13" x14ac:dyDescent="0.3">
      <c r="A316" s="16"/>
      <c r="B316" s="16"/>
      <c r="C316" s="17"/>
      <c r="D316" s="16"/>
      <c r="E316" s="16"/>
    </row>
    <row r="317" spans="1:5" ht="13" x14ac:dyDescent="0.3">
      <c r="A317" s="16"/>
      <c r="B317" s="16"/>
      <c r="C317" s="17"/>
      <c r="D317" s="16"/>
      <c r="E317" s="16"/>
    </row>
    <row r="318" spans="1:5" ht="13" x14ac:dyDescent="0.3">
      <c r="A318" s="16"/>
      <c r="B318" s="16"/>
      <c r="C318" s="17"/>
      <c r="D318" s="16"/>
      <c r="E318" s="16"/>
    </row>
    <row r="319" spans="1:5" ht="13" x14ac:dyDescent="0.3">
      <c r="A319" s="16"/>
      <c r="B319" s="16"/>
      <c r="C319" s="17"/>
      <c r="D319" s="16"/>
      <c r="E319" s="16"/>
    </row>
    <row r="320" spans="1:5" ht="13" x14ac:dyDescent="0.3">
      <c r="A320" s="16"/>
      <c r="B320" s="16"/>
      <c r="C320" s="17"/>
      <c r="D320" s="16"/>
      <c r="E320" s="16"/>
    </row>
    <row r="321" spans="1:5" ht="13" x14ac:dyDescent="0.3">
      <c r="A321" s="16"/>
      <c r="B321" s="16"/>
      <c r="C321" s="17"/>
      <c r="D321" s="16"/>
      <c r="E321" s="16"/>
    </row>
    <row r="322" spans="1:5" ht="13" x14ac:dyDescent="0.3">
      <c r="A322" s="16"/>
      <c r="B322" s="16"/>
      <c r="C322" s="17"/>
      <c r="D322" s="16"/>
      <c r="E322" s="16"/>
    </row>
    <row r="323" spans="1:5" ht="13" x14ac:dyDescent="0.3">
      <c r="A323" s="16"/>
      <c r="B323" s="16"/>
      <c r="C323" s="17"/>
      <c r="D323" s="16"/>
      <c r="E323" s="16"/>
    </row>
    <row r="324" spans="1:5" ht="13" x14ac:dyDescent="0.3">
      <c r="A324" s="16"/>
      <c r="B324" s="16"/>
      <c r="C324" s="17"/>
      <c r="D324" s="16"/>
      <c r="E324" s="16"/>
    </row>
    <row r="325" spans="1:5" ht="13" x14ac:dyDescent="0.3">
      <c r="A325" s="16"/>
      <c r="B325" s="16"/>
      <c r="C325" s="17"/>
      <c r="D325" s="16"/>
      <c r="E325" s="16"/>
    </row>
    <row r="326" spans="1:5" ht="13" x14ac:dyDescent="0.3">
      <c r="A326" s="16"/>
      <c r="B326" s="16"/>
      <c r="C326" s="17"/>
      <c r="D326" s="16"/>
      <c r="E326" s="16"/>
    </row>
    <row r="327" spans="1:5" ht="13" x14ac:dyDescent="0.3">
      <c r="A327" s="16"/>
      <c r="B327" s="16"/>
      <c r="C327" s="17"/>
      <c r="D327" s="16"/>
      <c r="E327" s="16"/>
    </row>
    <row r="328" spans="1:5" ht="13" x14ac:dyDescent="0.3">
      <c r="A328" s="16"/>
      <c r="B328" s="16"/>
      <c r="C328" s="17"/>
      <c r="D328" s="16"/>
      <c r="E328" s="16"/>
    </row>
    <row r="329" spans="1:5" ht="13" x14ac:dyDescent="0.3">
      <c r="A329" s="16"/>
      <c r="B329" s="16"/>
      <c r="C329" s="17"/>
      <c r="D329" s="16"/>
      <c r="E329" s="16"/>
    </row>
    <row r="330" spans="1:5" ht="13" x14ac:dyDescent="0.3">
      <c r="A330" s="16"/>
      <c r="B330" s="16"/>
      <c r="C330" s="17"/>
      <c r="D330" s="16"/>
      <c r="E330" s="16"/>
    </row>
    <row r="331" spans="1:5" ht="13" x14ac:dyDescent="0.3">
      <c r="A331" s="16"/>
      <c r="B331" s="16"/>
      <c r="C331" s="17"/>
      <c r="D331" s="16"/>
      <c r="E331" s="16"/>
    </row>
    <row r="332" spans="1:5" ht="13" x14ac:dyDescent="0.3">
      <c r="A332" s="16"/>
      <c r="B332" s="16"/>
      <c r="C332" s="17"/>
      <c r="D332" s="16"/>
      <c r="E332" s="16"/>
    </row>
    <row r="333" spans="1:5" ht="13" x14ac:dyDescent="0.3">
      <c r="A333" s="16"/>
      <c r="B333" s="16"/>
      <c r="C333" s="17"/>
      <c r="D333" s="16"/>
      <c r="E333" s="16"/>
    </row>
    <row r="334" spans="1:5" ht="13" x14ac:dyDescent="0.3">
      <c r="A334" s="16"/>
      <c r="B334" s="16"/>
      <c r="C334" s="17"/>
      <c r="D334" s="16"/>
      <c r="E334" s="16"/>
    </row>
    <row r="335" spans="1:5" ht="13" x14ac:dyDescent="0.3">
      <c r="A335" s="16"/>
      <c r="B335" s="16"/>
      <c r="C335" s="17"/>
      <c r="D335" s="16"/>
      <c r="E335" s="16"/>
    </row>
    <row r="336" spans="1:5" ht="13" x14ac:dyDescent="0.3">
      <c r="A336" s="16"/>
      <c r="B336" s="16"/>
      <c r="C336" s="17"/>
      <c r="D336" s="16"/>
      <c r="E336" s="16"/>
    </row>
    <row r="337" spans="1:5" ht="13" x14ac:dyDescent="0.3">
      <c r="A337" s="16"/>
      <c r="B337" s="16"/>
      <c r="C337" s="17"/>
      <c r="D337" s="16"/>
      <c r="E337" s="16"/>
    </row>
    <row r="338" spans="1:5" ht="13" x14ac:dyDescent="0.3">
      <c r="A338" s="16"/>
      <c r="B338" s="16"/>
      <c r="C338" s="17"/>
      <c r="D338" s="16"/>
      <c r="E338" s="16"/>
    </row>
    <row r="339" spans="1:5" ht="13" x14ac:dyDescent="0.3">
      <c r="A339" s="16"/>
      <c r="B339" s="16"/>
      <c r="C339" s="17"/>
      <c r="D339" s="16"/>
      <c r="E339" s="16"/>
    </row>
    <row r="340" spans="1:5" ht="13" x14ac:dyDescent="0.3">
      <c r="A340" s="16"/>
      <c r="B340" s="16"/>
      <c r="C340" s="17"/>
      <c r="D340" s="16"/>
      <c r="E340" s="16"/>
    </row>
    <row r="341" spans="1:5" ht="13" x14ac:dyDescent="0.3">
      <c r="A341" s="16"/>
      <c r="B341" s="16"/>
      <c r="C341" s="17"/>
      <c r="D341" s="16"/>
      <c r="E341" s="16"/>
    </row>
    <row r="342" spans="1:5" ht="13" x14ac:dyDescent="0.3">
      <c r="A342" s="16"/>
      <c r="B342" s="16"/>
      <c r="C342" s="17"/>
      <c r="D342" s="16"/>
      <c r="E342" s="16"/>
    </row>
    <row r="343" spans="1:5" ht="13" x14ac:dyDescent="0.3">
      <c r="A343" s="16"/>
      <c r="B343" s="16"/>
      <c r="C343" s="17"/>
      <c r="D343" s="16"/>
      <c r="E343" s="16"/>
    </row>
    <row r="344" spans="1:5" ht="13" x14ac:dyDescent="0.3">
      <c r="A344" s="16"/>
      <c r="B344" s="16"/>
      <c r="C344" s="17"/>
      <c r="D344" s="16"/>
      <c r="E344" s="16"/>
    </row>
    <row r="345" spans="1:5" ht="13" x14ac:dyDescent="0.3">
      <c r="A345" s="16"/>
      <c r="B345" s="16"/>
      <c r="C345" s="17"/>
      <c r="D345" s="16"/>
      <c r="E345" s="16"/>
    </row>
    <row r="346" spans="1:5" ht="13" x14ac:dyDescent="0.3">
      <c r="A346" s="16"/>
      <c r="B346" s="16"/>
      <c r="C346" s="17"/>
      <c r="D346" s="16"/>
      <c r="E346" s="16"/>
    </row>
    <row r="347" spans="1:5" ht="13" x14ac:dyDescent="0.3">
      <c r="A347" s="16"/>
      <c r="B347" s="16"/>
      <c r="C347" s="17"/>
      <c r="D347" s="16"/>
      <c r="E347" s="16"/>
    </row>
    <row r="348" spans="1:5" ht="13" x14ac:dyDescent="0.3">
      <c r="A348" s="16"/>
      <c r="B348" s="16"/>
      <c r="C348" s="17"/>
      <c r="D348" s="16"/>
      <c r="E348" s="16"/>
    </row>
    <row r="349" spans="1:5" ht="13" x14ac:dyDescent="0.3">
      <c r="A349" s="16"/>
      <c r="B349" s="16"/>
      <c r="C349" s="17"/>
      <c r="D349" s="16"/>
      <c r="E349" s="16"/>
    </row>
    <row r="350" spans="1:5" ht="13" x14ac:dyDescent="0.3">
      <c r="A350" s="16"/>
      <c r="B350" s="16"/>
      <c r="C350" s="17"/>
      <c r="D350" s="16"/>
      <c r="E350" s="16"/>
    </row>
    <row r="351" spans="1:5" ht="13" x14ac:dyDescent="0.3">
      <c r="A351" s="16"/>
      <c r="B351" s="16"/>
      <c r="C351" s="17"/>
      <c r="D351" s="16"/>
      <c r="E351" s="16"/>
    </row>
    <row r="352" spans="1:5" ht="13" x14ac:dyDescent="0.3">
      <c r="A352" s="16"/>
      <c r="B352" s="16"/>
      <c r="C352" s="17"/>
      <c r="D352" s="16"/>
      <c r="E352" s="16"/>
    </row>
    <row r="353" spans="1:5" ht="13" x14ac:dyDescent="0.3">
      <c r="A353" s="16"/>
      <c r="B353" s="16"/>
      <c r="C353" s="17"/>
      <c r="D353" s="16"/>
      <c r="E353" s="16"/>
    </row>
    <row r="354" spans="1:5" ht="13" x14ac:dyDescent="0.3">
      <c r="A354" s="16"/>
      <c r="B354" s="16"/>
      <c r="C354" s="17"/>
      <c r="D354" s="16"/>
      <c r="E354" s="16"/>
    </row>
    <row r="355" spans="1:5" ht="13" x14ac:dyDescent="0.3">
      <c r="A355" s="16"/>
      <c r="B355" s="16"/>
      <c r="C355" s="17"/>
      <c r="D355" s="16"/>
      <c r="E355" s="16"/>
    </row>
    <row r="356" spans="1:5" ht="13" x14ac:dyDescent="0.3">
      <c r="A356" s="16"/>
      <c r="B356" s="16"/>
      <c r="C356" s="17"/>
      <c r="D356" s="16"/>
      <c r="E356" s="16"/>
    </row>
    <row r="357" spans="1:5" ht="13" x14ac:dyDescent="0.3">
      <c r="A357" s="16"/>
      <c r="B357" s="16"/>
      <c r="C357" s="17"/>
      <c r="D357" s="16"/>
      <c r="E357" s="16"/>
    </row>
    <row r="358" spans="1:5" ht="13" x14ac:dyDescent="0.3">
      <c r="A358" s="16"/>
      <c r="B358" s="16"/>
      <c r="C358" s="17"/>
      <c r="D358" s="16"/>
      <c r="E358" s="16"/>
    </row>
    <row r="359" spans="1:5" ht="13" x14ac:dyDescent="0.3">
      <c r="A359" s="16"/>
      <c r="B359" s="16"/>
      <c r="C359" s="17"/>
      <c r="D359" s="16"/>
      <c r="E359" s="16"/>
    </row>
    <row r="360" spans="1:5" ht="13" x14ac:dyDescent="0.3">
      <c r="A360" s="16"/>
      <c r="B360" s="16"/>
      <c r="C360" s="17"/>
      <c r="D360" s="16"/>
      <c r="E360" s="16"/>
    </row>
    <row r="361" spans="1:5" ht="13" x14ac:dyDescent="0.3">
      <c r="A361" s="16"/>
      <c r="B361" s="16"/>
      <c r="C361" s="17"/>
      <c r="D361" s="16"/>
      <c r="E361" s="16"/>
    </row>
    <row r="362" spans="1:5" ht="13" x14ac:dyDescent="0.3">
      <c r="A362" s="16"/>
      <c r="B362" s="16"/>
      <c r="C362" s="17"/>
      <c r="D362" s="16"/>
      <c r="E362" s="16"/>
    </row>
    <row r="363" spans="1:5" ht="13" x14ac:dyDescent="0.3">
      <c r="A363" s="16"/>
      <c r="B363" s="16"/>
      <c r="C363" s="17"/>
      <c r="D363" s="16"/>
      <c r="E363" s="16"/>
    </row>
    <row r="364" spans="1:5" ht="13" x14ac:dyDescent="0.3">
      <c r="A364" s="16"/>
      <c r="B364" s="16"/>
      <c r="C364" s="17"/>
      <c r="D364" s="16"/>
      <c r="E364" s="16"/>
    </row>
    <row r="365" spans="1:5" ht="13" x14ac:dyDescent="0.3">
      <c r="A365" s="16"/>
      <c r="B365" s="16"/>
      <c r="C365" s="17"/>
      <c r="D365" s="16"/>
      <c r="E365" s="16"/>
    </row>
    <row r="366" spans="1:5" ht="13" x14ac:dyDescent="0.3">
      <c r="A366" s="16"/>
      <c r="B366" s="16"/>
      <c r="C366" s="17"/>
      <c r="D366" s="16"/>
      <c r="E366" s="16"/>
    </row>
    <row r="367" spans="1:5" ht="13" x14ac:dyDescent="0.3">
      <c r="A367" s="16"/>
      <c r="B367" s="16"/>
      <c r="C367" s="17"/>
      <c r="D367" s="16"/>
      <c r="E367" s="16"/>
    </row>
    <row r="368" spans="1:5" ht="13" x14ac:dyDescent="0.3">
      <c r="A368" s="16"/>
      <c r="B368" s="16"/>
      <c r="C368" s="17"/>
      <c r="D368" s="16"/>
      <c r="E368" s="16"/>
    </row>
    <row r="369" spans="1:5" ht="13" x14ac:dyDescent="0.3">
      <c r="A369" s="16"/>
      <c r="B369" s="16"/>
      <c r="C369" s="17"/>
      <c r="D369" s="16"/>
      <c r="E369" s="16"/>
    </row>
    <row r="370" spans="1:5" ht="13" x14ac:dyDescent="0.3">
      <c r="A370" s="16"/>
      <c r="B370" s="16"/>
      <c r="C370" s="17"/>
      <c r="D370" s="16"/>
      <c r="E370" s="16"/>
    </row>
    <row r="371" spans="1:5" ht="13" x14ac:dyDescent="0.3">
      <c r="A371" s="16"/>
      <c r="B371" s="16"/>
      <c r="C371" s="17"/>
      <c r="D371" s="16"/>
      <c r="E371" s="16"/>
    </row>
    <row r="372" spans="1:5" ht="13" x14ac:dyDescent="0.3">
      <c r="A372" s="16"/>
      <c r="B372" s="16"/>
      <c r="C372" s="17"/>
      <c r="D372" s="16"/>
      <c r="E372" s="16"/>
    </row>
    <row r="373" spans="1:5" ht="13" x14ac:dyDescent="0.3">
      <c r="A373" s="16"/>
      <c r="B373" s="16"/>
      <c r="C373" s="17"/>
      <c r="D373" s="16"/>
      <c r="E373" s="16"/>
    </row>
    <row r="374" spans="1:5" ht="13" x14ac:dyDescent="0.3">
      <c r="A374" s="16"/>
      <c r="B374" s="16"/>
      <c r="C374" s="17"/>
      <c r="D374" s="16"/>
      <c r="E374" s="16"/>
    </row>
    <row r="375" spans="1:5" ht="13" x14ac:dyDescent="0.3">
      <c r="A375" s="16"/>
      <c r="B375" s="16"/>
      <c r="C375" s="17"/>
      <c r="D375" s="16"/>
      <c r="E375" s="16"/>
    </row>
    <row r="376" spans="1:5" ht="13" x14ac:dyDescent="0.3">
      <c r="A376" s="16"/>
      <c r="B376" s="16"/>
      <c r="C376" s="17"/>
      <c r="D376" s="16"/>
      <c r="E376" s="16"/>
    </row>
    <row r="377" spans="1:5" ht="13" x14ac:dyDescent="0.3">
      <c r="A377" s="16"/>
      <c r="B377" s="16"/>
      <c r="C377" s="17"/>
      <c r="D377" s="16"/>
      <c r="E377" s="16"/>
    </row>
    <row r="378" spans="1:5" ht="13" x14ac:dyDescent="0.3">
      <c r="A378" s="16"/>
      <c r="B378" s="16"/>
      <c r="C378" s="17"/>
      <c r="D378" s="16"/>
      <c r="E378" s="16"/>
    </row>
    <row r="379" spans="1:5" ht="13" x14ac:dyDescent="0.3">
      <c r="A379" s="16"/>
      <c r="B379" s="16"/>
      <c r="C379" s="17"/>
      <c r="D379" s="16"/>
      <c r="E379" s="16"/>
    </row>
    <row r="380" spans="1:5" ht="13" x14ac:dyDescent="0.3">
      <c r="A380" s="16"/>
      <c r="B380" s="16"/>
      <c r="C380" s="17"/>
      <c r="D380" s="16"/>
      <c r="E380" s="16"/>
    </row>
    <row r="381" spans="1:5" ht="13" x14ac:dyDescent="0.3">
      <c r="A381" s="16"/>
      <c r="B381" s="16"/>
      <c r="C381" s="17"/>
      <c r="D381" s="16"/>
      <c r="E381" s="16"/>
    </row>
    <row r="382" spans="1:5" ht="13" x14ac:dyDescent="0.3">
      <c r="A382" s="16"/>
      <c r="B382" s="16"/>
      <c r="C382" s="17"/>
      <c r="D382" s="16"/>
      <c r="E382" s="16"/>
    </row>
    <row r="383" spans="1:5" ht="13" x14ac:dyDescent="0.3">
      <c r="A383" s="16"/>
      <c r="B383" s="16"/>
      <c r="C383" s="17"/>
      <c r="D383" s="16"/>
      <c r="E383" s="16"/>
    </row>
    <row r="384" spans="1:5" ht="13" x14ac:dyDescent="0.3">
      <c r="A384" s="16"/>
      <c r="B384" s="16"/>
      <c r="C384" s="17"/>
      <c r="D384" s="16"/>
      <c r="E384" s="16"/>
    </row>
    <row r="385" spans="1:5" ht="13" x14ac:dyDescent="0.3">
      <c r="A385" s="16"/>
      <c r="B385" s="16"/>
      <c r="C385" s="17"/>
      <c r="D385" s="16"/>
      <c r="E385" s="16"/>
    </row>
    <row r="386" spans="1:5" ht="13" x14ac:dyDescent="0.3">
      <c r="A386" s="16"/>
      <c r="B386" s="16"/>
      <c r="C386" s="17"/>
      <c r="D386" s="16"/>
      <c r="E386" s="16"/>
    </row>
    <row r="387" spans="1:5" ht="13" x14ac:dyDescent="0.3">
      <c r="A387" s="16"/>
      <c r="B387" s="16"/>
      <c r="C387" s="17"/>
      <c r="D387" s="16"/>
      <c r="E387" s="16"/>
    </row>
    <row r="388" spans="1:5" ht="13" x14ac:dyDescent="0.3">
      <c r="A388" s="16"/>
      <c r="B388" s="16"/>
      <c r="C388" s="17"/>
      <c r="D388" s="16"/>
      <c r="E388" s="16"/>
    </row>
    <row r="389" spans="1:5" ht="13" x14ac:dyDescent="0.3">
      <c r="A389" s="16"/>
      <c r="B389" s="16"/>
      <c r="C389" s="17"/>
      <c r="D389" s="16"/>
      <c r="E389" s="16"/>
    </row>
    <row r="390" spans="1:5" ht="13" x14ac:dyDescent="0.3">
      <c r="A390" s="16"/>
      <c r="B390" s="16"/>
      <c r="C390" s="17"/>
      <c r="D390" s="16"/>
      <c r="E390" s="16"/>
    </row>
    <row r="391" spans="1:5" ht="13" x14ac:dyDescent="0.3">
      <c r="A391" s="16"/>
      <c r="B391" s="16"/>
      <c r="C391" s="17"/>
      <c r="D391" s="16"/>
      <c r="E391" s="16"/>
    </row>
    <row r="392" spans="1:5" ht="13" x14ac:dyDescent="0.3">
      <c r="A392" s="16"/>
      <c r="B392" s="16"/>
      <c r="C392" s="17"/>
      <c r="D392" s="16"/>
      <c r="E392" s="16"/>
    </row>
    <row r="393" spans="1:5" ht="13" x14ac:dyDescent="0.3">
      <c r="A393" s="16"/>
      <c r="B393" s="16"/>
      <c r="C393" s="17"/>
      <c r="D393" s="16"/>
      <c r="E393" s="16"/>
    </row>
    <row r="394" spans="1:5" ht="13" x14ac:dyDescent="0.3">
      <c r="A394" s="16"/>
      <c r="B394" s="16"/>
      <c r="C394" s="17"/>
      <c r="D394" s="16"/>
      <c r="E394" s="16"/>
    </row>
    <row r="395" spans="1:5" ht="13" x14ac:dyDescent="0.3">
      <c r="A395" s="16"/>
      <c r="B395" s="16"/>
      <c r="C395" s="17"/>
      <c r="D395" s="16"/>
      <c r="E395" s="16"/>
    </row>
    <row r="396" spans="1:5" ht="13" x14ac:dyDescent="0.3">
      <c r="A396" s="16"/>
      <c r="B396" s="16"/>
      <c r="C396" s="17"/>
      <c r="D396" s="16"/>
      <c r="E396" s="16"/>
    </row>
    <row r="397" spans="1:5" ht="13" x14ac:dyDescent="0.3">
      <c r="A397" s="16"/>
      <c r="B397" s="16"/>
      <c r="C397" s="17"/>
      <c r="D397" s="16"/>
      <c r="E397" s="16"/>
    </row>
    <row r="398" spans="1:5" ht="13" x14ac:dyDescent="0.3">
      <c r="A398" s="16"/>
      <c r="B398" s="16"/>
      <c r="C398" s="17"/>
      <c r="D398" s="16"/>
      <c r="E398" s="16"/>
    </row>
    <row r="399" spans="1:5" ht="13" x14ac:dyDescent="0.3">
      <c r="A399" s="16"/>
      <c r="B399" s="16"/>
      <c r="C399" s="17"/>
      <c r="D399" s="16"/>
      <c r="E399" s="16"/>
    </row>
    <row r="400" spans="1:5" ht="13" x14ac:dyDescent="0.3">
      <c r="A400" s="16"/>
      <c r="B400" s="16"/>
      <c r="C400" s="17"/>
      <c r="D400" s="16"/>
      <c r="E400" s="16"/>
    </row>
    <row r="401" spans="1:5" ht="13" x14ac:dyDescent="0.3">
      <c r="A401" s="16"/>
      <c r="B401" s="16"/>
      <c r="C401" s="17"/>
      <c r="D401" s="16"/>
      <c r="E401" s="16"/>
    </row>
    <row r="402" spans="1:5" ht="13" x14ac:dyDescent="0.3">
      <c r="A402" s="16"/>
      <c r="B402" s="16"/>
      <c r="C402" s="17"/>
      <c r="D402" s="16"/>
      <c r="E402" s="16"/>
    </row>
    <row r="403" spans="1:5" ht="13" x14ac:dyDescent="0.3">
      <c r="A403" s="16"/>
      <c r="B403" s="16"/>
      <c r="C403" s="17"/>
      <c r="D403" s="16"/>
      <c r="E403" s="16"/>
    </row>
    <row r="404" spans="1:5" ht="13" x14ac:dyDescent="0.3">
      <c r="A404" s="16"/>
      <c r="B404" s="16"/>
      <c r="C404" s="17"/>
      <c r="D404" s="16"/>
      <c r="E404" s="16"/>
    </row>
    <row r="405" spans="1:5" ht="13" x14ac:dyDescent="0.3">
      <c r="A405" s="16"/>
      <c r="B405" s="16"/>
      <c r="C405" s="17"/>
      <c r="D405" s="16"/>
      <c r="E405" s="16"/>
    </row>
    <row r="406" spans="1:5" ht="13" x14ac:dyDescent="0.3">
      <c r="A406" s="16"/>
      <c r="B406" s="16"/>
      <c r="C406" s="17"/>
      <c r="D406" s="16"/>
      <c r="E406" s="16"/>
    </row>
    <row r="407" spans="1:5" ht="13" x14ac:dyDescent="0.3">
      <c r="A407" s="16"/>
      <c r="B407" s="16"/>
      <c r="C407" s="17"/>
      <c r="D407" s="16"/>
      <c r="E407" s="16"/>
    </row>
    <row r="408" spans="1:5" ht="13" x14ac:dyDescent="0.3">
      <c r="A408" s="16"/>
      <c r="B408" s="16"/>
      <c r="C408" s="17"/>
      <c r="D408" s="16"/>
      <c r="E408" s="16"/>
    </row>
    <row r="409" spans="1:5" ht="13" x14ac:dyDescent="0.3">
      <c r="A409" s="16"/>
      <c r="B409" s="16"/>
      <c r="C409" s="17"/>
      <c r="D409" s="16"/>
      <c r="E409" s="16"/>
    </row>
    <row r="410" spans="1:5" ht="13" x14ac:dyDescent="0.3">
      <c r="A410" s="16"/>
      <c r="B410" s="16"/>
      <c r="C410" s="17"/>
      <c r="D410" s="16"/>
      <c r="E410" s="16"/>
    </row>
    <row r="411" spans="1:5" ht="13" x14ac:dyDescent="0.3">
      <c r="A411" s="16"/>
      <c r="B411" s="16"/>
      <c r="C411" s="17"/>
      <c r="D411" s="16"/>
      <c r="E411" s="16"/>
    </row>
    <row r="412" spans="1:5" ht="13" x14ac:dyDescent="0.3">
      <c r="A412" s="16"/>
      <c r="B412" s="16"/>
      <c r="C412" s="17"/>
      <c r="D412" s="16"/>
      <c r="E412" s="16"/>
    </row>
    <row r="413" spans="1:5" ht="13" x14ac:dyDescent="0.3">
      <c r="A413" s="16"/>
      <c r="B413" s="16"/>
      <c r="C413" s="17"/>
      <c r="D413" s="16"/>
      <c r="E413" s="16"/>
    </row>
    <row r="414" spans="1:5" ht="13" x14ac:dyDescent="0.3">
      <c r="A414" s="16"/>
      <c r="B414" s="16"/>
      <c r="C414" s="17"/>
      <c r="D414" s="16"/>
      <c r="E414" s="16"/>
    </row>
    <row r="415" spans="1:5" ht="13" x14ac:dyDescent="0.3">
      <c r="A415" s="16"/>
      <c r="B415" s="16"/>
      <c r="C415" s="17"/>
      <c r="D415" s="16"/>
      <c r="E415" s="16"/>
    </row>
    <row r="416" spans="1:5" ht="13" x14ac:dyDescent="0.3">
      <c r="A416" s="16"/>
      <c r="B416" s="16"/>
      <c r="C416" s="17"/>
      <c r="D416" s="16"/>
      <c r="E416" s="16"/>
    </row>
    <row r="417" spans="1:5" ht="13" x14ac:dyDescent="0.3">
      <c r="A417" s="16"/>
      <c r="B417" s="16"/>
      <c r="C417" s="17"/>
      <c r="D417" s="16"/>
      <c r="E417" s="16"/>
    </row>
    <row r="418" spans="1:5" ht="13" x14ac:dyDescent="0.3">
      <c r="A418" s="16"/>
      <c r="B418" s="16"/>
      <c r="C418" s="17"/>
      <c r="D418" s="16"/>
      <c r="E418" s="16"/>
    </row>
    <row r="419" spans="1:5" ht="13" x14ac:dyDescent="0.3">
      <c r="A419" s="16"/>
      <c r="B419" s="16"/>
      <c r="C419" s="17"/>
      <c r="D419" s="16"/>
      <c r="E419" s="16"/>
    </row>
    <row r="420" spans="1:5" ht="13" x14ac:dyDescent="0.3">
      <c r="A420" s="16"/>
      <c r="B420" s="16"/>
      <c r="C420" s="17"/>
      <c r="D420" s="16"/>
      <c r="E420" s="16"/>
    </row>
    <row r="421" spans="1:5" ht="13" x14ac:dyDescent="0.3">
      <c r="A421" s="16"/>
      <c r="B421" s="16"/>
      <c r="C421" s="17"/>
      <c r="D421" s="16"/>
      <c r="E421" s="16"/>
    </row>
    <row r="422" spans="1:5" ht="13" x14ac:dyDescent="0.3">
      <c r="A422" s="16"/>
      <c r="B422" s="16"/>
      <c r="C422" s="17"/>
      <c r="D422" s="16"/>
      <c r="E422" s="16"/>
    </row>
    <row r="423" spans="1:5" ht="13" x14ac:dyDescent="0.3">
      <c r="A423" s="16"/>
      <c r="B423" s="16"/>
      <c r="C423" s="17"/>
      <c r="D423" s="16"/>
      <c r="E423" s="16"/>
    </row>
    <row r="424" spans="1:5" ht="13" x14ac:dyDescent="0.3">
      <c r="A424" s="16"/>
      <c r="B424" s="16"/>
      <c r="C424" s="17"/>
      <c r="D424" s="16"/>
      <c r="E424" s="16"/>
    </row>
    <row r="425" spans="1:5" ht="13" x14ac:dyDescent="0.3">
      <c r="A425" s="16"/>
      <c r="B425" s="16"/>
      <c r="C425" s="17"/>
      <c r="D425" s="16"/>
      <c r="E425" s="16"/>
    </row>
    <row r="426" spans="1:5" ht="13" x14ac:dyDescent="0.3">
      <c r="A426" s="16"/>
      <c r="B426" s="16"/>
      <c r="C426" s="17"/>
      <c r="D426" s="16"/>
      <c r="E426" s="16"/>
    </row>
    <row r="427" spans="1:5" ht="13" x14ac:dyDescent="0.3">
      <c r="A427" s="16"/>
      <c r="B427" s="16"/>
      <c r="C427" s="17"/>
      <c r="D427" s="16"/>
      <c r="E427" s="16"/>
    </row>
    <row r="428" spans="1:5" ht="13" x14ac:dyDescent="0.3">
      <c r="A428" s="16"/>
      <c r="B428" s="16"/>
      <c r="C428" s="17"/>
      <c r="D428" s="16"/>
      <c r="E428" s="16"/>
    </row>
    <row r="429" spans="1:5" ht="13" x14ac:dyDescent="0.3">
      <c r="A429" s="16"/>
      <c r="B429" s="16"/>
      <c r="C429" s="17"/>
      <c r="D429" s="16"/>
      <c r="E429" s="16"/>
    </row>
    <row r="430" spans="1:5" ht="13" x14ac:dyDescent="0.3">
      <c r="A430" s="16"/>
      <c r="B430" s="16"/>
      <c r="C430" s="17"/>
      <c r="D430" s="16"/>
      <c r="E430" s="16"/>
    </row>
    <row r="431" spans="1:5" ht="13" x14ac:dyDescent="0.3">
      <c r="A431" s="16"/>
      <c r="B431" s="16"/>
      <c r="C431" s="17"/>
      <c r="D431" s="16"/>
      <c r="E431" s="16"/>
    </row>
    <row r="432" spans="1:5" ht="13" x14ac:dyDescent="0.3">
      <c r="A432" s="16"/>
      <c r="B432" s="16"/>
      <c r="C432" s="17"/>
      <c r="D432" s="16"/>
      <c r="E432" s="16"/>
    </row>
    <row r="433" spans="1:5" ht="13" x14ac:dyDescent="0.3">
      <c r="A433" s="16"/>
      <c r="B433" s="16"/>
      <c r="C433" s="17"/>
      <c r="D433" s="16"/>
      <c r="E433" s="16"/>
    </row>
    <row r="434" spans="1:5" ht="13" x14ac:dyDescent="0.3">
      <c r="A434" s="16"/>
      <c r="B434" s="16"/>
      <c r="C434" s="17"/>
      <c r="D434" s="16"/>
      <c r="E434" s="16"/>
    </row>
    <row r="435" spans="1:5" ht="13" x14ac:dyDescent="0.3">
      <c r="A435" s="16"/>
      <c r="B435" s="16"/>
      <c r="C435" s="17"/>
      <c r="D435" s="16"/>
      <c r="E435" s="16"/>
    </row>
    <row r="436" spans="1:5" ht="13" x14ac:dyDescent="0.3">
      <c r="A436" s="16"/>
      <c r="B436" s="16"/>
      <c r="C436" s="17"/>
      <c r="D436" s="16"/>
      <c r="E436" s="16"/>
    </row>
    <row r="437" spans="1:5" ht="13" x14ac:dyDescent="0.3">
      <c r="A437" s="16"/>
      <c r="B437" s="16"/>
      <c r="C437" s="17"/>
      <c r="D437" s="16"/>
      <c r="E437" s="16"/>
    </row>
    <row r="438" spans="1:5" ht="13" x14ac:dyDescent="0.3">
      <c r="A438" s="16"/>
      <c r="B438" s="16"/>
      <c r="C438" s="17"/>
      <c r="D438" s="16"/>
      <c r="E438" s="16"/>
    </row>
    <row r="439" spans="1:5" ht="13" x14ac:dyDescent="0.3">
      <c r="A439" s="16"/>
      <c r="B439" s="16"/>
      <c r="C439" s="17"/>
      <c r="D439" s="16"/>
      <c r="E439" s="16"/>
    </row>
    <row r="440" spans="1:5" ht="13" x14ac:dyDescent="0.3">
      <c r="A440" s="16"/>
      <c r="B440" s="16"/>
      <c r="C440" s="17"/>
      <c r="D440" s="16"/>
      <c r="E440" s="16"/>
    </row>
    <row r="441" spans="1:5" ht="13" x14ac:dyDescent="0.3">
      <c r="A441" s="16"/>
      <c r="B441" s="16"/>
      <c r="C441" s="17"/>
      <c r="D441" s="16"/>
      <c r="E441" s="16"/>
    </row>
    <row r="442" spans="1:5" ht="13" x14ac:dyDescent="0.3">
      <c r="A442" s="16"/>
      <c r="B442" s="16"/>
      <c r="C442" s="17"/>
      <c r="D442" s="16"/>
      <c r="E442" s="16"/>
    </row>
    <row r="443" spans="1:5" ht="13" x14ac:dyDescent="0.3">
      <c r="A443" s="16"/>
      <c r="B443" s="16"/>
      <c r="C443" s="17"/>
      <c r="D443" s="16"/>
      <c r="E443" s="16"/>
    </row>
    <row r="444" spans="1:5" ht="13" x14ac:dyDescent="0.3">
      <c r="A444" s="16"/>
      <c r="B444" s="16"/>
      <c r="C444" s="17"/>
      <c r="D444" s="16"/>
      <c r="E444" s="16"/>
    </row>
    <row r="445" spans="1:5" ht="13" x14ac:dyDescent="0.3">
      <c r="A445" s="16"/>
      <c r="B445" s="16"/>
      <c r="C445" s="17"/>
      <c r="D445" s="16"/>
      <c r="E445" s="16"/>
    </row>
    <row r="446" spans="1:5" ht="13" x14ac:dyDescent="0.3">
      <c r="A446" s="16"/>
      <c r="B446" s="16"/>
      <c r="C446" s="17"/>
      <c r="D446" s="16"/>
      <c r="E446" s="16"/>
    </row>
    <row r="447" spans="1:5" ht="13" x14ac:dyDescent="0.3">
      <c r="A447" s="16"/>
      <c r="B447" s="16"/>
      <c r="C447" s="17"/>
      <c r="D447" s="16"/>
      <c r="E447" s="16"/>
    </row>
    <row r="448" spans="1:5" ht="13" x14ac:dyDescent="0.3">
      <c r="A448" s="16"/>
      <c r="B448" s="16"/>
      <c r="C448" s="17"/>
      <c r="D448" s="16"/>
      <c r="E448" s="16"/>
    </row>
    <row r="449" spans="1:5" ht="13" x14ac:dyDescent="0.3">
      <c r="A449" s="16"/>
      <c r="B449" s="16"/>
      <c r="C449" s="17"/>
      <c r="D449" s="16"/>
      <c r="E449" s="16"/>
    </row>
    <row r="450" spans="1:5" ht="13" x14ac:dyDescent="0.3">
      <c r="A450" s="16"/>
      <c r="B450" s="16"/>
      <c r="C450" s="17"/>
      <c r="D450" s="16"/>
      <c r="E450" s="16"/>
    </row>
    <row r="451" spans="1:5" ht="13" x14ac:dyDescent="0.3">
      <c r="A451" s="16"/>
      <c r="B451" s="16"/>
      <c r="C451" s="17"/>
      <c r="D451" s="16"/>
      <c r="E451" s="16"/>
    </row>
    <row r="452" spans="1:5" ht="13" x14ac:dyDescent="0.3">
      <c r="A452" s="16"/>
      <c r="B452" s="16"/>
      <c r="C452" s="17"/>
      <c r="D452" s="16"/>
      <c r="E452" s="16"/>
    </row>
    <row r="453" spans="1:5" ht="13" x14ac:dyDescent="0.3">
      <c r="A453" s="16"/>
      <c r="B453" s="16"/>
      <c r="C453" s="17"/>
      <c r="D453" s="16"/>
      <c r="E453" s="16"/>
    </row>
    <row r="454" spans="1:5" ht="13" x14ac:dyDescent="0.3">
      <c r="A454" s="16"/>
      <c r="B454" s="16"/>
      <c r="C454" s="17"/>
      <c r="D454" s="16"/>
      <c r="E454" s="16"/>
    </row>
    <row r="455" spans="1:5" ht="13" x14ac:dyDescent="0.3">
      <c r="A455" s="16"/>
      <c r="B455" s="16"/>
      <c r="C455" s="17"/>
      <c r="D455" s="16"/>
      <c r="E455" s="16"/>
    </row>
    <row r="456" spans="1:5" ht="13" x14ac:dyDescent="0.3">
      <c r="A456" s="16"/>
      <c r="B456" s="16"/>
      <c r="C456" s="17"/>
      <c r="D456" s="16"/>
      <c r="E456" s="16"/>
    </row>
    <row r="457" spans="1:5" ht="13" x14ac:dyDescent="0.3">
      <c r="A457" s="16"/>
      <c r="B457" s="16"/>
      <c r="C457" s="17"/>
      <c r="D457" s="16"/>
      <c r="E457" s="16"/>
    </row>
    <row r="458" spans="1:5" ht="13" x14ac:dyDescent="0.3">
      <c r="A458" s="16"/>
      <c r="B458" s="16"/>
      <c r="C458" s="17"/>
      <c r="D458" s="16"/>
      <c r="E458" s="16"/>
    </row>
    <row r="459" spans="1:5" ht="13" x14ac:dyDescent="0.3">
      <c r="A459" s="16"/>
      <c r="B459" s="16"/>
      <c r="C459" s="17"/>
      <c r="D459" s="16"/>
      <c r="E459" s="16"/>
    </row>
    <row r="460" spans="1:5" ht="13" x14ac:dyDescent="0.3">
      <c r="A460" s="16"/>
      <c r="B460" s="16"/>
      <c r="C460" s="17"/>
      <c r="D460" s="16"/>
      <c r="E460" s="16"/>
    </row>
    <row r="461" spans="1:5" ht="13" x14ac:dyDescent="0.3">
      <c r="A461" s="16"/>
      <c r="B461" s="16"/>
      <c r="C461" s="17"/>
      <c r="D461" s="16"/>
      <c r="E461" s="16"/>
    </row>
    <row r="462" spans="1:5" ht="13" x14ac:dyDescent="0.3">
      <c r="A462" s="16"/>
      <c r="B462" s="16"/>
      <c r="C462" s="17"/>
      <c r="D462" s="16"/>
      <c r="E462" s="16"/>
    </row>
    <row r="463" spans="1:5" ht="13" x14ac:dyDescent="0.3">
      <c r="A463" s="16"/>
      <c r="B463" s="16"/>
      <c r="C463" s="17"/>
      <c r="D463" s="16"/>
      <c r="E463" s="16"/>
    </row>
    <row r="464" spans="1:5" ht="13" x14ac:dyDescent="0.3">
      <c r="A464" s="16"/>
      <c r="B464" s="16"/>
      <c r="C464" s="17"/>
      <c r="D464" s="16"/>
      <c r="E464" s="16"/>
    </row>
    <row r="465" spans="1:5" ht="13" x14ac:dyDescent="0.3">
      <c r="A465" s="16"/>
      <c r="B465" s="16"/>
      <c r="C465" s="17"/>
      <c r="D465" s="16"/>
      <c r="E465" s="16"/>
    </row>
    <row r="466" spans="1:5" ht="13" x14ac:dyDescent="0.3">
      <c r="A466" s="16"/>
      <c r="B466" s="16"/>
      <c r="C466" s="17"/>
      <c r="D466" s="16"/>
      <c r="E466" s="16"/>
    </row>
    <row r="467" spans="1:5" ht="13" x14ac:dyDescent="0.3">
      <c r="A467" s="16"/>
      <c r="B467" s="16"/>
      <c r="C467" s="17"/>
      <c r="D467" s="16"/>
      <c r="E467" s="16"/>
    </row>
    <row r="468" spans="1:5" ht="13" x14ac:dyDescent="0.3">
      <c r="A468" s="16"/>
      <c r="B468" s="16"/>
      <c r="C468" s="17"/>
      <c r="D468" s="16"/>
      <c r="E468" s="16"/>
    </row>
    <row r="469" spans="1:5" ht="13" x14ac:dyDescent="0.3">
      <c r="A469" s="16"/>
      <c r="B469" s="16"/>
      <c r="C469" s="17"/>
      <c r="D469" s="16"/>
      <c r="E469" s="16"/>
    </row>
    <row r="470" spans="1:5" ht="13" x14ac:dyDescent="0.3">
      <c r="A470" s="16"/>
      <c r="B470" s="16"/>
      <c r="C470" s="17"/>
      <c r="D470" s="16"/>
      <c r="E470" s="16"/>
    </row>
    <row r="471" spans="1:5" ht="13" x14ac:dyDescent="0.3">
      <c r="A471" s="16"/>
      <c r="B471" s="16"/>
      <c r="C471" s="17"/>
      <c r="D471" s="16"/>
      <c r="E471" s="16"/>
    </row>
    <row r="472" spans="1:5" ht="13" x14ac:dyDescent="0.3">
      <c r="A472" s="16"/>
      <c r="B472" s="16"/>
      <c r="C472" s="17"/>
      <c r="D472" s="16"/>
      <c r="E472" s="16"/>
    </row>
    <row r="473" spans="1:5" ht="13" x14ac:dyDescent="0.3">
      <c r="A473" s="16"/>
      <c r="B473" s="16"/>
      <c r="C473" s="17"/>
      <c r="D473" s="16"/>
      <c r="E473" s="16"/>
    </row>
    <row r="474" spans="1:5" ht="13" x14ac:dyDescent="0.3">
      <c r="A474" s="16"/>
      <c r="B474" s="16"/>
      <c r="C474" s="17"/>
      <c r="D474" s="16"/>
      <c r="E474" s="16"/>
    </row>
    <row r="475" spans="1:5" ht="13" x14ac:dyDescent="0.3">
      <c r="A475" s="16"/>
      <c r="B475" s="16"/>
      <c r="C475" s="17"/>
      <c r="D475" s="16"/>
      <c r="E475" s="16"/>
    </row>
    <row r="476" spans="1:5" ht="13" x14ac:dyDescent="0.3">
      <c r="A476" s="16"/>
      <c r="B476" s="16"/>
      <c r="C476" s="17"/>
      <c r="D476" s="16"/>
      <c r="E476" s="16"/>
    </row>
    <row r="477" spans="1:5" ht="13" x14ac:dyDescent="0.3">
      <c r="A477" s="16"/>
      <c r="B477" s="16"/>
      <c r="C477" s="17"/>
      <c r="D477" s="16"/>
      <c r="E477" s="16"/>
    </row>
    <row r="478" spans="1:5" ht="13" x14ac:dyDescent="0.3">
      <c r="A478" s="16"/>
      <c r="B478" s="16"/>
      <c r="C478" s="17"/>
      <c r="D478" s="16"/>
      <c r="E478" s="16"/>
    </row>
    <row r="479" spans="1:5" ht="13" x14ac:dyDescent="0.3">
      <c r="A479" s="16"/>
      <c r="B479" s="16"/>
      <c r="C479" s="17"/>
      <c r="D479" s="16"/>
      <c r="E479" s="16"/>
    </row>
    <row r="480" spans="1:5" ht="13" x14ac:dyDescent="0.3">
      <c r="A480" s="16"/>
      <c r="B480" s="16"/>
      <c r="C480" s="17"/>
      <c r="D480" s="16"/>
      <c r="E480" s="16"/>
    </row>
    <row r="481" spans="1:5" ht="13" x14ac:dyDescent="0.3">
      <c r="A481" s="16"/>
      <c r="B481" s="16"/>
      <c r="C481" s="17"/>
      <c r="D481" s="16"/>
      <c r="E481" s="16"/>
    </row>
    <row r="482" spans="1:5" ht="13" x14ac:dyDescent="0.3">
      <c r="A482" s="16"/>
      <c r="B482" s="16"/>
      <c r="C482" s="17"/>
      <c r="D482" s="16"/>
      <c r="E482" s="16"/>
    </row>
    <row r="483" spans="1:5" ht="13" x14ac:dyDescent="0.3">
      <c r="A483" s="16"/>
      <c r="B483" s="16"/>
      <c r="C483" s="17"/>
      <c r="D483" s="16"/>
      <c r="E483" s="16"/>
    </row>
    <row r="484" spans="1:5" ht="13" x14ac:dyDescent="0.3">
      <c r="A484" s="16"/>
      <c r="B484" s="16"/>
      <c r="C484" s="17"/>
      <c r="D484" s="16"/>
      <c r="E484" s="16"/>
    </row>
    <row r="485" spans="1:5" ht="13" x14ac:dyDescent="0.3">
      <c r="A485" s="16"/>
      <c r="B485" s="16"/>
      <c r="C485" s="17"/>
      <c r="D485" s="16"/>
      <c r="E485" s="16"/>
    </row>
    <row r="486" spans="1:5" ht="13" x14ac:dyDescent="0.3">
      <c r="A486" s="16"/>
      <c r="B486" s="16"/>
      <c r="C486" s="17"/>
      <c r="D486" s="16"/>
      <c r="E486" s="16"/>
    </row>
    <row r="487" spans="1:5" ht="13" x14ac:dyDescent="0.3">
      <c r="A487" s="16"/>
      <c r="B487" s="16"/>
      <c r="C487" s="17"/>
      <c r="D487" s="16"/>
      <c r="E487" s="16"/>
    </row>
    <row r="488" spans="1:5" ht="13" x14ac:dyDescent="0.3">
      <c r="A488" s="16"/>
      <c r="B488" s="16"/>
      <c r="C488" s="17"/>
      <c r="D488" s="16"/>
      <c r="E488" s="16"/>
    </row>
    <row r="489" spans="1:5" ht="13" x14ac:dyDescent="0.3">
      <c r="A489" s="16"/>
      <c r="B489" s="16"/>
      <c r="C489" s="17"/>
      <c r="D489" s="16"/>
      <c r="E489" s="16"/>
    </row>
    <row r="490" spans="1:5" ht="13" x14ac:dyDescent="0.3">
      <c r="A490" s="16"/>
      <c r="B490" s="16"/>
      <c r="C490" s="17"/>
      <c r="D490" s="16"/>
      <c r="E490" s="16"/>
    </row>
    <row r="491" spans="1:5" ht="13" x14ac:dyDescent="0.3">
      <c r="A491" s="16"/>
      <c r="B491" s="16"/>
      <c r="C491" s="17"/>
      <c r="D491" s="16"/>
      <c r="E491" s="16"/>
    </row>
    <row r="492" spans="1:5" ht="13" x14ac:dyDescent="0.3">
      <c r="A492" s="16"/>
      <c r="B492" s="16"/>
      <c r="C492" s="17"/>
      <c r="D492" s="16"/>
      <c r="E492" s="16"/>
    </row>
    <row r="493" spans="1:5" ht="13" x14ac:dyDescent="0.3">
      <c r="A493" s="16"/>
      <c r="B493" s="16"/>
      <c r="C493" s="17"/>
      <c r="D493" s="16"/>
      <c r="E493" s="16"/>
    </row>
    <row r="494" spans="1:5" ht="13" x14ac:dyDescent="0.3">
      <c r="A494" s="16"/>
      <c r="B494" s="16"/>
      <c r="C494" s="17"/>
      <c r="D494" s="16"/>
      <c r="E494" s="16"/>
    </row>
    <row r="495" spans="1:5" ht="13" x14ac:dyDescent="0.3">
      <c r="A495" s="16"/>
      <c r="B495" s="16"/>
      <c r="C495" s="17"/>
      <c r="D495" s="16"/>
      <c r="E495" s="16"/>
    </row>
    <row r="496" spans="1:5" ht="13" x14ac:dyDescent="0.3">
      <c r="A496" s="16"/>
      <c r="B496" s="16"/>
      <c r="C496" s="17"/>
      <c r="D496" s="16"/>
      <c r="E496" s="16"/>
    </row>
    <row r="497" spans="1:5" ht="13" x14ac:dyDescent="0.3">
      <c r="A497" s="16"/>
      <c r="B497" s="16"/>
      <c r="C497" s="17"/>
      <c r="D497" s="16"/>
      <c r="E497" s="16"/>
    </row>
    <row r="498" spans="1:5" ht="13" x14ac:dyDescent="0.3">
      <c r="A498" s="16"/>
      <c r="B498" s="16"/>
      <c r="C498" s="17"/>
      <c r="D498" s="16"/>
      <c r="E498" s="16"/>
    </row>
    <row r="499" spans="1:5" ht="13" x14ac:dyDescent="0.3">
      <c r="A499" s="16"/>
      <c r="B499" s="16"/>
      <c r="C499" s="17"/>
      <c r="D499" s="16"/>
      <c r="E499" s="16"/>
    </row>
    <row r="500" spans="1:5" ht="13" x14ac:dyDescent="0.3">
      <c r="A500" s="16"/>
      <c r="B500" s="16"/>
      <c r="C500" s="17"/>
      <c r="D500" s="16"/>
      <c r="E500" s="16"/>
    </row>
    <row r="501" spans="1:5" ht="13" x14ac:dyDescent="0.3">
      <c r="A501" s="16"/>
      <c r="B501" s="16"/>
      <c r="C501" s="17"/>
      <c r="D501" s="16"/>
      <c r="E501" s="16"/>
    </row>
    <row r="502" spans="1:5" ht="13" x14ac:dyDescent="0.3">
      <c r="A502" s="16"/>
      <c r="B502" s="16"/>
      <c r="C502" s="17"/>
      <c r="D502" s="16"/>
      <c r="E502" s="16"/>
    </row>
    <row r="503" spans="1:5" ht="13" x14ac:dyDescent="0.3">
      <c r="A503" s="16"/>
      <c r="B503" s="16"/>
      <c r="C503" s="17"/>
      <c r="D503" s="16"/>
      <c r="E503" s="16"/>
    </row>
    <row r="504" spans="1:5" ht="13" x14ac:dyDescent="0.3">
      <c r="A504" s="16"/>
      <c r="B504" s="16"/>
      <c r="C504" s="17"/>
      <c r="D504" s="16"/>
      <c r="E504" s="16"/>
    </row>
    <row r="505" spans="1:5" ht="13" x14ac:dyDescent="0.3">
      <c r="A505" s="16"/>
      <c r="B505" s="16"/>
      <c r="C505" s="17"/>
      <c r="D505" s="16"/>
      <c r="E505" s="16"/>
    </row>
    <row r="506" spans="1:5" ht="13" x14ac:dyDescent="0.3">
      <c r="A506" s="16"/>
      <c r="B506" s="16"/>
      <c r="C506" s="17"/>
      <c r="D506" s="16"/>
      <c r="E506" s="16"/>
    </row>
    <row r="507" spans="1:5" ht="13" x14ac:dyDescent="0.3">
      <c r="A507" s="16"/>
      <c r="B507" s="16"/>
      <c r="C507" s="17"/>
      <c r="D507" s="16"/>
      <c r="E507" s="16"/>
    </row>
    <row r="508" spans="1:5" ht="13" x14ac:dyDescent="0.3">
      <c r="A508" s="16"/>
      <c r="B508" s="16"/>
      <c r="C508" s="17"/>
      <c r="D508" s="16"/>
      <c r="E508" s="16"/>
    </row>
    <row r="509" spans="1:5" ht="13" x14ac:dyDescent="0.3">
      <c r="A509" s="16"/>
      <c r="B509" s="16"/>
      <c r="C509" s="17"/>
      <c r="D509" s="16"/>
      <c r="E509" s="16"/>
    </row>
    <row r="510" spans="1:5" ht="13" x14ac:dyDescent="0.3">
      <c r="A510" s="16"/>
      <c r="B510" s="16"/>
      <c r="C510" s="17"/>
      <c r="D510" s="16"/>
      <c r="E510" s="16"/>
    </row>
    <row r="511" spans="1:5" ht="13" x14ac:dyDescent="0.3">
      <c r="A511" s="16"/>
      <c r="B511" s="16"/>
      <c r="C511" s="17"/>
      <c r="D511" s="16"/>
      <c r="E511" s="16"/>
    </row>
    <row r="512" spans="1:5" ht="13" x14ac:dyDescent="0.3">
      <c r="A512" s="16"/>
      <c r="B512" s="16"/>
      <c r="C512" s="17"/>
      <c r="D512" s="16"/>
      <c r="E512" s="16"/>
    </row>
    <row r="513" spans="1:5" ht="13" x14ac:dyDescent="0.3">
      <c r="A513" s="16"/>
      <c r="B513" s="16"/>
      <c r="C513" s="17"/>
      <c r="D513" s="16"/>
      <c r="E513" s="16"/>
    </row>
    <row r="514" spans="1:5" ht="13" x14ac:dyDescent="0.3">
      <c r="A514" s="16"/>
      <c r="B514" s="16"/>
      <c r="C514" s="17"/>
      <c r="D514" s="16"/>
      <c r="E514" s="16"/>
    </row>
    <row r="515" spans="1:5" ht="13" x14ac:dyDescent="0.3">
      <c r="A515" s="16"/>
      <c r="B515" s="16"/>
      <c r="C515" s="17"/>
      <c r="D515" s="16"/>
      <c r="E515" s="16"/>
    </row>
    <row r="516" spans="1:5" ht="13" x14ac:dyDescent="0.3">
      <c r="A516" s="16"/>
      <c r="B516" s="16"/>
      <c r="C516" s="17"/>
      <c r="D516" s="16"/>
      <c r="E516" s="16"/>
    </row>
    <row r="517" spans="1:5" ht="13" x14ac:dyDescent="0.3">
      <c r="A517" s="16"/>
      <c r="B517" s="16"/>
      <c r="C517" s="17"/>
      <c r="D517" s="16"/>
      <c r="E517" s="16"/>
    </row>
    <row r="518" spans="1:5" ht="13" x14ac:dyDescent="0.3">
      <c r="A518" s="16"/>
      <c r="B518" s="16"/>
      <c r="C518" s="17"/>
      <c r="D518" s="16"/>
      <c r="E518" s="16"/>
    </row>
    <row r="519" spans="1:5" ht="13" x14ac:dyDescent="0.3">
      <c r="A519" s="16"/>
      <c r="B519" s="16"/>
      <c r="C519" s="17"/>
      <c r="D519" s="16"/>
      <c r="E519" s="16"/>
    </row>
    <row r="520" spans="1:5" ht="13" x14ac:dyDescent="0.3">
      <c r="A520" s="16"/>
      <c r="B520" s="16"/>
      <c r="C520" s="17"/>
      <c r="D520" s="16"/>
      <c r="E520" s="16"/>
    </row>
    <row r="521" spans="1:5" ht="13" x14ac:dyDescent="0.3">
      <c r="A521" s="16"/>
      <c r="B521" s="16"/>
      <c r="C521" s="17"/>
      <c r="D521" s="16"/>
      <c r="E521" s="16"/>
    </row>
    <row r="522" spans="1:5" ht="13" x14ac:dyDescent="0.3">
      <c r="A522" s="16"/>
      <c r="B522" s="16"/>
      <c r="C522" s="17"/>
      <c r="D522" s="16"/>
      <c r="E522" s="16"/>
    </row>
    <row r="523" spans="1:5" ht="13" x14ac:dyDescent="0.3">
      <c r="A523" s="16"/>
      <c r="B523" s="16"/>
      <c r="C523" s="17"/>
      <c r="D523" s="16"/>
      <c r="E523" s="16"/>
    </row>
    <row r="524" spans="1:5" ht="13" x14ac:dyDescent="0.3">
      <c r="A524" s="16"/>
      <c r="B524" s="16"/>
      <c r="C524" s="17"/>
      <c r="D524" s="16"/>
      <c r="E524" s="16"/>
    </row>
    <row r="525" spans="1:5" ht="13" x14ac:dyDescent="0.3">
      <c r="A525" s="16"/>
      <c r="B525" s="16"/>
      <c r="C525" s="17"/>
      <c r="D525" s="16"/>
      <c r="E525" s="16"/>
    </row>
    <row r="526" spans="1:5" ht="13" x14ac:dyDescent="0.3">
      <c r="A526" s="16"/>
      <c r="B526" s="16"/>
      <c r="C526" s="17"/>
      <c r="D526" s="16"/>
      <c r="E526" s="16"/>
    </row>
    <row r="527" spans="1:5" ht="13" x14ac:dyDescent="0.3">
      <c r="A527" s="16"/>
      <c r="B527" s="16"/>
      <c r="C527" s="17"/>
      <c r="D527" s="16"/>
      <c r="E527" s="16"/>
    </row>
    <row r="528" spans="1:5" ht="13" x14ac:dyDescent="0.3">
      <c r="A528" s="16"/>
      <c r="B528" s="16"/>
      <c r="C528" s="17"/>
      <c r="D528" s="16"/>
      <c r="E528" s="16"/>
    </row>
    <row r="529" spans="1:5" ht="13" x14ac:dyDescent="0.3">
      <c r="A529" s="16"/>
      <c r="B529" s="16"/>
      <c r="C529" s="17"/>
      <c r="D529" s="16"/>
      <c r="E529" s="16"/>
    </row>
    <row r="530" spans="1:5" ht="13" x14ac:dyDescent="0.3">
      <c r="A530" s="16"/>
      <c r="B530" s="16"/>
      <c r="C530" s="17"/>
      <c r="D530" s="16"/>
      <c r="E530" s="16"/>
    </row>
    <row r="531" spans="1:5" ht="13" x14ac:dyDescent="0.3">
      <c r="A531" s="16"/>
      <c r="B531" s="16"/>
      <c r="C531" s="17"/>
      <c r="D531" s="16"/>
      <c r="E531" s="16"/>
    </row>
    <row r="532" spans="1:5" ht="13" x14ac:dyDescent="0.3">
      <c r="A532" s="16"/>
      <c r="B532" s="16"/>
      <c r="C532" s="17"/>
      <c r="D532" s="16"/>
      <c r="E532" s="16"/>
    </row>
    <row r="533" spans="1:5" ht="13" x14ac:dyDescent="0.3">
      <c r="A533" s="16"/>
      <c r="B533" s="16"/>
      <c r="C533" s="17"/>
      <c r="D533" s="16"/>
      <c r="E533" s="16"/>
    </row>
    <row r="534" spans="1:5" ht="13" x14ac:dyDescent="0.3">
      <c r="A534" s="16"/>
      <c r="B534" s="16"/>
      <c r="C534" s="17"/>
      <c r="D534" s="16"/>
      <c r="E534" s="16"/>
    </row>
    <row r="535" spans="1:5" ht="13" x14ac:dyDescent="0.3">
      <c r="A535" s="16"/>
      <c r="B535" s="16"/>
      <c r="C535" s="17"/>
      <c r="D535" s="16"/>
      <c r="E535" s="16"/>
    </row>
    <row r="536" spans="1:5" ht="13" x14ac:dyDescent="0.3">
      <c r="A536" s="16"/>
      <c r="B536" s="16"/>
      <c r="C536" s="17"/>
      <c r="D536" s="16"/>
      <c r="E536" s="16"/>
    </row>
    <row r="537" spans="1:5" ht="13" x14ac:dyDescent="0.3">
      <c r="A537" s="16"/>
      <c r="B537" s="16"/>
      <c r="C537" s="17"/>
      <c r="D537" s="16"/>
      <c r="E537" s="16"/>
    </row>
    <row r="538" spans="1:5" ht="13" x14ac:dyDescent="0.3">
      <c r="A538" s="16"/>
      <c r="B538" s="16"/>
      <c r="C538" s="17"/>
      <c r="D538" s="16"/>
      <c r="E538" s="16"/>
    </row>
    <row r="539" spans="1:5" ht="13" x14ac:dyDescent="0.3">
      <c r="A539" s="16"/>
      <c r="B539" s="16"/>
      <c r="C539" s="17"/>
      <c r="D539" s="16"/>
      <c r="E539" s="16"/>
    </row>
    <row r="540" spans="1:5" ht="13" x14ac:dyDescent="0.3">
      <c r="A540" s="16"/>
      <c r="B540" s="16"/>
      <c r="C540" s="17"/>
      <c r="D540" s="16"/>
      <c r="E540" s="16"/>
    </row>
    <row r="541" spans="1:5" ht="13" x14ac:dyDescent="0.3">
      <c r="A541" s="16"/>
      <c r="B541" s="16"/>
      <c r="C541" s="17"/>
      <c r="D541" s="16"/>
      <c r="E541" s="16"/>
    </row>
    <row r="542" spans="1:5" ht="13" x14ac:dyDescent="0.3">
      <c r="A542" s="16"/>
      <c r="B542" s="16"/>
      <c r="C542" s="17"/>
      <c r="D542" s="16"/>
      <c r="E542" s="16"/>
    </row>
    <row r="543" spans="1:5" ht="13" x14ac:dyDescent="0.3">
      <c r="A543" s="16"/>
      <c r="B543" s="16"/>
      <c r="C543" s="17"/>
      <c r="D543" s="16"/>
      <c r="E543" s="16"/>
    </row>
    <row r="544" spans="1:5" ht="13" x14ac:dyDescent="0.3">
      <c r="A544" s="16"/>
      <c r="B544" s="16"/>
      <c r="C544" s="17"/>
      <c r="D544" s="16"/>
      <c r="E544" s="16"/>
    </row>
    <row r="545" spans="1:5" ht="13" x14ac:dyDescent="0.3">
      <c r="A545" s="16"/>
      <c r="B545" s="16"/>
      <c r="C545" s="17"/>
      <c r="D545" s="16"/>
      <c r="E545" s="16"/>
    </row>
    <row r="546" spans="1:5" ht="13" x14ac:dyDescent="0.3">
      <c r="A546" s="16"/>
      <c r="B546" s="16"/>
      <c r="C546" s="17"/>
      <c r="D546" s="16"/>
      <c r="E546" s="16"/>
    </row>
    <row r="547" spans="1:5" ht="13" x14ac:dyDescent="0.3">
      <c r="A547" s="16"/>
      <c r="B547" s="16"/>
      <c r="C547" s="17"/>
      <c r="D547" s="16"/>
      <c r="E547" s="16"/>
    </row>
    <row r="548" spans="1:5" ht="13" x14ac:dyDescent="0.3">
      <c r="A548" s="16"/>
      <c r="B548" s="16"/>
      <c r="C548" s="17"/>
      <c r="D548" s="16"/>
      <c r="E548" s="16"/>
    </row>
    <row r="549" spans="1:5" ht="13" x14ac:dyDescent="0.3">
      <c r="A549" s="16"/>
      <c r="B549" s="16"/>
      <c r="C549" s="17"/>
      <c r="D549" s="16"/>
      <c r="E549" s="16"/>
    </row>
    <row r="550" spans="1:5" ht="13" x14ac:dyDescent="0.3">
      <c r="A550" s="16"/>
      <c r="B550" s="16"/>
      <c r="C550" s="17"/>
      <c r="D550" s="16"/>
      <c r="E550" s="16"/>
    </row>
    <row r="551" spans="1:5" ht="13" x14ac:dyDescent="0.3">
      <c r="A551" s="16"/>
      <c r="B551" s="16"/>
      <c r="C551" s="17"/>
      <c r="D551" s="16"/>
      <c r="E551" s="16"/>
    </row>
    <row r="552" spans="1:5" ht="13" x14ac:dyDescent="0.3">
      <c r="A552" s="16"/>
      <c r="B552" s="16"/>
      <c r="C552" s="17"/>
      <c r="D552" s="16"/>
      <c r="E552" s="16"/>
    </row>
    <row r="553" spans="1:5" ht="13" x14ac:dyDescent="0.3">
      <c r="A553" s="16"/>
      <c r="B553" s="16"/>
      <c r="C553" s="17"/>
      <c r="D553" s="16"/>
      <c r="E553" s="16"/>
    </row>
    <row r="554" spans="1:5" ht="13" x14ac:dyDescent="0.3">
      <c r="A554" s="16"/>
      <c r="B554" s="16"/>
      <c r="C554" s="17"/>
      <c r="D554" s="16"/>
      <c r="E554" s="16"/>
    </row>
    <row r="555" spans="1:5" ht="13" x14ac:dyDescent="0.3">
      <c r="A555" s="16"/>
      <c r="B555" s="16"/>
      <c r="C555" s="17"/>
      <c r="D555" s="16"/>
      <c r="E555" s="16"/>
    </row>
    <row r="556" spans="1:5" ht="13" x14ac:dyDescent="0.3">
      <c r="A556" s="16"/>
      <c r="B556" s="16"/>
      <c r="C556" s="17"/>
      <c r="D556" s="16"/>
      <c r="E556" s="16"/>
    </row>
    <row r="557" spans="1:5" ht="13" x14ac:dyDescent="0.3">
      <c r="A557" s="16"/>
      <c r="B557" s="16"/>
      <c r="C557" s="17"/>
      <c r="D557" s="16"/>
      <c r="E557" s="16"/>
    </row>
    <row r="558" spans="1:5" ht="13" x14ac:dyDescent="0.3">
      <c r="A558" s="16"/>
      <c r="B558" s="16"/>
      <c r="C558" s="17"/>
      <c r="D558" s="16"/>
      <c r="E558" s="16"/>
    </row>
    <row r="559" spans="1:5" ht="13" x14ac:dyDescent="0.3">
      <c r="A559" s="16"/>
      <c r="B559" s="16"/>
      <c r="C559" s="17"/>
      <c r="D559" s="16"/>
      <c r="E559" s="16"/>
    </row>
    <row r="560" spans="1:5" ht="13" x14ac:dyDescent="0.3">
      <c r="A560" s="16"/>
      <c r="B560" s="16"/>
      <c r="C560" s="17"/>
      <c r="D560" s="16"/>
      <c r="E560" s="16"/>
    </row>
    <row r="561" spans="1:5" ht="13" x14ac:dyDescent="0.3">
      <c r="A561" s="16"/>
      <c r="B561" s="16"/>
      <c r="C561" s="17"/>
      <c r="D561" s="16"/>
      <c r="E561" s="16"/>
    </row>
    <row r="562" spans="1:5" ht="13" x14ac:dyDescent="0.3">
      <c r="A562" s="16"/>
      <c r="B562" s="16"/>
      <c r="C562" s="17"/>
      <c r="D562" s="16"/>
      <c r="E562" s="16"/>
    </row>
    <row r="563" spans="1:5" ht="13" x14ac:dyDescent="0.3">
      <c r="A563" s="16"/>
      <c r="B563" s="16"/>
      <c r="C563" s="17"/>
      <c r="D563" s="16"/>
      <c r="E563" s="16"/>
    </row>
    <row r="564" spans="1:5" ht="13" x14ac:dyDescent="0.3">
      <c r="A564" s="16"/>
      <c r="B564" s="16"/>
      <c r="C564" s="17"/>
      <c r="D564" s="16"/>
      <c r="E564" s="16"/>
    </row>
    <row r="565" spans="1:5" ht="13" x14ac:dyDescent="0.3">
      <c r="A565" s="16"/>
      <c r="B565" s="16"/>
      <c r="C565" s="17"/>
      <c r="D565" s="16"/>
      <c r="E565" s="16"/>
    </row>
    <row r="566" spans="1:5" ht="13" x14ac:dyDescent="0.3">
      <c r="A566" s="16"/>
      <c r="B566" s="16"/>
      <c r="C566" s="17"/>
      <c r="D566" s="16"/>
      <c r="E566" s="16"/>
    </row>
    <row r="567" spans="1:5" ht="13" x14ac:dyDescent="0.3">
      <c r="A567" s="16"/>
      <c r="B567" s="16"/>
      <c r="C567" s="17"/>
      <c r="D567" s="16"/>
      <c r="E567" s="16"/>
    </row>
    <row r="568" spans="1:5" ht="13" x14ac:dyDescent="0.3">
      <c r="A568" s="16"/>
      <c r="B568" s="16"/>
      <c r="C568" s="17"/>
      <c r="D568" s="16"/>
      <c r="E568" s="16"/>
    </row>
    <row r="569" spans="1:5" ht="13" x14ac:dyDescent="0.3">
      <c r="A569" s="16"/>
      <c r="B569" s="16"/>
      <c r="C569" s="17"/>
      <c r="D569" s="16"/>
      <c r="E569" s="16"/>
    </row>
    <row r="570" spans="1:5" ht="13" x14ac:dyDescent="0.3">
      <c r="A570" s="16"/>
      <c r="B570" s="16"/>
      <c r="C570" s="17"/>
      <c r="D570" s="16"/>
      <c r="E570" s="16"/>
    </row>
    <row r="571" spans="1:5" ht="13" x14ac:dyDescent="0.3">
      <c r="A571" s="16"/>
      <c r="B571" s="16"/>
      <c r="C571" s="17"/>
      <c r="D571" s="16"/>
      <c r="E571" s="16"/>
    </row>
    <row r="572" spans="1:5" ht="13" x14ac:dyDescent="0.3">
      <c r="A572" s="16"/>
      <c r="B572" s="16"/>
      <c r="C572" s="17"/>
      <c r="D572" s="16"/>
      <c r="E572" s="16"/>
    </row>
    <row r="573" spans="1:5" ht="13" x14ac:dyDescent="0.3">
      <c r="A573" s="16"/>
      <c r="B573" s="16"/>
      <c r="C573" s="17"/>
      <c r="D573" s="16"/>
      <c r="E573" s="16"/>
    </row>
    <row r="574" spans="1:5" ht="13" x14ac:dyDescent="0.3">
      <c r="A574" s="16"/>
      <c r="B574" s="16"/>
      <c r="C574" s="17"/>
      <c r="D574" s="16"/>
      <c r="E574" s="16"/>
    </row>
    <row r="575" spans="1:5" ht="13" x14ac:dyDescent="0.3">
      <c r="A575" s="16"/>
      <c r="B575" s="16"/>
      <c r="C575" s="17"/>
      <c r="D575" s="16"/>
      <c r="E575" s="16"/>
    </row>
    <row r="576" spans="1:5" ht="13" x14ac:dyDescent="0.3">
      <c r="A576" s="16"/>
      <c r="B576" s="16"/>
      <c r="C576" s="17"/>
      <c r="D576" s="16"/>
      <c r="E576" s="16"/>
    </row>
    <row r="577" spans="1:5" ht="13" x14ac:dyDescent="0.3">
      <c r="A577" s="16"/>
      <c r="B577" s="16"/>
      <c r="C577" s="17"/>
      <c r="D577" s="16"/>
      <c r="E577" s="16"/>
    </row>
    <row r="578" spans="1:5" ht="13" x14ac:dyDescent="0.3">
      <c r="A578" s="16"/>
      <c r="B578" s="16"/>
      <c r="C578" s="17"/>
      <c r="D578" s="16"/>
      <c r="E578" s="16"/>
    </row>
    <row r="579" spans="1:5" ht="13" x14ac:dyDescent="0.3">
      <c r="A579" s="16"/>
      <c r="B579" s="16"/>
      <c r="C579" s="17"/>
      <c r="D579" s="16"/>
      <c r="E579" s="16"/>
    </row>
    <row r="580" spans="1:5" ht="13" x14ac:dyDescent="0.3">
      <c r="A580" s="16"/>
      <c r="B580" s="16"/>
      <c r="C580" s="17"/>
      <c r="D580" s="16"/>
      <c r="E580" s="16"/>
    </row>
    <row r="581" spans="1:5" ht="13" x14ac:dyDescent="0.3">
      <c r="A581" s="16"/>
      <c r="B581" s="16"/>
      <c r="C581" s="17"/>
      <c r="D581" s="16"/>
      <c r="E581" s="16"/>
    </row>
    <row r="582" spans="1:5" ht="13" x14ac:dyDescent="0.3">
      <c r="A582" s="16"/>
      <c r="B582" s="16"/>
      <c r="C582" s="17"/>
      <c r="D582" s="16"/>
      <c r="E582" s="16"/>
    </row>
    <row r="583" spans="1:5" ht="13" x14ac:dyDescent="0.3">
      <c r="A583" s="16"/>
      <c r="B583" s="16"/>
      <c r="C583" s="17"/>
      <c r="D583" s="16"/>
      <c r="E583" s="16"/>
    </row>
    <row r="584" spans="1:5" ht="13" x14ac:dyDescent="0.3">
      <c r="A584" s="16"/>
      <c r="B584" s="16"/>
      <c r="C584" s="17"/>
      <c r="D584" s="16"/>
      <c r="E584" s="16"/>
    </row>
    <row r="585" spans="1:5" ht="13" x14ac:dyDescent="0.3">
      <c r="A585" s="16"/>
      <c r="B585" s="16"/>
      <c r="C585" s="17"/>
      <c r="D585" s="16"/>
      <c r="E585" s="16"/>
    </row>
    <row r="586" spans="1:5" ht="13" x14ac:dyDescent="0.3">
      <c r="A586" s="16"/>
      <c r="B586" s="16"/>
      <c r="C586" s="17"/>
      <c r="D586" s="16"/>
      <c r="E586" s="16"/>
    </row>
    <row r="587" spans="1:5" ht="13" x14ac:dyDescent="0.3">
      <c r="A587" s="16"/>
      <c r="B587" s="16"/>
      <c r="C587" s="17"/>
      <c r="D587" s="16"/>
      <c r="E587" s="16"/>
    </row>
    <row r="588" spans="1:5" ht="13" x14ac:dyDescent="0.3">
      <c r="A588" s="16"/>
      <c r="B588" s="16"/>
      <c r="C588" s="17"/>
      <c r="D588" s="16"/>
      <c r="E588" s="16"/>
    </row>
    <row r="589" spans="1:5" ht="13" x14ac:dyDescent="0.3">
      <c r="A589" s="16"/>
      <c r="B589" s="16"/>
      <c r="C589" s="17"/>
      <c r="D589" s="16"/>
      <c r="E589" s="16"/>
    </row>
    <row r="590" spans="1:5" ht="13" x14ac:dyDescent="0.3">
      <c r="A590" s="16"/>
      <c r="B590" s="16"/>
      <c r="C590" s="17"/>
      <c r="D590" s="16"/>
      <c r="E590" s="16"/>
    </row>
    <row r="591" spans="1:5" ht="13" x14ac:dyDescent="0.3">
      <c r="A591" s="16"/>
      <c r="B591" s="16"/>
      <c r="C591" s="17"/>
      <c r="D591" s="16"/>
      <c r="E591" s="16"/>
    </row>
    <row r="592" spans="1:5" ht="13" x14ac:dyDescent="0.3">
      <c r="A592" s="16"/>
      <c r="B592" s="16"/>
      <c r="C592" s="17"/>
      <c r="D592" s="16"/>
      <c r="E592" s="16"/>
    </row>
    <row r="593" spans="1:5" ht="13" x14ac:dyDescent="0.3">
      <c r="A593" s="16"/>
      <c r="B593" s="16"/>
      <c r="C593" s="17"/>
      <c r="D593" s="16"/>
      <c r="E593" s="16"/>
    </row>
    <row r="594" spans="1:5" ht="13" x14ac:dyDescent="0.3">
      <c r="A594" s="16"/>
      <c r="B594" s="16"/>
      <c r="C594" s="17"/>
      <c r="D594" s="16"/>
      <c r="E594" s="16"/>
    </row>
    <row r="595" spans="1:5" ht="13" x14ac:dyDescent="0.3">
      <c r="A595" s="16"/>
      <c r="B595" s="16"/>
      <c r="C595" s="17"/>
      <c r="D595" s="16"/>
      <c r="E595" s="16"/>
    </row>
    <row r="596" spans="1:5" ht="13" x14ac:dyDescent="0.3">
      <c r="A596" s="16"/>
      <c r="B596" s="16"/>
      <c r="C596" s="17"/>
      <c r="D596" s="16"/>
      <c r="E596" s="16"/>
    </row>
    <row r="597" spans="1:5" ht="13" x14ac:dyDescent="0.3">
      <c r="A597" s="16"/>
      <c r="B597" s="16"/>
      <c r="C597" s="17"/>
      <c r="D597" s="16"/>
      <c r="E597" s="16"/>
    </row>
    <row r="598" spans="1:5" ht="13" x14ac:dyDescent="0.3">
      <c r="A598" s="16"/>
      <c r="B598" s="16"/>
      <c r="C598" s="17"/>
      <c r="D598" s="16"/>
      <c r="E598" s="16"/>
    </row>
    <row r="599" spans="1:5" ht="13" x14ac:dyDescent="0.3">
      <c r="A599" s="16"/>
      <c r="B599" s="16"/>
      <c r="C599" s="17"/>
      <c r="D599" s="16"/>
      <c r="E599" s="16"/>
    </row>
    <row r="600" spans="1:5" ht="13" x14ac:dyDescent="0.3">
      <c r="A600" s="16"/>
      <c r="B600" s="16"/>
      <c r="C600" s="17"/>
      <c r="D600" s="16"/>
      <c r="E600" s="16"/>
    </row>
    <row r="601" spans="1:5" ht="13" x14ac:dyDescent="0.3">
      <c r="A601" s="16"/>
      <c r="B601" s="16"/>
      <c r="C601" s="17"/>
      <c r="D601" s="16"/>
      <c r="E601" s="16"/>
    </row>
    <row r="602" spans="1:5" ht="13" x14ac:dyDescent="0.3">
      <c r="A602" s="16"/>
      <c r="B602" s="16"/>
      <c r="C602" s="17"/>
      <c r="D602" s="16"/>
      <c r="E602" s="16"/>
    </row>
    <row r="603" spans="1:5" ht="13" x14ac:dyDescent="0.3">
      <c r="A603" s="16"/>
      <c r="B603" s="16"/>
      <c r="C603" s="17"/>
      <c r="D603" s="16"/>
      <c r="E603" s="16"/>
    </row>
    <row r="604" spans="1:5" ht="13" x14ac:dyDescent="0.3">
      <c r="A604" s="16"/>
      <c r="B604" s="16"/>
      <c r="C604" s="17"/>
      <c r="D604" s="16"/>
      <c r="E604" s="16"/>
    </row>
    <row r="605" spans="1:5" ht="13" x14ac:dyDescent="0.3">
      <c r="A605" s="16"/>
      <c r="B605" s="16"/>
      <c r="C605" s="17"/>
      <c r="D605" s="16"/>
      <c r="E605" s="16"/>
    </row>
    <row r="606" spans="1:5" ht="13" x14ac:dyDescent="0.3">
      <c r="A606" s="16"/>
      <c r="B606" s="16"/>
      <c r="C606" s="17"/>
      <c r="D606" s="16"/>
      <c r="E606" s="16"/>
    </row>
    <row r="607" spans="1:5" ht="13" x14ac:dyDescent="0.3">
      <c r="A607" s="16"/>
      <c r="B607" s="16"/>
      <c r="C607" s="17"/>
      <c r="D607" s="16"/>
      <c r="E607" s="16"/>
    </row>
    <row r="608" spans="1:5" ht="13" x14ac:dyDescent="0.3">
      <c r="A608" s="16"/>
      <c r="B608" s="16"/>
      <c r="C608" s="17"/>
      <c r="D608" s="16"/>
      <c r="E608" s="16"/>
    </row>
    <row r="609" spans="1:5" ht="13" x14ac:dyDescent="0.3">
      <c r="A609" s="16"/>
      <c r="B609" s="16"/>
      <c r="C609" s="17"/>
      <c r="D609" s="16"/>
      <c r="E609" s="16"/>
    </row>
    <row r="610" spans="1:5" ht="13" x14ac:dyDescent="0.3">
      <c r="A610" s="16"/>
      <c r="B610" s="16"/>
      <c r="C610" s="17"/>
      <c r="D610" s="16"/>
      <c r="E610" s="16"/>
    </row>
    <row r="611" spans="1:5" ht="13" x14ac:dyDescent="0.3">
      <c r="A611" s="16"/>
      <c r="B611" s="16"/>
      <c r="C611" s="17"/>
      <c r="D611" s="16"/>
      <c r="E611" s="16"/>
    </row>
    <row r="612" spans="1:5" ht="13" x14ac:dyDescent="0.3">
      <c r="A612" s="16"/>
      <c r="B612" s="16"/>
      <c r="C612" s="17"/>
      <c r="D612" s="16"/>
      <c r="E612" s="16"/>
    </row>
    <row r="613" spans="1:5" ht="13" x14ac:dyDescent="0.3">
      <c r="A613" s="16"/>
      <c r="B613" s="16"/>
      <c r="C613" s="17"/>
      <c r="D613" s="16"/>
      <c r="E613" s="16"/>
    </row>
    <row r="614" spans="1:5" ht="13" x14ac:dyDescent="0.3">
      <c r="A614" s="16"/>
      <c r="B614" s="16"/>
      <c r="C614" s="17"/>
      <c r="D614" s="16"/>
      <c r="E614" s="16"/>
    </row>
    <row r="615" spans="1:5" ht="13" x14ac:dyDescent="0.3">
      <c r="A615" s="16"/>
      <c r="B615" s="16"/>
      <c r="C615" s="17"/>
      <c r="D615" s="16"/>
      <c r="E615" s="16"/>
    </row>
    <row r="616" spans="1:5" ht="13" x14ac:dyDescent="0.3">
      <c r="A616" s="16"/>
      <c r="B616" s="16"/>
      <c r="C616" s="17"/>
      <c r="D616" s="16"/>
      <c r="E616" s="16"/>
    </row>
    <row r="617" spans="1:5" ht="13" x14ac:dyDescent="0.3">
      <c r="A617" s="16"/>
      <c r="B617" s="16"/>
      <c r="C617" s="17"/>
      <c r="D617" s="16"/>
      <c r="E617" s="16"/>
    </row>
    <row r="618" spans="1:5" ht="13" x14ac:dyDescent="0.3">
      <c r="A618" s="16"/>
      <c r="B618" s="16"/>
      <c r="C618" s="17"/>
      <c r="D618" s="16"/>
      <c r="E618" s="16"/>
    </row>
    <row r="619" spans="1:5" ht="13" x14ac:dyDescent="0.3">
      <c r="A619" s="16"/>
      <c r="B619" s="16"/>
      <c r="C619" s="17"/>
      <c r="D619" s="16"/>
      <c r="E619" s="16"/>
    </row>
    <row r="620" spans="1:5" ht="13" x14ac:dyDescent="0.3">
      <c r="A620" s="16"/>
      <c r="B620" s="16"/>
      <c r="C620" s="17"/>
      <c r="D620" s="16"/>
      <c r="E620" s="16"/>
    </row>
    <row r="621" spans="1:5" ht="13" x14ac:dyDescent="0.3">
      <c r="A621" s="16"/>
      <c r="B621" s="16"/>
      <c r="C621" s="17"/>
      <c r="D621" s="16"/>
      <c r="E621" s="16"/>
    </row>
    <row r="622" spans="1:5" ht="13" x14ac:dyDescent="0.3">
      <c r="A622" s="16"/>
      <c r="B622" s="16"/>
      <c r="C622" s="17"/>
      <c r="D622" s="16"/>
      <c r="E622" s="16"/>
    </row>
    <row r="623" spans="1:5" ht="13" x14ac:dyDescent="0.3">
      <c r="A623" s="16"/>
      <c r="B623" s="16"/>
      <c r="C623" s="17"/>
      <c r="D623" s="16"/>
      <c r="E623" s="16"/>
    </row>
    <row r="624" spans="1:5" ht="13" x14ac:dyDescent="0.3">
      <c r="A624" s="16"/>
      <c r="B624" s="16"/>
      <c r="C624" s="17"/>
      <c r="D624" s="16"/>
      <c r="E624" s="16"/>
    </row>
    <row r="625" spans="1:5" ht="13" x14ac:dyDescent="0.3">
      <c r="A625" s="16"/>
      <c r="B625" s="16"/>
      <c r="C625" s="17"/>
      <c r="D625" s="16"/>
      <c r="E625" s="16"/>
    </row>
    <row r="626" spans="1:5" ht="13" x14ac:dyDescent="0.3">
      <c r="A626" s="16"/>
      <c r="B626" s="16"/>
      <c r="C626" s="17"/>
      <c r="D626" s="16"/>
      <c r="E626" s="16"/>
    </row>
    <row r="627" spans="1:5" ht="13" x14ac:dyDescent="0.3">
      <c r="A627" s="16"/>
      <c r="B627" s="16"/>
      <c r="C627" s="17"/>
      <c r="D627" s="16"/>
      <c r="E627" s="16"/>
    </row>
    <row r="628" spans="1:5" ht="13" x14ac:dyDescent="0.3">
      <c r="A628" s="16"/>
      <c r="B628" s="16"/>
      <c r="C628" s="17"/>
      <c r="D628" s="16"/>
      <c r="E628" s="16"/>
    </row>
    <row r="629" spans="1:5" ht="13" x14ac:dyDescent="0.3">
      <c r="A629" s="16"/>
      <c r="B629" s="16"/>
      <c r="C629" s="17"/>
      <c r="D629" s="16"/>
      <c r="E629" s="16"/>
    </row>
    <row r="630" spans="1:5" ht="13" x14ac:dyDescent="0.3">
      <c r="A630" s="16"/>
      <c r="B630" s="16"/>
      <c r="C630" s="17"/>
      <c r="D630" s="16"/>
      <c r="E630" s="16"/>
    </row>
    <row r="631" spans="1:5" ht="13" x14ac:dyDescent="0.3">
      <c r="A631" s="16"/>
      <c r="B631" s="16"/>
      <c r="C631" s="17"/>
      <c r="D631" s="16"/>
      <c r="E631" s="16"/>
    </row>
    <row r="632" spans="1:5" ht="13" x14ac:dyDescent="0.3">
      <c r="A632" s="16"/>
      <c r="B632" s="16"/>
      <c r="C632" s="17"/>
      <c r="D632" s="16"/>
      <c r="E632" s="16"/>
    </row>
    <row r="633" spans="1:5" ht="13" x14ac:dyDescent="0.3">
      <c r="A633" s="16"/>
      <c r="B633" s="16"/>
      <c r="C633" s="17"/>
      <c r="D633" s="16"/>
      <c r="E633" s="16"/>
    </row>
    <row r="634" spans="1:5" ht="13" x14ac:dyDescent="0.3">
      <c r="A634" s="16"/>
      <c r="B634" s="16"/>
      <c r="C634" s="17"/>
      <c r="D634" s="16"/>
      <c r="E634" s="16"/>
    </row>
    <row r="635" spans="1:5" ht="13" x14ac:dyDescent="0.3">
      <c r="A635" s="16"/>
      <c r="B635" s="16"/>
      <c r="C635" s="17"/>
      <c r="D635" s="16"/>
      <c r="E635" s="16"/>
    </row>
    <row r="636" spans="1:5" ht="13" x14ac:dyDescent="0.3">
      <c r="A636" s="16"/>
      <c r="B636" s="16"/>
      <c r="C636" s="17"/>
      <c r="D636" s="16"/>
      <c r="E636" s="16"/>
    </row>
    <row r="637" spans="1:5" ht="13" x14ac:dyDescent="0.3">
      <c r="A637" s="16"/>
      <c r="B637" s="16"/>
      <c r="C637" s="17"/>
      <c r="D637" s="16"/>
      <c r="E637" s="16"/>
    </row>
    <row r="638" spans="1:5" ht="13" x14ac:dyDescent="0.3">
      <c r="A638" s="16"/>
      <c r="B638" s="16"/>
      <c r="C638" s="17"/>
      <c r="D638" s="16"/>
      <c r="E638" s="16"/>
    </row>
    <row r="639" spans="1:5" ht="13" x14ac:dyDescent="0.3">
      <c r="A639" s="16"/>
      <c r="B639" s="16"/>
      <c r="C639" s="17"/>
      <c r="D639" s="16"/>
      <c r="E639" s="16"/>
    </row>
    <row r="640" spans="1:5" ht="13" x14ac:dyDescent="0.3">
      <c r="A640" s="16"/>
      <c r="B640" s="16"/>
      <c r="C640" s="17"/>
      <c r="D640" s="16"/>
      <c r="E640" s="16"/>
    </row>
    <row r="641" spans="1:5" ht="13" x14ac:dyDescent="0.3">
      <c r="A641" s="16"/>
      <c r="B641" s="16"/>
      <c r="C641" s="17"/>
      <c r="D641" s="16"/>
      <c r="E641" s="16"/>
    </row>
    <row r="642" spans="1:5" ht="13" x14ac:dyDescent="0.3">
      <c r="A642" s="16"/>
      <c r="B642" s="16"/>
      <c r="C642" s="17"/>
      <c r="D642" s="16"/>
      <c r="E642" s="16"/>
    </row>
    <row r="643" spans="1:5" ht="13" x14ac:dyDescent="0.3">
      <c r="A643" s="16"/>
      <c r="B643" s="16"/>
      <c r="C643" s="17"/>
      <c r="D643" s="16"/>
      <c r="E643" s="16"/>
    </row>
    <row r="644" spans="1:5" ht="13" x14ac:dyDescent="0.3">
      <c r="A644" s="16"/>
      <c r="B644" s="16"/>
      <c r="C644" s="17"/>
      <c r="D644" s="16"/>
      <c r="E644" s="16"/>
    </row>
    <row r="645" spans="1:5" ht="13" x14ac:dyDescent="0.3">
      <c r="A645" s="16"/>
      <c r="B645" s="16"/>
      <c r="C645" s="17"/>
      <c r="D645" s="16"/>
      <c r="E645" s="16"/>
    </row>
    <row r="646" spans="1:5" ht="13" x14ac:dyDescent="0.3">
      <c r="A646" s="16"/>
      <c r="B646" s="16"/>
      <c r="C646" s="17"/>
      <c r="D646" s="16"/>
      <c r="E646" s="16"/>
    </row>
    <row r="647" spans="1:5" ht="13" x14ac:dyDescent="0.3">
      <c r="A647" s="16"/>
      <c r="B647" s="16"/>
      <c r="C647" s="17"/>
      <c r="D647" s="16"/>
      <c r="E647" s="16"/>
    </row>
    <row r="648" spans="1:5" ht="13" x14ac:dyDescent="0.3">
      <c r="A648" s="16"/>
      <c r="B648" s="16"/>
      <c r="C648" s="17"/>
      <c r="D648" s="16"/>
      <c r="E648" s="16"/>
    </row>
    <row r="649" spans="1:5" ht="13" x14ac:dyDescent="0.3">
      <c r="A649" s="16"/>
      <c r="B649" s="16"/>
      <c r="C649" s="17"/>
      <c r="D649" s="16"/>
      <c r="E649" s="16"/>
    </row>
    <row r="650" spans="1:5" ht="13" x14ac:dyDescent="0.3">
      <c r="A650" s="16"/>
      <c r="B650" s="16"/>
      <c r="C650" s="17"/>
      <c r="D650" s="16"/>
      <c r="E650" s="16"/>
    </row>
    <row r="651" spans="1:5" ht="13" x14ac:dyDescent="0.3">
      <c r="A651" s="16"/>
      <c r="B651" s="16"/>
      <c r="C651" s="17"/>
      <c r="D651" s="16"/>
      <c r="E651" s="16"/>
    </row>
    <row r="652" spans="1:5" ht="13" x14ac:dyDescent="0.3">
      <c r="A652" s="16"/>
      <c r="B652" s="16"/>
      <c r="C652" s="17"/>
      <c r="D652" s="16"/>
      <c r="E652" s="16"/>
    </row>
    <row r="653" spans="1:5" ht="13" x14ac:dyDescent="0.3">
      <c r="A653" s="16"/>
      <c r="B653" s="16"/>
      <c r="C653" s="17"/>
      <c r="D653" s="16"/>
      <c r="E653" s="16"/>
    </row>
    <row r="654" spans="1:5" ht="13" x14ac:dyDescent="0.3">
      <c r="A654" s="16"/>
      <c r="B654" s="16"/>
      <c r="C654" s="17"/>
      <c r="D654" s="16"/>
      <c r="E654" s="16"/>
    </row>
    <row r="655" spans="1:5" ht="13" x14ac:dyDescent="0.3">
      <c r="A655" s="16"/>
      <c r="B655" s="16"/>
      <c r="C655" s="17"/>
      <c r="D655" s="16"/>
      <c r="E655" s="16"/>
    </row>
    <row r="656" spans="1:5" ht="13" x14ac:dyDescent="0.3">
      <c r="A656" s="16"/>
      <c r="B656" s="16"/>
      <c r="C656" s="17"/>
      <c r="D656" s="16"/>
      <c r="E656" s="16"/>
    </row>
    <row r="657" spans="1:5" ht="13" x14ac:dyDescent="0.3">
      <c r="A657" s="16"/>
      <c r="B657" s="16"/>
      <c r="C657" s="17"/>
      <c r="D657" s="16"/>
      <c r="E657" s="16"/>
    </row>
    <row r="658" spans="1:5" ht="13" x14ac:dyDescent="0.3">
      <c r="A658" s="16"/>
      <c r="B658" s="16"/>
      <c r="C658" s="17"/>
      <c r="D658" s="16"/>
      <c r="E658" s="16"/>
    </row>
    <row r="659" spans="1:5" ht="13" x14ac:dyDescent="0.3">
      <c r="A659" s="16"/>
      <c r="B659" s="16"/>
      <c r="C659" s="17"/>
      <c r="D659" s="16"/>
      <c r="E659" s="16"/>
    </row>
    <row r="660" spans="1:5" ht="13" x14ac:dyDescent="0.3">
      <c r="A660" s="16"/>
      <c r="B660" s="16"/>
      <c r="C660" s="17"/>
      <c r="D660" s="16"/>
      <c r="E660" s="16"/>
    </row>
    <row r="661" spans="1:5" ht="13" x14ac:dyDescent="0.3">
      <c r="A661" s="16"/>
      <c r="B661" s="16"/>
      <c r="C661" s="17"/>
      <c r="D661" s="16"/>
      <c r="E661" s="16"/>
    </row>
    <row r="662" spans="1:5" ht="13" x14ac:dyDescent="0.3">
      <c r="A662" s="16"/>
      <c r="B662" s="16"/>
      <c r="C662" s="17"/>
      <c r="D662" s="16"/>
      <c r="E662" s="16"/>
    </row>
    <row r="663" spans="1:5" ht="13" x14ac:dyDescent="0.3">
      <c r="A663" s="16"/>
      <c r="B663" s="16"/>
      <c r="C663" s="17"/>
      <c r="D663" s="16"/>
      <c r="E663" s="16"/>
    </row>
    <row r="664" spans="1:5" ht="13" x14ac:dyDescent="0.3">
      <c r="A664" s="16"/>
      <c r="B664" s="16"/>
      <c r="C664" s="17"/>
      <c r="D664" s="16"/>
      <c r="E664" s="16"/>
    </row>
    <row r="665" spans="1:5" ht="13" x14ac:dyDescent="0.3">
      <c r="A665" s="16"/>
      <c r="B665" s="16"/>
      <c r="C665" s="17"/>
      <c r="D665" s="16"/>
      <c r="E665" s="16"/>
    </row>
    <row r="666" spans="1:5" ht="13" x14ac:dyDescent="0.3">
      <c r="A666" s="16"/>
      <c r="B666" s="16"/>
      <c r="C666" s="17"/>
      <c r="D666" s="16"/>
      <c r="E666" s="16"/>
    </row>
    <row r="667" spans="1:5" ht="13" x14ac:dyDescent="0.3">
      <c r="A667" s="16"/>
      <c r="B667" s="16"/>
      <c r="C667" s="17"/>
      <c r="D667" s="16"/>
      <c r="E667" s="16"/>
    </row>
    <row r="668" spans="1:5" ht="13" x14ac:dyDescent="0.3">
      <c r="A668" s="16"/>
      <c r="B668" s="16"/>
      <c r="C668" s="17"/>
      <c r="D668" s="16"/>
      <c r="E668" s="16"/>
    </row>
    <row r="669" spans="1:5" ht="13" x14ac:dyDescent="0.3">
      <c r="A669" s="16"/>
      <c r="B669" s="16"/>
      <c r="C669" s="17"/>
      <c r="D669" s="16"/>
      <c r="E669" s="16"/>
    </row>
    <row r="670" spans="1:5" ht="13" x14ac:dyDescent="0.3">
      <c r="A670" s="16"/>
      <c r="B670" s="16"/>
      <c r="C670" s="17"/>
      <c r="D670" s="16"/>
      <c r="E670" s="16"/>
    </row>
    <row r="671" spans="1:5" ht="13" x14ac:dyDescent="0.3">
      <c r="A671" s="16"/>
      <c r="B671" s="16"/>
      <c r="C671" s="17"/>
      <c r="D671" s="16"/>
      <c r="E671" s="16"/>
    </row>
    <row r="672" spans="1:5" ht="13" x14ac:dyDescent="0.3">
      <c r="A672" s="16"/>
      <c r="B672" s="16"/>
      <c r="C672" s="17"/>
      <c r="D672" s="16"/>
      <c r="E672" s="16"/>
    </row>
    <row r="673" spans="1:5" ht="13" x14ac:dyDescent="0.3">
      <c r="A673" s="16"/>
      <c r="B673" s="16"/>
      <c r="C673" s="17"/>
      <c r="D673" s="16"/>
      <c r="E673" s="16"/>
    </row>
    <row r="674" spans="1:5" ht="13" x14ac:dyDescent="0.3">
      <c r="A674" s="16"/>
      <c r="B674" s="16"/>
      <c r="C674" s="17"/>
      <c r="D674" s="16"/>
      <c r="E674" s="16"/>
    </row>
    <row r="675" spans="1:5" ht="13" x14ac:dyDescent="0.3">
      <c r="A675" s="16"/>
      <c r="B675" s="16"/>
      <c r="C675" s="17"/>
      <c r="D675" s="16"/>
      <c r="E675" s="16"/>
    </row>
    <row r="676" spans="1:5" ht="13" x14ac:dyDescent="0.3">
      <c r="A676" s="16"/>
      <c r="B676" s="16"/>
      <c r="C676" s="17"/>
      <c r="D676" s="16"/>
      <c r="E676" s="16"/>
    </row>
    <row r="677" spans="1:5" ht="13" x14ac:dyDescent="0.3">
      <c r="A677" s="16"/>
      <c r="B677" s="16"/>
      <c r="C677" s="17"/>
      <c r="D677" s="16"/>
      <c r="E677" s="16"/>
    </row>
    <row r="678" spans="1:5" ht="13" x14ac:dyDescent="0.3">
      <c r="A678" s="16"/>
      <c r="B678" s="16"/>
      <c r="C678" s="17"/>
      <c r="D678" s="16"/>
      <c r="E678" s="16"/>
    </row>
    <row r="679" spans="1:5" ht="13" x14ac:dyDescent="0.3">
      <c r="A679" s="16"/>
      <c r="B679" s="16"/>
      <c r="C679" s="17"/>
      <c r="D679" s="16"/>
      <c r="E679" s="16"/>
    </row>
    <row r="680" spans="1:5" ht="13" x14ac:dyDescent="0.3">
      <c r="A680" s="16"/>
      <c r="B680" s="16"/>
      <c r="C680" s="17"/>
      <c r="D680" s="16"/>
      <c r="E680" s="16"/>
    </row>
    <row r="681" spans="1:5" ht="13" x14ac:dyDescent="0.3">
      <c r="A681" s="16"/>
      <c r="B681" s="16"/>
      <c r="C681" s="17"/>
      <c r="D681" s="16"/>
      <c r="E681" s="16"/>
    </row>
    <row r="682" spans="1:5" ht="13" x14ac:dyDescent="0.3">
      <c r="A682" s="16"/>
      <c r="B682" s="16"/>
      <c r="C682" s="17"/>
      <c r="D682" s="16"/>
      <c r="E682" s="16"/>
    </row>
    <row r="683" spans="1:5" ht="13" x14ac:dyDescent="0.3">
      <c r="A683" s="16"/>
      <c r="B683" s="16"/>
      <c r="C683" s="17"/>
      <c r="D683" s="16"/>
      <c r="E683" s="16"/>
    </row>
    <row r="684" spans="1:5" ht="13" x14ac:dyDescent="0.3">
      <c r="A684" s="16"/>
      <c r="B684" s="16"/>
      <c r="C684" s="17"/>
      <c r="D684" s="16"/>
      <c r="E684" s="16"/>
    </row>
    <row r="685" spans="1:5" ht="13" x14ac:dyDescent="0.3">
      <c r="A685" s="16"/>
      <c r="B685" s="16"/>
      <c r="C685" s="17"/>
      <c r="D685" s="16"/>
      <c r="E685" s="16"/>
    </row>
    <row r="686" spans="1:5" ht="13" x14ac:dyDescent="0.3">
      <c r="A686" s="16"/>
      <c r="B686" s="16"/>
      <c r="C686" s="17"/>
      <c r="D686" s="16"/>
      <c r="E686" s="16"/>
    </row>
    <row r="687" spans="1:5" ht="13" x14ac:dyDescent="0.3">
      <c r="A687" s="16"/>
      <c r="B687" s="16"/>
      <c r="C687" s="17"/>
      <c r="D687" s="16"/>
      <c r="E687" s="16"/>
    </row>
    <row r="688" spans="1:5" ht="13" x14ac:dyDescent="0.3">
      <c r="A688" s="16"/>
      <c r="B688" s="16"/>
      <c r="C688" s="17"/>
      <c r="D688" s="16"/>
      <c r="E688" s="16"/>
    </row>
    <row r="689" spans="1:5" ht="13" x14ac:dyDescent="0.3">
      <c r="A689" s="16"/>
      <c r="B689" s="16"/>
      <c r="C689" s="17"/>
      <c r="D689" s="16"/>
      <c r="E689" s="16"/>
    </row>
    <row r="690" spans="1:5" ht="13" x14ac:dyDescent="0.3">
      <c r="A690" s="16"/>
      <c r="B690" s="16"/>
      <c r="C690" s="17"/>
      <c r="D690" s="16"/>
      <c r="E690" s="16"/>
    </row>
    <row r="691" spans="1:5" ht="13" x14ac:dyDescent="0.3">
      <c r="A691" s="16"/>
      <c r="B691" s="16"/>
      <c r="C691" s="17"/>
      <c r="D691" s="16"/>
      <c r="E691" s="16"/>
    </row>
    <row r="692" spans="1:5" ht="13" x14ac:dyDescent="0.3">
      <c r="A692" s="16"/>
      <c r="B692" s="16"/>
      <c r="C692" s="17"/>
      <c r="D692" s="16"/>
      <c r="E692" s="16"/>
    </row>
    <row r="693" spans="1:5" ht="13" x14ac:dyDescent="0.3">
      <c r="A693" s="16"/>
      <c r="B693" s="16"/>
      <c r="C693" s="17"/>
      <c r="D693" s="16"/>
      <c r="E693" s="16"/>
    </row>
    <row r="694" spans="1:5" ht="13" x14ac:dyDescent="0.3">
      <c r="A694" s="16"/>
      <c r="B694" s="16"/>
      <c r="C694" s="17"/>
      <c r="D694" s="16"/>
      <c r="E694" s="16"/>
    </row>
    <row r="695" spans="1:5" ht="13" x14ac:dyDescent="0.3">
      <c r="A695" s="16"/>
      <c r="B695" s="16"/>
      <c r="C695" s="17"/>
      <c r="D695" s="16"/>
      <c r="E695" s="16"/>
    </row>
    <row r="696" spans="1:5" ht="13" x14ac:dyDescent="0.3">
      <c r="A696" s="16"/>
      <c r="B696" s="16"/>
      <c r="C696" s="17"/>
      <c r="D696" s="16"/>
      <c r="E696" s="16"/>
    </row>
    <row r="697" spans="1:5" ht="13" x14ac:dyDescent="0.3">
      <c r="A697" s="16"/>
      <c r="B697" s="16"/>
      <c r="C697" s="17"/>
      <c r="D697" s="16"/>
      <c r="E697" s="16"/>
    </row>
    <row r="698" spans="1:5" ht="13" x14ac:dyDescent="0.3">
      <c r="A698" s="16"/>
      <c r="B698" s="16"/>
      <c r="C698" s="17"/>
      <c r="D698" s="16"/>
      <c r="E698" s="16"/>
    </row>
    <row r="699" spans="1:5" ht="13" x14ac:dyDescent="0.3">
      <c r="A699" s="16"/>
      <c r="B699" s="16"/>
      <c r="C699" s="17"/>
      <c r="D699" s="16"/>
      <c r="E699" s="16"/>
    </row>
    <row r="700" spans="1:5" ht="13" x14ac:dyDescent="0.3">
      <c r="A700" s="16"/>
      <c r="B700" s="16"/>
      <c r="C700" s="17"/>
      <c r="D700" s="16"/>
      <c r="E700" s="16"/>
    </row>
    <row r="701" spans="1:5" ht="13" x14ac:dyDescent="0.3">
      <c r="A701" s="16"/>
      <c r="B701" s="16"/>
      <c r="C701" s="17"/>
      <c r="D701" s="16"/>
      <c r="E701" s="16"/>
    </row>
    <row r="702" spans="1:5" ht="13" x14ac:dyDescent="0.3">
      <c r="A702" s="16"/>
      <c r="B702" s="16"/>
      <c r="C702" s="17"/>
      <c r="D702" s="16"/>
      <c r="E702" s="16"/>
    </row>
    <row r="703" spans="1:5" ht="13" x14ac:dyDescent="0.3">
      <c r="A703" s="16"/>
      <c r="B703" s="16"/>
      <c r="C703" s="17"/>
      <c r="D703" s="16"/>
      <c r="E703" s="16"/>
    </row>
    <row r="704" spans="1:5" ht="13" x14ac:dyDescent="0.3">
      <c r="A704" s="16"/>
      <c r="B704" s="16"/>
      <c r="C704" s="17"/>
      <c r="D704" s="16"/>
      <c r="E704" s="16"/>
    </row>
    <row r="705" spans="1:5" ht="13" x14ac:dyDescent="0.3">
      <c r="A705" s="16"/>
      <c r="B705" s="16"/>
      <c r="C705" s="17"/>
      <c r="D705" s="16"/>
      <c r="E705" s="16"/>
    </row>
    <row r="706" spans="1:5" ht="13" x14ac:dyDescent="0.3">
      <c r="A706" s="16"/>
      <c r="B706" s="16"/>
      <c r="C706" s="17"/>
      <c r="D706" s="16"/>
      <c r="E706" s="16"/>
    </row>
    <row r="707" spans="1:5" ht="13" x14ac:dyDescent="0.3">
      <c r="A707" s="16"/>
      <c r="B707" s="16"/>
      <c r="C707" s="17"/>
      <c r="D707" s="16"/>
      <c r="E707" s="16"/>
    </row>
    <row r="708" spans="1:5" ht="13" x14ac:dyDescent="0.3">
      <c r="A708" s="16"/>
      <c r="B708" s="16"/>
      <c r="C708" s="17"/>
      <c r="D708" s="16"/>
      <c r="E708" s="16"/>
    </row>
    <row r="709" spans="1:5" ht="13" x14ac:dyDescent="0.3">
      <c r="A709" s="16"/>
      <c r="B709" s="16"/>
      <c r="C709" s="17"/>
      <c r="D709" s="16"/>
      <c r="E709" s="16"/>
    </row>
    <row r="710" spans="1:5" ht="13" x14ac:dyDescent="0.3">
      <c r="A710" s="16"/>
      <c r="B710" s="16"/>
      <c r="C710" s="17"/>
      <c r="D710" s="16"/>
      <c r="E710" s="16"/>
    </row>
    <row r="711" spans="1:5" ht="13" x14ac:dyDescent="0.3">
      <c r="A711" s="16"/>
      <c r="B711" s="16"/>
      <c r="C711" s="17"/>
      <c r="D711" s="16"/>
      <c r="E711" s="16"/>
    </row>
    <row r="712" spans="1:5" ht="13" x14ac:dyDescent="0.3">
      <c r="A712" s="16"/>
      <c r="B712" s="16"/>
      <c r="C712" s="17"/>
      <c r="D712" s="16"/>
      <c r="E712" s="16"/>
    </row>
    <row r="713" spans="1:5" ht="13" x14ac:dyDescent="0.3">
      <c r="A713" s="16"/>
      <c r="B713" s="16"/>
      <c r="C713" s="17"/>
      <c r="D713" s="16"/>
      <c r="E713" s="16"/>
    </row>
    <row r="714" spans="1:5" ht="13" x14ac:dyDescent="0.3">
      <c r="A714" s="16"/>
      <c r="B714" s="16"/>
      <c r="C714" s="17"/>
      <c r="D714" s="16"/>
      <c r="E714" s="16"/>
    </row>
    <row r="715" spans="1:5" ht="13" x14ac:dyDescent="0.3">
      <c r="A715" s="16"/>
      <c r="B715" s="16"/>
      <c r="C715" s="17"/>
      <c r="D715" s="16"/>
      <c r="E715" s="16"/>
    </row>
    <row r="716" spans="1:5" ht="13" x14ac:dyDescent="0.3">
      <c r="A716" s="16"/>
      <c r="B716" s="16"/>
      <c r="C716" s="17"/>
      <c r="D716" s="16"/>
      <c r="E716" s="16"/>
    </row>
    <row r="717" spans="1:5" ht="13" x14ac:dyDescent="0.3">
      <c r="A717" s="16"/>
      <c r="B717" s="16"/>
      <c r="C717" s="17"/>
      <c r="D717" s="16"/>
      <c r="E717" s="16"/>
    </row>
    <row r="718" spans="1:5" ht="13" x14ac:dyDescent="0.3">
      <c r="A718" s="16"/>
      <c r="B718" s="16"/>
      <c r="C718" s="17"/>
      <c r="D718" s="16"/>
      <c r="E718" s="16"/>
    </row>
    <row r="719" spans="1:5" ht="13" x14ac:dyDescent="0.3">
      <c r="A719" s="16"/>
      <c r="B719" s="16"/>
      <c r="C719" s="17"/>
      <c r="D719" s="16"/>
      <c r="E719" s="16"/>
    </row>
    <row r="720" spans="1:5" ht="13" x14ac:dyDescent="0.3">
      <c r="A720" s="16"/>
      <c r="B720" s="16"/>
      <c r="C720" s="17"/>
      <c r="D720" s="16"/>
      <c r="E720" s="16"/>
    </row>
    <row r="721" spans="1:5" ht="13" x14ac:dyDescent="0.3">
      <c r="A721" s="16"/>
      <c r="B721" s="16"/>
      <c r="C721" s="17"/>
      <c r="D721" s="16"/>
      <c r="E721" s="16"/>
    </row>
    <row r="722" spans="1:5" ht="13" x14ac:dyDescent="0.3">
      <c r="A722" s="16"/>
      <c r="B722" s="16"/>
      <c r="C722" s="17"/>
      <c r="D722" s="16"/>
      <c r="E722" s="16"/>
    </row>
    <row r="723" spans="1:5" ht="13" x14ac:dyDescent="0.3">
      <c r="A723" s="16"/>
      <c r="B723" s="16"/>
      <c r="C723" s="17"/>
      <c r="D723" s="16"/>
      <c r="E723" s="16"/>
    </row>
    <row r="724" spans="1:5" ht="13" x14ac:dyDescent="0.3">
      <c r="A724" s="16"/>
      <c r="B724" s="16"/>
      <c r="C724" s="17"/>
      <c r="D724" s="16"/>
      <c r="E724" s="16"/>
    </row>
    <row r="725" spans="1:5" ht="13" x14ac:dyDescent="0.3">
      <c r="A725" s="16"/>
      <c r="B725" s="16"/>
      <c r="C725" s="17"/>
      <c r="D725" s="16"/>
      <c r="E725" s="16"/>
    </row>
    <row r="726" spans="1:5" ht="13" x14ac:dyDescent="0.3">
      <c r="A726" s="16"/>
      <c r="B726" s="16"/>
      <c r="C726" s="17"/>
      <c r="D726" s="16"/>
      <c r="E726" s="16"/>
    </row>
    <row r="727" spans="1:5" ht="13" x14ac:dyDescent="0.3">
      <c r="A727" s="16"/>
      <c r="B727" s="16"/>
      <c r="C727" s="17"/>
      <c r="D727" s="16"/>
      <c r="E727" s="16"/>
    </row>
    <row r="728" spans="1:5" ht="13" x14ac:dyDescent="0.3">
      <c r="A728" s="16"/>
      <c r="B728" s="16"/>
      <c r="C728" s="17"/>
      <c r="D728" s="16"/>
      <c r="E728" s="16"/>
    </row>
    <row r="729" spans="1:5" ht="13" x14ac:dyDescent="0.3">
      <c r="A729" s="16"/>
      <c r="B729" s="16"/>
      <c r="C729" s="17"/>
      <c r="D729" s="16"/>
      <c r="E729" s="16"/>
    </row>
    <row r="730" spans="1:5" ht="13" x14ac:dyDescent="0.3">
      <c r="A730" s="16"/>
      <c r="B730" s="16"/>
      <c r="C730" s="17"/>
      <c r="D730" s="16"/>
      <c r="E730" s="16"/>
    </row>
    <row r="731" spans="1:5" ht="13" x14ac:dyDescent="0.3">
      <c r="A731" s="16"/>
      <c r="B731" s="16"/>
      <c r="C731" s="17"/>
      <c r="D731" s="16"/>
      <c r="E731" s="16"/>
    </row>
    <row r="732" spans="1:5" ht="13" x14ac:dyDescent="0.3">
      <c r="A732" s="16"/>
      <c r="B732" s="16"/>
      <c r="C732" s="17"/>
      <c r="D732" s="16"/>
      <c r="E732" s="16"/>
    </row>
    <row r="733" spans="1:5" ht="13" x14ac:dyDescent="0.3">
      <c r="A733" s="16"/>
      <c r="B733" s="16"/>
      <c r="C733" s="17"/>
      <c r="D733" s="16"/>
      <c r="E733" s="16"/>
    </row>
    <row r="734" spans="1:5" ht="13" x14ac:dyDescent="0.3">
      <c r="A734" s="16"/>
      <c r="B734" s="16"/>
      <c r="C734" s="17"/>
      <c r="D734" s="16"/>
      <c r="E734" s="16"/>
    </row>
    <row r="735" spans="1:5" ht="13" x14ac:dyDescent="0.3">
      <c r="A735" s="16"/>
      <c r="B735" s="16"/>
      <c r="C735" s="17"/>
      <c r="D735" s="16"/>
      <c r="E735" s="16"/>
    </row>
    <row r="736" spans="1:5" ht="13" x14ac:dyDescent="0.3">
      <c r="A736" s="16"/>
      <c r="B736" s="16"/>
      <c r="C736" s="17"/>
      <c r="D736" s="16"/>
      <c r="E736" s="16"/>
    </row>
    <row r="737" spans="1:5" ht="13" x14ac:dyDescent="0.3">
      <c r="A737" s="16"/>
      <c r="B737" s="16"/>
      <c r="C737" s="17"/>
      <c r="D737" s="16"/>
      <c r="E737" s="16"/>
    </row>
    <row r="738" spans="1:5" ht="13" x14ac:dyDescent="0.3">
      <c r="A738" s="16"/>
      <c r="B738" s="16"/>
      <c r="C738" s="17"/>
      <c r="D738" s="16"/>
      <c r="E738" s="16"/>
    </row>
    <row r="739" spans="1:5" ht="13" x14ac:dyDescent="0.3">
      <c r="A739" s="16"/>
      <c r="B739" s="16"/>
      <c r="C739" s="17"/>
      <c r="D739" s="16"/>
      <c r="E739" s="16"/>
    </row>
    <row r="740" spans="1:5" ht="13" x14ac:dyDescent="0.3">
      <c r="A740" s="16"/>
      <c r="B740" s="16"/>
      <c r="C740" s="17"/>
      <c r="D740" s="16"/>
      <c r="E740" s="16"/>
    </row>
    <row r="741" spans="1:5" ht="13" x14ac:dyDescent="0.3">
      <c r="A741" s="16"/>
      <c r="B741" s="16"/>
      <c r="C741" s="17"/>
      <c r="D741" s="16"/>
      <c r="E741" s="16"/>
    </row>
    <row r="742" spans="1:5" ht="13" x14ac:dyDescent="0.3">
      <c r="A742" s="16"/>
      <c r="B742" s="16"/>
      <c r="C742" s="17"/>
      <c r="D742" s="16"/>
      <c r="E742" s="16"/>
    </row>
    <row r="743" spans="1:5" ht="13" x14ac:dyDescent="0.3">
      <c r="A743" s="16"/>
      <c r="B743" s="16"/>
      <c r="C743" s="17"/>
      <c r="D743" s="16"/>
      <c r="E743" s="16"/>
    </row>
    <row r="744" spans="1:5" ht="13" x14ac:dyDescent="0.3">
      <c r="A744" s="16"/>
      <c r="B744" s="16"/>
      <c r="C744" s="17"/>
      <c r="D744" s="16"/>
      <c r="E744" s="16"/>
    </row>
    <row r="745" spans="1:5" ht="13" x14ac:dyDescent="0.3">
      <c r="A745" s="16"/>
      <c r="B745" s="16"/>
      <c r="C745" s="17"/>
      <c r="D745" s="16"/>
      <c r="E745" s="16"/>
    </row>
    <row r="746" spans="1:5" ht="13" x14ac:dyDescent="0.3">
      <c r="A746" s="16"/>
      <c r="B746" s="16"/>
      <c r="C746" s="17"/>
      <c r="D746" s="16"/>
      <c r="E746" s="16"/>
    </row>
    <row r="747" spans="1:5" ht="13" x14ac:dyDescent="0.3">
      <c r="A747" s="16"/>
      <c r="B747" s="16"/>
      <c r="C747" s="17"/>
      <c r="D747" s="16"/>
      <c r="E747" s="16"/>
    </row>
    <row r="748" spans="1:5" ht="13" x14ac:dyDescent="0.3">
      <c r="A748" s="16"/>
      <c r="B748" s="16"/>
      <c r="C748" s="17"/>
      <c r="D748" s="16"/>
      <c r="E748" s="16"/>
    </row>
    <row r="749" spans="1:5" ht="13" x14ac:dyDescent="0.3">
      <c r="A749" s="16"/>
      <c r="B749" s="16"/>
      <c r="C749" s="17"/>
      <c r="D749" s="16"/>
      <c r="E749" s="16"/>
    </row>
    <row r="750" spans="1:5" ht="13" x14ac:dyDescent="0.3">
      <c r="A750" s="16"/>
      <c r="B750" s="16"/>
      <c r="C750" s="17"/>
      <c r="D750" s="16"/>
      <c r="E750" s="16"/>
    </row>
    <row r="751" spans="1:5" ht="13" x14ac:dyDescent="0.3">
      <c r="A751" s="16"/>
      <c r="B751" s="16"/>
      <c r="C751" s="17"/>
      <c r="D751" s="16"/>
      <c r="E751" s="16"/>
    </row>
    <row r="752" spans="1:5" ht="13" x14ac:dyDescent="0.3">
      <c r="A752" s="16"/>
      <c r="B752" s="16"/>
      <c r="C752" s="17"/>
      <c r="D752" s="16"/>
      <c r="E752" s="16"/>
    </row>
    <row r="753" spans="1:5" ht="13" x14ac:dyDescent="0.3">
      <c r="A753" s="16"/>
      <c r="B753" s="16"/>
      <c r="C753" s="17"/>
      <c r="D753" s="16"/>
      <c r="E753" s="16"/>
    </row>
    <row r="754" spans="1:5" ht="13" x14ac:dyDescent="0.3">
      <c r="A754" s="16"/>
      <c r="B754" s="16"/>
      <c r="C754" s="17"/>
      <c r="D754" s="16"/>
      <c r="E754" s="16"/>
    </row>
    <row r="755" spans="1:5" ht="13" x14ac:dyDescent="0.3">
      <c r="A755" s="16"/>
      <c r="B755" s="16"/>
      <c r="C755" s="17"/>
      <c r="D755" s="16"/>
      <c r="E755" s="16"/>
    </row>
    <row r="756" spans="1:5" ht="13" x14ac:dyDescent="0.3">
      <c r="A756" s="16"/>
      <c r="B756" s="16"/>
      <c r="C756" s="17"/>
      <c r="D756" s="16"/>
      <c r="E756" s="16"/>
    </row>
    <row r="757" spans="1:5" ht="13" x14ac:dyDescent="0.3">
      <c r="A757" s="16"/>
      <c r="B757" s="16"/>
      <c r="C757" s="17"/>
      <c r="D757" s="16"/>
      <c r="E757" s="16"/>
    </row>
    <row r="758" spans="1:5" ht="13" x14ac:dyDescent="0.3">
      <c r="A758" s="16"/>
      <c r="B758" s="16"/>
      <c r="C758" s="17"/>
      <c r="D758" s="16"/>
      <c r="E758" s="16"/>
    </row>
    <row r="759" spans="1:5" ht="13" x14ac:dyDescent="0.3">
      <c r="A759" s="16"/>
      <c r="B759" s="16"/>
      <c r="C759" s="17"/>
      <c r="D759" s="16"/>
      <c r="E759" s="16"/>
    </row>
    <row r="760" spans="1:5" ht="13" x14ac:dyDescent="0.3">
      <c r="A760" s="16"/>
      <c r="B760" s="16"/>
      <c r="C760" s="17"/>
      <c r="D760" s="16"/>
      <c r="E760" s="16"/>
    </row>
    <row r="761" spans="1:5" ht="13" x14ac:dyDescent="0.3">
      <c r="A761" s="16"/>
      <c r="B761" s="16"/>
      <c r="C761" s="17"/>
      <c r="D761" s="16"/>
      <c r="E761" s="16"/>
    </row>
    <row r="762" spans="1:5" ht="13" x14ac:dyDescent="0.3">
      <c r="A762" s="16"/>
      <c r="B762" s="16"/>
      <c r="C762" s="17"/>
      <c r="D762" s="16"/>
      <c r="E762" s="16"/>
    </row>
    <row r="763" spans="1:5" ht="13" x14ac:dyDescent="0.3">
      <c r="A763" s="16"/>
      <c r="B763" s="16"/>
      <c r="C763" s="17"/>
      <c r="D763" s="16"/>
      <c r="E763" s="16"/>
    </row>
    <row r="764" spans="1:5" ht="13" x14ac:dyDescent="0.3">
      <c r="A764" s="16"/>
      <c r="B764" s="16"/>
      <c r="C764" s="17"/>
      <c r="D764" s="16"/>
      <c r="E764" s="16"/>
    </row>
    <row r="765" spans="1:5" ht="13" x14ac:dyDescent="0.3">
      <c r="A765" s="16"/>
      <c r="B765" s="16"/>
      <c r="C765" s="17"/>
      <c r="D765" s="16"/>
      <c r="E765" s="16"/>
    </row>
    <row r="766" spans="1:5" ht="13" x14ac:dyDescent="0.3">
      <c r="A766" s="16"/>
      <c r="B766" s="16"/>
      <c r="C766" s="17"/>
      <c r="D766" s="16"/>
      <c r="E766" s="16"/>
    </row>
    <row r="767" spans="1:5" ht="13" x14ac:dyDescent="0.3">
      <c r="A767" s="16"/>
      <c r="B767" s="16"/>
      <c r="C767" s="17"/>
      <c r="D767" s="16"/>
      <c r="E767" s="16"/>
    </row>
    <row r="768" spans="1:5" ht="13" x14ac:dyDescent="0.3">
      <c r="A768" s="16"/>
      <c r="B768" s="16"/>
      <c r="C768" s="17"/>
      <c r="D768" s="16"/>
      <c r="E768" s="16"/>
    </row>
    <row r="769" spans="1:5" ht="13" x14ac:dyDescent="0.3">
      <c r="A769" s="16"/>
      <c r="B769" s="16"/>
      <c r="C769" s="17"/>
      <c r="D769" s="16"/>
      <c r="E769" s="16"/>
    </row>
    <row r="770" spans="1:5" ht="13" x14ac:dyDescent="0.3">
      <c r="A770" s="16"/>
      <c r="B770" s="16"/>
      <c r="C770" s="17"/>
      <c r="D770" s="16"/>
      <c r="E770" s="16"/>
    </row>
    <row r="771" spans="1:5" ht="13" x14ac:dyDescent="0.3">
      <c r="A771" s="16"/>
      <c r="B771" s="16"/>
      <c r="C771" s="17"/>
      <c r="D771" s="16"/>
      <c r="E771" s="16"/>
    </row>
    <row r="772" spans="1:5" ht="13" x14ac:dyDescent="0.3">
      <c r="A772" s="16"/>
      <c r="B772" s="16"/>
      <c r="C772" s="17"/>
      <c r="D772" s="16"/>
      <c r="E772" s="16"/>
    </row>
    <row r="773" spans="1:5" ht="13" x14ac:dyDescent="0.3">
      <c r="A773" s="16"/>
      <c r="B773" s="16"/>
      <c r="C773" s="17"/>
      <c r="D773" s="16"/>
      <c r="E773" s="16"/>
    </row>
    <row r="774" spans="1:5" ht="13" x14ac:dyDescent="0.3">
      <c r="A774" s="16"/>
      <c r="B774" s="16"/>
      <c r="C774" s="17"/>
      <c r="D774" s="16"/>
      <c r="E774" s="16"/>
    </row>
    <row r="775" spans="1:5" ht="13" x14ac:dyDescent="0.3">
      <c r="A775" s="16"/>
      <c r="B775" s="16"/>
      <c r="C775" s="17"/>
      <c r="D775" s="16"/>
      <c r="E775" s="16"/>
    </row>
    <row r="776" spans="1:5" ht="13" x14ac:dyDescent="0.3">
      <c r="A776" s="16"/>
      <c r="B776" s="16"/>
      <c r="C776" s="17"/>
      <c r="D776" s="16"/>
      <c r="E776" s="16"/>
    </row>
    <row r="777" spans="1:5" ht="13" x14ac:dyDescent="0.3">
      <c r="A777" s="16"/>
      <c r="B777" s="16"/>
      <c r="C777" s="17"/>
      <c r="D777" s="16"/>
      <c r="E777" s="16"/>
    </row>
    <row r="778" spans="1:5" ht="13" x14ac:dyDescent="0.3">
      <c r="A778" s="16"/>
      <c r="B778" s="16"/>
      <c r="C778" s="17"/>
      <c r="D778" s="16"/>
      <c r="E778" s="16"/>
    </row>
    <row r="779" spans="1:5" ht="13" x14ac:dyDescent="0.3">
      <c r="A779" s="16"/>
      <c r="B779" s="16"/>
      <c r="C779" s="17"/>
      <c r="D779" s="16"/>
      <c r="E779" s="16"/>
    </row>
    <row r="780" spans="1:5" ht="13" x14ac:dyDescent="0.3">
      <c r="A780" s="16"/>
      <c r="B780" s="16"/>
      <c r="C780" s="17"/>
      <c r="D780" s="16"/>
      <c r="E780" s="16"/>
    </row>
    <row r="781" spans="1:5" ht="13" x14ac:dyDescent="0.3">
      <c r="A781" s="16"/>
      <c r="B781" s="16"/>
      <c r="C781" s="17"/>
      <c r="D781" s="16"/>
      <c r="E781" s="16"/>
    </row>
    <row r="782" spans="1:5" ht="13" x14ac:dyDescent="0.3">
      <c r="A782" s="16"/>
      <c r="B782" s="16"/>
      <c r="C782" s="17"/>
      <c r="D782" s="16"/>
      <c r="E782" s="16"/>
    </row>
    <row r="783" spans="1:5" ht="13" x14ac:dyDescent="0.3">
      <c r="A783" s="16"/>
      <c r="B783" s="16"/>
      <c r="C783" s="17"/>
      <c r="D783" s="16"/>
      <c r="E783" s="16"/>
    </row>
    <row r="784" spans="1:5" ht="13" x14ac:dyDescent="0.3">
      <c r="A784" s="16"/>
      <c r="B784" s="16"/>
      <c r="C784" s="17"/>
      <c r="D784" s="16"/>
      <c r="E784" s="16"/>
    </row>
    <row r="785" spans="1:5" ht="13" x14ac:dyDescent="0.3">
      <c r="A785" s="16"/>
      <c r="B785" s="16"/>
      <c r="C785" s="17"/>
      <c r="D785" s="16"/>
      <c r="E785" s="16"/>
    </row>
    <row r="786" spans="1:5" ht="13" x14ac:dyDescent="0.3">
      <c r="A786" s="16"/>
      <c r="B786" s="16"/>
      <c r="C786" s="17"/>
      <c r="D786" s="16"/>
      <c r="E786" s="16"/>
    </row>
    <row r="787" spans="1:5" ht="13" x14ac:dyDescent="0.3">
      <c r="A787" s="16"/>
      <c r="B787" s="16"/>
      <c r="C787" s="17"/>
      <c r="D787" s="16"/>
      <c r="E787" s="16"/>
    </row>
    <row r="788" spans="1:5" ht="13" x14ac:dyDescent="0.3">
      <c r="A788" s="16"/>
      <c r="B788" s="16"/>
      <c r="C788" s="17"/>
      <c r="D788" s="16"/>
      <c r="E788" s="16"/>
    </row>
    <row r="789" spans="1:5" ht="13" x14ac:dyDescent="0.3">
      <c r="A789" s="16"/>
      <c r="B789" s="16"/>
      <c r="C789" s="17"/>
      <c r="D789" s="16"/>
      <c r="E789" s="16"/>
    </row>
    <row r="790" spans="1:5" ht="13" x14ac:dyDescent="0.3">
      <c r="A790" s="16"/>
      <c r="B790" s="16"/>
      <c r="C790" s="17"/>
      <c r="D790" s="16"/>
      <c r="E790" s="16"/>
    </row>
    <row r="791" spans="1:5" ht="13" x14ac:dyDescent="0.3">
      <c r="A791" s="16"/>
      <c r="B791" s="16"/>
      <c r="C791" s="17"/>
      <c r="D791" s="16"/>
      <c r="E791" s="16"/>
    </row>
    <row r="792" spans="1:5" ht="13" x14ac:dyDescent="0.3">
      <c r="A792" s="16"/>
      <c r="B792" s="16"/>
      <c r="C792" s="17"/>
      <c r="D792" s="16"/>
      <c r="E792" s="16"/>
    </row>
    <row r="793" spans="1:5" ht="13" x14ac:dyDescent="0.3">
      <c r="A793" s="16"/>
      <c r="B793" s="16"/>
      <c r="C793" s="17"/>
      <c r="D793" s="16"/>
      <c r="E793" s="16"/>
    </row>
    <row r="794" spans="1:5" ht="13" x14ac:dyDescent="0.3">
      <c r="A794" s="16"/>
      <c r="B794" s="16"/>
      <c r="C794" s="17"/>
      <c r="D794" s="16"/>
      <c r="E794" s="16"/>
    </row>
    <row r="795" spans="1:5" ht="13" x14ac:dyDescent="0.3">
      <c r="A795" s="16"/>
      <c r="B795" s="16"/>
      <c r="C795" s="17"/>
      <c r="D795" s="16"/>
      <c r="E795" s="16"/>
    </row>
    <row r="796" spans="1:5" ht="13" x14ac:dyDescent="0.3">
      <c r="A796" s="16"/>
      <c r="B796" s="16"/>
      <c r="C796" s="17"/>
      <c r="D796" s="16"/>
      <c r="E796" s="16"/>
    </row>
    <row r="797" spans="1:5" ht="13" x14ac:dyDescent="0.3">
      <c r="A797" s="16"/>
      <c r="B797" s="16"/>
      <c r="C797" s="17"/>
      <c r="D797" s="16"/>
      <c r="E797" s="16"/>
    </row>
    <row r="798" spans="1:5" ht="13" x14ac:dyDescent="0.3">
      <c r="A798" s="16"/>
      <c r="B798" s="16"/>
      <c r="C798" s="17"/>
      <c r="D798" s="16"/>
      <c r="E798" s="16"/>
    </row>
    <row r="799" spans="1:5" ht="13" x14ac:dyDescent="0.3">
      <c r="A799" s="16"/>
      <c r="B799" s="16"/>
      <c r="C799" s="17"/>
      <c r="D799" s="16"/>
      <c r="E799" s="16"/>
    </row>
    <row r="800" spans="1:5" ht="13" x14ac:dyDescent="0.3">
      <c r="A800" s="16"/>
      <c r="B800" s="16"/>
      <c r="C800" s="17"/>
      <c r="D800" s="16"/>
      <c r="E800" s="16"/>
    </row>
    <row r="801" spans="1:5" ht="13" x14ac:dyDescent="0.3">
      <c r="A801" s="16"/>
      <c r="B801" s="16"/>
      <c r="C801" s="17"/>
      <c r="D801" s="16"/>
      <c r="E801" s="16"/>
    </row>
    <row r="802" spans="1:5" ht="13" x14ac:dyDescent="0.3">
      <c r="A802" s="16"/>
      <c r="B802" s="16"/>
      <c r="C802" s="17"/>
      <c r="D802" s="16"/>
      <c r="E802" s="16"/>
    </row>
    <row r="803" spans="1:5" ht="13" x14ac:dyDescent="0.3">
      <c r="A803" s="16"/>
      <c r="B803" s="16"/>
      <c r="C803" s="17"/>
      <c r="D803" s="16"/>
      <c r="E803" s="16"/>
    </row>
    <row r="804" spans="1:5" ht="13" x14ac:dyDescent="0.3">
      <c r="A804" s="16"/>
      <c r="B804" s="16"/>
      <c r="C804" s="17"/>
      <c r="D804" s="16"/>
      <c r="E804" s="16"/>
    </row>
    <row r="805" spans="1:5" ht="13" x14ac:dyDescent="0.3">
      <c r="A805" s="16"/>
      <c r="B805" s="16"/>
      <c r="C805" s="17"/>
      <c r="D805" s="16"/>
      <c r="E805" s="16"/>
    </row>
    <row r="806" spans="1:5" ht="13" x14ac:dyDescent="0.3">
      <c r="A806" s="16"/>
      <c r="B806" s="16"/>
      <c r="C806" s="17"/>
      <c r="D806" s="16"/>
      <c r="E806" s="16"/>
    </row>
    <row r="807" spans="1:5" ht="13" x14ac:dyDescent="0.3">
      <c r="A807" s="16"/>
      <c r="B807" s="16"/>
      <c r="C807" s="17"/>
      <c r="D807" s="16"/>
      <c r="E807" s="16"/>
    </row>
    <row r="808" spans="1:5" ht="13" x14ac:dyDescent="0.3">
      <c r="A808" s="16"/>
      <c r="B808" s="16"/>
      <c r="C808" s="17"/>
      <c r="D808" s="16"/>
      <c r="E808" s="16"/>
    </row>
    <row r="809" spans="1:5" ht="13" x14ac:dyDescent="0.3">
      <c r="A809" s="16"/>
      <c r="B809" s="16"/>
      <c r="C809" s="17"/>
      <c r="D809" s="16"/>
      <c r="E809" s="16"/>
    </row>
    <row r="810" spans="1:5" ht="13" x14ac:dyDescent="0.3">
      <c r="A810" s="16"/>
      <c r="B810" s="16"/>
      <c r="C810" s="17"/>
      <c r="D810" s="16"/>
      <c r="E810" s="16"/>
    </row>
    <row r="811" spans="1:5" ht="13" x14ac:dyDescent="0.3">
      <c r="A811" s="16"/>
      <c r="B811" s="16"/>
      <c r="C811" s="17"/>
      <c r="D811" s="16"/>
      <c r="E811" s="16"/>
    </row>
    <row r="812" spans="1:5" ht="13" x14ac:dyDescent="0.3">
      <c r="A812" s="16"/>
      <c r="B812" s="16"/>
      <c r="C812" s="17"/>
      <c r="D812" s="16"/>
      <c r="E812" s="16"/>
    </row>
    <row r="813" spans="1:5" ht="13" x14ac:dyDescent="0.3">
      <c r="A813" s="16"/>
      <c r="B813" s="16"/>
      <c r="C813" s="17"/>
      <c r="D813" s="16"/>
      <c r="E813" s="16"/>
    </row>
    <row r="814" spans="1:5" ht="13" x14ac:dyDescent="0.3">
      <c r="A814" s="16"/>
      <c r="B814" s="16"/>
      <c r="C814" s="17"/>
      <c r="D814" s="16"/>
      <c r="E814" s="16"/>
    </row>
    <row r="815" spans="1:5" ht="13" x14ac:dyDescent="0.3">
      <c r="A815" s="16"/>
      <c r="B815" s="16"/>
      <c r="C815" s="17"/>
      <c r="D815" s="16"/>
      <c r="E815" s="16"/>
    </row>
    <row r="816" spans="1:5" ht="13" x14ac:dyDescent="0.3">
      <c r="A816" s="16"/>
      <c r="B816" s="16"/>
      <c r="C816" s="17"/>
      <c r="D816" s="16"/>
      <c r="E816" s="16"/>
    </row>
    <row r="817" spans="1:5" ht="13" x14ac:dyDescent="0.3">
      <c r="A817" s="16"/>
      <c r="B817" s="16"/>
      <c r="C817" s="17"/>
      <c r="D817" s="16"/>
      <c r="E817" s="16"/>
    </row>
    <row r="818" spans="1:5" ht="13" x14ac:dyDescent="0.3">
      <c r="A818" s="16"/>
      <c r="B818" s="16"/>
      <c r="C818" s="17"/>
      <c r="D818" s="16"/>
      <c r="E818" s="16"/>
    </row>
    <row r="819" spans="1:5" ht="13" x14ac:dyDescent="0.3">
      <c r="A819" s="16"/>
      <c r="B819" s="16"/>
      <c r="C819" s="17"/>
      <c r="D819" s="16"/>
      <c r="E819" s="16"/>
    </row>
    <row r="820" spans="1:5" ht="13" x14ac:dyDescent="0.3">
      <c r="A820" s="16"/>
      <c r="B820" s="16"/>
      <c r="C820" s="17"/>
      <c r="D820" s="16"/>
      <c r="E820" s="16"/>
    </row>
    <row r="821" spans="1:5" ht="13" x14ac:dyDescent="0.3">
      <c r="A821" s="16"/>
      <c r="B821" s="16"/>
      <c r="C821" s="17"/>
      <c r="D821" s="16"/>
      <c r="E821" s="16"/>
    </row>
    <row r="822" spans="1:5" ht="13" x14ac:dyDescent="0.3">
      <c r="A822" s="16"/>
      <c r="B822" s="16"/>
      <c r="C822" s="17"/>
      <c r="D822" s="16"/>
      <c r="E822" s="16"/>
    </row>
    <row r="823" spans="1:5" ht="13" x14ac:dyDescent="0.3">
      <c r="A823" s="16"/>
      <c r="B823" s="16"/>
      <c r="C823" s="17"/>
      <c r="D823" s="16"/>
      <c r="E823" s="16"/>
    </row>
    <row r="824" spans="1:5" ht="13" x14ac:dyDescent="0.3">
      <c r="A824" s="16"/>
      <c r="B824" s="16"/>
      <c r="C824" s="17"/>
      <c r="D824" s="16"/>
      <c r="E824" s="16"/>
    </row>
    <row r="825" spans="1:5" ht="13" x14ac:dyDescent="0.3">
      <c r="A825" s="16"/>
      <c r="B825" s="16"/>
      <c r="C825" s="17"/>
      <c r="D825" s="16"/>
      <c r="E825" s="16"/>
    </row>
    <row r="826" spans="1:5" ht="13" x14ac:dyDescent="0.3">
      <c r="A826" s="16"/>
      <c r="B826" s="16"/>
      <c r="C826" s="17"/>
      <c r="D826" s="16"/>
      <c r="E826" s="16"/>
    </row>
    <row r="827" spans="1:5" ht="13" x14ac:dyDescent="0.3">
      <c r="A827" s="16"/>
      <c r="B827" s="16"/>
      <c r="C827" s="17"/>
      <c r="D827" s="16"/>
      <c r="E827" s="16"/>
    </row>
    <row r="828" spans="1:5" ht="13" x14ac:dyDescent="0.3">
      <c r="A828" s="16"/>
      <c r="B828" s="16"/>
      <c r="C828" s="17"/>
      <c r="D828" s="16"/>
      <c r="E828" s="16"/>
    </row>
    <row r="829" spans="1:5" ht="13" x14ac:dyDescent="0.3">
      <c r="A829" s="16"/>
      <c r="B829" s="16"/>
      <c r="C829" s="17"/>
      <c r="D829" s="16"/>
      <c r="E829" s="16"/>
    </row>
    <row r="830" spans="1:5" ht="13" x14ac:dyDescent="0.3">
      <c r="A830" s="16"/>
      <c r="B830" s="16"/>
      <c r="C830" s="17"/>
      <c r="D830" s="16"/>
      <c r="E830" s="16"/>
    </row>
    <row r="831" spans="1:5" ht="13" x14ac:dyDescent="0.3">
      <c r="A831" s="16"/>
      <c r="B831" s="16"/>
      <c r="C831" s="17"/>
      <c r="D831" s="16"/>
      <c r="E831" s="16"/>
    </row>
    <row r="832" spans="1:5" ht="13" x14ac:dyDescent="0.3">
      <c r="A832" s="16"/>
      <c r="B832" s="16"/>
      <c r="C832" s="17"/>
      <c r="D832" s="16"/>
      <c r="E832" s="16"/>
    </row>
    <row r="833" spans="1:5" ht="13" x14ac:dyDescent="0.3">
      <c r="A833" s="16"/>
      <c r="B833" s="16"/>
      <c r="C833" s="17"/>
      <c r="D833" s="16"/>
      <c r="E833" s="16"/>
    </row>
    <row r="834" spans="1:5" ht="13" x14ac:dyDescent="0.3">
      <c r="A834" s="16"/>
      <c r="B834" s="16"/>
      <c r="C834" s="17"/>
      <c r="D834" s="16"/>
      <c r="E834" s="16"/>
    </row>
    <row r="835" spans="1:5" ht="13" x14ac:dyDescent="0.3">
      <c r="A835" s="16"/>
      <c r="B835" s="16"/>
      <c r="C835" s="17"/>
      <c r="D835" s="16"/>
      <c r="E835" s="16"/>
    </row>
    <row r="836" spans="1:5" ht="13" x14ac:dyDescent="0.3">
      <c r="A836" s="16"/>
      <c r="B836" s="16"/>
      <c r="C836" s="17"/>
      <c r="D836" s="16"/>
      <c r="E836" s="16"/>
    </row>
    <row r="837" spans="1:5" ht="13" x14ac:dyDescent="0.3">
      <c r="A837" s="16"/>
      <c r="B837" s="16"/>
      <c r="C837" s="17"/>
      <c r="D837" s="16"/>
      <c r="E837" s="16"/>
    </row>
    <row r="838" spans="1:5" ht="13" x14ac:dyDescent="0.3">
      <c r="A838" s="16"/>
      <c r="B838" s="16"/>
      <c r="C838" s="17"/>
      <c r="D838" s="16"/>
      <c r="E838" s="16"/>
    </row>
    <row r="839" spans="1:5" ht="13" x14ac:dyDescent="0.3">
      <c r="A839" s="16"/>
      <c r="B839" s="16"/>
      <c r="C839" s="17"/>
      <c r="D839" s="16"/>
      <c r="E839" s="16"/>
    </row>
    <row r="840" spans="1:5" ht="13" x14ac:dyDescent="0.3">
      <c r="A840" s="16"/>
      <c r="B840" s="16"/>
      <c r="C840" s="17"/>
      <c r="D840" s="16"/>
      <c r="E840" s="16"/>
    </row>
    <row r="841" spans="1:5" ht="13" x14ac:dyDescent="0.3">
      <c r="A841" s="16"/>
      <c r="B841" s="16"/>
      <c r="C841" s="17"/>
      <c r="D841" s="16"/>
      <c r="E841" s="16"/>
    </row>
    <row r="842" spans="1:5" ht="13" x14ac:dyDescent="0.3">
      <c r="A842" s="16"/>
      <c r="B842" s="16"/>
      <c r="C842" s="17"/>
      <c r="D842" s="16"/>
      <c r="E842" s="16"/>
    </row>
    <row r="843" spans="1:5" ht="13" x14ac:dyDescent="0.3">
      <c r="A843" s="16"/>
      <c r="B843" s="16"/>
      <c r="C843" s="17"/>
      <c r="D843" s="16"/>
      <c r="E843" s="16"/>
    </row>
    <row r="844" spans="1:5" ht="13" x14ac:dyDescent="0.3">
      <c r="A844" s="16"/>
      <c r="B844" s="16"/>
      <c r="C844" s="17"/>
      <c r="D844" s="16"/>
      <c r="E844" s="16"/>
    </row>
    <row r="845" spans="1:5" ht="13" x14ac:dyDescent="0.3">
      <c r="A845" s="16"/>
      <c r="B845" s="16"/>
      <c r="C845" s="17"/>
      <c r="D845" s="16"/>
      <c r="E845" s="16"/>
    </row>
    <row r="846" spans="1:5" ht="13" x14ac:dyDescent="0.3">
      <c r="A846" s="16"/>
      <c r="B846" s="16"/>
      <c r="C846" s="17"/>
      <c r="D846" s="16"/>
      <c r="E846" s="16"/>
    </row>
    <row r="847" spans="1:5" ht="13" x14ac:dyDescent="0.3">
      <c r="A847" s="16"/>
      <c r="B847" s="16"/>
      <c r="C847" s="17"/>
      <c r="D847" s="16"/>
      <c r="E847" s="16"/>
    </row>
    <row r="848" spans="1:5" ht="13" x14ac:dyDescent="0.3">
      <c r="A848" s="16"/>
      <c r="B848" s="16"/>
      <c r="C848" s="17"/>
      <c r="D848" s="16"/>
      <c r="E848" s="16"/>
    </row>
    <row r="849" spans="1:5" ht="13" x14ac:dyDescent="0.3">
      <c r="A849" s="16"/>
      <c r="B849" s="16"/>
      <c r="C849" s="17"/>
      <c r="D849" s="16"/>
      <c r="E849" s="16"/>
    </row>
    <row r="850" spans="1:5" ht="13" x14ac:dyDescent="0.3">
      <c r="A850" s="16"/>
      <c r="B850" s="16"/>
      <c r="C850" s="17"/>
      <c r="D850" s="16"/>
      <c r="E850" s="16"/>
    </row>
    <row r="851" spans="1:5" ht="13" x14ac:dyDescent="0.3">
      <c r="A851" s="16"/>
      <c r="B851" s="16"/>
      <c r="C851" s="17"/>
      <c r="D851" s="16"/>
      <c r="E851" s="16"/>
    </row>
    <row r="852" spans="1:5" ht="13" x14ac:dyDescent="0.3">
      <c r="A852" s="16"/>
      <c r="B852" s="16"/>
      <c r="C852" s="17"/>
      <c r="D852" s="16"/>
      <c r="E852" s="16"/>
    </row>
    <row r="853" spans="1:5" ht="13" x14ac:dyDescent="0.3">
      <c r="A853" s="16"/>
      <c r="B853" s="16"/>
      <c r="C853" s="17"/>
      <c r="D853" s="16"/>
      <c r="E853" s="16"/>
    </row>
    <row r="854" spans="1:5" ht="13" x14ac:dyDescent="0.3">
      <c r="A854" s="16"/>
      <c r="B854" s="16"/>
      <c r="C854" s="17"/>
      <c r="D854" s="16"/>
      <c r="E854" s="16"/>
    </row>
    <row r="855" spans="1:5" ht="13" x14ac:dyDescent="0.3">
      <c r="A855" s="16"/>
      <c r="B855" s="16"/>
      <c r="C855" s="17"/>
      <c r="D855" s="16"/>
      <c r="E855" s="16"/>
    </row>
    <row r="856" spans="1:5" ht="13" x14ac:dyDescent="0.3">
      <c r="A856" s="16"/>
      <c r="B856" s="16"/>
      <c r="C856" s="17"/>
      <c r="D856" s="16"/>
      <c r="E856" s="16"/>
    </row>
    <row r="857" spans="1:5" ht="13" x14ac:dyDescent="0.3">
      <c r="A857" s="16"/>
      <c r="B857" s="16"/>
      <c r="C857" s="17"/>
      <c r="D857" s="16"/>
      <c r="E857" s="16"/>
    </row>
    <row r="858" spans="1:5" ht="13" x14ac:dyDescent="0.3">
      <c r="A858" s="16"/>
      <c r="B858" s="16"/>
      <c r="C858" s="17"/>
      <c r="D858" s="16"/>
      <c r="E858" s="16"/>
    </row>
    <row r="859" spans="1:5" ht="13" x14ac:dyDescent="0.3">
      <c r="A859" s="16"/>
      <c r="B859" s="16"/>
      <c r="C859" s="17"/>
      <c r="D859" s="16"/>
      <c r="E859" s="16"/>
    </row>
    <row r="860" spans="1:5" ht="13" x14ac:dyDescent="0.3">
      <c r="A860" s="16"/>
      <c r="B860" s="16"/>
      <c r="C860" s="17"/>
      <c r="D860" s="16"/>
      <c r="E860" s="16"/>
    </row>
    <row r="861" spans="1:5" ht="13" x14ac:dyDescent="0.3">
      <c r="A861" s="16"/>
      <c r="B861" s="16"/>
      <c r="C861" s="17"/>
      <c r="D861" s="16"/>
      <c r="E861" s="16"/>
    </row>
    <row r="862" spans="1:5" ht="13" x14ac:dyDescent="0.3">
      <c r="A862" s="16"/>
      <c r="B862" s="16"/>
      <c r="C862" s="17"/>
      <c r="D862" s="16"/>
      <c r="E862" s="16"/>
    </row>
    <row r="863" spans="1:5" ht="13" x14ac:dyDescent="0.3">
      <c r="A863" s="16"/>
      <c r="B863" s="16"/>
      <c r="C863" s="17"/>
      <c r="D863" s="16"/>
      <c r="E863" s="16"/>
    </row>
    <row r="864" spans="1:5" ht="13" x14ac:dyDescent="0.3">
      <c r="A864" s="16"/>
      <c r="B864" s="16"/>
      <c r="C864" s="17"/>
      <c r="D864" s="16"/>
      <c r="E864" s="16"/>
    </row>
    <row r="865" spans="1:5" ht="13" x14ac:dyDescent="0.3">
      <c r="A865" s="16"/>
      <c r="B865" s="16"/>
      <c r="C865" s="17"/>
      <c r="D865" s="16"/>
      <c r="E865" s="16"/>
    </row>
    <row r="866" spans="1:5" ht="13" x14ac:dyDescent="0.3">
      <c r="A866" s="16"/>
      <c r="B866" s="16"/>
      <c r="C866" s="17"/>
      <c r="D866" s="16"/>
      <c r="E866" s="16"/>
    </row>
    <row r="867" spans="1:5" ht="13" x14ac:dyDescent="0.3">
      <c r="A867" s="16"/>
      <c r="B867" s="16"/>
      <c r="C867" s="17"/>
      <c r="D867" s="16"/>
      <c r="E867" s="16"/>
    </row>
    <row r="868" spans="1:5" ht="13" x14ac:dyDescent="0.3">
      <c r="A868" s="16"/>
      <c r="B868" s="16"/>
      <c r="C868" s="17"/>
      <c r="D868" s="16"/>
      <c r="E868" s="16"/>
    </row>
    <row r="869" spans="1:5" ht="13" x14ac:dyDescent="0.3">
      <c r="A869" s="16"/>
      <c r="B869" s="16"/>
      <c r="C869" s="17"/>
      <c r="D869" s="16"/>
      <c r="E869" s="16"/>
    </row>
    <row r="870" spans="1:5" ht="13" x14ac:dyDescent="0.3">
      <c r="A870" s="16"/>
      <c r="B870" s="16"/>
      <c r="C870" s="17"/>
      <c r="D870" s="16"/>
      <c r="E870" s="16"/>
    </row>
    <row r="871" spans="1:5" ht="13" x14ac:dyDescent="0.3">
      <c r="A871" s="16"/>
      <c r="B871" s="16"/>
      <c r="C871" s="17"/>
      <c r="D871" s="16"/>
      <c r="E871" s="16"/>
    </row>
    <row r="872" spans="1:5" ht="13" x14ac:dyDescent="0.3">
      <c r="A872" s="16"/>
      <c r="B872" s="16"/>
      <c r="C872" s="17"/>
      <c r="D872" s="16"/>
      <c r="E872" s="16"/>
    </row>
    <row r="873" spans="1:5" ht="13" x14ac:dyDescent="0.3">
      <c r="A873" s="16"/>
      <c r="B873" s="16"/>
      <c r="C873" s="17"/>
      <c r="D873" s="16"/>
      <c r="E873" s="16"/>
    </row>
    <row r="874" spans="1:5" ht="13" x14ac:dyDescent="0.3">
      <c r="A874" s="16"/>
      <c r="B874" s="16"/>
      <c r="C874" s="17"/>
      <c r="D874" s="16"/>
      <c r="E874" s="16"/>
    </row>
    <row r="875" spans="1:5" ht="13" x14ac:dyDescent="0.3">
      <c r="A875" s="16"/>
      <c r="B875" s="16"/>
      <c r="C875" s="17"/>
      <c r="D875" s="16"/>
      <c r="E875" s="16"/>
    </row>
    <row r="876" spans="1:5" ht="13" x14ac:dyDescent="0.3">
      <c r="A876" s="16"/>
      <c r="B876" s="16"/>
      <c r="C876" s="17"/>
      <c r="D876" s="16"/>
      <c r="E876" s="16"/>
    </row>
    <row r="877" spans="1:5" ht="13" x14ac:dyDescent="0.3">
      <c r="A877" s="16"/>
      <c r="B877" s="16"/>
      <c r="C877" s="17"/>
      <c r="D877" s="16"/>
      <c r="E877" s="16"/>
    </row>
    <row r="878" spans="1:5" ht="13" x14ac:dyDescent="0.3">
      <c r="A878" s="16"/>
      <c r="B878" s="16"/>
      <c r="C878" s="17"/>
      <c r="D878" s="16"/>
      <c r="E878" s="16"/>
    </row>
    <row r="879" spans="1:5" ht="13" x14ac:dyDescent="0.3">
      <c r="A879" s="16"/>
      <c r="B879" s="16"/>
      <c r="C879" s="17"/>
      <c r="D879" s="16"/>
      <c r="E879" s="16"/>
    </row>
    <row r="880" spans="1:5" ht="13" x14ac:dyDescent="0.3">
      <c r="A880" s="16"/>
      <c r="B880" s="16"/>
      <c r="C880" s="17"/>
      <c r="D880" s="16"/>
      <c r="E880" s="16"/>
    </row>
    <row r="881" spans="1:5" ht="13" x14ac:dyDescent="0.3">
      <c r="A881" s="16"/>
      <c r="B881" s="16"/>
      <c r="C881" s="17"/>
      <c r="D881" s="16"/>
      <c r="E881" s="16"/>
    </row>
    <row r="882" spans="1:5" ht="13" x14ac:dyDescent="0.3">
      <c r="A882" s="16"/>
      <c r="B882" s="16"/>
      <c r="C882" s="17"/>
      <c r="D882" s="16"/>
      <c r="E882" s="16"/>
    </row>
    <row r="883" spans="1:5" ht="13" x14ac:dyDescent="0.3">
      <c r="A883" s="16"/>
      <c r="B883" s="16"/>
      <c r="C883" s="17"/>
      <c r="D883" s="16"/>
      <c r="E883" s="16"/>
    </row>
    <row r="884" spans="1:5" ht="13" x14ac:dyDescent="0.3">
      <c r="A884" s="16"/>
      <c r="B884" s="16"/>
      <c r="C884" s="17"/>
      <c r="D884" s="16"/>
      <c r="E884" s="16"/>
    </row>
    <row r="885" spans="1:5" ht="13" x14ac:dyDescent="0.3">
      <c r="A885" s="16"/>
      <c r="B885" s="16"/>
      <c r="C885" s="17"/>
      <c r="D885" s="16"/>
      <c r="E885" s="16"/>
    </row>
    <row r="886" spans="1:5" ht="13" x14ac:dyDescent="0.3">
      <c r="A886" s="16"/>
      <c r="B886" s="16"/>
      <c r="C886" s="17"/>
      <c r="D886" s="16"/>
      <c r="E886" s="16"/>
    </row>
    <row r="887" spans="1:5" ht="13" x14ac:dyDescent="0.3">
      <c r="A887" s="16"/>
      <c r="B887" s="16"/>
      <c r="C887" s="17"/>
      <c r="D887" s="16"/>
      <c r="E887" s="16"/>
    </row>
    <row r="888" spans="1:5" ht="13" x14ac:dyDescent="0.3">
      <c r="A888" s="16"/>
      <c r="B888" s="16"/>
      <c r="C888" s="17"/>
      <c r="D888" s="16"/>
      <c r="E888" s="16"/>
    </row>
    <row r="889" spans="1:5" ht="13" x14ac:dyDescent="0.3">
      <c r="A889" s="16"/>
      <c r="B889" s="16"/>
      <c r="C889" s="17"/>
      <c r="D889" s="16"/>
      <c r="E889" s="16"/>
    </row>
    <row r="890" spans="1:5" ht="13" x14ac:dyDescent="0.3">
      <c r="A890" s="16"/>
      <c r="B890" s="16"/>
      <c r="C890" s="17"/>
      <c r="D890" s="16"/>
      <c r="E890" s="16"/>
    </row>
    <row r="891" spans="1:5" ht="13" x14ac:dyDescent="0.3">
      <c r="A891" s="16"/>
      <c r="B891" s="16"/>
      <c r="C891" s="17"/>
      <c r="D891" s="16"/>
      <c r="E891" s="16"/>
    </row>
    <row r="892" spans="1:5" ht="13" x14ac:dyDescent="0.3">
      <c r="A892" s="16"/>
      <c r="B892" s="16"/>
      <c r="C892" s="17"/>
      <c r="D892" s="16"/>
      <c r="E892" s="16"/>
    </row>
    <row r="893" spans="1:5" ht="13" x14ac:dyDescent="0.3">
      <c r="A893" s="16"/>
      <c r="B893" s="16"/>
      <c r="C893" s="17"/>
      <c r="D893" s="16"/>
      <c r="E893" s="16"/>
    </row>
    <row r="894" spans="1:5" ht="13" x14ac:dyDescent="0.3">
      <c r="A894" s="16"/>
      <c r="B894" s="16"/>
      <c r="C894" s="17"/>
      <c r="D894" s="16"/>
      <c r="E894" s="16"/>
    </row>
    <row r="895" spans="1:5" ht="13" x14ac:dyDescent="0.3">
      <c r="A895" s="16"/>
      <c r="B895" s="16"/>
      <c r="C895" s="17"/>
      <c r="D895" s="16"/>
      <c r="E895" s="16"/>
    </row>
    <row r="896" spans="1:5" ht="13" x14ac:dyDescent="0.3">
      <c r="A896" s="16"/>
      <c r="B896" s="16"/>
      <c r="C896" s="17"/>
      <c r="D896" s="16"/>
      <c r="E896" s="16"/>
    </row>
    <row r="897" spans="1:5" ht="13" x14ac:dyDescent="0.3">
      <c r="A897" s="16"/>
      <c r="B897" s="16"/>
      <c r="C897" s="17"/>
      <c r="D897" s="16"/>
      <c r="E897" s="16"/>
    </row>
    <row r="898" spans="1:5" ht="13" x14ac:dyDescent="0.3">
      <c r="A898" s="16"/>
      <c r="B898" s="16"/>
      <c r="C898" s="17"/>
      <c r="D898" s="16"/>
      <c r="E898" s="16"/>
    </row>
    <row r="899" spans="1:5" ht="13" x14ac:dyDescent="0.3">
      <c r="A899" s="16"/>
      <c r="B899" s="16"/>
      <c r="C899" s="17"/>
      <c r="D899" s="16"/>
      <c r="E899" s="16"/>
    </row>
    <row r="900" spans="1:5" ht="13" x14ac:dyDescent="0.3">
      <c r="A900" s="16"/>
      <c r="B900" s="16"/>
      <c r="C900" s="17"/>
      <c r="D900" s="16"/>
      <c r="E900" s="16"/>
    </row>
    <row r="901" spans="1:5" ht="13" x14ac:dyDescent="0.3">
      <c r="A901" s="16"/>
      <c r="B901" s="16"/>
      <c r="C901" s="17"/>
      <c r="D901" s="16"/>
      <c r="E901" s="16"/>
    </row>
    <row r="902" spans="1:5" ht="13" x14ac:dyDescent="0.3">
      <c r="A902" s="16"/>
      <c r="B902" s="16"/>
      <c r="C902" s="17"/>
      <c r="D902" s="16"/>
      <c r="E902" s="16"/>
    </row>
    <row r="903" spans="1:5" ht="13" x14ac:dyDescent="0.3">
      <c r="A903" s="16"/>
      <c r="B903" s="16"/>
      <c r="C903" s="17"/>
      <c r="D903" s="16"/>
      <c r="E903" s="16"/>
    </row>
    <row r="904" spans="1:5" ht="13" x14ac:dyDescent="0.3">
      <c r="A904" s="16"/>
      <c r="B904" s="16"/>
      <c r="C904" s="17"/>
      <c r="D904" s="16"/>
      <c r="E904" s="16"/>
    </row>
    <row r="905" spans="1:5" ht="13" x14ac:dyDescent="0.3">
      <c r="A905" s="16"/>
      <c r="B905" s="16"/>
      <c r="C905" s="17"/>
      <c r="D905" s="16"/>
      <c r="E905" s="16"/>
    </row>
    <row r="906" spans="1:5" ht="13" x14ac:dyDescent="0.3">
      <c r="A906" s="16"/>
      <c r="B906" s="16"/>
      <c r="C906" s="17"/>
      <c r="D906" s="16"/>
      <c r="E906" s="16"/>
    </row>
    <row r="907" spans="1:5" ht="13" x14ac:dyDescent="0.3">
      <c r="A907" s="16"/>
      <c r="B907" s="16"/>
      <c r="C907" s="17"/>
      <c r="D907" s="16"/>
      <c r="E907" s="16"/>
    </row>
    <row r="908" spans="1:5" ht="13" x14ac:dyDescent="0.3">
      <c r="A908" s="16"/>
      <c r="B908" s="16"/>
      <c r="C908" s="17"/>
      <c r="D908" s="16"/>
      <c r="E908" s="16"/>
    </row>
    <row r="909" spans="1:5" ht="13" x14ac:dyDescent="0.3">
      <c r="A909" s="16"/>
      <c r="B909" s="16"/>
      <c r="C909" s="17"/>
      <c r="D909" s="16"/>
      <c r="E909" s="16"/>
    </row>
    <row r="910" spans="1:5" ht="13" x14ac:dyDescent="0.3">
      <c r="A910" s="16"/>
      <c r="B910" s="16"/>
      <c r="C910" s="17"/>
      <c r="D910" s="16"/>
      <c r="E910" s="16"/>
    </row>
    <row r="911" spans="1:5" ht="13" x14ac:dyDescent="0.3">
      <c r="A911" s="16"/>
      <c r="B911" s="16"/>
      <c r="C911" s="17"/>
      <c r="D911" s="16"/>
      <c r="E911" s="16"/>
    </row>
    <row r="912" spans="1:5" ht="13" x14ac:dyDescent="0.3">
      <c r="A912" s="16"/>
      <c r="B912" s="16"/>
      <c r="C912" s="17"/>
      <c r="D912" s="16"/>
      <c r="E912" s="16"/>
    </row>
    <row r="913" spans="1:5" ht="13" x14ac:dyDescent="0.3">
      <c r="A913" s="16"/>
      <c r="B913" s="16"/>
      <c r="C913" s="17"/>
      <c r="D913" s="16"/>
      <c r="E913" s="16"/>
    </row>
    <row r="914" spans="1:5" ht="13" x14ac:dyDescent="0.3">
      <c r="A914" s="16"/>
      <c r="B914" s="16"/>
      <c r="C914" s="17"/>
      <c r="D914" s="16"/>
      <c r="E914" s="16"/>
    </row>
    <row r="915" spans="1:5" ht="13" x14ac:dyDescent="0.3">
      <c r="A915" s="16"/>
      <c r="B915" s="16"/>
      <c r="C915" s="17"/>
      <c r="D915" s="16"/>
      <c r="E915" s="16"/>
    </row>
    <row r="916" spans="1:5" ht="13" x14ac:dyDescent="0.3">
      <c r="A916" s="16"/>
      <c r="B916" s="16"/>
      <c r="C916" s="17"/>
      <c r="D916" s="16"/>
      <c r="E916" s="16"/>
    </row>
    <row r="917" spans="1:5" ht="13" x14ac:dyDescent="0.3">
      <c r="A917" s="16"/>
      <c r="B917" s="16"/>
      <c r="C917" s="17"/>
      <c r="D917" s="16"/>
      <c r="E917" s="16"/>
    </row>
    <row r="918" spans="1:5" ht="13" x14ac:dyDescent="0.3">
      <c r="A918" s="16"/>
      <c r="B918" s="16"/>
      <c r="C918" s="17"/>
      <c r="D918" s="16"/>
      <c r="E918" s="16"/>
    </row>
    <row r="919" spans="1:5" ht="13" x14ac:dyDescent="0.3">
      <c r="A919" s="16"/>
      <c r="B919" s="16"/>
      <c r="C919" s="17"/>
      <c r="D919" s="16"/>
      <c r="E919" s="16"/>
    </row>
    <row r="920" spans="1:5" ht="13" x14ac:dyDescent="0.3">
      <c r="A920" s="16"/>
      <c r="B920" s="16"/>
      <c r="C920" s="17"/>
      <c r="D920" s="16"/>
      <c r="E920" s="16"/>
    </row>
    <row r="921" spans="1:5" ht="13" x14ac:dyDescent="0.3">
      <c r="A921" s="16"/>
      <c r="B921" s="16"/>
      <c r="C921" s="17"/>
      <c r="D921" s="16"/>
      <c r="E921" s="16"/>
    </row>
    <row r="922" spans="1:5" ht="13" x14ac:dyDescent="0.3">
      <c r="A922" s="16"/>
      <c r="B922" s="16"/>
      <c r="C922" s="17"/>
      <c r="D922" s="16"/>
      <c r="E922" s="16"/>
    </row>
    <row r="923" spans="1:5" ht="13" x14ac:dyDescent="0.3">
      <c r="A923" s="16"/>
      <c r="B923" s="16"/>
      <c r="C923" s="17"/>
      <c r="D923" s="16"/>
      <c r="E923" s="16"/>
    </row>
    <row r="924" spans="1:5" ht="13" x14ac:dyDescent="0.3">
      <c r="A924" s="16"/>
      <c r="B924" s="16"/>
      <c r="C924" s="17"/>
      <c r="D924" s="16"/>
      <c r="E924" s="16"/>
    </row>
    <row r="925" spans="1:5" ht="13" x14ac:dyDescent="0.3">
      <c r="A925" s="16"/>
      <c r="B925" s="16"/>
      <c r="C925" s="17"/>
      <c r="D925" s="16"/>
      <c r="E925" s="16"/>
    </row>
    <row r="926" spans="1:5" ht="13" x14ac:dyDescent="0.3">
      <c r="A926" s="16"/>
      <c r="B926" s="16"/>
      <c r="C926" s="17"/>
      <c r="D926" s="16"/>
      <c r="E926" s="16"/>
    </row>
    <row r="927" spans="1:5" ht="13" x14ac:dyDescent="0.3">
      <c r="A927" s="16"/>
      <c r="B927" s="16"/>
      <c r="C927" s="17"/>
      <c r="D927" s="16"/>
      <c r="E927" s="16"/>
    </row>
    <row r="928" spans="1:5" ht="13" x14ac:dyDescent="0.3">
      <c r="A928" s="16"/>
      <c r="B928" s="16"/>
      <c r="C928" s="17"/>
      <c r="D928" s="16"/>
      <c r="E928" s="16"/>
    </row>
    <row r="929" spans="1:5" ht="13" x14ac:dyDescent="0.3">
      <c r="A929" s="16"/>
      <c r="B929" s="16"/>
      <c r="C929" s="17"/>
      <c r="D929" s="16"/>
      <c r="E929" s="16"/>
    </row>
    <row r="930" spans="1:5" ht="13" x14ac:dyDescent="0.3">
      <c r="A930" s="16"/>
      <c r="B930" s="16"/>
      <c r="C930" s="17"/>
      <c r="D930" s="16"/>
      <c r="E930" s="16"/>
    </row>
    <row r="931" spans="1:5" ht="13" x14ac:dyDescent="0.3">
      <c r="A931" s="16"/>
      <c r="B931" s="16"/>
      <c r="C931" s="17"/>
      <c r="D931" s="16"/>
      <c r="E931" s="16"/>
    </row>
    <row r="932" spans="1:5" ht="13" x14ac:dyDescent="0.3">
      <c r="A932" s="16"/>
      <c r="B932" s="16"/>
      <c r="C932" s="17"/>
      <c r="D932" s="16"/>
      <c r="E932" s="16"/>
    </row>
    <row r="933" spans="1:5" ht="13" x14ac:dyDescent="0.3">
      <c r="A933" s="16"/>
      <c r="B933" s="16"/>
      <c r="C933" s="17"/>
      <c r="D933" s="16"/>
      <c r="E933" s="16"/>
    </row>
    <row r="934" spans="1:5" ht="13" x14ac:dyDescent="0.3">
      <c r="A934" s="16"/>
      <c r="B934" s="16"/>
      <c r="C934" s="17"/>
      <c r="D934" s="16"/>
      <c r="E934" s="16"/>
    </row>
    <row r="935" spans="1:5" ht="13" x14ac:dyDescent="0.3">
      <c r="A935" s="16"/>
      <c r="B935" s="16"/>
      <c r="C935" s="17"/>
      <c r="D935" s="16"/>
      <c r="E935" s="16"/>
    </row>
    <row r="936" spans="1:5" ht="13" x14ac:dyDescent="0.3">
      <c r="A936" s="16"/>
      <c r="B936" s="16"/>
      <c r="C936" s="17"/>
      <c r="D936" s="16"/>
      <c r="E936" s="16"/>
    </row>
    <row r="937" spans="1:5" ht="13" x14ac:dyDescent="0.3">
      <c r="A937" s="16"/>
      <c r="B937" s="16"/>
      <c r="C937" s="17"/>
      <c r="D937" s="16"/>
      <c r="E937" s="16"/>
    </row>
    <row r="938" spans="1:5" ht="13" x14ac:dyDescent="0.3">
      <c r="A938" s="16"/>
      <c r="B938" s="16"/>
      <c r="C938" s="17"/>
      <c r="D938" s="16"/>
      <c r="E938" s="16"/>
    </row>
    <row r="939" spans="1:5" ht="13" x14ac:dyDescent="0.3">
      <c r="A939" s="16"/>
      <c r="B939" s="16"/>
      <c r="C939" s="17"/>
      <c r="D939" s="16"/>
      <c r="E939" s="16"/>
    </row>
    <row r="940" spans="1:5" ht="13" x14ac:dyDescent="0.3">
      <c r="A940" s="16"/>
      <c r="B940" s="16"/>
      <c r="C940" s="17"/>
      <c r="D940" s="16"/>
      <c r="E940" s="16"/>
    </row>
    <row r="941" spans="1:5" ht="13" x14ac:dyDescent="0.3">
      <c r="A941" s="16"/>
      <c r="B941" s="16"/>
      <c r="C941" s="17"/>
      <c r="D941" s="16"/>
      <c r="E941" s="16"/>
    </row>
    <row r="942" spans="1:5" ht="13" x14ac:dyDescent="0.3">
      <c r="A942" s="16"/>
      <c r="B942" s="16"/>
      <c r="C942" s="17"/>
      <c r="D942" s="16"/>
      <c r="E942" s="16"/>
    </row>
    <row r="943" spans="1:5" ht="13" x14ac:dyDescent="0.3">
      <c r="A943" s="16"/>
      <c r="B943" s="16"/>
      <c r="C943" s="17"/>
      <c r="D943" s="16"/>
      <c r="E943" s="16"/>
    </row>
    <row r="944" spans="1:5" ht="13" x14ac:dyDescent="0.3">
      <c r="A944" s="16"/>
      <c r="B944" s="16"/>
      <c r="C944" s="17"/>
      <c r="D944" s="16"/>
      <c r="E944" s="16"/>
    </row>
    <row r="945" spans="1:5" ht="13" x14ac:dyDescent="0.3">
      <c r="A945" s="16"/>
      <c r="B945" s="16"/>
      <c r="C945" s="17"/>
      <c r="D945" s="16"/>
      <c r="E945" s="16"/>
    </row>
    <row r="946" spans="1:5" ht="13" x14ac:dyDescent="0.3">
      <c r="A946" s="16"/>
      <c r="B946" s="16"/>
      <c r="C946" s="17"/>
      <c r="D946" s="16"/>
      <c r="E946" s="16"/>
    </row>
    <row r="947" spans="1:5" ht="13" x14ac:dyDescent="0.3">
      <c r="A947" s="16"/>
      <c r="B947" s="16"/>
      <c r="C947" s="17"/>
      <c r="D947" s="16"/>
      <c r="E947" s="16"/>
    </row>
    <row r="948" spans="1:5" ht="13" x14ac:dyDescent="0.3">
      <c r="A948" s="16"/>
      <c r="B948" s="16"/>
      <c r="C948" s="17"/>
      <c r="D948" s="16"/>
      <c r="E948" s="16"/>
    </row>
    <row r="949" spans="1:5" ht="13" x14ac:dyDescent="0.3">
      <c r="A949" s="16"/>
      <c r="B949" s="16"/>
      <c r="C949" s="17"/>
      <c r="D949" s="16"/>
      <c r="E949" s="16"/>
    </row>
    <row r="950" spans="1:5" ht="13" x14ac:dyDescent="0.3">
      <c r="A950" s="16"/>
      <c r="B950" s="16"/>
      <c r="C950" s="17"/>
      <c r="D950" s="16"/>
      <c r="E950" s="16"/>
    </row>
    <row r="951" spans="1:5" ht="13" x14ac:dyDescent="0.3">
      <c r="A951" s="16"/>
      <c r="B951" s="16"/>
      <c r="C951" s="17"/>
      <c r="D951" s="16"/>
      <c r="E951" s="16"/>
    </row>
    <row r="952" spans="1:5" ht="13" x14ac:dyDescent="0.3">
      <c r="A952" s="16"/>
      <c r="B952" s="16"/>
      <c r="C952" s="17"/>
      <c r="D952" s="16"/>
      <c r="E952" s="16"/>
    </row>
    <row r="953" spans="1:5" ht="13" x14ac:dyDescent="0.3">
      <c r="A953" s="16"/>
      <c r="B953" s="16"/>
      <c r="C953" s="17"/>
      <c r="D953" s="16"/>
      <c r="E953" s="16"/>
    </row>
    <row r="954" spans="1:5" ht="13" x14ac:dyDescent="0.3">
      <c r="A954" s="16"/>
      <c r="B954" s="16"/>
      <c r="C954" s="17"/>
      <c r="D954" s="16"/>
      <c r="E954" s="16"/>
    </row>
    <row r="955" spans="1:5" ht="13" x14ac:dyDescent="0.3">
      <c r="A955" s="16"/>
      <c r="B955" s="16"/>
      <c r="C955" s="17"/>
      <c r="D955" s="16"/>
      <c r="E955" s="16"/>
    </row>
    <row r="956" spans="1:5" ht="13" x14ac:dyDescent="0.3">
      <c r="A956" s="16"/>
      <c r="B956" s="16"/>
      <c r="C956" s="17"/>
      <c r="D956" s="16"/>
      <c r="E956" s="16"/>
    </row>
    <row r="957" spans="1:5" ht="13" x14ac:dyDescent="0.3">
      <c r="A957" s="16"/>
      <c r="B957" s="16"/>
      <c r="C957" s="17"/>
      <c r="D957" s="16"/>
      <c r="E957" s="16"/>
    </row>
    <row r="958" spans="1:5" ht="13" x14ac:dyDescent="0.3">
      <c r="A958" s="16"/>
      <c r="B958" s="16"/>
      <c r="C958" s="17"/>
      <c r="D958" s="16"/>
      <c r="E958" s="16"/>
    </row>
    <row r="959" spans="1:5" ht="13" x14ac:dyDescent="0.3">
      <c r="A959" s="16"/>
      <c r="B959" s="16"/>
      <c r="C959" s="17"/>
      <c r="D959" s="16"/>
      <c r="E959" s="16"/>
    </row>
    <row r="960" spans="1:5" ht="13" x14ac:dyDescent="0.3">
      <c r="A960" s="16"/>
      <c r="B960" s="16"/>
      <c r="C960" s="17"/>
      <c r="D960" s="16"/>
      <c r="E960" s="16"/>
    </row>
    <row r="961" spans="1:5" ht="13" x14ac:dyDescent="0.3">
      <c r="A961" s="16"/>
      <c r="B961" s="16"/>
      <c r="C961" s="17"/>
      <c r="D961" s="16"/>
      <c r="E961" s="16"/>
    </row>
    <row r="962" spans="1:5" ht="13" x14ac:dyDescent="0.3">
      <c r="A962" s="16"/>
      <c r="B962" s="16"/>
      <c r="C962" s="17"/>
      <c r="D962" s="16"/>
      <c r="E962" s="16"/>
    </row>
    <row r="963" spans="1:5" ht="13" x14ac:dyDescent="0.3">
      <c r="A963" s="16"/>
      <c r="B963" s="16"/>
      <c r="C963" s="17"/>
      <c r="D963" s="16"/>
      <c r="E963" s="16"/>
    </row>
    <row r="964" spans="1:5" ht="13" x14ac:dyDescent="0.3">
      <c r="A964" s="16"/>
      <c r="B964" s="16"/>
      <c r="C964" s="17"/>
      <c r="D964" s="16"/>
      <c r="E964" s="16"/>
    </row>
    <row r="965" spans="1:5" ht="13" x14ac:dyDescent="0.3">
      <c r="A965" s="16"/>
      <c r="B965" s="16"/>
      <c r="C965" s="17"/>
      <c r="D965" s="16"/>
      <c r="E965" s="16"/>
    </row>
    <row r="966" spans="1:5" ht="13" x14ac:dyDescent="0.3">
      <c r="A966" s="16"/>
      <c r="B966" s="16"/>
      <c r="C966" s="17"/>
      <c r="D966" s="16"/>
      <c r="E966" s="16"/>
    </row>
    <row r="967" spans="1:5" ht="13" x14ac:dyDescent="0.3">
      <c r="A967" s="16"/>
      <c r="B967" s="16"/>
      <c r="C967" s="17"/>
      <c r="D967" s="16"/>
      <c r="E967" s="16"/>
    </row>
    <row r="968" spans="1:5" ht="13" x14ac:dyDescent="0.3">
      <c r="A968" s="16"/>
      <c r="B968" s="16"/>
      <c r="C968" s="17"/>
      <c r="D968" s="16"/>
      <c r="E968" s="16"/>
    </row>
    <row r="969" spans="1:5" ht="13" x14ac:dyDescent="0.3">
      <c r="A969" s="16"/>
      <c r="B969" s="16"/>
      <c r="C969" s="17"/>
      <c r="D969" s="16"/>
      <c r="E969" s="16"/>
    </row>
    <row r="970" spans="1:5" ht="13" x14ac:dyDescent="0.3">
      <c r="A970" s="16"/>
      <c r="B970" s="16"/>
      <c r="C970" s="17"/>
      <c r="D970" s="16"/>
      <c r="E970" s="16"/>
    </row>
    <row r="971" spans="1:5" ht="13" x14ac:dyDescent="0.3">
      <c r="A971" s="16"/>
      <c r="B971" s="16"/>
      <c r="C971" s="17"/>
      <c r="D971" s="16"/>
      <c r="E971" s="16"/>
    </row>
    <row r="972" spans="1:5" ht="13" x14ac:dyDescent="0.3">
      <c r="A972" s="16"/>
      <c r="B972" s="16"/>
      <c r="C972" s="17"/>
      <c r="D972" s="16"/>
      <c r="E972" s="16"/>
    </row>
    <row r="973" spans="1:5" ht="13" x14ac:dyDescent="0.3">
      <c r="A973" s="16"/>
      <c r="B973" s="16"/>
      <c r="C973" s="17"/>
      <c r="D973" s="16"/>
      <c r="E973" s="16"/>
    </row>
    <row r="974" spans="1:5" ht="13" x14ac:dyDescent="0.3">
      <c r="A974" s="16"/>
      <c r="B974" s="16"/>
      <c r="C974" s="17"/>
      <c r="D974" s="16"/>
      <c r="E974" s="16"/>
    </row>
    <row r="975" spans="1:5" ht="13" x14ac:dyDescent="0.3">
      <c r="A975" s="16"/>
      <c r="B975" s="16"/>
      <c r="C975" s="17"/>
      <c r="D975" s="16"/>
      <c r="E975" s="16"/>
    </row>
    <row r="976" spans="1:5" ht="13" x14ac:dyDescent="0.3">
      <c r="A976" s="16"/>
      <c r="B976" s="16"/>
      <c r="C976" s="17"/>
      <c r="D976" s="16"/>
      <c r="E976" s="16"/>
    </row>
    <row r="977" spans="1:5" ht="13" x14ac:dyDescent="0.3">
      <c r="A977" s="16"/>
      <c r="B977" s="16"/>
      <c r="C977" s="17"/>
      <c r="D977" s="16"/>
      <c r="E977" s="16"/>
    </row>
    <row r="978" spans="1:5" ht="13" x14ac:dyDescent="0.3">
      <c r="A978" s="16"/>
      <c r="B978" s="16"/>
      <c r="C978" s="17"/>
      <c r="D978" s="16"/>
      <c r="E978" s="16"/>
    </row>
    <row r="979" spans="1:5" ht="13" x14ac:dyDescent="0.3">
      <c r="A979" s="16"/>
      <c r="B979" s="16"/>
      <c r="C979" s="17"/>
      <c r="D979" s="16"/>
      <c r="E979" s="16"/>
    </row>
    <row r="980" spans="1:5" ht="13" x14ac:dyDescent="0.3">
      <c r="A980" s="16"/>
      <c r="B980" s="16"/>
      <c r="C980" s="17"/>
      <c r="D980" s="16"/>
      <c r="E980" s="16"/>
    </row>
    <row r="981" spans="1:5" ht="13" x14ac:dyDescent="0.3">
      <c r="A981" s="16"/>
      <c r="B981" s="16"/>
      <c r="C981" s="17"/>
      <c r="D981" s="16"/>
      <c r="E981" s="16"/>
    </row>
    <row r="982" spans="1:5" ht="13" x14ac:dyDescent="0.3">
      <c r="A982" s="16"/>
      <c r="B982" s="16"/>
      <c r="C982" s="17"/>
      <c r="D982" s="16"/>
      <c r="E982" s="16"/>
    </row>
    <row r="983" spans="1:5" ht="13" x14ac:dyDescent="0.3">
      <c r="A983" s="16"/>
      <c r="B983" s="16"/>
      <c r="C983" s="17"/>
      <c r="D983" s="16"/>
      <c r="E983" s="16"/>
    </row>
    <row r="984" spans="1:5" ht="13" x14ac:dyDescent="0.3">
      <c r="A984" s="16"/>
      <c r="B984" s="16"/>
      <c r="C984" s="17"/>
      <c r="D984" s="16"/>
      <c r="E984" s="16"/>
    </row>
    <row r="985" spans="1:5" ht="13" x14ac:dyDescent="0.3">
      <c r="A985" s="16"/>
      <c r="B985" s="16"/>
      <c r="C985" s="17"/>
      <c r="D985" s="16"/>
      <c r="E985" s="16"/>
    </row>
    <row r="986" spans="1:5" ht="13" x14ac:dyDescent="0.3">
      <c r="A986" s="16"/>
      <c r="B986" s="16"/>
      <c r="C986" s="17"/>
      <c r="D986" s="16"/>
      <c r="E986" s="16"/>
    </row>
    <row r="987" spans="1:5" ht="13" x14ac:dyDescent="0.3">
      <c r="A987" s="16"/>
      <c r="B987" s="16"/>
      <c r="C987" s="17"/>
      <c r="D987" s="16"/>
      <c r="E987" s="16"/>
    </row>
    <row r="988" spans="1:5" ht="13" x14ac:dyDescent="0.3">
      <c r="A988" s="16"/>
      <c r="B988" s="16"/>
      <c r="C988" s="17"/>
      <c r="D988" s="16"/>
      <c r="E988" s="16"/>
    </row>
    <row r="989" spans="1:5" ht="13" x14ac:dyDescent="0.3">
      <c r="A989" s="16"/>
      <c r="B989" s="16"/>
      <c r="C989" s="17"/>
      <c r="D989" s="16"/>
      <c r="E989" s="16"/>
    </row>
    <row r="990" spans="1:5" ht="13" x14ac:dyDescent="0.3">
      <c r="A990" s="16"/>
      <c r="B990" s="16"/>
      <c r="C990" s="17"/>
      <c r="D990" s="16"/>
      <c r="E990" s="16"/>
    </row>
    <row r="991" spans="1:5" ht="13" x14ac:dyDescent="0.3">
      <c r="A991" s="16"/>
      <c r="B991" s="16"/>
      <c r="C991" s="17"/>
      <c r="D991" s="16"/>
      <c r="E991" s="16"/>
    </row>
    <row r="992" spans="1:5" ht="13" x14ac:dyDescent="0.3">
      <c r="A992" s="16"/>
      <c r="B992" s="16"/>
      <c r="C992" s="17"/>
      <c r="D992" s="16"/>
      <c r="E992" s="16"/>
    </row>
    <row r="993" spans="1:5" ht="13" x14ac:dyDescent="0.3">
      <c r="A993" s="16"/>
      <c r="B993" s="16"/>
      <c r="C993" s="17"/>
      <c r="D993" s="16"/>
      <c r="E993" s="16"/>
    </row>
    <row r="994" spans="1:5" ht="13" x14ac:dyDescent="0.3">
      <c r="A994" s="16"/>
      <c r="B994" s="16"/>
      <c r="C994" s="17"/>
      <c r="D994" s="16"/>
      <c r="E994" s="16"/>
    </row>
    <row r="995" spans="1:5" ht="13" x14ac:dyDescent="0.3">
      <c r="A995" s="16"/>
      <c r="B995" s="16"/>
      <c r="C995" s="17"/>
      <c r="D995" s="16"/>
      <c r="E995" s="16"/>
    </row>
    <row r="996" spans="1:5" ht="13" x14ac:dyDescent="0.3">
      <c r="A996" s="16"/>
      <c r="B996" s="16"/>
      <c r="C996" s="17"/>
      <c r="D996" s="16"/>
      <c r="E996" s="16"/>
    </row>
    <row r="997" spans="1:5" ht="13" x14ac:dyDescent="0.3">
      <c r="A997" s="16"/>
      <c r="B997" s="16"/>
      <c r="C997" s="17"/>
      <c r="D997" s="16"/>
      <c r="E997" s="16"/>
    </row>
    <row r="998" spans="1:5" ht="13" x14ac:dyDescent="0.3">
      <c r="A998" s="16"/>
      <c r="B998" s="16"/>
      <c r="C998" s="17"/>
      <c r="D998" s="16"/>
      <c r="E998" s="16"/>
    </row>
    <row r="999" spans="1:5" ht="13" x14ac:dyDescent="0.3">
      <c r="A999" s="16"/>
      <c r="B999" s="16"/>
      <c r="C999" s="17"/>
      <c r="D999" s="16"/>
      <c r="E999" s="16"/>
    </row>
    <row r="1000" spans="1:5" ht="13" x14ac:dyDescent="0.3">
      <c r="A1000" s="16"/>
      <c r="B1000" s="16"/>
      <c r="C1000" s="17"/>
      <c r="D1000" s="16"/>
      <c r="E1000" s="16"/>
    </row>
    <row r="1001" spans="1:5" ht="13" x14ac:dyDescent="0.3">
      <c r="A1001" s="16"/>
      <c r="B1001" s="16"/>
      <c r="C1001" s="17"/>
      <c r="D1001" s="16"/>
      <c r="E1001" s="16"/>
    </row>
    <row r="1002" spans="1:5" ht="13" x14ac:dyDescent="0.3">
      <c r="A1002" s="16"/>
      <c r="B1002" s="16"/>
      <c r="C1002" s="17"/>
      <c r="D1002" s="16"/>
      <c r="E1002" s="16"/>
    </row>
    <row r="1003" spans="1:5" ht="13" x14ac:dyDescent="0.3">
      <c r="A1003" s="16"/>
      <c r="B1003" s="16"/>
      <c r="C1003" s="17"/>
      <c r="D1003" s="16"/>
      <c r="E1003" s="16"/>
    </row>
    <row r="1004" spans="1:5" ht="13" x14ac:dyDescent="0.3">
      <c r="A1004" s="16"/>
      <c r="B1004" s="16"/>
      <c r="C1004" s="17"/>
      <c r="D1004" s="16"/>
      <c r="E1004" s="16"/>
    </row>
    <row r="1005" spans="1:5" ht="13" x14ac:dyDescent="0.3">
      <c r="A1005" s="16"/>
      <c r="B1005" s="16"/>
      <c r="C1005" s="17"/>
      <c r="D1005" s="16"/>
      <c r="E1005" s="16"/>
    </row>
    <row r="1006" spans="1:5" ht="13" x14ac:dyDescent="0.3">
      <c r="A1006" s="16"/>
      <c r="B1006" s="16"/>
      <c r="C1006" s="17"/>
      <c r="D1006" s="16"/>
      <c r="E1006" s="16"/>
    </row>
    <row r="1007" spans="1:5" ht="13" x14ac:dyDescent="0.3">
      <c r="A1007" s="16"/>
      <c r="B1007" s="16"/>
      <c r="C1007" s="17"/>
      <c r="D1007" s="16"/>
      <c r="E1007" s="16"/>
    </row>
    <row r="1008" spans="1:5" ht="13" x14ac:dyDescent="0.3">
      <c r="A1008" s="16"/>
      <c r="B1008" s="16"/>
      <c r="C1008" s="17"/>
      <c r="D1008" s="16"/>
      <c r="E1008" s="16"/>
    </row>
    <row r="1009" spans="1:5" ht="13" x14ac:dyDescent="0.3">
      <c r="A1009" s="16"/>
      <c r="B1009" s="16"/>
      <c r="C1009" s="17"/>
      <c r="D1009" s="16"/>
      <c r="E1009" s="16"/>
    </row>
    <row r="1010" spans="1:5" ht="13" x14ac:dyDescent="0.3">
      <c r="A1010" s="16"/>
      <c r="B1010" s="16"/>
      <c r="C1010" s="17"/>
      <c r="D1010" s="16"/>
      <c r="E1010" s="16"/>
    </row>
    <row r="1011" spans="1:5" ht="13" x14ac:dyDescent="0.3">
      <c r="A1011" s="16"/>
      <c r="B1011" s="16"/>
      <c r="C1011" s="17"/>
      <c r="D1011" s="16"/>
      <c r="E1011" s="16"/>
    </row>
    <row r="1012" spans="1:5" ht="13" x14ac:dyDescent="0.3">
      <c r="A1012" s="16"/>
      <c r="B1012" s="16"/>
      <c r="C1012" s="17"/>
      <c r="D1012" s="16"/>
      <c r="E1012" s="16"/>
    </row>
    <row r="1013" spans="1:5" ht="13" x14ac:dyDescent="0.3">
      <c r="A1013" s="16"/>
      <c r="B1013" s="16"/>
      <c r="C1013" s="17"/>
      <c r="D1013" s="16"/>
      <c r="E1013" s="16"/>
    </row>
    <row r="1014" spans="1:5" ht="13" x14ac:dyDescent="0.3">
      <c r="A1014" s="16"/>
      <c r="B1014" s="16"/>
      <c r="C1014" s="17"/>
      <c r="D1014" s="16"/>
      <c r="E1014" s="16"/>
    </row>
    <row r="1015" spans="1:5" ht="13" x14ac:dyDescent="0.3">
      <c r="A1015" s="16"/>
      <c r="B1015" s="16"/>
      <c r="C1015" s="17"/>
      <c r="D1015" s="16"/>
      <c r="E1015" s="16"/>
    </row>
    <row r="1016" spans="1:5" ht="13" x14ac:dyDescent="0.3">
      <c r="A1016" s="16"/>
      <c r="B1016" s="16"/>
      <c r="C1016" s="17"/>
      <c r="D1016" s="16"/>
      <c r="E1016" s="16"/>
    </row>
    <row r="1017" spans="1:5" ht="13" x14ac:dyDescent="0.3">
      <c r="A1017" s="16"/>
      <c r="B1017" s="16"/>
      <c r="C1017" s="17"/>
      <c r="D1017" s="16"/>
      <c r="E1017" s="16"/>
    </row>
    <row r="1018" spans="1:5" ht="13" x14ac:dyDescent="0.3">
      <c r="A1018" s="16"/>
      <c r="B1018" s="16"/>
      <c r="C1018" s="17"/>
      <c r="D1018" s="16"/>
      <c r="E1018" s="16"/>
    </row>
    <row r="1019" spans="1:5" ht="13" x14ac:dyDescent="0.3">
      <c r="A1019" s="16"/>
      <c r="B1019" s="16"/>
      <c r="C1019" s="17"/>
      <c r="D1019" s="16"/>
      <c r="E1019" s="16"/>
    </row>
    <row r="1020" spans="1:5" ht="13" x14ac:dyDescent="0.3">
      <c r="A1020" s="16"/>
      <c r="B1020" s="16"/>
      <c r="C1020" s="17"/>
      <c r="D1020" s="16"/>
      <c r="E1020" s="16"/>
    </row>
    <row r="1021" spans="1:5" ht="13" x14ac:dyDescent="0.3">
      <c r="A1021" s="16"/>
      <c r="B1021" s="16"/>
      <c r="C1021" s="17"/>
      <c r="D1021" s="16"/>
      <c r="E1021" s="16"/>
    </row>
    <row r="1022" spans="1:5" ht="13" x14ac:dyDescent="0.3">
      <c r="A1022" s="16"/>
      <c r="B1022" s="16"/>
      <c r="C1022" s="17"/>
      <c r="D1022" s="16"/>
      <c r="E1022" s="16"/>
    </row>
    <row r="1023" spans="1:5" ht="13" x14ac:dyDescent="0.3">
      <c r="A1023" s="16"/>
      <c r="B1023" s="16"/>
      <c r="C1023" s="17"/>
      <c r="D1023" s="16"/>
      <c r="E1023" s="16"/>
    </row>
    <row r="1024" spans="1:5" ht="13" x14ac:dyDescent="0.3">
      <c r="A1024" s="16"/>
      <c r="B1024" s="16"/>
      <c r="C1024" s="17"/>
      <c r="D1024" s="16"/>
      <c r="E1024" s="16"/>
    </row>
    <row r="1025" spans="1:5" ht="13" x14ac:dyDescent="0.3">
      <c r="A1025" s="16"/>
      <c r="B1025" s="16"/>
      <c r="C1025" s="17"/>
      <c r="D1025" s="16"/>
      <c r="E1025" s="16"/>
    </row>
    <row r="1026" spans="1:5" ht="13" x14ac:dyDescent="0.3">
      <c r="A1026" s="16"/>
      <c r="B1026" s="16"/>
      <c r="C1026" s="17"/>
      <c r="D1026" s="16"/>
      <c r="E1026" s="16"/>
    </row>
    <row r="1027" spans="1:5" ht="13" x14ac:dyDescent="0.3">
      <c r="A1027" s="16"/>
      <c r="B1027" s="16"/>
      <c r="C1027" s="17"/>
      <c r="D1027" s="16"/>
      <c r="E1027" s="16"/>
    </row>
    <row r="1028" spans="1:5" ht="13" x14ac:dyDescent="0.3">
      <c r="A1028" s="16"/>
      <c r="B1028" s="16"/>
      <c r="C1028" s="17"/>
      <c r="D1028" s="16"/>
      <c r="E1028" s="16"/>
    </row>
    <row r="1029" spans="1:5" ht="13" x14ac:dyDescent="0.3">
      <c r="A1029" s="16"/>
      <c r="B1029" s="16"/>
      <c r="C1029" s="17"/>
      <c r="D1029" s="16"/>
      <c r="E1029" s="16"/>
    </row>
    <row r="1030" spans="1:5" ht="13" x14ac:dyDescent="0.3">
      <c r="A1030" s="16"/>
      <c r="B1030" s="16"/>
      <c r="C1030" s="17"/>
      <c r="D1030" s="16"/>
      <c r="E1030" s="16"/>
    </row>
    <row r="1031" spans="1:5" ht="13" x14ac:dyDescent="0.3">
      <c r="A1031" s="16"/>
      <c r="B1031" s="16"/>
      <c r="C1031" s="17"/>
      <c r="D1031" s="16"/>
      <c r="E1031" s="16"/>
    </row>
    <row r="1032" spans="1:5" ht="13" x14ac:dyDescent="0.3">
      <c r="A1032" s="16"/>
      <c r="B1032" s="16"/>
      <c r="C1032" s="17"/>
      <c r="D1032" s="16"/>
      <c r="E1032" s="16"/>
    </row>
    <row r="1033" spans="1:5" ht="13" x14ac:dyDescent="0.3">
      <c r="A1033" s="16"/>
      <c r="B1033" s="16"/>
      <c r="C1033" s="17"/>
      <c r="D1033" s="16"/>
      <c r="E1033" s="16"/>
    </row>
    <row r="1034" spans="1:5" ht="13" x14ac:dyDescent="0.3">
      <c r="A1034" s="16"/>
      <c r="B1034" s="16"/>
      <c r="C1034" s="17"/>
      <c r="D1034" s="16"/>
      <c r="E1034" s="16"/>
    </row>
    <row r="1035" spans="1:5" ht="13" x14ac:dyDescent="0.3">
      <c r="A1035" s="16"/>
      <c r="B1035" s="16"/>
      <c r="C1035" s="17"/>
      <c r="D1035" s="16"/>
      <c r="E1035" s="16"/>
    </row>
    <row r="1036" spans="1:5" ht="13" x14ac:dyDescent="0.3">
      <c r="A1036" s="16"/>
      <c r="B1036" s="16"/>
      <c r="C1036" s="17"/>
      <c r="D1036" s="16"/>
      <c r="E1036" s="16"/>
    </row>
    <row r="1037" spans="1:5" ht="13" x14ac:dyDescent="0.3">
      <c r="A1037" s="16"/>
      <c r="B1037" s="16"/>
      <c r="C1037" s="17"/>
      <c r="D1037" s="16"/>
      <c r="E1037" s="16"/>
    </row>
    <row r="1038" spans="1:5" ht="13" x14ac:dyDescent="0.3">
      <c r="A1038" s="16"/>
      <c r="B1038" s="16"/>
      <c r="C1038" s="17"/>
      <c r="D1038" s="16"/>
      <c r="E1038" s="16"/>
    </row>
    <row r="1039" spans="1:5" ht="13" x14ac:dyDescent="0.3">
      <c r="A1039" s="16"/>
      <c r="B1039" s="16"/>
      <c r="C1039" s="17"/>
      <c r="D1039" s="16"/>
      <c r="E1039" s="16"/>
    </row>
    <row r="1040" spans="1:5" ht="13" x14ac:dyDescent="0.3">
      <c r="A1040" s="16"/>
      <c r="B1040" s="16"/>
      <c r="C1040" s="17"/>
      <c r="D1040" s="16"/>
      <c r="E1040" s="16"/>
    </row>
    <row r="1041" spans="1:5" ht="13" x14ac:dyDescent="0.3">
      <c r="A1041" s="16"/>
      <c r="B1041" s="16"/>
      <c r="C1041" s="17"/>
      <c r="D1041" s="16"/>
      <c r="E1041" s="16"/>
    </row>
    <row r="1042" spans="1:5" ht="13" x14ac:dyDescent="0.3">
      <c r="A1042" s="16"/>
      <c r="B1042" s="16"/>
      <c r="C1042" s="17"/>
      <c r="D1042" s="16"/>
      <c r="E1042" s="16"/>
    </row>
    <row r="1043" spans="1:5" ht="13" x14ac:dyDescent="0.3">
      <c r="A1043" s="16"/>
      <c r="B1043" s="16"/>
      <c r="C1043" s="17"/>
      <c r="D1043" s="16"/>
      <c r="E1043" s="16"/>
    </row>
    <row r="1044" spans="1:5" ht="13" x14ac:dyDescent="0.3">
      <c r="A1044" s="16"/>
      <c r="B1044" s="16"/>
      <c r="C1044" s="17"/>
      <c r="D1044" s="16"/>
      <c r="E1044" s="16"/>
    </row>
    <row r="1045" spans="1:5" ht="13" x14ac:dyDescent="0.3">
      <c r="A1045" s="16"/>
      <c r="B1045" s="16"/>
      <c r="C1045" s="17"/>
      <c r="D1045" s="16"/>
      <c r="E1045" s="16"/>
    </row>
    <row r="1046" spans="1:5" ht="13" x14ac:dyDescent="0.3">
      <c r="A1046" s="16"/>
      <c r="B1046" s="16"/>
      <c r="C1046" s="17"/>
      <c r="D1046" s="16"/>
      <c r="E1046" s="16"/>
    </row>
    <row r="1047" spans="1:5" ht="13" x14ac:dyDescent="0.3">
      <c r="A1047" s="16"/>
      <c r="B1047" s="16"/>
      <c r="C1047" s="17"/>
      <c r="D1047" s="16"/>
      <c r="E1047" s="16"/>
    </row>
    <row r="1048" spans="1:5" ht="13" x14ac:dyDescent="0.3">
      <c r="A1048" s="16"/>
      <c r="B1048" s="16"/>
      <c r="C1048" s="17"/>
      <c r="D1048" s="16"/>
      <c r="E1048" s="16"/>
    </row>
    <row r="1049" spans="1:5" ht="13" x14ac:dyDescent="0.3">
      <c r="A1049" s="16"/>
      <c r="B1049" s="16"/>
      <c r="C1049" s="17"/>
      <c r="D1049" s="16"/>
      <c r="E1049" s="16"/>
    </row>
    <row r="1050" spans="1:5" ht="13" x14ac:dyDescent="0.3">
      <c r="A1050" s="16"/>
      <c r="B1050" s="16"/>
      <c r="C1050" s="17"/>
      <c r="D1050" s="16"/>
      <c r="E1050" s="16"/>
    </row>
    <row r="1051" spans="1:5" ht="13" x14ac:dyDescent="0.3">
      <c r="A1051" s="16"/>
      <c r="B1051" s="16"/>
      <c r="C1051" s="17"/>
      <c r="D1051" s="16"/>
      <c r="E1051" s="16"/>
    </row>
    <row r="1052" spans="1:5" ht="13" x14ac:dyDescent="0.3">
      <c r="A1052" s="16"/>
      <c r="B1052" s="16"/>
      <c r="C1052" s="17"/>
      <c r="D1052" s="16"/>
      <c r="E1052" s="16"/>
    </row>
    <row r="1053" spans="1:5" ht="13" x14ac:dyDescent="0.3">
      <c r="A1053" s="16"/>
      <c r="B1053" s="16"/>
      <c r="C1053" s="17"/>
      <c r="D1053" s="16"/>
      <c r="E1053" s="16"/>
    </row>
    <row r="1054" spans="1:5" ht="13" x14ac:dyDescent="0.3">
      <c r="A1054" s="16"/>
      <c r="B1054" s="16"/>
      <c r="C1054" s="17"/>
      <c r="D1054" s="16"/>
      <c r="E1054" s="16"/>
    </row>
    <row r="1055" spans="1:5" ht="13" x14ac:dyDescent="0.3">
      <c r="A1055" s="16"/>
      <c r="B1055" s="16"/>
      <c r="C1055" s="17"/>
      <c r="D1055" s="16"/>
      <c r="E1055" s="16"/>
    </row>
    <row r="1056" spans="1:5" ht="13" x14ac:dyDescent="0.3">
      <c r="A1056" s="16"/>
      <c r="B1056" s="16"/>
      <c r="C1056" s="17"/>
      <c r="D1056" s="16"/>
      <c r="E1056" s="16"/>
    </row>
    <row r="1057" spans="1:5" ht="13" x14ac:dyDescent="0.3">
      <c r="A1057" s="16"/>
      <c r="B1057" s="16"/>
      <c r="C1057" s="17"/>
      <c r="D1057" s="16"/>
      <c r="E1057" s="16"/>
    </row>
    <row r="1058" spans="1:5" ht="13" x14ac:dyDescent="0.3">
      <c r="A1058" s="16"/>
      <c r="B1058" s="16"/>
      <c r="C1058" s="17"/>
      <c r="D1058" s="16"/>
      <c r="E1058" s="16"/>
    </row>
    <row r="1059" spans="1:5" ht="13" x14ac:dyDescent="0.3">
      <c r="A1059" s="16"/>
      <c r="B1059" s="16"/>
      <c r="C1059" s="17"/>
      <c r="D1059" s="16"/>
      <c r="E1059" s="16"/>
    </row>
    <row r="1060" spans="1:5" ht="13" x14ac:dyDescent="0.3">
      <c r="A1060" s="16"/>
      <c r="B1060" s="16"/>
      <c r="C1060" s="17"/>
      <c r="D1060" s="16"/>
      <c r="E1060" s="16"/>
    </row>
    <row r="1061" spans="1:5" ht="13" x14ac:dyDescent="0.3">
      <c r="A1061" s="16"/>
      <c r="B1061" s="16"/>
      <c r="C1061" s="17"/>
      <c r="D1061" s="16"/>
      <c r="E1061" s="16"/>
    </row>
    <row r="1062" spans="1:5" ht="13" x14ac:dyDescent="0.3">
      <c r="A1062" s="16"/>
      <c r="B1062" s="16"/>
      <c r="C1062" s="17"/>
      <c r="D1062" s="16"/>
      <c r="E1062" s="16"/>
    </row>
    <row r="1063" spans="1:5" ht="13" x14ac:dyDescent="0.3">
      <c r="A1063" s="16"/>
      <c r="B1063" s="16"/>
      <c r="C1063" s="17"/>
      <c r="D1063" s="16"/>
      <c r="E1063" s="16"/>
    </row>
    <row r="1064" spans="1:5" ht="13" x14ac:dyDescent="0.3">
      <c r="A1064" s="16"/>
      <c r="B1064" s="16"/>
      <c r="C1064" s="17"/>
      <c r="D1064" s="16"/>
      <c r="E1064" s="16"/>
    </row>
    <row r="1065" spans="1:5" ht="13" x14ac:dyDescent="0.3">
      <c r="A1065" s="16"/>
      <c r="B1065" s="16"/>
      <c r="C1065" s="17"/>
      <c r="D1065" s="16"/>
      <c r="E1065" s="16"/>
    </row>
    <row r="1066" spans="1:5" ht="13" x14ac:dyDescent="0.3">
      <c r="A1066" s="16"/>
      <c r="B1066" s="16"/>
      <c r="C1066" s="17"/>
      <c r="D1066" s="16"/>
      <c r="E1066" s="16"/>
    </row>
    <row r="1067" spans="1:5" ht="13" x14ac:dyDescent="0.3">
      <c r="A1067" s="16"/>
      <c r="B1067" s="16"/>
      <c r="C1067" s="17"/>
      <c r="D1067" s="16"/>
      <c r="E1067" s="16"/>
    </row>
    <row r="1068" spans="1:5" ht="13" x14ac:dyDescent="0.3">
      <c r="A1068" s="16"/>
      <c r="B1068" s="16"/>
      <c r="C1068" s="17"/>
      <c r="D1068" s="16"/>
      <c r="E1068" s="16"/>
    </row>
    <row r="1069" spans="1:5" ht="13" x14ac:dyDescent="0.3">
      <c r="A1069" s="16"/>
      <c r="B1069" s="16"/>
      <c r="C1069" s="17"/>
      <c r="D1069" s="16"/>
      <c r="E1069" s="16"/>
    </row>
    <row r="1070" spans="1:5" ht="13" x14ac:dyDescent="0.3">
      <c r="A1070" s="16"/>
      <c r="B1070" s="16"/>
      <c r="C1070" s="17"/>
      <c r="D1070" s="16"/>
      <c r="E1070" s="16"/>
    </row>
    <row r="1071" spans="1:5" ht="13" x14ac:dyDescent="0.3">
      <c r="A1071" s="16"/>
      <c r="B1071" s="16"/>
      <c r="C1071" s="17"/>
      <c r="D1071" s="16"/>
      <c r="E1071" s="16"/>
    </row>
    <row r="1072" spans="1:5" ht="13" x14ac:dyDescent="0.3">
      <c r="A1072" s="16"/>
      <c r="B1072" s="16"/>
      <c r="C1072" s="17"/>
      <c r="D1072" s="16"/>
      <c r="E1072" s="16"/>
    </row>
    <row r="1073" spans="1:5" ht="13" x14ac:dyDescent="0.3">
      <c r="A1073" s="16"/>
      <c r="B1073" s="16"/>
      <c r="C1073" s="17"/>
      <c r="D1073" s="16"/>
      <c r="E1073" s="16"/>
    </row>
    <row r="1074" spans="1:5" ht="13" x14ac:dyDescent="0.3">
      <c r="A1074" s="16"/>
      <c r="B1074" s="16"/>
      <c r="C1074" s="17"/>
      <c r="D1074" s="16"/>
      <c r="E1074" s="16"/>
    </row>
    <row r="1075" spans="1:5" ht="13" x14ac:dyDescent="0.3">
      <c r="A1075" s="16"/>
      <c r="B1075" s="16"/>
      <c r="C1075" s="17"/>
      <c r="D1075" s="16"/>
      <c r="E1075" s="16"/>
    </row>
    <row r="1076" spans="1:5" ht="13" x14ac:dyDescent="0.3">
      <c r="A1076" s="16"/>
      <c r="B1076" s="16"/>
      <c r="C1076" s="17"/>
      <c r="D1076" s="16"/>
      <c r="E1076" s="16"/>
    </row>
    <row r="1077" spans="1:5" ht="13" x14ac:dyDescent="0.3">
      <c r="A1077" s="16"/>
      <c r="B1077" s="16"/>
      <c r="C1077" s="17"/>
      <c r="D1077" s="16"/>
      <c r="E1077" s="16"/>
    </row>
    <row r="1078" spans="1:5" ht="13" x14ac:dyDescent="0.3">
      <c r="A1078" s="16"/>
      <c r="B1078" s="16"/>
      <c r="C1078" s="17"/>
      <c r="D1078" s="16"/>
      <c r="E1078" s="16"/>
    </row>
    <row r="1079" spans="1:5" ht="13" x14ac:dyDescent="0.3">
      <c r="A1079" s="16"/>
      <c r="B1079" s="16"/>
      <c r="C1079" s="17"/>
      <c r="D1079" s="16"/>
      <c r="E1079" s="16"/>
    </row>
    <row r="1080" spans="1:5" ht="13" x14ac:dyDescent="0.3">
      <c r="A1080" s="16"/>
      <c r="B1080" s="16"/>
      <c r="C1080" s="17"/>
      <c r="D1080" s="16"/>
      <c r="E1080" s="16"/>
    </row>
    <row r="1081" spans="1:5" ht="13" x14ac:dyDescent="0.3">
      <c r="A1081" s="16"/>
      <c r="B1081" s="16"/>
      <c r="C1081" s="17"/>
      <c r="D1081" s="16"/>
      <c r="E1081" s="16"/>
    </row>
    <row r="1082" spans="1:5" ht="13" x14ac:dyDescent="0.3">
      <c r="A1082" s="16"/>
      <c r="B1082" s="16"/>
      <c r="C1082" s="17"/>
      <c r="D1082" s="16"/>
      <c r="E1082" s="16"/>
    </row>
    <row r="1083" spans="1:5" ht="13" x14ac:dyDescent="0.3">
      <c r="A1083" s="16"/>
      <c r="B1083" s="16"/>
      <c r="C1083" s="17"/>
      <c r="D1083" s="16"/>
      <c r="E1083" s="16"/>
    </row>
    <row r="1084" spans="1:5" ht="13" x14ac:dyDescent="0.3">
      <c r="A1084" s="16"/>
      <c r="B1084" s="16"/>
      <c r="C1084" s="17"/>
      <c r="D1084" s="16"/>
      <c r="E1084" s="16"/>
    </row>
    <row r="1085" spans="1:5" ht="13" x14ac:dyDescent="0.3">
      <c r="A1085" s="16"/>
      <c r="B1085" s="16"/>
      <c r="C1085" s="17"/>
      <c r="D1085" s="16"/>
      <c r="E1085" s="16"/>
    </row>
    <row r="1086" spans="1:5" ht="13" x14ac:dyDescent="0.3">
      <c r="A1086" s="16"/>
      <c r="B1086" s="16"/>
      <c r="C1086" s="17"/>
      <c r="D1086" s="16"/>
      <c r="E1086" s="16"/>
    </row>
    <row r="1087" spans="1:5" ht="13" x14ac:dyDescent="0.3">
      <c r="A1087" s="16"/>
      <c r="B1087" s="16"/>
      <c r="C1087" s="17"/>
      <c r="D1087" s="16"/>
      <c r="E1087" s="16"/>
    </row>
    <row r="1088" spans="1:5" ht="13" x14ac:dyDescent="0.3">
      <c r="A1088" s="16"/>
      <c r="B1088" s="16"/>
      <c r="C1088" s="17"/>
      <c r="D1088" s="16"/>
      <c r="E1088" s="16"/>
    </row>
    <row r="1089" spans="1:5" ht="13" x14ac:dyDescent="0.3">
      <c r="A1089" s="16"/>
      <c r="B1089" s="16"/>
      <c r="C1089" s="17"/>
      <c r="D1089" s="16"/>
      <c r="E1089" s="16"/>
    </row>
    <row r="1090" spans="1:5" ht="13" x14ac:dyDescent="0.3">
      <c r="A1090" s="16"/>
      <c r="B1090" s="16"/>
      <c r="C1090" s="17"/>
      <c r="D1090" s="16"/>
      <c r="E1090" s="16"/>
    </row>
    <row r="1091" spans="1:5" ht="13" x14ac:dyDescent="0.3">
      <c r="A1091" s="16"/>
      <c r="B1091" s="16"/>
      <c r="C1091" s="17"/>
      <c r="D1091" s="16"/>
      <c r="E1091" s="16"/>
    </row>
    <row r="1092" spans="1:5" ht="13" x14ac:dyDescent="0.3">
      <c r="A1092" s="16"/>
      <c r="B1092" s="16"/>
      <c r="C1092" s="17"/>
      <c r="D1092" s="16"/>
      <c r="E1092" s="16"/>
    </row>
    <row r="1093" spans="1:5" ht="13" x14ac:dyDescent="0.3">
      <c r="A1093" s="16"/>
      <c r="B1093" s="16"/>
      <c r="C1093" s="17"/>
      <c r="D1093" s="16"/>
      <c r="E1093" s="16"/>
    </row>
    <row r="1094" spans="1:5" ht="13" x14ac:dyDescent="0.3">
      <c r="A1094" s="16"/>
      <c r="B1094" s="16"/>
      <c r="C1094" s="17"/>
      <c r="D1094" s="16"/>
      <c r="E1094" s="16"/>
    </row>
    <row r="1095" spans="1:5" ht="13" x14ac:dyDescent="0.3">
      <c r="A1095" s="16"/>
      <c r="B1095" s="16"/>
      <c r="C1095" s="17"/>
      <c r="D1095" s="16"/>
      <c r="E1095" s="16"/>
    </row>
    <row r="1096" spans="1:5" ht="13" x14ac:dyDescent="0.3">
      <c r="A1096" s="16"/>
      <c r="B1096" s="16"/>
      <c r="C1096" s="17"/>
      <c r="D1096" s="16"/>
      <c r="E1096" s="16"/>
    </row>
    <row r="1097" spans="1:5" ht="13" x14ac:dyDescent="0.3">
      <c r="A1097" s="16"/>
      <c r="B1097" s="16"/>
      <c r="C1097" s="17"/>
      <c r="D1097" s="16"/>
      <c r="E1097" s="16"/>
    </row>
    <row r="1098" spans="1:5" ht="13" x14ac:dyDescent="0.3">
      <c r="A1098" s="16"/>
      <c r="B1098" s="16"/>
      <c r="C1098" s="17"/>
      <c r="D1098" s="16"/>
      <c r="E1098" s="16"/>
    </row>
    <row r="1099" spans="1:5" ht="13" x14ac:dyDescent="0.3">
      <c r="A1099" s="16"/>
      <c r="B1099" s="16"/>
      <c r="C1099" s="17"/>
      <c r="D1099" s="16"/>
      <c r="E1099" s="16"/>
    </row>
    <row r="1100" spans="1:5" ht="13" x14ac:dyDescent="0.3">
      <c r="A1100" s="16"/>
      <c r="B1100" s="16"/>
      <c r="C1100" s="17"/>
      <c r="D1100" s="16"/>
      <c r="E1100" s="16"/>
    </row>
    <row r="1101" spans="1:5" ht="13" x14ac:dyDescent="0.3">
      <c r="A1101" s="16"/>
      <c r="B1101" s="16"/>
      <c r="C1101" s="17"/>
      <c r="D1101" s="16"/>
      <c r="E1101" s="16"/>
    </row>
  </sheetData>
  <pageMargins left="0.511811024" right="0.511811024" top="0.78740157499999996" bottom="0.78740157499999996" header="0.31496062000000002" footer="0.31496062000000002"/>
  <pageSetup paperSize="9" orientation="portrait" verticalDpi="597"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677F1"/>
    <outlinePr summaryBelow="0" summaryRight="0"/>
  </sheetPr>
  <dimension ref="A1:AY600"/>
  <sheetViews>
    <sheetView workbookViewId="0">
      <pane ySplit="2" topLeftCell="A3" activePane="bottomLeft" state="frozen"/>
      <selection pane="bottomLeft" activeCell="B4" sqref="B4"/>
    </sheetView>
  </sheetViews>
  <sheetFormatPr defaultColWidth="12.6328125" defaultRowHeight="15.75" customHeight="1" x14ac:dyDescent="0.25"/>
  <cols>
    <col min="1" max="1" width="16.08984375" customWidth="1"/>
    <col min="2" max="2" width="17.08984375" customWidth="1"/>
    <col min="3" max="3" width="20.08984375" customWidth="1"/>
    <col min="4" max="4" width="37.6328125" customWidth="1"/>
    <col min="5" max="6" width="22.6328125" customWidth="1"/>
    <col min="7" max="7" width="26.08984375" customWidth="1"/>
    <col min="8" max="8" width="10.08984375" customWidth="1"/>
    <col min="9" max="9" width="36.36328125" customWidth="1"/>
    <col min="10" max="10" width="37.6328125" customWidth="1"/>
    <col min="11" max="11" width="18.90625" customWidth="1"/>
    <col min="12" max="12" width="27.08984375" customWidth="1"/>
    <col min="13" max="13" width="37.6328125" customWidth="1"/>
    <col min="14" max="14" width="21.6328125" customWidth="1"/>
    <col min="15" max="15" width="15.08984375" customWidth="1"/>
    <col min="16" max="16" width="17.6328125" customWidth="1"/>
    <col min="17" max="17" width="22.08984375" customWidth="1"/>
    <col min="18" max="18" width="14.08984375" customWidth="1"/>
    <col min="19" max="22" width="37.6328125" customWidth="1"/>
    <col min="23" max="23" width="31.08984375" customWidth="1"/>
    <col min="24" max="25" width="37.6328125" customWidth="1"/>
    <col min="26" max="26" width="35.08984375" customWidth="1"/>
    <col min="27" max="27" width="37.6328125" customWidth="1"/>
    <col min="28" max="28" width="16.08984375" customWidth="1"/>
    <col min="29" max="29" width="36.08984375" customWidth="1"/>
    <col min="30" max="30" width="27.08984375" customWidth="1"/>
    <col min="31" max="31" width="21.08984375" customWidth="1"/>
    <col min="32" max="32" width="31.08984375" customWidth="1"/>
    <col min="33" max="34" width="37.6328125" customWidth="1"/>
    <col min="35" max="35" width="22.08984375" customWidth="1"/>
    <col min="36" max="36" width="31.08984375" customWidth="1"/>
    <col min="37" max="37" width="35.08984375" customWidth="1"/>
    <col min="38" max="51" width="37.6328125" customWidth="1"/>
  </cols>
  <sheetData>
    <row r="1" spans="1:51" ht="33.75" customHeight="1" x14ac:dyDescent="0.25">
      <c r="A1" s="18" t="e">
        <f ca="1">CONCATENATE(
            "              ", "Salesforce Import", CHAR(10),
            "              ", "⚠️   ",
            _xludf.IFS(
                (NOW()-"2022/09/13 13:03") &lt;= 0,
                    "",
                AND((NOW()-"2022/09/13 13:03") * 1440 &gt;= 0, (NOW()-"2022/09/13 13:03") * 1440 &lt;= 5),
                    "Last updated just now",
                (NOW()-"2022/09/13 13:03") * 1440 &lt;= 60,
                    "Last updated "&amp;FLOOR((NOW()-"2022/09/13 13:03")*1440,1)&amp;" minutes ago",
                (NOW()-"2022/09/13 13:03") * 24 &lt;= 24,
                    "Last updated "&amp;FLOOR((NOW()-"2022/09/13 13:03")*24,1) &amp;
                        IF(FLOOR((NOW()-"2022/09/13 13:03")*24,1) &lt;= 1, " hour ago", " hours ago"),
                (NOW()-"2022/09/13 13:03") &lt;= 30,
                    "Last updated "&amp;FLOOR((NOW()-"2022/09/13 13:03"),1) &amp;
                        IF(FLOOR((NOW()-"2022/09/13 13:03"),1) &lt;= 1, " day ago", " days ago"),
                (NOW()-"2022/09/13 13:03") &gt; 30,
                    "Last updated " &amp;
                        FLOOR((NOW()-"2022/09/13 13:03")/7,1) &amp;
                        IF(FLOOR((NOW()-"2022/09/13 13:03"),1) &lt;= 1, " week ago", " weeks ago")
            )
        )</f>
        <v>#NAME?</v>
      </c>
      <c r="B1" s="18" t="s">
        <v>3740</v>
      </c>
      <c r="C1" s="19" t="s">
        <v>3740</v>
      </c>
      <c r="D1" s="18" t="s">
        <v>3740</v>
      </c>
      <c r="E1" s="18" t="s">
        <v>3740</v>
      </c>
      <c r="F1" s="18" t="s">
        <v>3740</v>
      </c>
      <c r="G1" s="19" t="s">
        <v>3740</v>
      </c>
      <c r="H1" s="19" t="s">
        <v>3740</v>
      </c>
      <c r="I1" s="18" t="s">
        <v>3740</v>
      </c>
      <c r="J1" s="18" t="s">
        <v>3740</v>
      </c>
      <c r="K1" s="18" t="s">
        <v>3740</v>
      </c>
      <c r="L1" s="18" t="s">
        <v>3740</v>
      </c>
      <c r="M1" s="18" t="s">
        <v>3740</v>
      </c>
      <c r="N1" s="18" t="s">
        <v>3740</v>
      </c>
      <c r="O1" s="18" t="s">
        <v>3740</v>
      </c>
      <c r="P1" s="18" t="s">
        <v>3740</v>
      </c>
      <c r="Q1" s="18" t="s">
        <v>3740</v>
      </c>
      <c r="R1" s="18" t="s">
        <v>3740</v>
      </c>
      <c r="S1" s="18" t="s">
        <v>3740</v>
      </c>
      <c r="T1" s="18" t="s">
        <v>3740</v>
      </c>
      <c r="U1" s="18" t="s">
        <v>3740</v>
      </c>
      <c r="V1" s="18" t="s">
        <v>3740</v>
      </c>
      <c r="W1" s="18" t="s">
        <v>3740</v>
      </c>
      <c r="X1" s="18" t="s">
        <v>3740</v>
      </c>
      <c r="Y1" s="18" t="s">
        <v>3740</v>
      </c>
      <c r="Z1" s="18" t="s">
        <v>3740</v>
      </c>
      <c r="AA1" s="18" t="s">
        <v>3740</v>
      </c>
      <c r="AB1" s="18" t="s">
        <v>3740</v>
      </c>
      <c r="AC1" s="18" t="s">
        <v>3740</v>
      </c>
      <c r="AD1" s="19" t="s">
        <v>3740</v>
      </c>
      <c r="AE1" s="19" t="s">
        <v>3740</v>
      </c>
      <c r="AF1" s="19" t="s">
        <v>3740</v>
      </c>
      <c r="AG1" s="19" t="s">
        <v>3740</v>
      </c>
      <c r="AH1" s="19" t="s">
        <v>3740</v>
      </c>
      <c r="AI1" s="19" t="s">
        <v>3740</v>
      </c>
      <c r="AJ1" s="19" t="s">
        <v>3740</v>
      </c>
      <c r="AK1" s="19" t="s">
        <v>3740</v>
      </c>
      <c r="AL1" s="19" t="s">
        <v>3740</v>
      </c>
      <c r="AM1" s="19" t="s">
        <v>3740</v>
      </c>
      <c r="AN1" s="19" t="s">
        <v>3740</v>
      </c>
      <c r="AO1" s="19" t="s">
        <v>3740</v>
      </c>
      <c r="AP1" s="19" t="s">
        <v>3740</v>
      </c>
      <c r="AQ1" s="19" t="s">
        <v>3740</v>
      </c>
      <c r="AR1" s="19" t="s">
        <v>3740</v>
      </c>
      <c r="AS1" s="19" t="s">
        <v>3740</v>
      </c>
      <c r="AT1" s="19" t="s">
        <v>3740</v>
      </c>
      <c r="AU1" s="19" t="s">
        <v>3740</v>
      </c>
      <c r="AV1" s="19" t="s">
        <v>3740</v>
      </c>
      <c r="AW1" s="19" t="s">
        <v>3740</v>
      </c>
      <c r="AX1" s="19"/>
      <c r="AY1" s="19"/>
    </row>
    <row r="2" spans="1:51" ht="22.5" customHeight="1" x14ac:dyDescent="0.25">
      <c r="A2" s="20" t="s">
        <v>0</v>
      </c>
      <c r="B2" s="20" t="s">
        <v>1</v>
      </c>
      <c r="C2" s="20" t="s">
        <v>3741</v>
      </c>
      <c r="D2" s="20" t="s">
        <v>2</v>
      </c>
      <c r="E2" s="20" t="s">
        <v>3</v>
      </c>
      <c r="F2" s="20" t="s">
        <v>4</v>
      </c>
      <c r="G2" s="20" t="s">
        <v>3742</v>
      </c>
      <c r="H2" s="20" t="s">
        <v>3743</v>
      </c>
      <c r="I2" s="20" t="s">
        <v>5</v>
      </c>
      <c r="J2" s="20" t="s">
        <v>6</v>
      </c>
      <c r="K2" s="20" t="s">
        <v>7</v>
      </c>
      <c r="L2" s="20" t="s">
        <v>8</v>
      </c>
      <c r="M2" s="20" t="s">
        <v>9</v>
      </c>
      <c r="N2" s="20" t="s">
        <v>10</v>
      </c>
      <c r="O2" s="20" t="s">
        <v>11</v>
      </c>
      <c r="P2" s="20" t="s">
        <v>12</v>
      </c>
      <c r="Q2" s="20" t="s">
        <v>13</v>
      </c>
      <c r="R2" s="20" t="s">
        <v>14</v>
      </c>
      <c r="S2" s="20" t="s">
        <v>15</v>
      </c>
      <c r="T2" s="20" t="s">
        <v>16</v>
      </c>
      <c r="U2" s="20" t="s">
        <v>17</v>
      </c>
      <c r="V2" s="20" t="s">
        <v>18</v>
      </c>
      <c r="W2" s="20" t="s">
        <v>19</v>
      </c>
      <c r="X2" s="20" t="s">
        <v>20</v>
      </c>
      <c r="Y2" s="20" t="s">
        <v>21</v>
      </c>
      <c r="Z2" s="20" t="s">
        <v>22</v>
      </c>
      <c r="AA2" s="20" t="s">
        <v>23</v>
      </c>
      <c r="AB2" s="20" t="s">
        <v>24</v>
      </c>
      <c r="AC2" s="20" t="s">
        <v>25</v>
      </c>
      <c r="AD2" s="20" t="s">
        <v>26</v>
      </c>
      <c r="AE2" s="20" t="s">
        <v>27</v>
      </c>
      <c r="AF2" s="20" t="s">
        <v>28</v>
      </c>
      <c r="AG2" s="20" t="s">
        <v>29</v>
      </c>
      <c r="AH2" s="20" t="s">
        <v>30</v>
      </c>
      <c r="AI2" s="20" t="s">
        <v>31</v>
      </c>
      <c r="AJ2" s="20" t="s">
        <v>32</v>
      </c>
      <c r="AK2" s="20" t="s">
        <v>33</v>
      </c>
      <c r="AL2" s="20" t="s">
        <v>34</v>
      </c>
      <c r="AM2" s="20" t="s">
        <v>35</v>
      </c>
      <c r="AN2" s="20" t="s">
        <v>36</v>
      </c>
      <c r="AO2" s="20" t="s">
        <v>37</v>
      </c>
      <c r="AP2" s="20" t="s">
        <v>38</v>
      </c>
      <c r="AQ2" s="20" t="s">
        <v>39</v>
      </c>
      <c r="AR2" s="20" t="s">
        <v>40</v>
      </c>
      <c r="AS2" s="20" t="s">
        <v>41</v>
      </c>
      <c r="AT2" s="20" t="s">
        <v>42</v>
      </c>
      <c r="AU2" s="20" t="s">
        <v>43</v>
      </c>
      <c r="AV2" s="20" t="s">
        <v>44</v>
      </c>
      <c r="AW2" s="20" t="s">
        <v>45</v>
      </c>
      <c r="AX2" s="20"/>
      <c r="AY2" s="20"/>
    </row>
    <row r="3" spans="1:51" ht="12.5" x14ac:dyDescent="0.25">
      <c r="A3" s="3" t="s">
        <v>46</v>
      </c>
      <c r="B3" s="21" t="str">
        <f>HYPERLINK("https://gerandofalcoes.my.salesforce.com/0014X00002OEuau", "0014X00002OEuau")</f>
        <v>0014X00002OEuau</v>
      </c>
      <c r="C3" s="21" t="str">
        <f>HYPERLINK("https://gerandofalcoes.my.salesforce.com/0014X00002OEuauQAD", "0014X00002OEuauQAD")</f>
        <v>0014X00002OEuauQAD</v>
      </c>
      <c r="D3" s="3" t="s">
        <v>3744</v>
      </c>
      <c r="E3" s="3"/>
      <c r="F3" s="3"/>
      <c r="G3" s="8">
        <v>44551</v>
      </c>
      <c r="H3" s="3">
        <v>245</v>
      </c>
      <c r="I3" s="3" t="s">
        <v>3745</v>
      </c>
      <c r="J3" s="3" t="s">
        <v>3746</v>
      </c>
      <c r="K3" s="3" t="s">
        <v>3747</v>
      </c>
      <c r="L3" s="3" t="s">
        <v>407</v>
      </c>
      <c r="M3" s="3" t="s">
        <v>3748</v>
      </c>
      <c r="N3" s="3" t="s">
        <v>3749</v>
      </c>
      <c r="O3" s="3">
        <v>529</v>
      </c>
      <c r="P3" s="3" t="s">
        <v>409</v>
      </c>
      <c r="Q3" s="3" t="s">
        <v>3750</v>
      </c>
      <c r="R3" s="3" t="s">
        <v>3751</v>
      </c>
      <c r="S3" s="3"/>
      <c r="T3" s="3" t="s">
        <v>3752</v>
      </c>
      <c r="U3" s="3" t="s">
        <v>3753</v>
      </c>
      <c r="V3" s="3" t="s">
        <v>3754</v>
      </c>
      <c r="W3" s="3">
        <v>3</v>
      </c>
      <c r="X3" s="3">
        <v>3</v>
      </c>
      <c r="Y3" s="3"/>
      <c r="AA3" s="3"/>
      <c r="AB3" s="6">
        <v>44533</v>
      </c>
      <c r="AC3" s="3" t="s">
        <v>120</v>
      </c>
      <c r="AD3" s="3">
        <v>2</v>
      </c>
      <c r="AE3" s="3">
        <v>5</v>
      </c>
      <c r="AF3" s="3">
        <v>2</v>
      </c>
      <c r="AG3" s="3" t="s">
        <v>3755</v>
      </c>
      <c r="AH3" s="3" t="s">
        <v>3756</v>
      </c>
      <c r="AI3" s="3">
        <v>5000</v>
      </c>
      <c r="AJ3" s="3"/>
      <c r="AK3" s="3"/>
      <c r="AL3" s="3"/>
      <c r="AM3" s="7" t="s">
        <v>3757</v>
      </c>
      <c r="AN3" s="3"/>
      <c r="AO3" s="3"/>
    </row>
    <row r="4" spans="1:51" ht="12.5" x14ac:dyDescent="0.25">
      <c r="A4" s="3" t="s">
        <v>46</v>
      </c>
      <c r="B4" s="21" t="str">
        <f>HYPERLINK("https://gerandofalcoes.my.salesforce.com/0014X00002OEual", "0014X00002OEual")</f>
        <v>0014X00002OEual</v>
      </c>
      <c r="C4" s="21" t="str">
        <f>HYPERLINK("https://gerandofalcoes.my.salesforce.com/0014X00002OEualQAD", "0014X00002OEualQAD")</f>
        <v>0014X00002OEualQAD</v>
      </c>
      <c r="D4" s="3" t="s">
        <v>3758</v>
      </c>
      <c r="E4" s="3"/>
      <c r="F4" s="3" t="s">
        <v>3759</v>
      </c>
      <c r="G4" s="8">
        <v>44551</v>
      </c>
      <c r="H4" s="3">
        <v>245</v>
      </c>
      <c r="I4" s="3" t="s">
        <v>3760</v>
      </c>
      <c r="J4" s="3" t="s">
        <v>3761</v>
      </c>
      <c r="K4" s="3" t="s">
        <v>3762</v>
      </c>
      <c r="L4" s="3" t="s">
        <v>468</v>
      </c>
      <c r="M4" s="3" t="s">
        <v>3763</v>
      </c>
      <c r="N4" s="3" t="s">
        <v>3764</v>
      </c>
      <c r="O4" s="3">
        <v>4375</v>
      </c>
      <c r="P4" s="3" t="s">
        <v>470</v>
      </c>
      <c r="Q4" s="3" t="s">
        <v>3765</v>
      </c>
      <c r="R4" s="3" t="s">
        <v>3766</v>
      </c>
      <c r="S4" s="3"/>
      <c r="T4" s="3" t="s">
        <v>3767</v>
      </c>
      <c r="U4" s="3" t="s">
        <v>3768</v>
      </c>
      <c r="V4" s="3" t="s">
        <v>3769</v>
      </c>
      <c r="W4" s="3">
        <v>5</v>
      </c>
      <c r="X4" s="3">
        <v>5</v>
      </c>
      <c r="Y4" s="3" t="s">
        <v>3770</v>
      </c>
      <c r="AA4" s="3">
        <v>80</v>
      </c>
      <c r="AB4" s="6">
        <v>43870</v>
      </c>
      <c r="AC4" s="3" t="s">
        <v>62</v>
      </c>
      <c r="AD4" s="3">
        <v>2</v>
      </c>
      <c r="AE4" s="3">
        <v>8</v>
      </c>
      <c r="AF4" s="3">
        <v>3</v>
      </c>
      <c r="AG4" s="3" t="s">
        <v>3771</v>
      </c>
      <c r="AH4" s="3" t="s">
        <v>3772</v>
      </c>
      <c r="AI4" s="3">
        <v>40000</v>
      </c>
      <c r="AJ4" s="3"/>
      <c r="AK4" s="3"/>
      <c r="AL4" s="7" t="s">
        <v>3773</v>
      </c>
      <c r="AM4" s="7" t="s">
        <v>3773</v>
      </c>
      <c r="AO4" s="7" t="s">
        <v>3774</v>
      </c>
      <c r="AR4" s="3" t="s">
        <v>3775</v>
      </c>
      <c r="AS4" s="3" t="s">
        <v>3758</v>
      </c>
      <c r="AT4" s="3" t="s">
        <v>3776</v>
      </c>
    </row>
    <row r="5" spans="1:51" ht="12.5" x14ac:dyDescent="0.25">
      <c r="A5" s="3" t="s">
        <v>46</v>
      </c>
      <c r="B5" s="21" t="str">
        <f>HYPERLINK("https://gerandofalcoes.my.salesforce.com/0014X00002OEuam", "0014X00002OEuam")</f>
        <v>0014X00002OEuam</v>
      </c>
      <c r="C5" s="21" t="str">
        <f>HYPERLINK("https://gerandofalcoes.my.salesforce.com/0014X00002OEuamQAD", "0014X00002OEuamQAD")</f>
        <v>0014X00002OEuamQAD</v>
      </c>
      <c r="D5" s="3" t="s">
        <v>3777</v>
      </c>
      <c r="E5" s="3"/>
      <c r="F5" s="3"/>
      <c r="G5" s="8">
        <v>44551</v>
      </c>
      <c r="H5" s="3">
        <v>245</v>
      </c>
      <c r="I5" s="3" t="s">
        <v>3778</v>
      </c>
      <c r="K5" s="3" t="s">
        <v>3779</v>
      </c>
      <c r="L5" s="3" t="s">
        <v>246</v>
      </c>
      <c r="M5" s="3">
        <v>110</v>
      </c>
      <c r="N5" s="3"/>
      <c r="O5" s="3"/>
      <c r="P5" s="3" t="s">
        <v>3780</v>
      </c>
      <c r="Q5" s="3"/>
      <c r="R5" s="3" t="s">
        <v>3781</v>
      </c>
      <c r="T5" s="3" t="s">
        <v>3782</v>
      </c>
      <c r="U5" s="3" t="s">
        <v>3783</v>
      </c>
      <c r="V5" s="3" t="s">
        <v>3784</v>
      </c>
      <c r="W5" s="3">
        <v>5</v>
      </c>
      <c r="X5" s="3">
        <v>5</v>
      </c>
      <c r="Y5" s="3"/>
      <c r="AA5" s="3">
        <v>200</v>
      </c>
      <c r="AB5" s="6">
        <v>34397</v>
      </c>
      <c r="AC5" s="3" t="s">
        <v>120</v>
      </c>
      <c r="AD5" s="3">
        <v>0</v>
      </c>
      <c r="AE5" s="3">
        <v>34</v>
      </c>
      <c r="AF5" s="3">
        <v>4</v>
      </c>
      <c r="AG5" s="3" t="s">
        <v>3785</v>
      </c>
      <c r="AH5" s="3" t="s">
        <v>3786</v>
      </c>
      <c r="AI5" s="3">
        <v>7000</v>
      </c>
      <c r="AJ5" s="3"/>
      <c r="AK5" s="3"/>
      <c r="AL5" s="7" t="s">
        <v>3787</v>
      </c>
      <c r="AM5" s="3"/>
      <c r="AO5" s="3"/>
      <c r="AR5" s="3"/>
      <c r="AS5" s="3"/>
      <c r="AT5" s="3"/>
    </row>
    <row r="6" spans="1:51" ht="12.5" x14ac:dyDescent="0.25">
      <c r="A6" s="3" t="s">
        <v>46</v>
      </c>
      <c r="B6" s="21" t="str">
        <f>HYPERLINK("https://gerandofalcoes.my.salesforce.com/0014X00002OEuao", "0014X00002OEuao")</f>
        <v>0014X00002OEuao</v>
      </c>
      <c r="C6" s="21" t="str">
        <f>HYPERLINK("https://gerandofalcoes.my.salesforce.com/0014X00002OEuaoQAD", "0014X00002OEuaoQAD")</f>
        <v>0014X00002OEuaoQAD</v>
      </c>
      <c r="D6" s="3" t="s">
        <v>3788</v>
      </c>
      <c r="E6" s="3"/>
      <c r="F6" s="3" t="s">
        <v>3789</v>
      </c>
      <c r="G6" s="8">
        <v>44551</v>
      </c>
      <c r="H6" s="3">
        <v>245</v>
      </c>
      <c r="I6" s="3" t="s">
        <v>3790</v>
      </c>
      <c r="J6" s="3" t="s">
        <v>3791</v>
      </c>
      <c r="K6" s="3" t="s">
        <v>3792</v>
      </c>
      <c r="L6" s="3" t="s">
        <v>101</v>
      </c>
      <c r="M6" s="3" t="s">
        <v>3793</v>
      </c>
      <c r="N6" s="3" t="s">
        <v>3794</v>
      </c>
      <c r="O6" s="3">
        <v>843</v>
      </c>
      <c r="P6" s="3" t="s">
        <v>3795</v>
      </c>
      <c r="Q6" s="3" t="s">
        <v>3796</v>
      </c>
      <c r="R6" s="3" t="s">
        <v>3797</v>
      </c>
      <c r="S6" s="3"/>
      <c r="T6" s="3" t="s">
        <v>3798</v>
      </c>
      <c r="U6" s="3" t="s">
        <v>3799</v>
      </c>
      <c r="V6" s="3" t="s">
        <v>3800</v>
      </c>
      <c r="W6" s="3">
        <v>3</v>
      </c>
      <c r="X6" s="3">
        <v>3</v>
      </c>
      <c r="Y6" s="3"/>
      <c r="AA6" s="3"/>
      <c r="AB6" s="8">
        <v>40454</v>
      </c>
      <c r="AC6" s="3" t="s">
        <v>62</v>
      </c>
      <c r="AD6" s="3">
        <v>0</v>
      </c>
      <c r="AE6" s="3">
        <v>8</v>
      </c>
      <c r="AF6" s="3">
        <v>2</v>
      </c>
      <c r="AG6" s="3" t="s">
        <v>3801</v>
      </c>
      <c r="AH6" s="3">
        <v>0</v>
      </c>
      <c r="AI6" s="3">
        <v>0</v>
      </c>
      <c r="AJ6" s="3"/>
      <c r="AK6" s="3"/>
      <c r="AL6" s="7" t="s">
        <v>3802</v>
      </c>
      <c r="AM6" s="3"/>
      <c r="AO6" s="3"/>
      <c r="AT6" s="7" t="s">
        <v>3803</v>
      </c>
    </row>
    <row r="7" spans="1:51" ht="12.5" x14ac:dyDescent="0.25">
      <c r="A7" s="3" t="s">
        <v>46</v>
      </c>
      <c r="B7" s="21" t="str">
        <f>HYPERLINK("https://gerandofalcoes.my.salesforce.com/0014X00002OEuap", "0014X00002OEuap")</f>
        <v>0014X00002OEuap</v>
      </c>
      <c r="C7" s="21" t="str">
        <f>HYPERLINK("https://gerandofalcoes.my.salesforce.com/0014X00002OEuapQAD", "0014X00002OEuapQAD")</f>
        <v>0014X00002OEuapQAD</v>
      </c>
      <c r="D7" s="3" t="s">
        <v>3804</v>
      </c>
      <c r="E7" s="3" t="s">
        <v>3805</v>
      </c>
      <c r="F7" s="3"/>
      <c r="G7" s="8">
        <v>44551</v>
      </c>
      <c r="H7" s="3">
        <v>245</v>
      </c>
      <c r="I7" s="3"/>
      <c r="J7" s="3"/>
      <c r="K7" s="3"/>
      <c r="L7" s="3" t="s">
        <v>101</v>
      </c>
      <c r="M7" s="3" t="s">
        <v>3806</v>
      </c>
      <c r="N7" s="3"/>
      <c r="O7" s="3"/>
      <c r="P7" s="3"/>
      <c r="Q7" s="3"/>
      <c r="R7" s="3">
        <v>4225080</v>
      </c>
      <c r="S7" s="3"/>
      <c r="T7" s="3"/>
      <c r="U7" s="3"/>
      <c r="W7" s="3"/>
      <c r="X7" s="3"/>
      <c r="Y7" s="3"/>
      <c r="AA7" s="3"/>
      <c r="AC7" s="3"/>
      <c r="AD7" s="3"/>
      <c r="AE7" s="3"/>
      <c r="AF7" s="3"/>
      <c r="AG7" s="3"/>
      <c r="AH7" s="3"/>
      <c r="AK7" s="3"/>
      <c r="AL7" s="3"/>
      <c r="AM7" s="3"/>
      <c r="AO7" s="3"/>
      <c r="AT7" s="3"/>
    </row>
    <row r="8" spans="1:51" ht="12.5" x14ac:dyDescent="0.25">
      <c r="A8" s="3" t="s">
        <v>46</v>
      </c>
      <c r="B8" s="21" t="str">
        <f>HYPERLINK("https://gerandofalcoes.my.salesforce.com/0014X00002OEuaq", "0014X00002OEuaq")</f>
        <v>0014X00002OEuaq</v>
      </c>
      <c r="C8" s="21" t="str">
        <f>HYPERLINK("https://gerandofalcoes.my.salesforce.com/0014X00002OEuaqQAD", "0014X00002OEuaqQAD")</f>
        <v>0014X00002OEuaqQAD</v>
      </c>
      <c r="D8" s="3" t="s">
        <v>3807</v>
      </c>
      <c r="E8" s="3"/>
      <c r="F8" s="3" t="s">
        <v>3808</v>
      </c>
      <c r="G8" s="8">
        <v>44551</v>
      </c>
      <c r="H8" s="3">
        <v>245</v>
      </c>
      <c r="I8" s="3" t="s">
        <v>3809</v>
      </c>
      <c r="J8" s="3" t="s">
        <v>3810</v>
      </c>
      <c r="K8" s="3" t="s">
        <v>3811</v>
      </c>
      <c r="L8" s="3" t="s">
        <v>101</v>
      </c>
      <c r="M8" s="3" t="s">
        <v>3812</v>
      </c>
      <c r="N8" s="3" t="s">
        <v>3813</v>
      </c>
      <c r="O8" s="3">
        <v>25</v>
      </c>
      <c r="P8" s="3" t="s">
        <v>3814</v>
      </c>
      <c r="R8" s="3" t="s">
        <v>3815</v>
      </c>
      <c r="S8" s="3"/>
      <c r="T8" s="3" t="s">
        <v>3816</v>
      </c>
      <c r="U8" s="3" t="s">
        <v>3817</v>
      </c>
      <c r="V8" s="3" t="s">
        <v>3818</v>
      </c>
      <c r="W8" s="3">
        <v>3</v>
      </c>
      <c r="X8" s="3">
        <v>3</v>
      </c>
      <c r="Y8" s="3"/>
      <c r="AA8" s="3"/>
      <c r="AB8" s="6">
        <v>42520</v>
      </c>
      <c r="AC8" s="3" t="s">
        <v>62</v>
      </c>
      <c r="AD8" s="3">
        <v>20</v>
      </c>
      <c r="AE8" s="3">
        <v>20</v>
      </c>
      <c r="AF8" s="3">
        <v>2</v>
      </c>
      <c r="AG8" s="3" t="s">
        <v>3819</v>
      </c>
      <c r="AH8" s="3">
        <v>4</v>
      </c>
      <c r="AI8" s="3">
        <v>3000</v>
      </c>
      <c r="AJ8" s="3"/>
      <c r="AK8" s="3"/>
      <c r="AL8" s="7" t="s">
        <v>3820</v>
      </c>
      <c r="AM8" s="3"/>
      <c r="AO8" s="3"/>
    </row>
    <row r="9" spans="1:51" ht="12.5" x14ac:dyDescent="0.25">
      <c r="A9" s="3" t="s">
        <v>46</v>
      </c>
      <c r="B9" s="21" t="str">
        <f>HYPERLINK("https://gerandofalcoes.my.salesforce.com/0014X00002OEuas", "0014X00002OEuas")</f>
        <v>0014X00002OEuas</v>
      </c>
      <c r="C9" s="21" t="str">
        <f>HYPERLINK("https://gerandofalcoes.my.salesforce.com/0014X00002OEuasQAD", "0014X00002OEuasQAD")</f>
        <v>0014X00002OEuasQAD</v>
      </c>
      <c r="D9" s="3" t="s">
        <v>3821</v>
      </c>
      <c r="E9" s="3"/>
      <c r="F9" s="3" t="s">
        <v>3822</v>
      </c>
      <c r="G9" s="8">
        <v>44551</v>
      </c>
      <c r="H9" s="3">
        <v>245</v>
      </c>
      <c r="I9" s="3" t="s">
        <v>3823</v>
      </c>
      <c r="J9" s="3" t="s">
        <v>3824</v>
      </c>
      <c r="K9" s="3" t="s">
        <v>3825</v>
      </c>
      <c r="L9" s="3" t="s">
        <v>101</v>
      </c>
      <c r="M9" s="3" t="s">
        <v>3826</v>
      </c>
      <c r="N9" s="3" t="s">
        <v>3827</v>
      </c>
      <c r="O9" s="3">
        <v>103</v>
      </c>
      <c r="P9" s="3" t="s">
        <v>128</v>
      </c>
      <c r="Q9" s="3" t="s">
        <v>3828</v>
      </c>
      <c r="R9" s="3" t="s">
        <v>3829</v>
      </c>
      <c r="S9" s="3"/>
      <c r="T9" s="3" t="s">
        <v>3830</v>
      </c>
      <c r="U9" s="3" t="s">
        <v>3831</v>
      </c>
      <c r="V9" s="3" t="s">
        <v>3832</v>
      </c>
      <c r="W9" s="3">
        <v>13</v>
      </c>
      <c r="X9" s="3">
        <v>13</v>
      </c>
      <c r="Y9" s="3"/>
      <c r="AA9" s="3"/>
      <c r="AB9" s="6">
        <v>36727</v>
      </c>
      <c r="AC9" s="3"/>
      <c r="AD9" s="3">
        <v>0</v>
      </c>
      <c r="AE9" s="3">
        <v>15</v>
      </c>
      <c r="AF9" s="3">
        <v>4</v>
      </c>
      <c r="AG9" s="3" t="s">
        <v>3833</v>
      </c>
      <c r="AH9" s="3" t="s">
        <v>3834</v>
      </c>
      <c r="AI9" s="3">
        <v>20000</v>
      </c>
      <c r="AJ9" s="3"/>
      <c r="AK9" s="3"/>
      <c r="AL9" s="7" t="s">
        <v>3835</v>
      </c>
      <c r="AM9" s="7" t="s">
        <v>3835</v>
      </c>
      <c r="AN9" s="3"/>
      <c r="AO9" s="7" t="s">
        <v>3835</v>
      </c>
      <c r="AP9" s="3"/>
    </row>
    <row r="10" spans="1:51" ht="12.5" x14ac:dyDescent="0.25">
      <c r="A10" s="3" t="s">
        <v>46</v>
      </c>
      <c r="B10" s="21" t="str">
        <f>HYPERLINK("https://gerandofalcoes.my.salesforce.com/0014X00002OEuaw", "0014X00002OEuaw")</f>
        <v>0014X00002OEuaw</v>
      </c>
      <c r="C10" s="21" t="str">
        <f>HYPERLINK("https://gerandofalcoes.my.salesforce.com/0014X00002OEuawQAD", "0014X00002OEuawQAD")</f>
        <v>0014X00002OEuawQAD</v>
      </c>
      <c r="D10" s="3" t="s">
        <v>3836</v>
      </c>
      <c r="E10" s="3"/>
      <c r="F10" s="3" t="s">
        <v>3837</v>
      </c>
      <c r="G10" s="6">
        <v>44551</v>
      </c>
      <c r="H10" s="3">
        <v>245</v>
      </c>
      <c r="I10" s="3" t="s">
        <v>3838</v>
      </c>
      <c r="J10" s="3" t="s">
        <v>3839</v>
      </c>
      <c r="K10" s="3"/>
      <c r="L10" s="3" t="s">
        <v>407</v>
      </c>
      <c r="M10" s="3" t="s">
        <v>3840</v>
      </c>
      <c r="N10" s="3" t="s">
        <v>3841</v>
      </c>
      <c r="O10" s="3">
        <v>1652</v>
      </c>
      <c r="P10" s="3" t="s">
        <v>409</v>
      </c>
      <c r="Q10" s="3"/>
      <c r="R10" s="3" t="s">
        <v>3842</v>
      </c>
      <c r="S10" s="3"/>
      <c r="T10" s="3"/>
      <c r="U10" s="3"/>
      <c r="V10" s="3"/>
      <c r="W10" s="3">
        <v>1</v>
      </c>
      <c r="X10" s="3" t="s">
        <v>3843</v>
      </c>
      <c r="Y10" s="3">
        <v>90</v>
      </c>
      <c r="AB10" s="6">
        <v>43606</v>
      </c>
      <c r="AC10" s="3"/>
      <c r="AD10" s="3">
        <v>13</v>
      </c>
      <c r="AE10" s="3">
        <v>5</v>
      </c>
      <c r="AF10" s="3">
        <v>3</v>
      </c>
      <c r="AH10" s="3"/>
      <c r="AI10" s="3">
        <v>120000</v>
      </c>
      <c r="AJ10" s="3"/>
      <c r="AK10" s="3"/>
      <c r="AL10" s="7" t="s">
        <v>3844</v>
      </c>
      <c r="AM10" s="7" t="s">
        <v>3845</v>
      </c>
      <c r="AN10" s="3"/>
      <c r="AO10" s="3"/>
      <c r="AP10" s="3"/>
      <c r="AT10" s="7" t="s">
        <v>3846</v>
      </c>
    </row>
    <row r="11" spans="1:51" ht="12.5" x14ac:dyDescent="0.25">
      <c r="A11" s="3" t="s">
        <v>46</v>
      </c>
      <c r="B11" s="21" t="str">
        <f>HYPERLINK("https://gerandofalcoes.my.salesforce.com/0014X00002VMXzM", "0014X00002VMXzM")</f>
        <v>0014X00002VMXzM</v>
      </c>
      <c r="C11" s="21" t="str">
        <f>HYPERLINK("https://gerandofalcoes.my.salesforce.com/0014X00002VMXzMQAX", "0014X00002VMXzMQAX")</f>
        <v>0014X00002VMXzMQAX</v>
      </c>
      <c r="D11" s="3" t="s">
        <v>3847</v>
      </c>
      <c r="E11" s="3" t="s">
        <v>3848</v>
      </c>
      <c r="F11" s="3" t="s">
        <v>3849</v>
      </c>
      <c r="G11" s="6">
        <v>44763</v>
      </c>
      <c r="H11" s="3">
        <v>33</v>
      </c>
      <c r="I11" s="3" t="s">
        <v>3850</v>
      </c>
      <c r="J11" s="3" t="s">
        <v>3851</v>
      </c>
      <c r="K11" s="3" t="s">
        <v>3852</v>
      </c>
      <c r="L11" s="3" t="s">
        <v>1002</v>
      </c>
      <c r="M11" s="3" t="s">
        <v>3853</v>
      </c>
      <c r="N11" s="3" t="s">
        <v>3854</v>
      </c>
      <c r="O11" s="3">
        <v>657</v>
      </c>
      <c r="P11" s="3" t="s">
        <v>1848</v>
      </c>
      <c r="Q11" s="3" t="s">
        <v>3855</v>
      </c>
      <c r="R11" s="3" t="s">
        <v>3856</v>
      </c>
      <c r="S11" s="3" t="s">
        <v>62</v>
      </c>
      <c r="T11" s="3"/>
      <c r="U11" s="3" t="s">
        <v>3857</v>
      </c>
      <c r="V11" s="3" t="s">
        <v>3858</v>
      </c>
      <c r="W11" s="3">
        <v>5</v>
      </c>
      <c r="X11" s="3"/>
      <c r="Y11" s="3"/>
      <c r="AA11" s="3">
        <v>10</v>
      </c>
      <c r="AB11" s="8">
        <v>44321</v>
      </c>
      <c r="AC11" s="3"/>
      <c r="AD11" s="3">
        <v>1</v>
      </c>
      <c r="AE11" s="3">
        <v>5</v>
      </c>
      <c r="AF11" s="3">
        <v>2</v>
      </c>
      <c r="AG11" s="3" t="s">
        <v>3859</v>
      </c>
      <c r="AH11" s="3">
        <v>1</v>
      </c>
      <c r="AI11" s="3">
        <v>18000</v>
      </c>
      <c r="AJ11" s="3" t="s">
        <v>62</v>
      </c>
      <c r="AK11" s="3"/>
      <c r="AL11" s="3" t="s">
        <v>3860</v>
      </c>
      <c r="AM11" s="7" t="s">
        <v>3861</v>
      </c>
      <c r="AN11" s="3"/>
      <c r="AO11" s="7" t="s">
        <v>3862</v>
      </c>
      <c r="AP11" s="3"/>
      <c r="AQ11" s="3"/>
      <c r="AR11" s="3"/>
      <c r="AS11" s="3"/>
      <c r="AT11" s="3"/>
      <c r="AU11" s="3"/>
    </row>
    <row r="12" spans="1:51" ht="12.5" x14ac:dyDescent="0.25">
      <c r="A12" s="3" t="s">
        <v>46</v>
      </c>
      <c r="B12" s="21" t="str">
        <f>HYPERLINK("https://gerandofalcoes.my.salesforce.com/0014X00002VMXzN", "0014X00002VMXzN")</f>
        <v>0014X00002VMXzN</v>
      </c>
      <c r="C12" s="21" t="str">
        <f>HYPERLINK("https://gerandofalcoes.my.salesforce.com/0014X00002VMXzNQAX", "0014X00002VMXzNQAX")</f>
        <v>0014X00002VMXzNQAX</v>
      </c>
      <c r="D12" s="3" t="s">
        <v>3863</v>
      </c>
      <c r="E12" s="3" t="s">
        <v>3864</v>
      </c>
      <c r="F12" s="3" t="s">
        <v>3865</v>
      </c>
      <c r="G12" s="6">
        <v>44763</v>
      </c>
      <c r="H12" s="3">
        <v>33</v>
      </c>
      <c r="I12" s="3" t="s">
        <v>3866</v>
      </c>
      <c r="J12" s="3" t="s">
        <v>3867</v>
      </c>
      <c r="K12" s="3" t="s">
        <v>3868</v>
      </c>
      <c r="L12" s="3" t="s">
        <v>84</v>
      </c>
      <c r="M12" s="3" t="s">
        <v>3869</v>
      </c>
      <c r="N12" s="3" t="s">
        <v>3870</v>
      </c>
      <c r="O12" s="3">
        <v>289</v>
      </c>
      <c r="P12" s="3" t="s">
        <v>177</v>
      </c>
      <c r="Q12" s="3" t="s">
        <v>1539</v>
      </c>
      <c r="R12" s="3" t="s">
        <v>3871</v>
      </c>
      <c r="S12" s="3"/>
      <c r="T12" s="3"/>
      <c r="U12" s="3" t="s">
        <v>3872</v>
      </c>
      <c r="V12" s="3" t="s">
        <v>3873</v>
      </c>
      <c r="W12" s="3">
        <v>7</v>
      </c>
      <c r="X12" s="3"/>
      <c r="Y12" s="3"/>
      <c r="AA12" s="3">
        <v>350</v>
      </c>
      <c r="AB12" s="6">
        <v>44093</v>
      </c>
      <c r="AC12" s="3"/>
      <c r="AD12" s="3">
        <v>0</v>
      </c>
      <c r="AE12" s="3">
        <v>35</v>
      </c>
      <c r="AF12" s="3">
        <v>6</v>
      </c>
      <c r="AG12" s="3" t="s">
        <v>3874</v>
      </c>
      <c r="AH12" s="3">
        <v>0</v>
      </c>
      <c r="AI12" s="3">
        <v>60000</v>
      </c>
      <c r="AJ12" s="3" t="s">
        <v>120</v>
      </c>
      <c r="AK12" s="3"/>
      <c r="AL12" s="3"/>
      <c r="AM12" s="7" t="s">
        <v>3875</v>
      </c>
      <c r="AN12" s="7" t="s">
        <v>3876</v>
      </c>
      <c r="AO12" s="3"/>
      <c r="AP12" s="3"/>
      <c r="AQ12" s="3"/>
      <c r="AR12" s="3"/>
      <c r="AS12" s="3"/>
      <c r="AT12" s="3"/>
      <c r="AU12" s="7" t="s">
        <v>3877</v>
      </c>
    </row>
    <row r="13" spans="1:51" ht="12.5" x14ac:dyDescent="0.25">
      <c r="A13" s="3" t="s">
        <v>46</v>
      </c>
      <c r="B13" s="21" t="str">
        <f>HYPERLINK("https://gerandofalcoes.my.salesforce.com/0014X00002VKCp7", "0014X00002VKCp7")</f>
        <v>0014X00002VKCp7</v>
      </c>
      <c r="C13" s="21" t="str">
        <f>HYPERLINK("https://gerandofalcoes.my.salesforce.com/0014X00002VKCp7QAH", "0014X00002VKCp7QAH")</f>
        <v>0014X00002VKCp7QAH</v>
      </c>
      <c r="D13" s="3" t="s">
        <v>3878</v>
      </c>
      <c r="E13" s="3" t="s">
        <v>3879</v>
      </c>
      <c r="F13" s="3" t="s">
        <v>3880</v>
      </c>
      <c r="G13" s="6">
        <v>44763</v>
      </c>
      <c r="H13" s="3">
        <v>33</v>
      </c>
      <c r="I13" s="3" t="s">
        <v>3881</v>
      </c>
      <c r="J13" s="3" t="s">
        <v>3882</v>
      </c>
      <c r="K13" s="3" t="s">
        <v>3883</v>
      </c>
      <c r="L13" s="3" t="s">
        <v>1002</v>
      </c>
      <c r="M13" s="3" t="s">
        <v>3884</v>
      </c>
      <c r="N13" s="3" t="s">
        <v>3885</v>
      </c>
      <c r="O13" s="3">
        <v>65</v>
      </c>
      <c r="P13" s="3" t="s">
        <v>3886</v>
      </c>
      <c r="Q13" s="3" t="s">
        <v>3887</v>
      </c>
      <c r="R13" s="3" t="s">
        <v>3888</v>
      </c>
      <c r="S13" s="3" t="s">
        <v>120</v>
      </c>
      <c r="T13" s="3"/>
      <c r="U13" s="3" t="s">
        <v>3889</v>
      </c>
      <c r="V13" s="3" t="s">
        <v>3890</v>
      </c>
      <c r="W13" s="3">
        <v>2</v>
      </c>
      <c r="X13" s="3" t="s">
        <v>3891</v>
      </c>
      <c r="Y13" s="3" t="s">
        <v>3892</v>
      </c>
      <c r="AA13" s="3">
        <v>120</v>
      </c>
      <c r="AB13" s="6">
        <v>36979</v>
      </c>
      <c r="AC13" s="3" t="s">
        <v>62</v>
      </c>
      <c r="AD13" s="3">
        <v>4</v>
      </c>
      <c r="AE13" s="3">
        <v>3</v>
      </c>
      <c r="AF13" s="3">
        <v>3</v>
      </c>
      <c r="AG13" s="3" t="s">
        <v>3893</v>
      </c>
      <c r="AH13" s="3" t="s">
        <v>3894</v>
      </c>
      <c r="AI13" s="3">
        <v>96000</v>
      </c>
      <c r="AJ13" s="3" t="s">
        <v>62</v>
      </c>
      <c r="AK13" s="3"/>
      <c r="AL13" s="7" t="s">
        <v>3895</v>
      </c>
      <c r="AM13" s="3" t="s">
        <v>3896</v>
      </c>
      <c r="AN13" s="7" t="s">
        <v>3897</v>
      </c>
      <c r="AO13" s="3"/>
      <c r="AP13" s="3"/>
      <c r="AQ13" s="3"/>
      <c r="AR13" s="7" t="s">
        <v>3898</v>
      </c>
      <c r="AS13" s="7" t="s">
        <v>3899</v>
      </c>
      <c r="AT13" s="3"/>
      <c r="AU13" s="7" t="s">
        <v>3900</v>
      </c>
    </row>
    <row r="14" spans="1:51" ht="12.5" x14ac:dyDescent="0.25">
      <c r="A14" s="3" t="s">
        <v>46</v>
      </c>
      <c r="B14" s="21" t="str">
        <f>HYPERLINK("https://gerandofalcoes.my.salesforce.com/0014X00002VKCp8", "0014X00002VKCp8")</f>
        <v>0014X00002VKCp8</v>
      </c>
      <c r="C14" s="21" t="str">
        <f>HYPERLINK("https://gerandofalcoes.my.salesforce.com/0014X00002VKCp8QAH", "0014X00002VKCp8QAH")</f>
        <v>0014X00002VKCp8QAH</v>
      </c>
      <c r="D14" s="3" t="s">
        <v>3901</v>
      </c>
      <c r="E14" s="3" t="s">
        <v>3902</v>
      </c>
      <c r="F14" s="3" t="s">
        <v>3903</v>
      </c>
      <c r="G14" s="8">
        <v>44763</v>
      </c>
      <c r="H14" s="3">
        <v>33</v>
      </c>
      <c r="I14" s="3" t="s">
        <v>3904</v>
      </c>
      <c r="J14" s="3" t="s">
        <v>3905</v>
      </c>
      <c r="K14" s="3" t="s">
        <v>3906</v>
      </c>
      <c r="L14" s="3" t="s">
        <v>605</v>
      </c>
      <c r="M14" s="3" t="s">
        <v>3907</v>
      </c>
      <c r="N14" s="3" t="s">
        <v>3908</v>
      </c>
      <c r="O14" s="3" t="s">
        <v>779</v>
      </c>
      <c r="P14" s="3" t="s">
        <v>3909</v>
      </c>
      <c r="Q14" s="3" t="s">
        <v>3910</v>
      </c>
      <c r="R14" s="3" t="s">
        <v>3911</v>
      </c>
      <c r="S14" s="3" t="s">
        <v>3912</v>
      </c>
      <c r="T14" s="3"/>
      <c r="U14" s="3" t="s">
        <v>3913</v>
      </c>
      <c r="V14" s="3" t="s">
        <v>3914</v>
      </c>
      <c r="W14" s="3">
        <v>5</v>
      </c>
      <c r="X14" s="3" t="s">
        <v>3915</v>
      </c>
      <c r="Y14" s="3" t="s">
        <v>3916</v>
      </c>
      <c r="AA14" s="3">
        <v>703</v>
      </c>
      <c r="AB14" s="6">
        <v>38069</v>
      </c>
      <c r="AC14" s="3" t="s">
        <v>62</v>
      </c>
      <c r="AD14" s="3">
        <v>2</v>
      </c>
      <c r="AE14" s="3">
        <v>5</v>
      </c>
      <c r="AF14" s="3">
        <v>2</v>
      </c>
      <c r="AG14" s="3" t="s">
        <v>3917</v>
      </c>
      <c r="AH14" s="3" t="s">
        <v>3918</v>
      </c>
      <c r="AI14" s="3">
        <v>62000</v>
      </c>
      <c r="AJ14" s="3" t="s">
        <v>61</v>
      </c>
      <c r="AK14" s="3"/>
      <c r="AL14" s="3"/>
      <c r="AM14" s="7" t="s">
        <v>3919</v>
      </c>
      <c r="AN14" s="3"/>
      <c r="AO14" s="3"/>
      <c r="AP14" s="3"/>
      <c r="AQ14" s="3"/>
      <c r="AR14" s="7" t="s">
        <v>3920</v>
      </c>
      <c r="AS14" s="7" t="s">
        <v>3921</v>
      </c>
      <c r="AT14" s="3"/>
      <c r="AU14" s="3"/>
    </row>
    <row r="15" spans="1:51" ht="12.5" x14ac:dyDescent="0.25">
      <c r="A15" s="3" t="s">
        <v>46</v>
      </c>
      <c r="B15" s="21" t="str">
        <f>HYPERLINK("https://gerandofalcoes.my.salesforce.com/0014X00002VKCp9", "0014X00002VKCp9")</f>
        <v>0014X00002VKCp9</v>
      </c>
      <c r="C15" s="21" t="str">
        <f>HYPERLINK("https://gerandofalcoes.my.salesforce.com/0014X00002VKCp9QAH", "0014X00002VKCp9QAH")</f>
        <v>0014X00002VKCp9QAH</v>
      </c>
      <c r="D15" s="3" t="s">
        <v>3922</v>
      </c>
      <c r="E15" s="3" t="s">
        <v>3923</v>
      </c>
      <c r="F15" s="3"/>
      <c r="G15" s="6">
        <v>44763</v>
      </c>
      <c r="H15" s="3">
        <v>33</v>
      </c>
      <c r="I15" s="3" t="s">
        <v>3924</v>
      </c>
      <c r="J15" s="3" t="s">
        <v>3925</v>
      </c>
      <c r="K15" s="3" t="s">
        <v>3926</v>
      </c>
      <c r="L15" s="3" t="s">
        <v>1002</v>
      </c>
      <c r="M15" s="3" t="s">
        <v>3927</v>
      </c>
      <c r="N15" s="3" t="s">
        <v>3928</v>
      </c>
      <c r="O15" s="3" t="s">
        <v>3929</v>
      </c>
      <c r="P15" s="3" t="s">
        <v>1848</v>
      </c>
      <c r="Q15" s="3" t="s">
        <v>3930</v>
      </c>
      <c r="R15" s="3" t="s">
        <v>3931</v>
      </c>
      <c r="S15" s="3" t="s">
        <v>3930</v>
      </c>
      <c r="T15" s="3"/>
      <c r="U15" s="3" t="s">
        <v>3932</v>
      </c>
      <c r="V15" s="3" t="s">
        <v>3933</v>
      </c>
      <c r="W15" s="3">
        <v>10</v>
      </c>
      <c r="X15" s="3" t="s">
        <v>3934</v>
      </c>
      <c r="Y15" s="3" t="s">
        <v>3935</v>
      </c>
      <c r="AA15" s="3">
        <v>290</v>
      </c>
      <c r="AB15" s="6">
        <v>42962</v>
      </c>
      <c r="AC15" s="3" t="s">
        <v>120</v>
      </c>
      <c r="AD15" s="3">
        <v>17</v>
      </c>
      <c r="AE15" s="3">
        <v>17</v>
      </c>
      <c r="AF15" s="3">
        <v>5</v>
      </c>
      <c r="AG15" s="3" t="s">
        <v>3936</v>
      </c>
      <c r="AH15" s="3">
        <v>0</v>
      </c>
      <c r="AI15" s="3">
        <v>0</v>
      </c>
      <c r="AJ15" s="3" t="s">
        <v>62</v>
      </c>
      <c r="AK15" s="3"/>
      <c r="AL15" s="7" t="s">
        <v>3937</v>
      </c>
      <c r="AM15" s="7" t="s">
        <v>3937</v>
      </c>
      <c r="AN15" s="3"/>
      <c r="AO15" s="3"/>
      <c r="AP15" s="3"/>
      <c r="AQ15" s="3"/>
      <c r="AR15" s="3"/>
      <c r="AS15" s="3"/>
      <c r="AT15" s="3"/>
      <c r="AU15" s="3"/>
    </row>
    <row r="16" spans="1:51" ht="12.5" x14ac:dyDescent="0.25">
      <c r="A16" s="3" t="s">
        <v>46</v>
      </c>
      <c r="B16" s="21" t="str">
        <f>HYPERLINK("https://gerandofalcoes.my.salesforce.com/0014X00002VKCpA", "0014X00002VKCpA")</f>
        <v>0014X00002VKCpA</v>
      </c>
      <c r="C16" s="21" t="str">
        <f>HYPERLINK("https://gerandofalcoes.my.salesforce.com/0014X00002VKCpAQAX", "0014X00002VKCpAQAX")</f>
        <v>0014X00002VKCpAQAX</v>
      </c>
      <c r="D16" s="3" t="s">
        <v>3938</v>
      </c>
      <c r="E16" s="3" t="s">
        <v>3939</v>
      </c>
      <c r="F16" s="3" t="s">
        <v>3940</v>
      </c>
      <c r="G16" s="6">
        <v>44763</v>
      </c>
      <c r="H16" s="3">
        <v>33</v>
      </c>
      <c r="I16" s="3" t="s">
        <v>3941</v>
      </c>
      <c r="J16" s="3" t="s">
        <v>3942</v>
      </c>
      <c r="K16" s="3" t="s">
        <v>3943</v>
      </c>
      <c r="L16" s="3" t="s">
        <v>51</v>
      </c>
      <c r="M16" s="3" t="s">
        <v>3944</v>
      </c>
      <c r="N16" s="3" t="s">
        <v>3945</v>
      </c>
      <c r="O16" s="3">
        <v>19</v>
      </c>
      <c r="P16" s="3" t="s">
        <v>3946</v>
      </c>
      <c r="Q16" s="3"/>
      <c r="R16" s="3" t="s">
        <v>3947</v>
      </c>
      <c r="S16" s="3"/>
      <c r="T16" s="3"/>
      <c r="U16" s="3"/>
      <c r="V16" s="3"/>
      <c r="W16" s="3">
        <v>2</v>
      </c>
      <c r="X16" s="3" t="s">
        <v>3948</v>
      </c>
      <c r="Y16" s="3"/>
      <c r="AA16" s="3">
        <v>150</v>
      </c>
      <c r="AB16" s="6">
        <v>42621</v>
      </c>
      <c r="AC16" s="3" t="s">
        <v>62</v>
      </c>
      <c r="AD16" s="3"/>
      <c r="AE16" s="3">
        <v>6</v>
      </c>
      <c r="AF16" s="3">
        <v>2</v>
      </c>
      <c r="AG16" s="3"/>
      <c r="AH16" s="3" t="s">
        <v>3949</v>
      </c>
      <c r="AI16" s="3">
        <v>7690</v>
      </c>
      <c r="AJ16" s="3" t="s">
        <v>120</v>
      </c>
      <c r="AK16" s="3"/>
      <c r="AL16" s="3"/>
      <c r="AM16" s="3"/>
      <c r="AN16" s="3"/>
      <c r="AO16" s="3"/>
      <c r="AP16" s="3"/>
      <c r="AQ16" s="7" t="s">
        <v>3950</v>
      </c>
      <c r="AR16" s="7" t="s">
        <v>3951</v>
      </c>
      <c r="AS16" s="7" t="s">
        <v>3952</v>
      </c>
      <c r="AT16" s="7" t="s">
        <v>3953</v>
      </c>
      <c r="AU16" s="7" t="s">
        <v>3954</v>
      </c>
    </row>
    <row r="17" spans="1:51" ht="12.5" x14ac:dyDescent="0.25">
      <c r="A17" s="3" t="s">
        <v>46</v>
      </c>
      <c r="B17" s="21" t="str">
        <f>HYPERLINK("https://gerandofalcoes.my.salesforce.com/0014X00002VKCpB", "0014X00002VKCpB")</f>
        <v>0014X00002VKCpB</v>
      </c>
      <c r="C17" s="21" t="str">
        <f>HYPERLINK("https://gerandofalcoes.my.salesforce.com/0014X00002VKCpBQAX", "0014X00002VKCpBQAX")</f>
        <v>0014X00002VKCpBQAX</v>
      </c>
      <c r="D17" s="3" t="s">
        <v>3955</v>
      </c>
      <c r="E17" s="3" t="s">
        <v>3956</v>
      </c>
      <c r="F17" s="3"/>
      <c r="G17" s="6">
        <v>44763</v>
      </c>
      <c r="H17" s="3">
        <v>33</v>
      </c>
      <c r="I17" s="3" t="s">
        <v>3957</v>
      </c>
      <c r="J17" s="3" t="s">
        <v>3958</v>
      </c>
      <c r="K17" s="3" t="s">
        <v>3959</v>
      </c>
      <c r="L17" s="3" t="s">
        <v>1002</v>
      </c>
      <c r="M17" s="3" t="s">
        <v>3960</v>
      </c>
      <c r="N17" s="3" t="s">
        <v>3961</v>
      </c>
      <c r="O17" s="3">
        <v>22</v>
      </c>
      <c r="P17" s="3" t="s">
        <v>1848</v>
      </c>
      <c r="Q17" s="3" t="s">
        <v>3962</v>
      </c>
      <c r="R17" s="3" t="s">
        <v>3963</v>
      </c>
      <c r="S17" s="3" t="s">
        <v>62</v>
      </c>
      <c r="T17" s="3"/>
      <c r="U17" s="3" t="s">
        <v>3964</v>
      </c>
      <c r="V17" s="3" t="s">
        <v>3800</v>
      </c>
      <c r="W17" s="3">
        <v>3</v>
      </c>
      <c r="X17" s="3" t="s">
        <v>3965</v>
      </c>
      <c r="Y17" s="3"/>
      <c r="Z17" s="3"/>
      <c r="AA17" s="3">
        <v>60</v>
      </c>
      <c r="AB17" s="6">
        <v>44484</v>
      </c>
      <c r="AC17" s="3" t="s">
        <v>120</v>
      </c>
      <c r="AD17" s="3">
        <v>0</v>
      </c>
      <c r="AE17" s="3">
        <v>20</v>
      </c>
      <c r="AF17" s="3">
        <v>3</v>
      </c>
      <c r="AG17" s="3" t="s">
        <v>3966</v>
      </c>
      <c r="AH17" s="3" t="s">
        <v>3967</v>
      </c>
      <c r="AI17" s="3">
        <v>96000</v>
      </c>
      <c r="AJ17" s="3" t="s">
        <v>61</v>
      </c>
      <c r="AK17" s="3"/>
      <c r="AL17" s="3"/>
      <c r="AM17" s="7" t="s">
        <v>3968</v>
      </c>
      <c r="AN17" s="3"/>
      <c r="AO17" s="7" t="s">
        <v>3969</v>
      </c>
      <c r="AP17" s="3"/>
      <c r="AQ17" s="3"/>
      <c r="AR17" s="3"/>
      <c r="AS17" s="3"/>
      <c r="AT17" s="3"/>
      <c r="AU17" s="3"/>
    </row>
    <row r="18" spans="1:51" ht="12.5" x14ac:dyDescent="0.25">
      <c r="A18" s="3" t="s">
        <v>46</v>
      </c>
      <c r="B18" s="21" t="str">
        <f>HYPERLINK("https://gerandofalcoes.my.salesforce.com/0014X00002VKCpC", "0014X00002VKCpC")</f>
        <v>0014X00002VKCpC</v>
      </c>
      <c r="C18" s="21" t="str">
        <f>HYPERLINK("https://gerandofalcoes.my.salesforce.com/0014X00002VKCpCQAX", "0014X00002VKCpCQAX")</f>
        <v>0014X00002VKCpCQAX</v>
      </c>
      <c r="D18" s="3" t="s">
        <v>3970</v>
      </c>
      <c r="E18" s="3" t="s">
        <v>3971</v>
      </c>
      <c r="F18" s="3" t="s">
        <v>3972</v>
      </c>
      <c r="G18" s="6">
        <v>44763</v>
      </c>
      <c r="H18" s="3">
        <v>33</v>
      </c>
      <c r="I18" s="3" t="s">
        <v>3973</v>
      </c>
      <c r="J18" s="3" t="s">
        <v>3974</v>
      </c>
      <c r="K18" s="3" t="s">
        <v>3975</v>
      </c>
      <c r="L18" s="3" t="s">
        <v>51</v>
      </c>
      <c r="M18" s="3" t="s">
        <v>3976</v>
      </c>
      <c r="N18" s="3" t="s">
        <v>3977</v>
      </c>
      <c r="O18" s="3">
        <v>1</v>
      </c>
      <c r="P18" s="3" t="s">
        <v>231</v>
      </c>
      <c r="Q18" s="3" t="s">
        <v>3978</v>
      </c>
      <c r="R18" s="3" t="s">
        <v>3979</v>
      </c>
      <c r="S18" s="3" t="s">
        <v>3980</v>
      </c>
      <c r="T18" s="3" t="s">
        <v>3981</v>
      </c>
      <c r="U18" s="3" t="s">
        <v>3932</v>
      </c>
      <c r="V18" s="3" t="s">
        <v>3982</v>
      </c>
      <c r="W18" s="3">
        <v>3</v>
      </c>
      <c r="X18" s="3" t="s">
        <v>3983</v>
      </c>
      <c r="Y18" s="3" t="s">
        <v>3984</v>
      </c>
      <c r="AA18" s="3">
        <v>200</v>
      </c>
      <c r="AB18" s="8">
        <v>44359</v>
      </c>
      <c r="AC18" s="3" t="s">
        <v>62</v>
      </c>
      <c r="AD18" s="3">
        <v>0</v>
      </c>
      <c r="AE18" s="3">
        <v>10</v>
      </c>
      <c r="AF18" s="3">
        <v>2</v>
      </c>
      <c r="AG18" s="3" t="s">
        <v>3985</v>
      </c>
      <c r="AH18" s="3">
        <v>0</v>
      </c>
      <c r="AI18" s="3">
        <v>0</v>
      </c>
      <c r="AJ18" s="3" t="s">
        <v>120</v>
      </c>
      <c r="AK18" s="3"/>
      <c r="AL18" s="7" t="s">
        <v>3986</v>
      </c>
      <c r="AM18" s="7" t="s">
        <v>3987</v>
      </c>
      <c r="AN18" s="3"/>
      <c r="AO18" s="3"/>
      <c r="AP18" s="3"/>
      <c r="AQ18" s="7" t="s">
        <v>3988</v>
      </c>
      <c r="AR18" s="7" t="s">
        <v>3989</v>
      </c>
      <c r="AS18" s="7" t="s">
        <v>3990</v>
      </c>
      <c r="AT18" s="7" t="s">
        <v>3991</v>
      </c>
      <c r="AU18" s="7" t="s">
        <v>3992</v>
      </c>
    </row>
    <row r="19" spans="1:51" ht="12.5" x14ac:dyDescent="0.25">
      <c r="A19" s="3" t="s">
        <v>46</v>
      </c>
      <c r="B19" s="21" t="str">
        <f>HYPERLINK("https://gerandofalcoes.my.salesforce.com/0014X00002VKCpD", "0014X00002VKCpD")</f>
        <v>0014X00002VKCpD</v>
      </c>
      <c r="C19" s="21" t="str">
        <f>HYPERLINK("https://gerandofalcoes.my.salesforce.com/0014X00002VKCpDQAX", "0014X00002VKCpDQAX")</f>
        <v>0014X00002VKCpDQAX</v>
      </c>
      <c r="D19" s="3" t="s">
        <v>3993</v>
      </c>
      <c r="E19" s="3" t="s">
        <v>3994</v>
      </c>
      <c r="F19" s="3" t="s">
        <v>3995</v>
      </c>
      <c r="G19" s="8"/>
      <c r="H19" s="3"/>
      <c r="I19" s="3" t="s">
        <v>3996</v>
      </c>
      <c r="J19" s="3" t="s">
        <v>3997</v>
      </c>
      <c r="K19" s="3"/>
      <c r="L19" s="3" t="s">
        <v>1002</v>
      </c>
      <c r="M19" s="3" t="s">
        <v>3998</v>
      </c>
      <c r="N19" s="3" t="s">
        <v>3999</v>
      </c>
      <c r="O19" s="3">
        <v>340</v>
      </c>
      <c r="P19" s="3" t="s">
        <v>1848</v>
      </c>
      <c r="Q19" s="3"/>
      <c r="R19" s="3" t="s">
        <v>4000</v>
      </c>
      <c r="S19" s="3"/>
      <c r="T19" s="3"/>
      <c r="U19" s="3"/>
      <c r="V19" s="3"/>
      <c r="W19" s="3">
        <v>25</v>
      </c>
      <c r="X19" s="3" t="s">
        <v>4001</v>
      </c>
      <c r="Y19" s="3"/>
      <c r="AA19" s="3">
        <v>200</v>
      </c>
      <c r="AB19" s="6">
        <v>42282</v>
      </c>
      <c r="AC19" s="3" t="s">
        <v>62</v>
      </c>
      <c r="AD19" s="3">
        <v>15</v>
      </c>
      <c r="AE19" s="3">
        <v>20</v>
      </c>
      <c r="AF19" s="3">
        <v>0</v>
      </c>
      <c r="AG19" s="3"/>
      <c r="AH19" s="3">
        <v>0</v>
      </c>
      <c r="AI19" s="3">
        <v>0</v>
      </c>
      <c r="AJ19" s="3" t="s">
        <v>120</v>
      </c>
      <c r="AK19" s="3"/>
      <c r="AL19" s="3"/>
      <c r="AM19" s="7" t="s">
        <v>4002</v>
      </c>
      <c r="AN19" s="7" t="s">
        <v>4003</v>
      </c>
      <c r="AO19" s="3"/>
      <c r="AP19" s="3"/>
      <c r="AQ19" s="7" t="s">
        <v>4004</v>
      </c>
      <c r="AR19" s="7" t="s">
        <v>4005</v>
      </c>
      <c r="AS19" s="3"/>
      <c r="AT19" s="3"/>
      <c r="AU19" s="7" t="s">
        <v>4006</v>
      </c>
    </row>
    <row r="20" spans="1:51" ht="12.5" x14ac:dyDescent="0.25">
      <c r="A20" s="3" t="s">
        <v>46</v>
      </c>
      <c r="B20" s="21" t="str">
        <f>HYPERLINK("https://gerandofalcoes.my.salesforce.com/0014X00002VKCpE", "0014X00002VKCpE")</f>
        <v>0014X00002VKCpE</v>
      </c>
      <c r="C20" s="21" t="str">
        <f>HYPERLINK("https://gerandofalcoes.my.salesforce.com/0014X00002VKCpEQAX", "0014X00002VKCpEQAX")</f>
        <v>0014X00002VKCpEQAX</v>
      </c>
      <c r="D20" s="3" t="s">
        <v>4007</v>
      </c>
      <c r="E20" s="3" t="s">
        <v>4007</v>
      </c>
      <c r="F20" s="3"/>
      <c r="G20" s="6">
        <v>44763</v>
      </c>
      <c r="H20" s="3">
        <v>33</v>
      </c>
      <c r="I20" s="3" t="s">
        <v>4008</v>
      </c>
      <c r="J20" s="3" t="s">
        <v>4009</v>
      </c>
      <c r="K20" s="3" t="s">
        <v>4010</v>
      </c>
      <c r="L20" s="3" t="s">
        <v>195</v>
      </c>
      <c r="M20" s="3" t="s">
        <v>4011</v>
      </c>
      <c r="N20" s="3" t="s">
        <v>4012</v>
      </c>
      <c r="O20" s="3">
        <v>5</v>
      </c>
      <c r="P20" s="3" t="s">
        <v>4013</v>
      </c>
      <c r="Q20" s="3" t="s">
        <v>1539</v>
      </c>
      <c r="R20" s="3" t="s">
        <v>4014</v>
      </c>
      <c r="S20" s="3" t="s">
        <v>4015</v>
      </c>
      <c r="T20" s="3" t="s">
        <v>4016</v>
      </c>
      <c r="U20" s="3" t="s">
        <v>4017</v>
      </c>
      <c r="V20" s="3" t="s">
        <v>3933</v>
      </c>
      <c r="W20" s="3">
        <v>5</v>
      </c>
      <c r="X20" s="3" t="s">
        <v>4018</v>
      </c>
      <c r="Y20" s="3"/>
      <c r="Z20" s="3">
        <v>0</v>
      </c>
      <c r="AA20" s="3">
        <v>2</v>
      </c>
      <c r="AB20" s="6">
        <v>43872</v>
      </c>
      <c r="AC20" s="3" t="s">
        <v>120</v>
      </c>
      <c r="AD20" s="3">
        <v>11</v>
      </c>
      <c r="AE20" s="3">
        <v>11</v>
      </c>
      <c r="AF20" s="3">
        <v>5</v>
      </c>
      <c r="AG20" s="3" t="s">
        <v>4019</v>
      </c>
      <c r="AH20" s="3">
        <v>0</v>
      </c>
      <c r="AI20" s="3">
        <v>12000</v>
      </c>
      <c r="AJ20" s="3" t="s">
        <v>61</v>
      </c>
      <c r="AK20" s="3"/>
      <c r="AL20" s="3" t="s">
        <v>4009</v>
      </c>
      <c r="AM20" s="3" t="s">
        <v>4009</v>
      </c>
      <c r="AN20" s="3"/>
      <c r="AO20" s="3" t="s">
        <v>4009</v>
      </c>
      <c r="AP20" s="3"/>
      <c r="AQ20" s="3"/>
      <c r="AR20" s="3"/>
      <c r="AS20" s="3"/>
      <c r="AT20" s="3"/>
      <c r="AU20" s="7" t="s">
        <v>4020</v>
      </c>
    </row>
    <row r="21" spans="1:51" ht="12.5" x14ac:dyDescent="0.25">
      <c r="A21" s="3" t="s">
        <v>46</v>
      </c>
      <c r="B21" s="21" t="str">
        <f>HYPERLINK("https://gerandofalcoes.my.salesforce.com/0014X00002VKCpF", "0014X00002VKCpF")</f>
        <v>0014X00002VKCpF</v>
      </c>
      <c r="C21" s="21" t="str">
        <f>HYPERLINK("https://gerandofalcoes.my.salesforce.com/0014X00002VKCpFQAX", "0014X00002VKCpFQAX")</f>
        <v>0014X00002VKCpFQAX</v>
      </c>
      <c r="D21" s="3" t="s">
        <v>4021</v>
      </c>
      <c r="E21" s="3" t="s">
        <v>4021</v>
      </c>
      <c r="F21" s="3"/>
      <c r="G21" s="6">
        <v>44763</v>
      </c>
      <c r="H21" s="3">
        <v>33</v>
      </c>
      <c r="I21" s="3" t="s">
        <v>4022</v>
      </c>
      <c r="J21" s="3" t="s">
        <v>4023</v>
      </c>
      <c r="K21" s="3" t="s">
        <v>4024</v>
      </c>
      <c r="L21" s="3" t="s">
        <v>51</v>
      </c>
      <c r="M21" s="3" t="s">
        <v>4025</v>
      </c>
      <c r="N21" s="3" t="s">
        <v>4026</v>
      </c>
      <c r="O21" s="3">
        <v>183</v>
      </c>
      <c r="P21" s="3" t="s">
        <v>4027</v>
      </c>
      <c r="Q21" s="3"/>
      <c r="R21" s="3" t="s">
        <v>4028</v>
      </c>
      <c r="S21" s="3" t="s">
        <v>4029</v>
      </c>
      <c r="T21" s="3"/>
      <c r="U21" s="3" t="s">
        <v>3913</v>
      </c>
      <c r="V21" s="3" t="s">
        <v>3933</v>
      </c>
      <c r="W21" s="3">
        <v>2</v>
      </c>
      <c r="X21" s="3" t="s">
        <v>4030</v>
      </c>
      <c r="Y21" s="3" t="s">
        <v>4031</v>
      </c>
      <c r="Z21" s="3"/>
      <c r="AA21" s="3">
        <v>200</v>
      </c>
      <c r="AB21" s="6">
        <v>43874</v>
      </c>
      <c r="AC21" s="3" t="s">
        <v>120</v>
      </c>
      <c r="AD21" s="3">
        <v>0</v>
      </c>
      <c r="AE21" s="3">
        <v>1</v>
      </c>
      <c r="AF21" s="3">
        <v>2</v>
      </c>
      <c r="AG21" s="3" t="s">
        <v>4032</v>
      </c>
      <c r="AH21" s="3">
        <v>0</v>
      </c>
      <c r="AI21" s="3">
        <v>5000</v>
      </c>
      <c r="AJ21" s="3" t="s">
        <v>120</v>
      </c>
      <c r="AK21" s="3"/>
      <c r="AL21" s="3" t="s">
        <v>4033</v>
      </c>
      <c r="AM21" s="3"/>
      <c r="AN21" s="3"/>
      <c r="AO21" s="3"/>
      <c r="AP21" s="3"/>
      <c r="AQ21" s="3"/>
      <c r="AR21" s="3"/>
      <c r="AS21" s="3"/>
      <c r="AT21" s="3"/>
      <c r="AU21" s="3"/>
    </row>
    <row r="22" spans="1:51" ht="12.5" x14ac:dyDescent="0.25">
      <c r="A22" s="3" t="s">
        <v>46</v>
      </c>
      <c r="B22" s="21" t="str">
        <f>HYPERLINK("https://gerandofalcoes.my.salesforce.com/0014X00002VKCpG", "0014X00002VKCpG")</f>
        <v>0014X00002VKCpG</v>
      </c>
      <c r="C22" s="21" t="str">
        <f>HYPERLINK("https://gerandofalcoes.my.salesforce.com/0014X00002VKCpGQAX", "0014X00002VKCpGQAX")</f>
        <v>0014X00002VKCpGQAX</v>
      </c>
      <c r="D22" s="3" t="s">
        <v>4034</v>
      </c>
      <c r="E22" s="3" t="s">
        <v>4035</v>
      </c>
      <c r="F22" s="3" t="s">
        <v>4036</v>
      </c>
      <c r="G22" s="6">
        <v>44763</v>
      </c>
      <c r="H22" s="3">
        <v>33</v>
      </c>
      <c r="I22" s="3" t="s">
        <v>4037</v>
      </c>
      <c r="J22" s="3" t="s">
        <v>4038</v>
      </c>
      <c r="K22" s="3" t="s">
        <v>4039</v>
      </c>
      <c r="L22" s="3" t="s">
        <v>1002</v>
      </c>
      <c r="M22" s="3" t="s">
        <v>4040</v>
      </c>
      <c r="N22" s="3" t="s">
        <v>4041</v>
      </c>
      <c r="O22" s="3">
        <v>1057</v>
      </c>
      <c r="P22" s="3" t="s">
        <v>1848</v>
      </c>
      <c r="Q22" s="3" t="s">
        <v>4042</v>
      </c>
      <c r="R22" s="3" t="s">
        <v>4043</v>
      </c>
      <c r="S22" s="3"/>
      <c r="T22" s="3"/>
      <c r="U22" s="3"/>
      <c r="V22" s="3"/>
      <c r="W22" s="3">
        <v>15</v>
      </c>
      <c r="X22" s="3" t="s">
        <v>4044</v>
      </c>
      <c r="Y22" s="3" t="s">
        <v>4045</v>
      </c>
      <c r="AA22" s="3">
        <v>3800</v>
      </c>
      <c r="AB22" s="6">
        <v>43754</v>
      </c>
      <c r="AC22" s="3" t="s">
        <v>120</v>
      </c>
      <c r="AD22" s="3">
        <v>1</v>
      </c>
      <c r="AE22" s="3">
        <v>3</v>
      </c>
      <c r="AF22" s="3">
        <v>1</v>
      </c>
      <c r="AG22" s="3"/>
      <c r="AH22" s="3"/>
      <c r="AI22" s="3"/>
      <c r="AJ22" s="3"/>
      <c r="AK22" s="3"/>
      <c r="AL22" s="7" t="s">
        <v>4046</v>
      </c>
      <c r="AM22" s="7" t="s">
        <v>4047</v>
      </c>
      <c r="AN22" s="7" t="s">
        <v>4048</v>
      </c>
      <c r="AO22" s="3"/>
      <c r="AP22" s="3"/>
      <c r="AQ22" s="3"/>
      <c r="AR22" s="3"/>
      <c r="AS22" s="7" t="s">
        <v>4049</v>
      </c>
      <c r="AT22" s="7" t="s">
        <v>4050</v>
      </c>
      <c r="AU22" s="7" t="s">
        <v>4051</v>
      </c>
    </row>
    <row r="23" spans="1:51" ht="12.5" x14ac:dyDescent="0.25">
      <c r="A23" s="3" t="s">
        <v>46</v>
      </c>
      <c r="B23" s="21" t="str">
        <f>HYPERLINK("https://gerandofalcoes.my.salesforce.com/0014X00002VKCpI", "0014X00002VKCpI")</f>
        <v>0014X00002VKCpI</v>
      </c>
      <c r="C23" s="21" t="str">
        <f>HYPERLINK("https://gerandofalcoes.my.salesforce.com/0014X00002VKCpIQAX", "0014X00002VKCpIQAX")</f>
        <v>0014X00002VKCpIQAX</v>
      </c>
      <c r="D23" s="3" t="s">
        <v>4052</v>
      </c>
      <c r="E23" s="3" t="s">
        <v>4052</v>
      </c>
      <c r="F23" s="3"/>
      <c r="G23" s="8"/>
      <c r="H23" s="3"/>
      <c r="I23" s="3" t="s">
        <v>4053</v>
      </c>
      <c r="J23" s="3" t="s">
        <v>4054</v>
      </c>
      <c r="K23" s="3" t="s">
        <v>4055</v>
      </c>
      <c r="L23" s="3" t="s">
        <v>605</v>
      </c>
      <c r="M23" s="3" t="s">
        <v>4056</v>
      </c>
      <c r="N23" s="3" t="s">
        <v>4057</v>
      </c>
      <c r="O23" s="3">
        <v>10</v>
      </c>
      <c r="P23" s="3" t="s">
        <v>4058</v>
      </c>
      <c r="Q23" s="3" t="s">
        <v>4059</v>
      </c>
      <c r="R23" s="3" t="s">
        <v>4060</v>
      </c>
      <c r="S23" s="3" t="s">
        <v>4061</v>
      </c>
      <c r="T23" s="3"/>
      <c r="U23" s="3" t="s">
        <v>4062</v>
      </c>
      <c r="V23" s="3" t="s">
        <v>4063</v>
      </c>
      <c r="W23" s="3">
        <v>15</v>
      </c>
      <c r="X23" s="3" t="s">
        <v>4064</v>
      </c>
      <c r="Y23" s="3" t="s">
        <v>4065</v>
      </c>
      <c r="Z23" s="3"/>
      <c r="AA23" s="3">
        <v>300</v>
      </c>
      <c r="AB23" s="6">
        <v>42005</v>
      </c>
      <c r="AC23" s="3" t="s">
        <v>120</v>
      </c>
      <c r="AD23" s="3">
        <v>0</v>
      </c>
      <c r="AE23" s="3">
        <v>30</v>
      </c>
      <c r="AF23" s="3">
        <v>4</v>
      </c>
      <c r="AG23" s="3" t="s">
        <v>4066</v>
      </c>
      <c r="AH23" s="3" t="s">
        <v>4067</v>
      </c>
      <c r="AI23" s="3">
        <v>300</v>
      </c>
      <c r="AJ23" s="3" t="s">
        <v>61</v>
      </c>
      <c r="AK23" s="3"/>
      <c r="AL23" s="3"/>
      <c r="AM23" s="7" t="s">
        <v>4068</v>
      </c>
      <c r="AN23" s="3"/>
      <c r="AO23" s="3"/>
      <c r="AP23" s="3"/>
      <c r="AQ23" s="3"/>
      <c r="AR23" s="3"/>
      <c r="AS23" s="3"/>
      <c r="AT23" s="3"/>
      <c r="AU23" s="7" t="s">
        <v>4069</v>
      </c>
    </row>
    <row r="24" spans="1:51" ht="12.5" x14ac:dyDescent="0.25">
      <c r="A24" s="3" t="s">
        <v>46</v>
      </c>
      <c r="B24" s="21" t="str">
        <f>HYPERLINK("https://gerandofalcoes.my.salesforce.com/0014X00002VKCpj", "0014X00002VKCpj")</f>
        <v>0014X00002VKCpj</v>
      </c>
      <c r="C24" s="21" t="str">
        <f>HYPERLINK("https://gerandofalcoes.my.salesforce.com/0014X00002VKCpjQAH", "0014X00002VKCpjQAH")</f>
        <v>0014X00002VKCpjQAH</v>
      </c>
      <c r="D24" s="3" t="s">
        <v>4070</v>
      </c>
      <c r="E24" s="3" t="s">
        <v>4071</v>
      </c>
      <c r="F24" s="3" t="s">
        <v>4072</v>
      </c>
      <c r="G24" s="6">
        <v>44763</v>
      </c>
      <c r="H24" s="3">
        <v>33</v>
      </c>
      <c r="I24" s="3" t="s">
        <v>4073</v>
      </c>
      <c r="J24" s="3" t="s">
        <v>4074</v>
      </c>
      <c r="K24" s="3" t="s">
        <v>4075</v>
      </c>
      <c r="L24" s="3" t="s">
        <v>468</v>
      </c>
      <c r="M24" s="3" t="s">
        <v>4076</v>
      </c>
      <c r="N24" s="3" t="s">
        <v>4077</v>
      </c>
      <c r="O24" s="3">
        <v>91</v>
      </c>
      <c r="P24" s="3" t="s">
        <v>4078</v>
      </c>
      <c r="Q24" s="3"/>
      <c r="R24" s="3" t="s">
        <v>4079</v>
      </c>
      <c r="S24" s="3" t="s">
        <v>4080</v>
      </c>
      <c r="T24" s="3"/>
      <c r="U24" s="3" t="s">
        <v>4081</v>
      </c>
      <c r="V24" s="3" t="s">
        <v>3933</v>
      </c>
      <c r="W24" s="3">
        <v>2</v>
      </c>
      <c r="X24" s="3" t="s">
        <v>4082</v>
      </c>
      <c r="Y24" s="3" t="s">
        <v>4083</v>
      </c>
      <c r="AA24" s="3">
        <v>156</v>
      </c>
      <c r="AB24" s="6">
        <v>42760</v>
      </c>
      <c r="AC24" s="3" t="s">
        <v>62</v>
      </c>
      <c r="AD24" s="3">
        <v>0</v>
      </c>
      <c r="AE24" s="3">
        <v>26</v>
      </c>
      <c r="AF24" s="3">
        <v>2</v>
      </c>
      <c r="AG24" s="3" t="s">
        <v>4084</v>
      </c>
      <c r="AH24" s="3">
        <v>0</v>
      </c>
      <c r="AI24" s="3">
        <v>122554.41</v>
      </c>
      <c r="AJ24" s="3" t="s">
        <v>120</v>
      </c>
      <c r="AK24" s="3"/>
      <c r="AL24" s="7" t="s">
        <v>4085</v>
      </c>
      <c r="AM24" s="7" t="s">
        <v>4086</v>
      </c>
      <c r="AN24" s="3"/>
      <c r="AO24" s="3"/>
      <c r="AP24" s="3"/>
      <c r="AQ24" s="3"/>
      <c r="AR24" s="3"/>
      <c r="AS24" s="3"/>
      <c r="AT24" s="3"/>
      <c r="AU24" s="3"/>
    </row>
    <row r="25" spans="1:51" ht="12.5" x14ac:dyDescent="0.25">
      <c r="A25" s="3" t="s">
        <v>46</v>
      </c>
      <c r="B25" s="21" t="str">
        <f>HYPERLINK("https://gerandofalcoes.my.salesforce.com/0014X00002VKCpk", "0014X00002VKCpk")</f>
        <v>0014X00002VKCpk</v>
      </c>
      <c r="C25" s="21" t="str">
        <f>HYPERLINK("https://gerandofalcoes.my.salesforce.com/0014X00002VKCpkQAH", "0014X00002VKCpkQAH")</f>
        <v>0014X00002VKCpkQAH</v>
      </c>
      <c r="D25" s="3" t="s">
        <v>4087</v>
      </c>
      <c r="E25" s="3" t="s">
        <v>4087</v>
      </c>
      <c r="F25" s="3" t="s">
        <v>4088</v>
      </c>
      <c r="G25" s="6">
        <v>44763</v>
      </c>
      <c r="H25" s="3">
        <v>33</v>
      </c>
      <c r="I25" s="3" t="s">
        <v>4089</v>
      </c>
      <c r="J25" s="3" t="s">
        <v>4090</v>
      </c>
      <c r="K25" s="3" t="s">
        <v>4091</v>
      </c>
      <c r="L25" s="3" t="s">
        <v>468</v>
      </c>
      <c r="M25" s="3" t="s">
        <v>4092</v>
      </c>
      <c r="N25" s="3" t="s">
        <v>4093</v>
      </c>
      <c r="O25" s="3">
        <v>219</v>
      </c>
      <c r="P25" s="3" t="s">
        <v>470</v>
      </c>
      <c r="Q25" s="3" t="s">
        <v>4094</v>
      </c>
      <c r="R25" s="3" t="s">
        <v>4095</v>
      </c>
      <c r="S25" s="3" t="s">
        <v>4096</v>
      </c>
      <c r="T25" s="3"/>
      <c r="U25" s="3" t="s">
        <v>4097</v>
      </c>
      <c r="V25" s="3" t="s">
        <v>3933</v>
      </c>
      <c r="W25" s="3">
        <v>580</v>
      </c>
      <c r="X25" s="3">
        <v>5</v>
      </c>
      <c r="Y25" s="3" t="s">
        <v>4098</v>
      </c>
      <c r="Z25" s="3"/>
      <c r="AA25" s="3">
        <v>150</v>
      </c>
      <c r="AB25" s="6">
        <v>33084</v>
      </c>
      <c r="AC25" s="3" t="s">
        <v>62</v>
      </c>
      <c r="AD25" s="3">
        <v>15</v>
      </c>
      <c r="AE25" s="3">
        <v>3</v>
      </c>
      <c r="AF25" s="3">
        <v>1000000</v>
      </c>
      <c r="AG25" s="3" t="s">
        <v>4099</v>
      </c>
      <c r="AH25" s="3">
        <v>20</v>
      </c>
      <c r="AI25" s="3">
        <v>78000</v>
      </c>
      <c r="AJ25" s="3" t="s">
        <v>61</v>
      </c>
      <c r="AK25" s="3"/>
      <c r="AL25" s="7" t="s">
        <v>4100</v>
      </c>
      <c r="AM25" s="7" t="s">
        <v>4101</v>
      </c>
      <c r="AN25" s="7" t="s">
        <v>4102</v>
      </c>
      <c r="AO25" s="3"/>
      <c r="AP25" s="3"/>
      <c r="AQ25" s="7" t="s">
        <v>4103</v>
      </c>
      <c r="AR25" s="7" t="s">
        <v>4104</v>
      </c>
      <c r="AS25" s="7" t="s">
        <v>4105</v>
      </c>
      <c r="AT25" s="7" t="s">
        <v>4106</v>
      </c>
      <c r="AU25" s="7" t="s">
        <v>4107</v>
      </c>
    </row>
    <row r="26" spans="1:51" ht="12.5" x14ac:dyDescent="0.25">
      <c r="A26" s="3" t="s">
        <v>46</v>
      </c>
      <c r="B26" s="21" t="str">
        <f>HYPERLINK("https://gerandofalcoes.my.salesforce.com/0014X00002VKCpl", "0014X00002VKCpl")</f>
        <v>0014X00002VKCpl</v>
      </c>
      <c r="C26" s="21" t="str">
        <f>HYPERLINK("https://gerandofalcoes.my.salesforce.com/0014X00002VKCplQAH", "0014X00002VKCplQAH")</f>
        <v>0014X00002VKCplQAH</v>
      </c>
      <c r="D26" s="3" t="s">
        <v>4108</v>
      </c>
      <c r="E26" s="3" t="s">
        <v>4109</v>
      </c>
      <c r="F26" s="3" t="s">
        <v>4110</v>
      </c>
      <c r="G26" s="6">
        <v>44763</v>
      </c>
      <c r="H26" s="3">
        <v>33</v>
      </c>
      <c r="I26" s="3" t="s">
        <v>4111</v>
      </c>
      <c r="J26" s="3" t="s">
        <v>4112</v>
      </c>
      <c r="K26" s="3" t="s">
        <v>4113</v>
      </c>
      <c r="L26" s="3" t="s">
        <v>468</v>
      </c>
      <c r="M26" s="3" t="s">
        <v>4114</v>
      </c>
      <c r="N26" s="3" t="s">
        <v>4115</v>
      </c>
      <c r="O26" s="3">
        <v>140</v>
      </c>
      <c r="P26" s="3" t="s">
        <v>4116</v>
      </c>
      <c r="Q26" s="3"/>
      <c r="R26" s="3" t="s">
        <v>4117</v>
      </c>
      <c r="S26" s="3" t="s">
        <v>4118</v>
      </c>
      <c r="T26" s="3"/>
      <c r="U26" s="3" t="s">
        <v>3913</v>
      </c>
      <c r="V26" s="3" t="s">
        <v>4119</v>
      </c>
      <c r="W26" s="3">
        <v>6</v>
      </c>
      <c r="X26" s="3" t="s">
        <v>4120</v>
      </c>
      <c r="Y26" s="3" t="s">
        <v>4121</v>
      </c>
      <c r="Z26" s="3"/>
      <c r="AA26" s="3">
        <v>500</v>
      </c>
      <c r="AB26" s="6">
        <v>42195</v>
      </c>
      <c r="AC26" s="3" t="s">
        <v>62</v>
      </c>
      <c r="AD26" s="3">
        <v>20</v>
      </c>
      <c r="AE26" s="3">
        <v>8</v>
      </c>
      <c r="AF26" s="3">
        <v>2</v>
      </c>
      <c r="AG26" s="3" t="s">
        <v>4122</v>
      </c>
      <c r="AH26" s="3" t="s">
        <v>4123</v>
      </c>
      <c r="AI26" s="3">
        <v>300000</v>
      </c>
      <c r="AJ26" s="3" t="s">
        <v>120</v>
      </c>
      <c r="AK26" s="3"/>
      <c r="AL26" s="7" t="s">
        <v>4124</v>
      </c>
      <c r="AM26" s="7" t="s">
        <v>4125</v>
      </c>
      <c r="AN26" s="7" t="s">
        <v>4126</v>
      </c>
      <c r="AO26" s="3"/>
      <c r="AP26" s="3"/>
      <c r="AQ26" s="3"/>
      <c r="AR26" s="7" t="s">
        <v>4127</v>
      </c>
      <c r="AS26" s="7" t="s">
        <v>4128</v>
      </c>
      <c r="AT26" s="7" t="s">
        <v>4129</v>
      </c>
      <c r="AU26" s="7" t="s">
        <v>4130</v>
      </c>
    </row>
    <row r="27" spans="1:51" ht="12.5" x14ac:dyDescent="0.25">
      <c r="A27" s="3" t="s">
        <v>46</v>
      </c>
      <c r="B27" s="21" t="str">
        <f>HYPERLINK("https://gerandofalcoes.my.salesforce.com/0014X00002VKCpm", "0014X00002VKCpm")</f>
        <v>0014X00002VKCpm</v>
      </c>
      <c r="C27" s="7" t="str">
        <f>HYPERLINK("https://gerandofalcoes.my.salesforce.com/0014X00002VKCpmQAH", "0014X00002VKCpmQAH")</f>
        <v>0014X00002VKCpmQAH</v>
      </c>
      <c r="D27" s="3" t="s">
        <v>4131</v>
      </c>
      <c r="E27" s="3" t="s">
        <v>4132</v>
      </c>
      <c r="F27" s="3"/>
      <c r="G27" s="6">
        <v>44763</v>
      </c>
      <c r="H27" s="3">
        <v>33</v>
      </c>
      <c r="I27" s="3" t="s">
        <v>4133</v>
      </c>
      <c r="J27" s="3"/>
      <c r="K27" s="3" t="s">
        <v>4134</v>
      </c>
      <c r="L27" s="3" t="s">
        <v>468</v>
      </c>
      <c r="M27" s="3" t="s">
        <v>4135</v>
      </c>
      <c r="N27" s="3" t="s">
        <v>4136</v>
      </c>
      <c r="O27" s="3" t="s">
        <v>4137</v>
      </c>
      <c r="P27" s="3" t="s">
        <v>4138</v>
      </c>
      <c r="Q27" s="3"/>
      <c r="R27" s="3" t="s">
        <v>4139</v>
      </c>
      <c r="S27" s="3" t="s">
        <v>4140</v>
      </c>
      <c r="T27" s="3"/>
      <c r="U27" s="3" t="s">
        <v>4081</v>
      </c>
      <c r="V27" s="3" t="s">
        <v>4141</v>
      </c>
      <c r="W27" s="3">
        <v>1</v>
      </c>
      <c r="X27" s="3" t="s">
        <v>4142</v>
      </c>
      <c r="Y27" s="3"/>
      <c r="Z27" s="3"/>
      <c r="AA27" s="3">
        <v>200</v>
      </c>
      <c r="AB27" s="6">
        <v>42225</v>
      </c>
      <c r="AC27" s="3" t="s">
        <v>120</v>
      </c>
      <c r="AD27" s="3">
        <v>0</v>
      </c>
      <c r="AE27" s="3">
        <v>7</v>
      </c>
      <c r="AF27" s="3">
        <v>3</v>
      </c>
      <c r="AG27" s="3" t="s">
        <v>4143</v>
      </c>
      <c r="AH27" s="3" t="s">
        <v>4144</v>
      </c>
      <c r="AI27" s="3">
        <v>7000</v>
      </c>
      <c r="AJ27" s="3" t="s">
        <v>120</v>
      </c>
      <c r="AK27" s="3"/>
      <c r="AL27" s="3"/>
      <c r="AM27" s="7" t="s">
        <v>4145</v>
      </c>
      <c r="AN27" s="3"/>
      <c r="AO27" s="3"/>
      <c r="AP27" s="3"/>
      <c r="AQ27" s="3"/>
      <c r="AR27" s="3"/>
      <c r="AS27" s="3"/>
      <c r="AT27" s="3"/>
      <c r="AU27" s="3"/>
      <c r="AV27" s="3"/>
      <c r="AW27" s="3"/>
      <c r="AX27" s="3"/>
      <c r="AY27" s="3"/>
    </row>
    <row r="28" spans="1:51" ht="12.5" x14ac:dyDescent="0.25">
      <c r="A28" s="3" t="s">
        <v>46</v>
      </c>
      <c r="B28" s="21" t="str">
        <f>HYPERLINK("https://gerandofalcoes.my.salesforce.com/0014X00002VKCpn", "0014X00002VKCpn")</f>
        <v>0014X00002VKCpn</v>
      </c>
      <c r="C28" s="21" t="str">
        <f>HYPERLINK("https://gerandofalcoes.my.salesforce.com/0014X00002VKCpnQAH", "0014X00002VKCpnQAH")</f>
        <v>0014X00002VKCpnQAH</v>
      </c>
      <c r="D28" s="3" t="s">
        <v>4146</v>
      </c>
      <c r="E28" s="3" t="s">
        <v>4147</v>
      </c>
      <c r="F28" s="3"/>
      <c r="G28" s="8">
        <v>44763</v>
      </c>
      <c r="H28" s="3">
        <v>33</v>
      </c>
      <c r="I28" s="3" t="s">
        <v>4148</v>
      </c>
      <c r="J28" s="3" t="s">
        <v>4149</v>
      </c>
      <c r="K28" s="3" t="s">
        <v>4150</v>
      </c>
      <c r="L28" s="3" t="s">
        <v>468</v>
      </c>
      <c r="M28" s="3" t="s">
        <v>4151</v>
      </c>
      <c r="N28" s="3" t="s">
        <v>4152</v>
      </c>
      <c r="O28" s="3">
        <v>638</v>
      </c>
      <c r="P28" s="3" t="s">
        <v>470</v>
      </c>
      <c r="Q28" s="3"/>
      <c r="R28" s="3" t="s">
        <v>4153</v>
      </c>
      <c r="S28" s="3"/>
      <c r="T28" s="3"/>
      <c r="U28" s="3" t="s">
        <v>3932</v>
      </c>
      <c r="V28" s="3" t="s">
        <v>4154</v>
      </c>
      <c r="W28" s="3">
        <v>2</v>
      </c>
      <c r="X28" s="3" t="s">
        <v>4155</v>
      </c>
      <c r="Y28" s="3"/>
      <c r="Z28" s="3"/>
      <c r="AA28" s="3">
        <v>600</v>
      </c>
      <c r="AB28" s="6">
        <v>44109</v>
      </c>
      <c r="AC28" s="3" t="s">
        <v>120</v>
      </c>
      <c r="AD28" s="3">
        <v>0</v>
      </c>
      <c r="AE28" s="3">
        <v>2</v>
      </c>
      <c r="AF28" s="3">
        <v>2</v>
      </c>
      <c r="AG28" s="3" t="s">
        <v>4156</v>
      </c>
      <c r="AH28" s="3" t="s">
        <v>4157</v>
      </c>
      <c r="AI28" s="3">
        <v>10000</v>
      </c>
      <c r="AJ28" s="3" t="s">
        <v>120</v>
      </c>
      <c r="AK28" s="3"/>
      <c r="AL28" s="3"/>
      <c r="AM28" s="7" t="s">
        <v>4158</v>
      </c>
      <c r="AN28" s="3"/>
      <c r="AO28" s="3"/>
      <c r="AP28" s="3"/>
      <c r="AQ28" s="3"/>
      <c r="AR28" s="3"/>
      <c r="AS28" s="3"/>
      <c r="AT28" s="3"/>
      <c r="AU28" s="7" t="s">
        <v>4159</v>
      </c>
    </row>
    <row r="29" spans="1:51" ht="12.5" x14ac:dyDescent="0.25">
      <c r="A29" s="3" t="s">
        <v>46</v>
      </c>
      <c r="B29" s="21" t="str">
        <f>HYPERLINK("https://gerandofalcoes.my.salesforce.com/0014X00002VKCpq", "0014X00002VKCpq")</f>
        <v>0014X00002VKCpq</v>
      </c>
      <c r="C29" s="21" t="str">
        <f>HYPERLINK("https://gerandofalcoes.my.salesforce.com/0014X00002VKCpqQAH", "0014X00002VKCpqQAH")</f>
        <v>0014X00002VKCpqQAH</v>
      </c>
      <c r="D29" s="3" t="s">
        <v>4160</v>
      </c>
      <c r="E29" s="3" t="s">
        <v>4161</v>
      </c>
      <c r="F29" s="3" t="s">
        <v>4162</v>
      </c>
      <c r="G29" s="6"/>
      <c r="H29" s="3"/>
      <c r="I29" s="3" t="s">
        <v>4163</v>
      </c>
      <c r="J29" s="3" t="s">
        <v>4164</v>
      </c>
      <c r="K29" s="3" t="s">
        <v>4165</v>
      </c>
      <c r="L29" s="3" t="s">
        <v>468</v>
      </c>
      <c r="M29" s="3" t="s">
        <v>4166</v>
      </c>
      <c r="N29" s="3" t="s">
        <v>4167</v>
      </c>
      <c r="O29" s="3">
        <v>1322</v>
      </c>
      <c r="P29" s="3" t="s">
        <v>470</v>
      </c>
      <c r="Q29" s="3"/>
      <c r="R29" s="3" t="s">
        <v>4168</v>
      </c>
      <c r="S29" s="3"/>
      <c r="T29" s="3"/>
      <c r="U29" s="3"/>
      <c r="V29" s="3"/>
      <c r="W29" s="3">
        <v>3</v>
      </c>
      <c r="X29" s="3" t="s">
        <v>4169</v>
      </c>
      <c r="Y29" s="3" t="s">
        <v>4170</v>
      </c>
      <c r="Z29" s="3"/>
      <c r="AA29" s="3">
        <v>250</v>
      </c>
      <c r="AB29" s="6">
        <v>39663</v>
      </c>
      <c r="AC29" s="3" t="s">
        <v>62</v>
      </c>
      <c r="AD29" s="3"/>
      <c r="AE29" s="3">
        <v>14</v>
      </c>
      <c r="AF29" s="3">
        <v>3</v>
      </c>
      <c r="AG29" s="3"/>
      <c r="AH29" s="3"/>
      <c r="AI29" s="3"/>
      <c r="AJ29" s="3" t="s">
        <v>120</v>
      </c>
      <c r="AK29" s="3"/>
      <c r="AL29" s="3"/>
      <c r="AM29" s="7" t="s">
        <v>4171</v>
      </c>
      <c r="AN29" s="7" t="s">
        <v>4172</v>
      </c>
      <c r="AO29" s="3"/>
      <c r="AP29" s="3"/>
      <c r="AQ29" s="7" t="s">
        <v>4173</v>
      </c>
      <c r="AR29" s="3"/>
      <c r="AS29" s="7" t="s">
        <v>4174</v>
      </c>
      <c r="AT29" s="3"/>
      <c r="AU29" s="7" t="s">
        <v>4175</v>
      </c>
    </row>
    <row r="30" spans="1:51" ht="12.5" x14ac:dyDescent="0.25">
      <c r="A30" s="3" t="s">
        <v>46</v>
      </c>
      <c r="B30" s="21" t="str">
        <f>HYPERLINK("https://gerandofalcoes.my.salesforce.com/0014X00002VKCps", "0014X00002VKCps")</f>
        <v>0014X00002VKCps</v>
      </c>
      <c r="C30" s="21" t="str">
        <f>HYPERLINK("https://gerandofalcoes.my.salesforce.com/0014X00002VKCpsQAH", "0014X00002VKCpsQAH")</f>
        <v>0014X00002VKCpsQAH</v>
      </c>
      <c r="D30" s="3" t="s">
        <v>4176</v>
      </c>
      <c r="E30" s="3" t="s">
        <v>4177</v>
      </c>
      <c r="F30" s="3" t="s">
        <v>4178</v>
      </c>
      <c r="G30" s="6">
        <v>44763</v>
      </c>
      <c r="H30" s="3">
        <v>33</v>
      </c>
      <c r="I30" s="3" t="s">
        <v>4179</v>
      </c>
      <c r="J30" s="3" t="s">
        <v>4180</v>
      </c>
      <c r="K30" s="3" t="s">
        <v>4181</v>
      </c>
      <c r="L30" s="3" t="s">
        <v>468</v>
      </c>
      <c r="M30" s="3" t="s">
        <v>4182</v>
      </c>
      <c r="N30" s="3" t="s">
        <v>4183</v>
      </c>
      <c r="O30" s="3">
        <v>497</v>
      </c>
      <c r="P30" s="3" t="s">
        <v>470</v>
      </c>
      <c r="Q30" s="3"/>
      <c r="R30" s="3" t="s">
        <v>4184</v>
      </c>
      <c r="S30" s="3"/>
      <c r="T30" s="3"/>
      <c r="U30" s="3"/>
      <c r="V30" s="3"/>
      <c r="W30" s="3">
        <v>20</v>
      </c>
      <c r="X30" s="3" t="s">
        <v>4185</v>
      </c>
      <c r="Y30" s="3" t="s">
        <v>4186</v>
      </c>
      <c r="Z30" s="3"/>
      <c r="AA30" s="3">
        <v>1500</v>
      </c>
      <c r="AB30" s="8">
        <v>30427</v>
      </c>
      <c r="AC30" s="3" t="s">
        <v>62</v>
      </c>
      <c r="AD30" s="3">
        <v>60</v>
      </c>
      <c r="AE30" s="3">
        <v>5</v>
      </c>
      <c r="AF30" s="3">
        <v>3</v>
      </c>
      <c r="AG30" s="3"/>
      <c r="AH30" s="3" t="s">
        <v>4187</v>
      </c>
      <c r="AI30" s="3"/>
      <c r="AJ30" s="3" t="s">
        <v>62</v>
      </c>
      <c r="AK30" s="3"/>
      <c r="AL30" s="7" t="s">
        <v>4188</v>
      </c>
      <c r="AM30" s="7" t="s">
        <v>4189</v>
      </c>
      <c r="AN30" s="7" t="s">
        <v>4190</v>
      </c>
      <c r="AO30" s="3"/>
      <c r="AP30" s="3"/>
      <c r="AQ30" s="3"/>
      <c r="AR30" s="3"/>
      <c r="AS30" s="3"/>
      <c r="AT30" s="3"/>
      <c r="AU30" s="7" t="s">
        <v>4191</v>
      </c>
    </row>
    <row r="31" spans="1:51" ht="12.5" x14ac:dyDescent="0.25">
      <c r="A31" s="3" t="s">
        <v>46</v>
      </c>
      <c r="B31" s="21" t="str">
        <f>HYPERLINK("https://gerandofalcoes.my.salesforce.com/0014X00002VKCpt", "0014X00002VKCpt")</f>
        <v>0014X00002VKCpt</v>
      </c>
      <c r="C31" s="21" t="str">
        <f>HYPERLINK("https://gerandofalcoes.my.salesforce.com/0014X00002VKCptQAH", "0014X00002VKCptQAH")</f>
        <v>0014X00002VKCptQAH</v>
      </c>
      <c r="D31" s="3" t="s">
        <v>4192</v>
      </c>
      <c r="E31" s="3" t="s">
        <v>4193</v>
      </c>
      <c r="F31" s="3" t="s">
        <v>4194</v>
      </c>
      <c r="G31" s="6"/>
      <c r="H31" s="3"/>
      <c r="I31" s="3" t="s">
        <v>4195</v>
      </c>
      <c r="J31" s="3" t="s">
        <v>4196</v>
      </c>
      <c r="K31" s="3" t="s">
        <v>4197</v>
      </c>
      <c r="L31" s="3" t="s">
        <v>246</v>
      </c>
      <c r="M31" s="3" t="s">
        <v>4198</v>
      </c>
      <c r="N31" s="3" t="s">
        <v>4199</v>
      </c>
      <c r="O31" s="3">
        <v>3</v>
      </c>
      <c r="P31" s="3" t="s">
        <v>248</v>
      </c>
      <c r="Q31" s="3" t="s">
        <v>1539</v>
      </c>
      <c r="R31" s="3" t="s">
        <v>4200</v>
      </c>
      <c r="S31" s="3" t="s">
        <v>62</v>
      </c>
      <c r="T31" s="3"/>
      <c r="U31" s="3" t="s">
        <v>4201</v>
      </c>
      <c r="V31" s="3" t="s">
        <v>3800</v>
      </c>
      <c r="W31" s="3">
        <v>3</v>
      </c>
      <c r="X31" s="3" t="s">
        <v>4202</v>
      </c>
      <c r="Y31" s="3" t="s">
        <v>4203</v>
      </c>
      <c r="Z31" s="3"/>
      <c r="AA31" s="3">
        <v>95</v>
      </c>
      <c r="AB31" s="6">
        <v>33875</v>
      </c>
      <c r="AC31" s="3" t="s">
        <v>62</v>
      </c>
      <c r="AD31" s="3">
        <v>8</v>
      </c>
      <c r="AE31" s="3">
        <v>14</v>
      </c>
      <c r="AF31" s="3">
        <v>2</v>
      </c>
      <c r="AG31" s="3" t="s">
        <v>4204</v>
      </c>
      <c r="AH31" s="3">
        <v>0</v>
      </c>
      <c r="AI31" s="3">
        <v>127272.22</v>
      </c>
      <c r="AJ31" s="3" t="s">
        <v>62</v>
      </c>
      <c r="AK31" s="3"/>
      <c r="AL31" s="7" t="s">
        <v>4205</v>
      </c>
      <c r="AM31" s="7" t="s">
        <v>4206</v>
      </c>
      <c r="AN31" s="3"/>
      <c r="AO31" s="7" t="s">
        <v>4207</v>
      </c>
      <c r="AP31" s="3"/>
      <c r="AQ31" s="3"/>
      <c r="AR31" s="7" t="s">
        <v>4208</v>
      </c>
      <c r="AS31" s="7" t="s">
        <v>4209</v>
      </c>
      <c r="AT31" s="3"/>
      <c r="AU31" s="7" t="s">
        <v>4210</v>
      </c>
    </row>
    <row r="32" spans="1:51" ht="12.5" x14ac:dyDescent="0.25">
      <c r="A32" s="3" t="s">
        <v>46</v>
      </c>
      <c r="B32" s="21" t="str">
        <f>HYPERLINK("https://gerandofalcoes.my.salesforce.com/0014X00002VKCpu", "0014X00002VKCpu")</f>
        <v>0014X00002VKCpu</v>
      </c>
      <c r="C32" s="7" t="str">
        <f>HYPERLINK("https://gerandofalcoes.my.salesforce.com/0014X00002VKCpuQAH", "0014X00002VKCpuQAH")</f>
        <v>0014X00002VKCpuQAH</v>
      </c>
      <c r="D32" s="3" t="s">
        <v>4211</v>
      </c>
      <c r="E32" s="3" t="s">
        <v>4212</v>
      </c>
      <c r="F32" s="3" t="s">
        <v>4213</v>
      </c>
      <c r="G32" s="6">
        <v>44763</v>
      </c>
      <c r="H32" s="3">
        <v>33</v>
      </c>
      <c r="I32" s="3" t="s">
        <v>4214</v>
      </c>
      <c r="J32" s="3" t="s">
        <v>4215</v>
      </c>
      <c r="K32" s="3" t="s">
        <v>4216</v>
      </c>
      <c r="L32" s="3" t="s">
        <v>468</v>
      </c>
      <c r="M32" s="3" t="s">
        <v>4217</v>
      </c>
      <c r="N32" s="3" t="s">
        <v>4218</v>
      </c>
      <c r="O32" s="3">
        <v>748</v>
      </c>
      <c r="P32" s="3" t="s">
        <v>4219</v>
      </c>
      <c r="Q32" s="3"/>
      <c r="R32" s="3" t="s">
        <v>4220</v>
      </c>
      <c r="S32" s="3" t="s">
        <v>4221</v>
      </c>
      <c r="T32" s="3"/>
      <c r="U32" s="3" t="s">
        <v>3913</v>
      </c>
      <c r="V32" s="3" t="s">
        <v>4222</v>
      </c>
      <c r="W32" s="3">
        <v>50</v>
      </c>
      <c r="X32" s="3" t="s">
        <v>4223</v>
      </c>
      <c r="Y32" s="3" t="s">
        <v>4224</v>
      </c>
      <c r="Z32" s="3"/>
      <c r="AA32" s="3">
        <v>0</v>
      </c>
      <c r="AB32" s="6">
        <v>44273</v>
      </c>
      <c r="AC32" s="3" t="s">
        <v>62</v>
      </c>
      <c r="AD32" s="3">
        <v>0</v>
      </c>
      <c r="AE32" s="3">
        <v>14</v>
      </c>
      <c r="AF32" s="3">
        <v>2</v>
      </c>
      <c r="AG32" s="3" t="s">
        <v>4032</v>
      </c>
      <c r="AH32" s="3" t="s">
        <v>4225</v>
      </c>
      <c r="AI32" s="3">
        <v>0</v>
      </c>
      <c r="AJ32" s="3" t="s">
        <v>62</v>
      </c>
      <c r="AK32" s="3"/>
      <c r="AL32" s="3"/>
      <c r="AM32" s="7" t="s">
        <v>4226</v>
      </c>
      <c r="AN32" s="3"/>
      <c r="AO32" s="3"/>
      <c r="AP32" s="3"/>
      <c r="AQ32" s="7" t="s">
        <v>4227</v>
      </c>
      <c r="AR32" s="7" t="s">
        <v>4228</v>
      </c>
      <c r="AS32" s="7" t="s">
        <v>4229</v>
      </c>
      <c r="AT32" s="7" t="s">
        <v>4230</v>
      </c>
      <c r="AU32" s="7" t="s">
        <v>4231</v>
      </c>
      <c r="AV32" s="3"/>
      <c r="AW32" s="3"/>
      <c r="AX32" s="3"/>
      <c r="AY32" s="3"/>
    </row>
    <row r="33" spans="1:51" ht="12.5" x14ac:dyDescent="0.25">
      <c r="A33" s="3" t="s">
        <v>46</v>
      </c>
      <c r="B33" s="21" t="str">
        <f>HYPERLINK("https://gerandofalcoes.my.salesforce.com/0014X00002VKCpv", "0014X00002VKCpv")</f>
        <v>0014X00002VKCpv</v>
      </c>
      <c r="C33" s="7" t="str">
        <f>HYPERLINK("https://gerandofalcoes.my.salesforce.com/0014X00002VKCpvQAH", "0014X00002VKCpvQAH")</f>
        <v>0014X00002VKCpvQAH</v>
      </c>
      <c r="D33" s="3" t="s">
        <v>4232</v>
      </c>
      <c r="E33" s="3" t="s">
        <v>4233</v>
      </c>
      <c r="F33" s="3"/>
      <c r="G33" s="6">
        <v>44763</v>
      </c>
      <c r="H33" s="3">
        <v>33</v>
      </c>
      <c r="I33" s="3" t="s">
        <v>4234</v>
      </c>
      <c r="J33" s="3" t="s">
        <v>4235</v>
      </c>
      <c r="K33" s="3" t="s">
        <v>4236</v>
      </c>
      <c r="L33" s="3" t="s">
        <v>468</v>
      </c>
      <c r="M33" s="3" t="s">
        <v>4237</v>
      </c>
      <c r="N33" s="3" t="s">
        <v>4238</v>
      </c>
      <c r="O33" s="3">
        <v>805</v>
      </c>
      <c r="P33" s="3" t="s">
        <v>4239</v>
      </c>
      <c r="Q33" s="3" t="s">
        <v>1539</v>
      </c>
      <c r="R33" s="3" t="s">
        <v>4240</v>
      </c>
      <c r="S33" s="3"/>
      <c r="T33" s="3"/>
      <c r="U33" s="3" t="s">
        <v>4062</v>
      </c>
      <c r="V33" s="3" t="s">
        <v>3933</v>
      </c>
      <c r="W33" s="3">
        <v>2</v>
      </c>
      <c r="X33" s="3" t="s">
        <v>4241</v>
      </c>
      <c r="Y33" s="3" t="s">
        <v>4242</v>
      </c>
      <c r="Z33" s="3"/>
      <c r="AA33" s="3">
        <v>20</v>
      </c>
      <c r="AB33" s="8">
        <v>42073</v>
      </c>
      <c r="AC33" s="3" t="s">
        <v>120</v>
      </c>
      <c r="AD33" s="3">
        <v>1</v>
      </c>
      <c r="AE33" s="3">
        <v>12</v>
      </c>
      <c r="AF33" s="3">
        <v>2</v>
      </c>
      <c r="AG33" s="3" t="s">
        <v>3801</v>
      </c>
      <c r="AH33" s="3" t="s">
        <v>1052</v>
      </c>
      <c r="AI33" s="3">
        <v>500</v>
      </c>
      <c r="AJ33" s="3" t="s">
        <v>120</v>
      </c>
      <c r="AK33" s="3"/>
      <c r="AL33" s="3"/>
      <c r="AM33" s="7" t="s">
        <v>4243</v>
      </c>
      <c r="AN33" s="3"/>
      <c r="AO33" s="3"/>
      <c r="AP33" s="3"/>
      <c r="AQ33" s="7" t="s">
        <v>4244</v>
      </c>
      <c r="AR33" s="3"/>
      <c r="AS33" s="3"/>
      <c r="AT33" s="3"/>
      <c r="AU33" s="7" t="s">
        <v>4245</v>
      </c>
      <c r="AV33" s="3"/>
      <c r="AW33" s="3"/>
      <c r="AX33" s="3"/>
      <c r="AY33" s="3"/>
    </row>
    <row r="34" spans="1:51" ht="12.5" x14ac:dyDescent="0.25">
      <c r="A34" s="3" t="s">
        <v>46</v>
      </c>
      <c r="B34" s="21" t="str">
        <f>HYPERLINK("https://gerandofalcoes.my.salesforce.com/0014X00002VKCpw", "0014X00002VKCpw")</f>
        <v>0014X00002VKCpw</v>
      </c>
      <c r="C34" s="7" t="str">
        <f>HYPERLINK("https://gerandofalcoes.my.salesforce.com/0014X00002VKCpwQAH", "0014X00002VKCpwQAH")</f>
        <v>0014X00002VKCpwQAH</v>
      </c>
      <c r="D34" s="3" t="s">
        <v>4246</v>
      </c>
      <c r="E34" s="3" t="s">
        <v>4247</v>
      </c>
      <c r="F34" s="3" t="s">
        <v>4248</v>
      </c>
      <c r="G34" s="6">
        <v>44763</v>
      </c>
      <c r="H34" s="3">
        <v>33</v>
      </c>
      <c r="I34" s="3" t="s">
        <v>4249</v>
      </c>
      <c r="J34" s="3" t="s">
        <v>4250</v>
      </c>
      <c r="K34" s="3" t="s">
        <v>4251</v>
      </c>
      <c r="L34" s="3" t="s">
        <v>468</v>
      </c>
      <c r="M34" s="3" t="s">
        <v>4252</v>
      </c>
      <c r="N34" s="3" t="s">
        <v>4253</v>
      </c>
      <c r="O34" s="3">
        <v>290</v>
      </c>
      <c r="P34" s="3" t="s">
        <v>4254</v>
      </c>
      <c r="Q34" s="3"/>
      <c r="R34" s="3" t="s">
        <v>4255</v>
      </c>
      <c r="S34" s="3" t="s">
        <v>562</v>
      </c>
      <c r="T34" s="3"/>
      <c r="U34" s="3" t="s">
        <v>4062</v>
      </c>
      <c r="V34" s="3" t="s">
        <v>3800</v>
      </c>
      <c r="W34" s="3">
        <v>4</v>
      </c>
      <c r="X34" s="3" t="s">
        <v>4256</v>
      </c>
      <c r="Y34" s="3"/>
      <c r="Z34" s="3"/>
      <c r="AA34" s="3">
        <v>400</v>
      </c>
      <c r="AB34" s="6">
        <v>36880</v>
      </c>
      <c r="AC34" s="3" t="s">
        <v>62</v>
      </c>
      <c r="AD34" s="3">
        <v>0</v>
      </c>
      <c r="AE34" s="3">
        <v>12</v>
      </c>
      <c r="AF34" s="3">
        <v>2</v>
      </c>
      <c r="AG34" s="3" t="s">
        <v>4084</v>
      </c>
      <c r="AH34" s="3">
        <v>0</v>
      </c>
      <c r="AI34" s="3">
        <v>12000</v>
      </c>
      <c r="AJ34" s="3" t="s">
        <v>120</v>
      </c>
      <c r="AK34" s="3"/>
      <c r="AL34" s="3"/>
      <c r="AM34" s="7" t="s">
        <v>4257</v>
      </c>
      <c r="AN34" s="7" t="s">
        <v>4258</v>
      </c>
      <c r="AO34" s="3"/>
      <c r="AP34" s="3"/>
      <c r="AQ34" s="3"/>
      <c r="AR34" s="3"/>
      <c r="AS34" s="3"/>
      <c r="AT34" s="3"/>
      <c r="AU34" s="7" t="s">
        <v>4259</v>
      </c>
      <c r="AV34" s="3"/>
      <c r="AW34" s="3"/>
      <c r="AX34" s="3"/>
      <c r="AY34" s="3"/>
    </row>
    <row r="35" spans="1:51" ht="12.5" x14ac:dyDescent="0.25">
      <c r="A35" s="3" t="s">
        <v>46</v>
      </c>
      <c r="B35" s="21" t="str">
        <f>HYPERLINK("https://gerandofalcoes.my.salesforce.com/0014X00002VKCpx", "0014X00002VKCpx")</f>
        <v>0014X00002VKCpx</v>
      </c>
      <c r="C35" s="7" t="str">
        <f>HYPERLINK("https://gerandofalcoes.my.salesforce.com/0014X00002VKCpxQAH", "0014X00002VKCpxQAH")</f>
        <v>0014X00002VKCpxQAH</v>
      </c>
      <c r="D35" s="3" t="s">
        <v>4260</v>
      </c>
      <c r="E35" s="3" t="s">
        <v>4261</v>
      </c>
      <c r="F35" s="3"/>
      <c r="G35" s="6"/>
      <c r="H35" s="3"/>
      <c r="I35" s="3" t="s">
        <v>4262</v>
      </c>
      <c r="J35" s="3" t="s">
        <v>4263</v>
      </c>
      <c r="K35" s="3" t="s">
        <v>4264</v>
      </c>
      <c r="L35" s="3" t="s">
        <v>468</v>
      </c>
      <c r="M35" s="3" t="s">
        <v>4265</v>
      </c>
      <c r="N35" s="3" t="s">
        <v>3764</v>
      </c>
      <c r="O35" s="3">
        <v>3586</v>
      </c>
      <c r="P35" s="3" t="s">
        <v>470</v>
      </c>
      <c r="Q35" s="3" t="s">
        <v>4266</v>
      </c>
      <c r="R35" s="3" t="s">
        <v>4267</v>
      </c>
      <c r="S35" s="3" t="s">
        <v>120</v>
      </c>
      <c r="T35" s="3"/>
      <c r="U35" s="3" t="s">
        <v>4062</v>
      </c>
      <c r="V35" s="3" t="s">
        <v>4268</v>
      </c>
      <c r="W35" s="3">
        <v>21</v>
      </c>
      <c r="X35" s="3" t="s">
        <v>4269</v>
      </c>
      <c r="Y35" s="3" t="s">
        <v>4270</v>
      </c>
      <c r="Z35" s="3"/>
      <c r="AA35" s="3">
        <v>2128</v>
      </c>
      <c r="AB35" s="6">
        <v>41706</v>
      </c>
      <c r="AC35" s="3" t="s">
        <v>62</v>
      </c>
      <c r="AD35" s="3">
        <v>5</v>
      </c>
      <c r="AE35" s="3">
        <v>3</v>
      </c>
      <c r="AF35" s="3">
        <v>7</v>
      </c>
      <c r="AG35" s="3" t="s">
        <v>4271</v>
      </c>
      <c r="AH35" s="3" t="s">
        <v>4272</v>
      </c>
      <c r="AI35" s="3">
        <v>21530</v>
      </c>
      <c r="AJ35" s="3" t="s">
        <v>62</v>
      </c>
      <c r="AK35" s="3"/>
      <c r="AL35" s="3"/>
      <c r="AM35" s="7" t="s">
        <v>4273</v>
      </c>
      <c r="AN35" s="3"/>
      <c r="AO35" s="3"/>
      <c r="AP35" s="3"/>
      <c r="AQ35" s="7" t="s">
        <v>4274</v>
      </c>
      <c r="AR35" s="7" t="s">
        <v>4275</v>
      </c>
      <c r="AS35" s="3"/>
      <c r="AT35" s="3"/>
      <c r="AU35" s="7" t="s">
        <v>4276</v>
      </c>
      <c r="AV35" s="3"/>
      <c r="AW35" s="3"/>
      <c r="AX35" s="3"/>
      <c r="AY35" s="3"/>
    </row>
    <row r="36" spans="1:51" ht="12.5" x14ac:dyDescent="0.25">
      <c r="A36" s="3" t="s">
        <v>46</v>
      </c>
      <c r="B36" s="21" t="str">
        <f>HYPERLINK("https://gerandofalcoes.my.salesforce.com/0014X00002VKCpy", "0014X00002VKCpy")</f>
        <v>0014X00002VKCpy</v>
      </c>
      <c r="C36" s="7" t="str">
        <f>HYPERLINK("https://gerandofalcoes.my.salesforce.com/0014X00002VKCpyQAH", "0014X00002VKCpyQAH")</f>
        <v>0014X00002VKCpyQAH</v>
      </c>
      <c r="D36" s="3" t="s">
        <v>4277</v>
      </c>
      <c r="E36" s="3" t="s">
        <v>4278</v>
      </c>
      <c r="F36" s="3" t="s">
        <v>4279</v>
      </c>
      <c r="G36" s="6">
        <v>44763</v>
      </c>
      <c r="H36" s="3">
        <v>33</v>
      </c>
      <c r="I36" s="3" t="s">
        <v>4280</v>
      </c>
      <c r="J36" s="3" t="s">
        <v>4281</v>
      </c>
      <c r="K36" s="3" t="s">
        <v>4282</v>
      </c>
      <c r="L36" s="3" t="s">
        <v>468</v>
      </c>
      <c r="M36" s="3" t="s">
        <v>4283</v>
      </c>
      <c r="N36" s="3" t="s">
        <v>4284</v>
      </c>
      <c r="O36" s="3">
        <v>621</v>
      </c>
      <c r="P36" s="3" t="s">
        <v>4285</v>
      </c>
      <c r="Q36" s="3"/>
      <c r="R36" s="3" t="s">
        <v>4286</v>
      </c>
      <c r="S36" s="3"/>
      <c r="T36" s="3"/>
      <c r="U36" s="3" t="s">
        <v>3913</v>
      </c>
      <c r="V36" s="3" t="s">
        <v>3800</v>
      </c>
      <c r="W36" s="3">
        <v>4</v>
      </c>
      <c r="X36" s="3" t="s">
        <v>4287</v>
      </c>
      <c r="Y36" s="3"/>
      <c r="Z36" s="3"/>
      <c r="AA36" s="3">
        <v>260</v>
      </c>
      <c r="AB36" s="8">
        <v>42402</v>
      </c>
      <c r="AC36" s="3" t="s">
        <v>120</v>
      </c>
      <c r="AD36" s="3">
        <v>0</v>
      </c>
      <c r="AE36" s="3">
        <v>38</v>
      </c>
      <c r="AF36" s="3">
        <v>3</v>
      </c>
      <c r="AG36" s="3" t="s">
        <v>4288</v>
      </c>
      <c r="AH36" s="3" t="s">
        <v>4289</v>
      </c>
      <c r="AI36" s="3">
        <v>12700</v>
      </c>
      <c r="AJ36" s="3" t="s">
        <v>120</v>
      </c>
      <c r="AK36" s="3"/>
      <c r="AL36" s="3"/>
      <c r="AM36" s="7" t="s">
        <v>4290</v>
      </c>
      <c r="AN36" s="3"/>
      <c r="AO36" s="3"/>
      <c r="AP36" s="3"/>
      <c r="AQ36" s="3"/>
      <c r="AR36" s="3"/>
      <c r="AS36" s="3"/>
      <c r="AT36" s="3"/>
      <c r="AU36" s="7" t="s">
        <v>4291</v>
      </c>
      <c r="AV36" s="3"/>
      <c r="AW36" s="3"/>
      <c r="AX36" s="3"/>
      <c r="AY36" s="3"/>
    </row>
    <row r="37" spans="1:51" ht="12.5" x14ac:dyDescent="0.25">
      <c r="A37" s="3" t="s">
        <v>46</v>
      </c>
      <c r="B37" s="21" t="str">
        <f>HYPERLINK("https://gerandofalcoes.my.salesforce.com/0014X00002VKCpz", "0014X00002VKCpz")</f>
        <v>0014X00002VKCpz</v>
      </c>
      <c r="C37" s="7" t="str">
        <f>HYPERLINK("https://gerandofalcoes.my.salesforce.com/0014X00002VKCpzQAH", "0014X00002VKCpzQAH")</f>
        <v>0014X00002VKCpzQAH</v>
      </c>
      <c r="D37" s="3" t="s">
        <v>4292</v>
      </c>
      <c r="E37" s="3" t="s">
        <v>4293</v>
      </c>
      <c r="F37" s="3" t="s">
        <v>4294</v>
      </c>
      <c r="G37" s="6">
        <v>44763</v>
      </c>
      <c r="H37" s="3">
        <v>33</v>
      </c>
      <c r="I37" s="3" t="s">
        <v>4295</v>
      </c>
      <c r="J37" s="3" t="s">
        <v>4296</v>
      </c>
      <c r="K37" s="3" t="s">
        <v>4297</v>
      </c>
      <c r="L37" s="3" t="s">
        <v>468</v>
      </c>
      <c r="M37" s="3" t="s">
        <v>3763</v>
      </c>
      <c r="N37" s="3" t="s">
        <v>3764</v>
      </c>
      <c r="O37" s="3">
        <v>3831</v>
      </c>
      <c r="P37" s="3" t="s">
        <v>470</v>
      </c>
      <c r="Q37" s="3"/>
      <c r="R37" s="3" t="s">
        <v>4298</v>
      </c>
      <c r="S37" s="3"/>
      <c r="T37" s="3"/>
      <c r="U37" s="3" t="s">
        <v>3964</v>
      </c>
      <c r="V37" s="3" t="s">
        <v>4299</v>
      </c>
      <c r="W37" s="3">
        <v>3</v>
      </c>
      <c r="X37" s="3" t="s">
        <v>4300</v>
      </c>
      <c r="Y37" s="3"/>
      <c r="Z37" s="3"/>
      <c r="AA37" s="3">
        <v>136</v>
      </c>
      <c r="AB37" s="6">
        <v>42086</v>
      </c>
      <c r="AC37" s="3" t="s">
        <v>62</v>
      </c>
      <c r="AD37" s="3">
        <v>0</v>
      </c>
      <c r="AE37" s="3">
        <v>11</v>
      </c>
      <c r="AF37" s="3">
        <v>3</v>
      </c>
      <c r="AG37" s="3" t="s">
        <v>4301</v>
      </c>
      <c r="AH37" s="3" t="s">
        <v>4302</v>
      </c>
      <c r="AI37" s="3">
        <v>50879</v>
      </c>
      <c r="AJ37" s="3" t="s">
        <v>120</v>
      </c>
      <c r="AK37" s="3"/>
      <c r="AL37" s="7" t="s">
        <v>4303</v>
      </c>
      <c r="AM37" s="7" t="s">
        <v>4304</v>
      </c>
      <c r="AN37" s="7" t="s">
        <v>4305</v>
      </c>
      <c r="AO37" s="7" t="s">
        <v>4306</v>
      </c>
      <c r="AP37" s="3"/>
      <c r="AQ37" s="7" t="s">
        <v>4307</v>
      </c>
      <c r="AR37" s="7" t="s">
        <v>4308</v>
      </c>
      <c r="AS37" s="7" t="s">
        <v>4309</v>
      </c>
      <c r="AT37" s="7" t="s">
        <v>4310</v>
      </c>
      <c r="AU37" s="7" t="s">
        <v>4311</v>
      </c>
      <c r="AV37" s="3"/>
      <c r="AW37" s="3"/>
      <c r="AX37" s="3"/>
      <c r="AY37" s="3"/>
    </row>
    <row r="38" spans="1:51" ht="12.5" x14ac:dyDescent="0.25">
      <c r="A38" s="3" t="s">
        <v>46</v>
      </c>
      <c r="B38" s="21" t="str">
        <f>HYPERLINK("https://gerandofalcoes.my.salesforce.com/0014X00002VKCq0", "0014X00002VKCq0")</f>
        <v>0014X00002VKCq0</v>
      </c>
      <c r="C38" s="7" t="str">
        <f>HYPERLINK("https://gerandofalcoes.my.salesforce.com/0014X00002VKCq0QAH", "0014X00002VKCq0QAH")</f>
        <v>0014X00002VKCq0QAH</v>
      </c>
      <c r="D38" s="3" t="s">
        <v>4312</v>
      </c>
      <c r="E38" s="3" t="s">
        <v>4313</v>
      </c>
      <c r="F38" s="3" t="s">
        <v>4314</v>
      </c>
      <c r="G38" s="6"/>
      <c r="H38" s="3"/>
      <c r="I38" s="3" t="s">
        <v>4315</v>
      </c>
      <c r="J38" s="3" t="s">
        <v>4316</v>
      </c>
      <c r="K38" s="3" t="s">
        <v>4317</v>
      </c>
      <c r="L38" s="3" t="s">
        <v>468</v>
      </c>
      <c r="M38" s="3" t="s">
        <v>4318</v>
      </c>
      <c r="N38" s="3" t="s">
        <v>4319</v>
      </c>
      <c r="O38" s="3" t="s">
        <v>3098</v>
      </c>
      <c r="P38" s="3" t="s">
        <v>4320</v>
      </c>
      <c r="Q38" s="3" t="s">
        <v>4321</v>
      </c>
      <c r="R38" s="3" t="s">
        <v>4322</v>
      </c>
      <c r="S38" s="3"/>
      <c r="T38" s="3"/>
      <c r="U38" s="3" t="s">
        <v>3913</v>
      </c>
      <c r="V38" s="3" t="s">
        <v>4323</v>
      </c>
      <c r="W38" s="3">
        <v>5</v>
      </c>
      <c r="X38" s="3" t="s">
        <v>4324</v>
      </c>
      <c r="Y38" s="3"/>
      <c r="Z38" s="3"/>
      <c r="AA38" s="3">
        <v>120</v>
      </c>
      <c r="AB38" s="6">
        <v>40714</v>
      </c>
      <c r="AC38" s="3" t="s">
        <v>62</v>
      </c>
      <c r="AD38" s="3">
        <v>2</v>
      </c>
      <c r="AE38" s="3">
        <v>2</v>
      </c>
      <c r="AF38" s="3">
        <v>3</v>
      </c>
      <c r="AG38" s="3" t="s">
        <v>4325</v>
      </c>
      <c r="AH38" s="3" t="s">
        <v>4326</v>
      </c>
      <c r="AI38" s="3">
        <v>929000</v>
      </c>
      <c r="AJ38" s="3" t="s">
        <v>61</v>
      </c>
      <c r="AK38" s="3"/>
      <c r="AL38" s="7" t="s">
        <v>4327</v>
      </c>
      <c r="AM38" s="7" t="s">
        <v>4328</v>
      </c>
      <c r="AN38" s="7" t="s">
        <v>4329</v>
      </c>
      <c r="AO38" s="7" t="s">
        <v>4330</v>
      </c>
      <c r="AP38" s="3"/>
      <c r="AQ38" s="7" t="s">
        <v>4331</v>
      </c>
      <c r="AR38" s="7" t="s">
        <v>4332</v>
      </c>
      <c r="AS38" s="7" t="s">
        <v>4333</v>
      </c>
      <c r="AT38" s="7" t="s">
        <v>4334</v>
      </c>
      <c r="AU38" s="7" t="s">
        <v>4335</v>
      </c>
      <c r="AV38" s="3"/>
      <c r="AW38" s="3"/>
      <c r="AX38" s="3"/>
      <c r="AY38" s="3"/>
    </row>
    <row r="39" spans="1:51" ht="12.5" x14ac:dyDescent="0.25">
      <c r="A39" s="3" t="s">
        <v>46</v>
      </c>
      <c r="B39" s="21" t="str">
        <f>HYPERLINK("https://gerandofalcoes.my.salesforce.com/0014X00002VKCq1", "0014X00002VKCq1")</f>
        <v>0014X00002VKCq1</v>
      </c>
      <c r="C39" s="21" t="str">
        <f>HYPERLINK("https://gerandofalcoes.my.salesforce.com/0014X00002VKCq1QAH", "0014X00002VKCq1QAH")</f>
        <v>0014X00002VKCq1QAH</v>
      </c>
      <c r="D39" s="3" t="s">
        <v>4336</v>
      </c>
      <c r="E39" s="3" t="s">
        <v>4337</v>
      </c>
      <c r="F39" s="3" t="s">
        <v>4338</v>
      </c>
      <c r="G39" s="6"/>
      <c r="H39" s="3"/>
      <c r="I39" s="3" t="s">
        <v>4339</v>
      </c>
      <c r="J39" s="3" t="s">
        <v>4340</v>
      </c>
      <c r="K39" s="3" t="s">
        <v>4341</v>
      </c>
      <c r="L39" s="3" t="s">
        <v>468</v>
      </c>
      <c r="M39" s="3" t="s">
        <v>4342</v>
      </c>
      <c r="N39" s="3" t="s">
        <v>4343</v>
      </c>
      <c r="O39" s="3">
        <v>314</v>
      </c>
      <c r="P39" s="3" t="s">
        <v>470</v>
      </c>
      <c r="Q39" s="3"/>
      <c r="R39" s="3" t="s">
        <v>4344</v>
      </c>
      <c r="S39" s="3" t="s">
        <v>4345</v>
      </c>
      <c r="T39" s="3"/>
      <c r="U39" s="3" t="s">
        <v>4346</v>
      </c>
      <c r="V39" s="3" t="s">
        <v>4347</v>
      </c>
      <c r="W39" s="3">
        <v>2000</v>
      </c>
      <c r="X39" s="3" t="s">
        <v>4348</v>
      </c>
      <c r="Y39" s="3"/>
      <c r="Z39" s="3"/>
      <c r="AA39" s="3">
        <v>100</v>
      </c>
      <c r="AB39" s="6">
        <v>36330</v>
      </c>
      <c r="AC39" s="3" t="s">
        <v>62</v>
      </c>
      <c r="AD39" s="3">
        <v>0</v>
      </c>
      <c r="AE39" s="3">
        <v>15</v>
      </c>
      <c r="AF39" s="3">
        <v>2</v>
      </c>
      <c r="AG39" s="3" t="s">
        <v>4084</v>
      </c>
      <c r="AH39" s="3" t="s">
        <v>4349</v>
      </c>
      <c r="AI39" s="3">
        <v>5000</v>
      </c>
      <c r="AJ39" s="3" t="s">
        <v>61</v>
      </c>
      <c r="AK39" s="3"/>
      <c r="AL39" s="3"/>
      <c r="AM39" s="7" t="s">
        <v>4350</v>
      </c>
      <c r="AN39" s="7" t="s">
        <v>4351</v>
      </c>
      <c r="AO39" s="3"/>
      <c r="AP39" s="3"/>
      <c r="AQ39" s="3"/>
      <c r="AR39" s="7" t="s">
        <v>4352</v>
      </c>
      <c r="AS39" s="3"/>
      <c r="AT39" s="3"/>
      <c r="AU39" s="7" t="s">
        <v>4353</v>
      </c>
    </row>
    <row r="40" spans="1:51" ht="12.5" x14ac:dyDescent="0.25">
      <c r="A40" s="3" t="s">
        <v>46</v>
      </c>
      <c r="B40" s="21" t="str">
        <f>HYPERLINK("https://gerandofalcoes.my.salesforce.com/0014X00002VKCq2", "0014X00002VKCq2")</f>
        <v>0014X00002VKCq2</v>
      </c>
      <c r="C40" s="7" t="str">
        <f>HYPERLINK("https://gerandofalcoes.my.salesforce.com/0014X00002VKCq2QAH", "0014X00002VKCq2QAH")</f>
        <v>0014X00002VKCq2QAH</v>
      </c>
      <c r="D40" s="3" t="s">
        <v>4354</v>
      </c>
      <c r="E40" s="3" t="s">
        <v>4355</v>
      </c>
      <c r="F40" s="3" t="s">
        <v>4356</v>
      </c>
      <c r="G40" s="6"/>
      <c r="H40" s="3"/>
      <c r="I40" s="3" t="s">
        <v>4357</v>
      </c>
      <c r="J40" s="3" t="s">
        <v>4358</v>
      </c>
      <c r="K40" s="3" t="s">
        <v>4359</v>
      </c>
      <c r="L40" s="3" t="s">
        <v>468</v>
      </c>
      <c r="M40" s="3" t="s">
        <v>4360</v>
      </c>
      <c r="N40" s="3" t="s">
        <v>4361</v>
      </c>
      <c r="O40" s="3">
        <v>76</v>
      </c>
      <c r="P40" s="3" t="s">
        <v>4285</v>
      </c>
      <c r="Q40" s="3"/>
      <c r="R40" s="3" t="s">
        <v>4362</v>
      </c>
      <c r="S40" s="3" t="s">
        <v>4363</v>
      </c>
      <c r="T40" s="3"/>
      <c r="U40" s="3" t="s">
        <v>3964</v>
      </c>
      <c r="V40" s="3" t="s">
        <v>4364</v>
      </c>
      <c r="W40" s="3">
        <v>11</v>
      </c>
      <c r="X40" s="3" t="s">
        <v>4365</v>
      </c>
      <c r="Y40" s="3"/>
      <c r="Z40" s="3"/>
      <c r="AA40" s="3">
        <v>240</v>
      </c>
      <c r="AB40" s="6">
        <v>42903</v>
      </c>
      <c r="AC40" s="3" t="s">
        <v>62</v>
      </c>
      <c r="AD40" s="3">
        <v>0</v>
      </c>
      <c r="AE40" s="3">
        <v>10</v>
      </c>
      <c r="AF40" s="3">
        <v>2</v>
      </c>
      <c r="AG40" s="3" t="s">
        <v>4156</v>
      </c>
      <c r="AH40" s="3">
        <v>1</v>
      </c>
      <c r="AI40" s="3">
        <v>0</v>
      </c>
      <c r="AJ40" s="3" t="s">
        <v>62</v>
      </c>
      <c r="AK40" s="3"/>
      <c r="AL40" s="3"/>
      <c r="AM40" s="7" t="s">
        <v>4366</v>
      </c>
      <c r="AN40" s="3"/>
      <c r="AO40" s="3"/>
      <c r="AP40" s="3"/>
      <c r="AQ40" s="3"/>
      <c r="AR40" s="7" t="s">
        <v>4367</v>
      </c>
      <c r="AS40" s="7" t="s">
        <v>4368</v>
      </c>
      <c r="AT40" s="3"/>
      <c r="AU40" s="7" t="s">
        <v>4369</v>
      </c>
      <c r="AV40" s="3"/>
      <c r="AW40" s="3"/>
      <c r="AX40" s="3"/>
      <c r="AY40" s="3"/>
    </row>
    <row r="41" spans="1:51" ht="12.5" x14ac:dyDescent="0.25">
      <c r="A41" s="3" t="s">
        <v>46</v>
      </c>
      <c r="B41" s="21" t="str">
        <f>HYPERLINK("https://gerandofalcoes.my.salesforce.com/0014X00002VKCq3", "0014X00002VKCq3")</f>
        <v>0014X00002VKCq3</v>
      </c>
      <c r="C41" s="7" t="str">
        <f>HYPERLINK("https://gerandofalcoes.my.salesforce.com/0014X00002VKCq3QAH", "0014X00002VKCq3QAH")</f>
        <v>0014X00002VKCq3QAH</v>
      </c>
      <c r="D41" s="3" t="s">
        <v>4370</v>
      </c>
      <c r="E41" s="3" t="s">
        <v>4371</v>
      </c>
      <c r="F41" s="3"/>
      <c r="G41" s="6">
        <v>44763</v>
      </c>
      <c r="H41" s="3">
        <v>33</v>
      </c>
      <c r="I41" s="3" t="s">
        <v>4372</v>
      </c>
      <c r="J41" s="3" t="s">
        <v>4373</v>
      </c>
      <c r="K41" s="3" t="s">
        <v>4374</v>
      </c>
      <c r="L41" s="3" t="s">
        <v>468</v>
      </c>
      <c r="M41" s="3" t="s">
        <v>4375</v>
      </c>
      <c r="N41" s="3" t="s">
        <v>4376</v>
      </c>
      <c r="O41" s="3">
        <v>7408</v>
      </c>
      <c r="P41" s="3" t="s">
        <v>470</v>
      </c>
      <c r="Q41" s="3">
        <v>1</v>
      </c>
      <c r="R41" s="3" t="s">
        <v>4377</v>
      </c>
      <c r="S41" s="3"/>
      <c r="T41" s="3"/>
      <c r="U41" s="3"/>
      <c r="V41" s="3"/>
      <c r="W41" s="3">
        <v>4</v>
      </c>
      <c r="X41" s="3" t="s">
        <v>4378</v>
      </c>
      <c r="Y41" s="3"/>
      <c r="Z41" s="3"/>
      <c r="AA41" s="3">
        <v>30</v>
      </c>
      <c r="AB41" s="6">
        <v>43650</v>
      </c>
      <c r="AC41" s="3" t="s">
        <v>120</v>
      </c>
      <c r="AD41" s="3"/>
      <c r="AE41" s="3">
        <v>9</v>
      </c>
      <c r="AF41" s="3">
        <v>1</v>
      </c>
      <c r="AG41" s="3"/>
      <c r="AH41" s="3"/>
      <c r="AI41" s="3">
        <v>1300</v>
      </c>
      <c r="AJ41" s="3" t="s">
        <v>120</v>
      </c>
      <c r="AK41" s="3"/>
      <c r="AL41" s="3"/>
      <c r="AM41" s="7" t="s">
        <v>4379</v>
      </c>
      <c r="AN41" s="3"/>
      <c r="AO41" s="3"/>
      <c r="AP41" s="3"/>
      <c r="AQ41" s="3"/>
      <c r="AR41" s="3"/>
      <c r="AS41" s="3"/>
      <c r="AT41" s="3"/>
      <c r="AU41" s="7" t="s">
        <v>4380</v>
      </c>
      <c r="AV41" s="3"/>
      <c r="AW41" s="3"/>
      <c r="AX41" s="3"/>
      <c r="AY41" s="3"/>
    </row>
    <row r="42" spans="1:51" ht="12.5" x14ac:dyDescent="0.25">
      <c r="A42" s="3" t="s">
        <v>46</v>
      </c>
      <c r="B42" s="21" t="str">
        <f>HYPERLINK("https://gerandofalcoes.my.salesforce.com/0014X00002VKCqT", "0014X00002VKCqT")</f>
        <v>0014X00002VKCqT</v>
      </c>
      <c r="C42" s="21" t="str">
        <f>HYPERLINK("https://gerandofalcoes.my.salesforce.com/0014X00002VKCqTQAX", "0014X00002VKCqTQAX")</f>
        <v>0014X00002VKCqTQAX</v>
      </c>
      <c r="D42" s="3" t="s">
        <v>4381</v>
      </c>
      <c r="E42" s="3" t="s">
        <v>4382</v>
      </c>
      <c r="F42" s="3" t="s">
        <v>4383</v>
      </c>
      <c r="G42" s="6">
        <v>44763</v>
      </c>
      <c r="H42" s="3">
        <v>33</v>
      </c>
      <c r="I42" s="3" t="s">
        <v>4384</v>
      </c>
      <c r="J42" s="3" t="s">
        <v>4385</v>
      </c>
      <c r="K42" s="3" t="s">
        <v>4386</v>
      </c>
      <c r="L42" s="3" t="s">
        <v>468</v>
      </c>
      <c r="M42" s="3" t="s">
        <v>4387</v>
      </c>
      <c r="N42" s="3" t="s">
        <v>4388</v>
      </c>
      <c r="O42" s="3" t="s">
        <v>4389</v>
      </c>
      <c r="P42" s="3" t="s">
        <v>4390</v>
      </c>
      <c r="Q42" s="3"/>
      <c r="R42" s="3" t="s">
        <v>4391</v>
      </c>
      <c r="S42" s="3" t="s">
        <v>4392</v>
      </c>
      <c r="T42" s="3"/>
      <c r="U42" s="3" t="s">
        <v>4062</v>
      </c>
      <c r="V42" s="3" t="s">
        <v>4393</v>
      </c>
      <c r="W42" s="3">
        <v>6</v>
      </c>
      <c r="X42" s="3" t="s">
        <v>4394</v>
      </c>
      <c r="Y42" s="3" t="s">
        <v>4395</v>
      </c>
      <c r="Z42" s="3"/>
      <c r="AA42" s="3">
        <v>250</v>
      </c>
      <c r="AB42" s="6">
        <v>39078</v>
      </c>
      <c r="AC42" s="3" t="s">
        <v>62</v>
      </c>
      <c r="AD42" s="3">
        <v>0</v>
      </c>
      <c r="AE42" s="3">
        <v>10</v>
      </c>
      <c r="AF42" s="3">
        <v>4</v>
      </c>
      <c r="AG42" s="3" t="s">
        <v>4396</v>
      </c>
      <c r="AH42" s="3" t="s">
        <v>4397</v>
      </c>
      <c r="AI42" s="3">
        <v>26851</v>
      </c>
      <c r="AJ42" s="3" t="s">
        <v>120</v>
      </c>
      <c r="AK42" s="3"/>
      <c r="AL42" s="7" t="s">
        <v>4398</v>
      </c>
      <c r="AM42" s="7" t="s">
        <v>4399</v>
      </c>
      <c r="AN42" s="7" t="s">
        <v>4400</v>
      </c>
      <c r="AO42" s="7" t="s">
        <v>4401</v>
      </c>
      <c r="AP42" s="3"/>
      <c r="AQ42" s="7" t="s">
        <v>4402</v>
      </c>
      <c r="AR42" s="3"/>
      <c r="AS42" s="7" t="s">
        <v>4403</v>
      </c>
      <c r="AT42" s="3"/>
      <c r="AU42" s="7" t="s">
        <v>4404</v>
      </c>
    </row>
    <row r="43" spans="1:51" ht="12.5" x14ac:dyDescent="0.25">
      <c r="A43" s="3" t="s">
        <v>46</v>
      </c>
      <c r="B43" s="21" t="str">
        <f>HYPERLINK("https://gerandofalcoes.my.salesforce.com/0014X00002VKCqU", "0014X00002VKCqU")</f>
        <v>0014X00002VKCqU</v>
      </c>
      <c r="C43" s="21" t="str">
        <f>HYPERLINK("https://gerandofalcoes.my.salesforce.com/0014X00002VKCqUQAX", "0014X00002VKCqUQAX")</f>
        <v>0014X00002VKCqUQAX</v>
      </c>
      <c r="D43" s="3" t="s">
        <v>4405</v>
      </c>
      <c r="E43" s="3" t="s">
        <v>4406</v>
      </c>
      <c r="F43" s="3" t="s">
        <v>4407</v>
      </c>
      <c r="G43" s="6">
        <v>44763</v>
      </c>
      <c r="H43" s="3">
        <v>33</v>
      </c>
      <c r="I43" s="3" t="s">
        <v>4408</v>
      </c>
      <c r="J43" s="3" t="s">
        <v>4409</v>
      </c>
      <c r="K43" s="3" t="s">
        <v>4410</v>
      </c>
      <c r="L43" s="3" t="s">
        <v>84</v>
      </c>
      <c r="M43" s="3" t="s">
        <v>4411</v>
      </c>
      <c r="N43" s="3" t="s">
        <v>4412</v>
      </c>
      <c r="O43" s="3">
        <v>530</v>
      </c>
      <c r="P43" s="3" t="s">
        <v>177</v>
      </c>
      <c r="Q43" s="3" t="s">
        <v>1539</v>
      </c>
      <c r="R43" s="3" t="s">
        <v>4413</v>
      </c>
      <c r="S43" s="3" t="s">
        <v>4414</v>
      </c>
      <c r="T43" s="3"/>
      <c r="U43" s="3" t="s">
        <v>3857</v>
      </c>
      <c r="V43" s="3" t="s">
        <v>3890</v>
      </c>
      <c r="W43" s="3">
        <v>9</v>
      </c>
      <c r="X43" s="3" t="s">
        <v>4415</v>
      </c>
      <c r="Y43" s="3" t="s">
        <v>4416</v>
      </c>
      <c r="Z43" s="3"/>
      <c r="AA43" s="3">
        <v>600</v>
      </c>
      <c r="AB43" s="6">
        <v>40379</v>
      </c>
      <c r="AC43" s="3" t="s">
        <v>62</v>
      </c>
      <c r="AD43" s="3">
        <v>0</v>
      </c>
      <c r="AE43" s="3">
        <v>0</v>
      </c>
      <c r="AF43" s="3">
        <v>3</v>
      </c>
      <c r="AG43" s="3" t="s">
        <v>4417</v>
      </c>
      <c r="AH43" s="3">
        <v>0</v>
      </c>
      <c r="AI43" s="3">
        <v>10000</v>
      </c>
      <c r="AJ43" s="3" t="s">
        <v>120</v>
      </c>
      <c r="AK43" s="3"/>
      <c r="AL43" s="7" t="s">
        <v>4418</v>
      </c>
      <c r="AM43" s="7" t="s">
        <v>4419</v>
      </c>
      <c r="AN43" s="3"/>
      <c r="AO43" s="7" t="s">
        <v>4419</v>
      </c>
      <c r="AP43" s="3"/>
      <c r="AQ43" s="7" t="s">
        <v>4420</v>
      </c>
      <c r="AR43" s="7" t="s">
        <v>4421</v>
      </c>
      <c r="AS43" s="7" t="s">
        <v>4422</v>
      </c>
      <c r="AT43" s="7" t="s">
        <v>4423</v>
      </c>
      <c r="AU43" s="7" t="s">
        <v>4424</v>
      </c>
    </row>
    <row r="44" spans="1:51" ht="12.5" x14ac:dyDescent="0.25">
      <c r="A44" s="3" t="s">
        <v>46</v>
      </c>
      <c r="B44" s="21" t="str">
        <f>HYPERLINK("https://gerandofalcoes.my.salesforce.com/0014X00002VKCqV", "0014X00002VKCqV")</f>
        <v>0014X00002VKCqV</v>
      </c>
      <c r="C44" s="21" t="str">
        <f>HYPERLINK("https://gerandofalcoes.my.salesforce.com/0014X00002VKCqVQAX", "0014X00002VKCqVQAX")</f>
        <v>0014X00002VKCqVQAX</v>
      </c>
      <c r="D44" s="3" t="s">
        <v>4425</v>
      </c>
      <c r="E44" s="3" t="s">
        <v>4426</v>
      </c>
      <c r="F44" s="3" t="s">
        <v>4427</v>
      </c>
      <c r="G44" s="8">
        <v>44763</v>
      </c>
      <c r="H44" s="3">
        <v>33</v>
      </c>
      <c r="I44" s="3" t="s">
        <v>4428</v>
      </c>
      <c r="J44" s="3" t="s">
        <v>4429</v>
      </c>
      <c r="K44" s="3" t="s">
        <v>4430</v>
      </c>
      <c r="L44" s="3" t="s">
        <v>407</v>
      </c>
      <c r="M44" s="3" t="s">
        <v>4431</v>
      </c>
      <c r="N44" s="3" t="s">
        <v>4432</v>
      </c>
      <c r="O44" s="3">
        <v>237</v>
      </c>
      <c r="P44" s="3" t="s">
        <v>4433</v>
      </c>
      <c r="Q44" s="3" t="s">
        <v>4434</v>
      </c>
      <c r="R44" s="3" t="s">
        <v>4435</v>
      </c>
      <c r="S44" s="3" t="s">
        <v>4436</v>
      </c>
      <c r="T44" s="3"/>
      <c r="U44" s="3" t="s">
        <v>4346</v>
      </c>
      <c r="V44" s="3" t="s">
        <v>4437</v>
      </c>
      <c r="W44" s="3">
        <v>10</v>
      </c>
      <c r="X44" s="3" t="s">
        <v>4438</v>
      </c>
      <c r="Y44" s="3" t="s">
        <v>4439</v>
      </c>
      <c r="Z44" s="3"/>
      <c r="AA44" s="3">
        <v>150</v>
      </c>
      <c r="AB44" s="8">
        <v>32287</v>
      </c>
      <c r="AC44" s="3" t="s">
        <v>62</v>
      </c>
      <c r="AD44" s="3">
        <v>0</v>
      </c>
      <c r="AE44" s="3">
        <v>9</v>
      </c>
      <c r="AF44" s="3">
        <v>5</v>
      </c>
      <c r="AG44" s="3" t="s">
        <v>4440</v>
      </c>
      <c r="AH44" s="3" t="s">
        <v>4441</v>
      </c>
      <c r="AI44" s="3">
        <v>35000</v>
      </c>
      <c r="AJ44" s="3" t="s">
        <v>120</v>
      </c>
      <c r="AK44" s="3"/>
      <c r="AL44" s="7" t="s">
        <v>4442</v>
      </c>
      <c r="AM44" s="7" t="s">
        <v>4443</v>
      </c>
      <c r="AN44" s="7" t="s">
        <v>4444</v>
      </c>
      <c r="AO44" s="3"/>
      <c r="AP44" s="3"/>
      <c r="AQ44" s="7" t="s">
        <v>4445</v>
      </c>
      <c r="AR44" s="7" t="s">
        <v>4446</v>
      </c>
      <c r="AS44" s="3"/>
      <c r="AT44" s="3"/>
      <c r="AU44" s="3"/>
    </row>
    <row r="45" spans="1:51" ht="12.5" x14ac:dyDescent="0.25">
      <c r="A45" s="3" t="s">
        <v>46</v>
      </c>
      <c r="B45" s="21" t="str">
        <f>HYPERLINK("https://gerandofalcoes.my.salesforce.com/0014X00002VKCqW", "0014X00002VKCqW")</f>
        <v>0014X00002VKCqW</v>
      </c>
      <c r="C45" s="21" t="str">
        <f>HYPERLINK("https://gerandofalcoes.my.salesforce.com/0014X00002VKCqWQAX", "0014X00002VKCqWQAX")</f>
        <v>0014X00002VKCqWQAX</v>
      </c>
      <c r="D45" s="3" t="s">
        <v>4447</v>
      </c>
      <c r="E45" s="3" t="s">
        <v>4448</v>
      </c>
      <c r="F45" s="3" t="s">
        <v>4449</v>
      </c>
      <c r="G45" s="6"/>
      <c r="H45" s="3"/>
      <c r="I45" s="3" t="s">
        <v>4450</v>
      </c>
      <c r="J45" s="3" t="s">
        <v>4451</v>
      </c>
      <c r="K45" s="3" t="s">
        <v>4452</v>
      </c>
      <c r="L45" s="3" t="s">
        <v>84</v>
      </c>
      <c r="M45" s="3" t="s">
        <v>4453</v>
      </c>
      <c r="N45" s="3" t="s">
        <v>4454</v>
      </c>
      <c r="O45" s="3">
        <v>155</v>
      </c>
      <c r="P45" s="3" t="s">
        <v>266</v>
      </c>
      <c r="Q45" s="3" t="s">
        <v>1539</v>
      </c>
      <c r="R45" s="3" t="s">
        <v>4455</v>
      </c>
      <c r="S45" s="3" t="s">
        <v>4456</v>
      </c>
      <c r="T45" s="3"/>
      <c r="U45" s="3" t="s">
        <v>3913</v>
      </c>
      <c r="V45" s="3" t="s">
        <v>3982</v>
      </c>
      <c r="W45" s="3">
        <v>11</v>
      </c>
      <c r="X45" s="3" t="s">
        <v>4457</v>
      </c>
      <c r="Y45" s="3" t="s">
        <v>4458</v>
      </c>
      <c r="Z45" s="3"/>
      <c r="AA45" s="3">
        <v>0</v>
      </c>
      <c r="AB45" s="6">
        <v>41553</v>
      </c>
      <c r="AC45" s="3" t="s">
        <v>62</v>
      </c>
      <c r="AD45" s="3">
        <v>2</v>
      </c>
      <c r="AE45" s="3">
        <v>10</v>
      </c>
      <c r="AF45" s="3">
        <v>3</v>
      </c>
      <c r="AG45" s="3" t="s">
        <v>4288</v>
      </c>
      <c r="AH45" s="3" t="s">
        <v>4459</v>
      </c>
      <c r="AI45" s="3">
        <v>11579.01</v>
      </c>
      <c r="AJ45" s="3" t="s">
        <v>61</v>
      </c>
      <c r="AK45" s="3"/>
      <c r="AL45" s="3"/>
      <c r="AM45" s="7" t="s">
        <v>4460</v>
      </c>
      <c r="AN45" s="7" t="s">
        <v>4461</v>
      </c>
      <c r="AO45" s="7" t="s">
        <v>4462</v>
      </c>
      <c r="AP45" s="3"/>
      <c r="AQ45" s="3"/>
      <c r="AR45" s="7" t="s">
        <v>4463</v>
      </c>
      <c r="AS45" s="7" t="s">
        <v>4464</v>
      </c>
      <c r="AT45" s="3"/>
      <c r="AU45" s="7" t="s">
        <v>4465</v>
      </c>
    </row>
    <row r="46" spans="1:51" ht="12.5" x14ac:dyDescent="0.25">
      <c r="A46" s="3" t="s">
        <v>46</v>
      </c>
      <c r="B46" s="21" t="str">
        <f>HYPERLINK("https://gerandofalcoes.my.salesforce.com/0014X00002VKCqX", "0014X00002VKCqX")</f>
        <v>0014X00002VKCqX</v>
      </c>
      <c r="C46" s="21" t="str">
        <f>HYPERLINK("https://gerandofalcoes.my.salesforce.com/0014X00002VKCqXQAX", "0014X00002VKCqXQAX")</f>
        <v>0014X00002VKCqXQAX</v>
      </c>
      <c r="D46" s="3" t="s">
        <v>4466</v>
      </c>
      <c r="E46" s="3" t="s">
        <v>4467</v>
      </c>
      <c r="F46" s="3" t="s">
        <v>4468</v>
      </c>
      <c r="G46" s="8">
        <v>44763</v>
      </c>
      <c r="H46" s="3">
        <v>33</v>
      </c>
      <c r="I46" s="3" t="s">
        <v>4469</v>
      </c>
      <c r="J46" s="3" t="s">
        <v>4470</v>
      </c>
      <c r="K46" s="3" t="s">
        <v>4471</v>
      </c>
      <c r="L46" s="3" t="s">
        <v>1381</v>
      </c>
      <c r="M46" s="3" t="s">
        <v>4472</v>
      </c>
      <c r="N46" s="3" t="s">
        <v>4473</v>
      </c>
      <c r="O46" s="3">
        <v>19</v>
      </c>
      <c r="P46" s="3" t="s">
        <v>1959</v>
      </c>
      <c r="Q46" s="3" t="s">
        <v>4474</v>
      </c>
      <c r="R46" s="3" t="s">
        <v>4475</v>
      </c>
      <c r="S46" s="3" t="s">
        <v>4476</v>
      </c>
      <c r="T46" s="3"/>
      <c r="U46" s="3" t="s">
        <v>3857</v>
      </c>
      <c r="V46" s="3" t="s">
        <v>4477</v>
      </c>
      <c r="W46" s="3">
        <v>15</v>
      </c>
      <c r="X46" s="3" t="s">
        <v>4478</v>
      </c>
      <c r="Y46" s="3" t="s">
        <v>4479</v>
      </c>
      <c r="Z46" s="3"/>
      <c r="AA46" s="3">
        <v>300</v>
      </c>
      <c r="AB46" s="6">
        <v>44174</v>
      </c>
      <c r="AC46" s="3" t="s">
        <v>62</v>
      </c>
      <c r="AD46" s="3">
        <v>0</v>
      </c>
      <c r="AE46" s="3">
        <v>40</v>
      </c>
      <c r="AF46" s="3">
        <v>5</v>
      </c>
      <c r="AG46" s="3" t="s">
        <v>4480</v>
      </c>
      <c r="AH46" s="3" t="s">
        <v>4481</v>
      </c>
      <c r="AI46" s="3">
        <v>70000</v>
      </c>
      <c r="AJ46" s="3" t="s">
        <v>62</v>
      </c>
      <c r="AK46" s="3"/>
      <c r="AL46" s="7" t="s">
        <v>4482</v>
      </c>
      <c r="AM46" s="7" t="s">
        <v>4483</v>
      </c>
      <c r="AN46" s="3"/>
      <c r="AO46" s="3"/>
      <c r="AP46" s="3"/>
      <c r="AQ46" s="3"/>
      <c r="AR46" s="3"/>
      <c r="AS46" s="7" t="s">
        <v>4484</v>
      </c>
      <c r="AT46" s="3"/>
      <c r="AU46" s="7" t="s">
        <v>4485</v>
      </c>
    </row>
    <row r="47" spans="1:51" ht="12.5" x14ac:dyDescent="0.25">
      <c r="A47" s="3" t="s">
        <v>46</v>
      </c>
      <c r="B47" s="21" t="str">
        <f>HYPERLINK("https://gerandofalcoes.my.salesforce.com/0014X00002VKCqY", "0014X00002VKCqY")</f>
        <v>0014X00002VKCqY</v>
      </c>
      <c r="C47" s="21" t="str">
        <f>HYPERLINK("https://gerandofalcoes.my.salesforce.com/0014X00002VKCqYQAX", "0014X00002VKCqYQAX")</f>
        <v>0014X00002VKCqYQAX</v>
      </c>
      <c r="D47" s="3" t="s">
        <v>4486</v>
      </c>
      <c r="E47" s="3" t="s">
        <v>4487</v>
      </c>
      <c r="F47" s="3" t="s">
        <v>4488</v>
      </c>
      <c r="G47" s="8">
        <v>44763</v>
      </c>
      <c r="H47" s="3">
        <v>33</v>
      </c>
      <c r="I47" s="3" t="s">
        <v>4489</v>
      </c>
      <c r="J47" s="3" t="s">
        <v>4490</v>
      </c>
      <c r="K47" s="3" t="s">
        <v>4491</v>
      </c>
      <c r="L47" s="3" t="s">
        <v>84</v>
      </c>
      <c r="M47" s="3" t="s">
        <v>4492</v>
      </c>
      <c r="N47" s="3" t="s">
        <v>4493</v>
      </c>
      <c r="O47" s="3">
        <v>222</v>
      </c>
      <c r="P47" s="3" t="s">
        <v>4494</v>
      </c>
      <c r="Q47" s="3"/>
      <c r="R47" s="3" t="s">
        <v>4495</v>
      </c>
      <c r="S47" s="3" t="s">
        <v>4496</v>
      </c>
      <c r="T47" s="3"/>
      <c r="U47" s="3" t="s">
        <v>4497</v>
      </c>
      <c r="V47" s="3" t="s">
        <v>3800</v>
      </c>
      <c r="W47" s="3">
        <v>5</v>
      </c>
      <c r="X47" s="3" t="s">
        <v>4498</v>
      </c>
      <c r="Y47" s="3" t="s">
        <v>4499</v>
      </c>
      <c r="Z47" s="3"/>
      <c r="AA47" s="3">
        <v>250</v>
      </c>
      <c r="AB47" s="6">
        <v>38588</v>
      </c>
      <c r="AC47" s="3" t="s">
        <v>62</v>
      </c>
      <c r="AD47" s="3">
        <v>1</v>
      </c>
      <c r="AE47" s="3">
        <v>9</v>
      </c>
      <c r="AF47" s="3">
        <v>6</v>
      </c>
      <c r="AG47" s="3" t="s">
        <v>4500</v>
      </c>
      <c r="AH47" s="3" t="s">
        <v>4067</v>
      </c>
      <c r="AI47" s="3">
        <v>5000</v>
      </c>
      <c r="AJ47" s="3" t="s">
        <v>62</v>
      </c>
      <c r="AK47" s="3"/>
      <c r="AL47" s="7" t="s">
        <v>4501</v>
      </c>
      <c r="AM47" s="7" t="s">
        <v>4502</v>
      </c>
      <c r="AN47" s="3"/>
      <c r="AO47" s="3" t="s">
        <v>4503</v>
      </c>
      <c r="AP47" s="3"/>
      <c r="AQ47" s="3"/>
      <c r="AR47" s="7" t="s">
        <v>4504</v>
      </c>
      <c r="AS47" s="7" t="s">
        <v>4505</v>
      </c>
      <c r="AT47" s="7" t="s">
        <v>4506</v>
      </c>
      <c r="AU47" s="7" t="s">
        <v>4507</v>
      </c>
    </row>
    <row r="48" spans="1:51" ht="12.5" x14ac:dyDescent="0.25">
      <c r="A48" s="3" t="s">
        <v>46</v>
      </c>
      <c r="B48" s="21" t="str">
        <f>HYPERLINK("https://gerandofalcoes.my.salesforce.com/0014X00002VKCr1", "0014X00002VKCr1")</f>
        <v>0014X00002VKCr1</v>
      </c>
      <c r="C48" s="21" t="str">
        <f>HYPERLINK("https://gerandofalcoes.my.salesforce.com/0014X00002VKCr1QAH", "0014X00002VKCr1QAH")</f>
        <v>0014X00002VKCr1QAH</v>
      </c>
      <c r="D48" s="3" t="s">
        <v>4508</v>
      </c>
      <c r="E48" s="3" t="s">
        <v>4509</v>
      </c>
      <c r="F48" s="3" t="s">
        <v>4510</v>
      </c>
      <c r="G48" s="8">
        <v>44763</v>
      </c>
      <c r="H48" s="3">
        <v>33</v>
      </c>
      <c r="I48" s="3" t="s">
        <v>4511</v>
      </c>
      <c r="J48" s="3" t="s">
        <v>4512</v>
      </c>
      <c r="K48" s="3" t="s">
        <v>4513</v>
      </c>
      <c r="L48" s="3" t="s">
        <v>84</v>
      </c>
      <c r="M48" s="3" t="s">
        <v>4514</v>
      </c>
      <c r="N48" s="3" t="s">
        <v>4515</v>
      </c>
      <c r="O48" s="3">
        <v>98</v>
      </c>
      <c r="P48" s="3" t="s">
        <v>4516</v>
      </c>
      <c r="Q48" s="3"/>
      <c r="R48" s="3" t="s">
        <v>4517</v>
      </c>
      <c r="S48" s="3" t="s">
        <v>4518</v>
      </c>
      <c r="T48" s="3"/>
      <c r="U48" s="3" t="s">
        <v>4062</v>
      </c>
      <c r="V48" s="3" t="s">
        <v>4519</v>
      </c>
      <c r="W48" s="3">
        <v>2</v>
      </c>
      <c r="X48" s="3" t="s">
        <v>4520</v>
      </c>
      <c r="Y48" s="3"/>
      <c r="AA48" s="3">
        <v>600</v>
      </c>
      <c r="AB48" s="6">
        <v>38982</v>
      </c>
      <c r="AC48" s="3" t="s">
        <v>62</v>
      </c>
      <c r="AD48" s="3">
        <v>5</v>
      </c>
      <c r="AE48" s="3">
        <v>4</v>
      </c>
      <c r="AF48" s="3">
        <v>2</v>
      </c>
      <c r="AG48" s="3" t="s">
        <v>4521</v>
      </c>
      <c r="AH48" s="3" t="s">
        <v>4522</v>
      </c>
      <c r="AI48" s="3">
        <v>65000</v>
      </c>
      <c r="AJ48" s="3" t="s">
        <v>120</v>
      </c>
      <c r="AK48" s="3"/>
      <c r="AL48" s="7" t="s">
        <v>4523</v>
      </c>
      <c r="AM48" s="7" t="s">
        <v>4524</v>
      </c>
      <c r="AN48" s="7" t="s">
        <v>4525</v>
      </c>
      <c r="AO48" s="7" t="s">
        <v>4526</v>
      </c>
      <c r="AP48" s="3"/>
      <c r="AQ48" s="3"/>
      <c r="AR48" s="7" t="s">
        <v>4527</v>
      </c>
      <c r="AS48" s="7" t="s">
        <v>4528</v>
      </c>
      <c r="AT48" s="7" t="s">
        <v>4529</v>
      </c>
      <c r="AU48" s="7" t="s">
        <v>4530</v>
      </c>
    </row>
    <row r="49" spans="1:51" ht="12.5" x14ac:dyDescent="0.25">
      <c r="A49" s="3" t="s">
        <v>46</v>
      </c>
      <c r="B49" s="21" t="str">
        <f>HYPERLINK("https://gerandofalcoes.my.salesforce.com/0014X00002VKCr2", "0014X00002VKCr2")</f>
        <v>0014X00002VKCr2</v>
      </c>
      <c r="C49" s="21" t="str">
        <f>HYPERLINK("https://gerandofalcoes.my.salesforce.com/0014X00002VKCr2QAH", "0014X00002VKCr2QAH")</f>
        <v>0014X00002VKCr2QAH</v>
      </c>
      <c r="D49" s="3" t="s">
        <v>4531</v>
      </c>
      <c r="E49" s="3" t="s">
        <v>4532</v>
      </c>
      <c r="F49" s="3" t="s">
        <v>4533</v>
      </c>
      <c r="G49" s="8">
        <v>44763</v>
      </c>
      <c r="H49" s="3">
        <v>33</v>
      </c>
      <c r="I49" s="3" t="s">
        <v>4534</v>
      </c>
      <c r="J49" s="3" t="s">
        <v>4535</v>
      </c>
      <c r="K49" s="3" t="s">
        <v>4536</v>
      </c>
      <c r="L49" s="3" t="s">
        <v>84</v>
      </c>
      <c r="M49" s="3" t="s">
        <v>4537</v>
      </c>
      <c r="N49" s="3" t="s">
        <v>4538</v>
      </c>
      <c r="O49" s="3">
        <v>85</v>
      </c>
      <c r="P49" s="3" t="s">
        <v>4539</v>
      </c>
      <c r="Q49" s="3"/>
      <c r="R49" s="3" t="s">
        <v>4540</v>
      </c>
      <c r="S49" s="3" t="s">
        <v>4541</v>
      </c>
      <c r="T49" s="3"/>
      <c r="U49" s="3" t="s">
        <v>4542</v>
      </c>
      <c r="V49" s="3" t="s">
        <v>3800</v>
      </c>
      <c r="W49" s="3">
        <v>15</v>
      </c>
      <c r="X49" s="3" t="s">
        <v>4543</v>
      </c>
      <c r="Y49" s="3" t="s">
        <v>4544</v>
      </c>
      <c r="AA49" s="3">
        <v>25</v>
      </c>
      <c r="AB49" s="8">
        <v>41989</v>
      </c>
      <c r="AC49" s="3" t="s">
        <v>62</v>
      </c>
      <c r="AD49" s="3">
        <v>8</v>
      </c>
      <c r="AE49" s="3">
        <v>9</v>
      </c>
      <c r="AF49" s="3">
        <v>3</v>
      </c>
      <c r="AG49" s="3" t="s">
        <v>4288</v>
      </c>
      <c r="AH49" s="3" t="s">
        <v>4545</v>
      </c>
      <c r="AI49" s="3">
        <v>3000</v>
      </c>
      <c r="AJ49" s="3" t="s">
        <v>62</v>
      </c>
      <c r="AK49" s="3"/>
      <c r="AL49" s="3"/>
      <c r="AM49" s="7" t="s">
        <v>4546</v>
      </c>
      <c r="AN49" s="7" t="s">
        <v>4546</v>
      </c>
      <c r="AO49" s="3"/>
      <c r="AP49" s="3"/>
      <c r="AQ49" s="7" t="s">
        <v>4547</v>
      </c>
      <c r="AR49" s="7" t="s">
        <v>4548</v>
      </c>
      <c r="AS49" s="7" t="s">
        <v>4549</v>
      </c>
      <c r="AT49" s="7" t="s">
        <v>4550</v>
      </c>
      <c r="AU49" s="7" t="s">
        <v>4551</v>
      </c>
    </row>
    <row r="50" spans="1:51" ht="12.5" x14ac:dyDescent="0.25">
      <c r="A50" s="3" t="s">
        <v>46</v>
      </c>
      <c r="B50" s="21" t="str">
        <f>HYPERLINK("https://gerandofalcoes.my.salesforce.com/0014X00002VKCr3", "0014X00002VKCr3")</f>
        <v>0014X00002VKCr3</v>
      </c>
      <c r="C50" s="21" t="str">
        <f>HYPERLINK("https://gerandofalcoes.my.salesforce.com/0014X00002VKCr3QAH", "0014X00002VKCr3QAH")</f>
        <v>0014X00002VKCr3QAH</v>
      </c>
      <c r="D50" s="3" t="s">
        <v>4552</v>
      </c>
      <c r="E50" s="3" t="s">
        <v>4553</v>
      </c>
      <c r="F50" s="3" t="s">
        <v>4554</v>
      </c>
      <c r="G50" s="6">
        <v>44763</v>
      </c>
      <c r="H50" s="3">
        <v>33</v>
      </c>
      <c r="I50" s="3" t="s">
        <v>4555</v>
      </c>
      <c r="J50" s="3" t="s">
        <v>4556</v>
      </c>
      <c r="K50" s="3" t="s">
        <v>4557</v>
      </c>
      <c r="L50" s="3" t="s">
        <v>84</v>
      </c>
      <c r="M50" s="3" t="s">
        <v>4558</v>
      </c>
      <c r="N50" s="3" t="s">
        <v>4559</v>
      </c>
      <c r="O50" s="3">
        <v>364</v>
      </c>
      <c r="P50" s="3" t="s">
        <v>266</v>
      </c>
      <c r="Q50" s="3"/>
      <c r="R50" s="3" t="s">
        <v>4560</v>
      </c>
      <c r="S50" s="3"/>
      <c r="T50" s="3"/>
      <c r="U50" s="3" t="s">
        <v>4062</v>
      </c>
      <c r="V50" s="3" t="s">
        <v>4561</v>
      </c>
      <c r="W50" s="3">
        <v>8</v>
      </c>
      <c r="X50" s="3" t="s">
        <v>4562</v>
      </c>
      <c r="Y50" s="3"/>
      <c r="AA50" s="3">
        <v>4000</v>
      </c>
      <c r="AB50" s="6">
        <v>26770</v>
      </c>
      <c r="AC50" s="3" t="s">
        <v>62</v>
      </c>
      <c r="AD50" s="3">
        <v>0</v>
      </c>
      <c r="AE50" s="3">
        <v>12</v>
      </c>
      <c r="AF50" s="3">
        <v>2</v>
      </c>
      <c r="AG50" s="3" t="s">
        <v>4156</v>
      </c>
      <c r="AH50" s="3" t="s">
        <v>2024</v>
      </c>
      <c r="AI50" s="3">
        <v>5000</v>
      </c>
      <c r="AJ50" s="3" t="s">
        <v>62</v>
      </c>
      <c r="AK50" s="3"/>
      <c r="AL50" s="3"/>
      <c r="AM50" s="7" t="s">
        <v>4563</v>
      </c>
      <c r="AN50" s="7" t="s">
        <v>4564</v>
      </c>
      <c r="AO50" s="3"/>
      <c r="AP50" s="3"/>
      <c r="AQ50" s="7" t="s">
        <v>4565</v>
      </c>
      <c r="AR50" s="7" t="s">
        <v>4566</v>
      </c>
      <c r="AS50" s="7" t="s">
        <v>4567</v>
      </c>
      <c r="AT50" s="3"/>
      <c r="AU50" s="7" t="s">
        <v>4568</v>
      </c>
    </row>
    <row r="51" spans="1:51" ht="12.5" x14ac:dyDescent="0.25">
      <c r="A51" s="3" t="s">
        <v>46</v>
      </c>
      <c r="B51" s="21" t="str">
        <f>HYPERLINK("https://gerandofalcoes.my.salesforce.com/0014X00002VKCr4", "0014X00002VKCr4")</f>
        <v>0014X00002VKCr4</v>
      </c>
      <c r="C51" s="21" t="str">
        <f>HYPERLINK("https://gerandofalcoes.my.salesforce.com/0014X00002VKCr4QAH", "0014X00002VKCr4QAH")</f>
        <v>0014X00002VKCr4QAH</v>
      </c>
      <c r="D51" s="3" t="s">
        <v>4569</v>
      </c>
      <c r="E51" s="3" t="s">
        <v>4570</v>
      </c>
      <c r="F51" s="3" t="s">
        <v>4571</v>
      </c>
      <c r="G51" s="8">
        <v>44763</v>
      </c>
      <c r="H51" s="3">
        <v>33</v>
      </c>
      <c r="I51" s="3" t="s">
        <v>4572</v>
      </c>
      <c r="J51" s="3" t="s">
        <v>4573</v>
      </c>
      <c r="K51" s="3" t="s">
        <v>4574</v>
      </c>
      <c r="L51" s="3" t="s">
        <v>84</v>
      </c>
      <c r="M51" s="3" t="s">
        <v>4575</v>
      </c>
      <c r="N51" s="3" t="s">
        <v>4576</v>
      </c>
      <c r="O51" s="3">
        <v>139</v>
      </c>
      <c r="P51" s="3" t="s">
        <v>4577</v>
      </c>
      <c r="Q51" s="3"/>
      <c r="R51" s="3" t="s">
        <v>4578</v>
      </c>
      <c r="S51" s="3"/>
      <c r="T51" s="3"/>
      <c r="U51" s="3" t="s">
        <v>3964</v>
      </c>
      <c r="V51" s="3" t="s">
        <v>3800</v>
      </c>
      <c r="W51" s="3">
        <v>3</v>
      </c>
      <c r="X51" s="3" t="s">
        <v>4579</v>
      </c>
      <c r="Y51" s="3" t="s">
        <v>4580</v>
      </c>
      <c r="AA51" s="3">
        <v>289</v>
      </c>
      <c r="AB51" s="6">
        <v>42545</v>
      </c>
      <c r="AC51" s="3" t="s">
        <v>62</v>
      </c>
      <c r="AD51" s="3">
        <v>12</v>
      </c>
      <c r="AE51" s="3">
        <v>4</v>
      </c>
      <c r="AF51" s="3">
        <v>5</v>
      </c>
      <c r="AG51" s="3" t="s">
        <v>4581</v>
      </c>
      <c r="AH51" s="3" t="s">
        <v>4582</v>
      </c>
      <c r="AI51" s="3">
        <v>414091.58</v>
      </c>
      <c r="AJ51" s="3" t="s">
        <v>120</v>
      </c>
      <c r="AK51" s="3"/>
      <c r="AL51" s="7" t="s">
        <v>4583</v>
      </c>
      <c r="AM51" s="7" t="s">
        <v>4583</v>
      </c>
      <c r="AN51" s="3"/>
      <c r="AO51" s="7" t="s">
        <v>4584</v>
      </c>
      <c r="AP51" s="3"/>
      <c r="AQ51" s="7" t="s">
        <v>4585</v>
      </c>
      <c r="AR51" s="7" t="s">
        <v>4586</v>
      </c>
      <c r="AS51" s="7" t="s">
        <v>4587</v>
      </c>
      <c r="AT51" s="7" t="s">
        <v>4588</v>
      </c>
      <c r="AU51" s="7" t="s">
        <v>4589</v>
      </c>
    </row>
    <row r="52" spans="1:51" ht="12.5" x14ac:dyDescent="0.25">
      <c r="A52" s="3" t="s">
        <v>46</v>
      </c>
      <c r="B52" s="21" t="str">
        <f>HYPERLINK("https://gerandofalcoes.my.salesforce.com/0014X00002VKCr5", "0014X00002VKCr5")</f>
        <v>0014X00002VKCr5</v>
      </c>
      <c r="C52" s="21" t="str">
        <f>HYPERLINK("https://gerandofalcoes.my.salesforce.com/0014X00002VKCr5QAH", "0014X00002VKCr5QAH")</f>
        <v>0014X00002VKCr5QAH</v>
      </c>
      <c r="D52" s="3" t="s">
        <v>4590</v>
      </c>
      <c r="E52" s="3" t="s">
        <v>4591</v>
      </c>
      <c r="F52" s="3" t="s">
        <v>4592</v>
      </c>
      <c r="G52" s="6">
        <v>44763</v>
      </c>
      <c r="H52" s="3">
        <v>33</v>
      </c>
      <c r="I52" s="3" t="s">
        <v>4593</v>
      </c>
      <c r="J52" s="3" t="s">
        <v>4594</v>
      </c>
      <c r="K52" s="3" t="s">
        <v>4595</v>
      </c>
      <c r="L52" s="3" t="s">
        <v>84</v>
      </c>
      <c r="M52" s="3" t="s">
        <v>4596</v>
      </c>
      <c r="N52" s="3" t="s">
        <v>647</v>
      </c>
      <c r="O52" s="3">
        <v>188</v>
      </c>
      <c r="P52" s="3" t="s">
        <v>4597</v>
      </c>
      <c r="Q52" s="3" t="s">
        <v>4598</v>
      </c>
      <c r="R52" s="3" t="s">
        <v>4599</v>
      </c>
      <c r="S52" s="3" t="s">
        <v>4600</v>
      </c>
      <c r="T52" s="3"/>
      <c r="U52" s="3" t="s">
        <v>3857</v>
      </c>
      <c r="V52" s="3" t="s">
        <v>4601</v>
      </c>
      <c r="W52" s="3">
        <v>0</v>
      </c>
      <c r="X52" s="3" t="s">
        <v>4602</v>
      </c>
      <c r="Y52" s="3" t="s">
        <v>4603</v>
      </c>
      <c r="AA52" s="3">
        <v>1250</v>
      </c>
      <c r="AB52" s="6">
        <v>35380</v>
      </c>
      <c r="AC52" s="3" t="s">
        <v>62</v>
      </c>
      <c r="AD52" s="3">
        <v>6</v>
      </c>
      <c r="AE52" s="3">
        <v>15</v>
      </c>
      <c r="AF52" s="3">
        <v>3</v>
      </c>
      <c r="AG52" s="3" t="s">
        <v>4604</v>
      </c>
      <c r="AH52" s="3" t="s">
        <v>4605</v>
      </c>
      <c r="AI52" s="3">
        <v>1000</v>
      </c>
      <c r="AJ52" s="3" t="s">
        <v>120</v>
      </c>
      <c r="AK52" s="3"/>
      <c r="AL52" s="7" t="s">
        <v>4606</v>
      </c>
      <c r="AM52" s="3" t="s">
        <v>4594</v>
      </c>
      <c r="AN52" s="3"/>
      <c r="AO52" s="3"/>
      <c r="AP52" s="3"/>
      <c r="AQ52" s="3"/>
      <c r="AR52" s="3"/>
      <c r="AS52" s="3"/>
      <c r="AT52" s="3"/>
      <c r="AU52" s="7" t="s">
        <v>4607</v>
      </c>
    </row>
    <row r="53" spans="1:51" ht="12.5" x14ac:dyDescent="0.25">
      <c r="A53" s="3" t="s">
        <v>46</v>
      </c>
      <c r="B53" s="21" t="str">
        <f>HYPERLINK("https://gerandofalcoes.my.salesforce.com/0014X00002VKCr6", "0014X00002VKCr6")</f>
        <v>0014X00002VKCr6</v>
      </c>
      <c r="C53" s="21" t="str">
        <f>HYPERLINK("https://gerandofalcoes.my.salesforce.com/0014X00002VKCr6QAH", "0014X00002VKCr6QAH")</f>
        <v>0014X00002VKCr6QAH</v>
      </c>
      <c r="D53" s="3" t="s">
        <v>4608</v>
      </c>
      <c r="E53" s="3" t="s">
        <v>4609</v>
      </c>
      <c r="F53" s="3" t="s">
        <v>4610</v>
      </c>
      <c r="G53" s="6">
        <v>44763</v>
      </c>
      <c r="H53" s="3">
        <v>33</v>
      </c>
      <c r="I53" s="3" t="s">
        <v>4611</v>
      </c>
      <c r="J53" s="3" t="s">
        <v>4612</v>
      </c>
      <c r="K53" s="3" t="s">
        <v>4613</v>
      </c>
      <c r="L53" s="3" t="s">
        <v>1381</v>
      </c>
      <c r="M53" s="3" t="s">
        <v>4614</v>
      </c>
      <c r="N53" s="3" t="s">
        <v>4615</v>
      </c>
      <c r="O53" s="3">
        <v>145</v>
      </c>
      <c r="P53" s="3" t="s">
        <v>1959</v>
      </c>
      <c r="Q53" s="3" t="s">
        <v>4616</v>
      </c>
      <c r="R53" s="3" t="s">
        <v>4617</v>
      </c>
      <c r="S53" s="3" t="s">
        <v>4618</v>
      </c>
      <c r="T53" s="3"/>
      <c r="U53" s="3" t="s">
        <v>4346</v>
      </c>
      <c r="V53" s="3" t="s">
        <v>4619</v>
      </c>
      <c r="W53" s="3">
        <v>5</v>
      </c>
      <c r="X53" s="3" t="s">
        <v>4620</v>
      </c>
      <c r="Y53" s="3" t="s">
        <v>4621</v>
      </c>
      <c r="Z53" s="3"/>
      <c r="AA53" s="3">
        <v>1000</v>
      </c>
      <c r="AB53" s="8">
        <v>37329</v>
      </c>
      <c r="AC53" s="3" t="s">
        <v>62</v>
      </c>
      <c r="AD53" s="3">
        <v>7</v>
      </c>
      <c r="AE53" s="3">
        <v>10</v>
      </c>
      <c r="AF53" s="3">
        <v>5</v>
      </c>
      <c r="AG53" s="3" t="s">
        <v>4622</v>
      </c>
      <c r="AH53" s="3" t="s">
        <v>4623</v>
      </c>
      <c r="AI53" s="3">
        <v>620000</v>
      </c>
      <c r="AJ53" s="3" t="s">
        <v>120</v>
      </c>
      <c r="AK53" s="3"/>
      <c r="AL53" s="7" t="s">
        <v>4624</v>
      </c>
      <c r="AM53" s="7" t="s">
        <v>4625</v>
      </c>
      <c r="AN53" s="3"/>
      <c r="AO53" s="3"/>
      <c r="AP53" s="3"/>
      <c r="AQ53" s="7" t="s">
        <v>4626</v>
      </c>
      <c r="AR53" s="7" t="s">
        <v>4627</v>
      </c>
      <c r="AS53" s="7" t="s">
        <v>4628</v>
      </c>
      <c r="AT53" s="3"/>
      <c r="AU53" s="3"/>
    </row>
    <row r="54" spans="1:51" ht="12.5" x14ac:dyDescent="0.25">
      <c r="A54" s="3" t="s">
        <v>46</v>
      </c>
      <c r="B54" s="21" t="str">
        <f>HYPERLINK("https://gerandofalcoes.my.salesforce.com/0014X00002VKCr7", "0014X00002VKCr7")</f>
        <v>0014X00002VKCr7</v>
      </c>
      <c r="C54" s="7" t="str">
        <f>HYPERLINK("https://gerandofalcoes.my.salesforce.com/0014X00002VKCr7QAH", "0014X00002VKCr7QAH")</f>
        <v>0014X00002VKCr7QAH</v>
      </c>
      <c r="D54" s="3" t="s">
        <v>4629</v>
      </c>
      <c r="E54" s="3" t="s">
        <v>4630</v>
      </c>
      <c r="F54" s="3"/>
      <c r="G54" s="8">
        <v>44763</v>
      </c>
      <c r="H54" s="3">
        <v>33</v>
      </c>
      <c r="I54" s="3" t="s">
        <v>4631</v>
      </c>
      <c r="J54" s="3" t="s">
        <v>4632</v>
      </c>
      <c r="K54" s="3" t="s">
        <v>4633</v>
      </c>
      <c r="L54" s="3" t="s">
        <v>84</v>
      </c>
      <c r="M54" s="3" t="s">
        <v>4634</v>
      </c>
      <c r="N54" s="3" t="s">
        <v>4635</v>
      </c>
      <c r="O54" s="3">
        <v>227</v>
      </c>
      <c r="P54" s="3" t="s">
        <v>4636</v>
      </c>
      <c r="Q54" s="3">
        <v>1</v>
      </c>
      <c r="R54" s="3" t="s">
        <v>4637</v>
      </c>
      <c r="S54" s="3"/>
      <c r="T54" s="3"/>
      <c r="U54" s="3" t="s">
        <v>3872</v>
      </c>
      <c r="V54" s="3" t="s">
        <v>4519</v>
      </c>
      <c r="W54" s="3">
        <v>1</v>
      </c>
      <c r="X54" s="3" t="s">
        <v>4638</v>
      </c>
      <c r="Y54" s="3"/>
      <c r="Z54" s="3"/>
      <c r="AA54" s="3">
        <v>600</v>
      </c>
      <c r="AB54" s="6">
        <v>43101</v>
      </c>
      <c r="AC54" s="3" t="s">
        <v>120</v>
      </c>
      <c r="AD54" s="3">
        <v>0</v>
      </c>
      <c r="AE54" s="3">
        <v>7</v>
      </c>
      <c r="AF54" s="3">
        <v>2</v>
      </c>
      <c r="AG54" s="3" t="s">
        <v>4639</v>
      </c>
      <c r="AH54" s="3" t="s">
        <v>4640</v>
      </c>
      <c r="AI54" s="3">
        <v>0</v>
      </c>
      <c r="AJ54" s="3" t="s">
        <v>120</v>
      </c>
      <c r="AK54" s="3"/>
      <c r="AL54" s="7" t="s">
        <v>4641</v>
      </c>
      <c r="AM54" s="7" t="s">
        <v>4641</v>
      </c>
      <c r="AN54" s="7" t="s">
        <v>4641</v>
      </c>
      <c r="AO54" s="3"/>
      <c r="AP54" s="3"/>
      <c r="AQ54" s="7" t="s">
        <v>4642</v>
      </c>
      <c r="AR54" s="7" t="s">
        <v>4643</v>
      </c>
      <c r="AS54" s="3"/>
      <c r="AT54" s="7" t="s">
        <v>4644</v>
      </c>
      <c r="AU54" s="7" t="s">
        <v>4645</v>
      </c>
      <c r="AV54" s="3"/>
      <c r="AW54" s="3"/>
      <c r="AX54" s="3"/>
      <c r="AY54" s="3"/>
    </row>
    <row r="55" spans="1:51" ht="12.5" x14ac:dyDescent="0.25">
      <c r="A55" s="3" t="s">
        <v>46</v>
      </c>
      <c r="B55" s="21" t="str">
        <f>HYPERLINK("https://gerandofalcoes.my.salesforce.com/0014X00002VKCr8", "0014X00002VKCr8")</f>
        <v>0014X00002VKCr8</v>
      </c>
      <c r="C55" s="21" t="str">
        <f>HYPERLINK("https://gerandofalcoes.my.salesforce.com/0014X00002VKCr8QAH", "0014X00002VKCr8QAH")</f>
        <v>0014X00002VKCr8QAH</v>
      </c>
      <c r="D55" s="3" t="s">
        <v>4646</v>
      </c>
      <c r="E55" s="3" t="s">
        <v>4647</v>
      </c>
      <c r="F55" s="3" t="s">
        <v>4648</v>
      </c>
      <c r="G55" s="6">
        <v>44763</v>
      </c>
      <c r="H55" s="3">
        <v>33</v>
      </c>
      <c r="I55" s="3" t="s">
        <v>4649</v>
      </c>
      <c r="J55" s="3" t="s">
        <v>4650</v>
      </c>
      <c r="K55" s="3" t="s">
        <v>4651</v>
      </c>
      <c r="L55" s="3" t="s">
        <v>84</v>
      </c>
      <c r="M55" s="3" t="s">
        <v>4652</v>
      </c>
      <c r="N55" s="3" t="s">
        <v>4653</v>
      </c>
      <c r="O55" s="3">
        <v>400</v>
      </c>
      <c r="P55" s="3" t="s">
        <v>369</v>
      </c>
      <c r="Q55" s="3" t="s">
        <v>4654</v>
      </c>
      <c r="R55" s="3" t="s">
        <v>4655</v>
      </c>
      <c r="S55" s="3" t="s">
        <v>120</v>
      </c>
      <c r="T55" s="3"/>
      <c r="U55" s="3" t="s">
        <v>3932</v>
      </c>
      <c r="V55" s="3" t="s">
        <v>4656</v>
      </c>
      <c r="W55" s="3">
        <v>2</v>
      </c>
      <c r="X55" s="3" t="s">
        <v>4657</v>
      </c>
      <c r="Y55" s="3" t="s">
        <v>4658</v>
      </c>
      <c r="Z55" s="3"/>
      <c r="AA55" s="3">
        <v>230</v>
      </c>
      <c r="AB55" s="6">
        <v>35300</v>
      </c>
      <c r="AC55" s="3" t="s">
        <v>62</v>
      </c>
      <c r="AD55" s="3">
        <v>9</v>
      </c>
      <c r="AE55" s="3">
        <v>11</v>
      </c>
      <c r="AF55" s="3">
        <v>4</v>
      </c>
      <c r="AG55" s="3" t="s">
        <v>4659</v>
      </c>
      <c r="AH55" s="3" t="s">
        <v>4660</v>
      </c>
      <c r="AI55" s="3">
        <v>400000</v>
      </c>
      <c r="AJ55" s="3" t="s">
        <v>120</v>
      </c>
      <c r="AK55" s="3"/>
      <c r="AL55" s="7" t="s">
        <v>4661</v>
      </c>
      <c r="AM55" s="7" t="s">
        <v>4662</v>
      </c>
      <c r="AN55" s="7" t="s">
        <v>4663</v>
      </c>
      <c r="AO55" s="7" t="s">
        <v>4664</v>
      </c>
      <c r="AP55" s="3"/>
      <c r="AQ55" s="3"/>
      <c r="AR55" s="7" t="s">
        <v>4665</v>
      </c>
      <c r="AS55" s="7" t="s">
        <v>4666</v>
      </c>
      <c r="AT55" s="3"/>
      <c r="AU55" s="7" t="s">
        <v>4667</v>
      </c>
    </row>
    <row r="56" spans="1:51" ht="12.5" x14ac:dyDescent="0.25">
      <c r="A56" s="3" t="s">
        <v>46</v>
      </c>
      <c r="B56" s="21" t="str">
        <f>HYPERLINK("https://gerandofalcoes.my.salesforce.com/0014X00002VKCr9", "0014X00002VKCr9")</f>
        <v>0014X00002VKCr9</v>
      </c>
      <c r="C56" s="21" t="str">
        <f>HYPERLINK("https://gerandofalcoes.my.salesforce.com/0014X00002VKCr9QAH", "0014X00002VKCr9QAH")</f>
        <v>0014X00002VKCr9QAH</v>
      </c>
      <c r="D56" s="3" t="s">
        <v>4668</v>
      </c>
      <c r="E56" s="3" t="s">
        <v>4669</v>
      </c>
      <c r="F56" s="3"/>
      <c r="G56" s="6">
        <v>44763</v>
      </c>
      <c r="H56" s="3">
        <v>33</v>
      </c>
      <c r="I56" s="3" t="s">
        <v>4670</v>
      </c>
      <c r="J56" s="3"/>
      <c r="K56" s="3">
        <v>31986070400</v>
      </c>
      <c r="L56" s="3" t="s">
        <v>84</v>
      </c>
      <c r="M56" s="3" t="s">
        <v>4671</v>
      </c>
      <c r="N56" s="3" t="s">
        <v>4672</v>
      </c>
      <c r="O56" s="3">
        <v>58</v>
      </c>
      <c r="P56" s="3" t="s">
        <v>4597</v>
      </c>
      <c r="Q56" s="3"/>
      <c r="R56" s="3" t="s">
        <v>4673</v>
      </c>
      <c r="S56" s="3"/>
      <c r="T56" s="3"/>
      <c r="U56" s="3"/>
      <c r="V56" s="3"/>
      <c r="W56" s="3">
        <v>10</v>
      </c>
      <c r="X56" s="3" t="s">
        <v>4674</v>
      </c>
      <c r="Y56" s="3" t="s">
        <v>4675</v>
      </c>
      <c r="AA56" s="3">
        <v>100</v>
      </c>
      <c r="AB56" s="6">
        <v>42512</v>
      </c>
      <c r="AC56" s="3" t="s">
        <v>120</v>
      </c>
      <c r="AD56" s="3"/>
      <c r="AE56" s="3">
        <v>20</v>
      </c>
      <c r="AF56" s="3">
        <v>0</v>
      </c>
      <c r="AG56" s="3"/>
      <c r="AH56" s="3">
        <v>0</v>
      </c>
      <c r="AI56" s="3">
        <v>0</v>
      </c>
      <c r="AJ56" s="3"/>
      <c r="AK56" s="3"/>
      <c r="AL56" s="3"/>
      <c r="AM56" s="7" t="s">
        <v>4676</v>
      </c>
      <c r="AN56" s="7" t="s">
        <v>4677</v>
      </c>
      <c r="AO56" s="3"/>
      <c r="AP56" s="3"/>
      <c r="AQ56" s="3"/>
      <c r="AR56" s="3"/>
      <c r="AS56" s="3"/>
      <c r="AT56" s="3"/>
      <c r="AU56" s="7" t="s">
        <v>4678</v>
      </c>
    </row>
    <row r="57" spans="1:51" ht="12.5" x14ac:dyDescent="0.25">
      <c r="A57" s="3" t="s">
        <v>46</v>
      </c>
      <c r="B57" s="21" t="str">
        <f>HYPERLINK("https://gerandofalcoes.my.salesforce.com/0014X00002VKCrA", "0014X00002VKCrA")</f>
        <v>0014X00002VKCrA</v>
      </c>
      <c r="C57" s="21" t="str">
        <f>HYPERLINK("https://gerandofalcoes.my.salesforce.com/0014X00002VKCrAQAX", "0014X00002VKCrAQAX")</f>
        <v>0014X00002VKCrAQAX</v>
      </c>
      <c r="D57" s="3" t="s">
        <v>4679</v>
      </c>
      <c r="E57" s="3" t="s">
        <v>4680</v>
      </c>
      <c r="F57" s="3" t="s">
        <v>4681</v>
      </c>
      <c r="G57" s="6">
        <v>44763</v>
      </c>
      <c r="H57" s="3">
        <v>33</v>
      </c>
      <c r="I57" s="3" t="s">
        <v>4682</v>
      </c>
      <c r="J57" s="3" t="s">
        <v>4683</v>
      </c>
      <c r="K57" s="3" t="s">
        <v>4684</v>
      </c>
      <c r="L57" s="3" t="s">
        <v>84</v>
      </c>
      <c r="M57" s="3" t="s">
        <v>4685</v>
      </c>
      <c r="N57" s="3" t="s">
        <v>4686</v>
      </c>
      <c r="O57" s="3">
        <v>101</v>
      </c>
      <c r="P57" s="3" t="s">
        <v>4687</v>
      </c>
      <c r="Q57" s="3"/>
      <c r="R57" s="3" t="s">
        <v>4688</v>
      </c>
      <c r="S57" s="3" t="s">
        <v>4689</v>
      </c>
      <c r="T57" s="3"/>
      <c r="U57" s="3" t="s">
        <v>4081</v>
      </c>
      <c r="V57" s="3" t="s">
        <v>3800</v>
      </c>
      <c r="W57" s="3">
        <v>6</v>
      </c>
      <c r="X57" s="3" t="s">
        <v>4690</v>
      </c>
      <c r="Y57" s="3"/>
      <c r="Z57" s="3"/>
      <c r="AA57" s="3">
        <v>50</v>
      </c>
      <c r="AB57" s="6">
        <v>36566</v>
      </c>
      <c r="AC57" s="3" t="s">
        <v>62</v>
      </c>
      <c r="AD57" s="3">
        <v>2</v>
      </c>
      <c r="AE57" s="3">
        <v>1</v>
      </c>
      <c r="AF57" s="3">
        <v>3</v>
      </c>
      <c r="AG57" s="3" t="s">
        <v>3893</v>
      </c>
      <c r="AH57" s="3" t="s">
        <v>4691</v>
      </c>
      <c r="AI57" s="3">
        <v>76576</v>
      </c>
      <c r="AJ57" s="3" t="s">
        <v>120</v>
      </c>
      <c r="AK57" s="3"/>
      <c r="AL57" s="3" t="s">
        <v>4692</v>
      </c>
      <c r="AM57" s="7" t="s">
        <v>4693</v>
      </c>
      <c r="AN57" s="7" t="s">
        <v>4694</v>
      </c>
      <c r="AO57" s="3"/>
      <c r="AP57" s="3"/>
      <c r="AQ57" s="3"/>
      <c r="AR57" s="7" t="s">
        <v>4695</v>
      </c>
      <c r="AS57" s="7" t="s">
        <v>4696</v>
      </c>
      <c r="AT57" s="3"/>
      <c r="AU57" s="7" t="s">
        <v>4697</v>
      </c>
    </row>
    <row r="58" spans="1:51" ht="12.5" x14ac:dyDescent="0.25">
      <c r="A58" s="3" t="s">
        <v>46</v>
      </c>
      <c r="B58" s="21" t="str">
        <f>HYPERLINK("https://gerandofalcoes.my.salesforce.com/0014X00002VKCrC", "0014X00002VKCrC")</f>
        <v>0014X00002VKCrC</v>
      </c>
      <c r="C58" s="21" t="str">
        <f>HYPERLINK("https://gerandofalcoes.my.salesforce.com/0014X00002VKCrCQAX", "0014X00002VKCrCQAX")</f>
        <v>0014X00002VKCrCQAX</v>
      </c>
      <c r="D58" s="3" t="s">
        <v>4698</v>
      </c>
      <c r="E58" s="3" t="s">
        <v>4699</v>
      </c>
      <c r="F58" s="3"/>
      <c r="G58" s="6">
        <v>44763</v>
      </c>
      <c r="H58" s="3">
        <v>33</v>
      </c>
      <c r="I58" s="3" t="s">
        <v>4700</v>
      </c>
      <c r="J58" s="3" t="s">
        <v>4701</v>
      </c>
      <c r="K58" s="3" t="s">
        <v>4702</v>
      </c>
      <c r="L58" s="3" t="s">
        <v>1381</v>
      </c>
      <c r="M58" s="3" t="s">
        <v>4703</v>
      </c>
      <c r="N58" s="3" t="s">
        <v>4704</v>
      </c>
      <c r="O58" s="3">
        <v>3</v>
      </c>
      <c r="P58" s="3" t="s">
        <v>4705</v>
      </c>
      <c r="Q58" s="3" t="s">
        <v>4706</v>
      </c>
      <c r="R58" s="3" t="s">
        <v>4707</v>
      </c>
      <c r="S58" s="3" t="s">
        <v>4708</v>
      </c>
      <c r="T58" s="3"/>
      <c r="U58" s="3" t="s">
        <v>4709</v>
      </c>
      <c r="V58" s="3" t="s">
        <v>4710</v>
      </c>
      <c r="W58" s="3">
        <v>2</v>
      </c>
      <c r="X58" s="3" t="s">
        <v>4711</v>
      </c>
      <c r="Y58" s="3" t="s">
        <v>4712</v>
      </c>
      <c r="AA58" s="3">
        <v>200</v>
      </c>
      <c r="AB58" s="8">
        <v>42200</v>
      </c>
      <c r="AC58" s="3" t="s">
        <v>120</v>
      </c>
      <c r="AD58" s="3">
        <v>0</v>
      </c>
      <c r="AE58" s="3">
        <v>8</v>
      </c>
      <c r="AF58" s="3">
        <v>2</v>
      </c>
      <c r="AG58" s="3" t="s">
        <v>4084</v>
      </c>
      <c r="AH58" s="3">
        <v>0</v>
      </c>
      <c r="AI58" s="3">
        <v>12000</v>
      </c>
      <c r="AJ58" s="3" t="s">
        <v>120</v>
      </c>
      <c r="AK58" s="3"/>
      <c r="AL58" s="3"/>
      <c r="AM58" s="7" t="s">
        <v>4713</v>
      </c>
      <c r="AN58" s="3"/>
      <c r="AO58" s="3"/>
      <c r="AP58" s="3"/>
      <c r="AQ58" s="3"/>
      <c r="AR58" s="3"/>
      <c r="AS58" s="3"/>
      <c r="AT58" s="3"/>
      <c r="AU58" s="3"/>
    </row>
    <row r="59" spans="1:51" ht="12.5" x14ac:dyDescent="0.25">
      <c r="A59" s="3" t="s">
        <v>46</v>
      </c>
      <c r="B59" s="21" t="str">
        <f>HYPERLINK("https://gerandofalcoes.my.salesforce.com/0014X00002VKCrD", "0014X00002VKCrD")</f>
        <v>0014X00002VKCrD</v>
      </c>
      <c r="C59" s="21" t="str">
        <f>HYPERLINK("https://gerandofalcoes.my.salesforce.com/0014X00002VKCrDQAX", "0014X00002VKCrDQAX")</f>
        <v>0014X00002VKCrDQAX</v>
      </c>
      <c r="D59" s="3" t="s">
        <v>4714</v>
      </c>
      <c r="E59" s="3" t="s">
        <v>4715</v>
      </c>
      <c r="F59" s="3"/>
      <c r="G59" s="6">
        <v>44763</v>
      </c>
      <c r="H59" s="3">
        <v>33</v>
      </c>
      <c r="I59" s="3" t="s">
        <v>4716</v>
      </c>
      <c r="J59" s="3"/>
      <c r="K59" s="3"/>
      <c r="L59" s="3" t="s">
        <v>84</v>
      </c>
      <c r="M59" s="3" t="s">
        <v>4717</v>
      </c>
      <c r="N59" s="3" t="s">
        <v>4718</v>
      </c>
      <c r="O59" s="3">
        <v>3151</v>
      </c>
      <c r="P59" s="3" t="s">
        <v>177</v>
      </c>
      <c r="Q59" s="3"/>
      <c r="R59" s="3" t="s">
        <v>4719</v>
      </c>
      <c r="S59" s="3"/>
      <c r="T59" s="3"/>
      <c r="U59" s="3"/>
      <c r="V59" s="3"/>
      <c r="W59" s="3">
        <v>5</v>
      </c>
      <c r="X59" s="3" t="s">
        <v>4720</v>
      </c>
      <c r="Y59" s="3" t="s">
        <v>4721</v>
      </c>
      <c r="AA59" s="3">
        <v>300</v>
      </c>
      <c r="AB59" s="6">
        <v>40852</v>
      </c>
      <c r="AC59" s="3" t="s">
        <v>120</v>
      </c>
      <c r="AD59" s="3"/>
      <c r="AE59" s="3">
        <v>5</v>
      </c>
      <c r="AF59" s="3">
        <v>0</v>
      </c>
      <c r="AG59" s="3"/>
      <c r="AH59" s="3"/>
      <c r="AI59" s="3"/>
      <c r="AJ59" s="3" t="s">
        <v>120</v>
      </c>
      <c r="AK59" s="3"/>
      <c r="AL59" s="3"/>
      <c r="AM59" s="7" t="s">
        <v>4722</v>
      </c>
      <c r="AN59" s="3"/>
      <c r="AO59" s="3"/>
      <c r="AP59" s="3"/>
      <c r="AQ59" s="7" t="s">
        <v>4723</v>
      </c>
      <c r="AR59" s="3"/>
      <c r="AS59" s="3"/>
      <c r="AT59" s="3"/>
      <c r="AU59" s="7" t="s">
        <v>4724</v>
      </c>
    </row>
    <row r="60" spans="1:51" ht="12.5" x14ac:dyDescent="0.25">
      <c r="A60" s="3" t="s">
        <v>46</v>
      </c>
      <c r="B60" s="21" t="str">
        <f>HYPERLINK("https://gerandofalcoes.my.salesforce.com/0014X00002VKCpK", "0014X00002VKCpK")</f>
        <v>0014X00002VKCpK</v>
      </c>
      <c r="C60" s="21" t="str">
        <f>HYPERLINK("https://gerandofalcoes.my.salesforce.com/0014X00002VKCpKQAX", "0014X00002VKCpKQAX")</f>
        <v>0014X00002VKCpKQAX</v>
      </c>
      <c r="D60" s="3" t="s">
        <v>4725</v>
      </c>
      <c r="E60" s="3" t="s">
        <v>4726</v>
      </c>
      <c r="F60" s="3" t="s">
        <v>4727</v>
      </c>
      <c r="G60" s="6"/>
      <c r="H60" s="3"/>
      <c r="I60" s="3" t="s">
        <v>4728</v>
      </c>
      <c r="J60" s="3" t="s">
        <v>4729</v>
      </c>
      <c r="K60" s="3" t="s">
        <v>4730</v>
      </c>
      <c r="L60" s="3" t="s">
        <v>1002</v>
      </c>
      <c r="M60" s="3" t="s">
        <v>4731</v>
      </c>
      <c r="N60" s="3" t="s">
        <v>4732</v>
      </c>
      <c r="O60" s="3" t="s">
        <v>779</v>
      </c>
      <c r="P60" s="3" t="s">
        <v>4733</v>
      </c>
      <c r="Q60" s="3" t="s">
        <v>3887</v>
      </c>
      <c r="R60" s="3" t="s">
        <v>4734</v>
      </c>
      <c r="S60" s="3"/>
      <c r="T60" s="3"/>
      <c r="U60" s="3" t="s">
        <v>4081</v>
      </c>
      <c r="V60" s="3" t="s">
        <v>3800</v>
      </c>
      <c r="W60" s="3">
        <v>3</v>
      </c>
      <c r="X60" s="3" t="s">
        <v>4735</v>
      </c>
      <c r="Y60" s="3" t="s">
        <v>4736</v>
      </c>
      <c r="Z60" s="3"/>
      <c r="AA60" s="3">
        <v>60</v>
      </c>
      <c r="AB60" s="6">
        <v>42584</v>
      </c>
      <c r="AC60" s="3" t="s">
        <v>62</v>
      </c>
      <c r="AD60" s="3">
        <v>0</v>
      </c>
      <c r="AE60" s="3">
        <v>17</v>
      </c>
      <c r="AF60" s="3">
        <v>3</v>
      </c>
      <c r="AG60" s="3" t="s">
        <v>4604</v>
      </c>
      <c r="AH60" s="3" t="s">
        <v>4737</v>
      </c>
      <c r="AI60" s="3">
        <v>29881</v>
      </c>
      <c r="AJ60" s="3" t="s">
        <v>120</v>
      </c>
      <c r="AK60" s="3"/>
      <c r="AL60" s="3"/>
      <c r="AM60" s="7" t="s">
        <v>4738</v>
      </c>
      <c r="AN60" s="7" t="s">
        <v>4739</v>
      </c>
      <c r="AO60" s="3"/>
      <c r="AP60" s="3"/>
      <c r="AQ60" s="7" t="s">
        <v>4740</v>
      </c>
      <c r="AR60" s="3"/>
      <c r="AS60" s="7" t="s">
        <v>4741</v>
      </c>
      <c r="AT60" s="3"/>
      <c r="AU60" s="7" t="s">
        <v>4742</v>
      </c>
    </row>
    <row r="61" spans="1:51" ht="12.5" x14ac:dyDescent="0.25">
      <c r="A61" s="3" t="s">
        <v>46</v>
      </c>
      <c r="B61" s="21" t="str">
        <f>HYPERLINK("https://gerandofalcoes.my.salesforce.com/0014X00002VKCpL", "0014X00002VKCpL")</f>
        <v>0014X00002VKCpL</v>
      </c>
      <c r="C61" s="21" t="str">
        <f>HYPERLINK("https://gerandofalcoes.my.salesforce.com/0014X00002VKCpLQAX", "0014X00002VKCpLQAX")</f>
        <v>0014X00002VKCpLQAX</v>
      </c>
      <c r="D61" s="3" t="s">
        <v>4743</v>
      </c>
      <c r="E61" s="3" t="s">
        <v>4744</v>
      </c>
      <c r="F61" s="3"/>
      <c r="G61" s="6">
        <v>44763</v>
      </c>
      <c r="H61" s="3">
        <v>33</v>
      </c>
      <c r="I61" s="3" t="s">
        <v>4745</v>
      </c>
      <c r="J61" s="3" t="s">
        <v>4746</v>
      </c>
      <c r="K61" s="3" t="s">
        <v>4747</v>
      </c>
      <c r="L61" s="3" t="s">
        <v>1002</v>
      </c>
      <c r="M61" s="3" t="s">
        <v>4748</v>
      </c>
      <c r="N61" s="3" t="s">
        <v>4749</v>
      </c>
      <c r="O61" s="3" t="s">
        <v>4750</v>
      </c>
      <c r="P61" s="3" t="s">
        <v>4751</v>
      </c>
      <c r="Q61" s="3"/>
      <c r="R61" s="3" t="s">
        <v>4752</v>
      </c>
      <c r="S61" s="3"/>
      <c r="T61" s="3"/>
      <c r="U61" s="3" t="s">
        <v>3872</v>
      </c>
      <c r="V61" s="3" t="s">
        <v>4753</v>
      </c>
      <c r="W61" s="3">
        <v>10</v>
      </c>
      <c r="X61" s="3" t="s">
        <v>4754</v>
      </c>
      <c r="Y61" s="3"/>
      <c r="Z61" s="3"/>
      <c r="AA61" s="3">
        <v>130</v>
      </c>
      <c r="AB61" s="6">
        <v>42800</v>
      </c>
      <c r="AC61" s="3" t="s">
        <v>62</v>
      </c>
      <c r="AD61" s="3">
        <v>0</v>
      </c>
      <c r="AE61" s="3">
        <v>5</v>
      </c>
      <c r="AF61" s="3">
        <v>3</v>
      </c>
      <c r="AG61" s="3" t="s">
        <v>4755</v>
      </c>
      <c r="AH61" s="3">
        <v>0</v>
      </c>
      <c r="AI61" s="3">
        <v>5000</v>
      </c>
      <c r="AJ61" s="3" t="s">
        <v>62</v>
      </c>
      <c r="AK61" s="3"/>
      <c r="AL61" s="3"/>
      <c r="AM61" s="7" t="s">
        <v>4756</v>
      </c>
      <c r="AN61" s="3"/>
      <c r="AO61" s="3"/>
      <c r="AP61" s="3"/>
      <c r="AQ61" s="3"/>
      <c r="AR61" s="3"/>
      <c r="AS61" s="3"/>
      <c r="AT61" s="3"/>
      <c r="AU61" s="7" t="s">
        <v>4757</v>
      </c>
    </row>
    <row r="62" spans="1:51" ht="12.5" x14ac:dyDescent="0.25">
      <c r="A62" s="3" t="s">
        <v>46</v>
      </c>
      <c r="B62" s="21" t="str">
        <f>HYPERLINK("https://gerandofalcoes.my.salesforce.com/0014X00002VKCpM", "0014X00002VKCpM")</f>
        <v>0014X00002VKCpM</v>
      </c>
      <c r="C62" s="21" t="str">
        <f>HYPERLINK("https://gerandofalcoes.my.salesforce.com/0014X00002VKCpMQAX", "0014X00002VKCpMQAX")</f>
        <v>0014X00002VKCpMQAX</v>
      </c>
      <c r="D62" s="3" t="s">
        <v>4758</v>
      </c>
      <c r="E62" s="3" t="s">
        <v>4759</v>
      </c>
      <c r="F62" s="3"/>
      <c r="G62" s="8">
        <v>44763</v>
      </c>
      <c r="H62" s="3">
        <v>33</v>
      </c>
      <c r="I62" s="3" t="s">
        <v>4760</v>
      </c>
      <c r="J62" s="3"/>
      <c r="K62" s="3">
        <v>71982440849</v>
      </c>
      <c r="L62" s="3" t="s">
        <v>1002</v>
      </c>
      <c r="M62" s="3" t="s">
        <v>4761</v>
      </c>
      <c r="N62" s="3" t="s">
        <v>4762</v>
      </c>
      <c r="O62" s="3">
        <v>34</v>
      </c>
      <c r="P62" s="3" t="s">
        <v>1848</v>
      </c>
      <c r="Q62" s="3" t="s">
        <v>4763</v>
      </c>
      <c r="R62" s="3" t="s">
        <v>4764</v>
      </c>
      <c r="S62" s="3"/>
      <c r="T62" s="3"/>
      <c r="U62" s="3"/>
      <c r="V62" s="3"/>
      <c r="W62" s="3">
        <v>4</v>
      </c>
      <c r="X62" s="3" t="s">
        <v>4765</v>
      </c>
      <c r="Y62" s="3" t="s">
        <v>4766</v>
      </c>
      <c r="AA62" s="3">
        <v>190</v>
      </c>
      <c r="AB62" s="6">
        <v>42899</v>
      </c>
      <c r="AC62" s="3" t="s">
        <v>120</v>
      </c>
      <c r="AD62" s="3"/>
      <c r="AE62" s="3">
        <v>11</v>
      </c>
      <c r="AF62" s="3">
        <v>2</v>
      </c>
      <c r="AG62" s="3"/>
      <c r="AH62" s="3"/>
      <c r="AI62" s="3">
        <v>6000</v>
      </c>
      <c r="AJ62" s="3"/>
      <c r="AK62" s="3"/>
      <c r="AL62" s="3"/>
      <c r="AM62" s="7" t="s">
        <v>4767</v>
      </c>
      <c r="AN62" s="3"/>
      <c r="AO62" s="3"/>
      <c r="AP62" s="3"/>
      <c r="AQ62" s="3"/>
      <c r="AR62" s="3"/>
      <c r="AS62" s="3"/>
      <c r="AT62" s="3"/>
      <c r="AU62" s="3"/>
    </row>
    <row r="63" spans="1:51" ht="12.5" x14ac:dyDescent="0.25">
      <c r="A63" s="3" t="s">
        <v>46</v>
      </c>
      <c r="B63" s="21" t="str">
        <f>HYPERLINK("https://gerandofalcoes.my.salesforce.com/0014X00002VKCpN", "0014X00002VKCpN")</f>
        <v>0014X00002VKCpN</v>
      </c>
      <c r="C63" s="21" t="str">
        <f>HYPERLINK("https://gerandofalcoes.my.salesforce.com/0014X00002VKCpNQAX", "0014X00002VKCpNQAX")</f>
        <v>0014X00002VKCpNQAX</v>
      </c>
      <c r="D63" s="3" t="s">
        <v>4768</v>
      </c>
      <c r="E63" s="3" t="s">
        <v>4769</v>
      </c>
      <c r="F63" s="3" t="s">
        <v>4770</v>
      </c>
      <c r="G63" s="6">
        <v>44763</v>
      </c>
      <c r="H63" s="3">
        <v>33</v>
      </c>
      <c r="I63" s="3" t="s">
        <v>4771</v>
      </c>
      <c r="J63" s="3" t="s">
        <v>4772</v>
      </c>
      <c r="K63" s="3" t="s">
        <v>4773</v>
      </c>
      <c r="L63" s="3" t="s">
        <v>51</v>
      </c>
      <c r="M63" s="3" t="s">
        <v>4774</v>
      </c>
      <c r="N63" s="3" t="s">
        <v>4775</v>
      </c>
      <c r="O63" s="3">
        <v>9</v>
      </c>
      <c r="P63" s="3" t="s">
        <v>231</v>
      </c>
      <c r="Q63" s="3" t="s">
        <v>4776</v>
      </c>
      <c r="R63" s="3" t="s">
        <v>4777</v>
      </c>
      <c r="S63" s="3" t="s">
        <v>4778</v>
      </c>
      <c r="T63" s="3"/>
      <c r="U63" s="3" t="s">
        <v>4779</v>
      </c>
      <c r="V63" s="3" t="s">
        <v>4780</v>
      </c>
      <c r="W63" s="3">
        <v>2</v>
      </c>
      <c r="X63" s="3" t="s">
        <v>4781</v>
      </c>
      <c r="Y63" s="3"/>
      <c r="AA63" s="3">
        <v>25</v>
      </c>
      <c r="AB63" s="6">
        <v>44534</v>
      </c>
      <c r="AC63" s="3" t="s">
        <v>120</v>
      </c>
      <c r="AD63" s="3">
        <v>0</v>
      </c>
      <c r="AE63" s="3">
        <v>10</v>
      </c>
      <c r="AF63" s="3">
        <v>4</v>
      </c>
      <c r="AG63" s="3" t="s">
        <v>4782</v>
      </c>
      <c r="AH63" s="3" t="s">
        <v>4783</v>
      </c>
      <c r="AI63" s="3">
        <v>800</v>
      </c>
      <c r="AJ63" s="3" t="s">
        <v>120</v>
      </c>
      <c r="AK63" s="3"/>
      <c r="AL63" s="3"/>
      <c r="AM63" s="3" t="s">
        <v>4784</v>
      </c>
      <c r="AN63" s="3"/>
      <c r="AO63" s="3"/>
      <c r="AP63" s="3"/>
      <c r="AQ63" s="3"/>
      <c r="AR63" s="7" t="s">
        <v>4785</v>
      </c>
      <c r="AS63" s="3"/>
      <c r="AT63" s="3"/>
      <c r="AU63" s="7" t="s">
        <v>4786</v>
      </c>
    </row>
    <row r="64" spans="1:51" ht="12.5" x14ac:dyDescent="0.25">
      <c r="A64" s="3" t="s">
        <v>46</v>
      </c>
      <c r="B64" s="21" t="str">
        <f>HYPERLINK("https://gerandofalcoes.my.salesforce.com/0014X00002VKCpO", "0014X00002VKCpO")</f>
        <v>0014X00002VKCpO</v>
      </c>
      <c r="C64" s="21" t="str">
        <f>HYPERLINK("https://gerandofalcoes.my.salesforce.com/0014X00002VKCpOQAX", "0014X00002VKCpOQAX")</f>
        <v>0014X00002VKCpOQAX</v>
      </c>
      <c r="D64" s="3" t="s">
        <v>4787</v>
      </c>
      <c r="E64" s="3"/>
      <c r="F64" s="3"/>
      <c r="G64" s="6"/>
      <c r="H64" s="3"/>
      <c r="I64" s="3" t="s">
        <v>4788</v>
      </c>
      <c r="J64" s="3"/>
      <c r="K64" s="3">
        <v>82999575865</v>
      </c>
      <c r="L64" s="3" t="s">
        <v>51</v>
      </c>
      <c r="M64" s="3" t="s">
        <v>4789</v>
      </c>
      <c r="N64" s="3" t="s">
        <v>4790</v>
      </c>
      <c r="O64" s="3" t="s">
        <v>4791</v>
      </c>
      <c r="P64" s="3" t="s">
        <v>4792</v>
      </c>
      <c r="Q64" s="3"/>
      <c r="R64" s="3" t="s">
        <v>4793</v>
      </c>
      <c r="S64" s="3"/>
      <c r="T64" s="3"/>
      <c r="U64" s="3"/>
      <c r="V64" s="3"/>
      <c r="W64" s="3">
        <v>1</v>
      </c>
      <c r="X64" s="3" t="s">
        <v>4794</v>
      </c>
      <c r="Y64" s="3"/>
      <c r="AA64" s="3">
        <v>300</v>
      </c>
      <c r="AB64" s="8">
        <v>43866</v>
      </c>
      <c r="AC64" s="3" t="s">
        <v>120</v>
      </c>
      <c r="AD64" s="3"/>
      <c r="AE64" s="3">
        <v>4</v>
      </c>
      <c r="AF64" s="3">
        <v>0</v>
      </c>
      <c r="AG64" s="3"/>
      <c r="AH64" s="3"/>
      <c r="AI64" s="3"/>
      <c r="AJ64" s="3" t="s">
        <v>120</v>
      </c>
      <c r="AK64" s="3"/>
      <c r="AL64" s="3"/>
      <c r="AM64" s="7" t="s">
        <v>4795</v>
      </c>
      <c r="AN64" s="3"/>
      <c r="AO64" s="3"/>
      <c r="AP64" s="3"/>
      <c r="AQ64" s="3"/>
      <c r="AR64" s="3"/>
      <c r="AS64" s="3"/>
      <c r="AT64" s="3"/>
      <c r="AU64" s="3"/>
    </row>
    <row r="65" spans="1:51" ht="12.5" x14ac:dyDescent="0.25">
      <c r="A65" s="3" t="s">
        <v>46</v>
      </c>
      <c r="B65" s="21" t="str">
        <f>HYPERLINK("https://gerandofalcoes.my.salesforce.com/0014X00002VKCpP", "0014X00002VKCpP")</f>
        <v>0014X00002VKCpP</v>
      </c>
      <c r="C65" s="21" t="str">
        <f>HYPERLINK("https://gerandofalcoes.my.salesforce.com/0014X00002VKCpPQAX", "0014X00002VKCpPQAX")</f>
        <v>0014X00002VKCpPQAX</v>
      </c>
      <c r="D65" s="3" t="s">
        <v>4796</v>
      </c>
      <c r="E65" s="3" t="s">
        <v>4797</v>
      </c>
      <c r="F65" s="3" t="s">
        <v>4798</v>
      </c>
      <c r="G65" s="6">
        <v>44763</v>
      </c>
      <c r="H65" s="3">
        <v>33</v>
      </c>
      <c r="I65" s="3" t="s">
        <v>4799</v>
      </c>
      <c r="J65" s="3" t="s">
        <v>4800</v>
      </c>
      <c r="K65" s="3" t="s">
        <v>4801</v>
      </c>
      <c r="L65" s="3" t="s">
        <v>1002</v>
      </c>
      <c r="M65" s="3" t="s">
        <v>4802</v>
      </c>
      <c r="N65" s="3" t="s">
        <v>4803</v>
      </c>
      <c r="O65" s="3">
        <v>38</v>
      </c>
      <c r="P65" s="3" t="s">
        <v>4804</v>
      </c>
      <c r="Q65" s="3">
        <v>1463</v>
      </c>
      <c r="R65" s="3" t="s">
        <v>4805</v>
      </c>
      <c r="S65" s="3"/>
      <c r="T65" s="3"/>
      <c r="U65" s="3" t="s">
        <v>4806</v>
      </c>
      <c r="V65" s="3" t="s">
        <v>4807</v>
      </c>
      <c r="W65" s="3">
        <v>0</v>
      </c>
      <c r="X65" s="3" t="s">
        <v>4808</v>
      </c>
      <c r="Y65" s="3" t="s">
        <v>4809</v>
      </c>
      <c r="AA65" s="3">
        <v>0</v>
      </c>
      <c r="AB65" s="6">
        <v>44743</v>
      </c>
      <c r="AC65" s="3" t="s">
        <v>120</v>
      </c>
      <c r="AD65" s="3">
        <v>0</v>
      </c>
      <c r="AE65" s="3">
        <v>6</v>
      </c>
      <c r="AF65" s="3">
        <v>3</v>
      </c>
      <c r="AG65" s="3" t="s">
        <v>4810</v>
      </c>
      <c r="AH65" s="3">
        <v>0</v>
      </c>
      <c r="AI65" s="3">
        <v>72000</v>
      </c>
      <c r="AJ65" s="3" t="s">
        <v>120</v>
      </c>
      <c r="AK65" s="3"/>
      <c r="AL65" s="3"/>
      <c r="AM65" s="7" t="s">
        <v>4811</v>
      </c>
      <c r="AN65" s="3"/>
      <c r="AO65" s="7" t="s">
        <v>4812</v>
      </c>
      <c r="AP65" s="3"/>
      <c r="AQ65" s="7" t="s">
        <v>4813</v>
      </c>
      <c r="AR65" s="3"/>
      <c r="AS65" s="3"/>
      <c r="AT65" s="3"/>
      <c r="AU65" s="7" t="s">
        <v>4814</v>
      </c>
    </row>
    <row r="66" spans="1:51" ht="12.5" x14ac:dyDescent="0.25">
      <c r="A66" s="3" t="s">
        <v>46</v>
      </c>
      <c r="B66" s="21" t="str">
        <f>HYPERLINK("https://gerandofalcoes.my.salesforce.com/0014X00002VKCpQ", "0014X00002VKCpQ")</f>
        <v>0014X00002VKCpQ</v>
      </c>
      <c r="C66" s="21" t="str">
        <f>HYPERLINK("https://gerandofalcoes.my.salesforce.com/0014X00002VKCpQQAX", "0014X00002VKCpQQAX")</f>
        <v>0014X00002VKCpQQAX</v>
      </c>
      <c r="D66" s="3" t="s">
        <v>4815</v>
      </c>
      <c r="E66" s="3" t="s">
        <v>4816</v>
      </c>
      <c r="F66" s="3" t="s">
        <v>4817</v>
      </c>
      <c r="G66" s="6">
        <v>44763</v>
      </c>
      <c r="H66" s="3">
        <v>33</v>
      </c>
      <c r="I66" s="3" t="s">
        <v>4818</v>
      </c>
      <c r="J66" s="3" t="s">
        <v>4819</v>
      </c>
      <c r="K66" s="3" t="s">
        <v>4820</v>
      </c>
      <c r="L66" s="3" t="s">
        <v>1002</v>
      </c>
      <c r="M66" s="3" t="s">
        <v>4821</v>
      </c>
      <c r="N66" s="3" t="s">
        <v>4822</v>
      </c>
      <c r="O66" s="3">
        <v>165</v>
      </c>
      <c r="P66" s="3" t="s">
        <v>4823</v>
      </c>
      <c r="Q66" s="3"/>
      <c r="R66" s="3" t="s">
        <v>4824</v>
      </c>
      <c r="S66" s="3" t="s">
        <v>4825</v>
      </c>
      <c r="T66" s="3"/>
      <c r="U66" s="3" t="s">
        <v>3964</v>
      </c>
      <c r="V66" s="3" t="s">
        <v>4393</v>
      </c>
      <c r="W66" s="3">
        <v>10</v>
      </c>
      <c r="X66" s="3" t="s">
        <v>4826</v>
      </c>
      <c r="Y66" s="3"/>
      <c r="Z66" s="3"/>
      <c r="AA66" s="3">
        <v>150</v>
      </c>
      <c r="AB66" s="6">
        <v>33929</v>
      </c>
      <c r="AC66" s="3" t="s">
        <v>62</v>
      </c>
      <c r="AD66" s="3">
        <v>0</v>
      </c>
      <c r="AE66" s="3">
        <v>10</v>
      </c>
      <c r="AF66" s="3">
        <v>6</v>
      </c>
      <c r="AG66" s="3" t="s">
        <v>4827</v>
      </c>
      <c r="AH66" s="3" t="s">
        <v>4828</v>
      </c>
      <c r="AI66" s="3">
        <v>14000</v>
      </c>
      <c r="AJ66" s="3" t="s">
        <v>62</v>
      </c>
      <c r="AK66" s="3"/>
      <c r="AL66" s="7" t="s">
        <v>4829</v>
      </c>
      <c r="AM66" s="7" t="s">
        <v>4830</v>
      </c>
      <c r="AN66" s="7" t="s">
        <v>4831</v>
      </c>
      <c r="AO66" s="7" t="s">
        <v>4832</v>
      </c>
      <c r="AP66" s="3"/>
      <c r="AQ66" s="7" t="s">
        <v>4833</v>
      </c>
      <c r="AR66" s="7" t="s">
        <v>4834</v>
      </c>
      <c r="AS66" s="7" t="s">
        <v>4835</v>
      </c>
      <c r="AT66" s="7" t="s">
        <v>4836</v>
      </c>
      <c r="AU66" s="7" t="s">
        <v>4837</v>
      </c>
    </row>
    <row r="67" spans="1:51" ht="12.5" x14ac:dyDescent="0.25">
      <c r="A67" s="3" t="s">
        <v>46</v>
      </c>
      <c r="B67" s="21" t="str">
        <f>HYPERLINK("https://gerandofalcoes.my.salesforce.com/0014X00002VKCpR", "0014X00002VKCpR")</f>
        <v>0014X00002VKCpR</v>
      </c>
      <c r="C67" s="7" t="str">
        <f>HYPERLINK("https://gerandofalcoes.my.salesforce.com/0014X00002VKCpRQAX", "0014X00002VKCpRQAX")</f>
        <v>0014X00002VKCpRQAX</v>
      </c>
      <c r="D67" s="3" t="s">
        <v>4838</v>
      </c>
      <c r="E67" s="3" t="s">
        <v>4839</v>
      </c>
      <c r="F67" s="3" t="s">
        <v>4840</v>
      </c>
      <c r="G67" s="8">
        <v>44763</v>
      </c>
      <c r="H67" s="3">
        <v>33</v>
      </c>
      <c r="I67" s="3" t="s">
        <v>4841</v>
      </c>
      <c r="J67" s="3" t="s">
        <v>4842</v>
      </c>
      <c r="K67" s="3" t="s">
        <v>4843</v>
      </c>
      <c r="L67" s="3" t="s">
        <v>1002</v>
      </c>
      <c r="M67" s="3" t="s">
        <v>4844</v>
      </c>
      <c r="N67" s="3" t="s">
        <v>4845</v>
      </c>
      <c r="O67" s="3" t="s">
        <v>4846</v>
      </c>
      <c r="P67" s="3" t="s">
        <v>2152</v>
      </c>
      <c r="Q67" s="3" t="s">
        <v>647</v>
      </c>
      <c r="R67" s="3" t="s">
        <v>3538</v>
      </c>
      <c r="S67" s="3"/>
      <c r="T67" s="3"/>
      <c r="U67" s="3" t="s">
        <v>4081</v>
      </c>
      <c r="V67" s="3" t="s">
        <v>4847</v>
      </c>
      <c r="W67" s="3">
        <v>1</v>
      </c>
      <c r="X67" s="3" t="s">
        <v>4848</v>
      </c>
      <c r="Y67" s="3"/>
      <c r="Z67" s="3"/>
      <c r="AA67" s="3">
        <v>60</v>
      </c>
      <c r="AB67" s="6">
        <v>36028</v>
      </c>
      <c r="AC67" s="3" t="s">
        <v>62</v>
      </c>
      <c r="AD67" s="3">
        <v>0</v>
      </c>
      <c r="AE67" s="3">
        <v>3</v>
      </c>
      <c r="AF67" s="3">
        <v>2</v>
      </c>
      <c r="AG67" s="3" t="s">
        <v>3917</v>
      </c>
      <c r="AH67" s="3">
        <v>0</v>
      </c>
      <c r="AI67" s="3">
        <v>32500000</v>
      </c>
      <c r="AJ67" s="3" t="s">
        <v>120</v>
      </c>
      <c r="AK67" s="3"/>
      <c r="AL67" s="3"/>
      <c r="AM67" s="7" t="s">
        <v>4849</v>
      </c>
      <c r="AN67" s="3"/>
      <c r="AO67" s="3"/>
      <c r="AP67" s="3"/>
      <c r="AQ67" s="7" t="s">
        <v>4850</v>
      </c>
      <c r="AR67" s="7" t="s">
        <v>4851</v>
      </c>
      <c r="AS67" s="7" t="s">
        <v>4852</v>
      </c>
      <c r="AT67" s="3"/>
      <c r="AU67" s="7" t="s">
        <v>4853</v>
      </c>
      <c r="AV67" s="3"/>
      <c r="AW67" s="3"/>
      <c r="AX67" s="3"/>
      <c r="AY67" s="3"/>
    </row>
    <row r="68" spans="1:51" ht="12.5" x14ac:dyDescent="0.25">
      <c r="A68" s="3" t="s">
        <v>46</v>
      </c>
      <c r="B68" s="21" t="str">
        <f>HYPERLINK("https://gerandofalcoes.my.salesforce.com/0014X00002VKCpU", "0014X00002VKCpU")</f>
        <v>0014X00002VKCpU</v>
      </c>
      <c r="C68" s="21" t="str">
        <f>HYPERLINK("https://gerandofalcoes.my.salesforce.com/0014X00002VKCpUQAX", "0014X00002VKCpUQAX")</f>
        <v>0014X00002VKCpUQAX</v>
      </c>
      <c r="D68" s="3" t="s">
        <v>4854</v>
      </c>
      <c r="E68" s="3" t="s">
        <v>4855</v>
      </c>
      <c r="F68" s="3" t="s">
        <v>4856</v>
      </c>
      <c r="G68" s="6">
        <v>44763</v>
      </c>
      <c r="H68" s="3">
        <v>33</v>
      </c>
      <c r="I68" s="3" t="s">
        <v>4857</v>
      </c>
      <c r="J68" s="3" t="s">
        <v>4858</v>
      </c>
      <c r="K68" s="3" t="s">
        <v>4859</v>
      </c>
      <c r="L68" s="3" t="s">
        <v>1002</v>
      </c>
      <c r="M68" s="3" t="s">
        <v>4860</v>
      </c>
      <c r="N68" s="3" t="s">
        <v>4861</v>
      </c>
      <c r="O68" s="3">
        <v>27</v>
      </c>
      <c r="P68" s="3" t="s">
        <v>1848</v>
      </c>
      <c r="Q68" s="3" t="s">
        <v>4862</v>
      </c>
      <c r="R68" s="3" t="s">
        <v>4863</v>
      </c>
      <c r="S68" s="3" t="s">
        <v>4864</v>
      </c>
      <c r="T68" s="3"/>
      <c r="U68" s="3" t="s">
        <v>3913</v>
      </c>
      <c r="V68" s="3" t="s">
        <v>4865</v>
      </c>
      <c r="W68" s="3">
        <v>3</v>
      </c>
      <c r="X68" s="3" t="s">
        <v>4866</v>
      </c>
      <c r="Y68" s="3"/>
      <c r="Z68" s="3"/>
      <c r="AA68" s="3">
        <v>93</v>
      </c>
      <c r="AB68" s="6">
        <v>44242</v>
      </c>
      <c r="AC68" s="3" t="s">
        <v>120</v>
      </c>
      <c r="AD68" s="3">
        <v>3</v>
      </c>
      <c r="AE68" s="3">
        <v>3</v>
      </c>
      <c r="AF68" s="3">
        <v>2</v>
      </c>
      <c r="AG68" s="3" t="s">
        <v>4084</v>
      </c>
      <c r="AH68" s="3">
        <v>0</v>
      </c>
      <c r="AI68" s="3">
        <v>300</v>
      </c>
      <c r="AJ68" s="3" t="s">
        <v>120</v>
      </c>
      <c r="AK68" s="3"/>
      <c r="AL68" s="7" t="s">
        <v>4867</v>
      </c>
      <c r="AM68" s="7" t="s">
        <v>4867</v>
      </c>
      <c r="AN68" s="3"/>
      <c r="AO68" s="3"/>
      <c r="AP68" s="3"/>
      <c r="AQ68" s="3"/>
      <c r="AR68" s="3"/>
      <c r="AS68" s="3"/>
      <c r="AT68" s="3"/>
      <c r="AU68" s="3"/>
    </row>
    <row r="69" spans="1:51" ht="12.5" x14ac:dyDescent="0.25">
      <c r="A69" s="3" t="s">
        <v>46</v>
      </c>
      <c r="B69" s="21" t="str">
        <f>HYPERLINK("https://gerandofalcoes.my.salesforce.com/0014X00002VKCpW", "0014X00002VKCpW")</f>
        <v>0014X00002VKCpW</v>
      </c>
      <c r="C69" s="21" t="str">
        <f>HYPERLINK("https://gerandofalcoes.my.salesforce.com/0014X00002VKCpWQAX", "0014X00002VKCpWQAX")</f>
        <v>0014X00002VKCpWQAX</v>
      </c>
      <c r="D69" s="3" t="s">
        <v>4868</v>
      </c>
      <c r="E69" s="3" t="s">
        <v>4869</v>
      </c>
      <c r="F69" s="3"/>
      <c r="G69" s="8"/>
      <c r="H69" s="3"/>
      <c r="I69" s="3" t="s">
        <v>4870</v>
      </c>
      <c r="J69" s="3" t="s">
        <v>4871</v>
      </c>
      <c r="K69" s="3" t="s">
        <v>4872</v>
      </c>
      <c r="L69" s="3" t="s">
        <v>1002</v>
      </c>
      <c r="M69" s="3" t="s">
        <v>4873</v>
      </c>
      <c r="N69" s="3" t="s">
        <v>4874</v>
      </c>
      <c r="O69" s="3" t="s">
        <v>779</v>
      </c>
      <c r="P69" s="3" t="s">
        <v>1848</v>
      </c>
      <c r="Q69" s="3"/>
      <c r="R69" s="3" t="s">
        <v>4875</v>
      </c>
      <c r="S69" s="3" t="s">
        <v>4876</v>
      </c>
      <c r="T69" s="3"/>
      <c r="U69" s="3" t="s">
        <v>4877</v>
      </c>
      <c r="V69" s="3" t="s">
        <v>4878</v>
      </c>
      <c r="W69" s="3">
        <v>4</v>
      </c>
      <c r="X69" s="3" t="s">
        <v>4879</v>
      </c>
      <c r="Y69" s="3"/>
      <c r="Z69" s="3"/>
      <c r="AA69" s="3">
        <v>200</v>
      </c>
      <c r="AB69" s="8">
        <v>39417</v>
      </c>
      <c r="AC69" s="3" t="s">
        <v>120</v>
      </c>
      <c r="AD69" s="3">
        <v>5</v>
      </c>
      <c r="AE69" s="3">
        <v>7</v>
      </c>
      <c r="AF69" s="3">
        <v>4</v>
      </c>
      <c r="AG69" s="3" t="s">
        <v>4880</v>
      </c>
      <c r="AH69" s="3" t="s">
        <v>4067</v>
      </c>
      <c r="AI69" s="3">
        <v>70000</v>
      </c>
      <c r="AJ69" s="3" t="s">
        <v>61</v>
      </c>
      <c r="AK69" s="3"/>
      <c r="AL69" s="3"/>
      <c r="AM69" s="7" t="s">
        <v>4881</v>
      </c>
      <c r="AN69" s="3"/>
      <c r="AO69" s="7" t="s">
        <v>4882</v>
      </c>
      <c r="AP69" s="3"/>
      <c r="AQ69" s="3"/>
      <c r="AR69" s="3"/>
      <c r="AS69" s="3"/>
      <c r="AT69" s="3"/>
      <c r="AU69" s="7" t="s">
        <v>4883</v>
      </c>
    </row>
    <row r="70" spans="1:51" ht="12.5" x14ac:dyDescent="0.25">
      <c r="A70" s="3" t="s">
        <v>46</v>
      </c>
      <c r="B70" s="21" t="str">
        <f>HYPERLINK("https://gerandofalcoes.my.salesforce.com/0014X00002VKCpX", "0014X00002VKCpX")</f>
        <v>0014X00002VKCpX</v>
      </c>
      <c r="C70" s="7" t="str">
        <f>HYPERLINK("https://gerandofalcoes.my.salesforce.com/0014X00002VKCpXQAX", "0014X00002VKCpXQAX")</f>
        <v>0014X00002VKCpXQAX</v>
      </c>
      <c r="D70" s="3" t="s">
        <v>4884</v>
      </c>
      <c r="E70" s="3" t="s">
        <v>4885</v>
      </c>
      <c r="F70" s="3"/>
      <c r="G70" s="6">
        <v>44763</v>
      </c>
      <c r="H70" s="3">
        <v>33</v>
      </c>
      <c r="I70" s="3" t="s">
        <v>4886</v>
      </c>
      <c r="J70" s="3" t="s">
        <v>4887</v>
      </c>
      <c r="K70" s="3" t="s">
        <v>4888</v>
      </c>
      <c r="L70" s="3" t="s">
        <v>51</v>
      </c>
      <c r="M70" s="3" t="s">
        <v>4889</v>
      </c>
      <c r="N70" s="3" t="s">
        <v>4890</v>
      </c>
      <c r="O70" s="3">
        <v>110</v>
      </c>
      <c r="P70" s="3" t="s">
        <v>54</v>
      </c>
      <c r="Q70" s="3"/>
      <c r="R70" s="3" t="s">
        <v>55</v>
      </c>
      <c r="S70" s="3"/>
      <c r="T70" s="3"/>
      <c r="U70" s="3" t="s">
        <v>4891</v>
      </c>
      <c r="V70" s="3" t="s">
        <v>3933</v>
      </c>
      <c r="W70" s="3">
        <v>200</v>
      </c>
      <c r="X70" s="3" t="s">
        <v>4892</v>
      </c>
      <c r="Y70" s="3" t="s">
        <v>4893</v>
      </c>
      <c r="Z70" s="3"/>
      <c r="AA70" s="3">
        <v>0</v>
      </c>
      <c r="AB70" s="8">
        <v>44186</v>
      </c>
      <c r="AC70" s="3" t="s">
        <v>120</v>
      </c>
      <c r="AD70" s="3">
        <v>6</v>
      </c>
      <c r="AE70" s="3">
        <v>4</v>
      </c>
      <c r="AF70" s="3">
        <v>4</v>
      </c>
      <c r="AG70" s="3" t="s">
        <v>4894</v>
      </c>
      <c r="AH70" s="3" t="s">
        <v>4895</v>
      </c>
      <c r="AI70" s="3">
        <v>0</v>
      </c>
      <c r="AJ70" s="3" t="s">
        <v>120</v>
      </c>
      <c r="AK70" s="3"/>
      <c r="AL70" s="7" t="s">
        <v>4896</v>
      </c>
      <c r="AM70" s="7" t="s">
        <v>4896</v>
      </c>
      <c r="AN70" s="3"/>
      <c r="AO70" s="3"/>
      <c r="AP70" s="3"/>
      <c r="AQ70" s="3"/>
      <c r="AR70" s="3"/>
      <c r="AS70" s="3"/>
      <c r="AT70" s="3"/>
      <c r="AU70" s="7" t="s">
        <v>4897</v>
      </c>
      <c r="AW70" s="3"/>
      <c r="AX70" s="3"/>
      <c r="AY70" s="3"/>
    </row>
    <row r="71" spans="1:51" ht="12.5" x14ac:dyDescent="0.25">
      <c r="A71" s="3" t="s">
        <v>46</v>
      </c>
      <c r="B71" s="21" t="str">
        <f>HYPERLINK("https://gerandofalcoes.my.salesforce.com/0014X00002VKCpY", "0014X00002VKCpY")</f>
        <v>0014X00002VKCpY</v>
      </c>
      <c r="C71" s="7" t="str">
        <f>HYPERLINK("https://gerandofalcoes.my.salesforce.com/0014X00002VKCpYQAX", "0014X00002VKCpYQAX")</f>
        <v>0014X00002VKCpYQAX</v>
      </c>
      <c r="D71" s="3" t="s">
        <v>4898</v>
      </c>
      <c r="E71" s="3" t="s">
        <v>4899</v>
      </c>
      <c r="F71" s="3"/>
      <c r="G71" s="6"/>
      <c r="H71" s="3"/>
      <c r="I71" s="3" t="s">
        <v>4900</v>
      </c>
      <c r="J71" s="3" t="s">
        <v>4901</v>
      </c>
      <c r="K71" s="3" t="s">
        <v>4902</v>
      </c>
      <c r="L71" s="3" t="s">
        <v>1002</v>
      </c>
      <c r="M71" s="3" t="s">
        <v>4903</v>
      </c>
      <c r="N71" s="3" t="s">
        <v>4904</v>
      </c>
      <c r="O71" s="3">
        <v>149</v>
      </c>
      <c r="P71" s="3" t="s">
        <v>4905</v>
      </c>
      <c r="Q71" s="3"/>
      <c r="R71" s="3" t="s">
        <v>4906</v>
      </c>
      <c r="S71" s="3" t="s">
        <v>4907</v>
      </c>
      <c r="T71" s="3"/>
      <c r="U71" s="3" t="s">
        <v>3872</v>
      </c>
      <c r="V71" s="3" t="s">
        <v>4908</v>
      </c>
      <c r="W71" s="3">
        <v>0</v>
      </c>
      <c r="X71" s="3" t="s">
        <v>4909</v>
      </c>
      <c r="Y71" s="3" t="s">
        <v>4910</v>
      </c>
      <c r="Z71" s="3"/>
      <c r="AA71" s="3">
        <v>100</v>
      </c>
      <c r="AB71" s="6">
        <v>44026</v>
      </c>
      <c r="AC71" s="3" t="s">
        <v>120</v>
      </c>
      <c r="AD71" s="3">
        <v>0</v>
      </c>
      <c r="AE71" s="3">
        <v>5</v>
      </c>
      <c r="AF71" s="3">
        <v>5</v>
      </c>
      <c r="AG71" s="3" t="s">
        <v>4440</v>
      </c>
      <c r="AH71" s="3" t="s">
        <v>4911</v>
      </c>
      <c r="AI71" s="3">
        <v>4000</v>
      </c>
      <c r="AJ71" s="3" t="s">
        <v>62</v>
      </c>
      <c r="AK71" s="3"/>
      <c r="AL71" s="3"/>
      <c r="AM71" s="7" t="s">
        <v>4912</v>
      </c>
      <c r="AN71" s="3"/>
      <c r="AO71" s="3" t="s">
        <v>4913</v>
      </c>
      <c r="AP71" s="3"/>
      <c r="AQ71" s="3"/>
      <c r="AR71" s="3"/>
      <c r="AS71" s="3"/>
      <c r="AT71" s="3"/>
      <c r="AU71" s="7" t="s">
        <v>4914</v>
      </c>
      <c r="AW71" s="3"/>
      <c r="AX71" s="3"/>
      <c r="AY71" s="3"/>
    </row>
    <row r="72" spans="1:51" ht="12.5" x14ac:dyDescent="0.25">
      <c r="A72" s="3" t="s">
        <v>46</v>
      </c>
      <c r="B72" s="21" t="str">
        <f>HYPERLINK("https://gerandofalcoes.my.salesforce.com/0014X00002VKCq4", "0014X00002VKCq4")</f>
        <v>0014X00002VKCq4</v>
      </c>
      <c r="C72" s="21" t="str">
        <f>HYPERLINK("https://gerandofalcoes.my.salesforce.com/0014X00002VKCq4QAH", "0014X00002VKCq4QAH")</f>
        <v>0014X00002VKCq4QAH</v>
      </c>
      <c r="D72" s="3" t="s">
        <v>4915</v>
      </c>
      <c r="E72" s="3" t="s">
        <v>4916</v>
      </c>
      <c r="F72" s="3" t="s">
        <v>4917</v>
      </c>
      <c r="G72" s="8"/>
      <c r="H72" s="3"/>
      <c r="I72" s="3" t="s">
        <v>4918</v>
      </c>
      <c r="J72" s="3" t="s">
        <v>4919</v>
      </c>
      <c r="K72" s="3" t="s">
        <v>4920</v>
      </c>
      <c r="L72" s="3" t="s">
        <v>468</v>
      </c>
      <c r="M72" s="3" t="s">
        <v>4921</v>
      </c>
      <c r="N72" s="3" t="s">
        <v>4922</v>
      </c>
      <c r="O72" s="3">
        <v>39</v>
      </c>
      <c r="P72" s="3" t="s">
        <v>470</v>
      </c>
      <c r="Q72" s="3" t="s">
        <v>4923</v>
      </c>
      <c r="R72" s="3" t="s">
        <v>4924</v>
      </c>
      <c r="S72" s="3" t="s">
        <v>4925</v>
      </c>
      <c r="T72" s="3"/>
      <c r="U72" s="3" t="s">
        <v>4062</v>
      </c>
      <c r="V72" s="3" t="s">
        <v>4926</v>
      </c>
      <c r="W72" s="3">
        <v>5</v>
      </c>
      <c r="X72" s="3" t="s">
        <v>4927</v>
      </c>
      <c r="Y72" s="3" t="s">
        <v>4928</v>
      </c>
      <c r="Z72" s="3"/>
      <c r="AA72" s="3">
        <v>1800</v>
      </c>
      <c r="AB72" s="6">
        <v>44040</v>
      </c>
      <c r="AC72" s="3" t="s">
        <v>62</v>
      </c>
      <c r="AD72" s="3">
        <v>0</v>
      </c>
      <c r="AE72" s="3">
        <v>18</v>
      </c>
      <c r="AF72" s="3">
        <v>3</v>
      </c>
      <c r="AG72" s="3" t="s">
        <v>4782</v>
      </c>
      <c r="AH72" s="3" t="s">
        <v>4929</v>
      </c>
      <c r="AI72" s="3">
        <v>30000</v>
      </c>
      <c r="AJ72" s="3" t="s">
        <v>61</v>
      </c>
      <c r="AK72" s="3"/>
      <c r="AL72" s="3"/>
      <c r="AM72" s="7" t="s">
        <v>4930</v>
      </c>
      <c r="AN72" s="7" t="s">
        <v>4931</v>
      </c>
      <c r="AO72" s="3"/>
      <c r="AP72" s="3"/>
      <c r="AQ72" s="7" t="s">
        <v>4932</v>
      </c>
      <c r="AR72" s="7" t="s">
        <v>4933</v>
      </c>
      <c r="AS72" s="7" t="s">
        <v>4934</v>
      </c>
      <c r="AT72" s="3"/>
      <c r="AU72" s="7" t="s">
        <v>4935</v>
      </c>
    </row>
    <row r="73" spans="1:51" ht="12.5" x14ac:dyDescent="0.25">
      <c r="A73" s="3" t="s">
        <v>46</v>
      </c>
      <c r="B73" s="21" t="str">
        <f>HYPERLINK("https://gerandofalcoes.my.salesforce.com/0014X00002VKCq5", "0014X00002VKCq5")</f>
        <v>0014X00002VKCq5</v>
      </c>
      <c r="C73" s="7" t="str">
        <f>HYPERLINK("https://gerandofalcoes.my.salesforce.com/0014X00002VKCq5QAH", "0014X00002VKCq5QAH")</f>
        <v>0014X00002VKCq5QAH</v>
      </c>
      <c r="D73" s="3" t="s">
        <v>4936</v>
      </c>
      <c r="E73" s="3" t="s">
        <v>4937</v>
      </c>
      <c r="F73" s="3" t="s">
        <v>4938</v>
      </c>
      <c r="G73" s="6">
        <v>44763</v>
      </c>
      <c r="H73" s="3">
        <v>33</v>
      </c>
      <c r="I73" s="3" t="s">
        <v>4939</v>
      </c>
      <c r="J73" s="3" t="s">
        <v>4940</v>
      </c>
      <c r="K73" s="3" t="s">
        <v>4941</v>
      </c>
      <c r="L73" s="3" t="s">
        <v>468</v>
      </c>
      <c r="M73" s="3" t="s">
        <v>4942</v>
      </c>
      <c r="N73" s="3" t="s">
        <v>4943</v>
      </c>
      <c r="O73" s="3">
        <v>1321</v>
      </c>
      <c r="P73" s="3" t="s">
        <v>470</v>
      </c>
      <c r="Q73" s="3"/>
      <c r="R73" s="3" t="s">
        <v>4944</v>
      </c>
      <c r="S73" s="3"/>
      <c r="T73" s="3"/>
      <c r="U73" s="3" t="s">
        <v>4346</v>
      </c>
      <c r="V73" s="3" t="s">
        <v>4945</v>
      </c>
      <c r="W73" s="3">
        <v>4</v>
      </c>
      <c r="X73" s="3" t="s">
        <v>4946</v>
      </c>
      <c r="Y73" s="3"/>
      <c r="Z73" s="3"/>
      <c r="AA73" s="3">
        <v>100</v>
      </c>
      <c r="AB73" s="6">
        <v>44155</v>
      </c>
      <c r="AC73" s="3" t="s">
        <v>62</v>
      </c>
      <c r="AD73" s="3">
        <v>3</v>
      </c>
      <c r="AE73" s="3">
        <v>3</v>
      </c>
      <c r="AF73" s="3">
        <v>3</v>
      </c>
      <c r="AG73" s="3" t="s">
        <v>4947</v>
      </c>
      <c r="AH73" s="3" t="s">
        <v>4948</v>
      </c>
      <c r="AI73" s="3">
        <v>30000</v>
      </c>
      <c r="AJ73" s="3" t="s">
        <v>61</v>
      </c>
      <c r="AK73" s="3"/>
      <c r="AL73" s="7" t="s">
        <v>4949</v>
      </c>
      <c r="AM73" s="7" t="s">
        <v>4950</v>
      </c>
      <c r="AN73" s="3"/>
      <c r="AO73" s="3"/>
      <c r="AP73" s="3"/>
      <c r="AQ73" s="3"/>
      <c r="AR73" s="3"/>
      <c r="AS73" s="3"/>
      <c r="AT73" s="3"/>
      <c r="AU73" s="3"/>
      <c r="AW73" s="3"/>
      <c r="AX73" s="3"/>
      <c r="AY73" s="3"/>
    </row>
    <row r="74" spans="1:51" ht="12.5" x14ac:dyDescent="0.25">
      <c r="A74" s="3" t="s">
        <v>46</v>
      </c>
      <c r="B74" s="21" t="str">
        <f>HYPERLINK("https://gerandofalcoes.my.salesforce.com/0014X00002VKCq6", "0014X00002VKCq6")</f>
        <v>0014X00002VKCq6</v>
      </c>
      <c r="C74" s="7" t="str">
        <f>HYPERLINK("https://gerandofalcoes.my.salesforce.com/0014X00002VKCq6QAH", "0014X00002VKCq6QAH")</f>
        <v>0014X00002VKCq6QAH</v>
      </c>
      <c r="D74" s="3" t="s">
        <v>4951</v>
      </c>
      <c r="E74" s="3" t="s">
        <v>4952</v>
      </c>
      <c r="F74" s="3" t="s">
        <v>4953</v>
      </c>
      <c r="G74" s="8">
        <v>44763</v>
      </c>
      <c r="H74" s="3">
        <v>33</v>
      </c>
      <c r="I74" s="3" t="s">
        <v>4954</v>
      </c>
      <c r="J74" s="3" t="s">
        <v>4955</v>
      </c>
      <c r="K74" s="3" t="s">
        <v>4956</v>
      </c>
      <c r="L74" s="3" t="s">
        <v>468</v>
      </c>
      <c r="M74" s="3" t="s">
        <v>4957</v>
      </c>
      <c r="N74" s="3" t="s">
        <v>647</v>
      </c>
      <c r="O74" s="3">
        <v>310</v>
      </c>
      <c r="P74" s="3" t="s">
        <v>4958</v>
      </c>
      <c r="Q74" s="3"/>
      <c r="R74" s="3" t="s">
        <v>4959</v>
      </c>
      <c r="S74" s="3" t="s">
        <v>62</v>
      </c>
      <c r="T74" s="3"/>
      <c r="U74" s="3" t="s">
        <v>3932</v>
      </c>
      <c r="V74" s="3" t="s">
        <v>4960</v>
      </c>
      <c r="W74" s="3">
        <v>10</v>
      </c>
      <c r="X74" s="3" t="s">
        <v>4961</v>
      </c>
      <c r="Y74" s="3"/>
      <c r="Z74" s="3"/>
      <c r="AA74" s="3">
        <v>300</v>
      </c>
      <c r="AB74" s="6">
        <v>44759</v>
      </c>
      <c r="AC74" s="3" t="s">
        <v>62</v>
      </c>
      <c r="AD74" s="3">
        <v>0</v>
      </c>
      <c r="AE74" s="3">
        <v>10</v>
      </c>
      <c r="AF74" s="3">
        <v>2</v>
      </c>
      <c r="AG74" s="3" t="s">
        <v>4962</v>
      </c>
      <c r="AH74" s="3" t="s">
        <v>4963</v>
      </c>
      <c r="AI74" s="3">
        <v>102605</v>
      </c>
      <c r="AJ74" s="3" t="s">
        <v>120</v>
      </c>
      <c r="AK74" s="3"/>
      <c r="AL74" s="3"/>
      <c r="AM74" s="7" t="s">
        <v>4964</v>
      </c>
      <c r="AN74" s="7" t="s">
        <v>4965</v>
      </c>
      <c r="AO74" s="7" t="s">
        <v>4966</v>
      </c>
      <c r="AP74" s="3"/>
      <c r="AQ74" s="3"/>
      <c r="AR74" s="7" t="s">
        <v>4967</v>
      </c>
      <c r="AS74" s="7" t="s">
        <v>4968</v>
      </c>
      <c r="AT74" s="3"/>
      <c r="AU74" s="7" t="s">
        <v>4969</v>
      </c>
      <c r="AV74" s="3"/>
      <c r="AW74" s="3"/>
      <c r="AX74" s="3"/>
      <c r="AY74" s="3"/>
    </row>
    <row r="75" spans="1:51" ht="12.5" x14ac:dyDescent="0.25">
      <c r="A75" s="3" t="s">
        <v>46</v>
      </c>
      <c r="B75" s="21" t="str">
        <f>HYPERLINK("https://gerandofalcoes.my.salesforce.com/0014X00002VKCq8", "0014X00002VKCq8")</f>
        <v>0014X00002VKCq8</v>
      </c>
      <c r="C75" s="7" t="str">
        <f>HYPERLINK("https://gerandofalcoes.my.salesforce.com/0014X00002VKCq8QAH", "0014X00002VKCq8QAH")</f>
        <v>0014X00002VKCq8QAH</v>
      </c>
      <c r="D75" s="3" t="s">
        <v>4970</v>
      </c>
      <c r="E75" s="3" t="s">
        <v>4971</v>
      </c>
      <c r="F75" s="3" t="s">
        <v>4972</v>
      </c>
      <c r="G75" s="6">
        <v>44763</v>
      </c>
      <c r="H75" s="3">
        <v>33</v>
      </c>
      <c r="I75" s="3" t="s">
        <v>4973</v>
      </c>
      <c r="J75" s="3" t="s">
        <v>4974</v>
      </c>
      <c r="K75" s="3" t="s">
        <v>4975</v>
      </c>
      <c r="L75" s="3" t="s">
        <v>1871</v>
      </c>
      <c r="M75" s="3" t="s">
        <v>4976</v>
      </c>
      <c r="N75" s="3" t="s">
        <v>4977</v>
      </c>
      <c r="O75" s="3">
        <v>95</v>
      </c>
      <c r="P75" s="3" t="s">
        <v>4978</v>
      </c>
      <c r="Q75" s="3"/>
      <c r="R75" s="3" t="s">
        <v>4979</v>
      </c>
      <c r="S75" s="3" t="s">
        <v>4980</v>
      </c>
      <c r="T75" s="3" t="s">
        <v>4981</v>
      </c>
      <c r="U75" s="3" t="s">
        <v>4779</v>
      </c>
      <c r="V75" s="3" t="s">
        <v>3800</v>
      </c>
      <c r="W75" s="3">
        <v>1</v>
      </c>
      <c r="X75" s="3" t="s">
        <v>4982</v>
      </c>
      <c r="Y75" s="3" t="s">
        <v>4983</v>
      </c>
      <c r="Z75" s="3"/>
      <c r="AA75" s="3">
        <v>800</v>
      </c>
      <c r="AB75" s="6">
        <v>42114</v>
      </c>
      <c r="AC75" s="3" t="s">
        <v>120</v>
      </c>
      <c r="AD75" s="3">
        <v>0</v>
      </c>
      <c r="AE75" s="3">
        <v>25</v>
      </c>
      <c r="AF75" s="3">
        <v>3</v>
      </c>
      <c r="AG75" s="3" t="s">
        <v>4782</v>
      </c>
      <c r="AH75" s="3" t="s">
        <v>4984</v>
      </c>
      <c r="AI75" s="3">
        <v>7000</v>
      </c>
      <c r="AJ75" s="3" t="s">
        <v>120</v>
      </c>
      <c r="AK75" s="3"/>
      <c r="AL75" s="7" t="s">
        <v>4985</v>
      </c>
      <c r="AM75" s="7" t="s">
        <v>4986</v>
      </c>
      <c r="AN75" s="3"/>
      <c r="AO75" s="7" t="s">
        <v>4987</v>
      </c>
      <c r="AP75" s="3"/>
      <c r="AQ75" s="7" t="s">
        <v>4988</v>
      </c>
      <c r="AR75" s="3"/>
      <c r="AS75" s="3"/>
      <c r="AT75" s="3"/>
      <c r="AU75" s="7" t="s">
        <v>4989</v>
      </c>
      <c r="AV75" s="3"/>
      <c r="AW75" s="3"/>
      <c r="AX75" s="3"/>
      <c r="AY75" s="3"/>
    </row>
    <row r="76" spans="1:51" ht="12.5" x14ac:dyDescent="0.25">
      <c r="A76" s="3" t="s">
        <v>46</v>
      </c>
      <c r="B76" s="21" t="str">
        <f>HYPERLINK("https://gerandofalcoes.my.salesforce.com/0014X00002VKCqA", "0014X00002VKCqA")</f>
        <v>0014X00002VKCqA</v>
      </c>
      <c r="C76" s="7" t="str">
        <f>HYPERLINK("https://gerandofalcoes.my.salesforce.com/0014X00002VKCqAQAX", "0014X00002VKCqAQAX")</f>
        <v>0014X00002VKCqAQAX</v>
      </c>
      <c r="D76" s="3" t="s">
        <v>4990</v>
      </c>
      <c r="E76" s="3" t="s">
        <v>4991</v>
      </c>
      <c r="F76" s="3" t="s">
        <v>4992</v>
      </c>
      <c r="G76" s="6">
        <v>44763</v>
      </c>
      <c r="H76" s="3">
        <v>33</v>
      </c>
      <c r="I76" s="3" t="s">
        <v>4993</v>
      </c>
      <c r="J76" s="3"/>
      <c r="K76" s="3" t="s">
        <v>4994</v>
      </c>
      <c r="L76" s="3" t="s">
        <v>246</v>
      </c>
      <c r="M76" s="3" t="s">
        <v>4995</v>
      </c>
      <c r="N76" s="3" t="s">
        <v>4996</v>
      </c>
      <c r="O76" s="3" t="s">
        <v>4846</v>
      </c>
      <c r="P76" s="3" t="s">
        <v>248</v>
      </c>
      <c r="Q76" s="3"/>
      <c r="R76" s="3" t="s">
        <v>4997</v>
      </c>
      <c r="S76" s="3" t="s">
        <v>4998</v>
      </c>
      <c r="T76" s="3"/>
      <c r="U76" s="3" t="s">
        <v>3872</v>
      </c>
      <c r="V76" s="3" t="s">
        <v>4999</v>
      </c>
      <c r="W76" s="3">
        <v>1</v>
      </c>
      <c r="X76" s="3" t="s">
        <v>5000</v>
      </c>
      <c r="Y76" s="3" t="s">
        <v>5001</v>
      </c>
      <c r="Z76" s="3"/>
      <c r="AA76" s="3">
        <v>270</v>
      </c>
      <c r="AB76" s="6">
        <v>42077</v>
      </c>
      <c r="AC76" s="3" t="s">
        <v>62</v>
      </c>
      <c r="AD76" s="3">
        <v>7</v>
      </c>
      <c r="AE76" s="3">
        <v>20</v>
      </c>
      <c r="AF76" s="3">
        <v>4</v>
      </c>
      <c r="AG76" s="3" t="s">
        <v>4066</v>
      </c>
      <c r="AH76" s="3" t="s">
        <v>5002</v>
      </c>
      <c r="AI76" s="3">
        <v>36000</v>
      </c>
      <c r="AJ76" s="3" t="s">
        <v>120</v>
      </c>
      <c r="AK76" s="3"/>
      <c r="AL76" s="7" t="s">
        <v>5003</v>
      </c>
      <c r="AM76" s="7" t="s">
        <v>5004</v>
      </c>
      <c r="AN76" s="7" t="s">
        <v>5005</v>
      </c>
      <c r="AO76" s="3"/>
      <c r="AP76" s="3"/>
      <c r="AQ76" s="3"/>
      <c r="AR76" s="7" t="s">
        <v>5006</v>
      </c>
      <c r="AS76" s="7" t="s">
        <v>5007</v>
      </c>
      <c r="AT76" s="7" t="s">
        <v>5008</v>
      </c>
      <c r="AU76" s="7" t="s">
        <v>5009</v>
      </c>
      <c r="AV76" s="3"/>
      <c r="AW76" s="3"/>
      <c r="AX76" s="3"/>
      <c r="AY76" s="3"/>
    </row>
    <row r="77" spans="1:51" ht="12.5" x14ac:dyDescent="0.25">
      <c r="A77" s="3" t="s">
        <v>46</v>
      </c>
      <c r="B77" s="21" t="str">
        <f>HYPERLINK("https://gerandofalcoes.my.salesforce.com/0014X00002VKCqB", "0014X00002VKCqB")</f>
        <v>0014X00002VKCqB</v>
      </c>
      <c r="C77" s="7" t="str">
        <f>HYPERLINK("https://gerandofalcoes.my.salesforce.com/0014X00002VKCqBQAX", "0014X00002VKCqBQAX")</f>
        <v>0014X00002VKCqBQAX</v>
      </c>
      <c r="D77" s="3" t="s">
        <v>5010</v>
      </c>
      <c r="E77" s="3" t="s">
        <v>5011</v>
      </c>
      <c r="F77" s="3" t="s">
        <v>5012</v>
      </c>
      <c r="G77" s="6">
        <v>44763</v>
      </c>
      <c r="H77" s="3">
        <v>33</v>
      </c>
      <c r="I77" s="3" t="s">
        <v>5013</v>
      </c>
      <c r="J77" s="3" t="s">
        <v>5014</v>
      </c>
      <c r="K77" s="3" t="s">
        <v>5015</v>
      </c>
      <c r="L77" s="3" t="s">
        <v>468</v>
      </c>
      <c r="M77" s="3" t="s">
        <v>5016</v>
      </c>
      <c r="N77" s="3" t="s">
        <v>5017</v>
      </c>
      <c r="O77" s="3">
        <v>505</v>
      </c>
      <c r="P77" s="3" t="s">
        <v>4320</v>
      </c>
      <c r="Q77" s="3"/>
      <c r="R77" s="3" t="s">
        <v>5018</v>
      </c>
      <c r="S77" s="3" t="s">
        <v>120</v>
      </c>
      <c r="T77" s="3"/>
      <c r="U77" s="3" t="s">
        <v>3872</v>
      </c>
      <c r="V77" s="3" t="s">
        <v>3800</v>
      </c>
      <c r="W77" s="3">
        <v>1</v>
      </c>
      <c r="X77" s="3" t="s">
        <v>5017</v>
      </c>
      <c r="Y77" s="3" t="s">
        <v>5019</v>
      </c>
      <c r="Z77" s="3"/>
      <c r="AA77" s="3">
        <v>345</v>
      </c>
      <c r="AB77" s="6">
        <v>41346</v>
      </c>
      <c r="AC77" s="3" t="s">
        <v>120</v>
      </c>
      <c r="AD77" s="3">
        <v>6</v>
      </c>
      <c r="AE77" s="3">
        <v>6</v>
      </c>
      <c r="AF77" s="3">
        <v>3</v>
      </c>
      <c r="AG77" s="3" t="s">
        <v>5020</v>
      </c>
      <c r="AH77" s="3">
        <v>0</v>
      </c>
      <c r="AI77" s="3">
        <v>48000</v>
      </c>
      <c r="AJ77" s="3" t="s">
        <v>120</v>
      </c>
      <c r="AK77" s="3"/>
      <c r="AL77" s="7" t="s">
        <v>5021</v>
      </c>
      <c r="AM77" s="7" t="s">
        <v>5022</v>
      </c>
      <c r="AN77" s="3"/>
      <c r="AO77" s="3"/>
      <c r="AP77" s="3"/>
      <c r="AQ77" s="3"/>
      <c r="AR77" s="7" t="s">
        <v>5023</v>
      </c>
      <c r="AS77" s="7" t="s">
        <v>5024</v>
      </c>
      <c r="AT77" s="3"/>
      <c r="AU77" s="7" t="s">
        <v>5025</v>
      </c>
      <c r="AV77" s="3"/>
      <c r="AW77" s="3"/>
      <c r="AX77" s="3"/>
      <c r="AY77" s="3"/>
    </row>
    <row r="78" spans="1:51" ht="12.5" x14ac:dyDescent="0.25">
      <c r="A78" s="3" t="s">
        <v>46</v>
      </c>
      <c r="B78" s="21" t="str">
        <f>HYPERLINK("https://gerandofalcoes.my.salesforce.com/0014X00002VKCqC", "0014X00002VKCqC")</f>
        <v>0014X00002VKCqC</v>
      </c>
      <c r="C78" s="7" t="str">
        <f>HYPERLINK("https://gerandofalcoes.my.salesforce.com/0014X00002VKCqCQAX", "0014X00002VKCqCQAX")</f>
        <v>0014X00002VKCqCQAX</v>
      </c>
      <c r="D78" s="3" t="s">
        <v>5026</v>
      </c>
      <c r="E78" s="3" t="s">
        <v>5027</v>
      </c>
      <c r="F78" s="3" t="s">
        <v>5028</v>
      </c>
      <c r="G78" s="6">
        <v>44763</v>
      </c>
      <c r="H78" s="3">
        <v>33</v>
      </c>
      <c r="I78" s="3" t="s">
        <v>5029</v>
      </c>
      <c r="J78" s="3" t="s">
        <v>5030</v>
      </c>
      <c r="K78" s="3" t="s">
        <v>5031</v>
      </c>
      <c r="L78" s="3" t="s">
        <v>246</v>
      </c>
      <c r="M78" s="3" t="s">
        <v>5032</v>
      </c>
      <c r="N78" s="3" t="s">
        <v>5033</v>
      </c>
      <c r="O78" s="3">
        <v>7</v>
      </c>
      <c r="P78" s="3" t="s">
        <v>3780</v>
      </c>
      <c r="Q78" s="3" t="s">
        <v>5034</v>
      </c>
      <c r="R78" s="3" t="s">
        <v>3322</v>
      </c>
      <c r="S78" s="3" t="s">
        <v>5035</v>
      </c>
      <c r="T78" s="3"/>
      <c r="U78" s="3" t="s">
        <v>4497</v>
      </c>
      <c r="V78" s="3" t="s">
        <v>5036</v>
      </c>
      <c r="W78" s="3">
        <v>9</v>
      </c>
      <c r="X78" s="3" t="s">
        <v>5037</v>
      </c>
      <c r="Y78" s="3"/>
      <c r="Z78" s="3"/>
      <c r="AA78" s="3">
        <v>100</v>
      </c>
      <c r="AB78" s="6">
        <v>43478</v>
      </c>
      <c r="AC78" s="3" t="s">
        <v>120</v>
      </c>
      <c r="AD78" s="3">
        <v>0</v>
      </c>
      <c r="AE78" s="3">
        <v>1</v>
      </c>
      <c r="AF78" s="3">
        <v>3</v>
      </c>
      <c r="AG78" s="3" t="s">
        <v>5038</v>
      </c>
      <c r="AH78" s="3">
        <v>0</v>
      </c>
      <c r="AI78" s="3">
        <v>38640</v>
      </c>
      <c r="AJ78" s="3" t="s">
        <v>61</v>
      </c>
      <c r="AK78" s="3"/>
      <c r="AL78" s="7" t="s">
        <v>5039</v>
      </c>
      <c r="AM78" s="7" t="s">
        <v>5040</v>
      </c>
      <c r="AN78" s="7" t="s">
        <v>5041</v>
      </c>
      <c r="AO78" s="3"/>
      <c r="AP78" s="3"/>
      <c r="AQ78" s="7" t="s">
        <v>5042</v>
      </c>
      <c r="AR78" s="3"/>
      <c r="AS78" s="7" t="s">
        <v>5043</v>
      </c>
      <c r="AT78" s="7" t="s">
        <v>5044</v>
      </c>
      <c r="AU78" s="7" t="s">
        <v>5045</v>
      </c>
      <c r="AV78" s="3"/>
      <c r="AW78" s="3"/>
      <c r="AX78" s="3"/>
      <c r="AY78" s="3"/>
    </row>
    <row r="79" spans="1:51" ht="12.5" x14ac:dyDescent="0.25">
      <c r="A79" s="3" t="s">
        <v>46</v>
      </c>
      <c r="B79" s="21" t="str">
        <f>HYPERLINK("https://gerandofalcoes.my.salesforce.com/0014X00002VKCqD", "0014X00002VKCqD")</f>
        <v>0014X00002VKCqD</v>
      </c>
      <c r="C79" s="7" t="str">
        <f>HYPERLINK("https://gerandofalcoes.my.salesforce.com/0014X00002VKCqDQAX", "0014X00002VKCqDQAX")</f>
        <v>0014X00002VKCqDQAX</v>
      </c>
      <c r="D79" s="3" t="s">
        <v>5046</v>
      </c>
      <c r="E79" s="3" t="s">
        <v>5047</v>
      </c>
      <c r="F79" s="3" t="s">
        <v>5048</v>
      </c>
      <c r="G79" s="6">
        <v>44763</v>
      </c>
      <c r="H79" s="3">
        <v>33</v>
      </c>
      <c r="I79" s="3" t="s">
        <v>5049</v>
      </c>
      <c r="J79" s="3" t="s">
        <v>5050</v>
      </c>
      <c r="K79" s="3" t="s">
        <v>5051</v>
      </c>
      <c r="L79" s="3" t="s">
        <v>468</v>
      </c>
      <c r="M79" s="3" t="s">
        <v>5052</v>
      </c>
      <c r="N79" s="3" t="s">
        <v>5053</v>
      </c>
      <c r="O79" s="3">
        <v>5095</v>
      </c>
      <c r="P79" s="3" t="s">
        <v>470</v>
      </c>
      <c r="Q79" s="3"/>
      <c r="R79" s="3" t="s">
        <v>5054</v>
      </c>
      <c r="S79" s="3" t="s">
        <v>5055</v>
      </c>
      <c r="T79" s="3"/>
      <c r="U79" s="3" t="s">
        <v>4062</v>
      </c>
      <c r="V79" s="3" t="s">
        <v>5056</v>
      </c>
      <c r="W79" s="3">
        <v>7</v>
      </c>
      <c r="X79" s="3" t="s">
        <v>5057</v>
      </c>
      <c r="Y79" s="3"/>
      <c r="Z79" s="3"/>
      <c r="AA79" s="3">
        <v>103</v>
      </c>
      <c r="AB79" s="6">
        <v>39295</v>
      </c>
      <c r="AC79" s="3" t="s">
        <v>120</v>
      </c>
      <c r="AD79" s="3">
        <v>0</v>
      </c>
      <c r="AE79" s="3">
        <v>16</v>
      </c>
      <c r="AF79" s="3">
        <v>3</v>
      </c>
      <c r="AG79" s="3" t="s">
        <v>3966</v>
      </c>
      <c r="AH79" s="3">
        <v>0</v>
      </c>
      <c r="AI79" s="3">
        <v>60000</v>
      </c>
      <c r="AJ79" s="3" t="s">
        <v>61</v>
      </c>
      <c r="AK79" s="3"/>
      <c r="AL79" s="3"/>
      <c r="AM79" s="7" t="s">
        <v>5058</v>
      </c>
      <c r="AN79" s="3"/>
      <c r="AO79" s="3"/>
      <c r="AP79" s="3"/>
      <c r="AQ79" s="3"/>
      <c r="AR79" s="3"/>
      <c r="AS79" s="3"/>
      <c r="AT79" s="3"/>
      <c r="AU79" s="7" t="s">
        <v>5059</v>
      </c>
      <c r="AV79" s="3"/>
      <c r="AW79" s="3"/>
      <c r="AX79" s="3"/>
      <c r="AY79" s="3"/>
    </row>
    <row r="80" spans="1:51" ht="12.5" x14ac:dyDescent="0.25">
      <c r="A80" s="3" t="s">
        <v>46</v>
      </c>
      <c r="B80" s="21" t="str">
        <f>HYPERLINK("https://gerandofalcoes.my.salesforce.com/0014X00002VKCqE", "0014X00002VKCqE")</f>
        <v>0014X00002VKCqE</v>
      </c>
      <c r="C80" s="7" t="str">
        <f>HYPERLINK("https://gerandofalcoes.my.salesforce.com/0014X00002VKCqEQAX", "0014X00002VKCqEQAX")</f>
        <v>0014X00002VKCqEQAX</v>
      </c>
      <c r="D80" s="3" t="s">
        <v>5060</v>
      </c>
      <c r="E80" s="3" t="s">
        <v>5061</v>
      </c>
      <c r="F80" s="3" t="s">
        <v>5062</v>
      </c>
      <c r="G80" s="6">
        <v>44763</v>
      </c>
      <c r="H80" s="3">
        <v>33</v>
      </c>
      <c r="I80" s="3" t="s">
        <v>5063</v>
      </c>
      <c r="J80" s="3" t="s">
        <v>5064</v>
      </c>
      <c r="K80" s="3" t="s">
        <v>5065</v>
      </c>
      <c r="L80" s="3" t="s">
        <v>246</v>
      </c>
      <c r="M80" s="3" t="s">
        <v>5066</v>
      </c>
      <c r="N80" s="3" t="s">
        <v>5067</v>
      </c>
      <c r="O80" s="3" t="s">
        <v>4137</v>
      </c>
      <c r="P80" s="3" t="s">
        <v>248</v>
      </c>
      <c r="Q80" s="3" t="s">
        <v>5068</v>
      </c>
      <c r="R80" s="3" t="s">
        <v>5069</v>
      </c>
      <c r="S80" s="3"/>
      <c r="T80" s="3"/>
      <c r="U80" s="3" t="s">
        <v>4542</v>
      </c>
      <c r="V80" s="3" t="s">
        <v>4945</v>
      </c>
      <c r="W80" s="3">
        <v>3</v>
      </c>
      <c r="X80" s="3" t="s">
        <v>5070</v>
      </c>
      <c r="Y80" s="3" t="s">
        <v>5071</v>
      </c>
      <c r="Z80" s="3"/>
      <c r="AA80" s="3">
        <v>116</v>
      </c>
      <c r="AB80" s="6">
        <v>42804</v>
      </c>
      <c r="AC80" s="3" t="s">
        <v>62</v>
      </c>
      <c r="AD80" s="3">
        <v>0</v>
      </c>
      <c r="AE80" s="3">
        <v>12</v>
      </c>
      <c r="AF80" s="3">
        <v>6</v>
      </c>
      <c r="AG80" s="3" t="s">
        <v>5072</v>
      </c>
      <c r="AH80" s="3" t="s">
        <v>5073</v>
      </c>
      <c r="AI80" s="3">
        <v>18500</v>
      </c>
      <c r="AJ80" s="3" t="s">
        <v>120</v>
      </c>
      <c r="AK80" s="3"/>
      <c r="AL80" s="7" t="s">
        <v>5074</v>
      </c>
      <c r="AM80" s="7" t="s">
        <v>5075</v>
      </c>
      <c r="AN80" s="7" t="s">
        <v>5076</v>
      </c>
      <c r="AO80" s="7" t="s">
        <v>5077</v>
      </c>
      <c r="AP80" s="3"/>
      <c r="AQ80" s="3"/>
      <c r="AR80" s="3"/>
      <c r="AS80" s="3"/>
      <c r="AT80" s="3"/>
      <c r="AU80" s="7" t="s">
        <v>5078</v>
      </c>
      <c r="AV80" s="3"/>
      <c r="AW80" s="3"/>
      <c r="AX80" s="3"/>
      <c r="AY80" s="3"/>
    </row>
    <row r="81" spans="1:51" ht="12.5" x14ac:dyDescent="0.25">
      <c r="A81" s="3" t="s">
        <v>46</v>
      </c>
      <c r="B81" s="21" t="str">
        <f>HYPERLINK("https://gerandofalcoes.my.salesforce.com/0014X00002VKCqF", "0014X00002VKCqF")</f>
        <v>0014X00002VKCqF</v>
      </c>
      <c r="C81" s="7" t="str">
        <f>HYPERLINK("https://gerandofalcoes.my.salesforce.com/0014X00002VKCqFQAX", "0014X00002VKCqFQAX")</f>
        <v>0014X00002VKCqFQAX</v>
      </c>
      <c r="D81" s="3" t="s">
        <v>5079</v>
      </c>
      <c r="E81" s="3" t="s">
        <v>5080</v>
      </c>
      <c r="F81" s="3"/>
      <c r="G81" s="8">
        <v>44763</v>
      </c>
      <c r="H81" s="3">
        <v>33</v>
      </c>
      <c r="I81" s="3" t="s">
        <v>5081</v>
      </c>
      <c r="J81" s="3"/>
      <c r="K81" s="3"/>
      <c r="L81" s="3" t="s">
        <v>468</v>
      </c>
      <c r="M81" s="3" t="s">
        <v>5082</v>
      </c>
      <c r="N81" s="3" t="s">
        <v>5083</v>
      </c>
      <c r="O81" s="3">
        <v>401</v>
      </c>
      <c r="P81" s="3" t="s">
        <v>4239</v>
      </c>
      <c r="Q81" s="3"/>
      <c r="R81" s="3" t="s">
        <v>5084</v>
      </c>
      <c r="S81" s="3"/>
      <c r="T81" s="3"/>
      <c r="U81" s="3"/>
      <c r="V81" s="3"/>
      <c r="W81" s="3">
        <v>5</v>
      </c>
      <c r="X81" s="3" t="s">
        <v>5085</v>
      </c>
      <c r="Y81" s="3"/>
      <c r="Z81" s="3"/>
      <c r="AA81" s="3">
        <v>300</v>
      </c>
      <c r="AB81" s="6">
        <v>40362</v>
      </c>
      <c r="AC81" s="3" t="s">
        <v>120</v>
      </c>
      <c r="AD81" s="3"/>
      <c r="AE81" s="3">
        <v>12</v>
      </c>
      <c r="AF81" s="3">
        <v>0</v>
      </c>
      <c r="AG81" s="3"/>
      <c r="AH81" s="3">
        <v>0</v>
      </c>
      <c r="AI81" s="3">
        <v>0</v>
      </c>
      <c r="AJ81" s="3"/>
      <c r="AK81" s="3"/>
      <c r="AL81" s="3"/>
      <c r="AM81" s="7" t="s">
        <v>5086</v>
      </c>
      <c r="AN81" s="3"/>
      <c r="AO81" s="3"/>
      <c r="AP81" s="3"/>
      <c r="AQ81" s="3"/>
      <c r="AR81" s="3"/>
      <c r="AS81" s="3"/>
      <c r="AT81" s="3"/>
      <c r="AU81" s="3"/>
      <c r="AV81" s="3"/>
      <c r="AW81" s="3"/>
      <c r="AX81" s="3"/>
      <c r="AY81" s="3"/>
    </row>
    <row r="82" spans="1:51" ht="12.5" x14ac:dyDescent="0.25">
      <c r="A82" s="3" t="s">
        <v>46</v>
      </c>
      <c r="B82" s="21" t="str">
        <f>HYPERLINK("https://gerandofalcoes.my.salesforce.com/0014X00002VKCqG", "0014X00002VKCqG")</f>
        <v>0014X00002VKCqG</v>
      </c>
      <c r="C82" s="7" t="str">
        <f>HYPERLINK("https://gerandofalcoes.my.salesforce.com/0014X00002VKCqGQAX", "0014X00002VKCqGQAX")</f>
        <v>0014X00002VKCqGQAX</v>
      </c>
      <c r="D82" s="3" t="s">
        <v>5087</v>
      </c>
      <c r="E82" s="3" t="s">
        <v>5088</v>
      </c>
      <c r="F82" s="3" t="s">
        <v>5089</v>
      </c>
      <c r="G82" s="6">
        <v>44763</v>
      </c>
      <c r="H82" s="3">
        <v>33</v>
      </c>
      <c r="I82" s="3" t="s">
        <v>5090</v>
      </c>
      <c r="J82" s="3" t="s">
        <v>5091</v>
      </c>
      <c r="K82" s="3" t="s">
        <v>5092</v>
      </c>
      <c r="L82" s="3" t="s">
        <v>468</v>
      </c>
      <c r="M82" s="3" t="s">
        <v>5093</v>
      </c>
      <c r="N82" s="3" t="s">
        <v>5094</v>
      </c>
      <c r="O82" s="3">
        <v>103</v>
      </c>
      <c r="P82" s="3" t="s">
        <v>4254</v>
      </c>
      <c r="Q82" s="3"/>
      <c r="R82" s="3" t="s">
        <v>5095</v>
      </c>
      <c r="S82" s="3"/>
      <c r="T82" s="3"/>
      <c r="U82" s="3" t="s">
        <v>4062</v>
      </c>
      <c r="V82" s="3" t="s">
        <v>5096</v>
      </c>
      <c r="W82" s="3">
        <v>1</v>
      </c>
      <c r="X82" s="3" t="s">
        <v>5097</v>
      </c>
      <c r="Y82" s="3"/>
      <c r="Z82" s="3"/>
      <c r="AA82" s="3">
        <v>0</v>
      </c>
      <c r="AB82" s="6">
        <v>37788</v>
      </c>
      <c r="AC82" s="3" t="s">
        <v>62</v>
      </c>
      <c r="AD82" s="3">
        <v>0</v>
      </c>
      <c r="AE82" s="3">
        <v>5</v>
      </c>
      <c r="AF82" s="3">
        <v>2</v>
      </c>
      <c r="AG82" s="3" t="s">
        <v>3917</v>
      </c>
      <c r="AH82" s="3">
        <v>0</v>
      </c>
      <c r="AI82" s="3">
        <v>0</v>
      </c>
      <c r="AJ82" s="3" t="s">
        <v>61</v>
      </c>
      <c r="AK82" s="3"/>
      <c r="AL82" s="3"/>
      <c r="AM82" s="3"/>
      <c r="AN82" s="3"/>
      <c r="AO82" s="3"/>
      <c r="AP82" s="3"/>
      <c r="AQ82" s="3"/>
      <c r="AR82" s="3"/>
      <c r="AS82" s="7" t="s">
        <v>5098</v>
      </c>
      <c r="AT82" s="3"/>
      <c r="AU82" s="3"/>
      <c r="AV82" s="3"/>
      <c r="AW82" s="3"/>
      <c r="AX82" s="3"/>
      <c r="AY82" s="3"/>
    </row>
    <row r="83" spans="1:51" ht="12.5" x14ac:dyDescent="0.25">
      <c r="A83" s="3" t="s">
        <v>46</v>
      </c>
      <c r="B83" s="21" t="str">
        <f>HYPERLINK("https://gerandofalcoes.my.salesforce.com/0014X00002VKCqZ", "0014X00002VKCqZ")</f>
        <v>0014X00002VKCqZ</v>
      </c>
      <c r="C83" s="7" t="str">
        <f>HYPERLINK("https://gerandofalcoes.my.salesforce.com/0014X00002VKCqZQAX", "0014X00002VKCqZQAX")</f>
        <v>0014X00002VKCqZQAX</v>
      </c>
      <c r="D83" s="3" t="s">
        <v>5099</v>
      </c>
      <c r="E83" s="3" t="s">
        <v>5100</v>
      </c>
      <c r="F83" s="3" t="s">
        <v>5101</v>
      </c>
      <c r="G83" s="6"/>
      <c r="H83" s="3"/>
      <c r="I83" s="3" t="s">
        <v>5102</v>
      </c>
      <c r="J83" s="3"/>
      <c r="K83" s="3" t="s">
        <v>5103</v>
      </c>
      <c r="L83" s="3" t="s">
        <v>84</v>
      </c>
      <c r="M83" s="3" t="s">
        <v>5104</v>
      </c>
      <c r="N83" s="3" t="s">
        <v>5105</v>
      </c>
      <c r="O83" s="3">
        <v>236</v>
      </c>
      <c r="P83" s="3" t="s">
        <v>87</v>
      </c>
      <c r="Q83" s="3"/>
      <c r="R83" s="3" t="s">
        <v>5106</v>
      </c>
      <c r="S83" s="3" t="s">
        <v>5107</v>
      </c>
      <c r="T83" s="3"/>
      <c r="U83" s="3" t="s">
        <v>5108</v>
      </c>
      <c r="V83" s="3" t="s">
        <v>3800</v>
      </c>
      <c r="W83" s="3">
        <v>24</v>
      </c>
      <c r="X83" s="3" t="s">
        <v>5109</v>
      </c>
      <c r="Y83" s="3"/>
      <c r="Z83" s="3"/>
      <c r="AA83" s="3">
        <v>200</v>
      </c>
      <c r="AB83" s="6">
        <v>35261</v>
      </c>
      <c r="AC83" s="3" t="s">
        <v>62</v>
      </c>
      <c r="AD83" s="3">
        <v>0</v>
      </c>
      <c r="AE83" s="3">
        <v>20</v>
      </c>
      <c r="AF83" s="3">
        <v>2</v>
      </c>
      <c r="AG83" s="3" t="s">
        <v>4947</v>
      </c>
      <c r="AH83" s="3" t="s">
        <v>5110</v>
      </c>
      <c r="AI83" s="3">
        <v>10000</v>
      </c>
      <c r="AJ83" s="3" t="s">
        <v>120</v>
      </c>
      <c r="AK83" s="3"/>
      <c r="AL83" s="7" t="s">
        <v>5111</v>
      </c>
      <c r="AM83" s="7" t="s">
        <v>5112</v>
      </c>
      <c r="AN83" s="3"/>
      <c r="AO83" s="3"/>
      <c r="AP83" s="3"/>
      <c r="AQ83" s="3"/>
      <c r="AR83" s="7" t="s">
        <v>5113</v>
      </c>
      <c r="AS83" s="7" t="s">
        <v>5114</v>
      </c>
      <c r="AT83" s="7" t="s">
        <v>5115</v>
      </c>
      <c r="AU83" s="7" t="s">
        <v>5116</v>
      </c>
      <c r="AV83" s="3"/>
      <c r="AW83" s="3"/>
      <c r="AX83" s="3"/>
      <c r="AY83" s="3"/>
    </row>
    <row r="84" spans="1:51" ht="12.5" x14ac:dyDescent="0.25">
      <c r="A84" s="3" t="s">
        <v>46</v>
      </c>
      <c r="B84" s="21" t="str">
        <f>HYPERLINK("https://gerandofalcoes.my.salesforce.com/0014X00002VKCrG", "0014X00002VKCrG")</f>
        <v>0014X00002VKCrG</v>
      </c>
      <c r="C84" s="7" t="str">
        <f>HYPERLINK("https://gerandofalcoes.my.salesforce.com/0014X00002VKCrGQAX", "0014X00002VKCrGQAX")</f>
        <v>0014X00002VKCrGQAX</v>
      </c>
      <c r="D84" s="3" t="s">
        <v>5117</v>
      </c>
      <c r="E84" s="3" t="s">
        <v>5118</v>
      </c>
      <c r="F84" s="3" t="s">
        <v>5119</v>
      </c>
      <c r="G84" s="6">
        <v>44763</v>
      </c>
      <c r="H84" s="3">
        <v>33</v>
      </c>
      <c r="I84" s="3" t="s">
        <v>5120</v>
      </c>
      <c r="J84" s="3" t="s">
        <v>5121</v>
      </c>
      <c r="K84" s="3" t="s">
        <v>5122</v>
      </c>
      <c r="L84" s="3" t="s">
        <v>84</v>
      </c>
      <c r="M84" s="3" t="s">
        <v>5123</v>
      </c>
      <c r="N84" s="3" t="s">
        <v>5124</v>
      </c>
      <c r="O84" s="3">
        <v>110</v>
      </c>
      <c r="P84" s="3" t="s">
        <v>87</v>
      </c>
      <c r="Q84" s="3"/>
      <c r="R84" s="3" t="s">
        <v>5125</v>
      </c>
      <c r="S84" s="3"/>
      <c r="T84" s="3"/>
      <c r="U84" s="3"/>
      <c r="V84" s="3"/>
      <c r="W84" s="3">
        <v>8</v>
      </c>
      <c r="X84" s="3" t="s">
        <v>5126</v>
      </c>
      <c r="Y84" s="3"/>
      <c r="Z84" s="3"/>
      <c r="AA84" s="3">
        <v>600</v>
      </c>
      <c r="AB84" s="6">
        <v>34031</v>
      </c>
      <c r="AC84" s="3" t="s">
        <v>62</v>
      </c>
      <c r="AD84" s="3"/>
      <c r="AE84" s="3">
        <v>10</v>
      </c>
      <c r="AF84" s="3">
        <v>3</v>
      </c>
      <c r="AG84" s="3"/>
      <c r="AH84" s="3"/>
      <c r="AI84" s="3"/>
      <c r="AJ84" s="3" t="s">
        <v>120</v>
      </c>
      <c r="AK84" s="3"/>
      <c r="AL84" s="7" t="s">
        <v>5127</v>
      </c>
      <c r="AM84" s="7" t="s">
        <v>5128</v>
      </c>
      <c r="AN84" s="7" t="s">
        <v>5129</v>
      </c>
      <c r="AO84" s="3"/>
      <c r="AP84" s="3"/>
      <c r="AQ84" s="3"/>
      <c r="AR84" s="7" t="s">
        <v>5130</v>
      </c>
      <c r="AS84" s="7" t="s">
        <v>5131</v>
      </c>
      <c r="AT84" s="7" t="s">
        <v>5132</v>
      </c>
      <c r="AU84" s="7" t="s">
        <v>5133</v>
      </c>
      <c r="AV84" s="3"/>
      <c r="AW84" s="3"/>
      <c r="AX84" s="3"/>
      <c r="AY84" s="3"/>
    </row>
    <row r="85" spans="1:51" ht="12.5" x14ac:dyDescent="0.25">
      <c r="A85" s="3" t="s">
        <v>46</v>
      </c>
      <c r="B85" s="21" t="str">
        <f>HYPERLINK("https://gerandofalcoes.my.salesforce.com/0014X00002VKCrH", "0014X00002VKCrH")</f>
        <v>0014X00002VKCrH</v>
      </c>
      <c r="C85" s="7" t="str">
        <f>HYPERLINK("https://gerandofalcoes.my.salesforce.com/0014X00002VKCrHQAX", "0014X00002VKCrHQAX")</f>
        <v>0014X00002VKCrHQAX</v>
      </c>
      <c r="D85" s="22" t="s">
        <v>5134</v>
      </c>
      <c r="E85" s="3" t="s">
        <v>5135</v>
      </c>
      <c r="F85" s="3"/>
      <c r="G85" s="6">
        <v>44763</v>
      </c>
      <c r="H85" s="3">
        <v>33</v>
      </c>
      <c r="I85" s="3" t="s">
        <v>5136</v>
      </c>
      <c r="J85" s="3" t="s">
        <v>5137</v>
      </c>
      <c r="K85" s="3" t="s">
        <v>5138</v>
      </c>
      <c r="L85" s="3" t="s">
        <v>1002</v>
      </c>
      <c r="M85" s="3" t="s">
        <v>5139</v>
      </c>
      <c r="N85" s="3" t="s">
        <v>5140</v>
      </c>
      <c r="O85" s="3">
        <v>100</v>
      </c>
      <c r="P85" s="3" t="s">
        <v>5141</v>
      </c>
      <c r="Q85" s="3"/>
      <c r="R85" s="3" t="s">
        <v>5142</v>
      </c>
      <c r="S85" s="3"/>
      <c r="T85" s="3"/>
      <c r="U85" s="3" t="s">
        <v>3913</v>
      </c>
      <c r="V85" s="3" t="s">
        <v>5143</v>
      </c>
      <c r="W85" s="3">
        <v>3</v>
      </c>
      <c r="X85" s="3" t="s">
        <v>5144</v>
      </c>
      <c r="Y85" s="3"/>
      <c r="Z85" s="3"/>
      <c r="AA85" s="3">
        <v>180</v>
      </c>
      <c r="AB85" s="6">
        <v>42353</v>
      </c>
      <c r="AC85" s="3" t="s">
        <v>120</v>
      </c>
      <c r="AD85" s="3">
        <v>0</v>
      </c>
      <c r="AE85" s="3">
        <v>5</v>
      </c>
      <c r="AF85" s="3">
        <v>3</v>
      </c>
      <c r="AG85" s="3" t="s">
        <v>3966</v>
      </c>
      <c r="AH85" s="3">
        <v>0</v>
      </c>
      <c r="AI85" s="3">
        <v>500</v>
      </c>
      <c r="AJ85" s="3" t="s">
        <v>120</v>
      </c>
      <c r="AK85" s="3"/>
      <c r="AL85" s="3"/>
      <c r="AM85" s="7" t="s">
        <v>5145</v>
      </c>
      <c r="AN85" s="3"/>
      <c r="AO85" s="3"/>
      <c r="AP85" s="3"/>
      <c r="AQ85" s="7" t="s">
        <v>5146</v>
      </c>
      <c r="AR85" s="3"/>
      <c r="AS85" s="3"/>
      <c r="AT85" s="3"/>
      <c r="AU85" s="7" t="s">
        <v>5147</v>
      </c>
      <c r="AV85" s="3"/>
      <c r="AW85" s="3"/>
      <c r="AX85" s="3"/>
      <c r="AY85" s="3"/>
    </row>
    <row r="86" spans="1:51" ht="12.5" x14ac:dyDescent="0.25">
      <c r="A86" s="3" t="s">
        <v>46</v>
      </c>
      <c r="B86" s="21" t="str">
        <f>HYPERLINK("https://gerandofalcoes.my.salesforce.com/0014X00002VKCrI", "0014X00002VKCrI")</f>
        <v>0014X00002VKCrI</v>
      </c>
      <c r="C86" s="7" t="str">
        <f>HYPERLINK("https://gerandofalcoes.my.salesforce.com/0014X00002VKCrIQAX", "0014X00002VKCrIQAX")</f>
        <v>0014X00002VKCrIQAX</v>
      </c>
      <c r="D86" s="22" t="s">
        <v>5148</v>
      </c>
      <c r="E86" s="3" t="s">
        <v>5149</v>
      </c>
      <c r="F86" s="3" t="s">
        <v>5150</v>
      </c>
      <c r="G86" s="6">
        <v>44763</v>
      </c>
      <c r="H86" s="3">
        <v>33</v>
      </c>
      <c r="I86" s="3" t="s">
        <v>5151</v>
      </c>
      <c r="J86" s="3"/>
      <c r="K86" s="3" t="s">
        <v>5152</v>
      </c>
      <c r="L86" s="3" t="s">
        <v>280</v>
      </c>
      <c r="M86" s="3" t="s">
        <v>5153</v>
      </c>
      <c r="N86" s="3" t="s">
        <v>5154</v>
      </c>
      <c r="O86" s="3">
        <v>330</v>
      </c>
      <c r="P86" s="3" t="s">
        <v>282</v>
      </c>
      <c r="Q86" s="3" t="s">
        <v>5155</v>
      </c>
      <c r="R86" s="3" t="s">
        <v>5156</v>
      </c>
      <c r="S86" s="3"/>
      <c r="T86" s="3"/>
      <c r="U86" s="3" t="s">
        <v>3932</v>
      </c>
      <c r="V86" s="3" t="s">
        <v>3890</v>
      </c>
      <c r="W86" s="3">
        <v>0</v>
      </c>
      <c r="X86" s="3" t="s">
        <v>5157</v>
      </c>
      <c r="Y86" s="3" t="s">
        <v>5158</v>
      </c>
      <c r="Z86" s="3"/>
      <c r="AA86" s="3">
        <v>0</v>
      </c>
      <c r="AB86" s="6">
        <v>42552</v>
      </c>
      <c r="AC86" s="3" t="s">
        <v>120</v>
      </c>
      <c r="AD86" s="3">
        <v>0</v>
      </c>
      <c r="AE86" s="3">
        <v>2</v>
      </c>
      <c r="AF86" s="3">
        <v>2</v>
      </c>
      <c r="AG86" s="3" t="s">
        <v>3833</v>
      </c>
      <c r="AH86" s="3" t="s">
        <v>3756</v>
      </c>
      <c r="AI86" s="3">
        <v>1</v>
      </c>
      <c r="AJ86" s="3" t="s">
        <v>61</v>
      </c>
      <c r="AK86" s="3"/>
      <c r="AL86" s="3"/>
      <c r="AM86" s="3"/>
      <c r="AN86" s="7" t="s">
        <v>5159</v>
      </c>
      <c r="AO86" s="3"/>
      <c r="AP86" s="3"/>
      <c r="AQ86" s="3"/>
      <c r="AR86" s="3"/>
      <c r="AS86" s="3"/>
      <c r="AT86" s="3"/>
      <c r="AU86" s="7" t="s">
        <v>5160</v>
      </c>
      <c r="AV86" s="3"/>
      <c r="AW86" s="3"/>
      <c r="AX86" s="3"/>
      <c r="AY86" s="3"/>
    </row>
    <row r="87" spans="1:51" ht="12.5" x14ac:dyDescent="0.25">
      <c r="A87" s="3" t="s">
        <v>46</v>
      </c>
      <c r="B87" s="21" t="str">
        <f>HYPERLINK("https://gerandofalcoes.my.salesforce.com/0014X00002VKCrJ", "0014X00002VKCrJ")</f>
        <v>0014X00002VKCrJ</v>
      </c>
      <c r="C87" s="7" t="str">
        <f>HYPERLINK("https://gerandofalcoes.my.salesforce.com/0014X00002VKCrJQAX", "0014X00002VKCrJQAX")</f>
        <v>0014X00002VKCrJQAX</v>
      </c>
      <c r="D87" s="22" t="s">
        <v>5161</v>
      </c>
      <c r="E87" s="3" t="s">
        <v>5162</v>
      </c>
      <c r="F87" s="3"/>
      <c r="G87" s="6">
        <v>44763</v>
      </c>
      <c r="H87" s="3">
        <v>33</v>
      </c>
      <c r="I87" s="3" t="s">
        <v>5163</v>
      </c>
      <c r="J87" s="3" t="s">
        <v>5164</v>
      </c>
      <c r="K87" s="3" t="s">
        <v>5165</v>
      </c>
      <c r="L87" s="3" t="s">
        <v>84</v>
      </c>
      <c r="M87" s="3" t="s">
        <v>5166</v>
      </c>
      <c r="N87" s="3" t="s">
        <v>647</v>
      </c>
      <c r="O87" s="3">
        <v>218</v>
      </c>
      <c r="P87" s="3" t="s">
        <v>5167</v>
      </c>
      <c r="Q87" s="3" t="s">
        <v>5168</v>
      </c>
      <c r="R87" s="3" t="s">
        <v>5169</v>
      </c>
      <c r="S87" s="3" t="s">
        <v>120</v>
      </c>
      <c r="T87" s="3"/>
      <c r="U87" s="3" t="s">
        <v>3857</v>
      </c>
      <c r="V87" s="3" t="s">
        <v>5170</v>
      </c>
      <c r="W87" s="3">
        <v>2</v>
      </c>
      <c r="X87" s="3" t="s">
        <v>5171</v>
      </c>
      <c r="Y87" s="3" t="s">
        <v>5172</v>
      </c>
      <c r="Z87" s="3"/>
      <c r="AA87" s="3">
        <v>150</v>
      </c>
      <c r="AB87" s="6">
        <v>43101</v>
      </c>
      <c r="AC87" s="3" t="s">
        <v>120</v>
      </c>
      <c r="AD87" s="3">
        <v>0</v>
      </c>
      <c r="AE87" s="3">
        <v>6</v>
      </c>
      <c r="AF87" s="3">
        <v>4</v>
      </c>
      <c r="AG87" s="3" t="s">
        <v>5173</v>
      </c>
      <c r="AH87" s="3" t="s">
        <v>5174</v>
      </c>
      <c r="AI87" s="3">
        <v>1</v>
      </c>
      <c r="AJ87" s="3" t="s">
        <v>120</v>
      </c>
      <c r="AK87" s="3"/>
      <c r="AL87" s="7" t="s">
        <v>5175</v>
      </c>
      <c r="AM87" s="7" t="s">
        <v>5176</v>
      </c>
      <c r="AN87" s="7" t="s">
        <v>5177</v>
      </c>
      <c r="AO87" s="7" t="s">
        <v>5176</v>
      </c>
      <c r="AP87" s="3"/>
      <c r="AQ87" s="3"/>
      <c r="AR87" s="7" t="s">
        <v>5178</v>
      </c>
      <c r="AS87" s="3"/>
      <c r="AT87" s="7" t="s">
        <v>5179</v>
      </c>
      <c r="AU87" s="7" t="s">
        <v>5180</v>
      </c>
      <c r="AV87" s="3"/>
      <c r="AW87" s="3"/>
      <c r="AX87" s="3"/>
      <c r="AY87" s="3"/>
    </row>
    <row r="88" spans="1:51" ht="12.5" x14ac:dyDescent="0.25">
      <c r="A88" s="3" t="s">
        <v>46</v>
      </c>
      <c r="B88" s="21" t="str">
        <f>HYPERLINK("https://gerandofalcoes.my.salesforce.com/0014X00002VKCrK", "0014X00002VKCrK")</f>
        <v>0014X00002VKCrK</v>
      </c>
      <c r="C88" s="7" t="str">
        <f>HYPERLINK("https://gerandofalcoes.my.salesforce.com/0014X00002VKCrKQAX", "0014X00002VKCrKQAX")</f>
        <v>0014X00002VKCrKQAX</v>
      </c>
      <c r="D88" s="22" t="s">
        <v>5181</v>
      </c>
      <c r="E88" s="3" t="s">
        <v>5182</v>
      </c>
      <c r="F88" s="3"/>
      <c r="G88" s="6"/>
      <c r="H88" s="3"/>
      <c r="I88" s="3" t="s">
        <v>5183</v>
      </c>
      <c r="J88" s="3" t="s">
        <v>5184</v>
      </c>
      <c r="K88" s="3" t="s">
        <v>5185</v>
      </c>
      <c r="L88" s="3" t="s">
        <v>295</v>
      </c>
      <c r="M88" s="3" t="s">
        <v>5186</v>
      </c>
      <c r="N88" s="3" t="s">
        <v>5187</v>
      </c>
      <c r="O88" s="3">
        <v>14</v>
      </c>
      <c r="P88" s="3" t="s">
        <v>789</v>
      </c>
      <c r="Q88" s="3" t="s">
        <v>5188</v>
      </c>
      <c r="R88" s="3" t="s">
        <v>5189</v>
      </c>
      <c r="S88" s="3" t="s">
        <v>5190</v>
      </c>
      <c r="T88" s="3"/>
      <c r="U88" s="3" t="s">
        <v>3932</v>
      </c>
      <c r="V88" s="3" t="s">
        <v>5191</v>
      </c>
      <c r="W88" s="3">
        <v>1</v>
      </c>
      <c r="X88" s="3" t="s">
        <v>5192</v>
      </c>
      <c r="Y88" s="3"/>
      <c r="Z88" s="3"/>
      <c r="AA88" s="3">
        <v>200</v>
      </c>
      <c r="AB88" s="6">
        <v>42782</v>
      </c>
      <c r="AC88" s="3" t="s">
        <v>120</v>
      </c>
      <c r="AD88" s="3">
        <v>7</v>
      </c>
      <c r="AE88" s="3">
        <v>15</v>
      </c>
      <c r="AF88" s="3">
        <v>5</v>
      </c>
      <c r="AG88" s="3" t="s">
        <v>5193</v>
      </c>
      <c r="AH88" s="3" t="s">
        <v>5194</v>
      </c>
      <c r="AI88" s="3">
        <v>2000</v>
      </c>
      <c r="AJ88" s="3" t="s">
        <v>61</v>
      </c>
      <c r="AK88" s="3"/>
      <c r="AL88" s="3"/>
      <c r="AM88" s="7" t="s">
        <v>5195</v>
      </c>
      <c r="AN88" s="3"/>
      <c r="AO88" s="3"/>
      <c r="AP88" s="3"/>
      <c r="AQ88" s="3"/>
      <c r="AR88" s="3"/>
      <c r="AS88" s="3"/>
      <c r="AT88" s="7" t="s">
        <v>5196</v>
      </c>
      <c r="AU88" s="7" t="s">
        <v>5197</v>
      </c>
      <c r="AV88" s="3"/>
      <c r="AW88" s="3"/>
      <c r="AX88" s="3"/>
      <c r="AY88" s="3"/>
    </row>
    <row r="89" spans="1:51" ht="12.5" x14ac:dyDescent="0.25">
      <c r="A89" s="3" t="s">
        <v>46</v>
      </c>
      <c r="B89" s="21" t="str">
        <f>HYPERLINK("https://gerandofalcoes.my.salesforce.com/0014X00002VKCrL", "0014X00002VKCrL")</f>
        <v>0014X00002VKCrL</v>
      </c>
      <c r="C89" s="7" t="str">
        <f>HYPERLINK("https://gerandofalcoes.my.salesforce.com/0014X00002VKCrLQAX", "0014X00002VKCrLQAX")</f>
        <v>0014X00002VKCrLQAX</v>
      </c>
      <c r="D89" s="22" t="s">
        <v>5198</v>
      </c>
      <c r="E89" s="3" t="s">
        <v>5199</v>
      </c>
      <c r="F89" s="3"/>
      <c r="G89" s="8">
        <v>44763</v>
      </c>
      <c r="H89" s="3">
        <v>33</v>
      </c>
      <c r="I89" s="3" t="s">
        <v>5200</v>
      </c>
      <c r="J89" s="3"/>
      <c r="K89" s="3">
        <v>81991459515</v>
      </c>
      <c r="L89" s="3" t="s">
        <v>379</v>
      </c>
      <c r="M89" s="3" t="s">
        <v>5201</v>
      </c>
      <c r="N89" s="3" t="s">
        <v>5202</v>
      </c>
      <c r="O89" s="3">
        <v>681</v>
      </c>
      <c r="P89" s="3" t="s">
        <v>381</v>
      </c>
      <c r="Q89" s="3"/>
      <c r="R89" s="3" t="s">
        <v>5203</v>
      </c>
      <c r="S89" s="3"/>
      <c r="T89" s="3"/>
      <c r="U89" s="3"/>
      <c r="V89" s="3"/>
      <c r="W89" s="3">
        <v>15</v>
      </c>
      <c r="X89" s="3" t="s">
        <v>5204</v>
      </c>
      <c r="Y89" s="3" t="s">
        <v>5205</v>
      </c>
      <c r="Z89" s="3"/>
      <c r="AA89" s="3">
        <v>450</v>
      </c>
      <c r="AB89" s="6">
        <v>33147</v>
      </c>
      <c r="AC89" s="3" t="s">
        <v>120</v>
      </c>
      <c r="AD89" s="3"/>
      <c r="AE89" s="3">
        <v>55</v>
      </c>
      <c r="AF89" s="3">
        <v>2</v>
      </c>
      <c r="AG89" s="3"/>
      <c r="AH89" s="3" t="s">
        <v>5206</v>
      </c>
      <c r="AI89" s="3">
        <v>6.5</v>
      </c>
      <c r="AJ89" s="3" t="s">
        <v>120</v>
      </c>
      <c r="AK89" s="3"/>
      <c r="AL89" s="3"/>
      <c r="AM89" s="7" t="s">
        <v>5207</v>
      </c>
      <c r="AN89" s="3"/>
      <c r="AO89" s="3"/>
      <c r="AP89" s="3"/>
      <c r="AQ89" s="7" t="s">
        <v>5208</v>
      </c>
      <c r="AR89" s="3"/>
      <c r="AS89" s="3"/>
      <c r="AT89" s="3"/>
      <c r="AU89" s="3"/>
      <c r="AV89" s="3"/>
      <c r="AW89" s="3"/>
      <c r="AX89" s="3"/>
      <c r="AY89" s="3"/>
    </row>
    <row r="90" spans="1:51" ht="12.5" x14ac:dyDescent="0.25">
      <c r="A90" s="3" t="s">
        <v>46</v>
      </c>
      <c r="B90" s="21" t="str">
        <f>HYPERLINK("https://gerandofalcoes.my.salesforce.com/0014X00002VKCrM", "0014X00002VKCrM")</f>
        <v>0014X00002VKCrM</v>
      </c>
      <c r="C90" s="7" t="str">
        <f>HYPERLINK("https://gerandofalcoes.my.salesforce.com/0014X00002VKCrMQAX", "0014X00002VKCrMQAX")</f>
        <v>0014X00002VKCrMQAX</v>
      </c>
      <c r="D90" s="22" t="s">
        <v>5209</v>
      </c>
      <c r="E90" s="3" t="s">
        <v>5210</v>
      </c>
      <c r="F90" s="3"/>
      <c r="G90" s="6">
        <v>44763</v>
      </c>
      <c r="H90" s="3">
        <v>33</v>
      </c>
      <c r="I90" s="3" t="s">
        <v>5211</v>
      </c>
      <c r="J90" s="3" t="s">
        <v>5212</v>
      </c>
      <c r="K90" s="3" t="s">
        <v>5213</v>
      </c>
      <c r="L90" s="3" t="s">
        <v>379</v>
      </c>
      <c r="M90" s="3" t="s">
        <v>5214</v>
      </c>
      <c r="N90" s="3" t="s">
        <v>5202</v>
      </c>
      <c r="O90" s="3">
        <v>355</v>
      </c>
      <c r="P90" s="3" t="s">
        <v>381</v>
      </c>
      <c r="Q90" s="3" t="s">
        <v>5215</v>
      </c>
      <c r="R90" s="3" t="s">
        <v>5216</v>
      </c>
      <c r="S90" s="3" t="s">
        <v>5217</v>
      </c>
      <c r="T90" s="3"/>
      <c r="U90" s="3" t="s">
        <v>3913</v>
      </c>
      <c r="V90" s="3" t="s">
        <v>5218</v>
      </c>
      <c r="W90" s="3">
        <v>6</v>
      </c>
      <c r="X90" s="3" t="s">
        <v>5219</v>
      </c>
      <c r="Y90" s="3" t="s">
        <v>5220</v>
      </c>
      <c r="Z90" s="3"/>
      <c r="AA90" s="3">
        <v>500</v>
      </c>
      <c r="AB90" s="6">
        <v>44425</v>
      </c>
      <c r="AC90" s="3" t="s">
        <v>120</v>
      </c>
      <c r="AD90" s="3">
        <v>0</v>
      </c>
      <c r="AE90" s="3">
        <v>22</v>
      </c>
      <c r="AF90" s="3">
        <v>2</v>
      </c>
      <c r="AG90" s="3" t="s">
        <v>5221</v>
      </c>
      <c r="AH90" s="3" t="s">
        <v>2024</v>
      </c>
      <c r="AI90" s="3">
        <v>1000</v>
      </c>
      <c r="AJ90" s="3" t="s">
        <v>62</v>
      </c>
      <c r="AK90" s="3"/>
      <c r="AL90" s="3"/>
      <c r="AM90" s="7" t="s">
        <v>5222</v>
      </c>
      <c r="AN90" s="3"/>
      <c r="AO90" s="3"/>
      <c r="AP90" s="3"/>
      <c r="AQ90" s="3"/>
      <c r="AR90" s="3"/>
      <c r="AS90" s="3"/>
      <c r="AT90" s="3"/>
      <c r="AU90" s="3"/>
      <c r="AV90" s="3"/>
      <c r="AW90" s="3"/>
      <c r="AX90" s="3"/>
      <c r="AY90" s="3"/>
    </row>
    <row r="91" spans="1:51" ht="12.5" x14ac:dyDescent="0.25">
      <c r="A91" s="3" t="s">
        <v>46</v>
      </c>
      <c r="B91" s="21" t="str">
        <f>HYPERLINK("https://gerandofalcoes.my.salesforce.com/0014X00002VKCrN", "0014X00002VKCrN")</f>
        <v>0014X00002VKCrN</v>
      </c>
      <c r="C91" s="7" t="str">
        <f>HYPERLINK("https://gerandofalcoes.my.salesforce.com/0014X00002VKCrNQAX", "0014X00002VKCrNQAX")</f>
        <v>0014X00002VKCrNQAX</v>
      </c>
      <c r="D91" s="22" t="s">
        <v>5223</v>
      </c>
      <c r="E91" s="3" t="s">
        <v>5224</v>
      </c>
      <c r="F91" s="3" t="s">
        <v>5225</v>
      </c>
      <c r="G91" s="6">
        <v>44763</v>
      </c>
      <c r="H91" s="3">
        <v>33</v>
      </c>
      <c r="I91" s="3" t="s">
        <v>5226</v>
      </c>
      <c r="J91" s="3" t="s">
        <v>5227</v>
      </c>
      <c r="K91" s="3" t="s">
        <v>5228</v>
      </c>
      <c r="L91" s="3" t="s">
        <v>379</v>
      </c>
      <c r="M91" s="3" t="s">
        <v>5229</v>
      </c>
      <c r="N91" s="3" t="s">
        <v>5230</v>
      </c>
      <c r="O91" s="3">
        <v>514</v>
      </c>
      <c r="P91" s="3" t="s">
        <v>5231</v>
      </c>
      <c r="Q91" s="3"/>
      <c r="R91" s="3" t="s">
        <v>5232</v>
      </c>
      <c r="S91" s="3"/>
      <c r="T91" s="3"/>
      <c r="U91" s="3" t="s">
        <v>5233</v>
      </c>
      <c r="V91" s="3" t="s">
        <v>5234</v>
      </c>
      <c r="W91" s="3">
        <v>5</v>
      </c>
      <c r="X91" s="3" t="s">
        <v>5235</v>
      </c>
      <c r="Y91" s="3" t="s">
        <v>5236</v>
      </c>
      <c r="Z91" s="3"/>
      <c r="AA91" s="3">
        <v>230</v>
      </c>
      <c r="AB91" s="8">
        <v>40221</v>
      </c>
      <c r="AC91" s="3" t="s">
        <v>62</v>
      </c>
      <c r="AD91" s="3">
        <v>10</v>
      </c>
      <c r="AE91" s="3">
        <v>10</v>
      </c>
      <c r="AF91" s="3">
        <v>2</v>
      </c>
      <c r="AG91" s="3" t="s">
        <v>3917</v>
      </c>
      <c r="AH91" s="3" t="s">
        <v>5237</v>
      </c>
      <c r="AI91" s="3">
        <v>20000</v>
      </c>
      <c r="AJ91" s="3" t="s">
        <v>120</v>
      </c>
      <c r="AK91" s="3"/>
      <c r="AL91" s="3"/>
      <c r="AM91" s="3" t="s">
        <v>5238</v>
      </c>
      <c r="AN91" s="3"/>
      <c r="AO91" s="3"/>
      <c r="AP91" s="3"/>
      <c r="AQ91" s="7" t="s">
        <v>5239</v>
      </c>
      <c r="AR91" s="7" t="s">
        <v>5240</v>
      </c>
      <c r="AS91" s="7" t="s">
        <v>5241</v>
      </c>
      <c r="AT91" s="7" t="s">
        <v>5242</v>
      </c>
      <c r="AU91" s="7" t="s">
        <v>5243</v>
      </c>
      <c r="AV91" s="3"/>
      <c r="AW91" s="3"/>
      <c r="AX91" s="3"/>
      <c r="AY91" s="3"/>
    </row>
    <row r="92" spans="1:51" ht="12.5" x14ac:dyDescent="0.25">
      <c r="A92" s="3" t="s">
        <v>46</v>
      </c>
      <c r="B92" s="21" t="str">
        <f>HYPERLINK("https://gerandofalcoes.my.salesforce.com/0014X00002VKCrO", "0014X00002VKCrO")</f>
        <v>0014X00002VKCrO</v>
      </c>
      <c r="C92" s="7" t="str">
        <f>HYPERLINK("https://gerandofalcoes.my.salesforce.com/0014X00002VKCrOQAX", "0014X00002VKCrOQAX")</f>
        <v>0014X00002VKCrOQAX</v>
      </c>
      <c r="D92" s="22" t="s">
        <v>5244</v>
      </c>
      <c r="E92" s="3" t="s">
        <v>5245</v>
      </c>
      <c r="F92" s="3"/>
      <c r="G92" s="6"/>
      <c r="H92" s="3"/>
      <c r="I92" s="3" t="s">
        <v>5246</v>
      </c>
      <c r="J92" s="3"/>
      <c r="K92" s="3" t="s">
        <v>5247</v>
      </c>
      <c r="L92" s="3" t="s">
        <v>379</v>
      </c>
      <c r="M92" s="3" t="s">
        <v>5248</v>
      </c>
      <c r="N92" s="3" t="s">
        <v>5249</v>
      </c>
      <c r="O92" s="3">
        <v>0</v>
      </c>
      <c r="P92" s="3" t="s">
        <v>381</v>
      </c>
      <c r="Q92" s="3">
        <v>0</v>
      </c>
      <c r="R92" s="3" t="s">
        <v>5250</v>
      </c>
      <c r="S92" s="3"/>
      <c r="T92" s="3"/>
      <c r="U92" s="3" t="s">
        <v>5108</v>
      </c>
      <c r="V92" s="3" t="s">
        <v>3800</v>
      </c>
      <c r="W92" s="3">
        <v>12</v>
      </c>
      <c r="X92" s="3" t="s">
        <v>5251</v>
      </c>
      <c r="Y92" s="3" t="s">
        <v>5252</v>
      </c>
      <c r="Z92" s="3"/>
      <c r="AA92" s="3">
        <v>20</v>
      </c>
      <c r="AB92" s="6">
        <v>44105</v>
      </c>
      <c r="AC92" s="3" t="s">
        <v>120</v>
      </c>
      <c r="AD92" s="3">
        <v>0</v>
      </c>
      <c r="AE92" s="3">
        <v>2</v>
      </c>
      <c r="AF92" s="3">
        <v>3</v>
      </c>
      <c r="AG92" s="3" t="s">
        <v>5253</v>
      </c>
      <c r="AH92" s="3" t="s">
        <v>5254</v>
      </c>
      <c r="AI92" s="3">
        <v>15000</v>
      </c>
      <c r="AJ92" s="3" t="s">
        <v>62</v>
      </c>
      <c r="AK92" s="3"/>
      <c r="AL92" s="3"/>
      <c r="AM92" s="7" t="s">
        <v>5255</v>
      </c>
      <c r="AN92" s="3"/>
      <c r="AO92" s="3"/>
      <c r="AP92" s="3"/>
      <c r="AQ92" s="3"/>
      <c r="AR92" s="3"/>
      <c r="AS92" s="3"/>
      <c r="AT92" s="7" t="s">
        <v>5256</v>
      </c>
      <c r="AU92" s="7" t="s">
        <v>5257</v>
      </c>
      <c r="AV92" s="3"/>
      <c r="AW92" s="3"/>
      <c r="AX92" s="3"/>
      <c r="AY92" s="3"/>
    </row>
    <row r="93" spans="1:51" ht="12.5" x14ac:dyDescent="0.25">
      <c r="A93" s="3" t="s">
        <v>46</v>
      </c>
      <c r="B93" s="21" t="str">
        <f>HYPERLINK("https://gerandofalcoes.my.salesforce.com/0014X00002VKCrQ", "0014X00002VKCrQ")</f>
        <v>0014X00002VKCrQ</v>
      </c>
      <c r="C93" s="7" t="str">
        <f>HYPERLINK("https://gerandofalcoes.my.salesforce.com/0014X00002VKCrQQAX", "0014X00002VKCrQQAX")</f>
        <v>0014X00002VKCrQQAX</v>
      </c>
      <c r="D93" s="22" t="s">
        <v>5258</v>
      </c>
      <c r="E93" s="3" t="s">
        <v>5259</v>
      </c>
      <c r="F93" s="3"/>
      <c r="G93" s="6">
        <v>44763</v>
      </c>
      <c r="H93" s="3">
        <v>33</v>
      </c>
      <c r="I93" s="3" t="s">
        <v>5260</v>
      </c>
      <c r="J93" s="3" t="s">
        <v>5261</v>
      </c>
      <c r="K93" s="3" t="s">
        <v>5262</v>
      </c>
      <c r="L93" s="3" t="s">
        <v>379</v>
      </c>
      <c r="M93" s="3" t="s">
        <v>5263</v>
      </c>
      <c r="N93" s="3">
        <v>816</v>
      </c>
      <c r="O93" s="3">
        <v>816</v>
      </c>
      <c r="P93" s="3" t="s">
        <v>381</v>
      </c>
      <c r="Q93" s="3">
        <v>1202</v>
      </c>
      <c r="R93" s="3" t="s">
        <v>5264</v>
      </c>
      <c r="S93" s="3" t="s">
        <v>5265</v>
      </c>
      <c r="T93" s="3" t="s">
        <v>5266</v>
      </c>
      <c r="U93" s="3" t="s">
        <v>3857</v>
      </c>
      <c r="V93" s="3" t="s">
        <v>4154</v>
      </c>
      <c r="W93" s="3">
        <v>300</v>
      </c>
      <c r="X93" s="3">
        <v>2</v>
      </c>
      <c r="Y93" s="3"/>
      <c r="Z93" s="3"/>
      <c r="AA93" s="3">
        <v>8</v>
      </c>
      <c r="AB93" s="6">
        <v>44043</v>
      </c>
      <c r="AC93" s="3" t="s">
        <v>120</v>
      </c>
      <c r="AD93" s="3">
        <v>0</v>
      </c>
      <c r="AE93" s="3">
        <v>30</v>
      </c>
      <c r="AF93" s="3">
        <v>2</v>
      </c>
      <c r="AG93" s="3" t="s">
        <v>3819</v>
      </c>
      <c r="AH93" s="3">
        <v>2</v>
      </c>
      <c r="AI93" s="3">
        <v>40000</v>
      </c>
      <c r="AJ93" s="3" t="s">
        <v>120</v>
      </c>
      <c r="AK93" s="3"/>
      <c r="AL93" s="3"/>
      <c r="AM93" s="7" t="s">
        <v>5267</v>
      </c>
      <c r="AN93" s="3"/>
      <c r="AO93" s="7" t="s">
        <v>5268</v>
      </c>
      <c r="AP93" s="3"/>
      <c r="AQ93" s="3"/>
      <c r="AR93" s="3"/>
      <c r="AS93" s="3"/>
      <c r="AT93" s="3"/>
      <c r="AU93" s="7" t="s">
        <v>5269</v>
      </c>
      <c r="AV93" s="3"/>
      <c r="AW93" s="3"/>
      <c r="AX93" s="3"/>
      <c r="AY93" s="3"/>
    </row>
    <row r="94" spans="1:51" ht="12.5" x14ac:dyDescent="0.25">
      <c r="A94" s="3" t="s">
        <v>46</v>
      </c>
      <c r="B94" s="21" t="str">
        <f>HYPERLINK("https://gerandofalcoes.my.salesforce.com/0014X00002VKCs0", "0014X00002VKCs0")</f>
        <v>0014X00002VKCs0</v>
      </c>
      <c r="C94" s="7" t="str">
        <f>HYPERLINK("https://gerandofalcoes.my.salesforce.com/0014X00002VKCs0QAH", "0014X00002VKCs0QAH")</f>
        <v>0014X00002VKCs0QAH</v>
      </c>
      <c r="D94" s="3" t="s">
        <v>5270</v>
      </c>
      <c r="E94" s="3" t="s">
        <v>5271</v>
      </c>
      <c r="F94" s="3"/>
      <c r="G94" s="6">
        <v>44763</v>
      </c>
      <c r="H94" s="3">
        <v>33</v>
      </c>
      <c r="I94" s="3" t="s">
        <v>5272</v>
      </c>
      <c r="J94" s="3" t="s">
        <v>5273</v>
      </c>
      <c r="K94" s="3" t="s">
        <v>5274</v>
      </c>
      <c r="L94" s="3" t="s">
        <v>379</v>
      </c>
      <c r="M94" s="3" t="s">
        <v>5275</v>
      </c>
      <c r="N94" s="3" t="s">
        <v>5276</v>
      </c>
      <c r="O94" s="3" t="s">
        <v>5277</v>
      </c>
      <c r="P94" s="3" t="s">
        <v>381</v>
      </c>
      <c r="Q94" s="3" t="s">
        <v>5278</v>
      </c>
      <c r="R94" s="3" t="s">
        <v>5279</v>
      </c>
      <c r="S94" s="3"/>
      <c r="T94" s="3"/>
      <c r="U94" s="3" t="s">
        <v>5280</v>
      </c>
      <c r="V94" s="3" t="s">
        <v>4945</v>
      </c>
      <c r="W94" s="3">
        <v>2</v>
      </c>
      <c r="X94" s="3" t="s">
        <v>5281</v>
      </c>
      <c r="Y94" s="3"/>
      <c r="Z94" s="3"/>
      <c r="AA94" s="3">
        <v>1200</v>
      </c>
      <c r="AB94" s="6">
        <v>43862</v>
      </c>
      <c r="AC94" s="3" t="s">
        <v>120</v>
      </c>
      <c r="AD94" s="3">
        <v>0</v>
      </c>
      <c r="AE94" s="3">
        <v>15</v>
      </c>
      <c r="AF94" s="3">
        <v>2</v>
      </c>
      <c r="AG94" s="3" t="s">
        <v>5221</v>
      </c>
      <c r="AH94" s="3">
        <v>0</v>
      </c>
      <c r="AI94" s="3">
        <v>10000</v>
      </c>
      <c r="AJ94" s="3" t="s">
        <v>61</v>
      </c>
      <c r="AK94" s="3"/>
      <c r="AL94" s="3"/>
      <c r="AM94" s="3" t="s">
        <v>5282</v>
      </c>
      <c r="AN94" s="3"/>
      <c r="AO94" s="3"/>
      <c r="AP94" s="3"/>
      <c r="AQ94" s="3"/>
      <c r="AR94" s="3"/>
      <c r="AS94" s="3"/>
      <c r="AT94" s="3"/>
      <c r="AU94" s="7" t="s">
        <v>5283</v>
      </c>
      <c r="AV94" s="3"/>
      <c r="AW94" s="3"/>
      <c r="AX94" s="3"/>
      <c r="AY94" s="3"/>
    </row>
    <row r="95" spans="1:51" ht="12.5" x14ac:dyDescent="0.25">
      <c r="A95" s="3" t="s">
        <v>46</v>
      </c>
      <c r="B95" s="21" t="str">
        <f>HYPERLINK("https://gerandofalcoes.my.salesforce.com/0014X00002VKCs2", "0014X00002VKCs2")</f>
        <v>0014X00002VKCs2</v>
      </c>
      <c r="C95" s="7" t="str">
        <f>HYPERLINK("https://gerandofalcoes.my.salesforce.com/0014X00002VKCs2QAH", "0014X00002VKCs2QAH")</f>
        <v>0014X00002VKCs2QAH</v>
      </c>
      <c r="D95" s="3" t="s">
        <v>5284</v>
      </c>
      <c r="E95" s="3" t="s">
        <v>5285</v>
      </c>
      <c r="F95" s="3"/>
      <c r="G95" s="6">
        <v>44763</v>
      </c>
      <c r="H95" s="3">
        <v>33</v>
      </c>
      <c r="I95" s="3" t="s">
        <v>5286</v>
      </c>
      <c r="J95" s="3" t="s">
        <v>5287</v>
      </c>
      <c r="K95" s="3" t="s">
        <v>5288</v>
      </c>
      <c r="L95" s="3" t="s">
        <v>379</v>
      </c>
      <c r="M95" s="3" t="s">
        <v>5289</v>
      </c>
      <c r="N95" s="3" t="s">
        <v>5290</v>
      </c>
      <c r="O95" s="3">
        <v>85</v>
      </c>
      <c r="P95" s="3" t="s">
        <v>381</v>
      </c>
      <c r="Q95" s="3" t="s">
        <v>5291</v>
      </c>
      <c r="R95" s="3" t="s">
        <v>5292</v>
      </c>
      <c r="S95" s="3" t="s">
        <v>5293</v>
      </c>
      <c r="T95" s="3"/>
      <c r="U95" s="3" t="s">
        <v>4346</v>
      </c>
      <c r="V95" s="3" t="s">
        <v>5294</v>
      </c>
      <c r="W95" s="3">
        <v>2</v>
      </c>
      <c r="X95" s="3" t="s">
        <v>5295</v>
      </c>
      <c r="Y95" s="3"/>
      <c r="Z95" s="3"/>
      <c r="AA95" s="3">
        <v>250</v>
      </c>
      <c r="AB95" s="8">
        <v>44915</v>
      </c>
      <c r="AC95" s="3" t="s">
        <v>120</v>
      </c>
      <c r="AD95" s="3">
        <v>0</v>
      </c>
      <c r="AE95" s="3">
        <v>0</v>
      </c>
      <c r="AF95" s="3">
        <v>2</v>
      </c>
      <c r="AG95" s="3" t="s">
        <v>3819</v>
      </c>
      <c r="AH95" s="3" t="s">
        <v>4157</v>
      </c>
      <c r="AI95" s="3">
        <v>2500</v>
      </c>
      <c r="AJ95" s="3" t="s">
        <v>120</v>
      </c>
      <c r="AK95" s="3"/>
      <c r="AL95" s="7" t="s">
        <v>5296</v>
      </c>
      <c r="AM95" s="7" t="s">
        <v>5297</v>
      </c>
      <c r="AN95" s="3"/>
      <c r="AO95" s="3"/>
      <c r="AP95" s="3"/>
      <c r="AQ95" s="3"/>
      <c r="AR95" s="3"/>
      <c r="AS95" s="3"/>
      <c r="AT95" s="3"/>
      <c r="AU95" s="7" t="s">
        <v>5298</v>
      </c>
      <c r="AV95" s="3"/>
      <c r="AW95" s="3"/>
      <c r="AX95" s="3"/>
      <c r="AY95" s="3"/>
    </row>
    <row r="96" spans="1:51" ht="12.5" x14ac:dyDescent="0.25">
      <c r="A96" s="3" t="s">
        <v>46</v>
      </c>
      <c r="B96" s="21" t="str">
        <f>HYPERLINK("https://gerandofalcoes.my.salesforce.com/0014X00002VKCs4", "0014X00002VKCs4")</f>
        <v>0014X00002VKCs4</v>
      </c>
      <c r="C96" s="7" t="str">
        <f>HYPERLINK("https://gerandofalcoes.my.salesforce.com/0014X00002VKCs4QAH", "0014X00002VKCs4QAH")</f>
        <v>0014X00002VKCs4QAH</v>
      </c>
      <c r="D96" s="3" t="s">
        <v>5299</v>
      </c>
      <c r="E96" s="3" t="s">
        <v>5300</v>
      </c>
      <c r="F96" s="3"/>
      <c r="G96" s="6">
        <v>44763</v>
      </c>
      <c r="H96" s="3">
        <v>33</v>
      </c>
      <c r="I96" s="3" t="s">
        <v>5301</v>
      </c>
      <c r="J96" s="3" t="s">
        <v>5302</v>
      </c>
      <c r="K96" s="3"/>
      <c r="L96" s="3" t="s">
        <v>379</v>
      </c>
      <c r="M96" s="3" t="s">
        <v>5303</v>
      </c>
      <c r="N96" s="3" t="s">
        <v>5304</v>
      </c>
      <c r="O96" s="3">
        <v>336</v>
      </c>
      <c r="P96" s="3" t="s">
        <v>5305</v>
      </c>
      <c r="Q96" s="3"/>
      <c r="R96" s="3" t="s">
        <v>5306</v>
      </c>
      <c r="S96" s="3"/>
      <c r="T96" s="3"/>
      <c r="U96" s="3"/>
      <c r="V96" s="3"/>
      <c r="W96" s="3">
        <v>4</v>
      </c>
      <c r="X96" s="3" t="s">
        <v>5307</v>
      </c>
      <c r="Y96" s="3"/>
      <c r="Z96" s="3"/>
      <c r="AA96" s="3">
        <v>60</v>
      </c>
      <c r="AB96" s="6">
        <v>44421</v>
      </c>
      <c r="AC96" s="3" t="s">
        <v>120</v>
      </c>
      <c r="AD96" s="3"/>
      <c r="AE96" s="3">
        <v>8</v>
      </c>
      <c r="AF96" s="3">
        <v>0</v>
      </c>
      <c r="AG96" s="3"/>
      <c r="AH96" s="3"/>
      <c r="AI96" s="3"/>
      <c r="AJ96" s="3"/>
      <c r="AK96" s="3"/>
      <c r="AL96" s="3"/>
      <c r="AM96" s="7" t="s">
        <v>5308</v>
      </c>
      <c r="AN96" s="3"/>
      <c r="AO96" s="3"/>
      <c r="AP96" s="3"/>
      <c r="AQ96" s="3"/>
      <c r="AR96" s="3"/>
      <c r="AS96" s="3"/>
      <c r="AT96" s="3"/>
      <c r="AU96" s="7" t="s">
        <v>5309</v>
      </c>
      <c r="AV96" s="3"/>
      <c r="AW96" s="3"/>
      <c r="AX96" s="3"/>
      <c r="AY96" s="3"/>
    </row>
    <row r="97" spans="1:51" ht="12.5" x14ac:dyDescent="0.25">
      <c r="A97" s="3" t="s">
        <v>46</v>
      </c>
      <c r="B97" s="21" t="str">
        <f>HYPERLINK("https://gerandofalcoes.my.salesforce.com/0014X00002VKCs5", "0014X00002VKCs5")</f>
        <v>0014X00002VKCs5</v>
      </c>
      <c r="C97" s="7" t="str">
        <f>HYPERLINK("https://gerandofalcoes.my.salesforce.com/0014X00002VKCs5QAH", "0014X00002VKCs5QAH")</f>
        <v>0014X00002VKCs5QAH</v>
      </c>
      <c r="D97" s="3" t="s">
        <v>5310</v>
      </c>
      <c r="E97" s="3" t="s">
        <v>5311</v>
      </c>
      <c r="F97" s="3" t="s">
        <v>5312</v>
      </c>
      <c r="G97" s="6"/>
      <c r="H97" s="3"/>
      <c r="I97" s="3" t="s">
        <v>5313</v>
      </c>
      <c r="J97" s="3" t="s">
        <v>5314</v>
      </c>
      <c r="K97" s="3" t="s">
        <v>5315</v>
      </c>
      <c r="L97" s="3" t="s">
        <v>5316</v>
      </c>
      <c r="M97" s="3" t="s">
        <v>5317</v>
      </c>
      <c r="N97" s="3" t="s">
        <v>5318</v>
      </c>
      <c r="O97" s="3">
        <v>94</v>
      </c>
      <c r="P97" s="3" t="s">
        <v>5319</v>
      </c>
      <c r="Q97" s="3"/>
      <c r="R97" s="3" t="s">
        <v>5320</v>
      </c>
      <c r="S97" s="3" t="s">
        <v>62</v>
      </c>
      <c r="T97" s="3"/>
      <c r="U97" s="3" t="s">
        <v>3857</v>
      </c>
      <c r="V97" s="3" t="s">
        <v>3982</v>
      </c>
      <c r="W97" s="3">
        <v>28</v>
      </c>
      <c r="X97" s="3" t="s">
        <v>5321</v>
      </c>
      <c r="Y97" s="3" t="s">
        <v>5322</v>
      </c>
      <c r="Z97" s="3"/>
      <c r="AA97" s="3">
        <v>1150</v>
      </c>
      <c r="AB97" s="8">
        <v>42234</v>
      </c>
      <c r="AC97" s="3" t="s">
        <v>62</v>
      </c>
      <c r="AD97" s="3">
        <v>0</v>
      </c>
      <c r="AE97" s="3">
        <v>0</v>
      </c>
      <c r="AF97" s="3">
        <v>2</v>
      </c>
      <c r="AG97" s="3" t="s">
        <v>565</v>
      </c>
      <c r="AH97" s="3" t="s">
        <v>2157</v>
      </c>
      <c r="AI97" s="3">
        <v>49600</v>
      </c>
      <c r="AJ97" s="3" t="s">
        <v>120</v>
      </c>
      <c r="AK97" s="3"/>
      <c r="AL97" s="7" t="s">
        <v>5323</v>
      </c>
      <c r="AM97" s="7" t="s">
        <v>5323</v>
      </c>
      <c r="AN97" s="7" t="s">
        <v>5324</v>
      </c>
      <c r="AO97" s="3"/>
      <c r="AP97" s="3"/>
      <c r="AQ97" s="3"/>
      <c r="AR97" s="7" t="s">
        <v>5325</v>
      </c>
      <c r="AS97" s="7" t="s">
        <v>5326</v>
      </c>
      <c r="AT97" s="3"/>
      <c r="AU97" s="3"/>
      <c r="AV97" s="3"/>
      <c r="AW97" s="3"/>
      <c r="AX97" s="3"/>
      <c r="AY97" s="3"/>
    </row>
    <row r="98" spans="1:51" ht="12.5" x14ac:dyDescent="0.25">
      <c r="A98" s="3" t="s">
        <v>46</v>
      </c>
      <c r="B98" s="21" t="str">
        <f>HYPERLINK("https://gerandofalcoes.my.salesforce.com/0014X00002VKCpb", "0014X00002VKCpb")</f>
        <v>0014X00002VKCpb</v>
      </c>
      <c r="C98" s="7" t="str">
        <f>HYPERLINK("https://gerandofalcoes.my.salesforce.com/0014X00002VKCpbQAH", "0014X00002VKCpbQAH")</f>
        <v>0014X00002VKCpbQAH</v>
      </c>
      <c r="D98" s="3" t="s">
        <v>5327</v>
      </c>
      <c r="E98" s="3" t="s">
        <v>5327</v>
      </c>
      <c r="F98" s="3"/>
      <c r="G98" s="6">
        <v>44763</v>
      </c>
      <c r="H98" s="3">
        <v>33</v>
      </c>
      <c r="I98" s="3" t="s">
        <v>5328</v>
      </c>
      <c r="J98" s="3"/>
      <c r="K98" s="3" t="s">
        <v>5329</v>
      </c>
      <c r="L98" s="3" t="s">
        <v>1002</v>
      </c>
      <c r="M98" s="3" t="s">
        <v>5330</v>
      </c>
      <c r="N98" s="3" t="s">
        <v>647</v>
      </c>
      <c r="O98" s="3">
        <v>0</v>
      </c>
      <c r="P98" s="3" t="s">
        <v>5331</v>
      </c>
      <c r="Q98" s="3"/>
      <c r="R98" s="3" t="s">
        <v>5332</v>
      </c>
      <c r="S98" s="3"/>
      <c r="T98" s="3"/>
      <c r="U98" s="3" t="s">
        <v>4062</v>
      </c>
      <c r="V98" s="3" t="s">
        <v>4960</v>
      </c>
      <c r="W98" s="3">
        <v>0</v>
      </c>
      <c r="X98" s="3" t="s">
        <v>5333</v>
      </c>
      <c r="Y98" s="3" t="s">
        <v>5334</v>
      </c>
      <c r="Z98" s="3"/>
      <c r="AA98" s="3">
        <v>3</v>
      </c>
      <c r="AB98" s="6">
        <v>44691</v>
      </c>
      <c r="AC98" s="3" t="s">
        <v>120</v>
      </c>
      <c r="AD98" s="3">
        <v>20</v>
      </c>
      <c r="AE98" s="3">
        <v>10</v>
      </c>
      <c r="AF98" s="3">
        <v>2</v>
      </c>
      <c r="AG98" s="3" t="s">
        <v>4156</v>
      </c>
      <c r="AH98" s="3" t="s">
        <v>5335</v>
      </c>
      <c r="AI98" s="3">
        <v>2000</v>
      </c>
      <c r="AJ98" s="3" t="s">
        <v>61</v>
      </c>
      <c r="AK98" s="3"/>
      <c r="AL98" s="3"/>
      <c r="AM98" s="3"/>
      <c r="AN98" s="3"/>
      <c r="AO98" s="3"/>
      <c r="AP98" s="3"/>
      <c r="AQ98" s="3"/>
      <c r="AR98" s="3"/>
      <c r="AS98" s="3"/>
      <c r="AT98" s="3"/>
      <c r="AU98" s="3"/>
      <c r="AV98" s="3"/>
      <c r="AW98" s="3"/>
      <c r="AX98" s="3"/>
      <c r="AY98" s="3"/>
    </row>
    <row r="99" spans="1:51" ht="12.5" x14ac:dyDescent="0.25">
      <c r="A99" s="3" t="s">
        <v>46</v>
      </c>
      <c r="B99" s="21" t="str">
        <f>HYPERLINK("https://gerandofalcoes.my.salesforce.com/0014X00002VKCpc", "0014X00002VKCpc")</f>
        <v>0014X00002VKCpc</v>
      </c>
      <c r="C99" s="7" t="str">
        <f>HYPERLINK("https://gerandofalcoes.my.salesforce.com/0014X00002VKCpcQAH", "0014X00002VKCpcQAH")</f>
        <v>0014X00002VKCpcQAH</v>
      </c>
      <c r="D99" s="3" t="s">
        <v>5336</v>
      </c>
      <c r="E99" s="3" t="s">
        <v>5337</v>
      </c>
      <c r="F99" s="3" t="s">
        <v>5338</v>
      </c>
      <c r="G99" s="6">
        <v>44763</v>
      </c>
      <c r="H99" s="3">
        <v>33</v>
      </c>
      <c r="I99" s="3" t="s">
        <v>5339</v>
      </c>
      <c r="J99" s="3" t="s">
        <v>5340</v>
      </c>
      <c r="K99" s="3" t="s">
        <v>5341</v>
      </c>
      <c r="L99" s="3" t="s">
        <v>1002</v>
      </c>
      <c r="M99" s="3" t="s">
        <v>5342</v>
      </c>
      <c r="N99" s="3" t="s">
        <v>5343</v>
      </c>
      <c r="O99" s="3">
        <v>96</v>
      </c>
      <c r="P99" s="3" t="s">
        <v>5344</v>
      </c>
      <c r="Q99" s="3" t="s">
        <v>673</v>
      </c>
      <c r="R99" s="3" t="s">
        <v>5345</v>
      </c>
      <c r="S99" s="3"/>
      <c r="T99" s="3"/>
      <c r="U99" s="3" t="s">
        <v>3913</v>
      </c>
      <c r="V99" s="3" t="s">
        <v>4656</v>
      </c>
      <c r="W99" s="3">
        <v>2</v>
      </c>
      <c r="X99" s="3" t="s">
        <v>5346</v>
      </c>
      <c r="Y99" s="3"/>
      <c r="Z99" s="3"/>
      <c r="AA99" s="3">
        <v>20</v>
      </c>
      <c r="AB99" s="6">
        <v>44176</v>
      </c>
      <c r="AC99" s="3" t="s">
        <v>62</v>
      </c>
      <c r="AD99" s="3">
        <v>0</v>
      </c>
      <c r="AE99" s="3">
        <v>8</v>
      </c>
      <c r="AF99" s="3">
        <v>2</v>
      </c>
      <c r="AG99" s="3" t="s">
        <v>4947</v>
      </c>
      <c r="AH99" s="3">
        <v>0</v>
      </c>
      <c r="AI99" s="3">
        <v>98000</v>
      </c>
      <c r="AJ99" s="3" t="s">
        <v>61</v>
      </c>
      <c r="AK99" s="3"/>
      <c r="AL99" s="7" t="s">
        <v>5347</v>
      </c>
      <c r="AM99" s="7" t="s">
        <v>5348</v>
      </c>
      <c r="AN99" s="3"/>
      <c r="AO99" s="3"/>
      <c r="AP99" s="3"/>
      <c r="AQ99" s="3"/>
      <c r="AR99" s="3"/>
      <c r="AS99" s="3"/>
      <c r="AT99" s="3"/>
      <c r="AU99" s="3"/>
      <c r="AV99" s="3"/>
      <c r="AW99" s="3"/>
      <c r="AX99" s="3"/>
      <c r="AY99" s="3"/>
    </row>
    <row r="100" spans="1:51" ht="12.5" x14ac:dyDescent="0.25">
      <c r="A100" s="3" t="s">
        <v>46</v>
      </c>
      <c r="B100" s="21" t="str">
        <f>HYPERLINK("https://gerandofalcoes.my.salesforce.com/0014X00002VKCpd", "0014X00002VKCpd")</f>
        <v>0014X00002VKCpd</v>
      </c>
      <c r="C100" s="7" t="str">
        <f>HYPERLINK("https://gerandofalcoes.my.salesforce.com/0014X00002VKCpdQAH", "0014X00002VKCpdQAH")</f>
        <v>0014X00002VKCpdQAH</v>
      </c>
      <c r="D100" s="3" t="s">
        <v>5349</v>
      </c>
      <c r="E100" s="3" t="s">
        <v>5350</v>
      </c>
      <c r="F100" s="3" t="s">
        <v>5351</v>
      </c>
      <c r="G100" s="6">
        <v>44763</v>
      </c>
      <c r="H100" s="3">
        <v>33</v>
      </c>
      <c r="I100" s="3" t="s">
        <v>5352</v>
      </c>
      <c r="J100" s="3" t="s">
        <v>5353</v>
      </c>
      <c r="K100" s="3" t="s">
        <v>5354</v>
      </c>
      <c r="L100" s="3" t="s">
        <v>51</v>
      </c>
      <c r="M100" s="3" t="s">
        <v>5355</v>
      </c>
      <c r="N100" s="3" t="s">
        <v>5356</v>
      </c>
      <c r="O100" s="3" t="s">
        <v>5357</v>
      </c>
      <c r="P100" s="3" t="s">
        <v>5358</v>
      </c>
      <c r="Q100" s="3" t="s">
        <v>5359</v>
      </c>
      <c r="R100" s="3" t="s">
        <v>5360</v>
      </c>
      <c r="S100" s="3" t="s">
        <v>5361</v>
      </c>
      <c r="T100" s="3"/>
      <c r="U100" s="3" t="s">
        <v>4062</v>
      </c>
      <c r="V100" s="3" t="s">
        <v>3800</v>
      </c>
      <c r="W100" s="3">
        <v>1</v>
      </c>
      <c r="X100" s="3" t="s">
        <v>5356</v>
      </c>
      <c r="Y100" s="3"/>
      <c r="Z100" s="3"/>
      <c r="AA100" s="3">
        <v>520</v>
      </c>
      <c r="AB100" s="8">
        <v>41157</v>
      </c>
      <c r="AC100" s="3" t="s">
        <v>62</v>
      </c>
      <c r="AD100" s="3">
        <v>22</v>
      </c>
      <c r="AE100" s="3">
        <v>30</v>
      </c>
      <c r="AF100" s="3">
        <v>3</v>
      </c>
      <c r="AG100" s="3" t="s">
        <v>5362</v>
      </c>
      <c r="AH100" s="3">
        <v>0</v>
      </c>
      <c r="AI100" s="3">
        <v>1171000</v>
      </c>
      <c r="AJ100" s="3" t="s">
        <v>120</v>
      </c>
      <c r="AK100" s="3"/>
      <c r="AL100" s="7" t="s">
        <v>5363</v>
      </c>
      <c r="AM100" s="7" t="s">
        <v>5364</v>
      </c>
      <c r="AN100" s="7" t="s">
        <v>5365</v>
      </c>
      <c r="AO100" s="3"/>
      <c r="AQ100" s="7" t="s">
        <v>5366</v>
      </c>
      <c r="AR100" s="7" t="s">
        <v>5367</v>
      </c>
      <c r="AS100" s="7" t="s">
        <v>5368</v>
      </c>
      <c r="AT100" s="7" t="s">
        <v>5369</v>
      </c>
      <c r="AU100" s="7" t="s">
        <v>5370</v>
      </c>
      <c r="AV100" s="3"/>
      <c r="AW100" s="3"/>
      <c r="AX100" s="3"/>
      <c r="AY100" s="3"/>
    </row>
    <row r="101" spans="1:51" ht="12.5" x14ac:dyDescent="0.25">
      <c r="A101" s="3" t="s">
        <v>46</v>
      </c>
      <c r="B101" s="21" t="str">
        <f>HYPERLINK("https://gerandofalcoes.my.salesforce.com/0014X00002VKCpf", "0014X00002VKCpf")</f>
        <v>0014X00002VKCpf</v>
      </c>
      <c r="C101" s="7" t="str">
        <f>HYPERLINK("https://gerandofalcoes.my.salesforce.com/0014X00002VKCpfQAH", "0014X00002VKCpfQAH")</f>
        <v>0014X00002VKCpfQAH</v>
      </c>
      <c r="D101" s="3" t="s">
        <v>5371</v>
      </c>
      <c r="E101" s="3" t="s">
        <v>5372</v>
      </c>
      <c r="F101" s="3" t="s">
        <v>5373</v>
      </c>
      <c r="G101" s="6">
        <v>44763</v>
      </c>
      <c r="H101" s="3">
        <v>33</v>
      </c>
      <c r="I101" s="3" t="s">
        <v>5374</v>
      </c>
      <c r="J101" s="3" t="s">
        <v>5375</v>
      </c>
      <c r="K101" s="3" t="s">
        <v>5376</v>
      </c>
      <c r="L101" s="3" t="s">
        <v>51</v>
      </c>
      <c r="M101" s="3" t="s">
        <v>5377</v>
      </c>
      <c r="N101" s="3" t="s">
        <v>5378</v>
      </c>
      <c r="O101" s="3">
        <v>110</v>
      </c>
      <c r="P101" s="3" t="s">
        <v>231</v>
      </c>
      <c r="Q101" s="3" t="s">
        <v>5379</v>
      </c>
      <c r="R101" s="3" t="s">
        <v>5380</v>
      </c>
      <c r="S101" s="3"/>
      <c r="T101" s="3"/>
      <c r="U101" s="3" t="s">
        <v>3932</v>
      </c>
      <c r="V101" s="3" t="s">
        <v>5381</v>
      </c>
      <c r="W101" s="3">
        <v>1</v>
      </c>
      <c r="X101" s="3" t="s">
        <v>5382</v>
      </c>
      <c r="Y101" s="3" t="s">
        <v>5383</v>
      </c>
      <c r="Z101" s="3"/>
      <c r="AA101" s="3">
        <v>0</v>
      </c>
      <c r="AB101" s="8">
        <v>44524</v>
      </c>
      <c r="AC101" s="3" t="s">
        <v>62</v>
      </c>
      <c r="AD101" s="3">
        <v>0</v>
      </c>
      <c r="AE101" s="3">
        <v>3</v>
      </c>
      <c r="AF101" s="3">
        <v>2</v>
      </c>
      <c r="AG101" s="3" t="s">
        <v>4032</v>
      </c>
      <c r="AH101" s="3" t="s">
        <v>5384</v>
      </c>
      <c r="AI101" s="3">
        <v>100</v>
      </c>
      <c r="AJ101" s="3" t="s">
        <v>61</v>
      </c>
      <c r="AK101" s="3"/>
      <c r="AL101" s="7" t="s">
        <v>5385</v>
      </c>
      <c r="AM101" s="7" t="s">
        <v>5386</v>
      </c>
      <c r="AN101" s="3"/>
      <c r="AO101" s="3"/>
      <c r="AP101" s="3"/>
      <c r="AQ101" s="3"/>
      <c r="AR101" s="7" t="s">
        <v>5387</v>
      </c>
      <c r="AS101" s="7" t="s">
        <v>5388</v>
      </c>
      <c r="AT101" s="3"/>
      <c r="AU101" s="7" t="s">
        <v>5389</v>
      </c>
      <c r="AV101" s="3"/>
      <c r="AW101" s="3"/>
      <c r="AX101" s="3"/>
      <c r="AY101" s="3"/>
    </row>
    <row r="102" spans="1:51" ht="12.5" x14ac:dyDescent="0.25">
      <c r="A102" s="3" t="s">
        <v>46</v>
      </c>
      <c r="B102" s="21" t="str">
        <f>HYPERLINK("https://gerandofalcoes.my.salesforce.com/0014X00002VKCpg", "0014X00002VKCpg")</f>
        <v>0014X00002VKCpg</v>
      </c>
      <c r="C102" s="7" t="str">
        <f>HYPERLINK("https://gerandofalcoes.my.salesforce.com/0014X00002VKCpgQAH", "0014X00002VKCpgQAH")</f>
        <v>0014X00002VKCpgQAH</v>
      </c>
      <c r="D102" s="3" t="s">
        <v>5390</v>
      </c>
      <c r="E102" s="3" t="s">
        <v>5391</v>
      </c>
      <c r="F102" s="3" t="s">
        <v>5392</v>
      </c>
      <c r="G102" s="6"/>
      <c r="H102" s="3"/>
      <c r="I102" s="3" t="s">
        <v>5393</v>
      </c>
      <c r="J102" s="3" t="s">
        <v>5394</v>
      </c>
      <c r="K102" s="3" t="s">
        <v>5395</v>
      </c>
      <c r="L102" s="3" t="s">
        <v>51</v>
      </c>
      <c r="M102" s="3" t="s">
        <v>5396</v>
      </c>
      <c r="N102" s="3" t="s">
        <v>647</v>
      </c>
      <c r="O102" s="3">
        <v>264</v>
      </c>
      <c r="P102" s="3" t="s">
        <v>5397</v>
      </c>
      <c r="Q102" s="3" t="s">
        <v>5398</v>
      </c>
      <c r="R102" s="3" t="s">
        <v>5399</v>
      </c>
      <c r="S102" s="3" t="s">
        <v>5400</v>
      </c>
      <c r="T102" s="3"/>
      <c r="U102" s="3" t="s">
        <v>3913</v>
      </c>
      <c r="V102" s="3" t="s">
        <v>4960</v>
      </c>
      <c r="W102" s="3">
        <v>1</v>
      </c>
      <c r="X102" s="3" t="s">
        <v>5401</v>
      </c>
      <c r="Y102" s="3" t="s">
        <v>5402</v>
      </c>
      <c r="Z102" s="3"/>
      <c r="AA102" s="3">
        <v>35</v>
      </c>
      <c r="AB102" s="6">
        <v>43961</v>
      </c>
      <c r="AC102" s="3" t="s">
        <v>62</v>
      </c>
      <c r="AD102" s="3">
        <v>1</v>
      </c>
      <c r="AE102" s="3">
        <v>5</v>
      </c>
      <c r="AF102" s="3">
        <v>2</v>
      </c>
      <c r="AG102" s="3" t="s">
        <v>4032</v>
      </c>
      <c r="AH102" s="3">
        <v>0</v>
      </c>
      <c r="AI102" s="3">
        <v>3000</v>
      </c>
      <c r="AJ102" s="3" t="s">
        <v>120</v>
      </c>
      <c r="AK102" s="3"/>
      <c r="AL102" s="7" t="s">
        <v>5403</v>
      </c>
      <c r="AM102" s="7" t="s">
        <v>5404</v>
      </c>
      <c r="AN102" s="7" t="s">
        <v>5405</v>
      </c>
      <c r="AO102" s="7" t="s">
        <v>5406</v>
      </c>
      <c r="AP102" s="3"/>
      <c r="AQ102" s="3"/>
      <c r="AR102" s="7" t="s">
        <v>5407</v>
      </c>
      <c r="AS102" s="7" t="s">
        <v>5408</v>
      </c>
      <c r="AT102" s="3"/>
      <c r="AU102" s="3"/>
      <c r="AV102" s="3"/>
      <c r="AW102" s="3"/>
      <c r="AX102" s="3"/>
      <c r="AY102" s="3"/>
    </row>
    <row r="103" spans="1:51" ht="12.5" x14ac:dyDescent="0.25">
      <c r="A103" s="3" t="s">
        <v>46</v>
      </c>
      <c r="B103" s="21" t="str">
        <f>HYPERLINK("https://gerandofalcoes.my.salesforce.com/0014X00002VKCph", "0014X00002VKCph")</f>
        <v>0014X00002VKCph</v>
      </c>
      <c r="C103" s="7" t="str">
        <f>HYPERLINK("https://gerandofalcoes.my.salesforce.com/0014X00002VKCphQAH", "0014X00002VKCphQAH")</f>
        <v>0014X00002VKCphQAH</v>
      </c>
      <c r="D103" s="3" t="s">
        <v>5409</v>
      </c>
      <c r="E103" s="3" t="s">
        <v>5410</v>
      </c>
      <c r="F103" s="3" t="s">
        <v>5411</v>
      </c>
      <c r="G103" s="6">
        <v>44763</v>
      </c>
      <c r="H103" s="3">
        <v>33</v>
      </c>
      <c r="I103" s="3" t="s">
        <v>5412</v>
      </c>
      <c r="J103" s="3" t="s">
        <v>5413</v>
      </c>
      <c r="K103" s="3" t="s">
        <v>5414</v>
      </c>
      <c r="L103" s="3" t="s">
        <v>246</v>
      </c>
      <c r="M103" s="3" t="s">
        <v>5415</v>
      </c>
      <c r="N103" s="3" t="s">
        <v>5416</v>
      </c>
      <c r="O103" s="3">
        <v>24</v>
      </c>
      <c r="P103" s="3" t="s">
        <v>5417</v>
      </c>
      <c r="Q103" s="3"/>
      <c r="R103" s="3" t="s">
        <v>5418</v>
      </c>
      <c r="S103" s="3" t="s">
        <v>5419</v>
      </c>
      <c r="T103" s="3"/>
      <c r="U103" s="3" t="s">
        <v>4062</v>
      </c>
      <c r="V103" s="3" t="s">
        <v>5420</v>
      </c>
      <c r="W103" s="3">
        <v>15</v>
      </c>
      <c r="X103" s="3" t="s">
        <v>5421</v>
      </c>
      <c r="Y103" s="3" t="s">
        <v>5422</v>
      </c>
      <c r="Z103" s="3"/>
      <c r="AA103" s="3">
        <v>500</v>
      </c>
      <c r="AB103" s="6">
        <v>43707</v>
      </c>
      <c r="AC103" s="3" t="s">
        <v>62</v>
      </c>
      <c r="AD103" s="3">
        <v>0</v>
      </c>
      <c r="AE103" s="3">
        <v>30</v>
      </c>
      <c r="AF103" s="3">
        <v>3</v>
      </c>
      <c r="AG103" s="3" t="s">
        <v>4604</v>
      </c>
      <c r="AH103" s="3" t="s">
        <v>5423</v>
      </c>
      <c r="AI103" s="3">
        <v>30000</v>
      </c>
      <c r="AJ103" s="3" t="s">
        <v>61</v>
      </c>
      <c r="AK103" s="3"/>
      <c r="AL103" s="7" t="s">
        <v>5424</v>
      </c>
      <c r="AM103" s="7" t="s">
        <v>5425</v>
      </c>
      <c r="AN103" s="7" t="s">
        <v>5426</v>
      </c>
      <c r="AO103" s="7" t="s">
        <v>5427</v>
      </c>
      <c r="AQ103" s="7" t="s">
        <v>5428</v>
      </c>
      <c r="AR103" s="7" t="s">
        <v>5429</v>
      </c>
      <c r="AS103" s="7" t="s">
        <v>5430</v>
      </c>
      <c r="AT103" s="7" t="s">
        <v>5431</v>
      </c>
      <c r="AU103" s="3"/>
      <c r="AV103" s="3"/>
      <c r="AW103" s="3"/>
      <c r="AX103" s="3"/>
      <c r="AY103" s="3"/>
    </row>
    <row r="104" spans="1:51" ht="12.5" x14ac:dyDescent="0.25">
      <c r="A104" s="3" t="s">
        <v>46</v>
      </c>
      <c r="B104" s="21" t="str">
        <f>HYPERLINK("https://gerandofalcoes.my.salesforce.com/0014X00002VKCqH", "0014X00002VKCqH")</f>
        <v>0014X00002VKCqH</v>
      </c>
      <c r="C104" s="7" t="str">
        <f>HYPERLINK("https://gerandofalcoes.my.salesforce.com/0014X00002VKCqHQAX", "0014X00002VKCqHQAX")</f>
        <v>0014X00002VKCqHQAX</v>
      </c>
      <c r="D104" s="3" t="s">
        <v>5432</v>
      </c>
      <c r="E104" s="3" t="s">
        <v>5433</v>
      </c>
      <c r="F104" s="3" t="s">
        <v>5434</v>
      </c>
      <c r="G104" s="6">
        <v>44763</v>
      </c>
      <c r="H104" s="3">
        <v>33</v>
      </c>
      <c r="I104" s="3" t="s">
        <v>5435</v>
      </c>
      <c r="J104" s="3" t="s">
        <v>5436</v>
      </c>
      <c r="K104" s="3" t="s">
        <v>5437</v>
      </c>
      <c r="L104" s="3" t="s">
        <v>246</v>
      </c>
      <c r="M104" s="3">
        <v>11</v>
      </c>
      <c r="N104" s="3" t="s">
        <v>5438</v>
      </c>
      <c r="O104" s="3">
        <v>38</v>
      </c>
      <c r="P104" s="3" t="s">
        <v>248</v>
      </c>
      <c r="Q104" s="3" t="s">
        <v>5439</v>
      </c>
      <c r="R104" s="3" t="s">
        <v>5440</v>
      </c>
      <c r="S104" s="3" t="s">
        <v>5441</v>
      </c>
      <c r="T104" s="3"/>
      <c r="U104" s="3" t="s">
        <v>5442</v>
      </c>
      <c r="V104" s="3" t="s">
        <v>4437</v>
      </c>
      <c r="W104" s="3">
        <v>6</v>
      </c>
      <c r="X104" s="3" t="s">
        <v>5443</v>
      </c>
      <c r="Y104" s="3" t="s">
        <v>5444</v>
      </c>
      <c r="Z104" s="3"/>
      <c r="AA104" s="3">
        <v>1280</v>
      </c>
      <c r="AB104" s="6">
        <v>33207</v>
      </c>
      <c r="AC104" s="3" t="s">
        <v>62</v>
      </c>
      <c r="AD104" s="3">
        <v>0</v>
      </c>
      <c r="AE104" s="3">
        <v>4</v>
      </c>
      <c r="AF104" s="3">
        <v>5</v>
      </c>
      <c r="AG104" s="3" t="s">
        <v>5445</v>
      </c>
      <c r="AH104" s="3" t="s">
        <v>5446</v>
      </c>
      <c r="AI104" s="3">
        <v>521000</v>
      </c>
      <c r="AJ104" s="3" t="s">
        <v>120</v>
      </c>
      <c r="AK104" s="3"/>
      <c r="AL104" s="3"/>
      <c r="AM104" s="7" t="s">
        <v>5447</v>
      </c>
      <c r="AN104" s="3"/>
      <c r="AO104" s="3"/>
      <c r="AP104" s="3"/>
      <c r="AQ104" s="3"/>
      <c r="AR104" s="7" t="s">
        <v>5448</v>
      </c>
      <c r="AS104" s="7" t="s">
        <v>5449</v>
      </c>
      <c r="AT104" s="7" t="s">
        <v>5450</v>
      </c>
      <c r="AU104" s="3"/>
      <c r="AV104" s="3"/>
      <c r="AW104" s="3"/>
      <c r="AX104" s="3"/>
      <c r="AY104" s="3"/>
    </row>
    <row r="105" spans="1:51" ht="12.5" x14ac:dyDescent="0.25">
      <c r="A105" s="3" t="s">
        <v>46</v>
      </c>
      <c r="B105" s="21" t="str">
        <f>HYPERLINK("https://gerandofalcoes.my.salesforce.com/0014X00002VKCqJ", "0014X00002VKCqJ")</f>
        <v>0014X00002VKCqJ</v>
      </c>
      <c r="C105" s="7" t="str">
        <f>HYPERLINK("https://gerandofalcoes.my.salesforce.com/0014X00002VKCqJQAX", "0014X00002VKCqJQAX")</f>
        <v>0014X00002VKCqJQAX</v>
      </c>
      <c r="D105" s="3" t="s">
        <v>5451</v>
      </c>
      <c r="E105" s="3" t="s">
        <v>5452</v>
      </c>
      <c r="F105" s="3"/>
      <c r="G105" s="6">
        <v>44763</v>
      </c>
      <c r="H105" s="3">
        <v>33</v>
      </c>
      <c r="I105" s="3" t="s">
        <v>5453</v>
      </c>
      <c r="J105" s="3" t="s">
        <v>5454</v>
      </c>
      <c r="K105" s="3" t="s">
        <v>5455</v>
      </c>
      <c r="L105" s="3" t="s">
        <v>468</v>
      </c>
      <c r="M105" s="3" t="s">
        <v>5456</v>
      </c>
      <c r="N105" s="3" t="s">
        <v>5457</v>
      </c>
      <c r="O105" s="3">
        <v>1814</v>
      </c>
      <c r="P105" s="3" t="s">
        <v>5458</v>
      </c>
      <c r="Q105" s="3" t="s">
        <v>5459</v>
      </c>
      <c r="R105" s="3" t="s">
        <v>5460</v>
      </c>
      <c r="S105" s="3" t="s">
        <v>5461</v>
      </c>
      <c r="T105" s="3"/>
      <c r="U105" s="3" t="s">
        <v>5280</v>
      </c>
      <c r="V105" s="3" t="s">
        <v>5462</v>
      </c>
      <c r="W105" s="3">
        <v>1</v>
      </c>
      <c r="X105" s="3" t="s">
        <v>5458</v>
      </c>
      <c r="Y105" s="3"/>
      <c r="Z105" s="3"/>
      <c r="AA105" s="3">
        <v>4</v>
      </c>
      <c r="AB105" s="6">
        <v>44341</v>
      </c>
      <c r="AC105" s="3" t="s">
        <v>120</v>
      </c>
      <c r="AD105" s="3">
        <v>0</v>
      </c>
      <c r="AE105" s="3">
        <v>5</v>
      </c>
      <c r="AF105" s="3">
        <v>3</v>
      </c>
      <c r="AG105" s="3" t="s">
        <v>4032</v>
      </c>
      <c r="AH105" s="3" t="s">
        <v>5463</v>
      </c>
      <c r="AI105" s="3">
        <v>1350</v>
      </c>
      <c r="AJ105" s="3" t="s">
        <v>120</v>
      </c>
      <c r="AK105" s="3"/>
      <c r="AL105" s="3" t="s">
        <v>5464</v>
      </c>
      <c r="AM105" s="7" t="s">
        <v>5465</v>
      </c>
      <c r="AN105" s="7" t="s">
        <v>5466</v>
      </c>
      <c r="AO105" s="3"/>
      <c r="AP105" s="3"/>
      <c r="AQ105" s="3"/>
      <c r="AR105" s="3"/>
      <c r="AS105" s="3"/>
      <c r="AT105" s="7" t="s">
        <v>5467</v>
      </c>
      <c r="AU105" s="7" t="s">
        <v>5468</v>
      </c>
      <c r="AV105" s="3"/>
      <c r="AW105" s="3"/>
      <c r="AX105" s="3"/>
      <c r="AY105" s="3"/>
    </row>
    <row r="106" spans="1:51" ht="12.5" x14ac:dyDescent="0.25">
      <c r="A106" s="3" t="s">
        <v>46</v>
      </c>
      <c r="B106" s="21" t="str">
        <f>HYPERLINK("https://gerandofalcoes.my.salesforce.com/0014X00002VKCqK", "0014X00002VKCqK")</f>
        <v>0014X00002VKCqK</v>
      </c>
      <c r="C106" s="7" t="str">
        <f>HYPERLINK("https://gerandofalcoes.my.salesforce.com/0014X00002VKCqKQAX", "0014X00002VKCqKQAX")</f>
        <v>0014X00002VKCqKQAX</v>
      </c>
      <c r="D106" s="3" t="s">
        <v>5469</v>
      </c>
      <c r="E106" s="3" t="s">
        <v>5469</v>
      </c>
      <c r="F106" s="3"/>
      <c r="G106" s="6">
        <v>44763</v>
      </c>
      <c r="H106" s="3">
        <v>33</v>
      </c>
      <c r="I106" s="3" t="s">
        <v>5470</v>
      </c>
      <c r="J106" s="3" t="s">
        <v>5471</v>
      </c>
      <c r="K106" s="3" t="s">
        <v>5472</v>
      </c>
      <c r="L106" s="3" t="s">
        <v>246</v>
      </c>
      <c r="M106" s="3" t="s">
        <v>5473</v>
      </c>
      <c r="N106" s="3" t="s">
        <v>5474</v>
      </c>
      <c r="O106" s="3" t="s">
        <v>5475</v>
      </c>
      <c r="P106" s="3" t="s">
        <v>248</v>
      </c>
      <c r="Q106" s="3" t="s">
        <v>5476</v>
      </c>
      <c r="R106" s="3" t="s">
        <v>5477</v>
      </c>
      <c r="S106" s="3" t="s">
        <v>5478</v>
      </c>
      <c r="T106" s="3"/>
      <c r="U106" s="3" t="s">
        <v>3913</v>
      </c>
      <c r="V106" s="3" t="s">
        <v>3800</v>
      </c>
      <c r="W106" s="3">
        <v>1</v>
      </c>
      <c r="X106" s="3" t="s">
        <v>5479</v>
      </c>
      <c r="Y106" s="3" t="s">
        <v>5480</v>
      </c>
      <c r="Z106" s="3"/>
      <c r="AA106" s="3">
        <v>0</v>
      </c>
      <c r="AB106" s="6">
        <v>43722</v>
      </c>
      <c r="AC106" s="3" t="s">
        <v>120</v>
      </c>
      <c r="AD106" s="3">
        <v>0</v>
      </c>
      <c r="AE106" s="3">
        <v>11</v>
      </c>
      <c r="AF106" s="3">
        <v>3</v>
      </c>
      <c r="AG106" s="3" t="s">
        <v>3917</v>
      </c>
      <c r="AH106" s="3" t="s">
        <v>5481</v>
      </c>
      <c r="AI106" s="3">
        <v>70000</v>
      </c>
      <c r="AJ106" s="3" t="s">
        <v>120</v>
      </c>
      <c r="AK106" s="3"/>
      <c r="AL106" s="3"/>
      <c r="AM106" s="7" t="s">
        <v>5482</v>
      </c>
      <c r="AN106" s="3"/>
      <c r="AO106" s="3"/>
      <c r="AP106" s="3"/>
      <c r="AQ106" s="7" t="s">
        <v>5483</v>
      </c>
      <c r="AR106" s="3"/>
      <c r="AS106" s="3"/>
      <c r="AT106" s="3"/>
      <c r="AU106" s="7" t="s">
        <v>5484</v>
      </c>
      <c r="AV106" s="3"/>
      <c r="AW106" s="3"/>
      <c r="AX106" s="3"/>
      <c r="AY106" s="3"/>
    </row>
    <row r="107" spans="1:51" ht="12.5" x14ac:dyDescent="0.25">
      <c r="A107" s="3" t="s">
        <v>46</v>
      </c>
      <c r="B107" s="21" t="str">
        <f>HYPERLINK("https://gerandofalcoes.my.salesforce.com/0014X00002VKCqL", "0014X00002VKCqL")</f>
        <v>0014X00002VKCqL</v>
      </c>
      <c r="C107" s="7" t="str">
        <f>HYPERLINK("https://gerandofalcoes.my.salesforce.com/0014X00002VKCqLQAX", "0014X00002VKCqLQAX")</f>
        <v>0014X00002VKCqLQAX</v>
      </c>
      <c r="D107" s="3" t="s">
        <v>5485</v>
      </c>
      <c r="E107" s="3" t="s">
        <v>5486</v>
      </c>
      <c r="F107" s="3" t="s">
        <v>5487</v>
      </c>
      <c r="G107" s="6">
        <v>44763</v>
      </c>
      <c r="H107" s="3">
        <v>33</v>
      </c>
      <c r="I107" s="3" t="s">
        <v>5488</v>
      </c>
      <c r="J107" s="3" t="s">
        <v>5489</v>
      </c>
      <c r="K107" s="3" t="s">
        <v>5490</v>
      </c>
      <c r="L107" s="3" t="s">
        <v>468</v>
      </c>
      <c r="M107" s="3" t="s">
        <v>5491</v>
      </c>
      <c r="N107" s="3" t="s">
        <v>5492</v>
      </c>
      <c r="O107" s="3">
        <v>1040</v>
      </c>
      <c r="P107" s="3" t="s">
        <v>470</v>
      </c>
      <c r="Q107" s="3"/>
      <c r="R107" s="3" t="s">
        <v>5493</v>
      </c>
      <c r="S107" s="3"/>
      <c r="T107" s="3"/>
      <c r="U107" s="3" t="s">
        <v>3872</v>
      </c>
      <c r="V107" s="3" t="s">
        <v>5494</v>
      </c>
      <c r="W107" s="3">
        <v>10</v>
      </c>
      <c r="X107" s="3" t="s">
        <v>5495</v>
      </c>
      <c r="Y107" s="3" t="s">
        <v>5496</v>
      </c>
      <c r="Z107" s="3"/>
      <c r="AA107" s="3">
        <v>485</v>
      </c>
      <c r="AB107" s="6">
        <v>32327</v>
      </c>
      <c r="AC107" s="3" t="s">
        <v>62</v>
      </c>
      <c r="AD107" s="3">
        <v>462</v>
      </c>
      <c r="AE107" s="3">
        <v>3</v>
      </c>
      <c r="AF107" s="3">
        <v>3</v>
      </c>
      <c r="AG107" s="3" t="s">
        <v>5497</v>
      </c>
      <c r="AH107" s="3" t="s">
        <v>5498</v>
      </c>
      <c r="AI107" s="3">
        <v>1194972.75</v>
      </c>
      <c r="AJ107" s="3" t="s">
        <v>120</v>
      </c>
      <c r="AK107" s="3"/>
      <c r="AL107" s="7" t="s">
        <v>5499</v>
      </c>
      <c r="AM107" s="3" t="s">
        <v>5500</v>
      </c>
      <c r="AN107" s="7" t="s">
        <v>5501</v>
      </c>
      <c r="AO107" s="3"/>
      <c r="AP107" s="3"/>
      <c r="AQ107" s="3"/>
      <c r="AR107" s="7" t="s">
        <v>5502</v>
      </c>
      <c r="AS107" s="7" t="s">
        <v>5503</v>
      </c>
      <c r="AT107" s="3"/>
      <c r="AU107" s="7" t="s">
        <v>5504</v>
      </c>
      <c r="AV107" s="3"/>
      <c r="AW107" s="3"/>
      <c r="AX107" s="3"/>
      <c r="AY107" s="3"/>
    </row>
    <row r="108" spans="1:51" ht="12.5" x14ac:dyDescent="0.25">
      <c r="A108" s="3" t="s">
        <v>46</v>
      </c>
      <c r="B108" s="21" t="str">
        <f>HYPERLINK("https://gerandofalcoes.my.salesforce.com/0014X00002VKCqM", "0014X00002VKCqM")</f>
        <v>0014X00002VKCqM</v>
      </c>
      <c r="C108" s="7" t="str">
        <f>HYPERLINK("https://gerandofalcoes.my.salesforce.com/0014X00002VKCqMQAX", "0014X00002VKCqMQAX")</f>
        <v>0014X00002VKCqMQAX</v>
      </c>
      <c r="D108" s="3" t="s">
        <v>5505</v>
      </c>
      <c r="E108" s="3" t="s">
        <v>5506</v>
      </c>
      <c r="F108" s="3" t="s">
        <v>5507</v>
      </c>
      <c r="G108" s="6"/>
      <c r="H108" s="3"/>
      <c r="I108" s="3" t="s">
        <v>5508</v>
      </c>
      <c r="J108" s="3" t="s">
        <v>5509</v>
      </c>
      <c r="K108" s="3" t="s">
        <v>5510</v>
      </c>
      <c r="L108" s="3" t="s">
        <v>246</v>
      </c>
      <c r="M108" s="3" t="s">
        <v>5511</v>
      </c>
      <c r="N108" s="3" t="s">
        <v>4996</v>
      </c>
      <c r="O108" s="3">
        <v>13</v>
      </c>
      <c r="P108" s="3" t="s">
        <v>248</v>
      </c>
      <c r="Q108" s="3"/>
      <c r="R108" s="3" t="s">
        <v>5512</v>
      </c>
      <c r="S108" s="3"/>
      <c r="T108" s="3"/>
      <c r="U108" s="3" t="s">
        <v>5442</v>
      </c>
      <c r="V108" s="3" t="s">
        <v>4519</v>
      </c>
      <c r="W108" s="3">
        <v>4</v>
      </c>
      <c r="X108" s="3" t="s">
        <v>5513</v>
      </c>
      <c r="Y108" s="3"/>
      <c r="Z108" s="3"/>
      <c r="AA108" s="3">
        <v>98</v>
      </c>
      <c r="AB108" s="6">
        <v>33860</v>
      </c>
      <c r="AC108" s="3" t="s">
        <v>62</v>
      </c>
      <c r="AD108" s="3">
        <v>2</v>
      </c>
      <c r="AE108" s="3">
        <v>1</v>
      </c>
      <c r="AF108" s="3">
        <v>3</v>
      </c>
      <c r="AG108" s="3" t="s">
        <v>5514</v>
      </c>
      <c r="AH108" s="3">
        <v>50</v>
      </c>
      <c r="AI108" s="3">
        <v>150000</v>
      </c>
      <c r="AJ108" s="3" t="s">
        <v>62</v>
      </c>
      <c r="AK108" s="3"/>
      <c r="AL108" s="3"/>
      <c r="AM108" s="7" t="s">
        <v>5515</v>
      </c>
      <c r="AN108" s="7" t="s">
        <v>5516</v>
      </c>
      <c r="AO108" s="3"/>
      <c r="AP108" s="3"/>
      <c r="AQ108" s="7" t="s">
        <v>5517</v>
      </c>
      <c r="AR108" s="7" t="s">
        <v>5518</v>
      </c>
      <c r="AS108" s="7" t="s">
        <v>5519</v>
      </c>
      <c r="AT108" s="7" t="s">
        <v>5520</v>
      </c>
      <c r="AU108" s="7" t="s">
        <v>5521</v>
      </c>
      <c r="AV108" s="3"/>
      <c r="AW108" s="3"/>
      <c r="AX108" s="3"/>
      <c r="AY108" s="3"/>
    </row>
    <row r="109" spans="1:51" ht="12.5" x14ac:dyDescent="0.25">
      <c r="A109" s="3" t="s">
        <v>46</v>
      </c>
      <c r="B109" s="21" t="str">
        <f>HYPERLINK("https://gerandofalcoes.my.salesforce.com/0014X00002VKCqN", "0014X00002VKCqN")</f>
        <v>0014X00002VKCqN</v>
      </c>
      <c r="C109" s="7" t="str">
        <f>HYPERLINK("https://gerandofalcoes.my.salesforce.com/0014X00002VKCqNQAX", "0014X00002VKCqNQAX")</f>
        <v>0014X00002VKCqNQAX</v>
      </c>
      <c r="D109" s="3" t="s">
        <v>5522</v>
      </c>
      <c r="E109" s="3" t="s">
        <v>5523</v>
      </c>
      <c r="F109" s="3" t="s">
        <v>5524</v>
      </c>
      <c r="G109" s="6">
        <v>44763</v>
      </c>
      <c r="H109" s="3">
        <v>33</v>
      </c>
      <c r="I109" s="3" t="s">
        <v>5525</v>
      </c>
      <c r="J109" s="3" t="s">
        <v>5526</v>
      </c>
      <c r="K109" s="3" t="s">
        <v>5527</v>
      </c>
      <c r="L109" s="3" t="s">
        <v>468</v>
      </c>
      <c r="M109" s="3" t="s">
        <v>5528</v>
      </c>
      <c r="N109" s="3" t="s">
        <v>5529</v>
      </c>
      <c r="O109" s="3">
        <v>55</v>
      </c>
      <c r="P109" s="3" t="s">
        <v>470</v>
      </c>
      <c r="Q109" s="3" t="s">
        <v>5530</v>
      </c>
      <c r="R109" s="3" t="s">
        <v>5531</v>
      </c>
      <c r="S109" s="3"/>
      <c r="T109" s="3"/>
      <c r="U109" s="3" t="s">
        <v>4062</v>
      </c>
      <c r="V109" s="3" t="s">
        <v>5532</v>
      </c>
      <c r="W109" s="3">
        <v>5</v>
      </c>
      <c r="X109" s="3" t="s">
        <v>5533</v>
      </c>
      <c r="Y109" s="3"/>
      <c r="Z109" s="3"/>
      <c r="AA109" s="3">
        <v>0</v>
      </c>
      <c r="AB109" s="6">
        <v>42712</v>
      </c>
      <c r="AC109" s="3" t="s">
        <v>120</v>
      </c>
      <c r="AD109" s="3">
        <v>10</v>
      </c>
      <c r="AE109" s="3">
        <v>0</v>
      </c>
      <c r="AF109" s="3">
        <v>10</v>
      </c>
      <c r="AG109" s="3" t="s">
        <v>5534</v>
      </c>
      <c r="AH109" s="3" t="s">
        <v>5535</v>
      </c>
      <c r="AI109" s="3">
        <v>275000</v>
      </c>
      <c r="AJ109" s="3" t="s">
        <v>62</v>
      </c>
      <c r="AK109" s="3"/>
      <c r="AL109" s="7" t="s">
        <v>5536</v>
      </c>
      <c r="AM109" s="7" t="s">
        <v>5537</v>
      </c>
      <c r="AN109" s="7" t="s">
        <v>5538</v>
      </c>
      <c r="AO109" s="7" t="s">
        <v>5539</v>
      </c>
      <c r="AP109" s="3"/>
      <c r="AQ109" s="7" t="s">
        <v>5540</v>
      </c>
      <c r="AR109" s="3"/>
      <c r="AS109" s="7" t="s">
        <v>5541</v>
      </c>
      <c r="AT109" s="7" t="s">
        <v>5542</v>
      </c>
      <c r="AU109" s="7" t="s">
        <v>5543</v>
      </c>
      <c r="AV109" s="3"/>
      <c r="AW109" s="3"/>
      <c r="AX109" s="3"/>
      <c r="AY109" s="3"/>
    </row>
    <row r="110" spans="1:51" ht="12.5" x14ac:dyDescent="0.25">
      <c r="A110" s="3" t="s">
        <v>46</v>
      </c>
      <c r="B110" s="21" t="str">
        <f>HYPERLINK("https://gerandofalcoes.my.salesforce.com/0014X00002VKCqO", "0014X00002VKCqO")</f>
        <v>0014X00002VKCqO</v>
      </c>
      <c r="C110" s="7" t="str">
        <f>HYPERLINK("https://gerandofalcoes.my.salesforce.com/0014X00002VKCqOQAX", "0014X00002VKCqOQAX")</f>
        <v>0014X00002VKCqOQAX</v>
      </c>
      <c r="D110" s="3" t="s">
        <v>5544</v>
      </c>
      <c r="E110" s="3" t="s">
        <v>5544</v>
      </c>
      <c r="F110" s="3"/>
      <c r="G110" s="6">
        <v>44763</v>
      </c>
      <c r="H110" s="3">
        <v>33</v>
      </c>
      <c r="I110" s="3" t="s">
        <v>5545</v>
      </c>
      <c r="J110" s="3" t="s">
        <v>5546</v>
      </c>
      <c r="K110" s="3" t="s">
        <v>5547</v>
      </c>
      <c r="L110" s="3" t="s">
        <v>468</v>
      </c>
      <c r="M110" s="3" t="s">
        <v>5548</v>
      </c>
      <c r="N110" s="3" t="s">
        <v>5549</v>
      </c>
      <c r="O110" s="3">
        <v>557</v>
      </c>
      <c r="P110" s="3" t="s">
        <v>470</v>
      </c>
      <c r="Q110" s="3" t="s">
        <v>1539</v>
      </c>
      <c r="R110" s="3" t="s">
        <v>5550</v>
      </c>
      <c r="S110" s="3" t="s">
        <v>62</v>
      </c>
      <c r="T110" s="3"/>
      <c r="U110" s="3" t="s">
        <v>4497</v>
      </c>
      <c r="V110" s="3" t="s">
        <v>3800</v>
      </c>
      <c r="W110" s="3">
        <v>5</v>
      </c>
      <c r="X110" s="3" t="s">
        <v>5551</v>
      </c>
      <c r="Y110" s="3"/>
      <c r="Z110" s="3"/>
      <c r="AA110" s="3">
        <v>40</v>
      </c>
      <c r="AB110" s="6">
        <v>43544</v>
      </c>
      <c r="AC110" s="3" t="s">
        <v>120</v>
      </c>
      <c r="AD110" s="3">
        <v>2</v>
      </c>
      <c r="AE110" s="3">
        <v>2</v>
      </c>
      <c r="AF110" s="3">
        <v>2</v>
      </c>
      <c r="AG110" s="3" t="s">
        <v>4755</v>
      </c>
      <c r="AH110" s="3">
        <v>2</v>
      </c>
      <c r="AI110" s="3">
        <v>0</v>
      </c>
      <c r="AJ110" s="3" t="s">
        <v>61</v>
      </c>
      <c r="AK110" s="3"/>
      <c r="AL110" s="7" t="s">
        <v>5552</v>
      </c>
      <c r="AM110" s="7" t="s">
        <v>5552</v>
      </c>
      <c r="AN110" s="3"/>
      <c r="AO110" s="3"/>
      <c r="AP110" s="3"/>
      <c r="AQ110" s="7" t="s">
        <v>5553</v>
      </c>
      <c r="AR110" s="3"/>
      <c r="AS110" s="3"/>
      <c r="AT110" s="3"/>
      <c r="AU110" s="7" t="s">
        <v>5554</v>
      </c>
      <c r="AV110" s="3"/>
      <c r="AW110" s="3"/>
      <c r="AX110" s="3"/>
      <c r="AY110" s="3"/>
    </row>
    <row r="111" spans="1:51" ht="12.5" x14ac:dyDescent="0.25">
      <c r="A111" s="3" t="s">
        <v>46</v>
      </c>
      <c r="B111" s="21" t="str">
        <f>HYPERLINK("https://gerandofalcoes.my.salesforce.com/0014X00002VKCqP", "0014X00002VKCqP")</f>
        <v>0014X00002VKCqP</v>
      </c>
      <c r="C111" s="7" t="str">
        <f>HYPERLINK("https://gerandofalcoes.my.salesforce.com/0014X00002VKCqPQAX", "0014X00002VKCqPQAX")</f>
        <v>0014X00002VKCqPQAX</v>
      </c>
      <c r="D111" s="3" t="s">
        <v>5555</v>
      </c>
      <c r="E111" s="3" t="s">
        <v>5556</v>
      </c>
      <c r="F111" s="3" t="s">
        <v>5557</v>
      </c>
      <c r="G111" s="6">
        <v>44763</v>
      </c>
      <c r="H111" s="3">
        <v>33</v>
      </c>
      <c r="I111" s="3" t="s">
        <v>5558</v>
      </c>
      <c r="J111" s="3" t="s">
        <v>5559</v>
      </c>
      <c r="K111" s="3" t="s">
        <v>5560</v>
      </c>
      <c r="L111" s="3" t="s">
        <v>468</v>
      </c>
      <c r="M111" s="3" t="s">
        <v>5561</v>
      </c>
      <c r="N111" s="3" t="s">
        <v>5562</v>
      </c>
      <c r="O111" s="3">
        <v>268</v>
      </c>
      <c r="P111" s="3" t="s">
        <v>5563</v>
      </c>
      <c r="Q111" s="3"/>
      <c r="R111" s="3" t="s">
        <v>5564</v>
      </c>
      <c r="S111" s="3"/>
      <c r="T111" s="3"/>
      <c r="U111" s="3" t="s">
        <v>4081</v>
      </c>
      <c r="V111" s="3" t="s">
        <v>4323</v>
      </c>
      <c r="W111" s="3">
        <v>3</v>
      </c>
      <c r="X111" s="3" t="s">
        <v>5565</v>
      </c>
      <c r="Y111" s="3" t="s">
        <v>5566</v>
      </c>
      <c r="Z111" s="3"/>
      <c r="AA111" s="3">
        <v>600</v>
      </c>
      <c r="AB111" s="6">
        <v>44200</v>
      </c>
      <c r="AC111" s="3" t="s">
        <v>62</v>
      </c>
      <c r="AD111" s="3">
        <v>5</v>
      </c>
      <c r="AE111" s="3">
        <v>0</v>
      </c>
      <c r="AF111" s="3">
        <v>2</v>
      </c>
      <c r="AG111" s="3" t="s">
        <v>4032</v>
      </c>
      <c r="AH111" s="3" t="s">
        <v>5567</v>
      </c>
      <c r="AI111" s="3">
        <v>32000</v>
      </c>
      <c r="AJ111" s="3" t="s">
        <v>61</v>
      </c>
      <c r="AK111" s="3"/>
      <c r="AL111" s="7" t="s">
        <v>5568</v>
      </c>
      <c r="AM111" s="7" t="s">
        <v>5569</v>
      </c>
      <c r="AN111" s="7" t="s">
        <v>5570</v>
      </c>
      <c r="AO111" s="7" t="s">
        <v>5571</v>
      </c>
      <c r="AP111" s="3"/>
      <c r="AQ111" s="7" t="s">
        <v>5572</v>
      </c>
      <c r="AR111" s="7" t="s">
        <v>5573</v>
      </c>
      <c r="AS111" s="7" t="s">
        <v>5574</v>
      </c>
      <c r="AT111" s="3"/>
      <c r="AU111" s="7" t="s">
        <v>5575</v>
      </c>
      <c r="AV111" s="3"/>
      <c r="AW111" s="3"/>
      <c r="AX111" s="3"/>
      <c r="AY111" s="3"/>
    </row>
    <row r="112" spans="1:51" ht="12.5" x14ac:dyDescent="0.25">
      <c r="A112" s="3" t="s">
        <v>46</v>
      </c>
      <c r="B112" s="21" t="str">
        <f>HYPERLINK("https://gerandofalcoes.my.salesforce.com/0014X00002VKCqQ", "0014X00002VKCqQ")</f>
        <v>0014X00002VKCqQ</v>
      </c>
      <c r="C112" s="7" t="str">
        <f>HYPERLINK("https://gerandofalcoes.my.salesforce.com/0014X00002VKCqQQAX", "0014X00002VKCqQQAX")</f>
        <v>0014X00002VKCqQQAX</v>
      </c>
      <c r="D112" s="3" t="s">
        <v>5576</v>
      </c>
      <c r="E112" s="3" t="s">
        <v>5577</v>
      </c>
      <c r="F112" s="3" t="s">
        <v>5578</v>
      </c>
      <c r="G112" s="6">
        <v>44763</v>
      </c>
      <c r="H112" s="3">
        <v>33</v>
      </c>
      <c r="I112" s="3" t="s">
        <v>5579</v>
      </c>
      <c r="J112" s="3" t="s">
        <v>5580</v>
      </c>
      <c r="K112" s="3" t="s">
        <v>5581</v>
      </c>
      <c r="L112" s="3" t="s">
        <v>468</v>
      </c>
      <c r="M112" s="3" t="s">
        <v>5582</v>
      </c>
      <c r="N112" s="3" t="s">
        <v>5583</v>
      </c>
      <c r="O112" s="3">
        <v>344</v>
      </c>
      <c r="P112" s="3" t="s">
        <v>470</v>
      </c>
      <c r="Q112" s="3"/>
      <c r="R112" s="3" t="s">
        <v>5584</v>
      </c>
      <c r="S112" s="3" t="s">
        <v>5585</v>
      </c>
      <c r="T112" s="3"/>
      <c r="U112" s="3" t="s">
        <v>5442</v>
      </c>
      <c r="V112" s="3" t="s">
        <v>5586</v>
      </c>
      <c r="W112" s="3">
        <v>1</v>
      </c>
      <c r="X112" s="3" t="s">
        <v>5587</v>
      </c>
      <c r="Y112" s="3"/>
      <c r="Z112" s="3"/>
      <c r="AA112" s="3">
        <v>50</v>
      </c>
      <c r="AB112" s="6">
        <v>44587</v>
      </c>
      <c r="AC112" s="3" t="s">
        <v>62</v>
      </c>
      <c r="AD112" s="3">
        <v>0</v>
      </c>
      <c r="AE112" s="3">
        <v>2</v>
      </c>
      <c r="AF112" s="3">
        <v>2</v>
      </c>
      <c r="AG112" s="3" t="s">
        <v>5221</v>
      </c>
      <c r="AH112" s="3">
        <v>0</v>
      </c>
      <c r="AI112" s="3">
        <v>0</v>
      </c>
      <c r="AJ112" s="3" t="s">
        <v>61</v>
      </c>
      <c r="AK112" s="3"/>
      <c r="AL112" s="3"/>
      <c r="AM112" s="7" t="s">
        <v>5588</v>
      </c>
      <c r="AN112" s="3"/>
      <c r="AO112" s="3"/>
      <c r="AQ112" s="3"/>
      <c r="AR112" s="3"/>
      <c r="AS112" s="7" t="s">
        <v>5589</v>
      </c>
      <c r="AT112" s="3"/>
      <c r="AU112" s="3"/>
      <c r="AV112" s="3"/>
      <c r="AW112" s="3"/>
      <c r="AX112" s="3"/>
      <c r="AY112" s="3"/>
    </row>
    <row r="113" spans="1:51" ht="12.5" x14ac:dyDescent="0.25">
      <c r="A113" s="3" t="s">
        <v>46</v>
      </c>
      <c r="B113" s="21" t="str">
        <f>HYPERLINK("https://gerandofalcoes.my.salesforce.com/0014X00002VKCqR", "0014X00002VKCqR")</f>
        <v>0014X00002VKCqR</v>
      </c>
      <c r="C113" s="7" t="str">
        <f>HYPERLINK("https://gerandofalcoes.my.salesforce.com/0014X00002VKCqRQAX", "0014X00002VKCqRQAX")</f>
        <v>0014X00002VKCqRQAX</v>
      </c>
      <c r="D113" s="3" t="s">
        <v>5590</v>
      </c>
      <c r="E113" s="3" t="s">
        <v>5591</v>
      </c>
      <c r="F113" s="3" t="s">
        <v>5592</v>
      </c>
      <c r="G113" s="6">
        <v>44763</v>
      </c>
      <c r="H113" s="3">
        <v>33</v>
      </c>
      <c r="I113" s="3" t="s">
        <v>5593</v>
      </c>
      <c r="J113" s="3" t="s">
        <v>5594</v>
      </c>
      <c r="K113" s="3" t="s">
        <v>5595</v>
      </c>
      <c r="L113" s="3" t="s">
        <v>468</v>
      </c>
      <c r="M113" s="3" t="s">
        <v>5596</v>
      </c>
      <c r="N113" s="3" t="s">
        <v>5597</v>
      </c>
      <c r="O113" s="3">
        <v>1181</v>
      </c>
      <c r="P113" s="3" t="s">
        <v>5598</v>
      </c>
      <c r="Q113" s="3" t="s">
        <v>5599</v>
      </c>
      <c r="R113" s="3" t="s">
        <v>5600</v>
      </c>
      <c r="S113" s="3" t="s">
        <v>5601</v>
      </c>
      <c r="T113" s="3"/>
      <c r="U113" s="3" t="s">
        <v>4542</v>
      </c>
      <c r="V113" s="3" t="s">
        <v>5602</v>
      </c>
      <c r="W113" s="3">
        <v>3</v>
      </c>
      <c r="X113" s="3" t="s">
        <v>5603</v>
      </c>
      <c r="Y113" s="3"/>
      <c r="Z113" s="3"/>
      <c r="AA113" s="3">
        <v>200</v>
      </c>
      <c r="AB113" s="6">
        <v>32225</v>
      </c>
      <c r="AC113" s="3" t="s">
        <v>62</v>
      </c>
      <c r="AD113" s="3">
        <v>0</v>
      </c>
      <c r="AE113" s="3">
        <v>12</v>
      </c>
      <c r="AF113" s="3">
        <v>2</v>
      </c>
      <c r="AG113" s="3" t="s">
        <v>3917</v>
      </c>
      <c r="AH113" s="3">
        <v>50</v>
      </c>
      <c r="AI113" s="3">
        <v>418318</v>
      </c>
      <c r="AJ113" s="3" t="s">
        <v>120</v>
      </c>
      <c r="AK113" s="3"/>
      <c r="AL113" s="7" t="s">
        <v>5604</v>
      </c>
      <c r="AM113" s="7" t="s">
        <v>5605</v>
      </c>
      <c r="AN113" s="7" t="s">
        <v>5606</v>
      </c>
      <c r="AO113" s="7" t="s">
        <v>5607</v>
      </c>
      <c r="AQ113" s="3"/>
      <c r="AR113" s="7" t="s">
        <v>5608</v>
      </c>
      <c r="AS113" s="7" t="s">
        <v>5609</v>
      </c>
      <c r="AT113" s="3"/>
      <c r="AU113" s="7" t="s">
        <v>5610</v>
      </c>
      <c r="AV113" s="3"/>
      <c r="AW113" s="3"/>
      <c r="AX113" s="3"/>
      <c r="AY113" s="3"/>
    </row>
    <row r="114" spans="1:51" ht="12.5" x14ac:dyDescent="0.25">
      <c r="A114" s="3" t="s">
        <v>46</v>
      </c>
      <c r="B114" s="21" t="str">
        <f>HYPERLINK("https://gerandofalcoes.my.salesforce.com/0014X00002VKCqS", "0014X00002VKCqS")</f>
        <v>0014X00002VKCqS</v>
      </c>
      <c r="C114" s="7" t="str">
        <f>HYPERLINK("https://gerandofalcoes.my.salesforce.com/0014X00002VKCqSQAX", "0014X00002VKCqSQAX")</f>
        <v>0014X00002VKCqSQAX</v>
      </c>
      <c r="D114" s="3" t="s">
        <v>5611</v>
      </c>
      <c r="E114" s="3" t="s">
        <v>5612</v>
      </c>
      <c r="F114" s="3" t="s">
        <v>5613</v>
      </c>
      <c r="G114" s="6">
        <v>44763</v>
      </c>
      <c r="H114" s="3">
        <v>33</v>
      </c>
      <c r="I114" s="3" t="s">
        <v>5614</v>
      </c>
      <c r="J114" s="3" t="s">
        <v>5615</v>
      </c>
      <c r="K114" s="3" t="s">
        <v>5616</v>
      </c>
      <c r="L114" s="3" t="s">
        <v>468</v>
      </c>
      <c r="M114" s="3" t="s">
        <v>5617</v>
      </c>
      <c r="N114" s="3" t="s">
        <v>5318</v>
      </c>
      <c r="O114" s="3">
        <v>31</v>
      </c>
      <c r="P114" s="3" t="s">
        <v>470</v>
      </c>
      <c r="Q114" s="3" t="s">
        <v>5618</v>
      </c>
      <c r="R114" s="3" t="s">
        <v>5619</v>
      </c>
      <c r="S114" s="3"/>
      <c r="T114" s="3"/>
      <c r="U114" s="3" t="s">
        <v>4346</v>
      </c>
      <c r="V114" s="3" t="s">
        <v>3800</v>
      </c>
      <c r="W114" s="3">
        <v>170</v>
      </c>
      <c r="X114" s="3" t="s">
        <v>5620</v>
      </c>
      <c r="Y114" s="3" t="s">
        <v>5621</v>
      </c>
      <c r="Z114" s="3"/>
      <c r="AA114" s="3">
        <v>40</v>
      </c>
      <c r="AB114" s="6">
        <v>31295</v>
      </c>
      <c r="AC114" s="3" t="s">
        <v>62</v>
      </c>
      <c r="AD114" s="3">
        <v>0</v>
      </c>
      <c r="AE114" s="3">
        <v>13</v>
      </c>
      <c r="AF114" s="3">
        <v>3</v>
      </c>
      <c r="AG114" s="3" t="s">
        <v>4288</v>
      </c>
      <c r="AH114" s="3" t="s">
        <v>5622</v>
      </c>
      <c r="AI114" s="3">
        <v>2160</v>
      </c>
      <c r="AJ114" s="3" t="s">
        <v>120</v>
      </c>
      <c r="AK114" s="3"/>
      <c r="AL114" s="3"/>
      <c r="AM114" s="7" t="s">
        <v>5623</v>
      </c>
      <c r="AN114" s="3"/>
      <c r="AO114" s="3"/>
      <c r="AP114" s="3"/>
      <c r="AQ114" s="3"/>
      <c r="AR114" s="3"/>
      <c r="AS114" s="3"/>
      <c r="AT114" s="3"/>
      <c r="AU114" s="3"/>
      <c r="AV114" s="3"/>
      <c r="AW114" s="3"/>
      <c r="AX114" s="3"/>
      <c r="AY114" s="3"/>
    </row>
    <row r="115" spans="1:51" ht="12.5" x14ac:dyDescent="0.25">
      <c r="A115" s="3" t="s">
        <v>46</v>
      </c>
      <c r="B115" s="21" t="str">
        <f>HYPERLINK("https://gerandofalcoes.my.salesforce.com/0014X00002VKCqa", "0014X00002VKCqa")</f>
        <v>0014X00002VKCqa</v>
      </c>
      <c r="C115" s="7" t="str">
        <f>HYPERLINK("https://gerandofalcoes.my.salesforce.com/0014X00002VKCqaQAH", "0014X00002VKCqaQAH")</f>
        <v>0014X00002VKCqaQAH</v>
      </c>
      <c r="D115" s="3" t="s">
        <v>5624</v>
      </c>
      <c r="E115" s="3" t="s">
        <v>5625</v>
      </c>
      <c r="F115" s="3">
        <v>14756180000140</v>
      </c>
      <c r="G115" s="6">
        <v>44763</v>
      </c>
      <c r="H115" s="3">
        <v>33</v>
      </c>
      <c r="I115" s="3" t="s">
        <v>5626</v>
      </c>
      <c r="J115" s="3"/>
      <c r="K115" s="3"/>
      <c r="L115" s="3" t="s">
        <v>84</v>
      </c>
      <c r="M115" s="3" t="s">
        <v>5627</v>
      </c>
      <c r="N115" s="3" t="s">
        <v>5628</v>
      </c>
      <c r="O115" s="3">
        <v>223</v>
      </c>
      <c r="P115" s="3" t="s">
        <v>177</v>
      </c>
      <c r="Q115" s="3"/>
      <c r="R115" s="3" t="s">
        <v>5629</v>
      </c>
      <c r="S115" s="3"/>
      <c r="T115" s="3"/>
      <c r="U115" s="3"/>
      <c r="V115" s="3"/>
      <c r="W115" s="3">
        <v>4</v>
      </c>
      <c r="X115" s="3" t="s">
        <v>5630</v>
      </c>
      <c r="Y115" s="3" t="s">
        <v>5631</v>
      </c>
      <c r="Z115" s="3"/>
      <c r="AA115" s="3">
        <v>50</v>
      </c>
      <c r="AB115" s="8">
        <v>40827</v>
      </c>
      <c r="AC115" s="3" t="s">
        <v>62</v>
      </c>
      <c r="AD115" s="3"/>
      <c r="AE115" s="3">
        <v>10</v>
      </c>
      <c r="AF115" s="3">
        <v>0</v>
      </c>
      <c r="AG115" s="3"/>
      <c r="AH115" s="3"/>
      <c r="AI115" s="3"/>
      <c r="AJ115" s="3"/>
      <c r="AK115" s="3"/>
      <c r="AL115" s="3"/>
      <c r="AM115" s="7" t="s">
        <v>5632</v>
      </c>
      <c r="AN115" s="7" t="s">
        <v>5633</v>
      </c>
      <c r="AO115" s="3"/>
      <c r="AP115" s="3"/>
      <c r="AQ115" s="3"/>
      <c r="AR115" s="3"/>
      <c r="AS115" s="3"/>
      <c r="AT115" s="3"/>
      <c r="AU115" s="3"/>
      <c r="AV115" s="3"/>
      <c r="AW115" s="3"/>
      <c r="AX115" s="3"/>
      <c r="AY115" s="3"/>
    </row>
    <row r="116" spans="1:51" ht="12.5" x14ac:dyDescent="0.25">
      <c r="A116" s="3" t="s">
        <v>46</v>
      </c>
      <c r="B116" s="21" t="str">
        <f>HYPERLINK("https://gerandofalcoes.my.salesforce.com/0014X00002VKCqb", "0014X00002VKCqb")</f>
        <v>0014X00002VKCqb</v>
      </c>
      <c r="C116" s="7" t="str">
        <f>HYPERLINK("https://gerandofalcoes.my.salesforce.com/0014X00002VKCqbQAH", "0014X00002VKCqbQAH")</f>
        <v>0014X00002VKCqbQAH</v>
      </c>
      <c r="D116" s="3" t="s">
        <v>5634</v>
      </c>
      <c r="E116" s="3" t="s">
        <v>5635</v>
      </c>
      <c r="F116" s="3" t="s">
        <v>5636</v>
      </c>
      <c r="G116" s="6">
        <v>44763</v>
      </c>
      <c r="H116" s="3">
        <v>33</v>
      </c>
      <c r="I116" s="3" t="s">
        <v>5637</v>
      </c>
      <c r="J116" s="3" t="s">
        <v>5638</v>
      </c>
      <c r="K116" s="3" t="s">
        <v>5639</v>
      </c>
      <c r="L116" s="3" t="s">
        <v>84</v>
      </c>
      <c r="M116" s="3" t="s">
        <v>5640</v>
      </c>
      <c r="N116" s="3" t="s">
        <v>5641</v>
      </c>
      <c r="O116" s="3">
        <v>72</v>
      </c>
      <c r="P116" s="3" t="s">
        <v>5642</v>
      </c>
      <c r="Q116" s="3" t="s">
        <v>1539</v>
      </c>
      <c r="R116" s="3" t="s">
        <v>5643</v>
      </c>
      <c r="S116" s="3" t="s">
        <v>5644</v>
      </c>
      <c r="T116" s="3"/>
      <c r="U116" s="3" t="s">
        <v>5645</v>
      </c>
      <c r="V116" s="3" t="s">
        <v>5646</v>
      </c>
      <c r="W116" s="3">
        <v>4</v>
      </c>
      <c r="X116" s="3" t="s">
        <v>5647</v>
      </c>
      <c r="Y116" s="3" t="s">
        <v>5648</v>
      </c>
      <c r="Z116" s="3"/>
      <c r="AA116" s="3">
        <v>57</v>
      </c>
      <c r="AB116" s="6">
        <v>37114</v>
      </c>
      <c r="AC116" s="3" t="s">
        <v>62</v>
      </c>
      <c r="AD116" s="3">
        <v>0</v>
      </c>
      <c r="AE116" s="3">
        <v>15</v>
      </c>
      <c r="AF116" s="3">
        <v>3</v>
      </c>
      <c r="AG116" s="3" t="s">
        <v>5649</v>
      </c>
      <c r="AH116" s="3" t="s">
        <v>5650</v>
      </c>
      <c r="AI116" s="3">
        <v>70000</v>
      </c>
      <c r="AJ116" s="3" t="s">
        <v>120</v>
      </c>
      <c r="AK116" s="3"/>
      <c r="AL116" s="7" t="s">
        <v>5651</v>
      </c>
      <c r="AM116" s="3" t="s">
        <v>5652</v>
      </c>
      <c r="AN116" s="3"/>
      <c r="AO116" s="7" t="s">
        <v>5653</v>
      </c>
      <c r="AP116" s="3"/>
      <c r="AQ116" s="3"/>
      <c r="AR116" s="3"/>
      <c r="AS116" s="3"/>
      <c r="AT116" s="3"/>
      <c r="AU116" s="3"/>
      <c r="AV116" s="3"/>
      <c r="AW116" s="3"/>
      <c r="AX116" s="3"/>
      <c r="AY116" s="3"/>
    </row>
    <row r="117" spans="1:51" ht="12.5" x14ac:dyDescent="0.25">
      <c r="A117" s="3" t="s">
        <v>46</v>
      </c>
      <c r="B117" s="21" t="str">
        <f>HYPERLINK("https://gerandofalcoes.my.salesforce.com/0014X00002VKCqe", "0014X00002VKCqe")</f>
        <v>0014X00002VKCqe</v>
      </c>
      <c r="C117" s="7" t="str">
        <f>HYPERLINK("https://gerandofalcoes.my.salesforce.com/0014X00002VKCqeQAH", "0014X00002VKCqeQAH")</f>
        <v>0014X00002VKCqeQAH</v>
      </c>
      <c r="D117" s="3" t="s">
        <v>5654</v>
      </c>
      <c r="E117" s="3" t="s">
        <v>5655</v>
      </c>
      <c r="F117" s="3"/>
      <c r="G117" s="6">
        <v>44763</v>
      </c>
      <c r="H117" s="3">
        <v>33</v>
      </c>
      <c r="I117" s="3" t="s">
        <v>5656</v>
      </c>
      <c r="J117" s="3" t="s">
        <v>5657</v>
      </c>
      <c r="K117" s="3" t="s">
        <v>5658</v>
      </c>
      <c r="L117" s="3" t="s">
        <v>1381</v>
      </c>
      <c r="M117" s="3" t="s">
        <v>5659</v>
      </c>
      <c r="N117" s="3" t="s">
        <v>5660</v>
      </c>
      <c r="O117" s="3">
        <v>31</v>
      </c>
      <c r="P117" s="3" t="s">
        <v>5661</v>
      </c>
      <c r="Q117" s="3" t="s">
        <v>5662</v>
      </c>
      <c r="R117" s="3" t="s">
        <v>3557</v>
      </c>
      <c r="S117" s="3" t="s">
        <v>5663</v>
      </c>
      <c r="T117" s="3"/>
      <c r="U117" s="3" t="s">
        <v>4346</v>
      </c>
      <c r="V117" s="3" t="s">
        <v>5664</v>
      </c>
      <c r="W117" s="3">
        <v>0</v>
      </c>
      <c r="X117" s="3" t="s">
        <v>5665</v>
      </c>
      <c r="Y117" s="3" t="s">
        <v>5666</v>
      </c>
      <c r="Z117" s="3"/>
      <c r="AA117" s="3">
        <v>750</v>
      </c>
      <c r="AB117" s="8">
        <v>42078</v>
      </c>
      <c r="AC117" s="3" t="s">
        <v>120</v>
      </c>
      <c r="AD117" s="3">
        <v>0</v>
      </c>
      <c r="AE117" s="3">
        <v>25</v>
      </c>
      <c r="AF117" s="3">
        <v>3</v>
      </c>
      <c r="AG117" s="3" t="s">
        <v>4143</v>
      </c>
      <c r="AH117" s="3" t="s">
        <v>5667</v>
      </c>
      <c r="AI117" s="3">
        <v>1000</v>
      </c>
      <c r="AJ117" s="3" t="s">
        <v>61</v>
      </c>
      <c r="AK117" s="3"/>
      <c r="AL117" s="3" t="s">
        <v>5668</v>
      </c>
      <c r="AM117" s="3"/>
      <c r="AN117" s="3"/>
      <c r="AO117" s="3"/>
      <c r="AP117" s="3"/>
      <c r="AQ117" s="7" t="s">
        <v>5669</v>
      </c>
      <c r="AR117" s="3"/>
      <c r="AS117" s="3"/>
      <c r="AT117" s="3"/>
      <c r="AU117" s="3"/>
      <c r="AV117" s="3"/>
      <c r="AW117" s="3"/>
      <c r="AX117" s="3"/>
      <c r="AY117" s="3"/>
    </row>
    <row r="118" spans="1:51" ht="12.5" x14ac:dyDescent="0.25">
      <c r="A118" s="3" t="s">
        <v>46</v>
      </c>
      <c r="B118" s="21" t="str">
        <f>HYPERLINK("https://gerandofalcoes.my.salesforce.com/0014X00002VKCqf", "0014X00002VKCqf")</f>
        <v>0014X00002VKCqf</v>
      </c>
      <c r="C118" s="7" t="str">
        <f>HYPERLINK("https://gerandofalcoes.my.salesforce.com/0014X00002VKCqfQAH", "0014X00002VKCqfQAH")</f>
        <v>0014X00002VKCqfQAH</v>
      </c>
      <c r="D118" s="3" t="s">
        <v>5670</v>
      </c>
      <c r="E118" s="3" t="s">
        <v>5671</v>
      </c>
      <c r="F118" s="3" t="s">
        <v>5672</v>
      </c>
      <c r="G118" s="6">
        <v>44763</v>
      </c>
      <c r="H118" s="3">
        <v>33</v>
      </c>
      <c r="I118" s="3" t="s">
        <v>5673</v>
      </c>
      <c r="J118" s="3" t="s">
        <v>5674</v>
      </c>
      <c r="K118" s="3" t="s">
        <v>5675</v>
      </c>
      <c r="L118" s="3" t="s">
        <v>5676</v>
      </c>
      <c r="M118" s="3" t="s">
        <v>5677</v>
      </c>
      <c r="N118" s="3" t="s">
        <v>5678</v>
      </c>
      <c r="O118" s="3" t="s">
        <v>5679</v>
      </c>
      <c r="P118" s="3" t="s">
        <v>5680</v>
      </c>
      <c r="Q118" s="3"/>
      <c r="R118" s="3" t="s">
        <v>5681</v>
      </c>
      <c r="S118" s="3" t="s">
        <v>120</v>
      </c>
      <c r="T118" s="3"/>
      <c r="U118" s="3" t="s">
        <v>4709</v>
      </c>
      <c r="V118" s="3" t="s">
        <v>5682</v>
      </c>
      <c r="W118" s="3">
        <v>3</v>
      </c>
      <c r="X118" s="3" t="s">
        <v>5683</v>
      </c>
      <c r="Y118" s="3"/>
      <c r="Z118" s="3"/>
      <c r="AA118" s="3">
        <v>0</v>
      </c>
      <c r="AB118" s="6">
        <v>43528</v>
      </c>
      <c r="AC118" s="3" t="s">
        <v>62</v>
      </c>
      <c r="AD118" s="3">
        <v>0</v>
      </c>
      <c r="AE118" s="3">
        <v>20</v>
      </c>
      <c r="AF118" s="3">
        <v>2</v>
      </c>
      <c r="AG118" s="3" t="s">
        <v>4084</v>
      </c>
      <c r="AH118" s="3">
        <v>0</v>
      </c>
      <c r="AI118" s="3">
        <v>14000</v>
      </c>
      <c r="AJ118" s="3" t="s">
        <v>62</v>
      </c>
      <c r="AK118" s="3"/>
      <c r="AL118" s="3"/>
      <c r="AM118" s="7" t="s">
        <v>5684</v>
      </c>
      <c r="AN118" s="3"/>
      <c r="AO118" s="3"/>
      <c r="AP118" s="3"/>
      <c r="AQ118" s="7" t="s">
        <v>5685</v>
      </c>
      <c r="AR118" s="7" t="s">
        <v>5686</v>
      </c>
      <c r="AS118" s="7" t="s">
        <v>5687</v>
      </c>
      <c r="AT118" s="3"/>
      <c r="AU118" s="3"/>
      <c r="AV118" s="3"/>
      <c r="AW118" s="3"/>
      <c r="AX118" s="3"/>
      <c r="AY118" s="3"/>
    </row>
    <row r="119" spans="1:51" ht="12.5" x14ac:dyDescent="0.25">
      <c r="A119" s="3" t="s">
        <v>46</v>
      </c>
      <c r="B119" s="21" t="str">
        <f>HYPERLINK("https://gerandofalcoes.my.salesforce.com/0014X00002VKCqg", "0014X00002VKCqg")</f>
        <v>0014X00002VKCqg</v>
      </c>
      <c r="C119" s="7" t="str">
        <f>HYPERLINK("https://gerandofalcoes.my.salesforce.com/0014X00002VKCqgQAH", "0014X00002VKCqgQAH")</f>
        <v>0014X00002VKCqgQAH</v>
      </c>
      <c r="D119" s="3" t="s">
        <v>5688</v>
      </c>
      <c r="E119" s="3" t="s">
        <v>5688</v>
      </c>
      <c r="F119" s="3" t="s">
        <v>5689</v>
      </c>
      <c r="G119" s="6">
        <v>44763</v>
      </c>
      <c r="H119" s="3">
        <v>33</v>
      </c>
      <c r="I119" s="3" t="s">
        <v>5690</v>
      </c>
      <c r="J119" s="3" t="s">
        <v>5691</v>
      </c>
      <c r="K119" s="3" t="s">
        <v>5692</v>
      </c>
      <c r="L119" s="3" t="s">
        <v>5693</v>
      </c>
      <c r="M119" s="3" t="s">
        <v>3944</v>
      </c>
      <c r="N119" s="3" t="s">
        <v>5694</v>
      </c>
      <c r="O119" s="3">
        <v>2257</v>
      </c>
      <c r="P119" s="3" t="s">
        <v>5695</v>
      </c>
      <c r="Q119" s="3" t="s">
        <v>5696</v>
      </c>
      <c r="R119" s="3" t="s">
        <v>5697</v>
      </c>
      <c r="S119" s="3" t="s">
        <v>5698</v>
      </c>
      <c r="T119" s="3"/>
      <c r="U119" s="3" t="s">
        <v>4062</v>
      </c>
      <c r="V119" s="3" t="s">
        <v>5699</v>
      </c>
      <c r="W119" s="3">
        <v>12</v>
      </c>
      <c r="X119" s="3" t="s">
        <v>5700</v>
      </c>
      <c r="Y119" s="3" t="s">
        <v>5701</v>
      </c>
      <c r="Z119" s="3"/>
      <c r="AA119" s="3">
        <v>1003</v>
      </c>
      <c r="AB119" s="6">
        <v>41892</v>
      </c>
      <c r="AC119" s="3" t="s">
        <v>62</v>
      </c>
      <c r="AD119" s="3">
        <v>12</v>
      </c>
      <c r="AE119" s="3">
        <v>40</v>
      </c>
      <c r="AF119" s="3">
        <v>6</v>
      </c>
      <c r="AG119" s="3" t="s">
        <v>5702</v>
      </c>
      <c r="AH119" s="3" t="s">
        <v>5703</v>
      </c>
      <c r="AI119" s="3">
        <v>400000</v>
      </c>
      <c r="AJ119" s="3" t="s">
        <v>62</v>
      </c>
      <c r="AK119" s="3"/>
      <c r="AL119" s="7" t="s">
        <v>5704</v>
      </c>
      <c r="AM119" s="7" t="s">
        <v>5705</v>
      </c>
      <c r="AN119" s="7" t="s">
        <v>5706</v>
      </c>
      <c r="AO119" s="3"/>
      <c r="AP119" s="3"/>
      <c r="AQ119" s="3"/>
      <c r="AR119" s="7" t="s">
        <v>5707</v>
      </c>
      <c r="AS119" s="7" t="s">
        <v>5708</v>
      </c>
      <c r="AT119" s="7" t="s">
        <v>5709</v>
      </c>
      <c r="AU119" s="7" t="s">
        <v>5710</v>
      </c>
      <c r="AV119" s="3"/>
      <c r="AW119" s="3"/>
      <c r="AX119" s="3"/>
      <c r="AY119" s="3"/>
    </row>
    <row r="120" spans="1:51" ht="12.5" x14ac:dyDescent="0.25">
      <c r="A120" s="3" t="s">
        <v>46</v>
      </c>
      <c r="B120" s="21" t="str">
        <f>HYPERLINK("https://gerandofalcoes.my.salesforce.com/0014X00002VKCqh", "0014X00002VKCqh")</f>
        <v>0014X00002VKCqh</v>
      </c>
      <c r="C120" s="7" t="str">
        <f>HYPERLINK("https://gerandofalcoes.my.salesforce.com/0014X00002VKCqhQAH", "0014X00002VKCqhQAH")</f>
        <v>0014X00002VKCqhQAH</v>
      </c>
      <c r="D120" s="3" t="s">
        <v>5711</v>
      </c>
      <c r="E120" s="3" t="s">
        <v>5712</v>
      </c>
      <c r="F120" s="3" t="s">
        <v>5713</v>
      </c>
      <c r="G120" s="8">
        <v>44763</v>
      </c>
      <c r="H120" s="3">
        <v>33</v>
      </c>
      <c r="I120" s="3" t="s">
        <v>5714</v>
      </c>
      <c r="J120" s="3" t="s">
        <v>5715</v>
      </c>
      <c r="K120" s="3">
        <v>77999771462</v>
      </c>
      <c r="L120" s="3" t="s">
        <v>1002</v>
      </c>
      <c r="M120" s="3" t="s">
        <v>5716</v>
      </c>
      <c r="N120" s="3" t="s">
        <v>3910</v>
      </c>
      <c r="O120" s="3" t="s">
        <v>779</v>
      </c>
      <c r="P120" s="3" t="s">
        <v>5717</v>
      </c>
      <c r="Q120" s="3"/>
      <c r="R120" s="3" t="s">
        <v>5718</v>
      </c>
      <c r="S120" s="3"/>
      <c r="T120" s="3"/>
      <c r="U120" s="3"/>
      <c r="V120" s="3"/>
      <c r="W120" s="3">
        <v>5</v>
      </c>
      <c r="X120" s="3" t="s">
        <v>5719</v>
      </c>
      <c r="Y120" s="3"/>
      <c r="Z120" s="3"/>
      <c r="AA120" s="3">
        <v>5000</v>
      </c>
      <c r="AB120" s="6">
        <v>43906</v>
      </c>
      <c r="AC120" s="3" t="s">
        <v>62</v>
      </c>
      <c r="AD120" s="3"/>
      <c r="AE120" s="3">
        <v>10</v>
      </c>
      <c r="AF120" s="3">
        <v>1</v>
      </c>
      <c r="AG120" s="3"/>
      <c r="AH120" s="5">
        <v>0.2</v>
      </c>
      <c r="AI120" s="3">
        <v>150</v>
      </c>
      <c r="AJ120" s="3" t="s">
        <v>62</v>
      </c>
      <c r="AK120" s="3"/>
      <c r="AL120" s="3"/>
      <c r="AM120" s="7" t="s">
        <v>5720</v>
      </c>
      <c r="AN120" s="7" t="s">
        <v>5721</v>
      </c>
      <c r="AO120" s="3"/>
      <c r="AP120" s="3"/>
      <c r="AQ120" s="7" t="s">
        <v>5722</v>
      </c>
      <c r="AR120" s="7" t="s">
        <v>5723</v>
      </c>
      <c r="AS120" s="7" t="s">
        <v>5724</v>
      </c>
      <c r="AT120" s="3"/>
      <c r="AU120" s="7" t="s">
        <v>5725</v>
      </c>
      <c r="AV120" s="3"/>
      <c r="AW120" s="3"/>
      <c r="AX120" s="3"/>
      <c r="AY120" s="3"/>
    </row>
    <row r="121" spans="1:51" ht="12.5" x14ac:dyDescent="0.25">
      <c r="A121" s="3" t="s">
        <v>46</v>
      </c>
      <c r="B121" s="21" t="str">
        <f>HYPERLINK("https://gerandofalcoes.my.salesforce.com/0014X00002VKCqj", "0014X00002VKCqj")</f>
        <v>0014X00002VKCqj</v>
      </c>
      <c r="C121" s="7" t="str">
        <f>HYPERLINK("https://gerandofalcoes.my.salesforce.com/0014X00002VKCqjQAH", "0014X00002VKCqjQAH")</f>
        <v>0014X00002VKCqjQAH</v>
      </c>
      <c r="D121" s="3" t="s">
        <v>5726</v>
      </c>
      <c r="E121" s="3" t="s">
        <v>5727</v>
      </c>
      <c r="F121" s="3" t="s">
        <v>5728</v>
      </c>
      <c r="G121" s="6">
        <v>44763</v>
      </c>
      <c r="H121" s="3">
        <v>33</v>
      </c>
      <c r="I121" s="3" t="s">
        <v>5729</v>
      </c>
      <c r="J121" s="3" t="s">
        <v>5730</v>
      </c>
      <c r="K121" s="3" t="s">
        <v>5731</v>
      </c>
      <c r="L121" s="3" t="s">
        <v>84</v>
      </c>
      <c r="M121" s="3" t="s">
        <v>5732</v>
      </c>
      <c r="N121" s="3" t="s">
        <v>5733</v>
      </c>
      <c r="O121" s="3">
        <v>71</v>
      </c>
      <c r="P121" s="3" t="s">
        <v>369</v>
      </c>
      <c r="Q121" s="3"/>
      <c r="R121" s="3" t="s">
        <v>5734</v>
      </c>
      <c r="S121" s="3"/>
      <c r="T121" s="3"/>
      <c r="U121" s="3" t="s">
        <v>4062</v>
      </c>
      <c r="V121" s="3" t="s">
        <v>4656</v>
      </c>
      <c r="W121" s="3">
        <v>10</v>
      </c>
      <c r="X121" s="3" t="s">
        <v>5735</v>
      </c>
      <c r="Y121" s="3" t="s">
        <v>5736</v>
      </c>
      <c r="Z121" s="3"/>
      <c r="AA121" s="3">
        <v>10</v>
      </c>
      <c r="AB121" s="6">
        <v>30339</v>
      </c>
      <c r="AC121" s="3" t="s">
        <v>62</v>
      </c>
      <c r="AD121" s="3">
        <v>0</v>
      </c>
      <c r="AE121" s="3">
        <v>6</v>
      </c>
      <c r="AF121" s="3">
        <v>5</v>
      </c>
      <c r="AG121" s="3" t="s">
        <v>5737</v>
      </c>
      <c r="AH121" s="3">
        <v>1</v>
      </c>
      <c r="AI121" s="3">
        <v>9632</v>
      </c>
      <c r="AJ121" s="3" t="s">
        <v>61</v>
      </c>
      <c r="AK121" s="3"/>
      <c r="AL121" s="3"/>
      <c r="AM121" s="3" t="s">
        <v>5738</v>
      </c>
      <c r="AN121" s="3"/>
      <c r="AO121" s="3"/>
      <c r="AP121" s="3"/>
      <c r="AQ121" s="3"/>
      <c r="AR121" s="7" t="s">
        <v>5739</v>
      </c>
      <c r="AS121" s="7" t="s">
        <v>5740</v>
      </c>
      <c r="AT121" s="3"/>
      <c r="AU121" s="7" t="s">
        <v>5741</v>
      </c>
      <c r="AV121" s="3"/>
      <c r="AW121" s="3"/>
      <c r="AX121" s="3"/>
      <c r="AY121" s="3"/>
    </row>
    <row r="122" spans="1:51" ht="12.5" x14ac:dyDescent="0.25">
      <c r="A122" s="3" t="s">
        <v>46</v>
      </c>
      <c r="B122" s="21" t="str">
        <f>HYPERLINK("https://gerandofalcoes.my.salesforce.com/0014X00002VKCqk", "0014X00002VKCqk")</f>
        <v>0014X00002VKCqk</v>
      </c>
      <c r="C122" s="7" t="str">
        <f>HYPERLINK("https://gerandofalcoes.my.salesforce.com/0014X00002VKCqkQAH", "0014X00002VKCqkQAH")</f>
        <v>0014X00002VKCqkQAH</v>
      </c>
      <c r="D122" s="3" t="s">
        <v>5742</v>
      </c>
      <c r="E122" s="3" t="s">
        <v>5743</v>
      </c>
      <c r="F122" s="3" t="s">
        <v>5744</v>
      </c>
      <c r="G122" s="6"/>
      <c r="H122" s="3"/>
      <c r="I122" s="3" t="s">
        <v>5745</v>
      </c>
      <c r="J122" s="3" t="s">
        <v>5746</v>
      </c>
      <c r="K122" s="3" t="s">
        <v>5747</v>
      </c>
      <c r="L122" s="3" t="s">
        <v>84</v>
      </c>
      <c r="M122" s="3">
        <v>5</v>
      </c>
      <c r="N122" s="3" t="s">
        <v>5748</v>
      </c>
      <c r="O122" s="3">
        <v>130</v>
      </c>
      <c r="P122" s="3" t="s">
        <v>5749</v>
      </c>
      <c r="Q122" s="3"/>
      <c r="R122" s="3" t="s">
        <v>5750</v>
      </c>
      <c r="S122" s="3" t="s">
        <v>62</v>
      </c>
      <c r="T122" s="3"/>
      <c r="U122" s="3" t="s">
        <v>4497</v>
      </c>
      <c r="V122" s="3" t="s">
        <v>5751</v>
      </c>
      <c r="W122" s="3">
        <v>12</v>
      </c>
      <c r="X122" s="3" t="s">
        <v>5752</v>
      </c>
      <c r="Y122" s="3"/>
      <c r="Z122" s="3"/>
      <c r="AA122" s="3">
        <v>10</v>
      </c>
      <c r="AB122" s="6">
        <v>44070</v>
      </c>
      <c r="AC122" s="3" t="s">
        <v>62</v>
      </c>
      <c r="AD122" s="3">
        <v>0</v>
      </c>
      <c r="AE122" s="3">
        <v>20</v>
      </c>
      <c r="AF122" s="3">
        <v>2</v>
      </c>
      <c r="AG122" s="3" t="s">
        <v>4032</v>
      </c>
      <c r="AH122" s="3" t="s">
        <v>5753</v>
      </c>
      <c r="AI122" s="3">
        <v>12000</v>
      </c>
      <c r="AJ122" s="3" t="s">
        <v>120</v>
      </c>
      <c r="AK122" s="3"/>
      <c r="AL122" s="3"/>
      <c r="AM122" s="7" t="s">
        <v>5754</v>
      </c>
      <c r="AN122" s="3"/>
      <c r="AO122" s="3"/>
      <c r="AP122" s="3"/>
      <c r="AQ122" s="3"/>
      <c r="AR122" s="7" t="s">
        <v>5755</v>
      </c>
      <c r="AS122" s="7" t="s">
        <v>5756</v>
      </c>
      <c r="AT122" s="7" t="s">
        <v>5757</v>
      </c>
      <c r="AU122" s="7" t="s">
        <v>5758</v>
      </c>
      <c r="AV122" s="3"/>
      <c r="AW122" s="3"/>
      <c r="AX122" s="3"/>
      <c r="AY122" s="3"/>
    </row>
    <row r="123" spans="1:51" ht="12.5" x14ac:dyDescent="0.25">
      <c r="A123" s="3" t="s">
        <v>46</v>
      </c>
      <c r="B123" s="21" t="str">
        <f>HYPERLINK("https://gerandofalcoes.my.salesforce.com/0014X00002VKCql", "0014X00002VKCql")</f>
        <v>0014X00002VKCql</v>
      </c>
      <c r="C123" s="7" t="str">
        <f>HYPERLINK("https://gerandofalcoes.my.salesforce.com/0014X00002VKCqlQAH", "0014X00002VKCqlQAH")</f>
        <v>0014X00002VKCqlQAH</v>
      </c>
      <c r="D123" s="3" t="s">
        <v>5759</v>
      </c>
      <c r="E123" s="3" t="s">
        <v>5760</v>
      </c>
      <c r="F123" s="3" t="s">
        <v>5761</v>
      </c>
      <c r="G123" s="6"/>
      <c r="H123" s="3"/>
      <c r="I123" s="3" t="s">
        <v>5762</v>
      </c>
      <c r="J123" s="3" t="s">
        <v>5763</v>
      </c>
      <c r="K123" s="3" t="s">
        <v>5764</v>
      </c>
      <c r="L123" s="3" t="s">
        <v>84</v>
      </c>
      <c r="M123" s="3" t="s">
        <v>5765</v>
      </c>
      <c r="N123" s="3" t="s">
        <v>5766</v>
      </c>
      <c r="O123" s="3">
        <v>1295</v>
      </c>
      <c r="P123" s="3" t="s">
        <v>5767</v>
      </c>
      <c r="Q123" s="3" t="s">
        <v>2316</v>
      </c>
      <c r="R123" s="3" t="s">
        <v>5768</v>
      </c>
      <c r="S123" s="3" t="s">
        <v>5769</v>
      </c>
      <c r="T123" s="3"/>
      <c r="U123" s="3" t="s">
        <v>4081</v>
      </c>
      <c r="V123" s="3" t="s">
        <v>4519</v>
      </c>
      <c r="W123" s="3">
        <v>1</v>
      </c>
      <c r="X123" s="3" t="s">
        <v>5770</v>
      </c>
      <c r="Y123" s="3" t="s">
        <v>5771</v>
      </c>
      <c r="Z123" s="3"/>
      <c r="AA123" s="3">
        <v>0</v>
      </c>
      <c r="AB123" s="6">
        <v>42990</v>
      </c>
      <c r="AC123" s="3" t="s">
        <v>62</v>
      </c>
      <c r="AD123" s="3">
        <v>5</v>
      </c>
      <c r="AE123" s="3">
        <v>3</v>
      </c>
      <c r="AF123" s="3">
        <v>5</v>
      </c>
      <c r="AG123" s="3" t="s">
        <v>5772</v>
      </c>
      <c r="AH123" s="3" t="s">
        <v>5773</v>
      </c>
      <c r="AI123" s="3">
        <v>38000</v>
      </c>
      <c r="AJ123" s="3" t="s">
        <v>120</v>
      </c>
      <c r="AK123" s="3"/>
      <c r="AL123" s="7" t="s">
        <v>5774</v>
      </c>
      <c r="AM123" s="7" t="s">
        <v>5775</v>
      </c>
      <c r="AN123" s="7" t="s">
        <v>5776</v>
      </c>
      <c r="AO123" s="3"/>
      <c r="AP123" s="3"/>
      <c r="AQ123" s="7" t="s">
        <v>5777</v>
      </c>
      <c r="AR123" s="7" t="s">
        <v>5778</v>
      </c>
      <c r="AS123" s="7" t="s">
        <v>5779</v>
      </c>
      <c r="AT123" s="7" t="s">
        <v>5780</v>
      </c>
      <c r="AU123" s="7" t="s">
        <v>5781</v>
      </c>
      <c r="AV123" s="3"/>
      <c r="AW123" s="3"/>
      <c r="AX123" s="3"/>
      <c r="AY123" s="3"/>
    </row>
    <row r="124" spans="1:51" ht="12.5" x14ac:dyDescent="0.25">
      <c r="A124" s="3" t="s">
        <v>46</v>
      </c>
      <c r="B124" s="21" t="str">
        <f>HYPERLINK("https://gerandofalcoes.my.salesforce.com/0014X00002VKCqm", "0014X00002VKCqm")</f>
        <v>0014X00002VKCqm</v>
      </c>
      <c r="C124" s="7" t="str">
        <f>HYPERLINK("https://gerandofalcoes.my.salesforce.com/0014X00002VKCqmQAH", "0014X00002VKCqmQAH")</f>
        <v>0014X00002VKCqmQAH</v>
      </c>
      <c r="D124" s="3" t="s">
        <v>5782</v>
      </c>
      <c r="E124" s="3" t="s">
        <v>5783</v>
      </c>
      <c r="F124" s="3" t="s">
        <v>5784</v>
      </c>
      <c r="G124" s="6">
        <v>44763</v>
      </c>
      <c r="H124" s="3">
        <v>33</v>
      </c>
      <c r="I124" s="3" t="s">
        <v>5785</v>
      </c>
      <c r="J124" s="3" t="s">
        <v>5786</v>
      </c>
      <c r="K124" s="3" t="s">
        <v>5787</v>
      </c>
      <c r="L124" s="3" t="s">
        <v>84</v>
      </c>
      <c r="M124" s="3" t="s">
        <v>5788</v>
      </c>
      <c r="N124" s="3" t="s">
        <v>5789</v>
      </c>
      <c r="O124" s="3">
        <v>290</v>
      </c>
      <c r="P124" s="3" t="s">
        <v>5790</v>
      </c>
      <c r="Q124" s="3"/>
      <c r="R124" s="3" t="s">
        <v>5791</v>
      </c>
      <c r="S124" s="3" t="s">
        <v>5792</v>
      </c>
      <c r="T124" s="3"/>
      <c r="U124" s="3" t="s">
        <v>4062</v>
      </c>
      <c r="V124" s="3" t="s">
        <v>5793</v>
      </c>
      <c r="W124" s="3">
        <v>30</v>
      </c>
      <c r="X124" s="3" t="s">
        <v>5794</v>
      </c>
      <c r="Y124" s="3" t="s">
        <v>5795</v>
      </c>
      <c r="Z124" s="3"/>
      <c r="AA124" s="3">
        <v>250</v>
      </c>
      <c r="AB124" s="6">
        <v>37995</v>
      </c>
      <c r="AC124" s="3" t="s">
        <v>62</v>
      </c>
      <c r="AD124" s="3">
        <v>5</v>
      </c>
      <c r="AE124" s="3">
        <v>5</v>
      </c>
      <c r="AF124" s="3">
        <v>4</v>
      </c>
      <c r="AG124" s="3" t="s">
        <v>4880</v>
      </c>
      <c r="AH124" s="3" t="s">
        <v>5796</v>
      </c>
      <c r="AI124" s="3">
        <v>40000</v>
      </c>
      <c r="AJ124" s="3" t="s">
        <v>62</v>
      </c>
      <c r="AK124" s="3"/>
      <c r="AL124" s="3"/>
      <c r="AM124" s="7" t="s">
        <v>5797</v>
      </c>
      <c r="AN124" s="7" t="s">
        <v>5798</v>
      </c>
      <c r="AO124" s="3"/>
      <c r="AP124" s="3"/>
      <c r="AQ124" s="7" t="s">
        <v>5799</v>
      </c>
      <c r="AR124" s="7" t="s">
        <v>5800</v>
      </c>
      <c r="AS124" s="7" t="s">
        <v>5801</v>
      </c>
      <c r="AT124" s="7" t="s">
        <v>5802</v>
      </c>
      <c r="AU124" s="7" t="s">
        <v>5803</v>
      </c>
      <c r="AV124" s="3"/>
      <c r="AW124" s="3"/>
      <c r="AX124" s="3"/>
      <c r="AY124" s="3"/>
    </row>
    <row r="125" spans="1:51" ht="12.5" x14ac:dyDescent="0.25">
      <c r="A125" s="3" t="s">
        <v>46</v>
      </c>
      <c r="B125" s="21" t="str">
        <f>HYPERLINK("https://gerandofalcoes.my.salesforce.com/0014X00002VKCqn", "0014X00002VKCqn")</f>
        <v>0014X00002VKCqn</v>
      </c>
      <c r="C125" s="7" t="str">
        <f>HYPERLINK("https://gerandofalcoes.my.salesforce.com/0014X00002VKCqnQAH", "0014X00002VKCqnQAH")</f>
        <v>0014X00002VKCqnQAH</v>
      </c>
      <c r="D125" s="3" t="s">
        <v>5804</v>
      </c>
      <c r="E125" s="3" t="s">
        <v>5805</v>
      </c>
      <c r="F125" s="3" t="s">
        <v>5806</v>
      </c>
      <c r="G125" s="6">
        <v>44763</v>
      </c>
      <c r="H125" s="3">
        <v>33</v>
      </c>
      <c r="I125" s="3" t="s">
        <v>5807</v>
      </c>
      <c r="J125" s="3" t="s">
        <v>5808</v>
      </c>
      <c r="K125" s="3" t="s">
        <v>5809</v>
      </c>
      <c r="L125" s="3" t="s">
        <v>1381</v>
      </c>
      <c r="M125" s="3" t="s">
        <v>5810</v>
      </c>
      <c r="N125" s="3" t="s">
        <v>5811</v>
      </c>
      <c r="O125" s="3">
        <v>6</v>
      </c>
      <c r="P125" s="3" t="s">
        <v>5812</v>
      </c>
      <c r="Q125" s="3" t="s">
        <v>5813</v>
      </c>
      <c r="R125" s="3" t="s">
        <v>5814</v>
      </c>
      <c r="S125" s="3" t="s">
        <v>5815</v>
      </c>
      <c r="T125" s="3"/>
      <c r="U125" s="3" t="s">
        <v>5442</v>
      </c>
      <c r="V125" s="3" t="s">
        <v>5816</v>
      </c>
      <c r="W125" s="3">
        <v>3</v>
      </c>
      <c r="X125" s="3" t="s">
        <v>5817</v>
      </c>
      <c r="Y125" s="3" t="s">
        <v>5818</v>
      </c>
      <c r="Z125" s="3"/>
      <c r="AA125" s="3">
        <v>900</v>
      </c>
      <c r="AB125" s="8">
        <v>40257</v>
      </c>
      <c r="AC125" s="3" t="s">
        <v>62</v>
      </c>
      <c r="AD125" s="3">
        <v>0</v>
      </c>
      <c r="AE125" s="3">
        <v>28</v>
      </c>
      <c r="AF125" s="3">
        <v>2</v>
      </c>
      <c r="AG125" s="3" t="s">
        <v>4156</v>
      </c>
      <c r="AH125" s="3" t="s">
        <v>5819</v>
      </c>
      <c r="AI125" s="3">
        <v>30000</v>
      </c>
      <c r="AJ125" s="3" t="s">
        <v>120</v>
      </c>
      <c r="AK125" s="3"/>
      <c r="AL125" s="7" t="s">
        <v>5820</v>
      </c>
      <c r="AM125" s="3" t="s">
        <v>5821</v>
      </c>
      <c r="AN125" s="3"/>
      <c r="AO125" s="3"/>
      <c r="AP125" s="3"/>
      <c r="AQ125" s="3"/>
      <c r="AR125" s="7" t="s">
        <v>5822</v>
      </c>
      <c r="AS125" s="7" t="s">
        <v>5823</v>
      </c>
      <c r="AT125" s="3"/>
      <c r="AU125" s="7" t="s">
        <v>5824</v>
      </c>
      <c r="AV125" s="3"/>
      <c r="AW125" s="3"/>
      <c r="AX125" s="3"/>
      <c r="AY125" s="3"/>
    </row>
    <row r="126" spans="1:51" ht="12.5" x14ac:dyDescent="0.25">
      <c r="A126" s="3" t="s">
        <v>46</v>
      </c>
      <c r="B126" s="21" t="str">
        <f>HYPERLINK("https://gerandofalcoes.my.salesforce.com/0014X00002VKCqo", "0014X00002VKCqo")</f>
        <v>0014X00002VKCqo</v>
      </c>
      <c r="C126" s="7" t="str">
        <f>HYPERLINK("https://gerandofalcoes.my.salesforce.com/0014X00002VKCqoQAH", "0014X00002VKCqoQAH")</f>
        <v>0014X00002VKCqoQAH</v>
      </c>
      <c r="D126" s="3" t="s">
        <v>5825</v>
      </c>
      <c r="E126" s="3" t="s">
        <v>5826</v>
      </c>
      <c r="F126" s="3" t="s">
        <v>5827</v>
      </c>
      <c r="G126" s="6"/>
      <c r="H126" s="3"/>
      <c r="I126" s="3" t="s">
        <v>5828</v>
      </c>
      <c r="J126" s="3" t="s">
        <v>5829</v>
      </c>
      <c r="K126" s="3" t="s">
        <v>5830</v>
      </c>
      <c r="L126" s="3" t="s">
        <v>295</v>
      </c>
      <c r="M126" s="3" t="s">
        <v>296</v>
      </c>
      <c r="N126" s="3" t="s">
        <v>5831</v>
      </c>
      <c r="O126" s="3">
        <v>2796</v>
      </c>
      <c r="P126" s="3" t="s">
        <v>789</v>
      </c>
      <c r="Q126" s="3" t="s">
        <v>5832</v>
      </c>
      <c r="R126" s="3" t="s">
        <v>5833</v>
      </c>
      <c r="S126" s="3"/>
      <c r="T126" s="3"/>
      <c r="U126" s="3" t="s">
        <v>5834</v>
      </c>
      <c r="V126" s="3" t="s">
        <v>4141</v>
      </c>
      <c r="W126" s="3">
        <v>2</v>
      </c>
      <c r="X126" s="3" t="s">
        <v>5835</v>
      </c>
      <c r="Y126" s="3"/>
      <c r="Z126" s="3"/>
      <c r="AA126" s="3">
        <v>0</v>
      </c>
      <c r="AB126" s="6">
        <v>44300</v>
      </c>
      <c r="AC126" s="3" t="s">
        <v>62</v>
      </c>
      <c r="AD126" s="3">
        <v>1</v>
      </c>
      <c r="AE126" s="3">
        <v>7</v>
      </c>
      <c r="AF126" s="3">
        <v>7</v>
      </c>
      <c r="AG126" s="3" t="s">
        <v>5836</v>
      </c>
      <c r="AH126" s="3" t="s">
        <v>5837</v>
      </c>
      <c r="AI126" s="3">
        <v>13800</v>
      </c>
      <c r="AJ126" s="3" t="s">
        <v>120</v>
      </c>
      <c r="AK126" s="3"/>
      <c r="AL126" s="3" t="s">
        <v>5838</v>
      </c>
      <c r="AM126" s="7" t="s">
        <v>5839</v>
      </c>
      <c r="AN126" s="3"/>
      <c r="AO126" s="7" t="s">
        <v>5840</v>
      </c>
      <c r="AP126" s="3"/>
      <c r="AQ126" s="3"/>
      <c r="AR126" s="3"/>
      <c r="AS126" s="7" t="s">
        <v>5841</v>
      </c>
      <c r="AT126" s="3"/>
      <c r="AU126" s="7" t="s">
        <v>5842</v>
      </c>
      <c r="AV126" s="3"/>
      <c r="AW126" s="3"/>
      <c r="AX126" s="3"/>
      <c r="AY126" s="3"/>
    </row>
    <row r="127" spans="1:51" ht="12.5" x14ac:dyDescent="0.25">
      <c r="A127" s="3" t="s">
        <v>46</v>
      </c>
      <c r="B127" s="21" t="str">
        <f>HYPERLINK("https://gerandofalcoes.my.salesforce.com/0014X00002VKCrR", "0014X00002VKCrR")</f>
        <v>0014X00002VKCrR</v>
      </c>
      <c r="C127" s="7" t="str">
        <f>HYPERLINK("https://gerandofalcoes.my.salesforce.com/0014X00002VKCrRQAX", "0014X00002VKCrRQAX")</f>
        <v>0014X00002VKCrRQAX</v>
      </c>
      <c r="D127" s="3" t="s">
        <v>5843</v>
      </c>
      <c r="E127" s="3" t="s">
        <v>5844</v>
      </c>
      <c r="F127" s="3" t="s">
        <v>5845</v>
      </c>
      <c r="G127" s="6">
        <v>44763</v>
      </c>
      <c r="H127" s="3">
        <v>33</v>
      </c>
      <c r="I127" s="3" t="s">
        <v>5846</v>
      </c>
      <c r="J127" s="3" t="s">
        <v>5847</v>
      </c>
      <c r="K127" s="3" t="s">
        <v>5848</v>
      </c>
      <c r="L127" s="3" t="s">
        <v>468</v>
      </c>
      <c r="M127" s="3" t="s">
        <v>5849</v>
      </c>
      <c r="N127" s="3" t="s">
        <v>5318</v>
      </c>
      <c r="O127" s="3">
        <v>1058</v>
      </c>
      <c r="P127" s="3" t="s">
        <v>470</v>
      </c>
      <c r="Q127" s="3"/>
      <c r="R127" s="3" t="s">
        <v>5850</v>
      </c>
      <c r="S127" s="3" t="s">
        <v>5851</v>
      </c>
      <c r="T127" s="3"/>
      <c r="U127" s="3" t="s">
        <v>3872</v>
      </c>
      <c r="V127" s="3" t="s">
        <v>5852</v>
      </c>
      <c r="W127" s="3">
        <v>3</v>
      </c>
      <c r="X127" s="3" t="s">
        <v>5853</v>
      </c>
      <c r="Y127" s="3" t="s">
        <v>5854</v>
      </c>
      <c r="Z127" s="3"/>
      <c r="AA127" s="3">
        <v>1464</v>
      </c>
      <c r="AB127" s="8">
        <v>44223</v>
      </c>
      <c r="AC127" s="3" t="s">
        <v>62</v>
      </c>
      <c r="AD127" s="3">
        <v>0</v>
      </c>
      <c r="AE127" s="3">
        <v>29</v>
      </c>
      <c r="AF127" s="3">
        <v>2</v>
      </c>
      <c r="AG127" s="3" t="s">
        <v>4084</v>
      </c>
      <c r="AH127" s="3" t="s">
        <v>5855</v>
      </c>
      <c r="AI127" s="3">
        <v>5000</v>
      </c>
      <c r="AJ127" s="3" t="s">
        <v>120</v>
      </c>
      <c r="AK127" s="3"/>
      <c r="AL127" s="3"/>
      <c r="AM127" s="7" t="s">
        <v>5856</v>
      </c>
      <c r="AN127" s="7" t="s">
        <v>5857</v>
      </c>
      <c r="AO127" s="3"/>
      <c r="AP127" s="3"/>
      <c r="AQ127" s="7" t="s">
        <v>5858</v>
      </c>
      <c r="AR127" s="7" t="s">
        <v>5859</v>
      </c>
      <c r="AS127" s="7" t="s">
        <v>5860</v>
      </c>
      <c r="AT127" s="7" t="s">
        <v>5861</v>
      </c>
      <c r="AU127" s="7" t="s">
        <v>5862</v>
      </c>
      <c r="AV127" s="3"/>
      <c r="AW127" s="3"/>
      <c r="AX127" s="3"/>
      <c r="AY127" s="3"/>
    </row>
    <row r="128" spans="1:51" ht="12.5" x14ac:dyDescent="0.25">
      <c r="A128" s="3" t="s">
        <v>46</v>
      </c>
      <c r="B128" s="21" t="str">
        <f>HYPERLINK("https://gerandofalcoes.my.salesforce.com/0014X00002VKCrT", "0014X00002VKCrT")</f>
        <v>0014X00002VKCrT</v>
      </c>
      <c r="C128" s="7" t="str">
        <f>HYPERLINK("https://gerandofalcoes.my.salesforce.com/0014X00002VKCrTQAX", "0014X00002VKCrTQAX")</f>
        <v>0014X00002VKCrTQAX</v>
      </c>
      <c r="D128" s="3" t="s">
        <v>5863</v>
      </c>
      <c r="E128" s="3" t="s">
        <v>5864</v>
      </c>
      <c r="F128" s="3" t="s">
        <v>5865</v>
      </c>
      <c r="G128" s="6"/>
      <c r="H128" s="3"/>
      <c r="I128" s="3" t="s">
        <v>5866</v>
      </c>
      <c r="J128" s="3"/>
      <c r="K128" s="3" t="s">
        <v>5867</v>
      </c>
      <c r="L128" s="3" t="s">
        <v>379</v>
      </c>
      <c r="M128" s="3" t="s">
        <v>5868</v>
      </c>
      <c r="N128" s="3" t="s">
        <v>5869</v>
      </c>
      <c r="O128" s="3">
        <v>1</v>
      </c>
      <c r="P128" s="3" t="s">
        <v>381</v>
      </c>
      <c r="Q128" s="3" t="s">
        <v>5870</v>
      </c>
      <c r="R128" s="3" t="s">
        <v>5871</v>
      </c>
      <c r="S128" s="3"/>
      <c r="T128" s="3"/>
      <c r="U128" s="3" t="s">
        <v>4346</v>
      </c>
      <c r="V128" s="3" t="s">
        <v>5872</v>
      </c>
      <c r="W128" s="3">
        <v>4</v>
      </c>
      <c r="X128" s="3" t="s">
        <v>5873</v>
      </c>
      <c r="Y128" s="3"/>
      <c r="Z128" s="3"/>
      <c r="AA128" s="3">
        <v>300</v>
      </c>
      <c r="AB128" s="8">
        <v>41345</v>
      </c>
      <c r="AC128" s="3" t="s">
        <v>62</v>
      </c>
      <c r="AD128" s="3">
        <v>0</v>
      </c>
      <c r="AE128" s="3">
        <v>6</v>
      </c>
      <c r="AF128" s="3">
        <v>5</v>
      </c>
      <c r="AG128" s="3" t="s">
        <v>3819</v>
      </c>
      <c r="AH128" s="3">
        <v>1</v>
      </c>
      <c r="AI128" s="3">
        <v>0</v>
      </c>
      <c r="AJ128" s="3" t="s">
        <v>120</v>
      </c>
      <c r="AK128" s="3"/>
      <c r="AL128" s="3"/>
      <c r="AM128" s="7" t="s">
        <v>5874</v>
      </c>
      <c r="AN128" s="3"/>
      <c r="AO128" s="3"/>
      <c r="AP128" s="3"/>
      <c r="AQ128" s="3"/>
      <c r="AR128" s="7" t="s">
        <v>5875</v>
      </c>
      <c r="AS128" s="7" t="s">
        <v>5876</v>
      </c>
      <c r="AT128" s="3"/>
      <c r="AU128" s="7" t="s">
        <v>5877</v>
      </c>
      <c r="AV128" s="3"/>
      <c r="AW128" s="3"/>
      <c r="AX128" s="3"/>
      <c r="AY128" s="3"/>
    </row>
    <row r="129" spans="1:51" ht="12.5" x14ac:dyDescent="0.25">
      <c r="A129" s="3" t="s">
        <v>46</v>
      </c>
      <c r="B129" s="21" t="str">
        <f>HYPERLINK("https://gerandofalcoes.my.salesforce.com/0014X00002VKCrV", "0014X00002VKCrV")</f>
        <v>0014X00002VKCrV</v>
      </c>
      <c r="C129" s="7" t="str">
        <f>HYPERLINK("https://gerandofalcoes.my.salesforce.com/0014X00002VKCrVQAX", "0014X00002VKCrVQAX")</f>
        <v>0014X00002VKCrVQAX</v>
      </c>
      <c r="D129" s="3" t="s">
        <v>5878</v>
      </c>
      <c r="E129" s="3" t="s">
        <v>5879</v>
      </c>
      <c r="F129" s="3" t="s">
        <v>5880</v>
      </c>
      <c r="G129" s="6">
        <v>44763</v>
      </c>
      <c r="H129" s="3">
        <v>33</v>
      </c>
      <c r="I129" s="3" t="s">
        <v>5881</v>
      </c>
      <c r="J129" s="3" t="s">
        <v>5882</v>
      </c>
      <c r="K129" s="3" t="s">
        <v>5883</v>
      </c>
      <c r="L129" s="3" t="s">
        <v>379</v>
      </c>
      <c r="M129" s="3" t="s">
        <v>5884</v>
      </c>
      <c r="N129" s="3" t="s">
        <v>5885</v>
      </c>
      <c r="O129" s="3">
        <v>237</v>
      </c>
      <c r="P129" s="3" t="s">
        <v>381</v>
      </c>
      <c r="Q129" s="3" t="s">
        <v>5886</v>
      </c>
      <c r="R129" s="3" t="s">
        <v>5887</v>
      </c>
      <c r="S129" s="3"/>
      <c r="T129" s="3"/>
      <c r="U129" s="3" t="s">
        <v>5108</v>
      </c>
      <c r="V129" s="3" t="s">
        <v>5888</v>
      </c>
      <c r="W129" s="3">
        <v>0</v>
      </c>
      <c r="X129" s="3" t="s">
        <v>5889</v>
      </c>
      <c r="Y129" s="3" t="s">
        <v>5890</v>
      </c>
      <c r="Z129" s="3"/>
      <c r="AA129" s="3">
        <v>0</v>
      </c>
      <c r="AB129" s="8">
        <v>43731</v>
      </c>
      <c r="AC129" s="3" t="s">
        <v>120</v>
      </c>
      <c r="AD129" s="3">
        <v>0</v>
      </c>
      <c r="AE129" s="3">
        <v>0</v>
      </c>
      <c r="AF129" s="3">
        <v>2</v>
      </c>
      <c r="AG129" s="3" t="s">
        <v>3985</v>
      </c>
      <c r="AH129" s="3">
        <v>0</v>
      </c>
      <c r="AI129" s="3">
        <v>0</v>
      </c>
      <c r="AJ129" s="3" t="s">
        <v>120</v>
      </c>
      <c r="AK129" s="3"/>
      <c r="AL129" s="7" t="s">
        <v>5891</v>
      </c>
      <c r="AM129" s="7" t="s">
        <v>5891</v>
      </c>
      <c r="AN129" s="3"/>
      <c r="AO129" s="3"/>
      <c r="AP129" s="3"/>
      <c r="AQ129" s="3"/>
      <c r="AR129" s="3"/>
      <c r="AS129" s="7" t="s">
        <v>5892</v>
      </c>
      <c r="AT129" s="7" t="s">
        <v>5893</v>
      </c>
      <c r="AU129" s="7" t="s">
        <v>5894</v>
      </c>
      <c r="AV129" s="3"/>
      <c r="AW129" s="3"/>
      <c r="AX129" s="3"/>
      <c r="AY129" s="3"/>
    </row>
    <row r="130" spans="1:51" ht="12.5" x14ac:dyDescent="0.25">
      <c r="A130" s="3" t="s">
        <v>46</v>
      </c>
      <c r="B130" s="21" t="str">
        <f>HYPERLINK("https://gerandofalcoes.my.salesforce.com/0014X00002VKCrW", "0014X00002VKCrW")</f>
        <v>0014X00002VKCrW</v>
      </c>
      <c r="C130" s="7" t="str">
        <f>HYPERLINK("https://gerandofalcoes.my.salesforce.com/0014X00002VKCrWQAX", "0014X00002VKCrWQAX")</f>
        <v>0014X00002VKCrWQAX</v>
      </c>
      <c r="D130" s="3" t="s">
        <v>5895</v>
      </c>
      <c r="E130" s="3" t="s">
        <v>5895</v>
      </c>
      <c r="F130" s="3" t="s">
        <v>5896</v>
      </c>
      <c r="G130" s="8"/>
      <c r="H130" s="3"/>
      <c r="I130" s="3" t="s">
        <v>5897</v>
      </c>
      <c r="J130" s="3" t="s">
        <v>5898</v>
      </c>
      <c r="K130" s="3" t="s">
        <v>5899</v>
      </c>
      <c r="L130" s="3" t="s">
        <v>5316</v>
      </c>
      <c r="M130" s="3" t="s">
        <v>5900</v>
      </c>
      <c r="N130" s="3" t="s">
        <v>5901</v>
      </c>
      <c r="O130" s="3">
        <v>140</v>
      </c>
      <c r="P130" s="3" t="s">
        <v>5319</v>
      </c>
      <c r="Q130" s="3"/>
      <c r="R130" s="3" t="s">
        <v>5902</v>
      </c>
      <c r="S130" s="3" t="s">
        <v>5903</v>
      </c>
      <c r="T130" s="3"/>
      <c r="U130" s="3" t="s">
        <v>5280</v>
      </c>
      <c r="V130" s="3" t="s">
        <v>3800</v>
      </c>
      <c r="W130" s="3">
        <v>8</v>
      </c>
      <c r="X130" s="3" t="s">
        <v>5904</v>
      </c>
      <c r="Y130" s="3"/>
      <c r="Z130" s="3"/>
      <c r="AA130" s="3">
        <v>850</v>
      </c>
      <c r="AB130" s="6">
        <v>43227</v>
      </c>
      <c r="AC130" s="3" t="s">
        <v>62</v>
      </c>
      <c r="AD130" s="3">
        <v>700</v>
      </c>
      <c r="AE130" s="3">
        <v>150</v>
      </c>
      <c r="AF130" s="3">
        <v>3</v>
      </c>
      <c r="AG130" s="3" t="s">
        <v>3819</v>
      </c>
      <c r="AH130" s="3" t="s">
        <v>4157</v>
      </c>
      <c r="AI130" s="3">
        <v>100000</v>
      </c>
      <c r="AJ130" s="3" t="s">
        <v>120</v>
      </c>
      <c r="AK130" s="3"/>
      <c r="AL130" s="3"/>
      <c r="AM130" s="7" t="s">
        <v>5905</v>
      </c>
      <c r="AN130" s="7" t="s">
        <v>5906</v>
      </c>
      <c r="AO130" s="3"/>
      <c r="AP130" s="3"/>
      <c r="AQ130" s="3"/>
      <c r="AR130" s="7" t="s">
        <v>5907</v>
      </c>
      <c r="AS130" s="7" t="s">
        <v>5908</v>
      </c>
      <c r="AT130" s="7" t="s">
        <v>5909</v>
      </c>
      <c r="AU130" s="3"/>
      <c r="AV130" s="3"/>
      <c r="AW130" s="3"/>
      <c r="AX130" s="3"/>
      <c r="AY130" s="3"/>
    </row>
    <row r="131" spans="1:51" ht="12.5" x14ac:dyDescent="0.25">
      <c r="A131" s="3" t="s">
        <v>46</v>
      </c>
      <c r="B131" s="21" t="str">
        <f>HYPERLINK("https://gerandofalcoes.my.salesforce.com/0014X00002VKCrZ", "0014X00002VKCrZ")</f>
        <v>0014X00002VKCrZ</v>
      </c>
      <c r="C131" s="7" t="str">
        <f>HYPERLINK("https://gerandofalcoes.my.salesforce.com/0014X00002VKCrZQAX", "0014X00002VKCrZQAX")</f>
        <v>0014X00002VKCrZQAX</v>
      </c>
      <c r="D131" s="3" t="s">
        <v>5910</v>
      </c>
      <c r="E131" s="3" t="s">
        <v>5911</v>
      </c>
      <c r="F131" s="3" t="s">
        <v>5912</v>
      </c>
      <c r="G131" s="8">
        <v>44763</v>
      </c>
      <c r="H131" s="3">
        <v>33</v>
      </c>
      <c r="I131" s="3" t="s">
        <v>5913</v>
      </c>
      <c r="J131" s="3" t="s">
        <v>5914</v>
      </c>
      <c r="K131" s="3" t="s">
        <v>5915</v>
      </c>
      <c r="L131" s="3" t="s">
        <v>379</v>
      </c>
      <c r="M131" s="3" t="s">
        <v>5916</v>
      </c>
      <c r="N131" s="3" t="s">
        <v>647</v>
      </c>
      <c r="O131" s="3">
        <v>129</v>
      </c>
      <c r="P131" s="3" t="s">
        <v>5917</v>
      </c>
      <c r="Q131" s="3" t="s">
        <v>673</v>
      </c>
      <c r="R131" s="3" t="s">
        <v>5918</v>
      </c>
      <c r="S131" s="3" t="s">
        <v>5919</v>
      </c>
      <c r="T131" s="3"/>
      <c r="U131" s="3" t="s">
        <v>4062</v>
      </c>
      <c r="V131" s="3" t="s">
        <v>5920</v>
      </c>
      <c r="W131" s="3">
        <v>1</v>
      </c>
      <c r="X131" s="3" t="s">
        <v>5921</v>
      </c>
      <c r="Y131" s="3" t="s">
        <v>5922</v>
      </c>
      <c r="Z131" s="3"/>
      <c r="AA131" s="3">
        <v>197</v>
      </c>
      <c r="AB131" s="6">
        <v>32165</v>
      </c>
      <c r="AC131" s="3" t="s">
        <v>62</v>
      </c>
      <c r="AD131" s="3">
        <v>5</v>
      </c>
      <c r="AE131" s="3">
        <v>10</v>
      </c>
      <c r="AF131" s="3">
        <v>7</v>
      </c>
      <c r="AG131" s="3" t="s">
        <v>5923</v>
      </c>
      <c r="AH131" s="3" t="s">
        <v>5924</v>
      </c>
      <c r="AI131" s="3">
        <v>201710</v>
      </c>
      <c r="AJ131" s="3" t="s">
        <v>120</v>
      </c>
      <c r="AK131" s="3"/>
      <c r="AL131" s="7" t="s">
        <v>5925</v>
      </c>
      <c r="AM131" s="7" t="s">
        <v>5926</v>
      </c>
      <c r="AN131" s="7" t="s">
        <v>5927</v>
      </c>
      <c r="AO131" s="7" t="s">
        <v>5928</v>
      </c>
      <c r="AP131" s="3"/>
      <c r="AQ131" s="3"/>
      <c r="AR131" s="7" t="s">
        <v>5929</v>
      </c>
      <c r="AS131" s="7" t="s">
        <v>5930</v>
      </c>
      <c r="AT131" s="7" t="s">
        <v>5931</v>
      </c>
      <c r="AU131" s="7" t="s">
        <v>5932</v>
      </c>
      <c r="AV131" s="3"/>
      <c r="AW131" s="3"/>
      <c r="AX131" s="3"/>
      <c r="AY131" s="3"/>
    </row>
    <row r="132" spans="1:51" ht="12.5" x14ac:dyDescent="0.25">
      <c r="A132" s="3" t="s">
        <v>46</v>
      </c>
      <c r="B132" s="21" t="str">
        <f>HYPERLINK("https://gerandofalcoes.my.salesforce.com/0014X00002VKCra", "0014X00002VKCra")</f>
        <v>0014X00002VKCra</v>
      </c>
      <c r="C132" s="7" t="str">
        <f>HYPERLINK("https://gerandofalcoes.my.salesforce.com/0014X00002VKCraQAH", "0014X00002VKCraQAH")</f>
        <v>0014X00002VKCraQAH</v>
      </c>
      <c r="D132" s="3" t="s">
        <v>5933</v>
      </c>
      <c r="E132" s="3" t="s">
        <v>5934</v>
      </c>
      <c r="F132" s="3" t="s">
        <v>5935</v>
      </c>
      <c r="G132" s="6">
        <v>44763</v>
      </c>
      <c r="H132" s="3">
        <v>33</v>
      </c>
      <c r="I132" s="3" t="s">
        <v>5936</v>
      </c>
      <c r="J132" s="3" t="s">
        <v>5937</v>
      </c>
      <c r="K132" s="3" t="s">
        <v>5938</v>
      </c>
      <c r="L132" s="3" t="s">
        <v>379</v>
      </c>
      <c r="M132" s="3" t="s">
        <v>5939</v>
      </c>
      <c r="N132" s="3" t="s">
        <v>5940</v>
      </c>
      <c r="O132" s="3">
        <v>301</v>
      </c>
      <c r="P132" s="3" t="s">
        <v>381</v>
      </c>
      <c r="Q132" s="3"/>
      <c r="R132" s="3" t="s">
        <v>5941</v>
      </c>
      <c r="S132" s="3"/>
      <c r="T132" s="3"/>
      <c r="U132" s="3" t="s">
        <v>4497</v>
      </c>
      <c r="V132" s="3" t="s">
        <v>3800</v>
      </c>
      <c r="W132" s="3">
        <v>1</v>
      </c>
      <c r="X132" s="3" t="s">
        <v>5942</v>
      </c>
      <c r="Y132" s="3" t="s">
        <v>5943</v>
      </c>
      <c r="Z132" s="3"/>
      <c r="AA132" s="3">
        <v>150</v>
      </c>
      <c r="AB132" s="6">
        <v>28549</v>
      </c>
      <c r="AC132" s="3" t="s">
        <v>62</v>
      </c>
      <c r="AD132" s="3">
        <v>0</v>
      </c>
      <c r="AE132" s="3">
        <v>4</v>
      </c>
      <c r="AF132" s="3">
        <v>2</v>
      </c>
      <c r="AG132" s="3" t="s">
        <v>4032</v>
      </c>
      <c r="AH132" s="3">
        <v>0</v>
      </c>
      <c r="AI132" s="3">
        <v>9600</v>
      </c>
      <c r="AJ132" s="3" t="s">
        <v>120</v>
      </c>
      <c r="AK132" s="3"/>
      <c r="AL132" s="3"/>
      <c r="AM132" s="3"/>
      <c r="AN132" s="3"/>
      <c r="AO132" s="3"/>
      <c r="AP132" s="3"/>
      <c r="AQ132" s="7" t="s">
        <v>5944</v>
      </c>
      <c r="AR132" s="7" t="s">
        <v>5945</v>
      </c>
      <c r="AS132" s="7" t="s">
        <v>5946</v>
      </c>
      <c r="AT132" s="3"/>
      <c r="AU132" s="7" t="s">
        <v>5947</v>
      </c>
      <c r="AV132" s="3"/>
      <c r="AW132" s="3"/>
      <c r="AX132" s="3"/>
      <c r="AY132" s="3"/>
    </row>
    <row r="133" spans="1:51" ht="12.5" x14ac:dyDescent="0.25">
      <c r="A133" s="3" t="s">
        <v>46</v>
      </c>
      <c r="B133" s="21" t="str">
        <f>HYPERLINK("https://gerandofalcoes.my.salesforce.com/0014X00002VKCrb", "0014X00002VKCrb")</f>
        <v>0014X00002VKCrb</v>
      </c>
      <c r="C133" s="7" t="str">
        <f>HYPERLINK("https://gerandofalcoes.my.salesforce.com/0014X00002VKCrbQAH", "0014X00002VKCrbQAH")</f>
        <v>0014X00002VKCrbQAH</v>
      </c>
      <c r="D133" s="3" t="s">
        <v>5948</v>
      </c>
      <c r="E133" s="3" t="s">
        <v>5949</v>
      </c>
      <c r="F133" s="3"/>
      <c r="G133" s="6">
        <v>44763</v>
      </c>
      <c r="H133" s="3">
        <v>33</v>
      </c>
      <c r="I133" s="3" t="s">
        <v>5948</v>
      </c>
      <c r="J133" s="3" t="s">
        <v>5950</v>
      </c>
      <c r="K133" s="3" t="s">
        <v>5951</v>
      </c>
      <c r="L133" s="3" t="s">
        <v>379</v>
      </c>
      <c r="M133" s="3" t="s">
        <v>5952</v>
      </c>
      <c r="N133" s="3" t="s">
        <v>5290</v>
      </c>
      <c r="O133" s="3">
        <v>44</v>
      </c>
      <c r="P133" s="3" t="s">
        <v>381</v>
      </c>
      <c r="Q133" s="3" t="s">
        <v>5953</v>
      </c>
      <c r="R133" s="3" t="s">
        <v>5954</v>
      </c>
      <c r="S133" s="3" t="s">
        <v>5955</v>
      </c>
      <c r="T133" s="3"/>
      <c r="U133" s="3" t="s">
        <v>5956</v>
      </c>
      <c r="V133" s="3" t="s">
        <v>5872</v>
      </c>
      <c r="W133" s="3">
        <v>2</v>
      </c>
      <c r="X133" s="3" t="s">
        <v>5957</v>
      </c>
      <c r="Y133" s="3"/>
      <c r="Z133" s="3"/>
      <c r="AA133" s="3">
        <v>50</v>
      </c>
      <c r="AB133" s="6">
        <v>42178</v>
      </c>
      <c r="AC133" s="3" t="s">
        <v>120</v>
      </c>
      <c r="AD133" s="3">
        <v>0</v>
      </c>
      <c r="AE133" s="3">
        <v>20</v>
      </c>
      <c r="AF133" s="3">
        <v>3</v>
      </c>
      <c r="AG133" s="3" t="s">
        <v>5958</v>
      </c>
      <c r="AH133" s="23" t="s">
        <v>5959</v>
      </c>
      <c r="AI133" s="3">
        <v>300</v>
      </c>
      <c r="AJ133" s="3" t="s">
        <v>120</v>
      </c>
      <c r="AK133" s="3"/>
      <c r="AL133" s="3"/>
      <c r="AM133" s="3" t="s">
        <v>5960</v>
      </c>
      <c r="AN133" s="7" t="s">
        <v>5961</v>
      </c>
      <c r="AO133" s="3"/>
      <c r="AP133" s="3"/>
      <c r="AQ133" s="7" t="s">
        <v>5962</v>
      </c>
      <c r="AR133" s="3"/>
      <c r="AS133" s="3"/>
      <c r="AT133" s="3"/>
      <c r="AU133" s="7" t="s">
        <v>5963</v>
      </c>
      <c r="AV133" s="3"/>
      <c r="AW133" s="3"/>
      <c r="AX133" s="3"/>
      <c r="AY133" s="3"/>
    </row>
    <row r="134" spans="1:51" ht="12.5" x14ac:dyDescent="0.25">
      <c r="A134" s="3" t="s">
        <v>46</v>
      </c>
      <c r="B134" s="21" t="str">
        <f>HYPERLINK("https://gerandofalcoes.my.salesforce.com/0014X00002VKCrc", "0014X00002VKCrc")</f>
        <v>0014X00002VKCrc</v>
      </c>
      <c r="C134" s="7" t="str">
        <f>HYPERLINK("https://gerandofalcoes.my.salesforce.com/0014X00002VKCrcQAH", "0014X00002VKCrcQAH")</f>
        <v>0014X00002VKCrcQAH</v>
      </c>
      <c r="D134" s="3" t="s">
        <v>5964</v>
      </c>
      <c r="E134" s="3" t="s">
        <v>5965</v>
      </c>
      <c r="F134" s="3" t="s">
        <v>5966</v>
      </c>
      <c r="G134" s="6">
        <v>44763</v>
      </c>
      <c r="H134" s="3">
        <v>33</v>
      </c>
      <c r="I134" s="3" t="s">
        <v>5967</v>
      </c>
      <c r="J134" s="3" t="s">
        <v>5968</v>
      </c>
      <c r="K134" s="3" t="s">
        <v>5969</v>
      </c>
      <c r="L134" s="3" t="s">
        <v>379</v>
      </c>
      <c r="M134" s="3" t="s">
        <v>5970</v>
      </c>
      <c r="N134" s="3" t="s">
        <v>5971</v>
      </c>
      <c r="O134" s="3">
        <v>30</v>
      </c>
      <c r="P134" s="3" t="s">
        <v>381</v>
      </c>
      <c r="Q134" s="3"/>
      <c r="R134" s="3" t="s">
        <v>5972</v>
      </c>
      <c r="S134" s="3" t="s">
        <v>5973</v>
      </c>
      <c r="T134" s="3"/>
      <c r="U134" s="3" t="s">
        <v>3913</v>
      </c>
      <c r="V134" s="3" t="s">
        <v>4945</v>
      </c>
      <c r="W134" s="3">
        <v>5</v>
      </c>
      <c r="X134" s="3">
        <v>5</v>
      </c>
      <c r="Y134" s="3"/>
      <c r="Z134" s="3"/>
      <c r="AA134" s="3">
        <v>200</v>
      </c>
      <c r="AB134" s="6">
        <v>39794</v>
      </c>
      <c r="AC134" s="3" t="s">
        <v>62</v>
      </c>
      <c r="AD134" s="3">
        <v>0</v>
      </c>
      <c r="AE134" s="3">
        <v>6</v>
      </c>
      <c r="AF134" s="3">
        <v>3</v>
      </c>
      <c r="AG134" s="3" t="s">
        <v>5974</v>
      </c>
      <c r="AH134" s="23">
        <v>0</v>
      </c>
      <c r="AI134" s="3">
        <v>2000</v>
      </c>
      <c r="AJ134" s="3" t="s">
        <v>62</v>
      </c>
      <c r="AK134" s="3"/>
      <c r="AL134" s="3"/>
      <c r="AM134" s="7" t="s">
        <v>5975</v>
      </c>
      <c r="AN134" s="7" t="s">
        <v>5976</v>
      </c>
      <c r="AO134" s="3"/>
      <c r="AP134" s="3"/>
      <c r="AQ134" s="7" t="s">
        <v>5977</v>
      </c>
      <c r="AR134" s="3"/>
      <c r="AS134" s="3"/>
      <c r="AT134" s="3"/>
      <c r="AU134" s="7" t="s">
        <v>5978</v>
      </c>
      <c r="AV134" s="3"/>
      <c r="AW134" s="3"/>
      <c r="AX134" s="3"/>
      <c r="AY134" s="3"/>
    </row>
    <row r="135" spans="1:51" ht="12.5" x14ac:dyDescent="0.25">
      <c r="A135" s="3" t="s">
        <v>46</v>
      </c>
      <c r="B135" s="21" t="str">
        <f>HYPERLINK("https://gerandofalcoes.my.salesforce.com/0014X00002VKCre", "0014X00002VKCre")</f>
        <v>0014X00002VKCre</v>
      </c>
      <c r="C135" s="21" t="str">
        <f>HYPERLINK("https://gerandofalcoes.my.salesforce.com/0014X00002VKCreQAH", "0014X00002VKCreQAH")</f>
        <v>0014X00002VKCreQAH</v>
      </c>
      <c r="D135" s="3" t="s">
        <v>5979</v>
      </c>
      <c r="E135" s="3" t="s">
        <v>5980</v>
      </c>
      <c r="F135" s="3" t="s">
        <v>5981</v>
      </c>
      <c r="G135" s="8">
        <v>44763</v>
      </c>
      <c r="H135" s="3">
        <v>33</v>
      </c>
      <c r="I135" s="3" t="s">
        <v>5982</v>
      </c>
      <c r="J135" s="3" t="s">
        <v>5983</v>
      </c>
      <c r="K135" s="3" t="s">
        <v>5984</v>
      </c>
      <c r="L135" s="3" t="s">
        <v>379</v>
      </c>
      <c r="M135" s="3" t="s">
        <v>5985</v>
      </c>
      <c r="N135" s="3" t="s">
        <v>5986</v>
      </c>
      <c r="O135" s="3">
        <v>311</v>
      </c>
      <c r="P135" s="3" t="s">
        <v>5987</v>
      </c>
      <c r="Q135" s="3" t="s">
        <v>673</v>
      </c>
      <c r="R135" s="3" t="s">
        <v>5988</v>
      </c>
      <c r="S135" s="3"/>
      <c r="T135" s="3"/>
      <c r="U135" s="3" t="s">
        <v>3913</v>
      </c>
      <c r="V135" s="3" t="s">
        <v>5036</v>
      </c>
      <c r="W135" s="3">
        <v>2</v>
      </c>
      <c r="X135" s="3" t="s">
        <v>5989</v>
      </c>
      <c r="Y135" s="3" t="s">
        <v>5990</v>
      </c>
      <c r="Z135" s="3"/>
      <c r="AA135" s="3">
        <v>220</v>
      </c>
      <c r="AB135" s="8">
        <v>42344</v>
      </c>
      <c r="AC135" s="3" t="s">
        <v>62</v>
      </c>
      <c r="AD135" s="3">
        <v>0</v>
      </c>
      <c r="AE135" s="3">
        <v>9</v>
      </c>
      <c r="AF135" s="3">
        <v>1</v>
      </c>
      <c r="AG135" s="3" t="s">
        <v>3819</v>
      </c>
      <c r="AH135" s="23">
        <v>0</v>
      </c>
      <c r="AI135" s="3">
        <v>3000</v>
      </c>
      <c r="AJ135" s="3" t="s">
        <v>120</v>
      </c>
      <c r="AK135" s="3"/>
      <c r="AL135" s="3"/>
      <c r="AM135" s="7" t="s">
        <v>5991</v>
      </c>
      <c r="AN135" s="3"/>
      <c r="AO135" s="3"/>
      <c r="AP135" s="3"/>
      <c r="AQ135" s="3"/>
      <c r="AR135" s="3"/>
      <c r="AS135" s="7" t="s">
        <v>5992</v>
      </c>
      <c r="AT135" s="3"/>
      <c r="AU135" s="7" t="s">
        <v>5993</v>
      </c>
      <c r="AV135" s="3"/>
    </row>
    <row r="136" spans="1:51" ht="12.5" x14ac:dyDescent="0.25">
      <c r="A136" s="3" t="s">
        <v>46</v>
      </c>
      <c r="B136" s="21" t="str">
        <f>HYPERLINK("https://gerandofalcoes.my.salesforce.com/0014X00002VKCrf", "0014X00002VKCrf")</f>
        <v>0014X00002VKCrf</v>
      </c>
      <c r="C136" s="7" t="str">
        <f>HYPERLINK("https://gerandofalcoes.my.salesforce.com/0014X00002VKCrfQAH", "0014X00002VKCrfQAH")</f>
        <v>0014X00002VKCrfQAH</v>
      </c>
      <c r="D136" s="3" t="s">
        <v>5994</v>
      </c>
      <c r="E136" s="3" t="s">
        <v>5995</v>
      </c>
      <c r="F136" s="3"/>
      <c r="G136" s="8">
        <v>44763</v>
      </c>
      <c r="H136" s="3">
        <v>33</v>
      </c>
      <c r="I136" s="3" t="s">
        <v>5996</v>
      </c>
      <c r="J136" s="3" t="s">
        <v>5997</v>
      </c>
      <c r="K136" s="3" t="s">
        <v>5998</v>
      </c>
      <c r="L136" s="3" t="s">
        <v>379</v>
      </c>
      <c r="M136" s="3" t="s">
        <v>5999</v>
      </c>
      <c r="N136" s="3" t="s">
        <v>6000</v>
      </c>
      <c r="O136" s="3">
        <v>20</v>
      </c>
      <c r="P136" s="3" t="s">
        <v>6001</v>
      </c>
      <c r="Q136" s="3"/>
      <c r="R136" s="3" t="s">
        <v>6002</v>
      </c>
      <c r="S136" s="3"/>
      <c r="T136" s="3"/>
      <c r="U136" s="3" t="s">
        <v>5442</v>
      </c>
      <c r="V136" s="3" t="s">
        <v>6003</v>
      </c>
      <c r="W136" s="3">
        <v>15</v>
      </c>
      <c r="X136" s="3" t="s">
        <v>6004</v>
      </c>
      <c r="Y136" s="3" t="s">
        <v>6005</v>
      </c>
      <c r="Z136" s="3"/>
      <c r="AA136" s="3">
        <v>8000</v>
      </c>
      <c r="AB136" s="6">
        <v>43242</v>
      </c>
      <c r="AC136" s="3" t="s">
        <v>120</v>
      </c>
      <c r="AD136" s="3">
        <v>0</v>
      </c>
      <c r="AE136" s="3">
        <v>6</v>
      </c>
      <c r="AF136" s="3">
        <v>4</v>
      </c>
      <c r="AG136" s="3" t="s">
        <v>6006</v>
      </c>
      <c r="AH136" s="23" t="s">
        <v>6007</v>
      </c>
      <c r="AI136" s="3">
        <v>10000</v>
      </c>
      <c r="AJ136" s="3" t="s">
        <v>61</v>
      </c>
      <c r="AK136" s="3"/>
      <c r="AL136" s="7" t="s">
        <v>6008</v>
      </c>
      <c r="AM136" s="7" t="s">
        <v>6008</v>
      </c>
      <c r="AN136" s="3"/>
      <c r="AO136" s="3"/>
      <c r="AP136" s="3"/>
      <c r="AQ136" s="3"/>
      <c r="AR136" s="3"/>
      <c r="AS136" s="3"/>
      <c r="AT136" s="3"/>
      <c r="AU136" s="3"/>
      <c r="AV136" s="3"/>
      <c r="AW136" s="3"/>
      <c r="AX136" s="3"/>
      <c r="AY136" s="3"/>
    </row>
    <row r="137" spans="1:51" ht="12.5" x14ac:dyDescent="0.25">
      <c r="A137" s="3" t="s">
        <v>46</v>
      </c>
      <c r="B137" s="21" t="str">
        <f>HYPERLINK("https://gerandofalcoes.my.salesforce.com/0014X00002VKCrg", "0014X00002VKCrg")</f>
        <v>0014X00002VKCrg</v>
      </c>
      <c r="C137" s="7" t="str">
        <f>HYPERLINK("https://gerandofalcoes.my.salesforce.com/0014X00002VKCrgQAH", "0014X00002VKCrgQAH")</f>
        <v>0014X00002VKCrgQAH</v>
      </c>
      <c r="D137" s="3" t="s">
        <v>6009</v>
      </c>
      <c r="E137" s="3" t="s">
        <v>6010</v>
      </c>
      <c r="F137" s="3">
        <v>2020718000175</v>
      </c>
      <c r="G137" s="8">
        <v>44763</v>
      </c>
      <c r="H137" s="3">
        <v>33</v>
      </c>
      <c r="I137" s="3" t="s">
        <v>6011</v>
      </c>
      <c r="J137" s="3" t="s">
        <v>6012</v>
      </c>
      <c r="K137" s="3"/>
      <c r="L137" s="3" t="s">
        <v>379</v>
      </c>
      <c r="M137" s="3" t="s">
        <v>6013</v>
      </c>
      <c r="N137" s="3" t="s">
        <v>6014</v>
      </c>
      <c r="O137" s="3">
        <v>190</v>
      </c>
      <c r="P137" s="3" t="s">
        <v>381</v>
      </c>
      <c r="Q137" s="3"/>
      <c r="R137" s="3" t="s">
        <v>6015</v>
      </c>
      <c r="S137" s="3"/>
      <c r="T137" s="3"/>
      <c r="U137" s="3"/>
      <c r="V137" s="3"/>
      <c r="W137" s="3">
        <v>3</v>
      </c>
      <c r="X137" s="3" t="s">
        <v>6016</v>
      </c>
      <c r="Y137" s="3"/>
      <c r="Z137" s="3"/>
      <c r="AA137" s="3">
        <v>4</v>
      </c>
      <c r="AB137" s="6">
        <v>35611</v>
      </c>
      <c r="AC137" s="3" t="s">
        <v>62</v>
      </c>
      <c r="AD137" s="3"/>
      <c r="AE137" s="3">
        <v>45</v>
      </c>
      <c r="AF137" s="3">
        <v>0</v>
      </c>
      <c r="AG137" s="3"/>
      <c r="AH137" s="23"/>
      <c r="AI137" s="3"/>
      <c r="AJ137" s="3" t="s">
        <v>120</v>
      </c>
      <c r="AK137" s="3"/>
      <c r="AL137" s="7" t="s">
        <v>6017</v>
      </c>
      <c r="AM137" s="7" t="s">
        <v>6018</v>
      </c>
      <c r="AN137" s="3"/>
      <c r="AO137" s="3"/>
      <c r="AP137" s="3"/>
      <c r="AQ137" s="7" t="s">
        <v>6019</v>
      </c>
      <c r="AR137" s="7" t="s">
        <v>6020</v>
      </c>
      <c r="AS137" s="7" t="s">
        <v>6021</v>
      </c>
      <c r="AT137" s="7" t="s">
        <v>6022</v>
      </c>
      <c r="AU137" s="7" t="s">
        <v>6023</v>
      </c>
      <c r="AW137" s="3"/>
      <c r="AX137" s="3"/>
      <c r="AY137" s="3"/>
    </row>
    <row r="138" spans="1:51" ht="12.5" x14ac:dyDescent="0.25">
      <c r="A138" s="3" t="s">
        <v>46</v>
      </c>
      <c r="B138" s="21" t="str">
        <f>HYPERLINK("https://gerandofalcoes.my.salesforce.com/0014X00002VKCrh", "0014X00002VKCrh")</f>
        <v>0014X00002VKCrh</v>
      </c>
      <c r="C138" s="21" t="str">
        <f>HYPERLINK("https://gerandofalcoes.my.salesforce.com/0014X00002VKCrhQAH", "0014X00002VKCrhQAH")</f>
        <v>0014X00002VKCrhQAH</v>
      </c>
      <c r="D138" s="3" t="s">
        <v>6024</v>
      </c>
      <c r="E138" s="3" t="s">
        <v>6025</v>
      </c>
      <c r="F138" s="3" t="s">
        <v>6026</v>
      </c>
      <c r="G138" s="8">
        <v>44763</v>
      </c>
      <c r="H138" s="3">
        <v>33</v>
      </c>
      <c r="I138" s="3" t="s">
        <v>6027</v>
      </c>
      <c r="J138" s="3" t="s">
        <v>6028</v>
      </c>
      <c r="K138" s="3" t="s">
        <v>6029</v>
      </c>
      <c r="L138" s="3" t="s">
        <v>379</v>
      </c>
      <c r="M138" s="3" t="s">
        <v>6030</v>
      </c>
      <c r="N138" s="3" t="s">
        <v>6031</v>
      </c>
      <c r="O138" s="3">
        <v>241</v>
      </c>
      <c r="P138" s="3" t="s">
        <v>381</v>
      </c>
      <c r="Q138" s="3" t="s">
        <v>4654</v>
      </c>
      <c r="R138" s="3" t="s">
        <v>6032</v>
      </c>
      <c r="S138" s="3" t="s">
        <v>6033</v>
      </c>
      <c r="T138" s="3"/>
      <c r="U138" s="3" t="s">
        <v>3913</v>
      </c>
      <c r="V138" s="3" t="s">
        <v>5872</v>
      </c>
      <c r="W138" s="3">
        <v>2</v>
      </c>
      <c r="X138" s="3" t="s">
        <v>6034</v>
      </c>
      <c r="Y138" s="3"/>
      <c r="Z138" s="3"/>
      <c r="AA138" s="3">
        <v>200</v>
      </c>
      <c r="AB138" s="6">
        <v>44043</v>
      </c>
      <c r="AC138" s="3" t="s">
        <v>62</v>
      </c>
      <c r="AD138" s="3">
        <v>6</v>
      </c>
      <c r="AE138" s="3">
        <v>20</v>
      </c>
      <c r="AF138" s="3">
        <v>5</v>
      </c>
      <c r="AG138" s="3" t="s">
        <v>6035</v>
      </c>
      <c r="AH138" s="3">
        <v>0</v>
      </c>
      <c r="AI138" s="3">
        <v>150000</v>
      </c>
      <c r="AJ138" s="3" t="s">
        <v>61</v>
      </c>
      <c r="AK138" s="3"/>
      <c r="AL138" s="7" t="s">
        <v>6036</v>
      </c>
      <c r="AM138" s="7" t="s">
        <v>6037</v>
      </c>
      <c r="AN138" s="3"/>
      <c r="AO138" s="7" t="s">
        <v>6037</v>
      </c>
      <c r="AQ138" s="3"/>
      <c r="AR138" s="3"/>
      <c r="AS138" s="3"/>
      <c r="AT138" s="3"/>
      <c r="AU138" s="3"/>
    </row>
    <row r="139" spans="1:51" ht="12.5" x14ac:dyDescent="0.25">
      <c r="A139" s="3" t="s">
        <v>46</v>
      </c>
      <c r="B139" s="21" t="str">
        <f>HYPERLINK("https://gerandofalcoes.my.salesforce.com/0014X00002VKCri", "0014X00002VKCri")</f>
        <v>0014X00002VKCri</v>
      </c>
      <c r="C139" s="21" t="str">
        <f>HYPERLINK("https://gerandofalcoes.my.salesforce.com/0014X00002VKCriQAH", "0014X00002VKCriQAH")</f>
        <v>0014X00002VKCriQAH</v>
      </c>
      <c r="D139" s="3" t="s">
        <v>6038</v>
      </c>
      <c r="E139" s="3" t="s">
        <v>6039</v>
      </c>
      <c r="F139" s="3" t="s">
        <v>6040</v>
      </c>
      <c r="G139" s="8"/>
      <c r="H139" s="3"/>
      <c r="I139" s="3" t="s">
        <v>6041</v>
      </c>
      <c r="J139" s="3" t="s">
        <v>6042</v>
      </c>
      <c r="K139" s="3" t="s">
        <v>6043</v>
      </c>
      <c r="L139" s="3" t="s">
        <v>379</v>
      </c>
      <c r="M139" s="3" t="s">
        <v>6044</v>
      </c>
      <c r="N139" s="3" t="s">
        <v>5628</v>
      </c>
      <c r="O139" s="3">
        <v>11</v>
      </c>
      <c r="P139" s="3" t="s">
        <v>1562</v>
      </c>
      <c r="Q139" s="3" t="s">
        <v>6045</v>
      </c>
      <c r="R139" s="3" t="s">
        <v>6046</v>
      </c>
      <c r="S139" s="3" t="s">
        <v>6047</v>
      </c>
      <c r="T139" s="3"/>
      <c r="U139" s="3" t="s">
        <v>6048</v>
      </c>
      <c r="V139" s="3" t="s">
        <v>3982</v>
      </c>
      <c r="W139" s="3">
        <v>1</v>
      </c>
      <c r="X139" s="3" t="s">
        <v>6049</v>
      </c>
      <c r="Y139" s="3"/>
      <c r="Z139" s="3"/>
      <c r="AA139" s="3">
        <v>50</v>
      </c>
      <c r="AB139" s="6">
        <v>44594</v>
      </c>
      <c r="AC139" s="3" t="s">
        <v>62</v>
      </c>
      <c r="AD139" s="3">
        <v>0</v>
      </c>
      <c r="AE139" s="3">
        <v>6</v>
      </c>
      <c r="AF139" s="3">
        <v>2</v>
      </c>
      <c r="AG139" s="3" t="s">
        <v>4084</v>
      </c>
      <c r="AH139" s="3" t="s">
        <v>6050</v>
      </c>
      <c r="AI139" s="3">
        <v>4115</v>
      </c>
      <c r="AJ139" s="3" t="s">
        <v>120</v>
      </c>
      <c r="AK139" s="3"/>
      <c r="AL139" s="7" t="s">
        <v>6051</v>
      </c>
      <c r="AM139" s="7" t="s">
        <v>6051</v>
      </c>
      <c r="AN139" s="3"/>
      <c r="AO139" s="7" t="s">
        <v>6052</v>
      </c>
      <c r="AP139" s="3"/>
      <c r="AQ139" s="3"/>
      <c r="AR139" s="7" t="s">
        <v>6053</v>
      </c>
      <c r="AS139" s="7" t="s">
        <v>6054</v>
      </c>
      <c r="AT139" s="7" t="s">
        <v>6055</v>
      </c>
      <c r="AU139" s="3"/>
      <c r="AV139" s="3"/>
    </row>
    <row r="140" spans="1:51" ht="12.5" x14ac:dyDescent="0.25">
      <c r="A140" s="3" t="s">
        <v>46</v>
      </c>
      <c r="B140" s="21" t="str">
        <f>HYPERLINK("https://gerandofalcoes.my.salesforce.com/0014X00002VKCqs", "0014X00002VKCqs")</f>
        <v>0014X00002VKCqs</v>
      </c>
      <c r="C140" s="21" t="str">
        <f>HYPERLINK("https://gerandofalcoes.my.salesforce.com/0014X00002VKCqsQAH", "0014X00002VKCqsQAH")</f>
        <v>0014X00002VKCqsQAH</v>
      </c>
      <c r="D140" s="3" t="s">
        <v>6056</v>
      </c>
      <c r="E140" s="3" t="s">
        <v>6057</v>
      </c>
      <c r="F140" s="3" t="s">
        <v>6058</v>
      </c>
      <c r="G140" s="8"/>
      <c r="H140" s="3"/>
      <c r="I140" s="3" t="s">
        <v>6059</v>
      </c>
      <c r="J140" s="3" t="s">
        <v>6060</v>
      </c>
      <c r="K140" s="3" t="s">
        <v>6061</v>
      </c>
      <c r="L140" s="3" t="s">
        <v>84</v>
      </c>
      <c r="M140" s="3" t="s">
        <v>6062</v>
      </c>
      <c r="N140" s="3" t="s">
        <v>647</v>
      </c>
      <c r="O140" s="3">
        <v>220</v>
      </c>
      <c r="P140" s="3" t="s">
        <v>6063</v>
      </c>
      <c r="Q140" s="3"/>
      <c r="R140" s="3" t="s">
        <v>6064</v>
      </c>
      <c r="S140" s="3" t="s">
        <v>6065</v>
      </c>
      <c r="T140" s="3"/>
      <c r="U140" s="3" t="s">
        <v>3913</v>
      </c>
      <c r="V140" s="3" t="s">
        <v>3800</v>
      </c>
      <c r="W140" s="3">
        <v>2</v>
      </c>
      <c r="X140" s="3" t="s">
        <v>6066</v>
      </c>
      <c r="Y140" s="3"/>
      <c r="Z140" s="3"/>
      <c r="AA140" s="3">
        <v>100</v>
      </c>
      <c r="AB140" s="6">
        <v>41641</v>
      </c>
      <c r="AC140" s="3" t="s">
        <v>62</v>
      </c>
      <c r="AD140" s="3">
        <v>8</v>
      </c>
      <c r="AE140" s="3">
        <v>12</v>
      </c>
      <c r="AF140" s="3">
        <v>2</v>
      </c>
      <c r="AG140" s="3" t="s">
        <v>6067</v>
      </c>
      <c r="AH140" s="23">
        <v>0</v>
      </c>
      <c r="AI140" s="3">
        <v>40000</v>
      </c>
      <c r="AJ140" s="3" t="s">
        <v>61</v>
      </c>
      <c r="AK140" s="3"/>
      <c r="AL140" s="7" t="s">
        <v>6068</v>
      </c>
      <c r="AM140" s="7" t="s">
        <v>6069</v>
      </c>
      <c r="AN140" s="3"/>
      <c r="AO140" s="3"/>
      <c r="AP140" s="3"/>
      <c r="AQ140" s="3"/>
      <c r="AR140" s="3"/>
      <c r="AS140" s="3"/>
      <c r="AT140" s="3"/>
      <c r="AU140" s="3"/>
    </row>
    <row r="141" spans="1:51" ht="12.5" x14ac:dyDescent="0.25">
      <c r="A141" s="3" t="s">
        <v>46</v>
      </c>
      <c r="B141" s="21" t="str">
        <f>HYPERLINK("https://gerandofalcoes.my.salesforce.com/0014X00002VKCqt", "0014X00002VKCqt")</f>
        <v>0014X00002VKCqt</v>
      </c>
      <c r="C141" s="21" t="str">
        <f>HYPERLINK("https://gerandofalcoes.my.salesforce.com/0014X00002VKCqtQAH", "0014X00002VKCqtQAH")</f>
        <v>0014X00002VKCqtQAH</v>
      </c>
      <c r="D141" s="3" t="s">
        <v>6070</v>
      </c>
      <c r="E141" s="3" t="s">
        <v>6071</v>
      </c>
      <c r="F141" s="3" t="s">
        <v>6072</v>
      </c>
      <c r="G141" s="8">
        <v>44763</v>
      </c>
      <c r="H141" s="3">
        <v>33</v>
      </c>
      <c r="I141" s="3" t="s">
        <v>6073</v>
      </c>
      <c r="J141" s="3" t="s">
        <v>6074</v>
      </c>
      <c r="K141" s="3" t="s">
        <v>6075</v>
      </c>
      <c r="L141" s="3" t="s">
        <v>84</v>
      </c>
      <c r="M141" s="3" t="s">
        <v>6076</v>
      </c>
      <c r="N141" s="3" t="s">
        <v>672</v>
      </c>
      <c r="O141" s="3">
        <v>63</v>
      </c>
      <c r="P141" s="3" t="s">
        <v>6077</v>
      </c>
      <c r="Q141" s="3" t="s">
        <v>6078</v>
      </c>
      <c r="R141" s="3" t="s">
        <v>6079</v>
      </c>
      <c r="S141" s="3" t="s">
        <v>6080</v>
      </c>
      <c r="T141" s="3"/>
      <c r="U141" s="3" t="s">
        <v>4062</v>
      </c>
      <c r="V141" s="3" t="s">
        <v>3800</v>
      </c>
      <c r="W141" s="3">
        <v>2</v>
      </c>
      <c r="X141" s="3" t="s">
        <v>6081</v>
      </c>
      <c r="Y141" s="3"/>
      <c r="AA141" s="3">
        <v>90</v>
      </c>
      <c r="AB141" s="6">
        <v>43248</v>
      </c>
      <c r="AC141" s="3" t="s">
        <v>62</v>
      </c>
      <c r="AD141" s="3">
        <v>0</v>
      </c>
      <c r="AE141" s="3">
        <v>7</v>
      </c>
      <c r="AF141" s="3">
        <v>3</v>
      </c>
      <c r="AG141" s="3" t="s">
        <v>4143</v>
      </c>
      <c r="AH141" s="3" t="s">
        <v>6082</v>
      </c>
      <c r="AI141" s="3">
        <v>12000</v>
      </c>
      <c r="AJ141" s="3" t="s">
        <v>120</v>
      </c>
      <c r="AK141" s="3"/>
      <c r="AL141" s="3"/>
      <c r="AM141" s="7" t="s">
        <v>6083</v>
      </c>
      <c r="AN141" s="7" t="s">
        <v>6084</v>
      </c>
      <c r="AO141" s="3"/>
      <c r="AQ141" s="3"/>
      <c r="AR141" s="7" t="s">
        <v>6085</v>
      </c>
      <c r="AS141" s="7" t="s">
        <v>6086</v>
      </c>
      <c r="AT141" s="3"/>
      <c r="AU141" s="7" t="s">
        <v>6087</v>
      </c>
    </row>
    <row r="142" spans="1:51" ht="12.5" x14ac:dyDescent="0.25">
      <c r="A142" s="3" t="s">
        <v>46</v>
      </c>
      <c r="B142" s="21" t="str">
        <f>HYPERLINK("https://gerandofalcoes.my.salesforce.com/0014X00002VKCqv", "0014X00002VKCqv")</f>
        <v>0014X00002VKCqv</v>
      </c>
      <c r="C142" s="21" t="str">
        <f>HYPERLINK("https://gerandofalcoes.my.salesforce.com/0014X00002VKCqvQAH", "0014X00002VKCqvQAH")</f>
        <v>0014X00002VKCqvQAH</v>
      </c>
      <c r="D142" s="3" t="s">
        <v>6088</v>
      </c>
      <c r="E142" s="3" t="s">
        <v>6089</v>
      </c>
      <c r="F142" s="3" t="s">
        <v>6090</v>
      </c>
      <c r="G142" s="8">
        <v>44763</v>
      </c>
      <c r="H142" s="3">
        <v>33</v>
      </c>
      <c r="I142" s="3" t="s">
        <v>6091</v>
      </c>
      <c r="J142" s="3" t="s">
        <v>6092</v>
      </c>
      <c r="K142" s="3" t="s">
        <v>6093</v>
      </c>
      <c r="L142" s="3" t="s">
        <v>84</v>
      </c>
      <c r="M142" s="3" t="s">
        <v>6094</v>
      </c>
      <c r="N142" s="3" t="s">
        <v>6095</v>
      </c>
      <c r="O142" s="3">
        <v>2361</v>
      </c>
      <c r="P142" s="3" t="s">
        <v>6096</v>
      </c>
      <c r="Q142" s="3" t="s">
        <v>673</v>
      </c>
      <c r="R142" s="3" t="s">
        <v>6097</v>
      </c>
      <c r="S142" s="3"/>
      <c r="T142" s="3"/>
      <c r="U142" s="3" t="s">
        <v>5233</v>
      </c>
      <c r="V142" s="3" t="s">
        <v>3800</v>
      </c>
      <c r="W142" s="3">
        <v>7</v>
      </c>
      <c r="X142" s="3" t="s">
        <v>6098</v>
      </c>
      <c r="Y142" s="3"/>
      <c r="AA142" s="3">
        <v>200</v>
      </c>
      <c r="AB142" s="6">
        <v>44123</v>
      </c>
      <c r="AC142" s="3" t="s">
        <v>62</v>
      </c>
      <c r="AD142" s="3">
        <v>0</v>
      </c>
      <c r="AE142" s="3">
        <v>9</v>
      </c>
      <c r="AF142" s="3">
        <v>3</v>
      </c>
      <c r="AG142" s="3" t="s">
        <v>4143</v>
      </c>
      <c r="AH142" s="3">
        <v>0</v>
      </c>
      <c r="AI142" s="3">
        <v>10000</v>
      </c>
      <c r="AJ142" s="3" t="s">
        <v>120</v>
      </c>
      <c r="AK142" s="3"/>
      <c r="AL142" s="3" t="s">
        <v>6099</v>
      </c>
      <c r="AM142" s="7" t="s">
        <v>6100</v>
      </c>
      <c r="AN142" s="3"/>
      <c r="AO142" s="7" t="s">
        <v>6101</v>
      </c>
      <c r="AQ142" s="7" t="s">
        <v>6102</v>
      </c>
      <c r="AR142" s="7" t="s">
        <v>6103</v>
      </c>
      <c r="AS142" s="7" t="s">
        <v>6104</v>
      </c>
      <c r="AT142" s="7" t="s">
        <v>6105</v>
      </c>
      <c r="AU142" s="7" t="s">
        <v>6106</v>
      </c>
    </row>
    <row r="143" spans="1:51" ht="12.5" x14ac:dyDescent="0.25">
      <c r="A143" s="3" t="s">
        <v>46</v>
      </c>
      <c r="B143" s="21" t="str">
        <f>HYPERLINK("https://gerandofalcoes.my.salesforce.com/0014X00002VKCqy", "0014X00002VKCqy")</f>
        <v>0014X00002VKCqy</v>
      </c>
      <c r="C143" s="21" t="str">
        <f>HYPERLINK("https://gerandofalcoes.my.salesforce.com/0014X00002VKCqyQAH", "0014X00002VKCqyQAH")</f>
        <v>0014X00002VKCqyQAH</v>
      </c>
      <c r="D143" s="3" t="s">
        <v>6107</v>
      </c>
      <c r="E143" s="3" t="s">
        <v>6108</v>
      </c>
      <c r="F143" s="3" t="s">
        <v>6109</v>
      </c>
      <c r="G143" s="8">
        <v>44763</v>
      </c>
      <c r="H143" s="3">
        <v>33</v>
      </c>
      <c r="I143" s="3" t="s">
        <v>6110</v>
      </c>
      <c r="J143" s="3" t="s">
        <v>6111</v>
      </c>
      <c r="K143" s="3" t="s">
        <v>6112</v>
      </c>
      <c r="L143" s="3" t="s">
        <v>84</v>
      </c>
      <c r="M143" s="3" t="s">
        <v>6113</v>
      </c>
      <c r="N143" s="3" t="s">
        <v>1515</v>
      </c>
      <c r="O143" s="3">
        <v>35</v>
      </c>
      <c r="P143" s="3" t="s">
        <v>6114</v>
      </c>
      <c r="Q143" s="3"/>
      <c r="R143" s="3" t="s">
        <v>5169</v>
      </c>
      <c r="S143" s="3" t="s">
        <v>6115</v>
      </c>
      <c r="T143" s="3"/>
      <c r="U143" s="3" t="s">
        <v>3913</v>
      </c>
      <c r="V143" s="3" t="s">
        <v>4960</v>
      </c>
      <c r="W143" s="3">
        <v>10</v>
      </c>
      <c r="X143" s="3" t="s">
        <v>6116</v>
      </c>
      <c r="Y143" s="3" t="s">
        <v>6117</v>
      </c>
      <c r="AA143" s="3">
        <v>300</v>
      </c>
      <c r="AB143" s="6">
        <v>44531</v>
      </c>
      <c r="AC143" s="3" t="s">
        <v>120</v>
      </c>
      <c r="AD143" s="3">
        <v>20</v>
      </c>
      <c r="AE143" s="3">
        <v>20</v>
      </c>
      <c r="AF143" s="3">
        <v>3</v>
      </c>
      <c r="AG143" s="3" t="s">
        <v>4782</v>
      </c>
      <c r="AH143" s="3" t="s">
        <v>6118</v>
      </c>
      <c r="AI143" s="3">
        <v>5000</v>
      </c>
      <c r="AJ143" s="3" t="s">
        <v>62</v>
      </c>
      <c r="AK143" s="3"/>
      <c r="AL143" s="3"/>
      <c r="AM143" s="7" t="s">
        <v>6119</v>
      </c>
      <c r="AN143" s="3"/>
      <c r="AO143" s="3"/>
      <c r="AQ143" s="3"/>
      <c r="AR143" s="3"/>
      <c r="AS143" s="3"/>
      <c r="AT143" s="3"/>
      <c r="AU143" s="3"/>
    </row>
    <row r="144" spans="1:51" ht="12.5" x14ac:dyDescent="0.25">
      <c r="A144" s="3" t="s">
        <v>46</v>
      </c>
      <c r="B144" s="21" t="str">
        <f>HYPERLINK("https://gerandofalcoes.my.salesforce.com/0014X00002VKCqz", "0014X00002VKCqz")</f>
        <v>0014X00002VKCqz</v>
      </c>
      <c r="C144" s="21" t="str">
        <f>HYPERLINK("https://gerandofalcoes.my.salesforce.com/0014X00002VKCqzQAH", "0014X00002VKCqzQAH")</f>
        <v>0014X00002VKCqzQAH</v>
      </c>
      <c r="D144" s="3" t="s">
        <v>6120</v>
      </c>
      <c r="E144" s="3" t="s">
        <v>6121</v>
      </c>
      <c r="F144" s="3" t="s">
        <v>6122</v>
      </c>
      <c r="G144" s="8">
        <v>44763</v>
      </c>
      <c r="H144" s="3">
        <v>33</v>
      </c>
      <c r="I144" s="3" t="s">
        <v>6123</v>
      </c>
      <c r="J144" s="3" t="s">
        <v>6124</v>
      </c>
      <c r="K144" s="3" t="s">
        <v>6125</v>
      </c>
      <c r="L144" s="3" t="s">
        <v>84</v>
      </c>
      <c r="M144" s="3" t="s">
        <v>6126</v>
      </c>
      <c r="N144" s="3" t="s">
        <v>6127</v>
      </c>
      <c r="O144" s="3">
        <v>75</v>
      </c>
      <c r="P144" s="3" t="s">
        <v>177</v>
      </c>
      <c r="Q144" s="3"/>
      <c r="R144" s="3" t="s">
        <v>6128</v>
      </c>
      <c r="S144" s="3" t="s">
        <v>62</v>
      </c>
      <c r="T144" s="3"/>
      <c r="U144" s="3" t="s">
        <v>4779</v>
      </c>
      <c r="V144" s="3" t="s">
        <v>6129</v>
      </c>
      <c r="W144" s="3">
        <v>2</v>
      </c>
      <c r="X144" s="3" t="s">
        <v>6130</v>
      </c>
      <c r="Y144" s="3" t="s">
        <v>6131</v>
      </c>
      <c r="AA144" s="3">
        <v>15</v>
      </c>
      <c r="AB144" s="6">
        <v>42061</v>
      </c>
      <c r="AC144" s="3" t="s">
        <v>62</v>
      </c>
      <c r="AD144" s="3">
        <v>0</v>
      </c>
      <c r="AE144" s="3">
        <v>5</v>
      </c>
      <c r="AF144" s="3">
        <v>3</v>
      </c>
      <c r="AG144" s="3" t="s">
        <v>4143</v>
      </c>
      <c r="AH144" s="3" t="s">
        <v>6132</v>
      </c>
      <c r="AI144" s="3">
        <v>3000</v>
      </c>
      <c r="AJ144" s="3" t="s">
        <v>120</v>
      </c>
      <c r="AL144" s="3" t="s">
        <v>6133</v>
      </c>
      <c r="AM144" s="7" t="s">
        <v>6134</v>
      </c>
      <c r="AN144" s="3"/>
      <c r="AO144" s="3"/>
      <c r="AQ144" s="3"/>
      <c r="AR144" s="3"/>
      <c r="AS144" s="3"/>
      <c r="AT144" s="3"/>
      <c r="AU144" s="3"/>
    </row>
    <row r="145" spans="1:47" ht="12.5" x14ac:dyDescent="0.25">
      <c r="A145" s="3" t="s">
        <v>46</v>
      </c>
      <c r="B145" s="21" t="str">
        <f>HYPERLINK("https://gerandofalcoes.my.salesforce.com/0014X00002VKCrk", "0014X00002VKCrk")</f>
        <v>0014X00002VKCrk</v>
      </c>
      <c r="C145" s="21" t="str">
        <f>HYPERLINK("https://gerandofalcoes.my.salesforce.com/0014X00002VKCrkQAH", "0014X00002VKCrkQAH")</f>
        <v>0014X00002VKCrkQAH</v>
      </c>
      <c r="D145" s="3" t="s">
        <v>6135</v>
      </c>
      <c r="E145" s="3" t="s">
        <v>6136</v>
      </c>
      <c r="F145" s="3" t="s">
        <v>6137</v>
      </c>
      <c r="G145" s="8">
        <v>44763</v>
      </c>
      <c r="H145" s="3">
        <v>33</v>
      </c>
      <c r="I145" s="3" t="s">
        <v>6138</v>
      </c>
      <c r="J145" s="3" t="s">
        <v>6139</v>
      </c>
      <c r="K145" s="3" t="s">
        <v>6140</v>
      </c>
      <c r="L145" s="3" t="s">
        <v>379</v>
      </c>
      <c r="M145" s="3" t="s">
        <v>6141</v>
      </c>
      <c r="N145" s="3" t="s">
        <v>6142</v>
      </c>
      <c r="O145" s="3">
        <v>134</v>
      </c>
      <c r="P145" s="3" t="s">
        <v>6143</v>
      </c>
      <c r="Q145" s="3" t="s">
        <v>1539</v>
      </c>
      <c r="R145" s="3" t="s">
        <v>6144</v>
      </c>
      <c r="S145" s="3" t="s">
        <v>62</v>
      </c>
      <c r="T145" s="3"/>
      <c r="U145" s="3" t="s">
        <v>4062</v>
      </c>
      <c r="V145" s="3" t="s">
        <v>6145</v>
      </c>
      <c r="W145" s="3">
        <v>5</v>
      </c>
      <c r="X145" s="3" t="s">
        <v>6146</v>
      </c>
      <c r="Y145" s="3"/>
      <c r="AA145" s="3">
        <v>1000</v>
      </c>
      <c r="AB145" s="8">
        <v>43657</v>
      </c>
      <c r="AC145" s="3" t="s">
        <v>62</v>
      </c>
      <c r="AD145" s="3">
        <v>10</v>
      </c>
      <c r="AE145" s="3">
        <v>30</v>
      </c>
      <c r="AF145" s="3">
        <v>4</v>
      </c>
      <c r="AG145" s="3" t="s">
        <v>6147</v>
      </c>
      <c r="AH145" s="3" t="s">
        <v>6148</v>
      </c>
      <c r="AI145" s="3">
        <v>120000</v>
      </c>
      <c r="AJ145" s="3" t="s">
        <v>120</v>
      </c>
      <c r="AL145" s="7" t="s">
        <v>6149</v>
      </c>
      <c r="AM145" s="7" t="s">
        <v>6150</v>
      </c>
      <c r="AN145" s="7" t="s">
        <v>6151</v>
      </c>
      <c r="AO145" s="7" t="s">
        <v>6152</v>
      </c>
      <c r="AQ145" s="3"/>
      <c r="AR145" s="7" t="s">
        <v>6153</v>
      </c>
      <c r="AS145" s="7" t="s">
        <v>6154</v>
      </c>
      <c r="AT145" s="3"/>
      <c r="AU145" s="7" t="s">
        <v>6155</v>
      </c>
    </row>
    <row r="146" spans="1:47" ht="12.5" x14ac:dyDescent="0.25">
      <c r="A146" s="3" t="s">
        <v>46</v>
      </c>
      <c r="B146" s="21" t="str">
        <f>HYPERLINK("https://gerandofalcoes.my.salesforce.com/0014X00002VKCrl", "0014X00002VKCrl")</f>
        <v>0014X00002VKCrl</v>
      </c>
      <c r="C146" s="21" t="str">
        <f>HYPERLINK("https://gerandofalcoes.my.salesforce.com/0014X00002VKCrlQAH", "0014X00002VKCrlQAH")</f>
        <v>0014X00002VKCrlQAH</v>
      </c>
      <c r="D146" s="3" t="s">
        <v>6156</v>
      </c>
      <c r="E146" s="3" t="s">
        <v>6156</v>
      </c>
      <c r="F146" s="3" t="s">
        <v>6157</v>
      </c>
      <c r="G146" s="8">
        <v>44763</v>
      </c>
      <c r="H146" s="3">
        <v>33</v>
      </c>
      <c r="I146" s="3" t="s">
        <v>6158</v>
      </c>
      <c r="J146" s="3" t="s">
        <v>6159</v>
      </c>
      <c r="K146" s="3" t="s">
        <v>6160</v>
      </c>
      <c r="L146" s="3" t="s">
        <v>379</v>
      </c>
      <c r="M146" s="3" t="s">
        <v>6161</v>
      </c>
      <c r="N146" s="3" t="s">
        <v>6162</v>
      </c>
      <c r="O146" s="3">
        <v>95</v>
      </c>
      <c r="P146" s="3" t="s">
        <v>6163</v>
      </c>
      <c r="Q146" s="3"/>
      <c r="R146" s="3" t="s">
        <v>6164</v>
      </c>
      <c r="S146" s="3" t="s">
        <v>6165</v>
      </c>
      <c r="T146" s="3"/>
      <c r="U146" s="3" t="s">
        <v>3964</v>
      </c>
      <c r="V146" s="3" t="s">
        <v>6166</v>
      </c>
      <c r="W146" s="3">
        <v>1</v>
      </c>
      <c r="X146" s="3" t="s">
        <v>6014</v>
      </c>
      <c r="Y146" s="3"/>
      <c r="AA146" s="3">
        <v>110</v>
      </c>
      <c r="AB146" s="8">
        <v>42381</v>
      </c>
      <c r="AC146" s="3" t="s">
        <v>62</v>
      </c>
      <c r="AD146" s="3">
        <v>0</v>
      </c>
      <c r="AE146" s="3">
        <v>8</v>
      </c>
      <c r="AF146" s="3">
        <v>2</v>
      </c>
      <c r="AG146" s="3" t="s">
        <v>3819</v>
      </c>
      <c r="AH146" s="3" t="s">
        <v>6167</v>
      </c>
      <c r="AI146" s="3">
        <v>30000</v>
      </c>
      <c r="AJ146" s="3" t="s">
        <v>62</v>
      </c>
      <c r="AK146" s="3"/>
      <c r="AL146" s="7" t="s">
        <v>6168</v>
      </c>
      <c r="AM146" s="7" t="s">
        <v>6169</v>
      </c>
      <c r="AN146" s="7" t="s">
        <v>6170</v>
      </c>
      <c r="AO146" s="7" t="s">
        <v>6171</v>
      </c>
      <c r="AQ146" s="3"/>
      <c r="AR146" s="7" t="s">
        <v>6172</v>
      </c>
      <c r="AS146" s="7" t="s">
        <v>6173</v>
      </c>
      <c r="AT146" s="7" t="s">
        <v>6174</v>
      </c>
      <c r="AU146" s="7" t="s">
        <v>6175</v>
      </c>
    </row>
    <row r="147" spans="1:47" ht="12.5" x14ac:dyDescent="0.25">
      <c r="A147" s="3" t="s">
        <v>46</v>
      </c>
      <c r="B147" s="21" t="str">
        <f>HYPERLINK("https://gerandofalcoes.my.salesforce.com/0014X00002VKCro", "0014X00002VKCro")</f>
        <v>0014X00002VKCro</v>
      </c>
      <c r="C147" s="21" t="str">
        <f>HYPERLINK("https://gerandofalcoes.my.salesforce.com/0014X00002VKCroQAH", "0014X00002VKCroQAH")</f>
        <v>0014X00002VKCroQAH</v>
      </c>
      <c r="D147" s="3" t="s">
        <v>6176</v>
      </c>
      <c r="E147" s="3" t="s">
        <v>6177</v>
      </c>
      <c r="F147" s="3"/>
      <c r="G147" s="8">
        <v>44763</v>
      </c>
      <c r="H147" s="3">
        <v>33</v>
      </c>
      <c r="I147" s="3" t="s">
        <v>6178</v>
      </c>
      <c r="J147" s="3" t="s">
        <v>6179</v>
      </c>
      <c r="K147" s="3" t="s">
        <v>6180</v>
      </c>
      <c r="L147" s="3" t="s">
        <v>379</v>
      </c>
      <c r="M147" s="3" t="s">
        <v>6181</v>
      </c>
      <c r="N147" s="3" t="s">
        <v>6182</v>
      </c>
      <c r="O147" s="3">
        <v>409</v>
      </c>
      <c r="P147" s="3" t="s">
        <v>381</v>
      </c>
      <c r="Q147" s="3" t="s">
        <v>6183</v>
      </c>
      <c r="R147" s="3" t="s">
        <v>6184</v>
      </c>
      <c r="S147" s="3"/>
      <c r="T147" s="3"/>
      <c r="U147" s="3" t="s">
        <v>4346</v>
      </c>
      <c r="V147" s="3" t="s">
        <v>3890</v>
      </c>
      <c r="W147" s="3">
        <v>2</v>
      </c>
      <c r="X147" s="3" t="s">
        <v>6185</v>
      </c>
      <c r="Y147" s="3" t="s">
        <v>6186</v>
      </c>
      <c r="AA147" s="3">
        <v>150</v>
      </c>
      <c r="AB147" s="6">
        <v>43535</v>
      </c>
      <c r="AC147" s="3" t="s">
        <v>120</v>
      </c>
      <c r="AD147" s="3">
        <v>0</v>
      </c>
      <c r="AE147" s="3">
        <v>15</v>
      </c>
      <c r="AF147" s="3">
        <v>3</v>
      </c>
      <c r="AG147" s="3" t="s">
        <v>4143</v>
      </c>
      <c r="AH147" s="3">
        <v>0</v>
      </c>
      <c r="AI147" s="3">
        <v>8400</v>
      </c>
      <c r="AJ147" s="3" t="s">
        <v>120</v>
      </c>
      <c r="AK147" s="3"/>
      <c r="AL147" s="3"/>
      <c r="AM147" s="7" t="s">
        <v>6187</v>
      </c>
      <c r="AN147" s="3"/>
      <c r="AO147" s="3"/>
      <c r="AQ147" s="3"/>
      <c r="AR147" s="3"/>
      <c r="AS147" s="3"/>
      <c r="AT147" s="3"/>
      <c r="AU147" s="7" t="s">
        <v>6188</v>
      </c>
    </row>
    <row r="148" spans="1:47" ht="12.5" x14ac:dyDescent="0.25">
      <c r="A148" s="3" t="s">
        <v>46</v>
      </c>
      <c r="B148" s="21" t="str">
        <f>HYPERLINK("https://gerandofalcoes.my.salesforce.com/0014X00002VKCrp", "0014X00002VKCrp")</f>
        <v>0014X00002VKCrp</v>
      </c>
      <c r="C148" s="21" t="str">
        <f>HYPERLINK("https://gerandofalcoes.my.salesforce.com/0014X00002VKCrpQAH", "0014X00002VKCrpQAH")</f>
        <v>0014X00002VKCrpQAH</v>
      </c>
      <c r="D148" s="3" t="s">
        <v>6189</v>
      </c>
      <c r="E148" s="3" t="s">
        <v>6190</v>
      </c>
      <c r="F148" s="3"/>
      <c r="G148" s="8"/>
      <c r="H148" s="3"/>
      <c r="I148" s="3" t="s">
        <v>6191</v>
      </c>
      <c r="J148" s="3" t="s">
        <v>6192</v>
      </c>
      <c r="K148" s="3" t="s">
        <v>6193</v>
      </c>
      <c r="L148" s="3" t="s">
        <v>379</v>
      </c>
      <c r="M148" s="3" t="s">
        <v>6194</v>
      </c>
      <c r="N148" s="3" t="s">
        <v>6195</v>
      </c>
      <c r="O148" s="3">
        <v>481</v>
      </c>
      <c r="P148" s="3" t="s">
        <v>5987</v>
      </c>
      <c r="Q148" s="3" t="s">
        <v>673</v>
      </c>
      <c r="R148" s="3" t="s">
        <v>6196</v>
      </c>
      <c r="S148" s="3" t="s">
        <v>62</v>
      </c>
      <c r="T148" s="3"/>
      <c r="U148" s="3" t="s">
        <v>5442</v>
      </c>
      <c r="V148" s="3" t="s">
        <v>6197</v>
      </c>
      <c r="W148" s="3">
        <v>4</v>
      </c>
      <c r="X148" s="3" t="s">
        <v>6198</v>
      </c>
      <c r="Y148" s="3"/>
      <c r="AA148" s="3">
        <v>200</v>
      </c>
      <c r="AB148" s="6">
        <v>44466</v>
      </c>
      <c r="AC148" s="3" t="s">
        <v>120</v>
      </c>
      <c r="AD148" s="3">
        <v>0</v>
      </c>
      <c r="AE148" s="3">
        <v>8</v>
      </c>
      <c r="AF148" s="3">
        <v>4</v>
      </c>
      <c r="AG148" s="3" t="s">
        <v>6199</v>
      </c>
      <c r="AH148" s="3" t="s">
        <v>6200</v>
      </c>
      <c r="AI148" s="3">
        <v>2700</v>
      </c>
      <c r="AJ148" s="3"/>
      <c r="AK148" s="3"/>
      <c r="AL148" s="3"/>
      <c r="AM148" s="7" t="s">
        <v>6201</v>
      </c>
      <c r="AN148" s="7" t="s">
        <v>6202</v>
      </c>
      <c r="AO148" s="3"/>
      <c r="AQ148" s="3"/>
      <c r="AR148" s="3"/>
      <c r="AS148" s="3"/>
      <c r="AT148" s="3"/>
      <c r="AU148" s="7" t="s">
        <v>6203</v>
      </c>
    </row>
    <row r="149" spans="1:47" ht="12.5" x14ac:dyDescent="0.25">
      <c r="A149" s="3" t="s">
        <v>46</v>
      </c>
      <c r="B149" s="21" t="str">
        <f>HYPERLINK("https://gerandofalcoes.my.salesforce.com/0014X00002VKCrq", "0014X00002VKCrq")</f>
        <v>0014X00002VKCrq</v>
      </c>
      <c r="C149" s="21" t="str">
        <f>HYPERLINK("https://gerandofalcoes.my.salesforce.com/0014X00002VKCrqQAH", "0014X00002VKCrqQAH")</f>
        <v>0014X00002VKCrqQAH</v>
      </c>
      <c r="D149" s="3" t="s">
        <v>6204</v>
      </c>
      <c r="E149" s="3" t="s">
        <v>6205</v>
      </c>
      <c r="F149" s="3"/>
      <c r="G149" s="8">
        <v>44763</v>
      </c>
      <c r="H149" s="3">
        <v>33</v>
      </c>
      <c r="I149" s="3" t="s">
        <v>6206</v>
      </c>
      <c r="J149" s="3" t="s">
        <v>6207</v>
      </c>
      <c r="K149" s="3">
        <v>81994467933</v>
      </c>
      <c r="L149" s="3" t="s">
        <v>379</v>
      </c>
      <c r="M149" s="3" t="s">
        <v>6208</v>
      </c>
      <c r="N149" s="3" t="s">
        <v>6209</v>
      </c>
      <c r="O149" s="3">
        <v>653</v>
      </c>
      <c r="P149" s="3" t="s">
        <v>381</v>
      </c>
      <c r="Q149" s="3"/>
      <c r="R149" s="3" t="s">
        <v>6210</v>
      </c>
      <c r="S149" s="3"/>
      <c r="T149" s="3"/>
      <c r="U149" s="3"/>
      <c r="V149" s="3"/>
      <c r="W149" s="3">
        <v>6</v>
      </c>
      <c r="X149" s="3" t="s">
        <v>6211</v>
      </c>
      <c r="Y149" s="3"/>
      <c r="AA149" s="3">
        <v>1500</v>
      </c>
      <c r="AB149" s="6">
        <v>43825</v>
      </c>
      <c r="AC149" s="3" t="s">
        <v>120</v>
      </c>
      <c r="AD149" s="3">
        <v>60</v>
      </c>
      <c r="AE149" s="3">
        <v>0</v>
      </c>
      <c r="AF149" s="3">
        <v>1</v>
      </c>
      <c r="AG149" s="3"/>
      <c r="AH149" s="3"/>
      <c r="AI149" s="3"/>
      <c r="AJ149" s="3"/>
      <c r="AK149" s="3"/>
      <c r="AL149" s="7" t="s">
        <v>6212</v>
      </c>
      <c r="AM149" s="7" t="s">
        <v>6213</v>
      </c>
      <c r="AN149" s="3"/>
      <c r="AO149" s="3"/>
      <c r="AQ149" s="3"/>
      <c r="AR149" s="3"/>
      <c r="AS149" s="3"/>
      <c r="AT149" s="3"/>
      <c r="AU149" s="7" t="s">
        <v>6214</v>
      </c>
    </row>
    <row r="150" spans="1:47" ht="12.5" x14ac:dyDescent="0.25">
      <c r="A150" s="3" t="s">
        <v>46</v>
      </c>
      <c r="B150" s="21" t="str">
        <f>HYPERLINK("https://gerandofalcoes.my.salesforce.com/0014X00002VKCrt", "0014X00002VKCrt")</f>
        <v>0014X00002VKCrt</v>
      </c>
      <c r="C150" s="21" t="str">
        <f>HYPERLINK("https://gerandofalcoes.my.salesforce.com/0014X00002VKCrtQAH", "0014X00002VKCrtQAH")</f>
        <v>0014X00002VKCrtQAH</v>
      </c>
      <c r="D150" s="3" t="s">
        <v>6215</v>
      </c>
      <c r="E150" s="3" t="s">
        <v>6216</v>
      </c>
      <c r="F150" s="3" t="s">
        <v>6217</v>
      </c>
      <c r="G150" s="8">
        <v>44763</v>
      </c>
      <c r="H150" s="3">
        <v>33</v>
      </c>
      <c r="I150" s="3" t="s">
        <v>6218</v>
      </c>
      <c r="J150" s="3" t="s">
        <v>6219</v>
      </c>
      <c r="K150" s="3" t="s">
        <v>6220</v>
      </c>
      <c r="L150" s="3" t="s">
        <v>379</v>
      </c>
      <c r="M150" s="3" t="s">
        <v>6221</v>
      </c>
      <c r="N150" s="3" t="s">
        <v>6222</v>
      </c>
      <c r="O150" s="3">
        <v>273</v>
      </c>
      <c r="P150" s="3" t="s">
        <v>381</v>
      </c>
      <c r="Q150" s="3" t="s">
        <v>6223</v>
      </c>
      <c r="R150" s="3" t="s">
        <v>6224</v>
      </c>
      <c r="S150" s="3" t="s">
        <v>6225</v>
      </c>
      <c r="T150" s="3"/>
      <c r="U150" s="3" t="s">
        <v>5645</v>
      </c>
      <c r="V150" s="3" t="s">
        <v>6226</v>
      </c>
      <c r="W150" s="3">
        <v>1</v>
      </c>
      <c r="X150" s="3" t="s">
        <v>6227</v>
      </c>
      <c r="Y150" s="3" t="s">
        <v>6228</v>
      </c>
      <c r="AA150" s="3">
        <v>100</v>
      </c>
      <c r="AB150" s="6">
        <v>37805</v>
      </c>
      <c r="AC150" s="3" t="s">
        <v>62</v>
      </c>
      <c r="AD150" s="3">
        <v>0</v>
      </c>
      <c r="AE150" s="3">
        <v>8</v>
      </c>
      <c r="AF150" s="3">
        <v>6</v>
      </c>
      <c r="AG150" s="3" t="s">
        <v>6229</v>
      </c>
      <c r="AH150" s="3" t="s">
        <v>6230</v>
      </c>
      <c r="AI150" s="3">
        <v>37500</v>
      </c>
      <c r="AJ150" s="3" t="s">
        <v>61</v>
      </c>
      <c r="AK150" s="3"/>
      <c r="AL150" s="7" t="s">
        <v>6231</v>
      </c>
      <c r="AM150" s="7" t="s">
        <v>6232</v>
      </c>
      <c r="AN150" s="7" t="s">
        <v>6233</v>
      </c>
      <c r="AO150" s="7" t="s">
        <v>6234</v>
      </c>
      <c r="AQ150" s="3"/>
      <c r="AR150" s="3"/>
      <c r="AS150" s="3"/>
      <c r="AT150" s="3"/>
      <c r="AU150" s="3"/>
    </row>
    <row r="151" spans="1:47" ht="12.5" x14ac:dyDescent="0.25">
      <c r="A151" s="3" t="s">
        <v>46</v>
      </c>
      <c r="B151" s="21" t="str">
        <f>HYPERLINK("https://gerandofalcoes.my.salesforce.com/0014X00002VKCrv", "0014X00002VKCrv")</f>
        <v>0014X00002VKCrv</v>
      </c>
      <c r="C151" s="21" t="str">
        <f>HYPERLINK("https://gerandofalcoes.my.salesforce.com/0014X00002VKCrvQAH", "0014X00002VKCrvQAH")</f>
        <v>0014X00002VKCrvQAH</v>
      </c>
      <c r="D151" s="3" t="s">
        <v>6235</v>
      </c>
      <c r="E151" s="3" t="s">
        <v>6236</v>
      </c>
      <c r="F151" s="3">
        <v>8629043000142</v>
      </c>
      <c r="G151" s="8">
        <v>44763</v>
      </c>
      <c r="H151" s="3">
        <v>33</v>
      </c>
      <c r="I151" s="3" t="s">
        <v>6237</v>
      </c>
      <c r="J151" s="3"/>
      <c r="K151" s="3"/>
      <c r="L151" s="3" t="s">
        <v>379</v>
      </c>
      <c r="M151" s="3" t="s">
        <v>6238</v>
      </c>
      <c r="N151" s="3" t="s">
        <v>6239</v>
      </c>
      <c r="O151" s="3">
        <v>42</v>
      </c>
      <c r="P151" s="3" t="s">
        <v>381</v>
      </c>
      <c r="Q151" s="3"/>
      <c r="R151" s="3" t="s">
        <v>6240</v>
      </c>
      <c r="S151" s="3"/>
      <c r="T151" s="3"/>
      <c r="U151" s="3"/>
      <c r="V151" s="3"/>
      <c r="W151" s="3">
        <v>5</v>
      </c>
      <c r="X151" s="3" t="s">
        <v>6241</v>
      </c>
      <c r="Y151" s="3" t="s">
        <v>6242</v>
      </c>
      <c r="AA151" s="3">
        <v>200</v>
      </c>
      <c r="AB151" s="6">
        <v>37167</v>
      </c>
      <c r="AC151" s="3" t="s">
        <v>62</v>
      </c>
      <c r="AD151" s="3"/>
      <c r="AE151" s="3">
        <v>8</v>
      </c>
      <c r="AF151" s="3">
        <v>1</v>
      </c>
      <c r="AG151" s="3"/>
      <c r="AH151" s="5">
        <v>0.1</v>
      </c>
      <c r="AI151" s="3">
        <v>800</v>
      </c>
      <c r="AJ151" s="3" t="s">
        <v>62</v>
      </c>
      <c r="AK151" s="3"/>
      <c r="AL151" s="7" t="s">
        <v>6243</v>
      </c>
      <c r="AM151" s="7" t="s">
        <v>6244</v>
      </c>
      <c r="AN151" s="7" t="s">
        <v>6245</v>
      </c>
      <c r="AO151" s="3"/>
      <c r="AQ151" s="7" t="s">
        <v>6246</v>
      </c>
      <c r="AR151" s="7" t="s">
        <v>6247</v>
      </c>
      <c r="AS151" s="7" t="s">
        <v>6248</v>
      </c>
      <c r="AT151" s="7" t="s">
        <v>6249</v>
      </c>
      <c r="AU151" s="3"/>
    </row>
    <row r="152" spans="1:47" ht="12.5" x14ac:dyDescent="0.25">
      <c r="A152" s="3" t="s">
        <v>46</v>
      </c>
      <c r="B152" s="21" t="str">
        <f>HYPERLINK("https://gerandofalcoes.my.salesforce.com/0014X00002VKCrw", "0014X00002VKCrw")</f>
        <v>0014X00002VKCrw</v>
      </c>
      <c r="C152" s="21" t="str">
        <f>HYPERLINK("https://gerandofalcoes.my.salesforce.com/0014X00002VKCrwQAH", "0014X00002VKCrwQAH")</f>
        <v>0014X00002VKCrwQAH</v>
      </c>
      <c r="D152" s="3" t="s">
        <v>6250</v>
      </c>
      <c r="E152" s="3" t="s">
        <v>6250</v>
      </c>
      <c r="F152" s="3"/>
      <c r="G152" s="8"/>
      <c r="H152" s="3"/>
      <c r="I152" s="3" t="s">
        <v>6251</v>
      </c>
      <c r="J152" s="3" t="s">
        <v>6252</v>
      </c>
      <c r="K152" s="3" t="s">
        <v>6253</v>
      </c>
      <c r="L152" s="3" t="s">
        <v>379</v>
      </c>
      <c r="M152" s="3" t="s">
        <v>6254</v>
      </c>
      <c r="N152" s="3" t="s">
        <v>6255</v>
      </c>
      <c r="O152" s="3">
        <v>0</v>
      </c>
      <c r="P152" s="3" t="s">
        <v>381</v>
      </c>
      <c r="Q152" s="3" t="s">
        <v>6256</v>
      </c>
      <c r="R152" s="3" t="s">
        <v>6257</v>
      </c>
      <c r="S152" s="3" t="s">
        <v>6258</v>
      </c>
      <c r="T152" s="3"/>
      <c r="U152" s="3" t="s">
        <v>4081</v>
      </c>
      <c r="V152" s="3" t="s">
        <v>3800</v>
      </c>
      <c r="W152" s="3">
        <v>4</v>
      </c>
      <c r="X152" s="3" t="s">
        <v>6259</v>
      </c>
      <c r="Y152" s="3" t="s">
        <v>120</v>
      </c>
      <c r="AA152" s="3">
        <v>970</v>
      </c>
      <c r="AB152" s="6">
        <v>42834</v>
      </c>
      <c r="AC152" s="3" t="s">
        <v>120</v>
      </c>
      <c r="AD152" s="3">
        <v>0</v>
      </c>
      <c r="AE152" s="3">
        <v>3</v>
      </c>
      <c r="AF152" s="3">
        <v>4</v>
      </c>
      <c r="AG152" s="3" t="s">
        <v>4019</v>
      </c>
      <c r="AH152" s="3">
        <v>0</v>
      </c>
      <c r="AI152" s="3">
        <v>45000</v>
      </c>
      <c r="AJ152" s="3" t="s">
        <v>61</v>
      </c>
      <c r="AL152" s="3"/>
      <c r="AM152" s="7" t="s">
        <v>6260</v>
      </c>
      <c r="AN152" s="3"/>
      <c r="AO152" s="3"/>
      <c r="AQ152" s="3"/>
      <c r="AR152" s="3"/>
      <c r="AS152" s="3"/>
      <c r="AT152" s="3"/>
      <c r="AU152" s="7" t="s">
        <v>6261</v>
      </c>
    </row>
    <row r="153" spans="1:47" ht="12.5" x14ac:dyDescent="0.25">
      <c r="A153" s="3" t="s">
        <v>46</v>
      </c>
      <c r="B153" s="21" t="str">
        <f>HYPERLINK("https://gerandofalcoes.my.salesforce.com/0014X00002VKCrx", "0014X00002VKCrx")</f>
        <v>0014X00002VKCrx</v>
      </c>
      <c r="C153" s="21" t="str">
        <f>HYPERLINK("https://gerandofalcoes.my.salesforce.com/0014X00002VKCrxQAH", "0014X00002VKCrxQAH")</f>
        <v>0014X00002VKCrxQAH</v>
      </c>
      <c r="D153" s="3" t="s">
        <v>6262</v>
      </c>
      <c r="E153" s="3" t="s">
        <v>6263</v>
      </c>
      <c r="F153" s="3"/>
      <c r="G153" s="8">
        <v>44763</v>
      </c>
      <c r="H153" s="3">
        <v>33</v>
      </c>
      <c r="I153" s="3" t="s">
        <v>6264</v>
      </c>
      <c r="J153" s="3" t="s">
        <v>6265</v>
      </c>
      <c r="K153" s="3" t="s">
        <v>6266</v>
      </c>
      <c r="L153" s="3" t="s">
        <v>379</v>
      </c>
      <c r="M153" s="3" t="s">
        <v>6267</v>
      </c>
      <c r="N153" s="3" t="s">
        <v>6268</v>
      </c>
      <c r="O153" s="3">
        <v>95</v>
      </c>
      <c r="P153" s="3" t="s">
        <v>6269</v>
      </c>
      <c r="Q153" s="3"/>
      <c r="R153" s="3" t="s">
        <v>6270</v>
      </c>
      <c r="S153" s="3" t="s">
        <v>6271</v>
      </c>
      <c r="T153" s="3"/>
      <c r="U153" s="3" t="s">
        <v>3872</v>
      </c>
      <c r="V153" s="3" t="s">
        <v>3800</v>
      </c>
      <c r="W153" s="3">
        <v>30</v>
      </c>
      <c r="X153" s="3" t="s">
        <v>6272</v>
      </c>
      <c r="Y153" s="3"/>
      <c r="AA153" s="3">
        <v>300</v>
      </c>
      <c r="AB153" s="6">
        <v>40013</v>
      </c>
      <c r="AC153" s="3" t="s">
        <v>120</v>
      </c>
      <c r="AD153" s="3">
        <v>0</v>
      </c>
      <c r="AE153" s="3">
        <v>15</v>
      </c>
      <c r="AF153" s="3">
        <v>3</v>
      </c>
      <c r="AG153" s="3" t="s">
        <v>6006</v>
      </c>
      <c r="AH153" s="3" t="s">
        <v>6273</v>
      </c>
      <c r="AI153" s="3">
        <v>2000</v>
      </c>
      <c r="AJ153" s="3" t="s">
        <v>120</v>
      </c>
      <c r="AL153" s="7" t="s">
        <v>6274</v>
      </c>
      <c r="AM153" s="7" t="s">
        <v>6274</v>
      </c>
      <c r="AN153" s="3"/>
      <c r="AO153" s="3"/>
      <c r="AQ153" s="7" t="s">
        <v>6275</v>
      </c>
      <c r="AR153" s="3"/>
      <c r="AS153" s="3"/>
      <c r="AT153" s="3"/>
      <c r="AU153" s="7" t="s">
        <v>6276</v>
      </c>
    </row>
    <row r="154" spans="1:47" ht="12.5" x14ac:dyDescent="0.25">
      <c r="A154" s="3" t="s">
        <v>46</v>
      </c>
      <c r="B154" s="21" t="str">
        <f>HYPERLINK("https://gerandofalcoes.my.salesforce.com/0014X00002VKCry", "0014X00002VKCry")</f>
        <v>0014X00002VKCry</v>
      </c>
      <c r="C154" s="21" t="str">
        <f>HYPERLINK("https://gerandofalcoes.my.salesforce.com/0014X00002VKCryQAH", "0014X00002VKCryQAH")</f>
        <v>0014X00002VKCryQAH</v>
      </c>
      <c r="D154" s="3" t="s">
        <v>6277</v>
      </c>
      <c r="E154" s="3" t="s">
        <v>6278</v>
      </c>
      <c r="F154" s="3">
        <v>899075000156</v>
      </c>
      <c r="G154" s="8">
        <v>44763</v>
      </c>
      <c r="H154" s="3">
        <v>33</v>
      </c>
      <c r="I154" s="3" t="s">
        <v>6279</v>
      </c>
      <c r="J154" s="3" t="s">
        <v>6280</v>
      </c>
      <c r="K154" s="3">
        <v>81983731998</v>
      </c>
      <c r="L154" s="3" t="s">
        <v>379</v>
      </c>
      <c r="M154" s="3" t="s">
        <v>6281</v>
      </c>
      <c r="N154" s="3" t="s">
        <v>6282</v>
      </c>
      <c r="O154" s="3">
        <v>25</v>
      </c>
      <c r="P154" s="3" t="s">
        <v>381</v>
      </c>
      <c r="Q154" s="3" t="s">
        <v>6283</v>
      </c>
      <c r="R154" s="3" t="s">
        <v>6284</v>
      </c>
      <c r="S154" s="3"/>
      <c r="T154" s="3"/>
      <c r="U154" s="3"/>
      <c r="V154" s="3"/>
      <c r="W154" s="3">
        <v>6</v>
      </c>
      <c r="X154" s="3" t="s">
        <v>6285</v>
      </c>
      <c r="Y154" s="3" t="s">
        <v>6286</v>
      </c>
      <c r="AA154" s="3">
        <v>400</v>
      </c>
      <c r="AB154" s="6">
        <v>34945</v>
      </c>
      <c r="AC154" s="3" t="s">
        <v>62</v>
      </c>
      <c r="AD154" s="3"/>
      <c r="AE154" s="3">
        <v>18</v>
      </c>
      <c r="AF154" s="3">
        <v>3</v>
      </c>
      <c r="AG154" s="3"/>
      <c r="AH154" s="5">
        <v>0.1</v>
      </c>
      <c r="AI154" s="3">
        <v>200000</v>
      </c>
      <c r="AJ154" s="3" t="s">
        <v>62</v>
      </c>
      <c r="AL154" s="3"/>
      <c r="AM154" s="3"/>
      <c r="AN154" s="3"/>
      <c r="AO154" s="3"/>
      <c r="AQ154" s="3"/>
      <c r="AR154" s="3"/>
      <c r="AS154" s="3"/>
      <c r="AT154" s="3"/>
      <c r="AU154" s="3"/>
    </row>
    <row r="155" spans="1:47" ht="12.5" x14ac:dyDescent="0.25">
      <c r="A155" s="3" t="s">
        <v>46</v>
      </c>
      <c r="B155" s="21" t="str">
        <f>HYPERLINK("https://gerandofalcoes.my.salesforce.com/0014X00002VKD04", "0014X00002VKD04")</f>
        <v>0014X00002VKD04</v>
      </c>
      <c r="C155" s="21" t="str">
        <f>HYPERLINK("https://gerandofalcoes.my.salesforce.com/0014X00002VKD04QAH", "0014X00002VKD04QAH")</f>
        <v>0014X00002VKD04QAH</v>
      </c>
      <c r="D155" s="3" t="s">
        <v>6287</v>
      </c>
      <c r="E155" s="3" t="s">
        <v>6288</v>
      </c>
      <c r="F155" s="3" t="s">
        <v>6289</v>
      </c>
      <c r="G155" s="8">
        <v>44763</v>
      </c>
      <c r="H155" s="3">
        <v>33</v>
      </c>
      <c r="I155" s="3" t="s">
        <v>6290</v>
      </c>
      <c r="J155" s="3" t="s">
        <v>6291</v>
      </c>
      <c r="K155" s="3" t="s">
        <v>6292</v>
      </c>
      <c r="L155" s="3" t="s">
        <v>246</v>
      </c>
      <c r="M155" s="3" t="s">
        <v>6293</v>
      </c>
      <c r="N155" s="3" t="s">
        <v>6294</v>
      </c>
      <c r="O155" s="3">
        <v>50</v>
      </c>
      <c r="P155" s="3" t="s">
        <v>6295</v>
      </c>
      <c r="Q155" s="3" t="s">
        <v>6296</v>
      </c>
      <c r="R155" s="3" t="s">
        <v>6297</v>
      </c>
      <c r="S155" s="3"/>
      <c r="T155" s="3"/>
      <c r="U155" s="3" t="s">
        <v>6298</v>
      </c>
      <c r="V155" s="3" t="s">
        <v>6299</v>
      </c>
      <c r="W155" s="3">
        <v>8</v>
      </c>
      <c r="X155" s="3" t="s">
        <v>6300</v>
      </c>
      <c r="Y155" s="3"/>
      <c r="AA155" s="3">
        <v>300</v>
      </c>
      <c r="AB155" s="6">
        <v>35077</v>
      </c>
      <c r="AC155" s="3" t="s">
        <v>62</v>
      </c>
      <c r="AD155" s="3">
        <v>24</v>
      </c>
      <c r="AE155" s="3">
        <v>2</v>
      </c>
      <c r="AF155" s="3">
        <v>4</v>
      </c>
      <c r="AG155" s="3" t="s">
        <v>6301</v>
      </c>
      <c r="AH155" s="3" t="s">
        <v>6302</v>
      </c>
      <c r="AI155" s="3">
        <v>900000</v>
      </c>
      <c r="AJ155" s="3" t="s">
        <v>62</v>
      </c>
      <c r="AL155" s="7" t="s">
        <v>6303</v>
      </c>
      <c r="AM155" s="7" t="s">
        <v>6303</v>
      </c>
      <c r="AN155" s="3"/>
      <c r="AO155" s="3"/>
      <c r="AQ155" s="3"/>
      <c r="AR155" s="7" t="s">
        <v>6304</v>
      </c>
      <c r="AS155" s="7" t="s">
        <v>6305</v>
      </c>
      <c r="AT155" s="3"/>
      <c r="AU155" s="3"/>
    </row>
    <row r="156" spans="1:47" ht="12.5" x14ac:dyDescent="0.25">
      <c r="A156" s="3" t="s">
        <v>46</v>
      </c>
      <c r="B156" s="21" t="str">
        <f>HYPERLINK("https://gerandofalcoes.my.salesforce.com/0014X00002VKD05", "0014X00002VKD05")</f>
        <v>0014X00002VKD05</v>
      </c>
      <c r="C156" s="21" t="str">
        <f>HYPERLINK("https://gerandofalcoes.my.salesforce.com/0014X00002VKD05QAH", "0014X00002VKD05QAH")</f>
        <v>0014X00002VKD05QAH</v>
      </c>
      <c r="D156" s="3" t="s">
        <v>6306</v>
      </c>
      <c r="E156" s="3" t="s">
        <v>6307</v>
      </c>
      <c r="F156" s="3" t="s">
        <v>6308</v>
      </c>
      <c r="G156" s="8">
        <v>44763</v>
      </c>
      <c r="H156" s="3">
        <v>33</v>
      </c>
      <c r="I156" s="3" t="s">
        <v>6309</v>
      </c>
      <c r="J156" s="3" t="s">
        <v>6310</v>
      </c>
      <c r="K156" s="3" t="s">
        <v>6311</v>
      </c>
      <c r="L156" s="3" t="s">
        <v>84</v>
      </c>
      <c r="M156" s="3" t="s">
        <v>6312</v>
      </c>
      <c r="N156" s="3" t="s">
        <v>6313</v>
      </c>
      <c r="O156" s="3">
        <v>1021</v>
      </c>
      <c r="P156" s="3" t="s">
        <v>177</v>
      </c>
      <c r="Q156" s="3" t="s">
        <v>6314</v>
      </c>
      <c r="R156" s="3" t="s">
        <v>6315</v>
      </c>
      <c r="S156" s="3" t="s">
        <v>6316</v>
      </c>
      <c r="T156" s="3"/>
      <c r="U156" s="3" t="s">
        <v>5442</v>
      </c>
      <c r="V156" s="3" t="s">
        <v>6317</v>
      </c>
      <c r="W156" s="3">
        <v>6</v>
      </c>
      <c r="X156" s="3" t="s">
        <v>6318</v>
      </c>
      <c r="Y156" s="3" t="s">
        <v>6319</v>
      </c>
      <c r="AA156" s="3">
        <v>240</v>
      </c>
      <c r="AB156" s="6">
        <v>42939</v>
      </c>
      <c r="AC156" s="3" t="s">
        <v>62</v>
      </c>
      <c r="AD156" s="3">
        <v>0</v>
      </c>
      <c r="AE156" s="3">
        <v>2</v>
      </c>
      <c r="AF156" s="3">
        <v>2</v>
      </c>
      <c r="AG156" s="3" t="s">
        <v>6320</v>
      </c>
      <c r="AH156" s="3">
        <v>100</v>
      </c>
      <c r="AI156" s="3">
        <v>199010</v>
      </c>
      <c r="AJ156" s="3" t="s">
        <v>62</v>
      </c>
      <c r="AK156" s="3"/>
      <c r="AL156" s="7" t="s">
        <v>6321</v>
      </c>
      <c r="AM156" s="7" t="s">
        <v>6322</v>
      </c>
      <c r="AN156" s="3"/>
      <c r="AO156" s="3"/>
      <c r="AP156" s="3"/>
      <c r="AQ156" s="3"/>
      <c r="AR156" s="7" t="s">
        <v>6323</v>
      </c>
      <c r="AS156" s="7" t="s">
        <v>6324</v>
      </c>
      <c r="AT156" s="3"/>
      <c r="AU156" s="7" t="s">
        <v>6325</v>
      </c>
    </row>
    <row r="157" spans="1:47" ht="12.5" x14ac:dyDescent="0.25">
      <c r="A157" s="3" t="s">
        <v>46</v>
      </c>
      <c r="B157" s="21" t="str">
        <f>HYPERLINK("https://gerandofalcoes.my.salesforce.com/0014X00002VKD06", "0014X00002VKD06")</f>
        <v>0014X00002VKD06</v>
      </c>
      <c r="C157" s="21" t="str">
        <f>HYPERLINK("https://gerandofalcoes.my.salesforce.com/0014X00002VKD06QAH", "0014X00002VKD06QAH")</f>
        <v>0014X00002VKD06QAH</v>
      </c>
      <c r="D157" s="3" t="s">
        <v>6326</v>
      </c>
      <c r="E157" s="3" t="s">
        <v>6327</v>
      </c>
      <c r="F157" s="3" t="s">
        <v>6328</v>
      </c>
      <c r="G157" s="8"/>
      <c r="H157" s="3"/>
      <c r="I157" s="3" t="s">
        <v>6329</v>
      </c>
      <c r="J157" s="3" t="s">
        <v>6330</v>
      </c>
      <c r="K157" s="3" t="s">
        <v>6331</v>
      </c>
      <c r="L157" s="3" t="s">
        <v>407</v>
      </c>
      <c r="M157" s="3" t="s">
        <v>6332</v>
      </c>
      <c r="N157" s="3" t="s">
        <v>3254</v>
      </c>
      <c r="O157" s="3">
        <v>229</v>
      </c>
      <c r="P157" s="3" t="s">
        <v>409</v>
      </c>
      <c r="Q157" s="3"/>
      <c r="R157" s="3" t="s">
        <v>6333</v>
      </c>
      <c r="S157" s="3" t="s">
        <v>6334</v>
      </c>
      <c r="T157" s="3"/>
      <c r="U157" s="3" t="s">
        <v>4346</v>
      </c>
      <c r="V157" s="3" t="s">
        <v>6335</v>
      </c>
      <c r="W157" s="3">
        <v>16</v>
      </c>
      <c r="X157" s="3" t="s">
        <v>6336</v>
      </c>
      <c r="Y157" s="3" t="s">
        <v>6337</v>
      </c>
      <c r="AA157" s="3">
        <v>3000</v>
      </c>
      <c r="AB157" s="6">
        <v>39294</v>
      </c>
      <c r="AC157" s="3" t="s">
        <v>62</v>
      </c>
      <c r="AD157" s="3">
        <v>17</v>
      </c>
      <c r="AE157" s="3">
        <v>126</v>
      </c>
      <c r="AF157" s="3">
        <v>5</v>
      </c>
      <c r="AG157" s="3" t="s">
        <v>6338</v>
      </c>
      <c r="AH157" s="3">
        <v>0</v>
      </c>
      <c r="AI157" s="3">
        <v>722164</v>
      </c>
      <c r="AJ157" s="3" t="s">
        <v>120</v>
      </c>
      <c r="AK157" s="3"/>
      <c r="AL157" s="7" t="s">
        <v>6339</v>
      </c>
      <c r="AM157" s="3" t="s">
        <v>6340</v>
      </c>
      <c r="AN157" s="7" t="s">
        <v>6341</v>
      </c>
      <c r="AO157" s="3"/>
      <c r="AP157" s="3"/>
      <c r="AQ157" s="7" t="s">
        <v>6342</v>
      </c>
      <c r="AR157" s="7" t="s">
        <v>6343</v>
      </c>
      <c r="AS157" s="7" t="s">
        <v>6344</v>
      </c>
      <c r="AT157" s="7" t="s">
        <v>6345</v>
      </c>
      <c r="AU157" s="7" t="s">
        <v>6346</v>
      </c>
    </row>
    <row r="158" spans="1:47" ht="12.5" x14ac:dyDescent="0.25">
      <c r="A158" s="3" t="s">
        <v>46</v>
      </c>
      <c r="B158" s="21" t="str">
        <f>HYPERLINK("https://gerandofalcoes.my.salesforce.com/0014X00002VKCsv", "0014X00002VKCsv")</f>
        <v>0014X00002VKCsv</v>
      </c>
      <c r="C158" s="21" t="str">
        <f>HYPERLINK("https://gerandofalcoes.my.salesforce.com/0014X00002VKCsvQAH", "0014X00002VKCsvQAH")</f>
        <v>0014X00002VKCsvQAH</v>
      </c>
      <c r="D158" s="3" t="s">
        <v>6347</v>
      </c>
      <c r="E158" s="3" t="s">
        <v>6348</v>
      </c>
      <c r="F158" s="3"/>
      <c r="G158" s="8">
        <v>44763</v>
      </c>
      <c r="H158" s="3">
        <v>33</v>
      </c>
      <c r="I158" s="3" t="s">
        <v>6349</v>
      </c>
      <c r="J158" s="3" t="s">
        <v>6350</v>
      </c>
      <c r="K158" s="3" t="s">
        <v>6351</v>
      </c>
      <c r="L158" s="3" t="s">
        <v>70</v>
      </c>
      <c r="M158" s="3" t="s">
        <v>6352</v>
      </c>
      <c r="N158" s="3" t="s">
        <v>6353</v>
      </c>
      <c r="O158" s="3">
        <v>1111</v>
      </c>
      <c r="P158" s="3" t="s">
        <v>73</v>
      </c>
      <c r="Q158" s="3" t="s">
        <v>6354</v>
      </c>
      <c r="R158" s="3" t="s">
        <v>6355</v>
      </c>
      <c r="S158" s="3" t="s">
        <v>6356</v>
      </c>
      <c r="T158" s="3"/>
      <c r="U158" s="3" t="s">
        <v>6357</v>
      </c>
      <c r="V158" s="3" t="s">
        <v>3890</v>
      </c>
      <c r="W158" s="3">
        <v>0</v>
      </c>
      <c r="X158" s="3" t="s">
        <v>6358</v>
      </c>
      <c r="Y158" s="3"/>
      <c r="AA158" s="3">
        <v>0</v>
      </c>
      <c r="AB158" s="6">
        <v>42552</v>
      </c>
      <c r="AC158" s="3" t="s">
        <v>120</v>
      </c>
      <c r="AD158" s="3">
        <v>4</v>
      </c>
      <c r="AE158" s="3">
        <v>4</v>
      </c>
      <c r="AF158" s="3">
        <v>2</v>
      </c>
      <c r="AG158" s="3" t="s">
        <v>4032</v>
      </c>
      <c r="AH158" s="3">
        <v>0</v>
      </c>
      <c r="AI158" s="3">
        <v>0</v>
      </c>
      <c r="AJ158" s="3" t="s">
        <v>120</v>
      </c>
      <c r="AK158" s="3"/>
      <c r="AL158" s="7" t="s">
        <v>6359</v>
      </c>
      <c r="AM158" s="7" t="s">
        <v>6360</v>
      </c>
      <c r="AN158" s="3"/>
      <c r="AO158" s="3"/>
      <c r="AP158" s="3"/>
      <c r="AQ158" s="3"/>
      <c r="AR158" s="3"/>
      <c r="AS158" s="3"/>
      <c r="AT158" s="3"/>
      <c r="AU158" s="3"/>
    </row>
    <row r="159" spans="1:47" ht="12.5" x14ac:dyDescent="0.25">
      <c r="A159" s="3" t="s">
        <v>46</v>
      </c>
      <c r="B159" s="21" t="str">
        <f>HYPERLINK("https://gerandofalcoes.my.salesforce.com/0014X00002VKCsx", "0014X00002VKCsx")</f>
        <v>0014X00002VKCsx</v>
      </c>
      <c r="C159" s="21" t="str">
        <f>HYPERLINK("https://gerandofalcoes.my.salesforce.com/0014X00002VKCsxQAH", "0014X00002VKCsxQAH")</f>
        <v>0014X00002VKCsxQAH</v>
      </c>
      <c r="D159" s="3" t="s">
        <v>6361</v>
      </c>
      <c r="E159" s="3" t="s">
        <v>6362</v>
      </c>
      <c r="F159" s="3"/>
      <c r="G159" s="8">
        <v>44763</v>
      </c>
      <c r="H159" s="3">
        <v>33</v>
      </c>
      <c r="I159" s="3" t="s">
        <v>6363</v>
      </c>
      <c r="J159" s="3" t="s">
        <v>6364</v>
      </c>
      <c r="K159" s="3" t="s">
        <v>6365</v>
      </c>
      <c r="L159" s="3" t="s">
        <v>70</v>
      </c>
      <c r="M159" s="3" t="s">
        <v>6366</v>
      </c>
      <c r="N159" s="3" t="s">
        <v>1321</v>
      </c>
      <c r="O159" s="3">
        <v>241</v>
      </c>
      <c r="P159" s="3" t="s">
        <v>6367</v>
      </c>
      <c r="Q159" s="3" t="s">
        <v>6368</v>
      </c>
      <c r="R159" s="3" t="s">
        <v>6369</v>
      </c>
      <c r="S159" s="3" t="s">
        <v>120</v>
      </c>
      <c r="T159" s="3"/>
      <c r="U159" s="3" t="s">
        <v>6370</v>
      </c>
      <c r="V159" s="3" t="s">
        <v>3800</v>
      </c>
      <c r="W159" s="3">
        <v>2</v>
      </c>
      <c r="X159" s="3" t="s">
        <v>6371</v>
      </c>
      <c r="Y159" s="3" t="s">
        <v>6372</v>
      </c>
      <c r="AA159" s="3">
        <v>127</v>
      </c>
      <c r="AB159" s="6">
        <v>43209</v>
      </c>
      <c r="AC159" s="3" t="s">
        <v>120</v>
      </c>
      <c r="AD159" s="3">
        <v>0</v>
      </c>
      <c r="AE159" s="3">
        <v>12</v>
      </c>
      <c r="AF159" s="3">
        <v>3</v>
      </c>
      <c r="AG159" s="3" t="s">
        <v>4288</v>
      </c>
      <c r="AH159" s="3">
        <v>0</v>
      </c>
      <c r="AI159" s="3">
        <v>5</v>
      </c>
      <c r="AJ159" s="3" t="s">
        <v>61</v>
      </c>
      <c r="AK159" s="3"/>
      <c r="AL159" s="3" t="s">
        <v>6373</v>
      </c>
      <c r="AM159" s="7" t="s">
        <v>6374</v>
      </c>
      <c r="AN159" s="7" t="s">
        <v>6375</v>
      </c>
      <c r="AO159" s="7" t="s">
        <v>6374</v>
      </c>
      <c r="AP159" s="3"/>
      <c r="AQ159" s="7" t="s">
        <v>6376</v>
      </c>
      <c r="AR159" s="3"/>
      <c r="AS159" s="3"/>
      <c r="AT159" s="3"/>
      <c r="AU159" s="7" t="s">
        <v>6377</v>
      </c>
    </row>
    <row r="160" spans="1:47" ht="12.5" x14ac:dyDescent="0.25">
      <c r="A160" s="3" t="s">
        <v>46</v>
      </c>
      <c r="B160" s="21" t="str">
        <f>HYPERLINK("https://gerandofalcoes.my.salesforce.com/0014X00002VKCsy", "0014X00002VKCsy")</f>
        <v>0014X00002VKCsy</v>
      </c>
      <c r="C160" s="21" t="str">
        <f>HYPERLINK("https://gerandofalcoes.my.salesforce.com/0014X00002VKCsyQAH", "0014X00002VKCsyQAH")</f>
        <v>0014X00002VKCsyQAH</v>
      </c>
      <c r="D160" s="3" t="s">
        <v>6378</v>
      </c>
      <c r="E160" s="3" t="s">
        <v>6379</v>
      </c>
      <c r="F160" s="3" t="s">
        <v>6380</v>
      </c>
      <c r="G160" s="8">
        <v>44763</v>
      </c>
      <c r="H160" s="3">
        <v>33</v>
      </c>
      <c r="I160" s="3" t="s">
        <v>6381</v>
      </c>
      <c r="J160" s="3" t="s">
        <v>6382</v>
      </c>
      <c r="K160" s="3" t="s">
        <v>6383</v>
      </c>
      <c r="L160" s="3" t="s">
        <v>70</v>
      </c>
      <c r="M160" s="3" t="s">
        <v>6384</v>
      </c>
      <c r="N160" s="3" t="s">
        <v>647</v>
      </c>
      <c r="O160" s="3" t="s">
        <v>3098</v>
      </c>
      <c r="P160" s="3" t="s">
        <v>1105</v>
      </c>
      <c r="Q160" s="3"/>
      <c r="R160" s="3" t="s">
        <v>6385</v>
      </c>
      <c r="S160" s="3" t="s">
        <v>6386</v>
      </c>
      <c r="T160" s="3"/>
      <c r="U160" s="3" t="s">
        <v>3964</v>
      </c>
      <c r="V160" s="3" t="s">
        <v>3800</v>
      </c>
      <c r="W160" s="3">
        <v>1</v>
      </c>
      <c r="X160" s="3" t="s">
        <v>6387</v>
      </c>
      <c r="Y160" s="3"/>
      <c r="Z160" s="3"/>
      <c r="AA160" s="3">
        <v>200</v>
      </c>
      <c r="AB160" s="6">
        <v>41257</v>
      </c>
      <c r="AC160" s="3" t="s">
        <v>62</v>
      </c>
      <c r="AD160" s="3">
        <v>0</v>
      </c>
      <c r="AE160" s="3">
        <v>14</v>
      </c>
      <c r="AF160" s="3">
        <v>3</v>
      </c>
      <c r="AG160" s="3" t="s">
        <v>3893</v>
      </c>
      <c r="AH160" s="3" t="s">
        <v>6388</v>
      </c>
      <c r="AI160" s="3">
        <v>250</v>
      </c>
      <c r="AJ160" s="3" t="s">
        <v>61</v>
      </c>
      <c r="AK160" s="3"/>
      <c r="AL160" s="7" t="s">
        <v>6389</v>
      </c>
      <c r="AM160" s="7" t="s">
        <v>6390</v>
      </c>
      <c r="AN160" s="7" t="s">
        <v>6391</v>
      </c>
      <c r="AO160" s="3"/>
      <c r="AP160" s="3"/>
      <c r="AQ160" s="7" t="s">
        <v>6392</v>
      </c>
      <c r="AR160" s="7" t="s">
        <v>6393</v>
      </c>
      <c r="AS160" s="7" t="s">
        <v>6394</v>
      </c>
      <c r="AT160" s="3"/>
      <c r="AU160" s="7" t="s">
        <v>6395</v>
      </c>
    </row>
    <row r="161" spans="1:47" ht="12.5" x14ac:dyDescent="0.25">
      <c r="A161" s="3" t="s">
        <v>46</v>
      </c>
      <c r="B161" s="21" t="str">
        <f>HYPERLINK("https://gerandofalcoes.my.salesforce.com/0014X00002VKCsz", "0014X00002VKCsz")</f>
        <v>0014X00002VKCsz</v>
      </c>
      <c r="C161" s="21" t="str">
        <f>HYPERLINK("https://gerandofalcoes.my.salesforce.com/0014X00002VKCszQAH", "0014X00002VKCszQAH")</f>
        <v>0014X00002VKCszQAH</v>
      </c>
      <c r="D161" s="3" t="s">
        <v>6396</v>
      </c>
      <c r="E161" s="3" t="s">
        <v>6396</v>
      </c>
      <c r="F161" s="3" t="s">
        <v>6397</v>
      </c>
      <c r="G161" s="8"/>
      <c r="H161" s="3"/>
      <c r="I161" s="3" t="s">
        <v>6398</v>
      </c>
      <c r="J161" s="3" t="s">
        <v>6399</v>
      </c>
      <c r="K161" s="3" t="s">
        <v>6400</v>
      </c>
      <c r="L161" s="3" t="s">
        <v>70</v>
      </c>
      <c r="M161" s="3" t="s">
        <v>6401</v>
      </c>
      <c r="N161" s="3" t="s">
        <v>6402</v>
      </c>
      <c r="O161" s="3">
        <v>0</v>
      </c>
      <c r="P161" s="3" t="s">
        <v>73</v>
      </c>
      <c r="Q161" s="3"/>
      <c r="R161" s="3" t="s">
        <v>5250</v>
      </c>
      <c r="S161" s="3" t="s">
        <v>6403</v>
      </c>
      <c r="T161" s="3"/>
      <c r="U161" s="3" t="s">
        <v>6404</v>
      </c>
      <c r="V161" s="3" t="s">
        <v>6405</v>
      </c>
      <c r="W161" s="3">
        <v>4</v>
      </c>
      <c r="X161" s="3" t="s">
        <v>6406</v>
      </c>
      <c r="Y161" s="3"/>
      <c r="Z161" s="3"/>
      <c r="AA161" s="3">
        <v>400</v>
      </c>
      <c r="AB161" s="6">
        <v>43790</v>
      </c>
      <c r="AC161" s="3" t="s">
        <v>120</v>
      </c>
      <c r="AD161" s="3">
        <v>0</v>
      </c>
      <c r="AE161" s="3">
        <v>12</v>
      </c>
      <c r="AF161" s="3">
        <v>6</v>
      </c>
      <c r="AG161" s="3" t="s">
        <v>6407</v>
      </c>
      <c r="AH161" s="3" t="s">
        <v>6408</v>
      </c>
      <c r="AI161" s="3">
        <v>30000</v>
      </c>
      <c r="AJ161" s="3" t="s">
        <v>61</v>
      </c>
      <c r="AK161" s="3"/>
      <c r="AL161" s="7" t="s">
        <v>6409</v>
      </c>
      <c r="AM161" s="7" t="s">
        <v>6410</v>
      </c>
      <c r="AN161" s="7" t="s">
        <v>6411</v>
      </c>
      <c r="AO161" s="7" t="s">
        <v>6412</v>
      </c>
      <c r="AP161" s="3"/>
      <c r="AQ161" s="3"/>
      <c r="AR161" s="3"/>
      <c r="AS161" s="7" t="s">
        <v>6413</v>
      </c>
      <c r="AT161" s="7" t="s">
        <v>6414</v>
      </c>
      <c r="AU161" s="7" t="s">
        <v>6415</v>
      </c>
    </row>
    <row r="162" spans="1:47" ht="12.5" x14ac:dyDescent="0.25">
      <c r="A162" s="3" t="s">
        <v>46</v>
      </c>
      <c r="B162" s="21" t="str">
        <f>HYPERLINK("https://gerandofalcoes.my.salesforce.com/0014X00002VKCt0", "0014X00002VKCt0")</f>
        <v>0014X00002VKCt0</v>
      </c>
      <c r="C162" s="21" t="str">
        <f>HYPERLINK("https://gerandofalcoes.my.salesforce.com/0014X00002VKCt0QAH", "0014X00002VKCt0QAH")</f>
        <v>0014X00002VKCt0QAH</v>
      </c>
      <c r="D162" s="3" t="s">
        <v>6416</v>
      </c>
      <c r="E162" s="3" t="s">
        <v>6417</v>
      </c>
      <c r="F162" s="3" t="s">
        <v>6418</v>
      </c>
      <c r="G162" s="8">
        <v>44763</v>
      </c>
      <c r="H162" s="3">
        <v>33</v>
      </c>
      <c r="I162" s="3" t="s">
        <v>6419</v>
      </c>
      <c r="J162" s="3" t="s">
        <v>6420</v>
      </c>
      <c r="K162" s="3" t="s">
        <v>6421</v>
      </c>
      <c r="L162" s="3" t="s">
        <v>70</v>
      </c>
      <c r="M162" s="3" t="s">
        <v>6422</v>
      </c>
      <c r="N162" s="3" t="s">
        <v>6423</v>
      </c>
      <c r="O162" s="3">
        <v>78</v>
      </c>
      <c r="P162" s="3" t="s">
        <v>73</v>
      </c>
      <c r="Q162" s="3"/>
      <c r="R162" s="3" t="s">
        <v>6424</v>
      </c>
      <c r="S162" s="3" t="s">
        <v>120</v>
      </c>
      <c r="T162" s="3"/>
      <c r="U162" s="3" t="s">
        <v>3932</v>
      </c>
      <c r="V162" s="3" t="s">
        <v>4945</v>
      </c>
      <c r="W162" s="3">
        <v>3</v>
      </c>
      <c r="X162" s="3" t="s">
        <v>6425</v>
      </c>
      <c r="Y162" s="3" t="s">
        <v>6426</v>
      </c>
      <c r="AA162" s="3">
        <v>200</v>
      </c>
      <c r="AB162" s="6">
        <v>40289</v>
      </c>
      <c r="AC162" s="3" t="s">
        <v>62</v>
      </c>
      <c r="AD162" s="3">
        <v>0</v>
      </c>
      <c r="AE162" s="3">
        <v>40</v>
      </c>
      <c r="AF162" s="3">
        <v>4</v>
      </c>
      <c r="AG162" s="3" t="s">
        <v>6427</v>
      </c>
      <c r="AH162" s="23" t="s">
        <v>6428</v>
      </c>
      <c r="AI162" s="3">
        <v>53000</v>
      </c>
      <c r="AJ162" s="3" t="s">
        <v>120</v>
      </c>
      <c r="AK162" s="3"/>
      <c r="AL162" s="7" t="s">
        <v>6429</v>
      </c>
      <c r="AM162" s="7" t="s">
        <v>6430</v>
      </c>
      <c r="AN162" s="7" t="s">
        <v>6431</v>
      </c>
      <c r="AO162" s="7" t="s">
        <v>6432</v>
      </c>
      <c r="AP162" s="3"/>
      <c r="AQ162" s="3"/>
      <c r="AR162" s="3"/>
      <c r="AS162" s="3"/>
      <c r="AT162" s="3"/>
      <c r="AU162" s="7" t="s">
        <v>6433</v>
      </c>
    </row>
    <row r="163" spans="1:47" ht="12.5" x14ac:dyDescent="0.25">
      <c r="A163" s="3" t="s">
        <v>46</v>
      </c>
      <c r="B163" s="21" t="str">
        <f>HYPERLINK("https://gerandofalcoes.my.salesforce.com/0014X00002VKCt1", "0014X00002VKCt1")</f>
        <v>0014X00002VKCt1</v>
      </c>
      <c r="C163" s="21" t="str">
        <f>HYPERLINK("https://gerandofalcoes.my.salesforce.com/0014X00002VKCt1QAH", "0014X00002VKCt1QAH")</f>
        <v>0014X00002VKCt1QAH</v>
      </c>
      <c r="D163" s="3" t="s">
        <v>6434</v>
      </c>
      <c r="E163" s="3" t="s">
        <v>6435</v>
      </c>
      <c r="F163" s="3" t="s">
        <v>6436</v>
      </c>
      <c r="G163" s="8"/>
      <c r="H163" s="3"/>
      <c r="I163" s="3" t="s">
        <v>6437</v>
      </c>
      <c r="J163" s="3" t="s">
        <v>6438</v>
      </c>
      <c r="K163" s="3" t="s">
        <v>6439</v>
      </c>
      <c r="L163" s="3" t="s">
        <v>70</v>
      </c>
      <c r="M163" s="3" t="s">
        <v>6440</v>
      </c>
      <c r="N163" s="3" t="s">
        <v>6441</v>
      </c>
      <c r="O163" s="3">
        <v>0</v>
      </c>
      <c r="P163" s="3" t="s">
        <v>73</v>
      </c>
      <c r="Q163" s="3" t="s">
        <v>6442</v>
      </c>
      <c r="R163" s="3" t="s">
        <v>6443</v>
      </c>
      <c r="S163" s="3" t="s">
        <v>6444</v>
      </c>
      <c r="T163" s="3"/>
      <c r="U163" s="3" t="s">
        <v>4346</v>
      </c>
      <c r="V163" s="3" t="s">
        <v>4780</v>
      </c>
      <c r="W163" s="3">
        <v>2</v>
      </c>
      <c r="X163" s="3" t="s">
        <v>6445</v>
      </c>
      <c r="Y163" s="3" t="s">
        <v>6446</v>
      </c>
      <c r="AA163" s="3">
        <v>40</v>
      </c>
      <c r="AB163" s="6">
        <v>44294</v>
      </c>
      <c r="AC163" s="3" t="s">
        <v>120</v>
      </c>
      <c r="AD163" s="3">
        <v>4</v>
      </c>
      <c r="AE163" s="3">
        <v>4</v>
      </c>
      <c r="AF163" s="3">
        <v>4</v>
      </c>
      <c r="AG163" s="3" t="s">
        <v>6447</v>
      </c>
      <c r="AH163" s="3" t="s">
        <v>6448</v>
      </c>
      <c r="AI163" s="3">
        <v>2000</v>
      </c>
      <c r="AJ163" s="3" t="s">
        <v>61</v>
      </c>
      <c r="AK163" s="3"/>
      <c r="AL163" s="7" t="s">
        <v>6449</v>
      </c>
      <c r="AM163" s="7" t="s">
        <v>6450</v>
      </c>
      <c r="AN163" s="7" t="s">
        <v>6451</v>
      </c>
      <c r="AO163" s="7" t="s">
        <v>6452</v>
      </c>
      <c r="AP163" s="3"/>
      <c r="AQ163" s="3"/>
      <c r="AR163" s="3"/>
      <c r="AS163" s="3"/>
      <c r="AT163" s="3"/>
      <c r="AU163" s="7" t="s">
        <v>6453</v>
      </c>
    </row>
    <row r="164" spans="1:47" ht="12.5" x14ac:dyDescent="0.25">
      <c r="A164" s="3" t="s">
        <v>46</v>
      </c>
      <c r="B164" s="21" t="str">
        <f>HYPERLINK("https://gerandofalcoes.my.salesforce.com/0014X00002VKCt2", "0014X00002VKCt2")</f>
        <v>0014X00002VKCt2</v>
      </c>
      <c r="C164" s="21" t="str">
        <f>HYPERLINK("https://gerandofalcoes.my.salesforce.com/0014X00002VKCt2QAH", "0014X00002VKCt2QAH")</f>
        <v>0014X00002VKCt2QAH</v>
      </c>
      <c r="D164" s="3" t="s">
        <v>6454</v>
      </c>
      <c r="E164" s="3" t="s">
        <v>6455</v>
      </c>
      <c r="F164" s="3" t="s">
        <v>6456</v>
      </c>
      <c r="G164" s="8">
        <v>44763</v>
      </c>
      <c r="H164" s="3">
        <v>33</v>
      </c>
      <c r="I164" s="3" t="s">
        <v>6457</v>
      </c>
      <c r="J164" s="3" t="s">
        <v>6458</v>
      </c>
      <c r="K164" s="3" t="s">
        <v>6459</v>
      </c>
      <c r="L164" s="3" t="s">
        <v>70</v>
      </c>
      <c r="M164" s="3" t="s">
        <v>6460</v>
      </c>
      <c r="N164" s="3" t="s">
        <v>647</v>
      </c>
      <c r="O164" s="3">
        <v>1861</v>
      </c>
      <c r="P164" s="3" t="s">
        <v>1105</v>
      </c>
      <c r="Q164" s="3" t="s">
        <v>6461</v>
      </c>
      <c r="R164" s="3" t="s">
        <v>6462</v>
      </c>
      <c r="S164" s="3" t="s">
        <v>6463</v>
      </c>
      <c r="T164" s="3"/>
      <c r="U164" s="3" t="s">
        <v>3857</v>
      </c>
      <c r="V164" s="3" t="s">
        <v>3800</v>
      </c>
      <c r="W164" s="3">
        <v>5</v>
      </c>
      <c r="X164" s="3" t="s">
        <v>6464</v>
      </c>
      <c r="Y164" s="3" t="s">
        <v>6465</v>
      </c>
      <c r="AA164" s="3">
        <v>149</v>
      </c>
      <c r="AB164" s="6">
        <v>36018</v>
      </c>
      <c r="AC164" s="3" t="s">
        <v>62</v>
      </c>
      <c r="AD164" s="3">
        <v>4</v>
      </c>
      <c r="AE164" s="3">
        <v>16</v>
      </c>
      <c r="AF164" s="3">
        <v>3</v>
      </c>
      <c r="AG164" s="3" t="s">
        <v>3893</v>
      </c>
      <c r="AH164" s="3" t="s">
        <v>120</v>
      </c>
      <c r="AI164" s="3">
        <v>238000</v>
      </c>
      <c r="AJ164" s="3" t="s">
        <v>62</v>
      </c>
      <c r="AK164" s="3"/>
      <c r="AL164" s="7" t="s">
        <v>6466</v>
      </c>
      <c r="AM164" s="7" t="s">
        <v>6467</v>
      </c>
      <c r="AN164" s="7" t="s">
        <v>6468</v>
      </c>
      <c r="AO164" s="7" t="s">
        <v>6469</v>
      </c>
      <c r="AP164" s="3"/>
      <c r="AQ164" s="7" t="s">
        <v>6470</v>
      </c>
      <c r="AR164" s="7" t="s">
        <v>6471</v>
      </c>
      <c r="AS164" s="7" t="s">
        <v>6472</v>
      </c>
      <c r="AT164" s="7" t="s">
        <v>6473</v>
      </c>
      <c r="AU164" s="7" t="s">
        <v>6474</v>
      </c>
    </row>
    <row r="165" spans="1:47" ht="12.5" x14ac:dyDescent="0.25">
      <c r="A165" s="3" t="s">
        <v>46</v>
      </c>
      <c r="B165" s="21" t="str">
        <f>HYPERLINK("https://gerandofalcoes.my.salesforce.com/0014X00002VKCt3", "0014X00002VKCt3")</f>
        <v>0014X00002VKCt3</v>
      </c>
      <c r="C165" s="21" t="str">
        <f>HYPERLINK("https://gerandofalcoes.my.salesforce.com/0014X00002VKCt3QAH", "0014X00002VKCt3QAH")</f>
        <v>0014X00002VKCt3QAH</v>
      </c>
      <c r="D165" s="3" t="s">
        <v>6475</v>
      </c>
      <c r="E165" s="3" t="s">
        <v>6476</v>
      </c>
      <c r="F165" s="3"/>
      <c r="G165" s="8"/>
      <c r="H165" s="3"/>
      <c r="I165" s="3" t="s">
        <v>6477</v>
      </c>
      <c r="J165" s="3" t="s">
        <v>6478</v>
      </c>
      <c r="K165" s="3" t="s">
        <v>6479</v>
      </c>
      <c r="L165" s="3" t="s">
        <v>70</v>
      </c>
      <c r="M165" s="3" t="s">
        <v>6480</v>
      </c>
      <c r="N165" s="3" t="s">
        <v>6481</v>
      </c>
      <c r="O165" s="3">
        <v>2900</v>
      </c>
      <c r="P165" s="3" t="s">
        <v>1015</v>
      </c>
      <c r="Q165" s="3" t="s">
        <v>6482</v>
      </c>
      <c r="R165" s="3" t="s">
        <v>6483</v>
      </c>
      <c r="S165" s="3"/>
      <c r="T165" s="3"/>
      <c r="U165" s="3" t="s">
        <v>6484</v>
      </c>
      <c r="V165" s="3" t="s">
        <v>5872</v>
      </c>
      <c r="W165" s="3">
        <v>3</v>
      </c>
      <c r="X165" s="3" t="s">
        <v>6485</v>
      </c>
      <c r="Y165" s="3"/>
      <c r="AA165" s="3">
        <v>100</v>
      </c>
      <c r="AB165" s="6">
        <v>44206</v>
      </c>
      <c r="AC165" s="3" t="s">
        <v>120</v>
      </c>
      <c r="AD165" s="3">
        <v>0</v>
      </c>
      <c r="AE165" s="3">
        <v>5</v>
      </c>
      <c r="AF165" s="3">
        <v>2</v>
      </c>
      <c r="AG165" s="3" t="s">
        <v>4032</v>
      </c>
      <c r="AH165" s="3" t="s">
        <v>6486</v>
      </c>
      <c r="AI165" s="3">
        <v>1</v>
      </c>
      <c r="AJ165" s="3" t="s">
        <v>61</v>
      </c>
      <c r="AK165" s="3"/>
      <c r="AL165" s="3"/>
      <c r="AM165" s="7" t="s">
        <v>6487</v>
      </c>
      <c r="AN165" s="7" t="s">
        <v>6488</v>
      </c>
      <c r="AO165" s="7" t="s">
        <v>6489</v>
      </c>
      <c r="AP165" s="3"/>
      <c r="AQ165" s="3"/>
      <c r="AR165" s="3"/>
      <c r="AS165" s="3"/>
      <c r="AT165" s="3"/>
      <c r="AU165" s="7" t="s">
        <v>6490</v>
      </c>
    </row>
    <row r="166" spans="1:47" ht="12.5" x14ac:dyDescent="0.25">
      <c r="A166" s="3" t="s">
        <v>46</v>
      </c>
      <c r="B166" s="21" t="str">
        <f>HYPERLINK("https://gerandofalcoes.my.salesforce.com/0014X00002VKCt4", "0014X00002VKCt4")</f>
        <v>0014X00002VKCt4</v>
      </c>
      <c r="C166" s="21" t="str">
        <f>HYPERLINK("https://gerandofalcoes.my.salesforce.com/0014X00002VKCt4QAH", "0014X00002VKCt4QAH")</f>
        <v>0014X00002VKCt4QAH</v>
      </c>
      <c r="D166" s="3" t="s">
        <v>6491</v>
      </c>
      <c r="E166" s="3" t="s">
        <v>6492</v>
      </c>
      <c r="F166" s="3" t="s">
        <v>6493</v>
      </c>
      <c r="G166" s="8">
        <v>44763</v>
      </c>
      <c r="H166" s="3">
        <v>33</v>
      </c>
      <c r="I166" s="3" t="s">
        <v>6494</v>
      </c>
      <c r="J166" s="3" t="s">
        <v>6495</v>
      </c>
      <c r="K166" s="3" t="s">
        <v>6496</v>
      </c>
      <c r="L166" s="3" t="s">
        <v>70</v>
      </c>
      <c r="M166" s="3" t="s">
        <v>6497</v>
      </c>
      <c r="N166" s="3" t="s">
        <v>6498</v>
      </c>
      <c r="O166" s="3">
        <v>812</v>
      </c>
      <c r="P166" s="3" t="s">
        <v>1608</v>
      </c>
      <c r="Q166" s="3" t="s">
        <v>6499</v>
      </c>
      <c r="R166" s="3" t="s">
        <v>6500</v>
      </c>
      <c r="S166" s="3" t="s">
        <v>120</v>
      </c>
      <c r="T166" s="3"/>
      <c r="U166" s="3" t="s">
        <v>3872</v>
      </c>
      <c r="V166" s="3" t="s">
        <v>3800</v>
      </c>
      <c r="W166" s="3">
        <v>1</v>
      </c>
      <c r="X166" s="3" t="s">
        <v>6501</v>
      </c>
      <c r="Y166" s="3"/>
      <c r="AA166" s="3">
        <v>179</v>
      </c>
      <c r="AB166" s="6">
        <v>42066</v>
      </c>
      <c r="AC166" s="3" t="s">
        <v>62</v>
      </c>
      <c r="AD166" s="3">
        <v>0</v>
      </c>
      <c r="AE166" s="3">
        <v>32</v>
      </c>
      <c r="AF166" s="3">
        <v>4</v>
      </c>
      <c r="AG166" s="3" t="s">
        <v>6502</v>
      </c>
      <c r="AH166" s="3" t="s">
        <v>6503</v>
      </c>
      <c r="AI166" s="3">
        <v>140473</v>
      </c>
      <c r="AJ166" s="3" t="s">
        <v>120</v>
      </c>
      <c r="AK166" s="3"/>
      <c r="AL166" s="7" t="s">
        <v>6504</v>
      </c>
      <c r="AM166" s="7" t="s">
        <v>6505</v>
      </c>
      <c r="AN166" s="7" t="s">
        <v>6506</v>
      </c>
      <c r="AO166" s="7" t="s">
        <v>6507</v>
      </c>
      <c r="AP166" s="3"/>
      <c r="AQ166" s="3"/>
      <c r="AR166" s="7" t="s">
        <v>6508</v>
      </c>
      <c r="AS166" s="7" t="s">
        <v>6509</v>
      </c>
      <c r="AT166" s="7" t="s">
        <v>6510</v>
      </c>
      <c r="AU166" s="7" t="s">
        <v>6511</v>
      </c>
    </row>
    <row r="167" spans="1:47" ht="12.5" x14ac:dyDescent="0.25">
      <c r="A167" s="3" t="s">
        <v>46</v>
      </c>
      <c r="B167" s="21" t="str">
        <f>HYPERLINK("https://gerandofalcoes.my.salesforce.com/0014X00002VKCt6", "0014X00002VKCt6")</f>
        <v>0014X00002VKCt6</v>
      </c>
      <c r="C167" s="21" t="str">
        <f>HYPERLINK("https://gerandofalcoes.my.salesforce.com/0014X00002VKCt6QAH", "0014X00002VKCt6QAH")</f>
        <v>0014X00002VKCt6QAH</v>
      </c>
      <c r="D167" s="3" t="s">
        <v>6512</v>
      </c>
      <c r="E167" s="3" t="s">
        <v>6513</v>
      </c>
      <c r="F167" s="3"/>
      <c r="G167" s="8">
        <v>44763</v>
      </c>
      <c r="H167" s="3">
        <v>33</v>
      </c>
      <c r="I167" s="3" t="s">
        <v>6514</v>
      </c>
      <c r="J167" s="3" t="s">
        <v>6515</v>
      </c>
      <c r="K167" s="3" t="s">
        <v>6516</v>
      </c>
      <c r="L167" s="3" t="s">
        <v>70</v>
      </c>
      <c r="M167" s="3" t="s">
        <v>6517</v>
      </c>
      <c r="N167" s="3" t="s">
        <v>6518</v>
      </c>
      <c r="O167" s="3">
        <v>87</v>
      </c>
      <c r="P167" s="3" t="s">
        <v>1015</v>
      </c>
      <c r="Q167" s="3" t="s">
        <v>6519</v>
      </c>
      <c r="R167" s="3" t="s">
        <v>6520</v>
      </c>
      <c r="S167" s="3"/>
      <c r="T167" s="3"/>
      <c r="U167" s="3" t="s">
        <v>3872</v>
      </c>
      <c r="V167" s="3" t="s">
        <v>6521</v>
      </c>
      <c r="W167" s="3">
        <v>5</v>
      </c>
      <c r="X167" s="3" t="s">
        <v>6522</v>
      </c>
      <c r="Y167" s="3" t="s">
        <v>6523</v>
      </c>
      <c r="Z167" s="3"/>
      <c r="AA167" s="3">
        <v>133</v>
      </c>
      <c r="AB167" s="6">
        <v>43017</v>
      </c>
      <c r="AC167" s="3" t="s">
        <v>120</v>
      </c>
      <c r="AD167" s="3">
        <v>15</v>
      </c>
      <c r="AE167" s="3">
        <v>15</v>
      </c>
      <c r="AF167" s="3">
        <v>3</v>
      </c>
      <c r="AG167" s="3" t="s">
        <v>6524</v>
      </c>
      <c r="AH167" s="3">
        <v>10</v>
      </c>
      <c r="AI167" s="3">
        <v>4500</v>
      </c>
      <c r="AJ167" s="3" t="s">
        <v>61</v>
      </c>
      <c r="AK167" s="3"/>
      <c r="AL167" s="3"/>
      <c r="AM167" s="7" t="s">
        <v>6525</v>
      </c>
      <c r="AN167" s="7" t="s">
        <v>6526</v>
      </c>
      <c r="AO167" s="7" t="s">
        <v>6527</v>
      </c>
      <c r="AP167" s="3"/>
      <c r="AQ167" s="3"/>
      <c r="AR167" s="3"/>
      <c r="AS167" s="3"/>
      <c r="AT167" s="3"/>
      <c r="AU167" s="7" t="s">
        <v>6528</v>
      </c>
    </row>
    <row r="168" spans="1:47" ht="12.5" x14ac:dyDescent="0.25">
      <c r="A168" s="3" t="s">
        <v>46</v>
      </c>
      <c r="B168" s="21" t="str">
        <f>HYPERLINK("https://gerandofalcoes.my.salesforce.com/0014X00002VKCt7", "0014X00002VKCt7")</f>
        <v>0014X00002VKCt7</v>
      </c>
      <c r="C168" s="21" t="str">
        <f>HYPERLINK("https://gerandofalcoes.my.salesforce.com/0014X00002VKCt7QAH", "0014X00002VKCt7QAH")</f>
        <v>0014X00002VKCt7QAH</v>
      </c>
      <c r="D168" s="3" t="s">
        <v>6529</v>
      </c>
      <c r="E168" s="3" t="s">
        <v>6530</v>
      </c>
      <c r="F168" s="3"/>
      <c r="G168" s="8"/>
      <c r="H168" s="3"/>
      <c r="I168" s="3" t="s">
        <v>6531</v>
      </c>
      <c r="J168" s="3" t="s">
        <v>6532</v>
      </c>
      <c r="K168" s="3" t="s">
        <v>6533</v>
      </c>
      <c r="L168" s="3" t="s">
        <v>70</v>
      </c>
      <c r="M168" s="3" t="s">
        <v>6534</v>
      </c>
      <c r="N168" s="3" t="s">
        <v>6535</v>
      </c>
      <c r="O168" s="3">
        <v>39</v>
      </c>
      <c r="P168" s="3" t="s">
        <v>73</v>
      </c>
      <c r="Q168" s="3"/>
      <c r="R168" s="3" t="s">
        <v>6536</v>
      </c>
      <c r="S168" s="3" t="s">
        <v>6537</v>
      </c>
      <c r="T168" s="3"/>
      <c r="U168" s="3" t="s">
        <v>5108</v>
      </c>
      <c r="V168" s="3" t="s">
        <v>4519</v>
      </c>
      <c r="W168" s="3">
        <v>2</v>
      </c>
      <c r="X168" s="3" t="s">
        <v>6538</v>
      </c>
      <c r="Y168" s="3" t="s">
        <v>6539</v>
      </c>
      <c r="AA168" s="3">
        <v>120</v>
      </c>
      <c r="AB168" s="8">
        <v>40808</v>
      </c>
      <c r="AC168" s="3" t="s">
        <v>120</v>
      </c>
      <c r="AD168" s="3">
        <v>0</v>
      </c>
      <c r="AE168" s="3">
        <v>90</v>
      </c>
      <c r="AF168" s="3">
        <v>3</v>
      </c>
      <c r="AG168" s="3" t="s">
        <v>4143</v>
      </c>
      <c r="AH168" s="3">
        <v>0</v>
      </c>
      <c r="AI168" s="3">
        <v>11000</v>
      </c>
      <c r="AJ168" s="3" t="s">
        <v>61</v>
      </c>
      <c r="AK168" s="3"/>
      <c r="AL168" s="7" t="s">
        <v>6540</v>
      </c>
      <c r="AM168" s="7" t="s">
        <v>6541</v>
      </c>
      <c r="AN168" s="7" t="s">
        <v>6542</v>
      </c>
      <c r="AO168" s="7" t="s">
        <v>6543</v>
      </c>
      <c r="AP168" s="3"/>
      <c r="AQ168" s="3"/>
      <c r="AR168" s="3"/>
      <c r="AS168" s="3"/>
      <c r="AT168" s="3"/>
      <c r="AU168" s="7" t="s">
        <v>6544</v>
      </c>
    </row>
    <row r="169" spans="1:47" ht="12.5" x14ac:dyDescent="0.25">
      <c r="A169" s="3" t="s">
        <v>46</v>
      </c>
      <c r="B169" s="21" t="str">
        <f>HYPERLINK("https://gerandofalcoes.my.salesforce.com/0014X00002VKCt8", "0014X00002VKCt8")</f>
        <v>0014X00002VKCt8</v>
      </c>
      <c r="C169" s="21" t="str">
        <f>HYPERLINK("https://gerandofalcoes.my.salesforce.com/0014X00002VKCt8QAH", "0014X00002VKCt8QAH")</f>
        <v>0014X00002VKCt8QAH</v>
      </c>
      <c r="D169" s="3" t="s">
        <v>6545</v>
      </c>
      <c r="E169" s="3" t="s">
        <v>6546</v>
      </c>
      <c r="F169" s="3" t="s">
        <v>6547</v>
      </c>
      <c r="G169" s="8"/>
      <c r="H169" s="3"/>
      <c r="I169" s="3" t="s">
        <v>6548</v>
      </c>
      <c r="J169" s="3" t="s">
        <v>6549</v>
      </c>
      <c r="K169" s="3" t="s">
        <v>6550</v>
      </c>
      <c r="L169" s="3" t="s">
        <v>468</v>
      </c>
      <c r="M169" s="3" t="s">
        <v>6551</v>
      </c>
      <c r="N169" s="3" t="s">
        <v>6552</v>
      </c>
      <c r="O169" s="3">
        <v>600</v>
      </c>
      <c r="P169" s="3" t="s">
        <v>470</v>
      </c>
      <c r="Q169" s="3" t="s">
        <v>6553</v>
      </c>
      <c r="R169" s="3" t="s">
        <v>6554</v>
      </c>
      <c r="S169" s="3" t="s">
        <v>6555</v>
      </c>
      <c r="T169" s="3"/>
      <c r="U169" s="3" t="s">
        <v>3889</v>
      </c>
      <c r="V169" s="3" t="s">
        <v>4945</v>
      </c>
      <c r="W169" s="3">
        <v>1</v>
      </c>
      <c r="X169" s="3" t="s">
        <v>6556</v>
      </c>
      <c r="Y169" s="3"/>
      <c r="AA169" s="3">
        <v>30</v>
      </c>
      <c r="AB169" s="8">
        <v>44736</v>
      </c>
      <c r="AC169" s="3" t="s">
        <v>120</v>
      </c>
      <c r="AD169" s="3">
        <v>0</v>
      </c>
      <c r="AE169" s="3">
        <v>8</v>
      </c>
      <c r="AF169" s="3">
        <v>2</v>
      </c>
      <c r="AG169" s="3" t="s">
        <v>3819</v>
      </c>
      <c r="AH169" s="3">
        <v>0</v>
      </c>
      <c r="AI169" s="3">
        <v>1200</v>
      </c>
      <c r="AJ169" s="3" t="s">
        <v>61</v>
      </c>
      <c r="AK169" s="3"/>
      <c r="AL169" s="3"/>
      <c r="AM169" s="7" t="s">
        <v>6557</v>
      </c>
      <c r="AN169" s="7" t="s">
        <v>6558</v>
      </c>
      <c r="AO169" s="3"/>
      <c r="AP169" s="3"/>
      <c r="AQ169" s="7" t="s">
        <v>6559</v>
      </c>
      <c r="AR169" s="3"/>
      <c r="AS169" s="3"/>
      <c r="AT169" s="3"/>
      <c r="AU169" s="7" t="s">
        <v>6560</v>
      </c>
    </row>
    <row r="170" spans="1:47" ht="12.5" x14ac:dyDescent="0.25">
      <c r="A170" s="3" t="s">
        <v>46</v>
      </c>
      <c r="B170" s="21" t="str">
        <f>HYPERLINK("https://gerandofalcoes.my.salesforce.com/0014X00002VKCt9", "0014X00002VKCt9")</f>
        <v>0014X00002VKCt9</v>
      </c>
      <c r="C170" s="21" t="str">
        <f>HYPERLINK("https://gerandofalcoes.my.salesforce.com/0014X00002VKCt9QAH", "0014X00002VKCt9QAH")</f>
        <v>0014X00002VKCt9QAH</v>
      </c>
      <c r="D170" s="3" t="s">
        <v>6561</v>
      </c>
      <c r="E170" s="3" t="s">
        <v>6562</v>
      </c>
      <c r="F170" s="3" t="s">
        <v>6563</v>
      </c>
      <c r="G170" s="8">
        <v>44763</v>
      </c>
      <c r="H170" s="3">
        <v>33</v>
      </c>
      <c r="I170" s="3" t="s">
        <v>6564</v>
      </c>
      <c r="J170" s="3" t="s">
        <v>6565</v>
      </c>
      <c r="K170" s="3" t="s">
        <v>6566</v>
      </c>
      <c r="L170" s="3" t="s">
        <v>70</v>
      </c>
      <c r="M170" s="3" t="s">
        <v>6567</v>
      </c>
      <c r="N170" s="3" t="s">
        <v>6568</v>
      </c>
      <c r="O170" s="3">
        <v>135</v>
      </c>
      <c r="P170" s="3" t="s">
        <v>6569</v>
      </c>
      <c r="Q170" s="3"/>
      <c r="R170" s="3" t="s">
        <v>6570</v>
      </c>
      <c r="S170" s="3" t="s">
        <v>62</v>
      </c>
      <c r="T170" s="3"/>
      <c r="U170" s="3" t="s">
        <v>5442</v>
      </c>
      <c r="V170" s="3" t="s">
        <v>4141</v>
      </c>
      <c r="W170" s="3">
        <v>8</v>
      </c>
      <c r="X170" s="3" t="s">
        <v>6571</v>
      </c>
      <c r="Y170" s="3" t="s">
        <v>6572</v>
      </c>
      <c r="AA170" s="3">
        <v>50</v>
      </c>
      <c r="AB170" s="6">
        <v>41609</v>
      </c>
      <c r="AC170" s="3" t="s">
        <v>62</v>
      </c>
      <c r="AD170" s="3">
        <v>0</v>
      </c>
      <c r="AE170" s="3">
        <v>28</v>
      </c>
      <c r="AF170" s="3">
        <v>2</v>
      </c>
      <c r="AG170" s="3" t="s">
        <v>4156</v>
      </c>
      <c r="AH170" s="3">
        <v>0</v>
      </c>
      <c r="AI170" s="3">
        <v>600</v>
      </c>
      <c r="AJ170" s="3" t="s">
        <v>61</v>
      </c>
      <c r="AK170" s="3"/>
      <c r="AL170" s="7" t="s">
        <v>6573</v>
      </c>
      <c r="AM170" s="7" t="s">
        <v>6574</v>
      </c>
      <c r="AN170" s="7" t="s">
        <v>6575</v>
      </c>
      <c r="AO170" s="3"/>
      <c r="AP170" s="3"/>
      <c r="AQ170" s="7" t="s">
        <v>6576</v>
      </c>
      <c r="AR170" s="7" t="s">
        <v>6577</v>
      </c>
      <c r="AS170" s="7" t="s">
        <v>6578</v>
      </c>
      <c r="AT170" s="7" t="s">
        <v>6579</v>
      </c>
      <c r="AU170" s="7" t="s">
        <v>6580</v>
      </c>
    </row>
    <row r="171" spans="1:47" ht="12.5" x14ac:dyDescent="0.25">
      <c r="A171" s="3" t="s">
        <v>46</v>
      </c>
      <c r="B171" s="21" t="str">
        <f>HYPERLINK("https://gerandofalcoes.my.salesforce.com/0014X00002VKCtA", "0014X00002VKCtA")</f>
        <v>0014X00002VKCtA</v>
      </c>
      <c r="C171" s="21" t="str">
        <f>HYPERLINK("https://gerandofalcoes.my.salesforce.com/0014X00002VKCtAQAX", "0014X00002VKCtAQAX")</f>
        <v>0014X00002VKCtAQAX</v>
      </c>
      <c r="D171" s="3" t="s">
        <v>6581</v>
      </c>
      <c r="E171" s="3" t="s">
        <v>6582</v>
      </c>
      <c r="F171" s="3" t="s">
        <v>6583</v>
      </c>
      <c r="G171" s="8"/>
      <c r="H171" s="3"/>
      <c r="I171" s="3" t="s">
        <v>6584</v>
      </c>
      <c r="J171" s="3" t="s">
        <v>6585</v>
      </c>
      <c r="K171" s="3" t="s">
        <v>6586</v>
      </c>
      <c r="L171" s="3" t="s">
        <v>70</v>
      </c>
      <c r="M171" s="3" t="s">
        <v>6587</v>
      </c>
      <c r="N171" s="3" t="s">
        <v>6588</v>
      </c>
      <c r="O171" s="3">
        <v>70</v>
      </c>
      <c r="P171" s="3" t="s">
        <v>73</v>
      </c>
      <c r="Q171" s="3"/>
      <c r="R171" s="3" t="s">
        <v>6589</v>
      </c>
      <c r="S171" s="3" t="s">
        <v>6590</v>
      </c>
      <c r="T171" s="3"/>
      <c r="U171" s="3" t="s">
        <v>3913</v>
      </c>
      <c r="V171" s="3" t="s">
        <v>3800</v>
      </c>
      <c r="W171" s="3">
        <v>1</v>
      </c>
      <c r="X171" s="3" t="s">
        <v>6591</v>
      </c>
      <c r="Y171" s="3"/>
      <c r="Z171" s="3"/>
      <c r="AA171" s="3">
        <v>59</v>
      </c>
      <c r="AB171" s="6">
        <v>42471</v>
      </c>
      <c r="AC171" s="3" t="s">
        <v>62</v>
      </c>
      <c r="AD171" s="3">
        <v>0</v>
      </c>
      <c r="AE171" s="3">
        <v>6</v>
      </c>
      <c r="AF171" s="3">
        <v>3</v>
      </c>
      <c r="AG171" s="3" t="s">
        <v>6592</v>
      </c>
      <c r="AH171" s="3">
        <v>0</v>
      </c>
      <c r="AI171" s="3">
        <v>12000</v>
      </c>
      <c r="AJ171" s="3" t="s">
        <v>61</v>
      </c>
      <c r="AK171" s="3"/>
      <c r="AL171" s="7" t="s">
        <v>6593</v>
      </c>
      <c r="AM171" s="7" t="s">
        <v>6594</v>
      </c>
      <c r="AN171" s="7" t="s">
        <v>6595</v>
      </c>
      <c r="AO171" s="3"/>
      <c r="AP171" s="3"/>
      <c r="AQ171" s="7" t="s">
        <v>6596</v>
      </c>
      <c r="AR171" s="7" t="s">
        <v>6597</v>
      </c>
      <c r="AS171" s="7" t="s">
        <v>6598</v>
      </c>
      <c r="AT171" s="7" t="s">
        <v>6599</v>
      </c>
      <c r="AU171" s="7" t="s">
        <v>6600</v>
      </c>
    </row>
    <row r="172" spans="1:47" ht="12.5" x14ac:dyDescent="0.25">
      <c r="A172" s="3" t="s">
        <v>46</v>
      </c>
      <c r="B172" s="21" t="str">
        <f>HYPERLINK("https://gerandofalcoes.my.salesforce.com/0014X00002VKCtC", "0014X00002VKCtC")</f>
        <v>0014X00002VKCtC</v>
      </c>
      <c r="C172" s="21" t="str">
        <f>HYPERLINK("https://gerandofalcoes.my.salesforce.com/0014X00002VKCtCQAX", "0014X00002VKCtCQAX")</f>
        <v>0014X00002VKCtCQAX</v>
      </c>
      <c r="D172" s="3" t="s">
        <v>6601</v>
      </c>
      <c r="E172" s="3" t="s">
        <v>6602</v>
      </c>
      <c r="F172" s="3"/>
      <c r="G172" s="8">
        <v>44763</v>
      </c>
      <c r="H172" s="3">
        <v>33</v>
      </c>
      <c r="I172" s="3" t="s">
        <v>6603</v>
      </c>
      <c r="J172" s="3" t="s">
        <v>6604</v>
      </c>
      <c r="K172" s="3" t="s">
        <v>6605</v>
      </c>
      <c r="L172" s="3" t="s">
        <v>1171</v>
      </c>
      <c r="M172" s="3" t="s">
        <v>6606</v>
      </c>
      <c r="N172" s="3" t="s">
        <v>647</v>
      </c>
      <c r="O172" s="3">
        <v>273</v>
      </c>
      <c r="P172" s="3" t="s">
        <v>6607</v>
      </c>
      <c r="Q172" s="3"/>
      <c r="R172" s="3" t="s">
        <v>6608</v>
      </c>
      <c r="S172" s="3" t="s">
        <v>6609</v>
      </c>
      <c r="T172" s="3"/>
      <c r="U172" s="3" t="s">
        <v>3913</v>
      </c>
      <c r="V172" s="3" t="s">
        <v>6610</v>
      </c>
      <c r="W172" s="3">
        <v>6</v>
      </c>
      <c r="X172" s="3" t="s">
        <v>6611</v>
      </c>
      <c r="Y172" s="3"/>
      <c r="Z172" s="3"/>
      <c r="AA172" s="3">
        <v>0</v>
      </c>
      <c r="AB172" s="8">
        <v>37452</v>
      </c>
      <c r="AC172" s="3" t="s">
        <v>120</v>
      </c>
      <c r="AD172" s="3">
        <v>0</v>
      </c>
      <c r="AE172" s="3">
        <v>15</v>
      </c>
      <c r="AF172" s="3">
        <v>3</v>
      </c>
      <c r="AG172" s="3" t="s">
        <v>3893</v>
      </c>
      <c r="AH172" s="3" t="s">
        <v>6612</v>
      </c>
      <c r="AI172" s="3">
        <v>2900</v>
      </c>
      <c r="AJ172" s="3" t="s">
        <v>61</v>
      </c>
      <c r="AK172" s="3"/>
      <c r="AL172" s="7" t="s">
        <v>6613</v>
      </c>
      <c r="AM172" s="7" t="s">
        <v>6614</v>
      </c>
      <c r="AN172" s="3"/>
      <c r="AO172" s="3"/>
      <c r="AP172" s="3"/>
      <c r="AQ172" s="3"/>
      <c r="AR172" s="3"/>
      <c r="AS172" s="3"/>
      <c r="AT172" s="3"/>
      <c r="AU172" s="7" t="s">
        <v>6615</v>
      </c>
    </row>
    <row r="173" spans="1:47" ht="12.5" x14ac:dyDescent="0.25">
      <c r="A173" s="3" t="s">
        <v>46</v>
      </c>
      <c r="B173" s="21" t="str">
        <f>HYPERLINK("https://gerandofalcoes.my.salesforce.com/0014X00002VKCtD", "0014X00002VKCtD")</f>
        <v>0014X00002VKCtD</v>
      </c>
      <c r="C173" s="21" t="str">
        <f>HYPERLINK("https://gerandofalcoes.my.salesforce.com/0014X00002VKCtDQAX", "0014X00002VKCtDQAX")</f>
        <v>0014X00002VKCtDQAX</v>
      </c>
      <c r="D173" s="3" t="s">
        <v>6616</v>
      </c>
      <c r="E173" s="3" t="s">
        <v>6616</v>
      </c>
      <c r="F173" s="3" t="s">
        <v>6617</v>
      </c>
      <c r="G173" s="8">
        <v>44763</v>
      </c>
      <c r="H173" s="3">
        <v>33</v>
      </c>
      <c r="I173" s="3" t="s">
        <v>6618</v>
      </c>
      <c r="J173" s="3" t="s">
        <v>6619</v>
      </c>
      <c r="K173" s="3" t="s">
        <v>6620</v>
      </c>
      <c r="L173" s="3" t="s">
        <v>1171</v>
      </c>
      <c r="M173" s="3" t="s">
        <v>6621</v>
      </c>
      <c r="N173" s="3" t="s">
        <v>6622</v>
      </c>
      <c r="O173" s="3">
        <v>0</v>
      </c>
      <c r="P173" s="3" t="s">
        <v>2217</v>
      </c>
      <c r="Q173" s="3"/>
      <c r="R173" s="3" t="s">
        <v>6623</v>
      </c>
      <c r="S173" s="3" t="s">
        <v>120</v>
      </c>
      <c r="T173" s="3"/>
      <c r="U173" s="3" t="s">
        <v>4081</v>
      </c>
      <c r="V173" s="3" t="s">
        <v>6624</v>
      </c>
      <c r="W173" s="3">
        <v>1</v>
      </c>
      <c r="X173" s="3" t="s">
        <v>6625</v>
      </c>
      <c r="Y173" s="3" t="s">
        <v>6626</v>
      </c>
      <c r="Z173" s="3"/>
      <c r="AA173" s="3">
        <v>100</v>
      </c>
      <c r="AB173" s="6">
        <v>43521</v>
      </c>
      <c r="AC173" s="3" t="s">
        <v>120</v>
      </c>
      <c r="AD173" s="3">
        <v>5</v>
      </c>
      <c r="AE173" s="3">
        <v>5</v>
      </c>
      <c r="AF173" s="3">
        <v>2</v>
      </c>
      <c r="AG173" s="3" t="s">
        <v>3917</v>
      </c>
      <c r="AH173" s="3" t="s">
        <v>6627</v>
      </c>
      <c r="AI173" s="3">
        <v>2000</v>
      </c>
      <c r="AJ173" s="3" t="s">
        <v>120</v>
      </c>
      <c r="AK173" s="3"/>
      <c r="AL173" s="3"/>
      <c r="AM173" s="7" t="s">
        <v>6628</v>
      </c>
      <c r="AN173" s="3"/>
      <c r="AO173" s="3"/>
      <c r="AP173" s="3"/>
      <c r="AQ173" s="7" t="s">
        <v>6629</v>
      </c>
      <c r="AR173" s="3"/>
      <c r="AS173" s="7" t="s">
        <v>6630</v>
      </c>
      <c r="AT173" s="7" t="s">
        <v>6631</v>
      </c>
      <c r="AU173" s="3"/>
    </row>
    <row r="174" spans="1:47" ht="12.5" x14ac:dyDescent="0.25">
      <c r="A174" s="3" t="s">
        <v>46</v>
      </c>
      <c r="B174" s="21" t="str">
        <f>HYPERLINK("https://gerandofalcoes.my.salesforce.com/0014X00002VKCtE", "0014X00002VKCtE")</f>
        <v>0014X00002VKCtE</v>
      </c>
      <c r="C174" s="21" t="str">
        <f>HYPERLINK("https://gerandofalcoes.my.salesforce.com/0014X00002VKCtEQAX", "0014X00002VKCtEQAX")</f>
        <v>0014X00002VKCtEQAX</v>
      </c>
      <c r="D174" s="3" t="s">
        <v>6632</v>
      </c>
      <c r="E174" s="3" t="s">
        <v>6633</v>
      </c>
      <c r="F174" s="3"/>
      <c r="G174" s="8">
        <v>44763</v>
      </c>
      <c r="H174" s="3">
        <v>33</v>
      </c>
      <c r="I174" s="3" t="s">
        <v>6634</v>
      </c>
      <c r="J174" s="3" t="s">
        <v>6635</v>
      </c>
      <c r="K174" s="3" t="s">
        <v>2423</v>
      </c>
      <c r="L174" s="3" t="s">
        <v>195</v>
      </c>
      <c r="M174" s="3" t="s">
        <v>6636</v>
      </c>
      <c r="N174" s="3" t="s">
        <v>6637</v>
      </c>
      <c r="O174" s="3">
        <v>14</v>
      </c>
      <c r="P174" s="3" t="s">
        <v>6638</v>
      </c>
      <c r="Q174" s="3"/>
      <c r="R174" s="3" t="s">
        <v>6639</v>
      </c>
      <c r="S174" s="3" t="s">
        <v>6640</v>
      </c>
      <c r="T174" s="3"/>
      <c r="U174" s="3" t="s">
        <v>3889</v>
      </c>
      <c r="V174" s="3" t="s">
        <v>6641</v>
      </c>
      <c r="W174" s="3">
        <v>5</v>
      </c>
      <c r="X174" s="3" t="s">
        <v>6642</v>
      </c>
      <c r="Y174" s="3"/>
      <c r="Z174" s="3"/>
      <c r="AA174" s="3">
        <v>36</v>
      </c>
      <c r="AB174" s="6">
        <v>44724</v>
      </c>
      <c r="AC174" s="3" t="s">
        <v>120</v>
      </c>
      <c r="AD174" s="3">
        <v>0</v>
      </c>
      <c r="AE174" s="3">
        <v>16</v>
      </c>
      <c r="AF174" s="3">
        <v>3</v>
      </c>
      <c r="AG174" s="3" t="s">
        <v>4782</v>
      </c>
      <c r="AH174" s="3" t="s">
        <v>6643</v>
      </c>
      <c r="AI174" s="3">
        <v>0</v>
      </c>
      <c r="AJ174" s="3" t="s">
        <v>61</v>
      </c>
      <c r="AK174" s="3"/>
      <c r="AL174" s="7" t="s">
        <v>6644</v>
      </c>
      <c r="AM174" s="7" t="s">
        <v>6645</v>
      </c>
      <c r="AN174" s="3"/>
      <c r="AO174" s="3"/>
      <c r="AP174" s="3"/>
      <c r="AQ174" s="3"/>
      <c r="AR174" s="3"/>
      <c r="AS174" s="3"/>
      <c r="AT174" s="3"/>
      <c r="AU174" s="7" t="s">
        <v>6646</v>
      </c>
    </row>
    <row r="175" spans="1:47" ht="12.5" x14ac:dyDescent="0.25">
      <c r="A175" s="3" t="s">
        <v>46</v>
      </c>
      <c r="B175" s="21" t="str">
        <f>HYPERLINK("https://gerandofalcoes.my.salesforce.com/0014X00002VKCtF", "0014X00002VKCtF")</f>
        <v>0014X00002VKCtF</v>
      </c>
      <c r="C175" s="21" t="str">
        <f>HYPERLINK("https://gerandofalcoes.my.salesforce.com/0014X00002VKCtFQAX", "0014X00002VKCtFQAX")</f>
        <v>0014X00002VKCtFQAX</v>
      </c>
      <c r="D175" s="3" t="s">
        <v>6647</v>
      </c>
      <c r="E175" s="3" t="s">
        <v>6647</v>
      </c>
      <c r="F175" s="3" t="s">
        <v>6648</v>
      </c>
      <c r="G175" s="6"/>
      <c r="H175" s="3"/>
      <c r="I175" s="3" t="s">
        <v>6649</v>
      </c>
      <c r="J175" s="3" t="s">
        <v>6650</v>
      </c>
      <c r="K175" s="3" t="s">
        <v>6651</v>
      </c>
      <c r="L175" s="3" t="s">
        <v>195</v>
      </c>
      <c r="M175" s="3" t="s">
        <v>6652</v>
      </c>
      <c r="N175" s="3" t="s">
        <v>6653</v>
      </c>
      <c r="O175" s="3">
        <v>10</v>
      </c>
      <c r="P175" s="3" t="s">
        <v>6654</v>
      </c>
      <c r="Q175" s="3"/>
      <c r="R175" s="3" t="s">
        <v>6655</v>
      </c>
      <c r="S175" s="3" t="s">
        <v>5441</v>
      </c>
      <c r="T175" s="3"/>
      <c r="U175" s="3" t="s">
        <v>4081</v>
      </c>
      <c r="V175" s="3" t="s">
        <v>3800</v>
      </c>
      <c r="W175" s="3">
        <v>3</v>
      </c>
      <c r="X175" s="3" t="s">
        <v>6656</v>
      </c>
      <c r="Y175" s="3"/>
      <c r="Z175" s="3"/>
      <c r="AA175" s="3">
        <v>250</v>
      </c>
      <c r="AB175" s="6">
        <v>42425</v>
      </c>
      <c r="AC175" s="3" t="s">
        <v>62</v>
      </c>
      <c r="AD175" s="3">
        <v>12</v>
      </c>
      <c r="AE175" s="3">
        <v>4</v>
      </c>
      <c r="AF175" s="3">
        <v>2</v>
      </c>
      <c r="AG175" s="3" t="s">
        <v>4032</v>
      </c>
      <c r="AH175" s="3" t="s">
        <v>6657</v>
      </c>
      <c r="AI175" s="3">
        <v>100000</v>
      </c>
      <c r="AJ175" s="3" t="s">
        <v>120</v>
      </c>
      <c r="AK175" s="3"/>
      <c r="AL175" s="3"/>
      <c r="AM175" s="7" t="s">
        <v>6658</v>
      </c>
      <c r="AN175" s="7" t="s">
        <v>6659</v>
      </c>
      <c r="AO175" s="3"/>
      <c r="AP175" s="3"/>
      <c r="AQ175" s="3"/>
      <c r="AR175" s="7" t="s">
        <v>6660</v>
      </c>
      <c r="AS175" s="7" t="s">
        <v>6661</v>
      </c>
      <c r="AT175" s="7" t="s">
        <v>6662</v>
      </c>
      <c r="AU175" s="7" t="s">
        <v>6663</v>
      </c>
    </row>
    <row r="176" spans="1:47" ht="12.5" x14ac:dyDescent="0.25">
      <c r="A176" s="3" t="s">
        <v>46</v>
      </c>
      <c r="B176" s="21" t="str">
        <f>HYPERLINK("https://gerandofalcoes.my.salesforce.com/0014X00002VKCtG", "0014X00002VKCtG")</f>
        <v>0014X00002VKCtG</v>
      </c>
      <c r="C176" s="21" t="str">
        <f>HYPERLINK("https://gerandofalcoes.my.salesforce.com/0014X00002VKCtGQAX", "0014X00002VKCtGQAX")</f>
        <v>0014X00002VKCtGQAX</v>
      </c>
      <c r="D176" s="3" t="s">
        <v>6664</v>
      </c>
      <c r="E176" s="3" t="s">
        <v>6665</v>
      </c>
      <c r="F176" s="3"/>
      <c r="G176" s="6">
        <v>44763</v>
      </c>
      <c r="H176" s="3">
        <v>33</v>
      </c>
      <c r="I176" s="3" t="s">
        <v>6666</v>
      </c>
      <c r="J176" s="3" t="s">
        <v>6667</v>
      </c>
      <c r="K176" s="3" t="s">
        <v>6668</v>
      </c>
      <c r="L176" s="3" t="s">
        <v>195</v>
      </c>
      <c r="M176" s="3" t="s">
        <v>6669</v>
      </c>
      <c r="N176" s="3" t="s">
        <v>6239</v>
      </c>
      <c r="O176" s="3" t="s">
        <v>779</v>
      </c>
      <c r="P176" s="3" t="s">
        <v>6670</v>
      </c>
      <c r="Q176" s="3"/>
      <c r="R176" s="3" t="s">
        <v>6671</v>
      </c>
      <c r="S176" s="3" t="s">
        <v>6672</v>
      </c>
      <c r="T176" s="3"/>
      <c r="U176" s="3" t="s">
        <v>4017</v>
      </c>
      <c r="V176" s="3" t="s">
        <v>6673</v>
      </c>
      <c r="W176" s="3">
        <v>30</v>
      </c>
      <c r="X176" s="3" t="s">
        <v>6674</v>
      </c>
      <c r="Y176" s="3" t="s">
        <v>6675</v>
      </c>
      <c r="Z176" s="3"/>
      <c r="AA176" s="3">
        <v>20</v>
      </c>
      <c r="AB176" s="6">
        <v>44167</v>
      </c>
      <c r="AC176" s="3" t="s">
        <v>62</v>
      </c>
      <c r="AD176" s="3">
        <v>0</v>
      </c>
      <c r="AE176" s="3">
        <v>35</v>
      </c>
      <c r="AF176" s="3">
        <v>4</v>
      </c>
      <c r="AG176" s="3" t="s">
        <v>5173</v>
      </c>
      <c r="AH176" s="3">
        <v>0</v>
      </c>
      <c r="AI176" s="3">
        <v>2000</v>
      </c>
      <c r="AJ176" s="3" t="s">
        <v>62</v>
      </c>
      <c r="AK176" s="3"/>
      <c r="AL176" s="3"/>
      <c r="AM176" s="3"/>
      <c r="AN176" s="3"/>
      <c r="AO176" s="3"/>
      <c r="AP176" s="3"/>
      <c r="AQ176" s="3"/>
      <c r="AR176" s="7" t="s">
        <v>6676</v>
      </c>
      <c r="AS176" s="3"/>
      <c r="AT176" s="7" t="s">
        <v>6677</v>
      </c>
      <c r="AU176" s="7" t="s">
        <v>6678</v>
      </c>
    </row>
    <row r="177" spans="1:49" ht="12.5" x14ac:dyDescent="0.25">
      <c r="A177" s="3" t="s">
        <v>46</v>
      </c>
      <c r="B177" s="21" t="str">
        <f>HYPERLINK("https://gerandofalcoes.my.salesforce.com/0014X00002VKCtH", "0014X00002VKCtH")</f>
        <v>0014X00002VKCtH</v>
      </c>
      <c r="C177" s="21" t="str">
        <f>HYPERLINK("https://gerandofalcoes.my.salesforce.com/0014X00002VKCtHQAX", "0014X00002VKCtHQAX")</f>
        <v>0014X00002VKCtHQAX</v>
      </c>
      <c r="D177" s="3" t="s">
        <v>6679</v>
      </c>
      <c r="E177" s="3" t="s">
        <v>6680</v>
      </c>
      <c r="F177" s="3" t="s">
        <v>6681</v>
      </c>
      <c r="G177" s="6">
        <v>44763</v>
      </c>
      <c r="H177" s="3">
        <v>33</v>
      </c>
      <c r="I177" s="3" t="s">
        <v>6682</v>
      </c>
      <c r="J177" s="3" t="s">
        <v>6683</v>
      </c>
      <c r="K177" s="3" t="s">
        <v>623</v>
      </c>
      <c r="L177" s="3" t="s">
        <v>1676</v>
      </c>
      <c r="M177" s="3" t="s">
        <v>6684</v>
      </c>
      <c r="N177" s="3" t="s">
        <v>6685</v>
      </c>
      <c r="O177" s="3">
        <v>388</v>
      </c>
      <c r="P177" s="3" t="s">
        <v>6686</v>
      </c>
      <c r="Q177" s="3"/>
      <c r="R177" s="3" t="s">
        <v>6687</v>
      </c>
      <c r="S177" s="3"/>
      <c r="T177" s="3"/>
      <c r="U177" s="3" t="s">
        <v>4062</v>
      </c>
      <c r="V177" s="3" t="s">
        <v>4141</v>
      </c>
      <c r="W177" s="3">
        <v>4</v>
      </c>
      <c r="X177" s="3" t="s">
        <v>6688</v>
      </c>
      <c r="Y177" s="3" t="s">
        <v>6689</v>
      </c>
      <c r="Z177" s="3"/>
      <c r="AA177" s="3">
        <v>0</v>
      </c>
      <c r="AB177" s="6">
        <v>43799</v>
      </c>
      <c r="AC177" s="3" t="s">
        <v>62</v>
      </c>
      <c r="AD177" s="3">
        <v>0</v>
      </c>
      <c r="AE177" s="3">
        <v>12</v>
      </c>
      <c r="AF177" s="3">
        <v>3</v>
      </c>
      <c r="AG177" s="3" t="s">
        <v>4604</v>
      </c>
      <c r="AH177" s="3" t="s">
        <v>6690</v>
      </c>
      <c r="AI177" s="3">
        <v>3000</v>
      </c>
      <c r="AJ177" s="3" t="s">
        <v>120</v>
      </c>
      <c r="AK177" s="3"/>
      <c r="AL177" s="3"/>
      <c r="AM177" s="7" t="s">
        <v>6691</v>
      </c>
      <c r="AN177" s="7" t="s">
        <v>6692</v>
      </c>
      <c r="AO177" s="3"/>
      <c r="AP177" s="3"/>
      <c r="AQ177" s="7" t="s">
        <v>6693</v>
      </c>
      <c r="AR177" s="7" t="s">
        <v>6694</v>
      </c>
      <c r="AS177" s="7" t="s">
        <v>6695</v>
      </c>
      <c r="AT177" s="3"/>
      <c r="AU177" s="7" t="s">
        <v>6696</v>
      </c>
    </row>
    <row r="178" spans="1:49" ht="12.5" x14ac:dyDescent="0.25">
      <c r="A178" s="3" t="s">
        <v>46</v>
      </c>
      <c r="B178" s="21" t="str">
        <f>HYPERLINK("https://gerandofalcoes.my.salesforce.com/0014X00002VKCtI", "0014X00002VKCtI")</f>
        <v>0014X00002VKCtI</v>
      </c>
      <c r="C178" s="21" t="str">
        <f>HYPERLINK("https://gerandofalcoes.my.salesforce.com/0014X00002VKCtIQAX", "0014X00002VKCtIQAX")</f>
        <v>0014X00002VKCtIQAX</v>
      </c>
      <c r="D178" s="3" t="s">
        <v>6697</v>
      </c>
      <c r="E178" s="3" t="s">
        <v>6698</v>
      </c>
      <c r="F178" s="3" t="s">
        <v>6699</v>
      </c>
      <c r="G178" s="6">
        <v>44763</v>
      </c>
      <c r="H178" s="3">
        <v>33</v>
      </c>
      <c r="I178" s="3" t="s">
        <v>6700</v>
      </c>
      <c r="J178" s="3" t="s">
        <v>6701</v>
      </c>
      <c r="K178" s="3" t="s">
        <v>6702</v>
      </c>
      <c r="L178" s="3" t="s">
        <v>1002</v>
      </c>
      <c r="M178" s="3" t="s">
        <v>6703</v>
      </c>
      <c r="N178" s="3" t="s">
        <v>6704</v>
      </c>
      <c r="O178" s="3" t="s">
        <v>3929</v>
      </c>
      <c r="P178" s="3" t="s">
        <v>1848</v>
      </c>
      <c r="Q178" s="3"/>
      <c r="R178" s="3" t="s">
        <v>6705</v>
      </c>
      <c r="S178" s="3" t="s">
        <v>6706</v>
      </c>
      <c r="T178" s="3"/>
      <c r="U178" s="3" t="s">
        <v>4062</v>
      </c>
      <c r="V178" s="3" t="s">
        <v>6707</v>
      </c>
      <c r="W178" s="3">
        <v>8</v>
      </c>
      <c r="X178" s="3" t="s">
        <v>6708</v>
      </c>
      <c r="Y178" s="3"/>
      <c r="Z178" s="3"/>
      <c r="AA178" s="3">
        <v>0</v>
      </c>
      <c r="AB178" s="8">
        <v>41702</v>
      </c>
      <c r="AC178" s="3" t="s">
        <v>62</v>
      </c>
      <c r="AD178" s="3">
        <v>0</v>
      </c>
      <c r="AE178" s="3">
        <v>26</v>
      </c>
      <c r="AF178" s="3">
        <v>6</v>
      </c>
      <c r="AG178" s="3" t="s">
        <v>6709</v>
      </c>
      <c r="AH178" s="3" t="s">
        <v>6710</v>
      </c>
      <c r="AI178" s="3">
        <v>0</v>
      </c>
      <c r="AJ178" s="3" t="s">
        <v>62</v>
      </c>
      <c r="AK178" s="3"/>
      <c r="AL178" s="7" t="s">
        <v>6711</v>
      </c>
      <c r="AM178" s="7" t="s">
        <v>6712</v>
      </c>
      <c r="AN178" s="7" t="s">
        <v>6713</v>
      </c>
      <c r="AO178" s="7" t="s">
        <v>6714</v>
      </c>
      <c r="AP178" s="3"/>
      <c r="AQ178" s="3"/>
      <c r="AR178" s="7" t="s">
        <v>6715</v>
      </c>
      <c r="AS178" s="7" t="s">
        <v>6716</v>
      </c>
      <c r="AT178" s="7" t="s">
        <v>6717</v>
      </c>
      <c r="AU178" s="7" t="s">
        <v>6718</v>
      </c>
    </row>
    <row r="179" spans="1:49" ht="12.5" x14ac:dyDescent="0.25">
      <c r="A179" s="3" t="s">
        <v>46</v>
      </c>
      <c r="B179" s="21" t="str">
        <f>HYPERLINK("https://gerandofalcoes.my.salesforce.com/0014X00002VKCtJ", "0014X00002VKCtJ")</f>
        <v>0014X00002VKCtJ</v>
      </c>
      <c r="C179" s="21" t="str">
        <f>HYPERLINK("https://gerandofalcoes.my.salesforce.com/0014X00002VKCtJQAX", "0014X00002VKCtJQAX")</f>
        <v>0014X00002VKCtJQAX</v>
      </c>
      <c r="D179" s="3" t="s">
        <v>6719</v>
      </c>
      <c r="E179" s="3" t="s">
        <v>6720</v>
      </c>
      <c r="F179" s="3"/>
      <c r="G179" s="6">
        <v>44763</v>
      </c>
      <c r="H179" s="3">
        <v>33</v>
      </c>
      <c r="I179" s="3" t="s">
        <v>6721</v>
      </c>
      <c r="J179" s="3" t="s">
        <v>6722</v>
      </c>
      <c r="K179" s="3"/>
      <c r="L179" s="3" t="s">
        <v>195</v>
      </c>
      <c r="M179" s="3" t="s">
        <v>6723</v>
      </c>
      <c r="N179" s="3" t="s">
        <v>6724</v>
      </c>
      <c r="O179" s="3">
        <v>216</v>
      </c>
      <c r="P179" s="3" t="s">
        <v>6725</v>
      </c>
      <c r="Q179" s="3"/>
      <c r="R179" s="3" t="s">
        <v>6726</v>
      </c>
      <c r="S179" s="3"/>
      <c r="T179" s="3"/>
      <c r="U179" s="3"/>
      <c r="V179" s="3"/>
      <c r="W179" s="3">
        <v>4</v>
      </c>
      <c r="X179" s="3" t="s">
        <v>6727</v>
      </c>
      <c r="Y179" s="3" t="s">
        <v>6728</v>
      </c>
      <c r="Z179" s="3"/>
      <c r="AA179" s="3">
        <v>300</v>
      </c>
      <c r="AB179" s="8">
        <v>43925</v>
      </c>
      <c r="AC179" s="3" t="s">
        <v>120</v>
      </c>
      <c r="AD179" s="3"/>
      <c r="AE179" s="3">
        <v>10</v>
      </c>
      <c r="AF179" s="3">
        <v>0</v>
      </c>
      <c r="AG179" s="3"/>
      <c r="AH179" s="3"/>
      <c r="AI179" s="3"/>
      <c r="AJ179" s="3" t="s">
        <v>62</v>
      </c>
      <c r="AK179" s="3"/>
      <c r="AL179" s="3"/>
      <c r="AM179" s="7" t="s">
        <v>6729</v>
      </c>
      <c r="AN179" s="7" t="s">
        <v>6730</v>
      </c>
      <c r="AO179" s="3"/>
      <c r="AP179" s="3"/>
      <c r="AQ179" s="3"/>
      <c r="AR179" s="3"/>
      <c r="AS179" s="3"/>
      <c r="AT179" s="3"/>
      <c r="AU179" s="7" t="s">
        <v>6731</v>
      </c>
      <c r="AV179" s="3"/>
      <c r="AW179" s="3"/>
    </row>
    <row r="180" spans="1:49" ht="12.5" x14ac:dyDescent="0.25">
      <c r="A180" s="3" t="s">
        <v>46</v>
      </c>
      <c r="B180" s="21" t="str">
        <f>HYPERLINK("https://gerandofalcoes.my.salesforce.com/0014X00002VKCtK", "0014X00002VKCtK")</f>
        <v>0014X00002VKCtK</v>
      </c>
      <c r="C180" s="21" t="str">
        <f>HYPERLINK("https://gerandofalcoes.my.salesforce.com/0014X00002VKCtKQAX", "0014X00002VKCtKQAX")</f>
        <v>0014X00002VKCtKQAX</v>
      </c>
      <c r="D180" s="3" t="s">
        <v>6732</v>
      </c>
      <c r="E180" s="3" t="s">
        <v>6733</v>
      </c>
      <c r="F180" s="3"/>
      <c r="G180" s="8">
        <v>44763</v>
      </c>
      <c r="H180" s="3">
        <v>33</v>
      </c>
      <c r="I180" s="3" t="s">
        <v>6734</v>
      </c>
      <c r="J180" s="3" t="s">
        <v>6735</v>
      </c>
      <c r="K180" s="3" t="s">
        <v>6736</v>
      </c>
      <c r="L180" s="3" t="s">
        <v>195</v>
      </c>
      <c r="M180" s="3" t="s">
        <v>6737</v>
      </c>
      <c r="N180" s="3" t="s">
        <v>1131</v>
      </c>
      <c r="O180" s="3">
        <v>26</v>
      </c>
      <c r="P180" s="3" t="s">
        <v>6725</v>
      </c>
      <c r="Q180" s="3" t="s">
        <v>6738</v>
      </c>
      <c r="R180" s="3" t="s">
        <v>6739</v>
      </c>
      <c r="S180" s="3" t="s">
        <v>562</v>
      </c>
      <c r="T180" s="3"/>
      <c r="U180" s="3" t="s">
        <v>4497</v>
      </c>
      <c r="V180" s="3" t="s">
        <v>5872</v>
      </c>
      <c r="W180" s="3">
        <v>1</v>
      </c>
      <c r="X180" s="3" t="s">
        <v>6740</v>
      </c>
      <c r="Y180" s="3" t="s">
        <v>6741</v>
      </c>
      <c r="Z180" s="3"/>
      <c r="AA180" s="3">
        <v>90</v>
      </c>
      <c r="AB180" s="6">
        <v>41985</v>
      </c>
      <c r="AC180" s="3" t="s">
        <v>120</v>
      </c>
      <c r="AD180" s="3">
        <v>8</v>
      </c>
      <c r="AE180" s="3">
        <v>4</v>
      </c>
      <c r="AF180" s="3">
        <v>2</v>
      </c>
      <c r="AG180" s="3" t="s">
        <v>4156</v>
      </c>
      <c r="AH180" s="3" t="s">
        <v>6742</v>
      </c>
      <c r="AI180" s="3">
        <v>3000</v>
      </c>
      <c r="AJ180" s="3" t="s">
        <v>120</v>
      </c>
      <c r="AK180" s="3"/>
      <c r="AL180" s="7" t="s">
        <v>6743</v>
      </c>
      <c r="AM180" s="7" t="s">
        <v>6743</v>
      </c>
      <c r="AN180" s="3"/>
      <c r="AO180" s="3"/>
      <c r="AP180" s="3"/>
      <c r="AQ180" s="3"/>
      <c r="AR180" s="3"/>
      <c r="AS180" s="3"/>
      <c r="AT180" s="3"/>
      <c r="AU180" s="3"/>
    </row>
    <row r="181" spans="1:49" ht="12.5" x14ac:dyDescent="0.25">
      <c r="A181" s="3" t="s">
        <v>46</v>
      </c>
      <c r="B181" s="21" t="str">
        <f>HYPERLINK("https://gerandofalcoes.my.salesforce.com/0014X00002VKCtM", "0014X00002VKCtM")</f>
        <v>0014X00002VKCtM</v>
      </c>
      <c r="C181" s="21" t="str">
        <f>HYPERLINK("https://gerandofalcoes.my.salesforce.com/0014X00002VKCtMQAX", "0014X00002VKCtMQAX")</f>
        <v>0014X00002VKCtMQAX</v>
      </c>
      <c r="D181" s="3" t="s">
        <v>6744</v>
      </c>
      <c r="E181" s="3" t="s">
        <v>6745</v>
      </c>
      <c r="F181" s="3"/>
      <c r="G181" s="6">
        <v>44763</v>
      </c>
      <c r="H181" s="3">
        <v>33</v>
      </c>
      <c r="I181" s="3" t="s">
        <v>6746</v>
      </c>
      <c r="J181" s="3" t="s">
        <v>6747</v>
      </c>
      <c r="K181" s="3" t="s">
        <v>6748</v>
      </c>
      <c r="L181" s="3" t="s">
        <v>468</v>
      </c>
      <c r="M181" s="3" t="s">
        <v>6749</v>
      </c>
      <c r="N181" s="3" t="s">
        <v>6750</v>
      </c>
      <c r="O181" s="3">
        <v>118</v>
      </c>
      <c r="P181" s="3" t="s">
        <v>470</v>
      </c>
      <c r="Q181" s="3" t="s">
        <v>6751</v>
      </c>
      <c r="R181" s="3" t="s">
        <v>6752</v>
      </c>
      <c r="S181" s="3" t="s">
        <v>6753</v>
      </c>
      <c r="T181" s="3"/>
      <c r="U181" s="3" t="s">
        <v>6754</v>
      </c>
      <c r="V181" s="3" t="s">
        <v>4753</v>
      </c>
      <c r="W181" s="3">
        <v>3</v>
      </c>
      <c r="X181" s="3" t="s">
        <v>6755</v>
      </c>
      <c r="Y181" s="3"/>
      <c r="Z181" s="3"/>
      <c r="AA181" s="3">
        <v>150</v>
      </c>
      <c r="AB181" s="8">
        <v>43750</v>
      </c>
      <c r="AC181" s="3" t="s">
        <v>120</v>
      </c>
      <c r="AD181" s="3">
        <v>0</v>
      </c>
      <c r="AE181" s="3">
        <v>5</v>
      </c>
      <c r="AF181" s="3">
        <v>4</v>
      </c>
      <c r="AG181" s="3" t="s">
        <v>6756</v>
      </c>
      <c r="AH181" s="3">
        <v>0</v>
      </c>
      <c r="AI181" s="3">
        <v>500</v>
      </c>
      <c r="AJ181" s="3" t="s">
        <v>61</v>
      </c>
      <c r="AK181" s="3"/>
      <c r="AL181" s="3"/>
      <c r="AM181" s="7" t="s">
        <v>6757</v>
      </c>
      <c r="AN181" s="3"/>
      <c r="AO181" s="3"/>
      <c r="AP181" s="3"/>
      <c r="AQ181" s="3"/>
      <c r="AR181" s="3"/>
      <c r="AS181" s="3"/>
      <c r="AT181" s="3"/>
      <c r="AU181" s="7" t="s">
        <v>6758</v>
      </c>
    </row>
    <row r="182" spans="1:49" ht="12.5" x14ac:dyDescent="0.25">
      <c r="A182" s="3" t="s">
        <v>46</v>
      </c>
      <c r="B182" s="21" t="str">
        <f>HYPERLINK("https://gerandofalcoes.my.salesforce.com/0014X00002VKCtN", "0014X00002VKCtN")</f>
        <v>0014X00002VKCtN</v>
      </c>
      <c r="C182" s="21" t="str">
        <f>HYPERLINK("https://gerandofalcoes.my.salesforce.com/0014X00002VKCtNQAX", "0014X00002VKCtNQAX")</f>
        <v>0014X00002VKCtNQAX</v>
      </c>
      <c r="D182" s="3" t="s">
        <v>6759</v>
      </c>
      <c r="E182" s="3" t="s">
        <v>6760</v>
      </c>
      <c r="F182" s="3"/>
      <c r="G182" s="6"/>
      <c r="H182" s="3"/>
      <c r="I182" s="3" t="s">
        <v>6761</v>
      </c>
      <c r="J182" s="3" t="s">
        <v>6762</v>
      </c>
      <c r="K182" s="3" t="s">
        <v>6763</v>
      </c>
      <c r="L182" s="3" t="s">
        <v>1676</v>
      </c>
      <c r="M182" s="3" t="s">
        <v>6764</v>
      </c>
      <c r="N182" s="3" t="s">
        <v>6765</v>
      </c>
      <c r="O182" s="3">
        <v>44</v>
      </c>
      <c r="P182" s="3" t="s">
        <v>2217</v>
      </c>
      <c r="Q182" s="3" t="s">
        <v>6766</v>
      </c>
      <c r="R182" s="3" t="s">
        <v>6767</v>
      </c>
      <c r="S182" s="3" t="s">
        <v>6768</v>
      </c>
      <c r="T182" s="3"/>
      <c r="U182" s="3" t="s">
        <v>4081</v>
      </c>
      <c r="V182" s="3" t="s">
        <v>3800</v>
      </c>
      <c r="W182" s="3">
        <v>1</v>
      </c>
      <c r="X182" s="3" t="s">
        <v>6769</v>
      </c>
      <c r="Y182" s="3"/>
      <c r="Z182" s="3"/>
      <c r="AA182" s="3">
        <v>80</v>
      </c>
      <c r="AB182" s="6">
        <v>43915</v>
      </c>
      <c r="AC182" s="3" t="s">
        <v>120</v>
      </c>
      <c r="AD182" s="3">
        <v>0</v>
      </c>
      <c r="AE182" s="3">
        <v>7</v>
      </c>
      <c r="AF182" s="3">
        <v>3</v>
      </c>
      <c r="AG182" s="3" t="s">
        <v>4288</v>
      </c>
      <c r="AH182" s="3" t="s">
        <v>6770</v>
      </c>
      <c r="AI182" s="3">
        <v>1000</v>
      </c>
      <c r="AJ182" s="3" t="s">
        <v>120</v>
      </c>
      <c r="AK182" s="3"/>
      <c r="AL182" s="3"/>
      <c r="AM182" s="7" t="s">
        <v>6771</v>
      </c>
      <c r="AN182" s="7" t="s">
        <v>6772</v>
      </c>
      <c r="AO182" s="3"/>
      <c r="AP182" s="3"/>
      <c r="AQ182" s="7" t="s">
        <v>6773</v>
      </c>
      <c r="AR182" s="3"/>
      <c r="AS182" s="3"/>
      <c r="AT182" s="3"/>
      <c r="AU182" s="7" t="s">
        <v>6774</v>
      </c>
    </row>
    <row r="183" spans="1:49" ht="12.5" x14ac:dyDescent="0.25">
      <c r="A183" s="3" t="s">
        <v>46</v>
      </c>
      <c r="B183" s="21" t="str">
        <f>HYPERLINK("https://gerandofalcoes.my.salesforce.com/0014X00002VKCuD", "0014X00002VKCuD")</f>
        <v>0014X00002VKCuD</v>
      </c>
      <c r="C183" s="21" t="str">
        <f>HYPERLINK("https://gerandofalcoes.my.salesforce.com/0014X00002VKCuDQAX", "0014X00002VKCuDQAX")</f>
        <v>0014X00002VKCuDQAX</v>
      </c>
      <c r="D183" s="3" t="s">
        <v>6775</v>
      </c>
      <c r="E183" s="3" t="s">
        <v>6776</v>
      </c>
      <c r="F183" s="3" t="s">
        <v>6777</v>
      </c>
      <c r="G183" s="6">
        <v>44763</v>
      </c>
      <c r="H183" s="3">
        <v>33</v>
      </c>
      <c r="I183" s="3" t="s">
        <v>6778</v>
      </c>
      <c r="J183" s="3" t="s">
        <v>6779</v>
      </c>
      <c r="K183" s="3" t="s">
        <v>6780</v>
      </c>
      <c r="L183" s="3" t="s">
        <v>6781</v>
      </c>
      <c r="M183" s="3" t="s">
        <v>6782</v>
      </c>
      <c r="N183" s="3" t="s">
        <v>6783</v>
      </c>
      <c r="O183" s="3">
        <v>1139</v>
      </c>
      <c r="P183" s="3" t="s">
        <v>6784</v>
      </c>
      <c r="Q183" s="3" t="s">
        <v>6785</v>
      </c>
      <c r="R183" s="3" t="s">
        <v>6786</v>
      </c>
      <c r="S183" s="3"/>
      <c r="T183" s="3"/>
      <c r="U183" s="3" t="s">
        <v>6357</v>
      </c>
      <c r="V183" s="3" t="s">
        <v>3890</v>
      </c>
      <c r="W183" s="3">
        <v>0</v>
      </c>
      <c r="X183" s="3" t="s">
        <v>6787</v>
      </c>
      <c r="Y183" s="3"/>
      <c r="Z183" s="3"/>
      <c r="AA183" s="3">
        <v>0</v>
      </c>
      <c r="AB183" s="8">
        <v>44708</v>
      </c>
      <c r="AC183" s="3" t="s">
        <v>120</v>
      </c>
      <c r="AD183" s="3">
        <v>0</v>
      </c>
      <c r="AE183" s="3">
        <v>0</v>
      </c>
      <c r="AF183" s="3">
        <v>2</v>
      </c>
      <c r="AG183" s="3" t="s">
        <v>3833</v>
      </c>
      <c r="AH183" s="3" t="s">
        <v>6788</v>
      </c>
      <c r="AI183" s="3">
        <v>0</v>
      </c>
      <c r="AJ183" s="3" t="s">
        <v>120</v>
      </c>
      <c r="AK183" s="3"/>
      <c r="AL183" s="7" t="s">
        <v>6789</v>
      </c>
      <c r="AM183" s="3"/>
      <c r="AN183" s="3" t="s">
        <v>6790</v>
      </c>
      <c r="AO183" s="3"/>
      <c r="AP183" s="3"/>
      <c r="AQ183" s="3"/>
      <c r="AR183" s="3"/>
      <c r="AS183" s="3"/>
      <c r="AT183" s="3"/>
      <c r="AU183" s="3"/>
    </row>
    <row r="184" spans="1:49" ht="12.5" x14ac:dyDescent="0.25">
      <c r="A184" s="3" t="s">
        <v>46</v>
      </c>
      <c r="B184" s="21" t="str">
        <f>HYPERLINK("https://gerandofalcoes.my.salesforce.com/0014X00002VKCuE", "0014X00002VKCuE")</f>
        <v>0014X00002VKCuE</v>
      </c>
      <c r="C184" s="21" t="str">
        <f>HYPERLINK("https://gerandofalcoes.my.salesforce.com/0014X00002VKCuEQAX", "0014X00002VKCuEQAX")</f>
        <v>0014X00002VKCuEQAX</v>
      </c>
      <c r="D184" s="3" t="s">
        <v>6791</v>
      </c>
      <c r="E184" s="3" t="s">
        <v>6792</v>
      </c>
      <c r="F184" s="3" t="s">
        <v>6793</v>
      </c>
      <c r="G184" s="6"/>
      <c r="H184" s="3"/>
      <c r="I184" s="3" t="s">
        <v>6791</v>
      </c>
      <c r="J184" s="3" t="s">
        <v>6794</v>
      </c>
      <c r="K184" s="3" t="s">
        <v>6795</v>
      </c>
      <c r="L184" s="3" t="s">
        <v>557</v>
      </c>
      <c r="M184" s="3" t="s">
        <v>6796</v>
      </c>
      <c r="N184" s="3" t="s">
        <v>6797</v>
      </c>
      <c r="O184" s="3">
        <v>1916</v>
      </c>
      <c r="P184" s="3" t="s">
        <v>6798</v>
      </c>
      <c r="Q184" s="3" t="s">
        <v>1539</v>
      </c>
      <c r="R184" s="3" t="s">
        <v>6799</v>
      </c>
      <c r="S184" s="3" t="s">
        <v>6800</v>
      </c>
      <c r="T184" s="3"/>
      <c r="U184" s="3" t="s">
        <v>6801</v>
      </c>
      <c r="V184" s="3" t="s">
        <v>6802</v>
      </c>
      <c r="W184" s="3">
        <v>4</v>
      </c>
      <c r="X184" s="3" t="s">
        <v>6803</v>
      </c>
      <c r="Y184" s="3" t="s">
        <v>6804</v>
      </c>
      <c r="Z184" s="3"/>
      <c r="AA184" s="3">
        <v>450</v>
      </c>
      <c r="AB184" s="6">
        <v>40806</v>
      </c>
      <c r="AC184" s="3" t="s">
        <v>62</v>
      </c>
      <c r="AD184" s="3">
        <v>5</v>
      </c>
      <c r="AE184" s="3">
        <v>11</v>
      </c>
      <c r="AF184" s="3">
        <v>2</v>
      </c>
      <c r="AG184" s="3" t="s">
        <v>6805</v>
      </c>
      <c r="AH184" s="3">
        <v>0</v>
      </c>
      <c r="AI184" s="3">
        <v>90000</v>
      </c>
      <c r="AJ184" s="3" t="s">
        <v>120</v>
      </c>
      <c r="AK184" s="3"/>
      <c r="AL184" s="7" t="s">
        <v>6806</v>
      </c>
      <c r="AM184" s="7" t="s">
        <v>6807</v>
      </c>
      <c r="AN184" s="7" t="s">
        <v>6808</v>
      </c>
      <c r="AO184" s="7" t="s">
        <v>6809</v>
      </c>
      <c r="AP184" s="3"/>
      <c r="AQ184" s="7" t="s">
        <v>6810</v>
      </c>
      <c r="AR184" s="7" t="s">
        <v>6811</v>
      </c>
      <c r="AS184" s="7" t="s">
        <v>6812</v>
      </c>
      <c r="AT184" s="3"/>
      <c r="AU184" s="7" t="s">
        <v>6813</v>
      </c>
      <c r="AV184" s="3"/>
      <c r="AW184" s="3"/>
    </row>
    <row r="185" spans="1:49" ht="12.5" x14ac:dyDescent="0.25">
      <c r="A185" s="3" t="s">
        <v>46</v>
      </c>
      <c r="B185" s="21" t="str">
        <f>HYPERLINK("https://gerandofalcoes.my.salesforce.com/0014X00002VKCuH", "0014X00002VKCuH")</f>
        <v>0014X00002VKCuH</v>
      </c>
      <c r="C185" s="21" t="str">
        <f>HYPERLINK("https://gerandofalcoes.my.salesforce.com/0014X00002VKCuHQAX", "0014X00002VKCuHQAX")</f>
        <v>0014X00002VKCuHQAX</v>
      </c>
      <c r="D185" s="3" t="s">
        <v>6814</v>
      </c>
      <c r="E185" s="3" t="s">
        <v>6815</v>
      </c>
      <c r="F185" s="3"/>
      <c r="G185" s="6">
        <v>44763</v>
      </c>
      <c r="H185" s="3">
        <v>33</v>
      </c>
      <c r="I185" s="3" t="s">
        <v>6816</v>
      </c>
      <c r="J185" s="3" t="s">
        <v>6817</v>
      </c>
      <c r="K185" s="3" t="s">
        <v>6818</v>
      </c>
      <c r="L185" s="3" t="s">
        <v>101</v>
      </c>
      <c r="M185" s="3" t="s">
        <v>6819</v>
      </c>
      <c r="N185" s="3" t="s">
        <v>6820</v>
      </c>
      <c r="O185" s="3">
        <v>0</v>
      </c>
      <c r="P185" s="3" t="s">
        <v>891</v>
      </c>
      <c r="Q185" s="3">
        <v>0</v>
      </c>
      <c r="R185" s="3" t="s">
        <v>6821</v>
      </c>
      <c r="S185" s="3" t="s">
        <v>120</v>
      </c>
      <c r="T185" s="3"/>
      <c r="U185" s="3" t="s">
        <v>5108</v>
      </c>
      <c r="V185" s="3" t="s">
        <v>3800</v>
      </c>
      <c r="W185" s="3">
        <v>1</v>
      </c>
      <c r="X185" s="3" t="s">
        <v>6822</v>
      </c>
      <c r="Y185" s="3" t="s">
        <v>6823</v>
      </c>
      <c r="Z185" s="3"/>
      <c r="AA185" s="3">
        <v>150</v>
      </c>
      <c r="AB185" s="6">
        <v>44275</v>
      </c>
      <c r="AC185" s="3" t="s">
        <v>120</v>
      </c>
      <c r="AD185" s="3">
        <v>0</v>
      </c>
      <c r="AE185" s="3">
        <v>15</v>
      </c>
      <c r="AF185" s="3">
        <v>3</v>
      </c>
      <c r="AG185" s="3" t="s">
        <v>4288</v>
      </c>
      <c r="AH185" s="3" t="s">
        <v>6824</v>
      </c>
      <c r="AI185" s="3">
        <v>25000</v>
      </c>
      <c r="AJ185" s="3" t="s">
        <v>120</v>
      </c>
      <c r="AK185" s="3"/>
      <c r="AL185" s="7" t="s">
        <v>5296</v>
      </c>
      <c r="AM185" s="7" t="s">
        <v>6825</v>
      </c>
      <c r="AN185" s="7" t="s">
        <v>6826</v>
      </c>
      <c r="AO185" s="3"/>
      <c r="AP185" s="3"/>
      <c r="AQ185" s="3"/>
      <c r="AR185" s="3"/>
      <c r="AS185" s="3"/>
      <c r="AT185" s="3"/>
      <c r="AU185" s="3"/>
    </row>
    <row r="186" spans="1:49" ht="12.5" x14ac:dyDescent="0.25">
      <c r="A186" s="3" t="s">
        <v>46</v>
      </c>
      <c r="B186" s="21" t="str">
        <f>HYPERLINK("https://gerandofalcoes.my.salesforce.com/0014X00002VKCuI", "0014X00002VKCuI")</f>
        <v>0014X00002VKCuI</v>
      </c>
      <c r="C186" s="21" t="str">
        <f>HYPERLINK("https://gerandofalcoes.my.salesforce.com/0014X00002VKCuIQAX", "0014X00002VKCuIQAX")</f>
        <v>0014X00002VKCuIQAX</v>
      </c>
      <c r="D186" s="3" t="s">
        <v>6827</v>
      </c>
      <c r="E186" s="3" t="s">
        <v>6828</v>
      </c>
      <c r="F186" s="3" t="s">
        <v>6829</v>
      </c>
      <c r="G186" s="8">
        <v>44763</v>
      </c>
      <c r="H186" s="3">
        <v>33</v>
      </c>
      <c r="I186" s="3" t="s">
        <v>6830</v>
      </c>
      <c r="J186" s="3" t="s">
        <v>6831</v>
      </c>
      <c r="K186" s="3" t="s">
        <v>6832</v>
      </c>
      <c r="L186" s="3" t="s">
        <v>101</v>
      </c>
      <c r="M186" s="3" t="s">
        <v>6833</v>
      </c>
      <c r="N186" s="3" t="s">
        <v>6834</v>
      </c>
      <c r="O186" s="3">
        <v>177</v>
      </c>
      <c r="P186" s="3" t="s">
        <v>128</v>
      </c>
      <c r="Q186" s="3"/>
      <c r="R186" s="3" t="s">
        <v>6835</v>
      </c>
      <c r="S186" s="3"/>
      <c r="T186" s="3"/>
      <c r="U186" s="3" t="s">
        <v>4062</v>
      </c>
      <c r="V186" s="3" t="s">
        <v>4945</v>
      </c>
      <c r="W186" s="3">
        <v>3</v>
      </c>
      <c r="X186" s="3" t="s">
        <v>6836</v>
      </c>
      <c r="Y186" s="3" t="s">
        <v>6837</v>
      </c>
      <c r="Z186" s="3"/>
      <c r="AA186" s="3">
        <v>100</v>
      </c>
      <c r="AB186" s="6">
        <v>40400</v>
      </c>
      <c r="AC186" s="3" t="s">
        <v>62</v>
      </c>
      <c r="AD186" s="3">
        <v>0</v>
      </c>
      <c r="AE186" s="3">
        <v>20</v>
      </c>
      <c r="AF186" s="3">
        <v>2</v>
      </c>
      <c r="AG186" s="3" t="s">
        <v>4032</v>
      </c>
      <c r="AH186" s="3">
        <v>0</v>
      </c>
      <c r="AI186" s="3">
        <v>10000</v>
      </c>
      <c r="AJ186" s="3" t="s">
        <v>120</v>
      </c>
      <c r="AK186" s="3"/>
      <c r="AL186" s="7" t="s">
        <v>6838</v>
      </c>
      <c r="AM186" s="3"/>
      <c r="AN186" s="3"/>
      <c r="AO186" s="3"/>
      <c r="AP186" s="3"/>
      <c r="AQ186" s="3"/>
      <c r="AR186" s="3"/>
      <c r="AS186" s="3"/>
      <c r="AT186" s="3"/>
      <c r="AU186" s="7" t="s">
        <v>6839</v>
      </c>
    </row>
    <row r="187" spans="1:49" ht="12.5" x14ac:dyDescent="0.25">
      <c r="A187" s="3" t="s">
        <v>46</v>
      </c>
      <c r="B187" s="21" t="str">
        <f>HYPERLINK("https://gerandofalcoes.my.salesforce.com/0014X00002VKCuJ", "0014X00002VKCuJ")</f>
        <v>0014X00002VKCuJ</v>
      </c>
      <c r="C187" s="21" t="str">
        <f>HYPERLINK("https://gerandofalcoes.my.salesforce.com/0014X00002VKCuJQAX", "0014X00002VKCuJQAX")</f>
        <v>0014X00002VKCuJQAX</v>
      </c>
      <c r="D187" s="3" t="s">
        <v>6840</v>
      </c>
      <c r="E187" s="3" t="s">
        <v>6841</v>
      </c>
      <c r="F187" s="3" t="s">
        <v>6842</v>
      </c>
      <c r="G187" s="6">
        <v>44763</v>
      </c>
      <c r="H187" s="3">
        <v>33</v>
      </c>
      <c r="I187" s="3" t="s">
        <v>6843</v>
      </c>
      <c r="J187" s="3" t="s">
        <v>6844</v>
      </c>
      <c r="K187" s="3" t="s">
        <v>6845</v>
      </c>
      <c r="L187" s="3" t="s">
        <v>101</v>
      </c>
      <c r="M187" s="3" t="s">
        <v>231</v>
      </c>
      <c r="N187" s="3" t="s">
        <v>6846</v>
      </c>
      <c r="O187" s="3">
        <v>56</v>
      </c>
      <c r="P187" s="3" t="s">
        <v>128</v>
      </c>
      <c r="Q187" s="3" t="s">
        <v>6847</v>
      </c>
      <c r="R187" s="3" t="s">
        <v>6848</v>
      </c>
      <c r="S187" s="3" t="s">
        <v>6849</v>
      </c>
      <c r="T187" s="3"/>
      <c r="U187" s="3" t="s">
        <v>3872</v>
      </c>
      <c r="V187" s="3" t="s">
        <v>4437</v>
      </c>
      <c r="W187" s="3">
        <v>1</v>
      </c>
      <c r="X187" s="3" t="s">
        <v>6850</v>
      </c>
      <c r="Y187" s="3"/>
      <c r="Z187" s="3"/>
      <c r="AA187" s="3">
        <v>130</v>
      </c>
      <c r="AB187" s="6">
        <v>44292</v>
      </c>
      <c r="AC187" s="3" t="s">
        <v>62</v>
      </c>
      <c r="AD187" s="3">
        <v>0</v>
      </c>
      <c r="AE187" s="3">
        <v>12</v>
      </c>
      <c r="AF187" s="3">
        <v>3</v>
      </c>
      <c r="AG187" s="3" t="s">
        <v>6851</v>
      </c>
      <c r="AH187" s="3" t="s">
        <v>6852</v>
      </c>
      <c r="AI187" s="3">
        <v>3000</v>
      </c>
      <c r="AJ187" s="3" t="s">
        <v>61</v>
      </c>
      <c r="AK187" s="3"/>
      <c r="AL187" s="3"/>
      <c r="AM187" s="7" t="s">
        <v>6853</v>
      </c>
      <c r="AN187" s="7" t="s">
        <v>6854</v>
      </c>
      <c r="AO187" s="3"/>
      <c r="AP187" s="3"/>
      <c r="AQ187" s="3"/>
      <c r="AR187" s="7" t="s">
        <v>6855</v>
      </c>
      <c r="AS187" s="7" t="s">
        <v>6856</v>
      </c>
      <c r="AT187" s="3"/>
      <c r="AU187" s="7" t="s">
        <v>6857</v>
      </c>
      <c r="AV187" s="3"/>
      <c r="AW187" s="3"/>
    </row>
    <row r="188" spans="1:49" ht="12.5" x14ac:dyDescent="0.25">
      <c r="A188" s="3" t="s">
        <v>46</v>
      </c>
      <c r="B188" s="21" t="str">
        <f>HYPERLINK("https://gerandofalcoes.my.salesforce.com/0014X00002VKCuK", "0014X00002VKCuK")</f>
        <v>0014X00002VKCuK</v>
      </c>
      <c r="C188" s="21" t="str">
        <f>HYPERLINK("https://gerandofalcoes.my.salesforce.com/0014X00002VKCuKQAX", "0014X00002VKCuKQAX")</f>
        <v>0014X00002VKCuKQAX</v>
      </c>
      <c r="D188" s="3" t="s">
        <v>6858</v>
      </c>
      <c r="E188" s="3" t="s">
        <v>6859</v>
      </c>
      <c r="F188" s="3">
        <v>39976495000124</v>
      </c>
      <c r="G188" s="6">
        <v>44763</v>
      </c>
      <c r="H188" s="3">
        <v>33</v>
      </c>
      <c r="I188" s="3" t="s">
        <v>6860</v>
      </c>
      <c r="J188" s="3" t="s">
        <v>6861</v>
      </c>
      <c r="K188" s="3">
        <v>11975911225</v>
      </c>
      <c r="L188" s="3" t="s">
        <v>101</v>
      </c>
      <c r="M188" s="3" t="s">
        <v>6862</v>
      </c>
      <c r="N188" s="3" t="s">
        <v>6863</v>
      </c>
      <c r="O188" s="3">
        <v>820</v>
      </c>
      <c r="P188" s="3" t="s">
        <v>128</v>
      </c>
      <c r="Q188" s="3" t="s">
        <v>6864</v>
      </c>
      <c r="R188" s="3">
        <v>2411000</v>
      </c>
      <c r="S188" s="3"/>
      <c r="T188" s="3"/>
      <c r="U188" s="3"/>
      <c r="V188" s="3"/>
      <c r="W188" s="3">
        <v>18</v>
      </c>
      <c r="X188" s="3" t="s">
        <v>6865</v>
      </c>
      <c r="Y188" s="3"/>
      <c r="Z188" s="3"/>
      <c r="AA188" s="3">
        <v>300</v>
      </c>
      <c r="AB188" s="6">
        <v>43719</v>
      </c>
      <c r="AC188" s="3" t="s">
        <v>62</v>
      </c>
      <c r="AD188" s="3">
        <v>5</v>
      </c>
      <c r="AE188" s="3">
        <v>10</v>
      </c>
      <c r="AF188" s="3">
        <v>5</v>
      </c>
      <c r="AG188" s="3"/>
      <c r="AH188" s="3"/>
      <c r="AI188" s="3">
        <v>5000</v>
      </c>
      <c r="AJ188" s="3" t="s">
        <v>62</v>
      </c>
      <c r="AK188" s="3"/>
      <c r="AL188" s="3"/>
      <c r="AM188" s="7" t="s">
        <v>6866</v>
      </c>
      <c r="AN188" s="3"/>
      <c r="AO188" s="3"/>
      <c r="AP188" s="3"/>
      <c r="AQ188" s="3"/>
      <c r="AR188" s="7" t="s">
        <v>6867</v>
      </c>
      <c r="AS188" s="7" t="s">
        <v>6868</v>
      </c>
      <c r="AT188" s="7" t="s">
        <v>6869</v>
      </c>
      <c r="AU188" s="7" t="s">
        <v>6870</v>
      </c>
      <c r="AV188" s="3"/>
      <c r="AW188" s="3"/>
    </row>
    <row r="189" spans="1:49" ht="12.5" x14ac:dyDescent="0.25">
      <c r="A189" s="3" t="s">
        <v>46</v>
      </c>
      <c r="B189" s="21" t="str">
        <f>HYPERLINK("https://gerandofalcoes.my.salesforce.com/0014X00002VKCuL", "0014X00002VKCuL")</f>
        <v>0014X00002VKCuL</v>
      </c>
      <c r="C189" s="21" t="str">
        <f>HYPERLINK("https://gerandofalcoes.my.salesforce.com/0014X00002VKCuLQAX", "0014X00002VKCuLQAX")</f>
        <v>0014X00002VKCuLQAX</v>
      </c>
      <c r="D189" s="3" t="s">
        <v>6871</v>
      </c>
      <c r="E189" s="3" t="s">
        <v>6872</v>
      </c>
      <c r="F189" s="3">
        <v>22223343000158</v>
      </c>
      <c r="G189" s="6">
        <v>44763</v>
      </c>
      <c r="H189" s="3">
        <v>33</v>
      </c>
      <c r="I189" s="3" t="s">
        <v>6871</v>
      </c>
      <c r="J189" s="3" t="s">
        <v>6873</v>
      </c>
      <c r="K189" s="3">
        <v>11930030803</v>
      </c>
      <c r="L189" s="3" t="s">
        <v>101</v>
      </c>
      <c r="M189" s="3" t="s">
        <v>6874</v>
      </c>
      <c r="N189" s="3" t="s">
        <v>6875</v>
      </c>
      <c r="O189" s="3">
        <v>479</v>
      </c>
      <c r="P189" s="3" t="s">
        <v>128</v>
      </c>
      <c r="Q189" s="3"/>
      <c r="R189" s="3" t="s">
        <v>6876</v>
      </c>
      <c r="S189" s="3"/>
      <c r="T189" s="3"/>
      <c r="U189" s="3"/>
      <c r="V189" s="3"/>
      <c r="W189" s="3">
        <v>10</v>
      </c>
      <c r="X189" s="3" t="s">
        <v>6877</v>
      </c>
      <c r="Y189" s="3" t="s">
        <v>6878</v>
      </c>
      <c r="Z189" s="3"/>
      <c r="AA189" s="3">
        <v>1000</v>
      </c>
      <c r="AB189" s="6">
        <v>42094</v>
      </c>
      <c r="AC189" s="3" t="s">
        <v>62</v>
      </c>
      <c r="AD189" s="3"/>
      <c r="AE189" s="3">
        <v>50</v>
      </c>
      <c r="AF189" s="3">
        <v>2</v>
      </c>
      <c r="AG189" s="3"/>
      <c r="AH189" s="3"/>
      <c r="AI189" s="3"/>
      <c r="AJ189" s="3"/>
      <c r="AK189" s="3"/>
      <c r="AL189" s="7" t="s">
        <v>6879</v>
      </c>
      <c r="AM189" s="7" t="s">
        <v>6880</v>
      </c>
      <c r="AN189" s="7" t="s">
        <v>6881</v>
      </c>
      <c r="AO189" s="3"/>
      <c r="AP189" s="3"/>
      <c r="AQ189" s="3"/>
      <c r="AR189" s="3"/>
      <c r="AS189" s="3"/>
      <c r="AT189" s="3"/>
      <c r="AU189" s="3"/>
    </row>
    <row r="190" spans="1:49" ht="12.5" x14ac:dyDescent="0.25">
      <c r="A190" s="3" t="s">
        <v>46</v>
      </c>
      <c r="B190" s="21" t="str">
        <f>HYPERLINK("https://gerandofalcoes.my.salesforce.com/0014X00002VKCuM", "0014X00002VKCuM")</f>
        <v>0014X00002VKCuM</v>
      </c>
      <c r="C190" s="21" t="str">
        <f>HYPERLINK("https://gerandofalcoes.my.salesforce.com/0014X00002VKCuMQAX", "0014X00002VKCuMQAX")</f>
        <v>0014X00002VKCuMQAX</v>
      </c>
      <c r="D190" s="3" t="s">
        <v>6882</v>
      </c>
      <c r="E190" s="3" t="s">
        <v>6883</v>
      </c>
      <c r="F190" s="3" t="s">
        <v>6884</v>
      </c>
      <c r="G190" s="6">
        <v>44763</v>
      </c>
      <c r="H190" s="3">
        <v>33</v>
      </c>
      <c r="I190" s="3" t="s">
        <v>6885</v>
      </c>
      <c r="J190" s="3" t="s">
        <v>6886</v>
      </c>
      <c r="K190" s="3" t="s">
        <v>6887</v>
      </c>
      <c r="L190" s="3" t="s">
        <v>101</v>
      </c>
      <c r="M190" s="3" t="s">
        <v>6888</v>
      </c>
      <c r="N190" s="3" t="s">
        <v>6889</v>
      </c>
      <c r="O190" s="3">
        <v>16</v>
      </c>
      <c r="P190" s="3" t="s">
        <v>128</v>
      </c>
      <c r="Q190" s="3"/>
      <c r="R190" s="3" t="s">
        <v>6890</v>
      </c>
      <c r="S190" s="3"/>
      <c r="T190" s="3"/>
      <c r="U190" s="3" t="s">
        <v>4062</v>
      </c>
      <c r="V190" s="3" t="s">
        <v>6891</v>
      </c>
      <c r="W190" s="3">
        <v>750</v>
      </c>
      <c r="X190" s="3" t="s">
        <v>6892</v>
      </c>
      <c r="Y190" s="3"/>
      <c r="Z190" s="3"/>
      <c r="AA190" s="3">
        <v>1500</v>
      </c>
      <c r="AB190" s="8">
        <v>41495</v>
      </c>
      <c r="AC190" s="3" t="s">
        <v>62</v>
      </c>
      <c r="AD190" s="3">
        <v>0</v>
      </c>
      <c r="AE190" s="3">
        <v>20</v>
      </c>
      <c r="AF190" s="3">
        <v>7</v>
      </c>
      <c r="AG190" s="3" t="s">
        <v>6893</v>
      </c>
      <c r="AH190" s="3" t="s">
        <v>6894</v>
      </c>
      <c r="AI190" s="3">
        <v>75</v>
      </c>
      <c r="AJ190" s="3" t="s">
        <v>62</v>
      </c>
      <c r="AK190" s="3"/>
      <c r="AL190" s="3"/>
      <c r="AM190" s="7" t="s">
        <v>6895</v>
      </c>
      <c r="AN190" s="3"/>
      <c r="AO190" s="3"/>
      <c r="AP190" s="3"/>
      <c r="AQ190" s="3"/>
      <c r="AR190" s="3"/>
      <c r="AS190" s="3"/>
      <c r="AT190" s="3"/>
      <c r="AU190" s="3"/>
    </row>
    <row r="191" spans="1:49" ht="12.5" x14ac:dyDescent="0.25">
      <c r="A191" s="3" t="s">
        <v>46</v>
      </c>
      <c r="B191" s="21" t="str">
        <f>HYPERLINK("https://gerandofalcoes.my.salesforce.com/0014X00002VKCtO", "0014X00002VKCtO")</f>
        <v>0014X00002VKCtO</v>
      </c>
      <c r="C191" s="21" t="str">
        <f>HYPERLINK("https://gerandofalcoes.my.salesforce.com/0014X00002VKCtOQAX", "0014X00002VKCtOQAX")</f>
        <v>0014X00002VKCtOQAX</v>
      </c>
      <c r="D191" s="3" t="s">
        <v>6896</v>
      </c>
      <c r="E191" s="3" t="s">
        <v>6897</v>
      </c>
      <c r="F191" s="3" t="s">
        <v>6898</v>
      </c>
      <c r="G191" s="6">
        <v>44763</v>
      </c>
      <c r="H191" s="3">
        <v>33</v>
      </c>
      <c r="I191" s="3" t="s">
        <v>6899</v>
      </c>
      <c r="J191" s="3" t="s">
        <v>6900</v>
      </c>
      <c r="K191" s="3" t="s">
        <v>6901</v>
      </c>
      <c r="L191" s="3" t="s">
        <v>195</v>
      </c>
      <c r="M191" s="3" t="s">
        <v>6902</v>
      </c>
      <c r="N191" s="3" t="s">
        <v>1515</v>
      </c>
      <c r="O191" s="3" t="s">
        <v>6903</v>
      </c>
      <c r="P191" s="3" t="s">
        <v>6904</v>
      </c>
      <c r="Q191" s="3"/>
      <c r="R191" s="3" t="s">
        <v>6905</v>
      </c>
      <c r="S191" s="3" t="s">
        <v>6906</v>
      </c>
      <c r="T191" s="3"/>
      <c r="U191" s="3" t="s">
        <v>3913</v>
      </c>
      <c r="V191" s="3" t="s">
        <v>6907</v>
      </c>
      <c r="W191" s="3">
        <v>3</v>
      </c>
      <c r="X191" s="3" t="s">
        <v>6908</v>
      </c>
      <c r="Y191" s="3"/>
      <c r="Z191" s="3"/>
      <c r="AA191" s="3">
        <v>100</v>
      </c>
      <c r="AB191" s="6">
        <v>39052</v>
      </c>
      <c r="AC191" s="3" t="s">
        <v>62</v>
      </c>
      <c r="AD191" s="3">
        <v>0</v>
      </c>
      <c r="AE191" s="3">
        <v>10</v>
      </c>
      <c r="AF191" s="3">
        <v>2</v>
      </c>
      <c r="AG191" s="3" t="s">
        <v>5221</v>
      </c>
      <c r="AH191" s="3">
        <v>0</v>
      </c>
      <c r="AI191" s="3">
        <v>4046.13</v>
      </c>
      <c r="AJ191" s="3" t="s">
        <v>61</v>
      </c>
      <c r="AK191" s="3"/>
      <c r="AL191" s="7" t="s">
        <v>6909</v>
      </c>
      <c r="AM191" s="7" t="s">
        <v>6910</v>
      </c>
      <c r="AN191" s="7" t="s">
        <v>6911</v>
      </c>
      <c r="AO191" s="7" t="s">
        <v>6912</v>
      </c>
      <c r="AP191" s="3"/>
      <c r="AQ191" s="7" t="s">
        <v>6913</v>
      </c>
      <c r="AR191" s="7" t="s">
        <v>6914</v>
      </c>
      <c r="AS191" s="7" t="s">
        <v>6915</v>
      </c>
      <c r="AT191" s="7" t="s">
        <v>6916</v>
      </c>
      <c r="AU191" s="7" t="s">
        <v>6917</v>
      </c>
      <c r="AV191" s="3"/>
      <c r="AW191" s="3"/>
    </row>
    <row r="192" spans="1:49" ht="12.5" x14ac:dyDescent="0.25">
      <c r="A192" s="3" t="s">
        <v>46</v>
      </c>
      <c r="B192" s="21" t="str">
        <f>HYPERLINK("https://gerandofalcoes.my.salesforce.com/0014X00002VKCtR", "0014X00002VKCtR")</f>
        <v>0014X00002VKCtR</v>
      </c>
      <c r="C192" s="21" t="str">
        <f>HYPERLINK("https://gerandofalcoes.my.salesforce.com/0014X00002VKCtRQAX", "0014X00002VKCtRQAX")</f>
        <v>0014X00002VKCtRQAX</v>
      </c>
      <c r="D192" s="3" t="s">
        <v>6918</v>
      </c>
      <c r="E192" s="3" t="s">
        <v>6919</v>
      </c>
      <c r="F192" s="3" t="s">
        <v>6920</v>
      </c>
      <c r="G192" s="6">
        <v>44763</v>
      </c>
      <c r="H192" s="3">
        <v>33</v>
      </c>
      <c r="I192" s="3" t="s">
        <v>6921</v>
      </c>
      <c r="J192" s="3" t="s">
        <v>6922</v>
      </c>
      <c r="K192" s="3" t="s">
        <v>6923</v>
      </c>
      <c r="L192" s="3" t="s">
        <v>195</v>
      </c>
      <c r="M192" s="3" t="s">
        <v>6924</v>
      </c>
      <c r="N192" s="3" t="s">
        <v>6925</v>
      </c>
      <c r="O192" s="3">
        <v>219</v>
      </c>
      <c r="P192" s="3" t="s">
        <v>6725</v>
      </c>
      <c r="Q192" s="3"/>
      <c r="R192" s="3" t="s">
        <v>6926</v>
      </c>
      <c r="S192" s="3"/>
      <c r="T192" s="3"/>
      <c r="U192" s="3" t="s">
        <v>3913</v>
      </c>
      <c r="V192" s="3" t="s">
        <v>6927</v>
      </c>
      <c r="W192" s="3">
        <v>2</v>
      </c>
      <c r="X192" s="3" t="s">
        <v>6928</v>
      </c>
      <c r="Y192" s="3"/>
      <c r="Z192" s="3"/>
      <c r="AA192" s="3">
        <v>20</v>
      </c>
      <c r="AB192" s="6">
        <v>33432</v>
      </c>
      <c r="AC192" s="3" t="s">
        <v>120</v>
      </c>
      <c r="AD192" s="3">
        <v>1</v>
      </c>
      <c r="AE192" s="3">
        <v>4</v>
      </c>
      <c r="AF192" s="3">
        <v>6</v>
      </c>
      <c r="AG192" s="3" t="s">
        <v>6929</v>
      </c>
      <c r="AH192" s="3" t="s">
        <v>6930</v>
      </c>
      <c r="AI192" s="3">
        <v>300</v>
      </c>
      <c r="AJ192" s="3" t="s">
        <v>61</v>
      </c>
      <c r="AK192" s="3"/>
      <c r="AL192" s="3"/>
      <c r="AM192" s="7" t="s">
        <v>6931</v>
      </c>
      <c r="AN192" s="7" t="s">
        <v>6932</v>
      </c>
      <c r="AO192" s="3"/>
      <c r="AP192" s="3"/>
      <c r="AQ192" s="7" t="s">
        <v>6933</v>
      </c>
      <c r="AR192" s="3"/>
      <c r="AS192" s="7" t="s">
        <v>6934</v>
      </c>
      <c r="AT192" s="7" t="s">
        <v>6935</v>
      </c>
      <c r="AU192" s="3"/>
      <c r="AV192" s="3"/>
      <c r="AW192" s="3"/>
    </row>
    <row r="193" spans="1:49" ht="12.5" x14ac:dyDescent="0.25">
      <c r="A193" s="3" t="s">
        <v>46</v>
      </c>
      <c r="B193" s="21" t="str">
        <f>HYPERLINK("https://gerandofalcoes.my.salesforce.com/0014X00002VKCtT", "0014X00002VKCtT")</f>
        <v>0014X00002VKCtT</v>
      </c>
      <c r="C193" s="21" t="str">
        <f>HYPERLINK("https://gerandofalcoes.my.salesforce.com/0014X00002VKCtTQAX", "0014X00002VKCtTQAX")</f>
        <v>0014X00002VKCtTQAX</v>
      </c>
      <c r="D193" s="3" t="s">
        <v>6936</v>
      </c>
      <c r="E193" s="3" t="s">
        <v>6937</v>
      </c>
      <c r="F193" s="3" t="s">
        <v>6938</v>
      </c>
      <c r="G193" s="8">
        <v>44763</v>
      </c>
      <c r="H193" s="3">
        <v>33</v>
      </c>
      <c r="I193" s="3" t="s">
        <v>6939</v>
      </c>
      <c r="J193" s="3" t="s">
        <v>6940</v>
      </c>
      <c r="K193" s="3" t="s">
        <v>6941</v>
      </c>
      <c r="L193" s="3" t="s">
        <v>195</v>
      </c>
      <c r="M193" s="3" t="s">
        <v>6942</v>
      </c>
      <c r="N193" s="3" t="s">
        <v>6943</v>
      </c>
      <c r="O193" s="3">
        <v>118</v>
      </c>
      <c r="P193" s="3" t="s">
        <v>6725</v>
      </c>
      <c r="Q193" s="3"/>
      <c r="R193" s="3" t="s">
        <v>6944</v>
      </c>
      <c r="S193" s="3" t="s">
        <v>6945</v>
      </c>
      <c r="T193" s="3"/>
      <c r="U193" s="3" t="s">
        <v>4081</v>
      </c>
      <c r="V193" s="3" t="s">
        <v>5872</v>
      </c>
      <c r="W193" s="3">
        <v>1</v>
      </c>
      <c r="X193" s="3" t="s">
        <v>6946</v>
      </c>
      <c r="Y193" s="3"/>
      <c r="Z193" s="3"/>
      <c r="AA193" s="3">
        <v>20</v>
      </c>
      <c r="AB193" s="6">
        <v>44139</v>
      </c>
      <c r="AC193" s="3" t="s">
        <v>62</v>
      </c>
      <c r="AD193" s="3">
        <v>0</v>
      </c>
      <c r="AE193" s="3">
        <v>8</v>
      </c>
      <c r="AF193" s="3">
        <v>2</v>
      </c>
      <c r="AG193" s="3" t="s">
        <v>4084</v>
      </c>
      <c r="AH193" s="3" t="s">
        <v>6947</v>
      </c>
      <c r="AI193" s="3">
        <v>24230</v>
      </c>
      <c r="AJ193" s="3" t="s">
        <v>120</v>
      </c>
      <c r="AK193" s="3"/>
      <c r="AL193" s="7" t="s">
        <v>6948</v>
      </c>
      <c r="AM193" s="7" t="s">
        <v>6949</v>
      </c>
      <c r="AN193" s="7" t="s">
        <v>6950</v>
      </c>
      <c r="AO193" s="3"/>
      <c r="AP193" s="3"/>
      <c r="AQ193" s="3"/>
      <c r="AR193" s="7" t="s">
        <v>6951</v>
      </c>
      <c r="AS193" s="7" t="s">
        <v>6952</v>
      </c>
      <c r="AT193" s="7" t="s">
        <v>6953</v>
      </c>
      <c r="AU193" s="7" t="s">
        <v>6954</v>
      </c>
      <c r="AV193" s="3"/>
      <c r="AW193" s="3"/>
    </row>
    <row r="194" spans="1:49" ht="12.5" x14ac:dyDescent="0.25">
      <c r="A194" s="3" t="s">
        <v>46</v>
      </c>
      <c r="B194" s="21" t="str">
        <f>HYPERLINK("https://gerandofalcoes.my.salesforce.com/0014X00002VKCtU", "0014X00002VKCtU")</f>
        <v>0014X00002VKCtU</v>
      </c>
      <c r="C194" s="21" t="str">
        <f>HYPERLINK("https://gerandofalcoes.my.salesforce.com/0014X00002VKCtUQAX", "0014X00002VKCtUQAX")</f>
        <v>0014X00002VKCtUQAX</v>
      </c>
      <c r="D194" s="3" t="s">
        <v>6955</v>
      </c>
      <c r="E194" s="3" t="s">
        <v>6956</v>
      </c>
      <c r="F194" s="3" t="s">
        <v>6957</v>
      </c>
      <c r="G194" s="6">
        <v>44763</v>
      </c>
      <c r="H194" s="3">
        <v>33</v>
      </c>
      <c r="I194" s="3" t="s">
        <v>6958</v>
      </c>
      <c r="J194" s="3" t="s">
        <v>6959</v>
      </c>
      <c r="K194" s="3">
        <v>84991515376</v>
      </c>
      <c r="L194" s="3" t="s">
        <v>195</v>
      </c>
      <c r="M194" s="3" t="s">
        <v>6960</v>
      </c>
      <c r="N194" s="3" t="s">
        <v>6724</v>
      </c>
      <c r="O194" s="3">
        <v>357</v>
      </c>
      <c r="P194" s="3" t="s">
        <v>6725</v>
      </c>
      <c r="Q194" s="3"/>
      <c r="R194" s="3" t="s">
        <v>6961</v>
      </c>
      <c r="S194" s="3"/>
      <c r="T194" s="3"/>
      <c r="U194" s="3"/>
      <c r="V194" s="3"/>
      <c r="W194" s="3">
        <v>3</v>
      </c>
      <c r="X194" s="3" t="s">
        <v>6962</v>
      </c>
      <c r="Y194" s="3" t="s">
        <v>6963</v>
      </c>
      <c r="Z194" s="3"/>
      <c r="AA194" s="3">
        <v>300</v>
      </c>
      <c r="AB194" s="6">
        <v>44552</v>
      </c>
      <c r="AC194" s="3" t="s">
        <v>62</v>
      </c>
      <c r="AD194" s="3">
        <v>0</v>
      </c>
      <c r="AE194" s="3">
        <v>8</v>
      </c>
      <c r="AF194" s="3">
        <v>0</v>
      </c>
      <c r="AG194" s="3"/>
      <c r="AH194" s="3"/>
      <c r="AI194" s="3"/>
      <c r="AJ194" s="3" t="s">
        <v>120</v>
      </c>
      <c r="AK194" s="3"/>
      <c r="AL194" s="3"/>
      <c r="AM194" s="7" t="s">
        <v>6964</v>
      </c>
      <c r="AN194" s="3"/>
      <c r="AO194" s="3"/>
      <c r="AP194" s="3"/>
      <c r="AQ194" s="3"/>
      <c r="AR194" s="3"/>
      <c r="AS194" s="3"/>
      <c r="AT194" s="3"/>
      <c r="AU194" s="3"/>
      <c r="AV194" s="3"/>
      <c r="AW194" s="3"/>
    </row>
    <row r="195" spans="1:49" ht="12.5" x14ac:dyDescent="0.25">
      <c r="A195" s="3" t="s">
        <v>46</v>
      </c>
      <c r="B195" s="21" t="str">
        <f>HYPERLINK("https://gerandofalcoes.my.salesforce.com/0014X00002VKCuN", "0014X00002VKCuN")</f>
        <v>0014X00002VKCuN</v>
      </c>
      <c r="C195" s="21" t="str">
        <f>HYPERLINK("https://gerandofalcoes.my.salesforce.com/0014X00002VKCuNQAX", "0014X00002VKCuNQAX")</f>
        <v>0014X00002VKCuNQAX</v>
      </c>
      <c r="D195" s="3" t="s">
        <v>6965</v>
      </c>
      <c r="E195" s="3" t="s">
        <v>6966</v>
      </c>
      <c r="F195" s="3" t="s">
        <v>6967</v>
      </c>
      <c r="G195" s="6">
        <v>44763</v>
      </c>
      <c r="H195" s="3">
        <v>33</v>
      </c>
      <c r="I195" s="3" t="s">
        <v>6968</v>
      </c>
      <c r="J195" s="3" t="s">
        <v>6969</v>
      </c>
      <c r="K195" s="3" t="s">
        <v>6970</v>
      </c>
      <c r="L195" s="3" t="s">
        <v>101</v>
      </c>
      <c r="M195" s="3" t="s">
        <v>6971</v>
      </c>
      <c r="N195" s="3" t="s">
        <v>6972</v>
      </c>
      <c r="O195" s="3">
        <v>21</v>
      </c>
      <c r="P195" s="3" t="s">
        <v>128</v>
      </c>
      <c r="Q195" s="3"/>
      <c r="R195" s="3" t="s">
        <v>6973</v>
      </c>
      <c r="S195" s="3" t="s">
        <v>6974</v>
      </c>
      <c r="T195" s="3"/>
      <c r="U195" s="3" t="s">
        <v>3913</v>
      </c>
      <c r="V195" s="3" t="s">
        <v>6975</v>
      </c>
      <c r="W195" s="3">
        <v>7</v>
      </c>
      <c r="X195" s="3" t="s">
        <v>6976</v>
      </c>
      <c r="Y195" s="3"/>
      <c r="Z195" s="3"/>
      <c r="AA195" s="3">
        <v>100</v>
      </c>
      <c r="AB195" s="6">
        <v>43748</v>
      </c>
      <c r="AC195" s="3" t="s">
        <v>62</v>
      </c>
      <c r="AD195" s="3">
        <v>0</v>
      </c>
      <c r="AE195" s="3">
        <v>22</v>
      </c>
      <c r="AF195" s="3">
        <v>4</v>
      </c>
      <c r="AG195" s="3" t="s">
        <v>5173</v>
      </c>
      <c r="AH195" s="3">
        <v>0</v>
      </c>
      <c r="AI195" s="3">
        <v>52813.62</v>
      </c>
      <c r="AJ195" s="3" t="s">
        <v>120</v>
      </c>
      <c r="AK195" s="3"/>
      <c r="AL195" s="7" t="s">
        <v>6977</v>
      </c>
      <c r="AM195" s="7" t="s">
        <v>6978</v>
      </c>
      <c r="AN195" s="7" t="s">
        <v>6979</v>
      </c>
      <c r="AO195" s="3"/>
      <c r="AP195" s="3"/>
      <c r="AQ195" s="3"/>
      <c r="AR195" s="7" t="s">
        <v>6980</v>
      </c>
      <c r="AS195" s="7" t="s">
        <v>6981</v>
      </c>
      <c r="AT195" s="7" t="s">
        <v>6982</v>
      </c>
      <c r="AU195" s="7" t="s">
        <v>6983</v>
      </c>
      <c r="AV195" s="3"/>
      <c r="AW195" s="3"/>
    </row>
    <row r="196" spans="1:49" ht="12.5" x14ac:dyDescent="0.25">
      <c r="A196" s="3" t="s">
        <v>46</v>
      </c>
      <c r="B196" s="21" t="str">
        <f>HYPERLINK("https://gerandofalcoes.my.salesforce.com/0014X00002VKCuP", "0014X00002VKCuP")</f>
        <v>0014X00002VKCuP</v>
      </c>
      <c r="C196" s="7" t="str">
        <f>HYPERLINK("https://gerandofalcoes.my.salesforce.com/0014X00002VKCuPQAX", "0014X00002VKCuPQAX")</f>
        <v>0014X00002VKCuPQAX</v>
      </c>
      <c r="D196" s="3" t="s">
        <v>6984</v>
      </c>
      <c r="E196" s="3" t="s">
        <v>6985</v>
      </c>
      <c r="F196" s="3" t="s">
        <v>6986</v>
      </c>
      <c r="G196" s="6">
        <v>44763</v>
      </c>
      <c r="H196" s="3">
        <v>33</v>
      </c>
      <c r="I196" s="3" t="s">
        <v>6987</v>
      </c>
      <c r="J196" s="3" t="s">
        <v>6988</v>
      </c>
      <c r="K196" s="3" t="s">
        <v>6989</v>
      </c>
      <c r="L196" s="3" t="s">
        <v>101</v>
      </c>
      <c r="M196" s="3" t="s">
        <v>6990</v>
      </c>
      <c r="N196" s="3" t="s">
        <v>6991</v>
      </c>
      <c r="O196" s="3">
        <v>122</v>
      </c>
      <c r="P196" s="3" t="s">
        <v>128</v>
      </c>
      <c r="Q196" s="3"/>
      <c r="R196" s="3" t="s">
        <v>6992</v>
      </c>
      <c r="S196" s="3" t="s">
        <v>6993</v>
      </c>
      <c r="T196" s="3"/>
      <c r="U196" s="3" t="s">
        <v>5233</v>
      </c>
      <c r="V196" s="3" t="s">
        <v>3800</v>
      </c>
      <c r="W196" s="3">
        <v>1</v>
      </c>
      <c r="X196" s="3" t="s">
        <v>6994</v>
      </c>
      <c r="Y196" s="3"/>
      <c r="Z196" s="3"/>
      <c r="AA196" s="3">
        <v>0</v>
      </c>
      <c r="AB196" s="6">
        <v>42528</v>
      </c>
      <c r="AC196" s="3" t="s">
        <v>62</v>
      </c>
      <c r="AD196" s="3">
        <v>0</v>
      </c>
      <c r="AE196" s="3">
        <v>0</v>
      </c>
      <c r="AF196" s="3">
        <v>2</v>
      </c>
      <c r="AG196" s="3" t="s">
        <v>4417</v>
      </c>
      <c r="AH196" s="3">
        <v>0</v>
      </c>
      <c r="AI196" s="3">
        <v>0</v>
      </c>
      <c r="AJ196" s="3" t="s">
        <v>120</v>
      </c>
      <c r="AK196" s="3"/>
      <c r="AL196" s="7" t="s">
        <v>6995</v>
      </c>
      <c r="AM196" s="7" t="s">
        <v>6996</v>
      </c>
      <c r="AN196" s="7" t="s">
        <v>6997</v>
      </c>
      <c r="AO196" s="7" t="s">
        <v>6995</v>
      </c>
      <c r="AP196" s="3"/>
      <c r="AQ196" s="3"/>
      <c r="AR196" s="7" t="s">
        <v>6998</v>
      </c>
      <c r="AS196" s="7" t="s">
        <v>6999</v>
      </c>
      <c r="AT196" s="3"/>
      <c r="AU196" s="7" t="s">
        <v>7000</v>
      </c>
      <c r="AV196" s="3"/>
      <c r="AW196" s="3"/>
    </row>
    <row r="197" spans="1:49" ht="12.5" x14ac:dyDescent="0.25">
      <c r="A197" s="3" t="s">
        <v>46</v>
      </c>
      <c r="B197" s="21" t="str">
        <f>HYPERLINK("https://gerandofalcoes.my.salesforce.com/0014X00002VKCuR", "0014X00002VKCuR")</f>
        <v>0014X00002VKCuR</v>
      </c>
      <c r="C197" s="7" t="str">
        <f>HYPERLINK("https://gerandofalcoes.my.salesforce.com/0014X00002VKCuRQAX", "0014X00002VKCuRQAX")</f>
        <v>0014X00002VKCuRQAX</v>
      </c>
      <c r="D197" s="3" t="s">
        <v>7001</v>
      </c>
      <c r="E197" s="3" t="s">
        <v>7001</v>
      </c>
      <c r="F197" s="3" t="s">
        <v>7002</v>
      </c>
      <c r="G197" s="6">
        <v>44763</v>
      </c>
      <c r="H197" s="3">
        <v>33</v>
      </c>
      <c r="I197" s="3" t="s">
        <v>7003</v>
      </c>
      <c r="J197" s="3" t="s">
        <v>7004</v>
      </c>
      <c r="K197" s="3" t="s">
        <v>7005</v>
      </c>
      <c r="L197" s="3" t="s">
        <v>101</v>
      </c>
      <c r="M197" s="3" t="s">
        <v>7006</v>
      </c>
      <c r="N197" s="3" t="s">
        <v>7007</v>
      </c>
      <c r="O197" s="3" t="s">
        <v>7002</v>
      </c>
      <c r="P197" s="3" t="s">
        <v>7008</v>
      </c>
      <c r="Q197" s="3" t="s">
        <v>7009</v>
      </c>
      <c r="R197" s="3" t="s">
        <v>7010</v>
      </c>
      <c r="S197" s="3" t="s">
        <v>7011</v>
      </c>
      <c r="T197" s="3"/>
      <c r="U197" s="3" t="s">
        <v>3872</v>
      </c>
      <c r="V197" s="3" t="s">
        <v>7012</v>
      </c>
      <c r="W197" s="3">
        <v>3</v>
      </c>
      <c r="X197" s="3" t="s">
        <v>7013</v>
      </c>
      <c r="Y197" s="3" t="s">
        <v>7014</v>
      </c>
      <c r="Z197" s="3"/>
      <c r="AA197" s="3">
        <v>10000</v>
      </c>
      <c r="AB197" s="6">
        <v>43864</v>
      </c>
      <c r="AC197" s="3" t="s">
        <v>62</v>
      </c>
      <c r="AD197" s="3">
        <v>3</v>
      </c>
      <c r="AE197" s="3">
        <v>10</v>
      </c>
      <c r="AF197" s="3">
        <v>6</v>
      </c>
      <c r="AG197" s="3" t="s">
        <v>7015</v>
      </c>
      <c r="AH197" s="3" t="s">
        <v>7016</v>
      </c>
      <c r="AI197" s="3">
        <v>100000</v>
      </c>
      <c r="AJ197" s="3" t="s">
        <v>120</v>
      </c>
      <c r="AK197" s="3"/>
      <c r="AL197" s="7" t="s">
        <v>7017</v>
      </c>
      <c r="AM197" s="7" t="s">
        <v>7018</v>
      </c>
      <c r="AN197" s="7" t="s">
        <v>7019</v>
      </c>
      <c r="AO197" s="7" t="s">
        <v>7020</v>
      </c>
      <c r="AP197" s="3"/>
      <c r="AQ197" s="3"/>
      <c r="AR197" s="3"/>
      <c r="AS197" s="7" t="s">
        <v>7021</v>
      </c>
      <c r="AT197" s="7" t="s">
        <v>7022</v>
      </c>
      <c r="AU197" s="7" t="s">
        <v>7023</v>
      </c>
      <c r="AV197" s="3"/>
      <c r="AW197" s="3"/>
    </row>
    <row r="198" spans="1:49" ht="12.5" x14ac:dyDescent="0.25">
      <c r="A198" s="3" t="s">
        <v>46</v>
      </c>
      <c r="B198" s="21" t="str">
        <f>HYPERLINK("https://gerandofalcoes.my.salesforce.com/0014X00002VKCuS", "0014X00002VKCuS")</f>
        <v>0014X00002VKCuS</v>
      </c>
      <c r="C198" s="7" t="str">
        <f>HYPERLINK("https://gerandofalcoes.my.salesforce.com/0014X00002VKCuSQAX", "0014X00002VKCuSQAX")</f>
        <v>0014X00002VKCuSQAX</v>
      </c>
      <c r="D198" s="3" t="s">
        <v>7024</v>
      </c>
      <c r="E198" s="3" t="s">
        <v>7025</v>
      </c>
      <c r="F198" s="3"/>
      <c r="G198" s="6">
        <v>44763</v>
      </c>
      <c r="H198" s="3">
        <v>33</v>
      </c>
      <c r="I198" s="3" t="s">
        <v>7026</v>
      </c>
      <c r="J198" s="3" t="s">
        <v>7027</v>
      </c>
      <c r="K198" s="3" t="s">
        <v>7028</v>
      </c>
      <c r="L198" s="3" t="s">
        <v>101</v>
      </c>
      <c r="M198" s="3" t="s">
        <v>7029</v>
      </c>
      <c r="N198" s="3" t="s">
        <v>7030</v>
      </c>
      <c r="O198" s="3">
        <v>248</v>
      </c>
      <c r="P198" s="3" t="s">
        <v>128</v>
      </c>
      <c r="Q198" s="3" t="s">
        <v>1539</v>
      </c>
      <c r="R198" s="3" t="s">
        <v>7031</v>
      </c>
      <c r="S198" s="3" t="s">
        <v>7032</v>
      </c>
      <c r="T198" s="3"/>
      <c r="U198" s="3" t="s">
        <v>4877</v>
      </c>
      <c r="V198" s="3" t="s">
        <v>5218</v>
      </c>
      <c r="W198" s="3">
        <v>32</v>
      </c>
      <c r="X198" s="3" t="s">
        <v>7033</v>
      </c>
      <c r="Y198" s="3" t="s">
        <v>7034</v>
      </c>
      <c r="Z198" s="3"/>
      <c r="AA198" s="3">
        <v>100</v>
      </c>
      <c r="AB198" s="6">
        <v>44188</v>
      </c>
      <c r="AC198" s="3" t="s">
        <v>120</v>
      </c>
      <c r="AD198" s="3">
        <v>6</v>
      </c>
      <c r="AE198" s="3">
        <v>1</v>
      </c>
      <c r="AF198" s="3">
        <v>2</v>
      </c>
      <c r="AG198" s="3" t="s">
        <v>4301</v>
      </c>
      <c r="AH198" s="3" t="s">
        <v>7035</v>
      </c>
      <c r="AI198" s="3">
        <v>15000</v>
      </c>
      <c r="AJ198" s="3" t="s">
        <v>120</v>
      </c>
      <c r="AK198" s="3"/>
      <c r="AL198" s="7" t="s">
        <v>7036</v>
      </c>
      <c r="AM198" s="7" t="s">
        <v>7037</v>
      </c>
      <c r="AN198" s="7" t="s">
        <v>7038</v>
      </c>
      <c r="AO198" s="7" t="s">
        <v>7039</v>
      </c>
      <c r="AP198" s="3"/>
      <c r="AQ198" s="7" t="s">
        <v>7040</v>
      </c>
      <c r="AR198" s="3"/>
      <c r="AS198" s="3"/>
      <c r="AT198" s="3"/>
      <c r="AU198" s="7" t="s">
        <v>7041</v>
      </c>
      <c r="AV198" s="3"/>
      <c r="AW198" s="3"/>
    </row>
    <row r="199" spans="1:49" ht="12.5" x14ac:dyDescent="0.25">
      <c r="A199" s="3" t="s">
        <v>46</v>
      </c>
      <c r="B199" s="21" t="str">
        <f>HYPERLINK("https://gerandofalcoes.my.salesforce.com/0014X00002VKCuT", "0014X00002VKCuT")</f>
        <v>0014X00002VKCuT</v>
      </c>
      <c r="C199" s="21" t="str">
        <f>HYPERLINK("https://gerandofalcoes.my.salesforce.com/0014X00002VKCuTQAX", "0014X00002VKCuTQAX")</f>
        <v>0014X00002VKCuTQAX</v>
      </c>
      <c r="D199" s="3" t="s">
        <v>7042</v>
      </c>
      <c r="E199" s="3" t="s">
        <v>7043</v>
      </c>
      <c r="F199" s="3" t="s">
        <v>7044</v>
      </c>
      <c r="G199" s="6">
        <v>44763</v>
      </c>
      <c r="H199" s="3">
        <v>33</v>
      </c>
      <c r="I199" s="3" t="s">
        <v>7045</v>
      </c>
      <c r="J199" s="3" t="s">
        <v>7046</v>
      </c>
      <c r="K199" s="3" t="s">
        <v>7047</v>
      </c>
      <c r="L199" s="3" t="s">
        <v>101</v>
      </c>
      <c r="M199" s="3" t="s">
        <v>7048</v>
      </c>
      <c r="N199" s="3" t="s">
        <v>7049</v>
      </c>
      <c r="O199" s="3">
        <v>176</v>
      </c>
      <c r="P199" s="3" t="s">
        <v>128</v>
      </c>
      <c r="Q199" s="3"/>
      <c r="R199" s="3" t="s">
        <v>7050</v>
      </c>
      <c r="S199" s="3" t="s">
        <v>7051</v>
      </c>
      <c r="T199" s="3"/>
      <c r="U199" s="3" t="s">
        <v>6357</v>
      </c>
      <c r="V199" s="3" t="s">
        <v>5218</v>
      </c>
      <c r="W199" s="3">
        <v>2</v>
      </c>
      <c r="X199" s="3" t="s">
        <v>7052</v>
      </c>
      <c r="Y199" s="3"/>
      <c r="Z199" s="3"/>
      <c r="AA199" s="3">
        <v>0</v>
      </c>
      <c r="AB199" s="6">
        <v>40105</v>
      </c>
      <c r="AC199" s="3" t="s">
        <v>62</v>
      </c>
      <c r="AD199" s="3">
        <v>14</v>
      </c>
      <c r="AE199" s="3">
        <v>14</v>
      </c>
      <c r="AF199" s="3">
        <v>2</v>
      </c>
      <c r="AG199" s="3" t="s">
        <v>3917</v>
      </c>
      <c r="AH199" s="3" t="s">
        <v>7053</v>
      </c>
      <c r="AI199" s="3">
        <v>350000</v>
      </c>
      <c r="AJ199" s="3" t="s">
        <v>120</v>
      </c>
      <c r="AK199" s="3"/>
      <c r="AL199" s="7" t="s">
        <v>7054</v>
      </c>
      <c r="AM199" s="7" t="s">
        <v>7055</v>
      </c>
      <c r="AN199" s="7" t="s">
        <v>7056</v>
      </c>
      <c r="AO199" s="7" t="s">
        <v>7057</v>
      </c>
      <c r="AP199" s="3"/>
      <c r="AQ199" s="3"/>
      <c r="AR199" s="7" t="s">
        <v>7058</v>
      </c>
      <c r="AS199" s="3"/>
      <c r="AT199" s="3"/>
      <c r="AU199" s="7" t="s">
        <v>7059</v>
      </c>
      <c r="AV199" s="3"/>
      <c r="AW199" s="3"/>
    </row>
    <row r="200" spans="1:49" ht="12.5" x14ac:dyDescent="0.25">
      <c r="A200" s="3" t="s">
        <v>46</v>
      </c>
      <c r="B200" s="21" t="str">
        <f>HYPERLINK("https://gerandofalcoes.my.salesforce.com/0014X00002VKCuU", "0014X00002VKCuU")</f>
        <v>0014X00002VKCuU</v>
      </c>
      <c r="C200" s="7" t="str">
        <f>HYPERLINK("https://gerandofalcoes.my.salesforce.com/0014X00002VKCuUQAX", "0014X00002VKCuUQAX")</f>
        <v>0014X00002VKCuUQAX</v>
      </c>
      <c r="D200" s="3" t="s">
        <v>7060</v>
      </c>
      <c r="E200" s="3" t="s">
        <v>7061</v>
      </c>
      <c r="F200" s="3" t="s">
        <v>7062</v>
      </c>
      <c r="G200" s="6">
        <v>44763</v>
      </c>
      <c r="H200" s="3">
        <v>33</v>
      </c>
      <c r="I200" s="3" t="s">
        <v>7063</v>
      </c>
      <c r="J200" s="3" t="s">
        <v>7064</v>
      </c>
      <c r="K200" s="3" t="s">
        <v>7065</v>
      </c>
      <c r="L200" s="3" t="s">
        <v>101</v>
      </c>
      <c r="M200" s="3" t="s">
        <v>7066</v>
      </c>
      <c r="N200" s="3" t="s">
        <v>7067</v>
      </c>
      <c r="O200" s="3">
        <v>244</v>
      </c>
      <c r="P200" s="3" t="s">
        <v>7008</v>
      </c>
      <c r="Q200" s="3"/>
      <c r="R200" s="3" t="s">
        <v>7068</v>
      </c>
      <c r="S200" s="3"/>
      <c r="T200" s="3"/>
      <c r="U200" s="3" t="s">
        <v>7069</v>
      </c>
      <c r="V200" s="3" t="s">
        <v>3890</v>
      </c>
      <c r="W200" s="3">
        <v>2</v>
      </c>
      <c r="X200" s="3" t="s">
        <v>7070</v>
      </c>
      <c r="Y200" s="3" t="s">
        <v>7071</v>
      </c>
      <c r="Z200" s="3"/>
      <c r="AA200" s="3">
        <v>5000</v>
      </c>
      <c r="AB200" s="6">
        <v>34313</v>
      </c>
      <c r="AC200" s="3" t="s">
        <v>62</v>
      </c>
      <c r="AD200" s="3">
        <v>83</v>
      </c>
      <c r="AE200" s="3">
        <v>56</v>
      </c>
      <c r="AF200" s="3">
        <v>8</v>
      </c>
      <c r="AG200" s="3" t="s">
        <v>7072</v>
      </c>
      <c r="AH200" s="3" t="s">
        <v>7073</v>
      </c>
      <c r="AI200" s="3">
        <v>0</v>
      </c>
      <c r="AJ200" s="3" t="s">
        <v>62</v>
      </c>
      <c r="AK200" s="3"/>
      <c r="AL200" s="7" t="s">
        <v>7074</v>
      </c>
      <c r="AM200" s="3" t="s">
        <v>7075</v>
      </c>
      <c r="AN200" s="3"/>
      <c r="AO200" s="7" t="s">
        <v>7076</v>
      </c>
      <c r="AP200" s="3"/>
      <c r="AQ200" s="3"/>
      <c r="AR200" s="3"/>
      <c r="AS200" s="3"/>
      <c r="AT200" s="3"/>
      <c r="AU200" s="3"/>
      <c r="AV200" s="3"/>
      <c r="AW200" s="3"/>
    </row>
    <row r="201" spans="1:49" ht="12.5" x14ac:dyDescent="0.25">
      <c r="A201" s="3" t="s">
        <v>46</v>
      </c>
      <c r="B201" s="21" t="str">
        <f>HYPERLINK("https://gerandofalcoes.my.salesforce.com/0014X00002VKCuV", "0014X00002VKCuV")</f>
        <v>0014X00002VKCuV</v>
      </c>
      <c r="C201" s="7" t="str">
        <f>HYPERLINK("https://gerandofalcoes.my.salesforce.com/0014X00002VKCuVQAX", "0014X00002VKCuVQAX")</f>
        <v>0014X00002VKCuVQAX</v>
      </c>
      <c r="D201" s="3" t="s">
        <v>7077</v>
      </c>
      <c r="E201" s="3" t="s">
        <v>7078</v>
      </c>
      <c r="F201" s="3"/>
      <c r="G201" s="6">
        <v>44763</v>
      </c>
      <c r="H201" s="3">
        <v>33</v>
      </c>
      <c r="I201" s="3" t="s">
        <v>7079</v>
      </c>
      <c r="J201" s="3"/>
      <c r="K201" s="3" t="s">
        <v>7080</v>
      </c>
      <c r="L201" s="3" t="s">
        <v>101</v>
      </c>
      <c r="M201" s="3" t="s">
        <v>7081</v>
      </c>
      <c r="N201" s="3" t="s">
        <v>7082</v>
      </c>
      <c r="O201" s="3">
        <v>126</v>
      </c>
      <c r="P201" s="3" t="s">
        <v>7083</v>
      </c>
      <c r="Q201" s="3"/>
      <c r="R201" s="3" t="s">
        <v>7084</v>
      </c>
      <c r="S201" s="3"/>
      <c r="T201" s="3"/>
      <c r="U201" s="3" t="s">
        <v>3964</v>
      </c>
      <c r="V201" s="3" t="s">
        <v>5872</v>
      </c>
      <c r="W201" s="3">
        <v>5</v>
      </c>
      <c r="X201" s="3" t="s">
        <v>7085</v>
      </c>
      <c r="Y201" s="3" t="s">
        <v>7086</v>
      </c>
      <c r="Z201" s="3"/>
      <c r="AA201" s="3">
        <v>10</v>
      </c>
      <c r="AB201" s="6">
        <v>41202</v>
      </c>
      <c r="AC201" s="3" t="s">
        <v>120</v>
      </c>
      <c r="AD201" s="3">
        <v>0</v>
      </c>
      <c r="AE201" s="3">
        <v>29</v>
      </c>
      <c r="AF201" s="3">
        <v>2</v>
      </c>
      <c r="AG201" s="3" t="s">
        <v>4032</v>
      </c>
      <c r="AH201" s="3">
        <v>0</v>
      </c>
      <c r="AI201" s="3">
        <v>12000</v>
      </c>
      <c r="AJ201" s="3" t="s">
        <v>120</v>
      </c>
      <c r="AK201" s="3"/>
      <c r="AL201" s="3"/>
      <c r="AM201" s="7" t="s">
        <v>7087</v>
      </c>
      <c r="AN201" s="7" t="s">
        <v>7088</v>
      </c>
      <c r="AO201" s="3"/>
      <c r="AP201" s="3"/>
      <c r="AQ201" s="3"/>
      <c r="AR201" s="3"/>
      <c r="AS201" s="3"/>
      <c r="AT201" s="3"/>
      <c r="AU201" s="7" t="s">
        <v>7089</v>
      </c>
      <c r="AV201" s="3"/>
      <c r="AW201" s="3"/>
    </row>
    <row r="202" spans="1:49" ht="12.5" x14ac:dyDescent="0.25">
      <c r="A202" s="3" t="s">
        <v>46</v>
      </c>
      <c r="B202" s="21" t="str">
        <f>HYPERLINK("https://gerandofalcoes.my.salesforce.com/0014X00002VKCuW", "0014X00002VKCuW")</f>
        <v>0014X00002VKCuW</v>
      </c>
      <c r="C202" s="7" t="str">
        <f>HYPERLINK("https://gerandofalcoes.my.salesforce.com/0014X00002VKCuWQAX", "0014X00002VKCuWQAX")</f>
        <v>0014X00002VKCuWQAX</v>
      </c>
      <c r="D202" s="3" t="s">
        <v>7090</v>
      </c>
      <c r="E202" s="3" t="s">
        <v>7091</v>
      </c>
      <c r="F202" s="3" t="s">
        <v>7092</v>
      </c>
      <c r="G202" s="6">
        <v>44763</v>
      </c>
      <c r="H202" s="3">
        <v>33</v>
      </c>
      <c r="I202" s="3" t="s">
        <v>7093</v>
      </c>
      <c r="J202" s="3" t="s">
        <v>7094</v>
      </c>
      <c r="K202" s="3" t="s">
        <v>7095</v>
      </c>
      <c r="L202" s="3" t="s">
        <v>101</v>
      </c>
      <c r="M202" s="3" t="s">
        <v>7096</v>
      </c>
      <c r="N202" s="3" t="s">
        <v>7097</v>
      </c>
      <c r="O202" s="3">
        <v>207</v>
      </c>
      <c r="P202" s="3" t="s">
        <v>128</v>
      </c>
      <c r="Q202" s="3"/>
      <c r="R202" s="3" t="s">
        <v>7098</v>
      </c>
      <c r="S202" s="3" t="s">
        <v>7099</v>
      </c>
      <c r="T202" s="3"/>
      <c r="U202" s="3" t="s">
        <v>4062</v>
      </c>
      <c r="V202" s="3" t="s">
        <v>7100</v>
      </c>
      <c r="W202" s="3">
        <v>5</v>
      </c>
      <c r="X202" s="3" t="s">
        <v>7101</v>
      </c>
      <c r="Y202" s="3" t="s">
        <v>7102</v>
      </c>
      <c r="Z202" s="3"/>
      <c r="AA202" s="3">
        <v>120</v>
      </c>
      <c r="AB202" s="8">
        <v>38281</v>
      </c>
      <c r="AC202" s="3" t="s">
        <v>62</v>
      </c>
      <c r="AD202" s="3">
        <v>35</v>
      </c>
      <c r="AE202" s="3">
        <v>20</v>
      </c>
      <c r="AF202" s="3">
        <v>4</v>
      </c>
      <c r="AG202" s="3" t="s">
        <v>7103</v>
      </c>
      <c r="AH202" s="3" t="s">
        <v>5959</v>
      </c>
      <c r="AI202" s="3">
        <v>30000</v>
      </c>
      <c r="AJ202" s="3" t="s">
        <v>61</v>
      </c>
      <c r="AK202" s="3"/>
      <c r="AL202" s="3"/>
      <c r="AM202" s="7" t="s">
        <v>7104</v>
      </c>
      <c r="AN202" s="7" t="s">
        <v>7105</v>
      </c>
      <c r="AO202" s="3"/>
      <c r="AP202" s="3"/>
      <c r="AQ202" s="3"/>
      <c r="AR202" s="7" t="s">
        <v>7106</v>
      </c>
      <c r="AS202" s="7" t="s">
        <v>7107</v>
      </c>
      <c r="AT202" s="3"/>
      <c r="AU202" s="3"/>
      <c r="AV202" s="3"/>
      <c r="AW202" s="3"/>
    </row>
    <row r="203" spans="1:49" ht="12.5" x14ac:dyDescent="0.25">
      <c r="A203" s="3" t="s">
        <v>46</v>
      </c>
      <c r="B203" s="21" t="str">
        <f>HYPERLINK("https://gerandofalcoes.my.salesforce.com/0014X00002VKCuZ", "0014X00002VKCuZ")</f>
        <v>0014X00002VKCuZ</v>
      </c>
      <c r="C203" s="7" t="str">
        <f>HYPERLINK("https://gerandofalcoes.my.salesforce.com/0014X00002VKCuZQAX", "0014X00002VKCuZQAX")</f>
        <v>0014X00002VKCuZQAX</v>
      </c>
      <c r="D203" s="3" t="s">
        <v>7108</v>
      </c>
      <c r="E203" s="3" t="s">
        <v>7109</v>
      </c>
      <c r="F203" s="3">
        <v>0</v>
      </c>
      <c r="G203" s="6">
        <v>44763</v>
      </c>
      <c r="H203" s="3">
        <v>33</v>
      </c>
      <c r="I203" s="3" t="s">
        <v>7110</v>
      </c>
      <c r="J203" s="3"/>
      <c r="K203" s="3"/>
      <c r="L203" s="3" t="s">
        <v>101</v>
      </c>
      <c r="M203" s="3" t="s">
        <v>7111</v>
      </c>
      <c r="N203" s="3" t="s">
        <v>7112</v>
      </c>
      <c r="O203" s="3">
        <v>223</v>
      </c>
      <c r="P203" s="3" t="s">
        <v>128</v>
      </c>
      <c r="Q203" s="3" t="s">
        <v>1539</v>
      </c>
      <c r="R203" s="3">
        <v>4890185</v>
      </c>
      <c r="S203" s="3"/>
      <c r="T203" s="3"/>
      <c r="U203" s="3"/>
      <c r="V203" s="3"/>
      <c r="W203" s="3">
        <v>1</v>
      </c>
      <c r="X203" s="3" t="s">
        <v>7113</v>
      </c>
      <c r="Y203" s="3"/>
      <c r="Z203" s="3"/>
      <c r="AA203" s="3">
        <v>25</v>
      </c>
      <c r="AB203" s="6">
        <v>44247</v>
      </c>
      <c r="AC203" s="3" t="s">
        <v>120</v>
      </c>
      <c r="AD203" s="3">
        <v>0</v>
      </c>
      <c r="AE203" s="3">
        <v>5</v>
      </c>
      <c r="AF203" s="3">
        <v>0</v>
      </c>
      <c r="AG203" s="3"/>
      <c r="AH203" s="3"/>
      <c r="AI203" s="3"/>
      <c r="AJ203" s="3"/>
      <c r="AK203" s="3"/>
      <c r="AL203" s="3"/>
      <c r="AM203" s="3"/>
      <c r="AN203" s="3"/>
      <c r="AO203" s="3"/>
      <c r="AP203" s="3"/>
      <c r="AQ203" s="3"/>
      <c r="AR203" s="3"/>
      <c r="AS203" s="3"/>
      <c r="AT203" s="3"/>
      <c r="AU203" s="3"/>
      <c r="AV203" s="3"/>
      <c r="AW203" s="3"/>
    </row>
    <row r="204" spans="1:49" ht="12.5" x14ac:dyDescent="0.25">
      <c r="A204" s="3" t="s">
        <v>46</v>
      </c>
      <c r="B204" s="21" t="str">
        <f>HYPERLINK("https://gerandofalcoes.my.salesforce.com/0014X00002VKCub", "0014X00002VKCub")</f>
        <v>0014X00002VKCub</v>
      </c>
      <c r="C204" s="7" t="str">
        <f>HYPERLINK("https://gerandofalcoes.my.salesforce.com/0014X00002VKCubQAH", "0014X00002VKCubQAH")</f>
        <v>0014X00002VKCubQAH</v>
      </c>
      <c r="D204" s="3" t="s">
        <v>7114</v>
      </c>
      <c r="E204" s="3" t="s">
        <v>7115</v>
      </c>
      <c r="F204" s="3" t="s">
        <v>7116</v>
      </c>
      <c r="G204" s="6">
        <v>44763</v>
      </c>
      <c r="H204" s="3">
        <v>33</v>
      </c>
      <c r="I204" s="3" t="s">
        <v>7117</v>
      </c>
      <c r="J204" s="3" t="s">
        <v>7118</v>
      </c>
      <c r="K204" s="3" t="s">
        <v>7119</v>
      </c>
      <c r="L204" s="3" t="s">
        <v>101</v>
      </c>
      <c r="M204" s="3" t="s">
        <v>7120</v>
      </c>
      <c r="N204" s="3" t="s">
        <v>7121</v>
      </c>
      <c r="O204" s="3">
        <v>240</v>
      </c>
      <c r="P204" s="3" t="s">
        <v>128</v>
      </c>
      <c r="Q204" s="3"/>
      <c r="R204" s="3" t="s">
        <v>7122</v>
      </c>
      <c r="S204" s="3" t="s">
        <v>7123</v>
      </c>
      <c r="T204" s="3"/>
      <c r="U204" s="3" t="s">
        <v>5442</v>
      </c>
      <c r="V204" s="3" t="s">
        <v>7124</v>
      </c>
      <c r="W204" s="3">
        <v>3</v>
      </c>
      <c r="X204" s="3" t="s">
        <v>7125</v>
      </c>
      <c r="Y204" s="3" t="s">
        <v>7126</v>
      </c>
      <c r="Z204" s="3"/>
      <c r="AA204" s="3">
        <v>200</v>
      </c>
      <c r="AB204" s="6">
        <v>43269</v>
      </c>
      <c r="AC204" s="3" t="s">
        <v>62</v>
      </c>
      <c r="AD204" s="3">
        <v>3</v>
      </c>
      <c r="AE204" s="3">
        <v>3</v>
      </c>
      <c r="AF204" s="3">
        <v>3</v>
      </c>
      <c r="AG204" s="3" t="s">
        <v>5974</v>
      </c>
      <c r="AH204" s="3">
        <v>10</v>
      </c>
      <c r="AI204" s="3">
        <v>3000</v>
      </c>
      <c r="AJ204" s="3" t="s">
        <v>120</v>
      </c>
      <c r="AK204" s="3"/>
      <c r="AL204" s="7" t="s">
        <v>7127</v>
      </c>
      <c r="AM204" s="7" t="s">
        <v>7128</v>
      </c>
      <c r="AN204" s="7" t="s">
        <v>7129</v>
      </c>
      <c r="AO204" s="7" t="s">
        <v>7130</v>
      </c>
      <c r="AP204" s="3"/>
      <c r="AQ204" s="3"/>
      <c r="AR204" s="7" t="s">
        <v>7131</v>
      </c>
      <c r="AS204" s="7" t="s">
        <v>7132</v>
      </c>
      <c r="AT204" s="3"/>
      <c r="AU204" s="7" t="s">
        <v>7133</v>
      </c>
      <c r="AV204" s="3"/>
      <c r="AW204" s="3"/>
    </row>
    <row r="205" spans="1:49" ht="12.5" x14ac:dyDescent="0.25">
      <c r="A205" s="3" t="s">
        <v>46</v>
      </c>
      <c r="B205" s="21" t="str">
        <f>HYPERLINK("https://gerandofalcoes.my.salesforce.com/0014X00002VKCuc", "0014X00002VKCuc")</f>
        <v>0014X00002VKCuc</v>
      </c>
      <c r="C205" s="7" t="str">
        <f>HYPERLINK("https://gerandofalcoes.my.salesforce.com/0014X00002VKCucQAH", "0014X00002VKCucQAH")</f>
        <v>0014X00002VKCucQAH</v>
      </c>
      <c r="D205" s="3" t="s">
        <v>7134</v>
      </c>
      <c r="E205" s="3" t="s">
        <v>7135</v>
      </c>
      <c r="F205" s="3" t="s">
        <v>7136</v>
      </c>
      <c r="G205" s="6">
        <v>44763</v>
      </c>
      <c r="H205" s="3">
        <v>33</v>
      </c>
      <c r="I205" s="3" t="s">
        <v>7137</v>
      </c>
      <c r="J205" s="3" t="s">
        <v>7138</v>
      </c>
      <c r="K205" s="3" t="s">
        <v>7139</v>
      </c>
      <c r="L205" s="3" t="s">
        <v>101</v>
      </c>
      <c r="M205" s="3" t="s">
        <v>7140</v>
      </c>
      <c r="N205" s="3" t="s">
        <v>7141</v>
      </c>
      <c r="O205" s="3">
        <v>105</v>
      </c>
      <c r="P205" s="3" t="s">
        <v>128</v>
      </c>
      <c r="Q205" s="3" t="s">
        <v>7142</v>
      </c>
      <c r="R205" s="3" t="s">
        <v>7143</v>
      </c>
      <c r="S205" s="3" t="s">
        <v>7144</v>
      </c>
      <c r="T205" s="3"/>
      <c r="U205" s="3" t="s">
        <v>3964</v>
      </c>
      <c r="V205" s="3" t="s">
        <v>7145</v>
      </c>
      <c r="W205" s="3">
        <v>7</v>
      </c>
      <c r="X205" s="3" t="s">
        <v>7146</v>
      </c>
      <c r="Y205" s="3"/>
      <c r="Z205" s="3"/>
      <c r="AA205" s="3">
        <v>320</v>
      </c>
      <c r="AB205" s="8">
        <v>44644</v>
      </c>
      <c r="AC205" s="3" t="s">
        <v>120</v>
      </c>
      <c r="AD205" s="3">
        <v>0</v>
      </c>
      <c r="AE205" s="3">
        <v>15</v>
      </c>
      <c r="AF205" s="3">
        <v>2</v>
      </c>
      <c r="AG205" s="3" t="s">
        <v>4032</v>
      </c>
      <c r="AH205" s="3">
        <v>0</v>
      </c>
      <c r="AI205" s="3">
        <v>300</v>
      </c>
      <c r="AJ205" s="3" t="s">
        <v>62</v>
      </c>
      <c r="AK205" s="3"/>
      <c r="AL205" s="7" t="s">
        <v>7147</v>
      </c>
      <c r="AM205" s="3" t="s">
        <v>7148</v>
      </c>
      <c r="AN205" s="7" t="s">
        <v>7149</v>
      </c>
      <c r="AO205" s="3"/>
      <c r="AP205" s="3"/>
      <c r="AQ205" s="3"/>
      <c r="AR205" s="3"/>
      <c r="AS205" s="3"/>
      <c r="AT205" s="3"/>
      <c r="AU205" s="7" t="s">
        <v>7150</v>
      </c>
      <c r="AV205" s="3"/>
      <c r="AW205" s="3"/>
    </row>
    <row r="206" spans="1:49" ht="12.5" x14ac:dyDescent="0.25">
      <c r="A206" s="3" t="s">
        <v>46</v>
      </c>
      <c r="B206" s="21" t="str">
        <f>HYPERLINK("https://gerandofalcoes.my.salesforce.com/0014X00002VKCud", "0014X00002VKCud")</f>
        <v>0014X00002VKCud</v>
      </c>
      <c r="C206" s="7" t="str">
        <f>HYPERLINK("https://gerandofalcoes.my.salesforce.com/0014X00002VKCudQAH", "0014X00002VKCudQAH")</f>
        <v>0014X00002VKCudQAH</v>
      </c>
      <c r="D206" s="3" t="s">
        <v>7151</v>
      </c>
      <c r="E206" s="3" t="s">
        <v>7152</v>
      </c>
      <c r="F206" s="3" t="s">
        <v>7153</v>
      </c>
      <c r="G206" s="6">
        <v>44763</v>
      </c>
      <c r="H206" s="3">
        <v>33</v>
      </c>
      <c r="I206" s="3" t="s">
        <v>7154</v>
      </c>
      <c r="J206" s="3" t="s">
        <v>7155</v>
      </c>
      <c r="K206" s="3" t="s">
        <v>7156</v>
      </c>
      <c r="L206" s="3" t="s">
        <v>101</v>
      </c>
      <c r="M206" s="3" t="s">
        <v>7157</v>
      </c>
      <c r="N206" s="3" t="s">
        <v>7158</v>
      </c>
      <c r="O206" s="3">
        <v>2106</v>
      </c>
      <c r="P206" s="3" t="s">
        <v>128</v>
      </c>
      <c r="Q206" s="3" t="s">
        <v>7159</v>
      </c>
      <c r="R206" s="3" t="s">
        <v>7160</v>
      </c>
      <c r="S206" s="3" t="s">
        <v>7161</v>
      </c>
      <c r="T206" s="3"/>
      <c r="U206" s="3" t="s">
        <v>7162</v>
      </c>
      <c r="V206" s="3" t="s">
        <v>3800</v>
      </c>
      <c r="W206" s="3">
        <v>70</v>
      </c>
      <c r="X206" s="3" t="s">
        <v>7163</v>
      </c>
      <c r="Y206" s="3" t="s">
        <v>7164</v>
      </c>
      <c r="Z206" s="3"/>
      <c r="AA206" s="3">
        <v>70</v>
      </c>
      <c r="AB206" s="6">
        <v>44381</v>
      </c>
      <c r="AC206" s="3" t="s">
        <v>62</v>
      </c>
      <c r="AD206" s="3">
        <v>16</v>
      </c>
      <c r="AE206" s="3">
        <v>70</v>
      </c>
      <c r="AF206" s="3">
        <v>3</v>
      </c>
      <c r="AG206" s="3" t="s">
        <v>4782</v>
      </c>
      <c r="AH206" s="3" t="s">
        <v>7165</v>
      </c>
      <c r="AI206" s="3">
        <v>20000</v>
      </c>
      <c r="AJ206" s="3" t="s">
        <v>120</v>
      </c>
      <c r="AK206" s="3"/>
      <c r="AL206" s="7" t="s">
        <v>7166</v>
      </c>
      <c r="AM206" s="7" t="s">
        <v>7167</v>
      </c>
      <c r="AN206" s="7" t="s">
        <v>7168</v>
      </c>
      <c r="AO206" s="3"/>
      <c r="AP206" s="3"/>
      <c r="AQ206" s="7" t="s">
        <v>7169</v>
      </c>
      <c r="AR206" s="7" t="s">
        <v>7170</v>
      </c>
      <c r="AS206" s="7" t="s">
        <v>7171</v>
      </c>
      <c r="AT206" s="7" t="s">
        <v>7172</v>
      </c>
      <c r="AU206" s="7" t="s">
        <v>7173</v>
      </c>
      <c r="AV206" s="3"/>
      <c r="AW206" s="3"/>
    </row>
    <row r="207" spans="1:49" ht="12.5" x14ac:dyDescent="0.25">
      <c r="A207" s="3" t="s">
        <v>46</v>
      </c>
      <c r="B207" s="21" t="str">
        <f>HYPERLINK("https://gerandofalcoes.my.salesforce.com/0014X00002VKCue", "0014X00002VKCue")</f>
        <v>0014X00002VKCue</v>
      </c>
      <c r="C207" s="7" t="str">
        <f>HYPERLINK("https://gerandofalcoes.my.salesforce.com/0014X00002VKCueQAH", "0014X00002VKCueQAH")</f>
        <v>0014X00002VKCueQAH</v>
      </c>
      <c r="D207" s="3" t="s">
        <v>7174</v>
      </c>
      <c r="E207" s="3" t="s">
        <v>7175</v>
      </c>
      <c r="F207" s="3" t="s">
        <v>7176</v>
      </c>
      <c r="G207" s="6">
        <v>44763</v>
      </c>
      <c r="H207" s="3">
        <v>33</v>
      </c>
      <c r="I207" s="3" t="s">
        <v>7177</v>
      </c>
      <c r="J207" s="3" t="s">
        <v>7178</v>
      </c>
      <c r="K207" s="3" t="s">
        <v>7179</v>
      </c>
      <c r="L207" s="3" t="s">
        <v>101</v>
      </c>
      <c r="M207" s="3" t="s">
        <v>7180</v>
      </c>
      <c r="N207" s="3" t="s">
        <v>7181</v>
      </c>
      <c r="O207" s="3">
        <v>59</v>
      </c>
      <c r="P207" s="3" t="s">
        <v>128</v>
      </c>
      <c r="Q207" s="3"/>
      <c r="R207" s="3" t="s">
        <v>7182</v>
      </c>
      <c r="S207" s="3"/>
      <c r="T207" s="3"/>
      <c r="U207" s="3" t="s">
        <v>3872</v>
      </c>
      <c r="V207" s="3" t="s">
        <v>7183</v>
      </c>
      <c r="W207" s="3">
        <v>3</v>
      </c>
      <c r="X207" s="3">
        <v>10</v>
      </c>
      <c r="Y207" s="3"/>
      <c r="Z207" s="3"/>
      <c r="AA207" s="3">
        <v>5000</v>
      </c>
      <c r="AB207" s="6">
        <v>43544</v>
      </c>
      <c r="AC207" s="3" t="s">
        <v>62</v>
      </c>
      <c r="AD207" s="3">
        <v>0</v>
      </c>
      <c r="AE207" s="3">
        <v>6</v>
      </c>
      <c r="AF207" s="3">
        <v>3</v>
      </c>
      <c r="AG207" s="3" t="s">
        <v>4143</v>
      </c>
      <c r="AH207" s="3">
        <v>0</v>
      </c>
      <c r="AI207" s="3">
        <v>15000</v>
      </c>
      <c r="AJ207" s="3" t="s">
        <v>62</v>
      </c>
      <c r="AK207" s="3"/>
      <c r="AL207" s="7" t="s">
        <v>7184</v>
      </c>
      <c r="AM207" s="7" t="s">
        <v>7185</v>
      </c>
      <c r="AN207" s="7" t="s">
        <v>7186</v>
      </c>
      <c r="AO207" s="7" t="s">
        <v>7187</v>
      </c>
      <c r="AP207" s="3"/>
      <c r="AQ207" s="3"/>
      <c r="AR207" s="3"/>
      <c r="AS207" s="7" t="s">
        <v>7188</v>
      </c>
      <c r="AT207" s="3"/>
      <c r="AU207" s="7" t="s">
        <v>7189</v>
      </c>
      <c r="AV207" s="3"/>
      <c r="AW207" s="3"/>
    </row>
    <row r="208" spans="1:49" ht="12.5" x14ac:dyDescent="0.25">
      <c r="A208" s="3" t="s">
        <v>46</v>
      </c>
      <c r="B208" s="21" t="str">
        <f>HYPERLINK("https://gerandofalcoes.my.salesforce.com/0014X00002VKCsB", "0014X00002VKCsB")</f>
        <v>0014X00002VKCsB</v>
      </c>
      <c r="C208" s="7" t="str">
        <f>HYPERLINK("https://gerandofalcoes.my.salesforce.com/0014X00002VKCsBQAX", "0014X00002VKCsBQAX")</f>
        <v>0014X00002VKCsBQAX</v>
      </c>
      <c r="D208" s="3" t="s">
        <v>7190</v>
      </c>
      <c r="E208" s="3" t="s">
        <v>7191</v>
      </c>
      <c r="F208" s="3"/>
      <c r="G208" s="6">
        <v>44763</v>
      </c>
      <c r="H208" s="3">
        <v>33</v>
      </c>
      <c r="I208" s="3" t="s">
        <v>7192</v>
      </c>
      <c r="J208" s="3" t="s">
        <v>7193</v>
      </c>
      <c r="K208" s="3" t="s">
        <v>7194</v>
      </c>
      <c r="L208" s="3" t="s">
        <v>379</v>
      </c>
      <c r="M208" s="3" t="s">
        <v>7195</v>
      </c>
      <c r="N208" s="3" t="s">
        <v>7196</v>
      </c>
      <c r="O208" s="3">
        <v>57</v>
      </c>
      <c r="P208" s="3" t="s">
        <v>5305</v>
      </c>
      <c r="Q208" s="3"/>
      <c r="R208" s="3" t="s">
        <v>7197</v>
      </c>
      <c r="S208" s="3" t="s">
        <v>7198</v>
      </c>
      <c r="T208" s="3"/>
      <c r="U208" s="3" t="s">
        <v>4081</v>
      </c>
      <c r="V208" s="3" t="s">
        <v>5872</v>
      </c>
      <c r="W208" s="3">
        <v>3</v>
      </c>
      <c r="X208" s="3" t="s">
        <v>7199</v>
      </c>
      <c r="Y208" s="3" t="s">
        <v>7200</v>
      </c>
      <c r="Z208" s="3"/>
      <c r="AA208" s="3">
        <v>100</v>
      </c>
      <c r="AB208" s="8">
        <v>40563</v>
      </c>
      <c r="AC208" s="3" t="s">
        <v>120</v>
      </c>
      <c r="AD208" s="3">
        <v>1</v>
      </c>
      <c r="AE208" s="3">
        <v>16</v>
      </c>
      <c r="AF208" s="3">
        <v>3</v>
      </c>
      <c r="AG208" s="3" t="s">
        <v>3966</v>
      </c>
      <c r="AH208" s="3" t="s">
        <v>7201</v>
      </c>
      <c r="AI208" s="3">
        <v>36000</v>
      </c>
      <c r="AJ208" s="3" t="s">
        <v>62</v>
      </c>
      <c r="AK208" s="3"/>
      <c r="AL208" s="3"/>
      <c r="AM208" s="7" t="s">
        <v>7202</v>
      </c>
      <c r="AN208" s="3"/>
      <c r="AO208" s="3"/>
      <c r="AP208" s="3"/>
      <c r="AQ208" s="3"/>
      <c r="AR208" s="3"/>
      <c r="AS208" s="3"/>
      <c r="AT208" s="3"/>
      <c r="AU208" s="7" t="s">
        <v>7203</v>
      </c>
      <c r="AV208" s="3"/>
      <c r="AW208" s="3"/>
    </row>
    <row r="209" spans="1:49" ht="12.5" x14ac:dyDescent="0.25">
      <c r="A209" s="3" t="s">
        <v>46</v>
      </c>
      <c r="B209" s="21" t="str">
        <f>HYPERLINK("https://gerandofalcoes.my.salesforce.com/0014X00002VKCsC", "0014X00002VKCsC")</f>
        <v>0014X00002VKCsC</v>
      </c>
      <c r="C209" s="7" t="str">
        <f>HYPERLINK("https://gerandofalcoes.my.salesforce.com/0014X00002VKCsCQAX", "0014X00002VKCsCQAX")</f>
        <v>0014X00002VKCsCQAX</v>
      </c>
      <c r="D209" s="3" t="s">
        <v>7204</v>
      </c>
      <c r="E209" s="3" t="s">
        <v>7205</v>
      </c>
      <c r="F209" s="3" t="s">
        <v>7206</v>
      </c>
      <c r="G209" s="6">
        <v>44763</v>
      </c>
      <c r="H209" s="3">
        <v>33</v>
      </c>
      <c r="I209" s="3" t="s">
        <v>7207</v>
      </c>
      <c r="J209" s="3" t="s">
        <v>7208</v>
      </c>
      <c r="K209" s="3" t="s">
        <v>7209</v>
      </c>
      <c r="L209" s="3" t="s">
        <v>379</v>
      </c>
      <c r="M209" s="3" t="s">
        <v>7210</v>
      </c>
      <c r="N209" s="3" t="s">
        <v>7211</v>
      </c>
      <c r="O209" s="3">
        <v>1</v>
      </c>
      <c r="P209" s="3" t="s">
        <v>7212</v>
      </c>
      <c r="Q209" s="3" t="s">
        <v>1539</v>
      </c>
      <c r="R209" s="3" t="s">
        <v>7213</v>
      </c>
      <c r="S209" s="3" t="s">
        <v>120</v>
      </c>
      <c r="T209" s="3"/>
      <c r="U209" s="3" t="s">
        <v>4062</v>
      </c>
      <c r="V209" s="3" t="s">
        <v>6641</v>
      </c>
      <c r="W209" s="3">
        <v>5</v>
      </c>
      <c r="X209" s="3" t="s">
        <v>7214</v>
      </c>
      <c r="Y209" s="3"/>
      <c r="Z209" s="3"/>
      <c r="AA209" s="3">
        <v>250</v>
      </c>
      <c r="AB209" s="6">
        <v>44491</v>
      </c>
      <c r="AC209" s="3" t="s">
        <v>62</v>
      </c>
      <c r="AD209" s="3">
        <v>0</v>
      </c>
      <c r="AE209" s="3">
        <v>9</v>
      </c>
      <c r="AF209" s="3">
        <v>2</v>
      </c>
      <c r="AG209" s="3" t="s">
        <v>7215</v>
      </c>
      <c r="AH209" s="3" t="s">
        <v>7216</v>
      </c>
      <c r="AI209" s="3">
        <v>250</v>
      </c>
      <c r="AJ209" s="3" t="s">
        <v>61</v>
      </c>
      <c r="AK209" s="3"/>
      <c r="AL209" s="3" t="s">
        <v>7208</v>
      </c>
      <c r="AM209" s="3" t="s">
        <v>7208</v>
      </c>
      <c r="AN209" s="3"/>
      <c r="AO209" s="3" t="s">
        <v>7208</v>
      </c>
      <c r="AP209" s="3"/>
      <c r="AQ209" s="7" t="s">
        <v>7217</v>
      </c>
      <c r="AR209" s="3"/>
      <c r="AS209" s="3"/>
      <c r="AT209" s="3"/>
      <c r="AU209" s="7" t="s">
        <v>7218</v>
      </c>
      <c r="AV209" s="3"/>
      <c r="AW209" s="3"/>
    </row>
    <row r="210" spans="1:49" ht="12.5" x14ac:dyDescent="0.25">
      <c r="A210" s="3" t="s">
        <v>46</v>
      </c>
      <c r="B210" s="21" t="str">
        <f>HYPERLINK("https://gerandofalcoes.my.salesforce.com/0014X00002VKCsD", "0014X00002VKCsD")</f>
        <v>0014X00002VKCsD</v>
      </c>
      <c r="C210" s="7" t="str">
        <f>HYPERLINK("https://gerandofalcoes.my.salesforce.com/0014X00002VKCsDQAX", "0014X00002VKCsDQAX")</f>
        <v>0014X00002VKCsDQAX</v>
      </c>
      <c r="D210" s="3" t="s">
        <v>7219</v>
      </c>
      <c r="E210" s="3" t="s">
        <v>7220</v>
      </c>
      <c r="F210" s="3"/>
      <c r="G210" s="6">
        <v>44763</v>
      </c>
      <c r="H210" s="3">
        <v>33</v>
      </c>
      <c r="I210" s="3" t="s">
        <v>7221</v>
      </c>
      <c r="J210" s="3" t="s">
        <v>7222</v>
      </c>
      <c r="K210" s="3" t="s">
        <v>7223</v>
      </c>
      <c r="L210" s="3" t="s">
        <v>379</v>
      </c>
      <c r="M210" s="3" t="s">
        <v>7224</v>
      </c>
      <c r="N210" s="3" t="s">
        <v>7225</v>
      </c>
      <c r="O210" s="3">
        <v>48</v>
      </c>
      <c r="P210" s="3" t="s">
        <v>7226</v>
      </c>
      <c r="Q210" s="3" t="s">
        <v>673</v>
      </c>
      <c r="R210" s="3" t="s">
        <v>7227</v>
      </c>
      <c r="S210" s="3"/>
      <c r="T210" s="3"/>
      <c r="U210" s="3" t="s">
        <v>3872</v>
      </c>
      <c r="V210" s="3" t="s">
        <v>7228</v>
      </c>
      <c r="W210" s="3">
        <v>12</v>
      </c>
      <c r="X210" s="3" t="s">
        <v>7229</v>
      </c>
      <c r="Y210" s="3"/>
      <c r="Z210" s="3"/>
      <c r="AA210" s="3">
        <v>760</v>
      </c>
      <c r="AB210" s="6">
        <v>44339</v>
      </c>
      <c r="AC210" s="3" t="s">
        <v>120</v>
      </c>
      <c r="AD210" s="3">
        <v>0</v>
      </c>
      <c r="AE210" s="3">
        <v>7</v>
      </c>
      <c r="AF210" s="3">
        <v>2</v>
      </c>
      <c r="AG210" s="3" t="s">
        <v>7230</v>
      </c>
      <c r="AH210" s="3" t="s">
        <v>7231</v>
      </c>
      <c r="AI210" s="3">
        <v>14000</v>
      </c>
      <c r="AJ210" s="3" t="s">
        <v>61</v>
      </c>
      <c r="AK210" s="3"/>
      <c r="AL210" s="3"/>
      <c r="AM210" s="3"/>
      <c r="AN210" s="3"/>
      <c r="AO210" s="3"/>
      <c r="AP210" s="3"/>
      <c r="AQ210" s="3"/>
      <c r="AR210" s="3"/>
      <c r="AS210" s="3"/>
      <c r="AT210" s="3"/>
      <c r="AU210" s="7" t="s">
        <v>7232</v>
      </c>
      <c r="AV210" s="3"/>
      <c r="AW210" s="3"/>
    </row>
    <row r="211" spans="1:49" ht="12.5" x14ac:dyDescent="0.25">
      <c r="A211" s="3" t="s">
        <v>46</v>
      </c>
      <c r="B211" s="21" t="str">
        <f>HYPERLINK("https://gerandofalcoes.my.salesforce.com/0014X00002VKCsE", "0014X00002VKCsE")</f>
        <v>0014X00002VKCsE</v>
      </c>
      <c r="C211" s="21" t="str">
        <f>HYPERLINK("https://gerandofalcoes.my.salesforce.com/0014X00002VKCsEQAX", "0014X00002VKCsEQAX")</f>
        <v>0014X00002VKCsEQAX</v>
      </c>
      <c r="D211" s="3" t="s">
        <v>7233</v>
      </c>
      <c r="E211" s="3" t="s">
        <v>7234</v>
      </c>
      <c r="F211" s="3" t="s">
        <v>7235</v>
      </c>
      <c r="G211" s="6">
        <v>44763</v>
      </c>
      <c r="H211" s="3">
        <v>33</v>
      </c>
      <c r="I211" s="3" t="s">
        <v>7236</v>
      </c>
      <c r="J211" s="3" t="s">
        <v>7237</v>
      </c>
      <c r="K211" s="3" t="s">
        <v>7238</v>
      </c>
      <c r="L211" s="3" t="s">
        <v>1171</v>
      </c>
      <c r="M211" s="3" t="s">
        <v>7239</v>
      </c>
      <c r="N211" s="3" t="s">
        <v>7240</v>
      </c>
      <c r="O211" s="3">
        <v>53</v>
      </c>
      <c r="P211" s="3" t="s">
        <v>7241</v>
      </c>
      <c r="Q211" s="3" t="s">
        <v>7242</v>
      </c>
      <c r="R211" s="3" t="s">
        <v>7243</v>
      </c>
      <c r="S211" s="3" t="s">
        <v>7244</v>
      </c>
      <c r="T211" s="3"/>
      <c r="U211" s="3" t="s">
        <v>4877</v>
      </c>
      <c r="V211" s="3" t="s">
        <v>4141</v>
      </c>
      <c r="W211" s="3">
        <v>5</v>
      </c>
      <c r="X211" s="3" t="s">
        <v>7245</v>
      </c>
      <c r="Y211" s="3"/>
      <c r="Z211" s="3"/>
      <c r="AA211" s="3">
        <v>150</v>
      </c>
      <c r="AB211" s="6">
        <v>30304</v>
      </c>
      <c r="AC211" s="3" t="s">
        <v>62</v>
      </c>
      <c r="AD211" s="3">
        <v>2</v>
      </c>
      <c r="AE211" s="3">
        <v>5</v>
      </c>
      <c r="AF211" s="3">
        <v>3</v>
      </c>
      <c r="AG211" s="3" t="s">
        <v>5497</v>
      </c>
      <c r="AH211" s="3" t="s">
        <v>30</v>
      </c>
      <c r="AI211" s="3">
        <v>1000</v>
      </c>
      <c r="AJ211" s="3" t="s">
        <v>120</v>
      </c>
      <c r="AK211" s="3"/>
      <c r="AL211" s="7" t="s">
        <v>7246</v>
      </c>
      <c r="AM211" s="7" t="s">
        <v>7247</v>
      </c>
      <c r="AN211" s="3"/>
      <c r="AO211" s="7" t="s">
        <v>7246</v>
      </c>
      <c r="AP211" s="3"/>
      <c r="AQ211" s="3"/>
      <c r="AR211" s="7" t="s">
        <v>7248</v>
      </c>
      <c r="AS211" s="7" t="s">
        <v>7249</v>
      </c>
      <c r="AT211" s="3"/>
      <c r="AU211" s="7" t="s">
        <v>7250</v>
      </c>
      <c r="AV211" s="3"/>
      <c r="AW211" s="3"/>
    </row>
    <row r="212" spans="1:49" ht="12.5" x14ac:dyDescent="0.25">
      <c r="A212" s="3" t="s">
        <v>46</v>
      </c>
      <c r="B212" s="21" t="str">
        <f>HYPERLINK("https://gerandofalcoes.my.salesforce.com/0014X00002VKCsF", "0014X00002VKCsF")</f>
        <v>0014X00002VKCsF</v>
      </c>
      <c r="C212" s="7" t="str">
        <f>HYPERLINK("https://gerandofalcoes.my.salesforce.com/0014X00002VKCsFQAX", "0014X00002VKCsFQAX")</f>
        <v>0014X00002VKCsFQAX</v>
      </c>
      <c r="D212" s="3" t="s">
        <v>7251</v>
      </c>
      <c r="E212" s="3" t="s">
        <v>7252</v>
      </c>
      <c r="F212" s="3" t="s">
        <v>7253</v>
      </c>
      <c r="G212" s="6">
        <v>44763</v>
      </c>
      <c r="H212" s="3">
        <v>33</v>
      </c>
      <c r="I212" s="3" t="s">
        <v>7254</v>
      </c>
      <c r="J212" s="3" t="s">
        <v>7255</v>
      </c>
      <c r="K212" s="3" t="s">
        <v>7256</v>
      </c>
      <c r="L212" s="3" t="s">
        <v>379</v>
      </c>
      <c r="M212" s="3" t="s">
        <v>7257</v>
      </c>
      <c r="N212" s="3" t="s">
        <v>7258</v>
      </c>
      <c r="O212" s="3">
        <v>40</v>
      </c>
      <c r="P212" s="3" t="s">
        <v>7226</v>
      </c>
      <c r="Q212" s="3"/>
      <c r="R212" s="3" t="s">
        <v>7259</v>
      </c>
      <c r="S212" s="3" t="s">
        <v>7260</v>
      </c>
      <c r="T212" s="3"/>
      <c r="U212" s="3" t="s">
        <v>3913</v>
      </c>
      <c r="V212" s="3" t="s">
        <v>4945</v>
      </c>
      <c r="W212" s="3">
        <v>5</v>
      </c>
      <c r="X212" s="3" t="s">
        <v>7261</v>
      </c>
      <c r="Y212" s="3"/>
      <c r="Z212" s="3"/>
      <c r="AA212" s="3">
        <v>750</v>
      </c>
      <c r="AB212" s="6">
        <v>36939</v>
      </c>
      <c r="AC212" s="3" t="s">
        <v>62</v>
      </c>
      <c r="AD212" s="3">
        <v>0</v>
      </c>
      <c r="AE212" s="3">
        <v>10</v>
      </c>
      <c r="AF212" s="3">
        <v>2</v>
      </c>
      <c r="AG212" s="3" t="s">
        <v>4156</v>
      </c>
      <c r="AH212" s="3" t="s">
        <v>7262</v>
      </c>
      <c r="AI212" s="3">
        <v>1500</v>
      </c>
      <c r="AJ212" s="3" t="s">
        <v>120</v>
      </c>
      <c r="AK212" s="3"/>
      <c r="AL212" s="7" t="s">
        <v>7263</v>
      </c>
      <c r="AM212" s="7" t="s">
        <v>7264</v>
      </c>
      <c r="AN212" s="3"/>
      <c r="AO212" s="3"/>
      <c r="AP212" s="3"/>
      <c r="AQ212" s="7" t="s">
        <v>7265</v>
      </c>
      <c r="AR212" s="7" t="s">
        <v>7266</v>
      </c>
      <c r="AS212" s="7" t="s">
        <v>7267</v>
      </c>
      <c r="AT212" s="7" t="s">
        <v>7268</v>
      </c>
      <c r="AU212" s="7" t="s">
        <v>7269</v>
      </c>
      <c r="AV212" s="3"/>
      <c r="AW212" s="3"/>
    </row>
    <row r="213" spans="1:49" ht="12.5" x14ac:dyDescent="0.25">
      <c r="A213" s="3" t="s">
        <v>46</v>
      </c>
      <c r="B213" s="21" t="str">
        <f>HYPERLINK("https://gerandofalcoes.my.salesforce.com/0014X00002VKCsG", "0014X00002VKCsG")</f>
        <v>0014X00002VKCsG</v>
      </c>
      <c r="C213" s="21" t="str">
        <f>HYPERLINK("https://gerandofalcoes.my.salesforce.com/0014X00002VKCsGQAX", "0014X00002VKCsGQAX")</f>
        <v>0014X00002VKCsGQAX</v>
      </c>
      <c r="D213" s="3" t="s">
        <v>7270</v>
      </c>
      <c r="E213" s="3" t="s">
        <v>7271</v>
      </c>
      <c r="F213" s="3"/>
      <c r="G213" s="8"/>
      <c r="H213" s="3"/>
      <c r="I213" s="3" t="s">
        <v>7272</v>
      </c>
      <c r="J213" s="3" t="s">
        <v>7273</v>
      </c>
      <c r="K213" s="3" t="s">
        <v>7274</v>
      </c>
      <c r="L213" s="3" t="s">
        <v>70</v>
      </c>
      <c r="M213" s="3" t="s">
        <v>7275</v>
      </c>
      <c r="N213" s="3" t="s">
        <v>7276</v>
      </c>
      <c r="O213" s="3">
        <v>18</v>
      </c>
      <c r="P213" s="3" t="s">
        <v>7277</v>
      </c>
      <c r="Q213" s="3" t="s">
        <v>7278</v>
      </c>
      <c r="R213" s="3" t="s">
        <v>7279</v>
      </c>
      <c r="S213" s="3"/>
      <c r="T213" s="3"/>
      <c r="U213" s="3" t="s">
        <v>7280</v>
      </c>
      <c r="V213" s="3" t="s">
        <v>7281</v>
      </c>
      <c r="W213" s="3">
        <v>1</v>
      </c>
      <c r="X213" s="3" t="s">
        <v>7282</v>
      </c>
      <c r="Y213" s="3"/>
      <c r="Z213" s="3"/>
      <c r="AA213" s="3">
        <v>100</v>
      </c>
      <c r="AB213" s="6">
        <v>44958</v>
      </c>
      <c r="AC213" s="3" t="s">
        <v>120</v>
      </c>
      <c r="AD213" s="3">
        <v>0</v>
      </c>
      <c r="AE213" s="3">
        <v>2</v>
      </c>
      <c r="AF213" s="3">
        <v>9</v>
      </c>
      <c r="AG213" s="3" t="s">
        <v>7283</v>
      </c>
      <c r="AH213" s="3" t="s">
        <v>7284</v>
      </c>
      <c r="AI213" s="3">
        <v>1000</v>
      </c>
      <c r="AJ213" s="3" t="s">
        <v>120</v>
      </c>
      <c r="AK213" s="3"/>
      <c r="AL213" s="7" t="s">
        <v>7285</v>
      </c>
      <c r="AM213" s="7" t="s">
        <v>7286</v>
      </c>
      <c r="AN213" s="3"/>
      <c r="AO213" s="3"/>
      <c r="AP213" s="3"/>
      <c r="AQ213" s="3"/>
      <c r="AR213" s="3"/>
      <c r="AS213" s="3"/>
      <c r="AT213" s="3"/>
      <c r="AU213" s="3"/>
      <c r="AV213" s="3"/>
      <c r="AW213" s="3"/>
    </row>
    <row r="214" spans="1:49" ht="12.5" x14ac:dyDescent="0.25">
      <c r="A214" s="3" t="s">
        <v>46</v>
      </c>
      <c r="B214" s="21" t="str">
        <f>HYPERLINK("https://gerandofalcoes.my.salesforce.com/0014X00002VKCsI", "0014X00002VKCsI")</f>
        <v>0014X00002VKCsI</v>
      </c>
      <c r="C214" s="21" t="str">
        <f>HYPERLINK("https://gerandofalcoes.my.salesforce.com/0014X00002VKCsIQAX", "0014X00002VKCsIQAX")</f>
        <v>0014X00002VKCsIQAX</v>
      </c>
      <c r="D214" s="3" t="s">
        <v>7287</v>
      </c>
      <c r="E214" s="3" t="s">
        <v>7288</v>
      </c>
      <c r="F214" s="3" t="s">
        <v>7289</v>
      </c>
      <c r="G214" s="6">
        <v>44763</v>
      </c>
      <c r="H214" s="3">
        <v>33</v>
      </c>
      <c r="I214" s="3" t="s">
        <v>7290</v>
      </c>
      <c r="J214" s="3" t="s">
        <v>7291</v>
      </c>
      <c r="K214" s="3" t="s">
        <v>7292</v>
      </c>
      <c r="L214" s="3" t="s">
        <v>70</v>
      </c>
      <c r="M214" s="3" t="s">
        <v>7293</v>
      </c>
      <c r="N214" s="3" t="s">
        <v>7294</v>
      </c>
      <c r="O214" s="3">
        <v>79</v>
      </c>
      <c r="P214" s="3" t="s">
        <v>73</v>
      </c>
      <c r="Q214" s="3" t="s">
        <v>7295</v>
      </c>
      <c r="R214" s="3" t="s">
        <v>7296</v>
      </c>
      <c r="S214" s="3"/>
      <c r="T214" s="3"/>
      <c r="U214" s="3" t="s">
        <v>4346</v>
      </c>
      <c r="V214" s="3" t="s">
        <v>7297</v>
      </c>
      <c r="W214" s="3">
        <v>2</v>
      </c>
      <c r="X214" s="3" t="s">
        <v>7298</v>
      </c>
      <c r="Y214" s="3" t="s">
        <v>7299</v>
      </c>
      <c r="Z214" s="3"/>
      <c r="AA214" s="3">
        <v>890</v>
      </c>
      <c r="AB214" s="6">
        <v>38755</v>
      </c>
      <c r="AC214" s="3" t="s">
        <v>62</v>
      </c>
      <c r="AD214" s="3">
        <v>0</v>
      </c>
      <c r="AE214" s="3">
        <v>4</v>
      </c>
      <c r="AF214" s="3">
        <v>111</v>
      </c>
      <c r="AG214" s="3" t="s">
        <v>3833</v>
      </c>
      <c r="AH214" s="3">
        <v>0</v>
      </c>
      <c r="AI214" s="3">
        <v>102000</v>
      </c>
      <c r="AJ214" s="3" t="s">
        <v>61</v>
      </c>
      <c r="AK214" s="3"/>
      <c r="AL214" s="7" t="s">
        <v>7300</v>
      </c>
      <c r="AM214" s="7" t="s">
        <v>7301</v>
      </c>
      <c r="AN214" s="3"/>
      <c r="AO214" s="3"/>
      <c r="AP214" s="3"/>
      <c r="AQ214" s="7" t="s">
        <v>7302</v>
      </c>
      <c r="AR214" s="7" t="s">
        <v>7303</v>
      </c>
      <c r="AS214" s="7" t="s">
        <v>7304</v>
      </c>
      <c r="AT214" s="7" t="s">
        <v>7305</v>
      </c>
      <c r="AU214" s="7" t="s">
        <v>7306</v>
      </c>
      <c r="AV214" s="3"/>
      <c r="AW214" s="3"/>
    </row>
    <row r="215" spans="1:49" ht="12.5" x14ac:dyDescent="0.25">
      <c r="A215" s="3" t="s">
        <v>46</v>
      </c>
      <c r="B215" s="21" t="str">
        <f>HYPERLINK("https://gerandofalcoes.my.salesforce.com/0014X00002VKCsK", "0014X00002VKCsK")</f>
        <v>0014X00002VKCsK</v>
      </c>
      <c r="C215" s="21" t="str">
        <f>HYPERLINK("https://gerandofalcoes.my.salesforce.com/0014X00002VKCsKQAX", "0014X00002VKCsKQAX")</f>
        <v>0014X00002VKCsKQAX</v>
      </c>
      <c r="D215" s="3" t="s">
        <v>7307</v>
      </c>
      <c r="E215" s="3" t="s">
        <v>7308</v>
      </c>
      <c r="F215" s="3"/>
      <c r="G215" s="8">
        <v>44763</v>
      </c>
      <c r="H215" s="3">
        <v>33</v>
      </c>
      <c r="I215" s="3" t="s">
        <v>7309</v>
      </c>
      <c r="J215" s="3" t="s">
        <v>7310</v>
      </c>
      <c r="K215" s="3">
        <v>21978900996</v>
      </c>
      <c r="L215" s="3" t="s">
        <v>70</v>
      </c>
      <c r="M215" s="3" t="s">
        <v>7311</v>
      </c>
      <c r="N215" s="3" t="s">
        <v>7312</v>
      </c>
      <c r="O215" s="3">
        <v>186</v>
      </c>
      <c r="P215" s="3" t="s">
        <v>73</v>
      </c>
      <c r="Q215" s="3"/>
      <c r="R215" s="3" t="s">
        <v>7313</v>
      </c>
      <c r="S215" s="3"/>
      <c r="T215" s="3"/>
      <c r="U215" s="3"/>
      <c r="V215" s="3"/>
      <c r="W215" s="3">
        <v>2</v>
      </c>
      <c r="X215" s="3" t="s">
        <v>7314</v>
      </c>
      <c r="Y215" s="3" t="s">
        <v>7315</v>
      </c>
      <c r="Z215" s="3"/>
      <c r="AA215" s="3">
        <v>60</v>
      </c>
      <c r="AB215" s="6">
        <v>44174</v>
      </c>
      <c r="AC215" s="3" t="s">
        <v>120</v>
      </c>
      <c r="AD215" s="3"/>
      <c r="AE215" s="3">
        <v>10</v>
      </c>
      <c r="AF215" s="3">
        <v>1</v>
      </c>
      <c r="AG215" s="3"/>
      <c r="AH215" s="3"/>
      <c r="AI215" s="3">
        <v>20</v>
      </c>
      <c r="AJ215" s="3" t="s">
        <v>120</v>
      </c>
      <c r="AK215" s="3"/>
      <c r="AL215" s="3"/>
      <c r="AM215" s="7" t="s">
        <v>7316</v>
      </c>
      <c r="AN215" s="7" t="s">
        <v>7317</v>
      </c>
      <c r="AO215" s="3"/>
      <c r="AP215" s="3"/>
      <c r="AQ215" s="7" t="s">
        <v>7318</v>
      </c>
      <c r="AR215" s="3"/>
      <c r="AS215" s="3"/>
      <c r="AT215" s="3"/>
      <c r="AU215" s="7" t="s">
        <v>7319</v>
      </c>
      <c r="AV215" s="3"/>
      <c r="AW215" s="3"/>
    </row>
    <row r="216" spans="1:49" ht="12.5" x14ac:dyDescent="0.25">
      <c r="A216" s="3" t="s">
        <v>46</v>
      </c>
      <c r="B216" s="21" t="str">
        <f>HYPERLINK("https://gerandofalcoes.my.salesforce.com/0014X00002VKCsL", "0014X00002VKCsL")</f>
        <v>0014X00002VKCsL</v>
      </c>
      <c r="C216" s="21" t="str">
        <f>HYPERLINK("https://gerandofalcoes.my.salesforce.com/0014X00002VKCsLQAX", "0014X00002VKCsLQAX")</f>
        <v>0014X00002VKCsLQAX</v>
      </c>
      <c r="D216" s="3" t="s">
        <v>7320</v>
      </c>
      <c r="E216" s="3" t="s">
        <v>7321</v>
      </c>
      <c r="F216" s="3"/>
      <c r="G216" s="8">
        <v>44763</v>
      </c>
      <c r="H216" s="3">
        <v>33</v>
      </c>
      <c r="I216" s="3" t="s">
        <v>7322</v>
      </c>
      <c r="J216" s="3" t="s">
        <v>7323</v>
      </c>
      <c r="K216" s="3" t="s">
        <v>7324</v>
      </c>
      <c r="L216" s="3" t="s">
        <v>70</v>
      </c>
      <c r="M216" s="3" t="s">
        <v>7325</v>
      </c>
      <c r="N216" s="3" t="s">
        <v>7326</v>
      </c>
      <c r="O216" s="3">
        <v>256</v>
      </c>
      <c r="P216" s="3" t="s">
        <v>7327</v>
      </c>
      <c r="Q216" s="3"/>
      <c r="R216" s="3" t="s">
        <v>7328</v>
      </c>
      <c r="S216" s="3" t="s">
        <v>7329</v>
      </c>
      <c r="T216" s="3"/>
      <c r="U216" s="3" t="s">
        <v>7330</v>
      </c>
      <c r="V216" s="3" t="s">
        <v>7331</v>
      </c>
      <c r="W216" s="3">
        <v>6</v>
      </c>
      <c r="X216" s="3" t="s">
        <v>7332</v>
      </c>
      <c r="Y216" s="3" t="s">
        <v>7333</v>
      </c>
      <c r="Z216" s="3"/>
      <c r="AA216" s="3">
        <v>200</v>
      </c>
      <c r="AB216" s="6">
        <v>43758</v>
      </c>
      <c r="AC216" s="3" t="s">
        <v>120</v>
      </c>
      <c r="AD216" s="3">
        <v>0</v>
      </c>
      <c r="AE216" s="3">
        <v>8</v>
      </c>
      <c r="AF216" s="3">
        <v>3</v>
      </c>
      <c r="AG216" s="3" t="s">
        <v>4143</v>
      </c>
      <c r="AH216" s="3">
        <v>0</v>
      </c>
      <c r="AI216" s="3">
        <v>500</v>
      </c>
      <c r="AJ216" s="3" t="s">
        <v>120</v>
      </c>
      <c r="AK216" s="3"/>
      <c r="AL216" s="3"/>
      <c r="AM216" s="7" t="s">
        <v>7334</v>
      </c>
      <c r="AN216" s="7" t="s">
        <v>7335</v>
      </c>
      <c r="AO216" s="3"/>
      <c r="AP216" s="3"/>
      <c r="AQ216" s="7" t="s">
        <v>7336</v>
      </c>
      <c r="AR216" s="3"/>
      <c r="AS216" s="3"/>
      <c r="AT216" s="3"/>
      <c r="AU216" s="7" t="s">
        <v>7337</v>
      </c>
      <c r="AV216" s="3"/>
      <c r="AW216" s="3"/>
    </row>
    <row r="217" spans="1:49" ht="12.5" x14ac:dyDescent="0.25">
      <c r="A217" s="3" t="s">
        <v>46</v>
      </c>
      <c r="B217" s="21" t="str">
        <f>HYPERLINK("https://gerandofalcoes.my.salesforce.com/0014X00002VKCsM", "0014X00002VKCsM")</f>
        <v>0014X00002VKCsM</v>
      </c>
      <c r="C217" s="21" t="str">
        <f>HYPERLINK("https://gerandofalcoes.my.salesforce.com/0014X00002VKCsMQAX", "0014X00002VKCsMQAX")</f>
        <v>0014X00002VKCsMQAX</v>
      </c>
      <c r="D217" s="3" t="s">
        <v>7338</v>
      </c>
      <c r="E217" s="3" t="s">
        <v>7339</v>
      </c>
      <c r="F217" s="3"/>
      <c r="G217" s="8">
        <v>44763</v>
      </c>
      <c r="H217" s="3">
        <v>33</v>
      </c>
      <c r="I217" s="3" t="s">
        <v>7340</v>
      </c>
      <c r="J217" s="3" t="s">
        <v>7341</v>
      </c>
      <c r="K217" s="3" t="s">
        <v>7342</v>
      </c>
      <c r="L217" s="3" t="s">
        <v>70</v>
      </c>
      <c r="M217" s="3" t="s">
        <v>7343</v>
      </c>
      <c r="N217" s="3" t="s">
        <v>7344</v>
      </c>
      <c r="O217" s="3">
        <v>111</v>
      </c>
      <c r="P217" s="3" t="s">
        <v>7345</v>
      </c>
      <c r="Q217" s="3" t="s">
        <v>7344</v>
      </c>
      <c r="R217" s="3" t="s">
        <v>7346</v>
      </c>
      <c r="S217" s="3" t="s">
        <v>7347</v>
      </c>
      <c r="T217" s="3"/>
      <c r="U217" s="3" t="s">
        <v>4081</v>
      </c>
      <c r="V217" s="3" t="s">
        <v>5872</v>
      </c>
      <c r="W217" s="3">
        <v>2</v>
      </c>
      <c r="X217" s="3" t="s">
        <v>7348</v>
      </c>
      <c r="Y217" s="3"/>
      <c r="Z217" s="3"/>
      <c r="AA217" s="3">
        <v>0</v>
      </c>
      <c r="AB217" s="6">
        <v>42289</v>
      </c>
      <c r="AC217" s="3" t="s">
        <v>120</v>
      </c>
      <c r="AD217" s="3">
        <v>10</v>
      </c>
      <c r="AE217" s="3">
        <v>10</v>
      </c>
      <c r="AF217" s="3">
        <v>2</v>
      </c>
      <c r="AG217" s="3" t="s">
        <v>3985</v>
      </c>
      <c r="AH217" s="3" t="s">
        <v>7349</v>
      </c>
      <c r="AI217" s="3">
        <v>5000</v>
      </c>
      <c r="AJ217" s="3" t="s">
        <v>61</v>
      </c>
      <c r="AK217" s="3"/>
      <c r="AL217" s="3"/>
      <c r="AM217" s="7" t="s">
        <v>7350</v>
      </c>
      <c r="AN217" s="3"/>
      <c r="AO217" s="3"/>
      <c r="AP217" s="3"/>
      <c r="AQ217" s="3"/>
      <c r="AR217" s="3"/>
      <c r="AS217" s="3"/>
      <c r="AT217" s="3"/>
      <c r="AU217" s="7" t="s">
        <v>7351</v>
      </c>
      <c r="AV217" s="3"/>
      <c r="AW217" s="3"/>
    </row>
    <row r="218" spans="1:49" ht="12.5" x14ac:dyDescent="0.25">
      <c r="A218" s="3" t="s">
        <v>46</v>
      </c>
      <c r="B218" s="21" t="str">
        <f>HYPERLINK("https://gerandofalcoes.my.salesforce.com/0014X00002VKCsN", "0014X00002VKCsN")</f>
        <v>0014X00002VKCsN</v>
      </c>
      <c r="C218" s="21" t="str">
        <f>HYPERLINK("https://gerandofalcoes.my.salesforce.com/0014X00002VKCsNQAX", "0014X00002VKCsNQAX")</f>
        <v>0014X00002VKCsNQAX</v>
      </c>
      <c r="D218" s="3" t="s">
        <v>7352</v>
      </c>
      <c r="E218" s="3" t="s">
        <v>7353</v>
      </c>
      <c r="F218" s="3" t="s">
        <v>7354</v>
      </c>
      <c r="G218" s="6">
        <v>44763</v>
      </c>
      <c r="H218" s="3">
        <v>33</v>
      </c>
      <c r="I218" s="3" t="s">
        <v>4864</v>
      </c>
      <c r="J218" s="3" t="s">
        <v>7355</v>
      </c>
      <c r="K218" s="3"/>
      <c r="L218" s="3" t="s">
        <v>70</v>
      </c>
      <c r="M218" s="3" t="s">
        <v>7356</v>
      </c>
      <c r="N218" s="3" t="s">
        <v>7357</v>
      </c>
      <c r="O218" s="3">
        <v>12</v>
      </c>
      <c r="P218" s="3" t="s">
        <v>73</v>
      </c>
      <c r="Q218" s="3"/>
      <c r="R218" s="3" t="s">
        <v>7358</v>
      </c>
      <c r="S218" s="3"/>
      <c r="T218" s="3"/>
      <c r="U218" s="3"/>
      <c r="V218" s="3"/>
      <c r="W218" s="3">
        <v>5</v>
      </c>
      <c r="X218" s="3" t="s">
        <v>7359</v>
      </c>
      <c r="Y218" s="3"/>
      <c r="Z218" s="3"/>
      <c r="AA218" s="3">
        <v>200</v>
      </c>
      <c r="AB218" s="6">
        <v>35815</v>
      </c>
      <c r="AC218" s="3" t="s">
        <v>62</v>
      </c>
      <c r="AD218" s="3"/>
      <c r="AE218" s="3">
        <v>10</v>
      </c>
      <c r="AF218" s="3">
        <v>0</v>
      </c>
      <c r="AG218" s="3"/>
      <c r="AH218" s="3"/>
      <c r="AI218" s="3"/>
      <c r="AJ218" s="3"/>
      <c r="AK218" s="3"/>
      <c r="AL218" s="3"/>
      <c r="AM218" s="3"/>
      <c r="AN218" s="3"/>
      <c r="AO218" s="3"/>
      <c r="AP218" s="3"/>
      <c r="AQ218" s="3"/>
      <c r="AR218" s="3"/>
      <c r="AS218" s="3"/>
      <c r="AT218" s="3"/>
      <c r="AU218" s="3"/>
      <c r="AV218" s="3"/>
      <c r="AW218" s="3"/>
    </row>
    <row r="219" spans="1:49" ht="12.5" x14ac:dyDescent="0.25">
      <c r="A219" s="3" t="s">
        <v>46</v>
      </c>
      <c r="B219" s="21" t="str">
        <f>HYPERLINK("https://gerandofalcoes.my.salesforce.com/0014X00002VKCsO", "0014X00002VKCsO")</f>
        <v>0014X00002VKCsO</v>
      </c>
      <c r="C219" s="21" t="str">
        <f>HYPERLINK("https://gerandofalcoes.my.salesforce.com/0014X00002VKCsOQAX", "0014X00002VKCsOQAX")</f>
        <v>0014X00002VKCsOQAX</v>
      </c>
      <c r="D219" s="3" t="s">
        <v>7360</v>
      </c>
      <c r="E219" s="3" t="s">
        <v>7361</v>
      </c>
      <c r="F219" s="3" t="s">
        <v>7362</v>
      </c>
      <c r="G219" s="6">
        <v>44763</v>
      </c>
      <c r="H219" s="3">
        <v>33</v>
      </c>
      <c r="I219" s="3" t="s">
        <v>7363</v>
      </c>
      <c r="J219" s="3" t="s">
        <v>7364</v>
      </c>
      <c r="K219" s="3" t="s">
        <v>7365</v>
      </c>
      <c r="L219" s="3" t="s">
        <v>70</v>
      </c>
      <c r="M219" s="3" t="s">
        <v>7366</v>
      </c>
      <c r="N219" s="3" t="s">
        <v>2062</v>
      </c>
      <c r="O219" s="3">
        <v>56</v>
      </c>
      <c r="P219" s="3" t="s">
        <v>7367</v>
      </c>
      <c r="Q219" s="3" t="s">
        <v>7368</v>
      </c>
      <c r="R219" s="3" t="s">
        <v>7369</v>
      </c>
      <c r="S219" s="3" t="s">
        <v>7370</v>
      </c>
      <c r="T219" s="3"/>
      <c r="U219" s="3" t="s">
        <v>4497</v>
      </c>
      <c r="V219" s="3" t="s">
        <v>4437</v>
      </c>
      <c r="W219" s="3">
        <v>1</v>
      </c>
      <c r="X219" s="3" t="s">
        <v>7371</v>
      </c>
      <c r="Y219" s="3" t="s">
        <v>7372</v>
      </c>
      <c r="Z219" s="3"/>
      <c r="AA219" s="3">
        <v>10</v>
      </c>
      <c r="AB219" s="6">
        <v>44641</v>
      </c>
      <c r="AC219" s="3" t="s">
        <v>120</v>
      </c>
      <c r="AD219" s="3">
        <v>0</v>
      </c>
      <c r="AE219" s="3">
        <v>12</v>
      </c>
      <c r="AF219" s="3">
        <v>3</v>
      </c>
      <c r="AG219" s="3" t="s">
        <v>4143</v>
      </c>
      <c r="AH219" s="3" t="s">
        <v>7373</v>
      </c>
      <c r="AI219" s="3">
        <v>10000</v>
      </c>
      <c r="AJ219" s="3" t="s">
        <v>120</v>
      </c>
      <c r="AK219" s="3"/>
      <c r="AL219" s="3"/>
      <c r="AM219" s="3" t="s">
        <v>7374</v>
      </c>
      <c r="AN219" s="7" t="s">
        <v>7375</v>
      </c>
      <c r="AO219" s="7" t="s">
        <v>7376</v>
      </c>
      <c r="AP219" s="3"/>
      <c r="AQ219" s="7" t="s">
        <v>7377</v>
      </c>
      <c r="AR219" s="3"/>
      <c r="AS219" s="3"/>
      <c r="AT219" s="3"/>
      <c r="AU219" s="7" t="s">
        <v>7378</v>
      </c>
      <c r="AV219" s="3"/>
      <c r="AW219" s="3"/>
    </row>
    <row r="220" spans="1:49" ht="12.5" x14ac:dyDescent="0.25">
      <c r="A220" s="3" t="s">
        <v>46</v>
      </c>
      <c r="B220" s="21" t="str">
        <f>HYPERLINK("https://gerandofalcoes.my.salesforce.com/0014X00002VKCsQ", "0014X00002VKCsQ")</f>
        <v>0014X00002VKCsQ</v>
      </c>
      <c r="C220" s="21" t="str">
        <f>HYPERLINK("https://gerandofalcoes.my.salesforce.com/0014X00002VKCsQQAX", "0014X00002VKCsQQAX")</f>
        <v>0014X00002VKCsQQAX</v>
      </c>
      <c r="D220" s="3" t="s">
        <v>7379</v>
      </c>
      <c r="E220" s="3" t="s">
        <v>7380</v>
      </c>
      <c r="F220" s="3" t="s">
        <v>7381</v>
      </c>
      <c r="G220" s="6">
        <v>44763</v>
      </c>
      <c r="H220" s="3">
        <v>33</v>
      </c>
      <c r="I220" s="3" t="s">
        <v>7382</v>
      </c>
      <c r="J220" s="3" t="s">
        <v>7383</v>
      </c>
      <c r="K220" s="3"/>
      <c r="L220" s="3" t="s">
        <v>70</v>
      </c>
      <c r="M220" s="3" t="s">
        <v>7384</v>
      </c>
      <c r="N220" s="3" t="s">
        <v>2062</v>
      </c>
      <c r="O220" s="3">
        <v>726</v>
      </c>
      <c r="P220" s="3" t="s">
        <v>73</v>
      </c>
      <c r="Q220" s="3"/>
      <c r="R220" s="3" t="s">
        <v>7385</v>
      </c>
      <c r="S220" s="3"/>
      <c r="T220" s="3"/>
      <c r="U220" s="3"/>
      <c r="V220" s="3"/>
      <c r="W220" s="3">
        <v>10</v>
      </c>
      <c r="X220" s="3" t="s">
        <v>7386</v>
      </c>
      <c r="Y220" s="3"/>
      <c r="Z220" s="3"/>
      <c r="AA220" s="3">
        <v>200</v>
      </c>
      <c r="AB220" s="8">
        <v>44363</v>
      </c>
      <c r="AC220" s="3" t="s">
        <v>62</v>
      </c>
      <c r="AD220" s="3">
        <v>8</v>
      </c>
      <c r="AE220" s="3">
        <v>28</v>
      </c>
      <c r="AF220" s="3">
        <v>0</v>
      </c>
      <c r="AG220" s="3"/>
      <c r="AH220" s="3"/>
      <c r="AI220" s="3"/>
      <c r="AJ220" s="3"/>
      <c r="AK220" s="3"/>
      <c r="AL220" s="3"/>
      <c r="AM220" s="7" t="s">
        <v>7387</v>
      </c>
      <c r="AN220" s="3" t="s">
        <v>7388</v>
      </c>
      <c r="AO220" s="3"/>
      <c r="AP220" s="3"/>
      <c r="AQ220" s="3"/>
      <c r="AR220" s="3"/>
      <c r="AS220" s="7" t="s">
        <v>7389</v>
      </c>
      <c r="AT220" s="7" t="s">
        <v>7390</v>
      </c>
      <c r="AU220" s="7" t="s">
        <v>7391</v>
      </c>
      <c r="AV220" s="3"/>
      <c r="AW220" s="3"/>
    </row>
    <row r="221" spans="1:49" ht="12.5" x14ac:dyDescent="0.25">
      <c r="A221" s="3" t="s">
        <v>46</v>
      </c>
      <c r="B221" s="21" t="str">
        <f>HYPERLINK("https://gerandofalcoes.my.salesforce.com/0014X00002VKCsR", "0014X00002VKCsR")</f>
        <v>0014X00002VKCsR</v>
      </c>
      <c r="C221" s="21" t="str">
        <f>HYPERLINK("https://gerandofalcoes.my.salesforce.com/0014X00002VKCsRQAX", "0014X00002VKCsRQAX")</f>
        <v>0014X00002VKCsRQAX</v>
      </c>
      <c r="D221" s="3" t="s">
        <v>7392</v>
      </c>
      <c r="E221" s="3" t="s">
        <v>7393</v>
      </c>
      <c r="F221" s="3"/>
      <c r="G221" s="6">
        <v>44763</v>
      </c>
      <c r="H221" s="3">
        <v>33</v>
      </c>
      <c r="I221" s="3" t="s">
        <v>7394</v>
      </c>
      <c r="J221" s="3" t="s">
        <v>7395</v>
      </c>
      <c r="K221" s="3">
        <v>21968974594</v>
      </c>
      <c r="L221" s="3" t="s">
        <v>70</v>
      </c>
      <c r="M221" s="3" t="s">
        <v>7396</v>
      </c>
      <c r="N221" s="3" t="s">
        <v>7397</v>
      </c>
      <c r="O221" s="3">
        <v>15</v>
      </c>
      <c r="P221" s="3" t="s">
        <v>760</v>
      </c>
      <c r="Q221" s="3"/>
      <c r="R221" s="3" t="s">
        <v>7398</v>
      </c>
      <c r="S221" s="3"/>
      <c r="T221" s="3"/>
      <c r="U221" s="3"/>
      <c r="V221" s="3"/>
      <c r="W221" s="3">
        <v>2</v>
      </c>
      <c r="X221" s="3" t="s">
        <v>7399</v>
      </c>
      <c r="Y221" s="3"/>
      <c r="Z221" s="3"/>
      <c r="AA221" s="3">
        <v>200</v>
      </c>
      <c r="AB221" s="8">
        <v>40858</v>
      </c>
      <c r="AC221" s="3" t="s">
        <v>120</v>
      </c>
      <c r="AD221" s="3"/>
      <c r="AE221" s="3">
        <v>8</v>
      </c>
      <c r="AF221" s="3">
        <v>0</v>
      </c>
      <c r="AG221" s="3"/>
      <c r="AH221" s="3"/>
      <c r="AI221" s="3"/>
      <c r="AJ221" s="3" t="s">
        <v>120</v>
      </c>
      <c r="AK221" s="3"/>
      <c r="AL221" s="3"/>
      <c r="AM221" s="3"/>
      <c r="AN221" s="3"/>
      <c r="AO221" s="3"/>
      <c r="AP221" s="3"/>
      <c r="AQ221" s="3"/>
      <c r="AR221" s="3"/>
      <c r="AS221" s="3"/>
      <c r="AT221" s="3"/>
      <c r="AU221" s="7" t="s">
        <v>7400</v>
      </c>
      <c r="AV221" s="3"/>
      <c r="AW221" s="3"/>
    </row>
    <row r="222" spans="1:49" ht="12.5" x14ac:dyDescent="0.25">
      <c r="A222" s="3" t="s">
        <v>46</v>
      </c>
      <c r="B222" s="21" t="str">
        <f>HYPERLINK("https://gerandofalcoes.my.salesforce.com/0014X00002VKCsS", "0014X00002VKCsS")</f>
        <v>0014X00002VKCsS</v>
      </c>
      <c r="C222" s="21" t="str">
        <f>HYPERLINK("https://gerandofalcoes.my.salesforce.com/0014X00002VKCsSQAX", "0014X00002VKCsSQAX")</f>
        <v>0014X00002VKCsSQAX</v>
      </c>
      <c r="D222" s="3" t="s">
        <v>7401</v>
      </c>
      <c r="E222" s="3" t="s">
        <v>7402</v>
      </c>
      <c r="F222" s="3"/>
      <c r="G222" s="6">
        <v>44763</v>
      </c>
      <c r="H222" s="3">
        <v>33</v>
      </c>
      <c r="I222" s="3" t="s">
        <v>7403</v>
      </c>
      <c r="J222" s="3" t="s">
        <v>7404</v>
      </c>
      <c r="K222" s="3" t="s">
        <v>7405</v>
      </c>
      <c r="L222" s="3" t="s">
        <v>70</v>
      </c>
      <c r="M222" s="3" t="s">
        <v>7406</v>
      </c>
      <c r="N222" s="3" t="s">
        <v>7407</v>
      </c>
      <c r="O222" s="3">
        <v>39</v>
      </c>
      <c r="P222" s="3" t="s">
        <v>73</v>
      </c>
      <c r="Q222" s="3"/>
      <c r="R222" s="3" t="s">
        <v>7408</v>
      </c>
      <c r="S222" s="3" t="s">
        <v>62</v>
      </c>
      <c r="T222" s="3"/>
      <c r="U222" s="3" t="s">
        <v>4346</v>
      </c>
      <c r="V222" s="3" t="s">
        <v>5218</v>
      </c>
      <c r="W222" s="3">
        <v>1</v>
      </c>
      <c r="X222" s="3" t="s">
        <v>7409</v>
      </c>
      <c r="Y222" s="3"/>
      <c r="Z222" s="3"/>
      <c r="AA222" s="3">
        <v>0</v>
      </c>
      <c r="AB222" s="6">
        <v>40986</v>
      </c>
      <c r="AC222" s="3" t="s">
        <v>120</v>
      </c>
      <c r="AD222" s="3">
        <v>0</v>
      </c>
      <c r="AE222" s="3">
        <v>3</v>
      </c>
      <c r="AF222" s="3">
        <v>3</v>
      </c>
      <c r="AG222" s="3" t="s">
        <v>4604</v>
      </c>
      <c r="AH222" s="3" t="s">
        <v>7410</v>
      </c>
      <c r="AI222" s="3">
        <v>28800</v>
      </c>
      <c r="AJ222" s="3" t="s">
        <v>120</v>
      </c>
      <c r="AK222" s="3"/>
      <c r="AL222" s="7" t="s">
        <v>7411</v>
      </c>
      <c r="AM222" s="7" t="s">
        <v>7412</v>
      </c>
      <c r="AN222" s="7" t="s">
        <v>7413</v>
      </c>
      <c r="AO222" s="7" t="s">
        <v>7414</v>
      </c>
      <c r="AP222" s="3"/>
      <c r="AQ222" s="3"/>
      <c r="AR222" s="3"/>
      <c r="AS222" s="3"/>
      <c r="AT222" s="7" t="s">
        <v>7415</v>
      </c>
      <c r="AU222" s="7" t="s">
        <v>7416</v>
      </c>
      <c r="AV222" s="3"/>
      <c r="AW222" s="3"/>
    </row>
    <row r="223" spans="1:49" ht="12.5" x14ac:dyDescent="0.25">
      <c r="A223" s="3" t="s">
        <v>46</v>
      </c>
      <c r="B223" s="21" t="str">
        <f>HYPERLINK("https://gerandofalcoes.my.salesforce.com/0014X00002VKCtV", "0014X00002VKCtV")</f>
        <v>0014X00002VKCtV</v>
      </c>
      <c r="C223" s="21" t="str">
        <f>HYPERLINK("https://gerandofalcoes.my.salesforce.com/0014X00002VKCtVQAX", "0014X00002VKCtVQAX")</f>
        <v>0014X00002VKCtVQAX</v>
      </c>
      <c r="D223" s="3" t="s">
        <v>7417</v>
      </c>
      <c r="E223" s="3" t="s">
        <v>7417</v>
      </c>
      <c r="F223" s="3"/>
      <c r="G223" s="6"/>
      <c r="H223" s="3"/>
      <c r="I223" s="3" t="s">
        <v>7418</v>
      </c>
      <c r="J223" s="3"/>
      <c r="K223" s="3" t="s">
        <v>7419</v>
      </c>
      <c r="L223" s="3" t="s">
        <v>195</v>
      </c>
      <c r="M223" s="3" t="s">
        <v>7420</v>
      </c>
      <c r="N223" s="3" t="s">
        <v>7421</v>
      </c>
      <c r="O223" s="3" t="s">
        <v>7422</v>
      </c>
      <c r="P223" s="3" t="s">
        <v>197</v>
      </c>
      <c r="Q223" s="3"/>
      <c r="R223" s="3" t="s">
        <v>7423</v>
      </c>
      <c r="S223" s="3"/>
      <c r="T223" s="3"/>
      <c r="U223" s="3" t="s">
        <v>5834</v>
      </c>
      <c r="V223" s="3" t="s">
        <v>3800</v>
      </c>
      <c r="W223" s="3">
        <v>2</v>
      </c>
      <c r="X223" s="3" t="s">
        <v>7424</v>
      </c>
      <c r="Y223" s="3"/>
      <c r="Z223" s="3"/>
      <c r="AA223" s="3">
        <v>37</v>
      </c>
      <c r="AB223" s="6">
        <v>38088</v>
      </c>
      <c r="AC223" s="3" t="s">
        <v>62</v>
      </c>
      <c r="AD223" s="3">
        <v>8</v>
      </c>
      <c r="AE223" s="3">
        <v>8</v>
      </c>
      <c r="AF223" s="3">
        <v>2</v>
      </c>
      <c r="AG223" s="3" t="s">
        <v>3833</v>
      </c>
      <c r="AH223" s="3" t="s">
        <v>4067</v>
      </c>
      <c r="AI223" s="3">
        <v>8000</v>
      </c>
      <c r="AJ223" s="3" t="s">
        <v>120</v>
      </c>
      <c r="AK223" s="3"/>
      <c r="AL223" s="3"/>
      <c r="AM223" s="7" t="s">
        <v>7425</v>
      </c>
      <c r="AN223" s="7" t="s">
        <v>7425</v>
      </c>
      <c r="AO223" s="3"/>
      <c r="AP223" s="3"/>
      <c r="AQ223" s="7" t="s">
        <v>7426</v>
      </c>
      <c r="AR223" s="7" t="s">
        <v>7427</v>
      </c>
      <c r="AS223" s="3"/>
      <c r="AT223" s="3"/>
      <c r="AU223" s="7" t="s">
        <v>7428</v>
      </c>
      <c r="AW223" s="3"/>
    </row>
    <row r="224" spans="1:49" ht="12.5" x14ac:dyDescent="0.25">
      <c r="A224" s="3" t="s">
        <v>46</v>
      </c>
      <c r="B224" s="21" t="str">
        <f>HYPERLINK("https://gerandofalcoes.my.salesforce.com/0014X00002VKCtW", "0014X00002VKCtW")</f>
        <v>0014X00002VKCtW</v>
      </c>
      <c r="C224" s="7" t="str">
        <f>HYPERLINK("https://gerandofalcoes.my.salesforce.com/0014X00002VKCtWQAX", "0014X00002VKCtWQAX")</f>
        <v>0014X00002VKCtWQAX</v>
      </c>
      <c r="D224" s="3" t="s">
        <v>7429</v>
      </c>
      <c r="E224" s="3" t="s">
        <v>7430</v>
      </c>
      <c r="F224" s="3" t="s">
        <v>7431</v>
      </c>
      <c r="G224" s="6">
        <v>44763</v>
      </c>
      <c r="H224" s="3">
        <v>33</v>
      </c>
      <c r="I224" s="3" t="s">
        <v>7432</v>
      </c>
      <c r="J224" s="3" t="s">
        <v>7433</v>
      </c>
      <c r="K224" s="3" t="s">
        <v>7434</v>
      </c>
      <c r="L224" s="3" t="s">
        <v>1171</v>
      </c>
      <c r="M224" s="3" t="s">
        <v>7435</v>
      </c>
      <c r="N224" s="3" t="s">
        <v>7436</v>
      </c>
      <c r="O224" s="3">
        <v>553</v>
      </c>
      <c r="P224" s="3" t="s">
        <v>7241</v>
      </c>
      <c r="Q224" s="3" t="s">
        <v>7437</v>
      </c>
      <c r="R224" s="3" t="s">
        <v>7438</v>
      </c>
      <c r="S224" s="3" t="s">
        <v>7439</v>
      </c>
      <c r="T224" s="3"/>
      <c r="U224" s="3" t="s">
        <v>4062</v>
      </c>
      <c r="V224" s="3" t="s">
        <v>6624</v>
      </c>
      <c r="W224" s="3">
        <v>5</v>
      </c>
      <c r="X224" s="3" t="s">
        <v>7440</v>
      </c>
      <c r="Y224" s="3"/>
      <c r="Z224" s="3"/>
      <c r="AA224" s="3">
        <v>800</v>
      </c>
      <c r="AB224" s="6">
        <v>30882</v>
      </c>
      <c r="AC224" s="3" t="s">
        <v>62</v>
      </c>
      <c r="AD224" s="3">
        <v>0</v>
      </c>
      <c r="AE224" s="3">
        <v>7</v>
      </c>
      <c r="AF224" s="3">
        <v>4</v>
      </c>
      <c r="AG224" s="3" t="s">
        <v>7441</v>
      </c>
      <c r="AH224" s="3">
        <v>0</v>
      </c>
      <c r="AI224" s="3">
        <v>1200</v>
      </c>
      <c r="AJ224" s="3" t="s">
        <v>120</v>
      </c>
      <c r="AK224" s="3"/>
      <c r="AL224" s="7" t="s">
        <v>7442</v>
      </c>
      <c r="AM224" s="7" t="s">
        <v>7443</v>
      </c>
      <c r="AN224" s="7" t="s">
        <v>7444</v>
      </c>
      <c r="AO224" s="7" t="s">
        <v>7443</v>
      </c>
      <c r="AP224" s="3"/>
      <c r="AQ224" s="3"/>
      <c r="AR224" s="7" t="s">
        <v>7445</v>
      </c>
      <c r="AS224" s="7" t="s">
        <v>7446</v>
      </c>
      <c r="AT224" s="7" t="s">
        <v>7447</v>
      </c>
      <c r="AU224" s="7" t="s">
        <v>7448</v>
      </c>
      <c r="AV224" s="3"/>
      <c r="AW224" s="3"/>
    </row>
    <row r="225" spans="1:49" ht="12.5" x14ac:dyDescent="0.25">
      <c r="A225" s="3" t="s">
        <v>46</v>
      </c>
      <c r="B225" s="21" t="str">
        <f>HYPERLINK("https://gerandofalcoes.my.salesforce.com/0014X00002VKCtX", "0014X00002VKCtX")</f>
        <v>0014X00002VKCtX</v>
      </c>
      <c r="C225" s="21" t="str">
        <f>HYPERLINK("https://gerandofalcoes.my.salesforce.com/0014X00002VKCtXQAX", "0014X00002VKCtXQAX")</f>
        <v>0014X00002VKCtXQAX</v>
      </c>
      <c r="D225" s="3" t="s">
        <v>7449</v>
      </c>
      <c r="E225" s="3" t="s">
        <v>7450</v>
      </c>
      <c r="F225" s="3" t="s">
        <v>7451</v>
      </c>
      <c r="G225" s="6">
        <v>44763</v>
      </c>
      <c r="H225" s="3">
        <v>33</v>
      </c>
      <c r="I225" s="3" t="s">
        <v>7452</v>
      </c>
      <c r="J225" s="3" t="s">
        <v>7453</v>
      </c>
      <c r="K225" s="3" t="s">
        <v>7454</v>
      </c>
      <c r="L225" s="3" t="s">
        <v>101</v>
      </c>
      <c r="M225" s="3" t="s">
        <v>7455</v>
      </c>
      <c r="N225" s="3" t="s">
        <v>7456</v>
      </c>
      <c r="O225" s="3">
        <v>63</v>
      </c>
      <c r="P225" s="3" t="s">
        <v>128</v>
      </c>
      <c r="Q225" s="3" t="s">
        <v>7457</v>
      </c>
      <c r="R225" s="3" t="s">
        <v>7458</v>
      </c>
      <c r="S225" s="3" t="s">
        <v>7459</v>
      </c>
      <c r="T225" s="3"/>
      <c r="U225" s="3" t="s">
        <v>4497</v>
      </c>
      <c r="V225" s="3" t="s">
        <v>4945</v>
      </c>
      <c r="W225" s="3">
        <v>5</v>
      </c>
      <c r="X225" s="3" t="s">
        <v>7460</v>
      </c>
      <c r="Y225" s="3"/>
      <c r="Z225" s="3"/>
      <c r="AA225" s="3">
        <v>0</v>
      </c>
      <c r="AB225" s="8">
        <v>43140</v>
      </c>
      <c r="AC225" s="3" t="s">
        <v>120</v>
      </c>
      <c r="AD225" s="3">
        <v>0</v>
      </c>
      <c r="AE225" s="3">
        <v>6</v>
      </c>
      <c r="AF225" s="3">
        <v>2</v>
      </c>
      <c r="AG225" s="3" t="s">
        <v>3985</v>
      </c>
      <c r="AH225" s="3">
        <v>0</v>
      </c>
      <c r="AI225" s="3">
        <v>25000</v>
      </c>
      <c r="AJ225" s="3" t="s">
        <v>61</v>
      </c>
      <c r="AK225" s="3"/>
      <c r="AL225" s="3" t="s">
        <v>7461</v>
      </c>
      <c r="AM225" s="7" t="s">
        <v>7462</v>
      </c>
      <c r="AN225" s="3"/>
      <c r="AO225" s="7" t="s">
        <v>7463</v>
      </c>
      <c r="AP225" s="3"/>
      <c r="AQ225" s="3"/>
      <c r="AR225" s="3"/>
      <c r="AS225" s="3"/>
      <c r="AT225" s="3"/>
      <c r="AU225" s="7" t="s">
        <v>7464</v>
      </c>
    </row>
    <row r="226" spans="1:49" ht="12.5" x14ac:dyDescent="0.25">
      <c r="A226" s="3" t="s">
        <v>46</v>
      </c>
      <c r="B226" s="21" t="str">
        <f>HYPERLINK("https://gerandofalcoes.my.salesforce.com/0014X00002VKCtY", "0014X00002VKCtY")</f>
        <v>0014X00002VKCtY</v>
      </c>
      <c r="C226" s="21" t="str">
        <f>HYPERLINK("https://gerandofalcoes.my.salesforce.com/0014X00002VKCtYQAX", "0014X00002VKCtYQAX")</f>
        <v>0014X00002VKCtYQAX</v>
      </c>
      <c r="D226" s="3" t="s">
        <v>7465</v>
      </c>
      <c r="E226" s="3" t="s">
        <v>7465</v>
      </c>
      <c r="F226" s="3" t="s">
        <v>7466</v>
      </c>
      <c r="G226" s="6">
        <v>44763</v>
      </c>
      <c r="H226" s="3">
        <v>33</v>
      </c>
      <c r="I226" s="3" t="s">
        <v>7467</v>
      </c>
      <c r="J226" s="3" t="s">
        <v>7468</v>
      </c>
      <c r="K226" s="3" t="s">
        <v>7469</v>
      </c>
      <c r="L226" s="3" t="s">
        <v>195</v>
      </c>
      <c r="M226" s="3" t="s">
        <v>7470</v>
      </c>
      <c r="N226" s="3" t="s">
        <v>4026</v>
      </c>
      <c r="O226" s="3">
        <v>453</v>
      </c>
      <c r="P226" s="3" t="s">
        <v>7471</v>
      </c>
      <c r="Q226" s="3"/>
      <c r="R226" s="3" t="s">
        <v>7472</v>
      </c>
      <c r="S226" s="3" t="s">
        <v>7473</v>
      </c>
      <c r="T226" s="3"/>
      <c r="U226" s="3" t="s">
        <v>4062</v>
      </c>
      <c r="V226" s="3" t="s">
        <v>5816</v>
      </c>
      <c r="W226" s="3">
        <v>30</v>
      </c>
      <c r="X226" s="3" t="s">
        <v>7474</v>
      </c>
      <c r="Y226" s="3" t="s">
        <v>7475</v>
      </c>
      <c r="Z226" s="3"/>
      <c r="AA226" s="3">
        <v>600</v>
      </c>
      <c r="AB226" s="6">
        <v>36860</v>
      </c>
      <c r="AC226" s="3" t="s">
        <v>120</v>
      </c>
      <c r="AD226" s="3">
        <v>3</v>
      </c>
      <c r="AE226" s="3">
        <v>6</v>
      </c>
      <c r="AF226" s="3">
        <v>2</v>
      </c>
      <c r="AG226" s="3" t="s">
        <v>7476</v>
      </c>
      <c r="AH226" s="3">
        <v>2</v>
      </c>
      <c r="AI226" s="3">
        <v>2000</v>
      </c>
      <c r="AJ226" s="3" t="s">
        <v>120</v>
      </c>
      <c r="AK226" s="3"/>
      <c r="AL226" s="7" t="s">
        <v>7477</v>
      </c>
      <c r="AM226" s="3"/>
      <c r="AN226" s="7" t="s">
        <v>7478</v>
      </c>
      <c r="AO226" s="3"/>
      <c r="AP226" s="3"/>
      <c r="AQ226" s="7" t="s">
        <v>7479</v>
      </c>
      <c r="AR226" s="3"/>
      <c r="AS226" s="3"/>
      <c r="AT226" s="7" t="s">
        <v>7480</v>
      </c>
      <c r="AU226" s="7" t="s">
        <v>7481</v>
      </c>
      <c r="AV226" s="3"/>
      <c r="AW226" s="3"/>
    </row>
    <row r="227" spans="1:49" ht="12.5" x14ac:dyDescent="0.25">
      <c r="A227" s="3" t="s">
        <v>46</v>
      </c>
      <c r="B227" s="21" t="str">
        <f>HYPERLINK("https://gerandofalcoes.my.salesforce.com/0014X00002VKCtZ", "0014X00002VKCtZ")</f>
        <v>0014X00002VKCtZ</v>
      </c>
      <c r="C227" s="7" t="str">
        <f>HYPERLINK("https://gerandofalcoes.my.salesforce.com/0014X00002VKCtZQAX", "0014X00002VKCtZQAX")</f>
        <v>0014X00002VKCtZQAX</v>
      </c>
      <c r="D227" s="3" t="s">
        <v>7482</v>
      </c>
      <c r="E227" s="3" t="s">
        <v>7483</v>
      </c>
      <c r="F227" s="3"/>
      <c r="G227" s="6">
        <v>44763</v>
      </c>
      <c r="H227" s="3">
        <v>33</v>
      </c>
      <c r="I227" s="3" t="s">
        <v>7484</v>
      </c>
      <c r="J227" s="3" t="s">
        <v>4009</v>
      </c>
      <c r="K227" s="3">
        <v>84981202686</v>
      </c>
      <c r="L227" s="3" t="s">
        <v>195</v>
      </c>
      <c r="M227" s="3" t="s">
        <v>4011</v>
      </c>
      <c r="N227" s="3" t="s">
        <v>4012</v>
      </c>
      <c r="O227" s="3">
        <v>5</v>
      </c>
      <c r="P227" s="3" t="s">
        <v>7485</v>
      </c>
      <c r="Q227" s="3">
        <v>5</v>
      </c>
      <c r="R227" s="3" t="s">
        <v>4014</v>
      </c>
      <c r="S227" s="3"/>
      <c r="T227" s="3"/>
      <c r="U227" s="3"/>
      <c r="V227" s="3"/>
      <c r="W227" s="3">
        <v>4</v>
      </c>
      <c r="X227" s="3" t="s">
        <v>7486</v>
      </c>
      <c r="Y227" s="3">
        <v>200</v>
      </c>
      <c r="Z227" s="3"/>
      <c r="AA227" s="3">
        <v>150</v>
      </c>
      <c r="AB227" s="6">
        <v>44580</v>
      </c>
      <c r="AC227" s="3" t="s">
        <v>120</v>
      </c>
      <c r="AD227" s="3"/>
      <c r="AE227" s="3">
        <v>10</v>
      </c>
      <c r="AF227" s="3">
        <v>0</v>
      </c>
      <c r="AG227" s="3"/>
      <c r="AH227" s="3">
        <v>0</v>
      </c>
      <c r="AI227" s="3">
        <v>0</v>
      </c>
      <c r="AJ227" s="3" t="s">
        <v>120</v>
      </c>
      <c r="AK227" s="3"/>
      <c r="AL227" s="3"/>
      <c r="AM227" s="3"/>
      <c r="AN227" s="3"/>
      <c r="AO227" s="3"/>
      <c r="AP227" s="3"/>
      <c r="AQ227" s="3"/>
      <c r="AR227" s="3"/>
      <c r="AS227" s="3"/>
      <c r="AT227" s="3"/>
      <c r="AU227" s="3"/>
      <c r="AV227" s="3"/>
      <c r="AW227" s="3"/>
    </row>
    <row r="228" spans="1:49" ht="12.5" x14ac:dyDescent="0.25">
      <c r="A228" s="3" t="s">
        <v>46</v>
      </c>
      <c r="B228" s="21" t="str">
        <f>HYPERLINK("https://gerandofalcoes.my.salesforce.com/0014X00002VKCta", "0014X00002VKCta")</f>
        <v>0014X00002VKCta</v>
      </c>
      <c r="C228" s="21" t="str">
        <f>HYPERLINK("https://gerandofalcoes.my.salesforce.com/0014X00002VKCtaQAH", "0014X00002VKCtaQAH")</f>
        <v>0014X00002VKCtaQAH</v>
      </c>
      <c r="D228" s="3" t="s">
        <v>7487</v>
      </c>
      <c r="E228" s="3" t="s">
        <v>7488</v>
      </c>
      <c r="F228" s="3" t="s">
        <v>7489</v>
      </c>
      <c r="G228" s="6">
        <v>44763</v>
      </c>
      <c r="H228" s="3">
        <v>33</v>
      </c>
      <c r="I228" s="3" t="s">
        <v>7490</v>
      </c>
      <c r="J228" s="3" t="s">
        <v>7491</v>
      </c>
      <c r="K228" s="3">
        <v>83988567721</v>
      </c>
      <c r="L228" s="3" t="s">
        <v>1171</v>
      </c>
      <c r="M228" s="3" t="s">
        <v>7492</v>
      </c>
      <c r="N228" s="3" t="s">
        <v>7493</v>
      </c>
      <c r="O228" s="3">
        <v>586</v>
      </c>
      <c r="P228" s="3" t="s">
        <v>7494</v>
      </c>
      <c r="Q228" s="3" t="s">
        <v>7495</v>
      </c>
      <c r="R228" s="3" t="s">
        <v>7496</v>
      </c>
      <c r="S228" s="3"/>
      <c r="T228" s="3"/>
      <c r="U228" s="3"/>
      <c r="V228" s="3"/>
      <c r="W228" s="3">
        <v>4</v>
      </c>
      <c r="X228" s="3" t="s">
        <v>7497</v>
      </c>
      <c r="Y228" s="3" t="s">
        <v>7498</v>
      </c>
      <c r="Z228" s="3"/>
      <c r="AA228" s="3">
        <v>200</v>
      </c>
      <c r="AB228" s="6">
        <v>39099</v>
      </c>
      <c r="AC228" s="3" t="s">
        <v>62</v>
      </c>
      <c r="AD228" s="3">
        <v>2</v>
      </c>
      <c r="AE228" s="3">
        <v>4</v>
      </c>
      <c r="AF228" s="3">
        <v>3</v>
      </c>
      <c r="AG228" s="3"/>
      <c r="AH228" s="3">
        <v>100</v>
      </c>
      <c r="AI228" s="3">
        <v>8000</v>
      </c>
      <c r="AJ228" s="3" t="s">
        <v>62</v>
      </c>
      <c r="AK228" s="3"/>
      <c r="AL228" s="7" t="s">
        <v>7499</v>
      </c>
      <c r="AM228" s="3" t="s">
        <v>7500</v>
      </c>
      <c r="AN228" s="3" t="s">
        <v>7501</v>
      </c>
      <c r="AO228" s="3"/>
      <c r="AP228" s="3"/>
      <c r="AQ228" s="7" t="s">
        <v>7502</v>
      </c>
      <c r="AR228" s="7" t="s">
        <v>7503</v>
      </c>
      <c r="AS228" s="7" t="s">
        <v>7504</v>
      </c>
      <c r="AT228" s="7" t="s">
        <v>7505</v>
      </c>
      <c r="AU228" s="7" t="s">
        <v>7506</v>
      </c>
      <c r="AV228" s="3"/>
      <c r="AW228" s="3"/>
    </row>
    <row r="229" spans="1:49" ht="12.5" x14ac:dyDescent="0.25">
      <c r="A229" s="3" t="s">
        <v>46</v>
      </c>
      <c r="B229" s="21" t="str">
        <f>HYPERLINK("https://gerandofalcoes.my.salesforce.com/0014X00002VKCtb", "0014X00002VKCtb")</f>
        <v>0014X00002VKCtb</v>
      </c>
      <c r="C229" s="21" t="str">
        <f>HYPERLINK("https://gerandofalcoes.my.salesforce.com/0014X00002VKCtbQAH", "0014X00002VKCtbQAH")</f>
        <v>0014X00002VKCtbQAH</v>
      </c>
      <c r="D229" s="3" t="s">
        <v>7507</v>
      </c>
      <c r="E229" s="3" t="s">
        <v>7508</v>
      </c>
      <c r="F229" s="3"/>
      <c r="G229" s="6"/>
      <c r="H229" s="3"/>
      <c r="I229" s="3" t="s">
        <v>7509</v>
      </c>
      <c r="J229" s="3" t="s">
        <v>7510</v>
      </c>
      <c r="K229" s="3" t="s">
        <v>7511</v>
      </c>
      <c r="L229" s="3" t="s">
        <v>1871</v>
      </c>
      <c r="M229" s="3" t="s">
        <v>7512</v>
      </c>
      <c r="N229" s="3" t="s">
        <v>7513</v>
      </c>
      <c r="O229" s="3">
        <v>119</v>
      </c>
      <c r="P229" s="3" t="s">
        <v>7514</v>
      </c>
      <c r="Q229" s="3"/>
      <c r="R229" s="3" t="s">
        <v>7515</v>
      </c>
      <c r="S229" s="3" t="s">
        <v>7516</v>
      </c>
      <c r="T229" s="3"/>
      <c r="U229" s="3" t="s">
        <v>3932</v>
      </c>
      <c r="V229" s="3" t="s">
        <v>7517</v>
      </c>
      <c r="W229" s="3">
        <v>200</v>
      </c>
      <c r="X229" s="3" t="s">
        <v>7518</v>
      </c>
      <c r="Y229" s="3" t="s">
        <v>7519</v>
      </c>
      <c r="Z229" s="3"/>
      <c r="AA229" s="3">
        <v>100</v>
      </c>
      <c r="AB229" s="6">
        <v>41997</v>
      </c>
      <c r="AC229" s="3" t="s">
        <v>120</v>
      </c>
      <c r="AD229" s="3">
        <v>11</v>
      </c>
      <c r="AE229" s="3">
        <v>11</v>
      </c>
      <c r="AF229" s="3">
        <v>4</v>
      </c>
      <c r="AG229" s="3" t="s">
        <v>7103</v>
      </c>
      <c r="AH229" s="3">
        <v>0</v>
      </c>
      <c r="AI229" s="3">
        <v>0</v>
      </c>
      <c r="AJ229" s="3" t="s">
        <v>62</v>
      </c>
      <c r="AK229" s="3"/>
      <c r="AL229" s="3"/>
      <c r="AM229" s="7" t="s">
        <v>7520</v>
      </c>
      <c r="AN229" s="7" t="s">
        <v>7521</v>
      </c>
      <c r="AO229" s="3"/>
      <c r="AP229" s="3"/>
      <c r="AQ229" s="3"/>
      <c r="AR229" s="3"/>
      <c r="AS229" s="3"/>
      <c r="AT229" s="3"/>
      <c r="AU229" s="7" t="s">
        <v>7522</v>
      </c>
      <c r="AV229" s="3"/>
      <c r="AW229" s="3"/>
    </row>
    <row r="230" spans="1:49" ht="12.5" x14ac:dyDescent="0.25">
      <c r="A230" s="3" t="s">
        <v>46</v>
      </c>
      <c r="B230" s="21" t="str">
        <f>HYPERLINK("https://gerandofalcoes.my.salesforce.com/0014X00002VKCtd", "0014X00002VKCtd")</f>
        <v>0014X00002VKCtd</v>
      </c>
      <c r="C230" s="21" t="str">
        <f>HYPERLINK("https://gerandofalcoes.my.salesforce.com/0014X00002VKCtdQAH", "0014X00002VKCtdQAH")</f>
        <v>0014X00002VKCtdQAH</v>
      </c>
      <c r="D230" s="3" t="s">
        <v>7523</v>
      </c>
      <c r="E230" s="3" t="s">
        <v>7523</v>
      </c>
      <c r="F230" s="3" t="s">
        <v>4972</v>
      </c>
      <c r="G230" s="6"/>
      <c r="H230" s="3"/>
      <c r="I230" s="3" t="s">
        <v>4973</v>
      </c>
      <c r="J230" s="3" t="s">
        <v>4974</v>
      </c>
      <c r="K230" s="3">
        <v>92994988675</v>
      </c>
      <c r="L230" s="3" t="s">
        <v>1871</v>
      </c>
      <c r="M230" s="3" t="s">
        <v>7524</v>
      </c>
      <c r="N230" s="3" t="s">
        <v>4977</v>
      </c>
      <c r="O230" s="3">
        <v>3760</v>
      </c>
      <c r="P230" s="3" t="s">
        <v>4978</v>
      </c>
      <c r="Q230" s="3" t="s">
        <v>7525</v>
      </c>
      <c r="R230" s="3" t="s">
        <v>7526</v>
      </c>
      <c r="S230" s="3"/>
      <c r="T230" s="3"/>
      <c r="U230" s="3"/>
      <c r="V230" s="3"/>
      <c r="W230" s="3">
        <v>2</v>
      </c>
      <c r="X230" s="3" t="s">
        <v>7527</v>
      </c>
      <c r="Y230" s="3"/>
      <c r="Z230" s="3"/>
      <c r="AA230" s="3">
        <v>400</v>
      </c>
      <c r="AB230" s="8">
        <v>42114</v>
      </c>
      <c r="AC230" s="3" t="s">
        <v>62</v>
      </c>
      <c r="AD230" s="3"/>
      <c r="AE230" s="3">
        <v>10</v>
      </c>
      <c r="AF230" s="3">
        <v>1</v>
      </c>
      <c r="AG230" s="3"/>
      <c r="AH230" s="3"/>
      <c r="AI230" s="3"/>
      <c r="AJ230" s="3" t="s">
        <v>120</v>
      </c>
      <c r="AK230" s="3"/>
      <c r="AL230" s="3"/>
      <c r="AM230" s="7" t="s">
        <v>4986</v>
      </c>
      <c r="AN230" s="7" t="s">
        <v>7528</v>
      </c>
      <c r="AO230" s="3"/>
      <c r="AP230" s="3"/>
      <c r="AQ230" s="3"/>
      <c r="AR230" s="7" t="s">
        <v>7529</v>
      </c>
      <c r="AS230" s="7" t="s">
        <v>7530</v>
      </c>
      <c r="AT230" s="7" t="s">
        <v>7531</v>
      </c>
      <c r="AU230" s="7" t="s">
        <v>7532</v>
      </c>
      <c r="AV230" s="3"/>
      <c r="AW230" s="3"/>
    </row>
    <row r="231" spans="1:49" ht="12.5" x14ac:dyDescent="0.25">
      <c r="A231" s="3" t="s">
        <v>46</v>
      </c>
      <c r="B231" s="21" t="str">
        <f>HYPERLINK("https://gerandofalcoes.my.salesforce.com/0014X00002VKCte", "0014X00002VKCte")</f>
        <v>0014X00002VKCte</v>
      </c>
      <c r="C231" s="21" t="str">
        <f>HYPERLINK("https://gerandofalcoes.my.salesforce.com/0014X00002VKCteQAH", "0014X00002VKCteQAH")</f>
        <v>0014X00002VKCteQAH</v>
      </c>
      <c r="D231" s="3" t="s">
        <v>7533</v>
      </c>
      <c r="E231" s="3" t="s">
        <v>7534</v>
      </c>
      <c r="F231" s="3"/>
      <c r="G231" s="6">
        <v>44763</v>
      </c>
      <c r="H231" s="3">
        <v>33</v>
      </c>
      <c r="I231" s="3" t="s">
        <v>7535</v>
      </c>
      <c r="J231" s="3" t="s">
        <v>7536</v>
      </c>
      <c r="K231" s="3" t="s">
        <v>7537</v>
      </c>
      <c r="L231" s="3" t="s">
        <v>195</v>
      </c>
      <c r="M231" s="3" t="s">
        <v>7538</v>
      </c>
      <c r="N231" s="3" t="s">
        <v>7539</v>
      </c>
      <c r="O231" s="3">
        <v>254</v>
      </c>
      <c r="P231" s="3" t="s">
        <v>7540</v>
      </c>
      <c r="Q231" s="3" t="s">
        <v>1539</v>
      </c>
      <c r="R231" s="3" t="s">
        <v>7541</v>
      </c>
      <c r="S231" s="3" t="s">
        <v>7542</v>
      </c>
      <c r="T231" s="3"/>
      <c r="U231" s="3" t="s">
        <v>4062</v>
      </c>
      <c r="V231" s="3" t="s">
        <v>7543</v>
      </c>
      <c r="W231" s="3">
        <v>4</v>
      </c>
      <c r="X231" s="3" t="s">
        <v>7544</v>
      </c>
      <c r="Y231" s="3" t="s">
        <v>7545</v>
      </c>
      <c r="Z231" s="3"/>
      <c r="AA231" s="3">
        <v>300</v>
      </c>
      <c r="AB231" s="6">
        <v>43944</v>
      </c>
      <c r="AC231" s="3" t="s">
        <v>120</v>
      </c>
      <c r="AD231" s="3">
        <v>0</v>
      </c>
      <c r="AE231" s="3">
        <v>4</v>
      </c>
      <c r="AF231" s="3">
        <v>4</v>
      </c>
      <c r="AG231" s="3" t="s">
        <v>5173</v>
      </c>
      <c r="AH231" s="3">
        <v>0</v>
      </c>
      <c r="AI231" s="3">
        <v>120000</v>
      </c>
      <c r="AJ231" s="3" t="s">
        <v>62</v>
      </c>
      <c r="AK231" s="3"/>
      <c r="AL231" s="3"/>
      <c r="AM231" s="7" t="s">
        <v>7546</v>
      </c>
      <c r="AN231" s="3"/>
      <c r="AO231" s="3"/>
      <c r="AP231" s="3"/>
      <c r="AQ231" s="7" t="s">
        <v>7547</v>
      </c>
      <c r="AR231" s="3"/>
      <c r="AS231" s="3"/>
      <c r="AT231" s="3"/>
      <c r="AU231" s="7" t="s">
        <v>7548</v>
      </c>
      <c r="AV231" s="3"/>
      <c r="AW231" s="3"/>
    </row>
    <row r="232" spans="1:49" ht="12.5" x14ac:dyDescent="0.25">
      <c r="A232" s="3" t="s">
        <v>46</v>
      </c>
      <c r="B232" s="21" t="str">
        <f>HYPERLINK("https://gerandofalcoes.my.salesforce.com/0014X00002VKCtg", "0014X00002VKCtg")</f>
        <v>0014X00002VKCtg</v>
      </c>
      <c r="C232" s="21" t="str">
        <f>HYPERLINK("https://gerandofalcoes.my.salesforce.com/0014X00002VKCtgQAH", "0014X00002VKCtgQAH")</f>
        <v>0014X00002VKCtgQAH</v>
      </c>
      <c r="D232" s="3" t="s">
        <v>7549</v>
      </c>
      <c r="E232" s="3" t="s">
        <v>7549</v>
      </c>
      <c r="F232" s="3"/>
      <c r="G232" s="6">
        <v>44763</v>
      </c>
      <c r="H232" s="3">
        <v>33</v>
      </c>
      <c r="I232" s="3" t="s">
        <v>7550</v>
      </c>
      <c r="J232" s="3"/>
      <c r="K232" s="3"/>
      <c r="L232" s="3" t="s">
        <v>407</v>
      </c>
      <c r="M232" s="3" t="s">
        <v>7551</v>
      </c>
      <c r="N232" s="3" t="s">
        <v>7552</v>
      </c>
      <c r="O232" s="3">
        <v>661</v>
      </c>
      <c r="P232" s="3" t="s">
        <v>409</v>
      </c>
      <c r="Q232" s="3"/>
      <c r="R232" s="3" t="s">
        <v>7553</v>
      </c>
      <c r="S232" s="3"/>
      <c r="T232" s="3"/>
      <c r="U232" s="3"/>
      <c r="V232" s="3"/>
      <c r="W232" s="3">
        <v>9</v>
      </c>
      <c r="X232" s="3" t="s">
        <v>7554</v>
      </c>
      <c r="Y232" s="3" t="s">
        <v>7555</v>
      </c>
      <c r="Z232" s="3"/>
      <c r="AA232" s="3">
        <v>800</v>
      </c>
      <c r="AB232" s="6">
        <v>44567</v>
      </c>
      <c r="AC232" s="3" t="s">
        <v>120</v>
      </c>
      <c r="AD232" s="3"/>
      <c r="AE232" s="3">
        <v>15</v>
      </c>
      <c r="AF232" s="3">
        <v>2</v>
      </c>
      <c r="AG232" s="3"/>
      <c r="AH232" s="3"/>
      <c r="AI232" s="3"/>
      <c r="AJ232" s="3"/>
      <c r="AK232" s="3"/>
      <c r="AL232" s="3"/>
      <c r="AM232" s="7" t="s">
        <v>7556</v>
      </c>
      <c r="AN232" s="7" t="s">
        <v>7557</v>
      </c>
      <c r="AO232" s="3"/>
      <c r="AP232" s="3"/>
      <c r="AQ232" s="3"/>
      <c r="AR232" s="3"/>
      <c r="AS232" s="3"/>
      <c r="AT232" s="3"/>
      <c r="AU232" s="7" t="s">
        <v>7558</v>
      </c>
      <c r="AW232" s="3"/>
    </row>
    <row r="233" spans="1:49" ht="12.5" x14ac:dyDescent="0.25">
      <c r="A233" s="3" t="s">
        <v>46</v>
      </c>
      <c r="B233" s="21" t="str">
        <f>HYPERLINK("https://gerandofalcoes.my.salesforce.com/0014X00002VKCtj", "0014X00002VKCtj")</f>
        <v>0014X00002VKCtj</v>
      </c>
      <c r="C233" s="21" t="str">
        <f>HYPERLINK("https://gerandofalcoes.my.salesforce.com/0014X00002VKCtjQAH", "0014X00002VKCtjQAH")</f>
        <v>0014X00002VKCtjQAH</v>
      </c>
      <c r="D233" s="3" t="s">
        <v>7559</v>
      </c>
      <c r="E233" s="3" t="s">
        <v>7560</v>
      </c>
      <c r="F233" s="3" t="s">
        <v>7561</v>
      </c>
      <c r="G233" s="6">
        <v>44763</v>
      </c>
      <c r="H233" s="3">
        <v>33</v>
      </c>
      <c r="I233" s="3" t="s">
        <v>7562</v>
      </c>
      <c r="J233" s="3" t="s">
        <v>7563</v>
      </c>
      <c r="K233" s="3" t="s">
        <v>623</v>
      </c>
      <c r="L233" s="3" t="s">
        <v>407</v>
      </c>
      <c r="M233" s="3" t="s">
        <v>7564</v>
      </c>
      <c r="N233" s="3" t="s">
        <v>7565</v>
      </c>
      <c r="O233" s="3">
        <v>54</v>
      </c>
      <c r="P233" s="3" t="s">
        <v>409</v>
      </c>
      <c r="Q233" s="3">
        <v>303</v>
      </c>
      <c r="R233" s="3" t="s">
        <v>7566</v>
      </c>
      <c r="S233" s="7" t="s">
        <v>7567</v>
      </c>
      <c r="T233" s="3"/>
      <c r="U233" s="3" t="s">
        <v>4081</v>
      </c>
      <c r="V233" s="3" t="s">
        <v>7568</v>
      </c>
      <c r="W233" s="3">
        <v>3</v>
      </c>
      <c r="X233" s="3" t="s">
        <v>7569</v>
      </c>
      <c r="Y233" s="3"/>
      <c r="Z233" s="3"/>
      <c r="AA233" s="3">
        <v>100</v>
      </c>
      <c r="AB233" s="6">
        <v>43836</v>
      </c>
      <c r="AC233" s="3" t="s">
        <v>62</v>
      </c>
      <c r="AD233" s="3">
        <v>0</v>
      </c>
      <c r="AE233" s="3">
        <v>203</v>
      </c>
      <c r="AF233" s="3">
        <v>3</v>
      </c>
      <c r="AG233" s="3" t="s">
        <v>7570</v>
      </c>
      <c r="AH233" s="3" t="s">
        <v>7571</v>
      </c>
      <c r="AI233" s="3">
        <v>100000</v>
      </c>
      <c r="AJ233" s="3" t="s">
        <v>61</v>
      </c>
      <c r="AK233" s="3"/>
      <c r="AL233" s="7" t="s">
        <v>7572</v>
      </c>
      <c r="AM233" s="7" t="s">
        <v>7573</v>
      </c>
      <c r="AN233" s="3"/>
      <c r="AO233" s="7" t="s">
        <v>7574</v>
      </c>
      <c r="AP233" s="3"/>
      <c r="AQ233" s="3"/>
      <c r="AR233" s="3"/>
      <c r="AS233" s="3"/>
      <c r="AT233" s="3"/>
      <c r="AU233" s="7" t="s">
        <v>7575</v>
      </c>
      <c r="AW233" s="3"/>
    </row>
    <row r="234" spans="1:49" ht="12.5" x14ac:dyDescent="0.25">
      <c r="A234" s="3" t="s">
        <v>46</v>
      </c>
      <c r="B234" s="21" t="str">
        <f>HYPERLINK("https://gerandofalcoes.my.salesforce.com/0014X00002VKCtk", "0014X00002VKCtk")</f>
        <v>0014X00002VKCtk</v>
      </c>
      <c r="C234" s="21" t="str">
        <f>HYPERLINK("https://gerandofalcoes.my.salesforce.com/0014X00002VKCtkQAH", "0014X00002VKCtkQAH")</f>
        <v>0014X00002VKCtkQAH</v>
      </c>
      <c r="D234" s="3" t="s">
        <v>7576</v>
      </c>
      <c r="E234" s="3" t="s">
        <v>7576</v>
      </c>
      <c r="F234" s="3" t="s">
        <v>7577</v>
      </c>
      <c r="G234" s="6"/>
      <c r="H234" s="3"/>
      <c r="I234" s="3" t="s">
        <v>7578</v>
      </c>
      <c r="J234" s="3" t="s">
        <v>7579</v>
      </c>
      <c r="K234" s="3" t="s">
        <v>7580</v>
      </c>
      <c r="L234" s="3" t="s">
        <v>6781</v>
      </c>
      <c r="M234" s="3" t="s">
        <v>7581</v>
      </c>
      <c r="N234" s="3" t="s">
        <v>7582</v>
      </c>
      <c r="O234" s="3">
        <v>45</v>
      </c>
      <c r="P234" s="3" t="s">
        <v>7583</v>
      </c>
      <c r="Q234" s="3"/>
      <c r="R234" s="3" t="s">
        <v>7584</v>
      </c>
      <c r="S234" s="3" t="s">
        <v>562</v>
      </c>
      <c r="T234" s="3"/>
      <c r="U234" s="3" t="s">
        <v>4062</v>
      </c>
      <c r="V234" s="3" t="s">
        <v>7585</v>
      </c>
      <c r="W234" s="3">
        <v>6</v>
      </c>
      <c r="X234" s="3" t="s">
        <v>7586</v>
      </c>
      <c r="Y234" s="3" t="s">
        <v>7587</v>
      </c>
      <c r="Z234" s="3"/>
      <c r="AA234" s="3">
        <v>1000</v>
      </c>
      <c r="AB234" s="6">
        <v>41499</v>
      </c>
      <c r="AC234" s="3" t="s">
        <v>62</v>
      </c>
      <c r="AD234" s="3">
        <v>14</v>
      </c>
      <c r="AE234" s="3">
        <v>0</v>
      </c>
      <c r="AF234" s="3">
        <v>5</v>
      </c>
      <c r="AG234" s="3" t="s">
        <v>7588</v>
      </c>
      <c r="AH234" s="3" t="s">
        <v>7589</v>
      </c>
      <c r="AI234" s="3">
        <v>22000</v>
      </c>
      <c r="AJ234" s="3" t="s">
        <v>120</v>
      </c>
      <c r="AK234" s="3"/>
      <c r="AL234" s="7" t="s">
        <v>7590</v>
      </c>
      <c r="AM234" s="7" t="s">
        <v>7591</v>
      </c>
      <c r="AN234" s="7" t="s">
        <v>7592</v>
      </c>
      <c r="AO234" s="3"/>
      <c r="AP234" s="3"/>
      <c r="AQ234" s="3"/>
      <c r="AR234" s="3"/>
      <c r="AS234" s="3"/>
      <c r="AT234" s="3"/>
      <c r="AU234" s="7" t="s">
        <v>7593</v>
      </c>
      <c r="AV234" s="3"/>
      <c r="AW234" s="3"/>
    </row>
    <row r="235" spans="1:49" ht="12.5" x14ac:dyDescent="0.25">
      <c r="A235" s="3" t="s">
        <v>46</v>
      </c>
      <c r="B235" s="21" t="str">
        <f>HYPERLINK("https://gerandofalcoes.my.salesforce.com/0014X00002VKCuf", "0014X00002VKCuf")</f>
        <v>0014X00002VKCuf</v>
      </c>
      <c r="C235" s="21" t="str">
        <f>HYPERLINK("https://gerandofalcoes.my.salesforce.com/0014X00002VKCufQAH", "0014X00002VKCufQAH")</f>
        <v>0014X00002VKCufQAH</v>
      </c>
      <c r="D235" s="3" t="s">
        <v>7594</v>
      </c>
      <c r="E235" s="3" t="s">
        <v>7595</v>
      </c>
      <c r="F235" s="3" t="s">
        <v>7596</v>
      </c>
      <c r="G235" s="8">
        <v>44763</v>
      </c>
      <c r="H235" s="3">
        <v>33</v>
      </c>
      <c r="I235" s="3" t="s">
        <v>7597</v>
      </c>
      <c r="J235" s="3" t="s">
        <v>7598</v>
      </c>
      <c r="K235" s="3" t="s">
        <v>7599</v>
      </c>
      <c r="L235" s="3" t="s">
        <v>101</v>
      </c>
      <c r="M235" s="3" t="s">
        <v>7600</v>
      </c>
      <c r="N235" s="3" t="s">
        <v>7601</v>
      </c>
      <c r="O235" s="3">
        <v>596</v>
      </c>
      <c r="P235" s="3" t="s">
        <v>7602</v>
      </c>
      <c r="Q235" s="3"/>
      <c r="R235" s="3" t="s">
        <v>7603</v>
      </c>
      <c r="S235" s="3"/>
      <c r="T235" s="3"/>
      <c r="U235" s="3" t="s">
        <v>7604</v>
      </c>
      <c r="V235" s="3" t="s">
        <v>4945</v>
      </c>
      <c r="W235" s="3">
        <v>50</v>
      </c>
      <c r="X235" s="3" t="s">
        <v>7605</v>
      </c>
      <c r="Y235" s="3" t="s">
        <v>7606</v>
      </c>
      <c r="Z235" s="3"/>
      <c r="AA235" s="3">
        <v>70</v>
      </c>
      <c r="AB235" s="6">
        <v>37162</v>
      </c>
      <c r="AC235" s="3" t="s">
        <v>62</v>
      </c>
      <c r="AD235" s="3">
        <v>5</v>
      </c>
      <c r="AE235" s="3">
        <v>2</v>
      </c>
      <c r="AF235" s="3">
        <v>2</v>
      </c>
      <c r="AG235" s="3" t="s">
        <v>7607</v>
      </c>
      <c r="AH235" s="3" t="s">
        <v>7608</v>
      </c>
      <c r="AI235" s="3">
        <v>11000</v>
      </c>
      <c r="AJ235" s="3" t="s">
        <v>120</v>
      </c>
      <c r="AK235" s="3"/>
      <c r="AL235" s="7" t="s">
        <v>7609</v>
      </c>
      <c r="AM235" s="3" t="s">
        <v>7610</v>
      </c>
      <c r="AN235" s="3" t="s">
        <v>7598</v>
      </c>
      <c r="AO235" s="3"/>
      <c r="AP235" s="3"/>
      <c r="AQ235" s="3"/>
      <c r="AR235" s="3"/>
      <c r="AS235" s="7" t="s">
        <v>7611</v>
      </c>
      <c r="AT235" s="3"/>
      <c r="AU235" s="7" t="s">
        <v>7612</v>
      </c>
      <c r="AV235" s="3"/>
      <c r="AW235" s="3"/>
    </row>
    <row r="236" spans="1:49" ht="12.5" x14ac:dyDescent="0.25">
      <c r="A236" s="3" t="s">
        <v>46</v>
      </c>
      <c r="B236" s="21" t="str">
        <f>HYPERLINK("https://gerandofalcoes.my.salesforce.com/0014X00002VKCug", "0014X00002VKCug")</f>
        <v>0014X00002VKCug</v>
      </c>
      <c r="C236" s="21" t="str">
        <f>HYPERLINK("https://gerandofalcoes.my.salesforce.com/0014X00002VKCugQAH", "0014X00002VKCugQAH")</f>
        <v>0014X00002VKCugQAH</v>
      </c>
      <c r="D236" s="3" t="s">
        <v>7613</v>
      </c>
      <c r="E236" s="3" t="s">
        <v>7614</v>
      </c>
      <c r="F236" s="3"/>
      <c r="G236" s="8">
        <v>44763</v>
      </c>
      <c r="H236" s="3">
        <v>33</v>
      </c>
      <c r="I236" s="3" t="s">
        <v>7615</v>
      </c>
      <c r="J236" s="3" t="s">
        <v>7616</v>
      </c>
      <c r="K236" s="3" t="s">
        <v>7617</v>
      </c>
      <c r="L236" s="3" t="s">
        <v>101</v>
      </c>
      <c r="M236" s="3" t="s">
        <v>7618</v>
      </c>
      <c r="N236" s="3" t="s">
        <v>7619</v>
      </c>
      <c r="O236" s="3">
        <v>2000</v>
      </c>
      <c r="P236" s="3" t="s">
        <v>393</v>
      </c>
      <c r="Q236" s="3" t="s">
        <v>7620</v>
      </c>
      <c r="R236" s="3" t="s">
        <v>7621</v>
      </c>
      <c r="S236" s="3"/>
      <c r="T236" s="3"/>
      <c r="U236" s="3" t="s">
        <v>4062</v>
      </c>
      <c r="V236" s="3" t="s">
        <v>5872</v>
      </c>
      <c r="W236" s="3">
        <v>100</v>
      </c>
      <c r="X236" s="3" t="s">
        <v>7622</v>
      </c>
      <c r="Y236" s="3" t="s">
        <v>7623</v>
      </c>
      <c r="Z236" s="3"/>
      <c r="AA236" s="3">
        <v>100</v>
      </c>
      <c r="AB236" s="8">
        <v>44562</v>
      </c>
      <c r="AC236" s="3" t="s">
        <v>120</v>
      </c>
      <c r="AD236" s="3">
        <v>0</v>
      </c>
      <c r="AE236" s="3">
        <v>5</v>
      </c>
      <c r="AF236" s="3">
        <v>2</v>
      </c>
      <c r="AG236" s="3" t="s">
        <v>4288</v>
      </c>
      <c r="AH236" s="3">
        <v>0</v>
      </c>
      <c r="AI236" s="3">
        <v>3000</v>
      </c>
      <c r="AJ236" s="3" t="s">
        <v>61</v>
      </c>
      <c r="AK236" s="3"/>
      <c r="AL236" s="7" t="s">
        <v>7624</v>
      </c>
      <c r="AM236" s="3"/>
      <c r="AN236" s="3"/>
      <c r="AO236" s="3"/>
      <c r="AP236" s="3"/>
      <c r="AQ236" s="3"/>
      <c r="AR236" s="3"/>
      <c r="AS236" s="3"/>
      <c r="AT236" s="3"/>
      <c r="AU236" s="3"/>
      <c r="AV236" s="3"/>
      <c r="AW236" s="3"/>
    </row>
    <row r="237" spans="1:49" ht="12.5" x14ac:dyDescent="0.25">
      <c r="A237" s="3" t="s">
        <v>46</v>
      </c>
      <c r="B237" s="21" t="str">
        <f>HYPERLINK("https://gerandofalcoes.my.salesforce.com/0014X00002VKCuh", "0014X00002VKCuh")</f>
        <v>0014X00002VKCuh</v>
      </c>
      <c r="C237" s="21" t="str">
        <f>HYPERLINK("https://gerandofalcoes.my.salesforce.com/0014X00002VKCuhQAH", "0014X00002VKCuhQAH")</f>
        <v>0014X00002VKCuhQAH</v>
      </c>
      <c r="D237" s="3" t="s">
        <v>7625</v>
      </c>
      <c r="E237" s="3" t="s">
        <v>7626</v>
      </c>
      <c r="F237" s="3" t="s">
        <v>7627</v>
      </c>
      <c r="G237" s="6"/>
      <c r="H237" s="3"/>
      <c r="I237" s="3" t="s">
        <v>7628</v>
      </c>
      <c r="J237" s="3" t="s">
        <v>7629</v>
      </c>
      <c r="K237" s="3" t="s">
        <v>7630</v>
      </c>
      <c r="L237" s="3" t="s">
        <v>101</v>
      </c>
      <c r="M237" s="3" t="s">
        <v>7631</v>
      </c>
      <c r="N237" s="3" t="s">
        <v>7632</v>
      </c>
      <c r="O237" s="3">
        <v>191</v>
      </c>
      <c r="P237" s="3" t="s">
        <v>128</v>
      </c>
      <c r="Q237" s="3"/>
      <c r="R237" s="3" t="s">
        <v>7633</v>
      </c>
      <c r="S237" s="3"/>
      <c r="T237" s="3"/>
      <c r="U237" s="3" t="s">
        <v>4497</v>
      </c>
      <c r="V237" s="3" t="s">
        <v>4437</v>
      </c>
      <c r="W237" s="3">
        <v>2</v>
      </c>
      <c r="X237" s="3" t="s">
        <v>7634</v>
      </c>
      <c r="Y237" s="3"/>
      <c r="Z237" s="3"/>
      <c r="AA237" s="3">
        <v>200</v>
      </c>
      <c r="AB237" s="6">
        <v>43948</v>
      </c>
      <c r="AC237" s="3" t="s">
        <v>120</v>
      </c>
      <c r="AD237" s="3">
        <v>0</v>
      </c>
      <c r="AE237" s="3">
        <v>12</v>
      </c>
      <c r="AF237" s="3">
        <v>3</v>
      </c>
      <c r="AG237" s="3" t="s">
        <v>3893</v>
      </c>
      <c r="AH237" s="3" t="s">
        <v>4015</v>
      </c>
      <c r="AI237" s="3">
        <v>12000</v>
      </c>
      <c r="AJ237" s="3" t="s">
        <v>61</v>
      </c>
      <c r="AK237" s="3"/>
      <c r="AL237" s="3"/>
      <c r="AM237" s="7" t="s">
        <v>7635</v>
      </c>
      <c r="AN237" s="3"/>
      <c r="AO237" s="3"/>
      <c r="AP237" s="3"/>
      <c r="AQ237" s="3"/>
      <c r="AR237" s="3"/>
      <c r="AS237" s="3"/>
      <c r="AT237" s="3"/>
      <c r="AU237" s="3"/>
      <c r="AV237" s="3"/>
      <c r="AW237" s="3"/>
    </row>
    <row r="238" spans="1:49" ht="12.5" x14ac:dyDescent="0.25">
      <c r="A238" s="3" t="s">
        <v>46</v>
      </c>
      <c r="B238" s="21" t="str">
        <f>HYPERLINK("https://gerandofalcoes.my.salesforce.com/0014X00002VKCui", "0014X00002VKCui")</f>
        <v>0014X00002VKCui</v>
      </c>
      <c r="C238" s="21" t="str">
        <f>HYPERLINK("https://gerandofalcoes.my.salesforce.com/0014X00002VKCuiQAH", "0014X00002VKCuiQAH")</f>
        <v>0014X00002VKCuiQAH</v>
      </c>
      <c r="D238" s="3" t="s">
        <v>7636</v>
      </c>
      <c r="E238" s="3" t="s">
        <v>7637</v>
      </c>
      <c r="F238" s="3" t="s">
        <v>7638</v>
      </c>
      <c r="G238" s="8">
        <v>44763</v>
      </c>
      <c r="H238" s="3">
        <v>33</v>
      </c>
      <c r="I238" s="3" t="s">
        <v>7639</v>
      </c>
      <c r="J238" s="3" t="s">
        <v>7640</v>
      </c>
      <c r="K238" s="3" t="s">
        <v>7641</v>
      </c>
      <c r="L238" s="3" t="s">
        <v>101</v>
      </c>
      <c r="M238" s="3" t="s">
        <v>7642</v>
      </c>
      <c r="N238" s="3" t="s">
        <v>7643</v>
      </c>
      <c r="O238" s="3">
        <v>946</v>
      </c>
      <c r="P238" s="3" t="s">
        <v>7644</v>
      </c>
      <c r="Q238" s="3"/>
      <c r="R238" s="3" t="s">
        <v>7645</v>
      </c>
      <c r="S238" s="3" t="s">
        <v>7646</v>
      </c>
      <c r="T238" s="3"/>
      <c r="U238" s="3" t="s">
        <v>5280</v>
      </c>
      <c r="V238" s="3" t="s">
        <v>3800</v>
      </c>
      <c r="W238" s="3">
        <v>5</v>
      </c>
      <c r="X238" s="3" t="s">
        <v>7647</v>
      </c>
      <c r="Y238" s="3" t="s">
        <v>7648</v>
      </c>
      <c r="Z238" s="3"/>
      <c r="AA238" s="3">
        <v>0</v>
      </c>
      <c r="AB238" s="6">
        <v>30758</v>
      </c>
      <c r="AC238" s="3" t="s">
        <v>62</v>
      </c>
      <c r="AD238" s="3">
        <v>17</v>
      </c>
      <c r="AE238" s="3">
        <v>15</v>
      </c>
      <c r="AF238" s="3">
        <v>4</v>
      </c>
      <c r="AG238" s="3" t="s">
        <v>7649</v>
      </c>
      <c r="AH238" s="3" t="s">
        <v>7650</v>
      </c>
      <c r="AI238" s="3">
        <v>545789</v>
      </c>
      <c r="AJ238" s="3" t="s">
        <v>120</v>
      </c>
      <c r="AK238" s="3"/>
      <c r="AL238" s="7" t="s">
        <v>7651</v>
      </c>
      <c r="AM238" s="7" t="s">
        <v>7652</v>
      </c>
      <c r="AN238" s="7" t="s">
        <v>7653</v>
      </c>
      <c r="AO238" s="3"/>
      <c r="AP238" s="3"/>
      <c r="AQ238" s="3"/>
      <c r="AR238" s="7" t="s">
        <v>7654</v>
      </c>
      <c r="AS238" s="7" t="s">
        <v>7655</v>
      </c>
      <c r="AT238" s="3"/>
      <c r="AU238" s="7" t="s">
        <v>7656</v>
      </c>
      <c r="AV238" s="3"/>
      <c r="AW238" s="3"/>
    </row>
    <row r="239" spans="1:49" ht="12.5" x14ac:dyDescent="0.25">
      <c r="A239" s="3" t="s">
        <v>46</v>
      </c>
      <c r="B239" s="21" t="str">
        <f>HYPERLINK("https://gerandofalcoes.my.salesforce.com/0014X00002VKCuj", "0014X00002VKCuj")</f>
        <v>0014X00002VKCuj</v>
      </c>
      <c r="C239" s="7" t="str">
        <f>HYPERLINK("https://gerandofalcoes.my.salesforce.com/0014X00002VKCujQAH", "0014X00002VKCujQAH")</f>
        <v>0014X00002VKCujQAH</v>
      </c>
      <c r="D239" s="3" t="s">
        <v>7657</v>
      </c>
      <c r="E239" s="3" t="s">
        <v>7658</v>
      </c>
      <c r="F239" s="3" t="s">
        <v>7659</v>
      </c>
      <c r="G239" s="6">
        <v>44763</v>
      </c>
      <c r="H239" s="3">
        <v>33</v>
      </c>
      <c r="I239" s="3" t="s">
        <v>7660</v>
      </c>
      <c r="J239" s="3" t="s">
        <v>7661</v>
      </c>
      <c r="K239" s="3" t="s">
        <v>7662</v>
      </c>
      <c r="L239" s="3" t="s">
        <v>101</v>
      </c>
      <c r="M239" s="3" t="s">
        <v>7663</v>
      </c>
      <c r="N239" s="3" t="s">
        <v>4775</v>
      </c>
      <c r="O239" s="3">
        <v>545</v>
      </c>
      <c r="P239" s="3" t="s">
        <v>4861</v>
      </c>
      <c r="Q239" s="3"/>
      <c r="R239" s="3" t="s">
        <v>7664</v>
      </c>
      <c r="S239" s="3" t="s">
        <v>7665</v>
      </c>
      <c r="T239" s="3"/>
      <c r="U239" s="3" t="s">
        <v>4877</v>
      </c>
      <c r="V239" s="3" t="s">
        <v>5664</v>
      </c>
      <c r="W239" s="3">
        <v>5</v>
      </c>
      <c r="X239" s="3" t="s">
        <v>7666</v>
      </c>
      <c r="Y239" s="3"/>
      <c r="Z239" s="3"/>
      <c r="AA239" s="3">
        <v>30</v>
      </c>
      <c r="AB239" s="6">
        <v>43738</v>
      </c>
      <c r="AC239" s="3" t="s">
        <v>62</v>
      </c>
      <c r="AD239" s="3">
        <v>4</v>
      </c>
      <c r="AE239" s="3">
        <v>40</v>
      </c>
      <c r="AF239" s="3">
        <v>4</v>
      </c>
      <c r="AG239" s="3" t="s">
        <v>7667</v>
      </c>
      <c r="AH239" s="3" t="s">
        <v>7668</v>
      </c>
      <c r="AI239" s="3">
        <v>500000</v>
      </c>
      <c r="AJ239" s="3" t="s">
        <v>120</v>
      </c>
      <c r="AK239" s="3"/>
      <c r="AL239" s="7" t="s">
        <v>7669</v>
      </c>
      <c r="AM239" s="7" t="s">
        <v>7670</v>
      </c>
      <c r="AN239" s="7" t="s">
        <v>7671</v>
      </c>
      <c r="AO239" s="7" t="s">
        <v>7672</v>
      </c>
      <c r="AP239" s="3"/>
      <c r="AQ239" s="3"/>
      <c r="AR239" s="7" t="s">
        <v>7673</v>
      </c>
      <c r="AS239" s="7" t="s">
        <v>7674</v>
      </c>
      <c r="AT239" s="7" t="s">
        <v>7675</v>
      </c>
      <c r="AU239" s="7" t="s">
        <v>7676</v>
      </c>
      <c r="AV239" s="3"/>
      <c r="AW239" s="3"/>
    </row>
    <row r="240" spans="1:49" ht="12.5" x14ac:dyDescent="0.25">
      <c r="A240" s="3" t="s">
        <v>46</v>
      </c>
      <c r="B240" s="21" t="str">
        <f>HYPERLINK("https://gerandofalcoes.my.salesforce.com/0014X00002VKCuk", "0014X00002VKCuk")</f>
        <v>0014X00002VKCuk</v>
      </c>
      <c r="C240" s="7" t="str">
        <f>HYPERLINK("https://gerandofalcoes.my.salesforce.com/0014X00002VKCukQAH", "0014X00002VKCukQAH")</f>
        <v>0014X00002VKCukQAH</v>
      </c>
      <c r="D240" s="3" t="s">
        <v>7677</v>
      </c>
      <c r="E240" s="3" t="s">
        <v>7677</v>
      </c>
      <c r="F240" s="3" t="s">
        <v>7678</v>
      </c>
      <c r="G240" s="6">
        <v>44763</v>
      </c>
      <c r="H240" s="3">
        <v>33</v>
      </c>
      <c r="I240" s="3" t="s">
        <v>7679</v>
      </c>
      <c r="J240" s="3" t="s">
        <v>7680</v>
      </c>
      <c r="K240" s="3" t="s">
        <v>7681</v>
      </c>
      <c r="L240" s="3" t="s">
        <v>101</v>
      </c>
      <c r="M240" s="3" t="s">
        <v>7682</v>
      </c>
      <c r="N240" s="3" t="s">
        <v>7683</v>
      </c>
      <c r="O240" s="3" t="s">
        <v>7684</v>
      </c>
      <c r="P240" s="3" t="s">
        <v>7685</v>
      </c>
      <c r="Q240" s="3"/>
      <c r="R240" s="3" t="s">
        <v>7686</v>
      </c>
      <c r="S240" s="3" t="s">
        <v>7687</v>
      </c>
      <c r="T240" s="3"/>
      <c r="U240" s="3" t="s">
        <v>4877</v>
      </c>
      <c r="V240" s="3" t="s">
        <v>5096</v>
      </c>
      <c r="W240" s="3">
        <v>3</v>
      </c>
      <c r="X240" s="3" t="s">
        <v>7688</v>
      </c>
      <c r="Y240" s="3"/>
      <c r="Z240" s="3"/>
      <c r="AA240" s="3">
        <v>350</v>
      </c>
      <c r="AB240" s="6">
        <v>36801</v>
      </c>
      <c r="AC240" s="3" t="s">
        <v>62</v>
      </c>
      <c r="AD240" s="3">
        <v>8</v>
      </c>
      <c r="AE240" s="3">
        <v>8</v>
      </c>
      <c r="AF240" s="3">
        <v>2</v>
      </c>
      <c r="AG240" s="3" t="s">
        <v>4156</v>
      </c>
      <c r="AH240" s="3">
        <v>0</v>
      </c>
      <c r="AI240" s="3">
        <v>0</v>
      </c>
      <c r="AJ240" s="3" t="s">
        <v>61</v>
      </c>
      <c r="AK240" s="3"/>
      <c r="AL240" s="3"/>
      <c r="AM240" s="3"/>
      <c r="AN240" s="7" t="s">
        <v>7689</v>
      </c>
      <c r="AO240" s="3"/>
      <c r="AP240" s="3"/>
      <c r="AQ240" s="7" t="s">
        <v>7690</v>
      </c>
      <c r="AR240" s="7" t="s">
        <v>7691</v>
      </c>
      <c r="AS240" s="7" t="s">
        <v>7692</v>
      </c>
      <c r="AT240" s="7" t="s">
        <v>7693</v>
      </c>
      <c r="AU240" s="7" t="s">
        <v>7694</v>
      </c>
      <c r="AV240" s="3"/>
      <c r="AW240" s="3"/>
    </row>
    <row r="241" spans="1:49" ht="12.5" x14ac:dyDescent="0.25">
      <c r="A241" s="3" t="s">
        <v>46</v>
      </c>
      <c r="B241" s="21" t="str">
        <f>HYPERLINK("https://gerandofalcoes.my.salesforce.com/0014X00002VKCul", "0014X00002VKCul")</f>
        <v>0014X00002VKCul</v>
      </c>
      <c r="C241" s="7" t="str">
        <f>HYPERLINK("https://gerandofalcoes.my.salesforce.com/0014X00002VKCulQAH", "0014X00002VKCulQAH")</f>
        <v>0014X00002VKCulQAH</v>
      </c>
      <c r="D241" s="3" t="s">
        <v>7695</v>
      </c>
      <c r="E241" s="3" t="s">
        <v>7696</v>
      </c>
      <c r="F241" s="3"/>
      <c r="G241" s="8">
        <v>44763</v>
      </c>
      <c r="H241" s="3">
        <v>33</v>
      </c>
      <c r="I241" s="3" t="s">
        <v>7697</v>
      </c>
      <c r="J241" s="3" t="s">
        <v>7698</v>
      </c>
      <c r="K241" s="3">
        <v>11983286001</v>
      </c>
      <c r="L241" s="3" t="s">
        <v>101</v>
      </c>
      <c r="M241" s="3" t="s">
        <v>7699</v>
      </c>
      <c r="N241" s="3" t="s">
        <v>7700</v>
      </c>
      <c r="O241" s="3">
        <v>125</v>
      </c>
      <c r="P241" s="3" t="s">
        <v>128</v>
      </c>
      <c r="Q241" s="3"/>
      <c r="R241" s="3">
        <v>8346585</v>
      </c>
      <c r="S241" s="3"/>
      <c r="T241" s="3"/>
      <c r="U241" s="3"/>
      <c r="V241" s="3"/>
      <c r="W241" s="3">
        <v>3</v>
      </c>
      <c r="X241" s="3" t="s">
        <v>7701</v>
      </c>
      <c r="Y241" s="3"/>
      <c r="Z241" s="3"/>
      <c r="AA241" s="3">
        <v>300</v>
      </c>
      <c r="AB241" s="8">
        <v>43156</v>
      </c>
      <c r="AC241" s="3" t="s">
        <v>120</v>
      </c>
      <c r="AD241" s="3"/>
      <c r="AE241" s="3">
        <v>10</v>
      </c>
      <c r="AF241" s="3">
        <v>1</v>
      </c>
      <c r="AG241" s="3"/>
      <c r="AH241" s="3"/>
      <c r="AI241" s="3"/>
      <c r="AJ241" s="3"/>
      <c r="AK241" s="3"/>
      <c r="AL241" s="3"/>
      <c r="AM241" s="7" t="s">
        <v>7702</v>
      </c>
      <c r="AN241" s="7" t="s">
        <v>7703</v>
      </c>
      <c r="AO241" s="3"/>
      <c r="AP241" s="3"/>
      <c r="AQ241" s="7" t="s">
        <v>7704</v>
      </c>
      <c r="AR241" s="3"/>
      <c r="AS241" s="3"/>
      <c r="AT241" s="3"/>
      <c r="AU241" s="7" t="s">
        <v>7705</v>
      </c>
      <c r="AV241" s="3"/>
      <c r="AW241" s="3"/>
    </row>
    <row r="242" spans="1:49" ht="12.5" x14ac:dyDescent="0.25">
      <c r="A242" s="3" t="s">
        <v>46</v>
      </c>
      <c r="B242" s="21" t="str">
        <f>HYPERLINK("https://gerandofalcoes.my.salesforce.com/0014X00002VKCum", "0014X00002VKCum")</f>
        <v>0014X00002VKCum</v>
      </c>
      <c r="C242" s="7" t="str">
        <f>HYPERLINK("https://gerandofalcoes.my.salesforce.com/0014X00002VKCumQAH", "0014X00002VKCumQAH")</f>
        <v>0014X00002VKCumQAH</v>
      </c>
      <c r="D242" s="3" t="s">
        <v>7706</v>
      </c>
      <c r="E242" s="3" t="s">
        <v>7707</v>
      </c>
      <c r="F242" s="3" t="s">
        <v>7708</v>
      </c>
      <c r="G242" s="6">
        <v>44763</v>
      </c>
      <c r="H242" s="3">
        <v>33</v>
      </c>
      <c r="I242" s="3" t="s">
        <v>7709</v>
      </c>
      <c r="J242" s="3"/>
      <c r="K242" s="3"/>
      <c r="L242" s="3" t="s">
        <v>101</v>
      </c>
      <c r="M242" s="3" t="s">
        <v>7710</v>
      </c>
      <c r="N242" s="3" t="s">
        <v>7711</v>
      </c>
      <c r="O242" s="3">
        <v>362</v>
      </c>
      <c r="P242" s="3" t="s">
        <v>891</v>
      </c>
      <c r="Q242" s="3"/>
      <c r="R242" s="3">
        <v>7263040</v>
      </c>
      <c r="S242" s="3"/>
      <c r="T242" s="3"/>
      <c r="U242" s="3"/>
      <c r="V242" s="3"/>
      <c r="W242" s="3">
        <v>1</v>
      </c>
      <c r="X242" s="3" t="s">
        <v>7712</v>
      </c>
      <c r="Y242" s="3" t="s">
        <v>7713</v>
      </c>
      <c r="Z242" s="3"/>
      <c r="AA242" s="3">
        <v>100</v>
      </c>
      <c r="AB242" s="6">
        <v>36264</v>
      </c>
      <c r="AC242" s="3" t="s">
        <v>62</v>
      </c>
      <c r="AD242" s="3"/>
      <c r="AE242" s="3">
        <v>2</v>
      </c>
      <c r="AF242" s="3">
        <v>1</v>
      </c>
      <c r="AG242" s="3"/>
      <c r="AH242" s="3"/>
      <c r="AI242" s="3">
        <v>1000000</v>
      </c>
      <c r="AJ242" s="3" t="s">
        <v>62</v>
      </c>
      <c r="AK242" s="3"/>
      <c r="AL242" s="3"/>
      <c r="AM242" s="3"/>
      <c r="AN242" s="3"/>
      <c r="AO242" s="3"/>
      <c r="AP242" s="3"/>
      <c r="AQ242" s="3"/>
      <c r="AR242" s="7" t="s">
        <v>7714</v>
      </c>
      <c r="AS242" s="7" t="s">
        <v>7715</v>
      </c>
      <c r="AT242" s="3"/>
      <c r="AU242" s="7" t="s">
        <v>7716</v>
      </c>
      <c r="AV242" s="3"/>
      <c r="AW242" s="3"/>
    </row>
    <row r="243" spans="1:49" ht="12.5" x14ac:dyDescent="0.25">
      <c r="A243" s="3" t="s">
        <v>46</v>
      </c>
      <c r="B243" s="21" t="str">
        <f>HYPERLINK("https://gerandofalcoes.my.salesforce.com/0014X00002VKCun", "0014X00002VKCun")</f>
        <v>0014X00002VKCun</v>
      </c>
      <c r="C243" s="7" t="str">
        <f>HYPERLINK("https://gerandofalcoes.my.salesforce.com/0014X00002VKCunQAH", "0014X00002VKCunQAH")</f>
        <v>0014X00002VKCunQAH</v>
      </c>
      <c r="D243" s="3" t="s">
        <v>7717</v>
      </c>
      <c r="E243" s="3" t="s">
        <v>7718</v>
      </c>
      <c r="F243" s="3" t="s">
        <v>7719</v>
      </c>
      <c r="G243" s="8"/>
      <c r="H243" s="3"/>
      <c r="I243" s="3" t="s">
        <v>7720</v>
      </c>
      <c r="J243" s="3" t="s">
        <v>7721</v>
      </c>
      <c r="K243" s="3"/>
      <c r="L243" s="3" t="s">
        <v>101</v>
      </c>
      <c r="M243" s="3" t="s">
        <v>7722</v>
      </c>
      <c r="N243" s="3" t="s">
        <v>7723</v>
      </c>
      <c r="O243" s="3">
        <v>579</v>
      </c>
      <c r="P243" s="3" t="s">
        <v>128</v>
      </c>
      <c r="Q243" s="3" t="s">
        <v>7724</v>
      </c>
      <c r="R243" s="3">
        <v>5329000</v>
      </c>
      <c r="S243" s="3"/>
      <c r="T243" s="3"/>
      <c r="U243" s="3"/>
      <c r="V243" s="3"/>
      <c r="W243" s="3">
        <v>7</v>
      </c>
      <c r="X243" s="3" t="s">
        <v>7725</v>
      </c>
      <c r="Y243" s="3" t="s">
        <v>7726</v>
      </c>
      <c r="Z243" s="3"/>
      <c r="AA243" s="3">
        <v>200</v>
      </c>
      <c r="AB243" s="6">
        <v>43906</v>
      </c>
      <c r="AC243" s="3" t="s">
        <v>62</v>
      </c>
      <c r="AD243" s="3">
        <v>1</v>
      </c>
      <c r="AE243" s="3">
        <v>18</v>
      </c>
      <c r="AF243" s="3">
        <v>3</v>
      </c>
      <c r="AG243" s="3"/>
      <c r="AH243" s="3"/>
      <c r="AI243" s="3">
        <v>240</v>
      </c>
      <c r="AJ243" s="3" t="s">
        <v>120</v>
      </c>
      <c r="AK243" s="3"/>
      <c r="AL243" s="7" t="s">
        <v>7727</v>
      </c>
      <c r="AM243" s="7" t="s">
        <v>7728</v>
      </c>
      <c r="AN243" s="7" t="s">
        <v>7729</v>
      </c>
      <c r="AO243" s="3"/>
      <c r="AP243" s="3"/>
      <c r="AQ243" s="3"/>
      <c r="AR243" s="7" t="s">
        <v>7730</v>
      </c>
      <c r="AS243" s="3"/>
      <c r="AT243" s="3"/>
      <c r="AU243" s="7" t="s">
        <v>7731</v>
      </c>
      <c r="AV243" s="3"/>
      <c r="AW243" s="3"/>
    </row>
    <row r="244" spans="1:49" ht="12.5" x14ac:dyDescent="0.25">
      <c r="A244" s="3" t="s">
        <v>46</v>
      </c>
      <c r="B244" s="21" t="str">
        <f>HYPERLINK("https://gerandofalcoes.my.salesforce.com/0014X00002VKCuo", "0014X00002VKCuo")</f>
        <v>0014X00002VKCuo</v>
      </c>
      <c r="C244" s="7" t="str">
        <f>HYPERLINK("https://gerandofalcoes.my.salesforce.com/0014X00002VKCuoQAH", "0014X00002VKCuoQAH")</f>
        <v>0014X00002VKCuoQAH</v>
      </c>
      <c r="D244" s="3" t="s">
        <v>7732</v>
      </c>
      <c r="E244" s="3" t="s">
        <v>7733</v>
      </c>
      <c r="F244" s="3" t="s">
        <v>7734</v>
      </c>
      <c r="G244" s="6">
        <v>44763</v>
      </c>
      <c r="H244" s="3">
        <v>33</v>
      </c>
      <c r="I244" s="3" t="s">
        <v>7735</v>
      </c>
      <c r="J244" s="3"/>
      <c r="K244" s="3"/>
      <c r="L244" s="3" t="s">
        <v>101</v>
      </c>
      <c r="M244" s="3" t="s">
        <v>7736</v>
      </c>
      <c r="N244" s="3" t="s">
        <v>7737</v>
      </c>
      <c r="O244" s="3">
        <v>170</v>
      </c>
      <c r="P244" s="3" t="s">
        <v>749</v>
      </c>
      <c r="Q244" s="3"/>
      <c r="R244" s="3" t="s">
        <v>7738</v>
      </c>
      <c r="S244" s="3"/>
      <c r="T244" s="3"/>
      <c r="U244" s="3"/>
      <c r="V244" s="3"/>
      <c r="W244" s="3">
        <v>4</v>
      </c>
      <c r="X244" s="3" t="s">
        <v>7739</v>
      </c>
      <c r="Y244" s="3"/>
      <c r="Z244" s="3"/>
      <c r="AA244" s="3">
        <v>500</v>
      </c>
      <c r="AB244" s="6">
        <v>41038</v>
      </c>
      <c r="AC244" s="3" t="s">
        <v>62</v>
      </c>
      <c r="AD244" s="3"/>
      <c r="AE244" s="3">
        <v>20</v>
      </c>
      <c r="AF244" s="3">
        <v>2</v>
      </c>
      <c r="AG244" s="3"/>
      <c r="AH244" s="3" t="s">
        <v>7740</v>
      </c>
      <c r="AI244" s="3"/>
      <c r="AJ244" s="3" t="s">
        <v>120</v>
      </c>
      <c r="AK244" s="3"/>
      <c r="AL244" s="3"/>
      <c r="AM244" s="7" t="s">
        <v>7741</v>
      </c>
      <c r="AN244" s="7" t="s">
        <v>7742</v>
      </c>
      <c r="AO244" s="3"/>
      <c r="AP244" s="3"/>
      <c r="AQ244" s="3"/>
      <c r="AR244" s="3"/>
      <c r="AS244" s="3"/>
      <c r="AT244" s="3"/>
      <c r="AU244" s="3"/>
      <c r="AV244" s="3"/>
      <c r="AW244" s="3"/>
    </row>
    <row r="245" spans="1:49" ht="12.5" x14ac:dyDescent="0.25">
      <c r="A245" s="3" t="s">
        <v>46</v>
      </c>
      <c r="B245" s="21" t="str">
        <f>HYPERLINK("https://gerandofalcoes.my.salesforce.com/0014X00002VKCuq", "0014X00002VKCuq")</f>
        <v>0014X00002VKCuq</v>
      </c>
      <c r="C245" s="7" t="str">
        <f>HYPERLINK("https://gerandofalcoes.my.salesforce.com/0014X00002VKCuqQAH", "0014X00002VKCuqQAH")</f>
        <v>0014X00002VKCuqQAH</v>
      </c>
      <c r="D245" s="3" t="s">
        <v>7743</v>
      </c>
      <c r="E245" s="3" t="s">
        <v>7743</v>
      </c>
      <c r="F245" s="3"/>
      <c r="G245" s="6">
        <v>44763</v>
      </c>
      <c r="H245" s="3">
        <v>33</v>
      </c>
      <c r="I245" s="3" t="s">
        <v>7744</v>
      </c>
      <c r="J245" s="3" t="s">
        <v>7745</v>
      </c>
      <c r="K245" s="3" t="s">
        <v>7746</v>
      </c>
      <c r="L245" s="3" t="s">
        <v>101</v>
      </c>
      <c r="M245" s="3" t="s">
        <v>7747</v>
      </c>
      <c r="N245" s="3" t="s">
        <v>7748</v>
      </c>
      <c r="O245" s="3">
        <v>213</v>
      </c>
      <c r="P245" s="3" t="s">
        <v>128</v>
      </c>
      <c r="Q245" s="3" t="s">
        <v>7749</v>
      </c>
      <c r="R245" s="3" t="s">
        <v>2731</v>
      </c>
      <c r="S245" s="3" t="s">
        <v>7750</v>
      </c>
      <c r="T245" s="3"/>
      <c r="U245" s="3" t="s">
        <v>5280</v>
      </c>
      <c r="V245" s="3" t="s">
        <v>4519</v>
      </c>
      <c r="W245" s="3">
        <v>2</v>
      </c>
      <c r="X245" s="3" t="s">
        <v>7751</v>
      </c>
      <c r="Y245" s="3"/>
      <c r="Z245" s="3"/>
      <c r="AA245" s="3">
        <v>50</v>
      </c>
      <c r="AB245" s="6">
        <v>44348</v>
      </c>
      <c r="AC245" s="3" t="s">
        <v>120</v>
      </c>
      <c r="AD245" s="3">
        <v>0</v>
      </c>
      <c r="AE245" s="3">
        <v>5</v>
      </c>
      <c r="AF245" s="3">
        <v>2</v>
      </c>
      <c r="AG245" s="3" t="s">
        <v>4032</v>
      </c>
      <c r="AH245" s="3" t="s">
        <v>7752</v>
      </c>
      <c r="AI245" s="3">
        <v>0</v>
      </c>
      <c r="AJ245" s="3" t="s">
        <v>61</v>
      </c>
      <c r="AK245" s="3"/>
      <c r="AL245" s="3"/>
      <c r="AM245" s="7" t="s">
        <v>7753</v>
      </c>
      <c r="AN245" s="3"/>
      <c r="AO245" s="3"/>
      <c r="AP245" s="3"/>
      <c r="AQ245" s="3"/>
      <c r="AR245" s="3"/>
      <c r="AS245" s="3"/>
      <c r="AT245" s="3"/>
      <c r="AU245" s="7" t="s">
        <v>7754</v>
      </c>
      <c r="AV245" s="3"/>
      <c r="AW245" s="3"/>
    </row>
    <row r="246" spans="1:49" ht="12.5" x14ac:dyDescent="0.25">
      <c r="A246" s="3" t="s">
        <v>46</v>
      </c>
      <c r="B246" s="21" t="str">
        <f>HYPERLINK("https://gerandofalcoes.my.salesforce.com/0014X00002VKCur", "0014X00002VKCur")</f>
        <v>0014X00002VKCur</v>
      </c>
      <c r="C246" s="7" t="str">
        <f>HYPERLINK("https://gerandofalcoes.my.salesforce.com/0014X00002VKCurQAH", "0014X00002VKCurQAH")</f>
        <v>0014X00002VKCurQAH</v>
      </c>
      <c r="D246" s="3" t="s">
        <v>7755</v>
      </c>
      <c r="E246" s="3" t="s">
        <v>7756</v>
      </c>
      <c r="F246" s="3"/>
      <c r="G246" s="6">
        <v>44763</v>
      </c>
      <c r="H246" s="3">
        <v>33</v>
      </c>
      <c r="I246" s="3" t="s">
        <v>7757</v>
      </c>
      <c r="J246" s="3" t="s">
        <v>7758</v>
      </c>
      <c r="K246" s="3" t="s">
        <v>7759</v>
      </c>
      <c r="L246" s="3" t="s">
        <v>101</v>
      </c>
      <c r="M246" s="3" t="s">
        <v>7760</v>
      </c>
      <c r="N246" s="3" t="s">
        <v>7760</v>
      </c>
      <c r="O246" s="3" t="s">
        <v>7760</v>
      </c>
      <c r="P246" s="3" t="s">
        <v>7760</v>
      </c>
      <c r="Q246" s="3">
        <v>82</v>
      </c>
      <c r="R246" s="3" t="s">
        <v>7761</v>
      </c>
      <c r="S246" s="3"/>
      <c r="T246" s="3"/>
      <c r="U246" s="3" t="s">
        <v>7762</v>
      </c>
      <c r="V246" s="3" t="s">
        <v>3800</v>
      </c>
      <c r="W246" s="3">
        <v>5</v>
      </c>
      <c r="X246" s="3" t="s">
        <v>7763</v>
      </c>
      <c r="Y246" s="3"/>
      <c r="Z246" s="3"/>
      <c r="AA246" s="3">
        <v>4000</v>
      </c>
      <c r="AB246" s="6">
        <v>42588</v>
      </c>
      <c r="AC246" s="3" t="s">
        <v>120</v>
      </c>
      <c r="AD246" s="3">
        <v>0</v>
      </c>
      <c r="AE246" s="3">
        <v>150</v>
      </c>
      <c r="AF246" s="3">
        <v>2</v>
      </c>
      <c r="AG246" s="3" t="s">
        <v>5221</v>
      </c>
      <c r="AH246" s="3">
        <v>0</v>
      </c>
      <c r="AI246" s="3">
        <v>30000</v>
      </c>
      <c r="AJ246" s="3" t="s">
        <v>62</v>
      </c>
      <c r="AK246" s="3"/>
      <c r="AL246" s="7" t="s">
        <v>7764</v>
      </c>
      <c r="AM246" s="7" t="s">
        <v>7765</v>
      </c>
      <c r="AN246" s="3"/>
      <c r="AO246" s="3"/>
      <c r="AP246" s="3"/>
      <c r="AQ246" s="3"/>
      <c r="AR246" s="3"/>
      <c r="AS246" s="3"/>
      <c r="AT246" s="3"/>
      <c r="AU246" s="3"/>
      <c r="AV246" s="3"/>
      <c r="AW246" s="3"/>
    </row>
    <row r="247" spans="1:49" ht="12.5" x14ac:dyDescent="0.25">
      <c r="A247" s="3" t="s">
        <v>46</v>
      </c>
      <c r="B247" s="21" t="str">
        <f>HYPERLINK("https://gerandofalcoes.my.salesforce.com/0014X00002VKCus", "0014X00002VKCus")</f>
        <v>0014X00002VKCus</v>
      </c>
      <c r="C247" s="7" t="str">
        <f>HYPERLINK("https://gerandofalcoes.my.salesforce.com/0014X00002VKCusQAH", "0014X00002VKCusQAH")</f>
        <v>0014X00002VKCusQAH</v>
      </c>
      <c r="D247" s="3" t="s">
        <v>7766</v>
      </c>
      <c r="E247" s="3" t="s">
        <v>7767</v>
      </c>
      <c r="F247" s="3" t="s">
        <v>7768</v>
      </c>
      <c r="G247" s="6">
        <v>44763</v>
      </c>
      <c r="H247" s="3">
        <v>33</v>
      </c>
      <c r="I247" s="3" t="s">
        <v>7769</v>
      </c>
      <c r="J247" s="3" t="s">
        <v>7770</v>
      </c>
      <c r="K247" s="3" t="s">
        <v>7771</v>
      </c>
      <c r="L247" s="3" t="s">
        <v>101</v>
      </c>
      <c r="M247" s="3" t="s">
        <v>7772</v>
      </c>
      <c r="N247" s="3" t="s">
        <v>7773</v>
      </c>
      <c r="O247" s="3" t="s">
        <v>7771</v>
      </c>
      <c r="P247" s="3" t="s">
        <v>749</v>
      </c>
      <c r="Q247" s="3" t="s">
        <v>7774</v>
      </c>
      <c r="R247" s="3" t="s">
        <v>7775</v>
      </c>
      <c r="S247" s="3" t="s">
        <v>7776</v>
      </c>
      <c r="T247" s="3"/>
      <c r="U247" s="3" t="s">
        <v>3964</v>
      </c>
      <c r="V247" s="3" t="s">
        <v>6891</v>
      </c>
      <c r="W247" s="3">
        <v>137</v>
      </c>
      <c r="X247" s="3" t="s">
        <v>7777</v>
      </c>
      <c r="Y247" s="3" t="s">
        <v>7778</v>
      </c>
      <c r="Z247" s="3"/>
      <c r="AA247" s="3">
        <v>0</v>
      </c>
      <c r="AB247" s="6">
        <v>43873</v>
      </c>
      <c r="AC247" s="3" t="s">
        <v>120</v>
      </c>
      <c r="AD247" s="3">
        <v>0</v>
      </c>
      <c r="AE247" s="3">
        <v>13</v>
      </c>
      <c r="AF247" s="3">
        <v>2</v>
      </c>
      <c r="AG247" s="3" t="s">
        <v>4947</v>
      </c>
      <c r="AH247" s="3" t="s">
        <v>7779</v>
      </c>
      <c r="AI247" s="3">
        <v>3000</v>
      </c>
      <c r="AJ247" s="3" t="s">
        <v>62</v>
      </c>
      <c r="AK247" s="3"/>
      <c r="AL247" s="7" t="s">
        <v>7780</v>
      </c>
      <c r="AM247" s="7" t="s">
        <v>7781</v>
      </c>
      <c r="AN247" s="7" t="s">
        <v>7782</v>
      </c>
      <c r="AO247" s="7" t="s">
        <v>7783</v>
      </c>
      <c r="AP247" s="3"/>
      <c r="AQ247" s="7" t="s">
        <v>7784</v>
      </c>
      <c r="AR247" s="3"/>
      <c r="AS247" s="7" t="s">
        <v>7785</v>
      </c>
      <c r="AT247" s="7" t="s">
        <v>7786</v>
      </c>
      <c r="AU247" s="7" t="s">
        <v>7787</v>
      </c>
      <c r="AV247" s="3"/>
      <c r="AW247" s="3"/>
    </row>
    <row r="248" spans="1:49" ht="12.5" x14ac:dyDescent="0.25">
      <c r="A248" s="3" t="s">
        <v>46</v>
      </c>
      <c r="B248" s="21" t="str">
        <f>HYPERLINK("https://gerandofalcoes.my.salesforce.com/0014X00002VKCut", "0014X00002VKCut")</f>
        <v>0014X00002VKCut</v>
      </c>
      <c r="C248" s="7" t="str">
        <f>HYPERLINK("https://gerandofalcoes.my.salesforce.com/0014X00002VKCutQAH", "0014X00002VKCutQAH")</f>
        <v>0014X00002VKCutQAH</v>
      </c>
      <c r="D248" s="3" t="s">
        <v>7788</v>
      </c>
      <c r="E248" s="3" t="s">
        <v>7789</v>
      </c>
      <c r="F248" s="3" t="s">
        <v>7790</v>
      </c>
      <c r="G248" s="6"/>
      <c r="H248" s="3"/>
      <c r="I248" s="3" t="s">
        <v>7791</v>
      </c>
      <c r="J248" s="3" t="s">
        <v>7792</v>
      </c>
      <c r="K248" s="3" t="s">
        <v>7793</v>
      </c>
      <c r="L248" s="3" t="s">
        <v>101</v>
      </c>
      <c r="M248" s="3" t="s">
        <v>7794</v>
      </c>
      <c r="N248" s="3" t="s">
        <v>7795</v>
      </c>
      <c r="O248" s="3">
        <v>79</v>
      </c>
      <c r="P248" s="3" t="s">
        <v>128</v>
      </c>
      <c r="Q248" s="3">
        <v>73</v>
      </c>
      <c r="R248" s="3" t="s">
        <v>7796</v>
      </c>
      <c r="S248" s="3" t="s">
        <v>120</v>
      </c>
      <c r="T248" s="3"/>
      <c r="U248" s="3" t="s">
        <v>4346</v>
      </c>
      <c r="V248" s="3" t="s">
        <v>4945</v>
      </c>
      <c r="W248" s="3">
        <v>4</v>
      </c>
      <c r="X248" s="3" t="s">
        <v>7797</v>
      </c>
      <c r="Y248" s="3"/>
      <c r="Z248" s="3"/>
      <c r="AA248" s="3">
        <v>300</v>
      </c>
      <c r="AB248" s="6">
        <v>40007</v>
      </c>
      <c r="AC248" s="3" t="s">
        <v>62</v>
      </c>
      <c r="AD248" s="3">
        <v>8</v>
      </c>
      <c r="AE248" s="3">
        <v>4</v>
      </c>
      <c r="AF248" s="3">
        <v>6</v>
      </c>
      <c r="AG248" s="3" t="s">
        <v>7798</v>
      </c>
      <c r="AH248" s="3" t="s">
        <v>7799</v>
      </c>
      <c r="AI248" s="3">
        <v>145142.9</v>
      </c>
      <c r="AJ248" s="3" t="s">
        <v>120</v>
      </c>
      <c r="AK248" s="3"/>
      <c r="AL248" s="7" t="s">
        <v>7800</v>
      </c>
      <c r="AM248" s="7" t="s">
        <v>7801</v>
      </c>
      <c r="AN248" s="7" t="s">
        <v>7802</v>
      </c>
      <c r="AO248" s="7" t="s">
        <v>7803</v>
      </c>
      <c r="AP248" s="3"/>
      <c r="AQ248" s="3"/>
      <c r="AR248" s="7" t="s">
        <v>7804</v>
      </c>
      <c r="AS248" s="7" t="s">
        <v>7805</v>
      </c>
      <c r="AT248" s="3"/>
      <c r="AU248" s="7" t="s">
        <v>7806</v>
      </c>
      <c r="AV248" s="3"/>
      <c r="AW248" s="3"/>
    </row>
    <row r="249" spans="1:49" ht="12.5" x14ac:dyDescent="0.25">
      <c r="A249" s="3" t="s">
        <v>46</v>
      </c>
      <c r="B249" s="21" t="str">
        <f>HYPERLINK("https://gerandofalcoes.my.salesforce.com/0014X00002VKCuu", "0014X00002VKCuu")</f>
        <v>0014X00002VKCuu</v>
      </c>
      <c r="C249" s="7" t="str">
        <f>HYPERLINK("https://gerandofalcoes.my.salesforce.com/0014X00002VKCuuQAH", "0014X00002VKCuuQAH")</f>
        <v>0014X00002VKCuuQAH</v>
      </c>
      <c r="D249" s="3" t="s">
        <v>7807</v>
      </c>
      <c r="E249" s="3" t="s">
        <v>7808</v>
      </c>
      <c r="F249" s="3" t="s">
        <v>7809</v>
      </c>
      <c r="G249" s="6">
        <v>44763</v>
      </c>
      <c r="H249" s="3">
        <v>33</v>
      </c>
      <c r="I249" s="3" t="s">
        <v>7810</v>
      </c>
      <c r="J249" s="3"/>
      <c r="K249" s="3"/>
      <c r="L249" s="3" t="s">
        <v>101</v>
      </c>
      <c r="M249" s="3" t="s">
        <v>7811</v>
      </c>
      <c r="N249" s="3" t="s">
        <v>7812</v>
      </c>
      <c r="O249" s="3">
        <v>153</v>
      </c>
      <c r="P249" s="3" t="s">
        <v>128</v>
      </c>
      <c r="Q249" s="3"/>
      <c r="R249" s="3">
        <v>5851160</v>
      </c>
      <c r="S249" s="3"/>
      <c r="T249" s="3"/>
      <c r="U249" s="3"/>
      <c r="V249" s="3"/>
      <c r="W249" s="3">
        <v>5</v>
      </c>
      <c r="X249" s="3" t="s">
        <v>7813</v>
      </c>
      <c r="Y249" s="3"/>
      <c r="Z249" s="3"/>
      <c r="AA249" s="3">
        <v>587</v>
      </c>
      <c r="AB249" s="6">
        <v>40039</v>
      </c>
      <c r="AC249" s="3" t="s">
        <v>62</v>
      </c>
      <c r="AD249" s="3"/>
      <c r="AE249" s="3">
        <v>3</v>
      </c>
      <c r="AF249" s="3">
        <v>0</v>
      </c>
      <c r="AG249" s="3"/>
      <c r="AH249" s="3">
        <v>0</v>
      </c>
      <c r="AI249" s="3">
        <v>0</v>
      </c>
      <c r="AJ249" s="3" t="s">
        <v>120</v>
      </c>
      <c r="AK249" s="3"/>
      <c r="AL249" s="3"/>
      <c r="AM249" s="3"/>
      <c r="AN249" s="3"/>
      <c r="AO249" s="3"/>
      <c r="AP249" s="3"/>
      <c r="AQ249" s="3"/>
      <c r="AR249" s="7" t="s">
        <v>7814</v>
      </c>
      <c r="AS249" s="7" t="s">
        <v>7815</v>
      </c>
      <c r="AT249" s="7" t="s">
        <v>7816</v>
      </c>
      <c r="AU249" s="3"/>
      <c r="AV249" s="3"/>
      <c r="AW249" s="3"/>
    </row>
    <row r="250" spans="1:49" ht="12.5" x14ac:dyDescent="0.25">
      <c r="A250" s="3" t="s">
        <v>46</v>
      </c>
      <c r="B250" s="21" t="str">
        <f>HYPERLINK("https://gerandofalcoes.my.salesforce.com/0014X00002VKCuv", "0014X00002VKCuv")</f>
        <v>0014X00002VKCuv</v>
      </c>
      <c r="C250" s="7" t="str">
        <f>HYPERLINK("https://gerandofalcoes.my.salesforce.com/0014X00002VKCuvQAH", "0014X00002VKCuvQAH")</f>
        <v>0014X00002VKCuvQAH</v>
      </c>
      <c r="D250" s="3" t="s">
        <v>7817</v>
      </c>
      <c r="E250" s="3" t="s">
        <v>7818</v>
      </c>
      <c r="F250" s="3" t="s">
        <v>7819</v>
      </c>
      <c r="G250" s="6">
        <v>44763</v>
      </c>
      <c r="H250" s="3">
        <v>33</v>
      </c>
      <c r="I250" s="3" t="s">
        <v>7820</v>
      </c>
      <c r="J250" s="3" t="s">
        <v>7821</v>
      </c>
      <c r="K250" s="3" t="s">
        <v>7822</v>
      </c>
      <c r="L250" s="3" t="s">
        <v>101</v>
      </c>
      <c r="M250" s="3" t="s">
        <v>7823</v>
      </c>
      <c r="N250" s="3" t="s">
        <v>7824</v>
      </c>
      <c r="O250" s="3">
        <v>7</v>
      </c>
      <c r="P250" s="3" t="s">
        <v>7825</v>
      </c>
      <c r="Q250" s="3"/>
      <c r="R250" s="3" t="s">
        <v>7826</v>
      </c>
      <c r="S250" s="3" t="s">
        <v>7827</v>
      </c>
      <c r="T250" s="3"/>
      <c r="U250" s="3" t="s">
        <v>7828</v>
      </c>
      <c r="V250" s="3" t="s">
        <v>5036</v>
      </c>
      <c r="W250" s="3">
        <v>1</v>
      </c>
      <c r="X250" s="3" t="s">
        <v>7829</v>
      </c>
      <c r="Y250" s="3"/>
      <c r="Z250" s="3"/>
      <c r="AA250" s="3">
        <v>300</v>
      </c>
      <c r="AB250" s="6">
        <v>42190</v>
      </c>
      <c r="AC250" s="3" t="s">
        <v>62</v>
      </c>
      <c r="AD250" s="3">
        <v>44</v>
      </c>
      <c r="AE250" s="3">
        <v>10</v>
      </c>
      <c r="AF250" s="3">
        <v>6</v>
      </c>
      <c r="AG250" s="3" t="s">
        <v>7830</v>
      </c>
      <c r="AH250" s="3" t="s">
        <v>7831</v>
      </c>
      <c r="AI250" s="3">
        <v>900000</v>
      </c>
      <c r="AJ250" s="3" t="s">
        <v>120</v>
      </c>
      <c r="AK250" s="3"/>
      <c r="AL250" s="7" t="s">
        <v>7832</v>
      </c>
      <c r="AM250" s="7" t="s">
        <v>7833</v>
      </c>
      <c r="AN250" s="7" t="s">
        <v>7832</v>
      </c>
      <c r="AO250" s="7" t="s">
        <v>7834</v>
      </c>
      <c r="AP250" s="3"/>
      <c r="AQ250" s="7" t="s">
        <v>7835</v>
      </c>
      <c r="AR250" s="7" t="s">
        <v>7836</v>
      </c>
      <c r="AS250" s="7" t="s">
        <v>7837</v>
      </c>
      <c r="AT250" s="3"/>
      <c r="AU250" s="7" t="s">
        <v>7838</v>
      </c>
      <c r="AV250" s="3"/>
      <c r="AW250" s="3"/>
    </row>
    <row r="251" spans="1:49" ht="12.5" x14ac:dyDescent="0.25">
      <c r="A251" s="3" t="s">
        <v>46</v>
      </c>
      <c r="B251" s="21" t="str">
        <f>HYPERLINK("https://gerandofalcoes.my.salesforce.com/0014X00002VKCuw", "0014X00002VKCuw")</f>
        <v>0014X00002VKCuw</v>
      </c>
      <c r="C251" s="7" t="str">
        <f>HYPERLINK("https://gerandofalcoes.my.salesforce.com/0014X00002VKCuwQAH", "0014X00002VKCuwQAH")</f>
        <v>0014X00002VKCuwQAH</v>
      </c>
      <c r="D251" s="3" t="s">
        <v>7839</v>
      </c>
      <c r="E251" s="3" t="s">
        <v>7840</v>
      </c>
      <c r="F251" s="3" t="s">
        <v>7841</v>
      </c>
      <c r="G251" s="6">
        <v>44763</v>
      </c>
      <c r="H251" s="3">
        <v>33</v>
      </c>
      <c r="I251" s="3" t="s">
        <v>7842</v>
      </c>
      <c r="J251" s="3" t="s">
        <v>7843</v>
      </c>
      <c r="K251" s="3" t="s">
        <v>7844</v>
      </c>
      <c r="L251" s="3" t="s">
        <v>101</v>
      </c>
      <c r="M251" s="3" t="s">
        <v>7845</v>
      </c>
      <c r="N251" s="3" t="s">
        <v>7846</v>
      </c>
      <c r="O251" s="3">
        <v>427</v>
      </c>
      <c r="P251" s="3" t="s">
        <v>128</v>
      </c>
      <c r="Q251" s="3" t="s">
        <v>673</v>
      </c>
      <c r="R251" s="3" t="s">
        <v>7847</v>
      </c>
      <c r="S251" s="3" t="s">
        <v>7848</v>
      </c>
      <c r="T251" s="3"/>
      <c r="U251" s="3" t="s">
        <v>7849</v>
      </c>
      <c r="V251" s="3" t="s">
        <v>3800</v>
      </c>
      <c r="W251" s="3">
        <v>1</v>
      </c>
      <c r="X251" s="3" t="s">
        <v>7850</v>
      </c>
      <c r="Y251" s="3" t="s">
        <v>7851</v>
      </c>
      <c r="Z251" s="3"/>
      <c r="AA251" s="3">
        <v>250</v>
      </c>
      <c r="AB251" s="8">
        <v>43497</v>
      </c>
      <c r="AC251" s="3" t="s">
        <v>62</v>
      </c>
      <c r="AD251" s="3">
        <v>0</v>
      </c>
      <c r="AE251" s="3">
        <v>30</v>
      </c>
      <c r="AF251" s="3">
        <v>2</v>
      </c>
      <c r="AG251" s="3" t="s">
        <v>7230</v>
      </c>
      <c r="AH251" s="3" t="s">
        <v>5959</v>
      </c>
      <c r="AI251" s="3">
        <v>50000</v>
      </c>
      <c r="AJ251" s="3" t="s">
        <v>120</v>
      </c>
      <c r="AK251" s="3"/>
      <c r="AL251" s="7" t="s">
        <v>7852</v>
      </c>
      <c r="AM251" s="7" t="s">
        <v>7853</v>
      </c>
      <c r="AN251" s="7" t="s">
        <v>7854</v>
      </c>
      <c r="AO251" s="7" t="s">
        <v>7855</v>
      </c>
      <c r="AP251" s="3"/>
      <c r="AQ251" s="3"/>
      <c r="AR251" s="3"/>
      <c r="AS251" s="7" t="s">
        <v>7856</v>
      </c>
      <c r="AT251" s="3"/>
      <c r="AU251" s="3"/>
      <c r="AV251" s="3"/>
      <c r="AW251" s="3"/>
    </row>
    <row r="252" spans="1:49" ht="12.5" x14ac:dyDescent="0.25">
      <c r="A252" s="3" t="s">
        <v>46</v>
      </c>
      <c r="B252" s="21" t="str">
        <f>HYPERLINK("https://gerandofalcoes.my.salesforce.com/0014X00002VKCsV", "0014X00002VKCsV")</f>
        <v>0014X00002VKCsV</v>
      </c>
      <c r="C252" s="7" t="str">
        <f>HYPERLINK("https://gerandofalcoes.my.salesforce.com/0014X00002VKCsVQAX", "0014X00002VKCsVQAX")</f>
        <v>0014X00002VKCsVQAX</v>
      </c>
      <c r="D252" s="3" t="s">
        <v>7857</v>
      </c>
      <c r="E252" s="3" t="s">
        <v>7858</v>
      </c>
      <c r="F252" s="3" t="s">
        <v>7859</v>
      </c>
      <c r="G252" s="6">
        <v>44763</v>
      </c>
      <c r="H252" s="3">
        <v>33</v>
      </c>
      <c r="I252" s="3" t="s">
        <v>7860</v>
      </c>
      <c r="J252" s="3" t="s">
        <v>7861</v>
      </c>
      <c r="K252" s="3" t="s">
        <v>7862</v>
      </c>
      <c r="L252" s="3" t="s">
        <v>70</v>
      </c>
      <c r="M252" s="3" t="s">
        <v>7863</v>
      </c>
      <c r="N252" s="3" t="s">
        <v>7864</v>
      </c>
      <c r="O252" s="3">
        <v>61</v>
      </c>
      <c r="P252" s="3" t="s">
        <v>73</v>
      </c>
      <c r="Q252" s="3" t="s">
        <v>7865</v>
      </c>
      <c r="R252" s="3" t="s">
        <v>7866</v>
      </c>
      <c r="S252" s="3" t="s">
        <v>7867</v>
      </c>
      <c r="T252" s="3"/>
      <c r="U252" s="3" t="s">
        <v>4062</v>
      </c>
      <c r="V252" s="3" t="s">
        <v>5234</v>
      </c>
      <c r="W252" s="3">
        <v>3105</v>
      </c>
      <c r="X252" s="3" t="s">
        <v>7868</v>
      </c>
      <c r="Y252" s="3"/>
      <c r="Z252" s="3"/>
      <c r="AA252" s="3">
        <v>48</v>
      </c>
      <c r="AB252" s="6">
        <v>38359</v>
      </c>
      <c r="AC252" s="3" t="s">
        <v>62</v>
      </c>
      <c r="AD252" s="3">
        <v>0</v>
      </c>
      <c r="AE252" s="3">
        <v>13</v>
      </c>
      <c r="AF252" s="3">
        <v>3</v>
      </c>
      <c r="AG252" s="3" t="s">
        <v>5649</v>
      </c>
      <c r="AH252" s="3" t="s">
        <v>7869</v>
      </c>
      <c r="AI252" s="3">
        <v>22800</v>
      </c>
      <c r="AJ252" s="3" t="s">
        <v>120</v>
      </c>
      <c r="AK252" s="3"/>
      <c r="AL252" s="3" t="s">
        <v>7870</v>
      </c>
      <c r="AM252" s="7" t="s">
        <v>7871</v>
      </c>
      <c r="AN252" s="7" t="s">
        <v>7872</v>
      </c>
      <c r="AO252" s="7" t="s">
        <v>7873</v>
      </c>
      <c r="AP252" s="3"/>
      <c r="AQ252" s="3"/>
      <c r="AR252" s="3"/>
      <c r="AS252" s="7" t="s">
        <v>7874</v>
      </c>
      <c r="AT252" s="3"/>
      <c r="AU252" s="7" t="s">
        <v>7875</v>
      </c>
      <c r="AV252" s="3"/>
      <c r="AW252" s="3"/>
    </row>
    <row r="253" spans="1:49" ht="12.5" x14ac:dyDescent="0.25">
      <c r="A253" s="3" t="s">
        <v>46</v>
      </c>
      <c r="B253" s="21" t="str">
        <f>HYPERLINK("https://gerandofalcoes.my.salesforce.com/0014X00002VKCsW", "0014X00002VKCsW")</f>
        <v>0014X00002VKCsW</v>
      </c>
      <c r="C253" s="7" t="str">
        <f>HYPERLINK("https://gerandofalcoes.my.salesforce.com/0014X00002VKCsWQAX", "0014X00002VKCsWQAX")</f>
        <v>0014X00002VKCsWQAX</v>
      </c>
      <c r="D253" s="3" t="s">
        <v>7876</v>
      </c>
      <c r="E253" s="3" t="s">
        <v>7877</v>
      </c>
      <c r="F253" s="3" t="s">
        <v>7878</v>
      </c>
      <c r="G253" s="6">
        <v>44763</v>
      </c>
      <c r="H253" s="3">
        <v>33</v>
      </c>
      <c r="I253" s="3" t="s">
        <v>7879</v>
      </c>
      <c r="J253" s="3" t="s">
        <v>7880</v>
      </c>
      <c r="K253" s="3" t="s">
        <v>7881</v>
      </c>
      <c r="L253" s="3" t="s">
        <v>70</v>
      </c>
      <c r="M253" s="3" t="s">
        <v>7882</v>
      </c>
      <c r="N253" s="3" t="s">
        <v>7883</v>
      </c>
      <c r="O253" s="3">
        <v>2266</v>
      </c>
      <c r="P253" s="3" t="s">
        <v>6367</v>
      </c>
      <c r="Q253" s="3"/>
      <c r="R253" s="3" t="s">
        <v>7884</v>
      </c>
      <c r="S253" s="3"/>
      <c r="T253" s="3"/>
      <c r="U253" s="3" t="s">
        <v>3932</v>
      </c>
      <c r="V253" s="3" t="s">
        <v>7885</v>
      </c>
      <c r="W253" s="3">
        <v>37</v>
      </c>
      <c r="X253" s="3" t="s">
        <v>7886</v>
      </c>
      <c r="Y253" s="3" t="s">
        <v>7887</v>
      </c>
      <c r="Z253" s="3"/>
      <c r="AA253" s="3">
        <v>2750</v>
      </c>
      <c r="AB253" s="6">
        <v>37745</v>
      </c>
      <c r="AC253" s="3" t="s">
        <v>62</v>
      </c>
      <c r="AD253" s="3">
        <v>3</v>
      </c>
      <c r="AE253" s="3">
        <v>2</v>
      </c>
      <c r="AF253" s="3">
        <v>2</v>
      </c>
      <c r="AG253" s="3" t="s">
        <v>4084</v>
      </c>
      <c r="AH253" s="3">
        <v>0</v>
      </c>
      <c r="AI253" s="3">
        <v>1000</v>
      </c>
      <c r="AJ253" s="3" t="s">
        <v>62</v>
      </c>
      <c r="AK253" s="3"/>
      <c r="AL253" s="3"/>
      <c r="AM253" s="3"/>
      <c r="AN253" s="3"/>
      <c r="AO253" s="3"/>
      <c r="AP253" s="3"/>
      <c r="AQ253" s="3"/>
      <c r="AR253" s="3"/>
      <c r="AS253" s="3"/>
      <c r="AT253" s="3"/>
      <c r="AU253" s="3"/>
      <c r="AV253" s="3"/>
      <c r="AW253" s="3"/>
    </row>
    <row r="254" spans="1:49" ht="12.5" x14ac:dyDescent="0.25">
      <c r="A254" s="3" t="s">
        <v>46</v>
      </c>
      <c r="B254" s="21" t="str">
        <f>HYPERLINK("https://gerandofalcoes.my.salesforce.com/0014X00002VKCsY", "0014X00002VKCsY")</f>
        <v>0014X00002VKCsY</v>
      </c>
      <c r="C254" s="7" t="str">
        <f>HYPERLINK("https://gerandofalcoes.my.salesforce.com/0014X00002VKCsYQAX", "0014X00002VKCsYQAX")</f>
        <v>0014X00002VKCsYQAX</v>
      </c>
      <c r="D254" s="3" t="s">
        <v>7888</v>
      </c>
      <c r="E254" s="3" t="s">
        <v>7889</v>
      </c>
      <c r="F254" s="3"/>
      <c r="G254" s="6">
        <v>44763</v>
      </c>
      <c r="H254" s="3">
        <v>33</v>
      </c>
      <c r="I254" s="3" t="s">
        <v>7890</v>
      </c>
      <c r="J254" s="3" t="s">
        <v>6438</v>
      </c>
      <c r="K254" s="3"/>
      <c r="L254" s="3" t="s">
        <v>70</v>
      </c>
      <c r="M254" s="3" t="s">
        <v>6440</v>
      </c>
      <c r="N254" s="3" t="s">
        <v>6441</v>
      </c>
      <c r="O254" s="3">
        <v>52</v>
      </c>
      <c r="P254" s="3" t="s">
        <v>73</v>
      </c>
      <c r="Q254" s="3">
        <v>20551200</v>
      </c>
      <c r="R254" s="3" t="s">
        <v>6443</v>
      </c>
      <c r="S254" s="3"/>
      <c r="T254" s="3"/>
      <c r="U254" s="3"/>
      <c r="V254" s="3"/>
      <c r="W254" s="3">
        <v>2</v>
      </c>
      <c r="X254" s="3" t="s">
        <v>7891</v>
      </c>
      <c r="Y254" s="3" t="s">
        <v>7892</v>
      </c>
      <c r="Z254" s="3"/>
      <c r="AA254" s="3">
        <v>30</v>
      </c>
      <c r="AB254" s="6">
        <v>44146</v>
      </c>
      <c r="AC254" s="3" t="s">
        <v>120</v>
      </c>
      <c r="AD254" s="3"/>
      <c r="AE254" s="3">
        <v>4</v>
      </c>
      <c r="AF254" s="3">
        <v>1</v>
      </c>
      <c r="AG254" s="3"/>
      <c r="AH254" s="3"/>
      <c r="AI254" s="3"/>
      <c r="AJ254" s="3" t="s">
        <v>62</v>
      </c>
      <c r="AK254" s="3"/>
      <c r="AL254" s="3"/>
      <c r="AM254" s="7" t="s">
        <v>7893</v>
      </c>
      <c r="AN254" s="3"/>
      <c r="AO254" s="3"/>
      <c r="AP254" s="3"/>
      <c r="AQ254" s="7" t="s">
        <v>7894</v>
      </c>
      <c r="AR254" s="3"/>
      <c r="AS254" s="3"/>
      <c r="AT254" s="3"/>
      <c r="AU254" s="3"/>
      <c r="AV254" s="3"/>
      <c r="AW254" s="3"/>
    </row>
    <row r="255" spans="1:49" ht="12.5" x14ac:dyDescent="0.25">
      <c r="A255" s="3" t="s">
        <v>46</v>
      </c>
      <c r="B255" s="21" t="str">
        <f>HYPERLINK("https://gerandofalcoes.my.salesforce.com/0014X00002VKCsa", "0014X00002VKCsa")</f>
        <v>0014X00002VKCsa</v>
      </c>
      <c r="C255" s="7" t="str">
        <f>HYPERLINK("https://gerandofalcoes.my.salesforce.com/0014X00002VKCsaQAH", "0014X00002VKCsaQAH")</f>
        <v>0014X00002VKCsaQAH</v>
      </c>
      <c r="D255" s="3" t="s">
        <v>7895</v>
      </c>
      <c r="E255" s="3" t="s">
        <v>7896</v>
      </c>
      <c r="F255" s="3"/>
      <c r="G255" s="6">
        <v>44763</v>
      </c>
      <c r="H255" s="3">
        <v>33</v>
      </c>
      <c r="I255" s="3" t="s">
        <v>7897</v>
      </c>
      <c r="J255" s="3" t="s">
        <v>7898</v>
      </c>
      <c r="K255" s="3" t="s">
        <v>7899</v>
      </c>
      <c r="L255" s="3" t="s">
        <v>70</v>
      </c>
      <c r="M255" s="3" t="s">
        <v>7900</v>
      </c>
      <c r="N255" s="3" t="s">
        <v>7901</v>
      </c>
      <c r="O255" s="3">
        <v>4</v>
      </c>
      <c r="P255" s="3" t="s">
        <v>7902</v>
      </c>
      <c r="Q255" s="3" t="s">
        <v>7903</v>
      </c>
      <c r="R255" s="3" t="s">
        <v>7904</v>
      </c>
      <c r="S255" s="3"/>
      <c r="T255" s="3"/>
      <c r="U255" s="3" t="s">
        <v>7905</v>
      </c>
      <c r="V255" s="3" t="s">
        <v>3800</v>
      </c>
      <c r="W255" s="3">
        <v>4</v>
      </c>
      <c r="X255" s="3" t="s">
        <v>7906</v>
      </c>
      <c r="Y255" s="3" t="s">
        <v>7907</v>
      </c>
      <c r="Z255" s="3"/>
      <c r="AA255" s="3">
        <v>217</v>
      </c>
      <c r="AB255" s="6">
        <v>44702</v>
      </c>
      <c r="AC255" s="3" t="s">
        <v>120</v>
      </c>
      <c r="AD255" s="3">
        <v>0</v>
      </c>
      <c r="AE255" s="3">
        <v>16</v>
      </c>
      <c r="AF255" s="3">
        <v>2</v>
      </c>
      <c r="AG255" s="3" t="s">
        <v>4032</v>
      </c>
      <c r="AH255" s="3" t="s">
        <v>7908</v>
      </c>
      <c r="AI255" s="3">
        <v>11800</v>
      </c>
      <c r="AJ255" s="3" t="s">
        <v>120</v>
      </c>
      <c r="AK255" s="3"/>
      <c r="AL255" s="7" t="s">
        <v>7909</v>
      </c>
      <c r="AM255" s="7" t="s">
        <v>7909</v>
      </c>
      <c r="AN255" s="7" t="s">
        <v>7910</v>
      </c>
      <c r="AO255" s="7" t="s">
        <v>7911</v>
      </c>
      <c r="AP255" s="3"/>
      <c r="AQ255" s="3"/>
      <c r="AR255" s="3"/>
      <c r="AS255" s="3"/>
      <c r="AT255" s="7" t="s">
        <v>7912</v>
      </c>
      <c r="AU255" s="7" t="s">
        <v>7913</v>
      </c>
      <c r="AV255" s="3"/>
      <c r="AW255" s="3"/>
    </row>
    <row r="256" spans="1:49" ht="12.5" x14ac:dyDescent="0.25">
      <c r="A256" s="3" t="s">
        <v>46</v>
      </c>
      <c r="B256" s="21" t="str">
        <f>HYPERLINK("https://gerandofalcoes.my.salesforce.com/0014X00002VKCsc", "0014X00002VKCsc")</f>
        <v>0014X00002VKCsc</v>
      </c>
      <c r="C256" s="7" t="str">
        <f>HYPERLINK("https://gerandofalcoes.my.salesforce.com/0014X00002VKCscQAH", "0014X00002VKCscQAH")</f>
        <v>0014X00002VKCscQAH</v>
      </c>
      <c r="D256" s="3" t="s">
        <v>7914</v>
      </c>
      <c r="E256" s="3" t="s">
        <v>7915</v>
      </c>
      <c r="F256" s="3" t="s">
        <v>7916</v>
      </c>
      <c r="G256" s="6"/>
      <c r="H256" s="3"/>
      <c r="I256" s="3" t="s">
        <v>7917</v>
      </c>
      <c r="J256" s="3" t="s">
        <v>7918</v>
      </c>
      <c r="K256" s="3" t="s">
        <v>7919</v>
      </c>
      <c r="L256" s="3" t="s">
        <v>70</v>
      </c>
      <c r="M256" s="3" t="s">
        <v>7920</v>
      </c>
      <c r="N256" s="3" t="s">
        <v>7921</v>
      </c>
      <c r="O256" s="3">
        <v>2</v>
      </c>
      <c r="P256" s="3" t="s">
        <v>7922</v>
      </c>
      <c r="Q256" s="3"/>
      <c r="R256" s="3" t="s">
        <v>7923</v>
      </c>
      <c r="S256" s="3" t="s">
        <v>7924</v>
      </c>
      <c r="T256" s="3"/>
      <c r="U256" s="3" t="s">
        <v>4497</v>
      </c>
      <c r="V256" s="3" t="s">
        <v>3800</v>
      </c>
      <c r="W256" s="3">
        <v>10</v>
      </c>
      <c r="X256" s="3" t="s">
        <v>7925</v>
      </c>
      <c r="Y256" s="3"/>
      <c r="Z256" s="3"/>
      <c r="AA256" s="3">
        <v>150</v>
      </c>
      <c r="AB256" s="6">
        <v>39147</v>
      </c>
      <c r="AC256" s="3" t="s">
        <v>62</v>
      </c>
      <c r="AD256" s="3">
        <v>6</v>
      </c>
      <c r="AE256" s="3">
        <v>6</v>
      </c>
      <c r="AF256" s="3">
        <v>2</v>
      </c>
      <c r="AG256" s="3" t="s">
        <v>7926</v>
      </c>
      <c r="AH256" s="3" t="s">
        <v>7927</v>
      </c>
      <c r="AI256" s="3">
        <v>12</v>
      </c>
      <c r="AJ256" s="3" t="s">
        <v>120</v>
      </c>
      <c r="AK256" s="3"/>
      <c r="AL256" s="3"/>
      <c r="AM256" s="7" t="s">
        <v>7928</v>
      </c>
      <c r="AN256" s="7" t="s">
        <v>7929</v>
      </c>
      <c r="AO256" s="7" t="s">
        <v>7930</v>
      </c>
      <c r="AP256" s="3"/>
      <c r="AQ256" s="3"/>
      <c r="AR256" s="3"/>
      <c r="AS256" s="7" t="s">
        <v>7931</v>
      </c>
      <c r="AT256" s="3"/>
      <c r="AU256" s="7" t="s">
        <v>7932</v>
      </c>
      <c r="AV256" s="3"/>
      <c r="AW256" s="3"/>
    </row>
    <row r="257" spans="1:49" ht="12.5" x14ac:dyDescent="0.25">
      <c r="A257" s="3" t="s">
        <v>46</v>
      </c>
      <c r="B257" s="21" t="str">
        <f>HYPERLINK("https://gerandofalcoes.my.salesforce.com/0014X00002VKCsd", "0014X00002VKCsd")</f>
        <v>0014X00002VKCsd</v>
      </c>
      <c r="C257" s="7" t="str">
        <f>HYPERLINK("https://gerandofalcoes.my.salesforce.com/0014X00002VKCsdQAH", "0014X00002VKCsdQAH")</f>
        <v>0014X00002VKCsdQAH</v>
      </c>
      <c r="D257" s="3" t="s">
        <v>7933</v>
      </c>
      <c r="E257" s="3" t="s">
        <v>7934</v>
      </c>
      <c r="F257" s="3"/>
      <c r="G257" s="6">
        <v>44763</v>
      </c>
      <c r="H257" s="3">
        <v>33</v>
      </c>
      <c r="I257" s="3" t="s">
        <v>7935</v>
      </c>
      <c r="J257" s="3" t="s">
        <v>7936</v>
      </c>
      <c r="K257" s="3" t="s">
        <v>7937</v>
      </c>
      <c r="L257" s="3" t="s">
        <v>195</v>
      </c>
      <c r="M257" s="3" t="s">
        <v>7938</v>
      </c>
      <c r="N257" s="3" t="s">
        <v>7939</v>
      </c>
      <c r="O257" s="3">
        <v>0</v>
      </c>
      <c r="P257" s="3" t="s">
        <v>7940</v>
      </c>
      <c r="Q257" s="3" t="s">
        <v>7941</v>
      </c>
      <c r="R257" s="3" t="s">
        <v>6671</v>
      </c>
      <c r="S257" s="3" t="s">
        <v>7942</v>
      </c>
      <c r="T257" s="3" t="s">
        <v>3798</v>
      </c>
      <c r="U257" s="3" t="s">
        <v>4346</v>
      </c>
      <c r="V257" s="3" t="s">
        <v>4141</v>
      </c>
      <c r="W257" s="3">
        <v>4</v>
      </c>
      <c r="X257" s="3" t="s">
        <v>7943</v>
      </c>
      <c r="Y257" s="3" t="s">
        <v>7944</v>
      </c>
      <c r="Z257" s="3"/>
      <c r="AA257" s="3">
        <v>0</v>
      </c>
      <c r="AB257" s="6">
        <v>37444</v>
      </c>
      <c r="AC257" s="3" t="s">
        <v>120</v>
      </c>
      <c r="AD257" s="3">
        <v>5</v>
      </c>
      <c r="AE257" s="3">
        <v>15</v>
      </c>
      <c r="AF257" s="3">
        <v>2</v>
      </c>
      <c r="AG257" s="3" t="s">
        <v>7945</v>
      </c>
      <c r="AH257" s="3">
        <v>2</v>
      </c>
      <c r="AI257" s="3">
        <v>24000</v>
      </c>
      <c r="AJ257" s="3" t="s">
        <v>61</v>
      </c>
      <c r="AK257" s="3"/>
      <c r="AL257" s="3"/>
      <c r="AM257" s="7" t="s">
        <v>7946</v>
      </c>
      <c r="AN257" s="3"/>
      <c r="AO257" s="3"/>
      <c r="AP257" s="3"/>
      <c r="AQ257" s="3"/>
      <c r="AR257" s="3"/>
      <c r="AS257" s="3"/>
      <c r="AT257" s="3"/>
      <c r="AU257" s="3"/>
      <c r="AV257" s="3"/>
      <c r="AW257" s="3"/>
    </row>
    <row r="258" spans="1:49" ht="12.5" x14ac:dyDescent="0.25">
      <c r="A258" s="3" t="s">
        <v>46</v>
      </c>
      <c r="B258" s="21" t="str">
        <f>HYPERLINK("https://gerandofalcoes.my.salesforce.com/0014X00002VKCse", "0014X00002VKCse")</f>
        <v>0014X00002VKCse</v>
      </c>
      <c r="C258" s="7" t="str">
        <f>HYPERLINK("https://gerandofalcoes.my.salesforce.com/0014X00002VKCseQAH", "0014X00002VKCseQAH")</f>
        <v>0014X00002VKCseQAH</v>
      </c>
      <c r="D258" s="3" t="s">
        <v>7947</v>
      </c>
      <c r="E258" s="3" t="s">
        <v>7948</v>
      </c>
      <c r="F258" s="3" t="s">
        <v>7949</v>
      </c>
      <c r="G258" s="6">
        <v>44763</v>
      </c>
      <c r="H258" s="3">
        <v>33</v>
      </c>
      <c r="I258" s="3" t="s">
        <v>7950</v>
      </c>
      <c r="J258" s="3" t="s">
        <v>7951</v>
      </c>
      <c r="K258" s="3" t="s">
        <v>7952</v>
      </c>
      <c r="L258" s="3" t="s">
        <v>70</v>
      </c>
      <c r="M258" s="3" t="s">
        <v>7953</v>
      </c>
      <c r="N258" s="3" t="s">
        <v>7407</v>
      </c>
      <c r="O258" s="3">
        <v>29</v>
      </c>
      <c r="P258" s="3" t="s">
        <v>73</v>
      </c>
      <c r="Q258" s="3" t="s">
        <v>7954</v>
      </c>
      <c r="R258" s="3" t="s">
        <v>7955</v>
      </c>
      <c r="S258" s="3" t="s">
        <v>7956</v>
      </c>
      <c r="T258" s="3"/>
      <c r="U258" s="3" t="s">
        <v>6404</v>
      </c>
      <c r="V258" s="3" t="s">
        <v>3800</v>
      </c>
      <c r="W258" s="3">
        <v>5</v>
      </c>
      <c r="X258" s="3" t="s">
        <v>7957</v>
      </c>
      <c r="Y258" s="3"/>
      <c r="Z258" s="3"/>
      <c r="AA258" s="3">
        <v>100</v>
      </c>
      <c r="AB258" s="6">
        <v>42787</v>
      </c>
      <c r="AC258" s="3" t="s">
        <v>120</v>
      </c>
      <c r="AD258" s="3">
        <v>0</v>
      </c>
      <c r="AE258" s="3">
        <v>5</v>
      </c>
      <c r="AF258" s="3">
        <v>4</v>
      </c>
      <c r="AG258" s="3" t="s">
        <v>6199</v>
      </c>
      <c r="AH258" s="3" t="s">
        <v>7958</v>
      </c>
      <c r="AI258" s="3">
        <v>6000</v>
      </c>
      <c r="AJ258" s="3" t="s">
        <v>61</v>
      </c>
      <c r="AK258" s="3"/>
      <c r="AL258" s="3" t="s">
        <v>7959</v>
      </c>
      <c r="AM258" s="7" t="s">
        <v>7960</v>
      </c>
      <c r="AN258" s="3"/>
      <c r="AO258" s="3"/>
      <c r="AP258" s="3"/>
      <c r="AQ258" s="3"/>
      <c r="AR258" s="3"/>
      <c r="AS258" s="3"/>
      <c r="AT258" s="3"/>
      <c r="AU258" s="3"/>
      <c r="AV258" s="3"/>
      <c r="AW258" s="3"/>
    </row>
    <row r="259" spans="1:49" ht="12.5" x14ac:dyDescent="0.25">
      <c r="A259" s="3" t="s">
        <v>46</v>
      </c>
      <c r="B259" s="21" t="str">
        <f>HYPERLINK("https://gerandofalcoes.my.salesforce.com/0014X00002VKCsh", "0014X00002VKCsh")</f>
        <v>0014X00002VKCsh</v>
      </c>
      <c r="C259" s="7" t="str">
        <f>HYPERLINK("https://gerandofalcoes.my.salesforce.com/0014X00002VKCshQAH", "0014X00002VKCshQAH")</f>
        <v>0014X00002VKCshQAH</v>
      </c>
      <c r="D259" s="3" t="s">
        <v>7961</v>
      </c>
      <c r="E259" s="3" t="s">
        <v>7961</v>
      </c>
      <c r="F259" s="3" t="s">
        <v>7962</v>
      </c>
      <c r="G259" s="6">
        <v>44763</v>
      </c>
      <c r="H259" s="3">
        <v>33</v>
      </c>
      <c r="I259" s="3" t="s">
        <v>7963</v>
      </c>
      <c r="J259" s="3" t="s">
        <v>7964</v>
      </c>
      <c r="K259" s="3" t="s">
        <v>7965</v>
      </c>
      <c r="L259" s="3" t="s">
        <v>70</v>
      </c>
      <c r="M259" s="3" t="s">
        <v>7966</v>
      </c>
      <c r="N259" s="3" t="s">
        <v>7967</v>
      </c>
      <c r="O259" s="3">
        <v>85</v>
      </c>
      <c r="P259" s="3" t="s">
        <v>1608</v>
      </c>
      <c r="Q259" s="3" t="s">
        <v>7968</v>
      </c>
      <c r="R259" s="3" t="s">
        <v>7969</v>
      </c>
      <c r="S259" s="3" t="s">
        <v>7970</v>
      </c>
      <c r="T259" s="3"/>
      <c r="U259" s="3" t="s">
        <v>4346</v>
      </c>
      <c r="V259" s="3" t="s">
        <v>7971</v>
      </c>
      <c r="W259" s="3">
        <v>120</v>
      </c>
      <c r="X259" s="3" t="s">
        <v>7972</v>
      </c>
      <c r="Y259" s="3" t="s">
        <v>7973</v>
      </c>
      <c r="Z259" s="3"/>
      <c r="AA259" s="3">
        <v>20</v>
      </c>
      <c r="AB259" s="6">
        <v>43727</v>
      </c>
      <c r="AC259" s="3" t="s">
        <v>120</v>
      </c>
      <c r="AD259" s="3">
        <v>0</v>
      </c>
      <c r="AE259" s="3">
        <v>5</v>
      </c>
      <c r="AF259" s="3">
        <v>4</v>
      </c>
      <c r="AG259" s="3" t="s">
        <v>6199</v>
      </c>
      <c r="AH259" s="3" t="s">
        <v>7974</v>
      </c>
      <c r="AI259" s="3">
        <v>65000</v>
      </c>
      <c r="AJ259" s="3" t="s">
        <v>61</v>
      </c>
      <c r="AK259" s="3"/>
      <c r="AL259" s="3"/>
      <c r="AM259" s="7" t="s">
        <v>7975</v>
      </c>
      <c r="AN259" s="7" t="s">
        <v>7976</v>
      </c>
      <c r="AO259" s="3"/>
      <c r="AP259" s="3"/>
      <c r="AQ259" s="3"/>
      <c r="AR259" s="3"/>
      <c r="AS259" s="7" t="s">
        <v>7977</v>
      </c>
      <c r="AT259" s="7" t="s">
        <v>7978</v>
      </c>
      <c r="AU259" s="7" t="s">
        <v>7979</v>
      </c>
      <c r="AV259" s="3"/>
      <c r="AW259" s="3"/>
    </row>
    <row r="260" spans="1:49" ht="12.5" x14ac:dyDescent="0.25">
      <c r="A260" s="3" t="s">
        <v>46</v>
      </c>
      <c r="B260" s="21" t="str">
        <f>HYPERLINK("https://gerandofalcoes.my.salesforce.com/0014X00002VKCsj", "0014X00002VKCsj")</f>
        <v>0014X00002VKCsj</v>
      </c>
      <c r="C260" s="7" t="str">
        <f>HYPERLINK("https://gerandofalcoes.my.salesforce.com/0014X00002VKCsjQAH", "0014X00002VKCsjQAH")</f>
        <v>0014X00002VKCsjQAH</v>
      </c>
      <c r="D260" s="3" t="s">
        <v>7980</v>
      </c>
      <c r="E260" s="3" t="s">
        <v>7981</v>
      </c>
      <c r="F260" s="3" t="s">
        <v>7982</v>
      </c>
      <c r="G260" s="6"/>
      <c r="H260" s="3"/>
      <c r="I260" s="3" t="s">
        <v>7983</v>
      </c>
      <c r="J260" s="3" t="s">
        <v>7984</v>
      </c>
      <c r="K260" s="3" t="s">
        <v>7985</v>
      </c>
      <c r="L260" s="3" t="s">
        <v>70</v>
      </c>
      <c r="M260" s="3" t="s">
        <v>7986</v>
      </c>
      <c r="N260" s="3" t="s">
        <v>7987</v>
      </c>
      <c r="O260" s="3" t="s">
        <v>7988</v>
      </c>
      <c r="P260" s="3" t="s">
        <v>7989</v>
      </c>
      <c r="Q260" s="3">
        <v>1</v>
      </c>
      <c r="R260" s="3" t="s">
        <v>7990</v>
      </c>
      <c r="S260" s="3"/>
      <c r="T260" s="3"/>
      <c r="U260" s="3" t="s">
        <v>4497</v>
      </c>
      <c r="V260" s="3" t="s">
        <v>3800</v>
      </c>
      <c r="W260" s="3">
        <v>1</v>
      </c>
      <c r="X260" s="3" t="s">
        <v>7991</v>
      </c>
      <c r="Y260" s="3" t="s">
        <v>7992</v>
      </c>
      <c r="Z260" s="3"/>
      <c r="AA260" s="3">
        <v>100</v>
      </c>
      <c r="AB260" s="6">
        <v>43870</v>
      </c>
      <c r="AC260" s="3" t="s">
        <v>62</v>
      </c>
      <c r="AD260" s="3">
        <v>0</v>
      </c>
      <c r="AE260" s="3">
        <v>16</v>
      </c>
      <c r="AF260" s="3">
        <v>4</v>
      </c>
      <c r="AG260" s="3" t="s">
        <v>7993</v>
      </c>
      <c r="AH260" s="3" t="s">
        <v>7994</v>
      </c>
      <c r="AI260" s="3">
        <v>10000</v>
      </c>
      <c r="AJ260" s="3" t="s">
        <v>61</v>
      </c>
      <c r="AK260" s="3"/>
      <c r="AL260" s="3"/>
      <c r="AM260" s="7" t="s">
        <v>7995</v>
      </c>
      <c r="AN260" s="7" t="s">
        <v>7996</v>
      </c>
      <c r="AO260" s="3"/>
      <c r="AP260" s="3"/>
      <c r="AQ260" s="3"/>
      <c r="AR260" s="7" t="s">
        <v>7997</v>
      </c>
      <c r="AS260" s="7" t="s">
        <v>7998</v>
      </c>
      <c r="AT260" s="7" t="s">
        <v>7999</v>
      </c>
      <c r="AU260" s="7" t="s">
        <v>8000</v>
      </c>
      <c r="AV260" s="3"/>
      <c r="AW260" s="3"/>
    </row>
    <row r="261" spans="1:49" ht="12.5" x14ac:dyDescent="0.25">
      <c r="A261" s="3" t="s">
        <v>46</v>
      </c>
      <c r="B261" s="21" t="str">
        <f>HYPERLINK("https://gerandofalcoes.my.salesforce.com/0014X00002VKCsl", "0014X00002VKCsl")</f>
        <v>0014X00002VKCsl</v>
      </c>
      <c r="C261" s="7" t="str">
        <f>HYPERLINK("https://gerandofalcoes.my.salesforce.com/0014X00002VKCslQAH", "0014X00002VKCslQAH")</f>
        <v>0014X00002VKCslQAH</v>
      </c>
      <c r="D261" s="3" t="s">
        <v>8001</v>
      </c>
      <c r="E261" s="3" t="s">
        <v>8002</v>
      </c>
      <c r="F261" s="3">
        <v>27867690000137</v>
      </c>
      <c r="G261" s="6">
        <v>44763</v>
      </c>
      <c r="H261" s="3">
        <v>33</v>
      </c>
      <c r="I261" s="3" t="s">
        <v>8003</v>
      </c>
      <c r="J261" s="3" t="s">
        <v>8004</v>
      </c>
      <c r="K261" s="3" t="s">
        <v>8005</v>
      </c>
      <c r="L261" s="3" t="s">
        <v>70</v>
      </c>
      <c r="M261" s="3" t="s">
        <v>8006</v>
      </c>
      <c r="N261" s="3" t="s">
        <v>8007</v>
      </c>
      <c r="O261" s="3">
        <v>205</v>
      </c>
      <c r="P261" s="3" t="s">
        <v>1105</v>
      </c>
      <c r="Q261" s="3" t="s">
        <v>8008</v>
      </c>
      <c r="R261" s="3" t="s">
        <v>8009</v>
      </c>
      <c r="S261" s="3" t="s">
        <v>8010</v>
      </c>
      <c r="T261" s="3"/>
      <c r="U261" s="3" t="s">
        <v>5280</v>
      </c>
      <c r="V261" s="3" t="s">
        <v>8011</v>
      </c>
      <c r="W261" s="3">
        <v>2</v>
      </c>
      <c r="X261" s="3" t="s">
        <v>8012</v>
      </c>
      <c r="Y261" s="3"/>
      <c r="Z261" s="3"/>
      <c r="AA261" s="3">
        <v>20</v>
      </c>
      <c r="AB261" s="6">
        <v>43323</v>
      </c>
      <c r="AC261" s="3" t="s">
        <v>120</v>
      </c>
      <c r="AD261" s="3">
        <v>0</v>
      </c>
      <c r="AE261" s="3">
        <v>4</v>
      </c>
      <c r="AF261" s="3">
        <v>2</v>
      </c>
      <c r="AG261" s="3" t="s">
        <v>3917</v>
      </c>
      <c r="AH261" s="3" t="s">
        <v>8013</v>
      </c>
      <c r="AI261" s="3">
        <v>18000</v>
      </c>
      <c r="AJ261" s="3" t="s">
        <v>61</v>
      </c>
      <c r="AK261" s="3"/>
      <c r="AL261" s="7" t="s">
        <v>8014</v>
      </c>
      <c r="AM261" s="7" t="s">
        <v>8015</v>
      </c>
      <c r="AN261" s="7" t="s">
        <v>8016</v>
      </c>
      <c r="AO261" s="7" t="s">
        <v>8017</v>
      </c>
      <c r="AP261" s="3"/>
      <c r="AQ261" s="7" t="s">
        <v>8018</v>
      </c>
      <c r="AR261" s="3"/>
      <c r="AS261" s="3"/>
      <c r="AT261" s="3"/>
      <c r="AU261" s="7" t="s">
        <v>8019</v>
      </c>
      <c r="AV261" s="3"/>
      <c r="AW261" s="3"/>
    </row>
    <row r="262" spans="1:49" ht="12.5" x14ac:dyDescent="0.25">
      <c r="A262" s="3" t="s">
        <v>46</v>
      </c>
      <c r="B262" s="21" t="str">
        <f>HYPERLINK("https://gerandofalcoes.my.salesforce.com/0014X00002VKCsm", "0014X00002VKCsm")</f>
        <v>0014X00002VKCsm</v>
      </c>
      <c r="C262" s="7" t="str">
        <f>HYPERLINK("https://gerandofalcoes.my.salesforce.com/0014X00002VKCsmQAH", "0014X00002VKCsmQAH")</f>
        <v>0014X00002VKCsmQAH</v>
      </c>
      <c r="D262" s="3" t="s">
        <v>8020</v>
      </c>
      <c r="E262" s="3" t="s">
        <v>8021</v>
      </c>
      <c r="F262" s="3"/>
      <c r="G262" s="6">
        <v>44763</v>
      </c>
      <c r="H262" s="3">
        <v>33</v>
      </c>
      <c r="I262" s="3" t="s">
        <v>8022</v>
      </c>
      <c r="J262" s="3" t="s">
        <v>8023</v>
      </c>
      <c r="K262" s="3" t="s">
        <v>8024</v>
      </c>
      <c r="L262" s="3" t="s">
        <v>70</v>
      </c>
      <c r="M262" s="3" t="s">
        <v>8025</v>
      </c>
      <c r="N262" s="3" t="s">
        <v>8026</v>
      </c>
      <c r="O262" s="3" t="s">
        <v>8024</v>
      </c>
      <c r="P262" s="3" t="s">
        <v>8027</v>
      </c>
      <c r="Q262" s="3">
        <v>1011</v>
      </c>
      <c r="R262" s="3" t="s">
        <v>8028</v>
      </c>
      <c r="S262" s="3" t="s">
        <v>8029</v>
      </c>
      <c r="T262" s="3"/>
      <c r="U262" s="3" t="s">
        <v>6048</v>
      </c>
      <c r="V262" s="3" t="s">
        <v>4519</v>
      </c>
      <c r="W262" s="3">
        <v>4</v>
      </c>
      <c r="X262" s="3" t="s">
        <v>8030</v>
      </c>
      <c r="Y262" s="3" t="s">
        <v>8031</v>
      </c>
      <c r="Z262" s="3"/>
      <c r="AA262" s="3">
        <v>70</v>
      </c>
      <c r="AB262" s="6">
        <v>43220</v>
      </c>
      <c r="AC262" s="3" t="s">
        <v>120</v>
      </c>
      <c r="AD262" s="3">
        <v>0</v>
      </c>
      <c r="AE262" s="3">
        <v>10</v>
      </c>
      <c r="AF262" s="3">
        <v>2</v>
      </c>
      <c r="AG262" s="3" t="s">
        <v>4032</v>
      </c>
      <c r="AH262" s="3">
        <v>0</v>
      </c>
      <c r="AI262" s="3">
        <v>8000</v>
      </c>
      <c r="AJ262" s="3" t="s">
        <v>61</v>
      </c>
      <c r="AK262" s="3"/>
      <c r="AL262" s="7" t="s">
        <v>5296</v>
      </c>
      <c r="AM262" s="3" t="s">
        <v>8032</v>
      </c>
      <c r="AN262" s="7" t="s">
        <v>8033</v>
      </c>
      <c r="AO262" s="3" t="s">
        <v>8034</v>
      </c>
      <c r="AP262" s="3"/>
      <c r="AQ262" s="3"/>
      <c r="AR262" s="3"/>
      <c r="AS262" s="3"/>
      <c r="AT262" s="3"/>
      <c r="AU262" s="3"/>
      <c r="AV262" s="3"/>
      <c r="AW262" s="3"/>
    </row>
    <row r="263" spans="1:49" ht="12.5" x14ac:dyDescent="0.25">
      <c r="A263" s="3" t="s">
        <v>46</v>
      </c>
      <c r="B263" s="21" t="str">
        <f>HYPERLINK("https://gerandofalcoes.my.salesforce.com/0014X00002VKCsn", "0014X00002VKCsn")</f>
        <v>0014X00002VKCsn</v>
      </c>
      <c r="C263" s="7" t="str">
        <f>HYPERLINK("https://gerandofalcoes.my.salesforce.com/0014X00002VKCsnQAH", "0014X00002VKCsnQAH")</f>
        <v>0014X00002VKCsnQAH</v>
      </c>
      <c r="D263" s="3" t="s">
        <v>8035</v>
      </c>
      <c r="E263" s="3" t="s">
        <v>8036</v>
      </c>
      <c r="F263" s="3" t="s">
        <v>8037</v>
      </c>
      <c r="G263" s="6">
        <v>44763</v>
      </c>
      <c r="H263" s="3">
        <v>33</v>
      </c>
      <c r="I263" s="3" t="s">
        <v>8038</v>
      </c>
      <c r="J263" s="3" t="s">
        <v>8039</v>
      </c>
      <c r="K263" s="3" t="s">
        <v>8040</v>
      </c>
      <c r="L263" s="3" t="s">
        <v>70</v>
      </c>
      <c r="M263" s="3" t="s">
        <v>8041</v>
      </c>
      <c r="N263" s="3" t="s">
        <v>8042</v>
      </c>
      <c r="O263" s="3">
        <v>10</v>
      </c>
      <c r="P263" s="3" t="s">
        <v>73</v>
      </c>
      <c r="Q263" s="3" t="s">
        <v>2316</v>
      </c>
      <c r="R263" s="3" t="s">
        <v>8043</v>
      </c>
      <c r="S263" s="3" t="s">
        <v>120</v>
      </c>
      <c r="T263" s="3"/>
      <c r="U263" s="3" t="s">
        <v>8044</v>
      </c>
      <c r="V263" s="3" t="s">
        <v>8045</v>
      </c>
      <c r="W263" s="3">
        <v>4</v>
      </c>
      <c r="X263" s="3" t="s">
        <v>8046</v>
      </c>
      <c r="Y263" s="3" t="s">
        <v>8047</v>
      </c>
      <c r="Z263" s="3"/>
      <c r="AA263" s="3">
        <v>120</v>
      </c>
      <c r="AB263" s="8">
        <v>44167</v>
      </c>
      <c r="AC263" s="3" t="s">
        <v>62</v>
      </c>
      <c r="AD263" s="3">
        <v>7</v>
      </c>
      <c r="AE263" s="3">
        <v>20</v>
      </c>
      <c r="AF263" s="3">
        <v>3</v>
      </c>
      <c r="AG263" s="3" t="s">
        <v>5253</v>
      </c>
      <c r="AH263" s="3" t="s">
        <v>8048</v>
      </c>
      <c r="AI263" s="3">
        <v>26179.88</v>
      </c>
      <c r="AJ263" s="3" t="s">
        <v>120</v>
      </c>
      <c r="AK263" s="3"/>
      <c r="AL263" s="7" t="s">
        <v>8049</v>
      </c>
      <c r="AM263" s="7" t="s">
        <v>8050</v>
      </c>
      <c r="AN263" s="7" t="s">
        <v>8051</v>
      </c>
      <c r="AO263" s="7" t="s">
        <v>8052</v>
      </c>
      <c r="AP263" s="3"/>
      <c r="AQ263" s="3"/>
      <c r="AR263" s="7" t="s">
        <v>8053</v>
      </c>
      <c r="AS263" s="7" t="s">
        <v>8054</v>
      </c>
      <c r="AT263" s="3"/>
      <c r="AU263" s="7" t="s">
        <v>8055</v>
      </c>
      <c r="AV263" s="3"/>
      <c r="AW263" s="3"/>
    </row>
    <row r="264" spans="1:49" ht="12.5" x14ac:dyDescent="0.25">
      <c r="A264" s="3" t="s">
        <v>46</v>
      </c>
      <c r="B264" s="21" t="str">
        <f>HYPERLINK("https://gerandofalcoes.my.salesforce.com/0014X00002VKCso", "0014X00002VKCso")</f>
        <v>0014X00002VKCso</v>
      </c>
      <c r="C264" s="7" t="str">
        <f>HYPERLINK("https://gerandofalcoes.my.salesforce.com/0014X00002VKCsoQAH", "0014X00002VKCsoQAH")</f>
        <v>0014X00002VKCsoQAH</v>
      </c>
      <c r="D264" s="3" t="s">
        <v>8056</v>
      </c>
      <c r="E264" s="3" t="s">
        <v>8057</v>
      </c>
      <c r="F264" s="3" t="s">
        <v>8058</v>
      </c>
      <c r="G264" s="6"/>
      <c r="H264" s="3"/>
      <c r="I264" s="3" t="s">
        <v>8059</v>
      </c>
      <c r="J264" s="3" t="s">
        <v>8060</v>
      </c>
      <c r="K264" s="3" t="s">
        <v>8061</v>
      </c>
      <c r="L264" s="3" t="s">
        <v>70</v>
      </c>
      <c r="M264" s="3" t="s">
        <v>8062</v>
      </c>
      <c r="N264" s="3" t="s">
        <v>8063</v>
      </c>
      <c r="O264" s="3">
        <v>322</v>
      </c>
      <c r="P264" s="3" t="s">
        <v>73</v>
      </c>
      <c r="Q264" s="3"/>
      <c r="R264" s="3" t="s">
        <v>8064</v>
      </c>
      <c r="S264" s="3" t="s">
        <v>8065</v>
      </c>
      <c r="T264" s="3"/>
      <c r="U264" s="3" t="s">
        <v>6404</v>
      </c>
      <c r="V264" s="3" t="s">
        <v>8066</v>
      </c>
      <c r="W264" s="3">
        <v>2</v>
      </c>
      <c r="X264" s="3" t="s">
        <v>8067</v>
      </c>
      <c r="Y264" s="3" t="s">
        <v>8068</v>
      </c>
      <c r="Z264" s="3"/>
      <c r="AA264" s="3">
        <v>2000</v>
      </c>
      <c r="AB264" s="6">
        <v>43196</v>
      </c>
      <c r="AC264" s="3" t="s">
        <v>62</v>
      </c>
      <c r="AD264" s="3">
        <v>0</v>
      </c>
      <c r="AE264" s="3">
        <v>5</v>
      </c>
      <c r="AF264" s="3">
        <v>5</v>
      </c>
      <c r="AG264" s="3" t="s">
        <v>3936</v>
      </c>
      <c r="AH264" s="3">
        <v>20</v>
      </c>
      <c r="AI264" s="3">
        <v>35000</v>
      </c>
      <c r="AJ264" s="3" t="s">
        <v>120</v>
      </c>
      <c r="AK264" s="3"/>
      <c r="AL264" s="7" t="s">
        <v>8069</v>
      </c>
      <c r="AM264" s="7" t="s">
        <v>8070</v>
      </c>
      <c r="AN264" s="7" t="s">
        <v>8071</v>
      </c>
      <c r="AO264" s="7" t="s">
        <v>8072</v>
      </c>
      <c r="AP264" s="3"/>
      <c r="AQ264" s="3"/>
      <c r="AR264" s="7" t="s">
        <v>8073</v>
      </c>
      <c r="AS264" s="7" t="s">
        <v>8074</v>
      </c>
      <c r="AT264" s="7" t="s">
        <v>8075</v>
      </c>
      <c r="AU264" s="7" t="s">
        <v>8076</v>
      </c>
      <c r="AV264" s="3"/>
      <c r="AW264" s="3"/>
    </row>
    <row r="265" spans="1:49" ht="12.5" x14ac:dyDescent="0.25">
      <c r="A265" s="3" t="s">
        <v>46</v>
      </c>
      <c r="B265" s="21" t="str">
        <f>HYPERLINK("https://gerandofalcoes.my.salesforce.com/0014X00002VKCsp", "0014X00002VKCsp")</f>
        <v>0014X00002VKCsp</v>
      </c>
      <c r="C265" s="7" t="str">
        <f>HYPERLINK("https://gerandofalcoes.my.salesforce.com/0014X00002VKCspQAH", "0014X00002VKCspQAH")</f>
        <v>0014X00002VKCspQAH</v>
      </c>
      <c r="D265" s="3" t="s">
        <v>8077</v>
      </c>
      <c r="E265" s="3" t="s">
        <v>8078</v>
      </c>
      <c r="F265" s="3" t="s">
        <v>8079</v>
      </c>
      <c r="G265" s="6">
        <v>44763</v>
      </c>
      <c r="H265" s="3">
        <v>33</v>
      </c>
      <c r="I265" s="3" t="s">
        <v>8080</v>
      </c>
      <c r="J265" s="3" t="s">
        <v>8081</v>
      </c>
      <c r="K265" s="3" t="s">
        <v>8082</v>
      </c>
      <c r="L265" s="3" t="s">
        <v>70</v>
      </c>
      <c r="M265" s="3" t="s">
        <v>8083</v>
      </c>
      <c r="N265" s="3" t="s">
        <v>72</v>
      </c>
      <c r="O265" s="3">
        <v>1184</v>
      </c>
      <c r="P265" s="3" t="s">
        <v>6367</v>
      </c>
      <c r="Q265" s="3" t="s">
        <v>8084</v>
      </c>
      <c r="R265" s="3" t="s">
        <v>8085</v>
      </c>
      <c r="S265" s="3" t="s">
        <v>8086</v>
      </c>
      <c r="T265" s="3"/>
      <c r="U265" s="3" t="s">
        <v>3964</v>
      </c>
      <c r="V265" s="3" t="s">
        <v>8087</v>
      </c>
      <c r="W265" s="3">
        <v>10</v>
      </c>
      <c r="X265" s="3" t="s">
        <v>8088</v>
      </c>
      <c r="Y265" s="3"/>
      <c r="Z265" s="3"/>
      <c r="AA265" s="3">
        <v>210</v>
      </c>
      <c r="AB265" s="6">
        <v>42216</v>
      </c>
      <c r="AC265" s="3" t="s">
        <v>62</v>
      </c>
      <c r="AD265" s="3">
        <v>0</v>
      </c>
      <c r="AE265" s="3">
        <v>9</v>
      </c>
      <c r="AF265" s="3">
        <v>3</v>
      </c>
      <c r="AG265" s="3" t="s">
        <v>4301</v>
      </c>
      <c r="AH265" s="3">
        <v>0</v>
      </c>
      <c r="AI265" s="3">
        <v>1000</v>
      </c>
      <c r="AJ265" s="3" t="s">
        <v>120</v>
      </c>
      <c r="AK265" s="3"/>
      <c r="AL265" s="3"/>
      <c r="AM265" s="7" t="s">
        <v>8089</v>
      </c>
      <c r="AN265" s="7" t="s">
        <v>8090</v>
      </c>
      <c r="AO265" s="3"/>
      <c r="AP265" s="3"/>
      <c r="AQ265" s="7" t="s">
        <v>8091</v>
      </c>
      <c r="AR265" s="3"/>
      <c r="AS265" s="3"/>
      <c r="AT265" s="3"/>
      <c r="AU265" s="3"/>
      <c r="AV265" s="3"/>
      <c r="AW265" s="3"/>
    </row>
    <row r="266" spans="1:49" ht="12.5" x14ac:dyDescent="0.25">
      <c r="A266" s="3" t="s">
        <v>46</v>
      </c>
      <c r="B266" s="21" t="str">
        <f>HYPERLINK("https://gerandofalcoes.my.salesforce.com/0014X00002VKCst", "0014X00002VKCst")</f>
        <v>0014X00002VKCst</v>
      </c>
      <c r="C266" s="7" t="str">
        <f>HYPERLINK("https://gerandofalcoes.my.salesforce.com/0014X00002VKCstQAH", "0014X00002VKCstQAH")</f>
        <v>0014X00002VKCstQAH</v>
      </c>
      <c r="D266" s="3" t="s">
        <v>8092</v>
      </c>
      <c r="E266" s="3" t="s">
        <v>8093</v>
      </c>
      <c r="F266" s="3"/>
      <c r="G266" s="6">
        <v>44763</v>
      </c>
      <c r="H266" s="3">
        <v>33</v>
      </c>
      <c r="I266" s="3" t="s">
        <v>8094</v>
      </c>
      <c r="J266" s="3" t="s">
        <v>8095</v>
      </c>
      <c r="K266" s="3" t="s">
        <v>8096</v>
      </c>
      <c r="L266" s="3" t="s">
        <v>70</v>
      </c>
      <c r="M266" s="3" t="s">
        <v>8097</v>
      </c>
      <c r="N266" s="3" t="s">
        <v>8098</v>
      </c>
      <c r="O266" s="3">
        <v>210</v>
      </c>
      <c r="P266" s="3" t="s">
        <v>7902</v>
      </c>
      <c r="Q266" s="3" t="s">
        <v>8099</v>
      </c>
      <c r="R266" s="3" t="s">
        <v>8100</v>
      </c>
      <c r="S266" s="3" t="s">
        <v>8101</v>
      </c>
      <c r="T266" s="3"/>
      <c r="U266" s="3" t="s">
        <v>4346</v>
      </c>
      <c r="V266" s="3" t="s">
        <v>4656</v>
      </c>
      <c r="W266" s="3">
        <v>320</v>
      </c>
      <c r="X266" s="3" t="s">
        <v>8102</v>
      </c>
      <c r="Y266" s="3" t="s">
        <v>8103</v>
      </c>
      <c r="Z266" s="3"/>
      <c r="AA266" s="3">
        <v>760</v>
      </c>
      <c r="AB266" s="6">
        <v>43500</v>
      </c>
      <c r="AC266" s="3" t="s">
        <v>120</v>
      </c>
      <c r="AD266" s="3">
        <v>2</v>
      </c>
      <c r="AE266" s="3">
        <v>11</v>
      </c>
      <c r="AF266" s="3">
        <v>3</v>
      </c>
      <c r="AG266" s="3" t="s">
        <v>4143</v>
      </c>
      <c r="AH266" s="3" t="s">
        <v>8104</v>
      </c>
      <c r="AI266" s="3">
        <v>3000</v>
      </c>
      <c r="AJ266" s="3" t="s">
        <v>61</v>
      </c>
      <c r="AK266" s="3"/>
      <c r="AL266" s="3"/>
      <c r="AM266" s="7" t="s">
        <v>8105</v>
      </c>
      <c r="AN266" s="7" t="s">
        <v>8106</v>
      </c>
      <c r="AO266" s="3"/>
      <c r="AP266" s="3"/>
      <c r="AQ266" s="7" t="s">
        <v>8107</v>
      </c>
      <c r="AR266" s="3"/>
      <c r="AS266" s="3"/>
      <c r="AT266" s="3"/>
      <c r="AU266" s="7" t="s">
        <v>8108</v>
      </c>
      <c r="AV266" s="3"/>
      <c r="AW266" s="3"/>
    </row>
    <row r="267" spans="1:49" ht="12.5" x14ac:dyDescent="0.25">
      <c r="A267" s="3" t="s">
        <v>46</v>
      </c>
      <c r="B267" s="21" t="str">
        <f>HYPERLINK("https://gerandofalcoes.my.salesforce.com/0014X00002VKCtm", "0014X00002VKCtm")</f>
        <v>0014X00002VKCtm</v>
      </c>
      <c r="C267" s="7" t="str">
        <f>HYPERLINK("https://gerandofalcoes.my.salesforce.com/0014X00002VKCtmQAH", "0014X00002VKCtmQAH")</f>
        <v>0014X00002VKCtmQAH</v>
      </c>
      <c r="D267" s="3" t="s">
        <v>8109</v>
      </c>
      <c r="E267" s="3" t="s">
        <v>8110</v>
      </c>
      <c r="F267" s="3"/>
      <c r="G267" s="6">
        <v>44763</v>
      </c>
      <c r="H267" s="3">
        <v>33</v>
      </c>
      <c r="I267" s="3" t="s">
        <v>8111</v>
      </c>
      <c r="J267" s="3" t="s">
        <v>8112</v>
      </c>
      <c r="K267" s="3" t="s">
        <v>8113</v>
      </c>
      <c r="L267" s="3" t="s">
        <v>407</v>
      </c>
      <c r="M267" s="3" t="s">
        <v>8114</v>
      </c>
      <c r="N267" s="3" t="s">
        <v>8115</v>
      </c>
      <c r="O267" s="3">
        <v>77</v>
      </c>
      <c r="P267" s="3" t="s">
        <v>409</v>
      </c>
      <c r="Q267" s="3"/>
      <c r="R267" s="3" t="s">
        <v>8116</v>
      </c>
      <c r="S267" s="3"/>
      <c r="T267" s="3"/>
      <c r="U267" s="3" t="s">
        <v>7905</v>
      </c>
      <c r="V267" s="3" t="s">
        <v>5872</v>
      </c>
      <c r="W267" s="3">
        <v>4</v>
      </c>
      <c r="X267" s="3" t="s">
        <v>8117</v>
      </c>
      <c r="Y267" s="3" t="s">
        <v>8118</v>
      </c>
      <c r="Z267" s="3"/>
      <c r="AA267" s="3">
        <v>500</v>
      </c>
      <c r="AB267" s="6">
        <v>44671</v>
      </c>
      <c r="AC267" s="3" t="s">
        <v>120</v>
      </c>
      <c r="AD267" s="3">
        <v>0</v>
      </c>
      <c r="AE267" s="3">
        <v>50</v>
      </c>
      <c r="AF267" s="3">
        <v>2</v>
      </c>
      <c r="AG267" s="3" t="s">
        <v>5221</v>
      </c>
      <c r="AH267" s="3" t="s">
        <v>8119</v>
      </c>
      <c r="AI267" s="3">
        <v>30000</v>
      </c>
      <c r="AJ267" s="3" t="s">
        <v>120</v>
      </c>
      <c r="AK267" s="3"/>
      <c r="AL267" s="3"/>
      <c r="AM267" s="7" t="s">
        <v>8120</v>
      </c>
      <c r="AN267" s="7" t="s">
        <v>8121</v>
      </c>
      <c r="AO267" s="3"/>
      <c r="AP267" s="3"/>
      <c r="AQ267" s="3"/>
      <c r="AR267" s="3"/>
      <c r="AS267" s="3"/>
      <c r="AT267" s="7" t="s">
        <v>8122</v>
      </c>
      <c r="AU267" s="7" t="s">
        <v>8123</v>
      </c>
      <c r="AV267" s="3"/>
      <c r="AW267" s="3"/>
    </row>
    <row r="268" spans="1:49" ht="12.5" x14ac:dyDescent="0.25">
      <c r="A268" s="3" t="s">
        <v>46</v>
      </c>
      <c r="B268" s="21" t="str">
        <f>HYPERLINK("https://gerandofalcoes.my.salesforce.com/0014X00002VKCtp", "0014X00002VKCtp")</f>
        <v>0014X00002VKCtp</v>
      </c>
      <c r="C268" s="7" t="str">
        <f>HYPERLINK("https://gerandofalcoes.my.salesforce.com/0014X00002VKCtpQAH", "0014X00002VKCtpQAH")</f>
        <v>0014X00002VKCtpQAH</v>
      </c>
      <c r="D268" s="3" t="s">
        <v>8124</v>
      </c>
      <c r="E268" s="3" t="s">
        <v>8125</v>
      </c>
      <c r="F268" s="3"/>
      <c r="G268" s="6">
        <v>44763</v>
      </c>
      <c r="H268" s="3">
        <v>33</v>
      </c>
      <c r="I268" s="3" t="s">
        <v>8126</v>
      </c>
      <c r="J268" s="3" t="s">
        <v>8127</v>
      </c>
      <c r="K268" s="3" t="s">
        <v>8128</v>
      </c>
      <c r="L268" s="3" t="s">
        <v>557</v>
      </c>
      <c r="M268" s="3" t="s">
        <v>8129</v>
      </c>
      <c r="N268" s="3" t="s">
        <v>8130</v>
      </c>
      <c r="O268" s="3">
        <v>1</v>
      </c>
      <c r="P268" s="3" t="s">
        <v>8131</v>
      </c>
      <c r="Q268" s="3" t="s">
        <v>8130</v>
      </c>
      <c r="R268" s="3" t="s">
        <v>8132</v>
      </c>
      <c r="S268" s="3"/>
      <c r="T268" s="3"/>
      <c r="U268" s="3" t="s">
        <v>4877</v>
      </c>
      <c r="V268" s="3" t="s">
        <v>8133</v>
      </c>
      <c r="W268" s="3">
        <v>1</v>
      </c>
      <c r="X268" s="3" t="s">
        <v>8134</v>
      </c>
      <c r="Y268" s="3" t="s">
        <v>8135</v>
      </c>
      <c r="Z268" s="3"/>
      <c r="AA268" s="3">
        <v>0</v>
      </c>
      <c r="AB268" s="6">
        <v>44013</v>
      </c>
      <c r="AC268" s="3" t="s">
        <v>120</v>
      </c>
      <c r="AD268" s="3">
        <v>0</v>
      </c>
      <c r="AE268" s="3">
        <v>7</v>
      </c>
      <c r="AF268" s="3">
        <v>2</v>
      </c>
      <c r="AG268" s="3" t="s">
        <v>3833</v>
      </c>
      <c r="AH268" s="3">
        <v>2</v>
      </c>
      <c r="AI268" s="3">
        <v>0</v>
      </c>
      <c r="AJ268" s="3"/>
      <c r="AK268" s="3"/>
      <c r="AL268" s="3"/>
      <c r="AM268" s="7" t="s">
        <v>8136</v>
      </c>
      <c r="AN268" s="3"/>
      <c r="AO268" s="3"/>
      <c r="AP268" s="3"/>
      <c r="AQ268" s="3"/>
      <c r="AR268" s="3"/>
      <c r="AS268" s="3"/>
      <c r="AT268" s="3"/>
      <c r="AU268" s="7" t="s">
        <v>8137</v>
      </c>
      <c r="AV268" s="3"/>
      <c r="AW268" s="3"/>
    </row>
    <row r="269" spans="1:49" ht="12.5" x14ac:dyDescent="0.25">
      <c r="A269" s="3" t="s">
        <v>46</v>
      </c>
      <c r="B269" s="21" t="str">
        <f>HYPERLINK("https://gerandofalcoes.my.salesforce.com/0014X00002VKCtq", "0014X00002VKCtq")</f>
        <v>0014X00002VKCtq</v>
      </c>
      <c r="C269" s="7" t="str">
        <f>HYPERLINK("https://gerandofalcoes.my.salesforce.com/0014X00002VKCtqQAH", "0014X00002VKCtqQAH")</f>
        <v>0014X00002VKCtqQAH</v>
      </c>
      <c r="D269" s="3" t="s">
        <v>8138</v>
      </c>
      <c r="E269" s="3" t="s">
        <v>8139</v>
      </c>
      <c r="F269" s="3"/>
      <c r="G269" s="6">
        <v>44763</v>
      </c>
      <c r="H269" s="3">
        <v>33</v>
      </c>
      <c r="I269" s="3" t="s">
        <v>8140</v>
      </c>
      <c r="J269" s="3"/>
      <c r="K269" s="3"/>
      <c r="L269" s="3" t="s">
        <v>310</v>
      </c>
      <c r="M269" s="3" t="s">
        <v>8141</v>
      </c>
      <c r="N269" s="3" t="s">
        <v>8142</v>
      </c>
      <c r="O269" s="3">
        <v>4</v>
      </c>
      <c r="P269" s="3" t="s">
        <v>8143</v>
      </c>
      <c r="Q269" s="3"/>
      <c r="R269" s="3" t="s">
        <v>8144</v>
      </c>
      <c r="S269" s="3"/>
      <c r="T269" s="3"/>
      <c r="U269" s="3"/>
      <c r="V269" s="3"/>
      <c r="W269" s="3">
        <v>5</v>
      </c>
      <c r="X269" s="3" t="s">
        <v>8145</v>
      </c>
      <c r="Y269" s="3"/>
      <c r="Z269" s="3"/>
      <c r="AA269" s="3">
        <v>500</v>
      </c>
      <c r="AB269" s="8">
        <v>44529</v>
      </c>
      <c r="AC269" s="3" t="s">
        <v>62</v>
      </c>
      <c r="AD269" s="3">
        <v>0</v>
      </c>
      <c r="AE269" s="3">
        <v>13</v>
      </c>
      <c r="AF269" s="3">
        <v>0</v>
      </c>
      <c r="AG269" s="3"/>
      <c r="AH269" s="3"/>
      <c r="AI269" s="3"/>
      <c r="AJ269" s="3"/>
      <c r="AK269" s="3"/>
      <c r="AL269" s="3"/>
      <c r="AM269" s="3"/>
      <c r="AN269" s="3"/>
      <c r="AO269" s="3"/>
      <c r="AP269" s="3"/>
      <c r="AQ269" s="3"/>
      <c r="AR269" s="3"/>
      <c r="AS269" s="3"/>
      <c r="AT269" s="3"/>
      <c r="AU269" s="7" t="s">
        <v>8146</v>
      </c>
      <c r="AV269" s="3"/>
      <c r="AW269" s="3"/>
    </row>
    <row r="270" spans="1:49" ht="12.5" x14ac:dyDescent="0.25">
      <c r="A270" s="3" t="s">
        <v>46</v>
      </c>
      <c r="B270" s="21" t="str">
        <f>HYPERLINK("https://gerandofalcoes.my.salesforce.com/0014X00002VKCtr", "0014X00002VKCtr")</f>
        <v>0014X00002VKCtr</v>
      </c>
      <c r="C270" s="7" t="str">
        <f>HYPERLINK("https://gerandofalcoes.my.salesforce.com/0014X00002VKCtrQAH", "0014X00002VKCtrQAH")</f>
        <v>0014X00002VKCtrQAH</v>
      </c>
      <c r="D270" s="3" t="s">
        <v>8147</v>
      </c>
      <c r="E270" s="3" t="s">
        <v>8148</v>
      </c>
      <c r="F270" s="3" t="s">
        <v>8149</v>
      </c>
      <c r="G270" s="6">
        <v>44763</v>
      </c>
      <c r="H270" s="3">
        <v>33</v>
      </c>
      <c r="I270" s="3" t="s">
        <v>8150</v>
      </c>
      <c r="J270" s="3" t="s">
        <v>8151</v>
      </c>
      <c r="K270" s="3" t="s">
        <v>8152</v>
      </c>
      <c r="L270" s="3" t="s">
        <v>557</v>
      </c>
      <c r="M270" s="3" t="s">
        <v>8153</v>
      </c>
      <c r="N270" s="3" t="s">
        <v>647</v>
      </c>
      <c r="O270" s="3">
        <v>773</v>
      </c>
      <c r="P270" s="3" t="s">
        <v>8154</v>
      </c>
      <c r="Q270" s="3" t="s">
        <v>1301</v>
      </c>
      <c r="R270" s="3" t="s">
        <v>8155</v>
      </c>
      <c r="S270" s="3" t="s">
        <v>8156</v>
      </c>
      <c r="T270" s="3"/>
      <c r="U270" s="3" t="s">
        <v>4497</v>
      </c>
      <c r="V270" s="3" t="s">
        <v>4960</v>
      </c>
      <c r="W270" s="3">
        <v>5</v>
      </c>
      <c r="X270" s="3" t="s">
        <v>8157</v>
      </c>
      <c r="Y270" s="3" t="s">
        <v>8158</v>
      </c>
      <c r="Z270" s="3"/>
      <c r="AA270" s="3">
        <v>0</v>
      </c>
      <c r="AB270" s="6">
        <v>43008</v>
      </c>
      <c r="AC270" s="3" t="s">
        <v>62</v>
      </c>
      <c r="AD270" s="3">
        <v>0</v>
      </c>
      <c r="AE270" s="3">
        <v>5</v>
      </c>
      <c r="AF270" s="3">
        <v>2</v>
      </c>
      <c r="AG270" s="3" t="s">
        <v>3833</v>
      </c>
      <c r="AH270" s="3">
        <v>1</v>
      </c>
      <c r="AI270" s="3">
        <v>0</v>
      </c>
      <c r="AJ270" s="3" t="s">
        <v>120</v>
      </c>
      <c r="AK270" s="3"/>
      <c r="AL270" s="7" t="s">
        <v>8159</v>
      </c>
      <c r="AM270" s="7" t="s">
        <v>8160</v>
      </c>
      <c r="AN270" s="7" t="s">
        <v>8161</v>
      </c>
      <c r="AO270" s="3"/>
      <c r="AP270" s="3"/>
      <c r="AQ270" s="3"/>
      <c r="AR270" s="7" t="s">
        <v>8162</v>
      </c>
      <c r="AS270" s="7" t="s">
        <v>8163</v>
      </c>
      <c r="AT270" s="3"/>
      <c r="AU270" s="7" t="s">
        <v>8164</v>
      </c>
      <c r="AV270" s="3"/>
      <c r="AW270" s="3"/>
    </row>
    <row r="271" spans="1:49" ht="12.5" x14ac:dyDescent="0.25">
      <c r="A271" s="3" t="s">
        <v>46</v>
      </c>
      <c r="B271" s="21" t="str">
        <f>HYPERLINK("https://gerandofalcoes.my.salesforce.com/0014X00002VKCts", "0014X00002VKCts")</f>
        <v>0014X00002VKCts</v>
      </c>
      <c r="C271" s="7" t="str">
        <f>HYPERLINK("https://gerandofalcoes.my.salesforce.com/0014X00002VKCtsQAH", "0014X00002VKCtsQAH")</f>
        <v>0014X00002VKCtsQAH</v>
      </c>
      <c r="D271" s="3" t="s">
        <v>8165</v>
      </c>
      <c r="E271" s="3" t="s">
        <v>8166</v>
      </c>
      <c r="F271" s="3" t="s">
        <v>8167</v>
      </c>
      <c r="G271" s="6">
        <v>44763</v>
      </c>
      <c r="H271" s="3">
        <v>33</v>
      </c>
      <c r="I271" s="3" t="s">
        <v>8168</v>
      </c>
      <c r="J271" s="3" t="s">
        <v>8169</v>
      </c>
      <c r="K271" s="3"/>
      <c r="L271" s="3" t="s">
        <v>407</v>
      </c>
      <c r="M271" s="3" t="s">
        <v>8170</v>
      </c>
      <c r="N271" s="3" t="s">
        <v>8171</v>
      </c>
      <c r="O271" s="3">
        <v>320</v>
      </c>
      <c r="P271" s="3" t="s">
        <v>8172</v>
      </c>
      <c r="Q271" s="3"/>
      <c r="R271" s="3" t="s">
        <v>8173</v>
      </c>
      <c r="S271" s="3"/>
      <c r="T271" s="3"/>
      <c r="U271" s="3"/>
      <c r="V271" s="3"/>
      <c r="W271" s="3">
        <v>5</v>
      </c>
      <c r="X271" s="3">
        <v>15</v>
      </c>
      <c r="Y271" s="3"/>
      <c r="Z271" s="3"/>
      <c r="AA271" s="3">
        <v>216</v>
      </c>
      <c r="AB271" s="6">
        <v>28767</v>
      </c>
      <c r="AC271" s="3" t="s">
        <v>62</v>
      </c>
      <c r="AD271" s="3">
        <v>52</v>
      </c>
      <c r="AE271" s="3">
        <v>1</v>
      </c>
      <c r="AF271" s="3">
        <v>15</v>
      </c>
      <c r="AG271" s="3"/>
      <c r="AH271" s="3"/>
      <c r="AI271" s="3"/>
      <c r="AJ271" s="3" t="s">
        <v>62</v>
      </c>
      <c r="AK271" s="3"/>
      <c r="AL271" s="3"/>
      <c r="AM271" s="3"/>
      <c r="AN271" s="3"/>
      <c r="AO271" s="3"/>
      <c r="AP271" s="3"/>
      <c r="AQ271" s="3"/>
      <c r="AR271" s="3"/>
      <c r="AS271" s="3"/>
      <c r="AT271" s="3"/>
      <c r="AU271" s="3"/>
      <c r="AV271" s="3"/>
      <c r="AW271" s="3"/>
    </row>
    <row r="272" spans="1:49" ht="12.5" x14ac:dyDescent="0.25">
      <c r="A272" s="3" t="s">
        <v>46</v>
      </c>
      <c r="B272" s="21" t="str">
        <f>HYPERLINK("https://gerandofalcoes.my.salesforce.com/0014X00002VKCtt", "0014X00002VKCtt")</f>
        <v>0014X00002VKCtt</v>
      </c>
      <c r="C272" s="7" t="str">
        <f>HYPERLINK("https://gerandofalcoes.my.salesforce.com/0014X00002VKCttQAH", "0014X00002VKCttQAH")</f>
        <v>0014X00002VKCttQAH</v>
      </c>
      <c r="D272" s="3" t="s">
        <v>8174</v>
      </c>
      <c r="E272" s="3" t="s">
        <v>8175</v>
      </c>
      <c r="F272" s="3">
        <v>39285582000140</v>
      </c>
      <c r="G272" s="6"/>
      <c r="H272" s="3"/>
      <c r="I272" s="3" t="s">
        <v>8176</v>
      </c>
      <c r="J272" s="3" t="s">
        <v>8177</v>
      </c>
      <c r="K272" s="3">
        <v>67992525318</v>
      </c>
      <c r="L272" s="3" t="s">
        <v>6781</v>
      </c>
      <c r="M272" s="3" t="s">
        <v>8178</v>
      </c>
      <c r="N272" s="3" t="s">
        <v>8179</v>
      </c>
      <c r="O272" s="3" t="s">
        <v>8180</v>
      </c>
      <c r="P272" s="3" t="s">
        <v>7583</v>
      </c>
      <c r="Q272" s="3"/>
      <c r="R272" s="3" t="s">
        <v>8181</v>
      </c>
      <c r="S272" s="3"/>
      <c r="T272" s="3"/>
      <c r="U272" s="3"/>
      <c r="V272" s="3"/>
      <c r="W272" s="3">
        <v>3</v>
      </c>
      <c r="X272" s="3" t="s">
        <v>8182</v>
      </c>
      <c r="Y272" s="3"/>
      <c r="Z272" s="3"/>
      <c r="AA272" s="3">
        <v>200</v>
      </c>
      <c r="AB272" s="6">
        <v>41277</v>
      </c>
      <c r="AC272" s="3" t="s">
        <v>62</v>
      </c>
      <c r="AD272" s="3">
        <v>6</v>
      </c>
      <c r="AE272" s="3">
        <v>50</v>
      </c>
      <c r="AF272" s="3">
        <v>0</v>
      </c>
      <c r="AG272" s="3"/>
      <c r="AH272" s="3" t="s">
        <v>8183</v>
      </c>
      <c r="AI272" s="3">
        <v>20</v>
      </c>
      <c r="AJ272" s="3" t="s">
        <v>120</v>
      </c>
      <c r="AK272" s="3"/>
      <c r="AL272" s="7" t="s">
        <v>8184</v>
      </c>
      <c r="AM272" s="7" t="s">
        <v>8185</v>
      </c>
      <c r="AN272" s="7" t="s">
        <v>8186</v>
      </c>
      <c r="AO272" s="3"/>
      <c r="AP272" s="3"/>
      <c r="AQ272" s="3"/>
      <c r="AR272" s="7" t="s">
        <v>8187</v>
      </c>
      <c r="AS272" s="7" t="s">
        <v>8188</v>
      </c>
      <c r="AT272" s="7" t="s">
        <v>8189</v>
      </c>
      <c r="AU272" s="7" t="s">
        <v>8190</v>
      </c>
      <c r="AV272" s="3"/>
      <c r="AW272" s="3"/>
    </row>
    <row r="273" spans="1:49" ht="12.5" x14ac:dyDescent="0.25">
      <c r="A273" s="3" t="s">
        <v>46</v>
      </c>
      <c r="B273" s="21" t="str">
        <f>HYPERLINK("https://gerandofalcoes.my.salesforce.com/0014X00002VKCtu", "0014X00002VKCtu")</f>
        <v>0014X00002VKCtu</v>
      </c>
      <c r="C273" s="7" t="str">
        <f>HYPERLINK("https://gerandofalcoes.my.salesforce.com/0014X00002VKCtuQAH", "0014X00002VKCtuQAH")</f>
        <v>0014X00002VKCtuQAH</v>
      </c>
      <c r="D273" s="3" t="s">
        <v>8191</v>
      </c>
      <c r="E273" s="3" t="s">
        <v>8192</v>
      </c>
      <c r="F273" s="3" t="s">
        <v>8193</v>
      </c>
      <c r="G273" s="6"/>
      <c r="H273" s="3"/>
      <c r="I273" s="3" t="s">
        <v>8194</v>
      </c>
      <c r="J273" s="3" t="s">
        <v>8195</v>
      </c>
      <c r="K273" s="3" t="s">
        <v>8196</v>
      </c>
      <c r="L273" s="3" t="s">
        <v>407</v>
      </c>
      <c r="M273" s="3" t="s">
        <v>8197</v>
      </c>
      <c r="N273" s="3" t="s">
        <v>8198</v>
      </c>
      <c r="O273" s="3">
        <v>1726</v>
      </c>
      <c r="P273" s="3" t="s">
        <v>409</v>
      </c>
      <c r="Q273" s="3" t="s">
        <v>8199</v>
      </c>
      <c r="R273" s="3" t="s">
        <v>8200</v>
      </c>
      <c r="S273" s="3" t="s">
        <v>8201</v>
      </c>
      <c r="T273" s="3"/>
      <c r="U273" s="3" t="s">
        <v>5280</v>
      </c>
      <c r="V273" s="3" t="s">
        <v>6226</v>
      </c>
      <c r="W273" s="3">
        <v>1</v>
      </c>
      <c r="X273" s="3" t="s">
        <v>8202</v>
      </c>
      <c r="Y273" s="3" t="s">
        <v>5019</v>
      </c>
      <c r="Z273" s="3"/>
      <c r="AA273" s="3">
        <v>2000</v>
      </c>
      <c r="AB273" s="8">
        <v>41196</v>
      </c>
      <c r="AC273" s="3" t="s">
        <v>62</v>
      </c>
      <c r="AD273" s="3">
        <v>0</v>
      </c>
      <c r="AE273" s="3">
        <v>7</v>
      </c>
      <c r="AF273" s="3">
        <v>2</v>
      </c>
      <c r="AG273" s="3" t="s">
        <v>565</v>
      </c>
      <c r="AH273" s="3" t="s">
        <v>8203</v>
      </c>
      <c r="AI273" s="3">
        <v>50000</v>
      </c>
      <c r="AJ273" s="3" t="s">
        <v>62</v>
      </c>
      <c r="AK273" s="3"/>
      <c r="AL273" s="3"/>
      <c r="AM273" s="7" t="s">
        <v>8204</v>
      </c>
      <c r="AN273" s="7" t="s">
        <v>8205</v>
      </c>
      <c r="AO273" s="3"/>
      <c r="AP273" s="3"/>
      <c r="AQ273" s="3"/>
      <c r="AR273" s="7" t="s">
        <v>8206</v>
      </c>
      <c r="AS273" s="7" t="s">
        <v>8207</v>
      </c>
      <c r="AT273" s="7" t="s">
        <v>8208</v>
      </c>
      <c r="AU273" s="7" t="s">
        <v>8209</v>
      </c>
      <c r="AV273" s="3"/>
      <c r="AW273" s="3"/>
    </row>
    <row r="274" spans="1:49" ht="12.5" x14ac:dyDescent="0.25">
      <c r="A274" s="3" t="s">
        <v>46</v>
      </c>
      <c r="B274" s="21" t="str">
        <f>HYPERLINK("https://gerandofalcoes.my.salesforce.com/0014X00002VKCtv", "0014X00002VKCtv")</f>
        <v>0014X00002VKCtv</v>
      </c>
      <c r="C274" s="7" t="str">
        <f>HYPERLINK("https://gerandofalcoes.my.salesforce.com/0014X00002VKCtvQAH", "0014X00002VKCtvQAH")</f>
        <v>0014X00002VKCtvQAH</v>
      </c>
      <c r="D274" s="3" t="s">
        <v>8210</v>
      </c>
      <c r="E274" s="3" t="s">
        <v>8211</v>
      </c>
      <c r="F274" s="3" t="s">
        <v>8212</v>
      </c>
      <c r="G274" s="6">
        <v>44763</v>
      </c>
      <c r="H274" s="3">
        <v>33</v>
      </c>
      <c r="I274" s="3" t="s">
        <v>8213</v>
      </c>
      <c r="J274" s="3" t="s">
        <v>8214</v>
      </c>
      <c r="K274" s="3" t="s">
        <v>8215</v>
      </c>
      <c r="L274" s="3" t="s">
        <v>407</v>
      </c>
      <c r="M274" s="3" t="s">
        <v>8216</v>
      </c>
      <c r="N274" s="3" t="s">
        <v>8217</v>
      </c>
      <c r="O274" s="3" t="s">
        <v>8218</v>
      </c>
      <c r="P274" s="3" t="s">
        <v>409</v>
      </c>
      <c r="Q274" s="3"/>
      <c r="R274" s="3" t="s">
        <v>8219</v>
      </c>
      <c r="S274" s="3" t="s">
        <v>8220</v>
      </c>
      <c r="T274" s="3"/>
      <c r="U274" s="3" t="s">
        <v>3872</v>
      </c>
      <c r="V274" s="3" t="s">
        <v>7124</v>
      </c>
      <c r="W274" s="3">
        <v>9</v>
      </c>
      <c r="X274" s="3" t="s">
        <v>8221</v>
      </c>
      <c r="Y274" s="3" t="s">
        <v>8222</v>
      </c>
      <c r="Z274" s="3"/>
      <c r="AA274" s="3">
        <v>1500</v>
      </c>
      <c r="AB274" s="6">
        <v>38720</v>
      </c>
      <c r="AC274" s="3" t="s">
        <v>62</v>
      </c>
      <c r="AD274" s="3">
        <v>0</v>
      </c>
      <c r="AE274" s="3">
        <v>24</v>
      </c>
      <c r="AF274" s="3">
        <v>6</v>
      </c>
      <c r="AG274" s="3" t="s">
        <v>8223</v>
      </c>
      <c r="AH274" s="3" t="s">
        <v>8224</v>
      </c>
      <c r="AI274" s="3">
        <v>15000</v>
      </c>
      <c r="AJ274" s="3" t="s">
        <v>62</v>
      </c>
      <c r="AK274" s="3"/>
      <c r="AL274" s="3" t="s">
        <v>8225</v>
      </c>
      <c r="AM274" s="7" t="s">
        <v>8226</v>
      </c>
      <c r="AN274" s="3"/>
      <c r="AO274" s="3"/>
      <c r="AP274" s="3"/>
      <c r="AQ274" s="3"/>
      <c r="AR274" s="3"/>
      <c r="AS274" s="3"/>
      <c r="AT274" s="3"/>
      <c r="AU274" s="7" t="s">
        <v>8227</v>
      </c>
      <c r="AV274" s="3"/>
      <c r="AW274" s="3"/>
    </row>
    <row r="275" spans="1:49" ht="12.5" x14ac:dyDescent="0.25">
      <c r="A275" s="3" t="s">
        <v>46</v>
      </c>
      <c r="B275" s="21" t="str">
        <f>HYPERLINK("https://gerandofalcoes.my.salesforce.com/0014X00002VKCtw", "0014X00002VKCtw")</f>
        <v>0014X00002VKCtw</v>
      </c>
      <c r="C275" s="7" t="str">
        <f>HYPERLINK("https://gerandofalcoes.my.salesforce.com/0014X00002VKCtwQAH", "0014X00002VKCtwQAH")</f>
        <v>0014X00002VKCtwQAH</v>
      </c>
      <c r="D275" s="3" t="s">
        <v>8228</v>
      </c>
      <c r="E275" s="3" t="s">
        <v>8229</v>
      </c>
      <c r="F275" s="3" t="s">
        <v>8230</v>
      </c>
      <c r="G275" s="6">
        <v>44763</v>
      </c>
      <c r="H275" s="3">
        <v>33</v>
      </c>
      <c r="I275" s="3" t="s">
        <v>8231</v>
      </c>
      <c r="J275" s="3" t="s">
        <v>8232</v>
      </c>
      <c r="K275" s="3" t="s">
        <v>8233</v>
      </c>
      <c r="L275" s="3" t="s">
        <v>310</v>
      </c>
      <c r="M275" s="3" t="s">
        <v>8234</v>
      </c>
      <c r="N275" s="3" t="s">
        <v>647</v>
      </c>
      <c r="O275" s="3">
        <v>243</v>
      </c>
      <c r="P275" s="3" t="s">
        <v>338</v>
      </c>
      <c r="Q275" s="3" t="s">
        <v>8235</v>
      </c>
      <c r="R275" s="3" t="s">
        <v>8236</v>
      </c>
      <c r="S275" s="3"/>
      <c r="T275" s="3"/>
      <c r="U275" s="3" t="s">
        <v>5108</v>
      </c>
      <c r="V275" s="3" t="s">
        <v>3890</v>
      </c>
      <c r="W275" s="3">
        <v>0</v>
      </c>
      <c r="X275" s="3" t="s">
        <v>8237</v>
      </c>
      <c r="Y275" s="3"/>
      <c r="Z275" s="3"/>
      <c r="AA275" s="3">
        <v>0</v>
      </c>
      <c r="AB275" s="6">
        <v>31048</v>
      </c>
      <c r="AC275" s="3" t="s">
        <v>62</v>
      </c>
      <c r="AD275" s="3">
        <v>4</v>
      </c>
      <c r="AE275" s="3">
        <v>64</v>
      </c>
      <c r="AF275" s="3">
        <v>3</v>
      </c>
      <c r="AG275" s="3" t="s">
        <v>8238</v>
      </c>
      <c r="AH275" s="3" t="s">
        <v>8239</v>
      </c>
      <c r="AI275" s="3">
        <v>186011</v>
      </c>
      <c r="AJ275" s="3" t="s">
        <v>62</v>
      </c>
      <c r="AK275" s="3"/>
      <c r="AL275" s="7" t="s">
        <v>8240</v>
      </c>
      <c r="AM275" s="7" t="s">
        <v>8241</v>
      </c>
      <c r="AN275" s="3"/>
      <c r="AO275" s="7" t="s">
        <v>8242</v>
      </c>
      <c r="AP275" s="3"/>
      <c r="AQ275" s="3"/>
      <c r="AR275" s="3"/>
      <c r="AS275" s="3"/>
      <c r="AT275" s="3"/>
      <c r="AU275" s="3"/>
      <c r="AV275" s="3"/>
      <c r="AW275" s="3"/>
    </row>
    <row r="276" spans="1:49" ht="12.5" x14ac:dyDescent="0.25">
      <c r="A276" s="3" t="s">
        <v>46</v>
      </c>
      <c r="B276" s="21" t="str">
        <f>HYPERLINK("https://gerandofalcoes.my.salesforce.com/0014X00002VKCuz", "0014X00002VKCuz")</f>
        <v>0014X00002VKCuz</v>
      </c>
      <c r="C276" s="7" t="str">
        <f>HYPERLINK("https://gerandofalcoes.my.salesforce.com/0014X00002VKCuzQAH", "0014X00002VKCuzQAH")</f>
        <v>0014X00002VKCuzQAH</v>
      </c>
      <c r="D276" s="3" t="s">
        <v>8243</v>
      </c>
      <c r="E276" s="3" t="s">
        <v>8244</v>
      </c>
      <c r="F276" s="3" t="s">
        <v>8245</v>
      </c>
      <c r="G276" s="6">
        <v>44763</v>
      </c>
      <c r="H276" s="3">
        <v>33</v>
      </c>
      <c r="I276" s="3" t="s">
        <v>8246</v>
      </c>
      <c r="J276" s="3" t="s">
        <v>8247</v>
      </c>
      <c r="K276" s="3" t="s">
        <v>8248</v>
      </c>
      <c r="L276" s="3" t="s">
        <v>101</v>
      </c>
      <c r="M276" s="3" t="s">
        <v>8249</v>
      </c>
      <c r="N276" s="3" t="s">
        <v>8250</v>
      </c>
      <c r="O276" s="3">
        <v>98</v>
      </c>
      <c r="P276" s="3" t="s">
        <v>128</v>
      </c>
      <c r="Q276" s="3" t="s">
        <v>8251</v>
      </c>
      <c r="R276" s="3" t="s">
        <v>8252</v>
      </c>
      <c r="S276" s="3" t="s">
        <v>62</v>
      </c>
      <c r="T276" s="3"/>
      <c r="U276" s="3" t="s">
        <v>4062</v>
      </c>
      <c r="V276" s="3" t="s">
        <v>4437</v>
      </c>
      <c r="W276" s="3">
        <v>3</v>
      </c>
      <c r="X276" s="3" t="s">
        <v>8253</v>
      </c>
      <c r="Y276" s="3" t="s">
        <v>8254</v>
      </c>
      <c r="Z276" s="3"/>
      <c r="AA276" s="3">
        <v>6</v>
      </c>
      <c r="AB276" s="6">
        <v>44296</v>
      </c>
      <c r="AC276" s="3" t="s">
        <v>62</v>
      </c>
      <c r="AD276" s="3">
        <v>0</v>
      </c>
      <c r="AE276" s="3">
        <v>0</v>
      </c>
      <c r="AF276" s="3">
        <v>3</v>
      </c>
      <c r="AG276" s="3" t="s">
        <v>4301</v>
      </c>
      <c r="AH276" s="3" t="s">
        <v>8255</v>
      </c>
      <c r="AI276" s="3">
        <v>34877.58</v>
      </c>
      <c r="AJ276" s="3" t="s">
        <v>61</v>
      </c>
      <c r="AK276" s="3"/>
      <c r="AL276" s="7" t="s">
        <v>8256</v>
      </c>
      <c r="AM276" s="7" t="s">
        <v>8257</v>
      </c>
      <c r="AN276" s="7" t="s">
        <v>8258</v>
      </c>
      <c r="AO276" s="7" t="s">
        <v>8259</v>
      </c>
      <c r="AP276" s="3"/>
      <c r="AQ276" s="7" t="s">
        <v>8260</v>
      </c>
      <c r="AR276" s="7" t="s">
        <v>8261</v>
      </c>
      <c r="AS276" s="7" t="s">
        <v>8262</v>
      </c>
      <c r="AT276" s="7" t="s">
        <v>8263</v>
      </c>
      <c r="AU276" s="7" t="s">
        <v>8264</v>
      </c>
      <c r="AV276" s="3"/>
      <c r="AW276" s="3"/>
    </row>
    <row r="277" spans="1:49" ht="12.5" x14ac:dyDescent="0.25">
      <c r="A277" s="3" t="s">
        <v>46</v>
      </c>
      <c r="B277" s="21" t="str">
        <f>HYPERLINK("https://gerandofalcoes.my.salesforce.com/0014X00002VKCv1", "0014X00002VKCv1")</f>
        <v>0014X00002VKCv1</v>
      </c>
      <c r="C277" s="7" t="str">
        <f>HYPERLINK("https://gerandofalcoes.my.salesforce.com/0014X00002VKCv1QAH", "0014X00002VKCv1QAH")</f>
        <v>0014X00002VKCv1QAH</v>
      </c>
      <c r="D277" s="3" t="s">
        <v>8265</v>
      </c>
      <c r="E277" s="3" t="s">
        <v>8266</v>
      </c>
      <c r="F277" s="3" t="s">
        <v>8267</v>
      </c>
      <c r="G277" s="6">
        <v>44763</v>
      </c>
      <c r="H277" s="3">
        <v>33</v>
      </c>
      <c r="I277" s="3" t="s">
        <v>8268</v>
      </c>
      <c r="J277" s="3" t="s">
        <v>8269</v>
      </c>
      <c r="K277" s="3" t="s">
        <v>8270</v>
      </c>
      <c r="L277" s="3" t="s">
        <v>101</v>
      </c>
      <c r="M277" s="3" t="s">
        <v>8271</v>
      </c>
      <c r="N277" s="3" t="s">
        <v>8272</v>
      </c>
      <c r="O277" s="3">
        <v>163</v>
      </c>
      <c r="P277" s="3" t="s">
        <v>8273</v>
      </c>
      <c r="Q277" s="3" t="s">
        <v>2864</v>
      </c>
      <c r="R277" s="3" t="s">
        <v>8274</v>
      </c>
      <c r="S277" s="3" t="s">
        <v>8275</v>
      </c>
      <c r="T277" s="3"/>
      <c r="U277" s="3" t="s">
        <v>8276</v>
      </c>
      <c r="V277" s="3" t="s">
        <v>8277</v>
      </c>
      <c r="W277" s="3">
        <v>1</v>
      </c>
      <c r="X277" s="3" t="s">
        <v>8278</v>
      </c>
      <c r="Y277" s="3" t="s">
        <v>8279</v>
      </c>
      <c r="Z277" s="3"/>
      <c r="AA277" s="3">
        <v>10</v>
      </c>
      <c r="AB277" s="6">
        <v>40359</v>
      </c>
      <c r="AC277" s="3" t="s">
        <v>62</v>
      </c>
      <c r="AD277" s="3">
        <v>0</v>
      </c>
      <c r="AE277" s="3">
        <v>10</v>
      </c>
      <c r="AF277" s="3">
        <v>2</v>
      </c>
      <c r="AG277" s="3" t="s">
        <v>4156</v>
      </c>
      <c r="AH277" s="3">
        <v>0</v>
      </c>
      <c r="AI277" s="3">
        <v>10000</v>
      </c>
      <c r="AJ277" s="3" t="s">
        <v>61</v>
      </c>
      <c r="AK277" s="3"/>
      <c r="AL277" s="7" t="s">
        <v>8280</v>
      </c>
      <c r="AM277" s="3"/>
      <c r="AN277" s="7" t="s">
        <v>8281</v>
      </c>
      <c r="AO277" s="3"/>
      <c r="AP277" s="3"/>
      <c r="AQ277" s="3"/>
      <c r="AR277" s="3"/>
      <c r="AS277" s="3"/>
      <c r="AT277" s="3"/>
      <c r="AU277" s="3"/>
      <c r="AV277" s="3"/>
      <c r="AW277" s="3"/>
    </row>
    <row r="278" spans="1:49" ht="12.5" x14ac:dyDescent="0.25">
      <c r="A278" s="3" t="s">
        <v>46</v>
      </c>
      <c r="B278" s="21" t="str">
        <f>HYPERLINK("https://gerandofalcoes.my.salesforce.com/0014X00002VKCv2", "0014X00002VKCv2")</f>
        <v>0014X00002VKCv2</v>
      </c>
      <c r="C278" s="7" t="str">
        <f>HYPERLINK("https://gerandofalcoes.my.salesforce.com/0014X00002VKCv2QAH", "0014X00002VKCv2QAH")</f>
        <v>0014X00002VKCv2QAH</v>
      </c>
      <c r="D278" s="3" t="s">
        <v>8282</v>
      </c>
      <c r="E278" s="3" t="s">
        <v>8283</v>
      </c>
      <c r="F278" s="3" t="s">
        <v>8284</v>
      </c>
      <c r="G278" s="6">
        <v>44763</v>
      </c>
      <c r="H278" s="3">
        <v>33</v>
      </c>
      <c r="I278" s="3" t="s">
        <v>8285</v>
      </c>
      <c r="J278" s="3" t="s">
        <v>8286</v>
      </c>
      <c r="K278" s="3" t="s">
        <v>8287</v>
      </c>
      <c r="L278" s="3" t="s">
        <v>101</v>
      </c>
      <c r="M278" s="3" t="s">
        <v>8288</v>
      </c>
      <c r="N278" s="3" t="s">
        <v>7795</v>
      </c>
      <c r="O278" s="3">
        <v>191</v>
      </c>
      <c r="P278" s="3" t="s">
        <v>128</v>
      </c>
      <c r="Q278" s="3"/>
      <c r="R278" s="3" t="s">
        <v>8289</v>
      </c>
      <c r="S278" s="3"/>
      <c r="T278" s="3" t="s">
        <v>8290</v>
      </c>
      <c r="U278" s="3" t="s">
        <v>3872</v>
      </c>
      <c r="V278" s="3" t="s">
        <v>5872</v>
      </c>
      <c r="W278" s="3">
        <v>0</v>
      </c>
      <c r="X278" s="3" t="s">
        <v>8291</v>
      </c>
      <c r="Y278" s="3"/>
      <c r="Z278" s="3"/>
      <c r="AA278" s="3">
        <v>1300</v>
      </c>
      <c r="AB278" s="6">
        <v>42395</v>
      </c>
      <c r="AC278" s="3" t="s">
        <v>62</v>
      </c>
      <c r="AD278" s="3">
        <v>5</v>
      </c>
      <c r="AE278" s="3">
        <v>1</v>
      </c>
      <c r="AF278" s="3">
        <v>3</v>
      </c>
      <c r="AG278" s="3" t="s">
        <v>4417</v>
      </c>
      <c r="AH278" s="3">
        <v>0</v>
      </c>
      <c r="AI278" s="3">
        <v>500</v>
      </c>
      <c r="AJ278" s="3" t="s">
        <v>61</v>
      </c>
      <c r="AK278" s="3"/>
      <c r="AL278" s="3"/>
      <c r="AM278" s="3" t="s">
        <v>8292</v>
      </c>
      <c r="AN278" s="7" t="s">
        <v>8293</v>
      </c>
      <c r="AO278" s="3"/>
      <c r="AP278" s="3"/>
      <c r="AQ278" s="3"/>
      <c r="AR278" s="3"/>
      <c r="AS278" s="3"/>
      <c r="AT278" s="3"/>
      <c r="AU278" s="3"/>
      <c r="AV278" s="3"/>
      <c r="AW278" s="3"/>
    </row>
    <row r="279" spans="1:49" ht="12.5" x14ac:dyDescent="0.25">
      <c r="A279" s="3" t="s">
        <v>46</v>
      </c>
      <c r="B279" s="21" t="str">
        <f>HYPERLINK("https://gerandofalcoes.my.salesforce.com/0014X00002VKCv3", "0014X00002VKCv3")</f>
        <v>0014X00002VKCv3</v>
      </c>
      <c r="C279" s="7" t="str">
        <f>HYPERLINK("https://gerandofalcoes.my.salesforce.com/0014X00002VKCv3QAH", "0014X00002VKCv3QAH")</f>
        <v>0014X00002VKCv3QAH</v>
      </c>
      <c r="D279" s="3" t="s">
        <v>8294</v>
      </c>
      <c r="E279" s="3" t="s">
        <v>8295</v>
      </c>
      <c r="F279" s="3" t="s">
        <v>8296</v>
      </c>
      <c r="G279" s="6">
        <v>44763</v>
      </c>
      <c r="H279" s="3">
        <v>33</v>
      </c>
      <c r="I279" s="3" t="s">
        <v>8297</v>
      </c>
      <c r="J279" s="3" t="s">
        <v>8298</v>
      </c>
      <c r="K279" s="3" t="s">
        <v>8299</v>
      </c>
      <c r="L279" s="3" t="s">
        <v>101</v>
      </c>
      <c r="M279" s="3" t="s">
        <v>8300</v>
      </c>
      <c r="N279" s="3" t="s">
        <v>8301</v>
      </c>
      <c r="O279" s="3">
        <v>462</v>
      </c>
      <c r="P279" s="3" t="s">
        <v>128</v>
      </c>
      <c r="Q279" s="3" t="s">
        <v>8302</v>
      </c>
      <c r="R279" s="3" t="s">
        <v>8303</v>
      </c>
      <c r="S279" s="3" t="s">
        <v>8304</v>
      </c>
      <c r="T279" s="3"/>
      <c r="U279" s="3" t="s">
        <v>7330</v>
      </c>
      <c r="V279" s="3" t="s">
        <v>3800</v>
      </c>
      <c r="W279" s="3">
        <v>2</v>
      </c>
      <c r="X279" s="3" t="s">
        <v>8305</v>
      </c>
      <c r="Y279" s="3" t="s">
        <v>8306</v>
      </c>
      <c r="Z279" s="3"/>
      <c r="AA279" s="3">
        <v>120</v>
      </c>
      <c r="AB279" s="6">
        <v>43979</v>
      </c>
      <c r="AC279" s="3" t="s">
        <v>62</v>
      </c>
      <c r="AD279" s="3">
        <v>0</v>
      </c>
      <c r="AE279" s="3">
        <v>8</v>
      </c>
      <c r="AF279" s="3">
        <v>3</v>
      </c>
      <c r="AG279" s="3" t="s">
        <v>8307</v>
      </c>
      <c r="AH279" s="3" t="s">
        <v>8308</v>
      </c>
      <c r="AI279" s="3">
        <v>12000</v>
      </c>
      <c r="AJ279" s="3" t="s">
        <v>61</v>
      </c>
      <c r="AK279" s="3"/>
      <c r="AL279" s="7" t="s">
        <v>8309</v>
      </c>
      <c r="AM279" s="7" t="s">
        <v>8310</v>
      </c>
      <c r="AN279" s="3"/>
      <c r="AO279" s="3"/>
      <c r="AP279" s="3"/>
      <c r="AQ279" s="7" t="s">
        <v>8311</v>
      </c>
      <c r="AR279" s="7" t="s">
        <v>8312</v>
      </c>
      <c r="AS279" s="7" t="s">
        <v>8313</v>
      </c>
      <c r="AT279" s="7" t="s">
        <v>8314</v>
      </c>
      <c r="AU279" s="7" t="s">
        <v>8315</v>
      </c>
      <c r="AV279" s="3"/>
      <c r="AW279" s="3"/>
    </row>
    <row r="280" spans="1:49" ht="12.5" x14ac:dyDescent="0.25">
      <c r="A280" s="3" t="s">
        <v>46</v>
      </c>
      <c r="B280" s="21" t="str">
        <f>HYPERLINK("https://gerandofalcoes.my.salesforce.com/0014X00002VKCv4", "0014X00002VKCv4")</f>
        <v>0014X00002VKCv4</v>
      </c>
      <c r="C280" s="7" t="str">
        <f>HYPERLINK("https://gerandofalcoes.my.salesforce.com/0014X00002VKCv4QAH", "0014X00002VKCv4QAH")</f>
        <v>0014X00002VKCv4QAH</v>
      </c>
      <c r="D280" s="3" t="s">
        <v>8316</v>
      </c>
      <c r="E280" s="3" t="s">
        <v>8317</v>
      </c>
      <c r="F280" s="3" t="s">
        <v>8318</v>
      </c>
      <c r="G280" s="6"/>
      <c r="H280" s="3"/>
      <c r="I280" s="3" t="s">
        <v>8319</v>
      </c>
      <c r="J280" s="3" t="s">
        <v>8320</v>
      </c>
      <c r="K280" s="3" t="s">
        <v>8321</v>
      </c>
      <c r="L280" s="3" t="s">
        <v>101</v>
      </c>
      <c r="M280" s="3" t="s">
        <v>8322</v>
      </c>
      <c r="N280" s="3" t="s">
        <v>8323</v>
      </c>
      <c r="O280" s="3">
        <v>80</v>
      </c>
      <c r="P280" s="3" t="s">
        <v>393</v>
      </c>
      <c r="Q280" s="3"/>
      <c r="R280" s="3" t="s">
        <v>8324</v>
      </c>
      <c r="S280" s="3" t="s">
        <v>120</v>
      </c>
      <c r="T280" s="3"/>
      <c r="U280" s="3" t="s">
        <v>4779</v>
      </c>
      <c r="V280" s="3" t="s">
        <v>3858</v>
      </c>
      <c r="W280" s="3">
        <v>100</v>
      </c>
      <c r="X280" s="3" t="s">
        <v>8325</v>
      </c>
      <c r="Y280" s="3"/>
      <c r="Z280" s="3"/>
      <c r="AA280" s="3">
        <v>100</v>
      </c>
      <c r="AB280" s="6">
        <v>42227</v>
      </c>
      <c r="AC280" s="3" t="s">
        <v>62</v>
      </c>
      <c r="AD280" s="3">
        <v>1</v>
      </c>
      <c r="AE280" s="3">
        <v>3</v>
      </c>
      <c r="AF280" s="3">
        <v>2</v>
      </c>
      <c r="AG280" s="3" t="s">
        <v>3985</v>
      </c>
      <c r="AH280" s="3" t="s">
        <v>6788</v>
      </c>
      <c r="AI280" s="3">
        <v>63500</v>
      </c>
      <c r="AJ280" s="3" t="s">
        <v>62</v>
      </c>
      <c r="AK280" s="3"/>
      <c r="AL280" s="7" t="s">
        <v>8326</v>
      </c>
      <c r="AM280" s="7" t="s">
        <v>8327</v>
      </c>
      <c r="AN280" s="3"/>
      <c r="AO280" s="3"/>
      <c r="AP280" s="3"/>
      <c r="AQ280" s="3"/>
      <c r="AR280" s="3"/>
      <c r="AS280" s="3"/>
      <c r="AT280" s="3"/>
      <c r="AU280" s="3"/>
      <c r="AV280" s="3"/>
      <c r="AW280" s="3"/>
    </row>
    <row r="281" spans="1:49" ht="12.5" x14ac:dyDescent="0.25">
      <c r="A281" s="3" t="s">
        <v>46</v>
      </c>
      <c r="B281" s="21" t="str">
        <f>HYPERLINK("https://gerandofalcoes.my.salesforce.com/0014X00002VKCv6", "0014X00002VKCv6")</f>
        <v>0014X00002VKCv6</v>
      </c>
      <c r="C281" s="7" t="str">
        <f>HYPERLINK("https://gerandofalcoes.my.salesforce.com/0014X00002VKCv6QAH", "0014X00002VKCv6QAH")</f>
        <v>0014X00002VKCv6QAH</v>
      </c>
      <c r="D281" s="3" t="s">
        <v>8328</v>
      </c>
      <c r="E281" s="3" t="s">
        <v>8329</v>
      </c>
      <c r="F281" s="3" t="s">
        <v>8330</v>
      </c>
      <c r="G281" s="6">
        <v>44763</v>
      </c>
      <c r="H281" s="3">
        <v>33</v>
      </c>
      <c r="I281" s="3" t="s">
        <v>8331</v>
      </c>
      <c r="J281" s="3" t="s">
        <v>8332</v>
      </c>
      <c r="K281" s="10" t="s">
        <v>8333</v>
      </c>
      <c r="L281" s="3" t="s">
        <v>101</v>
      </c>
      <c r="M281" s="3" t="s">
        <v>8334</v>
      </c>
      <c r="N281" s="3" t="s">
        <v>647</v>
      </c>
      <c r="O281" s="3">
        <v>24</v>
      </c>
      <c r="P281" s="3" t="s">
        <v>128</v>
      </c>
      <c r="Q281" s="3" t="s">
        <v>8335</v>
      </c>
      <c r="R281" s="3" t="s">
        <v>8336</v>
      </c>
      <c r="S281" s="3" t="s">
        <v>8337</v>
      </c>
      <c r="T281" s="3"/>
      <c r="U281" s="3" t="s">
        <v>8338</v>
      </c>
      <c r="V281" s="3" t="s">
        <v>8339</v>
      </c>
      <c r="W281" s="3">
        <v>2</v>
      </c>
      <c r="X281" s="3" t="s">
        <v>8340</v>
      </c>
      <c r="Y281" s="3" t="s">
        <v>8341</v>
      </c>
      <c r="Z281" s="3"/>
      <c r="AA281" s="3">
        <v>540</v>
      </c>
      <c r="AB281" s="6">
        <v>43210</v>
      </c>
      <c r="AC281" s="3" t="s">
        <v>62</v>
      </c>
      <c r="AD281" s="3">
        <v>0</v>
      </c>
      <c r="AE281" s="3">
        <v>7</v>
      </c>
      <c r="AF281" s="3">
        <v>3</v>
      </c>
      <c r="AG281" s="3" t="s">
        <v>8342</v>
      </c>
      <c r="AH281" s="3" t="s">
        <v>8343</v>
      </c>
      <c r="AI281" s="3">
        <v>9800</v>
      </c>
      <c r="AJ281" s="3" t="s">
        <v>61</v>
      </c>
      <c r="AK281" s="3"/>
      <c r="AL281" s="7" t="s">
        <v>8344</v>
      </c>
      <c r="AM281" s="7" t="s">
        <v>8345</v>
      </c>
      <c r="AN281" s="7" t="s">
        <v>8346</v>
      </c>
      <c r="AO281" s="3"/>
      <c r="AP281" s="3"/>
      <c r="AQ281" s="3"/>
      <c r="AR281" s="7" t="s">
        <v>8347</v>
      </c>
      <c r="AS281" s="7" t="s">
        <v>8348</v>
      </c>
      <c r="AT281" s="7" t="s">
        <v>8349</v>
      </c>
      <c r="AU281" s="7" t="s">
        <v>8350</v>
      </c>
      <c r="AV281" s="3"/>
      <c r="AW281" s="3"/>
    </row>
    <row r="282" spans="1:49" ht="12.5" x14ac:dyDescent="0.25">
      <c r="A282" s="3" t="s">
        <v>46</v>
      </c>
      <c r="B282" s="21" t="str">
        <f>HYPERLINK("https://gerandofalcoes.my.salesforce.com/0014X00002VKCv7", "0014X00002VKCv7")</f>
        <v>0014X00002VKCv7</v>
      </c>
      <c r="C282" s="7" t="str">
        <f>HYPERLINK("https://gerandofalcoes.my.salesforce.com/0014X00002VKCv7QAH", "0014X00002VKCv7QAH")</f>
        <v>0014X00002VKCv7QAH</v>
      </c>
      <c r="D282" s="3" t="s">
        <v>8351</v>
      </c>
      <c r="E282" s="3" t="s">
        <v>8352</v>
      </c>
      <c r="F282" s="3"/>
      <c r="G282" s="6">
        <v>44763</v>
      </c>
      <c r="H282" s="3">
        <v>33</v>
      </c>
      <c r="I282" s="3" t="s">
        <v>8353</v>
      </c>
      <c r="J282" s="3" t="s">
        <v>8354</v>
      </c>
      <c r="K282" s="3" t="s">
        <v>8355</v>
      </c>
      <c r="L282" s="3" t="s">
        <v>101</v>
      </c>
      <c r="M282" s="3" t="s">
        <v>8356</v>
      </c>
      <c r="N282" s="3" t="s">
        <v>8357</v>
      </c>
      <c r="O282" s="3">
        <v>149</v>
      </c>
      <c r="P282" s="3" t="s">
        <v>7008</v>
      </c>
      <c r="Q282" s="3" t="s">
        <v>8358</v>
      </c>
      <c r="R282" s="3" t="s">
        <v>8359</v>
      </c>
      <c r="S282" s="3"/>
      <c r="T282" s="3"/>
      <c r="U282" s="3" t="s">
        <v>8360</v>
      </c>
      <c r="V282" s="3" t="s">
        <v>8361</v>
      </c>
      <c r="W282" s="3">
        <v>3</v>
      </c>
      <c r="X282" s="3" t="s">
        <v>8362</v>
      </c>
      <c r="Y282" s="3"/>
      <c r="Z282" s="3"/>
      <c r="AA282" s="3">
        <v>500</v>
      </c>
      <c r="AB282" s="6">
        <v>43132</v>
      </c>
      <c r="AC282" s="3" t="s">
        <v>120</v>
      </c>
      <c r="AD282" s="3">
        <v>0</v>
      </c>
      <c r="AE282" s="3">
        <v>6</v>
      </c>
      <c r="AF282" s="3">
        <v>3</v>
      </c>
      <c r="AG282" s="3" t="s">
        <v>8363</v>
      </c>
      <c r="AH282" s="3" t="s">
        <v>4067</v>
      </c>
      <c r="AI282" s="3">
        <v>2000</v>
      </c>
      <c r="AJ282" s="3" t="s">
        <v>120</v>
      </c>
      <c r="AK282" s="3"/>
      <c r="AL282" s="3"/>
      <c r="AM282" s="3" t="s">
        <v>8364</v>
      </c>
      <c r="AN282" s="7" t="s">
        <v>8365</v>
      </c>
      <c r="AO282" s="3"/>
      <c r="AP282" s="3"/>
      <c r="AQ282" s="3"/>
      <c r="AR282" s="3"/>
      <c r="AS282" s="3"/>
      <c r="AT282" s="3"/>
      <c r="AU282" s="7" t="s">
        <v>8366</v>
      </c>
      <c r="AV282" s="3"/>
      <c r="AW282" s="3"/>
    </row>
    <row r="283" spans="1:49" ht="12.5" x14ac:dyDescent="0.25">
      <c r="A283" s="3" t="s">
        <v>46</v>
      </c>
      <c r="B283" s="21" t="str">
        <f>HYPERLINK("https://gerandofalcoes.my.salesforce.com/0014X00002VKCv8", "0014X00002VKCv8")</f>
        <v>0014X00002VKCv8</v>
      </c>
      <c r="C283" s="7" t="str">
        <f>HYPERLINK("https://gerandofalcoes.my.salesforce.com/0014X00002VKCv8QAH", "0014X00002VKCv8QAH")</f>
        <v>0014X00002VKCv8QAH</v>
      </c>
      <c r="D283" s="3" t="s">
        <v>8367</v>
      </c>
      <c r="E283" s="3" t="s">
        <v>8368</v>
      </c>
      <c r="F283" s="3" t="s">
        <v>8369</v>
      </c>
      <c r="G283" s="6">
        <v>44763</v>
      </c>
      <c r="H283" s="3">
        <v>33</v>
      </c>
      <c r="I283" s="3" t="s">
        <v>8370</v>
      </c>
      <c r="J283" s="3" t="s">
        <v>8371</v>
      </c>
      <c r="K283" s="3" t="s">
        <v>8372</v>
      </c>
      <c r="L283" s="3" t="s">
        <v>101</v>
      </c>
      <c r="M283" s="3" t="s">
        <v>8373</v>
      </c>
      <c r="N283" s="3" t="s">
        <v>8374</v>
      </c>
      <c r="O283" s="3">
        <v>23</v>
      </c>
      <c r="P283" s="3" t="s">
        <v>891</v>
      </c>
      <c r="Q283" s="3"/>
      <c r="R283" s="3" t="s">
        <v>8375</v>
      </c>
      <c r="S283" s="3" t="s">
        <v>62</v>
      </c>
      <c r="T283" s="3"/>
      <c r="U283" s="3" t="s">
        <v>8376</v>
      </c>
      <c r="V283" s="3" t="s">
        <v>3800</v>
      </c>
      <c r="W283" s="3">
        <v>4</v>
      </c>
      <c r="X283" s="3" t="s">
        <v>8377</v>
      </c>
      <c r="Y283" s="3" t="s">
        <v>8378</v>
      </c>
      <c r="Z283" s="3"/>
      <c r="AA283" s="3">
        <v>700</v>
      </c>
      <c r="AB283" s="6">
        <v>40705</v>
      </c>
      <c r="AC283" s="3" t="s">
        <v>62</v>
      </c>
      <c r="AD283" s="3">
        <v>0</v>
      </c>
      <c r="AE283" s="3">
        <v>5</v>
      </c>
      <c r="AF283" s="3">
        <v>6</v>
      </c>
      <c r="AG283" s="3" t="s">
        <v>3819</v>
      </c>
      <c r="AH283" s="3">
        <v>0</v>
      </c>
      <c r="AI283" s="3">
        <v>4000</v>
      </c>
      <c r="AJ283" s="3" t="s">
        <v>61</v>
      </c>
      <c r="AK283" s="3"/>
      <c r="AL283" s="3" t="s">
        <v>8379</v>
      </c>
      <c r="AM283" s="3"/>
      <c r="AN283" s="3"/>
      <c r="AO283" s="3"/>
      <c r="AP283" s="3"/>
      <c r="AQ283" s="7" t="s">
        <v>8380</v>
      </c>
      <c r="AR283" s="7" t="s">
        <v>8381</v>
      </c>
      <c r="AS283" s="7" t="s">
        <v>8382</v>
      </c>
      <c r="AT283" s="3"/>
      <c r="AU283" s="3"/>
      <c r="AV283" s="3"/>
      <c r="AW283" s="3"/>
    </row>
    <row r="284" spans="1:49" ht="12.5" x14ac:dyDescent="0.25">
      <c r="A284" s="3" t="s">
        <v>46</v>
      </c>
      <c r="B284" s="21" t="str">
        <f>HYPERLINK("https://gerandofalcoes.my.salesforce.com/0014X00002VKCv9", "0014X00002VKCv9")</f>
        <v>0014X00002VKCv9</v>
      </c>
      <c r="C284" s="7" t="str">
        <f>HYPERLINK("https://gerandofalcoes.my.salesforce.com/0014X00002VKCv9QAH", "0014X00002VKCv9QAH")</f>
        <v>0014X00002VKCv9QAH</v>
      </c>
      <c r="D284" s="3" t="s">
        <v>8383</v>
      </c>
      <c r="E284" s="3" t="s">
        <v>8384</v>
      </c>
      <c r="F284" s="3" t="s">
        <v>8385</v>
      </c>
      <c r="G284" s="6">
        <v>44763</v>
      </c>
      <c r="H284" s="3">
        <v>33</v>
      </c>
      <c r="I284" s="3" t="s">
        <v>8386</v>
      </c>
      <c r="J284" s="3" t="s">
        <v>8387</v>
      </c>
      <c r="K284" s="10" t="s">
        <v>8388</v>
      </c>
      <c r="L284" s="3" t="s">
        <v>101</v>
      </c>
      <c r="M284" s="3" t="s">
        <v>8389</v>
      </c>
      <c r="N284" s="3" t="s">
        <v>8390</v>
      </c>
      <c r="O284" s="3">
        <v>322</v>
      </c>
      <c r="P284" s="3" t="s">
        <v>8391</v>
      </c>
      <c r="Q284" s="3" t="s">
        <v>2316</v>
      </c>
      <c r="R284" s="3" t="s">
        <v>8392</v>
      </c>
      <c r="S284" s="3"/>
      <c r="T284" s="3"/>
      <c r="U284" s="3" t="s">
        <v>8393</v>
      </c>
      <c r="V284" s="3" t="s">
        <v>3800</v>
      </c>
      <c r="W284" s="3">
        <v>2</v>
      </c>
      <c r="X284" s="3" t="s">
        <v>8394</v>
      </c>
      <c r="Y284" s="3" t="s">
        <v>8395</v>
      </c>
      <c r="Z284" s="3"/>
      <c r="AA284" s="3">
        <v>300</v>
      </c>
      <c r="AB284" s="8">
        <v>41836</v>
      </c>
      <c r="AC284" s="3" t="s">
        <v>62</v>
      </c>
      <c r="AD284" s="3">
        <v>0</v>
      </c>
      <c r="AE284" s="3">
        <v>10</v>
      </c>
      <c r="AF284" s="3">
        <v>4</v>
      </c>
      <c r="AG284" s="3" t="s">
        <v>3819</v>
      </c>
      <c r="AH284" s="3">
        <v>0</v>
      </c>
      <c r="AI284" s="3">
        <v>0</v>
      </c>
      <c r="AJ284" s="3" t="s">
        <v>61</v>
      </c>
      <c r="AK284" s="3"/>
      <c r="AL284" s="3"/>
      <c r="AM284" s="7" t="s">
        <v>8396</v>
      </c>
      <c r="AN284" s="3"/>
      <c r="AO284" s="3"/>
      <c r="AP284" s="3"/>
      <c r="AQ284" s="3"/>
      <c r="AR284" s="7" t="s">
        <v>8397</v>
      </c>
      <c r="AS284" s="7" t="s">
        <v>8398</v>
      </c>
      <c r="AT284" s="3"/>
      <c r="AU284" s="3"/>
      <c r="AV284" s="3"/>
      <c r="AW284" s="3"/>
    </row>
    <row r="285" spans="1:49" ht="12.5" x14ac:dyDescent="0.25">
      <c r="A285" s="3" t="s">
        <v>46</v>
      </c>
      <c r="B285" s="21" t="str">
        <f>HYPERLINK("https://gerandofalcoes.my.salesforce.com/0014X00002VKCvA", "0014X00002VKCvA")</f>
        <v>0014X00002VKCvA</v>
      </c>
      <c r="C285" s="7" t="str">
        <f>HYPERLINK("https://gerandofalcoes.my.salesforce.com/0014X00002VKCvAQAX", "0014X00002VKCvAQAX")</f>
        <v>0014X00002VKCvAQAX</v>
      </c>
      <c r="D285" s="3" t="s">
        <v>8399</v>
      </c>
      <c r="E285" s="3" t="s">
        <v>8400</v>
      </c>
      <c r="F285" s="3" t="s">
        <v>8401</v>
      </c>
      <c r="G285" s="6"/>
      <c r="H285" s="3"/>
      <c r="I285" s="3" t="s">
        <v>8402</v>
      </c>
      <c r="J285" s="3" t="s">
        <v>8403</v>
      </c>
      <c r="K285" s="3" t="s">
        <v>8404</v>
      </c>
      <c r="L285" s="3" t="s">
        <v>101</v>
      </c>
      <c r="M285" s="3" t="s">
        <v>8405</v>
      </c>
      <c r="N285" s="3" t="s">
        <v>7632</v>
      </c>
      <c r="O285" s="3">
        <v>299</v>
      </c>
      <c r="P285" s="3" t="s">
        <v>128</v>
      </c>
      <c r="Q285" s="3"/>
      <c r="R285" s="3" t="s">
        <v>8406</v>
      </c>
      <c r="S285" s="3" t="s">
        <v>8407</v>
      </c>
      <c r="T285" s="3"/>
      <c r="U285" s="3" t="s">
        <v>3872</v>
      </c>
      <c r="V285" s="3" t="s">
        <v>8408</v>
      </c>
      <c r="W285" s="3">
        <v>2000</v>
      </c>
      <c r="X285" s="3" t="s">
        <v>8409</v>
      </c>
      <c r="Y285" s="3" t="s">
        <v>8410</v>
      </c>
      <c r="Z285" s="3"/>
      <c r="AA285" s="3">
        <v>35000</v>
      </c>
      <c r="AB285" s="6">
        <v>36727</v>
      </c>
      <c r="AC285" s="3" t="s">
        <v>62</v>
      </c>
      <c r="AD285" s="3">
        <v>0</v>
      </c>
      <c r="AE285" s="3">
        <v>5</v>
      </c>
      <c r="AF285" s="3">
        <v>3</v>
      </c>
      <c r="AG285" s="3" t="s">
        <v>4755</v>
      </c>
      <c r="AH285" s="3">
        <v>25</v>
      </c>
      <c r="AI285" s="3">
        <v>11000</v>
      </c>
      <c r="AJ285" s="3" t="s">
        <v>61</v>
      </c>
      <c r="AK285" s="3"/>
      <c r="AL285" s="3"/>
      <c r="AM285" s="7" t="s">
        <v>8411</v>
      </c>
      <c r="AN285" s="7" t="s">
        <v>8412</v>
      </c>
      <c r="AO285" s="3"/>
      <c r="AP285" s="3"/>
      <c r="AQ285" s="7" t="s">
        <v>8413</v>
      </c>
      <c r="AR285" s="7" t="s">
        <v>8414</v>
      </c>
      <c r="AS285" s="7" t="s">
        <v>8415</v>
      </c>
      <c r="AT285" s="3"/>
      <c r="AU285" s="7" t="s">
        <v>8416</v>
      </c>
      <c r="AV285" s="3"/>
      <c r="AW285" s="3"/>
    </row>
    <row r="286" spans="1:49" ht="12.5" x14ac:dyDescent="0.25">
      <c r="A286" s="3" t="s">
        <v>46</v>
      </c>
      <c r="B286" s="21" t="str">
        <f>HYPERLINK("https://gerandofalcoes.my.salesforce.com/0014X00002VKCvC", "0014X00002VKCvC")</f>
        <v>0014X00002VKCvC</v>
      </c>
      <c r="C286" s="7" t="str">
        <f>HYPERLINK("https://gerandofalcoes.my.salesforce.com/0014X00002VKCvCQAX", "0014X00002VKCvCQAX")</f>
        <v>0014X00002VKCvCQAX</v>
      </c>
      <c r="D286" s="3" t="s">
        <v>8417</v>
      </c>
      <c r="E286" s="3" t="s">
        <v>8418</v>
      </c>
      <c r="F286" s="3" t="s">
        <v>8419</v>
      </c>
      <c r="G286" s="6">
        <v>44763</v>
      </c>
      <c r="H286" s="3">
        <v>33</v>
      </c>
      <c r="I286" s="3" t="s">
        <v>8420</v>
      </c>
      <c r="J286" s="3" t="s">
        <v>8421</v>
      </c>
      <c r="K286" s="3" t="s">
        <v>8422</v>
      </c>
      <c r="L286" s="3" t="s">
        <v>101</v>
      </c>
      <c r="M286" s="3" t="s">
        <v>8423</v>
      </c>
      <c r="N286" s="3" t="s">
        <v>8424</v>
      </c>
      <c r="O286" s="3">
        <v>174</v>
      </c>
      <c r="P286" s="3" t="s">
        <v>3795</v>
      </c>
      <c r="Q286" s="3" t="s">
        <v>8425</v>
      </c>
      <c r="R286" s="3" t="s">
        <v>8426</v>
      </c>
      <c r="S286" s="3" t="s">
        <v>8427</v>
      </c>
      <c r="T286" s="3"/>
      <c r="U286" s="3" t="s">
        <v>5834</v>
      </c>
      <c r="V286" s="3" t="s">
        <v>8428</v>
      </c>
      <c r="W286" s="3">
        <v>1</v>
      </c>
      <c r="X286" s="3" t="s">
        <v>8429</v>
      </c>
      <c r="Y286" s="3"/>
      <c r="Z286" s="3"/>
      <c r="AA286" s="3">
        <v>300</v>
      </c>
      <c r="AB286" s="8">
        <v>43617</v>
      </c>
      <c r="AC286" s="3" t="s">
        <v>120</v>
      </c>
      <c r="AD286" s="3">
        <v>0</v>
      </c>
      <c r="AE286" s="3">
        <v>6</v>
      </c>
      <c r="AF286" s="3">
        <v>4</v>
      </c>
      <c r="AG286" s="3" t="s">
        <v>8430</v>
      </c>
      <c r="AH286" s="3" t="s">
        <v>8431</v>
      </c>
      <c r="AI286" s="3">
        <v>25000</v>
      </c>
      <c r="AJ286" s="3" t="s">
        <v>61</v>
      </c>
      <c r="AK286" s="3"/>
      <c r="AL286" s="3"/>
      <c r="AM286" s="7" t="s">
        <v>8432</v>
      </c>
      <c r="AN286" s="7" t="s">
        <v>8433</v>
      </c>
      <c r="AO286" s="3"/>
      <c r="AP286" s="3"/>
      <c r="AQ286" s="3"/>
      <c r="AR286" s="3"/>
      <c r="AS286" s="3"/>
      <c r="AT286" s="3"/>
      <c r="AU286" s="7" t="s">
        <v>8434</v>
      </c>
      <c r="AV286" s="3"/>
      <c r="AW286" s="3"/>
    </row>
    <row r="287" spans="1:49" ht="12.5" x14ac:dyDescent="0.25">
      <c r="A287" s="3" t="s">
        <v>46</v>
      </c>
      <c r="B287" s="21" t="str">
        <f>HYPERLINK("https://gerandofalcoes.my.salesforce.com/0014X00002VKCvD", "0014X00002VKCvD")</f>
        <v>0014X00002VKCvD</v>
      </c>
      <c r="C287" s="7" t="str">
        <f>HYPERLINK("https://gerandofalcoes.my.salesforce.com/0014X00002VKCvDQAX", "0014X00002VKCvDQAX")</f>
        <v>0014X00002VKCvDQAX</v>
      </c>
      <c r="D287" s="3" t="s">
        <v>8435</v>
      </c>
      <c r="E287" s="3" t="s">
        <v>8436</v>
      </c>
      <c r="F287" s="3" t="s">
        <v>7451</v>
      </c>
      <c r="G287" s="6">
        <v>44763</v>
      </c>
      <c r="H287" s="3">
        <v>33</v>
      </c>
      <c r="I287" s="3" t="s">
        <v>7452</v>
      </c>
      <c r="J287" s="3" t="s">
        <v>7453</v>
      </c>
      <c r="K287" s="3" t="s">
        <v>7454</v>
      </c>
      <c r="L287" s="3" t="s">
        <v>101</v>
      </c>
      <c r="M287" s="3" t="s">
        <v>8437</v>
      </c>
      <c r="N287" s="3" t="s">
        <v>8438</v>
      </c>
      <c r="O287" s="3">
        <v>63</v>
      </c>
      <c r="P287" s="3" t="s">
        <v>128</v>
      </c>
      <c r="Q287" s="3" t="s">
        <v>7457</v>
      </c>
      <c r="R287" s="3" t="s">
        <v>7458</v>
      </c>
      <c r="S287" s="3"/>
      <c r="T287" s="3"/>
      <c r="U287" s="3" t="s">
        <v>4497</v>
      </c>
      <c r="V287" s="3" t="s">
        <v>4945</v>
      </c>
      <c r="W287" s="3">
        <v>5</v>
      </c>
      <c r="X287" s="3" t="s">
        <v>8439</v>
      </c>
      <c r="Y287" s="3"/>
      <c r="Z287" s="3"/>
      <c r="AA287" s="3">
        <v>200</v>
      </c>
      <c r="AB287" s="6">
        <v>43140</v>
      </c>
      <c r="AC287" s="3" t="s">
        <v>120</v>
      </c>
      <c r="AD287" s="3">
        <v>0</v>
      </c>
      <c r="AE287" s="3">
        <v>6</v>
      </c>
      <c r="AF287" s="3">
        <v>1</v>
      </c>
      <c r="AG287" s="3"/>
      <c r="AH287" s="3">
        <v>0</v>
      </c>
      <c r="AI287" s="3">
        <v>25000</v>
      </c>
      <c r="AJ287" s="3" t="s">
        <v>61</v>
      </c>
      <c r="AK287" s="3"/>
      <c r="AL287" s="3"/>
      <c r="AM287" s="7" t="s">
        <v>7462</v>
      </c>
      <c r="AN287" s="7" t="s">
        <v>8440</v>
      </c>
      <c r="AO287" s="7" t="s">
        <v>7463</v>
      </c>
      <c r="AP287" s="3"/>
      <c r="AQ287" s="7" t="s">
        <v>8441</v>
      </c>
      <c r="AR287" s="3"/>
      <c r="AS287" s="3"/>
      <c r="AT287" s="3"/>
      <c r="AU287" s="7" t="s">
        <v>8442</v>
      </c>
      <c r="AV287" s="3"/>
      <c r="AW287" s="3"/>
    </row>
    <row r="288" spans="1:49" ht="12.5" x14ac:dyDescent="0.25">
      <c r="A288" s="3" t="s">
        <v>46</v>
      </c>
      <c r="B288" s="21" t="str">
        <f>HYPERLINK("https://gerandofalcoes.my.salesforce.com/0014X00002VKCtx", "0014X00002VKCtx")</f>
        <v>0014X00002VKCtx</v>
      </c>
      <c r="C288" s="7" t="str">
        <f>HYPERLINK("https://gerandofalcoes.my.salesforce.com/0014X00002VKCtxQAH", "0014X00002VKCtxQAH")</f>
        <v>0014X00002VKCtxQAH</v>
      </c>
      <c r="D288" s="3" t="s">
        <v>8443</v>
      </c>
      <c r="E288" s="3" t="s">
        <v>8444</v>
      </c>
      <c r="F288" s="3" t="s">
        <v>8445</v>
      </c>
      <c r="G288" s="6">
        <v>44763</v>
      </c>
      <c r="H288" s="3">
        <v>33</v>
      </c>
      <c r="I288" s="3" t="s">
        <v>8446</v>
      </c>
      <c r="J288" s="3" t="s">
        <v>8447</v>
      </c>
      <c r="K288" s="3" t="s">
        <v>8448</v>
      </c>
      <c r="L288" s="3" t="s">
        <v>310</v>
      </c>
      <c r="M288" s="3" t="s">
        <v>8449</v>
      </c>
      <c r="N288" s="3" t="s">
        <v>647</v>
      </c>
      <c r="O288" s="3">
        <v>630</v>
      </c>
      <c r="P288" s="3" t="s">
        <v>338</v>
      </c>
      <c r="Q288" s="3" t="s">
        <v>8450</v>
      </c>
      <c r="R288" s="3" t="s">
        <v>8451</v>
      </c>
      <c r="S288" s="3" t="s">
        <v>8452</v>
      </c>
      <c r="T288" s="3"/>
      <c r="U288" s="3" t="s">
        <v>4877</v>
      </c>
      <c r="V288" s="3" t="s">
        <v>8453</v>
      </c>
      <c r="W288" s="3">
        <v>15</v>
      </c>
      <c r="X288" s="3" t="s">
        <v>8454</v>
      </c>
      <c r="Y288" s="3" t="s">
        <v>8455</v>
      </c>
      <c r="Z288" s="3"/>
      <c r="AA288" s="3">
        <v>550</v>
      </c>
      <c r="AB288" s="6">
        <v>42979</v>
      </c>
      <c r="AC288" s="3" t="s">
        <v>120</v>
      </c>
      <c r="AD288" s="3">
        <v>10</v>
      </c>
      <c r="AE288" s="3">
        <v>8</v>
      </c>
      <c r="AF288" s="3">
        <v>3</v>
      </c>
      <c r="AG288" s="3" t="s">
        <v>8456</v>
      </c>
      <c r="AH288" s="3" t="s">
        <v>8457</v>
      </c>
      <c r="AI288" s="3">
        <v>5000</v>
      </c>
      <c r="AJ288" s="3" t="s">
        <v>61</v>
      </c>
      <c r="AK288" s="3"/>
      <c r="AL288" s="7" t="s">
        <v>8458</v>
      </c>
      <c r="AM288" s="7" t="s">
        <v>8459</v>
      </c>
      <c r="AN288" s="7" t="s">
        <v>8460</v>
      </c>
      <c r="AO288" s="7" t="s">
        <v>8459</v>
      </c>
      <c r="AP288" s="3"/>
      <c r="AQ288" s="7" t="s">
        <v>8461</v>
      </c>
      <c r="AR288" s="3"/>
      <c r="AS288" s="3"/>
      <c r="AT288" s="7" t="s">
        <v>8462</v>
      </c>
      <c r="AU288" s="7" t="s">
        <v>8463</v>
      </c>
      <c r="AV288" s="3"/>
      <c r="AW288" s="3"/>
    </row>
    <row r="289" spans="1:49" ht="12.5" x14ac:dyDescent="0.25">
      <c r="A289" s="3" t="s">
        <v>46</v>
      </c>
      <c r="B289" s="21" t="str">
        <f>HYPERLINK("https://gerandofalcoes.my.salesforce.com/0014X00002VKCty", "0014X00002VKCty")</f>
        <v>0014X00002VKCty</v>
      </c>
      <c r="C289" s="7" t="str">
        <f>HYPERLINK("https://gerandofalcoes.my.salesforce.com/0014X00002VKCtyQAH", "0014X00002VKCtyQAH")</f>
        <v>0014X00002VKCtyQAH</v>
      </c>
      <c r="D289" s="3" t="s">
        <v>8464</v>
      </c>
      <c r="E289" s="3" t="s">
        <v>8464</v>
      </c>
      <c r="F289" s="3" t="s">
        <v>8465</v>
      </c>
      <c r="G289" s="6">
        <v>44763</v>
      </c>
      <c r="H289" s="3">
        <v>33</v>
      </c>
      <c r="I289" s="3" t="s">
        <v>8466</v>
      </c>
      <c r="J289" s="3" t="s">
        <v>8467</v>
      </c>
      <c r="K289" s="10" t="s">
        <v>8468</v>
      </c>
      <c r="L289" s="3" t="s">
        <v>407</v>
      </c>
      <c r="M289" s="3" t="s">
        <v>8469</v>
      </c>
      <c r="N289" s="3" t="s">
        <v>647</v>
      </c>
      <c r="O289" s="3">
        <v>117</v>
      </c>
      <c r="P289" s="3" t="s">
        <v>8470</v>
      </c>
      <c r="Q289" s="3"/>
      <c r="R289" s="3" t="s">
        <v>8471</v>
      </c>
      <c r="S289" s="3" t="s">
        <v>8472</v>
      </c>
      <c r="T289" s="3"/>
      <c r="U289" s="3" t="s">
        <v>5280</v>
      </c>
      <c r="V289" s="3" t="s">
        <v>4141</v>
      </c>
      <c r="W289" s="3">
        <v>5</v>
      </c>
      <c r="X289" s="3" t="s">
        <v>8473</v>
      </c>
      <c r="Y289" s="3"/>
      <c r="Z289" s="3"/>
      <c r="AA289" s="3">
        <v>0</v>
      </c>
      <c r="AB289" s="8">
        <v>43592</v>
      </c>
      <c r="AC289" s="3" t="s">
        <v>62</v>
      </c>
      <c r="AD289" s="3">
        <v>0</v>
      </c>
      <c r="AE289" s="3">
        <v>30</v>
      </c>
      <c r="AF289" s="3">
        <v>4</v>
      </c>
      <c r="AG289" s="3" t="s">
        <v>8474</v>
      </c>
      <c r="AH289" s="3" t="s">
        <v>8475</v>
      </c>
      <c r="AI289" s="3">
        <v>50000</v>
      </c>
      <c r="AJ289" s="3" t="s">
        <v>120</v>
      </c>
      <c r="AK289" s="3"/>
      <c r="AL289" s="7" t="s">
        <v>8476</v>
      </c>
      <c r="AM289" s="7" t="s">
        <v>8477</v>
      </c>
      <c r="AN289" s="7" t="s">
        <v>8478</v>
      </c>
      <c r="AO289" s="7" t="s">
        <v>8479</v>
      </c>
      <c r="AP289" s="3"/>
      <c r="AQ289" s="3"/>
      <c r="AR289" s="7" t="s">
        <v>8480</v>
      </c>
      <c r="AS289" s="7" t="s">
        <v>8481</v>
      </c>
      <c r="AT289" s="7" t="s">
        <v>8482</v>
      </c>
      <c r="AU289" s="7" t="s">
        <v>8483</v>
      </c>
      <c r="AV289" s="3"/>
      <c r="AW289" s="3"/>
    </row>
    <row r="290" spans="1:49" ht="12.5" x14ac:dyDescent="0.25">
      <c r="A290" s="3" t="s">
        <v>46</v>
      </c>
      <c r="B290" s="21" t="str">
        <f>HYPERLINK("https://gerandofalcoes.my.salesforce.com/0014X00002VKCtz", "0014X00002VKCtz")</f>
        <v>0014X00002VKCtz</v>
      </c>
      <c r="C290" s="7" t="str">
        <f>HYPERLINK("https://gerandofalcoes.my.salesforce.com/0014X00002VKCtzQAH", "0014X00002VKCtzQAH")</f>
        <v>0014X00002VKCtzQAH</v>
      </c>
      <c r="D290" s="3" t="s">
        <v>8484</v>
      </c>
      <c r="E290" s="3" t="s">
        <v>8485</v>
      </c>
      <c r="F290" s="3"/>
      <c r="G290" s="6"/>
      <c r="H290" s="3"/>
      <c r="I290" s="3" t="s">
        <v>8486</v>
      </c>
      <c r="J290" s="3" t="s">
        <v>8487</v>
      </c>
      <c r="K290" s="10" t="s">
        <v>8488</v>
      </c>
      <c r="L290" s="3" t="s">
        <v>6781</v>
      </c>
      <c r="M290" s="3" t="s">
        <v>8489</v>
      </c>
      <c r="N290" s="3" t="s">
        <v>8490</v>
      </c>
      <c r="O290" s="3">
        <v>108</v>
      </c>
      <c r="P290" s="3" t="s">
        <v>8491</v>
      </c>
      <c r="Q290" s="3"/>
      <c r="R290" s="3" t="s">
        <v>8492</v>
      </c>
      <c r="S290" s="3" t="s">
        <v>8493</v>
      </c>
      <c r="T290" s="3"/>
      <c r="U290" s="3" t="s">
        <v>3913</v>
      </c>
      <c r="V290" s="3" t="s">
        <v>8494</v>
      </c>
      <c r="W290" s="3">
        <v>3</v>
      </c>
      <c r="X290" s="3" t="s">
        <v>8495</v>
      </c>
      <c r="Y290" s="3" t="s">
        <v>8496</v>
      </c>
      <c r="Z290" s="3"/>
      <c r="AA290" s="3">
        <v>120</v>
      </c>
      <c r="AB290" s="6">
        <v>43905</v>
      </c>
      <c r="AC290" s="3" t="s">
        <v>120</v>
      </c>
      <c r="AD290" s="3">
        <v>0</v>
      </c>
      <c r="AE290" s="3">
        <v>4</v>
      </c>
      <c r="AF290" s="3">
        <v>2</v>
      </c>
      <c r="AG290" s="3" t="s">
        <v>7476</v>
      </c>
      <c r="AH290" s="3" t="s">
        <v>8497</v>
      </c>
      <c r="AI290" s="3">
        <v>1200</v>
      </c>
      <c r="AJ290" s="3" t="s">
        <v>120</v>
      </c>
      <c r="AK290" s="3"/>
      <c r="AL290" s="7" t="s">
        <v>8498</v>
      </c>
      <c r="AM290" s="7" t="s">
        <v>8499</v>
      </c>
      <c r="AN290" s="7" t="s">
        <v>8500</v>
      </c>
      <c r="AO290" s="3"/>
      <c r="AP290" s="3"/>
      <c r="AQ290" s="7" t="s">
        <v>8501</v>
      </c>
      <c r="AR290" s="3"/>
      <c r="AS290" s="3"/>
      <c r="AT290" s="7" t="s">
        <v>8502</v>
      </c>
      <c r="AU290" s="7" t="s">
        <v>8503</v>
      </c>
      <c r="AV290" s="3"/>
      <c r="AW290" s="3"/>
    </row>
    <row r="291" spans="1:49" ht="12.5" x14ac:dyDescent="0.25">
      <c r="A291" s="3" t="s">
        <v>46</v>
      </c>
      <c r="B291" s="21" t="str">
        <f>HYPERLINK("https://gerandofalcoes.my.salesforce.com/0014X00002VKCu0", "0014X00002VKCu0")</f>
        <v>0014X00002VKCu0</v>
      </c>
      <c r="C291" s="7" t="str">
        <f>HYPERLINK("https://gerandofalcoes.my.salesforce.com/0014X00002VKCu0QAH", "0014X00002VKCu0QAH")</f>
        <v>0014X00002VKCu0QAH</v>
      </c>
      <c r="D291" s="3" t="s">
        <v>8504</v>
      </c>
      <c r="E291" s="3" t="s">
        <v>8505</v>
      </c>
      <c r="F291" s="3" t="s">
        <v>8506</v>
      </c>
      <c r="G291" s="6">
        <v>44763</v>
      </c>
      <c r="H291" s="3">
        <v>33</v>
      </c>
      <c r="I291" s="3" t="s">
        <v>8504</v>
      </c>
      <c r="J291" s="3" t="s">
        <v>8507</v>
      </c>
      <c r="K291" s="10" t="s">
        <v>8508</v>
      </c>
      <c r="L291" s="3" t="s">
        <v>557</v>
      </c>
      <c r="M291" s="3" t="s">
        <v>8509</v>
      </c>
      <c r="N291" s="3" t="s">
        <v>128</v>
      </c>
      <c r="O291" s="3">
        <v>176</v>
      </c>
      <c r="P291" s="3" t="s">
        <v>8510</v>
      </c>
      <c r="Q291" s="3" t="s">
        <v>2864</v>
      </c>
      <c r="R291" s="3" t="s">
        <v>8511</v>
      </c>
      <c r="S291" s="3"/>
      <c r="T291" s="3"/>
      <c r="U291" s="3" t="s">
        <v>8512</v>
      </c>
      <c r="V291" s="3" t="s">
        <v>3800</v>
      </c>
      <c r="W291" s="3">
        <v>1</v>
      </c>
      <c r="X291" s="3" t="s">
        <v>8513</v>
      </c>
      <c r="Y291" s="3"/>
      <c r="Z291" s="3"/>
      <c r="AA291" s="3">
        <v>115</v>
      </c>
      <c r="AB291" s="6">
        <v>43370</v>
      </c>
      <c r="AC291" s="3" t="s">
        <v>120</v>
      </c>
      <c r="AD291" s="3">
        <v>0</v>
      </c>
      <c r="AE291" s="3">
        <v>5</v>
      </c>
      <c r="AF291" s="3">
        <v>2</v>
      </c>
      <c r="AG291" s="3" t="s">
        <v>4032</v>
      </c>
      <c r="AH291" s="3">
        <v>0</v>
      </c>
      <c r="AI291" s="3">
        <v>2500</v>
      </c>
      <c r="AJ291" s="3" t="s">
        <v>120</v>
      </c>
      <c r="AK291" s="3"/>
      <c r="AL291" s="3"/>
      <c r="AM291" s="3"/>
      <c r="AN291" s="3"/>
      <c r="AO291" s="3"/>
      <c r="AP291" s="3"/>
      <c r="AQ291" s="3"/>
      <c r="AR291" s="3"/>
      <c r="AS291" s="7" t="s">
        <v>8514</v>
      </c>
      <c r="AT291" s="3"/>
      <c r="AU291" s="7" t="s">
        <v>8515</v>
      </c>
      <c r="AV291" s="3"/>
      <c r="AW291" s="3"/>
    </row>
    <row r="292" spans="1:49" ht="12.5" x14ac:dyDescent="0.25">
      <c r="A292" s="3" t="s">
        <v>46</v>
      </c>
      <c r="B292" s="21" t="str">
        <f>HYPERLINK("https://gerandofalcoes.my.salesforce.com/0014X00002VKCu1", "0014X00002VKCu1")</f>
        <v>0014X00002VKCu1</v>
      </c>
      <c r="C292" s="7" t="str">
        <f>HYPERLINK("https://gerandofalcoes.my.salesforce.com/0014X00002VKCu1QAH", "0014X00002VKCu1QAH")</f>
        <v>0014X00002VKCu1QAH</v>
      </c>
      <c r="D292" s="3" t="s">
        <v>8516</v>
      </c>
      <c r="E292" s="3" t="s">
        <v>8517</v>
      </c>
      <c r="F292" s="3" t="s">
        <v>8518</v>
      </c>
      <c r="G292" s="6">
        <v>44763</v>
      </c>
      <c r="H292" s="3">
        <v>33</v>
      </c>
      <c r="I292" s="3" t="s">
        <v>8519</v>
      </c>
      <c r="J292" s="3" t="s">
        <v>8520</v>
      </c>
      <c r="K292" s="10" t="s">
        <v>8521</v>
      </c>
      <c r="L292" s="3" t="s">
        <v>407</v>
      </c>
      <c r="M292" s="3" t="s">
        <v>8522</v>
      </c>
      <c r="N292" s="3" t="s">
        <v>8522</v>
      </c>
      <c r="O292" s="3" t="s">
        <v>8522</v>
      </c>
      <c r="P292" s="3" t="s">
        <v>8522</v>
      </c>
      <c r="Q292" s="3" t="s">
        <v>8523</v>
      </c>
      <c r="R292" s="3" t="s">
        <v>5250</v>
      </c>
      <c r="S292" s="3"/>
      <c r="T292" s="3"/>
      <c r="U292" s="3" t="s">
        <v>7849</v>
      </c>
      <c r="V292" s="3" t="s">
        <v>6003</v>
      </c>
      <c r="W292" s="3">
        <v>232</v>
      </c>
      <c r="X292" s="3" t="s">
        <v>8524</v>
      </c>
      <c r="Y292" s="3" t="s">
        <v>8525</v>
      </c>
      <c r="Z292" s="3"/>
      <c r="AA292" s="3">
        <v>600000</v>
      </c>
      <c r="AB292" s="6">
        <v>44164</v>
      </c>
      <c r="AC292" s="3" t="s">
        <v>62</v>
      </c>
      <c r="AD292" s="3">
        <v>0</v>
      </c>
      <c r="AE292" s="3">
        <v>25</v>
      </c>
      <c r="AF292" s="3">
        <v>3</v>
      </c>
      <c r="AG292" s="3" t="s">
        <v>8526</v>
      </c>
      <c r="AH292" s="3">
        <v>0</v>
      </c>
      <c r="AI292" s="3">
        <v>10000</v>
      </c>
      <c r="AJ292" s="3" t="s">
        <v>62</v>
      </c>
      <c r="AK292" s="3"/>
      <c r="AL292" s="7" t="s">
        <v>8527</v>
      </c>
      <c r="AM292" s="7" t="s">
        <v>8528</v>
      </c>
      <c r="AN292" s="7" t="s">
        <v>8529</v>
      </c>
      <c r="AO292" s="3"/>
      <c r="AP292" s="3"/>
      <c r="AQ292" s="3"/>
      <c r="AR292" s="7" t="s">
        <v>8530</v>
      </c>
      <c r="AS292" s="7" t="s">
        <v>8531</v>
      </c>
      <c r="AT292" s="7" t="s">
        <v>8532</v>
      </c>
      <c r="AU292" s="7" t="s">
        <v>8533</v>
      </c>
      <c r="AV292" s="3"/>
      <c r="AW292" s="3"/>
    </row>
    <row r="293" spans="1:49" ht="12.5" x14ac:dyDescent="0.25">
      <c r="A293" s="3" t="s">
        <v>46</v>
      </c>
      <c r="B293" s="21" t="str">
        <f>HYPERLINK("https://gerandofalcoes.my.salesforce.com/0014X00002VKCu2", "0014X00002VKCu2")</f>
        <v>0014X00002VKCu2</v>
      </c>
      <c r="C293" s="7" t="str">
        <f>HYPERLINK("https://gerandofalcoes.my.salesforce.com/0014X00002VKCu2QAH", "0014X00002VKCu2QAH")</f>
        <v>0014X00002VKCu2QAH</v>
      </c>
      <c r="D293" s="3" t="s">
        <v>8534</v>
      </c>
      <c r="E293" s="3" t="s">
        <v>8535</v>
      </c>
      <c r="F293" s="3" t="s">
        <v>8536</v>
      </c>
      <c r="G293" s="6"/>
      <c r="H293" s="3"/>
      <c r="I293" s="3" t="s">
        <v>8537</v>
      </c>
      <c r="J293" s="3" t="s">
        <v>8538</v>
      </c>
      <c r="K293" s="10" t="s">
        <v>8539</v>
      </c>
      <c r="L293" s="3" t="s">
        <v>407</v>
      </c>
      <c r="M293" s="3" t="s">
        <v>8540</v>
      </c>
      <c r="N293" s="3" t="s">
        <v>8084</v>
      </c>
      <c r="O293" s="3">
        <v>1340</v>
      </c>
      <c r="P293" s="3" t="s">
        <v>409</v>
      </c>
      <c r="Q293" s="3" t="s">
        <v>8541</v>
      </c>
      <c r="R293" s="3" t="s">
        <v>8542</v>
      </c>
      <c r="S293" s="3" t="s">
        <v>8543</v>
      </c>
      <c r="T293" s="3"/>
      <c r="U293" s="3" t="s">
        <v>4062</v>
      </c>
      <c r="V293" s="3" t="s">
        <v>8544</v>
      </c>
      <c r="W293" s="3">
        <v>1</v>
      </c>
      <c r="X293" s="3" t="s">
        <v>8545</v>
      </c>
      <c r="Y293" s="3" t="s">
        <v>8546</v>
      </c>
      <c r="Z293" s="3"/>
      <c r="AA293" s="3">
        <v>300</v>
      </c>
      <c r="AB293" s="6">
        <v>42766</v>
      </c>
      <c r="AC293" s="3" t="s">
        <v>62</v>
      </c>
      <c r="AD293" s="3">
        <v>0</v>
      </c>
      <c r="AE293" s="3">
        <v>12</v>
      </c>
      <c r="AF293" s="3">
        <v>2</v>
      </c>
      <c r="AG293" s="3" t="s">
        <v>8547</v>
      </c>
      <c r="AH293" s="3" t="s">
        <v>8548</v>
      </c>
      <c r="AI293" s="3">
        <v>3</v>
      </c>
      <c r="AJ293" s="3" t="s">
        <v>61</v>
      </c>
      <c r="AK293" s="3"/>
      <c r="AL293" s="7" t="s">
        <v>8549</v>
      </c>
      <c r="AM293" s="7" t="s">
        <v>8550</v>
      </c>
      <c r="AN293" s="7" t="s">
        <v>8551</v>
      </c>
      <c r="AO293" s="3"/>
      <c r="AP293" s="3"/>
      <c r="AQ293" s="7" t="s">
        <v>8552</v>
      </c>
      <c r="AR293" s="7" t="s">
        <v>8553</v>
      </c>
      <c r="AS293" s="7" t="s">
        <v>8554</v>
      </c>
      <c r="AT293" s="7" t="s">
        <v>8555</v>
      </c>
      <c r="AU293" s="7" t="s">
        <v>8556</v>
      </c>
      <c r="AV293" s="3"/>
      <c r="AW293" s="3"/>
    </row>
    <row r="294" spans="1:49" ht="12.5" x14ac:dyDescent="0.25">
      <c r="A294" s="3" t="s">
        <v>46</v>
      </c>
      <c r="B294" s="21" t="str">
        <f>HYPERLINK("https://gerandofalcoes.my.salesforce.com/0014X00002VKCu5", "0014X00002VKCu5")</f>
        <v>0014X00002VKCu5</v>
      </c>
      <c r="C294" s="7" t="str">
        <f>HYPERLINK("https://gerandofalcoes.my.salesforce.com/0014X00002VKCu5QAH", "0014X00002VKCu5QAH")</f>
        <v>0014X00002VKCu5QAH</v>
      </c>
      <c r="D294" s="3" t="s">
        <v>8557</v>
      </c>
      <c r="E294" s="3" t="s">
        <v>8558</v>
      </c>
      <c r="F294" s="3" t="s">
        <v>8559</v>
      </c>
      <c r="G294" s="6">
        <v>44763</v>
      </c>
      <c r="H294" s="3">
        <v>33</v>
      </c>
      <c r="I294" s="3" t="s">
        <v>8560</v>
      </c>
      <c r="J294" s="3" t="s">
        <v>8561</v>
      </c>
      <c r="K294" s="10" t="s">
        <v>8562</v>
      </c>
      <c r="L294" s="3" t="s">
        <v>407</v>
      </c>
      <c r="M294" s="3" t="s">
        <v>8563</v>
      </c>
      <c r="N294" s="3" t="s">
        <v>8564</v>
      </c>
      <c r="O294" s="3">
        <v>79</v>
      </c>
      <c r="P294" s="3" t="s">
        <v>409</v>
      </c>
      <c r="Q294" s="3" t="s">
        <v>1539</v>
      </c>
      <c r="R294" s="3" t="s">
        <v>8565</v>
      </c>
      <c r="S294" s="3" t="s">
        <v>8566</v>
      </c>
      <c r="T294" s="3"/>
      <c r="U294" s="3" t="s">
        <v>5442</v>
      </c>
      <c r="V294" s="3" t="s">
        <v>8567</v>
      </c>
      <c r="W294" s="3">
        <v>4</v>
      </c>
      <c r="X294" s="3" t="s">
        <v>8568</v>
      </c>
      <c r="Y294" s="3" t="s">
        <v>8569</v>
      </c>
      <c r="Z294" s="3"/>
      <c r="AA294" s="3">
        <v>380</v>
      </c>
      <c r="AB294" s="8">
        <v>33141</v>
      </c>
      <c r="AC294" s="3" t="s">
        <v>62</v>
      </c>
      <c r="AD294" s="3">
        <v>17</v>
      </c>
      <c r="AE294" s="3">
        <v>11</v>
      </c>
      <c r="AF294" s="3">
        <v>4</v>
      </c>
      <c r="AG294" s="3" t="s">
        <v>8570</v>
      </c>
      <c r="AH294" s="3" t="s">
        <v>8571</v>
      </c>
      <c r="AI294" s="3">
        <v>35000</v>
      </c>
      <c r="AJ294" s="3" t="s">
        <v>62</v>
      </c>
      <c r="AK294" s="3"/>
      <c r="AL294" s="7" t="s">
        <v>8572</v>
      </c>
      <c r="AM294" s="7" t="s">
        <v>8573</v>
      </c>
      <c r="AN294" s="3"/>
      <c r="AO294" s="3"/>
      <c r="AP294" s="3"/>
      <c r="AQ294" s="7" t="s">
        <v>8574</v>
      </c>
      <c r="AR294" s="7" t="s">
        <v>8575</v>
      </c>
      <c r="AS294" s="3"/>
      <c r="AT294" s="7" t="s">
        <v>8576</v>
      </c>
      <c r="AU294" s="7" t="s">
        <v>8577</v>
      </c>
      <c r="AV294" s="3"/>
      <c r="AW294" s="3"/>
    </row>
    <row r="295" spans="1:49" ht="12.5" x14ac:dyDescent="0.25">
      <c r="A295" s="3" t="s">
        <v>46</v>
      </c>
      <c r="B295" s="21" t="str">
        <f>HYPERLINK("https://gerandofalcoes.my.salesforce.com/0014X00002VKCu7", "0014X00002VKCu7")</f>
        <v>0014X00002VKCu7</v>
      </c>
      <c r="C295" s="7" t="str">
        <f>HYPERLINK("https://gerandofalcoes.my.salesforce.com/0014X00002VKCu7QAH", "0014X00002VKCu7QAH")</f>
        <v>0014X00002VKCu7QAH</v>
      </c>
      <c r="D295" s="3" t="s">
        <v>8578</v>
      </c>
      <c r="E295" s="3" t="s">
        <v>8579</v>
      </c>
      <c r="F295" s="3" t="s">
        <v>8580</v>
      </c>
      <c r="G295" s="6"/>
      <c r="H295" s="3"/>
      <c r="I295" s="3" t="s">
        <v>8581</v>
      </c>
      <c r="J295" s="3" t="s">
        <v>8582</v>
      </c>
      <c r="K295" s="3" t="s">
        <v>8583</v>
      </c>
      <c r="L295" s="3" t="s">
        <v>557</v>
      </c>
      <c r="M295" s="3" t="s">
        <v>8584</v>
      </c>
      <c r="N295" s="3" t="s">
        <v>8585</v>
      </c>
      <c r="O295" s="3">
        <v>3070</v>
      </c>
      <c r="P295" s="3" t="s">
        <v>1149</v>
      </c>
      <c r="Q295" s="3" t="s">
        <v>8586</v>
      </c>
      <c r="R295" s="3" t="s">
        <v>8587</v>
      </c>
      <c r="S295" s="3"/>
      <c r="T295" s="3"/>
      <c r="U295" s="3" t="s">
        <v>5280</v>
      </c>
      <c r="V295" s="3" t="s">
        <v>4141</v>
      </c>
      <c r="W295" s="3">
        <v>7</v>
      </c>
      <c r="X295" s="3" t="s">
        <v>8588</v>
      </c>
      <c r="Y295" s="3" t="s">
        <v>8589</v>
      </c>
      <c r="Z295" s="3"/>
      <c r="AA295" s="3">
        <v>850</v>
      </c>
      <c r="AB295" s="6">
        <v>42370</v>
      </c>
      <c r="AC295" s="3" t="s">
        <v>62</v>
      </c>
      <c r="AD295" s="3">
        <v>4</v>
      </c>
      <c r="AE295" s="3">
        <v>0</v>
      </c>
      <c r="AF295" s="3">
        <v>5</v>
      </c>
      <c r="AG295" s="3" t="s">
        <v>8590</v>
      </c>
      <c r="AH295" s="3" t="s">
        <v>8591</v>
      </c>
      <c r="AI295" s="3">
        <v>515000</v>
      </c>
      <c r="AJ295" s="3" t="s">
        <v>120</v>
      </c>
      <c r="AK295" s="3"/>
      <c r="AL295" s="7" t="s">
        <v>8592</v>
      </c>
      <c r="AM295" s="7" t="s">
        <v>8593</v>
      </c>
      <c r="AN295" s="3"/>
      <c r="AO295" s="3"/>
      <c r="AP295" s="3"/>
      <c r="AQ295" s="3"/>
      <c r="AR295" s="3"/>
      <c r="AS295" s="3"/>
      <c r="AT295" s="3"/>
      <c r="AU295" s="3"/>
      <c r="AV295" s="3"/>
      <c r="AW295" s="3"/>
    </row>
    <row r="296" spans="1:49" ht="12.5" x14ac:dyDescent="0.25">
      <c r="A296" s="3" t="s">
        <v>46</v>
      </c>
      <c r="B296" s="21" t="str">
        <f>HYPERLINK("https://gerandofalcoes.my.salesforce.com/0014X00002VKCuA", "0014X00002VKCuA")</f>
        <v>0014X00002VKCuA</v>
      </c>
      <c r="C296" s="7" t="str">
        <f>HYPERLINK("https://gerandofalcoes.my.salesforce.com/0014X00002VKCuAQAX", "0014X00002VKCuAQAX")</f>
        <v>0014X00002VKCuAQAX</v>
      </c>
      <c r="D296" s="3" t="s">
        <v>8594</v>
      </c>
      <c r="E296" s="3" t="s">
        <v>8595</v>
      </c>
      <c r="F296" s="3" t="s">
        <v>8596</v>
      </c>
      <c r="G296" s="6">
        <v>44763</v>
      </c>
      <c r="H296" s="3">
        <v>33</v>
      </c>
      <c r="I296" s="3" t="s">
        <v>8597</v>
      </c>
      <c r="J296" s="3" t="s">
        <v>8598</v>
      </c>
      <c r="K296" s="3" t="s">
        <v>8599</v>
      </c>
      <c r="L296" s="3" t="s">
        <v>557</v>
      </c>
      <c r="M296" s="3" t="s">
        <v>8600</v>
      </c>
      <c r="N296" s="3" t="s">
        <v>8601</v>
      </c>
      <c r="O296" s="3">
        <v>2954</v>
      </c>
      <c r="P296" s="3" t="s">
        <v>8154</v>
      </c>
      <c r="Q296" s="3" t="s">
        <v>8602</v>
      </c>
      <c r="R296" s="3" t="s">
        <v>8603</v>
      </c>
      <c r="S296" s="3" t="s">
        <v>8604</v>
      </c>
      <c r="T296" s="3"/>
      <c r="U296" s="3" t="s">
        <v>5280</v>
      </c>
      <c r="V296" s="3" t="s">
        <v>3800</v>
      </c>
      <c r="W296" s="3">
        <v>1</v>
      </c>
      <c r="X296" s="3" t="s">
        <v>8605</v>
      </c>
      <c r="Y296" s="3" t="s">
        <v>8606</v>
      </c>
      <c r="Z296" s="3"/>
      <c r="AA296" s="3">
        <v>300</v>
      </c>
      <c r="AB296" s="8">
        <v>44581</v>
      </c>
      <c r="AC296" s="3" t="s">
        <v>120</v>
      </c>
      <c r="AD296" s="3">
        <v>0</v>
      </c>
      <c r="AE296" s="3">
        <v>28</v>
      </c>
      <c r="AF296" s="3">
        <v>3</v>
      </c>
      <c r="AG296" s="3" t="s">
        <v>4782</v>
      </c>
      <c r="AH296" s="3" t="s">
        <v>8607</v>
      </c>
      <c r="AI296" s="3">
        <v>30000</v>
      </c>
      <c r="AJ296" s="3" t="s">
        <v>120</v>
      </c>
      <c r="AK296" s="3"/>
      <c r="AL296" s="3"/>
      <c r="AM296" s="7" t="s">
        <v>8608</v>
      </c>
      <c r="AN296" s="7" t="s">
        <v>8609</v>
      </c>
      <c r="AO296" s="3"/>
      <c r="AP296" s="3"/>
      <c r="AQ296" s="3"/>
      <c r="AR296" s="7" t="s">
        <v>8610</v>
      </c>
      <c r="AS296" s="3"/>
      <c r="AT296" s="7" t="s">
        <v>8611</v>
      </c>
      <c r="AU296" s="7" t="s">
        <v>8612</v>
      </c>
      <c r="AV296" s="3"/>
      <c r="AW296" s="3"/>
    </row>
    <row r="297" spans="1:49" ht="12.5" x14ac:dyDescent="0.25">
      <c r="A297" s="3" t="s">
        <v>46</v>
      </c>
      <c r="B297" s="21" t="str">
        <f>HYPERLINK("https://gerandofalcoes.my.salesforce.com/0014X00002VKCuB", "0014X00002VKCuB")</f>
        <v>0014X00002VKCuB</v>
      </c>
      <c r="C297" s="7" t="str">
        <f>HYPERLINK("https://gerandofalcoes.my.salesforce.com/0014X00002VKCuBQAX", "0014X00002VKCuBQAX")</f>
        <v>0014X00002VKCuBQAX</v>
      </c>
      <c r="D297" s="3" t="s">
        <v>8613</v>
      </c>
      <c r="E297" s="3" t="s">
        <v>8614</v>
      </c>
      <c r="F297" s="3" t="s">
        <v>8615</v>
      </c>
      <c r="G297" s="6">
        <v>44763</v>
      </c>
      <c r="H297" s="3">
        <v>33</v>
      </c>
      <c r="I297" s="3" t="s">
        <v>8616</v>
      </c>
      <c r="J297" s="3" t="s">
        <v>8617</v>
      </c>
      <c r="K297" s="3" t="s">
        <v>8618</v>
      </c>
      <c r="L297" s="3" t="s">
        <v>557</v>
      </c>
      <c r="M297" s="3" t="s">
        <v>8619</v>
      </c>
      <c r="N297" s="3" t="s">
        <v>8620</v>
      </c>
      <c r="O297" s="3">
        <v>32</v>
      </c>
      <c r="P297" s="3" t="s">
        <v>8621</v>
      </c>
      <c r="Q297" s="3" t="s">
        <v>8622</v>
      </c>
      <c r="R297" s="3" t="s">
        <v>8623</v>
      </c>
      <c r="S297" s="3" t="s">
        <v>8624</v>
      </c>
      <c r="T297" s="3"/>
      <c r="U297" s="3" t="s">
        <v>3872</v>
      </c>
      <c r="V297" s="3" t="s">
        <v>3890</v>
      </c>
      <c r="W297" s="3">
        <v>5</v>
      </c>
      <c r="X297" s="3" t="s">
        <v>8625</v>
      </c>
      <c r="Y297" s="3"/>
      <c r="Z297" s="3"/>
      <c r="AA297" s="3">
        <v>2554</v>
      </c>
      <c r="AB297" s="6">
        <v>43322</v>
      </c>
      <c r="AC297" s="3" t="s">
        <v>62</v>
      </c>
      <c r="AD297" s="3">
        <v>0</v>
      </c>
      <c r="AE297" s="3">
        <v>52</v>
      </c>
      <c r="AF297" s="3">
        <v>2</v>
      </c>
      <c r="AG297" s="3" t="s">
        <v>4032</v>
      </c>
      <c r="AH297" s="3">
        <v>0</v>
      </c>
      <c r="AI297" s="3">
        <v>10000</v>
      </c>
      <c r="AJ297" s="3" t="s">
        <v>61</v>
      </c>
      <c r="AK297" s="3"/>
      <c r="AL297" s="7" t="s">
        <v>8626</v>
      </c>
      <c r="AM297" s="7" t="s">
        <v>8627</v>
      </c>
      <c r="AN297" s="3"/>
      <c r="AO297" s="7" t="s">
        <v>8628</v>
      </c>
      <c r="AP297" s="3"/>
      <c r="AQ297" s="3"/>
      <c r="AR297" s="3"/>
      <c r="AS297" s="3"/>
      <c r="AT297" s="3"/>
      <c r="AU297" s="3"/>
      <c r="AV297" s="3"/>
      <c r="AW297" s="3"/>
    </row>
    <row r="298" spans="1:49" ht="12.5" x14ac:dyDescent="0.25">
      <c r="A298" s="3" t="s">
        <v>46</v>
      </c>
      <c r="B298" s="21" t="str">
        <f>HYPERLINK("https://gerandofalcoes.my.salesforce.com/0014X00002VKCuC", "0014X00002VKCuC")</f>
        <v>0014X00002VKCuC</v>
      </c>
      <c r="C298" s="7" t="str">
        <f>HYPERLINK("https://gerandofalcoes.my.salesforce.com/0014X00002VKCuCQAX", "0014X00002VKCuCQAX")</f>
        <v>0014X00002VKCuCQAX</v>
      </c>
      <c r="D298" s="3" t="s">
        <v>8629</v>
      </c>
      <c r="E298" s="3" t="s">
        <v>8630</v>
      </c>
      <c r="F298" s="3" t="s">
        <v>8631</v>
      </c>
      <c r="G298" s="6">
        <v>44763</v>
      </c>
      <c r="H298" s="3">
        <v>33</v>
      </c>
      <c r="I298" s="3" t="s">
        <v>8632</v>
      </c>
      <c r="J298" s="3" t="s">
        <v>8633</v>
      </c>
      <c r="K298" s="3" t="s">
        <v>8634</v>
      </c>
      <c r="L298" s="3" t="s">
        <v>557</v>
      </c>
      <c r="M298" s="3" t="s">
        <v>8635</v>
      </c>
      <c r="N298" s="3" t="s">
        <v>8636</v>
      </c>
      <c r="O298" s="3">
        <v>315</v>
      </c>
      <c r="P298" s="3" t="s">
        <v>8637</v>
      </c>
      <c r="Q298" s="3" t="s">
        <v>8638</v>
      </c>
      <c r="R298" s="3" t="s">
        <v>8639</v>
      </c>
      <c r="S298" s="3" t="s">
        <v>562</v>
      </c>
      <c r="T298" s="3"/>
      <c r="U298" s="3" t="s">
        <v>3872</v>
      </c>
      <c r="V298" s="3" t="s">
        <v>8640</v>
      </c>
      <c r="W298" s="3">
        <v>5</v>
      </c>
      <c r="X298" s="3" t="s">
        <v>8641</v>
      </c>
      <c r="Y298" s="3" t="s">
        <v>8642</v>
      </c>
      <c r="Z298" s="3"/>
      <c r="AA298" s="3">
        <v>1090</v>
      </c>
      <c r="AB298" s="8">
        <v>42345</v>
      </c>
      <c r="AC298" s="3" t="s">
        <v>62</v>
      </c>
      <c r="AD298" s="3">
        <v>3</v>
      </c>
      <c r="AE298" s="3">
        <v>14</v>
      </c>
      <c r="AF298" s="3">
        <v>2</v>
      </c>
      <c r="AG298" s="3" t="s">
        <v>8643</v>
      </c>
      <c r="AH298" s="3" t="s">
        <v>8644</v>
      </c>
      <c r="AI298" s="3">
        <v>0</v>
      </c>
      <c r="AJ298" s="3" t="s">
        <v>120</v>
      </c>
      <c r="AK298" s="3"/>
      <c r="AL298" s="7" t="s">
        <v>8645</v>
      </c>
      <c r="AM298" s="7" t="s">
        <v>8646</v>
      </c>
      <c r="AN298" s="7" t="s">
        <v>8647</v>
      </c>
      <c r="AO298" s="7" t="s">
        <v>8648</v>
      </c>
      <c r="AP298" s="3"/>
      <c r="AQ298" s="3"/>
      <c r="AR298" s="7" t="s">
        <v>8649</v>
      </c>
      <c r="AS298" s="7" t="s">
        <v>8650</v>
      </c>
      <c r="AT298" s="3"/>
      <c r="AU298" s="7" t="s">
        <v>8651</v>
      </c>
      <c r="AV298" s="3"/>
      <c r="AW298" s="3"/>
    </row>
    <row r="299" spans="1:49" ht="12.5" x14ac:dyDescent="0.25">
      <c r="A299" s="3" t="s">
        <v>46</v>
      </c>
      <c r="B299" s="21" t="str">
        <f>HYPERLINK("https://gerandofalcoes.my.salesforce.com/0014X00002VKCvE", "0014X00002VKCvE")</f>
        <v>0014X00002VKCvE</v>
      </c>
      <c r="C299" s="7" t="str">
        <f>HYPERLINK("https://gerandofalcoes.my.salesforce.com/0014X00002VKCvEQAX", "0014X00002VKCvEQAX")</f>
        <v>0014X00002VKCvEQAX</v>
      </c>
      <c r="D299" s="3" t="s">
        <v>8652</v>
      </c>
      <c r="E299" s="3" t="s">
        <v>8653</v>
      </c>
      <c r="F299" s="3"/>
      <c r="G299" s="6">
        <v>44763</v>
      </c>
      <c r="H299" s="3">
        <v>33</v>
      </c>
      <c r="I299" s="3" t="s">
        <v>8654</v>
      </c>
      <c r="J299" s="3" t="s">
        <v>8655</v>
      </c>
      <c r="K299" s="3"/>
      <c r="L299" s="3" t="s">
        <v>101</v>
      </c>
      <c r="M299" s="3" t="s">
        <v>8656</v>
      </c>
      <c r="N299" s="3" t="s">
        <v>8657</v>
      </c>
      <c r="O299" s="3">
        <v>126</v>
      </c>
      <c r="P299" s="3" t="s">
        <v>128</v>
      </c>
      <c r="Q299" s="3"/>
      <c r="R299" s="3">
        <v>3978130</v>
      </c>
      <c r="S299" s="3"/>
      <c r="T299" s="3"/>
      <c r="U299" s="3"/>
      <c r="V299" s="3"/>
      <c r="W299" s="3">
        <v>11</v>
      </c>
      <c r="X299" s="3" t="s">
        <v>8658</v>
      </c>
      <c r="Y299" s="3"/>
      <c r="Z299" s="3"/>
      <c r="AA299" s="3">
        <v>5000</v>
      </c>
      <c r="AB299" s="6">
        <v>40912</v>
      </c>
      <c r="AC299" s="3" t="s">
        <v>62</v>
      </c>
      <c r="AD299" s="3"/>
      <c r="AE299" s="3">
        <v>16</v>
      </c>
      <c r="AF299" s="3">
        <v>2</v>
      </c>
      <c r="AG299" s="3"/>
      <c r="AH299" s="3" t="s">
        <v>8659</v>
      </c>
      <c r="AI299" s="3">
        <v>10</v>
      </c>
      <c r="AJ299" s="3" t="s">
        <v>62</v>
      </c>
      <c r="AK299" s="3"/>
      <c r="AL299" s="3"/>
      <c r="AM299" s="3"/>
      <c r="AN299" s="3"/>
      <c r="AO299" s="3"/>
      <c r="AP299" s="3"/>
      <c r="AQ299" s="3"/>
      <c r="AR299" s="3"/>
      <c r="AS299" s="3"/>
      <c r="AT299" s="3"/>
      <c r="AU299" s="3"/>
      <c r="AV299" s="3"/>
      <c r="AW299" s="3"/>
    </row>
    <row r="300" spans="1:49" ht="12.5" x14ac:dyDescent="0.25">
      <c r="A300" s="3" t="s">
        <v>46</v>
      </c>
      <c r="B300" s="21" t="str">
        <f>HYPERLINK("https://gerandofalcoes.my.salesforce.com/0014X00002VKCou", "0014X00002VKCou")</f>
        <v>0014X00002VKCou</v>
      </c>
      <c r="C300" s="7" t="str">
        <f>HYPERLINK("https://gerandofalcoes.my.salesforce.com/0014X00002VKCouQAH", "0014X00002VKCouQAH")</f>
        <v>0014X00002VKCouQAH</v>
      </c>
      <c r="D300" s="3" t="s">
        <v>8660</v>
      </c>
      <c r="E300" s="3" t="s">
        <v>8661</v>
      </c>
      <c r="F300" s="3" t="s">
        <v>8662</v>
      </c>
      <c r="G300" s="6">
        <v>44763</v>
      </c>
      <c r="H300" s="3">
        <v>33</v>
      </c>
      <c r="I300" s="3" t="s">
        <v>8663</v>
      </c>
      <c r="J300" s="3" t="s">
        <v>8664</v>
      </c>
      <c r="K300" s="3" t="s">
        <v>8665</v>
      </c>
      <c r="L300" s="3" t="s">
        <v>1002</v>
      </c>
      <c r="M300" s="3" t="s">
        <v>8666</v>
      </c>
      <c r="N300" s="3" t="s">
        <v>8667</v>
      </c>
      <c r="O300" s="3" t="s">
        <v>8668</v>
      </c>
      <c r="P300" s="3" t="s">
        <v>1848</v>
      </c>
      <c r="Q300" s="3"/>
      <c r="R300" s="3" t="s">
        <v>8669</v>
      </c>
      <c r="S300" s="3"/>
      <c r="T300" s="3"/>
      <c r="U300" s="3" t="s">
        <v>7849</v>
      </c>
      <c r="V300" s="3" t="s">
        <v>6145</v>
      </c>
      <c r="W300" s="3">
        <v>0</v>
      </c>
      <c r="X300" s="3" t="s">
        <v>8670</v>
      </c>
      <c r="Y300" s="3"/>
      <c r="Z300" s="3"/>
      <c r="AA300" s="3">
        <v>0</v>
      </c>
      <c r="AB300" s="6">
        <v>43985</v>
      </c>
      <c r="AC300" s="3" t="s">
        <v>120</v>
      </c>
      <c r="AD300" s="3">
        <v>0</v>
      </c>
      <c r="AE300" s="3">
        <v>0</v>
      </c>
      <c r="AF300" s="3">
        <v>2</v>
      </c>
      <c r="AG300" s="3" t="s">
        <v>3859</v>
      </c>
      <c r="AH300" s="3">
        <v>0</v>
      </c>
      <c r="AI300" s="3">
        <v>11000</v>
      </c>
      <c r="AJ300" s="3" t="s">
        <v>120</v>
      </c>
      <c r="AK300" s="3"/>
      <c r="AL300" s="3"/>
      <c r="AM300" s="3"/>
      <c r="AN300" s="3"/>
      <c r="AO300" s="3"/>
      <c r="AP300" s="3"/>
      <c r="AQ300" s="3"/>
      <c r="AR300" s="3"/>
      <c r="AS300" s="3"/>
      <c r="AT300" s="3"/>
      <c r="AU300" s="3"/>
      <c r="AV300" s="3"/>
      <c r="AW300" s="3"/>
    </row>
    <row r="301" spans="1:49" ht="12.5" x14ac:dyDescent="0.25">
      <c r="A301" s="3" t="s">
        <v>46</v>
      </c>
      <c r="B301" s="21" t="str">
        <f>HYPERLINK("https://gerandofalcoes.my.salesforce.com/0014X00002VKCow", "0014X00002VKCow")</f>
        <v>0014X00002VKCow</v>
      </c>
      <c r="C301" s="7" t="str">
        <f>HYPERLINK("https://gerandofalcoes.my.salesforce.com/0014X00002VKCowQAH", "0014X00002VKCowQAH")</f>
        <v>0014X00002VKCowQAH</v>
      </c>
      <c r="D301" s="3" t="s">
        <v>8671</v>
      </c>
      <c r="E301" s="3" t="s">
        <v>8672</v>
      </c>
      <c r="F301" s="3" t="s">
        <v>8673</v>
      </c>
      <c r="G301" s="6"/>
      <c r="H301" s="3"/>
      <c r="I301" s="3" t="s">
        <v>8674</v>
      </c>
      <c r="J301" s="3"/>
      <c r="K301" s="3"/>
      <c r="L301" s="3" t="s">
        <v>379</v>
      </c>
      <c r="M301" s="3" t="s">
        <v>8675</v>
      </c>
      <c r="N301" s="3" t="s">
        <v>647</v>
      </c>
      <c r="O301" s="3">
        <v>74</v>
      </c>
      <c r="P301" s="3" t="s">
        <v>8676</v>
      </c>
      <c r="Q301" s="3"/>
      <c r="R301" s="3" t="s">
        <v>8677</v>
      </c>
      <c r="S301" s="3"/>
      <c r="T301" s="3"/>
      <c r="U301" s="3"/>
      <c r="V301" s="3"/>
      <c r="W301" s="3">
        <v>10</v>
      </c>
      <c r="X301" s="3" t="s">
        <v>8678</v>
      </c>
      <c r="Y301" s="3" t="s">
        <v>8679</v>
      </c>
      <c r="Z301" s="3"/>
      <c r="AA301" s="3">
        <v>300</v>
      </c>
      <c r="AB301" s="6">
        <v>37115</v>
      </c>
      <c r="AC301" s="3" t="s">
        <v>62</v>
      </c>
      <c r="AD301" s="3"/>
      <c r="AE301" s="3">
        <v>5</v>
      </c>
      <c r="AF301" s="3">
        <v>0</v>
      </c>
      <c r="AG301" s="3"/>
      <c r="AH301" s="3"/>
      <c r="AI301" s="3"/>
      <c r="AJ301" s="3"/>
      <c r="AK301" s="3"/>
      <c r="AL301" s="3"/>
      <c r="AM301" s="7" t="s">
        <v>8680</v>
      </c>
      <c r="AN301" s="7" t="s">
        <v>8681</v>
      </c>
      <c r="AO301" s="3"/>
      <c r="AP301" s="3"/>
      <c r="AQ301" s="3"/>
      <c r="AR301" s="3"/>
      <c r="AS301" s="3"/>
      <c r="AT301" s="3"/>
      <c r="AU301" s="3"/>
      <c r="AV301" s="3"/>
      <c r="AW301" s="3"/>
    </row>
    <row r="302" spans="1:49" ht="12.5" x14ac:dyDescent="0.25">
      <c r="A302" s="3" t="s">
        <v>46</v>
      </c>
      <c r="B302" s="21" t="str">
        <f>HYPERLINK("https://gerandofalcoes.my.salesforce.com/0014X00002VKCox", "0014X00002VKCox")</f>
        <v>0014X00002VKCox</v>
      </c>
      <c r="C302" s="7" t="str">
        <f>HYPERLINK("https://gerandofalcoes.my.salesforce.com/0014X00002VKCoxQAH", "0014X00002VKCoxQAH")</f>
        <v>0014X00002VKCoxQAH</v>
      </c>
      <c r="D302" s="3" t="s">
        <v>8682</v>
      </c>
      <c r="E302" s="3" t="s">
        <v>8683</v>
      </c>
      <c r="F302" s="3" t="s">
        <v>8684</v>
      </c>
      <c r="G302" s="6">
        <v>44763</v>
      </c>
      <c r="H302" s="3">
        <v>33</v>
      </c>
      <c r="I302" s="3" t="s">
        <v>8685</v>
      </c>
      <c r="J302" s="3" t="s">
        <v>8686</v>
      </c>
      <c r="K302" s="3">
        <v>8738610620</v>
      </c>
      <c r="L302" s="3" t="s">
        <v>379</v>
      </c>
      <c r="M302" s="3" t="s">
        <v>8687</v>
      </c>
      <c r="N302" s="3" t="s">
        <v>647</v>
      </c>
      <c r="O302" s="3">
        <v>53</v>
      </c>
      <c r="P302" s="3" t="s">
        <v>8688</v>
      </c>
      <c r="Q302" s="3" t="s">
        <v>1539</v>
      </c>
      <c r="R302" s="3" t="s">
        <v>8689</v>
      </c>
      <c r="S302" s="3"/>
      <c r="T302" s="3"/>
      <c r="U302" s="3"/>
      <c r="V302" s="3"/>
      <c r="W302" s="3">
        <v>2</v>
      </c>
      <c r="X302" s="3" t="s">
        <v>8690</v>
      </c>
      <c r="Y302" s="3" t="s">
        <v>8691</v>
      </c>
      <c r="Z302" s="3"/>
      <c r="AA302" s="3">
        <v>1</v>
      </c>
      <c r="AB302" s="6">
        <v>38481</v>
      </c>
      <c r="AC302" s="3" t="s">
        <v>62</v>
      </c>
      <c r="AD302" s="3">
        <v>6</v>
      </c>
      <c r="AE302" s="3">
        <v>30</v>
      </c>
      <c r="AF302" s="3">
        <v>2</v>
      </c>
      <c r="AG302" s="3"/>
      <c r="AH302" s="3" t="s">
        <v>8692</v>
      </c>
      <c r="AI302" s="3"/>
      <c r="AJ302" s="3" t="s">
        <v>120</v>
      </c>
      <c r="AK302" s="3"/>
      <c r="AL302" s="7" t="s">
        <v>8693</v>
      </c>
      <c r="AM302" s="3"/>
      <c r="AN302" s="3"/>
      <c r="AO302" s="3"/>
      <c r="AP302" s="3"/>
      <c r="AQ302" s="7" t="s">
        <v>8694</v>
      </c>
      <c r="AR302" s="7" t="s">
        <v>8695</v>
      </c>
      <c r="AS302" s="7" t="s">
        <v>8696</v>
      </c>
      <c r="AT302" s="7" t="s">
        <v>8697</v>
      </c>
      <c r="AU302" s="7" t="s">
        <v>8698</v>
      </c>
      <c r="AV302" s="3"/>
      <c r="AW302" s="3"/>
    </row>
    <row r="303" spans="1:49" ht="12.5" x14ac:dyDescent="0.25">
      <c r="A303" s="3" t="s">
        <v>46</v>
      </c>
      <c r="B303" s="21" t="str">
        <f>HYPERLINK("https://gerandofalcoes.my.salesforce.com/0014X00002VKCoy", "0014X00002VKCoy")</f>
        <v>0014X00002VKCoy</v>
      </c>
      <c r="C303" s="7" t="str">
        <f>HYPERLINK("https://gerandofalcoes.my.salesforce.com/0014X00002VKCoyQAH", "0014X00002VKCoyQAH")</f>
        <v>0014X00002VKCoyQAH</v>
      </c>
      <c r="D303" s="3" t="s">
        <v>8699</v>
      </c>
      <c r="E303" s="3" t="s">
        <v>8700</v>
      </c>
      <c r="F303" s="3" t="s">
        <v>8701</v>
      </c>
      <c r="G303" s="6">
        <v>44763</v>
      </c>
      <c r="H303" s="3">
        <v>33</v>
      </c>
      <c r="I303" s="3" t="s">
        <v>8702</v>
      </c>
      <c r="J303" s="3" t="s">
        <v>8703</v>
      </c>
      <c r="K303" s="3" t="s">
        <v>8704</v>
      </c>
      <c r="L303" s="3" t="s">
        <v>1002</v>
      </c>
      <c r="M303" s="3" t="s">
        <v>8705</v>
      </c>
      <c r="N303" s="3" t="s">
        <v>4026</v>
      </c>
      <c r="O303" s="3">
        <v>16</v>
      </c>
      <c r="P303" s="3" t="s">
        <v>8706</v>
      </c>
      <c r="Q303" s="3" t="s">
        <v>673</v>
      </c>
      <c r="R303" s="3" t="s">
        <v>8707</v>
      </c>
      <c r="S303" s="3" t="s">
        <v>8708</v>
      </c>
      <c r="T303" s="3"/>
      <c r="U303" s="3" t="s">
        <v>3913</v>
      </c>
      <c r="V303" s="3" t="s">
        <v>4960</v>
      </c>
      <c r="W303" s="3">
        <v>3</v>
      </c>
      <c r="X303" s="3" t="s">
        <v>8709</v>
      </c>
      <c r="Y303" s="3" t="s">
        <v>7086</v>
      </c>
      <c r="Z303" s="3"/>
      <c r="AA303" s="3">
        <v>224</v>
      </c>
      <c r="AB303" s="6">
        <v>37995</v>
      </c>
      <c r="AC303" s="3" t="s">
        <v>62</v>
      </c>
      <c r="AD303" s="3">
        <v>1</v>
      </c>
      <c r="AE303" s="3">
        <v>12</v>
      </c>
      <c r="AF303" s="3">
        <v>3</v>
      </c>
      <c r="AG303" s="3" t="s">
        <v>3893</v>
      </c>
      <c r="AH303" s="3" t="s">
        <v>8710</v>
      </c>
      <c r="AI303" s="3">
        <v>36000</v>
      </c>
      <c r="AJ303" s="3" t="s">
        <v>61</v>
      </c>
      <c r="AK303" s="3"/>
      <c r="AL303" s="3"/>
      <c r="AM303" s="7" t="s">
        <v>8711</v>
      </c>
      <c r="AN303" s="3"/>
      <c r="AO303" s="3"/>
      <c r="AP303" s="3"/>
      <c r="AQ303" s="7" t="s">
        <v>8712</v>
      </c>
      <c r="AR303" s="3"/>
      <c r="AS303" s="7" t="s">
        <v>8713</v>
      </c>
      <c r="AT303" s="3"/>
      <c r="AU303" s="7" t="s">
        <v>8714</v>
      </c>
      <c r="AV303" s="3"/>
      <c r="AW303" s="3"/>
    </row>
    <row r="304" spans="1:49" ht="12.5" x14ac:dyDescent="0.25">
      <c r="A304" s="3" t="s">
        <v>46</v>
      </c>
      <c r="B304" s="21" t="str">
        <f>HYPERLINK("https://gerandofalcoes.my.salesforce.com/0014X00002VKCp1", "0014X00002VKCp1")</f>
        <v>0014X00002VKCp1</v>
      </c>
      <c r="C304" s="7" t="str">
        <f>HYPERLINK("https://gerandofalcoes.my.salesforce.com/0014X00002VKCp1QAH", "0014X00002VKCp1QAH")</f>
        <v>0014X00002VKCp1QAH</v>
      </c>
      <c r="D304" s="3" t="s">
        <v>8715</v>
      </c>
      <c r="E304" s="3" t="s">
        <v>8716</v>
      </c>
      <c r="F304" s="3" t="s">
        <v>8717</v>
      </c>
      <c r="G304" s="6">
        <v>44763</v>
      </c>
      <c r="H304" s="3">
        <v>33</v>
      </c>
      <c r="I304" s="3" t="s">
        <v>8718</v>
      </c>
      <c r="J304" s="3" t="s">
        <v>8719</v>
      </c>
      <c r="K304" s="3" t="s">
        <v>8720</v>
      </c>
      <c r="L304" s="3" t="s">
        <v>51</v>
      </c>
      <c r="M304" s="3" t="s">
        <v>8721</v>
      </c>
      <c r="N304" s="3" t="s">
        <v>8722</v>
      </c>
      <c r="O304" s="3">
        <v>5550</v>
      </c>
      <c r="P304" s="3" t="s">
        <v>231</v>
      </c>
      <c r="Q304" s="3" t="s">
        <v>2316</v>
      </c>
      <c r="R304" s="3" t="s">
        <v>8723</v>
      </c>
      <c r="S304" s="3" t="s">
        <v>120</v>
      </c>
      <c r="T304" s="3"/>
      <c r="U304" s="3" t="s">
        <v>4062</v>
      </c>
      <c r="V304" s="3" t="s">
        <v>3800</v>
      </c>
      <c r="W304" s="3">
        <v>8</v>
      </c>
      <c r="X304" s="3" t="s">
        <v>8724</v>
      </c>
      <c r="Y304" s="3"/>
      <c r="Z304" s="3"/>
      <c r="AA304" s="3">
        <v>520</v>
      </c>
      <c r="AB304" s="8">
        <v>41563</v>
      </c>
      <c r="AC304" s="3" t="s">
        <v>62</v>
      </c>
      <c r="AD304" s="3">
        <v>5</v>
      </c>
      <c r="AE304" s="3">
        <v>8</v>
      </c>
      <c r="AF304" s="3">
        <v>9</v>
      </c>
      <c r="AG304" s="3" t="s">
        <v>8725</v>
      </c>
      <c r="AH304" s="3" t="s">
        <v>8726</v>
      </c>
      <c r="AI304" s="3">
        <v>12000</v>
      </c>
      <c r="AJ304" s="3" t="s">
        <v>120</v>
      </c>
      <c r="AK304" s="3"/>
      <c r="AL304" s="7" t="s">
        <v>8727</v>
      </c>
      <c r="AM304" s="7" t="s">
        <v>8728</v>
      </c>
      <c r="AN304" s="3"/>
      <c r="AO304" s="7" t="s">
        <v>8729</v>
      </c>
      <c r="AP304" s="3"/>
      <c r="AQ304" s="3"/>
      <c r="AR304" s="7" t="s">
        <v>8730</v>
      </c>
      <c r="AS304" s="7" t="s">
        <v>8731</v>
      </c>
      <c r="AT304" s="7" t="s">
        <v>8732</v>
      </c>
      <c r="AU304" s="7" t="s">
        <v>8733</v>
      </c>
      <c r="AV304" s="3"/>
      <c r="AW304" s="3"/>
    </row>
    <row r="305" spans="1:49" ht="12.5" x14ac:dyDescent="0.25">
      <c r="A305" s="3" t="s">
        <v>46</v>
      </c>
      <c r="B305" s="21" t="str">
        <f>HYPERLINK("https://gerandofalcoes.my.salesforce.com/0014X00002VKCp2", "0014X00002VKCp2")</f>
        <v>0014X00002VKCp2</v>
      </c>
      <c r="C305" s="7" t="str">
        <f>HYPERLINK("https://gerandofalcoes.my.salesforce.com/0014X00002VKCp2QAH", "0014X00002VKCp2QAH")</f>
        <v>0014X00002VKCp2QAH</v>
      </c>
      <c r="D305" s="3" t="s">
        <v>8734</v>
      </c>
      <c r="E305" s="3" t="s">
        <v>8735</v>
      </c>
      <c r="F305" s="3"/>
      <c r="G305" s="6">
        <v>44763</v>
      </c>
      <c r="H305" s="3">
        <v>33</v>
      </c>
      <c r="I305" s="3" t="s">
        <v>8736</v>
      </c>
      <c r="J305" s="3"/>
      <c r="K305" s="3" t="s">
        <v>8737</v>
      </c>
      <c r="L305" s="3" t="s">
        <v>1002</v>
      </c>
      <c r="M305" s="3" t="s">
        <v>8738</v>
      </c>
      <c r="N305" s="3" t="s">
        <v>4041</v>
      </c>
      <c r="O305" s="3">
        <v>148</v>
      </c>
      <c r="P305" s="3" t="s">
        <v>1848</v>
      </c>
      <c r="Q305" s="3"/>
      <c r="R305" s="3" t="s">
        <v>8739</v>
      </c>
      <c r="S305" s="3"/>
      <c r="T305" s="3"/>
      <c r="U305" s="3"/>
      <c r="V305" s="3"/>
      <c r="W305" s="3">
        <v>3</v>
      </c>
      <c r="X305" s="3" t="s">
        <v>8740</v>
      </c>
      <c r="Y305" s="3" t="s">
        <v>8741</v>
      </c>
      <c r="Z305" s="3"/>
      <c r="AA305" s="3">
        <v>180</v>
      </c>
      <c r="AB305" s="6">
        <v>36497</v>
      </c>
      <c r="AC305" s="3" t="s">
        <v>62</v>
      </c>
      <c r="AD305" s="3">
        <v>10</v>
      </c>
      <c r="AE305" s="3">
        <v>0</v>
      </c>
      <c r="AF305" s="3">
        <v>3</v>
      </c>
      <c r="AG305" s="3"/>
      <c r="AH305" s="3"/>
      <c r="AI305" s="3"/>
      <c r="AJ305" s="3"/>
      <c r="AK305" s="3"/>
      <c r="AL305" s="3"/>
      <c r="AM305" s="3"/>
      <c r="AN305" s="3"/>
      <c r="AO305" s="3"/>
      <c r="AP305" s="3"/>
      <c r="AQ305" s="3"/>
      <c r="AR305" s="3"/>
      <c r="AS305" s="3"/>
      <c r="AT305" s="3"/>
      <c r="AU305" s="3"/>
      <c r="AV305" s="3"/>
      <c r="AW305" s="3"/>
    </row>
    <row r="306" spans="1:49" ht="12.5" x14ac:dyDescent="0.25">
      <c r="A306" s="3" t="s">
        <v>46</v>
      </c>
      <c r="B306" s="21" t="str">
        <f>HYPERLINK("https://gerandofalcoes.my.salesforce.com/0014X00002VKCp3", "0014X00002VKCp3")</f>
        <v>0014X00002VKCp3</v>
      </c>
      <c r="C306" s="21" t="str">
        <f>HYPERLINK("https://gerandofalcoes.my.salesforce.com/0014X00002VKCp3QAH", "0014X00002VKCp3QAH")</f>
        <v>0014X00002VKCp3QAH</v>
      </c>
      <c r="D306" s="3" t="s">
        <v>8742</v>
      </c>
      <c r="E306" s="3" t="s">
        <v>8743</v>
      </c>
      <c r="F306" s="3" t="s">
        <v>8744</v>
      </c>
      <c r="G306" s="6">
        <v>44763</v>
      </c>
      <c r="H306" s="3">
        <v>33</v>
      </c>
      <c r="I306" s="3" t="s">
        <v>8745</v>
      </c>
      <c r="J306" s="3" t="s">
        <v>8746</v>
      </c>
      <c r="K306" s="3" t="s">
        <v>8747</v>
      </c>
      <c r="L306" s="3" t="s">
        <v>1002</v>
      </c>
      <c r="M306" s="3" t="s">
        <v>8748</v>
      </c>
      <c r="N306" s="3" t="s">
        <v>8749</v>
      </c>
      <c r="O306" s="3" t="s">
        <v>8750</v>
      </c>
      <c r="P306" s="3" t="s">
        <v>1848</v>
      </c>
      <c r="Q306" s="3" t="s">
        <v>8751</v>
      </c>
      <c r="R306" s="3" t="s">
        <v>8752</v>
      </c>
      <c r="S306" s="3"/>
      <c r="T306" s="3"/>
      <c r="U306" s="3" t="s">
        <v>3872</v>
      </c>
      <c r="V306" s="3" t="s">
        <v>8753</v>
      </c>
      <c r="W306" s="3">
        <v>7</v>
      </c>
      <c r="X306" s="3" t="s">
        <v>8754</v>
      </c>
      <c r="Y306" s="3"/>
      <c r="Z306" s="3"/>
      <c r="AA306" s="3">
        <v>1000</v>
      </c>
      <c r="AB306" s="6">
        <v>43230</v>
      </c>
      <c r="AC306" s="3" t="s">
        <v>62</v>
      </c>
      <c r="AD306" s="3">
        <v>0</v>
      </c>
      <c r="AE306" s="3">
        <v>10</v>
      </c>
      <c r="AF306" s="3">
        <v>3</v>
      </c>
      <c r="AG306" s="3" t="s">
        <v>4301</v>
      </c>
      <c r="AH306" s="3" t="s">
        <v>8755</v>
      </c>
      <c r="AI306" s="3"/>
      <c r="AJ306" s="3" t="s">
        <v>62</v>
      </c>
      <c r="AK306" s="3"/>
      <c r="AL306" s="3"/>
      <c r="AM306" s="7" t="s">
        <v>8756</v>
      </c>
      <c r="AN306" s="3"/>
      <c r="AO306" s="3"/>
      <c r="AP306" s="3"/>
      <c r="AQ306" s="7" t="s">
        <v>8757</v>
      </c>
      <c r="AR306" s="7" t="s">
        <v>8758</v>
      </c>
      <c r="AS306" s="7" t="s">
        <v>8759</v>
      </c>
      <c r="AT306" s="3"/>
      <c r="AU306" s="7" t="s">
        <v>8760</v>
      </c>
      <c r="AV306" s="3"/>
      <c r="AW306" s="3"/>
    </row>
    <row r="307" spans="1:49" ht="12.5" x14ac:dyDescent="0.25">
      <c r="A307" s="3" t="s">
        <v>46</v>
      </c>
      <c r="B307" s="21" t="str">
        <f>HYPERLINK("https://gerandofalcoes.my.salesforce.com/0014X00002VKCp4", "0014X00002VKCp4")</f>
        <v>0014X00002VKCp4</v>
      </c>
      <c r="C307" s="21" t="str">
        <f>HYPERLINK("https://gerandofalcoes.my.salesforce.com/0014X00002VKCp4QAH", "0014X00002VKCp4QAH")</f>
        <v>0014X00002VKCp4QAH</v>
      </c>
      <c r="D307" s="3" t="s">
        <v>8761</v>
      </c>
      <c r="E307" s="3" t="s">
        <v>8762</v>
      </c>
      <c r="F307" s="3"/>
      <c r="G307" s="6">
        <v>44763</v>
      </c>
      <c r="H307" s="3">
        <v>33</v>
      </c>
      <c r="I307" s="3" t="s">
        <v>8763</v>
      </c>
      <c r="J307" s="3" t="s">
        <v>8764</v>
      </c>
      <c r="K307" s="3" t="s">
        <v>8765</v>
      </c>
      <c r="L307" s="3" t="s">
        <v>1002</v>
      </c>
      <c r="M307" s="3" t="s">
        <v>2173</v>
      </c>
      <c r="N307" s="3" t="s">
        <v>8766</v>
      </c>
      <c r="O307" s="3">
        <v>253</v>
      </c>
      <c r="P307" s="3" t="s">
        <v>8767</v>
      </c>
      <c r="Q307" s="3"/>
      <c r="R307" s="3" t="s">
        <v>8768</v>
      </c>
      <c r="S307" s="3" t="s">
        <v>8769</v>
      </c>
      <c r="T307" s="3"/>
      <c r="U307" s="3" t="s">
        <v>3913</v>
      </c>
      <c r="V307" s="3" t="s">
        <v>3800</v>
      </c>
      <c r="W307" s="3">
        <v>2</v>
      </c>
      <c r="X307" s="3" t="s">
        <v>8770</v>
      </c>
      <c r="Y307" s="3" t="s">
        <v>8771</v>
      </c>
      <c r="Z307" s="3"/>
      <c r="AA307" s="3">
        <v>120</v>
      </c>
      <c r="AB307" s="6">
        <v>41194</v>
      </c>
      <c r="AC307" s="3" t="s">
        <v>120</v>
      </c>
      <c r="AD307" s="3">
        <v>0</v>
      </c>
      <c r="AE307" s="3">
        <v>10</v>
      </c>
      <c r="AF307" s="3">
        <v>2</v>
      </c>
      <c r="AG307" s="3" t="s">
        <v>5221</v>
      </c>
      <c r="AH307" s="3" t="s">
        <v>8772</v>
      </c>
      <c r="AI307" s="3">
        <v>0</v>
      </c>
      <c r="AJ307" s="3" t="s">
        <v>61</v>
      </c>
      <c r="AK307" s="3"/>
      <c r="AL307" s="3"/>
      <c r="AM307" s="7" t="s">
        <v>8773</v>
      </c>
      <c r="AN307" s="7" t="s">
        <v>8774</v>
      </c>
      <c r="AO307" s="7" t="s">
        <v>8775</v>
      </c>
      <c r="AP307" s="3"/>
      <c r="AQ307" s="3"/>
      <c r="AR307" s="3"/>
      <c r="AS307" s="3"/>
      <c r="AT307" s="3"/>
      <c r="AU307" s="7" t="s">
        <v>8776</v>
      </c>
      <c r="AV307" s="3"/>
      <c r="AW307" s="3"/>
    </row>
    <row r="308" spans="1:49" ht="12.5" x14ac:dyDescent="0.25">
      <c r="A308" s="3" t="s">
        <v>46</v>
      </c>
      <c r="B308" s="21" t="str">
        <f>HYPERLINK("https://gerandofalcoes.my.salesforce.com/0014X00002VKCp5", "0014X00002VKCp5")</f>
        <v>0014X00002VKCp5</v>
      </c>
      <c r="C308" s="21" t="str">
        <f>HYPERLINK("https://gerandofalcoes.my.salesforce.com/0014X00002VKCp5QAH", "0014X00002VKCp5QAH")</f>
        <v>0014X00002VKCp5QAH</v>
      </c>
      <c r="D308" s="3" t="s">
        <v>8777</v>
      </c>
      <c r="E308" s="3" t="s">
        <v>8778</v>
      </c>
      <c r="F308" s="3"/>
      <c r="G308" s="6">
        <v>44763</v>
      </c>
      <c r="H308" s="3">
        <v>33</v>
      </c>
      <c r="I308" s="3" t="s">
        <v>8779</v>
      </c>
      <c r="J308" s="3" t="s">
        <v>8780</v>
      </c>
      <c r="K308" s="3" t="s">
        <v>8781</v>
      </c>
      <c r="L308" s="3" t="s">
        <v>1002</v>
      </c>
      <c r="M308" s="3" t="s">
        <v>8782</v>
      </c>
      <c r="N308" s="3" t="s">
        <v>8783</v>
      </c>
      <c r="O308" s="3" t="s">
        <v>8784</v>
      </c>
      <c r="P308" s="3" t="s">
        <v>1848</v>
      </c>
      <c r="Q308" s="3" t="s">
        <v>8785</v>
      </c>
      <c r="R308" s="3" t="s">
        <v>8786</v>
      </c>
      <c r="S308" s="3" t="s">
        <v>8787</v>
      </c>
      <c r="T308" s="3"/>
      <c r="U308" s="3" t="s">
        <v>3872</v>
      </c>
      <c r="V308" s="3" t="s">
        <v>8788</v>
      </c>
      <c r="W308" s="3">
        <v>39</v>
      </c>
      <c r="X308" s="3" t="s">
        <v>8789</v>
      </c>
      <c r="Y308" s="3" t="s">
        <v>8790</v>
      </c>
      <c r="Z308" s="3"/>
      <c r="AA308" s="3">
        <v>15</v>
      </c>
      <c r="AB308" s="6">
        <v>41443</v>
      </c>
      <c r="AC308" s="3" t="s">
        <v>62</v>
      </c>
      <c r="AD308" s="3">
        <v>0</v>
      </c>
      <c r="AE308" s="3">
        <v>27</v>
      </c>
      <c r="AF308" s="3">
        <v>8</v>
      </c>
      <c r="AG308" s="3" t="s">
        <v>8791</v>
      </c>
      <c r="AH308" s="3" t="s">
        <v>8792</v>
      </c>
      <c r="AI308" s="3">
        <v>52000</v>
      </c>
      <c r="AJ308" s="3" t="s">
        <v>62</v>
      </c>
      <c r="AK308" s="3"/>
      <c r="AL308" s="7" t="s">
        <v>8793</v>
      </c>
      <c r="AM308" s="7" t="s">
        <v>8794</v>
      </c>
      <c r="AN308" s="7" t="s">
        <v>8795</v>
      </c>
      <c r="AO308" s="7" t="s">
        <v>8796</v>
      </c>
      <c r="AP308" s="3"/>
      <c r="AQ308" s="7" t="s">
        <v>8797</v>
      </c>
      <c r="AR308" s="3"/>
      <c r="AS308" s="3"/>
      <c r="AT308" s="3"/>
      <c r="AU308" s="7" t="s">
        <v>8798</v>
      </c>
      <c r="AV308" s="3"/>
      <c r="AW308" s="3"/>
    </row>
    <row r="309" spans="1:49" ht="12.5" x14ac:dyDescent="0.25">
      <c r="A309" s="3" t="s">
        <v>46</v>
      </c>
      <c r="B309" s="21" t="str">
        <f>HYPERLINK("https://gerandofalcoes.my.salesforce.com/0014X00002VKCp6", "0014X00002VKCp6")</f>
        <v>0014X00002VKCp6</v>
      </c>
      <c r="C309" s="21" t="str">
        <f>HYPERLINK("https://gerandofalcoes.my.salesforce.com/0014X00002VKCp6QAH", "0014X00002VKCp6QAH")</f>
        <v>0014X00002VKCp6QAH</v>
      </c>
      <c r="D309" s="3" t="s">
        <v>8799</v>
      </c>
      <c r="E309" s="3" t="s">
        <v>8800</v>
      </c>
      <c r="F309" s="3" t="s">
        <v>8801</v>
      </c>
      <c r="G309" s="6">
        <v>44763</v>
      </c>
      <c r="H309" s="3">
        <v>33</v>
      </c>
      <c r="I309" s="3" t="s">
        <v>8802</v>
      </c>
      <c r="J309" s="3" t="s">
        <v>8803</v>
      </c>
      <c r="K309" s="3" t="s">
        <v>8804</v>
      </c>
      <c r="L309" s="3" t="s">
        <v>1002</v>
      </c>
      <c r="M309" s="3" t="s">
        <v>8805</v>
      </c>
      <c r="N309" s="3" t="s">
        <v>8806</v>
      </c>
      <c r="O309" s="3">
        <v>85</v>
      </c>
      <c r="P309" s="3" t="s">
        <v>8807</v>
      </c>
      <c r="Q309" s="3" t="s">
        <v>8808</v>
      </c>
      <c r="R309" s="3" t="s">
        <v>8809</v>
      </c>
      <c r="S309" s="3" t="s">
        <v>8810</v>
      </c>
      <c r="T309" s="3"/>
      <c r="U309" s="3" t="s">
        <v>4877</v>
      </c>
      <c r="V309" s="3" t="s">
        <v>8811</v>
      </c>
      <c r="W309" s="3">
        <v>7</v>
      </c>
      <c r="X309" s="3" t="s">
        <v>8812</v>
      </c>
      <c r="Y309" s="3" t="s">
        <v>8813</v>
      </c>
      <c r="Z309" s="3"/>
      <c r="AA309" s="3">
        <v>630</v>
      </c>
      <c r="AB309" s="6">
        <v>40195</v>
      </c>
      <c r="AC309" s="3" t="s">
        <v>62</v>
      </c>
      <c r="AD309" s="3">
        <v>0</v>
      </c>
      <c r="AE309" s="3">
        <v>2</v>
      </c>
      <c r="AF309" s="3">
        <v>2</v>
      </c>
      <c r="AG309" s="3" t="s">
        <v>7607</v>
      </c>
      <c r="AH309" s="3" t="s">
        <v>8814</v>
      </c>
      <c r="AI309" s="3">
        <v>100000</v>
      </c>
      <c r="AJ309" s="3" t="s">
        <v>120</v>
      </c>
      <c r="AK309" s="3"/>
      <c r="AL309" s="7" t="s">
        <v>8815</v>
      </c>
      <c r="AM309" s="7" t="s">
        <v>8816</v>
      </c>
      <c r="AN309" s="3"/>
      <c r="AO309" s="3"/>
      <c r="AP309" s="3"/>
      <c r="AQ309" s="3"/>
      <c r="AR309" s="7" t="s">
        <v>8817</v>
      </c>
      <c r="AS309" s="7" t="s">
        <v>8818</v>
      </c>
      <c r="AT309" s="3"/>
      <c r="AU309" s="7" t="s">
        <v>8819</v>
      </c>
      <c r="AV309" s="3"/>
      <c r="AW309" s="3"/>
    </row>
    <row r="310" spans="1:49" ht="12.5" x14ac:dyDescent="0.25">
      <c r="A310" s="3" t="s">
        <v>46</v>
      </c>
      <c r="B310" s="21" t="str">
        <f>HYPERLINK("https://gerandofalcoes.my.salesforce.com/0014X00002UGscX", "0014X00002UGscX")</f>
        <v>0014X00002UGscX</v>
      </c>
      <c r="C310" s="21" t="str">
        <f>HYPERLINK("https://gerandofalcoes.my.salesforce.com/0014X00002UGscXQAT", "0014X00002UGscXQAT")</f>
        <v>0014X00002UGscXQAT</v>
      </c>
      <c r="D310" s="3" t="s">
        <v>8820</v>
      </c>
      <c r="E310" s="3" t="s">
        <v>8820</v>
      </c>
      <c r="F310" s="3"/>
      <c r="G310" s="6">
        <v>44645</v>
      </c>
      <c r="H310" s="3">
        <v>151</v>
      </c>
      <c r="I310" s="3" t="s">
        <v>8821</v>
      </c>
      <c r="J310" s="3" t="s">
        <v>8822</v>
      </c>
      <c r="K310" s="3" t="s">
        <v>8823</v>
      </c>
      <c r="L310" s="3" t="s">
        <v>101</v>
      </c>
      <c r="M310" s="3" t="s">
        <v>8824</v>
      </c>
      <c r="N310" s="3" t="s">
        <v>8825</v>
      </c>
      <c r="O310" s="3"/>
      <c r="P310" s="3" t="s">
        <v>8826</v>
      </c>
      <c r="Q310" s="3"/>
      <c r="R310" s="3" t="s">
        <v>8827</v>
      </c>
      <c r="S310" s="3"/>
      <c r="T310" s="3" t="s">
        <v>8828</v>
      </c>
      <c r="U310" s="3" t="s">
        <v>8829</v>
      </c>
      <c r="V310" s="3"/>
      <c r="W310" s="3">
        <v>8</v>
      </c>
      <c r="X310" s="3">
        <v>8</v>
      </c>
      <c r="Y310" s="3"/>
      <c r="Z310" s="3"/>
      <c r="AA310" s="3"/>
      <c r="AB310" s="6"/>
      <c r="AC310" s="3"/>
      <c r="AD310" s="3">
        <v>2</v>
      </c>
      <c r="AE310" s="3">
        <v>7</v>
      </c>
      <c r="AF310" s="3">
        <v>2</v>
      </c>
      <c r="AG310" s="3" t="s">
        <v>8830</v>
      </c>
      <c r="AH310" s="3"/>
      <c r="AI310" s="3">
        <v>1000</v>
      </c>
      <c r="AJ310" s="3"/>
      <c r="AK310" s="3"/>
      <c r="AL310" s="3"/>
      <c r="AM310" s="3"/>
      <c r="AN310" s="3"/>
      <c r="AO310" s="3"/>
      <c r="AP310" s="3"/>
      <c r="AQ310" s="3"/>
      <c r="AR310" s="3"/>
      <c r="AS310" s="3"/>
      <c r="AT310" s="3"/>
      <c r="AU310" s="3"/>
      <c r="AV310" s="3"/>
      <c r="AW310" s="3"/>
    </row>
    <row r="311" spans="1:49" ht="12.5" x14ac:dyDescent="0.25">
      <c r="A311" s="3" t="s">
        <v>46</v>
      </c>
      <c r="B311" s="21" t="str">
        <f>HYPERLINK("https://gerandofalcoes.my.salesforce.com/0014X00002UGqWj", "0014X00002UGqWj")</f>
        <v>0014X00002UGqWj</v>
      </c>
      <c r="C311" s="21" t="str">
        <f>HYPERLINK("https://gerandofalcoes.my.salesforce.com/0014X00002UGqWjQAL", "0014X00002UGqWjQAL")</f>
        <v>0014X00002UGqWjQAL</v>
      </c>
      <c r="D311" s="3" t="s">
        <v>8831</v>
      </c>
      <c r="E311" s="3" t="s">
        <v>8832</v>
      </c>
      <c r="F311" s="3"/>
      <c r="G311" s="6">
        <v>44562</v>
      </c>
      <c r="H311" s="3">
        <v>234</v>
      </c>
      <c r="I311" s="3" t="s">
        <v>8833</v>
      </c>
      <c r="J311" s="3" t="s">
        <v>8834</v>
      </c>
      <c r="K311" s="3" t="s">
        <v>8835</v>
      </c>
      <c r="L311" s="3" t="s">
        <v>84</v>
      </c>
      <c r="M311" s="3" t="s">
        <v>8836</v>
      </c>
      <c r="N311" s="3" t="s">
        <v>8837</v>
      </c>
      <c r="O311" s="3"/>
      <c r="P311" s="3" t="s">
        <v>177</v>
      </c>
      <c r="Q311" s="3"/>
      <c r="R311" s="3" t="s">
        <v>8838</v>
      </c>
      <c r="S311" s="3"/>
      <c r="T311" s="3" t="s">
        <v>8839</v>
      </c>
      <c r="U311" s="3" t="s">
        <v>3817</v>
      </c>
      <c r="V311" s="3" t="s">
        <v>8840</v>
      </c>
      <c r="W311" s="3">
        <v>4</v>
      </c>
      <c r="X311" s="3">
        <v>4</v>
      </c>
      <c r="Y311" s="3"/>
      <c r="Z311" s="3"/>
      <c r="AA311" s="3"/>
      <c r="AB311" s="6">
        <v>44449</v>
      </c>
      <c r="AC311" s="3"/>
      <c r="AD311" s="3">
        <v>0</v>
      </c>
      <c r="AE311" s="3">
        <v>6</v>
      </c>
      <c r="AF311" s="3">
        <v>2</v>
      </c>
      <c r="AG311" s="3" t="s">
        <v>3819</v>
      </c>
      <c r="AH311" s="3" t="s">
        <v>8841</v>
      </c>
      <c r="AI311" s="3">
        <v>2000</v>
      </c>
      <c r="AJ311" s="3"/>
      <c r="AK311" s="3"/>
      <c r="AL311" s="3"/>
      <c r="AM311" s="7" t="s">
        <v>8842</v>
      </c>
      <c r="AN311" s="3"/>
      <c r="AO311" s="3"/>
      <c r="AP311" s="3"/>
      <c r="AQ311" s="3"/>
      <c r="AR311" s="3"/>
      <c r="AS311" s="3"/>
      <c r="AT311" s="3"/>
      <c r="AU311" s="3"/>
      <c r="AV311" s="3"/>
      <c r="AW311" s="3"/>
    </row>
    <row r="312" spans="1:49" ht="12.5" x14ac:dyDescent="0.25">
      <c r="A312" s="3" t="s">
        <v>46</v>
      </c>
      <c r="B312" s="21" t="str">
        <f>HYPERLINK("https://gerandofalcoes.my.salesforce.com/0014X00002QTWXt", "0014X00002QTWXt")</f>
        <v>0014X00002QTWXt</v>
      </c>
      <c r="C312" s="21" t="str">
        <f>HYPERLINK("https://gerandofalcoes.my.salesforce.com/0014X00002QTWXtQAP", "0014X00002QTWXtQAP")</f>
        <v>0014X00002QTWXtQAP</v>
      </c>
      <c r="D312" s="3" t="s">
        <v>8843</v>
      </c>
      <c r="E312" s="3"/>
      <c r="F312" s="3" t="s">
        <v>8844</v>
      </c>
      <c r="G312" s="6">
        <v>44551</v>
      </c>
      <c r="H312" s="3">
        <v>245</v>
      </c>
      <c r="I312" s="3" t="s">
        <v>8845</v>
      </c>
      <c r="J312" s="3" t="s">
        <v>8846</v>
      </c>
      <c r="K312" s="3" t="s">
        <v>8847</v>
      </c>
      <c r="L312" s="3" t="s">
        <v>101</v>
      </c>
      <c r="M312" s="3" t="s">
        <v>8848</v>
      </c>
      <c r="N312" s="3"/>
      <c r="O312" s="3"/>
      <c r="P312" s="3" t="s">
        <v>8849</v>
      </c>
      <c r="Q312" s="3"/>
      <c r="R312" s="3" t="s">
        <v>8850</v>
      </c>
      <c r="S312" s="3"/>
      <c r="T312" s="3" t="s">
        <v>8851</v>
      </c>
      <c r="U312" s="3" t="s">
        <v>8852</v>
      </c>
      <c r="V312" s="3" t="s">
        <v>8853</v>
      </c>
      <c r="W312" s="3">
        <v>0</v>
      </c>
      <c r="X312" s="3"/>
      <c r="Y312" s="3"/>
      <c r="Z312" s="3"/>
      <c r="AA312" s="3"/>
      <c r="AB312" s="6">
        <v>40854</v>
      </c>
      <c r="AC312" s="3"/>
      <c r="AD312" s="3">
        <v>0</v>
      </c>
      <c r="AE312" s="3">
        <v>15</v>
      </c>
      <c r="AF312" s="3">
        <v>6</v>
      </c>
      <c r="AG312" s="3" t="s">
        <v>8854</v>
      </c>
      <c r="AH312" s="3">
        <v>0</v>
      </c>
      <c r="AI312" s="3">
        <v>148600</v>
      </c>
      <c r="AJ312" s="3"/>
      <c r="AK312" s="3"/>
      <c r="AL312" s="7" t="s">
        <v>8855</v>
      </c>
      <c r="AM312" s="7" t="s">
        <v>8856</v>
      </c>
      <c r="AN312" s="3"/>
      <c r="AO312" s="7" t="s">
        <v>8857</v>
      </c>
      <c r="AP312" s="3"/>
      <c r="AQ312" s="3"/>
      <c r="AR312" s="3"/>
      <c r="AS312" s="3"/>
      <c r="AT312" s="3"/>
      <c r="AU312" s="3"/>
      <c r="AV312" s="3"/>
      <c r="AW312" s="3"/>
    </row>
    <row r="313" spans="1:49" ht="12.5" x14ac:dyDescent="0.25">
      <c r="A313" s="3" t="s">
        <v>46</v>
      </c>
      <c r="B313" s="21" t="str">
        <f>HYPERLINK("https://gerandofalcoes.my.salesforce.com/0014X00002QTWZV", "0014X00002QTWZV")</f>
        <v>0014X00002QTWZV</v>
      </c>
      <c r="C313" s="21" t="str">
        <f>HYPERLINK("https://gerandofalcoes.my.salesforce.com/0014X00002QTWZVQA5", "0014X00002QTWZVQA5")</f>
        <v>0014X00002QTWZVQA5</v>
      </c>
      <c r="D313" s="3" t="s">
        <v>8858</v>
      </c>
      <c r="E313" s="3" t="s">
        <v>8858</v>
      </c>
      <c r="F313" s="3"/>
      <c r="G313" s="8">
        <v>44551</v>
      </c>
      <c r="H313" s="3">
        <v>245</v>
      </c>
      <c r="I313" s="3" t="s">
        <v>8859</v>
      </c>
      <c r="J313" s="3" t="s">
        <v>8860</v>
      </c>
      <c r="K313" s="3" t="s">
        <v>8861</v>
      </c>
      <c r="L313" s="3" t="s">
        <v>1002</v>
      </c>
      <c r="M313" s="3" t="s">
        <v>8862</v>
      </c>
      <c r="N313" s="3" t="s">
        <v>8863</v>
      </c>
      <c r="O313" s="3"/>
      <c r="P313" s="3" t="s">
        <v>8864</v>
      </c>
      <c r="Q313" s="3" t="s">
        <v>8865</v>
      </c>
      <c r="R313" s="3" t="s">
        <v>8866</v>
      </c>
      <c r="S313" s="3"/>
      <c r="T313" s="3" t="s">
        <v>8867</v>
      </c>
      <c r="U313" s="3" t="s">
        <v>8868</v>
      </c>
      <c r="V313" s="3" t="s">
        <v>8869</v>
      </c>
      <c r="W313" s="3">
        <v>4</v>
      </c>
      <c r="X313" s="3">
        <v>4</v>
      </c>
      <c r="Y313" s="3"/>
      <c r="AA313" s="3"/>
      <c r="AB313" s="8">
        <v>42364</v>
      </c>
      <c r="AC313" s="3"/>
      <c r="AD313" s="3">
        <v>4</v>
      </c>
      <c r="AE313" s="3">
        <v>5</v>
      </c>
      <c r="AF313" s="3">
        <v>3</v>
      </c>
      <c r="AG313" s="3" t="s">
        <v>3771</v>
      </c>
      <c r="AH313" s="3" t="s">
        <v>8870</v>
      </c>
      <c r="AI313" s="3">
        <v>69000</v>
      </c>
      <c r="AJ313" s="3"/>
      <c r="AK313" s="3"/>
      <c r="AL313" s="3"/>
      <c r="AM313" s="7" t="s">
        <v>8871</v>
      </c>
      <c r="AN313" s="3"/>
      <c r="AO313" s="3"/>
      <c r="AR313" s="3"/>
      <c r="AS313" s="3"/>
      <c r="AT313" s="3"/>
      <c r="AU313" s="3"/>
    </row>
    <row r="314" spans="1:49" ht="12.5" x14ac:dyDescent="0.25">
      <c r="A314" s="3" t="s">
        <v>152</v>
      </c>
      <c r="B314" s="21" t="str">
        <f>HYPERLINK("https://gerandofalcoes.my.salesforce.com/0014X00002QTry4", "0014X00002QTry4")</f>
        <v>0014X00002QTry4</v>
      </c>
      <c r="C314" s="21" t="str">
        <f>HYPERLINK("https://gerandofalcoes.my.salesforce.com/0014X00002QTry4QAD", "0014X00002QTry4QAD")</f>
        <v>0014X00002QTry4QAD</v>
      </c>
      <c r="D314" s="3" t="s">
        <v>8872</v>
      </c>
      <c r="E314" s="3" t="s">
        <v>8872</v>
      </c>
      <c r="F314" s="3" t="s">
        <v>8873</v>
      </c>
      <c r="G314" s="8">
        <v>44551</v>
      </c>
      <c r="H314" s="3">
        <v>245</v>
      </c>
      <c r="I314" s="3" t="s">
        <v>8874</v>
      </c>
      <c r="J314" s="3" t="s">
        <v>8875</v>
      </c>
      <c r="K314" s="3" t="s">
        <v>8876</v>
      </c>
      <c r="L314" s="3" t="s">
        <v>70</v>
      </c>
      <c r="M314" s="3" t="s">
        <v>8877</v>
      </c>
      <c r="N314" s="3"/>
      <c r="O314" s="3"/>
      <c r="P314" s="3" t="s">
        <v>7345</v>
      </c>
      <c r="Q314" s="3"/>
      <c r="R314" s="3" t="s">
        <v>8878</v>
      </c>
      <c r="S314" s="3"/>
      <c r="T314" s="3" t="s">
        <v>8879</v>
      </c>
      <c r="U314" s="3" t="s">
        <v>8880</v>
      </c>
      <c r="V314" s="3" t="s">
        <v>8881</v>
      </c>
      <c r="W314" s="3">
        <v>4</v>
      </c>
      <c r="X314" s="3">
        <v>4</v>
      </c>
      <c r="Y314" s="3"/>
      <c r="AA314" s="3"/>
      <c r="AB314" s="6">
        <v>41854</v>
      </c>
      <c r="AC314" s="3"/>
      <c r="AD314" s="3">
        <v>0</v>
      </c>
      <c r="AE314" s="3">
        <v>20</v>
      </c>
      <c r="AF314" s="3">
        <v>3</v>
      </c>
      <c r="AG314" s="3" t="s">
        <v>8882</v>
      </c>
      <c r="AH314" s="3" t="s">
        <v>8883</v>
      </c>
      <c r="AI314" s="3">
        <v>350</v>
      </c>
      <c r="AJ314" s="3"/>
      <c r="AK314" s="3"/>
      <c r="AL314" s="3"/>
      <c r="AM314" s="3"/>
      <c r="AN314" s="3"/>
      <c r="AO314" s="3"/>
      <c r="AR314" s="3"/>
      <c r="AS314" s="3"/>
      <c r="AT314" s="3"/>
      <c r="AU314" s="3"/>
    </row>
    <row r="315" spans="1:49" ht="12.5" x14ac:dyDescent="0.25">
      <c r="A315" s="3" t="s">
        <v>46</v>
      </c>
      <c r="B315" s="21" t="str">
        <f>HYPERLINK("https://gerandofalcoes.my.salesforce.com/0014X00002PUOTv", "0014X00002PUOTv")</f>
        <v>0014X00002PUOTv</v>
      </c>
      <c r="C315" s="21" t="str">
        <f>HYPERLINK("https://gerandofalcoes.my.salesforce.com/0014X00002PUOTvQAP", "0014X00002PUOTvQAP")</f>
        <v>0014X00002PUOTvQAP</v>
      </c>
      <c r="D315" s="3" t="s">
        <v>80</v>
      </c>
      <c r="E315" s="3" t="s">
        <v>81</v>
      </c>
      <c r="F315" s="3" t="s">
        <v>82</v>
      </c>
      <c r="G315" s="8">
        <v>44487</v>
      </c>
      <c r="H315" s="3">
        <v>309</v>
      </c>
      <c r="I315" s="3" t="s">
        <v>83</v>
      </c>
      <c r="J315" s="3" t="s">
        <v>8884</v>
      </c>
      <c r="K315" s="3">
        <v>31973117450</v>
      </c>
      <c r="L315" s="3" t="s">
        <v>84</v>
      </c>
      <c r="M315" s="3" t="s">
        <v>85</v>
      </c>
      <c r="N315" s="3" t="s">
        <v>86</v>
      </c>
      <c r="O315" s="3"/>
      <c r="P315" s="3" t="s">
        <v>87</v>
      </c>
      <c r="Q315" s="3"/>
      <c r="R315" s="3">
        <v>32681672</v>
      </c>
      <c r="S315" s="3" t="s">
        <v>88</v>
      </c>
      <c r="T315" s="3" t="s">
        <v>8885</v>
      </c>
      <c r="U315" s="3" t="s">
        <v>8886</v>
      </c>
      <c r="V315" s="3"/>
      <c r="W315" s="3">
        <v>3</v>
      </c>
      <c r="X315" s="3"/>
      <c r="Y315" s="3" t="s">
        <v>91</v>
      </c>
      <c r="AA315" s="3"/>
      <c r="AB315" s="8"/>
      <c r="AC315" s="3" t="s">
        <v>62</v>
      </c>
      <c r="AD315" s="3">
        <v>3</v>
      </c>
      <c r="AE315" s="3">
        <v>22</v>
      </c>
      <c r="AF315" s="3">
        <v>1</v>
      </c>
      <c r="AG315" s="3" t="s">
        <v>8887</v>
      </c>
      <c r="AH315" s="3" t="s">
        <v>93</v>
      </c>
      <c r="AI315" s="3">
        <v>150000</v>
      </c>
      <c r="AJ315" s="3" t="s">
        <v>61</v>
      </c>
      <c r="AK315" s="3" t="s">
        <v>62</v>
      </c>
      <c r="AL315" s="3" t="s">
        <v>8888</v>
      </c>
      <c r="AM315" s="3" t="s">
        <v>8889</v>
      </c>
      <c r="AN315" s="3"/>
      <c r="AO315" s="7" t="s">
        <v>8890</v>
      </c>
      <c r="AQ315" s="3"/>
      <c r="AR315" s="3"/>
      <c r="AS315" s="3"/>
      <c r="AT315" s="3"/>
      <c r="AU315" s="3"/>
    </row>
    <row r="316" spans="1:49" ht="12.5" x14ac:dyDescent="0.25">
      <c r="A316" s="3" t="s">
        <v>46</v>
      </c>
      <c r="B316" s="21" t="str">
        <f>HYPERLINK("https://gerandofalcoes.my.salesforce.com/0014X00002PUOaD", "0014X00002PUOaD")</f>
        <v>0014X00002PUOaD</v>
      </c>
      <c r="C316" s="21" t="str">
        <f>HYPERLINK("https://gerandofalcoes.my.salesforce.com/0014X00002PUOaDQAX", "0014X00002PUOaDQAX")</f>
        <v>0014X00002PUOaDQAX</v>
      </c>
      <c r="D316" s="3" t="s">
        <v>98</v>
      </c>
      <c r="E316" s="3" t="s">
        <v>99</v>
      </c>
      <c r="F316" s="3"/>
      <c r="G316" s="8">
        <v>44487</v>
      </c>
      <c r="H316" s="3">
        <v>309</v>
      </c>
      <c r="I316" s="3"/>
      <c r="J316" s="3"/>
      <c r="K316" s="4" t="s">
        <v>100</v>
      </c>
      <c r="L316" s="3" t="s">
        <v>101</v>
      </c>
      <c r="M316" s="3" t="s">
        <v>8891</v>
      </c>
      <c r="N316" s="3" t="s">
        <v>103</v>
      </c>
      <c r="O316" s="3" t="s">
        <v>8892</v>
      </c>
      <c r="P316" s="3" t="s">
        <v>104</v>
      </c>
      <c r="Q316" s="3"/>
      <c r="R316" s="3" t="s">
        <v>8893</v>
      </c>
      <c r="S316" s="3"/>
      <c r="T316" s="3" t="s">
        <v>8894</v>
      </c>
      <c r="U316" s="3" t="s">
        <v>8895</v>
      </c>
      <c r="V316" s="3" t="s">
        <v>3800</v>
      </c>
      <c r="W316" s="3">
        <v>1</v>
      </c>
      <c r="X316" s="3">
        <v>1</v>
      </c>
      <c r="Y316" s="3"/>
      <c r="AA316" s="3"/>
      <c r="AB316" s="6"/>
      <c r="AC316" s="3"/>
      <c r="AD316" s="3">
        <v>11</v>
      </c>
      <c r="AE316" s="3">
        <v>5</v>
      </c>
      <c r="AF316" s="3">
        <v>5</v>
      </c>
      <c r="AG316" s="3" t="s">
        <v>8896</v>
      </c>
      <c r="AH316" s="3" t="s">
        <v>8897</v>
      </c>
      <c r="AI316" s="3">
        <v>354463</v>
      </c>
      <c r="AJ316" s="3" t="s">
        <v>61</v>
      </c>
      <c r="AK316" s="3" t="s">
        <v>62</v>
      </c>
      <c r="AL316" s="7" t="s">
        <v>8898</v>
      </c>
      <c r="AM316" s="7" t="s">
        <v>8899</v>
      </c>
      <c r="AN316" s="3"/>
      <c r="AO316" s="7" t="s">
        <v>8900</v>
      </c>
      <c r="AR316" s="3"/>
      <c r="AS316" s="7" t="s">
        <v>8901</v>
      </c>
      <c r="AT316" s="7" t="s">
        <v>8902</v>
      </c>
    </row>
    <row r="317" spans="1:49" ht="12.5" x14ac:dyDescent="0.25">
      <c r="A317" s="3" t="s">
        <v>46</v>
      </c>
      <c r="B317" s="21" t="str">
        <f>HYPERLINK("https://gerandofalcoes.my.salesforce.com/0014X00002PUOY7", "0014X00002PUOY7")</f>
        <v>0014X00002PUOY7</v>
      </c>
      <c r="C317" s="21" t="str">
        <f>HYPERLINK("https://gerandofalcoes.my.salesforce.com/0014X00002PUOY7QAP", "0014X00002PUOY7QAP")</f>
        <v>0014X00002PUOY7QAP</v>
      </c>
      <c r="D317" s="3" t="s">
        <v>110</v>
      </c>
      <c r="E317" s="3" t="s">
        <v>111</v>
      </c>
      <c r="F317" s="3" t="s">
        <v>112</v>
      </c>
      <c r="G317" s="8">
        <v>44487</v>
      </c>
      <c r="H317" s="3">
        <v>309</v>
      </c>
      <c r="I317" s="3"/>
      <c r="J317" s="3"/>
      <c r="K317" s="3"/>
      <c r="L317" s="3" t="s">
        <v>70</v>
      </c>
      <c r="M317" s="3" t="s">
        <v>8903</v>
      </c>
      <c r="N317" s="3" t="s">
        <v>114</v>
      </c>
      <c r="O317" s="3" t="s">
        <v>8904</v>
      </c>
      <c r="P317" s="3" t="s">
        <v>73</v>
      </c>
      <c r="Q317" s="3"/>
      <c r="R317" s="3" t="s">
        <v>8905</v>
      </c>
      <c r="S317" s="3"/>
      <c r="T317" s="3" t="s">
        <v>8906</v>
      </c>
      <c r="U317" s="3" t="s">
        <v>8852</v>
      </c>
      <c r="V317" s="3" t="s">
        <v>8907</v>
      </c>
      <c r="W317" s="3">
        <v>20</v>
      </c>
      <c r="X317" s="3">
        <v>20</v>
      </c>
      <c r="Y317" s="3" t="s">
        <v>117</v>
      </c>
      <c r="AA317" s="3"/>
      <c r="AB317" s="8"/>
      <c r="AC317" s="3"/>
      <c r="AD317" s="3">
        <v>28</v>
      </c>
      <c r="AE317" s="3">
        <v>15</v>
      </c>
      <c r="AF317" s="3">
        <v>3</v>
      </c>
      <c r="AG317" s="3" t="s">
        <v>8908</v>
      </c>
      <c r="AH317" s="3" t="s">
        <v>8909</v>
      </c>
      <c r="AI317" s="3">
        <v>200000</v>
      </c>
      <c r="AJ317" s="3" t="s">
        <v>61</v>
      </c>
      <c r="AK317" s="3" t="s">
        <v>62</v>
      </c>
      <c r="AL317" s="3"/>
      <c r="AM317" s="7" t="s">
        <v>8910</v>
      </c>
      <c r="AN317" s="3"/>
      <c r="AO317" s="3"/>
      <c r="AR317" s="3"/>
      <c r="AS317" s="3"/>
      <c r="AT317" s="3"/>
      <c r="AU317" s="3"/>
    </row>
    <row r="318" spans="1:49" ht="12.5" x14ac:dyDescent="0.25">
      <c r="A318" s="3" t="s">
        <v>46</v>
      </c>
      <c r="B318" s="21" t="str">
        <f>HYPERLINK("https://gerandofalcoes.my.salesforce.com/0014X00002PUOZA", "0014X00002PUOZA")</f>
        <v>0014X00002PUOZA</v>
      </c>
      <c r="C318" s="21" t="str">
        <f>HYPERLINK("https://gerandofalcoes.my.salesforce.com/0014X00002PUOZAQA5", "0014X00002PUOZAQA5")</f>
        <v>0014X00002PUOZAQA5</v>
      </c>
      <c r="D318" s="3" t="s">
        <v>48</v>
      </c>
      <c r="E318" s="3" t="s">
        <v>49</v>
      </c>
      <c r="F318" s="3" t="s">
        <v>50</v>
      </c>
      <c r="G318" s="8">
        <v>44487</v>
      </c>
      <c r="H318" s="3">
        <v>309</v>
      </c>
      <c r="I318" s="3"/>
      <c r="J318" s="3"/>
      <c r="K318" s="3"/>
      <c r="L318" s="3" t="s">
        <v>51</v>
      </c>
      <c r="M318" s="3" t="s">
        <v>8911</v>
      </c>
      <c r="N318" s="3" t="s">
        <v>53</v>
      </c>
      <c r="O318" s="3" t="s">
        <v>8912</v>
      </c>
      <c r="P318" s="3" t="s">
        <v>8913</v>
      </c>
      <c r="Q318" s="3"/>
      <c r="R318" s="3" t="s">
        <v>55</v>
      </c>
      <c r="S318" s="3"/>
      <c r="T318" s="3" t="s">
        <v>2933</v>
      </c>
      <c r="U318" s="3" t="s">
        <v>3799</v>
      </c>
      <c r="V318" s="3" t="s">
        <v>8914</v>
      </c>
      <c r="W318" s="3">
        <v>2</v>
      </c>
      <c r="X318" s="3">
        <v>2</v>
      </c>
      <c r="Y318" s="3" t="s">
        <v>58</v>
      </c>
      <c r="AA318" s="3"/>
      <c r="AB318" s="6"/>
      <c r="AC318" s="3"/>
      <c r="AD318" s="3">
        <v>0</v>
      </c>
      <c r="AE318" s="3">
        <v>4</v>
      </c>
      <c r="AF318" s="3">
        <v>3</v>
      </c>
      <c r="AG318" s="3" t="s">
        <v>8915</v>
      </c>
      <c r="AH318" s="3" t="s">
        <v>8916</v>
      </c>
      <c r="AI318" s="3">
        <v>250000</v>
      </c>
      <c r="AJ318" s="3" t="s">
        <v>61</v>
      </c>
      <c r="AK318" s="3" t="s">
        <v>62</v>
      </c>
      <c r="AL318" s="3" t="s">
        <v>8917</v>
      </c>
      <c r="AM318" s="7" t="s">
        <v>8918</v>
      </c>
      <c r="AN318" s="3"/>
      <c r="AO318" s="7" t="s">
        <v>8919</v>
      </c>
      <c r="AR318" s="3"/>
      <c r="AS318" s="7" t="s">
        <v>8920</v>
      </c>
      <c r="AT318" s="7" t="s">
        <v>8921</v>
      </c>
      <c r="AU318" s="3"/>
    </row>
    <row r="319" spans="1:49" ht="12.5" x14ac:dyDescent="0.25">
      <c r="A319" s="3" t="s">
        <v>46</v>
      </c>
      <c r="B319" s="21" t="str">
        <f>HYPERLINK("https://gerandofalcoes.my.salesforce.com/0014X00002PUOUa", "0014X00002PUOUa")</f>
        <v>0014X00002PUOUa</v>
      </c>
      <c r="C319" s="21" t="str">
        <f>HYPERLINK("https://gerandofalcoes.my.salesforce.com/0014X00002PUOUaQAP", "0014X00002PUOUaQAP")</f>
        <v>0014X00002PUOUaQAP</v>
      </c>
      <c r="D319" s="3" t="s">
        <v>67</v>
      </c>
      <c r="E319" s="3" t="s">
        <v>68</v>
      </c>
      <c r="F319" s="3" t="s">
        <v>69</v>
      </c>
      <c r="G319" s="8">
        <v>44487</v>
      </c>
      <c r="H319" s="3">
        <v>309</v>
      </c>
      <c r="I319" s="3"/>
      <c r="J319" s="3"/>
      <c r="K319" s="3">
        <v>21979530181</v>
      </c>
      <c r="L319" s="3" t="s">
        <v>70</v>
      </c>
      <c r="M319" s="3" t="s">
        <v>8922</v>
      </c>
      <c r="N319" s="3" t="s">
        <v>72</v>
      </c>
      <c r="O319" s="3" t="s">
        <v>8923</v>
      </c>
      <c r="P319" s="3" t="s">
        <v>8924</v>
      </c>
      <c r="Q319" s="3"/>
      <c r="R319" s="3" t="s">
        <v>8925</v>
      </c>
      <c r="S319" s="3"/>
      <c r="T319" s="3" t="s">
        <v>8926</v>
      </c>
      <c r="U319" s="3" t="s">
        <v>8927</v>
      </c>
      <c r="V319" s="3" t="s">
        <v>3800</v>
      </c>
      <c r="W319" s="3">
        <v>4</v>
      </c>
      <c r="X319" s="3">
        <v>4</v>
      </c>
      <c r="Y319" s="3" t="s">
        <v>76</v>
      </c>
      <c r="AA319" s="3"/>
      <c r="AB319" s="6"/>
      <c r="AC319" s="3" t="s">
        <v>62</v>
      </c>
      <c r="AD319" s="3">
        <v>2</v>
      </c>
      <c r="AE319" s="3">
        <v>6</v>
      </c>
      <c r="AF319" s="3">
        <v>2</v>
      </c>
      <c r="AG319" s="3" t="s">
        <v>3833</v>
      </c>
      <c r="AH319" s="3"/>
      <c r="AI319" s="3">
        <v>20000</v>
      </c>
      <c r="AJ319" s="3" t="s">
        <v>61</v>
      </c>
      <c r="AK319" s="3" t="s">
        <v>62</v>
      </c>
      <c r="AL319" s="3"/>
      <c r="AM319" s="7" t="s">
        <v>8928</v>
      </c>
      <c r="AN319" s="3"/>
      <c r="AO319" s="3"/>
      <c r="AR319" s="3"/>
      <c r="AS319" s="7" t="s">
        <v>8929</v>
      </c>
      <c r="AT319" s="3"/>
      <c r="AU319" s="3"/>
    </row>
    <row r="320" spans="1:49" ht="12.5" x14ac:dyDescent="0.25">
      <c r="A320" s="3" t="s">
        <v>46</v>
      </c>
      <c r="B320" s="21" t="str">
        <f>HYPERLINK("https://gerandofalcoes.my.salesforce.com/0014X00002PUObk", "0014X00002PUObk")</f>
        <v>0014X00002PUObk</v>
      </c>
      <c r="C320" s="21" t="str">
        <f>HYPERLINK("https://gerandofalcoes.my.salesforce.com/0014X00002PUObkQAH", "0014X00002PUObkQAH")</f>
        <v>0014X00002PUObkQAH</v>
      </c>
      <c r="D320" s="3" t="s">
        <v>8930</v>
      </c>
      <c r="E320" s="3" t="s">
        <v>8931</v>
      </c>
      <c r="F320" s="3" t="s">
        <v>125</v>
      </c>
      <c r="G320" s="8">
        <v>44487</v>
      </c>
      <c r="H320" s="3">
        <v>309</v>
      </c>
      <c r="I320" s="3"/>
      <c r="J320" s="3" t="s">
        <v>8932</v>
      </c>
      <c r="K320" s="3">
        <v>11996124457</v>
      </c>
      <c r="L320" s="3" t="s">
        <v>84</v>
      </c>
      <c r="M320" s="3" t="s">
        <v>2593</v>
      </c>
      <c r="N320" s="3" t="s">
        <v>8933</v>
      </c>
      <c r="O320" s="3" t="s">
        <v>8934</v>
      </c>
      <c r="P320" s="3" t="s">
        <v>2594</v>
      </c>
      <c r="Q320" s="3"/>
      <c r="R320" s="3" t="s">
        <v>2595</v>
      </c>
      <c r="S320" s="3" t="s">
        <v>129</v>
      </c>
      <c r="T320" s="3" t="s">
        <v>8935</v>
      </c>
      <c r="U320" s="3" t="s">
        <v>3799</v>
      </c>
      <c r="V320" s="3" t="s">
        <v>8936</v>
      </c>
      <c r="W320" s="3">
        <v>9</v>
      </c>
      <c r="X320" s="3">
        <v>9</v>
      </c>
      <c r="Y320" s="3" t="s">
        <v>131</v>
      </c>
      <c r="AA320" s="3"/>
      <c r="AB320" s="6"/>
      <c r="AC320" s="3" t="s">
        <v>62</v>
      </c>
      <c r="AD320" s="3">
        <v>0</v>
      </c>
      <c r="AE320" s="3">
        <v>5</v>
      </c>
      <c r="AF320" s="3">
        <v>6</v>
      </c>
      <c r="AG320" s="3" t="s">
        <v>8937</v>
      </c>
      <c r="AH320" s="3" t="s">
        <v>133</v>
      </c>
      <c r="AI320" s="3">
        <v>10000</v>
      </c>
      <c r="AJ320" s="3" t="s">
        <v>61</v>
      </c>
      <c r="AK320" s="3" t="s">
        <v>120</v>
      </c>
      <c r="AL320" s="7" t="s">
        <v>8938</v>
      </c>
      <c r="AM320" s="7" t="s">
        <v>8939</v>
      </c>
      <c r="AN320" s="3"/>
      <c r="AO320" s="7" t="s">
        <v>8940</v>
      </c>
      <c r="AR320" s="3"/>
      <c r="AS320" s="7" t="s">
        <v>8941</v>
      </c>
      <c r="AT320" s="3"/>
    </row>
    <row r="321" spans="1:46" ht="12.5" x14ac:dyDescent="0.25">
      <c r="A321" s="3" t="s">
        <v>46</v>
      </c>
      <c r="B321" s="21" t="str">
        <f>HYPERLINK("https://gerandofalcoes.my.salesforce.com/0014X00002PUOdW", "0014X00002PUOdW")</f>
        <v>0014X00002PUOdW</v>
      </c>
      <c r="C321" s="21" t="str">
        <f>HYPERLINK("https://gerandofalcoes.my.salesforce.com/0014X00002PUOdWQAX", "0014X00002PUOdWQAX")</f>
        <v>0014X00002PUOdWQAX</v>
      </c>
      <c r="D321" s="3" t="s">
        <v>138</v>
      </c>
      <c r="E321" s="3" t="s">
        <v>138</v>
      </c>
      <c r="F321" s="3" t="s">
        <v>139</v>
      </c>
      <c r="G321" s="8">
        <v>44487</v>
      </c>
      <c r="H321" s="3">
        <v>309</v>
      </c>
      <c r="I321" s="3" t="s">
        <v>140</v>
      </c>
      <c r="J321" s="3"/>
      <c r="K321" s="3" t="s">
        <v>141</v>
      </c>
      <c r="L321" s="3" t="s">
        <v>84</v>
      </c>
      <c r="M321" s="3" t="s">
        <v>8942</v>
      </c>
      <c r="N321" s="3" t="s">
        <v>143</v>
      </c>
      <c r="O321" s="3" t="s">
        <v>3267</v>
      </c>
      <c r="P321" s="3" t="s">
        <v>144</v>
      </c>
      <c r="Q321" s="3"/>
      <c r="R321" s="3" t="s">
        <v>145</v>
      </c>
      <c r="S321" s="3"/>
      <c r="T321" s="3" t="s">
        <v>8943</v>
      </c>
      <c r="U321" s="3" t="s">
        <v>8868</v>
      </c>
      <c r="V321" s="3" t="s">
        <v>3800</v>
      </c>
      <c r="W321" s="3">
        <v>5</v>
      </c>
      <c r="X321" s="3">
        <v>5</v>
      </c>
      <c r="Y321" s="3" t="s">
        <v>147</v>
      </c>
      <c r="AA321" s="3">
        <v>400</v>
      </c>
      <c r="AB321" s="8"/>
      <c r="AC321" s="3" t="s">
        <v>62</v>
      </c>
      <c r="AD321" s="3">
        <v>10</v>
      </c>
      <c r="AE321" s="3">
        <v>15</v>
      </c>
      <c r="AF321" s="3">
        <v>0</v>
      </c>
      <c r="AG321" s="3" t="s">
        <v>3801</v>
      </c>
      <c r="AH321" s="5">
        <v>1</v>
      </c>
      <c r="AI321" s="3">
        <v>1000</v>
      </c>
      <c r="AJ321" s="3" t="s">
        <v>61</v>
      </c>
      <c r="AK321" s="3" t="s">
        <v>120</v>
      </c>
      <c r="AL321" s="7" t="s">
        <v>8944</v>
      </c>
      <c r="AM321" s="7" t="s">
        <v>8945</v>
      </c>
      <c r="AN321" s="3"/>
      <c r="AO321" s="7" t="s">
        <v>8946</v>
      </c>
      <c r="AR321" s="3"/>
      <c r="AS321" s="7" t="s">
        <v>8947</v>
      </c>
      <c r="AT321" s="7" t="s">
        <v>8948</v>
      </c>
    </row>
    <row r="322" spans="1:46" ht="12.5" x14ac:dyDescent="0.25">
      <c r="A322" s="3" t="s">
        <v>46</v>
      </c>
      <c r="B322" s="21" t="str">
        <f>HYPERLINK("https://gerandofalcoes.my.salesforce.com/0014P00003YSp7O", "0014P00003YSp7O")</f>
        <v>0014P00003YSp7O</v>
      </c>
      <c r="C322" s="21" t="str">
        <f>HYPERLINK("https://gerandofalcoes.my.salesforce.com/0014P00003YSp7OQAT", "0014P00003YSp7OQAT")</f>
        <v>0014P00003YSp7OQAT</v>
      </c>
      <c r="D322" s="3" t="s">
        <v>8949</v>
      </c>
      <c r="E322" s="3"/>
      <c r="F322" s="3"/>
      <c r="G322" s="8">
        <v>44551</v>
      </c>
      <c r="H322" s="3">
        <v>245</v>
      </c>
      <c r="I322" s="3" t="s">
        <v>8950</v>
      </c>
      <c r="J322" s="3" t="s">
        <v>8951</v>
      </c>
      <c r="K322" s="3" t="s">
        <v>8952</v>
      </c>
      <c r="L322" s="3" t="s">
        <v>379</v>
      </c>
      <c r="M322" s="3" t="s">
        <v>8953</v>
      </c>
      <c r="N322" s="3" t="s">
        <v>5290</v>
      </c>
      <c r="O322" s="3">
        <v>25</v>
      </c>
      <c r="P322" s="3" t="s">
        <v>8954</v>
      </c>
      <c r="Q322" s="3" t="s">
        <v>8955</v>
      </c>
      <c r="R322" s="3" t="s">
        <v>8956</v>
      </c>
      <c r="S322" s="3"/>
      <c r="T322" s="3" t="s">
        <v>8957</v>
      </c>
      <c r="U322" s="3" t="s">
        <v>3817</v>
      </c>
      <c r="V322" s="3" t="s">
        <v>8958</v>
      </c>
      <c r="W322" s="3">
        <v>7</v>
      </c>
      <c r="X322" s="3">
        <v>7</v>
      </c>
      <c r="Y322" s="3" t="s">
        <v>8959</v>
      </c>
      <c r="AA322" s="3">
        <v>300</v>
      </c>
      <c r="AB322" s="6">
        <v>44457</v>
      </c>
      <c r="AC322" s="3" t="s">
        <v>120</v>
      </c>
      <c r="AD322" s="3">
        <v>5</v>
      </c>
      <c r="AE322" s="3">
        <v>20</v>
      </c>
      <c r="AF322" s="3">
        <v>3</v>
      </c>
      <c r="AG322" s="3" t="s">
        <v>8960</v>
      </c>
      <c r="AH322" s="3" t="s">
        <v>8961</v>
      </c>
      <c r="AI322" s="3">
        <v>20000</v>
      </c>
      <c r="AJ322" s="3"/>
      <c r="AK322" s="3"/>
      <c r="AL322" s="3"/>
      <c r="AM322" s="7" t="s">
        <v>8962</v>
      </c>
      <c r="AN322" s="3"/>
      <c r="AO322" s="3"/>
      <c r="AR322" s="3"/>
      <c r="AS322" s="3"/>
      <c r="AT322" s="7" t="s">
        <v>8963</v>
      </c>
    </row>
    <row r="323" spans="1:46" ht="12.5" x14ac:dyDescent="0.25">
      <c r="A323" s="3" t="s">
        <v>46</v>
      </c>
      <c r="B323" s="21" t="str">
        <f>HYPERLINK("https://gerandofalcoes.my.salesforce.com/0014P00003YSp7P", "0014P00003YSp7P")</f>
        <v>0014P00003YSp7P</v>
      </c>
      <c r="C323" s="21" t="str">
        <f>HYPERLINK("https://gerandofalcoes.my.salesforce.com/0014P00003YSp7PQAT", "0014P00003YSp7PQAT")</f>
        <v>0014P00003YSp7PQAT</v>
      </c>
      <c r="D323" s="3" t="s">
        <v>8964</v>
      </c>
      <c r="E323" s="3"/>
      <c r="F323" s="3" t="s">
        <v>8965</v>
      </c>
      <c r="G323" s="8">
        <v>44551</v>
      </c>
      <c r="H323" s="3">
        <v>245</v>
      </c>
      <c r="I323" s="3" t="s">
        <v>8966</v>
      </c>
      <c r="J323" s="3" t="s">
        <v>8967</v>
      </c>
      <c r="K323" s="3" t="s">
        <v>8968</v>
      </c>
      <c r="L323" s="3" t="s">
        <v>379</v>
      </c>
      <c r="M323" s="3" t="s">
        <v>8969</v>
      </c>
      <c r="N323" s="3" t="s">
        <v>8970</v>
      </c>
      <c r="O323" s="3">
        <v>75</v>
      </c>
      <c r="P323" s="3" t="s">
        <v>381</v>
      </c>
      <c r="Q323" s="3" t="s">
        <v>8971</v>
      </c>
      <c r="R323" s="3" t="s">
        <v>8972</v>
      </c>
      <c r="S323" s="3"/>
      <c r="T323" s="3" t="s">
        <v>8973</v>
      </c>
      <c r="U323" s="3" t="s">
        <v>8974</v>
      </c>
      <c r="V323" s="3" t="s">
        <v>3800</v>
      </c>
      <c r="W323" s="3">
        <v>2</v>
      </c>
      <c r="X323" s="3">
        <v>2</v>
      </c>
      <c r="Y323" s="3"/>
      <c r="AA323" s="3">
        <v>390</v>
      </c>
      <c r="AB323" s="8">
        <v>36126</v>
      </c>
      <c r="AC323" s="3" t="s">
        <v>62</v>
      </c>
      <c r="AD323" s="3">
        <v>5</v>
      </c>
      <c r="AE323" s="3">
        <v>5</v>
      </c>
      <c r="AF323" s="3">
        <v>3</v>
      </c>
      <c r="AG323" s="3" t="s">
        <v>8975</v>
      </c>
      <c r="AH323" s="3" t="s">
        <v>8976</v>
      </c>
      <c r="AI323" s="3">
        <v>326724</v>
      </c>
      <c r="AJ323" s="3"/>
      <c r="AK323" s="3"/>
      <c r="AL323" s="7" t="s">
        <v>8977</v>
      </c>
      <c r="AM323" s="7" t="s">
        <v>8978</v>
      </c>
      <c r="AN323" s="7" t="s">
        <v>8979</v>
      </c>
      <c r="AO323" s="7" t="s">
        <v>8980</v>
      </c>
      <c r="AR323" s="7" t="s">
        <v>8981</v>
      </c>
      <c r="AS323" s="7" t="s">
        <v>8982</v>
      </c>
      <c r="AT323" s="7" t="s">
        <v>8983</v>
      </c>
    </row>
    <row r="324" spans="1:46" ht="12.5" x14ac:dyDescent="0.25">
      <c r="A324" s="3" t="s">
        <v>46</v>
      </c>
      <c r="B324" s="21" t="str">
        <f>HYPERLINK("https://gerandofalcoes.my.salesforce.com/0014P00003YSp7R", "0014P00003YSp7R")</f>
        <v>0014P00003YSp7R</v>
      </c>
      <c r="C324" s="21" t="str">
        <f>HYPERLINK("https://gerandofalcoes.my.salesforce.com/0014P00003YSp7RQAT", "0014P00003YSp7RQAT")</f>
        <v>0014P00003YSp7RQAT</v>
      </c>
      <c r="D324" s="3" t="s">
        <v>8984</v>
      </c>
      <c r="E324" s="3"/>
      <c r="F324" s="3">
        <v>5544365000109</v>
      </c>
      <c r="G324" s="8">
        <v>44551</v>
      </c>
      <c r="H324" s="3">
        <v>245</v>
      </c>
      <c r="I324" s="3" t="s">
        <v>8985</v>
      </c>
      <c r="J324" s="3" t="s">
        <v>8986</v>
      </c>
      <c r="K324" s="3">
        <v>7132123656</v>
      </c>
      <c r="L324" s="3" t="s">
        <v>1002</v>
      </c>
      <c r="M324" s="3" t="s">
        <v>8987</v>
      </c>
      <c r="N324" s="3" t="s">
        <v>8988</v>
      </c>
      <c r="O324" s="3">
        <v>88</v>
      </c>
      <c r="P324" s="3" t="s">
        <v>5344</v>
      </c>
      <c r="Q324" s="3" t="s">
        <v>7437</v>
      </c>
      <c r="R324" s="3" t="s">
        <v>8989</v>
      </c>
      <c r="S324" s="3"/>
      <c r="T324" s="3"/>
      <c r="U324" s="3"/>
      <c r="V324" s="3"/>
      <c r="W324" s="3">
        <v>6</v>
      </c>
      <c r="X324" s="3" t="s">
        <v>8990</v>
      </c>
      <c r="Y324" s="3"/>
      <c r="AA324" s="3">
        <v>200</v>
      </c>
      <c r="AB324" s="6">
        <v>37644</v>
      </c>
      <c r="AC324" s="3" t="s">
        <v>62</v>
      </c>
      <c r="AD324" s="3">
        <v>1</v>
      </c>
      <c r="AE324" s="3">
        <v>8</v>
      </c>
      <c r="AF324" s="3">
        <v>2</v>
      </c>
      <c r="AG324" s="3"/>
      <c r="AH324" s="3"/>
      <c r="AI324" s="3">
        <v>25000</v>
      </c>
      <c r="AJ324" s="3"/>
      <c r="AK324" s="3"/>
      <c r="AL324" s="7" t="s">
        <v>8991</v>
      </c>
      <c r="AM324" s="7" t="s">
        <v>8992</v>
      </c>
      <c r="AN324" s="7" t="s">
        <v>8993</v>
      </c>
      <c r="AO324" s="3"/>
      <c r="AR324" s="7" t="s">
        <v>8994</v>
      </c>
      <c r="AS324" s="7" t="s">
        <v>8995</v>
      </c>
      <c r="AT324" s="7" t="s">
        <v>8996</v>
      </c>
    </row>
    <row r="325" spans="1:46" ht="12.5" x14ac:dyDescent="0.25">
      <c r="A325" s="3" t="s">
        <v>46</v>
      </c>
      <c r="B325" s="21" t="str">
        <f>HYPERLINK("https://gerandofalcoes.my.salesforce.com/0014P00003YSp7S", "0014P00003YSp7S")</f>
        <v>0014P00003YSp7S</v>
      </c>
      <c r="C325" s="21" t="str">
        <f>HYPERLINK("https://gerandofalcoes.my.salesforce.com/0014P00003YSp7SQAT", "0014P00003YSp7SQAT")</f>
        <v>0014P00003YSp7SQAT</v>
      </c>
      <c r="D325" s="3" t="s">
        <v>8997</v>
      </c>
      <c r="E325" s="3"/>
      <c r="F325" s="3"/>
      <c r="G325" s="8">
        <v>44551</v>
      </c>
      <c r="H325" s="3">
        <v>245</v>
      </c>
      <c r="I325" s="3" t="s">
        <v>8998</v>
      </c>
      <c r="J325" s="3" t="s">
        <v>8999</v>
      </c>
      <c r="K325" s="3" t="s">
        <v>9000</v>
      </c>
      <c r="L325" s="3" t="s">
        <v>1676</v>
      </c>
      <c r="M325" s="3" t="s">
        <v>9001</v>
      </c>
      <c r="N325" s="3" t="s">
        <v>1959</v>
      </c>
      <c r="O325" s="3">
        <v>92</v>
      </c>
      <c r="P325" s="3" t="s">
        <v>2217</v>
      </c>
      <c r="Q325" s="3" t="s">
        <v>9002</v>
      </c>
      <c r="R325" s="3" t="s">
        <v>9003</v>
      </c>
      <c r="S325" s="3"/>
      <c r="T325" s="3" t="s">
        <v>9004</v>
      </c>
      <c r="U325" s="3" t="s">
        <v>9005</v>
      </c>
      <c r="V325" s="3" t="s">
        <v>3832</v>
      </c>
      <c r="W325" s="3">
        <v>9</v>
      </c>
      <c r="X325" s="3">
        <v>9</v>
      </c>
      <c r="Y325" s="3"/>
      <c r="AA325" s="3">
        <v>650</v>
      </c>
      <c r="AB325" s="6">
        <v>39168</v>
      </c>
      <c r="AC325" s="3" t="s">
        <v>120</v>
      </c>
      <c r="AD325" s="3">
        <v>0</v>
      </c>
      <c r="AE325" s="3">
        <v>12</v>
      </c>
      <c r="AF325" s="3">
        <v>2</v>
      </c>
      <c r="AG325" s="3" t="s">
        <v>3833</v>
      </c>
      <c r="AH325" s="3">
        <v>0</v>
      </c>
      <c r="AI325" s="3">
        <v>40000</v>
      </c>
      <c r="AJ325" s="3"/>
      <c r="AK325" s="3"/>
      <c r="AL325" s="3"/>
      <c r="AM325" s="7" t="s">
        <v>9006</v>
      </c>
      <c r="AN325" s="7" t="s">
        <v>9007</v>
      </c>
      <c r="AO325" s="3"/>
      <c r="AR325" s="3"/>
      <c r="AS325" s="3"/>
      <c r="AT325" s="3"/>
    </row>
    <row r="326" spans="1:46" ht="12.5" x14ac:dyDescent="0.25">
      <c r="A326" s="3" t="s">
        <v>46</v>
      </c>
      <c r="B326" s="21" t="str">
        <f>HYPERLINK("https://gerandofalcoes.my.salesforce.com/0014P00003YSp7T", "0014P00003YSp7T")</f>
        <v>0014P00003YSp7T</v>
      </c>
      <c r="C326" s="21" t="str">
        <f>HYPERLINK("https://gerandofalcoes.my.salesforce.com/0014P00003YSp7TQAT", "0014P00003YSp7TQAT")</f>
        <v>0014P00003YSp7TQAT</v>
      </c>
      <c r="D326" s="3" t="s">
        <v>9008</v>
      </c>
      <c r="E326" s="3"/>
      <c r="F326" s="3"/>
      <c r="G326" s="8">
        <v>44551</v>
      </c>
      <c r="H326" s="3">
        <v>245</v>
      </c>
      <c r="I326" s="3" t="s">
        <v>9009</v>
      </c>
      <c r="J326" s="3" t="s">
        <v>9010</v>
      </c>
      <c r="K326" s="3">
        <v>84981383486</v>
      </c>
      <c r="L326" s="3" t="s">
        <v>195</v>
      </c>
      <c r="M326" s="3" t="s">
        <v>9011</v>
      </c>
      <c r="N326" s="3" t="s">
        <v>9012</v>
      </c>
      <c r="O326" s="3">
        <v>113</v>
      </c>
      <c r="P326" s="3" t="s">
        <v>9013</v>
      </c>
      <c r="Q326" s="3" t="s">
        <v>9014</v>
      </c>
      <c r="R326" s="3">
        <v>59164000</v>
      </c>
      <c r="S326" s="3"/>
      <c r="T326" s="3"/>
      <c r="U326" s="3"/>
      <c r="V326" s="3"/>
      <c r="W326" s="3">
        <v>8</v>
      </c>
      <c r="X326" s="3" t="s">
        <v>9015</v>
      </c>
      <c r="Y326" s="3" t="s">
        <v>9016</v>
      </c>
      <c r="AA326" s="3">
        <v>400</v>
      </c>
      <c r="AB326" s="6">
        <v>40400</v>
      </c>
      <c r="AC326" s="3" t="s">
        <v>120</v>
      </c>
      <c r="AD326" s="3"/>
      <c r="AE326" s="3">
        <v>10</v>
      </c>
      <c r="AF326" s="3"/>
      <c r="AG326" s="3"/>
      <c r="AH326" s="5"/>
      <c r="AI326" s="3"/>
      <c r="AJ326" s="3"/>
      <c r="AK326" s="3"/>
      <c r="AL326" s="3"/>
      <c r="AM326" s="3"/>
      <c r="AN326" s="3"/>
      <c r="AO326" s="3"/>
      <c r="AR326" s="3"/>
      <c r="AS326" s="3"/>
      <c r="AT326" s="3"/>
    </row>
    <row r="327" spans="1:46" ht="12.5" x14ac:dyDescent="0.25">
      <c r="A327" s="3" t="s">
        <v>46</v>
      </c>
      <c r="B327" s="21" t="str">
        <f>HYPERLINK("https://gerandofalcoes.my.salesforce.com/0014P00003YSp7U", "0014P00003YSp7U")</f>
        <v>0014P00003YSp7U</v>
      </c>
      <c r="C327" s="21" t="str">
        <f>HYPERLINK("https://gerandofalcoes.my.salesforce.com/0014P00003YSp7UQAT", "0014P00003YSp7UQAT")</f>
        <v>0014P00003YSp7UQAT</v>
      </c>
      <c r="D327" s="3" t="s">
        <v>9017</v>
      </c>
      <c r="E327" s="3" t="s">
        <v>9018</v>
      </c>
      <c r="F327" s="3" t="s">
        <v>9019</v>
      </c>
      <c r="G327" s="8">
        <v>44551</v>
      </c>
      <c r="H327" s="3">
        <v>245</v>
      </c>
      <c r="I327" s="3" t="s">
        <v>9020</v>
      </c>
      <c r="J327" s="3" t="s">
        <v>9021</v>
      </c>
      <c r="K327" s="3" t="s">
        <v>9022</v>
      </c>
      <c r="L327" s="3" t="s">
        <v>468</v>
      </c>
      <c r="M327" s="3" t="s">
        <v>9023</v>
      </c>
      <c r="N327" s="3" t="s">
        <v>9024</v>
      </c>
      <c r="O327" s="3">
        <v>80</v>
      </c>
      <c r="P327" s="3" t="s">
        <v>9025</v>
      </c>
      <c r="Q327" s="3"/>
      <c r="R327" s="3" t="s">
        <v>9026</v>
      </c>
      <c r="S327" s="3"/>
      <c r="T327" s="3" t="s">
        <v>9027</v>
      </c>
      <c r="U327" s="3" t="s">
        <v>3753</v>
      </c>
      <c r="V327" s="3" t="s">
        <v>9028</v>
      </c>
      <c r="W327" s="3">
        <v>3</v>
      </c>
      <c r="X327" s="3">
        <v>10</v>
      </c>
      <c r="Y327" s="3" t="s">
        <v>9029</v>
      </c>
      <c r="AA327" s="3">
        <v>210</v>
      </c>
      <c r="AB327" s="6">
        <v>43340</v>
      </c>
      <c r="AC327" s="3" t="s">
        <v>62</v>
      </c>
      <c r="AD327" s="3">
        <v>3</v>
      </c>
      <c r="AE327" s="3">
        <v>20</v>
      </c>
      <c r="AF327" s="3">
        <v>0</v>
      </c>
      <c r="AG327" s="3" t="s">
        <v>9030</v>
      </c>
      <c r="AH327" s="5">
        <v>1</v>
      </c>
      <c r="AI327" s="3">
        <v>11000</v>
      </c>
      <c r="AJ327" s="3"/>
      <c r="AK327" s="3"/>
      <c r="AL327" s="3"/>
      <c r="AM327" s="3" t="s">
        <v>9031</v>
      </c>
      <c r="AN327" s="7" t="s">
        <v>9032</v>
      </c>
      <c r="AO327" s="3"/>
      <c r="AR327" s="7" t="s">
        <v>9033</v>
      </c>
      <c r="AS327" s="7" t="s">
        <v>9034</v>
      </c>
      <c r="AT327" s="7" t="s">
        <v>9035</v>
      </c>
    </row>
    <row r="328" spans="1:46" ht="12.5" x14ac:dyDescent="0.25">
      <c r="A328" s="3" t="s">
        <v>46</v>
      </c>
      <c r="B328" s="21" t="str">
        <f>HYPERLINK("https://gerandofalcoes.my.salesforce.com/0014P00003YSp7V", "0014P00003YSp7V")</f>
        <v>0014P00003YSp7V</v>
      </c>
      <c r="C328" s="21" t="str">
        <f>HYPERLINK("https://gerandofalcoes.my.salesforce.com/0014P00003YSp7VQAT", "0014P00003YSp7VQAT")</f>
        <v>0014P00003YSp7VQAT</v>
      </c>
      <c r="D328" s="3" t="s">
        <v>9036</v>
      </c>
      <c r="E328" s="3"/>
      <c r="F328" s="3"/>
      <c r="G328" s="8">
        <v>44551</v>
      </c>
      <c r="H328" s="3">
        <v>245</v>
      </c>
      <c r="I328" s="3" t="s">
        <v>9037</v>
      </c>
      <c r="J328" s="3" t="s">
        <v>9038</v>
      </c>
      <c r="K328" s="3" t="s">
        <v>9039</v>
      </c>
      <c r="L328" s="3" t="s">
        <v>468</v>
      </c>
      <c r="M328" s="3" t="s">
        <v>9040</v>
      </c>
      <c r="N328" s="3" t="s">
        <v>9041</v>
      </c>
      <c r="O328" s="3">
        <v>375</v>
      </c>
      <c r="P328" s="3" t="s">
        <v>470</v>
      </c>
      <c r="Q328" s="3"/>
      <c r="R328" s="3" t="s">
        <v>9042</v>
      </c>
      <c r="T328" s="3" t="s">
        <v>9043</v>
      </c>
      <c r="U328" s="3" t="s">
        <v>9005</v>
      </c>
      <c r="V328" s="3" t="s">
        <v>3800</v>
      </c>
      <c r="W328" s="3">
        <v>2</v>
      </c>
      <c r="X328" s="3">
        <v>2</v>
      </c>
      <c r="Y328" s="3"/>
      <c r="AA328" s="3">
        <v>100</v>
      </c>
      <c r="AB328" s="8">
        <v>41983</v>
      </c>
      <c r="AC328" s="3" t="s">
        <v>120</v>
      </c>
      <c r="AD328" s="3">
        <v>0</v>
      </c>
      <c r="AE328" s="3">
        <v>3</v>
      </c>
      <c r="AF328" s="3">
        <v>2</v>
      </c>
      <c r="AG328" s="3" t="s">
        <v>3819</v>
      </c>
      <c r="AH328" s="3" t="s">
        <v>120</v>
      </c>
      <c r="AI328" s="3">
        <v>3000</v>
      </c>
      <c r="AJ328" s="3"/>
      <c r="AK328" s="3"/>
      <c r="AL328" s="3"/>
      <c r="AM328" s="3"/>
      <c r="AN328" s="3"/>
      <c r="AO328" s="3"/>
      <c r="AR328" s="3"/>
      <c r="AS328" s="3"/>
      <c r="AT328" s="3"/>
    </row>
    <row r="329" spans="1:46" ht="12.5" x14ac:dyDescent="0.25">
      <c r="A329" s="3" t="s">
        <v>46</v>
      </c>
      <c r="B329" s="21" t="str">
        <f>HYPERLINK("https://gerandofalcoes.my.salesforce.com/0014P00003YSp7W", "0014P00003YSp7W")</f>
        <v>0014P00003YSp7W</v>
      </c>
      <c r="C329" s="21" t="str">
        <f>HYPERLINK("https://gerandofalcoes.my.salesforce.com/0014P00003YSp7WQAT", "0014P00003YSp7WQAT")</f>
        <v>0014P00003YSp7WQAT</v>
      </c>
      <c r="D329" s="3" t="s">
        <v>9044</v>
      </c>
      <c r="E329" s="3"/>
      <c r="F329" s="3" t="s">
        <v>9045</v>
      </c>
      <c r="G329" s="8">
        <v>44551</v>
      </c>
      <c r="H329" s="3">
        <v>245</v>
      </c>
      <c r="I329" s="3" t="s">
        <v>9046</v>
      </c>
      <c r="J329" s="3" t="s">
        <v>9047</v>
      </c>
      <c r="K329" s="3" t="s">
        <v>9048</v>
      </c>
      <c r="L329" s="3" t="s">
        <v>379</v>
      </c>
      <c r="M329" s="3" t="s">
        <v>9049</v>
      </c>
      <c r="N329" s="3" t="s">
        <v>9050</v>
      </c>
      <c r="O329" s="3">
        <v>89</v>
      </c>
      <c r="P329" s="3" t="s">
        <v>7226</v>
      </c>
      <c r="Q329" s="3"/>
      <c r="R329" s="3" t="s">
        <v>9051</v>
      </c>
      <c r="S329" s="3"/>
      <c r="T329" s="3" t="s">
        <v>9052</v>
      </c>
      <c r="U329" s="3" t="s">
        <v>9005</v>
      </c>
      <c r="V329" s="3" t="s">
        <v>9053</v>
      </c>
      <c r="W329" s="3">
        <v>5</v>
      </c>
      <c r="X329" s="3">
        <v>5</v>
      </c>
      <c r="Y329" s="3" t="s">
        <v>9054</v>
      </c>
      <c r="AA329" s="3">
        <v>1100</v>
      </c>
      <c r="AB329" s="6">
        <v>36070</v>
      </c>
      <c r="AC329" s="3" t="s">
        <v>62</v>
      </c>
      <c r="AD329" s="3">
        <v>11</v>
      </c>
      <c r="AE329" s="3">
        <v>15</v>
      </c>
      <c r="AF329" s="3">
        <v>4</v>
      </c>
      <c r="AG329" s="3" t="s">
        <v>9055</v>
      </c>
      <c r="AH329" s="3" t="s">
        <v>9056</v>
      </c>
      <c r="AI329" s="3">
        <v>728345</v>
      </c>
      <c r="AJ329" s="3"/>
      <c r="AK329" s="3"/>
      <c r="AL329" s="7" t="s">
        <v>9057</v>
      </c>
      <c r="AM329" s="7" t="s">
        <v>9058</v>
      </c>
      <c r="AN329" s="7" t="s">
        <v>9059</v>
      </c>
      <c r="AO329" s="7" t="s">
        <v>9060</v>
      </c>
      <c r="AR329" s="7" t="s">
        <v>9061</v>
      </c>
      <c r="AS329" s="7" t="s">
        <v>9062</v>
      </c>
      <c r="AT329" s="3"/>
    </row>
    <row r="330" spans="1:46" ht="12.5" x14ac:dyDescent="0.25">
      <c r="A330" s="3" t="s">
        <v>46</v>
      </c>
      <c r="B330" s="21" t="str">
        <f>HYPERLINK("https://gerandofalcoes.my.salesforce.com/0014P00003YSp7X", "0014P00003YSp7X")</f>
        <v>0014P00003YSp7X</v>
      </c>
      <c r="C330" s="21" t="str">
        <f>HYPERLINK("https://gerandofalcoes.my.salesforce.com/0014P00003YSp7XQAT", "0014P00003YSp7XQAT")</f>
        <v>0014P00003YSp7XQAT</v>
      </c>
      <c r="D330" s="3" t="s">
        <v>9063</v>
      </c>
      <c r="E330" s="3"/>
      <c r="F330" s="3" t="s">
        <v>9064</v>
      </c>
      <c r="G330" s="8">
        <v>44551</v>
      </c>
      <c r="H330" s="3">
        <v>245</v>
      </c>
      <c r="I330" s="3" t="s">
        <v>9065</v>
      </c>
      <c r="J330" s="3" t="s">
        <v>9066</v>
      </c>
      <c r="K330" s="3" t="s">
        <v>9067</v>
      </c>
      <c r="L330" s="3" t="s">
        <v>195</v>
      </c>
      <c r="M330" s="3" t="s">
        <v>9068</v>
      </c>
      <c r="N330" s="3" t="s">
        <v>9069</v>
      </c>
      <c r="O330" s="3">
        <v>116</v>
      </c>
      <c r="P330" s="3" t="s">
        <v>6725</v>
      </c>
      <c r="Q330" s="3" t="s">
        <v>9070</v>
      </c>
      <c r="R330" s="3" t="s">
        <v>9071</v>
      </c>
      <c r="T330" s="3" t="s">
        <v>9072</v>
      </c>
      <c r="U330" s="3" t="s">
        <v>9073</v>
      </c>
      <c r="V330" s="3" t="s">
        <v>3890</v>
      </c>
      <c r="W330" s="3">
        <v>1</v>
      </c>
      <c r="X330" s="3">
        <v>1</v>
      </c>
      <c r="Y330" s="3"/>
      <c r="AA330" s="3">
        <v>250</v>
      </c>
      <c r="AB330" s="6">
        <v>44579</v>
      </c>
      <c r="AC330" s="3" t="s">
        <v>120</v>
      </c>
      <c r="AD330" s="3">
        <v>0</v>
      </c>
      <c r="AE330" s="3">
        <v>14</v>
      </c>
      <c r="AF330" s="3">
        <v>3</v>
      </c>
      <c r="AG330" s="3" t="s">
        <v>9074</v>
      </c>
      <c r="AH330" s="3" t="s">
        <v>9075</v>
      </c>
      <c r="AI330" s="3">
        <v>8200</v>
      </c>
      <c r="AJ330" s="3"/>
      <c r="AK330" s="3"/>
      <c r="AL330" s="3"/>
      <c r="AM330" s="7" t="s">
        <v>9076</v>
      </c>
      <c r="AN330" s="3"/>
      <c r="AO330" s="3"/>
      <c r="AR330" s="3"/>
      <c r="AS330" s="3"/>
      <c r="AT330" s="7" t="s">
        <v>9077</v>
      </c>
    </row>
    <row r="331" spans="1:46" ht="12.5" x14ac:dyDescent="0.25">
      <c r="A331" s="3" t="s">
        <v>46</v>
      </c>
      <c r="B331" s="21" t="str">
        <f>HYPERLINK("https://gerandofalcoes.my.salesforce.com/0014P00003YSp7Z", "0014P00003YSp7Z")</f>
        <v>0014P00003YSp7Z</v>
      </c>
      <c r="C331" s="21" t="str">
        <f>HYPERLINK("https://gerandofalcoes.my.salesforce.com/0014P00003YSp7ZQAT", "0014P00003YSp7ZQAT")</f>
        <v>0014P00003YSp7ZQAT</v>
      </c>
      <c r="D331" s="3" t="s">
        <v>9078</v>
      </c>
      <c r="E331" s="3"/>
      <c r="F331" s="3" t="s">
        <v>9079</v>
      </c>
      <c r="G331" s="8">
        <v>44551</v>
      </c>
      <c r="H331" s="3">
        <v>245</v>
      </c>
      <c r="I331" s="3" t="s">
        <v>9080</v>
      </c>
      <c r="J331" s="3" t="s">
        <v>9081</v>
      </c>
      <c r="K331" s="3" t="s">
        <v>9082</v>
      </c>
      <c r="L331" s="3" t="s">
        <v>1002</v>
      </c>
      <c r="M331" s="3" t="s">
        <v>9083</v>
      </c>
      <c r="N331" s="3" t="s">
        <v>9084</v>
      </c>
      <c r="O331" s="3">
        <v>46</v>
      </c>
      <c r="P331" s="3" t="s">
        <v>1848</v>
      </c>
      <c r="Q331" s="3" t="s">
        <v>1539</v>
      </c>
      <c r="R331" s="3" t="s">
        <v>9085</v>
      </c>
      <c r="T331" s="3" t="s">
        <v>9086</v>
      </c>
      <c r="U331" s="3" t="s">
        <v>3817</v>
      </c>
      <c r="V331" s="3" t="s">
        <v>9087</v>
      </c>
      <c r="W331" s="3">
        <v>10</v>
      </c>
      <c r="X331" s="3">
        <v>10</v>
      </c>
      <c r="Y331" s="3" t="s">
        <v>4154</v>
      </c>
      <c r="AA331" s="3">
        <v>5000</v>
      </c>
      <c r="AB331" s="8">
        <v>44179</v>
      </c>
      <c r="AC331" s="3" t="s">
        <v>62</v>
      </c>
      <c r="AD331" s="3">
        <v>0</v>
      </c>
      <c r="AE331" s="3">
        <v>14</v>
      </c>
      <c r="AF331" s="3">
        <v>2</v>
      </c>
      <c r="AG331" s="3" t="s">
        <v>9088</v>
      </c>
      <c r="AH331" s="5">
        <v>0</v>
      </c>
      <c r="AI331" s="3">
        <v>50000</v>
      </c>
      <c r="AJ331" s="3"/>
      <c r="AK331" s="3"/>
      <c r="AL331" s="3" t="s">
        <v>9081</v>
      </c>
      <c r="AM331" s="3" t="s">
        <v>9081</v>
      </c>
      <c r="AN331" s="7" t="s">
        <v>9089</v>
      </c>
      <c r="AO331" s="3" t="s">
        <v>9081</v>
      </c>
      <c r="AR331" s="7" t="s">
        <v>9090</v>
      </c>
      <c r="AS331" s="7" t="s">
        <v>9091</v>
      </c>
      <c r="AT331" s="7" t="s">
        <v>9092</v>
      </c>
    </row>
    <row r="332" spans="1:46" ht="12.5" x14ac:dyDescent="0.25">
      <c r="A332" s="3" t="s">
        <v>46</v>
      </c>
      <c r="B332" s="21" t="str">
        <f>HYPERLINK("https://gerandofalcoes.my.salesforce.com/0014P00003YSp7a", "0014P00003YSp7a")</f>
        <v>0014P00003YSp7a</v>
      </c>
      <c r="C332" s="21" t="str">
        <f>HYPERLINK("https://gerandofalcoes.my.salesforce.com/0014P00003YSp7aQAD", "0014P00003YSp7aQAD")</f>
        <v>0014P00003YSp7aQAD</v>
      </c>
      <c r="D332" s="3" t="s">
        <v>9093</v>
      </c>
      <c r="E332" s="3"/>
      <c r="F332" s="3"/>
      <c r="G332" s="8">
        <v>44551</v>
      </c>
      <c r="H332" s="3">
        <v>245</v>
      </c>
      <c r="I332" s="3" t="s">
        <v>9094</v>
      </c>
      <c r="J332" s="3" t="s">
        <v>9095</v>
      </c>
      <c r="K332" s="3" t="s">
        <v>9096</v>
      </c>
      <c r="L332" s="3" t="s">
        <v>1002</v>
      </c>
      <c r="M332" s="3" t="s">
        <v>9097</v>
      </c>
      <c r="N332" s="3" t="s">
        <v>4762</v>
      </c>
      <c r="O332" s="3">
        <v>11</v>
      </c>
      <c r="P332" s="3" t="s">
        <v>1848</v>
      </c>
      <c r="Q332" s="3"/>
      <c r="R332" s="3" t="s">
        <v>4863</v>
      </c>
      <c r="T332" s="3" t="s">
        <v>9098</v>
      </c>
      <c r="U332" s="3" t="s">
        <v>3799</v>
      </c>
      <c r="V332" s="3" t="s">
        <v>3832</v>
      </c>
      <c r="W332" s="3">
        <v>4</v>
      </c>
      <c r="X332" s="3">
        <v>4</v>
      </c>
      <c r="Y332" s="3"/>
      <c r="AA332" s="3">
        <v>50</v>
      </c>
      <c r="AB332" s="6">
        <v>43964</v>
      </c>
      <c r="AC332" s="3" t="s">
        <v>120</v>
      </c>
      <c r="AD332" s="3">
        <v>8</v>
      </c>
      <c r="AE332" s="3">
        <v>20</v>
      </c>
      <c r="AF332" s="3">
        <v>2</v>
      </c>
      <c r="AG332" s="3" t="s">
        <v>9099</v>
      </c>
      <c r="AH332" s="3" t="s">
        <v>9100</v>
      </c>
      <c r="AI332" s="3">
        <v>1000</v>
      </c>
      <c r="AJ332" s="3"/>
      <c r="AK332" s="3"/>
      <c r="AL332" s="3"/>
      <c r="AM332" s="7" t="s">
        <v>9101</v>
      </c>
      <c r="AN332" s="3"/>
      <c r="AO332" s="3"/>
      <c r="AR332" s="3"/>
      <c r="AS332" s="3"/>
      <c r="AT332" s="3"/>
    </row>
    <row r="333" spans="1:46" ht="12.5" x14ac:dyDescent="0.25">
      <c r="A333" s="3" t="s">
        <v>46</v>
      </c>
      <c r="B333" s="21" t="str">
        <f>HYPERLINK("https://gerandofalcoes.my.salesforce.com/0014P00003YSp7b", "0014P00003YSp7b")</f>
        <v>0014P00003YSp7b</v>
      </c>
      <c r="C333" s="21" t="str">
        <f>HYPERLINK("https://gerandofalcoes.my.salesforce.com/0014P00003YSp7bQAD", "0014P00003YSp7bQAD")</f>
        <v>0014P00003YSp7bQAD</v>
      </c>
      <c r="D333" s="3" t="s">
        <v>9102</v>
      </c>
      <c r="E333" s="3"/>
      <c r="F333" s="3" t="s">
        <v>9103</v>
      </c>
      <c r="G333" s="8">
        <v>44551</v>
      </c>
      <c r="H333" s="3">
        <v>245</v>
      </c>
      <c r="I333" s="3" t="s">
        <v>9104</v>
      </c>
      <c r="J333" s="3" t="s">
        <v>9105</v>
      </c>
      <c r="K333" s="3" t="s">
        <v>9106</v>
      </c>
      <c r="L333" s="3" t="s">
        <v>468</v>
      </c>
      <c r="M333" s="3" t="s">
        <v>9107</v>
      </c>
      <c r="N333" s="3" t="s">
        <v>3764</v>
      </c>
      <c r="O333" s="3">
        <v>3335</v>
      </c>
      <c r="P333" s="3" t="s">
        <v>470</v>
      </c>
      <c r="Q333" s="3" t="s">
        <v>9108</v>
      </c>
      <c r="R333" s="3" t="s">
        <v>9109</v>
      </c>
      <c r="T333" s="3" t="s">
        <v>9110</v>
      </c>
      <c r="U333" s="3" t="s">
        <v>9111</v>
      </c>
      <c r="V333" s="3" t="s">
        <v>9112</v>
      </c>
      <c r="W333" s="3">
        <v>5</v>
      </c>
      <c r="X333" s="3">
        <v>5</v>
      </c>
      <c r="Y333" s="3" t="s">
        <v>9113</v>
      </c>
      <c r="AA333" s="3">
        <v>5000</v>
      </c>
      <c r="AB333" s="6">
        <v>39283</v>
      </c>
      <c r="AC333" s="3" t="s">
        <v>62</v>
      </c>
      <c r="AD333" s="3">
        <v>40</v>
      </c>
      <c r="AE333" s="3">
        <v>40</v>
      </c>
      <c r="AF333" s="3">
        <v>2</v>
      </c>
      <c r="AG333" s="3" t="s">
        <v>9074</v>
      </c>
      <c r="AH333" s="3">
        <v>2</v>
      </c>
      <c r="AI333" s="3">
        <v>50000</v>
      </c>
      <c r="AJ333" s="3"/>
      <c r="AK333" s="3"/>
      <c r="AL333" s="7" t="s">
        <v>9114</v>
      </c>
      <c r="AM333" s="7" t="s">
        <v>9115</v>
      </c>
      <c r="AN333" s="7" t="s">
        <v>9116</v>
      </c>
      <c r="AO333" s="7" t="s">
        <v>9117</v>
      </c>
      <c r="AR333" s="7" t="s">
        <v>9118</v>
      </c>
      <c r="AS333" s="7" t="s">
        <v>9119</v>
      </c>
      <c r="AT333" s="7" t="s">
        <v>9120</v>
      </c>
    </row>
    <row r="334" spans="1:46" ht="12.5" x14ac:dyDescent="0.25">
      <c r="A334" s="3" t="s">
        <v>46</v>
      </c>
      <c r="B334" s="21" t="str">
        <f>HYPERLINK("https://gerandofalcoes.my.salesforce.com/0014P00003YSp7d", "0014P00003YSp7d")</f>
        <v>0014P00003YSp7d</v>
      </c>
      <c r="C334" s="21" t="str">
        <f>HYPERLINK("https://gerandofalcoes.my.salesforce.com/0014P00003YSp7dQAD", "0014P00003YSp7dQAD")</f>
        <v>0014P00003YSp7dQAD</v>
      </c>
      <c r="D334" s="3" t="s">
        <v>9121</v>
      </c>
      <c r="E334" s="3"/>
      <c r="F334" s="3" t="s">
        <v>9122</v>
      </c>
      <c r="G334" s="8">
        <v>44551</v>
      </c>
      <c r="H334" s="3">
        <v>245</v>
      </c>
      <c r="I334" s="3" t="s">
        <v>9123</v>
      </c>
      <c r="J334" s="3" t="s">
        <v>9124</v>
      </c>
      <c r="K334" s="3" t="s">
        <v>9125</v>
      </c>
      <c r="L334" s="3" t="s">
        <v>1171</v>
      </c>
      <c r="M334" s="3" t="s">
        <v>9126</v>
      </c>
      <c r="N334" s="3" t="s">
        <v>9127</v>
      </c>
      <c r="O334" s="3">
        <v>278</v>
      </c>
      <c r="P334" s="3" t="s">
        <v>9128</v>
      </c>
      <c r="Q334" s="3" t="s">
        <v>9129</v>
      </c>
      <c r="R334" s="3" t="s">
        <v>9130</v>
      </c>
      <c r="S334" s="3"/>
      <c r="T334" s="3" t="s">
        <v>9131</v>
      </c>
      <c r="U334" s="3" t="s">
        <v>9005</v>
      </c>
      <c r="V334" s="3" t="s">
        <v>9132</v>
      </c>
      <c r="W334" s="3">
        <v>3</v>
      </c>
      <c r="X334" s="3">
        <v>3</v>
      </c>
      <c r="Y334" s="3" t="s">
        <v>9133</v>
      </c>
      <c r="AA334" s="3">
        <v>300</v>
      </c>
      <c r="AB334" s="8">
        <v>36884</v>
      </c>
      <c r="AC334" s="3" t="s">
        <v>62</v>
      </c>
      <c r="AD334" s="3">
        <v>6</v>
      </c>
      <c r="AE334" s="3">
        <v>11</v>
      </c>
      <c r="AF334" s="3">
        <v>2</v>
      </c>
      <c r="AG334" s="3" t="s">
        <v>9134</v>
      </c>
      <c r="AH334" s="3" t="s">
        <v>9135</v>
      </c>
      <c r="AI334" s="3">
        <v>29000</v>
      </c>
      <c r="AJ334" s="3"/>
      <c r="AK334" s="3"/>
      <c r="AL334" s="3" t="s">
        <v>9136</v>
      </c>
      <c r="AM334" s="7" t="s">
        <v>9137</v>
      </c>
      <c r="AN334" s="7" t="s">
        <v>9138</v>
      </c>
      <c r="AO334" s="3"/>
      <c r="AR334" s="7" t="s">
        <v>9139</v>
      </c>
      <c r="AS334" s="7" t="s">
        <v>9140</v>
      </c>
      <c r="AT334" s="7" t="s">
        <v>9141</v>
      </c>
    </row>
    <row r="335" spans="1:46" ht="12.5" x14ac:dyDescent="0.25">
      <c r="A335" s="3" t="s">
        <v>46</v>
      </c>
      <c r="B335" s="21" t="str">
        <f>HYPERLINK("https://gerandofalcoes.my.salesforce.com/0014P00003YSp7e", "0014P00003YSp7e")</f>
        <v>0014P00003YSp7e</v>
      </c>
      <c r="C335" s="21" t="str">
        <f>HYPERLINK("https://gerandofalcoes.my.salesforce.com/0014P00003YSp7eQAD", "0014P00003YSp7eQAD")</f>
        <v>0014P00003YSp7eQAD</v>
      </c>
      <c r="D335" s="3" t="s">
        <v>9142</v>
      </c>
      <c r="E335" s="3"/>
      <c r="F335" s="3" t="s">
        <v>9143</v>
      </c>
      <c r="G335" s="8">
        <v>44551</v>
      </c>
      <c r="H335" s="3">
        <v>245</v>
      </c>
      <c r="I335" s="3" t="s">
        <v>9144</v>
      </c>
      <c r="J335" s="3" t="s">
        <v>9145</v>
      </c>
      <c r="K335" s="3" t="s">
        <v>9146</v>
      </c>
      <c r="L335" s="3" t="s">
        <v>468</v>
      </c>
      <c r="M335" s="3" t="s">
        <v>9147</v>
      </c>
      <c r="N335" s="3" t="s">
        <v>9148</v>
      </c>
      <c r="O335" s="3">
        <v>331</v>
      </c>
      <c r="P335" s="3" t="s">
        <v>470</v>
      </c>
      <c r="Q335" s="3" t="s">
        <v>9149</v>
      </c>
      <c r="R335" s="3" t="s">
        <v>9150</v>
      </c>
      <c r="T335" s="3" t="s">
        <v>9151</v>
      </c>
      <c r="U335" s="3" t="s">
        <v>9152</v>
      </c>
      <c r="V335" s="3" t="s">
        <v>3832</v>
      </c>
      <c r="W335" s="3">
        <v>5</v>
      </c>
      <c r="X335" s="3">
        <v>5</v>
      </c>
      <c r="Y335" s="3" t="s">
        <v>9153</v>
      </c>
      <c r="AA335" s="3">
        <v>380</v>
      </c>
      <c r="AB335" s="6">
        <v>42236</v>
      </c>
      <c r="AC335" s="3" t="s">
        <v>62</v>
      </c>
      <c r="AD335" s="3">
        <v>6</v>
      </c>
      <c r="AE335" s="3">
        <v>10</v>
      </c>
      <c r="AF335" s="3">
        <v>4</v>
      </c>
      <c r="AG335" s="3" t="s">
        <v>9154</v>
      </c>
      <c r="AH335" s="3" t="s">
        <v>9155</v>
      </c>
      <c r="AI335" s="3">
        <v>126094</v>
      </c>
      <c r="AL335" s="7" t="s">
        <v>9156</v>
      </c>
      <c r="AM335" s="7" t="s">
        <v>9157</v>
      </c>
      <c r="AN335" s="7" t="s">
        <v>9158</v>
      </c>
      <c r="AO335" s="7" t="s">
        <v>9159</v>
      </c>
      <c r="AR335" s="7" t="s">
        <v>9160</v>
      </c>
      <c r="AS335" s="7" t="s">
        <v>9161</v>
      </c>
      <c r="AT335" s="3"/>
    </row>
    <row r="336" spans="1:46" ht="12.5" x14ac:dyDescent="0.25">
      <c r="A336" s="3" t="s">
        <v>46</v>
      </c>
      <c r="B336" s="21" t="str">
        <f>HYPERLINK("https://gerandofalcoes.my.salesforce.com/0014P00003YSp7f", "0014P00003YSp7f")</f>
        <v>0014P00003YSp7f</v>
      </c>
      <c r="C336" s="21" t="str">
        <f>HYPERLINK("https://gerandofalcoes.my.salesforce.com/0014P00003YSp7fQAD", "0014P00003YSp7fQAD")</f>
        <v>0014P00003YSp7fQAD</v>
      </c>
      <c r="D336" s="3" t="s">
        <v>9162</v>
      </c>
      <c r="E336" s="3"/>
      <c r="F336" s="3"/>
      <c r="G336" s="8">
        <v>44551</v>
      </c>
      <c r="H336" s="3">
        <v>245</v>
      </c>
      <c r="I336" s="3" t="s">
        <v>9163</v>
      </c>
      <c r="J336" s="3" t="s">
        <v>9164</v>
      </c>
      <c r="K336" s="3" t="s">
        <v>9165</v>
      </c>
      <c r="L336" s="3" t="s">
        <v>1002</v>
      </c>
      <c r="M336" s="3" t="s">
        <v>9166</v>
      </c>
      <c r="N336" s="3" t="s">
        <v>3961</v>
      </c>
      <c r="O336" s="3">
        <v>31</v>
      </c>
      <c r="P336" s="3" t="s">
        <v>1848</v>
      </c>
      <c r="Q336" s="3"/>
      <c r="R336" s="3" t="s">
        <v>9167</v>
      </c>
      <c r="T336" s="3" t="s">
        <v>9168</v>
      </c>
      <c r="U336" s="3" t="s">
        <v>9169</v>
      </c>
      <c r="V336" s="3" t="s">
        <v>9170</v>
      </c>
      <c r="W336" s="3">
        <v>10</v>
      </c>
      <c r="X336" s="3">
        <v>10</v>
      </c>
      <c r="Y336" s="3"/>
      <c r="AA336" s="3">
        <v>5000</v>
      </c>
      <c r="AB336" s="6">
        <v>44220</v>
      </c>
      <c r="AC336" s="3" t="s">
        <v>120</v>
      </c>
      <c r="AD336" s="3">
        <v>0</v>
      </c>
      <c r="AE336" s="3">
        <v>30</v>
      </c>
      <c r="AF336" s="3">
        <v>2</v>
      </c>
      <c r="AG336" s="3" t="s">
        <v>3819</v>
      </c>
      <c r="AH336" s="3" t="s">
        <v>120</v>
      </c>
      <c r="AI336" s="3">
        <v>5000</v>
      </c>
      <c r="AL336" s="3"/>
      <c r="AM336" s="3"/>
      <c r="AN336" s="3"/>
      <c r="AO336" s="3"/>
      <c r="AR336" s="3"/>
      <c r="AS336" s="3"/>
      <c r="AT336" s="3"/>
    </row>
    <row r="337" spans="1:47" ht="12.5" x14ac:dyDescent="0.25">
      <c r="A337" s="3" t="s">
        <v>46</v>
      </c>
      <c r="B337" s="21" t="str">
        <f>HYPERLINK("https://gerandofalcoes.my.salesforce.com/0014P00003YSp7h", "0014P00003YSp7h")</f>
        <v>0014P00003YSp7h</v>
      </c>
      <c r="C337" s="21" t="str">
        <f>HYPERLINK("https://gerandofalcoes.my.salesforce.com/0014P00003YSp7hQAD", "0014P00003YSp7hQAD")</f>
        <v>0014P00003YSp7hQAD</v>
      </c>
      <c r="D337" s="3" t="s">
        <v>9171</v>
      </c>
      <c r="E337" s="3"/>
      <c r="F337" s="3"/>
      <c r="G337" s="8">
        <v>44551</v>
      </c>
      <c r="H337" s="3">
        <v>245</v>
      </c>
      <c r="I337" s="3" t="s">
        <v>9172</v>
      </c>
      <c r="J337" s="3" t="s">
        <v>9173</v>
      </c>
      <c r="K337" s="3" t="s">
        <v>9174</v>
      </c>
      <c r="L337" s="3" t="s">
        <v>379</v>
      </c>
      <c r="M337" s="3" t="s">
        <v>9175</v>
      </c>
      <c r="N337" s="3" t="s">
        <v>9176</v>
      </c>
      <c r="O337" s="3">
        <v>82</v>
      </c>
      <c r="P337" s="3" t="s">
        <v>9177</v>
      </c>
      <c r="Q337" s="3" t="s">
        <v>673</v>
      </c>
      <c r="R337" s="3" t="s">
        <v>9178</v>
      </c>
      <c r="T337" s="3" t="s">
        <v>9179</v>
      </c>
      <c r="U337" s="3" t="s">
        <v>3768</v>
      </c>
      <c r="V337" s="3" t="s">
        <v>9180</v>
      </c>
      <c r="W337" s="3">
        <v>12</v>
      </c>
      <c r="X337" s="3">
        <v>12</v>
      </c>
      <c r="Y337" s="3" t="s">
        <v>9181</v>
      </c>
      <c r="AA337" s="3">
        <v>1800</v>
      </c>
      <c r="AB337" s="6">
        <v>38365</v>
      </c>
      <c r="AC337" s="3" t="s">
        <v>120</v>
      </c>
      <c r="AD337" s="3">
        <v>4</v>
      </c>
      <c r="AE337" s="3">
        <v>6</v>
      </c>
      <c r="AF337" s="3">
        <v>2</v>
      </c>
      <c r="AG337" s="3" t="s">
        <v>9182</v>
      </c>
      <c r="AH337" s="3" t="s">
        <v>9183</v>
      </c>
      <c r="AI337" s="3">
        <v>32000</v>
      </c>
      <c r="AL337" s="7" t="s">
        <v>9184</v>
      </c>
      <c r="AM337" s="3"/>
      <c r="AN337" s="3"/>
      <c r="AO337" s="3"/>
      <c r="AR337" s="3"/>
      <c r="AS337" s="3"/>
      <c r="AT337" s="7" t="s">
        <v>9185</v>
      </c>
    </row>
    <row r="338" spans="1:47" ht="12.5" x14ac:dyDescent="0.25">
      <c r="A338" s="3" t="s">
        <v>46</v>
      </c>
      <c r="B338" s="21" t="str">
        <f>HYPERLINK("https://gerandofalcoes.my.salesforce.com/0014P00003YSp7i", "0014P00003YSp7i")</f>
        <v>0014P00003YSp7i</v>
      </c>
      <c r="C338" s="21" t="str">
        <f>HYPERLINK("https://gerandofalcoes.my.salesforce.com/0014P00003YSp7iQAD", "0014P00003YSp7iQAD")</f>
        <v>0014P00003YSp7iQAD</v>
      </c>
      <c r="D338" s="3" t="s">
        <v>9186</v>
      </c>
      <c r="E338" s="3"/>
      <c r="F338" s="3" t="s">
        <v>9187</v>
      </c>
      <c r="G338" s="8">
        <v>44551</v>
      </c>
      <c r="H338" s="3">
        <v>245</v>
      </c>
      <c r="I338" s="3" t="s">
        <v>9188</v>
      </c>
      <c r="J338" s="3" t="s">
        <v>9189</v>
      </c>
      <c r="K338" s="3" t="s">
        <v>9190</v>
      </c>
      <c r="L338" s="3" t="s">
        <v>1871</v>
      </c>
      <c r="M338" s="3" t="s">
        <v>9191</v>
      </c>
      <c r="N338" s="3" t="s">
        <v>9192</v>
      </c>
      <c r="O338" s="3">
        <v>19</v>
      </c>
      <c r="P338" s="3" t="s">
        <v>7514</v>
      </c>
      <c r="Q338" s="3" t="s">
        <v>9193</v>
      </c>
      <c r="R338" s="3" t="s">
        <v>9194</v>
      </c>
      <c r="T338" s="3" t="s">
        <v>9195</v>
      </c>
      <c r="U338" s="3" t="s">
        <v>8852</v>
      </c>
      <c r="V338" s="3" t="s">
        <v>9196</v>
      </c>
      <c r="W338" s="3">
        <v>2</v>
      </c>
      <c r="X338" s="3">
        <v>2</v>
      </c>
      <c r="Y338" s="3" t="s">
        <v>9197</v>
      </c>
      <c r="AA338" s="3">
        <v>564</v>
      </c>
      <c r="AB338" s="6">
        <v>40457</v>
      </c>
      <c r="AC338" s="3" t="s">
        <v>62</v>
      </c>
      <c r="AD338" s="3">
        <v>0</v>
      </c>
      <c r="AE338" s="3">
        <v>30</v>
      </c>
      <c r="AF338" s="3">
        <v>2</v>
      </c>
      <c r="AG338" s="3" t="s">
        <v>9198</v>
      </c>
      <c r="AH338" s="3" t="s">
        <v>9199</v>
      </c>
      <c r="AI338" s="3">
        <v>5000</v>
      </c>
      <c r="AJ338" s="3"/>
      <c r="AK338" s="3"/>
      <c r="AL338" s="7" t="s">
        <v>9200</v>
      </c>
      <c r="AM338" s="7" t="s">
        <v>9201</v>
      </c>
      <c r="AN338" s="7" t="s">
        <v>9202</v>
      </c>
      <c r="AO338" s="3"/>
      <c r="AR338" s="7" t="s">
        <v>9203</v>
      </c>
      <c r="AS338" s="7" t="s">
        <v>9204</v>
      </c>
      <c r="AT338" s="7" t="s">
        <v>9205</v>
      </c>
    </row>
    <row r="339" spans="1:47" ht="12.5" x14ac:dyDescent="0.25">
      <c r="A339" s="3" t="s">
        <v>46</v>
      </c>
      <c r="B339" s="21" t="str">
        <f>HYPERLINK("https://gerandofalcoes.my.salesforce.com/0014P00003YSp7k", "0014P00003YSp7k")</f>
        <v>0014P00003YSp7k</v>
      </c>
      <c r="C339" s="21" t="str">
        <f>HYPERLINK("https://gerandofalcoes.my.salesforce.com/0014P00003YSp7kQAD", "0014P00003YSp7kQAD")</f>
        <v>0014P00003YSp7kQAD</v>
      </c>
      <c r="D339" s="3" t="s">
        <v>4725</v>
      </c>
      <c r="E339" s="3"/>
      <c r="F339" s="3" t="s">
        <v>4727</v>
      </c>
      <c r="G339" s="8">
        <v>44551</v>
      </c>
      <c r="H339" s="3">
        <v>245</v>
      </c>
      <c r="I339" s="3" t="s">
        <v>9206</v>
      </c>
      <c r="J339" s="3" t="s">
        <v>9207</v>
      </c>
      <c r="K339" s="3" t="s">
        <v>9208</v>
      </c>
      <c r="L339" s="3" t="s">
        <v>1002</v>
      </c>
      <c r="M339" s="3" t="s">
        <v>9209</v>
      </c>
      <c r="N339" s="3" t="s">
        <v>9210</v>
      </c>
      <c r="O339" s="3">
        <v>542</v>
      </c>
      <c r="P339" s="3" t="s">
        <v>4733</v>
      </c>
      <c r="Q339" s="3" t="s">
        <v>673</v>
      </c>
      <c r="R339" s="3" t="s">
        <v>4734</v>
      </c>
      <c r="T339" s="3" t="s">
        <v>9211</v>
      </c>
      <c r="U339" s="3" t="s">
        <v>9212</v>
      </c>
      <c r="V339" s="3" t="s">
        <v>9213</v>
      </c>
      <c r="W339" s="3">
        <v>3</v>
      </c>
      <c r="X339" s="3">
        <v>3</v>
      </c>
      <c r="Y339" s="3" t="s">
        <v>9214</v>
      </c>
      <c r="AA339" s="3">
        <v>500</v>
      </c>
      <c r="AB339" s="6">
        <v>42889</v>
      </c>
      <c r="AC339" s="3" t="s">
        <v>62</v>
      </c>
      <c r="AD339" s="3">
        <v>0</v>
      </c>
      <c r="AE339" s="3">
        <v>9</v>
      </c>
      <c r="AF339" s="3">
        <v>2</v>
      </c>
      <c r="AG339" s="3" t="s">
        <v>9198</v>
      </c>
      <c r="AH339" s="3">
        <v>0</v>
      </c>
      <c r="AI339" s="3">
        <v>0</v>
      </c>
      <c r="AL339" s="3"/>
      <c r="AM339" s="7" t="s">
        <v>4738</v>
      </c>
      <c r="AN339" s="7" t="s">
        <v>9215</v>
      </c>
      <c r="AO339" s="3"/>
      <c r="AR339" s="7" t="s">
        <v>9216</v>
      </c>
      <c r="AS339" s="7" t="s">
        <v>9217</v>
      </c>
      <c r="AT339" s="3"/>
    </row>
    <row r="340" spans="1:47" ht="12.5" x14ac:dyDescent="0.25">
      <c r="A340" s="3" t="s">
        <v>46</v>
      </c>
      <c r="B340" s="21" t="str">
        <f>HYPERLINK("https://gerandofalcoes.my.salesforce.com/0014P00003YSp7l", "0014P00003YSp7l")</f>
        <v>0014P00003YSp7l</v>
      </c>
      <c r="C340" s="21" t="str">
        <f>HYPERLINK("https://gerandofalcoes.my.salesforce.com/0014P00003YSp7lQAD", "0014P00003YSp7lQAD")</f>
        <v>0014P00003YSp7lQAD</v>
      </c>
      <c r="D340" s="3" t="s">
        <v>9218</v>
      </c>
      <c r="E340" s="3"/>
      <c r="F340" s="3" t="s">
        <v>9219</v>
      </c>
      <c r="G340" s="8">
        <v>44551</v>
      </c>
      <c r="H340" s="3">
        <v>245</v>
      </c>
      <c r="I340" s="3" t="s">
        <v>9220</v>
      </c>
      <c r="J340" s="3" t="s">
        <v>9221</v>
      </c>
      <c r="K340" s="3" t="s">
        <v>9222</v>
      </c>
      <c r="L340" s="3" t="s">
        <v>1002</v>
      </c>
      <c r="M340" s="3" t="s">
        <v>9223</v>
      </c>
      <c r="N340" s="3" t="s">
        <v>9224</v>
      </c>
      <c r="O340" s="3">
        <v>0</v>
      </c>
      <c r="P340" s="3" t="s">
        <v>1848</v>
      </c>
      <c r="Q340" s="3" t="s">
        <v>9225</v>
      </c>
      <c r="R340" s="3" t="s">
        <v>9226</v>
      </c>
      <c r="S340" s="3"/>
      <c r="T340" s="3" t="s">
        <v>9227</v>
      </c>
      <c r="U340" s="3" t="s">
        <v>8868</v>
      </c>
      <c r="V340" s="3" t="s">
        <v>9228</v>
      </c>
      <c r="W340" s="3">
        <v>20</v>
      </c>
      <c r="X340" s="3">
        <v>20</v>
      </c>
      <c r="Y340" s="3" t="s">
        <v>9229</v>
      </c>
      <c r="AA340" s="3">
        <v>2000</v>
      </c>
      <c r="AB340" s="6">
        <v>34731</v>
      </c>
      <c r="AC340" s="3" t="s">
        <v>62</v>
      </c>
      <c r="AD340" s="3">
        <v>0</v>
      </c>
      <c r="AE340" s="3">
        <v>8</v>
      </c>
      <c r="AF340" s="3">
        <v>2</v>
      </c>
      <c r="AG340" s="3" t="s">
        <v>9230</v>
      </c>
      <c r="AH340" s="3" t="s">
        <v>120</v>
      </c>
      <c r="AI340" s="3">
        <v>50000</v>
      </c>
      <c r="AJ340" s="3"/>
      <c r="AK340" s="3"/>
      <c r="AL340" s="3"/>
      <c r="AM340" s="3" t="s">
        <v>9231</v>
      </c>
      <c r="AN340" s="3"/>
      <c r="AO340" s="3"/>
      <c r="AR340" s="3"/>
      <c r="AS340" s="7" t="s">
        <v>9232</v>
      </c>
      <c r="AT340" s="3"/>
      <c r="AU340" s="3"/>
    </row>
    <row r="341" spans="1:47" ht="12.5" x14ac:dyDescent="0.25">
      <c r="A341" s="3" t="s">
        <v>46</v>
      </c>
      <c r="B341" s="21" t="str">
        <f>HYPERLINK("https://gerandofalcoes.my.salesforce.com/0014P00003YSp7m", "0014P00003YSp7m")</f>
        <v>0014P00003YSp7m</v>
      </c>
      <c r="C341" s="21" t="str">
        <f>HYPERLINK("https://gerandofalcoes.my.salesforce.com/0014P00003YSp7mQAD", "0014P00003YSp7mQAD")</f>
        <v>0014P00003YSp7mQAD</v>
      </c>
      <c r="D341" s="3" t="s">
        <v>9233</v>
      </c>
      <c r="E341" s="3"/>
      <c r="F341" s="3" t="s">
        <v>9234</v>
      </c>
      <c r="G341" s="8">
        <v>44551</v>
      </c>
      <c r="H341" s="3">
        <v>245</v>
      </c>
      <c r="I341" s="3" t="s">
        <v>9235</v>
      </c>
      <c r="J341" s="3" t="s">
        <v>9236</v>
      </c>
      <c r="K341" s="3" t="s">
        <v>9237</v>
      </c>
      <c r="L341" s="3" t="s">
        <v>1002</v>
      </c>
      <c r="M341" s="3" t="s">
        <v>9238</v>
      </c>
      <c r="N341" s="3" t="s">
        <v>9239</v>
      </c>
      <c r="O341" s="3">
        <v>1</v>
      </c>
      <c r="P341" s="3" t="s">
        <v>2152</v>
      </c>
      <c r="Q341" s="3" t="s">
        <v>5278</v>
      </c>
      <c r="R341" s="3" t="s">
        <v>3538</v>
      </c>
      <c r="T341" s="3" t="s">
        <v>9240</v>
      </c>
      <c r="U341" s="3" t="s">
        <v>8852</v>
      </c>
      <c r="V341" s="3" t="s">
        <v>9241</v>
      </c>
      <c r="W341" s="3">
        <v>20</v>
      </c>
      <c r="X341" s="3">
        <v>20</v>
      </c>
      <c r="Y341" s="3"/>
      <c r="AA341" s="3">
        <v>5000</v>
      </c>
      <c r="AB341" s="6">
        <v>38728</v>
      </c>
      <c r="AC341" s="3" t="s">
        <v>62</v>
      </c>
      <c r="AD341" s="3">
        <v>5</v>
      </c>
      <c r="AE341" s="3">
        <v>6</v>
      </c>
      <c r="AF341" s="3">
        <v>4</v>
      </c>
      <c r="AG341" s="3" t="s">
        <v>3833</v>
      </c>
      <c r="AH341" s="5">
        <v>0.1</v>
      </c>
      <c r="AI341" s="3">
        <v>0</v>
      </c>
      <c r="AJ341" s="3"/>
      <c r="AK341" s="3"/>
      <c r="AL341" s="7" t="s">
        <v>9242</v>
      </c>
      <c r="AM341" s="7" t="s">
        <v>9243</v>
      </c>
      <c r="AN341" s="7" t="s">
        <v>9244</v>
      </c>
      <c r="AO341" s="7" t="s">
        <v>9245</v>
      </c>
      <c r="AQ341" s="3"/>
      <c r="AR341" s="7" t="s">
        <v>9246</v>
      </c>
      <c r="AS341" s="7" t="s">
        <v>9247</v>
      </c>
      <c r="AT341" s="7" t="s">
        <v>9248</v>
      </c>
      <c r="AU341" s="3"/>
    </row>
    <row r="342" spans="1:47" ht="12.5" x14ac:dyDescent="0.25">
      <c r="A342" s="3" t="s">
        <v>46</v>
      </c>
      <c r="B342" s="21" t="str">
        <f>HYPERLINK("https://gerandofalcoes.my.salesforce.com/0014P00003YSp7n", "0014P00003YSp7n")</f>
        <v>0014P00003YSp7n</v>
      </c>
      <c r="C342" s="21" t="str">
        <f>HYPERLINK("https://gerandofalcoes.my.salesforce.com/0014P00003YSp7nQAD", "0014P00003YSp7nQAD")</f>
        <v>0014P00003YSp7nQAD</v>
      </c>
      <c r="D342" s="3" t="s">
        <v>9249</v>
      </c>
      <c r="E342" s="3"/>
      <c r="F342" s="3" t="s">
        <v>9250</v>
      </c>
      <c r="G342" s="8">
        <v>44551</v>
      </c>
      <c r="H342" s="3">
        <v>245</v>
      </c>
      <c r="I342" s="3" t="s">
        <v>9251</v>
      </c>
      <c r="J342" s="3" t="s">
        <v>9252</v>
      </c>
      <c r="K342" s="3" t="s">
        <v>9253</v>
      </c>
      <c r="L342" s="3" t="s">
        <v>468</v>
      </c>
      <c r="M342" s="3" t="s">
        <v>9254</v>
      </c>
      <c r="N342" s="3" t="s">
        <v>4348</v>
      </c>
      <c r="O342" s="3">
        <v>2243</v>
      </c>
      <c r="P342" s="3" t="s">
        <v>470</v>
      </c>
      <c r="Q342" s="3"/>
      <c r="R342" s="3" t="s">
        <v>9255</v>
      </c>
      <c r="T342" s="3" t="s">
        <v>9256</v>
      </c>
      <c r="U342" s="3" t="s">
        <v>8868</v>
      </c>
      <c r="V342" s="3" t="s">
        <v>3800</v>
      </c>
      <c r="W342" s="3">
        <v>3</v>
      </c>
      <c r="X342" s="3">
        <v>3</v>
      </c>
      <c r="Y342" s="3"/>
      <c r="AA342" s="3">
        <v>150</v>
      </c>
      <c r="AB342" s="6">
        <v>44465</v>
      </c>
      <c r="AC342" s="3" t="s">
        <v>120</v>
      </c>
      <c r="AD342" s="3">
        <v>7</v>
      </c>
      <c r="AE342" s="3">
        <v>12</v>
      </c>
      <c r="AF342" s="3">
        <v>6</v>
      </c>
      <c r="AG342" s="3" t="s">
        <v>9257</v>
      </c>
      <c r="AH342" s="3">
        <v>0</v>
      </c>
      <c r="AI342" s="3">
        <v>200000</v>
      </c>
      <c r="AJ342" s="3"/>
      <c r="AK342" s="3"/>
      <c r="AL342" s="3"/>
      <c r="AM342" s="7" t="s">
        <v>9258</v>
      </c>
      <c r="AN342" s="3"/>
      <c r="AO342" s="3"/>
      <c r="AR342" s="3"/>
      <c r="AS342" s="3"/>
      <c r="AT342" s="7" t="s">
        <v>9259</v>
      </c>
    </row>
    <row r="343" spans="1:47" ht="12.5" x14ac:dyDescent="0.25">
      <c r="A343" s="3" t="s">
        <v>46</v>
      </c>
      <c r="B343" s="21" t="str">
        <f>HYPERLINK("https://gerandofalcoes.my.salesforce.com/0014P00003YSp7o", "0014P00003YSp7o")</f>
        <v>0014P00003YSp7o</v>
      </c>
      <c r="C343" s="21" t="str">
        <f>HYPERLINK("https://gerandofalcoes.my.salesforce.com/0014P00003YSp7oQAD", "0014P00003YSp7oQAD")</f>
        <v>0014P00003YSp7oQAD</v>
      </c>
      <c r="D343" s="3" t="s">
        <v>9260</v>
      </c>
      <c r="E343" s="3"/>
      <c r="F343" s="3" t="s">
        <v>9261</v>
      </c>
      <c r="G343" s="8">
        <v>44551</v>
      </c>
      <c r="H343" s="3">
        <v>245</v>
      </c>
      <c r="I343" s="3" t="s">
        <v>9262</v>
      </c>
      <c r="J343" s="3" t="s">
        <v>9263</v>
      </c>
      <c r="K343" s="3" t="s">
        <v>9264</v>
      </c>
      <c r="L343" s="3" t="s">
        <v>1002</v>
      </c>
      <c r="M343" s="3" t="s">
        <v>9265</v>
      </c>
      <c r="N343" s="3" t="s">
        <v>9266</v>
      </c>
      <c r="O343" s="3">
        <v>2177</v>
      </c>
      <c r="P343" s="3" t="s">
        <v>1848</v>
      </c>
      <c r="Q343" s="3" t="s">
        <v>9267</v>
      </c>
      <c r="R343" s="3" t="s">
        <v>9268</v>
      </c>
      <c r="T343" s="3" t="s">
        <v>8885</v>
      </c>
      <c r="U343" s="3" t="s">
        <v>9269</v>
      </c>
      <c r="V343" s="3" t="s">
        <v>9270</v>
      </c>
      <c r="W343" s="3">
        <v>15</v>
      </c>
      <c r="X343" s="3">
        <v>15</v>
      </c>
      <c r="Y343" s="3" t="s">
        <v>9271</v>
      </c>
      <c r="AA343" s="3">
        <v>500</v>
      </c>
      <c r="AB343" s="6">
        <v>42986</v>
      </c>
      <c r="AC343" s="3" t="s">
        <v>62</v>
      </c>
      <c r="AD343" s="3">
        <v>30</v>
      </c>
      <c r="AE343" s="3">
        <v>30</v>
      </c>
      <c r="AF343" s="3">
        <v>2</v>
      </c>
      <c r="AG343" s="3" t="s">
        <v>9272</v>
      </c>
      <c r="AH343" s="3" t="s">
        <v>9273</v>
      </c>
      <c r="AI343" s="3">
        <v>10000</v>
      </c>
      <c r="AL343" s="7" t="s">
        <v>9274</v>
      </c>
      <c r="AM343" s="7" t="s">
        <v>9275</v>
      </c>
      <c r="AN343" s="3"/>
      <c r="AO343" s="3"/>
      <c r="AR343" s="7" t="s">
        <v>9276</v>
      </c>
      <c r="AS343" s="7" t="s">
        <v>9277</v>
      </c>
      <c r="AT343" s="7" t="s">
        <v>9278</v>
      </c>
    </row>
    <row r="344" spans="1:47" ht="12.5" x14ac:dyDescent="0.25">
      <c r="A344" s="3" t="s">
        <v>46</v>
      </c>
      <c r="B344" s="21" t="str">
        <f>HYPERLINK("https://gerandofalcoes.my.salesforce.com/0014P00003YSp7p", "0014P00003YSp7p")</f>
        <v>0014P00003YSp7p</v>
      </c>
      <c r="C344" s="21" t="str">
        <f>HYPERLINK("https://gerandofalcoes.my.salesforce.com/0014P00003YSp7pQAD", "0014P00003YSp7pQAD")</f>
        <v>0014P00003YSp7pQAD</v>
      </c>
      <c r="D344" s="3" t="s">
        <v>9279</v>
      </c>
      <c r="E344" s="3" t="s">
        <v>9280</v>
      </c>
      <c r="F344" s="3"/>
      <c r="G344" s="8">
        <v>44551</v>
      </c>
      <c r="H344" s="3">
        <v>245</v>
      </c>
      <c r="I344" s="3" t="s">
        <v>9281</v>
      </c>
      <c r="J344" s="3" t="s">
        <v>9282</v>
      </c>
      <c r="K344" s="3" t="s">
        <v>9283</v>
      </c>
      <c r="L344" s="3" t="s">
        <v>468</v>
      </c>
      <c r="M344" s="3" t="s">
        <v>9284</v>
      </c>
      <c r="N344" s="3" t="s">
        <v>9285</v>
      </c>
      <c r="O344" s="3">
        <v>10</v>
      </c>
      <c r="P344" s="3" t="s">
        <v>470</v>
      </c>
      <c r="Q344" s="3"/>
      <c r="R344" s="3" t="s">
        <v>9286</v>
      </c>
      <c r="S344" s="3"/>
      <c r="T344" s="3" t="s">
        <v>9287</v>
      </c>
      <c r="U344" s="3" t="s">
        <v>8895</v>
      </c>
      <c r="V344" s="3" t="s">
        <v>3800</v>
      </c>
      <c r="W344" s="3">
        <v>2</v>
      </c>
      <c r="X344" s="3">
        <v>2</v>
      </c>
      <c r="Y344" s="3"/>
      <c r="AA344" s="3">
        <v>150</v>
      </c>
      <c r="AB344" s="6">
        <v>44073</v>
      </c>
      <c r="AC344" s="3" t="s">
        <v>120</v>
      </c>
      <c r="AD344" s="3">
        <v>0</v>
      </c>
      <c r="AE344" s="3">
        <v>15</v>
      </c>
      <c r="AF344" s="3">
        <v>3</v>
      </c>
      <c r="AG344" s="3" t="s">
        <v>9154</v>
      </c>
      <c r="AH344" s="3" t="s">
        <v>562</v>
      </c>
      <c r="AI344" s="3">
        <v>150000</v>
      </c>
      <c r="AJ344" s="3"/>
      <c r="AK344" s="3"/>
      <c r="AL344" s="7" t="s">
        <v>9288</v>
      </c>
      <c r="AM344" s="7" t="s">
        <v>9289</v>
      </c>
      <c r="AN344" s="3"/>
      <c r="AO344" s="7" t="s">
        <v>9290</v>
      </c>
      <c r="AR344" s="3"/>
      <c r="AS344" s="3"/>
      <c r="AT344" s="7" t="s">
        <v>9291</v>
      </c>
    </row>
    <row r="345" spans="1:47" ht="12.5" x14ac:dyDescent="0.25">
      <c r="A345" s="3" t="s">
        <v>46</v>
      </c>
      <c r="B345" s="21" t="str">
        <f>HYPERLINK("https://gerandofalcoes.my.salesforce.com/0014P00003YSp7q", "0014P00003YSp7q")</f>
        <v>0014P00003YSp7q</v>
      </c>
      <c r="C345" s="21" t="str">
        <f>HYPERLINK("https://gerandofalcoes.my.salesforce.com/0014P00003YSp7qQAD", "0014P00003YSp7qQAD")</f>
        <v>0014P00003YSp7qQAD</v>
      </c>
      <c r="D345" s="3" t="s">
        <v>9292</v>
      </c>
      <c r="E345" s="3"/>
      <c r="F345" s="3"/>
      <c r="G345" s="8">
        <v>44551</v>
      </c>
      <c r="H345" s="3">
        <v>245</v>
      </c>
      <c r="I345" s="3" t="s">
        <v>9293</v>
      </c>
      <c r="J345" s="3" t="s">
        <v>9294</v>
      </c>
      <c r="K345" s="3" t="s">
        <v>9295</v>
      </c>
      <c r="L345" s="3" t="s">
        <v>1171</v>
      </c>
      <c r="M345" s="3" t="s">
        <v>9296</v>
      </c>
      <c r="N345" s="3" t="s">
        <v>9297</v>
      </c>
      <c r="O345" s="3">
        <v>47</v>
      </c>
      <c r="P345" s="3" t="s">
        <v>9298</v>
      </c>
      <c r="Q345" s="3" t="s">
        <v>1539</v>
      </c>
      <c r="R345" s="3" t="s">
        <v>9299</v>
      </c>
      <c r="T345" s="3" t="s">
        <v>9300</v>
      </c>
      <c r="U345" s="3" t="s">
        <v>3768</v>
      </c>
      <c r="V345" s="3" t="s">
        <v>9301</v>
      </c>
      <c r="W345" s="3">
        <v>7</v>
      </c>
      <c r="X345" s="3">
        <v>7</v>
      </c>
      <c r="Y345" s="3" t="s">
        <v>9302</v>
      </c>
      <c r="AA345" s="3">
        <v>600</v>
      </c>
      <c r="AB345" s="6">
        <v>43475</v>
      </c>
      <c r="AC345" s="3" t="s">
        <v>120</v>
      </c>
      <c r="AD345" s="3">
        <v>5</v>
      </c>
      <c r="AE345" s="3">
        <v>7</v>
      </c>
      <c r="AF345" s="3">
        <v>2</v>
      </c>
      <c r="AG345" s="3" t="s">
        <v>9303</v>
      </c>
      <c r="AH345" s="3" t="s">
        <v>9304</v>
      </c>
      <c r="AI345" s="3">
        <v>7000</v>
      </c>
      <c r="AJ345" s="3"/>
      <c r="AK345" s="3"/>
      <c r="AL345" s="3"/>
      <c r="AM345" s="7" t="s">
        <v>9305</v>
      </c>
      <c r="AN345" s="7" t="s">
        <v>9306</v>
      </c>
      <c r="AO345" s="7" t="s">
        <v>9307</v>
      </c>
      <c r="AR345" s="3"/>
      <c r="AS345" s="3"/>
      <c r="AT345" s="3"/>
    </row>
    <row r="346" spans="1:47" ht="12.5" x14ac:dyDescent="0.25">
      <c r="A346" s="3" t="s">
        <v>46</v>
      </c>
      <c r="B346" s="21" t="str">
        <f>HYPERLINK("https://gerandofalcoes.my.salesforce.com/0014P00003YSp7r", "0014P00003YSp7r")</f>
        <v>0014P00003YSp7r</v>
      </c>
      <c r="C346" s="21" t="str">
        <f>HYPERLINK("https://gerandofalcoes.my.salesforce.com/0014P00003YSp7rQAD", "0014P00003YSp7rQAD")</f>
        <v>0014P00003YSp7rQAD</v>
      </c>
      <c r="D346" s="3" t="s">
        <v>9308</v>
      </c>
      <c r="E346" s="3"/>
      <c r="F346" s="3"/>
      <c r="G346" s="8">
        <v>44551</v>
      </c>
      <c r="H346" s="3">
        <v>245</v>
      </c>
      <c r="I346" s="3" t="s">
        <v>9309</v>
      </c>
      <c r="J346" s="3" t="s">
        <v>9310</v>
      </c>
      <c r="K346" s="3" t="s">
        <v>9311</v>
      </c>
      <c r="L346" s="3" t="s">
        <v>379</v>
      </c>
      <c r="M346" s="3" t="s">
        <v>9312</v>
      </c>
      <c r="N346" s="3" t="s">
        <v>9313</v>
      </c>
      <c r="O346" s="3">
        <v>76</v>
      </c>
      <c r="P346" s="3" t="s">
        <v>381</v>
      </c>
      <c r="Q346" s="3" t="s">
        <v>9314</v>
      </c>
      <c r="R346" s="3" t="s">
        <v>9315</v>
      </c>
      <c r="T346" s="3" t="s">
        <v>9316</v>
      </c>
      <c r="U346" s="3" t="s">
        <v>9317</v>
      </c>
      <c r="V346" s="3" t="s">
        <v>9241</v>
      </c>
      <c r="W346" s="3">
        <v>6</v>
      </c>
      <c r="X346" s="3">
        <v>6</v>
      </c>
      <c r="Y346" s="3"/>
      <c r="AA346" s="3">
        <v>20</v>
      </c>
      <c r="AB346" s="6">
        <v>43120</v>
      </c>
      <c r="AC346" s="3" t="s">
        <v>120</v>
      </c>
      <c r="AD346" s="3">
        <v>1</v>
      </c>
      <c r="AE346" s="3">
        <v>8</v>
      </c>
      <c r="AF346" s="3">
        <v>2</v>
      </c>
      <c r="AG346" s="3" t="s">
        <v>9198</v>
      </c>
      <c r="AH346" s="3">
        <v>0</v>
      </c>
      <c r="AI346" s="3">
        <v>11000</v>
      </c>
      <c r="AJ346" s="3"/>
      <c r="AK346" s="3"/>
      <c r="AL346" s="3"/>
      <c r="AM346" s="7" t="s">
        <v>9318</v>
      </c>
      <c r="AN346" s="7" t="s">
        <v>9319</v>
      </c>
      <c r="AO346" s="7" t="s">
        <v>9320</v>
      </c>
      <c r="AR346" s="3"/>
      <c r="AS346" s="3"/>
      <c r="AT346" s="7" t="s">
        <v>9321</v>
      </c>
    </row>
    <row r="347" spans="1:47" ht="12.5" x14ac:dyDescent="0.25">
      <c r="A347" s="3" t="s">
        <v>152</v>
      </c>
      <c r="B347" s="21" t="str">
        <f>HYPERLINK("https://gerandofalcoes.my.salesforce.com/0014P00003YSp7s", "0014P00003YSp7s")</f>
        <v>0014P00003YSp7s</v>
      </c>
      <c r="C347" s="21" t="str">
        <f>HYPERLINK("https://gerandofalcoes.my.salesforce.com/0014P00003YSp7sQAD", "0014P00003YSp7sQAD")</f>
        <v>0014P00003YSp7sQAD</v>
      </c>
      <c r="D347" s="3" t="s">
        <v>9322</v>
      </c>
      <c r="E347" s="3" t="s">
        <v>9323</v>
      </c>
      <c r="F347" s="3" t="s">
        <v>9324</v>
      </c>
      <c r="G347" s="8">
        <v>44551</v>
      </c>
      <c r="H347" s="3">
        <v>245</v>
      </c>
      <c r="I347" s="3" t="s">
        <v>9325</v>
      </c>
      <c r="J347" s="3" t="s">
        <v>9326</v>
      </c>
      <c r="K347" s="3" t="s">
        <v>9327</v>
      </c>
      <c r="L347" s="3" t="s">
        <v>1871</v>
      </c>
      <c r="M347" s="3" t="s">
        <v>9328</v>
      </c>
      <c r="N347" s="3" t="s">
        <v>9329</v>
      </c>
      <c r="O347" s="3">
        <v>77</v>
      </c>
      <c r="P347" s="3" t="s">
        <v>7514</v>
      </c>
      <c r="Q347" s="3" t="s">
        <v>9330</v>
      </c>
      <c r="R347" s="3" t="s">
        <v>9331</v>
      </c>
      <c r="T347" s="3" t="s">
        <v>9332</v>
      </c>
      <c r="U347" s="3" t="s">
        <v>3799</v>
      </c>
      <c r="V347" s="3" t="s">
        <v>9333</v>
      </c>
      <c r="W347" s="3">
        <v>3</v>
      </c>
      <c r="X347" s="3">
        <v>3</v>
      </c>
      <c r="Y347" s="3"/>
      <c r="AA347" s="3">
        <v>300</v>
      </c>
      <c r="AB347" s="6">
        <v>42952</v>
      </c>
      <c r="AC347" s="3" t="s">
        <v>62</v>
      </c>
      <c r="AD347" s="3">
        <v>12</v>
      </c>
      <c r="AE347" s="3">
        <v>12</v>
      </c>
      <c r="AF347" s="3">
        <v>3</v>
      </c>
      <c r="AG347" s="3" t="s">
        <v>9334</v>
      </c>
      <c r="AH347" s="3" t="s">
        <v>9335</v>
      </c>
      <c r="AI347" s="3">
        <v>60000</v>
      </c>
      <c r="AJ347" s="3"/>
      <c r="AK347" s="3"/>
      <c r="AL347" s="7" t="s">
        <v>9336</v>
      </c>
      <c r="AM347" s="7" t="s">
        <v>9337</v>
      </c>
      <c r="AN347" s="7" t="s">
        <v>9338</v>
      </c>
      <c r="AO347" s="7" t="s">
        <v>9339</v>
      </c>
      <c r="AR347" s="7" t="s">
        <v>9340</v>
      </c>
      <c r="AS347" s="7" t="s">
        <v>9341</v>
      </c>
      <c r="AT347" s="7" t="s">
        <v>9342</v>
      </c>
    </row>
    <row r="348" spans="1:47" ht="12.5" x14ac:dyDescent="0.25">
      <c r="A348" s="3" t="s">
        <v>46</v>
      </c>
      <c r="B348" s="21" t="str">
        <f>HYPERLINK("https://gerandofalcoes.my.salesforce.com/0014P00003YSp7t", "0014P00003YSp7t")</f>
        <v>0014P00003YSp7t</v>
      </c>
      <c r="C348" s="21" t="str">
        <f>HYPERLINK("https://gerandofalcoes.my.salesforce.com/0014P00003YSp7tQAD", "0014P00003YSp7tQAD")</f>
        <v>0014P00003YSp7tQAD</v>
      </c>
      <c r="D348" s="3" t="s">
        <v>9343</v>
      </c>
      <c r="E348" s="3"/>
      <c r="F348" s="3"/>
      <c r="G348" s="8">
        <v>44551</v>
      </c>
      <c r="H348" s="3">
        <v>245</v>
      </c>
      <c r="I348" s="3" t="s">
        <v>9344</v>
      </c>
      <c r="J348" s="3" t="s">
        <v>9345</v>
      </c>
      <c r="K348" s="3" t="s">
        <v>9346</v>
      </c>
      <c r="L348" s="3" t="s">
        <v>1002</v>
      </c>
      <c r="M348" s="3" t="s">
        <v>9347</v>
      </c>
      <c r="N348" s="3" t="s">
        <v>9348</v>
      </c>
      <c r="O348" s="3">
        <v>96</v>
      </c>
      <c r="P348" s="3" t="s">
        <v>1848</v>
      </c>
      <c r="Q348" s="3" t="s">
        <v>9349</v>
      </c>
      <c r="R348" s="3" t="s">
        <v>9350</v>
      </c>
      <c r="T348" s="3" t="s">
        <v>9351</v>
      </c>
      <c r="U348" s="3" t="s">
        <v>3817</v>
      </c>
      <c r="V348" s="3" t="s">
        <v>9352</v>
      </c>
      <c r="W348" s="3">
        <v>11</v>
      </c>
      <c r="X348" s="3">
        <v>11</v>
      </c>
      <c r="Y348" s="3" t="s">
        <v>9353</v>
      </c>
      <c r="AA348" s="3">
        <v>11000</v>
      </c>
      <c r="AB348" s="6">
        <v>40059</v>
      </c>
      <c r="AC348" s="3" t="s">
        <v>62</v>
      </c>
      <c r="AD348" s="3">
        <v>8</v>
      </c>
      <c r="AE348" s="3">
        <v>26</v>
      </c>
      <c r="AF348" s="3">
        <v>2</v>
      </c>
      <c r="AG348" s="3" t="s">
        <v>3833</v>
      </c>
      <c r="AH348" s="5">
        <v>0</v>
      </c>
      <c r="AI348" s="3">
        <v>0</v>
      </c>
      <c r="AJ348" s="3"/>
      <c r="AK348" s="3"/>
      <c r="AL348" s="7" t="s">
        <v>9354</v>
      </c>
      <c r="AM348" s="7" t="s">
        <v>9355</v>
      </c>
      <c r="AN348" s="7" t="s">
        <v>9356</v>
      </c>
      <c r="AO348" s="3"/>
      <c r="AR348" s="3"/>
      <c r="AS348" s="3"/>
      <c r="AT348" s="3"/>
    </row>
    <row r="349" spans="1:47" ht="12.5" x14ac:dyDescent="0.25">
      <c r="A349" s="3" t="s">
        <v>46</v>
      </c>
      <c r="B349" s="21" t="str">
        <f>HYPERLINK("https://gerandofalcoes.my.salesforce.com/0014P00003YSp7u", "0014P00003YSp7u")</f>
        <v>0014P00003YSp7u</v>
      </c>
      <c r="C349" s="21" t="str">
        <f>HYPERLINK("https://gerandofalcoes.my.salesforce.com/0014P00003YSp7uQAD", "0014P00003YSp7uQAD")</f>
        <v>0014P00003YSp7uQAD</v>
      </c>
      <c r="D349" s="3" t="s">
        <v>9357</v>
      </c>
      <c r="E349" s="3"/>
      <c r="F349" s="3" t="s">
        <v>9358</v>
      </c>
      <c r="G349" s="8">
        <v>44551</v>
      </c>
      <c r="H349" s="3">
        <v>245</v>
      </c>
      <c r="I349" s="3" t="s">
        <v>9359</v>
      </c>
      <c r="J349" s="3" t="s">
        <v>9360</v>
      </c>
      <c r="K349" s="3" t="s">
        <v>9361</v>
      </c>
      <c r="L349" s="3" t="s">
        <v>1002</v>
      </c>
      <c r="M349" s="3" t="s">
        <v>9362</v>
      </c>
      <c r="N349" s="3" t="s">
        <v>9363</v>
      </c>
      <c r="O349" s="3">
        <v>679</v>
      </c>
      <c r="P349" s="3" t="s">
        <v>9364</v>
      </c>
      <c r="Q349" s="3"/>
      <c r="R349" s="3" t="s">
        <v>9365</v>
      </c>
      <c r="S349" s="3"/>
      <c r="T349" s="3" t="s">
        <v>9366</v>
      </c>
      <c r="U349" s="3" t="s">
        <v>3817</v>
      </c>
      <c r="V349" s="3" t="s">
        <v>9367</v>
      </c>
      <c r="W349" s="3">
        <v>12</v>
      </c>
      <c r="X349" s="3">
        <v>12</v>
      </c>
      <c r="Y349" s="3" t="s">
        <v>9368</v>
      </c>
      <c r="AA349" s="3">
        <v>10000</v>
      </c>
      <c r="AB349" s="6">
        <v>42783</v>
      </c>
      <c r="AC349" s="3" t="s">
        <v>62</v>
      </c>
      <c r="AD349" s="3">
        <v>5</v>
      </c>
      <c r="AE349" s="3">
        <v>50</v>
      </c>
      <c r="AF349" s="3">
        <v>6</v>
      </c>
      <c r="AG349" s="3" t="s">
        <v>9369</v>
      </c>
      <c r="AH349" s="3" t="s">
        <v>9370</v>
      </c>
      <c r="AI349" s="3">
        <v>250000</v>
      </c>
      <c r="AJ349" s="3"/>
      <c r="AK349" s="3"/>
      <c r="AL349" s="7" t="s">
        <v>9371</v>
      </c>
      <c r="AM349" s="7" t="s">
        <v>9372</v>
      </c>
      <c r="AN349" s="7" t="s">
        <v>9373</v>
      </c>
      <c r="AO349" s="3"/>
      <c r="AR349" s="7" t="s">
        <v>9374</v>
      </c>
      <c r="AS349" s="7" t="s">
        <v>9375</v>
      </c>
      <c r="AT349" s="3"/>
    </row>
    <row r="350" spans="1:47" ht="12.5" x14ac:dyDescent="0.25">
      <c r="A350" s="3" t="s">
        <v>46</v>
      </c>
      <c r="B350" s="21" t="str">
        <f>HYPERLINK("https://gerandofalcoes.my.salesforce.com/0014P00003YSp7v", "0014P00003YSp7v")</f>
        <v>0014P00003YSp7v</v>
      </c>
      <c r="C350" s="21" t="str">
        <f>HYPERLINK("https://gerandofalcoes.my.salesforce.com/0014P00003YSp7vQAD", "0014P00003YSp7vQAD")</f>
        <v>0014P00003YSp7vQAD</v>
      </c>
      <c r="D350" s="3" t="s">
        <v>9376</v>
      </c>
      <c r="E350" s="3"/>
      <c r="F350" s="3" t="s">
        <v>9377</v>
      </c>
      <c r="G350" s="8">
        <v>44551</v>
      </c>
      <c r="H350" s="3">
        <v>245</v>
      </c>
      <c r="I350" s="3" t="s">
        <v>9378</v>
      </c>
      <c r="J350" s="3" t="s">
        <v>9379</v>
      </c>
      <c r="K350" s="3" t="s">
        <v>9380</v>
      </c>
      <c r="L350" s="3" t="s">
        <v>468</v>
      </c>
      <c r="M350" s="3">
        <v>412</v>
      </c>
      <c r="N350" s="3" t="s">
        <v>9381</v>
      </c>
      <c r="O350" s="3">
        <v>486</v>
      </c>
      <c r="P350" s="3" t="s">
        <v>470</v>
      </c>
      <c r="Q350" s="3" t="s">
        <v>9382</v>
      </c>
      <c r="R350" s="3" t="s">
        <v>9383</v>
      </c>
      <c r="S350" s="3"/>
      <c r="T350" s="3" t="s">
        <v>9384</v>
      </c>
      <c r="U350" s="3" t="s">
        <v>9269</v>
      </c>
      <c r="V350" s="3" t="s">
        <v>3800</v>
      </c>
      <c r="W350" s="3">
        <v>30</v>
      </c>
      <c r="X350" s="3">
        <v>30</v>
      </c>
      <c r="Y350" s="3" t="s">
        <v>9385</v>
      </c>
      <c r="AA350" s="3">
        <v>50</v>
      </c>
      <c r="AB350" s="6">
        <v>43699</v>
      </c>
      <c r="AC350" s="3" t="s">
        <v>120</v>
      </c>
      <c r="AD350" s="3">
        <v>2</v>
      </c>
      <c r="AE350" s="3">
        <v>8</v>
      </c>
      <c r="AF350" s="3">
        <v>2</v>
      </c>
      <c r="AG350" s="3" t="s">
        <v>9198</v>
      </c>
      <c r="AH350" s="3" t="s">
        <v>9386</v>
      </c>
      <c r="AI350" s="3">
        <v>7000</v>
      </c>
      <c r="AJ350" s="3"/>
      <c r="AK350" s="3"/>
      <c r="AL350" s="7" t="s">
        <v>9387</v>
      </c>
      <c r="AM350" s="7" t="s">
        <v>9388</v>
      </c>
      <c r="AN350" s="3"/>
      <c r="AO350" s="3"/>
      <c r="AR350" s="3"/>
      <c r="AS350" s="3"/>
      <c r="AT350" s="3"/>
    </row>
    <row r="351" spans="1:47" ht="12.5" x14ac:dyDescent="0.25">
      <c r="A351" s="3" t="s">
        <v>46</v>
      </c>
      <c r="B351" s="21" t="str">
        <f>HYPERLINK("https://gerandofalcoes.my.salesforce.com/0014P00003YSp7x", "0014P00003YSp7x")</f>
        <v>0014P00003YSp7x</v>
      </c>
      <c r="C351" s="21" t="str">
        <f>HYPERLINK("https://gerandofalcoes.my.salesforce.com/0014P00003YSp7xQAD", "0014P00003YSp7xQAD")</f>
        <v>0014P00003YSp7xQAD</v>
      </c>
      <c r="D351" s="3" t="s">
        <v>9389</v>
      </c>
      <c r="F351" s="3"/>
      <c r="G351" s="8">
        <v>44551</v>
      </c>
      <c r="H351" s="3">
        <v>245</v>
      </c>
      <c r="I351" s="3" t="s">
        <v>9390</v>
      </c>
      <c r="J351" s="3" t="s">
        <v>9391</v>
      </c>
      <c r="K351" s="3"/>
      <c r="L351" s="3" t="s">
        <v>1002</v>
      </c>
      <c r="M351" s="3" t="s">
        <v>9392</v>
      </c>
      <c r="N351" s="3" t="s">
        <v>9393</v>
      </c>
      <c r="O351" s="3">
        <v>24</v>
      </c>
      <c r="P351" s="3" t="s">
        <v>1848</v>
      </c>
      <c r="Q351" s="3" t="s">
        <v>9394</v>
      </c>
      <c r="R351" s="3">
        <v>40060245</v>
      </c>
      <c r="T351" s="3"/>
      <c r="U351" s="3"/>
      <c r="V351" s="3"/>
      <c r="W351" s="3">
        <v>5</v>
      </c>
      <c r="X351" s="3" t="s">
        <v>9395</v>
      </c>
      <c r="Y351" s="3"/>
      <c r="AA351" s="3">
        <v>400</v>
      </c>
      <c r="AB351" s="6">
        <v>33791</v>
      </c>
      <c r="AC351" s="3" t="s">
        <v>120</v>
      </c>
      <c r="AD351" s="3">
        <v>7</v>
      </c>
      <c r="AE351" s="3">
        <v>22</v>
      </c>
      <c r="AF351" s="3">
        <v>3</v>
      </c>
      <c r="AG351" s="3"/>
      <c r="AH351" s="3"/>
      <c r="AI351" s="3">
        <v>1000</v>
      </c>
      <c r="AL351" s="3"/>
      <c r="AM351" s="3"/>
      <c r="AN351" s="3"/>
      <c r="AO351" s="3"/>
      <c r="AR351" s="3"/>
      <c r="AS351" s="3"/>
      <c r="AT351" s="3"/>
    </row>
    <row r="352" spans="1:47" ht="12.5" x14ac:dyDescent="0.25">
      <c r="A352" s="3" t="s">
        <v>46</v>
      </c>
      <c r="B352" s="21" t="str">
        <f>HYPERLINK("https://gerandofalcoes.my.salesforce.com/0014P00003YSp7y", "0014P00003YSp7y")</f>
        <v>0014P00003YSp7y</v>
      </c>
      <c r="C352" s="21" t="str">
        <f>HYPERLINK("https://gerandofalcoes.my.salesforce.com/0014P00003YSp7yQAD", "0014P00003YSp7yQAD")</f>
        <v>0014P00003YSp7yQAD</v>
      </c>
      <c r="D352" s="3" t="s">
        <v>9396</v>
      </c>
      <c r="F352" s="3"/>
      <c r="G352" s="8">
        <v>44551</v>
      </c>
      <c r="H352" s="3">
        <v>245</v>
      </c>
      <c r="I352" s="3" t="s">
        <v>9397</v>
      </c>
      <c r="J352" s="3" t="s">
        <v>9398</v>
      </c>
      <c r="K352" s="3" t="s">
        <v>9399</v>
      </c>
      <c r="L352" s="3" t="s">
        <v>379</v>
      </c>
      <c r="M352" s="3" t="s">
        <v>9400</v>
      </c>
      <c r="N352" s="3" t="s">
        <v>9401</v>
      </c>
      <c r="O352" s="3">
        <v>112</v>
      </c>
      <c r="P352" s="3" t="s">
        <v>381</v>
      </c>
      <c r="Q352" s="3" t="s">
        <v>1539</v>
      </c>
      <c r="R352" s="3" t="s">
        <v>9402</v>
      </c>
      <c r="T352" s="3" t="s">
        <v>9403</v>
      </c>
      <c r="U352" s="3" t="s">
        <v>8868</v>
      </c>
      <c r="V352" s="3" t="s">
        <v>8840</v>
      </c>
      <c r="W352" s="3">
        <v>0</v>
      </c>
      <c r="X352" s="3">
        <v>600</v>
      </c>
      <c r="Y352" s="3"/>
      <c r="AA352" s="3">
        <v>600</v>
      </c>
      <c r="AB352" s="6">
        <v>43354</v>
      </c>
      <c r="AC352" s="3" t="s">
        <v>120</v>
      </c>
      <c r="AD352" s="3">
        <v>0</v>
      </c>
      <c r="AE352" s="3">
        <v>3</v>
      </c>
      <c r="AF352" s="3">
        <v>2</v>
      </c>
      <c r="AG352" s="3" t="s">
        <v>3819</v>
      </c>
      <c r="AH352" s="3">
        <v>0</v>
      </c>
      <c r="AI352" s="3">
        <v>20000</v>
      </c>
      <c r="AL352" s="3"/>
      <c r="AM352" s="7" t="s">
        <v>9404</v>
      </c>
      <c r="AN352" s="3"/>
      <c r="AO352" s="3"/>
      <c r="AR352" s="3"/>
      <c r="AS352" s="3"/>
      <c r="AT352" s="3"/>
    </row>
    <row r="353" spans="1:46" ht="12.5" x14ac:dyDescent="0.25">
      <c r="A353" s="3" t="s">
        <v>46</v>
      </c>
      <c r="B353" s="21" t="str">
        <f>HYPERLINK("https://gerandofalcoes.my.salesforce.com/0014P00003YSp7z", "0014P00003YSp7z")</f>
        <v>0014P00003YSp7z</v>
      </c>
      <c r="C353" s="21" t="str">
        <f>HYPERLINK("https://gerandofalcoes.my.salesforce.com/0014P00003YSp7zQAD", "0014P00003YSp7zQAD")</f>
        <v>0014P00003YSp7zQAD</v>
      </c>
      <c r="D353" s="3" t="s">
        <v>9405</v>
      </c>
      <c r="F353" s="3" t="s">
        <v>9406</v>
      </c>
      <c r="G353" s="8">
        <v>44551</v>
      </c>
      <c r="H353" s="3">
        <v>245</v>
      </c>
      <c r="I353" s="3" t="s">
        <v>9407</v>
      </c>
      <c r="J353" s="3" t="s">
        <v>9408</v>
      </c>
      <c r="K353" s="3" t="s">
        <v>9409</v>
      </c>
      <c r="L353" s="3" t="s">
        <v>295</v>
      </c>
      <c r="M353" s="3" t="s">
        <v>9410</v>
      </c>
      <c r="N353" s="3" t="s">
        <v>9411</v>
      </c>
      <c r="O353" s="3">
        <v>0</v>
      </c>
      <c r="P353" s="3" t="s">
        <v>297</v>
      </c>
      <c r="Q353" s="3" t="s">
        <v>9412</v>
      </c>
      <c r="R353" s="3" t="s">
        <v>9413</v>
      </c>
      <c r="T353" s="3" t="s">
        <v>9414</v>
      </c>
      <c r="U353" s="3" t="s">
        <v>3817</v>
      </c>
      <c r="V353" s="3" t="s">
        <v>9415</v>
      </c>
      <c r="W353" s="3">
        <v>6</v>
      </c>
      <c r="X353" s="3">
        <v>6</v>
      </c>
      <c r="Y353" s="3" t="s">
        <v>9416</v>
      </c>
      <c r="AA353" s="3">
        <v>3500</v>
      </c>
      <c r="AB353" s="6">
        <v>42095</v>
      </c>
      <c r="AC353" s="3" t="s">
        <v>62</v>
      </c>
      <c r="AD353" s="3">
        <v>1</v>
      </c>
      <c r="AE353" s="3">
        <v>11</v>
      </c>
      <c r="AF353" s="3">
        <v>0</v>
      </c>
      <c r="AG353" s="3" t="s">
        <v>9417</v>
      </c>
      <c r="AH353" s="3" t="s">
        <v>9418</v>
      </c>
      <c r="AI353" s="3">
        <v>380000</v>
      </c>
      <c r="AL353" s="7" t="s">
        <v>9419</v>
      </c>
      <c r="AM353" s="7" t="s">
        <v>9420</v>
      </c>
      <c r="AN353" s="7" t="s">
        <v>9419</v>
      </c>
      <c r="AO353" s="3"/>
      <c r="AR353" s="7" t="s">
        <v>9421</v>
      </c>
      <c r="AS353" s="7" t="s">
        <v>9422</v>
      </c>
      <c r="AT353" s="3"/>
    </row>
    <row r="354" spans="1:46" ht="12.5" x14ac:dyDescent="0.25">
      <c r="A354" s="3" t="s">
        <v>46</v>
      </c>
      <c r="B354" s="21" t="str">
        <f>HYPERLINK("https://gerandofalcoes.my.salesforce.com/0014P00003YSp80", "0014P00003YSp80")</f>
        <v>0014P00003YSp80</v>
      </c>
      <c r="C354" s="21" t="str">
        <f>HYPERLINK("https://gerandofalcoes.my.salesforce.com/0014P00003YSp80QAD", "0014P00003YSp80QAD")</f>
        <v>0014P00003YSp80QAD</v>
      </c>
      <c r="D354" s="3" t="s">
        <v>9423</v>
      </c>
      <c r="F354" s="3"/>
      <c r="G354" s="8">
        <v>44551</v>
      </c>
      <c r="H354" s="3">
        <v>245</v>
      </c>
      <c r="I354" s="3" t="s">
        <v>9424</v>
      </c>
      <c r="J354" s="3" t="s">
        <v>9425</v>
      </c>
      <c r="K354" s="3" t="s">
        <v>9426</v>
      </c>
      <c r="L354" s="3" t="s">
        <v>70</v>
      </c>
      <c r="M354" s="3" t="s">
        <v>9427</v>
      </c>
      <c r="N354" s="3" t="s">
        <v>9428</v>
      </c>
      <c r="O354" s="3">
        <v>1</v>
      </c>
      <c r="P354" s="3" t="s">
        <v>6367</v>
      </c>
      <c r="Q354" s="3" t="s">
        <v>9429</v>
      </c>
      <c r="R354" s="3" t="s">
        <v>9430</v>
      </c>
      <c r="T354" s="3" t="s">
        <v>3798</v>
      </c>
      <c r="U354" s="3" t="s">
        <v>8880</v>
      </c>
      <c r="V354" s="3" t="s">
        <v>3800</v>
      </c>
      <c r="W354" s="3">
        <v>4</v>
      </c>
      <c r="X354" s="3">
        <v>4</v>
      </c>
      <c r="Y354" s="3"/>
      <c r="AA354" s="3">
        <v>150</v>
      </c>
      <c r="AB354" s="8">
        <v>42653</v>
      </c>
      <c r="AC354" s="3" t="s">
        <v>120</v>
      </c>
      <c r="AD354" s="3">
        <v>1</v>
      </c>
      <c r="AE354" s="3">
        <v>3</v>
      </c>
      <c r="AF354" s="3">
        <v>2</v>
      </c>
      <c r="AG354" s="3" t="s">
        <v>9088</v>
      </c>
      <c r="AH354" s="3" t="s">
        <v>120</v>
      </c>
      <c r="AI354" s="3">
        <v>12000</v>
      </c>
      <c r="AL354" s="3"/>
      <c r="AM354" s="7" t="s">
        <v>9431</v>
      </c>
      <c r="AN354" s="3"/>
      <c r="AO354" s="3"/>
      <c r="AR354" s="3"/>
      <c r="AS354" s="3"/>
      <c r="AT354" s="3"/>
    </row>
    <row r="355" spans="1:46" ht="12.5" x14ac:dyDescent="0.25">
      <c r="A355" s="3" t="s">
        <v>46</v>
      </c>
      <c r="B355" s="21" t="str">
        <f>HYPERLINK("https://gerandofalcoes.my.salesforce.com/0014P00003YSp81", "0014P00003YSp81")</f>
        <v>0014P00003YSp81</v>
      </c>
      <c r="C355" s="21" t="str">
        <f>HYPERLINK("https://gerandofalcoes.my.salesforce.com/0014P00003YSp81QAD", "0014P00003YSp81QAD")</f>
        <v>0014P00003YSp81QAD</v>
      </c>
      <c r="D355" s="3" t="s">
        <v>9432</v>
      </c>
      <c r="F355" s="3" t="s">
        <v>9433</v>
      </c>
      <c r="G355" s="8">
        <v>44551</v>
      </c>
      <c r="H355" s="3">
        <v>245</v>
      </c>
      <c r="I355" s="3" t="s">
        <v>9434</v>
      </c>
      <c r="J355" s="3" t="s">
        <v>9435</v>
      </c>
      <c r="K355" s="3" t="s">
        <v>9436</v>
      </c>
      <c r="L355" s="3" t="s">
        <v>70</v>
      </c>
      <c r="M355" s="3" t="s">
        <v>9437</v>
      </c>
      <c r="N355" s="3" t="s">
        <v>9438</v>
      </c>
      <c r="O355" s="3">
        <v>1</v>
      </c>
      <c r="P355" s="3" t="s">
        <v>9439</v>
      </c>
      <c r="Q355" s="3"/>
      <c r="R355" s="3" t="s">
        <v>9440</v>
      </c>
      <c r="T355" s="3" t="s">
        <v>9441</v>
      </c>
      <c r="U355" s="3" t="s">
        <v>9442</v>
      </c>
      <c r="V355" s="3" t="s">
        <v>9443</v>
      </c>
      <c r="W355" s="3">
        <v>4</v>
      </c>
      <c r="X355" s="3">
        <v>4</v>
      </c>
      <c r="Y355" s="3"/>
      <c r="AA355" s="3">
        <v>300</v>
      </c>
      <c r="AB355" s="6">
        <v>43441</v>
      </c>
      <c r="AC355" s="3" t="s">
        <v>120</v>
      </c>
      <c r="AD355" s="3">
        <v>0</v>
      </c>
      <c r="AE355" s="3">
        <v>10</v>
      </c>
      <c r="AF355" s="3">
        <v>2</v>
      </c>
      <c r="AG355" s="3" t="s">
        <v>9444</v>
      </c>
      <c r="AH355" s="3" t="s">
        <v>9445</v>
      </c>
      <c r="AI355" s="3">
        <v>5000</v>
      </c>
      <c r="AL355" s="3"/>
      <c r="AM355" s="7" t="s">
        <v>9446</v>
      </c>
      <c r="AN355" s="3"/>
      <c r="AO355" s="3"/>
      <c r="AR355" s="3"/>
      <c r="AS355" s="3"/>
      <c r="AT355" s="3"/>
    </row>
    <row r="356" spans="1:46" ht="12.5" x14ac:dyDescent="0.25">
      <c r="A356" s="3" t="s">
        <v>46</v>
      </c>
      <c r="B356" s="21" t="str">
        <f>HYPERLINK("https://gerandofalcoes.my.salesforce.com/0014P00003YSp82", "0014P00003YSp82")</f>
        <v>0014P00003YSp82</v>
      </c>
      <c r="C356" s="21" t="str">
        <f>HYPERLINK("https://gerandofalcoes.my.salesforce.com/0014P00003YSp82QAD", "0014P00003YSp82QAD")</f>
        <v>0014P00003YSp82QAD</v>
      </c>
      <c r="D356" s="3" t="s">
        <v>9447</v>
      </c>
      <c r="F356" s="3" t="s">
        <v>9448</v>
      </c>
      <c r="G356" s="8">
        <v>44551</v>
      </c>
      <c r="H356" s="3">
        <v>245</v>
      </c>
      <c r="I356" s="3" t="s">
        <v>9449</v>
      </c>
      <c r="J356" s="3" t="s">
        <v>9450</v>
      </c>
      <c r="K356" s="3" t="s">
        <v>9451</v>
      </c>
      <c r="L356" s="3" t="s">
        <v>70</v>
      </c>
      <c r="M356" s="3" t="s">
        <v>9452</v>
      </c>
      <c r="N356" s="3" t="s">
        <v>7357</v>
      </c>
      <c r="O356" s="3">
        <v>12</v>
      </c>
      <c r="P356" s="3" t="s">
        <v>73</v>
      </c>
      <c r="Q356" s="3" t="s">
        <v>9453</v>
      </c>
      <c r="R356" s="3" t="s">
        <v>7358</v>
      </c>
      <c r="T356" s="3" t="s">
        <v>9454</v>
      </c>
      <c r="U356" s="3" t="s">
        <v>9212</v>
      </c>
      <c r="V356" s="3" t="s">
        <v>3800</v>
      </c>
      <c r="W356" s="3">
        <v>7</v>
      </c>
      <c r="X356" s="3">
        <v>7</v>
      </c>
      <c r="Y356" s="3"/>
      <c r="AA356" s="3">
        <v>400</v>
      </c>
      <c r="AB356" s="8">
        <v>44547</v>
      </c>
      <c r="AC356" s="3" t="s">
        <v>120</v>
      </c>
      <c r="AD356" s="3">
        <v>9</v>
      </c>
      <c r="AE356" s="3">
        <v>9</v>
      </c>
      <c r="AF356" s="3">
        <v>4</v>
      </c>
      <c r="AG356" s="3" t="s">
        <v>3785</v>
      </c>
      <c r="AH356" s="3" t="s">
        <v>9455</v>
      </c>
      <c r="AI356" s="3">
        <v>10500</v>
      </c>
      <c r="AL356" s="7" t="s">
        <v>9456</v>
      </c>
      <c r="AM356" s="7" t="s">
        <v>9457</v>
      </c>
      <c r="AN356" s="7" t="s">
        <v>9458</v>
      </c>
      <c r="AO356" s="3"/>
      <c r="AR356" s="3"/>
      <c r="AS356" s="3"/>
      <c r="AT356" s="7" t="s">
        <v>9459</v>
      </c>
    </row>
    <row r="357" spans="1:46" ht="12.5" x14ac:dyDescent="0.25">
      <c r="A357" s="3" t="s">
        <v>46</v>
      </c>
      <c r="B357" s="21" t="str">
        <f>HYPERLINK("https://gerandofalcoes.my.salesforce.com/0014P00003YSp83", "0014P00003YSp83")</f>
        <v>0014P00003YSp83</v>
      </c>
      <c r="C357" s="21" t="str">
        <f>HYPERLINK("https://gerandofalcoes.my.salesforce.com/0014P00003YSp83QAD", "0014P00003YSp83QAD")</f>
        <v>0014P00003YSp83QAD</v>
      </c>
      <c r="D357" s="3" t="s">
        <v>9460</v>
      </c>
      <c r="F357" s="3" t="s">
        <v>9461</v>
      </c>
      <c r="G357" s="8">
        <v>44551</v>
      </c>
      <c r="H357" s="3">
        <v>245</v>
      </c>
      <c r="I357" s="3" t="s">
        <v>9462</v>
      </c>
      <c r="J357" s="3" t="s">
        <v>9463</v>
      </c>
      <c r="K357" s="3" t="s">
        <v>9464</v>
      </c>
      <c r="L357" s="3" t="s">
        <v>70</v>
      </c>
      <c r="M357" s="3" t="s">
        <v>9465</v>
      </c>
      <c r="N357" s="3" t="s">
        <v>7407</v>
      </c>
      <c r="O357" s="3">
        <v>199</v>
      </c>
      <c r="P357" s="3" t="s">
        <v>73</v>
      </c>
      <c r="Q357" s="3" t="s">
        <v>7865</v>
      </c>
      <c r="R357" s="3" t="s">
        <v>9466</v>
      </c>
      <c r="T357" s="3" t="s">
        <v>9467</v>
      </c>
      <c r="U357" s="3" t="s">
        <v>8880</v>
      </c>
      <c r="V357" s="3" t="s">
        <v>9468</v>
      </c>
      <c r="W357" s="3">
        <v>10</v>
      </c>
      <c r="X357" s="3">
        <v>10</v>
      </c>
      <c r="Y357" s="3" t="s">
        <v>9469</v>
      </c>
      <c r="AA357" s="3">
        <v>2000</v>
      </c>
      <c r="AB357" s="8">
        <v>43822</v>
      </c>
      <c r="AC357" s="3" t="s">
        <v>62</v>
      </c>
      <c r="AD357" s="3">
        <v>3</v>
      </c>
      <c r="AE357" s="3">
        <v>12</v>
      </c>
      <c r="AF357" s="3">
        <v>3</v>
      </c>
      <c r="AG357" s="3" t="s">
        <v>3771</v>
      </c>
      <c r="AH357" s="3" t="s">
        <v>9470</v>
      </c>
      <c r="AI357" s="3">
        <v>197325</v>
      </c>
      <c r="AL357" s="7" t="s">
        <v>9471</v>
      </c>
      <c r="AM357" s="7" t="s">
        <v>9472</v>
      </c>
      <c r="AN357" s="7" t="s">
        <v>9473</v>
      </c>
      <c r="AO357" s="7" t="s">
        <v>9474</v>
      </c>
      <c r="AR357" s="7" t="s">
        <v>9475</v>
      </c>
      <c r="AS357" s="7" t="s">
        <v>9476</v>
      </c>
      <c r="AT357" s="7" t="s">
        <v>9477</v>
      </c>
    </row>
    <row r="358" spans="1:46" ht="12.5" x14ac:dyDescent="0.25">
      <c r="A358" s="3" t="s">
        <v>46</v>
      </c>
      <c r="B358" s="21" t="str">
        <f>HYPERLINK("https://gerandofalcoes.my.salesforce.com/0014P00003YSp84", "0014P00003YSp84")</f>
        <v>0014P00003YSp84</v>
      </c>
      <c r="C358" s="21" t="str">
        <f>HYPERLINK("https://gerandofalcoes.my.salesforce.com/0014P00003YSp84QAD", "0014P00003YSp84QAD")</f>
        <v>0014P00003YSp84QAD</v>
      </c>
      <c r="D358" s="3" t="s">
        <v>9478</v>
      </c>
      <c r="F358" s="3" t="s">
        <v>9479</v>
      </c>
      <c r="G358" s="8">
        <v>44551</v>
      </c>
      <c r="H358" s="3">
        <v>245</v>
      </c>
      <c r="I358" s="3" t="s">
        <v>9480</v>
      </c>
      <c r="J358" s="3" t="s">
        <v>9481</v>
      </c>
      <c r="K358" s="3" t="s">
        <v>9482</v>
      </c>
      <c r="L358" s="3" t="s">
        <v>70</v>
      </c>
      <c r="M358" s="3" t="s">
        <v>9483</v>
      </c>
      <c r="N358" s="3" t="s">
        <v>9484</v>
      </c>
      <c r="O358" s="3">
        <v>382</v>
      </c>
      <c r="P358" s="3" t="s">
        <v>73</v>
      </c>
      <c r="Q358" s="3" t="s">
        <v>9485</v>
      </c>
      <c r="R358" s="3" t="s">
        <v>9486</v>
      </c>
      <c r="T358" s="3" t="s">
        <v>9487</v>
      </c>
      <c r="U358" s="3" t="s">
        <v>8880</v>
      </c>
      <c r="V358" s="3" t="s">
        <v>3818</v>
      </c>
      <c r="W358" s="3">
        <v>4</v>
      </c>
      <c r="X358" s="3">
        <v>4</v>
      </c>
      <c r="Y358" s="3" t="s">
        <v>9488</v>
      </c>
      <c r="AA358" s="3">
        <v>1500</v>
      </c>
      <c r="AB358" s="6">
        <v>43933</v>
      </c>
      <c r="AC358" s="3" t="s">
        <v>62</v>
      </c>
      <c r="AD358" s="3">
        <v>0</v>
      </c>
      <c r="AE358" s="3">
        <v>8</v>
      </c>
      <c r="AF358" s="3">
        <v>2</v>
      </c>
      <c r="AG358" s="3" t="s">
        <v>9198</v>
      </c>
      <c r="AH358" s="3">
        <v>0</v>
      </c>
      <c r="AI358" s="3">
        <v>0</v>
      </c>
      <c r="AL358" s="7" t="s">
        <v>9489</v>
      </c>
      <c r="AM358" s="7" t="s">
        <v>9490</v>
      </c>
      <c r="AN358" s="3"/>
      <c r="AO358" s="3"/>
      <c r="AR358" s="7" t="s">
        <v>9491</v>
      </c>
      <c r="AS358" s="7" t="s">
        <v>9492</v>
      </c>
      <c r="AT358" s="3"/>
    </row>
    <row r="359" spans="1:46" ht="12.5" x14ac:dyDescent="0.25">
      <c r="A359" s="3" t="s">
        <v>46</v>
      </c>
      <c r="B359" s="21" t="str">
        <f>HYPERLINK("https://gerandofalcoes.my.salesforce.com/0014P00003YSp86", "0014P00003YSp86")</f>
        <v>0014P00003YSp86</v>
      </c>
      <c r="C359" s="21" t="str">
        <f>HYPERLINK("https://gerandofalcoes.my.salesforce.com/0014P00003YSp86QAD", "0014P00003YSp86QAD")</f>
        <v>0014P00003YSp86QAD</v>
      </c>
      <c r="D359" s="3" t="s">
        <v>9493</v>
      </c>
      <c r="F359" s="3"/>
      <c r="G359" s="8">
        <v>44551</v>
      </c>
      <c r="H359" s="3">
        <v>245</v>
      </c>
      <c r="I359" s="3" t="s">
        <v>9494</v>
      </c>
      <c r="J359" s="3"/>
      <c r="K359" s="3" t="s">
        <v>9495</v>
      </c>
      <c r="L359" s="3" t="s">
        <v>70</v>
      </c>
      <c r="M359" s="3" t="s">
        <v>9496</v>
      </c>
      <c r="N359" s="3" t="s">
        <v>9497</v>
      </c>
      <c r="O359" s="3">
        <v>218</v>
      </c>
      <c r="P359" s="3" t="s">
        <v>73</v>
      </c>
      <c r="Q359" s="3" t="s">
        <v>9498</v>
      </c>
      <c r="R359" s="3" t="s">
        <v>9499</v>
      </c>
      <c r="T359" s="3" t="s">
        <v>8926</v>
      </c>
      <c r="U359" s="3" t="s">
        <v>9500</v>
      </c>
      <c r="V359" s="3" t="s">
        <v>3800</v>
      </c>
      <c r="W359" s="3">
        <v>1</v>
      </c>
      <c r="X359" s="3">
        <v>1</v>
      </c>
      <c r="Y359" s="3"/>
      <c r="AA359" s="3">
        <v>70</v>
      </c>
      <c r="AB359" s="6">
        <v>42006</v>
      </c>
      <c r="AC359" s="3" t="s">
        <v>120</v>
      </c>
      <c r="AD359" s="3">
        <v>0</v>
      </c>
      <c r="AE359" s="3">
        <v>0</v>
      </c>
      <c r="AF359" s="3">
        <v>2</v>
      </c>
      <c r="AG359" s="3" t="s">
        <v>9198</v>
      </c>
      <c r="AH359" s="3" t="s">
        <v>9501</v>
      </c>
      <c r="AI359" s="3">
        <v>10000</v>
      </c>
      <c r="AL359" s="3"/>
      <c r="AM359" s="7" t="s">
        <v>9502</v>
      </c>
      <c r="AN359" s="3"/>
      <c r="AO359" s="3"/>
      <c r="AR359" s="3"/>
      <c r="AS359" s="3"/>
      <c r="AT359" s="3"/>
    </row>
    <row r="360" spans="1:46" ht="12.5" x14ac:dyDescent="0.25">
      <c r="A360" s="3" t="s">
        <v>46</v>
      </c>
      <c r="B360" s="21" t="str">
        <f>HYPERLINK("https://gerandofalcoes.my.salesforce.com/0014P00003YSp87", "0014P00003YSp87")</f>
        <v>0014P00003YSp87</v>
      </c>
      <c r="C360" s="21" t="str">
        <f>HYPERLINK("https://gerandofalcoes.my.salesforce.com/0014P00003YSp87QAD", "0014P00003YSp87QAD")</f>
        <v>0014P00003YSp87QAD</v>
      </c>
      <c r="D360" s="3" t="s">
        <v>9503</v>
      </c>
      <c r="F360" s="3" t="s">
        <v>9504</v>
      </c>
      <c r="G360" s="8">
        <v>44551</v>
      </c>
      <c r="H360" s="3">
        <v>245</v>
      </c>
      <c r="I360" s="3" t="s">
        <v>9505</v>
      </c>
      <c r="J360" s="3" t="s">
        <v>9506</v>
      </c>
      <c r="K360" s="3" t="s">
        <v>9507</v>
      </c>
      <c r="L360" s="3" t="s">
        <v>70</v>
      </c>
      <c r="M360" s="3" t="s">
        <v>9508</v>
      </c>
      <c r="N360" s="3" t="s">
        <v>9509</v>
      </c>
      <c r="O360" s="3">
        <v>42</v>
      </c>
      <c r="P360" s="3" t="s">
        <v>73</v>
      </c>
      <c r="Q360" s="3"/>
      <c r="R360" s="3" t="s">
        <v>9510</v>
      </c>
      <c r="T360" s="3" t="s">
        <v>8943</v>
      </c>
      <c r="U360" s="3" t="s">
        <v>8927</v>
      </c>
      <c r="V360" s="3" t="s">
        <v>3800</v>
      </c>
      <c r="W360" s="3">
        <v>3</v>
      </c>
      <c r="X360" s="3">
        <v>3</v>
      </c>
      <c r="Y360" s="3"/>
      <c r="AA360" s="3">
        <v>400</v>
      </c>
      <c r="AB360" s="6">
        <v>42231</v>
      </c>
      <c r="AC360" s="3" t="s">
        <v>62</v>
      </c>
      <c r="AD360" s="3">
        <v>19</v>
      </c>
      <c r="AE360" s="3">
        <v>2</v>
      </c>
      <c r="AF360" s="3">
        <v>2</v>
      </c>
      <c r="AG360" s="3" t="s">
        <v>9099</v>
      </c>
      <c r="AH360" s="3" t="s">
        <v>9511</v>
      </c>
      <c r="AI360" s="3">
        <v>0</v>
      </c>
      <c r="AL360" s="7" t="s">
        <v>9512</v>
      </c>
      <c r="AM360" s="7" t="s">
        <v>9513</v>
      </c>
      <c r="AN360" s="7" t="s">
        <v>9514</v>
      </c>
      <c r="AO360" s="7" t="s">
        <v>9515</v>
      </c>
      <c r="AR360" s="7" t="s">
        <v>9516</v>
      </c>
      <c r="AS360" s="7" t="s">
        <v>9517</v>
      </c>
      <c r="AT360" s="7" t="s">
        <v>9518</v>
      </c>
    </row>
    <row r="361" spans="1:46" ht="12.5" x14ac:dyDescent="0.25">
      <c r="A361" s="3" t="s">
        <v>46</v>
      </c>
      <c r="B361" s="21" t="str">
        <f>HYPERLINK("https://gerandofalcoes.my.salesforce.com/0014P00003YSp88", "0014P00003YSp88")</f>
        <v>0014P00003YSp88</v>
      </c>
      <c r="C361" s="21" t="str">
        <f>HYPERLINK("https://gerandofalcoes.my.salesforce.com/0014P00003YSp88QAD", "0014P00003YSp88QAD")</f>
        <v>0014P00003YSp88QAD</v>
      </c>
      <c r="D361" s="3" t="s">
        <v>9519</v>
      </c>
      <c r="F361" s="3">
        <v>40442048000174</v>
      </c>
      <c r="G361" s="8">
        <v>44551</v>
      </c>
      <c r="H361" s="3">
        <v>245</v>
      </c>
      <c r="I361" s="3" t="s">
        <v>9520</v>
      </c>
      <c r="J361" s="3" t="s">
        <v>9521</v>
      </c>
      <c r="K361" s="3">
        <v>21980490736</v>
      </c>
      <c r="L361" s="3" t="s">
        <v>70</v>
      </c>
      <c r="M361" s="3" t="s">
        <v>9522</v>
      </c>
      <c r="N361" s="3" t="s">
        <v>9523</v>
      </c>
      <c r="O361" s="3">
        <v>220</v>
      </c>
      <c r="P361" s="3" t="s">
        <v>73</v>
      </c>
      <c r="Q361" s="3" t="s">
        <v>9524</v>
      </c>
      <c r="R361" s="3">
        <v>20261004</v>
      </c>
      <c r="T361" s="3"/>
      <c r="U361" s="3"/>
      <c r="V361" s="3"/>
      <c r="W361" s="3">
        <v>5</v>
      </c>
      <c r="X361" s="3" t="s">
        <v>9525</v>
      </c>
      <c r="Y361" s="3" t="s">
        <v>9526</v>
      </c>
      <c r="AA361" s="3">
        <v>100</v>
      </c>
      <c r="AB361" s="6">
        <v>33738</v>
      </c>
      <c r="AC361" s="3" t="s">
        <v>62</v>
      </c>
      <c r="AD361" s="3">
        <v>0</v>
      </c>
      <c r="AE361" s="3">
        <v>10</v>
      </c>
      <c r="AF361" s="3">
        <v>2</v>
      </c>
      <c r="AG361" s="3"/>
      <c r="AH361" s="3"/>
      <c r="AI361" s="3">
        <v>0</v>
      </c>
      <c r="AL361" s="7" t="s">
        <v>9527</v>
      </c>
      <c r="AM361" s="7" t="s">
        <v>9528</v>
      </c>
      <c r="AN361" s="7" t="s">
        <v>9529</v>
      </c>
      <c r="AO361" s="3"/>
      <c r="AR361" s="7" t="s">
        <v>9530</v>
      </c>
      <c r="AS361" s="7" t="s">
        <v>9531</v>
      </c>
      <c r="AT361" s="7" t="s">
        <v>9532</v>
      </c>
    </row>
    <row r="362" spans="1:46" ht="12.5" x14ac:dyDescent="0.25">
      <c r="A362" s="3" t="s">
        <v>46</v>
      </c>
      <c r="B362" s="21" t="str">
        <f>HYPERLINK("https://gerandofalcoes.my.salesforce.com/0014P00003YSp8A", "0014P00003YSp8A")</f>
        <v>0014P00003YSp8A</v>
      </c>
      <c r="C362" s="21" t="str">
        <f>HYPERLINK("https://gerandofalcoes.my.salesforce.com/0014P00003YSp8AQAT", "0014P00003YSp8AQAT")</f>
        <v>0014P00003YSp8AQAT</v>
      </c>
      <c r="D362" s="3" t="s">
        <v>9533</v>
      </c>
      <c r="F362" s="3" t="s">
        <v>9534</v>
      </c>
      <c r="G362" s="8">
        <v>44551</v>
      </c>
      <c r="H362" s="3">
        <v>245</v>
      </c>
      <c r="I362" s="3" t="s">
        <v>9535</v>
      </c>
      <c r="J362" s="3" t="s">
        <v>9536</v>
      </c>
      <c r="K362" s="3" t="s">
        <v>9537</v>
      </c>
      <c r="L362" s="3" t="s">
        <v>70</v>
      </c>
      <c r="M362" s="3" t="s">
        <v>9538</v>
      </c>
      <c r="N362" s="3" t="s">
        <v>1984</v>
      </c>
      <c r="O362" s="3">
        <v>962</v>
      </c>
      <c r="P362" s="3" t="s">
        <v>73</v>
      </c>
      <c r="Q362" s="3" t="s">
        <v>2316</v>
      </c>
      <c r="R362" s="3" t="s">
        <v>9539</v>
      </c>
      <c r="T362" s="3" t="s">
        <v>9540</v>
      </c>
      <c r="U362" s="3" t="s">
        <v>9212</v>
      </c>
      <c r="V362" s="3" t="s">
        <v>3800</v>
      </c>
      <c r="W362" s="3">
        <v>5</v>
      </c>
      <c r="X362" s="3">
        <v>5</v>
      </c>
      <c r="Y362" s="3" t="s">
        <v>9541</v>
      </c>
      <c r="AA362" s="3">
        <v>200</v>
      </c>
      <c r="AB362" s="6">
        <v>33313</v>
      </c>
      <c r="AC362" s="3" t="s">
        <v>62</v>
      </c>
      <c r="AD362" s="3">
        <v>15</v>
      </c>
      <c r="AE362" s="3">
        <v>2</v>
      </c>
      <c r="AF362" s="3">
        <v>2</v>
      </c>
      <c r="AG362" s="3" t="s">
        <v>9198</v>
      </c>
      <c r="AH362" s="5">
        <v>0</v>
      </c>
      <c r="AI362" s="3">
        <v>1590</v>
      </c>
      <c r="AL362" s="3"/>
      <c r="AM362" s="3" t="s">
        <v>9542</v>
      </c>
      <c r="AN362" s="7" t="s">
        <v>9543</v>
      </c>
      <c r="AO362" s="3"/>
      <c r="AR362" s="7" t="s">
        <v>9544</v>
      </c>
      <c r="AS362" s="7" t="s">
        <v>9545</v>
      </c>
      <c r="AT362" s="7" t="s">
        <v>9546</v>
      </c>
    </row>
    <row r="363" spans="1:46" ht="12.5" x14ac:dyDescent="0.25">
      <c r="A363" s="3" t="s">
        <v>46</v>
      </c>
      <c r="B363" s="21" t="str">
        <f>HYPERLINK("https://gerandofalcoes.my.salesforce.com/0014P00003YSp8B", "0014P00003YSp8B")</f>
        <v>0014P00003YSp8B</v>
      </c>
      <c r="C363" s="21" t="str">
        <f>HYPERLINK("https://gerandofalcoes.my.salesforce.com/0014P00003YSp8BQAT", "0014P00003YSp8BQAT")</f>
        <v>0014P00003YSp8BQAT</v>
      </c>
      <c r="D363" s="3" t="s">
        <v>9547</v>
      </c>
      <c r="F363" s="3"/>
      <c r="G363" s="8">
        <v>44551</v>
      </c>
      <c r="H363" s="3">
        <v>245</v>
      </c>
      <c r="I363" s="3" t="s">
        <v>9548</v>
      </c>
      <c r="J363" s="3" t="s">
        <v>9549</v>
      </c>
      <c r="K363" s="3" t="s">
        <v>9550</v>
      </c>
      <c r="L363" s="3" t="s">
        <v>295</v>
      </c>
      <c r="M363" s="3" t="s">
        <v>9551</v>
      </c>
      <c r="N363" s="3" t="s">
        <v>9552</v>
      </c>
      <c r="O363" s="3">
        <v>106</v>
      </c>
      <c r="P363" s="3" t="s">
        <v>9553</v>
      </c>
      <c r="Q363" s="3"/>
      <c r="R363" s="3" t="s">
        <v>9554</v>
      </c>
      <c r="T363" s="3" t="s">
        <v>9555</v>
      </c>
      <c r="U363" s="3" t="s">
        <v>3817</v>
      </c>
      <c r="V363" s="3" t="s">
        <v>3800</v>
      </c>
      <c r="W363" s="3">
        <v>7</v>
      </c>
      <c r="X363" s="3">
        <v>7</v>
      </c>
      <c r="Y363" s="3"/>
      <c r="AA363" s="3">
        <v>850</v>
      </c>
      <c r="AB363" s="6">
        <v>43553</v>
      </c>
      <c r="AC363" s="3" t="s">
        <v>120</v>
      </c>
      <c r="AD363" s="3">
        <v>0</v>
      </c>
      <c r="AE363" s="3">
        <v>4</v>
      </c>
      <c r="AF363" s="3">
        <v>2</v>
      </c>
      <c r="AG363" s="3" t="s">
        <v>8882</v>
      </c>
      <c r="AH363" s="3">
        <v>0</v>
      </c>
      <c r="AI363" s="3">
        <v>600</v>
      </c>
      <c r="AL363" s="3"/>
      <c r="AM363" s="7" t="s">
        <v>9556</v>
      </c>
      <c r="AN363" s="7" t="s">
        <v>9557</v>
      </c>
      <c r="AO363" s="3"/>
      <c r="AR363" s="3"/>
      <c r="AS363" s="3"/>
      <c r="AT363" s="7" t="s">
        <v>9558</v>
      </c>
    </row>
    <row r="364" spans="1:46" ht="12.5" x14ac:dyDescent="0.25">
      <c r="A364" s="3" t="s">
        <v>46</v>
      </c>
      <c r="B364" s="21" t="str">
        <f>HYPERLINK("https://gerandofalcoes.my.salesforce.com/0014P00003YSp8C", "0014P00003YSp8C")</f>
        <v>0014P00003YSp8C</v>
      </c>
      <c r="C364" s="21" t="str">
        <f>HYPERLINK("https://gerandofalcoes.my.salesforce.com/0014P00003YSp8CQAT", "0014P00003YSp8CQAT")</f>
        <v>0014P00003YSp8CQAT</v>
      </c>
      <c r="D364" s="3" t="s">
        <v>9559</v>
      </c>
      <c r="F364" s="3" t="s">
        <v>9560</v>
      </c>
      <c r="G364" s="8">
        <v>44551</v>
      </c>
      <c r="H364" s="3">
        <v>245</v>
      </c>
      <c r="I364" s="3" t="s">
        <v>9561</v>
      </c>
      <c r="J364" s="3" t="s">
        <v>9562</v>
      </c>
      <c r="K364" s="3" t="s">
        <v>9563</v>
      </c>
      <c r="L364" s="3" t="s">
        <v>70</v>
      </c>
      <c r="M364" s="3" t="s">
        <v>9564</v>
      </c>
      <c r="N364" s="3" t="s">
        <v>7583</v>
      </c>
      <c r="O364" s="3">
        <v>375</v>
      </c>
      <c r="P364" s="3" t="s">
        <v>73</v>
      </c>
      <c r="Q364" s="3" t="s">
        <v>9565</v>
      </c>
      <c r="R364" s="3" t="s">
        <v>9566</v>
      </c>
      <c r="T364" s="3" t="s">
        <v>9567</v>
      </c>
      <c r="U364" s="3" t="s">
        <v>8852</v>
      </c>
      <c r="V364" s="3" t="s">
        <v>9568</v>
      </c>
      <c r="W364" s="3">
        <v>2</v>
      </c>
      <c r="X364" s="3">
        <v>3</v>
      </c>
      <c r="Y364" s="3" t="s">
        <v>9569</v>
      </c>
      <c r="AA364" s="3">
        <v>800</v>
      </c>
      <c r="AB364" s="6">
        <v>35482</v>
      </c>
      <c r="AC364" s="3" t="s">
        <v>62</v>
      </c>
      <c r="AD364" s="3">
        <v>11</v>
      </c>
      <c r="AE364" s="3">
        <v>8</v>
      </c>
      <c r="AF364" s="3">
        <v>4</v>
      </c>
      <c r="AG364" s="3" t="s">
        <v>9570</v>
      </c>
      <c r="AH364" s="3" t="s">
        <v>9571</v>
      </c>
      <c r="AI364" s="3">
        <v>309270</v>
      </c>
      <c r="AL364" s="7" t="s">
        <v>9572</v>
      </c>
      <c r="AM364" s="7" t="s">
        <v>9573</v>
      </c>
      <c r="AN364" s="7" t="s">
        <v>9574</v>
      </c>
      <c r="AO364" s="7" t="s">
        <v>9575</v>
      </c>
      <c r="AR364" s="7" t="s">
        <v>9576</v>
      </c>
      <c r="AS364" s="7" t="s">
        <v>9577</v>
      </c>
      <c r="AT364" s="3"/>
    </row>
    <row r="365" spans="1:46" ht="12.5" x14ac:dyDescent="0.25">
      <c r="A365" s="3" t="s">
        <v>46</v>
      </c>
      <c r="B365" s="21" t="str">
        <f>HYPERLINK("https://gerandofalcoes.my.salesforce.com/0014P00003YSp8E", "0014P00003YSp8E")</f>
        <v>0014P00003YSp8E</v>
      </c>
      <c r="C365" s="21" t="str">
        <f>HYPERLINK("https://gerandofalcoes.my.salesforce.com/0014P00003YSp8EQAT", "0014P00003YSp8EQAT")</f>
        <v>0014P00003YSp8EQAT</v>
      </c>
      <c r="D365" s="3" t="s">
        <v>9578</v>
      </c>
      <c r="E365" s="3"/>
      <c r="F365" s="3" t="s">
        <v>9579</v>
      </c>
      <c r="G365" s="8">
        <v>44551</v>
      </c>
      <c r="H365" s="3">
        <v>245</v>
      </c>
      <c r="I365" s="3" t="s">
        <v>9580</v>
      </c>
      <c r="J365" s="3" t="s">
        <v>9581</v>
      </c>
      <c r="K365" s="3" t="s">
        <v>9582</v>
      </c>
      <c r="L365" s="3" t="s">
        <v>70</v>
      </c>
      <c r="M365" s="3" t="s">
        <v>9583</v>
      </c>
      <c r="N365" s="3" t="s">
        <v>9584</v>
      </c>
      <c r="O365" s="3">
        <v>227</v>
      </c>
      <c r="P365" s="3" t="s">
        <v>6367</v>
      </c>
      <c r="Q365" s="3" t="s">
        <v>4654</v>
      </c>
      <c r="R365" s="3" t="s">
        <v>9585</v>
      </c>
      <c r="T365" s="3" t="s">
        <v>9586</v>
      </c>
      <c r="U365" s="3" t="s">
        <v>8868</v>
      </c>
      <c r="V365" s="3" t="s">
        <v>3800</v>
      </c>
      <c r="W365" s="3">
        <v>7</v>
      </c>
      <c r="X365" s="3">
        <v>7</v>
      </c>
      <c r="Y365" s="3"/>
      <c r="AA365" s="3">
        <v>1000</v>
      </c>
      <c r="AB365" s="6">
        <v>39090</v>
      </c>
      <c r="AC365" s="3" t="s">
        <v>62</v>
      </c>
      <c r="AD365" s="3">
        <v>0</v>
      </c>
      <c r="AE365" s="3">
        <v>4</v>
      </c>
      <c r="AF365" s="3">
        <v>2</v>
      </c>
      <c r="AG365" s="3" t="s">
        <v>9587</v>
      </c>
      <c r="AH365" s="3" t="s">
        <v>4015</v>
      </c>
      <c r="AI365" s="3">
        <v>2000</v>
      </c>
      <c r="AL365" s="7" t="s">
        <v>9588</v>
      </c>
      <c r="AM365" s="7" t="s">
        <v>9589</v>
      </c>
      <c r="AN365" s="3"/>
      <c r="AO365" s="3"/>
      <c r="AR365" s="7" t="s">
        <v>9590</v>
      </c>
      <c r="AS365" s="7" t="s">
        <v>9591</v>
      </c>
      <c r="AT365" s="3"/>
    </row>
    <row r="366" spans="1:46" ht="12.5" x14ac:dyDescent="0.25">
      <c r="A366" s="3" t="s">
        <v>46</v>
      </c>
      <c r="B366" s="21" t="str">
        <f>HYPERLINK("https://gerandofalcoes.my.salesforce.com/0014P00003YSp8F", "0014P00003YSp8F")</f>
        <v>0014P00003YSp8F</v>
      </c>
      <c r="C366" s="21" t="str">
        <f>HYPERLINK("https://gerandofalcoes.my.salesforce.com/0014P00003YSp8FQAT", "0014P00003YSp8FQAT")</f>
        <v>0014P00003YSp8FQAT</v>
      </c>
      <c r="D366" s="3" t="s">
        <v>9592</v>
      </c>
      <c r="E366" s="3"/>
      <c r="F366" s="3">
        <v>1839027000135</v>
      </c>
      <c r="G366" s="8">
        <v>44551</v>
      </c>
      <c r="H366" s="3">
        <v>245</v>
      </c>
      <c r="I366" s="3" t="s">
        <v>9593</v>
      </c>
      <c r="J366" s="3" t="s">
        <v>9594</v>
      </c>
      <c r="K366" s="3">
        <v>21981466162</v>
      </c>
      <c r="L366" s="3" t="s">
        <v>70</v>
      </c>
      <c r="M366" s="3" t="s">
        <v>9595</v>
      </c>
      <c r="N366" s="3" t="s">
        <v>9596</v>
      </c>
      <c r="O366" s="3">
        <v>1</v>
      </c>
      <c r="P366" s="3" t="s">
        <v>6367</v>
      </c>
      <c r="Q366" s="3"/>
      <c r="R366" s="3" t="s">
        <v>9597</v>
      </c>
      <c r="T366" s="3"/>
      <c r="U366" s="3"/>
      <c r="V366" s="3"/>
      <c r="W366" s="3">
        <v>5</v>
      </c>
      <c r="X366" s="3" t="s">
        <v>9598</v>
      </c>
      <c r="Y366" s="3"/>
      <c r="AA366" s="3">
        <v>100</v>
      </c>
      <c r="AB366" s="8">
        <v>40522</v>
      </c>
      <c r="AC366" s="3" t="s">
        <v>62</v>
      </c>
      <c r="AD366" s="3">
        <v>10</v>
      </c>
      <c r="AE366" s="3">
        <v>6</v>
      </c>
      <c r="AF366" s="3"/>
      <c r="AG366" s="3"/>
      <c r="AH366" s="3"/>
      <c r="AI366" s="3"/>
      <c r="AL366" s="7" t="s">
        <v>9599</v>
      </c>
      <c r="AM366" s="7" t="s">
        <v>9600</v>
      </c>
      <c r="AN366" s="3"/>
      <c r="AO366" s="3"/>
      <c r="AR366" s="7" t="s">
        <v>9601</v>
      </c>
      <c r="AS366" s="7" t="s">
        <v>9602</v>
      </c>
      <c r="AT366" s="3"/>
    </row>
    <row r="367" spans="1:46" ht="12.5" x14ac:dyDescent="0.25">
      <c r="A367" s="3" t="s">
        <v>46</v>
      </c>
      <c r="B367" s="21" t="str">
        <f>HYPERLINK("https://gerandofalcoes.my.salesforce.com/0014P00003YSp8G", "0014P00003YSp8G")</f>
        <v>0014P00003YSp8G</v>
      </c>
      <c r="C367" s="21" t="str">
        <f>HYPERLINK("https://gerandofalcoes.my.salesforce.com/0014P00003YSp8GQAT", "0014P00003YSp8GQAT")</f>
        <v>0014P00003YSp8GQAT</v>
      </c>
      <c r="D367" s="3" t="s">
        <v>9603</v>
      </c>
      <c r="E367" s="3"/>
      <c r="F367" s="3" t="s">
        <v>9604</v>
      </c>
      <c r="G367" s="8">
        <v>44551</v>
      </c>
      <c r="H367" s="3">
        <v>245</v>
      </c>
      <c r="I367" s="3" t="s">
        <v>9605</v>
      </c>
      <c r="J367" s="3" t="s">
        <v>9606</v>
      </c>
      <c r="K367" s="3" t="s">
        <v>9607</v>
      </c>
      <c r="L367" s="3" t="s">
        <v>70</v>
      </c>
      <c r="M367" s="3" t="s">
        <v>9608</v>
      </c>
      <c r="N367" s="3" t="s">
        <v>9609</v>
      </c>
      <c r="O367" s="3">
        <v>17</v>
      </c>
      <c r="P367" s="3" t="s">
        <v>1105</v>
      </c>
      <c r="Q367" s="3" t="s">
        <v>9610</v>
      </c>
      <c r="R367" s="3" t="s">
        <v>9611</v>
      </c>
      <c r="T367" s="3" t="s">
        <v>9612</v>
      </c>
      <c r="U367" s="3" t="s">
        <v>8852</v>
      </c>
      <c r="V367" s="3" t="s">
        <v>9613</v>
      </c>
      <c r="W367" s="3">
        <v>6</v>
      </c>
      <c r="X367" s="3">
        <v>6</v>
      </c>
      <c r="Y367" s="3" t="s">
        <v>9614</v>
      </c>
      <c r="AA367" s="3">
        <v>400</v>
      </c>
      <c r="AB367" s="6">
        <v>43952</v>
      </c>
      <c r="AC367" s="3" t="s">
        <v>62</v>
      </c>
      <c r="AD367" s="3">
        <v>1</v>
      </c>
      <c r="AE367" s="3">
        <v>10</v>
      </c>
      <c r="AF367" s="3">
        <v>2</v>
      </c>
      <c r="AG367" s="3" t="s">
        <v>9198</v>
      </c>
      <c r="AH367" s="3" t="s">
        <v>562</v>
      </c>
      <c r="AI367" s="3">
        <v>0</v>
      </c>
      <c r="AL367" s="3"/>
      <c r="AM367" s="7" t="s">
        <v>9615</v>
      </c>
      <c r="AN367" s="7" t="s">
        <v>9616</v>
      </c>
      <c r="AO367" s="3"/>
      <c r="AR367" s="7" t="s">
        <v>9617</v>
      </c>
      <c r="AS367" s="7" t="s">
        <v>9618</v>
      </c>
      <c r="AT367" s="3"/>
    </row>
    <row r="368" spans="1:46" ht="12.5" x14ac:dyDescent="0.25">
      <c r="A368" s="3" t="s">
        <v>46</v>
      </c>
      <c r="B368" s="21" t="str">
        <f>HYPERLINK("https://gerandofalcoes.my.salesforce.com/0014P00003YSp8H", "0014P00003YSp8H")</f>
        <v>0014P00003YSp8H</v>
      </c>
      <c r="C368" s="21" t="str">
        <f>HYPERLINK("https://gerandofalcoes.my.salesforce.com/0014P00003YSp8HQAT", "0014P00003YSp8HQAT")</f>
        <v>0014P00003YSp8HQAT</v>
      </c>
      <c r="D368" s="3" t="s">
        <v>9619</v>
      </c>
      <c r="E368" s="3"/>
      <c r="F368" s="3" t="s">
        <v>9620</v>
      </c>
      <c r="G368" s="8">
        <v>44551</v>
      </c>
      <c r="H368" s="3">
        <v>245</v>
      </c>
      <c r="I368" s="3" t="s">
        <v>9621</v>
      </c>
      <c r="J368" s="3" t="s">
        <v>9622</v>
      </c>
      <c r="K368" s="3" t="s">
        <v>9623</v>
      </c>
      <c r="L368" s="3" t="s">
        <v>70</v>
      </c>
      <c r="M368" s="3" t="s">
        <v>9624</v>
      </c>
      <c r="N368" s="3" t="s">
        <v>9625</v>
      </c>
      <c r="O368" s="3">
        <v>54</v>
      </c>
      <c r="P368" s="3" t="s">
        <v>9626</v>
      </c>
      <c r="Q368" s="3" t="s">
        <v>9627</v>
      </c>
      <c r="R368" s="3" t="s">
        <v>9628</v>
      </c>
      <c r="S368" s="3"/>
      <c r="T368" s="3" t="s">
        <v>9629</v>
      </c>
      <c r="U368" s="3" t="s">
        <v>8880</v>
      </c>
      <c r="V368" s="3" t="s">
        <v>3800</v>
      </c>
      <c r="W368" s="3">
        <v>9</v>
      </c>
      <c r="X368" s="3">
        <v>9</v>
      </c>
      <c r="Y368" s="3"/>
      <c r="AA368" s="3">
        <v>300</v>
      </c>
      <c r="AB368" s="6">
        <v>44083</v>
      </c>
      <c r="AC368" s="3" t="s">
        <v>120</v>
      </c>
      <c r="AD368" s="3">
        <v>2</v>
      </c>
      <c r="AE368" s="3">
        <v>20</v>
      </c>
      <c r="AF368" s="3">
        <v>2</v>
      </c>
      <c r="AG368" s="3" t="s">
        <v>3819</v>
      </c>
      <c r="AH368" s="3" t="s">
        <v>1052</v>
      </c>
      <c r="AI368" s="3">
        <v>8000</v>
      </c>
      <c r="AJ368" s="3"/>
      <c r="AK368" s="3"/>
      <c r="AL368" s="3"/>
      <c r="AM368" s="7" t="s">
        <v>9630</v>
      </c>
      <c r="AN368" s="7" t="s">
        <v>9631</v>
      </c>
      <c r="AO368" s="3"/>
      <c r="AR368" s="3"/>
      <c r="AS368" s="3"/>
      <c r="AT368" s="7" t="s">
        <v>9632</v>
      </c>
    </row>
    <row r="369" spans="1:46" ht="12.5" x14ac:dyDescent="0.25">
      <c r="A369" s="3" t="s">
        <v>46</v>
      </c>
      <c r="B369" s="21" t="str">
        <f>HYPERLINK("https://gerandofalcoes.my.salesforce.com/0014P00003YSp8I", "0014P00003YSp8I")</f>
        <v>0014P00003YSp8I</v>
      </c>
      <c r="C369" s="21" t="str">
        <f>HYPERLINK("https://gerandofalcoes.my.salesforce.com/0014P00003YSp8IQAT", "0014P00003YSp8IQAT")</f>
        <v>0014P00003YSp8IQAT</v>
      </c>
      <c r="D369" s="3" t="s">
        <v>4744</v>
      </c>
      <c r="E369" s="3"/>
      <c r="F369" s="3" t="s">
        <v>9633</v>
      </c>
      <c r="G369" s="8">
        <v>44551</v>
      </c>
      <c r="H369" s="3">
        <v>245</v>
      </c>
      <c r="I369" s="3" t="s">
        <v>9634</v>
      </c>
      <c r="J369" s="3" t="s">
        <v>9635</v>
      </c>
      <c r="K369" s="3" t="s">
        <v>9636</v>
      </c>
      <c r="L369" s="3" t="s">
        <v>70</v>
      </c>
      <c r="M369" s="3" t="s">
        <v>9637</v>
      </c>
      <c r="N369" s="3" t="s">
        <v>9638</v>
      </c>
      <c r="O369" s="3">
        <v>96</v>
      </c>
      <c r="P369" s="3" t="s">
        <v>760</v>
      </c>
      <c r="Q369" s="3" t="s">
        <v>9639</v>
      </c>
      <c r="R369" s="3" t="s">
        <v>9640</v>
      </c>
      <c r="T369" s="3" t="s">
        <v>9641</v>
      </c>
      <c r="U369" s="3" t="s">
        <v>3817</v>
      </c>
      <c r="V369" s="3" t="s">
        <v>9642</v>
      </c>
      <c r="W369" s="3">
        <v>4</v>
      </c>
      <c r="X369" s="3">
        <v>4</v>
      </c>
      <c r="Y369" s="3"/>
      <c r="AA369" s="3">
        <v>100</v>
      </c>
      <c r="AB369" s="6">
        <v>36372</v>
      </c>
      <c r="AC369" s="3" t="s">
        <v>62</v>
      </c>
      <c r="AD369" s="3">
        <v>0</v>
      </c>
      <c r="AE369" s="3">
        <v>8</v>
      </c>
      <c r="AF369" s="3">
        <v>2</v>
      </c>
      <c r="AG369" s="3" t="s">
        <v>9643</v>
      </c>
      <c r="AH369" s="3" t="s">
        <v>120</v>
      </c>
      <c r="AI369" s="3">
        <v>50000</v>
      </c>
      <c r="AJ369" s="3"/>
      <c r="AK369" s="3"/>
      <c r="AL369" s="7" t="s">
        <v>9644</v>
      </c>
      <c r="AM369" s="7" t="s">
        <v>9645</v>
      </c>
      <c r="AN369" s="3"/>
      <c r="AO369" s="3"/>
      <c r="AR369" s="7" t="s">
        <v>9646</v>
      </c>
      <c r="AS369" s="7" t="s">
        <v>9647</v>
      </c>
      <c r="AT369" s="7" t="s">
        <v>9648</v>
      </c>
    </row>
    <row r="370" spans="1:46" ht="12.5" x14ac:dyDescent="0.25">
      <c r="A370" s="3" t="s">
        <v>46</v>
      </c>
      <c r="B370" s="21" t="str">
        <f>HYPERLINK("https://gerandofalcoes.my.salesforce.com/0014P00003YSp8J", "0014P00003YSp8J")</f>
        <v>0014P00003YSp8J</v>
      </c>
      <c r="C370" s="21" t="str">
        <f>HYPERLINK("https://gerandofalcoes.my.salesforce.com/0014P00003YSp8JQAT", "0014P00003YSp8JQAT")</f>
        <v>0014P00003YSp8JQAT</v>
      </c>
      <c r="D370" s="3" t="s">
        <v>9649</v>
      </c>
      <c r="E370" s="3"/>
      <c r="F370" s="3" t="s">
        <v>9650</v>
      </c>
      <c r="G370" s="8">
        <v>44551</v>
      </c>
      <c r="H370" s="3">
        <v>245</v>
      </c>
      <c r="I370" s="3" t="s">
        <v>9651</v>
      </c>
      <c r="J370" s="3" t="s">
        <v>9652</v>
      </c>
      <c r="K370" s="3" t="s">
        <v>9653</v>
      </c>
      <c r="L370" s="3" t="s">
        <v>70</v>
      </c>
      <c r="M370" s="3" t="s">
        <v>9654</v>
      </c>
      <c r="N370" s="3" t="s">
        <v>9655</v>
      </c>
      <c r="O370" s="3">
        <v>473</v>
      </c>
      <c r="P370" s="3" t="s">
        <v>73</v>
      </c>
      <c r="Q370" s="3" t="s">
        <v>9656</v>
      </c>
      <c r="R370" s="3" t="s">
        <v>9657</v>
      </c>
      <c r="T370" s="3" t="s">
        <v>9658</v>
      </c>
      <c r="U370" s="3" t="s">
        <v>3817</v>
      </c>
      <c r="V370" s="3" t="s">
        <v>9659</v>
      </c>
      <c r="W370" s="3">
        <v>9</v>
      </c>
      <c r="X370" s="3">
        <v>9</v>
      </c>
      <c r="Y370" s="3"/>
      <c r="AA370" s="3">
        <v>2300</v>
      </c>
      <c r="AB370" s="6">
        <v>32254</v>
      </c>
      <c r="AC370" s="3" t="s">
        <v>62</v>
      </c>
      <c r="AD370" s="3">
        <v>9</v>
      </c>
      <c r="AE370" s="3">
        <v>13</v>
      </c>
      <c r="AF370" s="3">
        <v>2</v>
      </c>
      <c r="AG370" s="3" t="s">
        <v>8882</v>
      </c>
      <c r="AH370" s="3" t="s">
        <v>1052</v>
      </c>
      <c r="AI370" s="3">
        <v>105000</v>
      </c>
      <c r="AJ370" s="3"/>
      <c r="AK370" s="3"/>
      <c r="AL370" s="7" t="s">
        <v>9660</v>
      </c>
      <c r="AM370" s="7" t="s">
        <v>9660</v>
      </c>
      <c r="AN370" s="3" t="s">
        <v>9661</v>
      </c>
      <c r="AO370" s="3"/>
      <c r="AR370" s="7" t="s">
        <v>9662</v>
      </c>
      <c r="AS370" s="7" t="s">
        <v>9663</v>
      </c>
      <c r="AT370" s="3"/>
    </row>
    <row r="371" spans="1:46" ht="12.5" x14ac:dyDescent="0.25">
      <c r="A371" s="3" t="s">
        <v>46</v>
      </c>
      <c r="B371" s="21" t="str">
        <f>HYPERLINK("https://gerandofalcoes.my.salesforce.com/0014P00003YSp8K", "0014P00003YSp8K")</f>
        <v>0014P00003YSp8K</v>
      </c>
      <c r="C371" s="21" t="str">
        <f>HYPERLINK("https://gerandofalcoes.my.salesforce.com/0014P00003YSp8KQAT", "0014P00003YSp8KQAT")</f>
        <v>0014P00003YSp8KQAT</v>
      </c>
      <c r="D371" s="3" t="s">
        <v>9664</v>
      </c>
      <c r="E371" s="3"/>
      <c r="F371" s="3" t="s">
        <v>9665</v>
      </c>
      <c r="G371" s="8">
        <v>44551</v>
      </c>
      <c r="H371" s="3">
        <v>245</v>
      </c>
      <c r="I371" s="3" t="s">
        <v>9666</v>
      </c>
      <c r="J371" s="3" t="s">
        <v>9667</v>
      </c>
      <c r="K371" s="3" t="s">
        <v>9668</v>
      </c>
      <c r="L371" s="3" t="s">
        <v>70</v>
      </c>
      <c r="M371" s="3">
        <v>3</v>
      </c>
      <c r="N371" s="3" t="s">
        <v>9669</v>
      </c>
      <c r="O371" s="3">
        <v>644</v>
      </c>
      <c r="P371" s="3" t="s">
        <v>9670</v>
      </c>
      <c r="Q371" s="3" t="s">
        <v>9671</v>
      </c>
      <c r="R371" s="3" t="s">
        <v>9672</v>
      </c>
      <c r="T371" s="3" t="s">
        <v>9151</v>
      </c>
      <c r="U371" s="3" t="s">
        <v>9673</v>
      </c>
      <c r="V371" s="3" t="s">
        <v>3800</v>
      </c>
      <c r="W371" s="3">
        <v>10</v>
      </c>
      <c r="X371" s="3">
        <v>10</v>
      </c>
      <c r="Y371" s="3" t="s">
        <v>9674</v>
      </c>
      <c r="AA371" s="3">
        <v>6000</v>
      </c>
      <c r="AB371" s="8">
        <v>36447</v>
      </c>
      <c r="AC371" s="3" t="s">
        <v>62</v>
      </c>
      <c r="AD371" s="3">
        <v>2</v>
      </c>
      <c r="AE371" s="3">
        <v>20</v>
      </c>
      <c r="AF371" s="3">
        <v>4</v>
      </c>
      <c r="AG371" s="3" t="s">
        <v>9675</v>
      </c>
      <c r="AH371" s="3" t="s">
        <v>9676</v>
      </c>
      <c r="AI371" s="3">
        <v>400000</v>
      </c>
      <c r="AJ371" s="3"/>
      <c r="AK371" s="3"/>
      <c r="AL371" s="3"/>
      <c r="AM371" s="3" t="s">
        <v>9677</v>
      </c>
      <c r="AN371" s="7" t="s">
        <v>9678</v>
      </c>
      <c r="AO371" s="3"/>
      <c r="AR371" s="7" t="s">
        <v>9679</v>
      </c>
      <c r="AS371" s="7" t="s">
        <v>9680</v>
      </c>
      <c r="AT371" s="7" t="s">
        <v>9681</v>
      </c>
    </row>
    <row r="372" spans="1:46" ht="12.5" x14ac:dyDescent="0.25">
      <c r="A372" s="3" t="s">
        <v>46</v>
      </c>
      <c r="B372" s="21" t="str">
        <f>HYPERLINK("https://gerandofalcoes.my.salesforce.com/0014P00003YSp8L", "0014P00003YSp8L")</f>
        <v>0014P00003YSp8L</v>
      </c>
      <c r="C372" s="21" t="str">
        <f>HYPERLINK("https://gerandofalcoes.my.salesforce.com/0014P00003YSp8LQAT", "0014P00003YSp8LQAT")</f>
        <v>0014P00003YSp8LQAT</v>
      </c>
      <c r="D372" s="3" t="s">
        <v>9682</v>
      </c>
      <c r="E372" s="3"/>
      <c r="F372" s="3"/>
      <c r="G372" s="8">
        <v>44551</v>
      </c>
      <c r="H372" s="3">
        <v>245</v>
      </c>
      <c r="I372" s="3" t="s">
        <v>9683</v>
      </c>
      <c r="J372" s="3" t="s">
        <v>9684</v>
      </c>
      <c r="K372" s="3" t="s">
        <v>9685</v>
      </c>
      <c r="L372" s="3" t="s">
        <v>70</v>
      </c>
      <c r="M372" s="3" t="s">
        <v>9686</v>
      </c>
      <c r="N372" s="3" t="s">
        <v>9687</v>
      </c>
      <c r="O372" s="3">
        <v>10</v>
      </c>
      <c r="P372" s="3" t="s">
        <v>1105</v>
      </c>
      <c r="Q372" s="3" t="s">
        <v>9688</v>
      </c>
      <c r="R372" s="3" t="s">
        <v>9689</v>
      </c>
      <c r="S372" s="3"/>
      <c r="T372" s="3" t="s">
        <v>9690</v>
      </c>
      <c r="U372" s="3" t="s">
        <v>9005</v>
      </c>
      <c r="V372" s="3" t="s">
        <v>3800</v>
      </c>
      <c r="W372" s="3">
        <v>10</v>
      </c>
      <c r="X372" s="3">
        <v>10</v>
      </c>
      <c r="Y372" s="3"/>
      <c r="AA372" s="3">
        <v>2000</v>
      </c>
      <c r="AB372" s="6">
        <v>43284</v>
      </c>
      <c r="AC372" s="3" t="s">
        <v>120</v>
      </c>
      <c r="AD372" s="3">
        <v>0</v>
      </c>
      <c r="AE372" s="3">
        <v>10</v>
      </c>
      <c r="AF372" s="3">
        <v>2</v>
      </c>
      <c r="AG372" s="3" t="s">
        <v>9587</v>
      </c>
      <c r="AH372" s="3">
        <v>0</v>
      </c>
      <c r="AI372" s="3">
        <v>5000</v>
      </c>
      <c r="AJ372" s="3"/>
      <c r="AK372" s="3"/>
      <c r="AL372" s="3"/>
      <c r="AM372" s="7" t="s">
        <v>9691</v>
      </c>
      <c r="AN372" s="7" t="s">
        <v>9692</v>
      </c>
      <c r="AO372" s="3"/>
      <c r="AR372" s="3"/>
      <c r="AS372" s="3"/>
      <c r="AT372" s="3"/>
    </row>
    <row r="373" spans="1:46" ht="12.5" x14ac:dyDescent="0.25">
      <c r="A373" s="3" t="s">
        <v>46</v>
      </c>
      <c r="B373" s="21" t="str">
        <f>HYPERLINK("https://gerandofalcoes.my.salesforce.com/0014P00003YSp8M", "0014P00003YSp8M")</f>
        <v>0014P00003YSp8M</v>
      </c>
      <c r="C373" s="21" t="str">
        <f>HYPERLINK("https://gerandofalcoes.my.salesforce.com/0014P00003YSp8MQAT", "0014P00003YSp8MQAT")</f>
        <v>0014P00003YSp8MQAT</v>
      </c>
      <c r="D373" s="3" t="s">
        <v>9693</v>
      </c>
      <c r="E373" s="3"/>
      <c r="F373" s="3" t="s">
        <v>9694</v>
      </c>
      <c r="G373" s="8">
        <v>44551</v>
      </c>
      <c r="H373" s="3">
        <v>245</v>
      </c>
      <c r="I373" s="3" t="s">
        <v>9695</v>
      </c>
      <c r="J373" s="3" t="s">
        <v>9696</v>
      </c>
      <c r="K373" s="3" t="s">
        <v>9697</v>
      </c>
      <c r="L373" s="3" t="s">
        <v>70</v>
      </c>
      <c r="M373" s="3" t="s">
        <v>9698</v>
      </c>
      <c r="N373" s="3" t="s">
        <v>8172</v>
      </c>
      <c r="O373" s="3">
        <v>64</v>
      </c>
      <c r="P373" s="3" t="s">
        <v>73</v>
      </c>
      <c r="Q373" s="3" t="s">
        <v>9699</v>
      </c>
      <c r="R373" s="3" t="s">
        <v>9700</v>
      </c>
      <c r="S373" s="3"/>
      <c r="T373" s="3" t="s">
        <v>9467</v>
      </c>
      <c r="U373" s="3" t="s">
        <v>3799</v>
      </c>
      <c r="V373" s="3" t="s">
        <v>3800</v>
      </c>
      <c r="W373" s="3">
        <v>6</v>
      </c>
      <c r="X373" s="3">
        <v>6</v>
      </c>
      <c r="Y373" s="3"/>
      <c r="AA373" s="3">
        <v>20000</v>
      </c>
      <c r="AB373" s="6">
        <v>40704</v>
      </c>
      <c r="AC373" s="3" t="s">
        <v>62</v>
      </c>
      <c r="AD373" s="3">
        <v>15</v>
      </c>
      <c r="AE373" s="3">
        <v>15</v>
      </c>
      <c r="AF373" s="3">
        <v>2</v>
      </c>
      <c r="AG373" s="3" t="s">
        <v>9701</v>
      </c>
      <c r="AH373" s="3" t="s">
        <v>9702</v>
      </c>
      <c r="AI373" s="3">
        <v>300000</v>
      </c>
      <c r="AJ373" s="3"/>
      <c r="AK373" s="3"/>
      <c r="AL373" s="7" t="s">
        <v>9703</v>
      </c>
      <c r="AM373" s="7" t="s">
        <v>9704</v>
      </c>
      <c r="AN373" s="7" t="s">
        <v>9705</v>
      </c>
      <c r="AO373" s="7" t="s">
        <v>9706</v>
      </c>
      <c r="AR373" s="7" t="s">
        <v>9707</v>
      </c>
      <c r="AS373" s="7" t="s">
        <v>9708</v>
      </c>
      <c r="AT373" s="7" t="s">
        <v>9709</v>
      </c>
    </row>
    <row r="374" spans="1:46" ht="12.5" x14ac:dyDescent="0.25">
      <c r="A374" s="3" t="s">
        <v>46</v>
      </c>
      <c r="B374" s="21" t="str">
        <f>HYPERLINK("https://gerandofalcoes.my.salesforce.com/0014P00003YSp8N", "0014P00003YSp8N")</f>
        <v>0014P00003YSp8N</v>
      </c>
      <c r="C374" s="21" t="str">
        <f>HYPERLINK("https://gerandofalcoes.my.salesforce.com/0014P00003YSp8NQAT", "0014P00003YSp8NQAT")</f>
        <v>0014P00003YSp8NQAT</v>
      </c>
      <c r="D374" s="3" t="s">
        <v>9710</v>
      </c>
      <c r="E374" s="3"/>
      <c r="F374" s="3" t="s">
        <v>9711</v>
      </c>
      <c r="G374" s="8">
        <v>44551</v>
      </c>
      <c r="H374" s="3">
        <v>245</v>
      </c>
      <c r="I374" s="3" t="s">
        <v>9712</v>
      </c>
      <c r="J374" s="3" t="s">
        <v>9713</v>
      </c>
      <c r="K374" s="3" t="s">
        <v>9714</v>
      </c>
      <c r="L374" s="3" t="s">
        <v>70</v>
      </c>
      <c r="M374" s="3" t="s">
        <v>9715</v>
      </c>
      <c r="N374" s="3" t="s">
        <v>9716</v>
      </c>
      <c r="O374" s="3">
        <v>3</v>
      </c>
      <c r="P374" s="3" t="s">
        <v>73</v>
      </c>
      <c r="Q374" s="3" t="s">
        <v>1539</v>
      </c>
      <c r="R374" s="3" t="s">
        <v>9717</v>
      </c>
      <c r="T374" s="3" t="s">
        <v>9718</v>
      </c>
      <c r="U374" s="3" t="s">
        <v>8880</v>
      </c>
      <c r="V374" s="3" t="s">
        <v>9719</v>
      </c>
      <c r="W374" s="3">
        <v>11</v>
      </c>
      <c r="X374" s="3">
        <v>11</v>
      </c>
      <c r="Y374" s="3"/>
      <c r="AA374" s="3">
        <v>3000</v>
      </c>
      <c r="AB374" s="6">
        <v>44383</v>
      </c>
      <c r="AC374" s="3" t="s">
        <v>62</v>
      </c>
      <c r="AD374" s="3">
        <v>3</v>
      </c>
      <c r="AE374" s="3">
        <v>30</v>
      </c>
      <c r="AF374" s="3">
        <v>2</v>
      </c>
      <c r="AG374" s="3" t="s">
        <v>9720</v>
      </c>
      <c r="AH374" s="3">
        <v>0</v>
      </c>
      <c r="AI374" s="3">
        <v>13121</v>
      </c>
      <c r="AJ374" s="3"/>
      <c r="AK374" s="3"/>
      <c r="AL374" s="7" t="s">
        <v>9721</v>
      </c>
      <c r="AM374" s="7" t="s">
        <v>9722</v>
      </c>
      <c r="AN374" s="7" t="s">
        <v>9723</v>
      </c>
      <c r="AO374" s="3"/>
      <c r="AR374" s="7" t="s">
        <v>9724</v>
      </c>
      <c r="AS374" s="7" t="s">
        <v>9725</v>
      </c>
      <c r="AT374" s="7" t="s">
        <v>9726</v>
      </c>
    </row>
    <row r="375" spans="1:46" ht="12.5" x14ac:dyDescent="0.25">
      <c r="A375" s="3" t="s">
        <v>46</v>
      </c>
      <c r="B375" s="21" t="str">
        <f>HYPERLINK("https://gerandofalcoes.my.salesforce.com/0014P00003YSp8O", "0014P00003YSp8O")</f>
        <v>0014P00003YSp8O</v>
      </c>
      <c r="C375" s="21" t="str">
        <f>HYPERLINK("https://gerandofalcoes.my.salesforce.com/0014P00003YSp8OQAT", "0014P00003YSp8OQAT")</f>
        <v>0014P00003YSp8OQAT</v>
      </c>
      <c r="D375" s="3" t="s">
        <v>9727</v>
      </c>
      <c r="E375" s="3"/>
      <c r="F375" s="3" t="s">
        <v>9728</v>
      </c>
      <c r="G375" s="8">
        <v>44551</v>
      </c>
      <c r="H375" s="3">
        <v>245</v>
      </c>
      <c r="I375" s="3" t="s">
        <v>9729</v>
      </c>
      <c r="J375" s="3" t="s">
        <v>9730</v>
      </c>
      <c r="K375" s="3" t="s">
        <v>9731</v>
      </c>
      <c r="L375" s="3" t="s">
        <v>295</v>
      </c>
      <c r="M375" s="3" t="s">
        <v>9732</v>
      </c>
      <c r="N375" s="3" t="s">
        <v>9733</v>
      </c>
      <c r="O375" s="3">
        <v>439</v>
      </c>
      <c r="P375" s="3" t="s">
        <v>9734</v>
      </c>
      <c r="Q375" s="3" t="s">
        <v>1539</v>
      </c>
      <c r="R375" s="3" t="s">
        <v>9735</v>
      </c>
      <c r="T375" s="3" t="s">
        <v>9736</v>
      </c>
      <c r="U375" s="3" t="s">
        <v>5233</v>
      </c>
      <c r="V375" s="3" t="s">
        <v>9468</v>
      </c>
      <c r="W375" s="3">
        <v>5</v>
      </c>
      <c r="X375" s="3">
        <v>5</v>
      </c>
      <c r="Y375" s="3" t="s">
        <v>9737</v>
      </c>
      <c r="AA375" s="3">
        <v>300</v>
      </c>
      <c r="AB375" s="6">
        <v>43949</v>
      </c>
      <c r="AC375" s="3" t="s">
        <v>62</v>
      </c>
      <c r="AD375" s="3">
        <v>1</v>
      </c>
      <c r="AE375" s="3">
        <v>15</v>
      </c>
      <c r="AF375" s="3">
        <v>3</v>
      </c>
      <c r="AG375" s="3" t="s">
        <v>9738</v>
      </c>
      <c r="AH375" s="3" t="s">
        <v>9739</v>
      </c>
      <c r="AI375" s="3">
        <v>25000</v>
      </c>
      <c r="AL375" s="7" t="s">
        <v>9740</v>
      </c>
      <c r="AM375" s="7" t="s">
        <v>9741</v>
      </c>
      <c r="AN375" s="3"/>
      <c r="AO375" s="3"/>
      <c r="AR375" s="7" t="s">
        <v>9742</v>
      </c>
      <c r="AS375" s="7" t="s">
        <v>9743</v>
      </c>
      <c r="AT375" s="7" t="s">
        <v>9744</v>
      </c>
    </row>
    <row r="376" spans="1:46" ht="12.5" x14ac:dyDescent="0.25">
      <c r="A376" s="3" t="s">
        <v>46</v>
      </c>
      <c r="B376" s="21" t="str">
        <f>HYPERLINK("https://gerandofalcoes.my.salesforce.com/0014P00003YSp8P", "0014P00003YSp8P")</f>
        <v>0014P00003YSp8P</v>
      </c>
      <c r="C376" s="21" t="str">
        <f>HYPERLINK("https://gerandofalcoes.my.salesforce.com/0014P00003YSp8PQAT", "0014P00003YSp8PQAT")</f>
        <v>0014P00003YSp8PQAT</v>
      </c>
      <c r="D376" s="3" t="s">
        <v>9745</v>
      </c>
      <c r="E376" s="3"/>
      <c r="F376" s="3" t="s">
        <v>9746</v>
      </c>
      <c r="G376" s="8">
        <v>44551</v>
      </c>
      <c r="H376" s="3">
        <v>245</v>
      </c>
      <c r="I376" s="3" t="s">
        <v>9747</v>
      </c>
      <c r="J376" s="3" t="s">
        <v>9748</v>
      </c>
      <c r="K376" s="3" t="s">
        <v>9749</v>
      </c>
      <c r="L376" s="3" t="s">
        <v>70</v>
      </c>
      <c r="M376" s="3" t="s">
        <v>9750</v>
      </c>
      <c r="N376" s="3" t="s">
        <v>9751</v>
      </c>
      <c r="O376" s="3">
        <v>877</v>
      </c>
      <c r="P376" s="3" t="s">
        <v>6367</v>
      </c>
      <c r="Q376" s="3" t="s">
        <v>673</v>
      </c>
      <c r="R376" s="3" t="s">
        <v>9752</v>
      </c>
      <c r="T376" s="3" t="s">
        <v>9753</v>
      </c>
      <c r="U376" s="3" t="s">
        <v>3799</v>
      </c>
      <c r="V376" s="3" t="s">
        <v>9754</v>
      </c>
      <c r="W376" s="3">
        <v>11</v>
      </c>
      <c r="X376" s="3">
        <v>11</v>
      </c>
      <c r="Y376" s="3"/>
      <c r="AA376" s="3">
        <v>150</v>
      </c>
      <c r="AB376" s="8">
        <v>44529</v>
      </c>
      <c r="AC376" s="3" t="s">
        <v>120</v>
      </c>
      <c r="AD376" s="3">
        <v>0</v>
      </c>
      <c r="AE376" s="3">
        <v>10</v>
      </c>
      <c r="AF376" s="3">
        <v>2</v>
      </c>
      <c r="AG376" s="3" t="s">
        <v>3819</v>
      </c>
      <c r="AH376" s="3" t="s">
        <v>9755</v>
      </c>
      <c r="AI376" s="3">
        <v>60000</v>
      </c>
      <c r="AL376" s="3"/>
      <c r="AM376" s="7" t="s">
        <v>9756</v>
      </c>
      <c r="AN376" s="7" t="s">
        <v>9757</v>
      </c>
      <c r="AO376" s="3"/>
      <c r="AR376" s="3"/>
      <c r="AS376" s="3"/>
      <c r="AT376" s="3"/>
    </row>
    <row r="377" spans="1:46" ht="12.5" x14ac:dyDescent="0.25">
      <c r="A377" s="3" t="s">
        <v>46</v>
      </c>
      <c r="B377" s="21" t="str">
        <f>HYPERLINK("https://gerandofalcoes.my.salesforce.com/0014P00003YSp8Q", "0014P00003YSp8Q")</f>
        <v>0014P00003YSp8Q</v>
      </c>
      <c r="C377" s="21" t="str">
        <f>HYPERLINK("https://gerandofalcoes.my.salesforce.com/0014P00003YSp8QQAT", "0014P00003YSp8QQAT")</f>
        <v>0014P00003YSp8QQAT</v>
      </c>
      <c r="D377" s="3" t="s">
        <v>9758</v>
      </c>
      <c r="E377" s="3"/>
      <c r="F377" s="3"/>
      <c r="G377" s="8">
        <v>44551</v>
      </c>
      <c r="H377" s="3">
        <v>245</v>
      </c>
      <c r="I377" s="3" t="s">
        <v>9759</v>
      </c>
      <c r="J377" s="3" t="s">
        <v>9760</v>
      </c>
      <c r="K377" s="3" t="s">
        <v>9761</v>
      </c>
      <c r="L377" s="3" t="s">
        <v>70</v>
      </c>
      <c r="M377" s="3" t="s">
        <v>9762</v>
      </c>
      <c r="N377" s="3" t="s">
        <v>1917</v>
      </c>
      <c r="O377" s="3">
        <v>679</v>
      </c>
      <c r="P377" s="3" t="s">
        <v>7277</v>
      </c>
      <c r="Q377" s="3"/>
      <c r="R377" s="3" t="s">
        <v>9763</v>
      </c>
      <c r="T377" s="3" t="s">
        <v>9764</v>
      </c>
      <c r="U377" s="3" t="s">
        <v>5233</v>
      </c>
      <c r="V377" s="3" t="s">
        <v>3800</v>
      </c>
      <c r="W377" s="3">
        <v>3</v>
      </c>
      <c r="X377" s="3">
        <v>3</v>
      </c>
      <c r="Y377" s="3" t="s">
        <v>9765</v>
      </c>
      <c r="AA377" s="3">
        <v>200</v>
      </c>
      <c r="AB377" s="6">
        <v>42743</v>
      </c>
      <c r="AC377" s="3" t="s">
        <v>120</v>
      </c>
      <c r="AD377" s="3">
        <v>7</v>
      </c>
      <c r="AE377" s="3">
        <v>15</v>
      </c>
      <c r="AF377" s="3">
        <v>2</v>
      </c>
      <c r="AG377" s="3" t="s">
        <v>9198</v>
      </c>
      <c r="AH377" s="3" t="s">
        <v>9766</v>
      </c>
      <c r="AI377" s="3">
        <v>300000</v>
      </c>
      <c r="AL377" s="7" t="s">
        <v>9767</v>
      </c>
      <c r="AM377" s="7" t="s">
        <v>9768</v>
      </c>
      <c r="AN377" s="3"/>
      <c r="AO377" s="7" t="s">
        <v>9769</v>
      </c>
      <c r="AR377" s="3"/>
      <c r="AS377" s="3"/>
      <c r="AT377" s="7" t="s">
        <v>9770</v>
      </c>
    </row>
    <row r="378" spans="1:46" ht="12.5" x14ac:dyDescent="0.25">
      <c r="A378" s="3" t="s">
        <v>46</v>
      </c>
      <c r="B378" s="21" t="str">
        <f>HYPERLINK("https://gerandofalcoes.my.salesforce.com/0014P00003YSp8R", "0014P00003YSp8R")</f>
        <v>0014P00003YSp8R</v>
      </c>
      <c r="C378" s="21" t="str">
        <f>HYPERLINK("https://gerandofalcoes.my.salesforce.com/0014P00003YSp8RQAT", "0014P00003YSp8RQAT")</f>
        <v>0014P00003YSp8RQAT</v>
      </c>
      <c r="D378" s="3" t="s">
        <v>9771</v>
      </c>
      <c r="E378" s="3"/>
      <c r="F378" s="3" t="s">
        <v>9772</v>
      </c>
      <c r="G378" s="8">
        <v>44551</v>
      </c>
      <c r="H378" s="3">
        <v>245</v>
      </c>
      <c r="I378" s="3" t="s">
        <v>9773</v>
      </c>
      <c r="J378" s="3" t="s">
        <v>9774</v>
      </c>
      <c r="K378" s="3" t="s">
        <v>9775</v>
      </c>
      <c r="L378" s="3" t="s">
        <v>70</v>
      </c>
      <c r="M378" s="3" t="s">
        <v>9776</v>
      </c>
      <c r="N378" s="3" t="s">
        <v>9777</v>
      </c>
      <c r="O378" s="3">
        <v>218</v>
      </c>
      <c r="P378" s="3" t="s">
        <v>6367</v>
      </c>
      <c r="Q378" s="3"/>
      <c r="R378" s="3" t="s">
        <v>9778</v>
      </c>
      <c r="T378" s="3" t="s">
        <v>9779</v>
      </c>
      <c r="U378" s="3" t="s">
        <v>8868</v>
      </c>
      <c r="V378" s="3" t="s">
        <v>9780</v>
      </c>
      <c r="W378" s="3">
        <v>5</v>
      </c>
      <c r="X378" s="3">
        <v>5</v>
      </c>
      <c r="Y378" s="3" t="s">
        <v>9781</v>
      </c>
      <c r="AA378" s="3">
        <v>6000</v>
      </c>
      <c r="AB378" s="8">
        <v>43788</v>
      </c>
      <c r="AC378" s="3" t="s">
        <v>62</v>
      </c>
      <c r="AD378" s="3">
        <v>1</v>
      </c>
      <c r="AE378" s="3">
        <v>50</v>
      </c>
      <c r="AF378" s="3">
        <v>2</v>
      </c>
      <c r="AG378" s="3" t="s">
        <v>9782</v>
      </c>
      <c r="AH378" s="3">
        <v>0</v>
      </c>
      <c r="AI378" s="3">
        <v>11000</v>
      </c>
      <c r="AL378" s="7" t="s">
        <v>9783</v>
      </c>
      <c r="AM378" s="7" t="s">
        <v>9784</v>
      </c>
      <c r="AN378" s="7" t="s">
        <v>9785</v>
      </c>
      <c r="AO378" s="3"/>
      <c r="AR378" s="7" t="s">
        <v>9786</v>
      </c>
      <c r="AS378" s="7" t="s">
        <v>9787</v>
      </c>
      <c r="AT378" s="7" t="s">
        <v>9788</v>
      </c>
    </row>
    <row r="379" spans="1:46" ht="12.5" x14ac:dyDescent="0.25">
      <c r="A379" s="3" t="s">
        <v>46</v>
      </c>
      <c r="B379" s="21" t="str">
        <f>HYPERLINK("https://gerandofalcoes.my.salesforce.com/0014P00003YSp8S", "0014P00003YSp8S")</f>
        <v>0014P00003YSp8S</v>
      </c>
      <c r="C379" s="21" t="str">
        <f>HYPERLINK("https://gerandofalcoes.my.salesforce.com/0014P00003YSp8SQAT", "0014P00003YSp8SQAT")</f>
        <v>0014P00003YSp8SQAT</v>
      </c>
      <c r="D379" s="3" t="s">
        <v>9789</v>
      </c>
      <c r="E379" s="3"/>
      <c r="F379" s="3"/>
      <c r="G379" s="8">
        <v>44551</v>
      </c>
      <c r="H379" s="3">
        <v>245</v>
      </c>
      <c r="I379" s="3" t="s">
        <v>9790</v>
      </c>
      <c r="J379" s="3" t="s">
        <v>9791</v>
      </c>
      <c r="K379" s="3" t="s">
        <v>9792</v>
      </c>
      <c r="L379" s="3" t="s">
        <v>70</v>
      </c>
      <c r="M379" s="3" t="s">
        <v>9793</v>
      </c>
      <c r="N379" s="3" t="s">
        <v>9794</v>
      </c>
      <c r="O379" s="3">
        <v>65</v>
      </c>
      <c r="P379" s="3" t="s">
        <v>1105</v>
      </c>
      <c r="Q379" s="3"/>
      <c r="R379" s="3" t="s">
        <v>9795</v>
      </c>
      <c r="T379" s="3" t="s">
        <v>9796</v>
      </c>
      <c r="U379" s="3" t="s">
        <v>9005</v>
      </c>
      <c r="V379" s="3" t="s">
        <v>3800</v>
      </c>
      <c r="W379" s="3">
        <v>6</v>
      </c>
      <c r="X379" s="3">
        <v>6</v>
      </c>
      <c r="Y379" s="3"/>
      <c r="AA379" s="3">
        <v>700</v>
      </c>
      <c r="AB379" s="8">
        <v>43022</v>
      </c>
      <c r="AC379" s="3" t="s">
        <v>120</v>
      </c>
      <c r="AD379" s="3">
        <v>0</v>
      </c>
      <c r="AE379" s="3">
        <v>4</v>
      </c>
      <c r="AF379" s="3">
        <v>2</v>
      </c>
      <c r="AG379" s="3" t="s">
        <v>9797</v>
      </c>
      <c r="AH379" s="5">
        <v>0.25</v>
      </c>
      <c r="AI379" s="3">
        <v>150000</v>
      </c>
      <c r="AL379" s="3"/>
      <c r="AM379" s="3"/>
      <c r="AN379" s="3"/>
      <c r="AO379" s="3"/>
      <c r="AR379" s="3"/>
      <c r="AS379" s="3"/>
      <c r="AT379" s="3"/>
    </row>
    <row r="380" spans="1:46" ht="12.5" x14ac:dyDescent="0.25">
      <c r="A380" s="3" t="s">
        <v>46</v>
      </c>
      <c r="B380" s="21" t="str">
        <f>HYPERLINK("https://gerandofalcoes.my.salesforce.com/0014P00003YSp8U", "0014P00003YSp8U")</f>
        <v>0014P00003YSp8U</v>
      </c>
      <c r="C380" s="21" t="str">
        <f>HYPERLINK("https://gerandofalcoes.my.salesforce.com/0014P00003YSp8UQAT", "0014P00003YSp8UQAT")</f>
        <v>0014P00003YSp8UQAT</v>
      </c>
      <c r="D380" s="3" t="s">
        <v>9798</v>
      </c>
      <c r="E380" s="3"/>
      <c r="F380" s="3" t="s">
        <v>9799</v>
      </c>
      <c r="G380" s="8">
        <v>44551</v>
      </c>
      <c r="H380" s="3">
        <v>245</v>
      </c>
      <c r="I380" s="3" t="s">
        <v>9800</v>
      </c>
      <c r="J380" s="3" t="s">
        <v>9801</v>
      </c>
      <c r="K380" s="3" t="s">
        <v>9802</v>
      </c>
      <c r="L380" s="3" t="s">
        <v>70</v>
      </c>
      <c r="M380" s="3" t="s">
        <v>9803</v>
      </c>
      <c r="N380" s="3" t="s">
        <v>9804</v>
      </c>
      <c r="O380" s="3">
        <v>153</v>
      </c>
      <c r="P380" s="3" t="s">
        <v>1015</v>
      </c>
      <c r="Q380" s="3" t="s">
        <v>8358</v>
      </c>
      <c r="R380" s="3" t="s">
        <v>9805</v>
      </c>
      <c r="T380" s="3" t="s">
        <v>9806</v>
      </c>
      <c r="U380" s="3" t="s">
        <v>9807</v>
      </c>
      <c r="V380" s="3" t="s">
        <v>9808</v>
      </c>
      <c r="W380" s="3">
        <v>5</v>
      </c>
      <c r="X380" s="3">
        <v>5</v>
      </c>
      <c r="Y380" s="3" t="s">
        <v>9809</v>
      </c>
      <c r="AA380" s="3">
        <v>200</v>
      </c>
      <c r="AB380" s="6">
        <v>39846</v>
      </c>
      <c r="AC380" s="3" t="s">
        <v>62</v>
      </c>
      <c r="AD380" s="3">
        <v>0</v>
      </c>
      <c r="AE380" s="3">
        <v>3</v>
      </c>
      <c r="AF380" s="3">
        <v>3</v>
      </c>
      <c r="AG380" s="3" t="s">
        <v>9810</v>
      </c>
      <c r="AH380" s="3">
        <v>0</v>
      </c>
      <c r="AI380" s="3">
        <v>9994</v>
      </c>
      <c r="AL380" s="7" t="s">
        <v>9811</v>
      </c>
      <c r="AM380" s="7" t="s">
        <v>9812</v>
      </c>
      <c r="AN380" s="7" t="s">
        <v>9813</v>
      </c>
      <c r="AO380" s="3"/>
      <c r="AR380" s="7" t="s">
        <v>9814</v>
      </c>
      <c r="AS380" s="7" t="s">
        <v>9815</v>
      </c>
      <c r="AT380" s="7" t="s">
        <v>9816</v>
      </c>
    </row>
    <row r="381" spans="1:46" ht="12.5" x14ac:dyDescent="0.25">
      <c r="A381" s="3" t="s">
        <v>46</v>
      </c>
      <c r="B381" s="21" t="str">
        <f>HYPERLINK("https://gerandofalcoes.my.salesforce.com/0014P00003YSp8V", "0014P00003YSp8V")</f>
        <v>0014P00003YSp8V</v>
      </c>
      <c r="C381" s="21" t="str">
        <f>HYPERLINK("https://gerandofalcoes.my.salesforce.com/0014P00003YSp8VQAT", "0014P00003YSp8VQAT")</f>
        <v>0014P00003YSp8VQAT</v>
      </c>
      <c r="D381" s="3" t="s">
        <v>9817</v>
      </c>
      <c r="E381" s="3"/>
      <c r="F381" s="3">
        <v>19351396000140</v>
      </c>
      <c r="G381" s="8">
        <v>44551</v>
      </c>
      <c r="H381" s="3">
        <v>245</v>
      </c>
      <c r="I381" s="3" t="s">
        <v>9818</v>
      </c>
      <c r="J381" s="3" t="s">
        <v>9819</v>
      </c>
      <c r="K381" s="3">
        <v>2133395860</v>
      </c>
      <c r="L381" s="3" t="s">
        <v>70</v>
      </c>
      <c r="M381" s="3" t="s">
        <v>9820</v>
      </c>
      <c r="N381" s="3" t="s">
        <v>9821</v>
      </c>
      <c r="O381" s="3">
        <v>54</v>
      </c>
      <c r="P381" s="3" t="s">
        <v>1105</v>
      </c>
      <c r="Q381" s="3"/>
      <c r="R381" s="3">
        <v>25046190</v>
      </c>
      <c r="T381" s="3"/>
      <c r="U381" s="3"/>
      <c r="V381" s="3"/>
      <c r="W381" s="3">
        <v>2</v>
      </c>
      <c r="X381" s="3" t="s">
        <v>9822</v>
      </c>
      <c r="Y381" s="3"/>
      <c r="AA381" s="3">
        <v>40</v>
      </c>
      <c r="AB381" s="6">
        <v>41317</v>
      </c>
      <c r="AC381" s="3" t="s">
        <v>62</v>
      </c>
      <c r="AD381" s="3"/>
      <c r="AE381" s="3">
        <v>3</v>
      </c>
      <c r="AF381" s="3"/>
      <c r="AG381" s="3"/>
      <c r="AH381" s="3"/>
      <c r="AI381" s="3"/>
      <c r="AL381" s="3"/>
      <c r="AM381" s="3"/>
      <c r="AN381" s="7" t="s">
        <v>9823</v>
      </c>
      <c r="AO381" s="3"/>
      <c r="AR381" s="3"/>
      <c r="AS381" s="7" t="s">
        <v>9824</v>
      </c>
      <c r="AT381" s="7" t="s">
        <v>9825</v>
      </c>
    </row>
    <row r="382" spans="1:46" ht="12.5" x14ac:dyDescent="0.25">
      <c r="A382" s="3" t="s">
        <v>46</v>
      </c>
      <c r="B382" s="21" t="str">
        <f>HYPERLINK("https://gerandofalcoes.my.salesforce.com/0014P00003YSp8X", "0014P00003YSp8X")</f>
        <v>0014P00003YSp8X</v>
      </c>
      <c r="C382" s="21" t="str">
        <f>HYPERLINK("https://gerandofalcoes.my.salesforce.com/0014P00003YSp8XQAT", "0014P00003YSp8XQAT")</f>
        <v>0014P00003YSp8XQAT</v>
      </c>
      <c r="D382" s="3" t="s">
        <v>9826</v>
      </c>
      <c r="E382" s="3"/>
      <c r="F382" s="3"/>
      <c r="G382" s="8">
        <v>44551</v>
      </c>
      <c r="H382" s="3">
        <v>245</v>
      </c>
      <c r="I382" s="3" t="s">
        <v>9827</v>
      </c>
      <c r="J382" s="3" t="s">
        <v>9828</v>
      </c>
      <c r="K382" s="3" t="s">
        <v>623</v>
      </c>
      <c r="L382" s="3" t="s">
        <v>295</v>
      </c>
      <c r="M382" s="3" t="s">
        <v>9829</v>
      </c>
      <c r="N382" s="3" t="s">
        <v>9830</v>
      </c>
      <c r="O382" s="3">
        <v>39</v>
      </c>
      <c r="P382" s="3" t="s">
        <v>9831</v>
      </c>
      <c r="Q382" s="3" t="s">
        <v>9832</v>
      </c>
      <c r="R382" s="3" t="s">
        <v>9833</v>
      </c>
      <c r="T382" s="3" t="s">
        <v>9834</v>
      </c>
      <c r="U382" s="3" t="s">
        <v>3768</v>
      </c>
      <c r="V382" s="3" t="s">
        <v>3832</v>
      </c>
      <c r="W382" s="3">
        <v>9</v>
      </c>
      <c r="X382" s="3">
        <v>9</v>
      </c>
      <c r="Y382" s="3"/>
      <c r="AA382" s="3">
        <v>100</v>
      </c>
      <c r="AB382" s="8">
        <v>43464</v>
      </c>
      <c r="AC382" s="3" t="s">
        <v>120</v>
      </c>
      <c r="AD382" s="3">
        <v>0</v>
      </c>
      <c r="AE382" s="3">
        <v>20</v>
      </c>
      <c r="AF382" s="3">
        <v>2</v>
      </c>
      <c r="AG382" s="3" t="s">
        <v>9198</v>
      </c>
      <c r="AH382" s="3">
        <v>0</v>
      </c>
      <c r="AI382" s="3">
        <v>25000</v>
      </c>
      <c r="AL382" s="3" t="s">
        <v>9835</v>
      </c>
      <c r="AM382" s="7" t="s">
        <v>9836</v>
      </c>
      <c r="AN382" s="7" t="s">
        <v>9837</v>
      </c>
      <c r="AO382" s="3"/>
      <c r="AR382" s="3"/>
      <c r="AS382" s="3"/>
      <c r="AT382" s="7" t="s">
        <v>9838</v>
      </c>
    </row>
    <row r="383" spans="1:46" ht="12.5" x14ac:dyDescent="0.25">
      <c r="A383" s="3" t="s">
        <v>46</v>
      </c>
      <c r="B383" s="21" t="str">
        <f>HYPERLINK("https://gerandofalcoes.my.salesforce.com/0014P00003YSp8Y", "0014P00003YSp8Y")</f>
        <v>0014P00003YSp8Y</v>
      </c>
      <c r="C383" s="21" t="str">
        <f>HYPERLINK("https://gerandofalcoes.my.salesforce.com/0014P00003YSp8YQAT", "0014P00003YSp8YQAT")</f>
        <v>0014P00003YSp8YQAT</v>
      </c>
      <c r="D383" s="3" t="s">
        <v>9839</v>
      </c>
      <c r="E383" s="3" t="s">
        <v>9840</v>
      </c>
      <c r="F383" s="3" t="s">
        <v>9841</v>
      </c>
      <c r="G383" s="8">
        <v>44551</v>
      </c>
      <c r="H383" s="3">
        <v>245</v>
      </c>
      <c r="I383" s="3" t="s">
        <v>9842</v>
      </c>
      <c r="J383" s="3" t="s">
        <v>9843</v>
      </c>
      <c r="K383" s="3" t="s">
        <v>9844</v>
      </c>
      <c r="L383" s="3" t="s">
        <v>70</v>
      </c>
      <c r="M383" s="3" t="s">
        <v>9845</v>
      </c>
      <c r="N383" s="3" t="s">
        <v>9846</v>
      </c>
      <c r="O383" s="3">
        <v>47</v>
      </c>
      <c r="P383" s="3" t="s">
        <v>73</v>
      </c>
      <c r="Q383" s="3"/>
      <c r="R383" s="3" t="s">
        <v>9847</v>
      </c>
      <c r="T383" s="3" t="s">
        <v>9848</v>
      </c>
      <c r="U383" s="3" t="s">
        <v>9152</v>
      </c>
      <c r="V383" s="3" t="s">
        <v>9568</v>
      </c>
      <c r="W383" s="3">
        <v>3</v>
      </c>
      <c r="X383" s="3">
        <v>3</v>
      </c>
      <c r="Y383" s="3" t="s">
        <v>9849</v>
      </c>
      <c r="AA383" s="3">
        <v>5000</v>
      </c>
      <c r="AB383" s="6">
        <v>44095</v>
      </c>
      <c r="AC383" s="3" t="s">
        <v>62</v>
      </c>
      <c r="AD383" s="3">
        <v>9</v>
      </c>
      <c r="AE383" s="3">
        <v>10</v>
      </c>
      <c r="AF383" s="3">
        <v>3</v>
      </c>
      <c r="AG383" s="3" t="s">
        <v>9850</v>
      </c>
      <c r="AH383" s="3">
        <v>0</v>
      </c>
      <c r="AI383" s="3">
        <v>97000</v>
      </c>
      <c r="AL383" s="7" t="s">
        <v>9851</v>
      </c>
      <c r="AM383" s="3" t="s">
        <v>9852</v>
      </c>
      <c r="AN383" s="7" t="s">
        <v>9853</v>
      </c>
      <c r="AO383" s="3"/>
      <c r="AR383" s="7" t="s">
        <v>9854</v>
      </c>
      <c r="AS383" s="7" t="s">
        <v>9855</v>
      </c>
      <c r="AT383" s="3"/>
    </row>
    <row r="384" spans="1:46" ht="12.5" x14ac:dyDescent="0.25">
      <c r="A384" s="3" t="s">
        <v>46</v>
      </c>
      <c r="B384" s="21" t="str">
        <f>HYPERLINK("https://gerandofalcoes.my.salesforce.com/0014P00003YSp8a", "0014P00003YSp8a")</f>
        <v>0014P00003YSp8a</v>
      </c>
      <c r="C384" s="21" t="str">
        <f>HYPERLINK("https://gerandofalcoes.my.salesforce.com/0014P00003YSp8aQAD", "0014P00003YSp8aQAD")</f>
        <v>0014P00003YSp8aQAD</v>
      </c>
      <c r="D384" s="3" t="s">
        <v>9856</v>
      </c>
      <c r="E384" s="3" t="s">
        <v>9857</v>
      </c>
      <c r="F384" s="3" t="s">
        <v>9858</v>
      </c>
      <c r="G384" s="8">
        <v>44551</v>
      </c>
      <c r="H384" s="3">
        <v>245</v>
      </c>
      <c r="I384" s="3" t="s">
        <v>9859</v>
      </c>
      <c r="J384" s="3" t="s">
        <v>9860</v>
      </c>
      <c r="K384" s="3" t="s">
        <v>9861</v>
      </c>
      <c r="L384" s="3" t="s">
        <v>70</v>
      </c>
      <c r="M384" s="3" t="s">
        <v>9862</v>
      </c>
      <c r="N384" s="3" t="s">
        <v>7883</v>
      </c>
      <c r="O384" s="3">
        <v>80</v>
      </c>
      <c r="P384" s="3" t="s">
        <v>73</v>
      </c>
      <c r="Q384" s="3" t="s">
        <v>9863</v>
      </c>
      <c r="R384" s="3" t="s">
        <v>9864</v>
      </c>
      <c r="T384" s="3" t="s">
        <v>9865</v>
      </c>
      <c r="U384" s="3" t="s">
        <v>9005</v>
      </c>
      <c r="V384" s="3" t="s">
        <v>9568</v>
      </c>
      <c r="W384" s="3">
        <v>5</v>
      </c>
      <c r="X384" s="3">
        <v>5</v>
      </c>
      <c r="Y384" s="3" t="s">
        <v>9866</v>
      </c>
      <c r="AA384" s="3">
        <v>40000</v>
      </c>
      <c r="AB384" s="6">
        <v>40373</v>
      </c>
      <c r="AC384" s="3" t="s">
        <v>62</v>
      </c>
      <c r="AD384" s="3">
        <v>0</v>
      </c>
      <c r="AE384" s="3">
        <v>15</v>
      </c>
      <c r="AF384" s="3">
        <v>2</v>
      </c>
      <c r="AG384" s="3" t="s">
        <v>9867</v>
      </c>
      <c r="AH384" s="3">
        <v>0</v>
      </c>
      <c r="AI384" s="3">
        <v>40000</v>
      </c>
      <c r="AL384" s="7" t="s">
        <v>9868</v>
      </c>
      <c r="AM384" s="7" t="s">
        <v>9869</v>
      </c>
      <c r="AN384" s="7" t="s">
        <v>9870</v>
      </c>
      <c r="AO384" s="7" t="s">
        <v>9871</v>
      </c>
      <c r="AR384" s="3"/>
      <c r="AS384" s="3"/>
      <c r="AT384" s="3"/>
    </row>
    <row r="385" spans="1:47" ht="12.5" x14ac:dyDescent="0.25">
      <c r="A385" s="3" t="s">
        <v>46</v>
      </c>
      <c r="B385" s="21" t="str">
        <f>HYPERLINK("https://gerandofalcoes.my.salesforce.com/0014P00003YSp8b", "0014P00003YSp8b")</f>
        <v>0014P00003YSp8b</v>
      </c>
      <c r="C385" s="21" t="str">
        <f>HYPERLINK("https://gerandofalcoes.my.salesforce.com/0014P00003YSp8bQAD", "0014P00003YSp8bQAD")</f>
        <v>0014P00003YSp8bQAD</v>
      </c>
      <c r="D385" s="3" t="s">
        <v>9872</v>
      </c>
      <c r="E385" s="3"/>
      <c r="F385" s="3">
        <v>15145301000180</v>
      </c>
      <c r="G385" s="8">
        <v>44551</v>
      </c>
      <c r="H385" s="3">
        <v>245</v>
      </c>
      <c r="I385" s="3" t="s">
        <v>9873</v>
      </c>
      <c r="J385" s="3" t="s">
        <v>9874</v>
      </c>
      <c r="K385" s="3">
        <v>2138351044</v>
      </c>
      <c r="L385" s="3" t="s">
        <v>70</v>
      </c>
      <c r="M385" s="3" t="s">
        <v>9875</v>
      </c>
      <c r="N385" s="3" t="s">
        <v>9876</v>
      </c>
      <c r="O385" s="3">
        <v>12528</v>
      </c>
      <c r="P385" s="3" t="s">
        <v>73</v>
      </c>
      <c r="Q385" s="3" t="s">
        <v>9877</v>
      </c>
      <c r="R385" s="3">
        <v>21520002</v>
      </c>
      <c r="T385" s="3"/>
      <c r="U385" s="3"/>
      <c r="V385" s="3"/>
      <c r="W385" s="3">
        <v>20</v>
      </c>
      <c r="X385" s="3" t="s">
        <v>9878</v>
      </c>
      <c r="Y385" s="3"/>
      <c r="AA385" s="3">
        <v>5000000</v>
      </c>
      <c r="AB385" s="8">
        <v>40858</v>
      </c>
      <c r="AC385" s="3" t="s">
        <v>62</v>
      </c>
      <c r="AD385" s="3">
        <v>4</v>
      </c>
      <c r="AE385" s="3">
        <v>25</v>
      </c>
      <c r="AF385" s="3">
        <v>2</v>
      </c>
      <c r="AG385" s="3"/>
      <c r="AH385" s="3"/>
      <c r="AI385" s="3">
        <v>80000</v>
      </c>
      <c r="AJ385" s="3"/>
      <c r="AK385" s="3"/>
      <c r="AL385" s="3"/>
      <c r="AM385" s="7" t="s">
        <v>9879</v>
      </c>
      <c r="AN385" s="7" t="s">
        <v>9880</v>
      </c>
      <c r="AO385" s="3"/>
      <c r="AR385" s="7" t="s">
        <v>9881</v>
      </c>
      <c r="AS385" s="7" t="s">
        <v>9882</v>
      </c>
      <c r="AT385" s="7" t="s">
        <v>9883</v>
      </c>
    </row>
    <row r="386" spans="1:47" ht="12.5" x14ac:dyDescent="0.25">
      <c r="A386" s="3" t="s">
        <v>46</v>
      </c>
      <c r="B386" s="21" t="str">
        <f>HYPERLINK("https://gerandofalcoes.my.salesforce.com/0014P00003YSp8c", "0014P00003YSp8c")</f>
        <v>0014P00003YSp8c</v>
      </c>
      <c r="C386" s="21" t="str">
        <f>HYPERLINK("https://gerandofalcoes.my.salesforce.com/0014P00003YSp8cQAD", "0014P00003YSp8cQAD")</f>
        <v>0014P00003YSp8cQAD</v>
      </c>
      <c r="D386" s="3" t="s">
        <v>9884</v>
      </c>
      <c r="E386" s="3"/>
      <c r="F386" s="3" t="s">
        <v>9885</v>
      </c>
      <c r="G386" s="8">
        <v>44551</v>
      </c>
      <c r="H386" s="3">
        <v>245</v>
      </c>
      <c r="I386" s="3" t="s">
        <v>9886</v>
      </c>
      <c r="J386" s="3" t="s">
        <v>9887</v>
      </c>
      <c r="K386" s="3" t="s">
        <v>9888</v>
      </c>
      <c r="L386" s="3" t="s">
        <v>295</v>
      </c>
      <c r="M386" s="3" t="s">
        <v>9889</v>
      </c>
      <c r="N386" s="3" t="s">
        <v>1515</v>
      </c>
      <c r="O386" s="3">
        <v>78</v>
      </c>
      <c r="P386" s="3" t="s">
        <v>9890</v>
      </c>
      <c r="Q386" s="3" t="s">
        <v>9891</v>
      </c>
      <c r="R386" s="3" t="s">
        <v>9892</v>
      </c>
      <c r="T386" s="3" t="s">
        <v>3981</v>
      </c>
      <c r="U386" s="3" t="s">
        <v>9893</v>
      </c>
      <c r="V386" s="3" t="s">
        <v>9894</v>
      </c>
      <c r="W386" s="3">
        <v>8</v>
      </c>
      <c r="X386" s="3">
        <v>8</v>
      </c>
      <c r="Y386" s="3" t="s">
        <v>9895</v>
      </c>
      <c r="AA386" s="3">
        <v>4500</v>
      </c>
      <c r="AB386" s="6">
        <v>42385</v>
      </c>
      <c r="AC386" s="3" t="s">
        <v>62</v>
      </c>
      <c r="AD386" s="3">
        <v>8</v>
      </c>
      <c r="AE386" s="3">
        <v>30</v>
      </c>
      <c r="AF386" s="3">
        <v>3</v>
      </c>
      <c r="AG386" s="3" t="s">
        <v>9896</v>
      </c>
      <c r="AH386" s="3" t="s">
        <v>9897</v>
      </c>
      <c r="AI386" s="3">
        <v>100000</v>
      </c>
      <c r="AL386" s="7" t="s">
        <v>9898</v>
      </c>
      <c r="AM386" s="7" t="s">
        <v>9898</v>
      </c>
      <c r="AN386" s="3"/>
      <c r="AO386" s="3"/>
      <c r="AR386" s="7" t="s">
        <v>9899</v>
      </c>
      <c r="AS386" s="7" t="s">
        <v>9900</v>
      </c>
      <c r="AT386" s="7" t="s">
        <v>9901</v>
      </c>
    </row>
    <row r="387" spans="1:47" ht="12.5" x14ac:dyDescent="0.25">
      <c r="A387" s="3" t="s">
        <v>46</v>
      </c>
      <c r="B387" s="21" t="str">
        <f>HYPERLINK("https://gerandofalcoes.my.salesforce.com/0014P00003YSp8d", "0014P00003YSp8d")</f>
        <v>0014P00003YSp8d</v>
      </c>
      <c r="C387" s="21" t="str">
        <f>HYPERLINK("https://gerandofalcoes.my.salesforce.com/0014P00003YSp8dQAD", "0014P00003YSp8dQAD")</f>
        <v>0014P00003YSp8dQAD</v>
      </c>
      <c r="D387" s="3" t="s">
        <v>9902</v>
      </c>
      <c r="E387" s="3"/>
      <c r="F387" s="3"/>
      <c r="G387" s="8">
        <v>44551</v>
      </c>
      <c r="H387" s="3">
        <v>245</v>
      </c>
      <c r="I387" s="3" t="s">
        <v>9903</v>
      </c>
      <c r="J387" s="3" t="s">
        <v>9904</v>
      </c>
      <c r="K387" s="3" t="s">
        <v>9905</v>
      </c>
      <c r="L387" s="3" t="s">
        <v>51</v>
      </c>
      <c r="M387" s="3" t="s">
        <v>9906</v>
      </c>
      <c r="N387" s="3" t="s">
        <v>9907</v>
      </c>
      <c r="O387" s="3">
        <v>3245</v>
      </c>
      <c r="P387" s="3" t="s">
        <v>9907</v>
      </c>
      <c r="Q387" s="3"/>
      <c r="R387" s="3" t="s">
        <v>9908</v>
      </c>
      <c r="T387" s="3" t="s">
        <v>8926</v>
      </c>
      <c r="U387" s="3" t="s">
        <v>9909</v>
      </c>
      <c r="V387" s="3" t="s">
        <v>3800</v>
      </c>
      <c r="W387" s="3">
        <v>135</v>
      </c>
      <c r="X387" s="3">
        <v>135</v>
      </c>
      <c r="Y387" s="3"/>
      <c r="AA387" s="3">
        <v>85</v>
      </c>
      <c r="AB387" s="6">
        <v>27760</v>
      </c>
      <c r="AC387" s="3" t="s">
        <v>120</v>
      </c>
      <c r="AD387" s="3">
        <v>3</v>
      </c>
      <c r="AE387" s="3">
        <v>1</v>
      </c>
      <c r="AF387" s="3">
        <v>2</v>
      </c>
      <c r="AG387" s="3" t="s">
        <v>9910</v>
      </c>
      <c r="AH387" s="3">
        <v>1000</v>
      </c>
      <c r="AI387" s="3">
        <v>0</v>
      </c>
      <c r="AL387" s="3" t="s">
        <v>9911</v>
      </c>
      <c r="AM387" s="3"/>
      <c r="AN387" s="3"/>
      <c r="AO387" s="3"/>
      <c r="AR387" s="3"/>
      <c r="AS387" s="3"/>
      <c r="AT387" s="3"/>
    </row>
    <row r="388" spans="1:47" ht="12.5" x14ac:dyDescent="0.25">
      <c r="A388" s="3" t="s">
        <v>46</v>
      </c>
      <c r="B388" s="21" t="str">
        <f>HYPERLINK("https://gerandofalcoes.my.salesforce.com/0014P00003YSp8e", "0014P00003YSp8e")</f>
        <v>0014P00003YSp8e</v>
      </c>
      <c r="C388" s="21" t="str">
        <f>HYPERLINK("https://gerandofalcoes.my.salesforce.com/0014P00003YSp8eQAD", "0014P00003YSp8eQAD")</f>
        <v>0014P00003YSp8eQAD</v>
      </c>
      <c r="D388" s="3" t="s">
        <v>9912</v>
      </c>
      <c r="E388" s="3"/>
      <c r="F388" s="3" t="s">
        <v>9913</v>
      </c>
      <c r="G388" s="8">
        <v>44551</v>
      </c>
      <c r="H388" s="3">
        <v>245</v>
      </c>
      <c r="I388" s="3" t="s">
        <v>9914</v>
      </c>
      <c r="J388" s="3" t="s">
        <v>9915</v>
      </c>
      <c r="K388" s="3" t="s">
        <v>9916</v>
      </c>
      <c r="L388" s="3" t="s">
        <v>70</v>
      </c>
      <c r="M388" s="3" t="s">
        <v>9917</v>
      </c>
      <c r="N388" s="3" t="s">
        <v>9918</v>
      </c>
      <c r="O388" s="3">
        <v>0</v>
      </c>
      <c r="P388" s="3" t="s">
        <v>7277</v>
      </c>
      <c r="Q388" s="3" t="s">
        <v>9919</v>
      </c>
      <c r="R388" s="3" t="s">
        <v>9920</v>
      </c>
      <c r="T388" s="3" t="s">
        <v>9921</v>
      </c>
      <c r="U388" s="3" t="s">
        <v>9922</v>
      </c>
      <c r="V388" s="3" t="s">
        <v>3832</v>
      </c>
      <c r="W388" s="3">
        <v>10</v>
      </c>
      <c r="X388" s="3">
        <v>10</v>
      </c>
      <c r="Y388" s="3" t="s">
        <v>9923</v>
      </c>
      <c r="AA388" s="3">
        <v>500</v>
      </c>
      <c r="AB388" s="6">
        <v>40460</v>
      </c>
      <c r="AC388" s="3" t="s">
        <v>62</v>
      </c>
      <c r="AD388" s="3">
        <v>0</v>
      </c>
      <c r="AE388" s="3">
        <v>88</v>
      </c>
      <c r="AF388" s="3">
        <v>3</v>
      </c>
      <c r="AG388" s="3" t="s">
        <v>9369</v>
      </c>
      <c r="AH388" s="3" t="s">
        <v>562</v>
      </c>
      <c r="AI388" s="3">
        <v>350000</v>
      </c>
      <c r="AJ388" s="3"/>
      <c r="AL388" s="7" t="s">
        <v>9924</v>
      </c>
      <c r="AM388" s="7" t="s">
        <v>9925</v>
      </c>
      <c r="AN388" s="7" t="s">
        <v>9926</v>
      </c>
      <c r="AO388" s="3"/>
      <c r="AR388" s="7" t="s">
        <v>9927</v>
      </c>
      <c r="AS388" s="7" t="s">
        <v>9928</v>
      </c>
      <c r="AT388" s="7" t="s">
        <v>9929</v>
      </c>
      <c r="AU388" s="3"/>
    </row>
    <row r="389" spans="1:47" ht="12.5" x14ac:dyDescent="0.25">
      <c r="A389" s="3" t="s">
        <v>46</v>
      </c>
      <c r="B389" s="21" t="str">
        <f>HYPERLINK("https://gerandofalcoes.my.salesforce.com/0014P00003YSp8f", "0014P00003YSp8f")</f>
        <v>0014P00003YSp8f</v>
      </c>
      <c r="C389" s="21" t="str">
        <f>HYPERLINK("https://gerandofalcoes.my.salesforce.com/0014P00003YSp8fQAD", "0014P00003YSp8fQAD")</f>
        <v>0014P00003YSp8fQAD</v>
      </c>
      <c r="D389" s="3" t="s">
        <v>9930</v>
      </c>
      <c r="E389" s="3"/>
      <c r="F389" s="3" t="s">
        <v>9931</v>
      </c>
      <c r="G389" s="8">
        <v>44551</v>
      </c>
      <c r="H389" s="3">
        <v>245</v>
      </c>
      <c r="I389" s="3" t="s">
        <v>9932</v>
      </c>
      <c r="J389" s="3" t="s">
        <v>9933</v>
      </c>
      <c r="K389" s="3" t="s">
        <v>9934</v>
      </c>
      <c r="L389" s="3" t="s">
        <v>70</v>
      </c>
      <c r="M389" s="3" t="s">
        <v>9935</v>
      </c>
      <c r="N389" s="3" t="s">
        <v>1704</v>
      </c>
      <c r="O389" s="3">
        <v>390</v>
      </c>
      <c r="P389" s="3" t="s">
        <v>73</v>
      </c>
      <c r="Q389" s="3"/>
      <c r="R389" s="3" t="s">
        <v>9936</v>
      </c>
      <c r="T389" s="3" t="s">
        <v>9937</v>
      </c>
      <c r="U389" s="3" t="s">
        <v>9152</v>
      </c>
      <c r="V389" s="3" t="s">
        <v>9938</v>
      </c>
      <c r="W389" s="3">
        <v>8</v>
      </c>
      <c r="X389" s="3">
        <v>8</v>
      </c>
      <c r="Y389" s="3"/>
      <c r="AA389" s="3">
        <v>240</v>
      </c>
      <c r="AB389" s="6">
        <v>43300</v>
      </c>
      <c r="AC389" s="3" t="s">
        <v>62</v>
      </c>
      <c r="AD389" s="3">
        <v>7</v>
      </c>
      <c r="AE389" s="3">
        <v>4</v>
      </c>
      <c r="AF389" s="3">
        <v>2</v>
      </c>
      <c r="AG389" s="3" t="s">
        <v>9939</v>
      </c>
      <c r="AH389" s="3" t="s">
        <v>9940</v>
      </c>
      <c r="AI389" s="3">
        <v>120000</v>
      </c>
      <c r="AJ389" s="3"/>
      <c r="AL389" s="3" t="s">
        <v>9941</v>
      </c>
      <c r="AM389" s="7" t="s">
        <v>9942</v>
      </c>
      <c r="AN389" s="7" t="s">
        <v>9943</v>
      </c>
      <c r="AO389" s="7" t="s">
        <v>9944</v>
      </c>
      <c r="AQ389" s="3"/>
      <c r="AR389" s="7" t="s">
        <v>9945</v>
      </c>
      <c r="AS389" s="7" t="s">
        <v>9946</v>
      </c>
      <c r="AT389" s="3"/>
      <c r="AU389" s="3"/>
    </row>
    <row r="390" spans="1:47" ht="12.5" x14ac:dyDescent="0.25">
      <c r="A390" s="3" t="s">
        <v>46</v>
      </c>
      <c r="B390" s="21" t="str">
        <f>HYPERLINK("https://gerandofalcoes.my.salesforce.com/0014P00003YSp8g", "0014P00003YSp8g")</f>
        <v>0014P00003YSp8g</v>
      </c>
      <c r="C390" s="21" t="str">
        <f>HYPERLINK("https://gerandofalcoes.my.salesforce.com/0014P00003YSp8gQAD", "0014P00003YSp8gQAD")</f>
        <v>0014P00003YSp8gQAD</v>
      </c>
      <c r="D390" s="3" t="s">
        <v>9947</v>
      </c>
      <c r="E390" s="3" t="s">
        <v>9947</v>
      </c>
      <c r="F390" s="3"/>
      <c r="G390" s="8">
        <v>44551</v>
      </c>
      <c r="H390" s="3">
        <v>245</v>
      </c>
      <c r="I390" s="3" t="s">
        <v>9948</v>
      </c>
      <c r="J390" s="3" t="s">
        <v>9949</v>
      </c>
      <c r="K390" s="3" t="s">
        <v>9950</v>
      </c>
      <c r="L390" s="3" t="s">
        <v>70</v>
      </c>
      <c r="M390" s="3" t="s">
        <v>9951</v>
      </c>
      <c r="N390" s="3" t="s">
        <v>9952</v>
      </c>
      <c r="O390" s="3">
        <v>625</v>
      </c>
      <c r="P390" s="3" t="s">
        <v>6367</v>
      </c>
      <c r="Q390" s="3" t="s">
        <v>9953</v>
      </c>
      <c r="R390" s="3" t="s">
        <v>9954</v>
      </c>
      <c r="S390" s="3"/>
      <c r="T390" s="3" t="s">
        <v>3798</v>
      </c>
      <c r="U390" s="3" t="s">
        <v>3768</v>
      </c>
      <c r="V390" s="3" t="s">
        <v>3800</v>
      </c>
      <c r="W390" s="3">
        <v>2</v>
      </c>
      <c r="X390" s="3">
        <v>2</v>
      </c>
      <c r="Y390" s="3"/>
      <c r="AA390" s="3">
        <v>60</v>
      </c>
      <c r="AB390" s="6">
        <v>40915</v>
      </c>
      <c r="AC390" s="3" t="s">
        <v>120</v>
      </c>
      <c r="AD390" s="3">
        <v>4</v>
      </c>
      <c r="AE390" s="3">
        <v>6</v>
      </c>
      <c r="AF390" s="3">
        <v>2</v>
      </c>
      <c r="AG390" s="3" t="s">
        <v>4204</v>
      </c>
      <c r="AH390" s="3" t="s">
        <v>9955</v>
      </c>
      <c r="AI390" s="3">
        <v>2000</v>
      </c>
      <c r="AJ390" s="3"/>
      <c r="AK390" s="3"/>
      <c r="AL390" s="3"/>
      <c r="AM390" s="7" t="s">
        <v>9956</v>
      </c>
      <c r="AN390" s="3"/>
      <c r="AO390" s="3"/>
      <c r="AR390" s="3"/>
      <c r="AS390" s="3"/>
      <c r="AT390" s="3"/>
      <c r="AU390" s="3"/>
    </row>
    <row r="391" spans="1:47" ht="12.5" x14ac:dyDescent="0.25">
      <c r="A391" s="3" t="s">
        <v>46</v>
      </c>
      <c r="B391" s="21" t="str">
        <f>HYPERLINK("https://gerandofalcoes.my.salesforce.com/0014P00003YSp8h", "0014P00003YSp8h")</f>
        <v>0014P00003YSp8h</v>
      </c>
      <c r="C391" s="21" t="str">
        <f>HYPERLINK("https://gerandofalcoes.my.salesforce.com/0014P00003YSp8hQAD", "0014P00003YSp8hQAD")</f>
        <v>0014P00003YSp8hQAD</v>
      </c>
      <c r="D391" s="3" t="s">
        <v>4970</v>
      </c>
      <c r="E391" s="3"/>
      <c r="F391" s="3"/>
      <c r="G391" s="8">
        <v>44551</v>
      </c>
      <c r="H391" s="3">
        <v>245</v>
      </c>
      <c r="I391" s="3" t="s">
        <v>9957</v>
      </c>
      <c r="J391" s="3" t="s">
        <v>9958</v>
      </c>
      <c r="K391" s="3">
        <v>21976569727</v>
      </c>
      <c r="L391" s="3" t="s">
        <v>70</v>
      </c>
      <c r="M391" s="3" t="s">
        <v>9959</v>
      </c>
      <c r="N391" s="3" t="s">
        <v>9960</v>
      </c>
      <c r="O391" s="3">
        <v>0</v>
      </c>
      <c r="P391" s="3" t="s">
        <v>73</v>
      </c>
      <c r="Q391" s="3"/>
      <c r="R391" s="3">
        <v>21235390</v>
      </c>
      <c r="T391" s="3"/>
      <c r="U391" s="3"/>
      <c r="V391" s="3"/>
      <c r="W391" s="3">
        <v>7</v>
      </c>
      <c r="X391" s="3">
        <v>7</v>
      </c>
      <c r="Y391" s="3" t="s">
        <v>9961</v>
      </c>
      <c r="AA391" s="3">
        <v>800</v>
      </c>
      <c r="AB391" s="6">
        <v>44107</v>
      </c>
      <c r="AC391" s="3" t="s">
        <v>120</v>
      </c>
      <c r="AD391" s="3">
        <v>10</v>
      </c>
      <c r="AE391" s="3">
        <v>170</v>
      </c>
      <c r="AF391" s="3">
        <v>2</v>
      </c>
      <c r="AG391" s="3"/>
      <c r="AH391" s="3"/>
      <c r="AI391" s="3">
        <v>90000</v>
      </c>
      <c r="AJ391" s="3"/>
      <c r="AK391" s="3"/>
      <c r="AL391" s="3"/>
      <c r="AM391" s="3"/>
      <c r="AN391" s="3"/>
      <c r="AO391" s="3"/>
      <c r="AR391" s="3"/>
      <c r="AS391" s="3"/>
      <c r="AT391" s="3"/>
      <c r="AU391" s="3"/>
    </row>
    <row r="392" spans="1:47" ht="12.5" x14ac:dyDescent="0.25">
      <c r="A392" s="3" t="s">
        <v>46</v>
      </c>
      <c r="B392" s="21" t="str">
        <f>HYPERLINK("https://gerandofalcoes.my.salesforce.com/0014P00003YSp8i", "0014P00003YSp8i")</f>
        <v>0014P00003YSp8i</v>
      </c>
      <c r="C392" s="21" t="str">
        <f>HYPERLINK("https://gerandofalcoes.my.salesforce.com/0014P00003YSp8iQAD", "0014P00003YSp8iQAD")</f>
        <v>0014P00003YSp8iQAD</v>
      </c>
      <c r="D392" s="3" t="s">
        <v>9962</v>
      </c>
      <c r="E392" s="3"/>
      <c r="F392" s="3" t="s">
        <v>9963</v>
      </c>
      <c r="G392" s="8">
        <v>44551</v>
      </c>
      <c r="H392" s="3">
        <v>245</v>
      </c>
      <c r="I392" s="3" t="s">
        <v>9964</v>
      </c>
      <c r="J392" s="3" t="s">
        <v>9965</v>
      </c>
      <c r="K392" s="3" t="s">
        <v>9966</v>
      </c>
      <c r="L392" s="3" t="s">
        <v>310</v>
      </c>
      <c r="M392" s="3" t="s">
        <v>9967</v>
      </c>
      <c r="N392" s="3" t="s">
        <v>9968</v>
      </c>
      <c r="O392" s="3">
        <v>405</v>
      </c>
      <c r="P392" s="3" t="s">
        <v>338</v>
      </c>
      <c r="Q392" s="3"/>
      <c r="R392" s="3" t="s">
        <v>9969</v>
      </c>
      <c r="S392" s="3"/>
      <c r="T392" s="3" t="s">
        <v>3981</v>
      </c>
      <c r="U392" s="3" t="s">
        <v>8895</v>
      </c>
      <c r="V392" s="3" t="s">
        <v>3800</v>
      </c>
      <c r="W392" s="3">
        <v>1</v>
      </c>
      <c r="X392" s="3">
        <v>1</v>
      </c>
      <c r="Y392" s="3" t="s">
        <v>9970</v>
      </c>
      <c r="AA392" s="3">
        <v>130</v>
      </c>
      <c r="AB392" s="6">
        <v>39856</v>
      </c>
      <c r="AC392" s="3" t="s">
        <v>62</v>
      </c>
      <c r="AD392" s="3">
        <v>5</v>
      </c>
      <c r="AE392" s="3">
        <v>20</v>
      </c>
      <c r="AF392" s="3">
        <v>8</v>
      </c>
      <c r="AG392" s="3" t="s">
        <v>9154</v>
      </c>
      <c r="AH392" s="3" t="s">
        <v>9971</v>
      </c>
      <c r="AI392" s="3">
        <v>78878</v>
      </c>
      <c r="AJ392" s="3"/>
      <c r="AK392" s="3"/>
      <c r="AL392" s="7" t="s">
        <v>9972</v>
      </c>
      <c r="AM392" s="7" t="s">
        <v>9973</v>
      </c>
      <c r="AN392" s="7" t="s">
        <v>9974</v>
      </c>
      <c r="AO392" s="7" t="s">
        <v>9975</v>
      </c>
      <c r="AR392" s="7" t="s">
        <v>9976</v>
      </c>
      <c r="AS392" s="7" t="s">
        <v>9977</v>
      </c>
      <c r="AT392" s="7" t="s">
        <v>9978</v>
      </c>
      <c r="AU392" s="3"/>
    </row>
    <row r="393" spans="1:47" ht="12.5" x14ac:dyDescent="0.25">
      <c r="A393" s="3" t="s">
        <v>46</v>
      </c>
      <c r="B393" s="21" t="str">
        <f>HYPERLINK("https://gerandofalcoes.my.salesforce.com/0014P00003YSp8k", "0014P00003YSp8k")</f>
        <v>0014P00003YSp8k</v>
      </c>
      <c r="C393" s="21" t="str">
        <f>HYPERLINK("https://gerandofalcoes.my.salesforce.com/0014P00003YSp8kQAD", "0014P00003YSp8kQAD")</f>
        <v>0014P00003YSp8kQAD</v>
      </c>
      <c r="D393" s="3" t="s">
        <v>9979</v>
      </c>
      <c r="E393" s="3"/>
      <c r="F393" s="3" t="s">
        <v>9980</v>
      </c>
      <c r="G393" s="8">
        <v>44551</v>
      </c>
      <c r="H393" s="3">
        <v>245</v>
      </c>
      <c r="I393" s="3" t="s">
        <v>9981</v>
      </c>
      <c r="J393" s="3" t="s">
        <v>9982</v>
      </c>
      <c r="K393" s="3" t="s">
        <v>9983</v>
      </c>
      <c r="L393" s="3" t="s">
        <v>101</v>
      </c>
      <c r="M393" s="3" t="s">
        <v>9984</v>
      </c>
      <c r="N393" s="3" t="s">
        <v>9985</v>
      </c>
      <c r="O393" s="3">
        <v>849</v>
      </c>
      <c r="P393" s="3" t="s">
        <v>128</v>
      </c>
      <c r="Q393" s="3" t="s">
        <v>1539</v>
      </c>
      <c r="R393" s="3" t="s">
        <v>9986</v>
      </c>
      <c r="T393" s="3" t="s">
        <v>9987</v>
      </c>
      <c r="U393" s="3" t="s">
        <v>8868</v>
      </c>
      <c r="V393" s="3" t="s">
        <v>3832</v>
      </c>
      <c r="W393" s="3">
        <v>6</v>
      </c>
      <c r="X393" s="3">
        <v>6</v>
      </c>
      <c r="Y393" s="3"/>
      <c r="AA393" s="3">
        <v>1200</v>
      </c>
      <c r="AB393" s="6">
        <v>37683</v>
      </c>
      <c r="AC393" s="3" t="s">
        <v>62</v>
      </c>
      <c r="AD393" s="3">
        <v>2</v>
      </c>
      <c r="AE393" s="3">
        <v>4</v>
      </c>
      <c r="AF393" s="3">
        <v>2</v>
      </c>
      <c r="AG393" s="3" t="s">
        <v>9198</v>
      </c>
      <c r="AH393" s="3" t="s">
        <v>9988</v>
      </c>
      <c r="AI393" s="3">
        <v>12000</v>
      </c>
      <c r="AJ393" s="3"/>
      <c r="AK393" s="3"/>
      <c r="AL393" s="7" t="s">
        <v>9989</v>
      </c>
      <c r="AM393" s="7" t="s">
        <v>9990</v>
      </c>
      <c r="AN393" s="7" t="s">
        <v>9991</v>
      </c>
      <c r="AO393" s="7" t="s">
        <v>9990</v>
      </c>
      <c r="AR393" s="7" t="s">
        <v>9992</v>
      </c>
      <c r="AS393" s="7" t="s">
        <v>9993</v>
      </c>
      <c r="AT393" s="7" t="s">
        <v>9994</v>
      </c>
    </row>
    <row r="394" spans="1:47" ht="12.5" x14ac:dyDescent="0.25">
      <c r="A394" s="3" t="s">
        <v>46</v>
      </c>
      <c r="B394" s="21" t="str">
        <f>HYPERLINK("https://gerandofalcoes.my.salesforce.com/0014P00003YSp8l", "0014P00003YSp8l")</f>
        <v>0014P00003YSp8l</v>
      </c>
      <c r="C394" s="21" t="str">
        <f>HYPERLINK("https://gerandofalcoes.my.salesforce.com/0014P00003YSp8lQAD", "0014P00003YSp8lQAD")</f>
        <v>0014P00003YSp8lQAD</v>
      </c>
      <c r="D394" s="3" t="s">
        <v>9995</v>
      </c>
      <c r="E394" s="3" t="s">
        <v>9996</v>
      </c>
      <c r="F394" s="3" t="s">
        <v>9997</v>
      </c>
      <c r="G394" s="8">
        <v>44551</v>
      </c>
      <c r="H394" s="3">
        <v>245</v>
      </c>
      <c r="I394" s="3" t="s">
        <v>9998</v>
      </c>
      <c r="J394" s="3" t="s">
        <v>9999</v>
      </c>
      <c r="K394" s="3" t="s">
        <v>10000</v>
      </c>
      <c r="L394" s="3" t="s">
        <v>101</v>
      </c>
      <c r="M394" s="3" t="s">
        <v>10001</v>
      </c>
      <c r="N394" s="3" t="s">
        <v>9382</v>
      </c>
      <c r="O394" s="3">
        <v>165</v>
      </c>
      <c r="P394" s="3" t="s">
        <v>128</v>
      </c>
      <c r="Q394" s="3"/>
      <c r="R394" s="3" t="s">
        <v>10002</v>
      </c>
      <c r="S394" s="3"/>
      <c r="T394" s="3" t="s">
        <v>10003</v>
      </c>
      <c r="U394" s="3" t="s">
        <v>3799</v>
      </c>
      <c r="V394" s="3" t="s">
        <v>10004</v>
      </c>
      <c r="W394" s="3">
        <v>5</v>
      </c>
      <c r="X394" s="3">
        <v>5</v>
      </c>
      <c r="Y394" s="3" t="s">
        <v>10005</v>
      </c>
      <c r="AA394" s="3">
        <v>500</v>
      </c>
      <c r="AB394" s="6">
        <v>42748</v>
      </c>
      <c r="AC394" s="3" t="s">
        <v>62</v>
      </c>
      <c r="AD394" s="3">
        <v>0</v>
      </c>
      <c r="AE394" s="3">
        <v>15</v>
      </c>
      <c r="AF394" s="3">
        <v>2</v>
      </c>
      <c r="AG394" s="3" t="s">
        <v>565</v>
      </c>
      <c r="AH394" s="3">
        <v>0</v>
      </c>
      <c r="AI394" s="3">
        <v>8000</v>
      </c>
      <c r="AJ394" s="3"/>
      <c r="AK394" s="3"/>
      <c r="AL394" s="7" t="s">
        <v>10006</v>
      </c>
      <c r="AM394" s="7" t="s">
        <v>10007</v>
      </c>
      <c r="AN394" s="7" t="s">
        <v>10008</v>
      </c>
      <c r="AO394" s="3"/>
      <c r="AQ394" s="3"/>
      <c r="AR394" s="7" t="s">
        <v>10009</v>
      </c>
      <c r="AS394" s="7" t="s">
        <v>10010</v>
      </c>
      <c r="AT394" s="7" t="s">
        <v>10011</v>
      </c>
      <c r="AU394" s="3"/>
    </row>
    <row r="395" spans="1:47" ht="12.5" x14ac:dyDescent="0.25">
      <c r="A395" s="3" t="s">
        <v>46</v>
      </c>
      <c r="B395" s="21" t="str">
        <f>HYPERLINK("https://gerandofalcoes.my.salesforce.com/0014P00003YSp8m", "0014P00003YSp8m")</f>
        <v>0014P00003YSp8m</v>
      </c>
      <c r="C395" s="21" t="str">
        <f>HYPERLINK("https://gerandofalcoes.my.salesforce.com/0014P00003YSp8mQAD", "0014P00003YSp8mQAD")</f>
        <v>0014P00003YSp8mQAD</v>
      </c>
      <c r="D395" s="3" t="s">
        <v>10012</v>
      </c>
      <c r="E395" s="3"/>
      <c r="F395" s="3"/>
      <c r="G395" s="8">
        <v>44551</v>
      </c>
      <c r="H395" s="3">
        <v>245</v>
      </c>
      <c r="I395" s="3" t="s">
        <v>10013</v>
      </c>
      <c r="J395" s="3"/>
      <c r="K395" s="3" t="s">
        <v>10014</v>
      </c>
      <c r="L395" s="3" t="s">
        <v>101</v>
      </c>
      <c r="M395" s="3" t="s">
        <v>10015</v>
      </c>
      <c r="N395" s="3" t="s">
        <v>10016</v>
      </c>
      <c r="O395" s="3">
        <v>193</v>
      </c>
      <c r="P395" s="3" t="s">
        <v>128</v>
      </c>
      <c r="Q395" s="3"/>
      <c r="R395" s="3" t="s">
        <v>10017</v>
      </c>
      <c r="T395" s="3" t="s">
        <v>10018</v>
      </c>
      <c r="U395" s="3" t="s">
        <v>8852</v>
      </c>
      <c r="V395" s="3" t="s">
        <v>10019</v>
      </c>
      <c r="W395" s="3">
        <v>2</v>
      </c>
      <c r="X395" s="3">
        <v>2</v>
      </c>
      <c r="Y395" s="3"/>
      <c r="AA395" s="3">
        <v>80</v>
      </c>
      <c r="AB395" s="8">
        <v>43089</v>
      </c>
      <c r="AC395" s="3" t="s">
        <v>120</v>
      </c>
      <c r="AD395" s="3">
        <v>11</v>
      </c>
      <c r="AE395" s="3">
        <v>11</v>
      </c>
      <c r="AF395" s="3">
        <v>4</v>
      </c>
      <c r="AG395" s="3" t="s">
        <v>9444</v>
      </c>
      <c r="AH395" s="3">
        <v>0</v>
      </c>
      <c r="AI395" s="3">
        <v>700</v>
      </c>
      <c r="AJ395" s="3"/>
      <c r="AK395" s="3"/>
      <c r="AL395" s="3"/>
      <c r="AM395" s="7" t="s">
        <v>10020</v>
      </c>
      <c r="AN395" s="7" t="s">
        <v>10021</v>
      </c>
      <c r="AO395" s="3"/>
      <c r="AQ395" s="3"/>
      <c r="AR395" s="3"/>
      <c r="AS395" s="3"/>
      <c r="AT395" s="3"/>
      <c r="AU395" s="3"/>
    </row>
    <row r="396" spans="1:47" ht="12.5" x14ac:dyDescent="0.25">
      <c r="A396" s="3" t="s">
        <v>46</v>
      </c>
      <c r="B396" s="21" t="str">
        <f>HYPERLINK("https://gerandofalcoes.my.salesforce.com/0014P00003YSp8n", "0014P00003YSp8n")</f>
        <v>0014P00003YSp8n</v>
      </c>
      <c r="C396" s="21" t="str">
        <f>HYPERLINK("https://gerandofalcoes.my.salesforce.com/0014P00003YSp8nQAD", "0014P00003YSp8nQAD")</f>
        <v>0014P00003YSp8nQAD</v>
      </c>
      <c r="D396" s="3" t="s">
        <v>10022</v>
      </c>
      <c r="E396" s="3"/>
      <c r="F396" s="3" t="s">
        <v>10023</v>
      </c>
      <c r="G396" s="8">
        <v>44551</v>
      </c>
      <c r="H396" s="3">
        <v>245</v>
      </c>
      <c r="I396" s="3" t="s">
        <v>10024</v>
      </c>
      <c r="J396" s="3" t="s">
        <v>10025</v>
      </c>
      <c r="K396" s="3" t="s">
        <v>10026</v>
      </c>
      <c r="L396" s="3" t="s">
        <v>407</v>
      </c>
      <c r="M396" s="3" t="s">
        <v>10027</v>
      </c>
      <c r="N396" s="3" t="s">
        <v>10028</v>
      </c>
      <c r="O396" s="3">
        <v>310</v>
      </c>
      <c r="P396" s="3" t="s">
        <v>10029</v>
      </c>
      <c r="Q396" s="3"/>
      <c r="R396" s="3" t="s">
        <v>10030</v>
      </c>
      <c r="S396" s="3"/>
      <c r="T396" s="3" t="s">
        <v>10031</v>
      </c>
      <c r="U396" s="3" t="s">
        <v>10032</v>
      </c>
      <c r="V396" s="3" t="s">
        <v>3800</v>
      </c>
      <c r="W396" s="3">
        <v>3</v>
      </c>
      <c r="X396" s="3">
        <v>3</v>
      </c>
      <c r="Y396" s="3" t="s">
        <v>10033</v>
      </c>
      <c r="AA396" s="3">
        <v>500</v>
      </c>
      <c r="AB396" s="8">
        <v>44175</v>
      </c>
      <c r="AC396" s="3" t="s">
        <v>62</v>
      </c>
      <c r="AD396" s="3">
        <v>6</v>
      </c>
      <c r="AE396" s="3">
        <v>6</v>
      </c>
      <c r="AF396" s="3">
        <v>5</v>
      </c>
      <c r="AG396" s="3" t="s">
        <v>10034</v>
      </c>
      <c r="AH396" s="3" t="s">
        <v>10035</v>
      </c>
      <c r="AI396" s="3">
        <v>3000</v>
      </c>
      <c r="AJ396" s="3"/>
      <c r="AK396" s="3"/>
      <c r="AL396" s="7" t="s">
        <v>10036</v>
      </c>
      <c r="AM396" s="7" t="s">
        <v>10037</v>
      </c>
      <c r="AN396" s="7" t="s">
        <v>10038</v>
      </c>
      <c r="AO396" s="3"/>
      <c r="AR396" s="3"/>
      <c r="AS396" s="3"/>
      <c r="AT396" s="3"/>
      <c r="AU396" s="3"/>
    </row>
    <row r="397" spans="1:47" ht="12.5" x14ac:dyDescent="0.25">
      <c r="A397" s="3" t="s">
        <v>46</v>
      </c>
      <c r="B397" s="21" t="str">
        <f>HYPERLINK("https://gerandofalcoes.my.salesforce.com/0014P00003YSp8p", "0014P00003YSp8p")</f>
        <v>0014P00003YSp8p</v>
      </c>
      <c r="C397" s="21" t="str">
        <f>HYPERLINK("https://gerandofalcoes.my.salesforce.com/0014P00003YSp8pQAD", "0014P00003YSp8pQAD")</f>
        <v>0014P00003YSp8pQAD</v>
      </c>
      <c r="D397" s="3" t="s">
        <v>10039</v>
      </c>
      <c r="E397" s="3"/>
      <c r="F397" s="3" t="s">
        <v>10040</v>
      </c>
      <c r="G397" s="8">
        <v>44551</v>
      </c>
      <c r="H397" s="3">
        <v>245</v>
      </c>
      <c r="I397" s="3" t="s">
        <v>10041</v>
      </c>
      <c r="J397" s="3" t="s">
        <v>10042</v>
      </c>
      <c r="K397" s="3" t="s">
        <v>10043</v>
      </c>
      <c r="L397" s="3" t="s">
        <v>101</v>
      </c>
      <c r="M397" s="3" t="s">
        <v>10044</v>
      </c>
      <c r="N397" s="3" t="s">
        <v>10045</v>
      </c>
      <c r="O397" s="3">
        <v>86</v>
      </c>
      <c r="P397" s="3" t="s">
        <v>128</v>
      </c>
      <c r="Q397" s="3"/>
      <c r="R397" s="3" t="s">
        <v>1763</v>
      </c>
      <c r="T397" s="3" t="s">
        <v>10046</v>
      </c>
      <c r="U397" s="3" t="s">
        <v>9922</v>
      </c>
      <c r="V397" s="3" t="s">
        <v>8958</v>
      </c>
      <c r="W397" s="3">
        <v>5</v>
      </c>
      <c r="X397" s="3">
        <v>4</v>
      </c>
      <c r="Y397" s="3"/>
      <c r="AA397" s="3">
        <v>2000</v>
      </c>
      <c r="AB397" s="6">
        <v>43078</v>
      </c>
      <c r="AC397" s="3" t="s">
        <v>120</v>
      </c>
      <c r="AD397" s="3">
        <v>0</v>
      </c>
      <c r="AE397" s="3">
        <v>15</v>
      </c>
      <c r="AF397" s="3">
        <v>2</v>
      </c>
      <c r="AG397" s="3" t="s">
        <v>3819</v>
      </c>
      <c r="AH397" s="3" t="s">
        <v>10047</v>
      </c>
      <c r="AI397" s="3">
        <v>3000</v>
      </c>
      <c r="AJ397" s="3"/>
      <c r="AK397" s="3"/>
      <c r="AL397" s="7" t="s">
        <v>10048</v>
      </c>
      <c r="AM397" s="7" t="s">
        <v>10049</v>
      </c>
      <c r="AN397" s="3"/>
      <c r="AO397" s="7" t="s">
        <v>6469</v>
      </c>
      <c r="AR397" s="3"/>
      <c r="AS397" s="3"/>
      <c r="AT397" s="3"/>
      <c r="AU397" s="3"/>
    </row>
    <row r="398" spans="1:47" ht="12.5" x14ac:dyDescent="0.25">
      <c r="A398" s="3" t="s">
        <v>46</v>
      </c>
      <c r="B398" s="21" t="str">
        <f>HYPERLINK("https://gerandofalcoes.my.salesforce.com/0014P00003YSp8q", "0014P00003YSp8q")</f>
        <v>0014P00003YSp8q</v>
      </c>
      <c r="C398" s="21" t="str">
        <f>HYPERLINK("https://gerandofalcoes.my.salesforce.com/0014P00003YSp8qQAD", "0014P00003YSp8qQAD")</f>
        <v>0014P00003YSp8qQAD</v>
      </c>
      <c r="D398" s="3" t="s">
        <v>10050</v>
      </c>
      <c r="E398" s="3"/>
      <c r="F398" s="3" t="s">
        <v>10051</v>
      </c>
      <c r="G398" s="8">
        <v>44551</v>
      </c>
      <c r="H398" s="3">
        <v>245</v>
      </c>
      <c r="I398" s="3" t="s">
        <v>10052</v>
      </c>
      <c r="J398" s="3" t="s">
        <v>10053</v>
      </c>
      <c r="K398" s="3" t="s">
        <v>10054</v>
      </c>
      <c r="L398" s="3" t="s">
        <v>101</v>
      </c>
      <c r="M398" s="3" t="s">
        <v>10055</v>
      </c>
      <c r="N398" s="3" t="s">
        <v>10056</v>
      </c>
      <c r="O398" s="3">
        <v>882</v>
      </c>
      <c r="P398" s="3" t="s">
        <v>10057</v>
      </c>
      <c r="Q398" s="3" t="s">
        <v>6368</v>
      </c>
      <c r="R398" s="3" t="s">
        <v>10058</v>
      </c>
      <c r="T398" s="3" t="s">
        <v>10059</v>
      </c>
      <c r="U398" s="3" t="s">
        <v>3799</v>
      </c>
      <c r="V398" s="3" t="s">
        <v>10060</v>
      </c>
      <c r="W398" s="3">
        <v>7</v>
      </c>
      <c r="X398" s="3">
        <v>7</v>
      </c>
      <c r="Y398" s="3"/>
      <c r="AA398" s="3">
        <v>500</v>
      </c>
      <c r="AB398" s="8">
        <v>43759</v>
      </c>
      <c r="AC398" s="3" t="s">
        <v>62</v>
      </c>
      <c r="AD398" s="3">
        <v>0</v>
      </c>
      <c r="AE398" s="3">
        <v>6</v>
      </c>
      <c r="AF398" s="3">
        <v>2</v>
      </c>
      <c r="AG398" s="3" t="s">
        <v>9782</v>
      </c>
      <c r="AH398" s="5">
        <v>0.25</v>
      </c>
      <c r="AI398" s="3">
        <v>3000</v>
      </c>
      <c r="AJ398" s="3"/>
      <c r="AL398" s="3"/>
      <c r="AM398" s="3" t="s">
        <v>10061</v>
      </c>
      <c r="AN398" s="3"/>
      <c r="AO398" s="3"/>
      <c r="AR398" s="3"/>
      <c r="AS398" s="3"/>
      <c r="AT398" s="3"/>
    </row>
    <row r="399" spans="1:47" ht="12.5" x14ac:dyDescent="0.25">
      <c r="A399" s="3" t="s">
        <v>46</v>
      </c>
      <c r="B399" s="21" t="str">
        <f>HYPERLINK("https://gerandofalcoes.my.salesforce.com/0014P00003YSp8r", "0014P00003YSp8r")</f>
        <v>0014P00003YSp8r</v>
      </c>
      <c r="C399" s="21" t="str">
        <f>HYPERLINK("https://gerandofalcoes.my.salesforce.com/0014P00003YSp8rQAD", "0014P00003YSp8rQAD")</f>
        <v>0014P00003YSp8rQAD</v>
      </c>
      <c r="D399" s="3" t="s">
        <v>10062</v>
      </c>
      <c r="E399" s="3" t="s">
        <v>10063</v>
      </c>
      <c r="F399" s="3" t="s">
        <v>10064</v>
      </c>
      <c r="G399" s="8">
        <v>44551</v>
      </c>
      <c r="H399" s="3">
        <v>245</v>
      </c>
      <c r="I399" s="3" t="s">
        <v>10065</v>
      </c>
      <c r="J399" s="3" t="s">
        <v>10066</v>
      </c>
      <c r="K399" s="3" t="s">
        <v>10067</v>
      </c>
      <c r="L399" s="3" t="s">
        <v>101</v>
      </c>
      <c r="M399" s="3" t="s">
        <v>10068</v>
      </c>
      <c r="N399" s="3" t="s">
        <v>10069</v>
      </c>
      <c r="O399" s="3">
        <v>98</v>
      </c>
      <c r="P399" s="3" t="s">
        <v>4861</v>
      </c>
      <c r="Q399" s="3" t="s">
        <v>8622</v>
      </c>
      <c r="R399" s="3" t="s">
        <v>10070</v>
      </c>
      <c r="T399" s="3" t="s">
        <v>9240</v>
      </c>
      <c r="U399" s="3" t="s">
        <v>8927</v>
      </c>
      <c r="V399" s="3" t="s">
        <v>9568</v>
      </c>
      <c r="W399" s="3">
        <v>150</v>
      </c>
      <c r="X399" s="3">
        <v>150</v>
      </c>
      <c r="Y399" s="3"/>
      <c r="AA399" s="3">
        <v>500</v>
      </c>
      <c r="AB399" s="6">
        <v>42652</v>
      </c>
      <c r="AC399" s="3" t="s">
        <v>62</v>
      </c>
      <c r="AD399" s="3">
        <v>2</v>
      </c>
      <c r="AE399" s="3">
        <v>20</v>
      </c>
      <c r="AF399" s="3">
        <v>4</v>
      </c>
      <c r="AG399" s="3" t="s">
        <v>10071</v>
      </c>
      <c r="AH399" s="3" t="s">
        <v>120</v>
      </c>
      <c r="AI399" s="3">
        <v>65000</v>
      </c>
      <c r="AL399" s="7" t="s">
        <v>10072</v>
      </c>
      <c r="AM399" s="7" t="s">
        <v>10073</v>
      </c>
      <c r="AN399" s="7" t="s">
        <v>10074</v>
      </c>
      <c r="AO399" s="7" t="s">
        <v>10075</v>
      </c>
      <c r="AR399" s="7" t="s">
        <v>10076</v>
      </c>
      <c r="AS399" s="7" t="s">
        <v>10077</v>
      </c>
      <c r="AT399" s="3"/>
    </row>
    <row r="400" spans="1:47" ht="12.5" x14ac:dyDescent="0.25">
      <c r="A400" s="3" t="s">
        <v>46</v>
      </c>
      <c r="B400" s="21" t="str">
        <f>HYPERLINK("https://gerandofalcoes.my.salesforce.com/0014P00003YSp8t", "0014P00003YSp8t")</f>
        <v>0014P00003YSp8t</v>
      </c>
      <c r="C400" s="21" t="str">
        <f>HYPERLINK("https://gerandofalcoes.my.salesforce.com/0014P00003YSp8tQAD", "0014P00003YSp8tQAD")</f>
        <v>0014P00003YSp8tQAD</v>
      </c>
      <c r="D400" s="3" t="s">
        <v>10078</v>
      </c>
      <c r="E400" s="3"/>
      <c r="F400" s="3"/>
      <c r="G400" s="8">
        <v>44551</v>
      </c>
      <c r="H400" s="3">
        <v>245</v>
      </c>
      <c r="I400" s="3" t="s">
        <v>10079</v>
      </c>
      <c r="J400" s="3" t="s">
        <v>10080</v>
      </c>
      <c r="K400" s="3" t="s">
        <v>10081</v>
      </c>
      <c r="L400" s="3" t="s">
        <v>101</v>
      </c>
      <c r="M400" s="3" t="s">
        <v>10082</v>
      </c>
      <c r="N400" s="3" t="s">
        <v>10083</v>
      </c>
      <c r="O400" s="3">
        <v>136</v>
      </c>
      <c r="P400" s="3" t="s">
        <v>10084</v>
      </c>
      <c r="Q400" s="3" t="s">
        <v>10085</v>
      </c>
      <c r="R400" s="3" t="s">
        <v>10086</v>
      </c>
      <c r="T400" s="3" t="s">
        <v>10087</v>
      </c>
      <c r="U400" s="3" t="s">
        <v>3817</v>
      </c>
      <c r="V400" s="3" t="s">
        <v>9468</v>
      </c>
      <c r="W400" s="3">
        <v>2</v>
      </c>
      <c r="X400" s="3">
        <v>2</v>
      </c>
      <c r="Y400" s="3"/>
      <c r="AA400" s="3">
        <v>740</v>
      </c>
      <c r="AB400" s="6">
        <v>44104</v>
      </c>
      <c r="AC400" s="3" t="s">
        <v>120</v>
      </c>
      <c r="AD400" s="3">
        <v>0</v>
      </c>
      <c r="AE400" s="3">
        <v>49</v>
      </c>
      <c r="AF400" s="3">
        <v>2</v>
      </c>
      <c r="AG400" s="3" t="s">
        <v>9198</v>
      </c>
      <c r="AH400" s="3" t="s">
        <v>1161</v>
      </c>
      <c r="AI400" s="3">
        <v>280000</v>
      </c>
      <c r="AJ400" s="3"/>
      <c r="AL400" s="7" t="s">
        <v>7852</v>
      </c>
      <c r="AM400" s="7" t="s">
        <v>10088</v>
      </c>
      <c r="AN400" s="7" t="s">
        <v>10089</v>
      </c>
      <c r="AO400" s="7" t="s">
        <v>10090</v>
      </c>
      <c r="AQ400" s="3"/>
      <c r="AR400" s="3"/>
      <c r="AS400" s="3"/>
      <c r="AT400" s="7" t="s">
        <v>10091</v>
      </c>
      <c r="AU400" s="3"/>
    </row>
    <row r="401" spans="1:47" ht="12.5" x14ac:dyDescent="0.25">
      <c r="A401" s="3" t="s">
        <v>46</v>
      </c>
      <c r="B401" s="21" t="str">
        <f>HYPERLINK("https://gerandofalcoes.my.salesforce.com/0014P00003YSp8u", "0014P00003YSp8u")</f>
        <v>0014P00003YSp8u</v>
      </c>
      <c r="C401" s="21" t="str">
        <f>HYPERLINK("https://gerandofalcoes.my.salesforce.com/0014P00003YSp8uQAD", "0014P00003YSp8uQAD")</f>
        <v>0014P00003YSp8uQAD</v>
      </c>
      <c r="D401" s="3" t="s">
        <v>10092</v>
      </c>
      <c r="E401" s="3"/>
      <c r="F401" s="3" t="s">
        <v>10093</v>
      </c>
      <c r="G401" s="8">
        <v>44551</v>
      </c>
      <c r="H401" s="3">
        <v>245</v>
      </c>
      <c r="I401" s="3" t="s">
        <v>10094</v>
      </c>
      <c r="J401" s="3" t="s">
        <v>10095</v>
      </c>
      <c r="K401" s="3" t="s">
        <v>10096</v>
      </c>
      <c r="L401" s="3" t="s">
        <v>101</v>
      </c>
      <c r="M401" s="3" t="s">
        <v>10097</v>
      </c>
      <c r="N401" s="3" t="s">
        <v>10098</v>
      </c>
      <c r="O401" s="3">
        <v>6</v>
      </c>
      <c r="P401" s="3" t="s">
        <v>128</v>
      </c>
      <c r="Q401" s="3" t="s">
        <v>10099</v>
      </c>
      <c r="R401" s="3" t="s">
        <v>10100</v>
      </c>
      <c r="T401" s="3" t="s">
        <v>10101</v>
      </c>
      <c r="U401" s="3" t="s">
        <v>10102</v>
      </c>
      <c r="V401" s="3" t="s">
        <v>10103</v>
      </c>
      <c r="W401" s="3">
        <v>4</v>
      </c>
      <c r="X401" s="3">
        <v>4</v>
      </c>
      <c r="Y401" s="3"/>
      <c r="AA401" s="3">
        <v>40000</v>
      </c>
      <c r="AB401" s="6">
        <v>38389</v>
      </c>
      <c r="AC401" s="3" t="s">
        <v>62</v>
      </c>
      <c r="AD401" s="3">
        <v>38</v>
      </c>
      <c r="AE401" s="3">
        <v>15</v>
      </c>
      <c r="AF401" s="3">
        <v>3</v>
      </c>
      <c r="AG401" s="3" t="s">
        <v>10104</v>
      </c>
      <c r="AH401" s="3" t="s">
        <v>10105</v>
      </c>
      <c r="AI401" s="3">
        <v>1726721</v>
      </c>
      <c r="AL401" s="7" t="s">
        <v>10106</v>
      </c>
      <c r="AM401" s="7" t="s">
        <v>10107</v>
      </c>
      <c r="AN401" s="7" t="s">
        <v>10108</v>
      </c>
      <c r="AO401" s="7" t="s">
        <v>10109</v>
      </c>
      <c r="AR401" s="7" t="s">
        <v>10110</v>
      </c>
      <c r="AS401" s="7" t="s">
        <v>10111</v>
      </c>
      <c r="AT401" s="7" t="s">
        <v>10112</v>
      </c>
    </row>
    <row r="402" spans="1:47" ht="12.5" x14ac:dyDescent="0.25">
      <c r="A402" s="3" t="s">
        <v>46</v>
      </c>
      <c r="B402" s="21" t="str">
        <f>HYPERLINK("https://gerandofalcoes.my.salesforce.com/0014P00003YSp8v", "0014P00003YSp8v")</f>
        <v>0014P00003YSp8v</v>
      </c>
      <c r="C402" s="21" t="str">
        <f>HYPERLINK("https://gerandofalcoes.my.salesforce.com/0014P00003YSp8vQAD", "0014P00003YSp8vQAD")</f>
        <v>0014P00003YSp8vQAD</v>
      </c>
      <c r="D402" s="3" t="s">
        <v>10113</v>
      </c>
      <c r="E402" s="3"/>
      <c r="F402" s="3" t="s">
        <v>10114</v>
      </c>
      <c r="G402" s="8">
        <v>44551</v>
      </c>
      <c r="H402" s="3">
        <v>245</v>
      </c>
      <c r="I402" s="3" t="s">
        <v>10115</v>
      </c>
      <c r="J402" s="3" t="s">
        <v>10116</v>
      </c>
      <c r="K402" s="3" t="s">
        <v>10117</v>
      </c>
      <c r="L402" s="3" t="s">
        <v>101</v>
      </c>
      <c r="M402" s="3" t="s">
        <v>10118</v>
      </c>
      <c r="N402" s="3" t="s">
        <v>10119</v>
      </c>
      <c r="O402" s="3">
        <v>87</v>
      </c>
      <c r="P402" s="3" t="s">
        <v>10120</v>
      </c>
      <c r="Q402" s="3" t="s">
        <v>9382</v>
      </c>
      <c r="R402" s="3" t="s">
        <v>10121</v>
      </c>
      <c r="T402" s="3" t="s">
        <v>10122</v>
      </c>
      <c r="U402" s="3" t="s">
        <v>3799</v>
      </c>
      <c r="V402" s="3" t="s">
        <v>9659</v>
      </c>
      <c r="W402" s="3">
        <v>5</v>
      </c>
      <c r="X402" s="3">
        <v>5</v>
      </c>
      <c r="Y402" s="3"/>
      <c r="AA402" s="3">
        <v>140</v>
      </c>
      <c r="AB402" s="8">
        <v>43032</v>
      </c>
      <c r="AC402" s="3" t="s">
        <v>120</v>
      </c>
      <c r="AD402" s="3">
        <v>2</v>
      </c>
      <c r="AE402" s="3">
        <v>6</v>
      </c>
      <c r="AF402" s="3">
        <v>2</v>
      </c>
      <c r="AG402" s="3" t="s">
        <v>10123</v>
      </c>
      <c r="AH402" s="3" t="s">
        <v>10124</v>
      </c>
      <c r="AI402" s="3">
        <v>5000</v>
      </c>
      <c r="AL402" s="3"/>
      <c r="AM402" s="7" t="s">
        <v>10125</v>
      </c>
      <c r="AN402" s="7" t="s">
        <v>10126</v>
      </c>
      <c r="AO402" s="3"/>
      <c r="AR402" s="3"/>
      <c r="AS402" s="3"/>
      <c r="AT402" s="3"/>
    </row>
    <row r="403" spans="1:47" ht="12.5" x14ac:dyDescent="0.25">
      <c r="A403" s="3" t="s">
        <v>46</v>
      </c>
      <c r="B403" s="21" t="str">
        <f>HYPERLINK("https://gerandofalcoes.my.salesforce.com/0014P00003YSp8w", "0014P00003YSp8w")</f>
        <v>0014P00003YSp8w</v>
      </c>
      <c r="C403" s="21" t="str">
        <f>HYPERLINK("https://gerandofalcoes.my.salesforce.com/0014P00003YSp8wQAD", "0014P00003YSp8wQAD")</f>
        <v>0014P00003YSp8wQAD</v>
      </c>
      <c r="D403" s="3" t="s">
        <v>10127</v>
      </c>
      <c r="E403" s="3"/>
      <c r="F403" s="3"/>
      <c r="G403" s="8">
        <v>44551</v>
      </c>
      <c r="H403" s="3">
        <v>245</v>
      </c>
      <c r="I403" s="3" t="s">
        <v>10128</v>
      </c>
      <c r="J403" s="3" t="s">
        <v>10129</v>
      </c>
      <c r="K403" s="3" t="s">
        <v>10130</v>
      </c>
      <c r="L403" s="3" t="s">
        <v>379</v>
      </c>
      <c r="M403" s="3" t="s">
        <v>10131</v>
      </c>
      <c r="N403" s="3" t="s">
        <v>10132</v>
      </c>
      <c r="O403" s="3">
        <v>14</v>
      </c>
      <c r="P403" s="3" t="s">
        <v>381</v>
      </c>
      <c r="Q403" s="3"/>
      <c r="R403" s="3" t="s">
        <v>10133</v>
      </c>
      <c r="T403" s="3" t="s">
        <v>10134</v>
      </c>
      <c r="U403" s="3" t="s">
        <v>3857</v>
      </c>
      <c r="V403" s="3" t="s">
        <v>10135</v>
      </c>
      <c r="W403" s="3">
        <v>4</v>
      </c>
      <c r="X403" s="3">
        <v>4</v>
      </c>
      <c r="Y403" s="3" t="s">
        <v>10136</v>
      </c>
      <c r="AA403" s="3">
        <v>5000</v>
      </c>
      <c r="AB403" s="6">
        <v>43266</v>
      </c>
      <c r="AC403" s="3" t="s">
        <v>120</v>
      </c>
      <c r="AD403" s="3">
        <v>8</v>
      </c>
      <c r="AE403" s="3">
        <v>10</v>
      </c>
      <c r="AF403" s="3">
        <v>2</v>
      </c>
      <c r="AG403" s="3" t="s">
        <v>3859</v>
      </c>
      <c r="AH403" s="3" t="s">
        <v>3625</v>
      </c>
      <c r="AI403" s="3">
        <v>55000</v>
      </c>
      <c r="AL403" s="3"/>
      <c r="AM403" s="3"/>
      <c r="AN403" s="3"/>
      <c r="AO403" s="3"/>
      <c r="AR403" s="3"/>
      <c r="AS403" s="3"/>
      <c r="AT403" s="3"/>
    </row>
    <row r="404" spans="1:47" ht="12.5" x14ac:dyDescent="0.25">
      <c r="A404" s="3" t="s">
        <v>46</v>
      </c>
      <c r="B404" s="21" t="str">
        <f>HYPERLINK("https://gerandofalcoes.my.salesforce.com/0014P00003YSp8y", "0014P00003YSp8y")</f>
        <v>0014P00003YSp8y</v>
      </c>
      <c r="C404" s="21" t="str">
        <f>HYPERLINK("https://gerandofalcoes.my.salesforce.com/0014P00003YSp8yQAD", "0014P00003YSp8yQAD")</f>
        <v>0014P00003YSp8yQAD</v>
      </c>
      <c r="D404" s="3" t="s">
        <v>10137</v>
      </c>
      <c r="E404" s="3"/>
      <c r="F404" s="3" t="s">
        <v>10138</v>
      </c>
      <c r="G404" s="8">
        <v>44551</v>
      </c>
      <c r="H404" s="3">
        <v>245</v>
      </c>
      <c r="I404" s="3" t="s">
        <v>10139</v>
      </c>
      <c r="J404" s="3" t="s">
        <v>10140</v>
      </c>
      <c r="K404" s="3" t="s">
        <v>10141</v>
      </c>
      <c r="L404" s="3" t="s">
        <v>101</v>
      </c>
      <c r="M404" s="3" t="s">
        <v>10142</v>
      </c>
      <c r="N404" s="3" t="s">
        <v>10143</v>
      </c>
      <c r="O404" s="3">
        <v>5885</v>
      </c>
      <c r="P404" s="3" t="s">
        <v>128</v>
      </c>
      <c r="Q404" s="3" t="s">
        <v>10144</v>
      </c>
      <c r="R404" s="3" t="s">
        <v>10145</v>
      </c>
      <c r="T404" s="3" t="s">
        <v>2933</v>
      </c>
      <c r="U404" s="3" t="s">
        <v>10146</v>
      </c>
      <c r="V404" s="3" t="s">
        <v>3890</v>
      </c>
      <c r="W404" s="3">
        <v>0</v>
      </c>
      <c r="X404" s="3">
        <v>0</v>
      </c>
      <c r="Y404" s="3" t="s">
        <v>10147</v>
      </c>
      <c r="AA404" s="3">
        <v>0</v>
      </c>
      <c r="AB404" s="6">
        <v>41360</v>
      </c>
      <c r="AC404" s="3" t="s">
        <v>120</v>
      </c>
      <c r="AD404" s="3">
        <v>2</v>
      </c>
      <c r="AE404" s="3">
        <v>2</v>
      </c>
      <c r="AF404" s="3">
        <v>2</v>
      </c>
      <c r="AG404" s="3" t="s">
        <v>3833</v>
      </c>
      <c r="AH404" s="3">
        <v>0</v>
      </c>
      <c r="AI404" s="3">
        <v>0</v>
      </c>
      <c r="AL404" s="7" t="s">
        <v>10148</v>
      </c>
      <c r="AM404" s="3"/>
      <c r="AN404" s="7" t="s">
        <v>10149</v>
      </c>
      <c r="AO404" s="3"/>
      <c r="AR404" s="3"/>
      <c r="AS404" s="7" t="s">
        <v>10150</v>
      </c>
      <c r="AT404" s="7" t="s">
        <v>10151</v>
      </c>
    </row>
    <row r="405" spans="1:47" ht="12.5" x14ac:dyDescent="0.25">
      <c r="A405" s="3" t="s">
        <v>46</v>
      </c>
      <c r="B405" s="21" t="str">
        <f>HYPERLINK("https://gerandofalcoes.my.salesforce.com/0014P00003YSp8z", "0014P00003YSp8z")</f>
        <v>0014P00003YSp8z</v>
      </c>
      <c r="C405" s="21" t="str">
        <f>HYPERLINK("https://gerandofalcoes.my.salesforce.com/0014P00003YSp8zQAD", "0014P00003YSp8zQAD")</f>
        <v>0014P00003YSp8zQAD</v>
      </c>
      <c r="D405" s="3" t="s">
        <v>10152</v>
      </c>
      <c r="E405" s="3"/>
      <c r="F405" s="3" t="s">
        <v>10153</v>
      </c>
      <c r="G405" s="8">
        <v>44551</v>
      </c>
      <c r="H405" s="3">
        <v>245</v>
      </c>
      <c r="I405" s="3" t="s">
        <v>10154</v>
      </c>
      <c r="J405" s="3" t="s">
        <v>10155</v>
      </c>
      <c r="K405" s="3" t="s">
        <v>10156</v>
      </c>
      <c r="L405" s="3" t="s">
        <v>101</v>
      </c>
      <c r="M405" s="3" t="s">
        <v>10157</v>
      </c>
      <c r="N405" s="3" t="s">
        <v>10158</v>
      </c>
      <c r="O405" s="3">
        <v>807</v>
      </c>
      <c r="P405" s="3" t="s">
        <v>7008</v>
      </c>
      <c r="Q405" s="3" t="s">
        <v>1539</v>
      </c>
      <c r="R405" s="3" t="s">
        <v>10159</v>
      </c>
      <c r="T405" s="3" t="s">
        <v>10160</v>
      </c>
      <c r="U405" s="3" t="s">
        <v>8852</v>
      </c>
      <c r="V405" s="3" t="s">
        <v>9468</v>
      </c>
      <c r="W405" s="3">
        <v>4</v>
      </c>
      <c r="X405" s="3">
        <v>4</v>
      </c>
      <c r="Y405" s="3"/>
      <c r="AA405" s="3">
        <v>350</v>
      </c>
      <c r="AB405" s="6">
        <v>38079</v>
      </c>
      <c r="AC405" s="3" t="s">
        <v>62</v>
      </c>
      <c r="AD405" s="3">
        <v>10</v>
      </c>
      <c r="AE405" s="3">
        <v>15</v>
      </c>
      <c r="AF405" s="3">
        <v>2</v>
      </c>
      <c r="AG405" s="3" t="s">
        <v>9198</v>
      </c>
      <c r="AH405" s="3" t="s">
        <v>10161</v>
      </c>
      <c r="AI405" s="3">
        <v>11000</v>
      </c>
      <c r="AL405" s="7" t="s">
        <v>10162</v>
      </c>
      <c r="AM405" s="3" t="s">
        <v>10163</v>
      </c>
      <c r="AN405" s="7" t="s">
        <v>10164</v>
      </c>
      <c r="AO405" s="3"/>
      <c r="AR405" s="7" t="s">
        <v>10165</v>
      </c>
      <c r="AS405" s="7" t="s">
        <v>10166</v>
      </c>
      <c r="AT405" s="3"/>
    </row>
    <row r="406" spans="1:47" ht="12.5" x14ac:dyDescent="0.25">
      <c r="A406" s="3" t="s">
        <v>46</v>
      </c>
      <c r="B406" s="21" t="str">
        <f>HYPERLINK("https://gerandofalcoes.my.salesforce.com/0014P00003YSp90", "0014P00003YSp90")</f>
        <v>0014P00003YSp90</v>
      </c>
      <c r="C406" s="21" t="str">
        <f>HYPERLINK("https://gerandofalcoes.my.salesforce.com/0014P00003YSp90QAD", "0014P00003YSp90QAD")</f>
        <v>0014P00003YSp90QAD</v>
      </c>
      <c r="D406" s="3" t="s">
        <v>10167</v>
      </c>
      <c r="E406" s="3"/>
      <c r="F406" s="3" t="s">
        <v>10168</v>
      </c>
      <c r="G406" s="8">
        <v>44551</v>
      </c>
      <c r="H406" s="3">
        <v>245</v>
      </c>
      <c r="I406" s="3" t="s">
        <v>10169</v>
      </c>
      <c r="J406" s="3" t="s">
        <v>10170</v>
      </c>
      <c r="K406" s="3" t="s">
        <v>10171</v>
      </c>
      <c r="L406" s="3" t="s">
        <v>101</v>
      </c>
      <c r="M406" s="3" t="s">
        <v>10172</v>
      </c>
      <c r="N406" s="3" t="s">
        <v>10173</v>
      </c>
      <c r="O406" s="3">
        <v>294</v>
      </c>
      <c r="P406" s="3" t="s">
        <v>128</v>
      </c>
      <c r="Q406" s="3" t="s">
        <v>1539</v>
      </c>
      <c r="R406" s="3" t="s">
        <v>10174</v>
      </c>
      <c r="T406" s="3" t="s">
        <v>10175</v>
      </c>
      <c r="U406" s="3" t="s">
        <v>9893</v>
      </c>
      <c r="V406" s="3" t="s">
        <v>10176</v>
      </c>
      <c r="W406" s="3">
        <v>25</v>
      </c>
      <c r="X406" s="3">
        <v>25</v>
      </c>
      <c r="Y406" s="3" t="s">
        <v>10177</v>
      </c>
      <c r="AA406" s="3">
        <v>100</v>
      </c>
      <c r="AB406" s="6">
        <v>37460</v>
      </c>
      <c r="AC406" s="3" t="s">
        <v>62</v>
      </c>
      <c r="AD406" s="3">
        <v>41</v>
      </c>
      <c r="AE406" s="3">
        <v>10</v>
      </c>
      <c r="AF406" s="3">
        <v>4</v>
      </c>
      <c r="AG406" s="3" t="s">
        <v>10178</v>
      </c>
      <c r="AH406" s="5">
        <v>0</v>
      </c>
      <c r="AI406" s="3">
        <v>0</v>
      </c>
      <c r="AL406" s="7" t="s">
        <v>10179</v>
      </c>
      <c r="AM406" s="7" t="s">
        <v>10180</v>
      </c>
      <c r="AN406" s="7" t="s">
        <v>10181</v>
      </c>
      <c r="AO406" s="7" t="s">
        <v>10182</v>
      </c>
      <c r="AR406" s="7" t="s">
        <v>10183</v>
      </c>
      <c r="AS406" s="7" t="s">
        <v>10184</v>
      </c>
      <c r="AT406" s="7" t="s">
        <v>10185</v>
      </c>
    </row>
    <row r="407" spans="1:47" ht="12.5" x14ac:dyDescent="0.25">
      <c r="A407" s="3" t="s">
        <v>46</v>
      </c>
      <c r="B407" s="21" t="str">
        <f>HYPERLINK("https://gerandofalcoes.my.salesforce.com/0014P00003YSp91", "0014P00003YSp91")</f>
        <v>0014P00003YSp91</v>
      </c>
      <c r="C407" s="21" t="str">
        <f>HYPERLINK("https://gerandofalcoes.my.salesforce.com/0014P00003YSp91QAD", "0014P00003YSp91QAD")</f>
        <v>0014P00003YSp91QAD</v>
      </c>
      <c r="D407" s="3" t="s">
        <v>10186</v>
      </c>
      <c r="E407" s="3"/>
      <c r="F407" s="3" t="s">
        <v>10187</v>
      </c>
      <c r="G407" s="8">
        <v>44551</v>
      </c>
      <c r="H407" s="3">
        <v>245</v>
      </c>
      <c r="I407" s="3" t="s">
        <v>10188</v>
      </c>
      <c r="J407" s="3" t="s">
        <v>10189</v>
      </c>
      <c r="K407" s="3" t="s">
        <v>10190</v>
      </c>
      <c r="L407" s="3" t="s">
        <v>101</v>
      </c>
      <c r="M407" s="3" t="s">
        <v>10191</v>
      </c>
      <c r="N407" s="3" t="s">
        <v>10192</v>
      </c>
      <c r="O407" s="3">
        <v>1050</v>
      </c>
      <c r="P407" s="3" t="s">
        <v>128</v>
      </c>
      <c r="Q407" s="3" t="s">
        <v>10193</v>
      </c>
      <c r="R407" s="3" t="s">
        <v>10194</v>
      </c>
      <c r="T407" s="3" t="s">
        <v>9487</v>
      </c>
      <c r="U407" s="3" t="s">
        <v>8895</v>
      </c>
      <c r="V407" s="3" t="s">
        <v>3800</v>
      </c>
      <c r="W407" s="3">
        <v>2</v>
      </c>
      <c r="X407" s="3">
        <v>3</v>
      </c>
      <c r="Y407" s="3"/>
      <c r="AA407" s="3">
        <v>10</v>
      </c>
      <c r="AB407" s="6">
        <v>43149</v>
      </c>
      <c r="AC407" s="3" t="s">
        <v>120</v>
      </c>
      <c r="AD407" s="3">
        <v>8</v>
      </c>
      <c r="AE407" s="3">
        <v>10</v>
      </c>
      <c r="AF407" s="3">
        <v>2</v>
      </c>
      <c r="AG407" s="3" t="s">
        <v>9782</v>
      </c>
      <c r="AH407" s="3" t="s">
        <v>10195</v>
      </c>
      <c r="AI407" s="3">
        <v>15000</v>
      </c>
      <c r="AL407" s="3" t="s">
        <v>10196</v>
      </c>
      <c r="AM407" s="7" t="s">
        <v>10197</v>
      </c>
      <c r="AN407" s="7" t="s">
        <v>10198</v>
      </c>
      <c r="AO407" s="7" t="s">
        <v>10197</v>
      </c>
      <c r="AR407" s="3"/>
      <c r="AS407" s="3"/>
      <c r="AT407" s="3"/>
    </row>
    <row r="408" spans="1:47" ht="12.5" x14ac:dyDescent="0.25">
      <c r="A408" s="3" t="s">
        <v>46</v>
      </c>
      <c r="B408" s="21" t="str">
        <f>HYPERLINK("https://gerandofalcoes.my.salesforce.com/0014P00003YSp92", "0014P00003YSp92")</f>
        <v>0014P00003YSp92</v>
      </c>
      <c r="C408" s="21" t="str">
        <f>HYPERLINK("https://gerandofalcoes.my.salesforce.com/0014P00003YSp92QAD", "0014P00003YSp92QAD")</f>
        <v>0014P00003YSp92QAD</v>
      </c>
      <c r="D408" s="3" t="s">
        <v>10199</v>
      </c>
      <c r="E408" s="3"/>
      <c r="F408" s="3" t="s">
        <v>10200</v>
      </c>
      <c r="G408" s="8">
        <v>44551</v>
      </c>
      <c r="H408" s="3">
        <v>245</v>
      </c>
      <c r="I408" s="3" t="s">
        <v>10201</v>
      </c>
      <c r="J408" s="3" t="s">
        <v>10202</v>
      </c>
      <c r="K408" s="3" t="s">
        <v>10203</v>
      </c>
      <c r="L408" s="3" t="s">
        <v>101</v>
      </c>
      <c r="M408" s="3" t="s">
        <v>10204</v>
      </c>
      <c r="N408" s="3" t="s">
        <v>10205</v>
      </c>
      <c r="O408" s="3">
        <v>340</v>
      </c>
      <c r="P408" s="3" t="s">
        <v>891</v>
      </c>
      <c r="Q408" s="3" t="s">
        <v>10206</v>
      </c>
      <c r="R408" s="3" t="s">
        <v>10207</v>
      </c>
      <c r="T408" s="3" t="s">
        <v>10208</v>
      </c>
      <c r="U408" s="3" t="s">
        <v>3799</v>
      </c>
      <c r="V408" s="3" t="s">
        <v>3800</v>
      </c>
      <c r="W408" s="3">
        <v>4</v>
      </c>
      <c r="X408" s="3">
        <v>4</v>
      </c>
      <c r="Y408" s="3" t="s">
        <v>10209</v>
      </c>
      <c r="AA408" s="3">
        <v>453</v>
      </c>
      <c r="AB408" s="6">
        <v>43838</v>
      </c>
      <c r="AC408" s="3" t="s">
        <v>62</v>
      </c>
      <c r="AD408" s="3">
        <v>2</v>
      </c>
      <c r="AE408" s="3">
        <v>22</v>
      </c>
      <c r="AF408" s="3">
        <v>2</v>
      </c>
      <c r="AG408" s="3" t="s">
        <v>10210</v>
      </c>
      <c r="AH408" s="3">
        <v>0</v>
      </c>
      <c r="AI408" s="3">
        <v>1000</v>
      </c>
      <c r="AL408" s="3" t="s">
        <v>5668</v>
      </c>
      <c r="AM408" s="7" t="s">
        <v>10211</v>
      </c>
      <c r="AN408" s="7" t="s">
        <v>10212</v>
      </c>
      <c r="AO408" s="7" t="s">
        <v>10213</v>
      </c>
      <c r="AR408" s="7" t="s">
        <v>10214</v>
      </c>
      <c r="AS408" s="7" t="s">
        <v>10215</v>
      </c>
      <c r="AT408" s="7" t="s">
        <v>10216</v>
      </c>
    </row>
    <row r="409" spans="1:47" ht="12.5" x14ac:dyDescent="0.25">
      <c r="A409" s="3" t="s">
        <v>46</v>
      </c>
      <c r="B409" s="21" t="str">
        <f>HYPERLINK("https://gerandofalcoes.my.salesforce.com/0014P00003YSp94", "0014P00003YSp94")</f>
        <v>0014P00003YSp94</v>
      </c>
      <c r="C409" s="21" t="str">
        <f>HYPERLINK("https://gerandofalcoes.my.salesforce.com/0014P00003YSp94QAD", "0014P00003YSp94QAD")</f>
        <v>0014P00003YSp94QAD</v>
      </c>
      <c r="D409" s="3" t="s">
        <v>10217</v>
      </c>
      <c r="E409" s="3"/>
      <c r="F409" s="3" t="s">
        <v>10218</v>
      </c>
      <c r="G409" s="8">
        <v>44551</v>
      </c>
      <c r="H409" s="3">
        <v>245</v>
      </c>
      <c r="I409" s="3" t="s">
        <v>10219</v>
      </c>
      <c r="J409" s="3" t="s">
        <v>10220</v>
      </c>
      <c r="K409" s="3" t="s">
        <v>10221</v>
      </c>
      <c r="L409" s="3" t="s">
        <v>101</v>
      </c>
      <c r="M409" s="3" t="s">
        <v>10222</v>
      </c>
      <c r="N409" s="3" t="s">
        <v>10223</v>
      </c>
      <c r="O409" s="3">
        <v>74</v>
      </c>
      <c r="P409" s="3" t="s">
        <v>128</v>
      </c>
      <c r="Q409" s="3"/>
      <c r="R409" s="3" t="s">
        <v>10224</v>
      </c>
      <c r="T409" s="3" t="s">
        <v>10225</v>
      </c>
      <c r="U409" s="3" t="s">
        <v>9893</v>
      </c>
      <c r="V409" s="3" t="s">
        <v>9415</v>
      </c>
      <c r="W409" s="3">
        <v>3</v>
      </c>
      <c r="X409" s="3">
        <v>3</v>
      </c>
      <c r="Y409" s="3" t="s">
        <v>10226</v>
      </c>
      <c r="AA409" s="3">
        <v>500</v>
      </c>
      <c r="AB409" s="6">
        <v>43554</v>
      </c>
      <c r="AC409" s="3" t="s">
        <v>62</v>
      </c>
      <c r="AD409" s="3">
        <v>0</v>
      </c>
      <c r="AE409" s="3">
        <v>15</v>
      </c>
      <c r="AF409" s="3">
        <v>2</v>
      </c>
      <c r="AG409" s="3" t="s">
        <v>10227</v>
      </c>
      <c r="AH409" s="3">
        <v>0</v>
      </c>
      <c r="AI409" s="3">
        <v>25000</v>
      </c>
      <c r="AL409" s="7" t="s">
        <v>10228</v>
      </c>
      <c r="AM409" s="7" t="s">
        <v>10229</v>
      </c>
      <c r="AN409" s="7" t="s">
        <v>10230</v>
      </c>
      <c r="AO409" s="7" t="s">
        <v>10231</v>
      </c>
      <c r="AR409" s="3"/>
      <c r="AS409" s="7" t="s">
        <v>10232</v>
      </c>
      <c r="AT409" s="3"/>
    </row>
    <row r="410" spans="1:47" ht="12.5" x14ac:dyDescent="0.25">
      <c r="A410" s="3" t="s">
        <v>46</v>
      </c>
      <c r="B410" s="21" t="str">
        <f>HYPERLINK("https://gerandofalcoes.my.salesforce.com/0014P00003YSp95", "0014P00003YSp95")</f>
        <v>0014P00003YSp95</v>
      </c>
      <c r="C410" s="21" t="str">
        <f>HYPERLINK("https://gerandofalcoes.my.salesforce.com/0014P00003YSp95QAD", "0014P00003YSp95QAD")</f>
        <v>0014P00003YSp95QAD</v>
      </c>
      <c r="D410" s="3" t="s">
        <v>10233</v>
      </c>
      <c r="E410" s="3" t="s">
        <v>10233</v>
      </c>
      <c r="F410" s="3" t="s">
        <v>10234</v>
      </c>
      <c r="G410" s="8">
        <v>44551</v>
      </c>
      <c r="H410" s="3">
        <v>245</v>
      </c>
      <c r="I410" s="3" t="s">
        <v>10235</v>
      </c>
      <c r="J410" s="3" t="s">
        <v>10236</v>
      </c>
      <c r="K410" s="3" t="s">
        <v>10237</v>
      </c>
      <c r="L410" s="3" t="s">
        <v>101</v>
      </c>
      <c r="M410" s="3" t="s">
        <v>10238</v>
      </c>
      <c r="N410" s="3" t="s">
        <v>10239</v>
      </c>
      <c r="O410" s="3">
        <v>4600</v>
      </c>
      <c r="P410" s="3" t="s">
        <v>10240</v>
      </c>
      <c r="Q410" s="3"/>
      <c r="R410" s="3" t="s">
        <v>10241</v>
      </c>
      <c r="T410" s="3" t="s">
        <v>10242</v>
      </c>
      <c r="U410" s="3" t="s">
        <v>3817</v>
      </c>
      <c r="V410" s="3" t="s">
        <v>10243</v>
      </c>
      <c r="W410" s="3">
        <v>6</v>
      </c>
      <c r="X410" s="3">
        <v>6</v>
      </c>
      <c r="Y410" s="3"/>
      <c r="AA410" s="3">
        <v>840</v>
      </c>
      <c r="AB410" s="6">
        <v>37724</v>
      </c>
      <c r="AC410" s="3" t="s">
        <v>62</v>
      </c>
      <c r="AD410" s="3">
        <v>8</v>
      </c>
      <c r="AE410" s="3">
        <v>8</v>
      </c>
      <c r="AF410" s="3">
        <v>2</v>
      </c>
      <c r="AG410" s="3" t="s">
        <v>3833</v>
      </c>
      <c r="AH410" s="3" t="s">
        <v>3625</v>
      </c>
      <c r="AI410" s="3">
        <v>12000</v>
      </c>
      <c r="AJ410" s="3"/>
      <c r="AL410" s="7" t="s">
        <v>10244</v>
      </c>
      <c r="AM410" s="7" t="s">
        <v>10245</v>
      </c>
      <c r="AN410" s="7" t="s">
        <v>10246</v>
      </c>
      <c r="AO410" s="3"/>
      <c r="AR410" s="7" t="s">
        <v>10247</v>
      </c>
      <c r="AS410" s="7" t="s">
        <v>10248</v>
      </c>
      <c r="AT410" s="3"/>
    </row>
    <row r="411" spans="1:47" ht="12.5" x14ac:dyDescent="0.25">
      <c r="A411" s="3" t="s">
        <v>46</v>
      </c>
      <c r="B411" s="21" t="str">
        <f>HYPERLINK("https://gerandofalcoes.my.salesforce.com/0014P00003YSp97", "0014P00003YSp97")</f>
        <v>0014P00003YSp97</v>
      </c>
      <c r="C411" s="21" t="str">
        <f>HYPERLINK("https://gerandofalcoes.my.salesforce.com/0014P00003YSp97QAD", "0014P00003YSp97QAD")</f>
        <v>0014P00003YSp97QAD</v>
      </c>
      <c r="D411" s="3" t="s">
        <v>10249</v>
      </c>
      <c r="E411" s="3"/>
      <c r="F411" s="3" t="s">
        <v>10250</v>
      </c>
      <c r="G411" s="8">
        <v>44551</v>
      </c>
      <c r="H411" s="3">
        <v>245</v>
      </c>
      <c r="I411" s="3" t="s">
        <v>10251</v>
      </c>
      <c r="J411" s="3" t="s">
        <v>10252</v>
      </c>
      <c r="K411" s="3" t="s">
        <v>10253</v>
      </c>
      <c r="L411" s="3" t="s">
        <v>310</v>
      </c>
      <c r="M411" s="3" t="s">
        <v>10254</v>
      </c>
      <c r="N411" s="3" t="s">
        <v>10255</v>
      </c>
      <c r="O411" s="3">
        <v>288</v>
      </c>
      <c r="P411" s="3" t="s">
        <v>338</v>
      </c>
      <c r="Q411" s="3"/>
      <c r="R411" s="3" t="s">
        <v>10256</v>
      </c>
      <c r="T411" s="3" t="s">
        <v>10257</v>
      </c>
      <c r="U411" s="3" t="s">
        <v>9317</v>
      </c>
      <c r="V411" s="3" t="s">
        <v>10258</v>
      </c>
      <c r="W411" s="3">
        <v>10</v>
      </c>
      <c r="X411" s="3">
        <v>10</v>
      </c>
      <c r="Y411" s="3"/>
      <c r="AA411" s="3">
        <v>28000</v>
      </c>
      <c r="AB411" s="6">
        <v>34555</v>
      </c>
      <c r="AC411" s="3" t="s">
        <v>62</v>
      </c>
      <c r="AD411" s="3">
        <v>5</v>
      </c>
      <c r="AE411" s="3">
        <v>25</v>
      </c>
      <c r="AF411" s="3">
        <v>3</v>
      </c>
      <c r="AG411" s="3" t="s">
        <v>9939</v>
      </c>
      <c r="AH411" s="3">
        <v>0</v>
      </c>
      <c r="AI411" s="3">
        <v>900000</v>
      </c>
      <c r="AL411" s="7" t="s">
        <v>10259</v>
      </c>
      <c r="AM411" s="7" t="s">
        <v>10260</v>
      </c>
      <c r="AN411" s="7" t="s">
        <v>10261</v>
      </c>
      <c r="AO411" s="3"/>
      <c r="AR411" s="7" t="s">
        <v>10262</v>
      </c>
      <c r="AS411" s="3"/>
      <c r="AT411" s="7" t="s">
        <v>10263</v>
      </c>
      <c r="AU411" s="3"/>
    </row>
    <row r="412" spans="1:47" ht="12.5" x14ac:dyDescent="0.25">
      <c r="A412" s="3" t="s">
        <v>46</v>
      </c>
      <c r="B412" s="21" t="str">
        <f>HYPERLINK("https://gerandofalcoes.my.salesforce.com/0014P00003YSp98", "0014P00003YSp98")</f>
        <v>0014P00003YSp98</v>
      </c>
      <c r="C412" s="21" t="str">
        <f>HYPERLINK("https://gerandofalcoes.my.salesforce.com/0014P00003YSp98QAD", "0014P00003YSp98QAD")</f>
        <v>0014P00003YSp98QAD</v>
      </c>
      <c r="D412" s="3" t="s">
        <v>10264</v>
      </c>
      <c r="E412" s="3"/>
      <c r="F412" s="3" t="s">
        <v>10265</v>
      </c>
      <c r="G412" s="8">
        <v>44551</v>
      </c>
      <c r="H412" s="3">
        <v>245</v>
      </c>
      <c r="I412" s="3" t="s">
        <v>10266</v>
      </c>
      <c r="J412" s="3" t="s">
        <v>10267</v>
      </c>
      <c r="K412" s="3" t="s">
        <v>10268</v>
      </c>
      <c r="L412" s="3" t="s">
        <v>101</v>
      </c>
      <c r="M412" s="3" t="s">
        <v>10269</v>
      </c>
      <c r="N412" s="3" t="s">
        <v>10270</v>
      </c>
      <c r="O412" s="3">
        <v>285</v>
      </c>
      <c r="P412" s="3" t="s">
        <v>8391</v>
      </c>
      <c r="Q412" s="3" t="s">
        <v>10271</v>
      </c>
      <c r="R412" s="3" t="s">
        <v>10272</v>
      </c>
      <c r="T412" s="3" t="s">
        <v>10273</v>
      </c>
      <c r="U412" s="3" t="s">
        <v>8868</v>
      </c>
      <c r="V412" s="3" t="s">
        <v>10274</v>
      </c>
      <c r="W412" s="3">
        <v>15</v>
      </c>
      <c r="X412" s="3">
        <v>15</v>
      </c>
      <c r="Y412" s="3"/>
      <c r="AA412" s="3">
        <v>4000</v>
      </c>
      <c r="AB412" s="6">
        <v>42965</v>
      </c>
      <c r="AC412" s="3" t="s">
        <v>62</v>
      </c>
      <c r="AD412" s="3">
        <v>5</v>
      </c>
      <c r="AE412" s="3">
        <v>11</v>
      </c>
      <c r="AF412" s="3">
        <v>2</v>
      </c>
      <c r="AG412" s="3" t="s">
        <v>3819</v>
      </c>
      <c r="AH412" s="3" t="s">
        <v>10275</v>
      </c>
      <c r="AI412" s="3">
        <v>15000</v>
      </c>
      <c r="AL412" s="7" t="s">
        <v>10276</v>
      </c>
      <c r="AM412" s="7" t="s">
        <v>10277</v>
      </c>
      <c r="AN412" s="7" t="s">
        <v>10278</v>
      </c>
      <c r="AO412" s="7" t="s">
        <v>10279</v>
      </c>
      <c r="AR412" s="7" t="s">
        <v>10280</v>
      </c>
      <c r="AS412" s="7" t="s">
        <v>10281</v>
      </c>
      <c r="AT412" s="7" t="s">
        <v>10282</v>
      </c>
      <c r="AU412" s="3"/>
    </row>
    <row r="413" spans="1:47" ht="12.5" x14ac:dyDescent="0.25">
      <c r="A413" s="3" t="s">
        <v>46</v>
      </c>
      <c r="B413" s="21" t="str">
        <f>HYPERLINK("https://gerandofalcoes.my.salesforce.com/0014P00003YSp99", "0014P00003YSp99")</f>
        <v>0014P00003YSp99</v>
      </c>
      <c r="C413" s="21" t="str">
        <f>HYPERLINK("https://gerandofalcoes.my.salesforce.com/0014P00003YSp99QAD", "0014P00003YSp99QAD")</f>
        <v>0014P00003YSp99QAD</v>
      </c>
      <c r="D413" s="3" t="s">
        <v>10283</v>
      </c>
      <c r="E413" s="3"/>
      <c r="F413" s="3" t="s">
        <v>10284</v>
      </c>
      <c r="G413" s="8">
        <v>44551</v>
      </c>
      <c r="H413" s="3">
        <v>245</v>
      </c>
      <c r="I413" s="3" t="s">
        <v>10285</v>
      </c>
      <c r="J413" s="3" t="s">
        <v>10286</v>
      </c>
      <c r="K413" s="3" t="s">
        <v>10287</v>
      </c>
      <c r="L413" s="3" t="s">
        <v>101</v>
      </c>
      <c r="M413" s="3" t="s">
        <v>10288</v>
      </c>
      <c r="N413" s="3" t="s">
        <v>10289</v>
      </c>
      <c r="O413" s="3">
        <v>10</v>
      </c>
      <c r="P413" s="3" t="s">
        <v>10084</v>
      </c>
      <c r="Q413" s="3"/>
      <c r="R413" s="3" t="s">
        <v>10290</v>
      </c>
      <c r="T413" s="3" t="s">
        <v>10291</v>
      </c>
      <c r="U413" s="3" t="s">
        <v>9212</v>
      </c>
      <c r="V413" s="3" t="s">
        <v>3800</v>
      </c>
      <c r="W413" s="3">
        <v>1</v>
      </c>
      <c r="X413" s="3">
        <v>1</v>
      </c>
      <c r="Y413" s="3"/>
      <c r="AA413" s="3">
        <v>150</v>
      </c>
      <c r="AB413" s="6">
        <v>43908</v>
      </c>
      <c r="AC413" s="3" t="s">
        <v>62</v>
      </c>
      <c r="AD413" s="3">
        <v>0</v>
      </c>
      <c r="AE413" s="3">
        <v>15</v>
      </c>
      <c r="AF413" s="3">
        <v>3</v>
      </c>
      <c r="AG413" s="3" t="s">
        <v>10292</v>
      </c>
      <c r="AH413" s="3">
        <v>0</v>
      </c>
      <c r="AI413" s="3">
        <v>63964</v>
      </c>
      <c r="AJ413" s="3"/>
      <c r="AL413" s="7" t="s">
        <v>10293</v>
      </c>
      <c r="AM413" s="7" t="s">
        <v>10294</v>
      </c>
      <c r="AN413" s="7" t="s">
        <v>10295</v>
      </c>
      <c r="AO413" s="7" t="s">
        <v>10296</v>
      </c>
      <c r="AR413" s="7" t="s">
        <v>10297</v>
      </c>
      <c r="AS413" s="7" t="s">
        <v>10298</v>
      </c>
      <c r="AT413" s="3"/>
    </row>
    <row r="414" spans="1:47" ht="12.5" x14ac:dyDescent="0.25">
      <c r="A414" s="3" t="s">
        <v>46</v>
      </c>
      <c r="B414" s="21" t="str">
        <f>HYPERLINK("https://gerandofalcoes.my.salesforce.com/0014P00003YSp9A", "0014P00003YSp9A")</f>
        <v>0014P00003YSp9A</v>
      </c>
      <c r="C414" s="21" t="str">
        <f>HYPERLINK("https://gerandofalcoes.my.salesforce.com/0014P00003YSp9AQAT", "0014P00003YSp9AQAT")</f>
        <v>0014P00003YSp9AQAT</v>
      </c>
      <c r="D414" s="3" t="s">
        <v>10299</v>
      </c>
      <c r="E414" s="3"/>
      <c r="F414" s="3" t="s">
        <v>10300</v>
      </c>
      <c r="G414" s="8">
        <v>44551</v>
      </c>
      <c r="H414" s="3">
        <v>245</v>
      </c>
      <c r="I414" s="3" t="s">
        <v>10301</v>
      </c>
      <c r="J414" s="3" t="s">
        <v>10302</v>
      </c>
      <c r="K414" s="3" t="s">
        <v>10303</v>
      </c>
      <c r="L414" s="3" t="s">
        <v>101</v>
      </c>
      <c r="M414" s="3" t="s">
        <v>10304</v>
      </c>
      <c r="N414" s="3" t="s">
        <v>10305</v>
      </c>
      <c r="O414" s="3">
        <v>56</v>
      </c>
      <c r="P414" s="3" t="s">
        <v>128</v>
      </c>
      <c r="Q414" s="3" t="s">
        <v>10306</v>
      </c>
      <c r="R414" s="3" t="s">
        <v>10307</v>
      </c>
      <c r="T414" s="3" t="s">
        <v>10308</v>
      </c>
      <c r="U414" s="3" t="s">
        <v>9005</v>
      </c>
      <c r="V414" s="3" t="s">
        <v>10309</v>
      </c>
      <c r="W414" s="3">
        <v>0</v>
      </c>
      <c r="X414" s="3">
        <v>1500</v>
      </c>
      <c r="Y414" s="3"/>
      <c r="AA414" s="3">
        <v>400</v>
      </c>
      <c r="AB414" s="8">
        <v>42671</v>
      </c>
      <c r="AC414" s="3" t="s">
        <v>62</v>
      </c>
      <c r="AD414" s="3">
        <v>0</v>
      </c>
      <c r="AE414" s="3">
        <v>0</v>
      </c>
      <c r="AF414" s="3">
        <v>2</v>
      </c>
      <c r="AG414" s="3" t="s">
        <v>9198</v>
      </c>
      <c r="AH414" s="3" t="s">
        <v>562</v>
      </c>
      <c r="AI414" s="3">
        <v>1000</v>
      </c>
      <c r="AL414" s="7" t="s">
        <v>10310</v>
      </c>
      <c r="AM414" s="7" t="s">
        <v>10311</v>
      </c>
      <c r="AN414" s="7" t="s">
        <v>10312</v>
      </c>
      <c r="AO414" s="7" t="s">
        <v>10310</v>
      </c>
      <c r="AR414" s="7" t="s">
        <v>10313</v>
      </c>
      <c r="AS414" s="7" t="s">
        <v>10314</v>
      </c>
      <c r="AT414" s="7" t="s">
        <v>10315</v>
      </c>
    </row>
    <row r="415" spans="1:47" ht="12.5" x14ac:dyDescent="0.25">
      <c r="A415" s="3" t="s">
        <v>46</v>
      </c>
      <c r="B415" s="21" t="str">
        <f>HYPERLINK("https://gerandofalcoes.my.salesforce.com/0014P00003YSp9B", "0014P00003YSp9B")</f>
        <v>0014P00003YSp9B</v>
      </c>
      <c r="C415" s="21" t="str">
        <f>HYPERLINK("https://gerandofalcoes.my.salesforce.com/0014P00003YSp9BQAT", "0014P00003YSp9BQAT")</f>
        <v>0014P00003YSp9BQAT</v>
      </c>
      <c r="D415" s="3" t="s">
        <v>10316</v>
      </c>
      <c r="E415" s="3"/>
      <c r="F415" s="3">
        <v>48211924000163</v>
      </c>
      <c r="G415" s="8">
        <v>44551</v>
      </c>
      <c r="H415" s="3">
        <v>245</v>
      </c>
      <c r="I415" s="3" t="s">
        <v>10317</v>
      </c>
      <c r="J415" s="3" t="s">
        <v>10318</v>
      </c>
      <c r="K415" s="3">
        <v>1434711827</v>
      </c>
      <c r="L415" s="3" t="s">
        <v>101</v>
      </c>
      <c r="M415" s="3" t="s">
        <v>10319</v>
      </c>
      <c r="N415" s="3" t="s">
        <v>10320</v>
      </c>
      <c r="O415" s="3">
        <v>1394</v>
      </c>
      <c r="P415" s="3" t="s">
        <v>10321</v>
      </c>
      <c r="Q415" s="3"/>
      <c r="R415" s="3" t="s">
        <v>10322</v>
      </c>
      <c r="T415" s="3"/>
      <c r="U415" s="3"/>
      <c r="V415" s="3"/>
      <c r="W415" s="3">
        <v>120</v>
      </c>
      <c r="X415" s="3" t="s">
        <v>10323</v>
      </c>
      <c r="Y415" s="3" t="s">
        <v>10324</v>
      </c>
      <c r="AA415" s="3">
        <v>118</v>
      </c>
      <c r="AB415" s="6">
        <v>20505</v>
      </c>
      <c r="AC415" s="3" t="s">
        <v>62</v>
      </c>
      <c r="AD415" s="3">
        <v>24</v>
      </c>
      <c r="AE415" s="3">
        <v>3</v>
      </c>
      <c r="AF415" s="3">
        <v>4</v>
      </c>
      <c r="AG415" s="3"/>
      <c r="AH415" s="5"/>
      <c r="AI415" s="3">
        <v>200</v>
      </c>
      <c r="AJ415" s="3"/>
      <c r="AL415" s="3"/>
      <c r="AM415" s="3"/>
      <c r="AN415" s="3"/>
      <c r="AO415" s="3"/>
      <c r="AQ415" s="3"/>
      <c r="AR415" s="7" t="s">
        <v>10325</v>
      </c>
      <c r="AS415" s="7" t="s">
        <v>10326</v>
      </c>
      <c r="AT415" s="3"/>
      <c r="AU415" s="3"/>
    </row>
    <row r="416" spans="1:47" ht="12.5" x14ac:dyDescent="0.25">
      <c r="A416" s="3" t="s">
        <v>46</v>
      </c>
      <c r="B416" s="21" t="str">
        <f>HYPERLINK("https://gerandofalcoes.my.salesforce.com/0014P00003YSp9C", "0014P00003YSp9C")</f>
        <v>0014P00003YSp9C</v>
      </c>
      <c r="C416" s="21" t="str">
        <f>HYPERLINK("https://gerandofalcoes.my.salesforce.com/0014P00003YSp9CQAT", "0014P00003YSp9CQAT")</f>
        <v>0014P00003YSp9CQAT</v>
      </c>
      <c r="D416" s="3" t="s">
        <v>10327</v>
      </c>
      <c r="E416" s="3"/>
      <c r="F416" s="3" t="s">
        <v>10328</v>
      </c>
      <c r="G416" s="8">
        <v>44551</v>
      </c>
      <c r="H416" s="3">
        <v>245</v>
      </c>
      <c r="I416" s="3" t="s">
        <v>10329</v>
      </c>
      <c r="J416" s="3" t="s">
        <v>10330</v>
      </c>
      <c r="K416" s="3" t="s">
        <v>10331</v>
      </c>
      <c r="L416" s="3" t="s">
        <v>101</v>
      </c>
      <c r="M416" s="3" t="s">
        <v>10332</v>
      </c>
      <c r="N416" s="3" t="s">
        <v>10333</v>
      </c>
      <c r="O416" s="3">
        <v>142</v>
      </c>
      <c r="P416" s="3" t="s">
        <v>891</v>
      </c>
      <c r="Q416" s="3"/>
      <c r="R416" s="3" t="s">
        <v>10334</v>
      </c>
      <c r="T416" s="3" t="s">
        <v>2933</v>
      </c>
      <c r="U416" s="3" t="s">
        <v>9152</v>
      </c>
      <c r="V416" s="3" t="s">
        <v>9659</v>
      </c>
      <c r="W416" s="3">
        <v>1</v>
      </c>
      <c r="X416" s="3">
        <v>1</v>
      </c>
      <c r="Y416" s="3" t="s">
        <v>10335</v>
      </c>
      <c r="AA416" s="3">
        <v>1250</v>
      </c>
      <c r="AB416" s="6">
        <v>43214</v>
      </c>
      <c r="AC416" s="3" t="s">
        <v>62</v>
      </c>
      <c r="AD416" s="3">
        <v>1</v>
      </c>
      <c r="AE416" s="3">
        <v>10</v>
      </c>
      <c r="AF416" s="3">
        <v>2</v>
      </c>
      <c r="AG416" s="3" t="s">
        <v>10336</v>
      </c>
      <c r="AH416" s="3">
        <v>0</v>
      </c>
      <c r="AI416" s="3">
        <v>120000</v>
      </c>
      <c r="AJ416" s="3"/>
      <c r="AK416" s="3"/>
      <c r="AL416" s="7" t="s">
        <v>10337</v>
      </c>
      <c r="AM416" s="7" t="s">
        <v>10338</v>
      </c>
      <c r="AN416" s="7" t="s">
        <v>10339</v>
      </c>
      <c r="AO416" s="3"/>
      <c r="AR416" s="7" t="s">
        <v>10340</v>
      </c>
      <c r="AS416" s="7" t="s">
        <v>10341</v>
      </c>
      <c r="AT416" s="7" t="s">
        <v>10342</v>
      </c>
    </row>
    <row r="417" spans="1:47" ht="12.5" x14ac:dyDescent="0.25">
      <c r="A417" s="3" t="s">
        <v>46</v>
      </c>
      <c r="B417" s="21" t="str">
        <f>HYPERLINK("https://gerandofalcoes.my.salesforce.com/0014P00003YSp9E", "0014P00003YSp9E")</f>
        <v>0014P00003YSp9E</v>
      </c>
      <c r="C417" s="21" t="str">
        <f>HYPERLINK("https://gerandofalcoes.my.salesforce.com/0014P00003YSp9EQAT", "0014P00003YSp9EQAT")</f>
        <v>0014P00003YSp9EQAT</v>
      </c>
      <c r="D417" s="3" t="s">
        <v>10343</v>
      </c>
      <c r="F417" s="3" t="s">
        <v>10344</v>
      </c>
      <c r="G417" s="8">
        <v>44551</v>
      </c>
      <c r="H417" s="3">
        <v>245</v>
      </c>
      <c r="I417" s="3" t="s">
        <v>10345</v>
      </c>
      <c r="J417" s="3" t="s">
        <v>10346</v>
      </c>
      <c r="K417" s="3" t="s">
        <v>10347</v>
      </c>
      <c r="L417" s="3" t="s">
        <v>101</v>
      </c>
      <c r="M417" s="3" t="s">
        <v>10348</v>
      </c>
      <c r="N417" s="3" t="s">
        <v>10349</v>
      </c>
      <c r="O417" s="3">
        <v>99</v>
      </c>
      <c r="P417" s="3" t="s">
        <v>128</v>
      </c>
      <c r="Q417" s="3"/>
      <c r="R417" s="3" t="s">
        <v>10350</v>
      </c>
      <c r="T417" s="3" t="s">
        <v>10351</v>
      </c>
      <c r="U417" s="3" t="s">
        <v>8880</v>
      </c>
      <c r="V417" s="3" t="s">
        <v>10352</v>
      </c>
      <c r="W417" s="3">
        <v>5</v>
      </c>
      <c r="X417" s="3">
        <v>4</v>
      </c>
      <c r="Y417" s="3" t="s">
        <v>10353</v>
      </c>
      <c r="AA417" s="3">
        <v>900</v>
      </c>
      <c r="AB417" s="8">
        <v>43788</v>
      </c>
      <c r="AC417" s="3" t="s">
        <v>62</v>
      </c>
      <c r="AD417" s="3">
        <v>2</v>
      </c>
      <c r="AE417" s="3">
        <v>10</v>
      </c>
      <c r="AF417" s="3">
        <v>2</v>
      </c>
      <c r="AG417" s="3" t="s">
        <v>9417</v>
      </c>
      <c r="AH417" s="3">
        <v>0</v>
      </c>
      <c r="AI417" s="3">
        <v>30000</v>
      </c>
      <c r="AL417" s="3" t="s">
        <v>10346</v>
      </c>
      <c r="AM417" s="7" t="s">
        <v>10354</v>
      </c>
      <c r="AN417" s="7" t="s">
        <v>10355</v>
      </c>
      <c r="AO417" s="3"/>
      <c r="AR417" s="7" t="s">
        <v>10356</v>
      </c>
      <c r="AS417" s="7" t="s">
        <v>10357</v>
      </c>
      <c r="AT417" s="7" t="s">
        <v>10358</v>
      </c>
    </row>
    <row r="418" spans="1:47" ht="12.5" x14ac:dyDescent="0.25">
      <c r="A418" s="3" t="s">
        <v>46</v>
      </c>
      <c r="B418" s="21" t="str">
        <f>HYPERLINK("https://gerandofalcoes.my.salesforce.com/0014P00003YSp9F", "0014P00003YSp9F")</f>
        <v>0014P00003YSp9F</v>
      </c>
      <c r="C418" s="21" t="str">
        <f>HYPERLINK("https://gerandofalcoes.my.salesforce.com/0014P00003YSp9FQAT", "0014P00003YSp9FQAT")</f>
        <v>0014P00003YSp9FQAT</v>
      </c>
      <c r="D418" s="3" t="s">
        <v>10359</v>
      </c>
      <c r="E418" s="3"/>
      <c r="F418" s="3" t="s">
        <v>10360</v>
      </c>
      <c r="G418" s="8">
        <v>44551</v>
      </c>
      <c r="H418" s="3">
        <v>245</v>
      </c>
      <c r="I418" s="3" t="s">
        <v>10361</v>
      </c>
      <c r="J418" s="3" t="s">
        <v>10362</v>
      </c>
      <c r="K418" s="3" t="s">
        <v>10363</v>
      </c>
      <c r="L418" s="3" t="s">
        <v>101</v>
      </c>
      <c r="M418" s="3" t="s">
        <v>10364</v>
      </c>
      <c r="N418" s="3" t="s">
        <v>10365</v>
      </c>
      <c r="O418" s="3">
        <v>1338</v>
      </c>
      <c r="P418" s="3" t="s">
        <v>104</v>
      </c>
      <c r="Q418" s="3"/>
      <c r="R418" s="3" t="s">
        <v>10366</v>
      </c>
      <c r="T418" s="3" t="s">
        <v>10367</v>
      </c>
      <c r="U418" s="3" t="s">
        <v>10368</v>
      </c>
      <c r="V418" s="3" t="s">
        <v>3800</v>
      </c>
      <c r="W418" s="3">
        <v>3</v>
      </c>
      <c r="X418" s="3">
        <v>3</v>
      </c>
      <c r="Y418" s="3" t="s">
        <v>10369</v>
      </c>
      <c r="AA418" s="3">
        <v>200</v>
      </c>
      <c r="AB418" s="6">
        <v>33147</v>
      </c>
      <c r="AC418" s="3" t="s">
        <v>62</v>
      </c>
      <c r="AD418" s="3">
        <v>7</v>
      </c>
      <c r="AE418" s="3">
        <v>3</v>
      </c>
      <c r="AF418" s="3">
        <v>4</v>
      </c>
      <c r="AG418" s="3" t="s">
        <v>10370</v>
      </c>
      <c r="AH418" s="3" t="s">
        <v>10371</v>
      </c>
      <c r="AI418" s="3">
        <v>200000</v>
      </c>
      <c r="AL418" s="7" t="s">
        <v>10372</v>
      </c>
      <c r="AM418" s="3" t="s">
        <v>10373</v>
      </c>
      <c r="AN418" s="7" t="s">
        <v>10374</v>
      </c>
      <c r="AO418" s="3"/>
      <c r="AR418" s="7" t="s">
        <v>10375</v>
      </c>
      <c r="AS418" s="7" t="s">
        <v>10376</v>
      </c>
      <c r="AT418" s="7" t="s">
        <v>10377</v>
      </c>
    </row>
    <row r="419" spans="1:47" ht="12.5" x14ac:dyDescent="0.25">
      <c r="A419" s="3" t="s">
        <v>46</v>
      </c>
      <c r="B419" s="21" t="str">
        <f>HYPERLINK("https://gerandofalcoes.my.salesforce.com/0014P00003YSp9H", "0014P00003YSp9H")</f>
        <v>0014P00003YSp9H</v>
      </c>
      <c r="C419" s="21" t="str">
        <f>HYPERLINK("https://gerandofalcoes.my.salesforce.com/0014P00003YSp9HQAT", "0014P00003YSp9HQAT")</f>
        <v>0014P00003YSp9HQAT</v>
      </c>
      <c r="D419" s="3" t="s">
        <v>10378</v>
      </c>
      <c r="F419" s="3"/>
      <c r="G419" s="8">
        <v>44551</v>
      </c>
      <c r="H419" s="3">
        <v>245</v>
      </c>
      <c r="I419" s="3" t="s">
        <v>10379</v>
      </c>
      <c r="J419" s="3" t="s">
        <v>10380</v>
      </c>
      <c r="K419" s="3" t="s">
        <v>10381</v>
      </c>
      <c r="L419" s="3" t="s">
        <v>101</v>
      </c>
      <c r="M419" s="3" t="s">
        <v>10382</v>
      </c>
      <c r="N419" s="3" t="s">
        <v>10383</v>
      </c>
      <c r="O419" s="3">
        <v>700</v>
      </c>
      <c r="P419" s="3" t="s">
        <v>128</v>
      </c>
      <c r="Q419" s="3"/>
      <c r="R419" s="3" t="s">
        <v>10384</v>
      </c>
      <c r="T419" s="3" t="s">
        <v>10385</v>
      </c>
      <c r="U419" s="3" t="s">
        <v>3817</v>
      </c>
      <c r="V419" s="3" t="s">
        <v>10386</v>
      </c>
      <c r="W419" s="3">
        <v>4</v>
      </c>
      <c r="X419" s="3">
        <v>4</v>
      </c>
      <c r="Y419" s="3"/>
      <c r="AA419" s="3">
        <v>200</v>
      </c>
      <c r="AB419" s="6">
        <v>43101</v>
      </c>
      <c r="AC419" s="3" t="s">
        <v>120</v>
      </c>
      <c r="AD419" s="3">
        <v>0</v>
      </c>
      <c r="AE419" s="3">
        <v>3</v>
      </c>
      <c r="AF419" s="3">
        <v>2</v>
      </c>
      <c r="AG419" s="3" t="s">
        <v>3801</v>
      </c>
      <c r="AH419" s="5">
        <v>1</v>
      </c>
      <c r="AI419" s="3">
        <v>2500</v>
      </c>
      <c r="AL419" s="3"/>
      <c r="AM419" s="7" t="s">
        <v>10387</v>
      </c>
      <c r="AN419" s="7" t="s">
        <v>10388</v>
      </c>
      <c r="AO419" s="3"/>
      <c r="AR419" s="3"/>
      <c r="AS419" s="3"/>
      <c r="AT419" s="7" t="s">
        <v>10389</v>
      </c>
    </row>
    <row r="420" spans="1:47" ht="12.5" x14ac:dyDescent="0.25">
      <c r="A420" s="3" t="s">
        <v>46</v>
      </c>
      <c r="B420" s="21" t="str">
        <f>HYPERLINK("https://gerandofalcoes.my.salesforce.com/0014P00003YSp9J", "0014P00003YSp9J")</f>
        <v>0014P00003YSp9J</v>
      </c>
      <c r="C420" s="21" t="str">
        <f>HYPERLINK("https://gerandofalcoes.my.salesforce.com/0014P00003YSp9JQAT", "0014P00003YSp9JQAT")</f>
        <v>0014P00003YSp9JQAT</v>
      </c>
      <c r="D420" s="3" t="s">
        <v>10390</v>
      </c>
      <c r="E420" s="3"/>
      <c r="F420" s="3" t="s">
        <v>10391</v>
      </c>
      <c r="G420" s="8">
        <v>44551</v>
      </c>
      <c r="H420" s="3">
        <v>245</v>
      </c>
      <c r="I420" s="3" t="s">
        <v>10392</v>
      </c>
      <c r="J420" s="3" t="s">
        <v>10393</v>
      </c>
      <c r="K420" s="3">
        <v>1143671288</v>
      </c>
      <c r="L420" s="3" t="s">
        <v>101</v>
      </c>
      <c r="M420" s="3" t="s">
        <v>10394</v>
      </c>
      <c r="N420" s="3" t="s">
        <v>10395</v>
      </c>
      <c r="O420" s="3">
        <v>1285</v>
      </c>
      <c r="P420" s="3" t="s">
        <v>10396</v>
      </c>
      <c r="Q420" s="3"/>
      <c r="R420" s="3">
        <v>9616080</v>
      </c>
      <c r="T420" s="3" t="s">
        <v>10397</v>
      </c>
      <c r="U420" s="3" t="s">
        <v>3799</v>
      </c>
      <c r="V420" s="3" t="s">
        <v>3890</v>
      </c>
      <c r="W420" s="3">
        <v>3</v>
      </c>
      <c r="X420" s="3">
        <v>3</v>
      </c>
      <c r="Y420" s="3"/>
      <c r="AA420" s="3">
        <v>500</v>
      </c>
      <c r="AB420" s="6">
        <v>37597</v>
      </c>
      <c r="AC420" s="3" t="s">
        <v>62</v>
      </c>
      <c r="AD420" s="3">
        <v>4</v>
      </c>
      <c r="AE420" s="3">
        <v>4</v>
      </c>
      <c r="AF420" s="3">
        <v>4</v>
      </c>
      <c r="AG420" s="3" t="s">
        <v>10398</v>
      </c>
      <c r="AH420" s="3" t="s">
        <v>10399</v>
      </c>
      <c r="AI420" s="3">
        <v>125000</v>
      </c>
      <c r="AL420" s="7" t="s">
        <v>10400</v>
      </c>
      <c r="AM420" s="7" t="s">
        <v>10401</v>
      </c>
      <c r="AN420" s="7" t="s">
        <v>10402</v>
      </c>
      <c r="AO420" s="3" t="s">
        <v>10403</v>
      </c>
      <c r="AR420" s="7" t="s">
        <v>10404</v>
      </c>
      <c r="AS420" s="7" t="s">
        <v>10405</v>
      </c>
      <c r="AT420" s="7" t="s">
        <v>10406</v>
      </c>
    </row>
    <row r="421" spans="1:47" ht="12.5" x14ac:dyDescent="0.25">
      <c r="A421" s="3" t="s">
        <v>46</v>
      </c>
      <c r="B421" s="21" t="str">
        <f>HYPERLINK("https://gerandofalcoes.my.salesforce.com/0014P00003YSp9L", "0014P00003YSp9L")</f>
        <v>0014P00003YSp9L</v>
      </c>
      <c r="C421" s="21" t="str">
        <f>HYPERLINK("https://gerandofalcoes.my.salesforce.com/0014P00003YSp9LQAT", "0014P00003YSp9LQAT")</f>
        <v>0014P00003YSp9LQAT</v>
      </c>
      <c r="D421" s="3" t="s">
        <v>10407</v>
      </c>
      <c r="E421" s="3"/>
      <c r="F421" s="3" t="s">
        <v>10408</v>
      </c>
      <c r="G421" s="8">
        <v>44551</v>
      </c>
      <c r="H421" s="3">
        <v>245</v>
      </c>
      <c r="I421" s="3" t="s">
        <v>10409</v>
      </c>
      <c r="J421" s="3" t="s">
        <v>10410</v>
      </c>
      <c r="K421" s="3" t="s">
        <v>10411</v>
      </c>
      <c r="L421" s="3" t="s">
        <v>101</v>
      </c>
      <c r="M421" s="3" t="s">
        <v>10412</v>
      </c>
      <c r="N421" s="3" t="s">
        <v>10413</v>
      </c>
      <c r="O421" s="3">
        <v>1155</v>
      </c>
      <c r="P421" s="3" t="s">
        <v>10414</v>
      </c>
      <c r="Q421" s="3"/>
      <c r="R421" s="3" t="s">
        <v>10415</v>
      </c>
      <c r="T421" s="3" t="s">
        <v>10416</v>
      </c>
      <c r="U421" s="3" t="s">
        <v>9212</v>
      </c>
      <c r="V421" s="3" t="s">
        <v>3832</v>
      </c>
      <c r="W421" s="3">
        <v>1</v>
      </c>
      <c r="X421" s="3">
        <v>1</v>
      </c>
      <c r="Y421" s="3" t="s">
        <v>10417</v>
      </c>
      <c r="AA421" s="3">
        <v>400</v>
      </c>
      <c r="AB421" s="6">
        <v>43175</v>
      </c>
      <c r="AC421" s="3" t="s">
        <v>62</v>
      </c>
      <c r="AD421" s="3">
        <v>16</v>
      </c>
      <c r="AE421" s="3">
        <v>0</v>
      </c>
      <c r="AF421" s="3">
        <v>6</v>
      </c>
      <c r="AG421" s="3" t="s">
        <v>10418</v>
      </c>
      <c r="AH421" s="3" t="s">
        <v>10419</v>
      </c>
      <c r="AI421" s="3">
        <v>153000</v>
      </c>
      <c r="AJ421" s="3"/>
      <c r="AL421" s="7" t="s">
        <v>10420</v>
      </c>
      <c r="AM421" s="7" t="s">
        <v>10421</v>
      </c>
      <c r="AN421" s="7" t="s">
        <v>10422</v>
      </c>
      <c r="AO421" s="7" t="s">
        <v>10423</v>
      </c>
      <c r="AR421" s="7" t="s">
        <v>10424</v>
      </c>
      <c r="AS421" s="7" t="s">
        <v>10425</v>
      </c>
      <c r="AT421" s="7" t="s">
        <v>10426</v>
      </c>
      <c r="AU421" s="3"/>
    </row>
    <row r="422" spans="1:47" ht="12.5" x14ac:dyDescent="0.25">
      <c r="A422" s="3" t="s">
        <v>46</v>
      </c>
      <c r="B422" s="21" t="str">
        <f>HYPERLINK("https://gerandofalcoes.my.salesforce.com/0014P00003YSp9M", "0014P00003YSp9M")</f>
        <v>0014P00003YSp9M</v>
      </c>
      <c r="C422" s="21" t="str">
        <f>HYPERLINK("https://gerandofalcoes.my.salesforce.com/0014P00003YSp9MQAT", "0014P00003YSp9MQAT")</f>
        <v>0014P00003YSp9MQAT</v>
      </c>
      <c r="D422" s="3" t="s">
        <v>10427</v>
      </c>
      <c r="E422" s="3"/>
      <c r="F422" s="3">
        <v>15628953000176</v>
      </c>
      <c r="G422" s="8">
        <v>44551</v>
      </c>
      <c r="H422" s="3">
        <v>245</v>
      </c>
      <c r="I422" s="3" t="s">
        <v>10428</v>
      </c>
      <c r="J422" s="3" t="s">
        <v>10429</v>
      </c>
      <c r="K422" s="3"/>
      <c r="L422" s="3" t="s">
        <v>101</v>
      </c>
      <c r="M422" s="3" t="s">
        <v>10430</v>
      </c>
      <c r="N422" s="3" t="s">
        <v>10431</v>
      </c>
      <c r="O422" s="3">
        <v>161</v>
      </c>
      <c r="P422" s="3" t="s">
        <v>891</v>
      </c>
      <c r="Q422" s="3"/>
      <c r="R422" s="3">
        <v>7273220</v>
      </c>
      <c r="T422" s="3" t="s">
        <v>8290</v>
      </c>
      <c r="U422" s="3"/>
      <c r="V422" s="3"/>
      <c r="W422" s="3">
        <v>1</v>
      </c>
      <c r="X422" s="3" t="s">
        <v>10323</v>
      </c>
      <c r="Y422" s="3"/>
      <c r="AA422" s="3">
        <v>100</v>
      </c>
      <c r="AB422" s="6">
        <v>41044</v>
      </c>
      <c r="AC422" s="3" t="s">
        <v>62</v>
      </c>
      <c r="AD422" s="3">
        <v>2</v>
      </c>
      <c r="AE422" s="3">
        <v>0</v>
      </c>
      <c r="AF422" s="3">
        <v>2</v>
      </c>
      <c r="AG422" s="3"/>
      <c r="AH422" s="3"/>
      <c r="AI422" s="3">
        <v>9000</v>
      </c>
      <c r="AJ422" s="3"/>
      <c r="AL422" s="7" t="s">
        <v>10432</v>
      </c>
      <c r="AM422" s="7" t="s">
        <v>10433</v>
      </c>
      <c r="AN422" s="7" t="s">
        <v>10434</v>
      </c>
      <c r="AO422" s="3"/>
      <c r="AR422" s="7" t="s">
        <v>10435</v>
      </c>
      <c r="AS422" s="7" t="s">
        <v>10436</v>
      </c>
      <c r="AT422" s="7" t="s">
        <v>10437</v>
      </c>
    </row>
    <row r="423" spans="1:47" ht="12.5" x14ac:dyDescent="0.25">
      <c r="A423" s="3" t="s">
        <v>46</v>
      </c>
      <c r="B423" s="21" t="str">
        <f>HYPERLINK("https://gerandofalcoes.my.salesforce.com/0014P00003YSp9N", "0014P00003YSp9N")</f>
        <v>0014P00003YSp9N</v>
      </c>
      <c r="C423" s="21" t="str">
        <f>HYPERLINK("https://gerandofalcoes.my.salesforce.com/0014P00003YSp9NQAT", "0014P00003YSp9NQAT")</f>
        <v>0014P00003YSp9NQAT</v>
      </c>
      <c r="D423" s="3" t="s">
        <v>10438</v>
      </c>
      <c r="E423" s="3"/>
      <c r="F423" s="3" t="s">
        <v>10439</v>
      </c>
      <c r="G423" s="8">
        <v>44551</v>
      </c>
      <c r="H423" s="3">
        <v>245</v>
      </c>
      <c r="I423" s="3" t="s">
        <v>10440</v>
      </c>
      <c r="J423" s="3" t="s">
        <v>10441</v>
      </c>
      <c r="K423" s="3" t="s">
        <v>10442</v>
      </c>
      <c r="L423" s="3" t="s">
        <v>101</v>
      </c>
      <c r="M423" s="3" t="s">
        <v>10443</v>
      </c>
      <c r="N423" s="3" t="s">
        <v>10444</v>
      </c>
      <c r="O423" s="3">
        <v>201</v>
      </c>
      <c r="P423" s="3" t="s">
        <v>10445</v>
      </c>
      <c r="Q423" s="3"/>
      <c r="R423" s="3" t="s">
        <v>10446</v>
      </c>
      <c r="T423" s="3" t="s">
        <v>10447</v>
      </c>
      <c r="U423" s="3" t="s">
        <v>9893</v>
      </c>
      <c r="V423" s="3" t="s">
        <v>10448</v>
      </c>
      <c r="W423" s="3">
        <v>1</v>
      </c>
      <c r="X423" s="3">
        <v>1</v>
      </c>
      <c r="Y423" s="3" t="s">
        <v>10449</v>
      </c>
      <c r="AA423" s="3">
        <v>600</v>
      </c>
      <c r="AB423" s="6">
        <v>43979</v>
      </c>
      <c r="AC423" s="3" t="s">
        <v>62</v>
      </c>
      <c r="AD423" s="3">
        <v>0</v>
      </c>
      <c r="AE423" s="3">
        <v>12</v>
      </c>
      <c r="AF423" s="3">
        <v>2</v>
      </c>
      <c r="AG423" s="3" t="s">
        <v>10450</v>
      </c>
      <c r="AH423" s="3" t="s">
        <v>3625</v>
      </c>
      <c r="AI423" s="3">
        <v>11000</v>
      </c>
      <c r="AJ423" s="3"/>
      <c r="AL423" s="7" t="s">
        <v>10451</v>
      </c>
      <c r="AM423" s="7" t="s">
        <v>10452</v>
      </c>
      <c r="AN423" s="7" t="s">
        <v>10453</v>
      </c>
      <c r="AO423" s="3"/>
      <c r="AR423" s="7" t="s">
        <v>10454</v>
      </c>
      <c r="AS423" s="7" t="s">
        <v>10455</v>
      </c>
      <c r="AT423" s="7" t="s">
        <v>10456</v>
      </c>
    </row>
    <row r="424" spans="1:47" ht="12.5" x14ac:dyDescent="0.25">
      <c r="A424" s="3" t="s">
        <v>46</v>
      </c>
      <c r="B424" s="21" t="str">
        <f>HYPERLINK("https://gerandofalcoes.my.salesforce.com/0014P00003YSp9O", "0014P00003YSp9O")</f>
        <v>0014P00003YSp9O</v>
      </c>
      <c r="C424" s="21" t="str">
        <f>HYPERLINK("https://gerandofalcoes.my.salesforce.com/0014P00003YSp9OQAT", "0014P00003YSp9OQAT")</f>
        <v>0014P00003YSp9OQAT</v>
      </c>
      <c r="D424" s="3" t="s">
        <v>10457</v>
      </c>
      <c r="E424" s="3"/>
      <c r="F424" s="3"/>
      <c r="G424" s="8">
        <v>44551</v>
      </c>
      <c r="H424" s="3">
        <v>245</v>
      </c>
      <c r="I424" s="3" t="s">
        <v>10458</v>
      </c>
      <c r="J424" s="3" t="s">
        <v>10459</v>
      </c>
      <c r="K424" s="3" t="s">
        <v>10460</v>
      </c>
      <c r="L424" s="3" t="s">
        <v>101</v>
      </c>
      <c r="M424" s="3" t="s">
        <v>10461</v>
      </c>
      <c r="N424" s="3" t="s">
        <v>10462</v>
      </c>
      <c r="O424" s="3">
        <v>92</v>
      </c>
      <c r="P424" s="3" t="s">
        <v>4861</v>
      </c>
      <c r="Q424" s="3"/>
      <c r="R424" s="3" t="s">
        <v>10463</v>
      </c>
      <c r="T424" s="3" t="s">
        <v>10464</v>
      </c>
      <c r="U424" s="3" t="s">
        <v>9005</v>
      </c>
      <c r="V424" s="3" t="s">
        <v>10465</v>
      </c>
      <c r="W424" s="3">
        <v>9</v>
      </c>
      <c r="X424" s="3">
        <v>8</v>
      </c>
      <c r="Y424" s="3"/>
      <c r="AA424" s="3">
        <v>7000</v>
      </c>
      <c r="AB424" s="8">
        <v>43422</v>
      </c>
      <c r="AC424" s="3" t="s">
        <v>120</v>
      </c>
      <c r="AD424" s="3">
        <v>0</v>
      </c>
      <c r="AE424" s="3">
        <v>38</v>
      </c>
      <c r="AF424" s="3">
        <v>8</v>
      </c>
      <c r="AG424" s="3" t="s">
        <v>10466</v>
      </c>
      <c r="AH424" s="3">
        <v>0</v>
      </c>
      <c r="AI424" s="3">
        <v>15000</v>
      </c>
      <c r="AJ424" s="3"/>
      <c r="AL424" s="3"/>
      <c r="AM424" s="7" t="s">
        <v>10467</v>
      </c>
      <c r="AN424" s="7" t="s">
        <v>10468</v>
      </c>
      <c r="AO424" s="3"/>
      <c r="AR424" s="3"/>
      <c r="AS424" s="3"/>
      <c r="AT424" s="7" t="s">
        <v>10469</v>
      </c>
      <c r="AU424" s="3"/>
    </row>
    <row r="425" spans="1:47" ht="12.5" x14ac:dyDescent="0.25">
      <c r="A425" s="3" t="s">
        <v>46</v>
      </c>
      <c r="B425" s="21" t="str">
        <f>HYPERLINK("https://gerandofalcoes.my.salesforce.com/0014P00003YSp9P", "0014P00003YSp9P")</f>
        <v>0014P00003YSp9P</v>
      </c>
      <c r="C425" s="21" t="str">
        <f>HYPERLINK("https://gerandofalcoes.my.salesforce.com/0014P00003YSp9PQAT", "0014P00003YSp9PQAT")</f>
        <v>0014P00003YSp9PQAT</v>
      </c>
      <c r="D425" s="3" t="s">
        <v>10470</v>
      </c>
      <c r="E425" s="3"/>
      <c r="F425" s="3" t="s">
        <v>10471</v>
      </c>
      <c r="G425" s="8">
        <v>44551</v>
      </c>
      <c r="H425" s="3">
        <v>245</v>
      </c>
      <c r="I425" s="3" t="s">
        <v>10472</v>
      </c>
      <c r="J425" s="3" t="s">
        <v>10473</v>
      </c>
      <c r="K425" s="3" t="s">
        <v>10474</v>
      </c>
      <c r="L425" s="3" t="s">
        <v>407</v>
      </c>
      <c r="M425" s="3" t="s">
        <v>10475</v>
      </c>
      <c r="N425" s="3" t="s">
        <v>10476</v>
      </c>
      <c r="O425" s="3">
        <v>422</v>
      </c>
      <c r="P425" s="3" t="s">
        <v>409</v>
      </c>
      <c r="Q425" s="3">
        <v>201</v>
      </c>
      <c r="R425" s="3" t="s">
        <v>10477</v>
      </c>
      <c r="T425" s="3" t="s">
        <v>8290</v>
      </c>
      <c r="U425" s="3" t="s">
        <v>10478</v>
      </c>
      <c r="V425" s="3" t="s">
        <v>3800</v>
      </c>
      <c r="W425" s="3">
        <v>20</v>
      </c>
      <c r="X425" s="3">
        <v>20</v>
      </c>
      <c r="Y425" s="3" t="s">
        <v>10479</v>
      </c>
      <c r="AA425" s="3">
        <v>20000</v>
      </c>
      <c r="AB425" s="8">
        <v>42290</v>
      </c>
      <c r="AC425" s="3" t="s">
        <v>62</v>
      </c>
      <c r="AD425" s="3">
        <v>1</v>
      </c>
      <c r="AE425" s="3">
        <v>90</v>
      </c>
      <c r="AF425" s="3">
        <v>2</v>
      </c>
      <c r="AG425" s="3" t="s">
        <v>3819</v>
      </c>
      <c r="AH425" s="3">
        <v>0</v>
      </c>
      <c r="AI425" s="3">
        <v>161520</v>
      </c>
      <c r="AJ425" s="3"/>
      <c r="AK425" s="3"/>
      <c r="AL425" s="7" t="s">
        <v>10480</v>
      </c>
      <c r="AM425" s="7" t="s">
        <v>10481</v>
      </c>
      <c r="AN425" s="7" t="s">
        <v>10482</v>
      </c>
      <c r="AO425" s="3"/>
      <c r="AR425" s="7" t="s">
        <v>10483</v>
      </c>
      <c r="AS425" s="7" t="s">
        <v>10484</v>
      </c>
      <c r="AT425" s="7" t="s">
        <v>10485</v>
      </c>
      <c r="AU425" s="3"/>
    </row>
    <row r="426" spans="1:47" ht="12.5" x14ac:dyDescent="0.25">
      <c r="A426" s="3" t="s">
        <v>46</v>
      </c>
      <c r="B426" s="21" t="str">
        <f>HYPERLINK("https://gerandofalcoes.my.salesforce.com/0014P00003YSp9R", "0014P00003YSp9R")</f>
        <v>0014P00003YSp9R</v>
      </c>
      <c r="C426" s="21" t="str">
        <f>HYPERLINK("https://gerandofalcoes.my.salesforce.com/0014P00003YSp9RQAT", "0014P00003YSp9RQAT")</f>
        <v>0014P00003YSp9RQAT</v>
      </c>
      <c r="D426" s="3" t="s">
        <v>10486</v>
      </c>
      <c r="E426" s="3"/>
      <c r="F426" s="3">
        <v>39970011000130</v>
      </c>
      <c r="G426" s="8">
        <v>44551</v>
      </c>
      <c r="H426" s="3">
        <v>245</v>
      </c>
      <c r="I426" s="3" t="s">
        <v>10487</v>
      </c>
      <c r="J426" s="3" t="s">
        <v>10488</v>
      </c>
      <c r="K426" s="3">
        <v>11989644886</v>
      </c>
      <c r="L426" s="3" t="s">
        <v>101</v>
      </c>
      <c r="M426" s="3" t="s">
        <v>10489</v>
      </c>
      <c r="N426" s="3" t="s">
        <v>4026</v>
      </c>
      <c r="O426" s="3">
        <v>240</v>
      </c>
      <c r="P426" s="3" t="s">
        <v>443</v>
      </c>
      <c r="Q426" s="3" t="s">
        <v>10490</v>
      </c>
      <c r="R426" s="3">
        <v>8550100</v>
      </c>
      <c r="T426" s="3"/>
      <c r="U426" s="3"/>
      <c r="V426" s="3"/>
      <c r="W426" s="3">
        <v>10</v>
      </c>
      <c r="X426" s="3" t="s">
        <v>10491</v>
      </c>
      <c r="Y426" s="3" t="s">
        <v>10492</v>
      </c>
      <c r="AA426" s="3">
        <v>3500</v>
      </c>
      <c r="AB426" s="6">
        <v>44041</v>
      </c>
      <c r="AC426" s="3" t="s">
        <v>62</v>
      </c>
      <c r="AD426" s="3">
        <v>0</v>
      </c>
      <c r="AE426" s="3">
        <v>10</v>
      </c>
      <c r="AF426" s="3">
        <v>4</v>
      </c>
      <c r="AG426" s="3"/>
      <c r="AH426" s="3"/>
      <c r="AI426" s="3">
        <v>45000</v>
      </c>
      <c r="AJ426" s="3"/>
      <c r="AL426" s="7" t="s">
        <v>10493</v>
      </c>
      <c r="AM426" s="7" t="s">
        <v>10494</v>
      </c>
      <c r="AN426" s="7" t="s">
        <v>10495</v>
      </c>
      <c r="AO426" s="3"/>
      <c r="AQ426" s="3"/>
      <c r="AR426" s="7" t="s">
        <v>10496</v>
      </c>
      <c r="AS426" s="7" t="s">
        <v>10497</v>
      </c>
      <c r="AT426" s="7" t="s">
        <v>10498</v>
      </c>
      <c r="AU426" s="3"/>
    </row>
    <row r="427" spans="1:47" ht="12.5" x14ac:dyDescent="0.25">
      <c r="A427" s="3" t="s">
        <v>46</v>
      </c>
      <c r="B427" s="21" t="str">
        <f>HYPERLINK("https://gerandofalcoes.my.salesforce.com/0014P00003YSp9S", "0014P00003YSp9S")</f>
        <v>0014P00003YSp9S</v>
      </c>
      <c r="C427" s="21" t="str">
        <f>HYPERLINK("https://gerandofalcoes.my.salesforce.com/0014P00003YSp9SQAT", "0014P00003YSp9SQAT")</f>
        <v>0014P00003YSp9SQAT</v>
      </c>
      <c r="D427" s="3" t="s">
        <v>10499</v>
      </c>
      <c r="E427" s="3"/>
      <c r="F427" s="3" t="s">
        <v>10500</v>
      </c>
      <c r="G427" s="8">
        <v>44551</v>
      </c>
      <c r="H427" s="3">
        <v>245</v>
      </c>
      <c r="I427" s="3" t="s">
        <v>10501</v>
      </c>
      <c r="J427" s="3" t="s">
        <v>10502</v>
      </c>
      <c r="K427" s="3" t="s">
        <v>10503</v>
      </c>
      <c r="L427" s="3" t="s">
        <v>101</v>
      </c>
      <c r="M427" s="3" t="s">
        <v>10504</v>
      </c>
      <c r="N427" s="3" t="s">
        <v>10505</v>
      </c>
      <c r="O427" s="3">
        <v>175</v>
      </c>
      <c r="P427" s="3" t="s">
        <v>10506</v>
      </c>
      <c r="Q427" s="3"/>
      <c r="R427" s="3" t="s">
        <v>10507</v>
      </c>
      <c r="T427" s="3" t="s">
        <v>10508</v>
      </c>
      <c r="U427" s="3" t="s">
        <v>9005</v>
      </c>
      <c r="V427" s="3" t="s">
        <v>8958</v>
      </c>
      <c r="W427" s="3">
        <v>12</v>
      </c>
      <c r="X427" s="3">
        <v>12</v>
      </c>
      <c r="Y427" s="3"/>
      <c r="AA427" s="3">
        <v>1000</v>
      </c>
      <c r="AB427" s="6">
        <v>39816</v>
      </c>
      <c r="AC427" s="3" t="s">
        <v>120</v>
      </c>
      <c r="AD427" s="3">
        <v>3</v>
      </c>
      <c r="AE427" s="3">
        <v>30</v>
      </c>
      <c r="AF427" s="3">
        <v>4</v>
      </c>
      <c r="AG427" s="3" t="s">
        <v>9797</v>
      </c>
      <c r="AH427" s="3">
        <v>0</v>
      </c>
      <c r="AI427" s="3">
        <v>21200</v>
      </c>
      <c r="AJ427" s="3"/>
      <c r="AL427" s="3"/>
      <c r="AM427" s="7" t="s">
        <v>10509</v>
      </c>
      <c r="AN427" s="3"/>
      <c r="AO427" s="3"/>
      <c r="AR427" s="7" t="s">
        <v>10510</v>
      </c>
      <c r="AS427" s="3"/>
      <c r="AT427" s="3"/>
      <c r="AU427" s="3"/>
    </row>
    <row r="428" spans="1:47" ht="12.5" x14ac:dyDescent="0.25">
      <c r="A428" s="3" t="s">
        <v>46</v>
      </c>
      <c r="B428" s="21" t="str">
        <f>HYPERLINK("https://gerandofalcoes.my.salesforce.com/0014P00003YSp9T", "0014P00003YSp9T")</f>
        <v>0014P00003YSp9T</v>
      </c>
      <c r="C428" s="21" t="str">
        <f>HYPERLINK("https://gerandofalcoes.my.salesforce.com/0014P00003YSp9TQAT", "0014P00003YSp9TQAT")</f>
        <v>0014P00003YSp9TQAT</v>
      </c>
      <c r="D428" s="3" t="s">
        <v>10511</v>
      </c>
      <c r="E428" s="3"/>
      <c r="F428" s="3" t="s">
        <v>10512</v>
      </c>
      <c r="G428" s="8">
        <v>44551</v>
      </c>
      <c r="H428" s="3">
        <v>245</v>
      </c>
      <c r="I428" s="3" t="s">
        <v>10513</v>
      </c>
      <c r="J428" s="3" t="s">
        <v>10514</v>
      </c>
      <c r="K428" s="3" t="s">
        <v>10515</v>
      </c>
      <c r="L428" s="3" t="s">
        <v>101</v>
      </c>
      <c r="M428" s="3" t="s">
        <v>10516</v>
      </c>
      <c r="N428" s="3" t="s">
        <v>10517</v>
      </c>
      <c r="O428" s="3">
        <v>392</v>
      </c>
      <c r="P428" s="3" t="s">
        <v>10518</v>
      </c>
      <c r="Q428" s="3" t="s">
        <v>10519</v>
      </c>
      <c r="R428" s="3" t="s">
        <v>10520</v>
      </c>
      <c r="T428" s="3" t="s">
        <v>10521</v>
      </c>
      <c r="U428" s="3" t="s">
        <v>10522</v>
      </c>
      <c r="V428" s="3" t="s">
        <v>9468</v>
      </c>
      <c r="W428" s="3">
        <v>14</v>
      </c>
      <c r="X428" s="3">
        <v>14</v>
      </c>
      <c r="Y428" s="3"/>
      <c r="AA428" s="3">
        <v>3000</v>
      </c>
      <c r="AB428" s="6">
        <v>43601</v>
      </c>
      <c r="AC428" s="3" t="s">
        <v>62</v>
      </c>
      <c r="AD428" s="3">
        <v>0</v>
      </c>
      <c r="AE428" s="3">
        <v>30</v>
      </c>
      <c r="AF428" s="3">
        <v>5</v>
      </c>
      <c r="AG428" s="3" t="s">
        <v>10178</v>
      </c>
      <c r="AH428" s="3">
        <v>0</v>
      </c>
      <c r="AI428" s="3">
        <v>25650</v>
      </c>
      <c r="AJ428" s="3"/>
      <c r="AL428" s="7" t="s">
        <v>10523</v>
      </c>
      <c r="AM428" s="7" t="s">
        <v>10523</v>
      </c>
      <c r="AN428" s="7" t="s">
        <v>10524</v>
      </c>
      <c r="AO428" s="7" t="s">
        <v>10525</v>
      </c>
      <c r="AR428" s="7" t="s">
        <v>10526</v>
      </c>
      <c r="AS428" s="7" t="s">
        <v>10527</v>
      </c>
      <c r="AT428" s="3"/>
    </row>
    <row r="429" spans="1:47" ht="12.5" x14ac:dyDescent="0.25">
      <c r="A429" s="3" t="s">
        <v>46</v>
      </c>
      <c r="B429" s="21" t="str">
        <f>HYPERLINK("https://gerandofalcoes.my.salesforce.com/0014P00003YSp9U", "0014P00003YSp9U")</f>
        <v>0014P00003YSp9U</v>
      </c>
      <c r="C429" s="21" t="str">
        <f>HYPERLINK("https://gerandofalcoes.my.salesforce.com/0014P00003YSp9UQAT", "0014P00003YSp9UQAT")</f>
        <v>0014P00003YSp9UQAT</v>
      </c>
      <c r="D429" s="3" t="s">
        <v>10528</v>
      </c>
      <c r="E429" s="3"/>
      <c r="F429" s="3" t="s">
        <v>10529</v>
      </c>
      <c r="G429" s="8">
        <v>44551</v>
      </c>
      <c r="H429" s="3">
        <v>245</v>
      </c>
      <c r="I429" s="3" t="s">
        <v>10530</v>
      </c>
      <c r="J429" s="3" t="s">
        <v>10531</v>
      </c>
      <c r="K429" s="3" t="s">
        <v>10532</v>
      </c>
      <c r="L429" s="3" t="s">
        <v>101</v>
      </c>
      <c r="M429" s="3" t="s">
        <v>10533</v>
      </c>
      <c r="N429" s="3" t="s">
        <v>10534</v>
      </c>
      <c r="O429" s="3">
        <v>651</v>
      </c>
      <c r="P429" s="3" t="s">
        <v>10445</v>
      </c>
      <c r="Q429" s="3" t="s">
        <v>10535</v>
      </c>
      <c r="R429" s="3" t="s">
        <v>10536</v>
      </c>
      <c r="T429" s="3" t="s">
        <v>10537</v>
      </c>
      <c r="U429" s="3" t="s">
        <v>10538</v>
      </c>
      <c r="V429" s="3" t="s">
        <v>9468</v>
      </c>
      <c r="W429" s="3">
        <v>4</v>
      </c>
      <c r="X429" s="3">
        <v>4</v>
      </c>
      <c r="Y429" s="3" t="s">
        <v>10539</v>
      </c>
      <c r="AA429" s="3">
        <v>600</v>
      </c>
      <c r="AB429" s="6">
        <v>35070</v>
      </c>
      <c r="AC429" s="3" t="s">
        <v>62</v>
      </c>
      <c r="AD429" s="3">
        <v>39</v>
      </c>
      <c r="AE429" s="3">
        <v>8</v>
      </c>
      <c r="AF429" s="3">
        <v>2</v>
      </c>
      <c r="AG429" s="3" t="s">
        <v>10540</v>
      </c>
      <c r="AH429" s="3" t="s">
        <v>10541</v>
      </c>
      <c r="AI429" s="3">
        <v>2000</v>
      </c>
      <c r="AJ429" s="3"/>
      <c r="AK429" s="3"/>
      <c r="AL429" s="7" t="s">
        <v>10542</v>
      </c>
      <c r="AM429" s="7" t="s">
        <v>10542</v>
      </c>
      <c r="AN429" s="3"/>
      <c r="AO429" s="7" t="s">
        <v>10543</v>
      </c>
      <c r="AR429" s="7" t="s">
        <v>10544</v>
      </c>
      <c r="AS429" s="7" t="s">
        <v>10545</v>
      </c>
      <c r="AT429" s="7" t="s">
        <v>10546</v>
      </c>
      <c r="AU429" s="3"/>
    </row>
    <row r="430" spans="1:47" ht="12.5" x14ac:dyDescent="0.25">
      <c r="A430" s="3" t="s">
        <v>46</v>
      </c>
      <c r="B430" s="21" t="str">
        <f>HYPERLINK("https://gerandofalcoes.my.salesforce.com/0014P00003YSp9W", "0014P00003YSp9W")</f>
        <v>0014P00003YSp9W</v>
      </c>
      <c r="C430" s="21" t="str">
        <f>HYPERLINK("https://gerandofalcoes.my.salesforce.com/0014P00003YSp9WQAT", "0014P00003YSp9WQAT")</f>
        <v>0014P00003YSp9WQAT</v>
      </c>
      <c r="D430" s="3" t="s">
        <v>10547</v>
      </c>
      <c r="E430" s="3"/>
      <c r="F430" s="3" t="s">
        <v>10548</v>
      </c>
      <c r="G430" s="8">
        <v>44551</v>
      </c>
      <c r="H430" s="3">
        <v>245</v>
      </c>
      <c r="I430" s="3" t="s">
        <v>10549</v>
      </c>
      <c r="J430" s="3" t="s">
        <v>10550</v>
      </c>
      <c r="K430" s="3" t="s">
        <v>10551</v>
      </c>
      <c r="L430" s="3" t="s">
        <v>101</v>
      </c>
      <c r="M430" s="3" t="s">
        <v>10552</v>
      </c>
      <c r="N430" s="3" t="s">
        <v>10553</v>
      </c>
      <c r="O430" s="3">
        <v>200</v>
      </c>
      <c r="P430" s="3" t="s">
        <v>10554</v>
      </c>
      <c r="Q430" s="3"/>
      <c r="R430" s="3" t="s">
        <v>10555</v>
      </c>
      <c r="T430" s="3" t="s">
        <v>9454</v>
      </c>
      <c r="U430" s="3" t="s">
        <v>8852</v>
      </c>
      <c r="V430" s="3" t="s">
        <v>9241</v>
      </c>
      <c r="W430" s="3">
        <v>10</v>
      </c>
      <c r="X430" s="3">
        <v>10</v>
      </c>
      <c r="Y430" s="3"/>
      <c r="AA430" s="3">
        <v>320</v>
      </c>
      <c r="AB430" s="6">
        <v>43293</v>
      </c>
      <c r="AC430" s="3" t="s">
        <v>62</v>
      </c>
      <c r="AD430" s="3">
        <v>0</v>
      </c>
      <c r="AE430" s="3">
        <v>12</v>
      </c>
      <c r="AF430" s="3">
        <v>4</v>
      </c>
      <c r="AG430" s="3" t="s">
        <v>10556</v>
      </c>
      <c r="AH430" s="5">
        <v>0</v>
      </c>
      <c r="AI430" s="3">
        <v>0</v>
      </c>
      <c r="AJ430" s="3"/>
      <c r="AK430" s="3"/>
      <c r="AL430" s="7" t="s">
        <v>10557</v>
      </c>
      <c r="AM430" s="7" t="s">
        <v>10558</v>
      </c>
      <c r="AN430" s="7" t="s">
        <v>10559</v>
      </c>
      <c r="AO430" s="7" t="s">
        <v>10560</v>
      </c>
      <c r="AR430" s="7" t="s">
        <v>10561</v>
      </c>
      <c r="AS430" s="7" t="s">
        <v>10562</v>
      </c>
      <c r="AT430" s="3"/>
      <c r="AU430" s="3"/>
    </row>
    <row r="431" spans="1:47" ht="12.5" x14ac:dyDescent="0.25">
      <c r="A431" s="3" t="s">
        <v>46</v>
      </c>
      <c r="B431" s="21" t="str">
        <f>HYPERLINK("https://gerandofalcoes.my.salesforce.com/0014P00003YSp9X", "0014P00003YSp9X")</f>
        <v>0014P00003YSp9X</v>
      </c>
      <c r="C431" s="21" t="str">
        <f>HYPERLINK("https://gerandofalcoes.my.salesforce.com/0014P00003YSp9XQAT", "0014P00003YSp9XQAT")</f>
        <v>0014P00003YSp9XQAT</v>
      </c>
      <c r="D431" s="3" t="s">
        <v>10563</v>
      </c>
      <c r="E431" s="3"/>
      <c r="F431" s="3" t="s">
        <v>10564</v>
      </c>
      <c r="G431" s="8">
        <v>44551</v>
      </c>
      <c r="H431" s="3">
        <v>245</v>
      </c>
      <c r="I431" s="3" t="s">
        <v>10565</v>
      </c>
      <c r="J431" s="3" t="s">
        <v>10566</v>
      </c>
      <c r="K431" s="3" t="s">
        <v>10567</v>
      </c>
      <c r="L431" s="3" t="s">
        <v>101</v>
      </c>
      <c r="M431" s="3" t="s">
        <v>10568</v>
      </c>
      <c r="N431" s="3" t="s">
        <v>10569</v>
      </c>
      <c r="O431" s="3">
        <v>350</v>
      </c>
      <c r="P431" s="3" t="s">
        <v>10570</v>
      </c>
      <c r="Q431" s="3"/>
      <c r="R431" s="3" t="s">
        <v>10571</v>
      </c>
      <c r="T431" s="3" t="s">
        <v>8290</v>
      </c>
      <c r="U431" s="3" t="s">
        <v>3799</v>
      </c>
      <c r="V431" s="3" t="s">
        <v>3890</v>
      </c>
      <c r="W431" s="3">
        <v>5</v>
      </c>
      <c r="X431" s="3">
        <v>5</v>
      </c>
      <c r="Y431" s="3" t="s">
        <v>10572</v>
      </c>
      <c r="AA431" s="3">
        <v>35376</v>
      </c>
      <c r="AB431" s="6">
        <v>35595</v>
      </c>
      <c r="AC431" s="3" t="s">
        <v>62</v>
      </c>
      <c r="AD431" s="3">
        <v>53</v>
      </c>
      <c r="AE431" s="3">
        <v>80</v>
      </c>
      <c r="AF431" s="3">
        <v>13</v>
      </c>
      <c r="AG431" s="3" t="s">
        <v>10573</v>
      </c>
      <c r="AH431" s="3" t="s">
        <v>10574</v>
      </c>
      <c r="AI431" s="3">
        <v>3643229</v>
      </c>
      <c r="AJ431" s="3"/>
      <c r="AL431" s="7" t="s">
        <v>10575</v>
      </c>
      <c r="AM431" s="7" t="s">
        <v>10576</v>
      </c>
      <c r="AN431" s="7" t="s">
        <v>10577</v>
      </c>
      <c r="AO431" s="7" t="s">
        <v>10578</v>
      </c>
      <c r="AR431" s="7" t="s">
        <v>10579</v>
      </c>
      <c r="AS431" s="7" t="s">
        <v>10580</v>
      </c>
      <c r="AT431" s="7" t="s">
        <v>10581</v>
      </c>
    </row>
    <row r="432" spans="1:47" ht="12.5" x14ac:dyDescent="0.25">
      <c r="A432" s="3" t="s">
        <v>46</v>
      </c>
      <c r="B432" s="21" t="str">
        <f>HYPERLINK("https://gerandofalcoes.my.salesforce.com/0014P00003YSp9Y", "0014P00003YSp9Y")</f>
        <v>0014P00003YSp9Y</v>
      </c>
      <c r="C432" s="21" t="str">
        <f>HYPERLINK("https://gerandofalcoes.my.salesforce.com/0014P00003YSp9YQAT", "0014P00003YSp9YQAT")</f>
        <v>0014P00003YSp9YQAT</v>
      </c>
      <c r="D432" s="3" t="s">
        <v>10582</v>
      </c>
      <c r="E432" s="3"/>
      <c r="F432" s="3" t="s">
        <v>10583</v>
      </c>
      <c r="G432" s="8">
        <v>44551</v>
      </c>
      <c r="H432" s="3">
        <v>245</v>
      </c>
      <c r="I432" s="3" t="s">
        <v>10584</v>
      </c>
      <c r="J432" s="3" t="s">
        <v>10585</v>
      </c>
      <c r="K432" s="3" t="s">
        <v>10586</v>
      </c>
      <c r="L432" s="3" t="s">
        <v>101</v>
      </c>
      <c r="M432" s="3" t="s">
        <v>10587</v>
      </c>
      <c r="N432" s="3" t="s">
        <v>5642</v>
      </c>
      <c r="O432" s="3">
        <v>250</v>
      </c>
      <c r="P432" s="3" t="s">
        <v>10588</v>
      </c>
      <c r="Q432" s="3" t="s">
        <v>10589</v>
      </c>
      <c r="R432" s="3" t="s">
        <v>10590</v>
      </c>
      <c r="T432" s="3" t="s">
        <v>10591</v>
      </c>
      <c r="U432" s="3" t="s">
        <v>8880</v>
      </c>
      <c r="V432" s="3" t="s">
        <v>4119</v>
      </c>
      <c r="W432" s="3">
        <v>3</v>
      </c>
      <c r="X432" s="3">
        <v>3</v>
      </c>
      <c r="Y432" s="3" t="s">
        <v>10592</v>
      </c>
      <c r="AA432" s="3">
        <v>500</v>
      </c>
      <c r="AB432" s="6">
        <v>44109</v>
      </c>
      <c r="AC432" s="3" t="s">
        <v>62</v>
      </c>
      <c r="AD432" s="3">
        <v>0</v>
      </c>
      <c r="AE432" s="3">
        <v>24</v>
      </c>
      <c r="AF432" s="3">
        <v>2</v>
      </c>
      <c r="AG432" s="3" t="s">
        <v>9797</v>
      </c>
      <c r="AH432" s="3" t="s">
        <v>10593</v>
      </c>
      <c r="AI432" s="3">
        <v>7000</v>
      </c>
      <c r="AJ432" s="3"/>
      <c r="AL432" s="7" t="s">
        <v>10594</v>
      </c>
      <c r="AM432" s="3" t="s">
        <v>10595</v>
      </c>
      <c r="AN432" s="7" t="s">
        <v>10596</v>
      </c>
      <c r="AO432" s="7" t="s">
        <v>10597</v>
      </c>
      <c r="AR432" s="7" t="s">
        <v>10598</v>
      </c>
      <c r="AS432" s="7" t="s">
        <v>10599</v>
      </c>
      <c r="AT432" s="7" t="s">
        <v>10600</v>
      </c>
    </row>
    <row r="433" spans="1:47" ht="12.5" x14ac:dyDescent="0.25">
      <c r="A433" s="3" t="s">
        <v>46</v>
      </c>
      <c r="B433" s="21" t="str">
        <f>HYPERLINK("https://gerandofalcoes.my.salesforce.com/0014P00003YSp9Z", "0014P00003YSp9Z")</f>
        <v>0014P00003YSp9Z</v>
      </c>
      <c r="C433" s="21" t="str">
        <f>HYPERLINK("https://gerandofalcoes.my.salesforce.com/0014P00003YSp9ZQAT", "0014P00003YSp9ZQAT")</f>
        <v>0014P00003YSp9ZQAT</v>
      </c>
      <c r="D433" s="3" t="s">
        <v>10601</v>
      </c>
      <c r="E433" s="3"/>
      <c r="F433" s="3" t="s">
        <v>10602</v>
      </c>
      <c r="G433" s="8">
        <v>44551</v>
      </c>
      <c r="H433" s="3">
        <v>245</v>
      </c>
      <c r="I433" s="3" t="s">
        <v>10603</v>
      </c>
      <c r="J433" s="3" t="s">
        <v>10604</v>
      </c>
      <c r="K433" s="3">
        <v>11947284220</v>
      </c>
      <c r="L433" s="3" t="s">
        <v>101</v>
      </c>
      <c r="M433" s="3" t="s">
        <v>10605</v>
      </c>
      <c r="N433" s="3" t="s">
        <v>10606</v>
      </c>
      <c r="O433" s="3">
        <v>383</v>
      </c>
      <c r="P433" s="3" t="s">
        <v>10607</v>
      </c>
      <c r="Q433" s="3"/>
      <c r="R433" s="3">
        <v>3378050</v>
      </c>
      <c r="T433" s="3"/>
      <c r="U433" s="3"/>
      <c r="V433" s="3"/>
      <c r="W433" s="3">
        <v>4</v>
      </c>
      <c r="X433" s="3" t="s">
        <v>10608</v>
      </c>
      <c r="Y433" s="3"/>
      <c r="AA433" s="3">
        <v>150</v>
      </c>
      <c r="AB433" s="6">
        <v>44056</v>
      </c>
      <c r="AC433" s="3" t="s">
        <v>62</v>
      </c>
      <c r="AD433" s="3">
        <v>2</v>
      </c>
      <c r="AE433" s="3">
        <v>20</v>
      </c>
      <c r="AF433" s="3"/>
      <c r="AG433" s="3"/>
      <c r="AH433" s="23"/>
      <c r="AI433" s="3"/>
      <c r="AJ433" s="3"/>
      <c r="AL433" s="3"/>
      <c r="AM433" s="3"/>
      <c r="AN433" s="3"/>
      <c r="AQ433" s="3"/>
      <c r="AR433" s="3"/>
      <c r="AS433" s="3"/>
      <c r="AT433" s="3"/>
      <c r="AU433" s="3"/>
    </row>
    <row r="434" spans="1:47" ht="12.5" x14ac:dyDescent="0.25">
      <c r="A434" s="3" t="s">
        <v>46</v>
      </c>
      <c r="B434" s="21" t="str">
        <f>HYPERLINK("https://gerandofalcoes.my.salesforce.com/0014P00003YSp9a", "0014P00003YSp9a")</f>
        <v>0014P00003YSp9a</v>
      </c>
      <c r="C434" s="21" t="str">
        <f>HYPERLINK("https://gerandofalcoes.my.salesforce.com/0014P00003YSp9aQAD", "0014P00003YSp9aQAD")</f>
        <v>0014P00003YSp9aQAD</v>
      </c>
      <c r="D434" s="3" t="s">
        <v>10609</v>
      </c>
      <c r="E434" s="3"/>
      <c r="F434" s="3" t="s">
        <v>10610</v>
      </c>
      <c r="G434" s="8">
        <v>44551</v>
      </c>
      <c r="H434" s="3">
        <v>245</v>
      </c>
      <c r="I434" s="3" t="s">
        <v>10611</v>
      </c>
      <c r="J434" s="3" t="s">
        <v>10612</v>
      </c>
      <c r="K434" s="3" t="s">
        <v>10613</v>
      </c>
      <c r="L434" s="3" t="s">
        <v>101</v>
      </c>
      <c r="M434" s="3" t="s">
        <v>10614</v>
      </c>
      <c r="N434" s="3" t="s">
        <v>10615</v>
      </c>
      <c r="O434" s="3">
        <v>55</v>
      </c>
      <c r="P434" s="3" t="s">
        <v>10240</v>
      </c>
      <c r="Q434" s="3"/>
      <c r="R434" s="3" t="s">
        <v>10616</v>
      </c>
      <c r="T434" s="3" t="s">
        <v>10617</v>
      </c>
      <c r="U434" s="3" t="s">
        <v>3817</v>
      </c>
      <c r="V434" s="3" t="s">
        <v>3800</v>
      </c>
      <c r="W434" s="3">
        <v>3</v>
      </c>
      <c r="X434" s="3">
        <v>3</v>
      </c>
      <c r="Y434" s="3" t="s">
        <v>10618</v>
      </c>
      <c r="AA434" s="3">
        <v>300</v>
      </c>
      <c r="AB434" s="6">
        <v>42058</v>
      </c>
      <c r="AC434" s="3" t="s">
        <v>62</v>
      </c>
      <c r="AD434" s="3">
        <v>0</v>
      </c>
      <c r="AE434" s="3">
        <v>4</v>
      </c>
      <c r="AF434" s="3">
        <v>2</v>
      </c>
      <c r="AG434" s="3" t="s">
        <v>9782</v>
      </c>
      <c r="AH434" s="23" t="s">
        <v>10619</v>
      </c>
      <c r="AI434" s="3">
        <v>2000</v>
      </c>
      <c r="AJ434" s="3"/>
      <c r="AL434" s="3"/>
      <c r="AM434" s="7" t="s">
        <v>10620</v>
      </c>
      <c r="AN434" s="3"/>
      <c r="AO434" s="3"/>
      <c r="AQ434" s="3"/>
      <c r="AR434" s="7" t="s">
        <v>10621</v>
      </c>
      <c r="AS434" s="7" t="s">
        <v>10622</v>
      </c>
      <c r="AT434" s="3"/>
      <c r="AU434" s="3"/>
    </row>
    <row r="435" spans="1:47" ht="12.5" x14ac:dyDescent="0.25">
      <c r="A435" s="3" t="s">
        <v>46</v>
      </c>
      <c r="B435" s="21" t="str">
        <f>HYPERLINK("https://gerandofalcoes.my.salesforce.com/0014P00003YSp9b", "0014P00003YSp9b")</f>
        <v>0014P00003YSp9b</v>
      </c>
      <c r="C435" s="21" t="str">
        <f>HYPERLINK("https://gerandofalcoes.my.salesforce.com/0014P00003YSp9bQAD", "0014P00003YSp9bQAD")</f>
        <v>0014P00003YSp9bQAD</v>
      </c>
      <c r="D435" s="3" t="s">
        <v>10623</v>
      </c>
      <c r="F435" s="3" t="s">
        <v>10624</v>
      </c>
      <c r="G435" s="8">
        <v>44551</v>
      </c>
      <c r="H435" s="3">
        <v>245</v>
      </c>
      <c r="I435" s="3" t="s">
        <v>10625</v>
      </c>
      <c r="J435" s="3" t="s">
        <v>10626</v>
      </c>
      <c r="K435" s="3" t="s">
        <v>10627</v>
      </c>
      <c r="L435" s="3" t="s">
        <v>101</v>
      </c>
      <c r="M435" s="3" t="s">
        <v>10628</v>
      </c>
      <c r="N435" s="3" t="s">
        <v>10629</v>
      </c>
      <c r="O435" s="3">
        <v>2906</v>
      </c>
      <c r="P435" s="3" t="s">
        <v>104</v>
      </c>
      <c r="Q435" s="3"/>
      <c r="R435" s="3" t="s">
        <v>10630</v>
      </c>
      <c r="T435" s="3" t="s">
        <v>10631</v>
      </c>
      <c r="U435" s="3" t="s">
        <v>9269</v>
      </c>
      <c r="V435" s="3" t="s">
        <v>3890</v>
      </c>
      <c r="W435" s="3">
        <v>20</v>
      </c>
      <c r="X435" s="3">
        <v>20</v>
      </c>
      <c r="Y435" s="3" t="s">
        <v>10632</v>
      </c>
      <c r="AA435" s="3">
        <v>250</v>
      </c>
      <c r="AB435" s="6">
        <v>25575</v>
      </c>
      <c r="AC435" s="3" t="s">
        <v>62</v>
      </c>
      <c r="AD435" s="3">
        <v>8</v>
      </c>
      <c r="AE435" s="3">
        <v>0</v>
      </c>
      <c r="AF435" s="3">
        <v>3</v>
      </c>
      <c r="AG435" s="3" t="s">
        <v>10633</v>
      </c>
      <c r="AH435" s="23" t="s">
        <v>10634</v>
      </c>
      <c r="AI435" s="3">
        <v>400216</v>
      </c>
      <c r="AL435" s="7" t="s">
        <v>10635</v>
      </c>
      <c r="AM435" s="7" t="s">
        <v>10636</v>
      </c>
      <c r="AN435" s="7" t="s">
        <v>10637</v>
      </c>
      <c r="AO435" s="3"/>
      <c r="AR435" s="7" t="s">
        <v>10638</v>
      </c>
      <c r="AS435" s="7" t="s">
        <v>10639</v>
      </c>
      <c r="AT435" s="7" t="s">
        <v>10640</v>
      </c>
    </row>
    <row r="436" spans="1:47" ht="12.5" x14ac:dyDescent="0.25">
      <c r="A436" s="3" t="s">
        <v>46</v>
      </c>
      <c r="B436" s="21" t="str">
        <f>HYPERLINK("https://gerandofalcoes.my.salesforce.com/0014P00003YSp9c", "0014P00003YSp9c")</f>
        <v>0014P00003YSp9c</v>
      </c>
      <c r="C436" s="21" t="str">
        <f>HYPERLINK("https://gerandofalcoes.my.salesforce.com/0014P00003YSp9cQAD", "0014P00003YSp9cQAD")</f>
        <v>0014P00003YSp9cQAD</v>
      </c>
      <c r="D436" s="3" t="s">
        <v>10641</v>
      </c>
      <c r="E436" s="3"/>
      <c r="F436" s="3"/>
      <c r="G436" s="8">
        <v>44551</v>
      </c>
      <c r="H436" s="3">
        <v>245</v>
      </c>
      <c r="I436" s="3" t="s">
        <v>10642</v>
      </c>
      <c r="J436" s="3" t="s">
        <v>10643</v>
      </c>
      <c r="K436" s="3" t="s">
        <v>10644</v>
      </c>
      <c r="L436" s="3" t="s">
        <v>101</v>
      </c>
      <c r="M436" s="3" t="s">
        <v>10645</v>
      </c>
      <c r="N436" s="3" t="s">
        <v>10646</v>
      </c>
      <c r="O436" s="3">
        <v>4</v>
      </c>
      <c r="P436" s="3" t="s">
        <v>128</v>
      </c>
      <c r="Q436" s="3"/>
      <c r="R436" s="3" t="s">
        <v>10647</v>
      </c>
      <c r="T436" s="3" t="s">
        <v>10648</v>
      </c>
      <c r="U436" s="3" t="s">
        <v>10649</v>
      </c>
      <c r="V436" s="3" t="s">
        <v>3800</v>
      </c>
      <c r="W436" s="3">
        <v>4</v>
      </c>
      <c r="X436" s="3">
        <v>4</v>
      </c>
      <c r="Y436" s="3"/>
      <c r="AA436" s="3">
        <v>30</v>
      </c>
      <c r="AB436" s="8">
        <v>44164</v>
      </c>
      <c r="AC436" s="3" t="s">
        <v>120</v>
      </c>
      <c r="AD436" s="3">
        <v>2</v>
      </c>
      <c r="AE436" s="3">
        <v>6</v>
      </c>
      <c r="AF436" s="3">
        <v>4</v>
      </c>
      <c r="AG436" s="3" t="s">
        <v>10650</v>
      </c>
      <c r="AH436" s="23" t="s">
        <v>10651</v>
      </c>
      <c r="AI436" s="3">
        <v>2000</v>
      </c>
      <c r="AL436" s="3"/>
      <c r="AM436" s="7" t="s">
        <v>10652</v>
      </c>
      <c r="AN436" s="3"/>
      <c r="AO436" s="3"/>
      <c r="AR436" s="3"/>
      <c r="AS436" s="3"/>
      <c r="AT436" s="3"/>
    </row>
    <row r="437" spans="1:47" ht="12.5" x14ac:dyDescent="0.25">
      <c r="A437" s="3" t="s">
        <v>46</v>
      </c>
      <c r="B437" s="21" t="str">
        <f>HYPERLINK("https://gerandofalcoes.my.salesforce.com/0014P00003YSp9d", "0014P00003YSp9d")</f>
        <v>0014P00003YSp9d</v>
      </c>
      <c r="C437" s="21" t="str">
        <f>HYPERLINK("https://gerandofalcoes.my.salesforce.com/0014P00003YSp9dQAD", "0014P00003YSp9dQAD")</f>
        <v>0014P00003YSp9dQAD</v>
      </c>
      <c r="D437" s="3" t="s">
        <v>10653</v>
      </c>
      <c r="F437" s="3"/>
      <c r="G437" s="8">
        <v>44551</v>
      </c>
      <c r="H437" s="3">
        <v>245</v>
      </c>
      <c r="I437" s="3" t="s">
        <v>10654</v>
      </c>
      <c r="J437" s="3" t="s">
        <v>10655</v>
      </c>
      <c r="K437" s="3" t="s">
        <v>10656</v>
      </c>
      <c r="L437" s="3" t="s">
        <v>6781</v>
      </c>
      <c r="M437" s="3" t="s">
        <v>10657</v>
      </c>
      <c r="N437" s="3" t="s">
        <v>10658</v>
      </c>
      <c r="O437" s="3">
        <v>669</v>
      </c>
      <c r="P437" s="3" t="s">
        <v>7583</v>
      </c>
      <c r="Q437" s="3"/>
      <c r="R437" s="3" t="s">
        <v>10659</v>
      </c>
      <c r="T437" s="3" t="s">
        <v>10385</v>
      </c>
      <c r="U437" s="3" t="s">
        <v>3753</v>
      </c>
      <c r="V437" s="3" t="s">
        <v>3800</v>
      </c>
      <c r="W437" s="3">
        <v>1</v>
      </c>
      <c r="X437" s="3">
        <v>1</v>
      </c>
      <c r="Y437" s="3"/>
      <c r="AA437" s="3">
        <v>200</v>
      </c>
      <c r="AB437" s="6">
        <v>43108</v>
      </c>
      <c r="AC437" s="3" t="s">
        <v>120</v>
      </c>
      <c r="AD437" s="3">
        <v>0</v>
      </c>
      <c r="AE437" s="3">
        <v>30</v>
      </c>
      <c r="AF437" s="3">
        <v>2</v>
      </c>
      <c r="AG437" s="3" t="s">
        <v>9198</v>
      </c>
      <c r="AH437" s="23">
        <v>0</v>
      </c>
      <c r="AI437" s="3">
        <v>10000</v>
      </c>
      <c r="AL437" s="3"/>
      <c r="AM437" s="7" t="s">
        <v>10660</v>
      </c>
      <c r="AN437" s="3"/>
      <c r="AO437" s="3"/>
      <c r="AR437" s="3"/>
      <c r="AS437" s="3"/>
      <c r="AT437" s="3"/>
    </row>
    <row r="438" spans="1:47" ht="12.5" x14ac:dyDescent="0.25">
      <c r="A438" s="3" t="s">
        <v>46</v>
      </c>
      <c r="B438" s="21" t="str">
        <f>HYPERLINK("https://gerandofalcoes.my.salesforce.com/0014P00003YSp9e", "0014P00003YSp9e")</f>
        <v>0014P00003YSp9e</v>
      </c>
      <c r="C438" s="21" t="str">
        <f>HYPERLINK("https://gerandofalcoes.my.salesforce.com/0014P00003YSp9eQAD", "0014P00003YSp9eQAD")</f>
        <v>0014P00003YSp9eQAD</v>
      </c>
      <c r="D438" s="3" t="s">
        <v>10661</v>
      </c>
      <c r="E438" s="3"/>
      <c r="F438" s="3" t="s">
        <v>10662</v>
      </c>
      <c r="G438" s="8">
        <v>44551</v>
      </c>
      <c r="H438" s="3">
        <v>245</v>
      </c>
      <c r="I438" s="3" t="s">
        <v>10663</v>
      </c>
      <c r="J438" s="3" t="s">
        <v>10664</v>
      </c>
      <c r="K438" s="3" t="s">
        <v>10665</v>
      </c>
      <c r="L438" s="3" t="s">
        <v>101</v>
      </c>
      <c r="M438" s="3" t="s">
        <v>10666</v>
      </c>
      <c r="N438" s="3" t="s">
        <v>10667</v>
      </c>
      <c r="O438" s="3">
        <v>498</v>
      </c>
      <c r="P438" s="3" t="s">
        <v>128</v>
      </c>
      <c r="Q438" s="3"/>
      <c r="R438" s="3" t="s">
        <v>10668</v>
      </c>
      <c r="T438" s="3" t="s">
        <v>10669</v>
      </c>
      <c r="U438" s="3" t="s">
        <v>5834</v>
      </c>
      <c r="V438" s="3" t="s">
        <v>3800</v>
      </c>
      <c r="W438" s="3">
        <v>3</v>
      </c>
      <c r="X438" s="3">
        <v>3</v>
      </c>
      <c r="Y438" s="3" t="s">
        <v>10670</v>
      </c>
      <c r="AA438" s="3">
        <v>300</v>
      </c>
      <c r="AB438" s="6">
        <v>39687</v>
      </c>
      <c r="AC438" s="3" t="s">
        <v>62</v>
      </c>
      <c r="AD438" s="3">
        <v>4</v>
      </c>
      <c r="AE438" s="3">
        <v>110</v>
      </c>
      <c r="AF438" s="3">
        <v>4</v>
      </c>
      <c r="AG438" s="3" t="s">
        <v>9154</v>
      </c>
      <c r="AH438" s="23">
        <v>25</v>
      </c>
      <c r="AI438" s="3">
        <v>270000</v>
      </c>
      <c r="AL438" s="7" t="s">
        <v>10671</v>
      </c>
      <c r="AM438" s="7" t="s">
        <v>10672</v>
      </c>
      <c r="AN438" s="3"/>
      <c r="AO438" s="3"/>
      <c r="AR438" s="3"/>
      <c r="AS438" s="7" t="s">
        <v>10673</v>
      </c>
      <c r="AT438" s="3"/>
    </row>
    <row r="439" spans="1:47" ht="12.5" x14ac:dyDescent="0.25">
      <c r="A439" s="3" t="s">
        <v>46</v>
      </c>
      <c r="B439" s="21" t="str">
        <f>HYPERLINK("https://gerandofalcoes.my.salesforce.com/0014P00003YSp9f", "0014P00003YSp9f")</f>
        <v>0014P00003YSp9f</v>
      </c>
      <c r="C439" s="21" t="str">
        <f>HYPERLINK("https://gerandofalcoes.my.salesforce.com/0014P00003YSp9fQAD", "0014P00003YSp9fQAD")</f>
        <v>0014P00003YSp9fQAD</v>
      </c>
      <c r="D439" s="3" t="s">
        <v>10674</v>
      </c>
      <c r="E439" s="3"/>
      <c r="F439" s="3" t="s">
        <v>10675</v>
      </c>
      <c r="G439" s="8">
        <v>44551</v>
      </c>
      <c r="H439" s="3">
        <v>245</v>
      </c>
      <c r="I439" s="3" t="s">
        <v>10676</v>
      </c>
      <c r="J439" s="3" t="s">
        <v>10677</v>
      </c>
      <c r="K439" s="3" t="s">
        <v>10678</v>
      </c>
      <c r="L439" s="3" t="s">
        <v>101</v>
      </c>
      <c r="M439" s="3" t="s">
        <v>10679</v>
      </c>
      <c r="N439" s="3" t="s">
        <v>10680</v>
      </c>
      <c r="O439" s="3">
        <v>76</v>
      </c>
      <c r="P439" s="3" t="s">
        <v>128</v>
      </c>
      <c r="Q439" s="3" t="s">
        <v>10681</v>
      </c>
      <c r="R439" s="3" t="s">
        <v>10682</v>
      </c>
      <c r="T439" s="3" t="s">
        <v>10683</v>
      </c>
      <c r="U439" s="3" t="s">
        <v>10522</v>
      </c>
      <c r="V439" s="3" t="s">
        <v>10386</v>
      </c>
      <c r="W439" s="3">
        <v>2</v>
      </c>
      <c r="X439" s="3">
        <v>2</v>
      </c>
      <c r="Y439" s="3" t="s">
        <v>10684</v>
      </c>
      <c r="AA439" s="3">
        <v>800</v>
      </c>
      <c r="AB439" s="6">
        <v>39116</v>
      </c>
      <c r="AC439" s="3" t="s">
        <v>62</v>
      </c>
      <c r="AD439" s="3">
        <v>0</v>
      </c>
      <c r="AE439" s="3">
        <v>6</v>
      </c>
      <c r="AF439" s="3">
        <v>2</v>
      </c>
      <c r="AG439" s="3" t="s">
        <v>3833</v>
      </c>
      <c r="AH439" s="23">
        <v>20</v>
      </c>
      <c r="AI439" s="3">
        <v>20</v>
      </c>
      <c r="AL439" s="7" t="s">
        <v>10685</v>
      </c>
      <c r="AM439" s="7" t="s">
        <v>10685</v>
      </c>
      <c r="AN439" s="7" t="s">
        <v>10686</v>
      </c>
      <c r="AO439" s="3"/>
      <c r="AR439" s="7" t="s">
        <v>10687</v>
      </c>
      <c r="AS439" s="7" t="s">
        <v>10688</v>
      </c>
      <c r="AT439" s="3"/>
    </row>
    <row r="440" spans="1:47" ht="12.5" x14ac:dyDescent="0.25">
      <c r="A440" s="3" t="s">
        <v>46</v>
      </c>
      <c r="B440" s="21" t="str">
        <f>HYPERLINK("https://gerandofalcoes.my.salesforce.com/0014P00003YSp9g", "0014P00003YSp9g")</f>
        <v>0014P00003YSp9g</v>
      </c>
      <c r="C440" s="21" t="str">
        <f>HYPERLINK("https://gerandofalcoes.my.salesforce.com/0014P00003YSp9gQAD", "0014P00003YSp9gQAD")</f>
        <v>0014P00003YSp9gQAD</v>
      </c>
      <c r="D440" s="3" t="s">
        <v>10689</v>
      </c>
      <c r="E440" s="3"/>
      <c r="F440" s="3">
        <v>27069842000156</v>
      </c>
      <c r="G440" s="8">
        <v>44551</v>
      </c>
      <c r="H440" s="3">
        <v>245</v>
      </c>
      <c r="I440" s="3" t="s">
        <v>10690</v>
      </c>
      <c r="J440" s="3" t="s">
        <v>10691</v>
      </c>
      <c r="K440" s="3">
        <v>48996361139</v>
      </c>
      <c r="L440" s="3" t="s">
        <v>557</v>
      </c>
      <c r="M440" s="3" t="s">
        <v>10692</v>
      </c>
      <c r="N440" s="3" t="s">
        <v>10693</v>
      </c>
      <c r="O440" s="3">
        <v>118</v>
      </c>
      <c r="P440" s="3" t="s">
        <v>10694</v>
      </c>
      <c r="Q440" s="3" t="s">
        <v>10695</v>
      </c>
      <c r="R440" s="3">
        <v>88025030</v>
      </c>
      <c r="T440" s="3"/>
      <c r="U440" s="3"/>
      <c r="V440" s="3"/>
      <c r="W440" s="3">
        <v>2</v>
      </c>
      <c r="X440" s="3" t="s">
        <v>10696</v>
      </c>
      <c r="Y440" s="3"/>
      <c r="AA440" s="3">
        <v>500</v>
      </c>
      <c r="AB440" s="6">
        <v>41734</v>
      </c>
      <c r="AC440" s="3" t="s">
        <v>62</v>
      </c>
      <c r="AD440" s="3">
        <v>5</v>
      </c>
      <c r="AE440" s="3">
        <v>5</v>
      </c>
      <c r="AF440" s="3">
        <v>2</v>
      </c>
      <c r="AG440" s="3"/>
      <c r="AH440" s="23"/>
      <c r="AI440" s="3">
        <v>2000</v>
      </c>
      <c r="AL440" s="3"/>
      <c r="AM440" s="7" t="s">
        <v>10697</v>
      </c>
      <c r="AN440" s="7" t="s">
        <v>10698</v>
      </c>
      <c r="AO440" s="3"/>
      <c r="AR440" s="7" t="s">
        <v>10699</v>
      </c>
      <c r="AS440" s="7" t="s">
        <v>10700</v>
      </c>
      <c r="AT440" s="7" t="s">
        <v>10701</v>
      </c>
    </row>
    <row r="441" spans="1:47" ht="12.5" x14ac:dyDescent="0.25">
      <c r="A441" s="3" t="s">
        <v>46</v>
      </c>
      <c r="B441" s="21" t="str">
        <f>HYPERLINK("https://gerandofalcoes.my.salesforce.com/0014P00003YSp9h", "0014P00003YSp9h")</f>
        <v>0014P00003YSp9h</v>
      </c>
      <c r="C441" s="21" t="str">
        <f>HYPERLINK("https://gerandofalcoes.my.salesforce.com/0014P00003YSp9hQAD", "0014P00003YSp9hQAD")</f>
        <v>0014P00003YSp9hQAD</v>
      </c>
      <c r="D441" s="3" t="s">
        <v>10702</v>
      </c>
      <c r="E441" s="3"/>
      <c r="F441" s="3"/>
      <c r="G441" s="8">
        <v>44551</v>
      </c>
      <c r="H441" s="3">
        <v>245</v>
      </c>
      <c r="I441" s="3" t="s">
        <v>10703</v>
      </c>
      <c r="J441" s="3" t="s">
        <v>10704</v>
      </c>
      <c r="K441" s="3" t="s">
        <v>10705</v>
      </c>
      <c r="L441" s="3" t="s">
        <v>101</v>
      </c>
      <c r="M441" s="3" t="s">
        <v>10706</v>
      </c>
      <c r="N441" s="3" t="s">
        <v>10707</v>
      </c>
      <c r="O441" s="3">
        <v>388</v>
      </c>
      <c r="P441" s="3" t="s">
        <v>10708</v>
      </c>
      <c r="Q441" s="3" t="s">
        <v>1539</v>
      </c>
      <c r="R441" s="3" t="s">
        <v>10709</v>
      </c>
      <c r="T441" s="3" t="s">
        <v>10710</v>
      </c>
      <c r="U441" s="3" t="s">
        <v>8868</v>
      </c>
      <c r="V441" s="3" t="s">
        <v>9468</v>
      </c>
      <c r="W441" s="3">
        <v>1</v>
      </c>
      <c r="X441" s="3">
        <v>1</v>
      </c>
      <c r="Y441" s="3" t="s">
        <v>10711</v>
      </c>
      <c r="AA441" s="3">
        <v>140</v>
      </c>
      <c r="AB441" s="8">
        <v>41983</v>
      </c>
      <c r="AC441" s="3" t="s">
        <v>120</v>
      </c>
      <c r="AD441" s="3">
        <v>15</v>
      </c>
      <c r="AE441" s="3">
        <v>50</v>
      </c>
      <c r="AF441" s="3">
        <v>2</v>
      </c>
      <c r="AG441" s="3" t="s">
        <v>9738</v>
      </c>
      <c r="AH441" s="3" t="s">
        <v>562</v>
      </c>
      <c r="AI441" s="3">
        <v>11874</v>
      </c>
      <c r="AL441" s="3"/>
      <c r="AM441" s="7" t="s">
        <v>10712</v>
      </c>
      <c r="AN441" s="3"/>
      <c r="AO441" s="3"/>
      <c r="AR441" s="3"/>
      <c r="AS441" s="3"/>
      <c r="AT441" s="3"/>
    </row>
    <row r="442" spans="1:47" ht="12.5" x14ac:dyDescent="0.25">
      <c r="A442" s="3" t="s">
        <v>46</v>
      </c>
      <c r="B442" s="21" t="str">
        <f>HYPERLINK("https://gerandofalcoes.my.salesforce.com/0014P00003YSp9i", "0014P00003YSp9i")</f>
        <v>0014P00003YSp9i</v>
      </c>
      <c r="C442" s="21" t="str">
        <f>HYPERLINK("https://gerandofalcoes.my.salesforce.com/0014P00003YSp9iQAD", "0014P00003YSp9iQAD")</f>
        <v>0014P00003YSp9iQAD</v>
      </c>
      <c r="D442" s="3" t="s">
        <v>10713</v>
      </c>
      <c r="E442" s="3"/>
      <c r="F442" s="3" t="s">
        <v>10714</v>
      </c>
      <c r="G442" s="8">
        <v>44551</v>
      </c>
      <c r="H442" s="3">
        <v>245</v>
      </c>
      <c r="I442" s="3" t="s">
        <v>10715</v>
      </c>
      <c r="J442" s="3" t="s">
        <v>10716</v>
      </c>
      <c r="K442" s="3" t="s">
        <v>10717</v>
      </c>
      <c r="L442" s="3" t="s">
        <v>310</v>
      </c>
      <c r="M442" s="3" t="s">
        <v>10718</v>
      </c>
      <c r="N442" s="3" t="s">
        <v>10719</v>
      </c>
      <c r="O442" s="3">
        <v>747</v>
      </c>
      <c r="P442" s="3" t="s">
        <v>338</v>
      </c>
      <c r="Q442" s="3"/>
      <c r="R442" s="3" t="s">
        <v>10720</v>
      </c>
      <c r="T442" s="3" t="s">
        <v>10721</v>
      </c>
      <c r="U442" s="3" t="s">
        <v>8868</v>
      </c>
      <c r="V442" s="3" t="s">
        <v>3890</v>
      </c>
      <c r="W442" s="3">
        <v>4</v>
      </c>
      <c r="X442" s="3">
        <v>4</v>
      </c>
      <c r="Y442" s="3" t="s">
        <v>10722</v>
      </c>
      <c r="AA442" s="3">
        <v>10000</v>
      </c>
      <c r="AB442" s="6">
        <v>41583</v>
      </c>
      <c r="AC442" s="3" t="s">
        <v>62</v>
      </c>
      <c r="AD442" s="3">
        <v>0</v>
      </c>
      <c r="AE442" s="3">
        <v>24</v>
      </c>
      <c r="AF442" s="3">
        <v>2</v>
      </c>
      <c r="AG442" s="3" t="s">
        <v>10723</v>
      </c>
      <c r="AH442" s="3" t="s">
        <v>1052</v>
      </c>
      <c r="AI442" s="3">
        <v>15155</v>
      </c>
      <c r="AL442" s="7" t="s">
        <v>10724</v>
      </c>
      <c r="AM442" s="7" t="s">
        <v>10725</v>
      </c>
      <c r="AN442" s="7" t="s">
        <v>10726</v>
      </c>
      <c r="AO442" s="7" t="s">
        <v>10727</v>
      </c>
      <c r="AR442" s="7" t="s">
        <v>10728</v>
      </c>
      <c r="AS442" s="7" t="s">
        <v>10729</v>
      </c>
      <c r="AT442" s="7" t="s">
        <v>10730</v>
      </c>
    </row>
    <row r="443" spans="1:47" ht="12.5" x14ac:dyDescent="0.25">
      <c r="A443" s="3" t="s">
        <v>46</v>
      </c>
      <c r="B443" s="21" t="str">
        <f>HYPERLINK("https://gerandofalcoes.my.salesforce.com/0014P00003YSp9j", "0014P00003YSp9j")</f>
        <v>0014P00003YSp9j</v>
      </c>
      <c r="C443" s="21" t="str">
        <f>HYPERLINK("https://gerandofalcoes.my.salesforce.com/0014P00003YSp9jQAD", "0014P00003YSp9jQAD")</f>
        <v>0014P00003YSp9jQAD</v>
      </c>
      <c r="D443" s="3" t="s">
        <v>10731</v>
      </c>
      <c r="E443" s="3"/>
      <c r="F443" s="3" t="s">
        <v>10732</v>
      </c>
      <c r="G443" s="8">
        <v>44551</v>
      </c>
      <c r="H443" s="3">
        <v>245</v>
      </c>
      <c r="I443" s="3" t="s">
        <v>10733</v>
      </c>
      <c r="J443" s="3" t="s">
        <v>10734</v>
      </c>
      <c r="K443" s="3" t="s">
        <v>10735</v>
      </c>
      <c r="L443" s="3" t="s">
        <v>101</v>
      </c>
      <c r="M443" s="3" t="s">
        <v>10736</v>
      </c>
      <c r="N443" s="3" t="s">
        <v>10737</v>
      </c>
      <c r="O443" s="3">
        <v>563</v>
      </c>
      <c r="P443" s="3" t="s">
        <v>10738</v>
      </c>
      <c r="R443" s="3" t="s">
        <v>10739</v>
      </c>
      <c r="T443" s="3" t="s">
        <v>10740</v>
      </c>
      <c r="U443" s="3" t="s">
        <v>8927</v>
      </c>
      <c r="V443" s="3" t="s">
        <v>9468</v>
      </c>
      <c r="W443" s="3">
        <v>6</v>
      </c>
      <c r="X443" s="3">
        <v>6</v>
      </c>
      <c r="Y443" s="3"/>
      <c r="AA443" s="3">
        <v>400</v>
      </c>
      <c r="AB443" s="6">
        <v>40317</v>
      </c>
      <c r="AC443" s="3" t="s">
        <v>62</v>
      </c>
      <c r="AD443" s="3">
        <v>1</v>
      </c>
      <c r="AE443" s="3">
        <v>2</v>
      </c>
      <c r="AF443" s="3">
        <v>2</v>
      </c>
      <c r="AG443" s="3" t="s">
        <v>9587</v>
      </c>
      <c r="AH443" s="3" t="s">
        <v>10741</v>
      </c>
      <c r="AI443" s="3">
        <v>15000</v>
      </c>
      <c r="AL443" s="7" t="s">
        <v>10742</v>
      </c>
      <c r="AM443" s="3"/>
      <c r="AN443" s="3"/>
      <c r="AO443" s="3"/>
      <c r="AR443" s="3"/>
      <c r="AS443" s="7" t="s">
        <v>10743</v>
      </c>
      <c r="AT443" s="3"/>
    </row>
    <row r="444" spans="1:47" ht="12.5" x14ac:dyDescent="0.25">
      <c r="A444" s="3" t="s">
        <v>46</v>
      </c>
      <c r="B444" s="21" t="str">
        <f>HYPERLINK("https://gerandofalcoes.my.salesforce.com/0014P00003YSp9k", "0014P00003YSp9k")</f>
        <v>0014P00003YSp9k</v>
      </c>
      <c r="C444" s="21" t="str">
        <f>HYPERLINK("https://gerandofalcoes.my.salesforce.com/0014P00003YSp9kQAD", "0014P00003YSp9kQAD")</f>
        <v>0014P00003YSp9kQAD</v>
      </c>
      <c r="D444" s="3" t="s">
        <v>10744</v>
      </c>
      <c r="E444" s="3" t="s">
        <v>10745</v>
      </c>
      <c r="F444" s="3" t="s">
        <v>10746</v>
      </c>
      <c r="G444" s="8">
        <v>44551</v>
      </c>
      <c r="H444" s="3">
        <v>245</v>
      </c>
      <c r="I444" s="3" t="s">
        <v>10747</v>
      </c>
      <c r="J444" s="3" t="s">
        <v>10748</v>
      </c>
      <c r="K444" s="3" t="s">
        <v>10749</v>
      </c>
      <c r="L444" s="3" t="s">
        <v>101</v>
      </c>
      <c r="M444" s="3" t="s">
        <v>10750</v>
      </c>
      <c r="N444" s="3" t="s">
        <v>10751</v>
      </c>
      <c r="O444" s="3">
        <v>296</v>
      </c>
      <c r="P444" s="3" t="s">
        <v>128</v>
      </c>
      <c r="Q444" s="3"/>
      <c r="R444" s="3" t="s">
        <v>10752</v>
      </c>
      <c r="T444" s="3" t="s">
        <v>10753</v>
      </c>
      <c r="U444" s="3" t="s">
        <v>9807</v>
      </c>
      <c r="V444" s="3" t="s">
        <v>10754</v>
      </c>
      <c r="W444" s="3">
        <v>20</v>
      </c>
      <c r="X444" s="3">
        <v>20</v>
      </c>
      <c r="Y444" s="3" t="s">
        <v>10755</v>
      </c>
      <c r="AA444" s="3">
        <v>500</v>
      </c>
      <c r="AB444" s="6">
        <v>26077</v>
      </c>
      <c r="AC444" s="3" t="s">
        <v>62</v>
      </c>
      <c r="AD444" s="3">
        <v>8</v>
      </c>
      <c r="AE444" s="3">
        <v>4</v>
      </c>
      <c r="AF444" s="3">
        <v>3</v>
      </c>
      <c r="AG444" s="3" t="s">
        <v>10756</v>
      </c>
      <c r="AH444" s="3" t="s">
        <v>10757</v>
      </c>
      <c r="AI444" s="3">
        <v>160000</v>
      </c>
      <c r="AL444" s="7" t="s">
        <v>10758</v>
      </c>
      <c r="AM444" s="7" t="s">
        <v>10759</v>
      </c>
      <c r="AN444" s="7" t="s">
        <v>10760</v>
      </c>
      <c r="AO444" s="7" t="s">
        <v>10761</v>
      </c>
      <c r="AR444" s="7" t="s">
        <v>10762</v>
      </c>
      <c r="AS444" s="7" t="s">
        <v>10763</v>
      </c>
      <c r="AT444" s="3"/>
    </row>
    <row r="445" spans="1:47" ht="12.5" x14ac:dyDescent="0.25">
      <c r="A445" s="3" t="s">
        <v>46</v>
      </c>
      <c r="B445" s="21" t="str">
        <f>HYPERLINK("https://gerandofalcoes.my.salesforce.com/0014P00003YSp9l", "0014P00003YSp9l")</f>
        <v>0014P00003YSp9l</v>
      </c>
      <c r="C445" s="21" t="str">
        <f>HYPERLINK("https://gerandofalcoes.my.salesforce.com/0014P00003YSp9lQAD", "0014P00003YSp9lQAD")</f>
        <v>0014P00003YSp9lQAD</v>
      </c>
      <c r="D445" s="3" t="s">
        <v>10764</v>
      </c>
      <c r="E445" s="3"/>
      <c r="F445" s="3"/>
      <c r="G445" s="8">
        <v>44551</v>
      </c>
      <c r="H445" s="3">
        <v>245</v>
      </c>
      <c r="I445" s="3" t="s">
        <v>10765</v>
      </c>
      <c r="J445" s="3" t="s">
        <v>10766</v>
      </c>
      <c r="K445" s="3" t="s">
        <v>10767</v>
      </c>
      <c r="L445" s="3" t="s">
        <v>101</v>
      </c>
      <c r="M445" s="3" t="s">
        <v>10768</v>
      </c>
      <c r="N445" s="3" t="s">
        <v>10769</v>
      </c>
      <c r="O445" s="3">
        <v>96</v>
      </c>
      <c r="P445" s="3" t="s">
        <v>128</v>
      </c>
      <c r="Q445" s="3"/>
      <c r="R445" s="3" t="s">
        <v>10770</v>
      </c>
      <c r="T445" s="3" t="s">
        <v>10771</v>
      </c>
      <c r="U445" s="3" t="s">
        <v>10102</v>
      </c>
      <c r="V445" s="3" t="s">
        <v>3832</v>
      </c>
      <c r="W445" s="3">
        <v>9</v>
      </c>
      <c r="X445" s="3">
        <v>9</v>
      </c>
      <c r="Y445" s="3" t="s">
        <v>10772</v>
      </c>
      <c r="AA445" s="3">
        <v>250</v>
      </c>
      <c r="AB445" s="6">
        <v>44563</v>
      </c>
      <c r="AC445" s="3" t="s">
        <v>120</v>
      </c>
      <c r="AD445" s="3">
        <v>8</v>
      </c>
      <c r="AE445" s="3">
        <v>9</v>
      </c>
      <c r="AF445" s="3">
        <v>2</v>
      </c>
      <c r="AG445" s="3" t="s">
        <v>3859</v>
      </c>
      <c r="AH445" s="23">
        <v>100</v>
      </c>
      <c r="AI445" s="3">
        <v>12000</v>
      </c>
      <c r="AL445" s="7" t="s">
        <v>10773</v>
      </c>
      <c r="AM445" s="7" t="s">
        <v>10774</v>
      </c>
      <c r="AN445" s="3"/>
      <c r="AO445" s="3"/>
      <c r="AR445" s="7" t="s">
        <v>10775</v>
      </c>
      <c r="AS445" s="3"/>
      <c r="AT445" s="3"/>
    </row>
    <row r="446" spans="1:47" ht="12.5" x14ac:dyDescent="0.25">
      <c r="A446" s="3" t="s">
        <v>152</v>
      </c>
      <c r="B446" s="21" t="str">
        <f>HYPERLINK("https://gerandofalcoes.my.salesforce.com/0014P00003YSp9m", "0014P00003YSp9m")</f>
        <v>0014P00003YSp9m</v>
      </c>
      <c r="C446" s="21" t="str">
        <f>HYPERLINK("https://gerandofalcoes.my.salesforce.com/0014P00003YSp9mQAD", "0014P00003YSp9mQAD")</f>
        <v>0014P00003YSp9mQAD</v>
      </c>
      <c r="D446" s="3" t="s">
        <v>10776</v>
      </c>
      <c r="E446" s="3" t="s">
        <v>10777</v>
      </c>
      <c r="F446" s="3" t="s">
        <v>10778</v>
      </c>
      <c r="G446" s="8">
        <v>44551</v>
      </c>
      <c r="H446" s="3">
        <v>245</v>
      </c>
      <c r="I446" s="3" t="s">
        <v>10779</v>
      </c>
      <c r="J446" s="3" t="s">
        <v>10780</v>
      </c>
      <c r="K446" s="3" t="s">
        <v>10781</v>
      </c>
      <c r="L446" s="3" t="s">
        <v>6781</v>
      </c>
      <c r="M446" s="3" t="s">
        <v>10782</v>
      </c>
      <c r="N446" s="3" t="s">
        <v>10783</v>
      </c>
      <c r="O446" s="3">
        <v>449</v>
      </c>
      <c r="P446" s="3" t="s">
        <v>7583</v>
      </c>
      <c r="Q446" s="3"/>
      <c r="R446" s="3" t="s">
        <v>10784</v>
      </c>
      <c r="T446" s="3" t="s">
        <v>8290</v>
      </c>
      <c r="U446" s="3" t="s">
        <v>3799</v>
      </c>
      <c r="V446" s="3" t="s">
        <v>10785</v>
      </c>
      <c r="W446" s="3">
        <v>14</v>
      </c>
      <c r="X446" s="3">
        <v>14</v>
      </c>
      <c r="Y446" s="3"/>
      <c r="AA446" s="3">
        <v>1980</v>
      </c>
      <c r="AB446" s="6">
        <v>40042</v>
      </c>
      <c r="AC446" s="3" t="s">
        <v>62</v>
      </c>
      <c r="AD446" s="3">
        <v>15</v>
      </c>
      <c r="AE446" s="3">
        <v>13</v>
      </c>
      <c r="AF446" s="3">
        <v>6</v>
      </c>
      <c r="AG446" s="3" t="s">
        <v>10786</v>
      </c>
      <c r="AH446" s="3" t="s">
        <v>10787</v>
      </c>
      <c r="AI446" s="3">
        <v>1000000</v>
      </c>
      <c r="AL446" s="7" t="s">
        <v>10788</v>
      </c>
      <c r="AM446" s="7" t="s">
        <v>10789</v>
      </c>
      <c r="AN446" s="7" t="s">
        <v>10790</v>
      </c>
      <c r="AO446" s="7" t="s">
        <v>10791</v>
      </c>
      <c r="AR446" s="7" t="s">
        <v>10792</v>
      </c>
      <c r="AS446" s="7" t="s">
        <v>10793</v>
      </c>
      <c r="AT446" s="7" t="s">
        <v>10794</v>
      </c>
    </row>
    <row r="447" spans="1:47" ht="12.5" x14ac:dyDescent="0.25">
      <c r="A447" s="3" t="s">
        <v>46</v>
      </c>
      <c r="B447" s="21" t="str">
        <f>HYPERLINK("https://gerandofalcoes.my.salesforce.com/0014P00003YSp9q", "0014P00003YSp9q")</f>
        <v>0014P00003YSp9q</v>
      </c>
      <c r="C447" s="21" t="str">
        <f>HYPERLINK("https://gerandofalcoes.my.salesforce.com/0014P00003YSp9qQAD", "0014P00003YSp9qQAD")</f>
        <v>0014P00003YSp9qQAD</v>
      </c>
      <c r="D447" s="3" t="s">
        <v>10795</v>
      </c>
      <c r="E447" s="3"/>
      <c r="F447" s="3"/>
      <c r="G447" s="8">
        <v>44551</v>
      </c>
      <c r="H447" s="3">
        <v>245</v>
      </c>
      <c r="I447" s="3" t="s">
        <v>10796</v>
      </c>
      <c r="J447" s="3" t="s">
        <v>10797</v>
      </c>
      <c r="K447" s="3" t="s">
        <v>10798</v>
      </c>
      <c r="L447" s="3" t="s">
        <v>101</v>
      </c>
      <c r="M447" s="3" t="s">
        <v>10799</v>
      </c>
      <c r="N447" s="3" t="s">
        <v>10800</v>
      </c>
      <c r="O447" s="3">
        <v>365</v>
      </c>
      <c r="P447" s="3" t="s">
        <v>10801</v>
      </c>
      <c r="Q447" s="3"/>
      <c r="R447" s="3" t="s">
        <v>10802</v>
      </c>
      <c r="T447" s="3" t="s">
        <v>10803</v>
      </c>
      <c r="U447" s="3" t="s">
        <v>9005</v>
      </c>
      <c r="V447" s="3" t="s">
        <v>10804</v>
      </c>
      <c r="W447" s="3">
        <v>4</v>
      </c>
      <c r="X447" s="3">
        <v>4</v>
      </c>
      <c r="Y447" s="3" t="s">
        <v>10805</v>
      </c>
      <c r="AA447" s="3">
        <v>300</v>
      </c>
      <c r="AB447" s="6">
        <v>43500</v>
      </c>
      <c r="AC447" s="3" t="s">
        <v>120</v>
      </c>
      <c r="AD447" s="3">
        <v>0</v>
      </c>
      <c r="AE447" s="3">
        <v>15</v>
      </c>
      <c r="AF447" s="3">
        <v>4</v>
      </c>
      <c r="AG447" s="3" t="s">
        <v>9797</v>
      </c>
      <c r="AH447" s="3" t="s">
        <v>10806</v>
      </c>
      <c r="AI447" s="3">
        <v>3000</v>
      </c>
      <c r="AJ447" s="3"/>
      <c r="AK447" s="3"/>
      <c r="AL447" s="3"/>
      <c r="AM447" s="7" t="s">
        <v>10807</v>
      </c>
      <c r="AN447" s="3"/>
      <c r="AO447" s="3"/>
      <c r="AR447" s="3"/>
      <c r="AS447" s="3"/>
      <c r="AT447" s="3"/>
    </row>
    <row r="448" spans="1:47" ht="12.5" x14ac:dyDescent="0.25">
      <c r="A448" s="3" t="s">
        <v>46</v>
      </c>
      <c r="B448" s="21" t="str">
        <f>HYPERLINK("https://gerandofalcoes.my.salesforce.com/0014P00003YSp9r", "0014P00003YSp9r")</f>
        <v>0014P00003YSp9r</v>
      </c>
      <c r="C448" s="21" t="str">
        <f>HYPERLINK("https://gerandofalcoes.my.salesforce.com/0014P00003YSp9rQAD", "0014P00003YSp9rQAD")</f>
        <v>0014P00003YSp9rQAD</v>
      </c>
      <c r="D448" s="3" t="s">
        <v>10808</v>
      </c>
      <c r="F448" s="3" t="s">
        <v>10809</v>
      </c>
      <c r="G448" s="8">
        <v>44551</v>
      </c>
      <c r="H448" s="3">
        <v>245</v>
      </c>
      <c r="I448" s="3" t="s">
        <v>10810</v>
      </c>
      <c r="J448" s="3" t="s">
        <v>10811</v>
      </c>
      <c r="K448" s="3" t="s">
        <v>10812</v>
      </c>
      <c r="L448" s="3" t="s">
        <v>101</v>
      </c>
      <c r="M448" s="3" t="s">
        <v>10813</v>
      </c>
      <c r="N448" s="3" t="s">
        <v>10814</v>
      </c>
      <c r="O448" s="3">
        <v>236</v>
      </c>
      <c r="P448" s="3" t="s">
        <v>10815</v>
      </c>
      <c r="Q448" s="3"/>
      <c r="R448" s="3" t="s">
        <v>10816</v>
      </c>
      <c r="T448" s="3" t="s">
        <v>8290</v>
      </c>
      <c r="U448" s="3" t="s">
        <v>8895</v>
      </c>
      <c r="V448" s="3" t="s">
        <v>3800</v>
      </c>
      <c r="W448" s="3">
        <v>17</v>
      </c>
      <c r="X448" s="3">
        <v>17</v>
      </c>
      <c r="Y448" s="3" t="s">
        <v>10817</v>
      </c>
      <c r="AA448" s="3">
        <v>500</v>
      </c>
      <c r="AB448" s="6">
        <v>39943</v>
      </c>
      <c r="AC448" s="3" t="s">
        <v>62</v>
      </c>
      <c r="AD448" s="3">
        <v>7</v>
      </c>
      <c r="AE448" s="3">
        <v>3</v>
      </c>
      <c r="AF448" s="3">
        <v>3</v>
      </c>
      <c r="AG448" s="3" t="s">
        <v>10818</v>
      </c>
      <c r="AH448" s="3" t="s">
        <v>10819</v>
      </c>
      <c r="AI448" s="3">
        <v>0</v>
      </c>
      <c r="AL448" s="7" t="s">
        <v>10820</v>
      </c>
      <c r="AM448" s="7" t="s">
        <v>10821</v>
      </c>
      <c r="AN448" s="7" t="s">
        <v>10822</v>
      </c>
      <c r="AO448" s="7" t="s">
        <v>10823</v>
      </c>
      <c r="AR448" s="7" t="s">
        <v>10824</v>
      </c>
      <c r="AS448" s="7" t="s">
        <v>10825</v>
      </c>
      <c r="AT448" s="7" t="s">
        <v>10826</v>
      </c>
    </row>
    <row r="449" spans="1:46" ht="12.5" x14ac:dyDescent="0.25">
      <c r="A449" s="3" t="s">
        <v>46</v>
      </c>
      <c r="B449" s="21" t="str">
        <f>HYPERLINK("https://gerandofalcoes.my.salesforce.com/0014P00003YSp9v", "0014P00003YSp9v")</f>
        <v>0014P00003YSp9v</v>
      </c>
      <c r="C449" s="21" t="str">
        <f>HYPERLINK("https://gerandofalcoes.my.salesforce.com/0014P00003YSp9vQAD", "0014P00003YSp9vQAD")</f>
        <v>0014P00003YSp9vQAD</v>
      </c>
      <c r="D449" s="3" t="s">
        <v>10827</v>
      </c>
      <c r="F449" s="3"/>
      <c r="G449" s="8">
        <v>44551</v>
      </c>
      <c r="H449" s="3">
        <v>245</v>
      </c>
      <c r="I449" s="3" t="s">
        <v>10828</v>
      </c>
      <c r="J449" s="3" t="s">
        <v>10829</v>
      </c>
      <c r="K449" s="3" t="s">
        <v>10830</v>
      </c>
      <c r="L449" s="3" t="s">
        <v>101</v>
      </c>
      <c r="M449" s="3" t="s">
        <v>10831</v>
      </c>
      <c r="N449" s="3" t="s">
        <v>10832</v>
      </c>
      <c r="O449" s="3">
        <v>5</v>
      </c>
      <c r="P449" s="3" t="s">
        <v>128</v>
      </c>
      <c r="Q449" s="3"/>
      <c r="R449" s="3" t="s">
        <v>10833</v>
      </c>
      <c r="T449" s="3" t="s">
        <v>10834</v>
      </c>
      <c r="U449" s="3" t="s">
        <v>8852</v>
      </c>
      <c r="V449" s="3" t="s">
        <v>10835</v>
      </c>
      <c r="W449" s="3">
        <v>11</v>
      </c>
      <c r="X449" s="3">
        <v>11</v>
      </c>
      <c r="Y449" s="3"/>
      <c r="AA449" s="3">
        <v>3500</v>
      </c>
      <c r="AB449" s="6">
        <v>44743</v>
      </c>
      <c r="AC449" s="3" t="s">
        <v>120</v>
      </c>
      <c r="AD449" s="3">
        <v>0</v>
      </c>
      <c r="AE449" s="3">
        <v>13</v>
      </c>
      <c r="AF449" s="3">
        <v>2</v>
      </c>
      <c r="AG449" s="3" t="s">
        <v>9198</v>
      </c>
      <c r="AH449" s="3">
        <v>0</v>
      </c>
      <c r="AI449" s="3">
        <v>11000</v>
      </c>
      <c r="AL449" s="3"/>
      <c r="AM449" s="3" t="s">
        <v>10836</v>
      </c>
      <c r="AN449" s="7" t="s">
        <v>10837</v>
      </c>
      <c r="AO449" s="3"/>
      <c r="AR449" s="3"/>
      <c r="AS449" s="3"/>
      <c r="AT449" s="3"/>
    </row>
    <row r="450" spans="1:46" ht="12.5" x14ac:dyDescent="0.25">
      <c r="A450" s="3" t="s">
        <v>46</v>
      </c>
      <c r="B450" s="21" t="str">
        <f>HYPERLINK("https://gerandofalcoes.my.salesforce.com/0014P00003YSp9w", "0014P00003YSp9w")</f>
        <v>0014P00003YSp9w</v>
      </c>
      <c r="C450" s="21" t="str">
        <f>HYPERLINK("https://gerandofalcoes.my.salesforce.com/0014P00003YSp9wQAD", "0014P00003YSp9wQAD")</f>
        <v>0014P00003YSp9wQAD</v>
      </c>
      <c r="D450" s="3" t="s">
        <v>10838</v>
      </c>
      <c r="E450" s="3"/>
      <c r="F450" s="3" t="s">
        <v>10839</v>
      </c>
      <c r="G450" s="8">
        <v>44551</v>
      </c>
      <c r="H450" s="3">
        <v>245</v>
      </c>
      <c r="I450" s="3" t="s">
        <v>10840</v>
      </c>
      <c r="J450" s="3" t="s">
        <v>10841</v>
      </c>
      <c r="K450" s="3" t="s">
        <v>10842</v>
      </c>
      <c r="L450" s="3" t="s">
        <v>101</v>
      </c>
      <c r="M450" s="3" t="s">
        <v>10843</v>
      </c>
      <c r="N450" s="3" t="s">
        <v>10844</v>
      </c>
      <c r="O450" s="3">
        <v>97</v>
      </c>
      <c r="P450" s="3" t="s">
        <v>10845</v>
      </c>
      <c r="Q450" s="3"/>
      <c r="R450" s="3" t="s">
        <v>10846</v>
      </c>
      <c r="T450" s="3" t="s">
        <v>10847</v>
      </c>
      <c r="U450" s="3" t="s">
        <v>10848</v>
      </c>
      <c r="V450" s="3" t="s">
        <v>10849</v>
      </c>
      <c r="W450" s="3">
        <v>4</v>
      </c>
      <c r="X450" s="3">
        <v>4</v>
      </c>
      <c r="Y450" s="3"/>
      <c r="AA450" s="3">
        <v>30</v>
      </c>
      <c r="AB450" s="6">
        <v>37029</v>
      </c>
      <c r="AC450" s="3" t="s">
        <v>62</v>
      </c>
      <c r="AD450" s="3">
        <v>6</v>
      </c>
      <c r="AE450" s="3">
        <v>5</v>
      </c>
      <c r="AF450" s="3">
        <v>2</v>
      </c>
      <c r="AG450" s="3" t="s">
        <v>3785</v>
      </c>
      <c r="AH450" s="3">
        <v>0</v>
      </c>
      <c r="AI450" s="3">
        <v>15000</v>
      </c>
      <c r="AL450" s="3" t="s">
        <v>10850</v>
      </c>
      <c r="AM450" s="3" t="s">
        <v>10851</v>
      </c>
      <c r="AN450" s="7" t="s">
        <v>10852</v>
      </c>
      <c r="AO450" s="3" t="s">
        <v>10853</v>
      </c>
      <c r="AR450" s="7" t="s">
        <v>10854</v>
      </c>
      <c r="AS450" s="7" t="s">
        <v>10855</v>
      </c>
      <c r="AT450" s="7" t="s">
        <v>10856</v>
      </c>
    </row>
    <row r="451" spans="1:46" ht="12.5" x14ac:dyDescent="0.25">
      <c r="A451" s="3" t="s">
        <v>46</v>
      </c>
      <c r="B451" s="21" t="str">
        <f>HYPERLINK("https://gerandofalcoes.my.salesforce.com/0014P00003YSp9x", "0014P00003YSp9x")</f>
        <v>0014P00003YSp9x</v>
      </c>
      <c r="C451" s="21" t="str">
        <f>HYPERLINK("https://gerandofalcoes.my.salesforce.com/0014P00003YSp9xQAD", "0014P00003YSp9xQAD")</f>
        <v>0014P00003YSp9xQAD</v>
      </c>
      <c r="D451" s="3" t="s">
        <v>10857</v>
      </c>
      <c r="F451" s="3" t="s">
        <v>10858</v>
      </c>
      <c r="G451" s="8">
        <v>44551</v>
      </c>
      <c r="H451" s="3">
        <v>245</v>
      </c>
      <c r="I451" s="3" t="s">
        <v>10859</v>
      </c>
      <c r="J451" s="3"/>
      <c r="K451" s="3" t="s">
        <v>10860</v>
      </c>
      <c r="L451" s="3" t="s">
        <v>101</v>
      </c>
      <c r="M451" s="3" t="s">
        <v>10861</v>
      </c>
      <c r="N451" s="3" t="s">
        <v>10862</v>
      </c>
      <c r="O451" s="3">
        <v>34</v>
      </c>
      <c r="P451" s="3" t="s">
        <v>7008</v>
      </c>
      <c r="Q451" s="3"/>
      <c r="R451" s="3" t="s">
        <v>10863</v>
      </c>
      <c r="T451" s="3" t="s">
        <v>10864</v>
      </c>
      <c r="U451" s="3" t="s">
        <v>3783</v>
      </c>
      <c r="V451" s="3" t="s">
        <v>10865</v>
      </c>
      <c r="W451" s="3">
        <v>3</v>
      </c>
      <c r="X451" s="3">
        <v>3</v>
      </c>
      <c r="Y451" s="3"/>
      <c r="AA451" s="3">
        <v>718</v>
      </c>
      <c r="AB451" s="6">
        <v>34793</v>
      </c>
      <c r="AC451" s="3" t="s">
        <v>120</v>
      </c>
      <c r="AD451" s="3">
        <v>0</v>
      </c>
      <c r="AE451" s="3">
        <v>120</v>
      </c>
      <c r="AF451" s="3">
        <v>2</v>
      </c>
      <c r="AG451" s="3" t="s">
        <v>9198</v>
      </c>
      <c r="AH451" s="3">
        <v>0</v>
      </c>
      <c r="AI451" s="3">
        <v>120000</v>
      </c>
      <c r="AL451" s="3"/>
      <c r="AM451" s="7" t="s">
        <v>10866</v>
      </c>
      <c r="AN451" s="3"/>
      <c r="AO451" s="3"/>
      <c r="AR451" s="3"/>
      <c r="AS451" s="3"/>
      <c r="AT451" s="3"/>
    </row>
    <row r="452" spans="1:46" ht="12.5" x14ac:dyDescent="0.25">
      <c r="A452" s="3" t="s">
        <v>46</v>
      </c>
      <c r="B452" s="21" t="str">
        <f>HYPERLINK("https://gerandofalcoes.my.salesforce.com/0014P00003YSp9y", "0014P00003YSp9y")</f>
        <v>0014P00003YSp9y</v>
      </c>
      <c r="C452" s="21" t="str">
        <f>HYPERLINK("https://gerandofalcoes.my.salesforce.com/0014P00003YSp9yQAD", "0014P00003YSp9yQAD")</f>
        <v>0014P00003YSp9yQAD</v>
      </c>
      <c r="D452" s="3" t="s">
        <v>10867</v>
      </c>
      <c r="F452" s="3" t="s">
        <v>10868</v>
      </c>
      <c r="G452" s="8">
        <v>44551</v>
      </c>
      <c r="H452" s="3">
        <v>245</v>
      </c>
      <c r="I452" s="3" t="s">
        <v>10869</v>
      </c>
      <c r="J452" s="3" t="s">
        <v>10870</v>
      </c>
      <c r="K452" s="3" t="s">
        <v>10871</v>
      </c>
      <c r="L452" s="3" t="s">
        <v>101</v>
      </c>
      <c r="M452" s="3" t="s">
        <v>10872</v>
      </c>
      <c r="N452" s="3" t="s">
        <v>10873</v>
      </c>
      <c r="O452" s="3">
        <v>126</v>
      </c>
      <c r="P452" s="3" t="s">
        <v>7083</v>
      </c>
      <c r="Q452" s="3" t="s">
        <v>10874</v>
      </c>
      <c r="R452" s="3" t="s">
        <v>7084</v>
      </c>
      <c r="T452" s="3" t="s">
        <v>3816</v>
      </c>
      <c r="U452" s="3" t="s">
        <v>9500</v>
      </c>
      <c r="V452" s="3" t="s">
        <v>3800</v>
      </c>
      <c r="W452" s="3">
        <v>5</v>
      </c>
      <c r="X452" s="3">
        <v>5</v>
      </c>
      <c r="Y452" s="3"/>
      <c r="AA452" s="3">
        <v>1000</v>
      </c>
      <c r="AB452" s="6">
        <v>38591</v>
      </c>
      <c r="AC452" s="3" t="s">
        <v>62</v>
      </c>
      <c r="AD452" s="3">
        <v>63</v>
      </c>
      <c r="AE452" s="3">
        <v>30</v>
      </c>
      <c r="AF452" s="3">
        <v>3</v>
      </c>
      <c r="AG452" s="3" t="s">
        <v>10875</v>
      </c>
      <c r="AH452" s="3" t="s">
        <v>10876</v>
      </c>
      <c r="AI452" s="3">
        <v>750106</v>
      </c>
      <c r="AL452" s="7" t="s">
        <v>10877</v>
      </c>
      <c r="AM452" s="7" t="s">
        <v>10878</v>
      </c>
      <c r="AN452" s="7" t="s">
        <v>10879</v>
      </c>
      <c r="AO452" s="7" t="s">
        <v>10878</v>
      </c>
      <c r="AR452" s="7" t="s">
        <v>10880</v>
      </c>
      <c r="AS452" s="7" t="s">
        <v>10881</v>
      </c>
      <c r="AT452" s="3"/>
    </row>
    <row r="453" spans="1:46" ht="12.5" x14ac:dyDescent="0.25">
      <c r="A453" s="3" t="s">
        <v>46</v>
      </c>
      <c r="B453" s="21" t="str">
        <f>HYPERLINK("https://gerandofalcoes.my.salesforce.com/0014P00003YSp9z", "0014P00003YSp9z")</f>
        <v>0014P00003YSp9z</v>
      </c>
      <c r="C453" s="21" t="str">
        <f>HYPERLINK("https://gerandofalcoes.my.salesforce.com/0014P00003YSp9zQAD", "0014P00003YSp9zQAD")</f>
        <v>0014P00003YSp9zQAD</v>
      </c>
      <c r="D453" s="3" t="s">
        <v>10882</v>
      </c>
      <c r="F453" s="3" t="s">
        <v>10883</v>
      </c>
      <c r="G453" s="8">
        <v>44551</v>
      </c>
      <c r="H453" s="3">
        <v>245</v>
      </c>
      <c r="I453" s="3" t="s">
        <v>10884</v>
      </c>
      <c r="J453" s="3" t="s">
        <v>10885</v>
      </c>
      <c r="K453" s="3" t="s">
        <v>10886</v>
      </c>
      <c r="L453" s="3" t="s">
        <v>379</v>
      </c>
      <c r="M453" s="3" t="s">
        <v>10887</v>
      </c>
      <c r="N453" s="3" t="s">
        <v>10888</v>
      </c>
      <c r="O453" s="3">
        <v>3</v>
      </c>
      <c r="P453" s="3" t="s">
        <v>381</v>
      </c>
      <c r="Q453" s="3"/>
      <c r="R453" s="3" t="s">
        <v>10889</v>
      </c>
      <c r="T453" s="3" t="s">
        <v>10890</v>
      </c>
      <c r="U453" s="3" t="s">
        <v>3817</v>
      </c>
      <c r="V453" s="3" t="s">
        <v>10891</v>
      </c>
      <c r="W453" s="3">
        <v>16</v>
      </c>
      <c r="X453" s="3">
        <v>16</v>
      </c>
      <c r="Y453" s="3" t="s">
        <v>10892</v>
      </c>
      <c r="AA453" s="3">
        <v>8000</v>
      </c>
      <c r="AB453" s="6">
        <v>39902</v>
      </c>
      <c r="AC453" s="3" t="s">
        <v>62</v>
      </c>
      <c r="AD453" s="3">
        <v>0</v>
      </c>
      <c r="AE453" s="3">
        <v>85</v>
      </c>
      <c r="AF453" s="3">
        <v>2</v>
      </c>
      <c r="AG453" s="3" t="s">
        <v>10893</v>
      </c>
      <c r="AH453" s="3" t="s">
        <v>120</v>
      </c>
      <c r="AI453" s="3">
        <v>120000</v>
      </c>
      <c r="AL453" s="7" t="s">
        <v>10894</v>
      </c>
      <c r="AM453" s="7" t="s">
        <v>10895</v>
      </c>
      <c r="AN453" s="7" t="s">
        <v>10896</v>
      </c>
      <c r="AO453" s="7" t="s">
        <v>10897</v>
      </c>
      <c r="AR453" s="7" t="s">
        <v>10898</v>
      </c>
      <c r="AS453" s="7" t="s">
        <v>10899</v>
      </c>
      <c r="AT453" s="7" t="s">
        <v>10900</v>
      </c>
    </row>
    <row r="454" spans="1:46" ht="12.5" x14ac:dyDescent="0.25">
      <c r="A454" s="3" t="s">
        <v>46</v>
      </c>
      <c r="B454" s="21" t="str">
        <f>HYPERLINK("https://gerandofalcoes.my.salesforce.com/0014P00003YSpA0", "0014P00003YSpA0")</f>
        <v>0014P00003YSpA0</v>
      </c>
      <c r="C454" s="21" t="str">
        <f>HYPERLINK("https://gerandofalcoes.my.salesforce.com/0014P00003YSpA0QAL", "0014P00003YSpA0QAL")</f>
        <v>0014P00003YSpA0QAL</v>
      </c>
      <c r="D454" s="3" t="s">
        <v>10901</v>
      </c>
      <c r="E454" s="3"/>
      <c r="F454" s="3" t="s">
        <v>10902</v>
      </c>
      <c r="G454" s="8">
        <v>44551</v>
      </c>
      <c r="H454" s="3">
        <v>245</v>
      </c>
      <c r="I454" s="3" t="s">
        <v>10903</v>
      </c>
      <c r="J454" s="3" t="s">
        <v>10904</v>
      </c>
      <c r="K454" s="3" t="s">
        <v>10905</v>
      </c>
      <c r="L454" s="3" t="s">
        <v>70</v>
      </c>
      <c r="M454" s="3" t="s">
        <v>10906</v>
      </c>
      <c r="N454" s="3" t="s">
        <v>10907</v>
      </c>
      <c r="O454" s="3">
        <v>13</v>
      </c>
      <c r="P454" s="3" t="s">
        <v>7922</v>
      </c>
      <c r="Q454" s="3" t="s">
        <v>10908</v>
      </c>
      <c r="R454" s="3" t="s">
        <v>10909</v>
      </c>
      <c r="T454" s="3" t="s">
        <v>10910</v>
      </c>
      <c r="U454" s="3" t="s">
        <v>10522</v>
      </c>
      <c r="V454" s="3" t="s">
        <v>10911</v>
      </c>
      <c r="W454" s="3">
        <v>12</v>
      </c>
      <c r="X454" s="3">
        <v>12</v>
      </c>
      <c r="Y454" s="3" t="s">
        <v>10912</v>
      </c>
      <c r="AA454" s="3">
        <v>3700</v>
      </c>
      <c r="AB454" s="6">
        <v>25428</v>
      </c>
      <c r="AC454" s="3" t="s">
        <v>62</v>
      </c>
      <c r="AD454" s="3">
        <v>10</v>
      </c>
      <c r="AE454" s="3">
        <v>0</v>
      </c>
      <c r="AF454" s="3">
        <v>2</v>
      </c>
      <c r="AG454" s="3" t="s">
        <v>8830</v>
      </c>
      <c r="AH454" s="3">
        <v>0</v>
      </c>
      <c r="AI454" s="3">
        <v>20000</v>
      </c>
      <c r="AL454" s="3" t="s">
        <v>10913</v>
      </c>
      <c r="AM454" s="3" t="s">
        <v>10914</v>
      </c>
      <c r="AN454" s="3"/>
      <c r="AO454" s="3" t="s">
        <v>10915</v>
      </c>
      <c r="AR454" s="7" t="s">
        <v>10916</v>
      </c>
      <c r="AS454" s="7" t="s">
        <v>10917</v>
      </c>
      <c r="AT454" s="3"/>
    </row>
    <row r="455" spans="1:46" ht="12.5" x14ac:dyDescent="0.25">
      <c r="A455" s="3" t="s">
        <v>46</v>
      </c>
      <c r="B455" s="21" t="str">
        <f>HYPERLINK("https://gerandofalcoes.my.salesforce.com/0014P00003YSpA1", "0014P00003YSpA1")</f>
        <v>0014P00003YSpA1</v>
      </c>
      <c r="C455" s="21" t="str">
        <f>HYPERLINK("https://gerandofalcoes.my.salesforce.com/0014P00003YSpA1QAL", "0014P00003YSpA1QAL")</f>
        <v>0014P00003YSpA1QAL</v>
      </c>
      <c r="D455" s="3" t="s">
        <v>10918</v>
      </c>
      <c r="F455" s="3" t="s">
        <v>10919</v>
      </c>
      <c r="G455" s="8">
        <v>44551</v>
      </c>
      <c r="H455" s="3">
        <v>245</v>
      </c>
      <c r="I455" s="3" t="s">
        <v>10920</v>
      </c>
      <c r="J455" s="3" t="s">
        <v>10921</v>
      </c>
      <c r="K455" s="3" t="s">
        <v>10922</v>
      </c>
      <c r="L455" s="3" t="s">
        <v>557</v>
      </c>
      <c r="M455" s="3" t="s">
        <v>10923</v>
      </c>
      <c r="N455" s="3" t="s">
        <v>10924</v>
      </c>
      <c r="O455" s="3">
        <v>543</v>
      </c>
      <c r="P455" s="3" t="s">
        <v>8154</v>
      </c>
      <c r="Q455" s="3"/>
      <c r="R455" s="3" t="s">
        <v>10925</v>
      </c>
      <c r="T455" s="3" t="s">
        <v>8290</v>
      </c>
      <c r="U455" s="3" t="s">
        <v>8852</v>
      </c>
      <c r="V455" s="3" t="s">
        <v>3800</v>
      </c>
      <c r="W455" s="3">
        <v>30</v>
      </c>
      <c r="X455" s="3">
        <v>30</v>
      </c>
      <c r="Y455" s="3"/>
      <c r="AA455" s="3">
        <v>300</v>
      </c>
      <c r="AB455" s="6">
        <v>43838</v>
      </c>
      <c r="AC455" s="3" t="s">
        <v>62</v>
      </c>
      <c r="AD455" s="3">
        <v>0</v>
      </c>
      <c r="AE455" s="3">
        <v>10</v>
      </c>
      <c r="AF455" s="3">
        <v>2</v>
      </c>
      <c r="AG455" s="3" t="s">
        <v>10926</v>
      </c>
      <c r="AH455" s="3">
        <v>0</v>
      </c>
      <c r="AI455" s="3">
        <v>50000</v>
      </c>
      <c r="AL455" s="7" t="s">
        <v>10927</v>
      </c>
      <c r="AM455" s="7" t="s">
        <v>10928</v>
      </c>
      <c r="AN455" s="3"/>
      <c r="AO455" s="3"/>
      <c r="AR455" s="7" t="s">
        <v>10929</v>
      </c>
      <c r="AS455" s="7" t="s">
        <v>10930</v>
      </c>
      <c r="AT455" s="3"/>
    </row>
    <row r="456" spans="1:46" ht="12.5" x14ac:dyDescent="0.25">
      <c r="A456" s="3" t="s">
        <v>46</v>
      </c>
      <c r="B456" s="21" t="str">
        <f>HYPERLINK("https://gerandofalcoes.my.salesforce.com/0014P00003YSpA2", "0014P00003YSpA2")</f>
        <v>0014P00003YSpA2</v>
      </c>
      <c r="C456" s="21" t="str">
        <f>HYPERLINK("https://gerandofalcoes.my.salesforce.com/0014P00003YSpA2QAL", "0014P00003YSpA2QAL")</f>
        <v>0014P00003YSpA2QAL</v>
      </c>
      <c r="D456" s="3" t="s">
        <v>10931</v>
      </c>
      <c r="E456" s="3"/>
      <c r="F456" s="3" t="s">
        <v>10932</v>
      </c>
      <c r="G456" s="8">
        <v>44551</v>
      </c>
      <c r="H456" s="3">
        <v>245</v>
      </c>
      <c r="I456" s="3" t="s">
        <v>10933</v>
      </c>
      <c r="J456" s="3" t="s">
        <v>10934</v>
      </c>
      <c r="K456" s="3" t="s">
        <v>10935</v>
      </c>
      <c r="L456" s="3" t="s">
        <v>101</v>
      </c>
      <c r="M456" s="3" t="s">
        <v>10936</v>
      </c>
      <c r="N456" s="3" t="s">
        <v>10937</v>
      </c>
      <c r="O456" s="3">
        <v>101</v>
      </c>
      <c r="P456" s="3" t="s">
        <v>128</v>
      </c>
      <c r="Q456" s="3" t="s">
        <v>10938</v>
      </c>
      <c r="R456" s="3" t="s">
        <v>10939</v>
      </c>
      <c r="S456" s="3"/>
      <c r="T456" s="3" t="s">
        <v>10940</v>
      </c>
      <c r="U456" s="3" t="s">
        <v>3817</v>
      </c>
      <c r="V456" s="3" t="s">
        <v>10941</v>
      </c>
      <c r="W456" s="3">
        <v>4</v>
      </c>
      <c r="X456" s="3">
        <v>4</v>
      </c>
      <c r="Y456" s="3" t="s">
        <v>10942</v>
      </c>
      <c r="AA456" s="3">
        <v>50</v>
      </c>
      <c r="AB456" s="6">
        <v>43228</v>
      </c>
      <c r="AC456" s="3" t="s">
        <v>120</v>
      </c>
      <c r="AD456" s="3">
        <v>0</v>
      </c>
      <c r="AE456" s="3">
        <v>30</v>
      </c>
      <c r="AF456" s="3">
        <v>2</v>
      </c>
      <c r="AG456" s="3" t="s">
        <v>3819</v>
      </c>
      <c r="AH456" s="5">
        <v>0</v>
      </c>
      <c r="AI456" s="3">
        <v>12000</v>
      </c>
      <c r="AJ456" s="3"/>
      <c r="AK456" s="3"/>
      <c r="AL456" s="7" t="s">
        <v>10943</v>
      </c>
      <c r="AM456" s="7" t="s">
        <v>10944</v>
      </c>
      <c r="AN456" s="7" t="s">
        <v>10945</v>
      </c>
      <c r="AO456" s="3"/>
      <c r="AP456" s="3"/>
      <c r="AR456" s="3"/>
      <c r="AS456" s="3"/>
      <c r="AT456" s="3"/>
    </row>
    <row r="457" spans="1:46" ht="12.5" x14ac:dyDescent="0.25">
      <c r="A457" s="3" t="s">
        <v>46</v>
      </c>
      <c r="B457" s="21" t="str">
        <f>HYPERLINK("https://gerandofalcoes.my.salesforce.com/0014P00003YSpA3", "0014P00003YSpA3")</f>
        <v>0014P00003YSpA3</v>
      </c>
      <c r="C457" s="21" t="str">
        <f>HYPERLINK("https://gerandofalcoes.my.salesforce.com/0014P00003YSpA3QAL", "0014P00003YSpA3QAL")</f>
        <v>0014P00003YSpA3QAL</v>
      </c>
      <c r="D457" s="3" t="s">
        <v>10946</v>
      </c>
      <c r="E457" s="3"/>
      <c r="F457" s="3">
        <v>28203833000179</v>
      </c>
      <c r="G457" s="8">
        <v>44551</v>
      </c>
      <c r="H457" s="3">
        <v>245</v>
      </c>
      <c r="I457" s="3" t="s">
        <v>10947</v>
      </c>
      <c r="J457" s="3" t="s">
        <v>10948</v>
      </c>
      <c r="K457" s="3">
        <v>63981068048</v>
      </c>
      <c r="L457" s="3" t="s">
        <v>5676</v>
      </c>
      <c r="M457" s="3" t="s">
        <v>10949</v>
      </c>
      <c r="N457" s="3" t="s">
        <v>10950</v>
      </c>
      <c r="O457" s="3">
        <v>1001</v>
      </c>
      <c r="P457" s="3" t="s">
        <v>5680</v>
      </c>
      <c r="Q457" s="3"/>
      <c r="R457" s="3">
        <v>77019900</v>
      </c>
      <c r="S457" s="3"/>
      <c r="T457" s="3"/>
      <c r="U457" s="3"/>
      <c r="V457" s="3"/>
      <c r="W457" s="3">
        <v>6</v>
      </c>
      <c r="X457" s="3" t="s">
        <v>10323</v>
      </c>
      <c r="Y457" s="3" t="s">
        <v>10951</v>
      </c>
      <c r="AA457" s="3">
        <v>300</v>
      </c>
      <c r="AB457" s="6">
        <v>42915</v>
      </c>
      <c r="AC457" s="3" t="s">
        <v>62</v>
      </c>
      <c r="AD457" s="3">
        <v>10</v>
      </c>
      <c r="AE457" s="3">
        <v>20</v>
      </c>
      <c r="AF457" s="3">
        <v>2</v>
      </c>
      <c r="AG457" s="3"/>
      <c r="AH457" s="3"/>
      <c r="AI457" s="3">
        <v>15000</v>
      </c>
      <c r="AJ457" s="3"/>
      <c r="AK457" s="3"/>
      <c r="AL457" s="7" t="s">
        <v>10952</v>
      </c>
      <c r="AM457" s="7" t="s">
        <v>10953</v>
      </c>
      <c r="AN457" s="7" t="s">
        <v>10954</v>
      </c>
      <c r="AO457" s="3"/>
      <c r="AP457" s="3"/>
      <c r="AR457" s="7" t="s">
        <v>10955</v>
      </c>
      <c r="AS457" s="7" t="s">
        <v>10956</v>
      </c>
      <c r="AT457" s="7" t="s">
        <v>10957</v>
      </c>
    </row>
    <row r="458" spans="1:46" ht="12.5" x14ac:dyDescent="0.25">
      <c r="A458" s="3" t="s">
        <v>46</v>
      </c>
      <c r="B458" s="21" t="str">
        <f>HYPERLINK("https://gerandofalcoes.my.salesforce.com/0014P00003YSpA5", "0014P00003YSpA5")</f>
        <v>0014P00003YSpA5</v>
      </c>
      <c r="C458" s="21" t="str">
        <f>HYPERLINK("https://gerandofalcoes.my.salesforce.com/0014P00003YSpA5QAL", "0014P00003YSpA5QAL")</f>
        <v>0014P00003YSpA5QAL</v>
      </c>
      <c r="D458" s="3" t="s">
        <v>10958</v>
      </c>
      <c r="E458" s="3"/>
      <c r="F458" s="3" t="s">
        <v>10959</v>
      </c>
      <c r="G458" s="8">
        <v>44551</v>
      </c>
      <c r="H458" s="3">
        <v>245</v>
      </c>
      <c r="I458" s="3" t="s">
        <v>10960</v>
      </c>
      <c r="J458" s="3" t="s">
        <v>10961</v>
      </c>
      <c r="K458" s="3" t="s">
        <v>10962</v>
      </c>
      <c r="L458" s="3" t="s">
        <v>84</v>
      </c>
      <c r="M458" s="3" t="s">
        <v>10963</v>
      </c>
      <c r="N458" s="3" t="s">
        <v>10964</v>
      </c>
      <c r="O458" s="3">
        <v>659</v>
      </c>
      <c r="P458" s="3" t="s">
        <v>10965</v>
      </c>
      <c r="Q458" s="3">
        <v>659</v>
      </c>
      <c r="R458" s="3" t="s">
        <v>10966</v>
      </c>
      <c r="S458" s="3"/>
      <c r="T458" s="3" t="s">
        <v>10967</v>
      </c>
      <c r="U458" s="3" t="s">
        <v>9152</v>
      </c>
      <c r="V458" s="3" t="s">
        <v>10968</v>
      </c>
      <c r="W458" s="3">
        <v>2</v>
      </c>
      <c r="X458" s="3">
        <v>2</v>
      </c>
      <c r="Y458" s="3"/>
      <c r="AA458" s="3">
        <v>800</v>
      </c>
      <c r="AB458" s="6">
        <v>43685</v>
      </c>
      <c r="AC458" s="3" t="s">
        <v>120</v>
      </c>
      <c r="AD458" s="3">
        <v>2</v>
      </c>
      <c r="AE458" s="3">
        <v>25</v>
      </c>
      <c r="AF458" s="3">
        <v>5</v>
      </c>
      <c r="AG458" s="3" t="s">
        <v>10969</v>
      </c>
      <c r="AH458" s="3" t="s">
        <v>10970</v>
      </c>
      <c r="AI458" s="3">
        <v>90000</v>
      </c>
      <c r="AK458" s="3"/>
      <c r="AL458" s="3"/>
      <c r="AM458" s="7" t="s">
        <v>10971</v>
      </c>
      <c r="AN458" s="3"/>
      <c r="AO458" s="3"/>
      <c r="AP458" s="3"/>
      <c r="AR458" s="3"/>
      <c r="AS458" s="7" t="s">
        <v>10972</v>
      </c>
      <c r="AT458" s="3"/>
    </row>
    <row r="459" spans="1:46" ht="12.5" x14ac:dyDescent="0.25">
      <c r="A459" s="3" t="s">
        <v>46</v>
      </c>
      <c r="B459" s="21" t="str">
        <f>HYPERLINK("https://gerandofalcoes.my.salesforce.com/0014P00003YSpA6", "0014P00003YSpA6")</f>
        <v>0014P00003YSpA6</v>
      </c>
      <c r="C459" s="21" t="str">
        <f>HYPERLINK("https://gerandofalcoes.my.salesforce.com/0014P00003YSpA6QAL", "0014P00003YSpA6QAL")</f>
        <v>0014P00003YSpA6QAL</v>
      </c>
      <c r="D459" s="3" t="s">
        <v>10973</v>
      </c>
      <c r="E459" s="3"/>
      <c r="F459" s="3">
        <v>23843648000125</v>
      </c>
      <c r="G459" s="8">
        <v>44551</v>
      </c>
      <c r="H459" s="3">
        <v>245</v>
      </c>
      <c r="I459" s="3" t="s">
        <v>10974</v>
      </c>
      <c r="J459" s="3" t="s">
        <v>10975</v>
      </c>
      <c r="K459" s="3">
        <v>31988025140</v>
      </c>
      <c r="L459" s="3" t="s">
        <v>84</v>
      </c>
      <c r="M459" s="3" t="s">
        <v>10976</v>
      </c>
      <c r="N459" s="3" t="s">
        <v>10977</v>
      </c>
      <c r="O459" s="3">
        <v>45</v>
      </c>
      <c r="P459" s="3" t="s">
        <v>177</v>
      </c>
      <c r="Q459" s="3" t="s">
        <v>10978</v>
      </c>
      <c r="R459" s="3">
        <v>30640010</v>
      </c>
      <c r="S459" s="3"/>
      <c r="T459" s="3"/>
      <c r="U459" s="3"/>
      <c r="V459" s="3"/>
      <c r="W459" s="3">
        <v>10</v>
      </c>
      <c r="X459" s="3" t="s">
        <v>10979</v>
      </c>
      <c r="Y459" s="3"/>
      <c r="AA459" s="3">
        <v>100</v>
      </c>
      <c r="AB459" s="6">
        <v>42212</v>
      </c>
      <c r="AC459" s="3" t="s">
        <v>62</v>
      </c>
      <c r="AD459" s="3">
        <v>27</v>
      </c>
      <c r="AE459" s="3">
        <v>5</v>
      </c>
      <c r="AF459" s="3">
        <v>3</v>
      </c>
      <c r="AG459" s="3"/>
      <c r="AH459" s="3"/>
      <c r="AI459" s="3">
        <v>132000</v>
      </c>
      <c r="AJ459" s="3"/>
      <c r="AK459" s="3"/>
      <c r="AL459" s="7" t="s">
        <v>10980</v>
      </c>
      <c r="AM459" s="7" t="s">
        <v>10981</v>
      </c>
      <c r="AN459" s="7" t="s">
        <v>10982</v>
      </c>
      <c r="AO459" s="3"/>
      <c r="AP459" s="3"/>
      <c r="AR459" s="7" t="s">
        <v>10983</v>
      </c>
      <c r="AS459" s="7" t="s">
        <v>10984</v>
      </c>
      <c r="AT459" s="7" t="s">
        <v>10985</v>
      </c>
    </row>
    <row r="460" spans="1:46" ht="12.5" x14ac:dyDescent="0.25">
      <c r="A460" s="3" t="s">
        <v>46</v>
      </c>
      <c r="B460" s="21" t="str">
        <f>HYPERLINK("https://gerandofalcoes.my.salesforce.com/0014P00003YSpA7", "0014P00003YSpA7")</f>
        <v>0014P00003YSpA7</v>
      </c>
      <c r="C460" s="21" t="str">
        <f>HYPERLINK("https://gerandofalcoes.my.salesforce.com/0014P00003YSpA7QAL", "0014P00003YSpA7QAL")</f>
        <v>0014P00003YSpA7QAL</v>
      </c>
      <c r="D460" s="3" t="s">
        <v>10986</v>
      </c>
      <c r="E460" s="3"/>
      <c r="F460" s="3" t="s">
        <v>10987</v>
      </c>
      <c r="G460" s="8">
        <v>44551</v>
      </c>
      <c r="H460" s="3">
        <v>245</v>
      </c>
      <c r="I460" s="3" t="s">
        <v>10988</v>
      </c>
      <c r="J460" s="3" t="s">
        <v>10989</v>
      </c>
      <c r="K460" s="3" t="s">
        <v>10990</v>
      </c>
      <c r="L460" s="3" t="s">
        <v>10991</v>
      </c>
      <c r="M460" s="3" t="s">
        <v>10992</v>
      </c>
      <c r="N460" s="3" t="s">
        <v>10993</v>
      </c>
      <c r="O460" s="3">
        <v>8</v>
      </c>
      <c r="P460" s="3" t="s">
        <v>10994</v>
      </c>
      <c r="Q460" s="3"/>
      <c r="R460" s="3" t="s">
        <v>10995</v>
      </c>
      <c r="S460" s="3"/>
      <c r="T460" s="3" t="s">
        <v>10996</v>
      </c>
      <c r="U460" s="3" t="s">
        <v>9909</v>
      </c>
      <c r="V460" s="3" t="s">
        <v>3800</v>
      </c>
      <c r="W460" s="3">
        <v>5</v>
      </c>
      <c r="X460" s="3">
        <v>5</v>
      </c>
      <c r="Y460" s="3" t="s">
        <v>10997</v>
      </c>
      <c r="Z460" s="3"/>
      <c r="AA460" s="3">
        <v>280</v>
      </c>
      <c r="AB460" s="6">
        <v>42444</v>
      </c>
      <c r="AC460" s="3" t="s">
        <v>62</v>
      </c>
      <c r="AD460" s="3">
        <v>1</v>
      </c>
      <c r="AE460" s="3">
        <v>10</v>
      </c>
      <c r="AF460" s="3">
        <v>2</v>
      </c>
      <c r="AG460" s="3" t="s">
        <v>10998</v>
      </c>
      <c r="AH460" s="3" t="s">
        <v>10999</v>
      </c>
      <c r="AI460" s="3">
        <v>30000</v>
      </c>
      <c r="AJ460" s="3"/>
      <c r="AK460" s="3"/>
      <c r="AL460" s="7" t="s">
        <v>11000</v>
      </c>
      <c r="AM460" s="7" t="s">
        <v>11001</v>
      </c>
      <c r="AN460" s="7" t="s">
        <v>11002</v>
      </c>
      <c r="AO460" s="7" t="s">
        <v>11003</v>
      </c>
      <c r="AP460" s="3"/>
      <c r="AR460" s="7" t="s">
        <v>11004</v>
      </c>
      <c r="AS460" s="7" t="s">
        <v>11005</v>
      </c>
      <c r="AT460" s="7" t="s">
        <v>11006</v>
      </c>
    </row>
    <row r="461" spans="1:46" ht="12.5" x14ac:dyDescent="0.25">
      <c r="A461" s="3" t="s">
        <v>46</v>
      </c>
      <c r="B461" s="21" t="str">
        <f>HYPERLINK("https://gerandofalcoes.my.salesforce.com/0014P00003YSpA8", "0014P00003YSpA8")</f>
        <v>0014P00003YSpA8</v>
      </c>
      <c r="C461" s="21" t="str">
        <f>HYPERLINK("https://gerandofalcoes.my.salesforce.com/0014P00003YSpA8QAL", "0014P00003YSpA8QAL")</f>
        <v>0014P00003YSpA8QAL</v>
      </c>
      <c r="D461" s="3" t="s">
        <v>11007</v>
      </c>
      <c r="E461" s="3"/>
      <c r="F461" s="3"/>
      <c r="G461" s="8">
        <v>44551</v>
      </c>
      <c r="H461" s="3">
        <v>245</v>
      </c>
      <c r="I461" s="3" t="s">
        <v>11008</v>
      </c>
      <c r="J461" s="3" t="s">
        <v>11009</v>
      </c>
      <c r="K461" s="3" t="s">
        <v>11010</v>
      </c>
      <c r="L461" s="3" t="s">
        <v>84</v>
      </c>
      <c r="M461" s="3" t="s">
        <v>11011</v>
      </c>
      <c r="N461" s="3" t="s">
        <v>11012</v>
      </c>
      <c r="O461" s="3">
        <v>1486</v>
      </c>
      <c r="P461" s="3" t="s">
        <v>266</v>
      </c>
      <c r="Q461" s="3"/>
      <c r="R461" s="3" t="s">
        <v>11013</v>
      </c>
      <c r="S461" s="3"/>
      <c r="T461" s="3" t="s">
        <v>11014</v>
      </c>
      <c r="U461" s="3" t="s">
        <v>3799</v>
      </c>
      <c r="V461" s="3" t="s">
        <v>9808</v>
      </c>
      <c r="W461" s="3">
        <v>12</v>
      </c>
      <c r="X461" s="3">
        <v>12</v>
      </c>
      <c r="Y461" s="3"/>
      <c r="AA461" s="3">
        <v>200</v>
      </c>
      <c r="AB461" s="8">
        <v>44558</v>
      </c>
      <c r="AC461" s="3" t="s">
        <v>120</v>
      </c>
      <c r="AD461" s="3">
        <v>0</v>
      </c>
      <c r="AE461" s="3">
        <v>6</v>
      </c>
      <c r="AF461" s="3">
        <v>2</v>
      </c>
      <c r="AG461" s="3" t="s">
        <v>11015</v>
      </c>
      <c r="AH461" s="23">
        <v>40</v>
      </c>
      <c r="AI461" s="3">
        <v>0</v>
      </c>
      <c r="AJ461" s="3"/>
      <c r="AK461" s="3"/>
      <c r="AL461" s="3"/>
      <c r="AM461" s="7" t="s">
        <v>11016</v>
      </c>
      <c r="AN461" s="7" t="s">
        <v>11017</v>
      </c>
      <c r="AO461" s="3"/>
      <c r="AP461" s="3"/>
      <c r="AR461" s="3"/>
      <c r="AS461" s="3"/>
      <c r="AT461" s="3"/>
    </row>
    <row r="462" spans="1:46" ht="12.5" x14ac:dyDescent="0.25">
      <c r="A462" s="3" t="s">
        <v>46</v>
      </c>
      <c r="B462" s="21" t="str">
        <f>HYPERLINK("https://gerandofalcoes.my.salesforce.com/0014P00003YSpA9", "0014P00003YSpA9")</f>
        <v>0014P00003YSpA9</v>
      </c>
      <c r="C462" s="21" t="str">
        <f>HYPERLINK("https://gerandofalcoes.my.salesforce.com/0014P00003YSpA9QAL", "0014P00003YSpA9QAL")</f>
        <v>0014P00003YSpA9QAL</v>
      </c>
      <c r="D462" s="3" t="s">
        <v>11018</v>
      </c>
      <c r="E462" s="3"/>
      <c r="F462" s="3" t="s">
        <v>11019</v>
      </c>
      <c r="G462" s="8">
        <v>44551</v>
      </c>
      <c r="H462" s="3">
        <v>245</v>
      </c>
      <c r="I462" s="3" t="s">
        <v>11020</v>
      </c>
      <c r="J462" s="3" t="s">
        <v>11021</v>
      </c>
      <c r="K462" s="3" t="s">
        <v>11022</v>
      </c>
      <c r="L462" s="3" t="s">
        <v>84</v>
      </c>
      <c r="M462" s="3" t="s">
        <v>11023</v>
      </c>
      <c r="N462" s="3" t="s">
        <v>9014</v>
      </c>
      <c r="O462" s="3">
        <v>140</v>
      </c>
      <c r="P462" s="3" t="s">
        <v>369</v>
      </c>
      <c r="Q462" s="3"/>
      <c r="R462" s="3" t="s">
        <v>11024</v>
      </c>
      <c r="S462" s="3"/>
      <c r="T462" s="3" t="s">
        <v>11025</v>
      </c>
      <c r="U462" s="3" t="s">
        <v>3799</v>
      </c>
      <c r="V462" s="3" t="s">
        <v>11026</v>
      </c>
      <c r="W462" s="3">
        <v>1</v>
      </c>
      <c r="X462" s="3">
        <v>1</v>
      </c>
      <c r="Y462" s="3" t="s">
        <v>11027</v>
      </c>
      <c r="AA462" s="3">
        <v>120</v>
      </c>
      <c r="AB462" s="8">
        <v>43023</v>
      </c>
      <c r="AC462" s="3" t="s">
        <v>120</v>
      </c>
      <c r="AD462" s="3">
        <v>0</v>
      </c>
      <c r="AE462" s="3">
        <v>10</v>
      </c>
      <c r="AF462" s="3">
        <v>7</v>
      </c>
      <c r="AG462" s="3" t="s">
        <v>11028</v>
      </c>
      <c r="AH462" s="3" t="s">
        <v>120</v>
      </c>
      <c r="AI462" s="3">
        <v>29668</v>
      </c>
      <c r="AJ462" s="3"/>
      <c r="AK462" s="3"/>
      <c r="AL462" s="7" t="s">
        <v>11029</v>
      </c>
      <c r="AM462" s="7" t="s">
        <v>11030</v>
      </c>
      <c r="AN462" s="7" t="s">
        <v>11031</v>
      </c>
      <c r="AO462" s="7" t="s">
        <v>11032</v>
      </c>
      <c r="AP462" s="3"/>
      <c r="AR462" s="3"/>
      <c r="AS462" s="3"/>
      <c r="AT462" s="3"/>
    </row>
    <row r="463" spans="1:46" ht="12.5" x14ac:dyDescent="0.25">
      <c r="A463" s="3" t="s">
        <v>46</v>
      </c>
      <c r="B463" s="21" t="str">
        <f>HYPERLINK("https://gerandofalcoes.my.salesforce.com/0014P00003YSpAC", "0014P00003YSpAC")</f>
        <v>0014P00003YSpAC</v>
      </c>
      <c r="C463" s="21" t="str">
        <f>HYPERLINK("https://gerandofalcoes.my.salesforce.com/0014P00003YSpACQA1", "0014P00003YSpACQA1")</f>
        <v>0014P00003YSpACQA1</v>
      </c>
      <c r="D463" s="3" t="s">
        <v>11033</v>
      </c>
      <c r="E463" s="3"/>
      <c r="F463" s="3"/>
      <c r="G463" s="8">
        <v>44551</v>
      </c>
      <c r="H463" s="3">
        <v>245</v>
      </c>
      <c r="I463" s="3" t="s">
        <v>11034</v>
      </c>
      <c r="J463" s="3" t="s">
        <v>11035</v>
      </c>
      <c r="K463" s="3" t="s">
        <v>11036</v>
      </c>
      <c r="L463" s="3" t="s">
        <v>84</v>
      </c>
      <c r="M463" s="3" t="s">
        <v>11037</v>
      </c>
      <c r="N463" s="3" t="s">
        <v>11038</v>
      </c>
      <c r="O463" s="3">
        <v>472</v>
      </c>
      <c r="P463" s="3" t="s">
        <v>6096</v>
      </c>
      <c r="Q463" s="3" t="s">
        <v>11039</v>
      </c>
      <c r="R463" s="3" t="s">
        <v>11040</v>
      </c>
      <c r="S463" s="3"/>
      <c r="T463" s="3" t="s">
        <v>9987</v>
      </c>
      <c r="U463" s="3" t="s">
        <v>8868</v>
      </c>
      <c r="V463" s="3" t="s">
        <v>3754</v>
      </c>
      <c r="W463" s="3">
        <v>7</v>
      </c>
      <c r="X463" s="3">
        <v>7</v>
      </c>
      <c r="Y463" s="3" t="s">
        <v>11041</v>
      </c>
      <c r="AA463" s="3">
        <v>600</v>
      </c>
      <c r="AB463" s="6">
        <v>42598</v>
      </c>
      <c r="AC463" s="3" t="s">
        <v>120</v>
      </c>
      <c r="AD463" s="3">
        <v>2</v>
      </c>
      <c r="AE463" s="3">
        <v>25</v>
      </c>
      <c r="AF463" s="3">
        <v>2</v>
      </c>
      <c r="AG463" s="3" t="s">
        <v>3801</v>
      </c>
      <c r="AH463" s="3" t="s">
        <v>562</v>
      </c>
      <c r="AI463" s="3">
        <v>0</v>
      </c>
      <c r="AJ463" s="3"/>
      <c r="AK463" s="3"/>
      <c r="AL463" s="3" t="s">
        <v>11042</v>
      </c>
      <c r="AM463" s="3" t="s">
        <v>11043</v>
      </c>
      <c r="AN463" s="3"/>
      <c r="AO463" s="3" t="s">
        <v>11043</v>
      </c>
      <c r="AP463" s="3"/>
      <c r="AR463" s="3"/>
      <c r="AS463" s="3"/>
      <c r="AT463" s="3"/>
    </row>
    <row r="464" spans="1:46" ht="12.5" x14ac:dyDescent="0.25">
      <c r="A464" s="3" t="s">
        <v>46</v>
      </c>
      <c r="B464" s="21" t="str">
        <f>HYPERLINK("https://gerandofalcoes.my.salesforce.com/0014P00003YSpAD", "0014P00003YSpAD")</f>
        <v>0014P00003YSpAD</v>
      </c>
      <c r="C464" s="21" t="str">
        <f>HYPERLINK("https://gerandofalcoes.my.salesforce.com/0014P00003YSpADQA1", "0014P00003YSpADQA1")</f>
        <v>0014P00003YSpADQA1</v>
      </c>
      <c r="D464" s="3" t="s">
        <v>11044</v>
      </c>
      <c r="E464" s="3"/>
      <c r="F464" s="3" t="s">
        <v>11045</v>
      </c>
      <c r="G464" s="8">
        <v>44551</v>
      </c>
      <c r="H464" s="3">
        <v>245</v>
      </c>
      <c r="I464" s="3" t="s">
        <v>11046</v>
      </c>
      <c r="J464" s="3" t="s">
        <v>11047</v>
      </c>
      <c r="K464" s="3" t="s">
        <v>11048</v>
      </c>
      <c r="L464" s="3" t="s">
        <v>84</v>
      </c>
      <c r="M464" s="3" t="s">
        <v>11049</v>
      </c>
      <c r="N464" s="3" t="s">
        <v>11050</v>
      </c>
      <c r="O464" s="3">
        <v>200</v>
      </c>
      <c r="P464" s="3" t="s">
        <v>11051</v>
      </c>
      <c r="Q464" s="3" t="s">
        <v>11052</v>
      </c>
      <c r="R464" s="3" t="s">
        <v>3548</v>
      </c>
      <c r="S464" s="3"/>
      <c r="T464" s="3" t="s">
        <v>11053</v>
      </c>
      <c r="U464" s="3" t="s">
        <v>8895</v>
      </c>
      <c r="V464" s="3" t="s">
        <v>11026</v>
      </c>
      <c r="W464" s="3">
        <v>10</v>
      </c>
      <c r="X464" s="3">
        <v>10</v>
      </c>
      <c r="Y464" s="3" t="s">
        <v>11054</v>
      </c>
      <c r="Z464" s="3"/>
      <c r="AA464" s="3">
        <v>300</v>
      </c>
      <c r="AB464" s="8">
        <v>38271</v>
      </c>
      <c r="AC464" s="3" t="s">
        <v>62</v>
      </c>
      <c r="AD464" s="3">
        <v>10</v>
      </c>
      <c r="AE464" s="3">
        <v>12</v>
      </c>
      <c r="AF464" s="3">
        <v>4</v>
      </c>
      <c r="AG464" s="3" t="s">
        <v>11055</v>
      </c>
      <c r="AH464" s="3" t="s">
        <v>11056</v>
      </c>
      <c r="AI464" s="3">
        <v>296560</v>
      </c>
      <c r="AJ464" s="3"/>
      <c r="AK464" s="3"/>
      <c r="AL464" s="7" t="s">
        <v>11057</v>
      </c>
      <c r="AM464" s="3" t="s">
        <v>11058</v>
      </c>
      <c r="AN464" s="3" t="s">
        <v>11059</v>
      </c>
      <c r="AO464" s="7" t="s">
        <v>11060</v>
      </c>
      <c r="AP464" s="3"/>
      <c r="AR464" s="7" t="s">
        <v>11061</v>
      </c>
      <c r="AS464" s="7" t="s">
        <v>11062</v>
      </c>
      <c r="AT464" s="7" t="s">
        <v>11063</v>
      </c>
    </row>
    <row r="465" spans="1:47" ht="12.5" x14ac:dyDescent="0.25">
      <c r="A465" s="3" t="s">
        <v>46</v>
      </c>
      <c r="B465" s="21" t="str">
        <f>HYPERLINK("https://gerandofalcoes.my.salesforce.com/0014P00003YSpAE", "0014P00003YSpAE")</f>
        <v>0014P00003YSpAE</v>
      </c>
      <c r="C465" s="21" t="str">
        <f>HYPERLINK("https://gerandofalcoes.my.salesforce.com/0014P00003YSpAEQA1", "0014P00003YSpAEQA1")</f>
        <v>0014P00003YSpAEQA1</v>
      </c>
      <c r="D465" s="3" t="s">
        <v>11064</v>
      </c>
      <c r="E465" s="3"/>
      <c r="F465" s="3" t="s">
        <v>11065</v>
      </c>
      <c r="G465" s="8">
        <v>44551</v>
      </c>
      <c r="H465" s="3">
        <v>245</v>
      </c>
      <c r="I465" s="3" t="s">
        <v>11066</v>
      </c>
      <c r="J465" s="3" t="s">
        <v>11067</v>
      </c>
      <c r="K465" s="3" t="s">
        <v>11068</v>
      </c>
      <c r="L465" s="3" t="s">
        <v>5316</v>
      </c>
      <c r="M465" s="3" t="s">
        <v>5275</v>
      </c>
      <c r="N465" s="3" t="s">
        <v>11069</v>
      </c>
      <c r="O465" s="3">
        <v>366</v>
      </c>
      <c r="P465" s="3" t="s">
        <v>5319</v>
      </c>
      <c r="Q465" s="3"/>
      <c r="R465" s="3" t="s">
        <v>11070</v>
      </c>
      <c r="S465" s="3"/>
      <c r="T465" s="3" t="s">
        <v>11071</v>
      </c>
      <c r="U465" s="3" t="s">
        <v>9269</v>
      </c>
      <c r="V465" s="3" t="s">
        <v>11072</v>
      </c>
      <c r="W465" s="3">
        <v>10</v>
      </c>
      <c r="X465" s="3">
        <v>10</v>
      </c>
      <c r="Y465" s="3" t="s">
        <v>11073</v>
      </c>
      <c r="AA465" s="3">
        <v>30</v>
      </c>
      <c r="AB465" s="8">
        <v>43795</v>
      </c>
      <c r="AC465" s="3" t="s">
        <v>120</v>
      </c>
      <c r="AD465" s="3">
        <v>0</v>
      </c>
      <c r="AE465" s="3">
        <v>30</v>
      </c>
      <c r="AF465" s="3">
        <v>5</v>
      </c>
      <c r="AG465" s="3" t="s">
        <v>11074</v>
      </c>
      <c r="AH465" s="3">
        <v>0</v>
      </c>
      <c r="AI465" s="3">
        <v>13000</v>
      </c>
      <c r="AJ465" s="3"/>
      <c r="AK465" s="3"/>
      <c r="AL465" s="3"/>
      <c r="AM465" s="7" t="s">
        <v>11075</v>
      </c>
      <c r="AN465" s="3"/>
      <c r="AO465" s="3"/>
      <c r="AP465" s="3"/>
      <c r="AR465" s="3"/>
      <c r="AS465" s="3"/>
      <c r="AT465" s="7" t="s">
        <v>11076</v>
      </c>
    </row>
    <row r="466" spans="1:47" ht="12.5" x14ac:dyDescent="0.25">
      <c r="A466" s="3" t="s">
        <v>46</v>
      </c>
      <c r="B466" s="21" t="str">
        <f>HYPERLINK("https://gerandofalcoes.my.salesforce.com/0014P00003YSpAG", "0014P00003YSpAG")</f>
        <v>0014P00003YSpAG</v>
      </c>
      <c r="C466" s="21" t="str">
        <f>HYPERLINK("https://gerandofalcoes.my.salesforce.com/0014P00003YSpAGQA1", "0014P00003YSpAGQA1")</f>
        <v>0014P00003YSpAGQA1</v>
      </c>
      <c r="D466" s="3" t="s">
        <v>11077</v>
      </c>
      <c r="E466" s="3"/>
      <c r="F466" s="3" t="s">
        <v>11078</v>
      </c>
      <c r="G466" s="8">
        <v>44551</v>
      </c>
      <c r="H466" s="3">
        <v>245</v>
      </c>
      <c r="I466" s="3" t="s">
        <v>11079</v>
      </c>
      <c r="J466" s="3" t="s">
        <v>11080</v>
      </c>
      <c r="K466" s="3" t="s">
        <v>11081</v>
      </c>
      <c r="L466" s="3" t="s">
        <v>84</v>
      </c>
      <c r="M466" s="3" t="s">
        <v>11082</v>
      </c>
      <c r="N466" s="3" t="s">
        <v>11083</v>
      </c>
      <c r="O466" s="3">
        <v>976</v>
      </c>
      <c r="P466" s="3" t="s">
        <v>266</v>
      </c>
      <c r="Q466" s="3"/>
      <c r="R466" s="3" t="s">
        <v>11084</v>
      </c>
      <c r="S466" s="3"/>
      <c r="T466" s="3" t="s">
        <v>9612</v>
      </c>
      <c r="U466" s="3" t="s">
        <v>9005</v>
      </c>
      <c r="V466" s="3" t="s">
        <v>9468</v>
      </c>
      <c r="W466" s="3">
        <v>4</v>
      </c>
      <c r="X466" s="3">
        <v>4</v>
      </c>
      <c r="Y466" s="3"/>
      <c r="AA466" s="3">
        <v>2000</v>
      </c>
      <c r="AB466" s="8">
        <v>44515</v>
      </c>
      <c r="AC466" s="3" t="s">
        <v>120</v>
      </c>
      <c r="AD466" s="3">
        <v>0</v>
      </c>
      <c r="AE466" s="3">
        <v>15</v>
      </c>
      <c r="AF466" s="3">
        <v>3</v>
      </c>
      <c r="AG466" s="3" t="s">
        <v>10336</v>
      </c>
      <c r="AH466" s="3" t="s">
        <v>1052</v>
      </c>
      <c r="AI466" s="3">
        <v>47469</v>
      </c>
      <c r="AJ466" s="3"/>
      <c r="AK466" s="3"/>
      <c r="AL466" s="7" t="s">
        <v>11085</v>
      </c>
      <c r="AM466" s="7" t="s">
        <v>11085</v>
      </c>
      <c r="AN466" s="7" t="s">
        <v>11086</v>
      </c>
      <c r="AO466" s="7" t="s">
        <v>11085</v>
      </c>
      <c r="AP466" s="3"/>
      <c r="AR466" s="3"/>
      <c r="AS466" s="3"/>
      <c r="AT466" s="3"/>
    </row>
    <row r="467" spans="1:47" ht="12.5" x14ac:dyDescent="0.25">
      <c r="A467" s="3" t="s">
        <v>46</v>
      </c>
      <c r="B467" s="21" t="str">
        <f>HYPERLINK("https://gerandofalcoes.my.salesforce.com/0014P00003YSpAH", "0014P00003YSpAH")</f>
        <v>0014P00003YSpAH</v>
      </c>
      <c r="C467" s="21" t="str">
        <f>HYPERLINK("https://gerandofalcoes.my.salesforce.com/0014P00003YSpAHQA1", "0014P00003YSpAHQA1")</f>
        <v>0014P00003YSpAHQA1</v>
      </c>
      <c r="D467" s="3" t="s">
        <v>11087</v>
      </c>
      <c r="E467" s="3"/>
      <c r="F467" s="3" t="s">
        <v>11088</v>
      </c>
      <c r="G467" s="8">
        <v>44551</v>
      </c>
      <c r="H467" s="3">
        <v>245</v>
      </c>
      <c r="I467" s="3" t="s">
        <v>11089</v>
      </c>
      <c r="J467" s="3" t="s">
        <v>11090</v>
      </c>
      <c r="K467" s="3" t="s">
        <v>11091</v>
      </c>
      <c r="L467" s="3" t="s">
        <v>84</v>
      </c>
      <c r="M467" s="3" t="s">
        <v>11092</v>
      </c>
      <c r="N467" s="3" t="s">
        <v>11093</v>
      </c>
      <c r="O467" s="3">
        <v>340</v>
      </c>
      <c r="P467" s="3" t="s">
        <v>5457</v>
      </c>
      <c r="Q467" s="3"/>
      <c r="R467" s="3" t="s">
        <v>11094</v>
      </c>
      <c r="S467" s="3"/>
      <c r="T467" s="3" t="s">
        <v>11095</v>
      </c>
      <c r="U467" s="3" t="s">
        <v>11096</v>
      </c>
      <c r="V467" s="3" t="s">
        <v>11097</v>
      </c>
      <c r="W467" s="3">
        <v>5</v>
      </c>
      <c r="X467" s="3">
        <v>5</v>
      </c>
      <c r="Y467" s="3" t="s">
        <v>11098</v>
      </c>
      <c r="AA467" s="3">
        <v>150</v>
      </c>
      <c r="AB467" s="6">
        <v>40920</v>
      </c>
      <c r="AC467" s="3" t="s">
        <v>62</v>
      </c>
      <c r="AD467" s="3">
        <v>34</v>
      </c>
      <c r="AE467" s="3">
        <v>5</v>
      </c>
      <c r="AF467" s="3">
        <v>3</v>
      </c>
      <c r="AG467" s="3" t="s">
        <v>11099</v>
      </c>
      <c r="AH467" s="3" t="s">
        <v>11100</v>
      </c>
      <c r="AI467" s="3">
        <v>250000</v>
      </c>
      <c r="AJ467" s="3"/>
      <c r="AK467" s="3"/>
      <c r="AL467" s="3"/>
      <c r="AM467" s="7" t="s">
        <v>11101</v>
      </c>
      <c r="AN467" s="7" t="s">
        <v>11102</v>
      </c>
      <c r="AO467" s="3"/>
      <c r="AP467" s="3"/>
      <c r="AR467" s="7" t="s">
        <v>11103</v>
      </c>
      <c r="AS467" s="7" t="s">
        <v>11104</v>
      </c>
      <c r="AT467" s="7" t="s">
        <v>11105</v>
      </c>
    </row>
    <row r="468" spans="1:47" ht="12.5" x14ac:dyDescent="0.25">
      <c r="A468" s="3" t="s">
        <v>46</v>
      </c>
      <c r="B468" s="21" t="str">
        <f>HYPERLINK("https://gerandofalcoes.my.salesforce.com/0014P00003YSpAI", "0014P00003YSpAI")</f>
        <v>0014P00003YSpAI</v>
      </c>
      <c r="C468" s="21" t="str">
        <f>HYPERLINK("https://gerandofalcoes.my.salesforce.com/0014P00003YSpAIQA1", "0014P00003YSpAIQA1")</f>
        <v>0014P00003YSpAIQA1</v>
      </c>
      <c r="D468" s="3" t="s">
        <v>11106</v>
      </c>
      <c r="E468" s="3" t="s">
        <v>11107</v>
      </c>
      <c r="F468" s="3" t="s">
        <v>11108</v>
      </c>
      <c r="G468" s="8">
        <v>44551</v>
      </c>
      <c r="H468" s="3">
        <v>245</v>
      </c>
      <c r="I468" s="3" t="s">
        <v>11109</v>
      </c>
      <c r="J468" s="3" t="s">
        <v>11110</v>
      </c>
      <c r="K468" s="3" t="s">
        <v>11111</v>
      </c>
      <c r="L468" s="3" t="s">
        <v>84</v>
      </c>
      <c r="M468" s="3" t="s">
        <v>11112</v>
      </c>
      <c r="N468" s="3" t="s">
        <v>11113</v>
      </c>
      <c r="O468" s="3">
        <v>764</v>
      </c>
      <c r="P468" s="3" t="s">
        <v>11114</v>
      </c>
      <c r="Q468" s="3"/>
      <c r="R468" s="3" t="s">
        <v>11115</v>
      </c>
      <c r="S468" s="3"/>
      <c r="T468" s="3" t="s">
        <v>11116</v>
      </c>
      <c r="U468" s="3" t="s">
        <v>3799</v>
      </c>
      <c r="V468" s="3" t="s">
        <v>9568</v>
      </c>
      <c r="W468" s="3">
        <v>8</v>
      </c>
      <c r="X468" s="3">
        <v>8</v>
      </c>
      <c r="Y468" s="3" t="s">
        <v>11117</v>
      </c>
      <c r="AA468" s="3">
        <v>1100</v>
      </c>
      <c r="AB468" s="6">
        <v>44467</v>
      </c>
      <c r="AC468" s="3" t="s">
        <v>120</v>
      </c>
      <c r="AD468" s="3">
        <v>0</v>
      </c>
      <c r="AE468" s="3">
        <v>9</v>
      </c>
      <c r="AF468" s="3">
        <v>4</v>
      </c>
      <c r="AG468" s="3" t="s">
        <v>10336</v>
      </c>
      <c r="AH468" s="3" t="s">
        <v>11118</v>
      </c>
      <c r="AI468" s="3">
        <v>32000</v>
      </c>
      <c r="AJ468" s="3"/>
      <c r="AK468" s="3"/>
      <c r="AL468" s="7" t="s">
        <v>11119</v>
      </c>
      <c r="AM468" s="7" t="s">
        <v>11120</v>
      </c>
      <c r="AN468" s="3"/>
      <c r="AO468" s="3"/>
      <c r="AP468" s="3"/>
      <c r="AR468" s="3"/>
      <c r="AS468" s="3"/>
      <c r="AT468" s="3"/>
    </row>
    <row r="469" spans="1:47" ht="12.5" x14ac:dyDescent="0.25">
      <c r="A469" s="3" t="s">
        <v>46</v>
      </c>
      <c r="B469" s="21" t="str">
        <f>HYPERLINK("https://gerandofalcoes.my.salesforce.com/0014P00003YSpAJ", "0014P00003YSpAJ")</f>
        <v>0014P00003YSpAJ</v>
      </c>
      <c r="C469" s="21" t="str">
        <f>HYPERLINK("https://gerandofalcoes.my.salesforce.com/0014P00003YSpAJQA1", "0014P00003YSpAJQA1")</f>
        <v>0014P00003YSpAJQA1</v>
      </c>
      <c r="D469" s="3" t="s">
        <v>11121</v>
      </c>
      <c r="E469" s="3"/>
      <c r="F469" s="3" t="s">
        <v>11122</v>
      </c>
      <c r="G469" s="8">
        <v>44551</v>
      </c>
      <c r="H469" s="3">
        <v>245</v>
      </c>
      <c r="I469" s="3" t="s">
        <v>11123</v>
      </c>
      <c r="J469" s="3" t="s">
        <v>11124</v>
      </c>
      <c r="K469" s="3" t="s">
        <v>11125</v>
      </c>
      <c r="L469" s="3" t="s">
        <v>84</v>
      </c>
      <c r="M469" s="3" t="s">
        <v>11126</v>
      </c>
      <c r="N469" s="3" t="s">
        <v>11127</v>
      </c>
      <c r="O469" s="3">
        <v>590</v>
      </c>
      <c r="P469" s="3" t="s">
        <v>1339</v>
      </c>
      <c r="R469" s="3" t="s">
        <v>11128</v>
      </c>
      <c r="S469" s="3"/>
      <c r="T469" s="3" t="s">
        <v>11129</v>
      </c>
      <c r="U469" s="3" t="s">
        <v>8895</v>
      </c>
      <c r="V469" s="3" t="s">
        <v>3800</v>
      </c>
      <c r="W469" s="3">
        <v>7</v>
      </c>
      <c r="X469" s="3">
        <v>7</v>
      </c>
      <c r="Y469" s="3" t="s">
        <v>11130</v>
      </c>
      <c r="AA469" s="3">
        <v>1400</v>
      </c>
      <c r="AB469" s="6">
        <v>40671</v>
      </c>
      <c r="AC469" s="3" t="s">
        <v>62</v>
      </c>
      <c r="AD469" s="3">
        <v>3</v>
      </c>
      <c r="AE469" s="3">
        <v>8</v>
      </c>
      <c r="AF469" s="3">
        <v>5</v>
      </c>
      <c r="AG469" s="3" t="s">
        <v>11131</v>
      </c>
      <c r="AH469" s="3" t="s">
        <v>11132</v>
      </c>
      <c r="AI469" s="3">
        <v>44000</v>
      </c>
      <c r="AJ469" s="3"/>
      <c r="AK469" s="3"/>
      <c r="AL469" s="7" t="s">
        <v>11133</v>
      </c>
      <c r="AM469" s="7" t="s">
        <v>11134</v>
      </c>
      <c r="AN469" s="7" t="s">
        <v>11135</v>
      </c>
      <c r="AO469" s="7" t="s">
        <v>11136</v>
      </c>
      <c r="AP469" s="3"/>
      <c r="AR469" s="7" t="s">
        <v>11137</v>
      </c>
      <c r="AS469" s="7" t="s">
        <v>11138</v>
      </c>
      <c r="AT469" s="7" t="s">
        <v>11139</v>
      </c>
    </row>
    <row r="470" spans="1:47" ht="12.5" x14ac:dyDescent="0.25">
      <c r="A470" s="3" t="s">
        <v>46</v>
      </c>
      <c r="B470" s="21" t="str">
        <f>HYPERLINK("https://gerandofalcoes.my.salesforce.com/0014P00003YSpAK", "0014P00003YSpAK")</f>
        <v>0014P00003YSpAK</v>
      </c>
      <c r="C470" s="21" t="str">
        <f>HYPERLINK("https://gerandofalcoes.my.salesforce.com/0014P00003YSpAKQA1", "0014P00003YSpAKQA1")</f>
        <v>0014P00003YSpAKQA1</v>
      </c>
      <c r="D470" s="3" t="s">
        <v>11140</v>
      </c>
      <c r="E470" s="3"/>
      <c r="F470" s="3" t="s">
        <v>11141</v>
      </c>
      <c r="G470" s="8">
        <v>44551</v>
      </c>
      <c r="H470" s="3">
        <v>245</v>
      </c>
      <c r="I470" s="3" t="s">
        <v>11142</v>
      </c>
      <c r="J470" s="3" t="s">
        <v>11143</v>
      </c>
      <c r="K470" s="3" t="s">
        <v>11144</v>
      </c>
      <c r="L470" s="3" t="s">
        <v>280</v>
      </c>
      <c r="M470" s="3" t="s">
        <v>11145</v>
      </c>
      <c r="N470" s="3" t="s">
        <v>11146</v>
      </c>
      <c r="O470" s="3">
        <v>9</v>
      </c>
      <c r="P470" s="3" t="s">
        <v>11147</v>
      </c>
      <c r="R470" s="3" t="s">
        <v>11148</v>
      </c>
      <c r="S470" s="3"/>
      <c r="T470" s="3" t="s">
        <v>11149</v>
      </c>
      <c r="U470" s="3" t="s">
        <v>9005</v>
      </c>
      <c r="V470" s="3" t="s">
        <v>3800</v>
      </c>
      <c r="W470" s="3">
        <v>3</v>
      </c>
      <c r="X470" s="3">
        <v>3</v>
      </c>
      <c r="Y470" s="3"/>
      <c r="Z470" s="3"/>
      <c r="AA470" s="3">
        <v>50</v>
      </c>
      <c r="AB470" s="8">
        <v>43092</v>
      </c>
      <c r="AC470" s="3" t="s">
        <v>62</v>
      </c>
      <c r="AD470" s="3">
        <v>0</v>
      </c>
      <c r="AE470" s="3">
        <v>2</v>
      </c>
      <c r="AF470" s="3">
        <v>2</v>
      </c>
      <c r="AG470" s="3" t="s">
        <v>9587</v>
      </c>
      <c r="AH470" s="5">
        <v>0</v>
      </c>
      <c r="AI470" s="3">
        <v>15000</v>
      </c>
      <c r="AJ470" s="3"/>
      <c r="AK470" s="3"/>
      <c r="AL470" s="7" t="s">
        <v>11150</v>
      </c>
      <c r="AM470" s="7" t="s">
        <v>11151</v>
      </c>
      <c r="AN470" s="7" t="s">
        <v>11152</v>
      </c>
      <c r="AO470" s="7" t="s">
        <v>11153</v>
      </c>
      <c r="AP470" s="3"/>
      <c r="AR470" s="7" t="s">
        <v>11154</v>
      </c>
      <c r="AS470" s="7" t="s">
        <v>11155</v>
      </c>
      <c r="AT470" s="3"/>
    </row>
    <row r="471" spans="1:47" ht="12.5" x14ac:dyDescent="0.25">
      <c r="A471" s="3" t="s">
        <v>46</v>
      </c>
      <c r="B471" s="21" t="str">
        <f>HYPERLINK("https://gerandofalcoes.my.salesforce.com/0014P00003YSpAL", "0014P00003YSpAL")</f>
        <v>0014P00003YSpAL</v>
      </c>
      <c r="C471" s="21" t="str">
        <f>HYPERLINK("https://gerandofalcoes.my.salesforce.com/0014P00003YSpALQA1", "0014P00003YSpALQA1")</f>
        <v>0014P00003YSpALQA1</v>
      </c>
      <c r="D471" s="3" t="s">
        <v>11156</v>
      </c>
      <c r="E471" s="3"/>
      <c r="F471" s="3" t="s">
        <v>11157</v>
      </c>
      <c r="G471" s="8">
        <v>44551</v>
      </c>
      <c r="H471" s="3">
        <v>245</v>
      </c>
      <c r="I471" s="3" t="s">
        <v>11158</v>
      </c>
      <c r="J471" s="3" t="s">
        <v>11159</v>
      </c>
      <c r="K471" s="3" t="s">
        <v>11160</v>
      </c>
      <c r="L471" s="3" t="s">
        <v>84</v>
      </c>
      <c r="M471" s="3" t="s">
        <v>11161</v>
      </c>
      <c r="N471" s="3" t="s">
        <v>11162</v>
      </c>
      <c r="O471" s="3">
        <v>620</v>
      </c>
      <c r="P471" s="3" t="s">
        <v>5167</v>
      </c>
      <c r="Q471" s="3"/>
      <c r="R471" s="3" t="s">
        <v>5169</v>
      </c>
      <c r="S471" s="3"/>
      <c r="T471" s="3" t="s">
        <v>11163</v>
      </c>
      <c r="U471" s="3" t="s">
        <v>8852</v>
      </c>
      <c r="V471" s="3" t="s">
        <v>9568</v>
      </c>
      <c r="W471" s="3">
        <v>1</v>
      </c>
      <c r="X471" s="3">
        <v>1</v>
      </c>
      <c r="Y471" s="3"/>
      <c r="AA471" s="3">
        <v>180</v>
      </c>
      <c r="AB471" s="6">
        <v>41038</v>
      </c>
      <c r="AC471" s="3" t="s">
        <v>62</v>
      </c>
      <c r="AD471" s="3">
        <v>7</v>
      </c>
      <c r="AE471" s="3">
        <v>3</v>
      </c>
      <c r="AF471" s="3">
        <v>6</v>
      </c>
      <c r="AG471" s="3" t="s">
        <v>11164</v>
      </c>
      <c r="AH471" s="3" t="s">
        <v>11165</v>
      </c>
      <c r="AI471" s="3">
        <v>83455</v>
      </c>
      <c r="AJ471" s="3"/>
      <c r="AK471" s="3"/>
      <c r="AL471" s="7" t="s">
        <v>11166</v>
      </c>
      <c r="AM471" s="7" t="s">
        <v>11167</v>
      </c>
      <c r="AN471" s="7" t="s">
        <v>11168</v>
      </c>
      <c r="AO471" s="7" t="s">
        <v>11169</v>
      </c>
      <c r="AP471" s="3"/>
      <c r="AR471" s="7" t="s">
        <v>11170</v>
      </c>
      <c r="AS471" s="7" t="s">
        <v>11171</v>
      </c>
      <c r="AT471" s="3"/>
    </row>
    <row r="472" spans="1:47" ht="12.5" x14ac:dyDescent="0.25">
      <c r="A472" s="3" t="s">
        <v>46</v>
      </c>
      <c r="B472" s="21" t="str">
        <f>HYPERLINK("https://gerandofalcoes.my.salesforce.com/0014P00003YSpAM", "0014P00003YSpAM")</f>
        <v>0014P00003YSpAM</v>
      </c>
      <c r="C472" s="21" t="str">
        <f>HYPERLINK("https://gerandofalcoes.my.salesforce.com/0014P00003YSpAMQA1", "0014P00003YSpAMQA1")</f>
        <v>0014P00003YSpAMQA1</v>
      </c>
      <c r="D472" s="3" t="s">
        <v>11172</v>
      </c>
      <c r="E472" s="3" t="s">
        <v>11173</v>
      </c>
      <c r="F472" s="3" t="s">
        <v>11174</v>
      </c>
      <c r="G472" s="8">
        <v>44551</v>
      </c>
      <c r="H472" s="3">
        <v>245</v>
      </c>
      <c r="I472" s="3" t="s">
        <v>11175</v>
      </c>
      <c r="J472" s="3" t="s">
        <v>11176</v>
      </c>
      <c r="K472" s="3" t="s">
        <v>11177</v>
      </c>
      <c r="L472" s="3" t="s">
        <v>84</v>
      </c>
      <c r="M472" s="3" t="s">
        <v>11178</v>
      </c>
      <c r="N472" s="3" t="s">
        <v>4515</v>
      </c>
      <c r="O472" s="3">
        <v>98</v>
      </c>
      <c r="P472" s="3" t="s">
        <v>4516</v>
      </c>
      <c r="R472" s="3" t="s">
        <v>4517</v>
      </c>
      <c r="S472" s="3"/>
      <c r="T472" s="3" t="s">
        <v>11179</v>
      </c>
      <c r="U472" s="3" t="s">
        <v>11180</v>
      </c>
      <c r="V472" s="3" t="s">
        <v>3890</v>
      </c>
      <c r="W472" s="3">
        <v>4</v>
      </c>
      <c r="X472" s="3">
        <v>4</v>
      </c>
      <c r="Y472" s="3"/>
      <c r="Z472" s="3"/>
      <c r="AA472" s="3">
        <v>200</v>
      </c>
      <c r="AB472" s="8">
        <v>44495</v>
      </c>
      <c r="AC472" s="3" t="s">
        <v>120</v>
      </c>
      <c r="AD472" s="3">
        <v>0</v>
      </c>
      <c r="AE472" s="3">
        <v>4</v>
      </c>
      <c r="AF472" s="3">
        <v>2</v>
      </c>
      <c r="AG472" s="3" t="s">
        <v>3801</v>
      </c>
      <c r="AH472" s="3">
        <v>0</v>
      </c>
      <c r="AI472" s="3">
        <v>8000</v>
      </c>
      <c r="AJ472" s="3"/>
      <c r="AK472" s="3"/>
      <c r="AL472" s="3"/>
      <c r="AM472" s="3" t="s">
        <v>11181</v>
      </c>
      <c r="AN472" s="3"/>
      <c r="AO472" s="7" t="s">
        <v>11182</v>
      </c>
      <c r="AP472" s="3"/>
      <c r="AR472" s="3"/>
      <c r="AS472" s="3"/>
      <c r="AT472" s="3"/>
    </row>
    <row r="473" spans="1:47" ht="12.5" x14ac:dyDescent="0.25">
      <c r="A473" s="3" t="s">
        <v>46</v>
      </c>
      <c r="B473" s="21" t="str">
        <f>HYPERLINK("https://gerandofalcoes.my.salesforce.com/0014P00003YSpP9", "0014P00003YSpP9")</f>
        <v>0014P00003YSpP9</v>
      </c>
      <c r="C473" s="21" t="str">
        <f>HYPERLINK("https://gerandofalcoes.my.salesforce.com/0014P00003YSpP9QAL", "0014P00003YSpP9QAL")</f>
        <v>0014P00003YSpP9QAL</v>
      </c>
      <c r="D473" s="3" t="s">
        <v>11183</v>
      </c>
      <c r="E473" s="3"/>
      <c r="F473" s="3" t="s">
        <v>11184</v>
      </c>
      <c r="G473" s="8">
        <v>44551</v>
      </c>
      <c r="H473" s="3">
        <v>245</v>
      </c>
      <c r="I473" s="3" t="s">
        <v>11185</v>
      </c>
      <c r="J473" s="3" t="s">
        <v>11186</v>
      </c>
      <c r="K473" s="3" t="s">
        <v>11187</v>
      </c>
      <c r="L473" s="3" t="s">
        <v>101</v>
      </c>
      <c r="M473" s="3" t="s">
        <v>11188</v>
      </c>
      <c r="N473" s="3" t="s">
        <v>11189</v>
      </c>
      <c r="O473" s="3">
        <v>611</v>
      </c>
      <c r="P473" s="3" t="s">
        <v>7083</v>
      </c>
      <c r="Q473" s="3"/>
      <c r="R473" s="3" t="s">
        <v>11190</v>
      </c>
      <c r="S473" s="3"/>
      <c r="T473" s="3" t="s">
        <v>11191</v>
      </c>
      <c r="U473" s="3" t="s">
        <v>11192</v>
      </c>
      <c r="V473" s="3" t="s">
        <v>11193</v>
      </c>
      <c r="W473" s="3">
        <v>13</v>
      </c>
      <c r="X473" s="3">
        <v>8</v>
      </c>
      <c r="Y473" s="3" t="s">
        <v>11194</v>
      </c>
      <c r="Z473" s="3"/>
      <c r="AA473" s="3">
        <v>12000</v>
      </c>
      <c r="AB473" s="8">
        <v>36504</v>
      </c>
      <c r="AC473" s="3" t="s">
        <v>62</v>
      </c>
      <c r="AD473" s="3">
        <v>0</v>
      </c>
      <c r="AE473" s="3">
        <v>16</v>
      </c>
      <c r="AF473" s="3">
        <v>2</v>
      </c>
      <c r="AG473" s="3" t="s">
        <v>9074</v>
      </c>
      <c r="AH473" s="3" t="s">
        <v>120</v>
      </c>
      <c r="AI473" s="3">
        <v>24000</v>
      </c>
      <c r="AJ473" s="3"/>
      <c r="AK473" s="3"/>
      <c r="AL473" s="7" t="s">
        <v>11195</v>
      </c>
      <c r="AM473" s="7" t="s">
        <v>11196</v>
      </c>
      <c r="AN473" s="7" t="s">
        <v>11197</v>
      </c>
      <c r="AO473" s="7" t="s">
        <v>11198</v>
      </c>
      <c r="AP473" s="3"/>
      <c r="AR473" s="7" t="s">
        <v>11199</v>
      </c>
      <c r="AS473" s="7" t="s">
        <v>11200</v>
      </c>
      <c r="AT473" s="3"/>
    </row>
    <row r="474" spans="1:47" ht="12.5" x14ac:dyDescent="0.25">
      <c r="A474" s="3" t="s">
        <v>152</v>
      </c>
      <c r="B474" s="21" t="str">
        <f>HYPERLINK("https://gerandofalcoes.my.salesforce.com/0014P00003AN2GI", "0014P00003AN2GI")</f>
        <v>0014P00003AN2GI</v>
      </c>
      <c r="C474" s="21" t="str">
        <f>HYPERLINK("https://gerandofalcoes.my.salesforce.com/0014P00003AN2GIQA1", "0014P00003AN2GIQA1")</f>
        <v>0014P00003AN2GIQA1</v>
      </c>
      <c r="D474" s="3" t="s">
        <v>190</v>
      </c>
      <c r="E474" s="3" t="s">
        <v>191</v>
      </c>
      <c r="F474" s="3" t="s">
        <v>192</v>
      </c>
      <c r="G474" s="6">
        <v>44075</v>
      </c>
      <c r="H474" s="3">
        <v>721</v>
      </c>
      <c r="I474" s="3"/>
      <c r="J474" s="3" t="s">
        <v>193</v>
      </c>
      <c r="K474" s="3" t="s">
        <v>194</v>
      </c>
      <c r="L474" s="3" t="s">
        <v>195</v>
      </c>
      <c r="M474" s="3" t="s">
        <v>11201</v>
      </c>
      <c r="N474" s="3" t="s">
        <v>7460</v>
      </c>
      <c r="O474" s="3" t="s">
        <v>11202</v>
      </c>
      <c r="P474" s="3" t="s">
        <v>6725</v>
      </c>
      <c r="Q474" s="3"/>
      <c r="R474" s="3" t="s">
        <v>11203</v>
      </c>
      <c r="S474" s="3" t="s">
        <v>198</v>
      </c>
      <c r="T474" s="3" t="s">
        <v>11204</v>
      </c>
      <c r="U474" s="3" t="s">
        <v>8880</v>
      </c>
      <c r="V474" s="3" t="s">
        <v>11205</v>
      </c>
      <c r="W474" s="3">
        <v>1</v>
      </c>
      <c r="X474" s="3">
        <v>1</v>
      </c>
      <c r="Y474" s="3" t="s">
        <v>198</v>
      </c>
      <c r="Z474" s="3"/>
      <c r="AA474" s="3"/>
      <c r="AB474" s="6">
        <v>40678</v>
      </c>
      <c r="AC474" s="3" t="s">
        <v>120</v>
      </c>
      <c r="AD474" s="3">
        <v>5</v>
      </c>
      <c r="AE474" s="3">
        <v>12</v>
      </c>
      <c r="AF474" s="3">
        <v>3</v>
      </c>
      <c r="AG474" s="3" t="s">
        <v>11206</v>
      </c>
      <c r="AH474" s="3" t="s">
        <v>201</v>
      </c>
      <c r="AI474" s="3">
        <v>133580.48000000001</v>
      </c>
      <c r="AJ474" s="3" t="s">
        <v>120</v>
      </c>
      <c r="AK474" s="3" t="s">
        <v>120</v>
      </c>
      <c r="AL474" s="7" t="s">
        <v>11207</v>
      </c>
      <c r="AM474" s="7" t="s">
        <v>11208</v>
      </c>
      <c r="AN474" s="7" t="s">
        <v>11209</v>
      </c>
      <c r="AO474" s="7" t="s">
        <v>11210</v>
      </c>
      <c r="AP474" s="3" t="s">
        <v>206</v>
      </c>
      <c r="AR474" s="3"/>
      <c r="AS474" s="7" t="s">
        <v>11211</v>
      </c>
      <c r="AT474" s="7" t="s">
        <v>11212</v>
      </c>
    </row>
    <row r="475" spans="1:47" ht="12.5" x14ac:dyDescent="0.25">
      <c r="A475" s="3" t="s">
        <v>152</v>
      </c>
      <c r="B475" s="21" t="str">
        <f>HYPERLINK("https://gerandofalcoes.my.salesforce.com/0014P00003AN2GJ", "0014P00003AN2GJ")</f>
        <v>0014P00003AN2GJ</v>
      </c>
      <c r="C475" s="21" t="str">
        <f>HYPERLINK("https://gerandofalcoes.my.salesforce.com/0014P00003AN2GJQA1", "0014P00003AN2GJQA1")</f>
        <v>0014P00003AN2GJQA1</v>
      </c>
      <c r="D475" s="3" t="s">
        <v>208</v>
      </c>
      <c r="E475" s="3" t="s">
        <v>209</v>
      </c>
      <c r="F475" s="3" t="s">
        <v>210</v>
      </c>
      <c r="G475" s="6">
        <v>44075</v>
      </c>
      <c r="H475" s="3">
        <v>721</v>
      </c>
      <c r="I475" s="3"/>
      <c r="J475" s="3" t="s">
        <v>211</v>
      </c>
      <c r="K475" s="3" t="s">
        <v>212</v>
      </c>
      <c r="L475" s="3" t="s">
        <v>70</v>
      </c>
      <c r="M475" s="3" t="s">
        <v>11213</v>
      </c>
      <c r="N475" s="3"/>
      <c r="O475" s="3" t="s">
        <v>11214</v>
      </c>
      <c r="P475" s="3" t="s">
        <v>6367</v>
      </c>
      <c r="Q475" s="3"/>
      <c r="R475" s="3" t="s">
        <v>11215</v>
      </c>
      <c r="S475" s="3" t="s">
        <v>214</v>
      </c>
      <c r="T475" s="3" t="s">
        <v>11216</v>
      </c>
      <c r="U475" s="3" t="s">
        <v>3799</v>
      </c>
      <c r="V475" s="3" t="s">
        <v>11217</v>
      </c>
      <c r="W475" s="3">
        <v>2</v>
      </c>
      <c r="X475" s="3">
        <v>5</v>
      </c>
      <c r="Y475" s="3"/>
      <c r="Z475" s="3"/>
      <c r="AA475" s="3"/>
      <c r="AB475" s="8">
        <v>41922</v>
      </c>
      <c r="AC475" s="3" t="s">
        <v>62</v>
      </c>
      <c r="AD475" s="3">
        <v>10</v>
      </c>
      <c r="AE475" s="3">
        <v>3</v>
      </c>
      <c r="AF475" s="3">
        <v>2</v>
      </c>
      <c r="AG475" s="3" t="s">
        <v>11218</v>
      </c>
      <c r="AH475" s="3" t="s">
        <v>219</v>
      </c>
      <c r="AI475" s="3">
        <v>786451.23</v>
      </c>
      <c r="AJ475" s="3" t="s">
        <v>120</v>
      </c>
      <c r="AK475" s="3" t="s">
        <v>120</v>
      </c>
      <c r="AL475" s="7" t="s">
        <v>11219</v>
      </c>
      <c r="AM475" s="7" t="s">
        <v>9242</v>
      </c>
      <c r="AN475" s="7" t="s">
        <v>11220</v>
      </c>
      <c r="AO475" s="7" t="s">
        <v>11221</v>
      </c>
      <c r="AP475" s="3" t="s">
        <v>223</v>
      </c>
      <c r="AQ475" s="3"/>
      <c r="AS475" s="7" t="s">
        <v>11222</v>
      </c>
      <c r="AT475" s="7" t="s">
        <v>11223</v>
      </c>
    </row>
    <row r="476" spans="1:47" ht="12.5" x14ac:dyDescent="0.25">
      <c r="A476" s="3" t="s">
        <v>152</v>
      </c>
      <c r="B476" s="21" t="str">
        <f>HYPERLINK("https://gerandofalcoes.my.salesforce.com/0014P00003AN2GK", "0014P00003AN2GK")</f>
        <v>0014P00003AN2GK</v>
      </c>
      <c r="C476" s="21" t="str">
        <f>HYPERLINK("https://gerandofalcoes.my.salesforce.com/0014P00003AN2GKQA1", "0014P00003AN2GKQA1")</f>
        <v>0014P00003AN2GKQA1</v>
      </c>
      <c r="D476" s="3" t="s">
        <v>154</v>
      </c>
      <c r="E476" s="3" t="s">
        <v>155</v>
      </c>
      <c r="F476" s="3" t="s">
        <v>156</v>
      </c>
      <c r="G476" s="6">
        <v>43922</v>
      </c>
      <c r="H476" s="3">
        <v>874</v>
      </c>
      <c r="I476" s="3"/>
      <c r="J476" s="3" t="s">
        <v>157</v>
      </c>
      <c r="K476" s="3" t="s">
        <v>158</v>
      </c>
      <c r="L476" s="3" t="s">
        <v>101</v>
      </c>
      <c r="M476" s="3" t="s">
        <v>11224</v>
      </c>
      <c r="N476" s="3" t="s">
        <v>11225</v>
      </c>
      <c r="O476" s="3" t="s">
        <v>11226</v>
      </c>
      <c r="P476" s="3" t="s">
        <v>128</v>
      </c>
      <c r="Q476" s="3"/>
      <c r="R476" s="3" t="s">
        <v>11227</v>
      </c>
      <c r="S476" s="3" t="s">
        <v>160</v>
      </c>
      <c r="T476" s="3" t="s">
        <v>10803</v>
      </c>
      <c r="U476" s="3" t="s">
        <v>11228</v>
      </c>
      <c r="V476" s="3" t="s">
        <v>9568</v>
      </c>
      <c r="W476" s="3">
        <v>4</v>
      </c>
      <c r="X476" s="3">
        <v>4</v>
      </c>
      <c r="Y476" s="3"/>
      <c r="Z476" s="3"/>
      <c r="AA476" s="3"/>
      <c r="AB476" s="6">
        <v>43292</v>
      </c>
      <c r="AC476" s="3" t="s">
        <v>62</v>
      </c>
      <c r="AD476" s="3">
        <v>22</v>
      </c>
      <c r="AE476" s="3">
        <v>20</v>
      </c>
      <c r="AF476" s="3">
        <v>5</v>
      </c>
      <c r="AG476" s="3" t="s">
        <v>11229</v>
      </c>
      <c r="AH476" s="3" t="s">
        <v>164</v>
      </c>
      <c r="AI476" s="3">
        <v>1314918.45</v>
      </c>
      <c r="AJ476" s="3"/>
      <c r="AK476" s="3" t="s">
        <v>120</v>
      </c>
      <c r="AL476" s="7" t="s">
        <v>11230</v>
      </c>
      <c r="AM476" s="7" t="s">
        <v>11231</v>
      </c>
      <c r="AN476" s="7" t="s">
        <v>11232</v>
      </c>
      <c r="AO476" s="7" t="s">
        <v>11233</v>
      </c>
      <c r="AP476" s="3" t="s">
        <v>169</v>
      </c>
      <c r="AR476" s="3"/>
      <c r="AS476" s="7" t="s">
        <v>11234</v>
      </c>
      <c r="AT476" s="3"/>
      <c r="AU476" s="3"/>
    </row>
    <row r="477" spans="1:47" ht="12.5" x14ac:dyDescent="0.25">
      <c r="A477" s="3" t="s">
        <v>152</v>
      </c>
      <c r="B477" s="21" t="str">
        <f>HYPERLINK("https://gerandofalcoes.my.salesforce.com/0014P00003AN2GL", "0014P00003AN2GL")</f>
        <v>0014P00003AN2GL</v>
      </c>
      <c r="C477" s="21" t="str">
        <f>HYPERLINK("https://gerandofalcoes.my.salesforce.com/0014P00003AN2GLQA1", "0014P00003AN2GLQA1")</f>
        <v>0014P00003AN2GLQA1</v>
      </c>
      <c r="D477" s="3" t="s">
        <v>171</v>
      </c>
      <c r="E477" s="3" t="s">
        <v>172</v>
      </c>
      <c r="F477" s="3" t="s">
        <v>173</v>
      </c>
      <c r="G477" s="6">
        <v>44075</v>
      </c>
      <c r="H477" s="3">
        <v>721</v>
      </c>
      <c r="I477" s="3"/>
      <c r="J477" s="3" t="s">
        <v>174</v>
      </c>
      <c r="K477" s="3" t="s">
        <v>175</v>
      </c>
      <c r="L477" s="3" t="s">
        <v>84</v>
      </c>
      <c r="M477" s="3" t="s">
        <v>11235</v>
      </c>
      <c r="N477" s="3"/>
      <c r="O477" s="3" t="s">
        <v>11236</v>
      </c>
      <c r="P477" s="3" t="s">
        <v>6077</v>
      </c>
      <c r="Q477" s="3"/>
      <c r="R477" s="3" t="s">
        <v>11237</v>
      </c>
      <c r="S477" s="3" t="s">
        <v>178</v>
      </c>
      <c r="T477" s="3" t="s">
        <v>11238</v>
      </c>
      <c r="U477" s="3" t="s">
        <v>9005</v>
      </c>
      <c r="V477" s="3" t="s">
        <v>3800</v>
      </c>
      <c r="W477" s="3">
        <v>2</v>
      </c>
      <c r="X477" s="3">
        <v>2</v>
      </c>
      <c r="Y477" s="3"/>
      <c r="Z477" s="3"/>
      <c r="AA477" s="3"/>
      <c r="AB477" s="6">
        <v>35293</v>
      </c>
      <c r="AC477" s="3" t="s">
        <v>62</v>
      </c>
      <c r="AD477" s="3">
        <v>13</v>
      </c>
      <c r="AE477" s="3">
        <v>12</v>
      </c>
      <c r="AF477" s="3">
        <v>4</v>
      </c>
      <c r="AG477" s="3" t="s">
        <v>11239</v>
      </c>
      <c r="AH477" s="3" t="s">
        <v>11240</v>
      </c>
      <c r="AI477" s="3">
        <v>154904.04</v>
      </c>
      <c r="AJ477" s="3" t="s">
        <v>62</v>
      </c>
      <c r="AK477" s="3" t="s">
        <v>62</v>
      </c>
      <c r="AL477" s="7" t="s">
        <v>11241</v>
      </c>
      <c r="AM477" s="7" t="s">
        <v>11242</v>
      </c>
      <c r="AN477" s="7" t="s">
        <v>11243</v>
      </c>
      <c r="AO477" s="7" t="s">
        <v>11244</v>
      </c>
      <c r="AP477" s="7" t="s">
        <v>188</v>
      </c>
      <c r="AR477" s="3"/>
      <c r="AS477" s="3"/>
      <c r="AT477" s="3"/>
      <c r="AU477" s="3"/>
    </row>
    <row r="478" spans="1:47" ht="12.5" x14ac:dyDescent="0.25">
      <c r="A478" s="3" t="s">
        <v>152</v>
      </c>
      <c r="B478" s="21" t="str">
        <f>HYPERLINK("https://gerandofalcoes.my.salesforce.com/0014P00003AN2GM", "0014P00003AN2GM")</f>
        <v>0014P00003AN2GM</v>
      </c>
      <c r="C478" s="21" t="str">
        <f>HYPERLINK("https://gerandofalcoes.my.salesforce.com/0014P00003AN2GMQA1", "0014P00003AN2GMQA1")</f>
        <v>0014P00003AN2GMQA1</v>
      </c>
      <c r="D478" s="3" t="s">
        <v>241</v>
      </c>
      <c r="E478" s="3" t="s">
        <v>242</v>
      </c>
      <c r="F478" s="3" t="s">
        <v>243</v>
      </c>
      <c r="G478" s="8">
        <v>44158</v>
      </c>
      <c r="H478" s="3">
        <v>638</v>
      </c>
      <c r="I478" s="3"/>
      <c r="J478" s="3" t="s">
        <v>244</v>
      </c>
      <c r="K478" s="3" t="s">
        <v>245</v>
      </c>
      <c r="L478" s="3" t="s">
        <v>246</v>
      </c>
      <c r="M478" s="3" t="s">
        <v>11245</v>
      </c>
      <c r="N478" s="3"/>
      <c r="O478" s="3" t="s">
        <v>11246</v>
      </c>
      <c r="P478" s="3" t="s">
        <v>248</v>
      </c>
      <c r="R478" s="3" t="s">
        <v>11247</v>
      </c>
      <c r="S478" s="3" t="s">
        <v>249</v>
      </c>
      <c r="T478" s="3" t="s">
        <v>2933</v>
      </c>
      <c r="U478" s="3" t="s">
        <v>5233</v>
      </c>
      <c r="V478" s="3" t="s">
        <v>3800</v>
      </c>
      <c r="W478" s="3">
        <v>2</v>
      </c>
      <c r="X478" s="3">
        <v>2</v>
      </c>
      <c r="Y478" s="3"/>
      <c r="Z478" s="3">
        <v>100</v>
      </c>
      <c r="AA478" s="3"/>
      <c r="AB478" s="6">
        <v>43319</v>
      </c>
      <c r="AC478" s="3" t="s">
        <v>62</v>
      </c>
      <c r="AD478" s="3">
        <v>7</v>
      </c>
      <c r="AE478" s="3">
        <v>9</v>
      </c>
      <c r="AF478" s="3">
        <v>2</v>
      </c>
      <c r="AG478" s="3" t="s">
        <v>10723</v>
      </c>
      <c r="AH478" s="3" t="s">
        <v>252</v>
      </c>
      <c r="AI478" s="3">
        <v>225804.57</v>
      </c>
      <c r="AJ478" s="3" t="s">
        <v>120</v>
      </c>
      <c r="AK478" s="3" t="s">
        <v>120</v>
      </c>
      <c r="AL478" s="7" t="s">
        <v>11248</v>
      </c>
      <c r="AM478" s="7" t="s">
        <v>11249</v>
      </c>
      <c r="AN478" s="7" t="s">
        <v>11250</v>
      </c>
      <c r="AO478" s="7" t="s">
        <v>11251</v>
      </c>
      <c r="AP478" s="7" t="s">
        <v>258</v>
      </c>
      <c r="AQ478" s="3"/>
      <c r="AR478" s="3"/>
      <c r="AS478" s="3"/>
      <c r="AT478" s="3"/>
    </row>
    <row r="479" spans="1:47" ht="12.5" x14ac:dyDescent="0.25">
      <c r="A479" s="3" t="s">
        <v>152</v>
      </c>
      <c r="B479" s="21" t="str">
        <f>HYPERLINK("https://gerandofalcoes.my.salesforce.com/0014P00003AN2GN", "0014P00003AN2GN")</f>
        <v>0014P00003AN2GN</v>
      </c>
      <c r="C479" s="21" t="str">
        <f>HYPERLINK("https://gerandofalcoes.my.salesforce.com/0014P00003AN2GNQA1", "0014P00003AN2GNQA1")</f>
        <v>0014P00003AN2GNQA1</v>
      </c>
      <c r="D479" s="3" t="s">
        <v>260</v>
      </c>
      <c r="E479" s="3" t="s">
        <v>261</v>
      </c>
      <c r="F479" s="3" t="s">
        <v>262</v>
      </c>
      <c r="G479" s="6">
        <v>43922</v>
      </c>
      <c r="H479" s="3">
        <v>874</v>
      </c>
      <c r="I479" s="3"/>
      <c r="J479" s="3" t="s">
        <v>263</v>
      </c>
      <c r="K479" s="3" t="s">
        <v>264</v>
      </c>
      <c r="L479" s="3" t="s">
        <v>84</v>
      </c>
      <c r="M479" s="3" t="s">
        <v>265</v>
      </c>
      <c r="N479" s="3"/>
      <c r="O479" s="3" t="s">
        <v>11252</v>
      </c>
      <c r="P479" s="3" t="s">
        <v>11253</v>
      </c>
      <c r="Q479" s="3"/>
      <c r="R479" s="3" t="s">
        <v>11254</v>
      </c>
      <c r="S479" s="3"/>
      <c r="T479" s="3" t="s">
        <v>11255</v>
      </c>
      <c r="U479" s="3" t="s">
        <v>9005</v>
      </c>
      <c r="V479" s="3" t="s">
        <v>3800</v>
      </c>
      <c r="W479" s="3">
        <v>10</v>
      </c>
      <c r="X479" s="3">
        <v>10</v>
      </c>
      <c r="Y479" s="3" t="s">
        <v>268</v>
      </c>
      <c r="Z479" s="3"/>
      <c r="AA479" s="3"/>
      <c r="AB479" s="6">
        <v>42522</v>
      </c>
      <c r="AC479" s="3" t="s">
        <v>62</v>
      </c>
      <c r="AD479" s="3">
        <v>22</v>
      </c>
      <c r="AE479" s="3">
        <v>23</v>
      </c>
      <c r="AF479" s="3">
        <v>4</v>
      </c>
      <c r="AG479" s="3" t="s">
        <v>11256</v>
      </c>
      <c r="AH479" s="3" t="s">
        <v>11257</v>
      </c>
      <c r="AI479" s="3">
        <v>392688.36</v>
      </c>
      <c r="AJ479" s="3" t="s">
        <v>62</v>
      </c>
      <c r="AK479" s="3" t="s">
        <v>62</v>
      </c>
      <c r="AL479" s="7" t="s">
        <v>11258</v>
      </c>
      <c r="AM479" s="7" t="s">
        <v>11259</v>
      </c>
      <c r="AN479" s="3"/>
      <c r="AO479" s="7" t="s">
        <v>11260</v>
      </c>
      <c r="AP479" s="3" t="s">
        <v>273</v>
      </c>
      <c r="AR479" s="3"/>
      <c r="AS479" s="3"/>
      <c r="AT479" s="3"/>
      <c r="AU479" s="3"/>
    </row>
    <row r="480" spans="1:47" ht="12.5" x14ac:dyDescent="0.25">
      <c r="A480" s="3" t="s">
        <v>152</v>
      </c>
      <c r="B480" s="21" t="str">
        <f>HYPERLINK("https://gerandofalcoes.my.salesforce.com/0014P00003AN2GO", "0014P00003AN2GO")</f>
        <v>0014P00003AN2GO</v>
      </c>
      <c r="C480" s="21" t="str">
        <f>HYPERLINK("https://gerandofalcoes.my.salesforce.com/0014P00003AN2GOQA1", "0014P00003AN2GOQA1")</f>
        <v>0014P00003AN2GOQA1</v>
      </c>
      <c r="D480" s="3" t="s">
        <v>275</v>
      </c>
      <c r="E480" s="3" t="s">
        <v>276</v>
      </c>
      <c r="F480" s="3" t="s">
        <v>277</v>
      </c>
      <c r="G480" s="6">
        <v>44474</v>
      </c>
      <c r="H480" s="3">
        <v>322</v>
      </c>
      <c r="I480" s="3"/>
      <c r="J480" s="3" t="s">
        <v>278</v>
      </c>
      <c r="K480" s="3" t="s">
        <v>279</v>
      </c>
      <c r="L480" s="3" t="s">
        <v>280</v>
      </c>
      <c r="M480" s="3" t="s">
        <v>11261</v>
      </c>
      <c r="N480" s="3" t="s">
        <v>11262</v>
      </c>
      <c r="O480" s="3" t="s">
        <v>11263</v>
      </c>
      <c r="P480" s="3" t="s">
        <v>282</v>
      </c>
      <c r="R480" s="3" t="s">
        <v>11264</v>
      </c>
      <c r="S480" s="3"/>
      <c r="T480" s="3" t="s">
        <v>11265</v>
      </c>
      <c r="U480" s="3" t="s">
        <v>9005</v>
      </c>
      <c r="V480" s="3" t="s">
        <v>3890</v>
      </c>
      <c r="W480" s="3">
        <v>13</v>
      </c>
      <c r="X480" s="3">
        <v>13</v>
      </c>
      <c r="Y480" s="3"/>
      <c r="AA480" s="3"/>
      <c r="AB480" s="6">
        <v>34559</v>
      </c>
      <c r="AC480" s="3" t="s">
        <v>62</v>
      </c>
      <c r="AD480" s="3">
        <v>10</v>
      </c>
      <c r="AE480" s="3">
        <v>4</v>
      </c>
      <c r="AF480" s="3">
        <v>3</v>
      </c>
      <c r="AG480" s="3" t="s">
        <v>11266</v>
      </c>
      <c r="AH480" s="3" t="s">
        <v>286</v>
      </c>
      <c r="AI480" s="3">
        <v>230836.02</v>
      </c>
      <c r="AJ480" s="3" t="s">
        <v>120</v>
      </c>
      <c r="AK480" s="3" t="s">
        <v>62</v>
      </c>
      <c r="AL480" s="7" t="s">
        <v>11267</v>
      </c>
      <c r="AM480" s="7" t="s">
        <v>11268</v>
      </c>
      <c r="AN480" s="7" t="s">
        <v>11269</v>
      </c>
      <c r="AO480" s="7" t="s">
        <v>11270</v>
      </c>
      <c r="AP480" s="3" t="s">
        <v>291</v>
      </c>
      <c r="AR480" s="3"/>
      <c r="AS480" s="7" t="s">
        <v>11271</v>
      </c>
      <c r="AT480" s="3"/>
    </row>
    <row r="481" spans="1:49" ht="12.5" x14ac:dyDescent="0.25">
      <c r="A481" s="3" t="s">
        <v>152</v>
      </c>
      <c r="B481" s="21" t="str">
        <f>HYPERLINK("https://gerandofalcoes.my.salesforce.com/0014P00003AN2GP", "0014P00003AN2GP")</f>
        <v>0014P00003AN2GP</v>
      </c>
      <c r="C481" s="21" t="str">
        <f>HYPERLINK("https://gerandofalcoes.my.salesforce.com/0014P00003AN2GPQA1", "0014P00003AN2GPQA1")</f>
        <v>0014P00003AN2GPQA1</v>
      </c>
      <c r="D481" s="3" t="s">
        <v>225</v>
      </c>
      <c r="E481" s="3" t="s">
        <v>226</v>
      </c>
      <c r="F481" s="3" t="s">
        <v>227</v>
      </c>
      <c r="G481" s="6">
        <v>43922</v>
      </c>
      <c r="H481" s="3">
        <v>874</v>
      </c>
      <c r="I481" s="3"/>
      <c r="J481" s="3" t="s">
        <v>228</v>
      </c>
      <c r="K481" s="3" t="s">
        <v>229</v>
      </c>
      <c r="L481" s="3" t="s">
        <v>51</v>
      </c>
      <c r="M481" s="3" t="s">
        <v>11272</v>
      </c>
      <c r="N481" s="3"/>
      <c r="O481" s="3" t="s">
        <v>11273</v>
      </c>
      <c r="P481" s="3" t="s">
        <v>231</v>
      </c>
      <c r="R481" s="3" t="s">
        <v>11274</v>
      </c>
      <c r="S481" s="3" t="s">
        <v>232</v>
      </c>
      <c r="T481" s="3" t="s">
        <v>11275</v>
      </c>
      <c r="U481" s="3" t="s">
        <v>3799</v>
      </c>
      <c r="V481" s="3" t="s">
        <v>3800</v>
      </c>
      <c r="W481" s="3">
        <v>12</v>
      </c>
      <c r="X481" s="3">
        <v>1</v>
      </c>
      <c r="Y481" s="3"/>
      <c r="AA481" s="3"/>
      <c r="AB481" s="6">
        <v>43146</v>
      </c>
      <c r="AC481" s="3" t="s">
        <v>62</v>
      </c>
      <c r="AD481" s="3">
        <v>33</v>
      </c>
      <c r="AE481" s="3">
        <v>14</v>
      </c>
      <c r="AF481" s="3">
        <v>4</v>
      </c>
      <c r="AG481" s="3" t="s">
        <v>11276</v>
      </c>
      <c r="AH481" s="3" t="s">
        <v>234</v>
      </c>
      <c r="AI481" s="3">
        <v>1500734.93</v>
      </c>
      <c r="AJ481" s="3" t="s">
        <v>120</v>
      </c>
      <c r="AK481" s="3" t="s">
        <v>120</v>
      </c>
      <c r="AL481" s="7" t="s">
        <v>11277</v>
      </c>
      <c r="AM481" s="7" t="s">
        <v>11278</v>
      </c>
      <c r="AN481" s="7" t="s">
        <v>11279</v>
      </c>
      <c r="AO481" s="7" t="s">
        <v>11280</v>
      </c>
      <c r="AP481" s="3" t="s">
        <v>239</v>
      </c>
      <c r="AS481" s="7" t="s">
        <v>11281</v>
      </c>
      <c r="AT481" s="7" t="s">
        <v>11282</v>
      </c>
    </row>
    <row r="482" spans="1:49" ht="12.5" x14ac:dyDescent="0.25">
      <c r="A482" s="3" t="s">
        <v>46</v>
      </c>
      <c r="B482" s="21" t="str">
        <f>HYPERLINK("https://gerandofalcoes.my.salesforce.com/0014P00003AN2et", "0014P00003AN2et")</f>
        <v>0014P00003AN2et</v>
      </c>
      <c r="C482" s="21" t="str">
        <f>HYPERLINK("https://gerandofalcoes.my.salesforce.com/0014P00003AN2etQAD", "0014P00003AN2etQAD")</f>
        <v>0014P00003AN2etQAD</v>
      </c>
      <c r="D482" s="3" t="s">
        <v>308</v>
      </c>
      <c r="E482" s="3"/>
      <c r="F482" s="3" t="s">
        <v>309</v>
      </c>
      <c r="G482" s="6">
        <v>44308</v>
      </c>
      <c r="H482" s="3">
        <v>488</v>
      </c>
      <c r="I482" s="3"/>
      <c r="J482" s="3"/>
      <c r="K482" s="3"/>
      <c r="L482" s="3" t="s">
        <v>310</v>
      </c>
      <c r="M482" s="3" t="s">
        <v>11283</v>
      </c>
      <c r="N482" s="3"/>
      <c r="O482" s="3" t="s">
        <v>11284</v>
      </c>
      <c r="P482" s="3" t="s">
        <v>2691</v>
      </c>
      <c r="R482" s="3" t="s">
        <v>11285</v>
      </c>
      <c r="S482" s="3" t="s">
        <v>312</v>
      </c>
      <c r="T482" s="3" t="s">
        <v>11286</v>
      </c>
      <c r="U482" s="3" t="s">
        <v>8895</v>
      </c>
      <c r="V482" s="3" t="s">
        <v>11287</v>
      </c>
      <c r="W482" s="3">
        <v>5</v>
      </c>
      <c r="X482" s="3">
        <v>5</v>
      </c>
      <c r="Y482" s="3" t="s">
        <v>315</v>
      </c>
      <c r="AA482" s="3"/>
      <c r="AB482" s="8">
        <v>38701</v>
      </c>
      <c r="AC482" s="3" t="s">
        <v>62</v>
      </c>
      <c r="AD482" s="3">
        <v>10</v>
      </c>
      <c r="AE482" s="3">
        <v>6</v>
      </c>
      <c r="AF482" s="3">
        <v>5</v>
      </c>
      <c r="AG482" s="3" t="s">
        <v>10398</v>
      </c>
      <c r="AH482" s="3" t="s">
        <v>11288</v>
      </c>
      <c r="AI482" s="3">
        <v>880000</v>
      </c>
      <c r="AJ482" s="3" t="s">
        <v>62</v>
      </c>
      <c r="AK482" s="3" t="s">
        <v>120</v>
      </c>
      <c r="AL482" s="7" t="s">
        <v>11289</v>
      </c>
      <c r="AM482" s="7" t="s">
        <v>11290</v>
      </c>
      <c r="AN482" s="3"/>
      <c r="AO482" s="7" t="s">
        <v>11291</v>
      </c>
      <c r="AP482" s="7" t="s">
        <v>318</v>
      </c>
      <c r="AS482" s="7" t="s">
        <v>11292</v>
      </c>
      <c r="AT482" s="3"/>
    </row>
    <row r="483" spans="1:49" ht="12.5" x14ac:dyDescent="0.25">
      <c r="A483" s="3" t="s">
        <v>46</v>
      </c>
      <c r="B483" s="21" t="str">
        <f>HYPERLINK("https://gerandofalcoes.my.salesforce.com/0014P00003AN2h4", "0014P00003AN2h4")</f>
        <v>0014P00003AN2h4</v>
      </c>
      <c r="C483" s="21" t="str">
        <f>HYPERLINK("https://gerandofalcoes.my.salesforce.com/0014P00003AN2h4QAD", "0014P00003AN2h4QAD")</f>
        <v>0014P00003AN2h4QAD</v>
      </c>
      <c r="D483" s="3" t="s">
        <v>320</v>
      </c>
      <c r="E483" s="3"/>
      <c r="F483" s="3" t="s">
        <v>321</v>
      </c>
      <c r="G483" s="6">
        <v>44230</v>
      </c>
      <c r="H483" s="3">
        <v>566</v>
      </c>
      <c r="I483" s="3"/>
      <c r="J483" s="3"/>
      <c r="K483" s="3"/>
      <c r="L483" s="3" t="s">
        <v>101</v>
      </c>
      <c r="M483" s="3" t="s">
        <v>11293</v>
      </c>
      <c r="N483" s="3"/>
      <c r="O483" s="3" t="s">
        <v>11294</v>
      </c>
      <c r="P483" s="3" t="s">
        <v>323</v>
      </c>
      <c r="Q483" s="3"/>
      <c r="R483" s="3" t="s">
        <v>11295</v>
      </c>
      <c r="S483" s="3" t="s">
        <v>324</v>
      </c>
      <c r="T483" s="3" t="s">
        <v>11296</v>
      </c>
      <c r="U483" s="3" t="s">
        <v>8895</v>
      </c>
      <c r="V483" s="3" t="s">
        <v>11297</v>
      </c>
      <c r="W483" s="3">
        <v>1</v>
      </c>
      <c r="X483" s="3">
        <v>1</v>
      </c>
      <c r="Y483" s="3"/>
      <c r="Z483" s="3"/>
      <c r="AA483" s="3"/>
      <c r="AB483" s="6">
        <v>39189</v>
      </c>
      <c r="AC483" s="3" t="s">
        <v>62</v>
      </c>
      <c r="AD483" s="3">
        <v>10</v>
      </c>
      <c r="AE483" s="3">
        <v>4</v>
      </c>
      <c r="AF483" s="3">
        <v>6</v>
      </c>
      <c r="AG483" s="3" t="s">
        <v>11298</v>
      </c>
      <c r="AH483" s="3" t="s">
        <v>11299</v>
      </c>
      <c r="AI483" s="3">
        <v>305700</v>
      </c>
      <c r="AJ483" s="3" t="s">
        <v>120</v>
      </c>
      <c r="AK483" s="3" t="s">
        <v>62</v>
      </c>
      <c r="AL483" s="7" t="s">
        <v>11300</v>
      </c>
      <c r="AM483" s="7" t="s">
        <v>11301</v>
      </c>
      <c r="AN483" s="3"/>
      <c r="AO483" s="7" t="s">
        <v>11302</v>
      </c>
      <c r="AP483" s="3" t="s">
        <v>330</v>
      </c>
      <c r="AQ483" s="3"/>
      <c r="AR483" s="3"/>
      <c r="AS483" s="7" t="s">
        <v>11303</v>
      </c>
      <c r="AT483" s="7" t="s">
        <v>11304</v>
      </c>
      <c r="AU483" s="3"/>
      <c r="AV483" s="3"/>
      <c r="AW483" s="3"/>
    </row>
    <row r="484" spans="1:49" ht="12.5" x14ac:dyDescent="0.25">
      <c r="A484" s="3" t="s">
        <v>152</v>
      </c>
      <c r="B484" s="21" t="str">
        <f>HYPERLINK("https://gerandofalcoes.my.salesforce.com/0014P00003AN2h5", "0014P00003AN2h5")</f>
        <v>0014P00003AN2h5</v>
      </c>
      <c r="C484" s="21" t="str">
        <f>HYPERLINK("https://gerandofalcoes.my.salesforce.com/0014P00003AN2h5QAD", "0014P00003AN2h5QAD")</f>
        <v>0014P00003AN2h5QAD</v>
      </c>
      <c r="D484" s="3" t="s">
        <v>332</v>
      </c>
      <c r="E484" s="3" t="s">
        <v>333</v>
      </c>
      <c r="F484" s="3" t="s">
        <v>334</v>
      </c>
      <c r="G484" s="6">
        <v>44253</v>
      </c>
      <c r="H484" s="3">
        <v>543</v>
      </c>
      <c r="I484" s="3"/>
      <c r="J484" s="3" t="s">
        <v>335</v>
      </c>
      <c r="K484" s="3" t="s">
        <v>11305</v>
      </c>
      <c r="L484" s="3" t="s">
        <v>310</v>
      </c>
      <c r="M484" s="3" t="s">
        <v>11306</v>
      </c>
      <c r="N484" s="3" t="s">
        <v>11307</v>
      </c>
      <c r="O484" s="3">
        <v>205</v>
      </c>
      <c r="P484" s="3" t="s">
        <v>338</v>
      </c>
      <c r="Q484" s="3"/>
      <c r="R484" s="3" t="s">
        <v>11308</v>
      </c>
      <c r="S484" s="3" t="s">
        <v>339</v>
      </c>
      <c r="T484" s="3" t="s">
        <v>11309</v>
      </c>
      <c r="U484" s="3" t="s">
        <v>8895</v>
      </c>
      <c r="V484" s="3" t="s">
        <v>3800</v>
      </c>
      <c r="W484" s="3">
        <v>11</v>
      </c>
      <c r="X484" s="3">
        <v>11</v>
      </c>
      <c r="Y484" s="3" t="s">
        <v>341</v>
      </c>
      <c r="Z484" s="3"/>
      <c r="AA484" s="3"/>
      <c r="AB484" s="6">
        <v>42999</v>
      </c>
      <c r="AC484" s="3" t="s">
        <v>62</v>
      </c>
      <c r="AD484" s="3">
        <v>25</v>
      </c>
      <c r="AE484" s="3">
        <v>150</v>
      </c>
      <c r="AF484" s="3">
        <v>3</v>
      </c>
      <c r="AG484" s="3" t="s">
        <v>11310</v>
      </c>
      <c r="AH484" s="3" t="s">
        <v>11311</v>
      </c>
      <c r="AI484" s="3">
        <v>1106859.57</v>
      </c>
      <c r="AJ484" s="3" t="s">
        <v>120</v>
      </c>
      <c r="AK484" s="3" t="s">
        <v>120</v>
      </c>
      <c r="AL484" s="7" t="s">
        <v>11312</v>
      </c>
      <c r="AM484" s="7" t="s">
        <v>11313</v>
      </c>
      <c r="AN484" s="7" t="s">
        <v>11314</v>
      </c>
      <c r="AO484" s="7" t="s">
        <v>11315</v>
      </c>
      <c r="AP484" s="3" t="s">
        <v>347</v>
      </c>
      <c r="AQ484" s="3"/>
      <c r="AS484" s="7" t="s">
        <v>11316</v>
      </c>
      <c r="AT484" s="7" t="s">
        <v>11317</v>
      </c>
      <c r="AU484" s="3"/>
    </row>
    <row r="485" spans="1:49" ht="12.5" x14ac:dyDescent="0.25">
      <c r="A485" s="3" t="s">
        <v>152</v>
      </c>
      <c r="B485" s="21" t="str">
        <f>HYPERLINK("https://gerandofalcoes.my.salesforce.com/0014P00003AN2h6", "0014P00003AN2h6")</f>
        <v>0014P00003AN2h6</v>
      </c>
      <c r="C485" s="21" t="str">
        <f>HYPERLINK("https://gerandofalcoes.my.salesforce.com/0014P00003AN2h6QAD", "0014P00003AN2h6QAD")</f>
        <v>0014P00003AN2h6QAD</v>
      </c>
      <c r="D485" s="3" t="s">
        <v>349</v>
      </c>
      <c r="E485" s="3" t="s">
        <v>350</v>
      </c>
      <c r="F485" s="3" t="s">
        <v>351</v>
      </c>
      <c r="G485" s="6">
        <v>44285</v>
      </c>
      <c r="H485" s="3">
        <v>511</v>
      </c>
      <c r="I485" s="3"/>
      <c r="J485" s="3" t="s">
        <v>11318</v>
      </c>
      <c r="K485" s="3" t="s">
        <v>353</v>
      </c>
      <c r="L485" s="3" t="s">
        <v>84</v>
      </c>
      <c r="M485" s="3" t="s">
        <v>354</v>
      </c>
      <c r="N485" s="3"/>
      <c r="O485" s="3" t="s">
        <v>11319</v>
      </c>
      <c r="P485" s="3" t="s">
        <v>11320</v>
      </c>
      <c r="Q485" s="3"/>
      <c r="R485" s="3" t="s">
        <v>11321</v>
      </c>
      <c r="S485" s="3" t="s">
        <v>356</v>
      </c>
      <c r="T485" s="3" t="s">
        <v>11322</v>
      </c>
      <c r="U485" s="3" t="s">
        <v>10522</v>
      </c>
      <c r="V485" s="3" t="s">
        <v>11323</v>
      </c>
      <c r="W485" s="3">
        <v>5</v>
      </c>
      <c r="X485" s="3">
        <v>5</v>
      </c>
      <c r="Y485" s="3"/>
      <c r="Z485" s="3"/>
      <c r="AA485" s="3"/>
      <c r="AB485" s="6">
        <v>42436</v>
      </c>
      <c r="AC485" s="3" t="s">
        <v>62</v>
      </c>
      <c r="AD485" s="3">
        <v>13</v>
      </c>
      <c r="AE485" s="3">
        <v>9</v>
      </c>
      <c r="AF485" s="3">
        <v>3</v>
      </c>
      <c r="AG485" s="3" t="s">
        <v>11324</v>
      </c>
      <c r="AH485" s="3" t="s">
        <v>11325</v>
      </c>
      <c r="AI485" s="3">
        <v>245092.99</v>
      </c>
      <c r="AJ485" s="3" t="s">
        <v>120</v>
      </c>
      <c r="AK485" s="3" t="s">
        <v>120</v>
      </c>
      <c r="AL485" s="7" t="s">
        <v>11326</v>
      </c>
      <c r="AM485" s="7" t="s">
        <v>11327</v>
      </c>
      <c r="AN485" s="7" t="s">
        <v>11328</v>
      </c>
      <c r="AO485" s="3"/>
      <c r="AP485" s="7" t="s">
        <v>364</v>
      </c>
      <c r="AQ485" s="3"/>
      <c r="AS485" s="7" t="s">
        <v>11329</v>
      </c>
      <c r="AT485" s="3"/>
      <c r="AU485" s="3"/>
    </row>
    <row r="486" spans="1:49" ht="12.5" x14ac:dyDescent="0.25">
      <c r="A486" s="3" t="s">
        <v>46</v>
      </c>
      <c r="B486" s="21" t="str">
        <f>HYPERLINK("https://gerandofalcoes.my.salesforce.com/0014P00003AN6yV", "0014P00003AN6yV")</f>
        <v>0014P00003AN6yV</v>
      </c>
      <c r="C486" s="21" t="str">
        <f>HYPERLINK("https://gerandofalcoes.my.salesforce.com/0014P00003AN6yVQAT", "0014P00003AN6yVQAT")</f>
        <v>0014P00003AN6yVQAT</v>
      </c>
      <c r="D486" s="3" t="s">
        <v>377</v>
      </c>
      <c r="E486" s="3"/>
      <c r="F486" s="3" t="s">
        <v>378</v>
      </c>
      <c r="G486" s="6">
        <v>44375</v>
      </c>
      <c r="H486" s="3">
        <v>421</v>
      </c>
      <c r="I486" s="3"/>
      <c r="J486" s="3"/>
      <c r="K486" s="3"/>
      <c r="L486" s="3" t="s">
        <v>379</v>
      </c>
      <c r="M486" s="3" t="s">
        <v>2676</v>
      </c>
      <c r="N486" s="3" t="s">
        <v>11330</v>
      </c>
      <c r="O486" s="3" t="s">
        <v>11331</v>
      </c>
      <c r="P486" s="3" t="s">
        <v>381</v>
      </c>
      <c r="Q486" s="3"/>
      <c r="R486" s="3" t="s">
        <v>11332</v>
      </c>
      <c r="S486" s="3"/>
      <c r="T486" s="3" t="s">
        <v>11333</v>
      </c>
      <c r="U486" s="3" t="s">
        <v>9005</v>
      </c>
      <c r="V486" s="3" t="s">
        <v>11334</v>
      </c>
      <c r="W486" s="3">
        <v>22</v>
      </c>
      <c r="X486" s="3">
        <v>22</v>
      </c>
      <c r="Y486" s="3" t="s">
        <v>11335</v>
      </c>
      <c r="Z486" s="3"/>
      <c r="AA486" s="3"/>
      <c r="AB486" s="6">
        <v>43360</v>
      </c>
      <c r="AC486" s="3" t="s">
        <v>62</v>
      </c>
      <c r="AD486" s="3">
        <v>0</v>
      </c>
      <c r="AE486" s="3">
        <v>21</v>
      </c>
      <c r="AF486" s="3">
        <v>3</v>
      </c>
      <c r="AG486" s="3" t="s">
        <v>9587</v>
      </c>
      <c r="AH486" s="3" t="s">
        <v>11336</v>
      </c>
      <c r="AI486" s="3">
        <v>25000</v>
      </c>
      <c r="AJ486" s="3" t="s">
        <v>120</v>
      </c>
      <c r="AK486" s="3" t="s">
        <v>120</v>
      </c>
      <c r="AL486" s="7" t="s">
        <v>11337</v>
      </c>
      <c r="AM486" s="7" t="s">
        <v>11338</v>
      </c>
      <c r="AN486" s="3"/>
      <c r="AO486" s="7" t="s">
        <v>11339</v>
      </c>
      <c r="AP486" s="3" t="s">
        <v>388</v>
      </c>
      <c r="AQ486" s="3"/>
      <c r="AR486" s="3"/>
      <c r="AS486" s="7" t="s">
        <v>11340</v>
      </c>
      <c r="AT486" s="3"/>
      <c r="AU486" s="3"/>
    </row>
    <row r="487" spans="1:49" ht="12.5" x14ac:dyDescent="0.25">
      <c r="A487" s="3" t="s">
        <v>46</v>
      </c>
      <c r="B487" s="21" t="str">
        <f>HYPERLINK("https://gerandofalcoes.my.salesforce.com/0014P00003AN72D", "0014P00003AN72D")</f>
        <v>0014P00003AN72D</v>
      </c>
      <c r="C487" s="21" t="str">
        <f>HYPERLINK("https://gerandofalcoes.my.salesforce.com/0014P00003AN72DQAT", "0014P00003AN72DQAT")</f>
        <v>0014P00003AN72DQAT</v>
      </c>
      <c r="D487" s="3" t="s">
        <v>390</v>
      </c>
      <c r="E487" s="3"/>
      <c r="F487" s="3" t="s">
        <v>391</v>
      </c>
      <c r="G487" s="8">
        <v>44151</v>
      </c>
      <c r="H487" s="3">
        <v>645</v>
      </c>
      <c r="I487" s="3"/>
      <c r="J487" s="3"/>
      <c r="K487" s="3"/>
      <c r="L487" s="3" t="s">
        <v>101</v>
      </c>
      <c r="M487" s="3" t="s">
        <v>11341</v>
      </c>
      <c r="N487" s="3"/>
      <c r="O487" s="3" t="s">
        <v>11342</v>
      </c>
      <c r="P487" s="3" t="s">
        <v>393</v>
      </c>
      <c r="Q487" s="3"/>
      <c r="R487" s="3" t="s">
        <v>394</v>
      </c>
      <c r="S487" s="3"/>
      <c r="T487" s="3" t="s">
        <v>11343</v>
      </c>
      <c r="U487" s="3" t="s">
        <v>3799</v>
      </c>
      <c r="V487" s="3" t="s">
        <v>3800</v>
      </c>
      <c r="W487" s="3">
        <v>7</v>
      </c>
      <c r="X487" s="3">
        <v>7</v>
      </c>
      <c r="Y487" s="3" t="s">
        <v>398</v>
      </c>
      <c r="Z487" s="3"/>
      <c r="AA487" s="3"/>
      <c r="AB487" s="6">
        <v>38600</v>
      </c>
      <c r="AC487" s="3" t="s">
        <v>62</v>
      </c>
      <c r="AD487" s="3">
        <v>35</v>
      </c>
      <c r="AE487" s="3">
        <v>30</v>
      </c>
      <c r="AF487" s="3">
        <v>5</v>
      </c>
      <c r="AG487" s="3" t="s">
        <v>11344</v>
      </c>
      <c r="AH487" s="3" t="s">
        <v>11345</v>
      </c>
      <c r="AI487" s="3">
        <v>1000000</v>
      </c>
      <c r="AJ487" s="3" t="s">
        <v>120</v>
      </c>
      <c r="AK487" s="3" t="s">
        <v>62</v>
      </c>
      <c r="AL487" s="7" t="s">
        <v>11346</v>
      </c>
      <c r="AM487" s="7" t="s">
        <v>11347</v>
      </c>
      <c r="AN487" s="3"/>
      <c r="AO487" s="7" t="s">
        <v>11348</v>
      </c>
      <c r="AP487" s="7" t="s">
        <v>400</v>
      </c>
      <c r="AQ487" s="3"/>
      <c r="AR487" s="3"/>
      <c r="AS487" s="7" t="s">
        <v>11349</v>
      </c>
      <c r="AT487" s="3"/>
      <c r="AU487" s="3"/>
      <c r="AV487" s="3"/>
      <c r="AW487" s="3"/>
    </row>
    <row r="488" spans="1:49" ht="12.5" x14ac:dyDescent="0.25">
      <c r="A488" s="3" t="s">
        <v>152</v>
      </c>
      <c r="B488" s="21" t="str">
        <f>HYPERLINK("https://gerandofalcoes.my.salesforce.com/0014P00003AN76y", "0014P00003AN76y")</f>
        <v>0014P00003AN76y</v>
      </c>
      <c r="C488" s="21" t="str">
        <f>HYPERLINK("https://gerandofalcoes.my.salesforce.com/0014P00003AN76yQAD", "0014P00003AN76yQAD")</f>
        <v>0014P00003AN76yQAD</v>
      </c>
      <c r="D488" s="3" t="s">
        <v>293</v>
      </c>
      <c r="E488" s="3" t="s">
        <v>293</v>
      </c>
      <c r="F488" s="3" t="s">
        <v>294</v>
      </c>
      <c r="G488" s="6">
        <v>44233</v>
      </c>
      <c r="H488" s="3">
        <v>563</v>
      </c>
      <c r="I488" s="3"/>
      <c r="J488" s="3"/>
      <c r="K488" s="3"/>
      <c r="L488" s="3" t="s">
        <v>295</v>
      </c>
      <c r="M488" s="3" t="s">
        <v>11350</v>
      </c>
      <c r="N488" s="3"/>
      <c r="O488" s="3" t="s">
        <v>11351</v>
      </c>
      <c r="P488" s="3" t="s">
        <v>297</v>
      </c>
      <c r="Q488" s="3"/>
      <c r="R488" s="3" t="s">
        <v>298</v>
      </c>
      <c r="S488" s="3"/>
      <c r="T488" s="3" t="s">
        <v>11179</v>
      </c>
      <c r="U488" s="3" t="s">
        <v>9152</v>
      </c>
      <c r="V488" s="3" t="s">
        <v>3800</v>
      </c>
      <c r="W488" s="3">
        <v>10</v>
      </c>
      <c r="X488" s="3">
        <v>10</v>
      </c>
      <c r="Y488" s="3"/>
      <c r="Z488" s="3"/>
      <c r="AA488" s="3"/>
      <c r="AB488" s="6">
        <v>41251</v>
      </c>
      <c r="AC488" s="3" t="s">
        <v>62</v>
      </c>
      <c r="AD488" s="3">
        <v>6</v>
      </c>
      <c r="AE488" s="3">
        <v>2</v>
      </c>
      <c r="AF488" s="3">
        <v>2</v>
      </c>
      <c r="AG488" s="3" t="s">
        <v>8830</v>
      </c>
      <c r="AH488" s="3" t="s">
        <v>302</v>
      </c>
      <c r="AI488" s="3">
        <v>80000</v>
      </c>
      <c r="AJ488" s="3" t="s">
        <v>120</v>
      </c>
      <c r="AK488" s="3" t="s">
        <v>120</v>
      </c>
      <c r="AL488" s="7" t="s">
        <v>11352</v>
      </c>
      <c r="AM488" s="7" t="s">
        <v>11353</v>
      </c>
      <c r="AN488" s="7" t="s">
        <v>11354</v>
      </c>
      <c r="AO488" s="7" t="s">
        <v>11355</v>
      </c>
      <c r="AP488" s="3"/>
      <c r="AQ488" s="3"/>
      <c r="AS488" s="7" t="s">
        <v>11356</v>
      </c>
      <c r="AT488" s="3"/>
      <c r="AU488" s="3"/>
    </row>
    <row r="489" spans="1:49" ht="12.5" x14ac:dyDescent="0.25">
      <c r="A489" s="3" t="s">
        <v>152</v>
      </c>
      <c r="B489" s="21" t="str">
        <f>HYPERLINK("https://gerandofalcoes.my.salesforce.com/0014P00003ERUfs", "0014P00003ERUfs")</f>
        <v>0014P00003ERUfs</v>
      </c>
      <c r="C489" s="21" t="str">
        <f>HYPERLINK("https://gerandofalcoes.my.salesforce.com/0014P00003ERUfsQAH", "0014P00003ERUfsQAH")</f>
        <v>0014P00003ERUfsQAH</v>
      </c>
      <c r="D489" s="3" t="s">
        <v>463</v>
      </c>
      <c r="E489" s="3" t="s">
        <v>464</v>
      </c>
      <c r="F489" s="3" t="s">
        <v>465</v>
      </c>
      <c r="G489" s="6">
        <v>44075</v>
      </c>
      <c r="H489" s="3">
        <v>721</v>
      </c>
      <c r="I489" s="3"/>
      <c r="J489" s="3" t="s">
        <v>466</v>
      </c>
      <c r="K489" s="3" t="s">
        <v>467</v>
      </c>
      <c r="L489" s="3" t="s">
        <v>468</v>
      </c>
      <c r="M489" s="3" t="s">
        <v>11357</v>
      </c>
      <c r="N489" s="3"/>
      <c r="O489" s="3" t="s">
        <v>11358</v>
      </c>
      <c r="P489" s="3" t="s">
        <v>470</v>
      </c>
      <c r="Q489" s="3"/>
      <c r="R489" s="3" t="s">
        <v>11359</v>
      </c>
      <c r="S489" s="3" t="s">
        <v>472</v>
      </c>
      <c r="T489" s="3" t="s">
        <v>11360</v>
      </c>
      <c r="U489" s="3" t="s">
        <v>11180</v>
      </c>
      <c r="V489" s="3" t="s">
        <v>9659</v>
      </c>
      <c r="W489" s="3">
        <v>5</v>
      </c>
      <c r="X489" s="3">
        <v>5</v>
      </c>
      <c r="Y489" s="3"/>
      <c r="Z489" s="3"/>
      <c r="AA489" s="3"/>
      <c r="AB489" s="6">
        <v>34211</v>
      </c>
      <c r="AC489" s="3" t="s">
        <v>62</v>
      </c>
      <c r="AD489" s="3">
        <v>30</v>
      </c>
      <c r="AE489" s="3">
        <v>4</v>
      </c>
      <c r="AF489" s="3">
        <v>4</v>
      </c>
      <c r="AG489" s="3" t="s">
        <v>11361</v>
      </c>
      <c r="AH489" s="3" t="s">
        <v>11362</v>
      </c>
      <c r="AI489" s="3">
        <v>155230.70000000001</v>
      </c>
      <c r="AJ489" s="3" t="s">
        <v>62</v>
      </c>
      <c r="AK489" s="3" t="s">
        <v>120</v>
      </c>
      <c r="AL489" s="7" t="s">
        <v>11363</v>
      </c>
      <c r="AM489" s="7" t="s">
        <v>11364</v>
      </c>
      <c r="AN489" s="7" t="s">
        <v>11365</v>
      </c>
      <c r="AO489" s="7" t="s">
        <v>11366</v>
      </c>
      <c r="AP489" s="3" t="s">
        <v>479</v>
      </c>
      <c r="AQ489" s="3"/>
      <c r="AR489" s="3"/>
      <c r="AS489" s="7" t="s">
        <v>11367</v>
      </c>
      <c r="AT489" s="7" t="s">
        <v>11368</v>
      </c>
      <c r="AU489" s="3"/>
    </row>
    <row r="490" spans="1:49" ht="12.5" x14ac:dyDescent="0.25">
      <c r="A490" s="3" t="s">
        <v>152</v>
      </c>
      <c r="B490" s="21" t="str">
        <f>HYPERLINK("https://gerandofalcoes.my.salesforce.com/0014P00003ERavo", "0014P00003ERavo")</f>
        <v>0014P00003ERavo</v>
      </c>
      <c r="C490" s="21" t="str">
        <f>HYPERLINK("https://gerandofalcoes.my.salesforce.com/0014P00003ERavoQAD", "0014P00003ERavoQAD")</f>
        <v>0014P00003ERavoQAD</v>
      </c>
      <c r="D490" s="3" t="s">
        <v>481</v>
      </c>
      <c r="E490" s="3" t="s">
        <v>482</v>
      </c>
      <c r="F490" s="3" t="s">
        <v>483</v>
      </c>
      <c r="G490" s="6">
        <v>44253</v>
      </c>
      <c r="H490" s="3">
        <v>543</v>
      </c>
      <c r="I490" s="3"/>
      <c r="J490" s="3" t="s">
        <v>484</v>
      </c>
      <c r="K490" s="3" t="s">
        <v>485</v>
      </c>
      <c r="L490" s="3" t="s">
        <v>101</v>
      </c>
      <c r="M490" s="3" t="s">
        <v>11369</v>
      </c>
      <c r="N490" s="3"/>
      <c r="O490" s="3" t="s">
        <v>11370</v>
      </c>
      <c r="P490" s="3" t="s">
        <v>128</v>
      </c>
      <c r="Q490" s="3"/>
      <c r="R490" s="3" t="s">
        <v>488</v>
      </c>
      <c r="S490" s="3" t="s">
        <v>489</v>
      </c>
      <c r="T490" s="3" t="s">
        <v>11371</v>
      </c>
      <c r="U490" s="3" t="s">
        <v>11228</v>
      </c>
      <c r="V490" s="3" t="s">
        <v>3800</v>
      </c>
      <c r="W490" s="3">
        <v>4</v>
      </c>
      <c r="X490" s="3">
        <v>4</v>
      </c>
      <c r="Y490" s="3" t="s">
        <v>492</v>
      </c>
      <c r="Z490" s="3"/>
      <c r="AA490" s="3"/>
      <c r="AB490" s="6">
        <v>40021</v>
      </c>
      <c r="AC490" s="3" t="s">
        <v>62</v>
      </c>
      <c r="AD490" s="3">
        <v>5</v>
      </c>
      <c r="AE490" s="3">
        <v>12</v>
      </c>
      <c r="AF490" s="3">
        <v>4</v>
      </c>
      <c r="AG490" s="3" t="s">
        <v>11372</v>
      </c>
      <c r="AH490" s="3" t="s">
        <v>11373</v>
      </c>
      <c r="AI490" s="3">
        <v>275378.40000000002</v>
      </c>
      <c r="AJ490" s="3" t="s">
        <v>120</v>
      </c>
      <c r="AK490" s="3" t="s">
        <v>120</v>
      </c>
      <c r="AL490" s="7" t="s">
        <v>11374</v>
      </c>
      <c r="AM490" s="7" t="s">
        <v>11375</v>
      </c>
      <c r="AN490" s="7" t="s">
        <v>11376</v>
      </c>
      <c r="AO490" s="7" t="s">
        <v>11377</v>
      </c>
      <c r="AP490" s="3" t="s">
        <v>498</v>
      </c>
      <c r="AQ490" s="3"/>
      <c r="AR490" s="3"/>
      <c r="AS490" s="7" t="s">
        <v>11378</v>
      </c>
      <c r="AT490" s="3"/>
      <c r="AU490" s="3"/>
    </row>
    <row r="491" spans="1:49" ht="12.5" x14ac:dyDescent="0.25">
      <c r="A491" s="3" t="s">
        <v>418</v>
      </c>
      <c r="B491" s="21" t="str">
        <f>HYPERLINK("https://gerandofalcoes.my.salesforce.com/0014P00003MjNTI", "0014P00003MjNTI")</f>
        <v>0014P00003MjNTI</v>
      </c>
      <c r="C491" s="21" t="str">
        <f>HYPERLINK("https://gerandofalcoes.my.salesforce.com/0014P00003MjNTIQA3", "0014P00003MjNTIQA3")</f>
        <v>0014P00003MjNTIQA3</v>
      </c>
      <c r="D491" s="3" t="s">
        <v>11379</v>
      </c>
      <c r="E491" s="3" t="s">
        <v>11380</v>
      </c>
      <c r="F491" s="3" t="s">
        <v>441</v>
      </c>
      <c r="G491" s="6">
        <v>40719</v>
      </c>
      <c r="H491" s="3">
        <v>4077</v>
      </c>
      <c r="I491" s="3"/>
      <c r="J491" s="3"/>
      <c r="K491" s="3"/>
      <c r="L491" s="3" t="s">
        <v>101</v>
      </c>
      <c r="M491" s="3" t="s">
        <v>442</v>
      </c>
      <c r="N491" s="3" t="s">
        <v>11381</v>
      </c>
      <c r="O491" s="3">
        <v>96</v>
      </c>
      <c r="P491" s="3" t="s">
        <v>443</v>
      </c>
      <c r="Q491" s="3"/>
      <c r="R491" s="3">
        <v>8554030</v>
      </c>
      <c r="S491" s="3" t="s">
        <v>445</v>
      </c>
      <c r="T491" s="3" t="s">
        <v>11382</v>
      </c>
      <c r="U491" s="3" t="s">
        <v>9152</v>
      </c>
      <c r="V491" s="3"/>
      <c r="W491" s="3">
        <v>5</v>
      </c>
      <c r="X491" s="3" t="s">
        <v>447</v>
      </c>
      <c r="Y491" s="3" t="s">
        <v>448</v>
      </c>
      <c r="Z491" s="3"/>
      <c r="AA491" s="3"/>
      <c r="AB491" s="6">
        <v>40719</v>
      </c>
      <c r="AC491" s="3" t="s">
        <v>62</v>
      </c>
      <c r="AD491" s="3">
        <v>10</v>
      </c>
      <c r="AE491" s="3"/>
      <c r="AF491" s="3"/>
      <c r="AG491" s="3"/>
      <c r="AH491" s="3"/>
      <c r="AI491" s="3"/>
      <c r="AJ491" s="3" t="s">
        <v>62</v>
      </c>
      <c r="AK491" s="3" t="s">
        <v>62</v>
      </c>
      <c r="AL491" s="7" t="s">
        <v>11383</v>
      </c>
      <c r="AM491" s="3"/>
      <c r="AN491" s="3"/>
      <c r="AO491" s="3"/>
      <c r="AP491" s="3"/>
      <c r="AQ491" s="3"/>
      <c r="AR491" s="3"/>
      <c r="AS491" s="3"/>
      <c r="AT491" s="3"/>
      <c r="AU491" s="3"/>
    </row>
    <row r="492" spans="1:49" ht="12.5" x14ac:dyDescent="0.25">
      <c r="A492" s="3" t="s">
        <v>418</v>
      </c>
      <c r="B492" s="21" t="str">
        <f>HYPERLINK("https://gerandofalcoes.my.salesforce.com/0014P00003MjOsq", "0014P00003MjOsq")</f>
        <v>0014P00003MjOsq</v>
      </c>
      <c r="C492" s="21" t="str">
        <f>HYPERLINK("https://gerandofalcoes.my.salesforce.com/0014P00003MjOsqQAF", "0014P00003MjOsqQAF")</f>
        <v>0014P00003MjOsqQAF</v>
      </c>
      <c r="D492" s="3" t="s">
        <v>11384</v>
      </c>
      <c r="E492" s="3" t="s">
        <v>11385</v>
      </c>
      <c r="F492" s="3" t="s">
        <v>422</v>
      </c>
      <c r="G492" s="6">
        <v>40719</v>
      </c>
      <c r="H492" s="3">
        <v>4077</v>
      </c>
      <c r="I492" s="3" t="s">
        <v>423</v>
      </c>
      <c r="J492" s="3" t="s">
        <v>453</v>
      </c>
      <c r="K492" s="3" t="s">
        <v>454</v>
      </c>
      <c r="L492" s="3" t="s">
        <v>101</v>
      </c>
      <c r="M492" s="3"/>
      <c r="N492" s="3"/>
      <c r="O492" s="3">
        <v>96</v>
      </c>
      <c r="P492" s="3" t="s">
        <v>393</v>
      </c>
      <c r="Q492" s="3"/>
      <c r="R492" s="3">
        <v>8675000</v>
      </c>
      <c r="S492" s="3"/>
      <c r="T492" s="3" t="s">
        <v>11386</v>
      </c>
      <c r="U492" s="3" t="s">
        <v>3799</v>
      </c>
      <c r="V492" s="3"/>
      <c r="W492" s="3">
        <v>4</v>
      </c>
      <c r="X492" s="3" t="s">
        <v>458</v>
      </c>
      <c r="Y492" s="3"/>
      <c r="Z492" s="3">
        <v>150</v>
      </c>
      <c r="AA492" s="3">
        <v>250</v>
      </c>
      <c r="AB492" s="6">
        <v>40719</v>
      </c>
      <c r="AC492" s="3" t="s">
        <v>62</v>
      </c>
      <c r="AD492" s="3">
        <v>6</v>
      </c>
      <c r="AE492" s="3">
        <v>0</v>
      </c>
      <c r="AF492" s="3">
        <v>1</v>
      </c>
      <c r="AG492" s="3" t="s">
        <v>11387</v>
      </c>
      <c r="AH492" s="3">
        <v>1</v>
      </c>
      <c r="AI492" s="3">
        <v>0</v>
      </c>
      <c r="AJ492" s="3" t="s">
        <v>62</v>
      </c>
      <c r="AK492" s="3" t="s">
        <v>62</v>
      </c>
      <c r="AL492" s="7" t="s">
        <v>11388</v>
      </c>
      <c r="AM492" s="7" t="s">
        <v>11389</v>
      </c>
      <c r="AN492" s="7" t="s">
        <v>11390</v>
      </c>
      <c r="AO492" s="7" t="s">
        <v>11391</v>
      </c>
      <c r="AP492" s="3"/>
      <c r="AQ492" s="7" t="s">
        <v>11392</v>
      </c>
      <c r="AR492" s="3"/>
      <c r="AS492" s="3"/>
      <c r="AT492" s="3"/>
      <c r="AU492" s="3"/>
      <c r="AV492" s="3"/>
      <c r="AW492" s="3"/>
    </row>
    <row r="493" spans="1:49" ht="12.5" x14ac:dyDescent="0.25">
      <c r="A493" s="3" t="s">
        <v>418</v>
      </c>
      <c r="B493" s="21" t="str">
        <f>HYPERLINK("https://gerandofalcoes.my.salesforce.com/0014P00003MjR9o", "0014P00003MjR9o")</f>
        <v>0014P00003MjR9o</v>
      </c>
      <c r="C493" s="21" t="str">
        <f>HYPERLINK("https://gerandofalcoes.my.salesforce.com/0014P00003MjR9oQAF", "0014P00003MjR9oQAF")</f>
        <v>0014P00003MjR9oQAF</v>
      </c>
      <c r="D493" s="3" t="s">
        <v>11393</v>
      </c>
      <c r="E493" s="3" t="s">
        <v>11394</v>
      </c>
      <c r="F493" s="3" t="s">
        <v>422</v>
      </c>
      <c r="G493" s="6">
        <v>40719</v>
      </c>
      <c r="H493" s="3">
        <v>4077</v>
      </c>
      <c r="I493" s="3" t="s">
        <v>423</v>
      </c>
      <c r="J493" s="3" t="s">
        <v>424</v>
      </c>
      <c r="K493" s="3" t="s">
        <v>425</v>
      </c>
      <c r="L493" s="3" t="s">
        <v>101</v>
      </c>
      <c r="M493" s="3" t="s">
        <v>11395</v>
      </c>
      <c r="N493" s="3" t="s">
        <v>11396</v>
      </c>
      <c r="O493" s="3">
        <v>97</v>
      </c>
      <c r="P493" s="3" t="s">
        <v>8273</v>
      </c>
      <c r="Q493" s="3" t="s">
        <v>11397</v>
      </c>
      <c r="R493" s="3" t="s">
        <v>11398</v>
      </c>
      <c r="S493" s="3"/>
      <c r="T493" s="3" t="s">
        <v>9467</v>
      </c>
      <c r="U493" s="3" t="s">
        <v>5233</v>
      </c>
      <c r="V493" s="3"/>
      <c r="W493" s="3">
        <v>5</v>
      </c>
      <c r="X493" s="3" t="s">
        <v>431</v>
      </c>
      <c r="Y493" s="3"/>
      <c r="Z493" s="3">
        <v>640</v>
      </c>
      <c r="AA493" s="3">
        <v>3200</v>
      </c>
      <c r="AB493" s="6">
        <v>43606</v>
      </c>
      <c r="AC493" s="3" t="s">
        <v>62</v>
      </c>
      <c r="AD493" s="3">
        <v>23</v>
      </c>
      <c r="AE493" s="3">
        <v>0</v>
      </c>
      <c r="AF493" s="3">
        <v>1</v>
      </c>
      <c r="AG493" s="3" t="s">
        <v>11387</v>
      </c>
      <c r="AH493" s="3" t="s">
        <v>433</v>
      </c>
      <c r="AI493" s="3">
        <v>0</v>
      </c>
      <c r="AJ493" s="3" t="s">
        <v>62</v>
      </c>
      <c r="AK493" s="3" t="s">
        <v>62</v>
      </c>
      <c r="AL493" s="7" t="s">
        <v>11388</v>
      </c>
      <c r="AM493" s="7" t="s">
        <v>11389</v>
      </c>
      <c r="AN493" s="7" t="s">
        <v>11399</v>
      </c>
      <c r="AO493" s="7" t="s">
        <v>11400</v>
      </c>
      <c r="AP493" s="3"/>
      <c r="AQ493" s="3"/>
      <c r="AR493" s="3"/>
      <c r="AS493" s="3"/>
      <c r="AT493" s="3"/>
      <c r="AU493" s="7" t="s">
        <v>11401</v>
      </c>
      <c r="AV493" s="3"/>
      <c r="AW493" s="3"/>
    </row>
    <row r="494" spans="1:49" ht="12.5" x14ac:dyDescent="0.25">
      <c r="A494" s="3" t="s">
        <v>46</v>
      </c>
      <c r="B494" s="21" t="str">
        <f>HYPERLINK("https://gerandofalcoes.my.salesforce.com/0014P00003Ck7X8", "0014P00003Ck7X8")</f>
        <v>0014P00003Ck7X8</v>
      </c>
      <c r="C494" s="21" t="str">
        <f>HYPERLINK("https://gerandofalcoes.my.salesforce.com/0014P00003Ck7X8QAJ", "0014P00003Ck7X8QAJ")</f>
        <v>0014P00003Ck7X8QAJ</v>
      </c>
      <c r="D494" s="3" t="s">
        <v>746</v>
      </c>
      <c r="E494" s="3"/>
      <c r="F494" s="3" t="s">
        <v>747</v>
      </c>
      <c r="G494" s="6">
        <v>44306</v>
      </c>
      <c r="H494" s="3">
        <v>490</v>
      </c>
      <c r="I494" s="3"/>
      <c r="J494" s="3"/>
      <c r="K494" s="3"/>
      <c r="L494" s="3" t="s">
        <v>101</v>
      </c>
      <c r="M494" s="3" t="s">
        <v>748</v>
      </c>
      <c r="N494" s="3"/>
      <c r="O494" s="3" t="s">
        <v>11402</v>
      </c>
      <c r="P494" s="3" t="s">
        <v>749</v>
      </c>
      <c r="Q494" s="3"/>
      <c r="R494" s="3" t="s">
        <v>750</v>
      </c>
      <c r="S494" s="3"/>
      <c r="T494" s="3" t="s">
        <v>11403</v>
      </c>
      <c r="U494" s="3" t="s">
        <v>9005</v>
      </c>
      <c r="V494" s="3" t="s">
        <v>9568</v>
      </c>
      <c r="W494" s="3">
        <v>5</v>
      </c>
      <c r="X494" s="3">
        <v>5</v>
      </c>
      <c r="Y494" s="3"/>
      <c r="Z494" s="3"/>
      <c r="AA494" s="3"/>
      <c r="AB494" s="6">
        <v>42219</v>
      </c>
      <c r="AC494" s="3"/>
      <c r="AD494" s="3">
        <v>0</v>
      </c>
      <c r="AE494" s="3">
        <v>10</v>
      </c>
      <c r="AF494" s="3">
        <v>1</v>
      </c>
      <c r="AG494" s="3" t="s">
        <v>11404</v>
      </c>
      <c r="AH494" s="3" t="s">
        <v>753</v>
      </c>
      <c r="AI494" s="3">
        <v>300000</v>
      </c>
      <c r="AJ494" s="3"/>
      <c r="AK494" s="3" t="s">
        <v>120</v>
      </c>
      <c r="AL494" s="3" t="s">
        <v>11405</v>
      </c>
      <c r="AM494" s="7" t="s">
        <v>11406</v>
      </c>
      <c r="AN494" s="3"/>
      <c r="AO494" s="7" t="s">
        <v>11407</v>
      </c>
      <c r="AP494" s="3" t="s">
        <v>11408</v>
      </c>
      <c r="AQ494" s="3"/>
      <c r="AR494" s="3"/>
      <c r="AS494" s="3"/>
      <c r="AT494" s="3"/>
      <c r="AU494" s="3"/>
      <c r="AV494" s="3"/>
      <c r="AW494" s="3"/>
    </row>
    <row r="495" spans="1:49" ht="12.5" x14ac:dyDescent="0.25">
      <c r="A495" s="3" t="s">
        <v>46</v>
      </c>
      <c r="B495" s="21" t="str">
        <f>HYPERLINK("https://gerandofalcoes.my.salesforce.com/0014P00003ESKdl", "0014P00003ESKdl")</f>
        <v>0014P00003ESKdl</v>
      </c>
      <c r="C495" s="21" t="str">
        <f>HYPERLINK("https://gerandofalcoes.my.salesforce.com/0014P00003ESKdlQAH", "0014P00003ESKdlQAH")</f>
        <v>0014P00003ESKdlQAH</v>
      </c>
      <c r="D495" s="3" t="s">
        <v>765</v>
      </c>
      <c r="E495" s="3" t="s">
        <v>766</v>
      </c>
      <c r="F495" s="3" t="s">
        <v>767</v>
      </c>
      <c r="G495" s="6">
        <v>44306</v>
      </c>
      <c r="H495" s="3">
        <v>490</v>
      </c>
      <c r="I495" s="3"/>
      <c r="J495" s="3"/>
      <c r="K495" s="3"/>
      <c r="L495" s="3" t="s">
        <v>101</v>
      </c>
      <c r="M495" s="3" t="s">
        <v>768</v>
      </c>
      <c r="N495" s="3"/>
      <c r="O495" s="3" t="s">
        <v>11409</v>
      </c>
      <c r="P495" s="3" t="s">
        <v>128</v>
      </c>
      <c r="Q495" s="3"/>
      <c r="R495" s="3" t="s">
        <v>769</v>
      </c>
      <c r="S495" s="3" t="s">
        <v>770</v>
      </c>
      <c r="T495" s="3" t="s">
        <v>9454</v>
      </c>
      <c r="U495" s="3" t="s">
        <v>9212</v>
      </c>
      <c r="V495" s="3" t="s">
        <v>11410</v>
      </c>
      <c r="W495" s="3">
        <v>0</v>
      </c>
      <c r="X495" s="3" t="s">
        <v>771</v>
      </c>
      <c r="Y495" s="3" t="s">
        <v>772</v>
      </c>
      <c r="Z495" s="3"/>
      <c r="AA495" s="3"/>
      <c r="AB495" s="6">
        <v>40119</v>
      </c>
      <c r="AC495" s="3" t="s">
        <v>62</v>
      </c>
      <c r="AD495" s="3">
        <v>0</v>
      </c>
      <c r="AE495" s="3">
        <v>35</v>
      </c>
      <c r="AF495" s="3">
        <v>4</v>
      </c>
      <c r="AG495" s="3" t="s">
        <v>11411</v>
      </c>
      <c r="AH495" s="3" t="s">
        <v>773</v>
      </c>
      <c r="AI495" s="3">
        <v>780838</v>
      </c>
      <c r="AJ495" s="3" t="s">
        <v>62</v>
      </c>
      <c r="AK495" s="3" t="s">
        <v>62</v>
      </c>
      <c r="AL495" s="7" t="s">
        <v>11412</v>
      </c>
      <c r="AM495" s="7" t="s">
        <v>11413</v>
      </c>
      <c r="AN495" s="3"/>
      <c r="AO495" s="7" t="s">
        <v>11414</v>
      </c>
      <c r="AP495" s="3" t="s">
        <v>775</v>
      </c>
      <c r="AQ495" s="3"/>
      <c r="AR495" s="3"/>
      <c r="AS495" s="7" t="s">
        <v>11415</v>
      </c>
      <c r="AT495" s="7" t="s">
        <v>11416</v>
      </c>
      <c r="AU495" s="3"/>
      <c r="AV495" s="3"/>
      <c r="AW495" s="3"/>
    </row>
    <row r="496" spans="1:49" ht="12.5" x14ac:dyDescent="0.25">
      <c r="A496" s="3" t="s">
        <v>46</v>
      </c>
      <c r="B496" s="21" t="str">
        <f>HYPERLINK("https://gerandofalcoes.my.salesforce.com/0014P00003AN2FV", "0014P00003AN2FV")</f>
        <v>0014P00003AN2FV</v>
      </c>
      <c r="C496" s="21" t="str">
        <f>HYPERLINK("https://gerandofalcoes.my.salesforce.com/0014P00003AN2FVQA1", "0014P00003AN2FVQA1")</f>
        <v>0014P00003AN2FVQA1</v>
      </c>
      <c r="D496" s="3" t="s">
        <v>500</v>
      </c>
      <c r="E496" s="3"/>
      <c r="F496" s="3" t="s">
        <v>501</v>
      </c>
      <c r="G496" s="6">
        <v>44261</v>
      </c>
      <c r="H496" s="3">
        <v>535</v>
      </c>
      <c r="I496" s="3"/>
      <c r="J496" s="3"/>
      <c r="K496" s="3"/>
      <c r="L496" s="3" t="s">
        <v>379</v>
      </c>
      <c r="M496" s="3" t="s">
        <v>11417</v>
      </c>
      <c r="N496" s="3"/>
      <c r="O496" s="3" t="s">
        <v>11418</v>
      </c>
      <c r="P496" s="3" t="s">
        <v>381</v>
      </c>
      <c r="Q496" s="3"/>
      <c r="R496" s="3" t="s">
        <v>11419</v>
      </c>
      <c r="S496" s="3" t="s">
        <v>503</v>
      </c>
      <c r="T496" s="3" t="s">
        <v>11420</v>
      </c>
      <c r="U496" s="3" t="s">
        <v>3799</v>
      </c>
      <c r="V496" s="3" t="s">
        <v>3800</v>
      </c>
      <c r="W496" s="3">
        <v>30</v>
      </c>
      <c r="X496" s="3">
        <v>30</v>
      </c>
      <c r="Y496" s="3"/>
      <c r="Z496" s="3"/>
      <c r="AA496" s="3"/>
      <c r="AB496" s="6">
        <v>40583</v>
      </c>
      <c r="AC496" s="3" t="s">
        <v>62</v>
      </c>
      <c r="AD496" s="3">
        <v>22</v>
      </c>
      <c r="AE496" s="3">
        <v>2</v>
      </c>
      <c r="AF496" s="3">
        <v>3</v>
      </c>
      <c r="AG496" s="3" t="s">
        <v>11421</v>
      </c>
      <c r="AH496" s="3" t="s">
        <v>11422</v>
      </c>
      <c r="AI496" s="3">
        <v>1385871</v>
      </c>
      <c r="AJ496" s="3" t="s">
        <v>508</v>
      </c>
      <c r="AK496" s="3" t="s">
        <v>120</v>
      </c>
      <c r="AL496" s="7" t="s">
        <v>11423</v>
      </c>
      <c r="AM496" s="7" t="s">
        <v>11424</v>
      </c>
      <c r="AN496" s="3"/>
      <c r="AO496" s="7" t="s">
        <v>11425</v>
      </c>
      <c r="AP496" s="7" t="s">
        <v>510</v>
      </c>
      <c r="AQ496" s="3"/>
      <c r="AR496" s="3"/>
      <c r="AS496" s="7" t="s">
        <v>11426</v>
      </c>
      <c r="AT496" s="7" t="s">
        <v>11427</v>
      </c>
      <c r="AU496" s="3"/>
      <c r="AV496" s="3"/>
      <c r="AW496" s="3"/>
    </row>
    <row r="497" spans="1:49" ht="12.5" x14ac:dyDescent="0.25">
      <c r="A497" s="3" t="s">
        <v>46</v>
      </c>
      <c r="B497" s="21" t="str">
        <f>HYPERLINK("https://gerandofalcoes.my.salesforce.com/0014P00003AN2FW", "0014P00003AN2FW")</f>
        <v>0014P00003AN2FW</v>
      </c>
      <c r="C497" s="21" t="str">
        <f>HYPERLINK("https://gerandofalcoes.my.salesforce.com/0014P00003AN2FWQA1", "0014P00003AN2FWQA1")</f>
        <v>0014P00003AN2FWQA1</v>
      </c>
      <c r="D497" s="3" t="s">
        <v>512</v>
      </c>
      <c r="E497" s="3"/>
      <c r="F497" s="3" t="s">
        <v>513</v>
      </c>
      <c r="G497" s="6">
        <v>44375</v>
      </c>
      <c r="H497" s="3">
        <v>421</v>
      </c>
      <c r="I497" s="3"/>
      <c r="J497" s="3"/>
      <c r="K497" s="3"/>
      <c r="L497" s="3" t="s">
        <v>379</v>
      </c>
      <c r="M497" s="3" t="s">
        <v>11428</v>
      </c>
      <c r="N497" s="3"/>
      <c r="O497" s="3" t="s">
        <v>11429</v>
      </c>
      <c r="P497" s="3" t="s">
        <v>381</v>
      </c>
      <c r="Q497" s="3"/>
      <c r="R497" s="3" t="s">
        <v>11430</v>
      </c>
      <c r="S497" s="3" t="s">
        <v>516</v>
      </c>
      <c r="T497" s="3" t="s">
        <v>11431</v>
      </c>
      <c r="U497" s="3" t="s">
        <v>8852</v>
      </c>
      <c r="V497" s="3" t="s">
        <v>11205</v>
      </c>
      <c r="W497" s="3">
        <v>15</v>
      </c>
      <c r="X497" s="3">
        <v>15</v>
      </c>
      <c r="Y497" s="3" t="s">
        <v>518</v>
      </c>
      <c r="Z497" s="3"/>
      <c r="AA497" s="3"/>
      <c r="AB497" s="8">
        <v>40866</v>
      </c>
      <c r="AC497" s="3" t="s">
        <v>62</v>
      </c>
      <c r="AD497" s="3">
        <v>2</v>
      </c>
      <c r="AE497" s="3">
        <v>8</v>
      </c>
      <c r="AF497" s="3">
        <v>2</v>
      </c>
      <c r="AG497" s="3" t="s">
        <v>11432</v>
      </c>
      <c r="AH497" s="3" t="s">
        <v>120</v>
      </c>
      <c r="AI497" s="3">
        <v>350000</v>
      </c>
      <c r="AJ497" s="3" t="s">
        <v>120</v>
      </c>
      <c r="AK497" s="3" t="s">
        <v>120</v>
      </c>
      <c r="AL497" s="3"/>
      <c r="AM497" s="7" t="s">
        <v>11433</v>
      </c>
      <c r="AN497" s="3"/>
      <c r="AO497" s="7" t="s">
        <v>11434</v>
      </c>
      <c r="AP497" s="3" t="s">
        <v>520</v>
      </c>
      <c r="AQ497" s="3"/>
      <c r="AR497" s="3"/>
      <c r="AS497" s="7" t="s">
        <v>11435</v>
      </c>
      <c r="AT497" s="7" t="s">
        <v>11436</v>
      </c>
      <c r="AU497" s="3"/>
      <c r="AV497" s="3"/>
      <c r="AW497" s="3"/>
    </row>
    <row r="498" spans="1:49" ht="12.5" x14ac:dyDescent="0.25">
      <c r="A498" s="3" t="s">
        <v>46</v>
      </c>
      <c r="B498" s="21" t="str">
        <f>HYPERLINK("https://gerandofalcoes.my.salesforce.com/0014P00003AN2FX", "0014P00003AN2FX")</f>
        <v>0014P00003AN2FX</v>
      </c>
      <c r="C498" s="21" t="str">
        <f>HYPERLINK("https://gerandofalcoes.my.salesforce.com/0014P00003AN2FXQA1", "0014P00003AN2FXQA1")</f>
        <v>0014P00003AN2FXQA1</v>
      </c>
      <c r="D498" s="3" t="s">
        <v>522</v>
      </c>
      <c r="E498" s="3" t="s">
        <v>11437</v>
      </c>
      <c r="F498" s="3" t="s">
        <v>523</v>
      </c>
      <c r="G498" s="6">
        <v>44375</v>
      </c>
      <c r="H498" s="3">
        <v>421</v>
      </c>
      <c r="I498" s="3"/>
      <c r="J498" s="3"/>
      <c r="K498" s="3"/>
      <c r="L498" s="3" t="s">
        <v>101</v>
      </c>
      <c r="M498" s="3" t="s">
        <v>11438</v>
      </c>
      <c r="N498" s="3" t="s">
        <v>11439</v>
      </c>
      <c r="O498" s="3" t="s">
        <v>11440</v>
      </c>
      <c r="P498" s="3" t="s">
        <v>128</v>
      </c>
      <c r="Q498" s="3"/>
      <c r="R498" s="3" t="s">
        <v>11441</v>
      </c>
      <c r="S498" s="3"/>
      <c r="T498" s="3" t="s">
        <v>11179</v>
      </c>
      <c r="U498" s="3" t="s">
        <v>9152</v>
      </c>
      <c r="V498" s="3" t="s">
        <v>3800</v>
      </c>
      <c r="W498" s="3">
        <v>7</v>
      </c>
      <c r="X498" s="3">
        <v>7</v>
      </c>
      <c r="Y498" s="3"/>
      <c r="Z498" s="3"/>
      <c r="AA498" s="3"/>
      <c r="AB498" s="6">
        <v>42590</v>
      </c>
      <c r="AC498" s="3" t="s">
        <v>62</v>
      </c>
      <c r="AD498" s="3">
        <v>8</v>
      </c>
      <c r="AE498" s="3">
        <v>10</v>
      </c>
      <c r="AF498" s="3">
        <v>3</v>
      </c>
      <c r="AG498" s="3" t="s">
        <v>11442</v>
      </c>
      <c r="AH498" s="3" t="s">
        <v>11443</v>
      </c>
      <c r="AI498" s="3">
        <v>250000</v>
      </c>
      <c r="AJ498" s="3" t="s">
        <v>120</v>
      </c>
      <c r="AK498" s="3" t="s">
        <v>120</v>
      </c>
      <c r="AL498" s="7" t="s">
        <v>11444</v>
      </c>
      <c r="AM498" s="7" t="s">
        <v>11445</v>
      </c>
      <c r="AN498" s="3"/>
      <c r="AO498" s="3"/>
      <c r="AP498" s="7" t="s">
        <v>529</v>
      </c>
      <c r="AQ498" s="3"/>
      <c r="AR498" s="3"/>
      <c r="AS498" s="7" t="s">
        <v>11446</v>
      </c>
      <c r="AT498" s="3"/>
      <c r="AU498" s="3"/>
      <c r="AV498" s="3"/>
      <c r="AW498" s="3"/>
    </row>
    <row r="499" spans="1:49" ht="12.5" x14ac:dyDescent="0.25">
      <c r="A499" s="3" t="s">
        <v>46</v>
      </c>
      <c r="B499" s="21" t="str">
        <f>HYPERLINK("https://gerandofalcoes.my.salesforce.com/0014P00003AN2FY", "0014P00003AN2FY")</f>
        <v>0014P00003AN2FY</v>
      </c>
      <c r="C499" s="21" t="str">
        <f>HYPERLINK("https://gerandofalcoes.my.salesforce.com/0014P00003AN2FYQA1", "0014P00003AN2FYQA1")</f>
        <v>0014P00003AN2FYQA1</v>
      </c>
      <c r="D499" s="3" t="s">
        <v>531</v>
      </c>
      <c r="E499" s="3" t="s">
        <v>11447</v>
      </c>
      <c r="F499" s="3" t="s">
        <v>532</v>
      </c>
      <c r="G499" s="6">
        <v>44309</v>
      </c>
      <c r="H499" s="3">
        <v>487</v>
      </c>
      <c r="I499" s="3"/>
      <c r="J499" s="3"/>
      <c r="K499" s="3"/>
      <c r="L499" s="3" t="s">
        <v>101</v>
      </c>
      <c r="M499" s="3" t="s">
        <v>11448</v>
      </c>
      <c r="N499" s="3"/>
      <c r="O499" s="3" t="s">
        <v>11449</v>
      </c>
      <c r="P499" s="3" t="s">
        <v>10240</v>
      </c>
      <c r="Q499" s="3"/>
      <c r="R499" s="3" t="s">
        <v>8359</v>
      </c>
      <c r="S499" s="3"/>
      <c r="T499" s="3" t="s">
        <v>11450</v>
      </c>
      <c r="U499" s="3" t="s">
        <v>9212</v>
      </c>
      <c r="V499" s="3" t="s">
        <v>9659</v>
      </c>
      <c r="W499" s="3">
        <v>30</v>
      </c>
      <c r="X499" s="3">
        <v>30</v>
      </c>
      <c r="Y499" s="3" t="s">
        <v>536</v>
      </c>
      <c r="Z499" s="3"/>
      <c r="AA499" s="3"/>
      <c r="AB499" s="6">
        <v>43329</v>
      </c>
      <c r="AC499" s="3" t="s">
        <v>62</v>
      </c>
      <c r="AD499" s="3">
        <v>4</v>
      </c>
      <c r="AE499" s="3">
        <v>25</v>
      </c>
      <c r="AF499" s="3">
        <v>5</v>
      </c>
      <c r="AG499" s="3" t="s">
        <v>11451</v>
      </c>
      <c r="AH499" s="3" t="s">
        <v>11452</v>
      </c>
      <c r="AI499" s="3">
        <v>100000</v>
      </c>
      <c r="AJ499" s="3" t="s">
        <v>120</v>
      </c>
      <c r="AK499" s="3" t="s">
        <v>120</v>
      </c>
      <c r="AL499" s="7" t="s">
        <v>11453</v>
      </c>
      <c r="AM499" s="7" t="s">
        <v>11454</v>
      </c>
      <c r="AN499" s="3"/>
      <c r="AO499" s="3"/>
      <c r="AP499" s="3" t="s">
        <v>539</v>
      </c>
      <c r="AQ499" s="3"/>
      <c r="AR499" s="3"/>
      <c r="AS499" s="3"/>
      <c r="AT499" s="3"/>
      <c r="AU499" s="3"/>
      <c r="AV499" s="3"/>
      <c r="AW499" s="3"/>
    </row>
    <row r="500" spans="1:49" ht="12.5" x14ac:dyDescent="0.25">
      <c r="A500" s="3" t="s">
        <v>46</v>
      </c>
      <c r="B500" s="21" t="str">
        <f>HYPERLINK("https://gerandofalcoes.my.salesforce.com/0014P00003AN2FZ", "0014P00003AN2FZ")</f>
        <v>0014P00003AN2FZ</v>
      </c>
      <c r="C500" s="21" t="str">
        <f>HYPERLINK("https://gerandofalcoes.my.salesforce.com/0014P00003AN2FZQA1", "0014P00003AN2FZQA1")</f>
        <v>0014P00003AN2FZQA1</v>
      </c>
      <c r="D500" s="3" t="s">
        <v>541</v>
      </c>
      <c r="E500" s="3"/>
      <c r="F500" s="3" t="s">
        <v>542</v>
      </c>
      <c r="G500" s="6">
        <v>44230</v>
      </c>
      <c r="H500" s="3">
        <v>566</v>
      </c>
      <c r="I500" s="3"/>
      <c r="J500" s="3"/>
      <c r="K500" s="3"/>
      <c r="L500" s="3" t="s">
        <v>101</v>
      </c>
      <c r="M500" s="3" t="s">
        <v>11455</v>
      </c>
      <c r="N500" s="3"/>
      <c r="O500" s="3" t="s">
        <v>11456</v>
      </c>
      <c r="P500" s="3" t="s">
        <v>128</v>
      </c>
      <c r="Q500" s="3"/>
      <c r="R500" s="3" t="s">
        <v>11457</v>
      </c>
      <c r="S500" s="3"/>
      <c r="T500" s="3" t="s">
        <v>11458</v>
      </c>
      <c r="U500" s="3" t="s">
        <v>9005</v>
      </c>
      <c r="V500" s="3" t="s">
        <v>3800</v>
      </c>
      <c r="W500" s="3">
        <v>18</v>
      </c>
      <c r="X500" s="3" t="s">
        <v>545</v>
      </c>
      <c r="Y500" s="3" t="s">
        <v>546</v>
      </c>
      <c r="Z500" s="3"/>
      <c r="AA500" s="3"/>
      <c r="AB500" s="8">
        <v>32795</v>
      </c>
      <c r="AC500" s="3" t="s">
        <v>62</v>
      </c>
      <c r="AD500" s="3">
        <v>51</v>
      </c>
      <c r="AE500" s="3">
        <v>51</v>
      </c>
      <c r="AF500" s="3">
        <v>5</v>
      </c>
      <c r="AG500" s="3" t="s">
        <v>11459</v>
      </c>
      <c r="AH500" s="3" t="s">
        <v>547</v>
      </c>
      <c r="AI500" s="3">
        <v>4439647</v>
      </c>
      <c r="AJ500" s="3" t="s">
        <v>62</v>
      </c>
      <c r="AK500" s="3" t="s">
        <v>62</v>
      </c>
      <c r="AL500" s="7" t="s">
        <v>11460</v>
      </c>
      <c r="AM500" s="7" t="s">
        <v>11461</v>
      </c>
      <c r="AN500" s="3"/>
      <c r="AO500" s="7" t="s">
        <v>11462</v>
      </c>
      <c r="AP500" s="3" t="s">
        <v>11463</v>
      </c>
      <c r="AQ500" s="3"/>
      <c r="AR500" s="3"/>
      <c r="AS500" s="7" t="s">
        <v>11464</v>
      </c>
      <c r="AT500" s="7" t="s">
        <v>11465</v>
      </c>
      <c r="AU500" s="3"/>
      <c r="AV500" s="3"/>
      <c r="AW500" s="3"/>
    </row>
    <row r="501" spans="1:49" ht="12.5" x14ac:dyDescent="0.25">
      <c r="A501" s="3" t="s">
        <v>46</v>
      </c>
      <c r="B501" s="21" t="str">
        <f>HYPERLINK("https://gerandofalcoes.my.salesforce.com/0014P00003AN2Fa", "0014P00003AN2Fa")</f>
        <v>0014P00003AN2Fa</v>
      </c>
      <c r="C501" s="21" t="str">
        <f>HYPERLINK("https://gerandofalcoes.my.salesforce.com/0014P00003AN2FaQAL", "0014P00003AN2FaQAL")</f>
        <v>0014P00003AN2FaQAL</v>
      </c>
      <c r="D501" s="3" t="s">
        <v>551</v>
      </c>
      <c r="E501" s="3" t="s">
        <v>552</v>
      </c>
      <c r="F501" s="3" t="s">
        <v>553</v>
      </c>
      <c r="G501" s="6">
        <v>44230</v>
      </c>
      <c r="H501" s="3">
        <v>566</v>
      </c>
      <c r="I501" s="3" t="s">
        <v>554</v>
      </c>
      <c r="J501" s="3" t="s">
        <v>555</v>
      </c>
      <c r="K501" s="3" t="s">
        <v>556</v>
      </c>
      <c r="L501" s="3" t="s">
        <v>557</v>
      </c>
      <c r="M501" s="3" t="s">
        <v>558</v>
      </c>
      <c r="N501" s="3" t="s">
        <v>559</v>
      </c>
      <c r="O501" s="3" t="s">
        <v>11466</v>
      </c>
      <c r="P501" s="3" t="s">
        <v>2039</v>
      </c>
      <c r="Q501" s="3" t="s">
        <v>561</v>
      </c>
      <c r="R501" s="3" t="s">
        <v>11467</v>
      </c>
      <c r="S501" s="3" t="s">
        <v>562</v>
      </c>
      <c r="T501" s="3" t="s">
        <v>11468</v>
      </c>
      <c r="U501" s="3" t="s">
        <v>8880</v>
      </c>
      <c r="V501" s="3" t="s">
        <v>3800</v>
      </c>
      <c r="W501" s="3">
        <v>1</v>
      </c>
      <c r="X501" s="3">
        <v>1</v>
      </c>
      <c r="Y501" s="3" t="s">
        <v>564</v>
      </c>
      <c r="Z501" s="3">
        <v>40</v>
      </c>
      <c r="AA501" s="3">
        <v>400</v>
      </c>
      <c r="AB501" s="6">
        <v>42537</v>
      </c>
      <c r="AC501" s="3" t="s">
        <v>62</v>
      </c>
      <c r="AD501" s="3">
        <v>7</v>
      </c>
      <c r="AE501" s="3">
        <v>2</v>
      </c>
      <c r="AF501" s="3">
        <v>2</v>
      </c>
      <c r="AG501" s="3" t="s">
        <v>565</v>
      </c>
      <c r="AH501" s="3">
        <v>0</v>
      </c>
      <c r="AI501" s="3">
        <v>30000</v>
      </c>
      <c r="AJ501" s="3" t="s">
        <v>62</v>
      </c>
      <c r="AK501" s="3" t="s">
        <v>120</v>
      </c>
      <c r="AL501" s="7" t="s">
        <v>11469</v>
      </c>
      <c r="AM501" s="3" t="s">
        <v>11470</v>
      </c>
      <c r="AN501" s="7" t="s">
        <v>11471</v>
      </c>
      <c r="AO501" s="7" t="s">
        <v>11472</v>
      </c>
      <c r="AP501" s="7" t="s">
        <v>570</v>
      </c>
      <c r="AQ501" s="7" t="s">
        <v>11473</v>
      </c>
      <c r="AR501" s="7" t="s">
        <v>11474</v>
      </c>
      <c r="AS501" s="7" t="s">
        <v>11475</v>
      </c>
      <c r="AT501" s="7" t="s">
        <v>11476</v>
      </c>
      <c r="AU501" s="7" t="s">
        <v>11477</v>
      </c>
      <c r="AV501" s="7" t="s">
        <v>11478</v>
      </c>
      <c r="AW501" s="7" t="s">
        <v>11479</v>
      </c>
    </row>
    <row r="502" spans="1:49" ht="12.5" x14ac:dyDescent="0.25">
      <c r="A502" s="3" t="s">
        <v>46</v>
      </c>
      <c r="B502" s="21" t="str">
        <f>HYPERLINK("https://gerandofalcoes.my.salesforce.com/0014P00003AN2Fb", "0014P00003AN2Fb")</f>
        <v>0014P00003AN2Fb</v>
      </c>
      <c r="C502" s="21" t="str">
        <f>HYPERLINK("https://gerandofalcoes.my.salesforce.com/0014P00003AN2FbQAL", "0014P00003AN2FbQAL")</f>
        <v>0014P00003AN2FbQAL</v>
      </c>
      <c r="D502" s="3" t="s">
        <v>579</v>
      </c>
      <c r="E502" s="3" t="s">
        <v>580</v>
      </c>
      <c r="F502" s="3" t="s">
        <v>581</v>
      </c>
      <c r="G502" s="6">
        <v>44234</v>
      </c>
      <c r="H502" s="3">
        <v>562</v>
      </c>
      <c r="I502" s="3" t="s">
        <v>582</v>
      </c>
      <c r="J502" s="3" t="s">
        <v>583</v>
      </c>
      <c r="K502" s="3" t="s">
        <v>584</v>
      </c>
      <c r="L502" s="3" t="s">
        <v>468</v>
      </c>
      <c r="M502" s="3" t="s">
        <v>585</v>
      </c>
      <c r="N502" s="3" t="s">
        <v>586</v>
      </c>
      <c r="O502" s="3" t="s">
        <v>11480</v>
      </c>
      <c r="P502" s="3" t="s">
        <v>470</v>
      </c>
      <c r="Q502" s="3"/>
      <c r="R502" s="3" t="s">
        <v>11481</v>
      </c>
      <c r="S502" s="3"/>
      <c r="T502" s="3" t="s">
        <v>11482</v>
      </c>
      <c r="U502" s="3" t="s">
        <v>10522</v>
      </c>
      <c r="V502" s="3" t="s">
        <v>3818</v>
      </c>
      <c r="W502" s="3">
        <v>8</v>
      </c>
      <c r="X502" s="3">
        <v>8</v>
      </c>
      <c r="Y502" s="3" t="s">
        <v>590</v>
      </c>
      <c r="Z502" s="3">
        <v>80</v>
      </c>
      <c r="AA502" s="3">
        <v>600</v>
      </c>
      <c r="AB502" s="6">
        <v>43662</v>
      </c>
      <c r="AC502" s="3" t="s">
        <v>62</v>
      </c>
      <c r="AD502" s="3">
        <v>0</v>
      </c>
      <c r="AE502" s="3">
        <v>19</v>
      </c>
      <c r="AF502" s="3">
        <v>0</v>
      </c>
      <c r="AG502" s="3" t="s">
        <v>10292</v>
      </c>
      <c r="AH502" s="3">
        <v>0</v>
      </c>
      <c r="AI502" s="3">
        <v>20000</v>
      </c>
      <c r="AJ502" s="3" t="s">
        <v>120</v>
      </c>
      <c r="AK502" s="3" t="s">
        <v>120</v>
      </c>
      <c r="AL502" s="3" t="s">
        <v>562</v>
      </c>
      <c r="AM502" s="7" t="s">
        <v>11483</v>
      </c>
      <c r="AN502" s="7" t="s">
        <v>11484</v>
      </c>
      <c r="AO502" s="3"/>
      <c r="AP502" s="7" t="s">
        <v>596</v>
      </c>
      <c r="AQ502" s="3"/>
      <c r="AR502" s="3"/>
      <c r="AS502" s="7" t="s">
        <v>11485</v>
      </c>
      <c r="AT502" s="3"/>
      <c r="AU502" s="7" t="s">
        <v>11486</v>
      </c>
      <c r="AV502" s="3"/>
      <c r="AW502" s="3"/>
    </row>
    <row r="503" spans="1:49" ht="12.5" x14ac:dyDescent="0.25">
      <c r="A503" s="3" t="s">
        <v>152</v>
      </c>
      <c r="B503" s="21" t="str">
        <f>HYPERLINK("https://gerandofalcoes.my.salesforce.com/0014P00003AN2Fc", "0014P00003AN2Fc")</f>
        <v>0014P00003AN2Fc</v>
      </c>
      <c r="C503" s="21" t="str">
        <f>HYPERLINK("https://gerandofalcoes.my.salesforce.com/0014P00003AN2FcQAL", "0014P00003AN2FcQAL")</f>
        <v>0014P00003AN2FcQAL</v>
      </c>
      <c r="D503" s="3" t="s">
        <v>11487</v>
      </c>
      <c r="E503" s="3" t="s">
        <v>11487</v>
      </c>
      <c r="F503" s="3" t="s">
        <v>602</v>
      </c>
      <c r="G503" s="6">
        <v>44236</v>
      </c>
      <c r="H503" s="3">
        <v>560</v>
      </c>
      <c r="I503" s="3"/>
      <c r="J503" s="3" t="s">
        <v>603</v>
      </c>
      <c r="K503" s="3" t="s">
        <v>11488</v>
      </c>
      <c r="L503" s="3" t="s">
        <v>605</v>
      </c>
      <c r="M503" s="3">
        <v>32</v>
      </c>
      <c r="N503" s="3"/>
      <c r="O503" s="3" t="s">
        <v>11489</v>
      </c>
      <c r="P503" s="3" t="s">
        <v>607</v>
      </c>
      <c r="Q503" s="3"/>
      <c r="R503" s="3" t="s">
        <v>11490</v>
      </c>
      <c r="S503" s="3" t="s">
        <v>608</v>
      </c>
      <c r="T503" s="3" t="s">
        <v>11491</v>
      </c>
      <c r="U503" s="3" t="s">
        <v>8852</v>
      </c>
      <c r="V503" s="3" t="s">
        <v>11205</v>
      </c>
      <c r="W503" s="3">
        <v>26</v>
      </c>
      <c r="X503" s="3">
        <v>26</v>
      </c>
      <c r="Y503" s="3" t="s">
        <v>612</v>
      </c>
      <c r="Z503" s="3"/>
      <c r="AA503" s="3"/>
      <c r="AB503" s="8">
        <v>36852</v>
      </c>
      <c r="AC503" s="3" t="s">
        <v>62</v>
      </c>
      <c r="AD503" s="3">
        <v>10</v>
      </c>
      <c r="AE503" s="3">
        <v>15</v>
      </c>
      <c r="AF503" s="3">
        <v>3</v>
      </c>
      <c r="AG503" s="3" t="s">
        <v>11492</v>
      </c>
      <c r="AH503" s="3" t="s">
        <v>613</v>
      </c>
      <c r="AI503" s="3">
        <v>501150</v>
      </c>
      <c r="AJ503" s="3" t="s">
        <v>62</v>
      </c>
      <c r="AK503" s="3" t="s">
        <v>120</v>
      </c>
      <c r="AL503" s="7" t="s">
        <v>11493</v>
      </c>
      <c r="AM503" s="7" t="s">
        <v>11494</v>
      </c>
      <c r="AN503" s="3"/>
      <c r="AO503" s="7" t="s">
        <v>11495</v>
      </c>
      <c r="AP503" s="3" t="s">
        <v>11496</v>
      </c>
      <c r="AQ503" s="3"/>
      <c r="AR503" s="3"/>
      <c r="AS503" s="7" t="s">
        <v>11497</v>
      </c>
      <c r="AT503" s="7" t="s">
        <v>11498</v>
      </c>
      <c r="AU503" s="3"/>
    </row>
    <row r="504" spans="1:49" ht="12.5" x14ac:dyDescent="0.25">
      <c r="A504" s="3" t="s">
        <v>46</v>
      </c>
      <c r="B504" s="21" t="str">
        <f>HYPERLINK("https://gerandofalcoes.my.salesforce.com/0014P00003AN2Fd", "0014P00003AN2Fd")</f>
        <v>0014P00003AN2Fd</v>
      </c>
      <c r="C504" s="21" t="str">
        <f>HYPERLINK("https://gerandofalcoes.my.salesforce.com/0014P00003AN2FdQAL", "0014P00003AN2FdQAL")</f>
        <v>0014P00003AN2FdQAL</v>
      </c>
      <c r="D504" s="3" t="s">
        <v>618</v>
      </c>
      <c r="E504" s="3" t="s">
        <v>619</v>
      </c>
      <c r="F504" s="3" t="s">
        <v>620</v>
      </c>
      <c r="G504" s="6">
        <v>44375</v>
      </c>
      <c r="H504" s="3">
        <v>421</v>
      </c>
      <c r="I504" s="3" t="s">
        <v>621</v>
      </c>
      <c r="J504" s="3" t="s">
        <v>622</v>
      </c>
      <c r="K504" s="3" t="s">
        <v>623</v>
      </c>
      <c r="L504" s="3" t="s">
        <v>70</v>
      </c>
      <c r="M504" s="3" t="s">
        <v>11499</v>
      </c>
      <c r="N504" s="3" t="s">
        <v>625</v>
      </c>
      <c r="O504" s="3" t="s">
        <v>11500</v>
      </c>
      <c r="P504" s="3" t="s">
        <v>73</v>
      </c>
      <c r="Q504" s="3"/>
      <c r="R504" s="3" t="s">
        <v>11501</v>
      </c>
      <c r="S504" s="3" t="s">
        <v>627</v>
      </c>
      <c r="T504" s="3" t="s">
        <v>11502</v>
      </c>
      <c r="U504" s="3" t="s">
        <v>8880</v>
      </c>
      <c r="V504" s="3" t="s">
        <v>11503</v>
      </c>
      <c r="W504" s="3">
        <v>0</v>
      </c>
      <c r="X504" s="3">
        <v>246</v>
      </c>
      <c r="Y504" s="3" t="s">
        <v>632</v>
      </c>
      <c r="Z504" s="3">
        <v>300</v>
      </c>
      <c r="AA504" s="3">
        <v>2000</v>
      </c>
      <c r="AB504" s="6">
        <v>42473</v>
      </c>
      <c r="AC504" s="3" t="s">
        <v>120</v>
      </c>
      <c r="AD504" s="3">
        <v>0</v>
      </c>
      <c r="AE504" s="3">
        <v>15</v>
      </c>
      <c r="AF504" s="3">
        <v>0</v>
      </c>
      <c r="AG504" s="3" t="s">
        <v>3833</v>
      </c>
      <c r="AH504" s="3" t="s">
        <v>634</v>
      </c>
      <c r="AI504" s="3">
        <v>0</v>
      </c>
      <c r="AJ504" s="3" t="s">
        <v>120</v>
      </c>
      <c r="AK504" s="3" t="s">
        <v>120</v>
      </c>
      <c r="AL504" s="3" t="s">
        <v>120</v>
      </c>
      <c r="AM504" s="7" t="s">
        <v>11504</v>
      </c>
      <c r="AN504" s="7" t="s">
        <v>11504</v>
      </c>
      <c r="AO504" s="3"/>
      <c r="AP504" s="3" t="s">
        <v>637</v>
      </c>
      <c r="AQ504" s="3"/>
      <c r="AR504" s="3"/>
      <c r="AS504" s="3"/>
      <c r="AT504" s="3"/>
      <c r="AU504" s="7" t="s">
        <v>11505</v>
      </c>
      <c r="AV504" s="3"/>
      <c r="AW504" s="3"/>
    </row>
    <row r="505" spans="1:49" ht="12.5" x14ac:dyDescent="0.25">
      <c r="A505" s="3" t="s">
        <v>46</v>
      </c>
      <c r="B505" s="21" t="str">
        <f>HYPERLINK("https://gerandofalcoes.my.salesforce.com/0014P00003AN2Fe", "0014P00003AN2Fe")</f>
        <v>0014P00003AN2Fe</v>
      </c>
      <c r="C505" s="21" t="str">
        <f>HYPERLINK("https://gerandofalcoes.my.salesforce.com/0014P00003AN2FeQAL", "0014P00003AN2FeQAL")</f>
        <v>0014P00003AN2FeQAL</v>
      </c>
      <c r="D505" s="3" t="s">
        <v>640</v>
      </c>
      <c r="E505" s="3" t="s">
        <v>641</v>
      </c>
      <c r="F505" s="3" t="s">
        <v>642</v>
      </c>
      <c r="G505" s="6">
        <v>44285</v>
      </c>
      <c r="H505" s="3">
        <v>511</v>
      </c>
      <c r="I505" s="3" t="s">
        <v>643</v>
      </c>
      <c r="J505" s="3" t="s">
        <v>644</v>
      </c>
      <c r="K505" s="3" t="s">
        <v>645</v>
      </c>
      <c r="L505" s="3" t="s">
        <v>557</v>
      </c>
      <c r="M505" s="3" t="s">
        <v>11506</v>
      </c>
      <c r="N505" s="3" t="s">
        <v>647</v>
      </c>
      <c r="O505" s="3" t="s">
        <v>11507</v>
      </c>
      <c r="P505" s="3" t="s">
        <v>1149</v>
      </c>
      <c r="Q505" s="3" t="s">
        <v>649</v>
      </c>
      <c r="R505" s="3" t="s">
        <v>11508</v>
      </c>
      <c r="S505" s="3" t="s">
        <v>650</v>
      </c>
      <c r="T505" s="3" t="s">
        <v>11509</v>
      </c>
      <c r="U505" s="3" t="s">
        <v>3799</v>
      </c>
      <c r="V505" s="3" t="s">
        <v>9568</v>
      </c>
      <c r="W505" s="3">
        <v>15</v>
      </c>
      <c r="X505" s="3">
        <v>15</v>
      </c>
      <c r="Y505" s="3"/>
      <c r="Z505" s="3">
        <v>50</v>
      </c>
      <c r="AA505" s="3">
        <v>250</v>
      </c>
      <c r="AB505" s="6">
        <v>44431</v>
      </c>
      <c r="AC505" s="3" t="s">
        <v>62</v>
      </c>
      <c r="AD505" s="3">
        <v>10</v>
      </c>
      <c r="AE505" s="3">
        <v>22</v>
      </c>
      <c r="AF505" s="3">
        <v>3</v>
      </c>
      <c r="AG505" s="3" t="s">
        <v>11510</v>
      </c>
      <c r="AH505" s="3" t="s">
        <v>11511</v>
      </c>
      <c r="AI505" s="3">
        <v>17500000</v>
      </c>
      <c r="AJ505" s="3" t="s">
        <v>120</v>
      </c>
      <c r="AK505" s="3" t="s">
        <v>120</v>
      </c>
      <c r="AL505" s="7" t="s">
        <v>11512</v>
      </c>
      <c r="AM505" s="7" t="s">
        <v>11513</v>
      </c>
      <c r="AN505" s="7" t="s">
        <v>11514</v>
      </c>
      <c r="AO505" s="7" t="s">
        <v>11515</v>
      </c>
      <c r="AP505" s="7" t="s">
        <v>659</v>
      </c>
      <c r="AQ505" s="3"/>
      <c r="AR505" s="7" t="s">
        <v>11516</v>
      </c>
      <c r="AS505" s="7" t="s">
        <v>11517</v>
      </c>
      <c r="AT505" s="7" t="s">
        <v>11518</v>
      </c>
      <c r="AU505" s="7" t="s">
        <v>11519</v>
      </c>
      <c r="AV505" s="3"/>
      <c r="AW505" s="3"/>
    </row>
    <row r="506" spans="1:49" ht="12.5" x14ac:dyDescent="0.25">
      <c r="A506" s="3" t="s">
        <v>46</v>
      </c>
      <c r="B506" s="21" t="str">
        <f>HYPERLINK("https://gerandofalcoes.my.salesforce.com/0014P00003Ck8Nj", "0014P00003Ck8Nj")</f>
        <v>0014P00003Ck8Nj</v>
      </c>
      <c r="C506" s="21" t="str">
        <f>HYPERLINK("https://gerandofalcoes.my.salesforce.com/0014P00003Ck8NjQAJ", "0014P00003Ck8NjQAJ")</f>
        <v>0014P00003Ck8NjQAJ</v>
      </c>
      <c r="D506" s="3" t="s">
        <v>11520</v>
      </c>
      <c r="E506" s="3"/>
      <c r="F506" s="3" t="s">
        <v>758</v>
      </c>
      <c r="G506" s="6">
        <v>44235</v>
      </c>
      <c r="H506" s="3">
        <v>561</v>
      </c>
      <c r="I506" s="3"/>
      <c r="J506" s="3"/>
      <c r="K506" s="3"/>
      <c r="L506" s="3" t="s">
        <v>70</v>
      </c>
      <c r="M506" s="3" t="s">
        <v>11521</v>
      </c>
      <c r="N506" s="3"/>
      <c r="O506" s="3" t="s">
        <v>11522</v>
      </c>
      <c r="P506" s="3" t="s">
        <v>760</v>
      </c>
      <c r="Q506" s="3"/>
      <c r="R506" s="3" t="s">
        <v>761</v>
      </c>
      <c r="S506" s="3"/>
      <c r="T506" s="3" t="s">
        <v>11523</v>
      </c>
      <c r="U506" s="3" t="s">
        <v>3817</v>
      </c>
      <c r="V506" s="3" t="s">
        <v>11524</v>
      </c>
      <c r="W506" s="3">
        <v>10</v>
      </c>
      <c r="X506" s="3">
        <v>10</v>
      </c>
      <c r="Y506" s="3"/>
      <c r="Z506" s="3"/>
      <c r="AA506" s="3"/>
      <c r="AB506" s="6">
        <v>37834</v>
      </c>
      <c r="AC506" s="3"/>
      <c r="AD506" s="3">
        <v>30</v>
      </c>
      <c r="AE506" s="3">
        <v>5</v>
      </c>
      <c r="AF506" s="3">
        <v>8</v>
      </c>
      <c r="AG506" s="3" t="s">
        <v>11525</v>
      </c>
      <c r="AH506" s="3" t="s">
        <v>11526</v>
      </c>
      <c r="AI506" s="3">
        <v>0</v>
      </c>
      <c r="AJ506" s="3"/>
      <c r="AK506" s="3" t="s">
        <v>62</v>
      </c>
      <c r="AL506" s="3"/>
      <c r="AM506" s="7" t="s">
        <v>11527</v>
      </c>
      <c r="AN506" s="3"/>
      <c r="AO506" s="7" t="s">
        <v>11528</v>
      </c>
      <c r="AP506" s="3"/>
      <c r="AQ506" s="3"/>
      <c r="AR506" s="3"/>
      <c r="AS506" s="3"/>
      <c r="AT506" s="3"/>
      <c r="AU506" s="3"/>
      <c r="AV506" s="3"/>
      <c r="AW506" s="3"/>
    </row>
    <row r="507" spans="1:49" ht="12.5" x14ac:dyDescent="0.25">
      <c r="A507" s="3" t="s">
        <v>46</v>
      </c>
      <c r="B507" s="21" t="str">
        <f>HYPERLINK("https://gerandofalcoes.my.salesforce.com/0014P00003I7WH2", "0014P00003I7WH2")</f>
        <v>0014P00003I7WH2</v>
      </c>
      <c r="C507" s="21" t="str">
        <f>HYPERLINK("https://gerandofalcoes.my.salesforce.com/0014P00003I7WH2QAN", "0014P00003I7WH2QAN")</f>
        <v>0014P00003I7WH2QAN</v>
      </c>
      <c r="D507" s="3" t="s">
        <v>777</v>
      </c>
      <c r="E507" s="3"/>
      <c r="F507" s="3">
        <v>31036828000123</v>
      </c>
      <c r="G507" s="6">
        <v>44375</v>
      </c>
      <c r="H507" s="3">
        <v>421</v>
      </c>
      <c r="I507" s="3"/>
      <c r="J507" s="3" t="s">
        <v>11529</v>
      </c>
      <c r="K507" s="3"/>
      <c r="L507" s="3" t="s">
        <v>295</v>
      </c>
      <c r="M507" s="3" t="s">
        <v>11530</v>
      </c>
      <c r="N507" s="3"/>
      <c r="O507" s="3" t="s">
        <v>11531</v>
      </c>
      <c r="P507" s="3" t="s">
        <v>11532</v>
      </c>
      <c r="Q507" s="3"/>
      <c r="R507" s="3" t="s">
        <v>11533</v>
      </c>
      <c r="S507" s="3" t="s">
        <v>11534</v>
      </c>
      <c r="T507" s="3" t="s">
        <v>11535</v>
      </c>
      <c r="U507" s="3" t="s">
        <v>3799</v>
      </c>
      <c r="V507" s="3" t="s">
        <v>3800</v>
      </c>
      <c r="W507" s="3">
        <v>6</v>
      </c>
      <c r="X507" s="3">
        <v>6</v>
      </c>
      <c r="Y507" s="3"/>
      <c r="Z507" s="3"/>
      <c r="AA507" s="3"/>
      <c r="AB507" s="6">
        <v>42987</v>
      </c>
      <c r="AC507" s="3" t="s">
        <v>62</v>
      </c>
      <c r="AD507" s="3">
        <v>5</v>
      </c>
      <c r="AE507" s="3">
        <v>2</v>
      </c>
      <c r="AF507" s="3">
        <v>3</v>
      </c>
      <c r="AG507" s="3" t="s">
        <v>11536</v>
      </c>
      <c r="AH507" s="3" t="s">
        <v>11537</v>
      </c>
      <c r="AI507" s="3">
        <v>300000</v>
      </c>
      <c r="AJ507" s="3" t="s">
        <v>120</v>
      </c>
      <c r="AK507" s="3" t="s">
        <v>62</v>
      </c>
      <c r="AL507" s="3"/>
      <c r="AM507" s="7" t="s">
        <v>11538</v>
      </c>
      <c r="AN507" s="3"/>
      <c r="AO507" s="7" t="s">
        <v>11539</v>
      </c>
      <c r="AP507" s="3"/>
      <c r="AQ507" s="3"/>
      <c r="AR507" s="3"/>
      <c r="AS507" s="7" t="s">
        <v>11540</v>
      </c>
      <c r="AT507" s="7" t="s">
        <v>11541</v>
      </c>
      <c r="AU507" s="3"/>
      <c r="AV507" s="3"/>
      <c r="AW507" s="3"/>
    </row>
    <row r="508" spans="1:49" ht="12.5" x14ac:dyDescent="0.25">
      <c r="A508" s="3" t="s">
        <v>46</v>
      </c>
      <c r="B508" s="21" t="str">
        <f>HYPERLINK("https://gerandofalcoes.my.salesforce.com/0014P00003AN2Ff", "0014P00003AN2Ff")</f>
        <v>0014P00003AN2Ff</v>
      </c>
      <c r="C508" s="21" t="str">
        <f>HYPERLINK("https://gerandofalcoes.my.salesforce.com/0014P00003AN2FfQAL", "0014P00003AN2FfQAL")</f>
        <v>0014P00003AN2FfQAL</v>
      </c>
      <c r="D508" s="3" t="s">
        <v>665</v>
      </c>
      <c r="E508" s="3" t="s">
        <v>666</v>
      </c>
      <c r="F508" s="3" t="s">
        <v>667</v>
      </c>
      <c r="G508" s="6">
        <v>44239</v>
      </c>
      <c r="H508" s="3">
        <v>557</v>
      </c>
      <c r="I508" s="3" t="s">
        <v>668</v>
      </c>
      <c r="J508" s="3" t="s">
        <v>669</v>
      </c>
      <c r="K508" s="3" t="s">
        <v>670</v>
      </c>
      <c r="L508" s="3" t="s">
        <v>84</v>
      </c>
      <c r="M508" s="3" t="s">
        <v>11542</v>
      </c>
      <c r="N508" s="3" t="s">
        <v>672</v>
      </c>
      <c r="O508" s="3" t="s">
        <v>11543</v>
      </c>
      <c r="P508" s="3" t="s">
        <v>177</v>
      </c>
      <c r="Q508" s="3" t="s">
        <v>673</v>
      </c>
      <c r="R508" s="3" t="s">
        <v>6079</v>
      </c>
      <c r="S508" s="3" t="s">
        <v>674</v>
      </c>
      <c r="T508" s="3" t="s">
        <v>11544</v>
      </c>
      <c r="U508" s="3" t="s">
        <v>8895</v>
      </c>
      <c r="V508" s="3" t="s">
        <v>9568</v>
      </c>
      <c r="W508" s="3">
        <v>8</v>
      </c>
      <c r="X508" s="3">
        <v>8</v>
      </c>
      <c r="Y508" s="3"/>
      <c r="Z508" s="3">
        <v>230</v>
      </c>
      <c r="AA508" s="3">
        <v>700</v>
      </c>
      <c r="AB508" s="6">
        <v>42129</v>
      </c>
      <c r="AC508" s="3" t="s">
        <v>62</v>
      </c>
      <c r="AD508" s="3">
        <v>0</v>
      </c>
      <c r="AE508" s="3">
        <v>4</v>
      </c>
      <c r="AF508" s="3">
        <v>1</v>
      </c>
      <c r="AG508" s="3" t="s">
        <v>11545</v>
      </c>
      <c r="AH508" s="3" t="s">
        <v>677</v>
      </c>
      <c r="AI508" s="3">
        <v>10000</v>
      </c>
      <c r="AJ508" s="3" t="s">
        <v>120</v>
      </c>
      <c r="AK508" s="3" t="s">
        <v>120</v>
      </c>
      <c r="AL508" s="7" t="s">
        <v>8938</v>
      </c>
      <c r="AM508" s="7" t="s">
        <v>11546</v>
      </c>
      <c r="AN508" s="7" t="s">
        <v>11547</v>
      </c>
      <c r="AO508" s="7" t="s">
        <v>11548</v>
      </c>
      <c r="AP508" s="3" t="s">
        <v>679</v>
      </c>
      <c r="AQ508" s="7" t="s">
        <v>11549</v>
      </c>
      <c r="AR508" s="7" t="s">
        <v>11550</v>
      </c>
      <c r="AS508" s="7" t="s">
        <v>11551</v>
      </c>
      <c r="AT508" s="7" t="s">
        <v>11552</v>
      </c>
      <c r="AU508" s="7" t="s">
        <v>11553</v>
      </c>
      <c r="AV508" s="3"/>
      <c r="AW508" s="3"/>
    </row>
    <row r="509" spans="1:49" ht="12.5" x14ac:dyDescent="0.25">
      <c r="A509" s="3" t="s">
        <v>46</v>
      </c>
      <c r="B509" s="21" t="str">
        <f>HYPERLINK("https://gerandofalcoes.my.salesforce.com/0014P00003AN2Fg", "0014P00003AN2Fg")</f>
        <v>0014P00003AN2Fg</v>
      </c>
      <c r="C509" s="21" t="str">
        <f>HYPERLINK("https://gerandofalcoes.my.salesforce.com/0014P00003AN2FgQAL", "0014P00003AN2FgQAL")</f>
        <v>0014P00003AN2FgQAL</v>
      </c>
      <c r="D509" s="3" t="s">
        <v>686</v>
      </c>
      <c r="E509" s="3" t="s">
        <v>687</v>
      </c>
      <c r="F509" s="3" t="s">
        <v>688</v>
      </c>
      <c r="G509" s="8">
        <v>44512</v>
      </c>
      <c r="H509" s="3">
        <v>284</v>
      </c>
      <c r="I509" s="3" t="s">
        <v>689</v>
      </c>
      <c r="J509" s="3" t="s">
        <v>690</v>
      </c>
      <c r="K509" s="3" t="s">
        <v>691</v>
      </c>
      <c r="L509" s="3" t="s">
        <v>84</v>
      </c>
      <c r="M509" s="3" t="s">
        <v>11554</v>
      </c>
      <c r="N509" s="3" t="s">
        <v>693</v>
      </c>
      <c r="O509" s="3" t="s">
        <v>2821</v>
      </c>
      <c r="P509" s="3" t="s">
        <v>369</v>
      </c>
      <c r="Q509" s="3"/>
      <c r="R509" s="3" t="s">
        <v>2825</v>
      </c>
      <c r="S509" s="3" t="s">
        <v>694</v>
      </c>
      <c r="T509" s="3" t="s">
        <v>11555</v>
      </c>
      <c r="U509" s="3" t="s">
        <v>9500</v>
      </c>
      <c r="V509" s="3" t="s">
        <v>9659</v>
      </c>
      <c r="W509" s="3">
        <v>0</v>
      </c>
      <c r="X509" s="3" t="s">
        <v>697</v>
      </c>
      <c r="Y509" s="3" t="s">
        <v>698</v>
      </c>
      <c r="Z509" s="3">
        <v>328</v>
      </c>
      <c r="AA509" s="3">
        <v>2000</v>
      </c>
      <c r="AB509" s="6">
        <v>42422</v>
      </c>
      <c r="AC509" s="3" t="s">
        <v>62</v>
      </c>
      <c r="AD509" s="3">
        <v>2</v>
      </c>
      <c r="AE509" s="3">
        <v>43</v>
      </c>
      <c r="AF509" s="3">
        <v>4</v>
      </c>
      <c r="AG509" s="3" t="s">
        <v>11556</v>
      </c>
      <c r="AH509" s="3" t="s">
        <v>11557</v>
      </c>
      <c r="AI509" s="3">
        <v>200000</v>
      </c>
      <c r="AJ509" s="3" t="s">
        <v>120</v>
      </c>
      <c r="AK509" s="3" t="s">
        <v>62</v>
      </c>
      <c r="AL509" s="7" t="s">
        <v>11558</v>
      </c>
      <c r="AM509" s="3" t="s">
        <v>11559</v>
      </c>
      <c r="AN509" s="7" t="s">
        <v>11560</v>
      </c>
      <c r="AO509" s="3" t="s">
        <v>11561</v>
      </c>
      <c r="AP509" s="7" t="s">
        <v>705</v>
      </c>
      <c r="AQ509" s="3"/>
      <c r="AR509" s="7" t="s">
        <v>11562</v>
      </c>
      <c r="AS509" s="7" t="s">
        <v>11563</v>
      </c>
      <c r="AT509" s="7" t="s">
        <v>11564</v>
      </c>
      <c r="AU509" s="7" t="s">
        <v>11565</v>
      </c>
      <c r="AV509" s="3"/>
      <c r="AW509" s="3"/>
    </row>
    <row r="510" spans="1:49" ht="12.5" x14ac:dyDescent="0.25">
      <c r="A510" s="3" t="s">
        <v>46</v>
      </c>
      <c r="B510" s="21" t="str">
        <f>HYPERLINK("https://gerandofalcoes.my.salesforce.com/0014P00003AN2Fh", "0014P00003AN2Fh")</f>
        <v>0014P00003AN2Fh</v>
      </c>
      <c r="C510" s="21" t="str">
        <f>HYPERLINK("https://gerandofalcoes.my.salesforce.com/0014P00003AN2FhQAL", "0014P00003AN2FhQAL")</f>
        <v>0014P00003AN2FhQAL</v>
      </c>
      <c r="D510" s="3" t="s">
        <v>711</v>
      </c>
      <c r="E510" s="3"/>
      <c r="F510" s="3" t="s">
        <v>712</v>
      </c>
      <c r="G510" s="6">
        <v>44375</v>
      </c>
      <c r="H510" s="3">
        <v>421</v>
      </c>
      <c r="I510" s="3"/>
      <c r="J510" s="3"/>
      <c r="K510" s="3"/>
      <c r="L510" s="3" t="s">
        <v>1171</v>
      </c>
      <c r="M510" s="3" t="s">
        <v>11566</v>
      </c>
      <c r="N510" s="3"/>
      <c r="O510" s="3" t="s">
        <v>11567</v>
      </c>
      <c r="P510" s="3" t="s">
        <v>11568</v>
      </c>
      <c r="Q510" s="3"/>
      <c r="R510" s="3" t="s">
        <v>11569</v>
      </c>
      <c r="S510" s="3" t="s">
        <v>715</v>
      </c>
      <c r="T510" s="3" t="s">
        <v>2933</v>
      </c>
      <c r="U510" s="3" t="s">
        <v>3831</v>
      </c>
      <c r="V510" s="3" t="s">
        <v>4119</v>
      </c>
      <c r="W510" s="3">
        <v>3</v>
      </c>
      <c r="X510" s="3" t="s">
        <v>718</v>
      </c>
      <c r="Y510" s="3"/>
      <c r="Z510" s="3"/>
      <c r="AA510" s="3"/>
      <c r="AB510" s="6">
        <v>36001</v>
      </c>
      <c r="AC510" s="3" t="s">
        <v>62</v>
      </c>
      <c r="AD510" s="3">
        <v>3</v>
      </c>
      <c r="AE510" s="3">
        <v>3</v>
      </c>
      <c r="AF510" s="3">
        <v>3</v>
      </c>
      <c r="AG510" s="3" t="s">
        <v>3859</v>
      </c>
      <c r="AH510" s="3">
        <v>3</v>
      </c>
      <c r="AI510" s="3">
        <v>22000</v>
      </c>
      <c r="AJ510" s="3" t="s">
        <v>120</v>
      </c>
      <c r="AK510" s="3" t="s">
        <v>120</v>
      </c>
      <c r="AL510" s="3" t="s">
        <v>11570</v>
      </c>
      <c r="AM510" s="3"/>
      <c r="AN510" s="3"/>
      <c r="AO510" s="3"/>
      <c r="AP510" s="3" t="s">
        <v>721</v>
      </c>
      <c r="AQ510" s="3"/>
      <c r="AR510" s="3"/>
      <c r="AS510" s="3"/>
      <c r="AT510" s="3"/>
      <c r="AU510" s="3"/>
      <c r="AV510" s="3"/>
      <c r="AW510" s="3"/>
    </row>
    <row r="511" spans="1:49" ht="12.5" x14ac:dyDescent="0.25">
      <c r="A511" s="3" t="s">
        <v>46</v>
      </c>
      <c r="B511" s="21" t="str">
        <f>HYPERLINK("https://gerandofalcoes.my.salesforce.com/0014P00003AN2Fi", "0014P00003AN2Fi")</f>
        <v>0014P00003AN2Fi</v>
      </c>
      <c r="C511" s="21" t="str">
        <f>HYPERLINK("https://gerandofalcoes.my.salesforce.com/0014P00003AN2FiQAL", "0014P00003AN2FiQAL")</f>
        <v>0014P00003AN2FiQAL</v>
      </c>
      <c r="D511" s="3" t="s">
        <v>723</v>
      </c>
      <c r="E511" s="3"/>
      <c r="F511" s="3" t="s">
        <v>724</v>
      </c>
      <c r="G511" s="8">
        <v>44151</v>
      </c>
      <c r="H511" s="3">
        <v>645</v>
      </c>
      <c r="I511" s="3"/>
      <c r="J511" s="3"/>
      <c r="K511" s="3"/>
      <c r="L511" s="3" t="s">
        <v>51</v>
      </c>
      <c r="M511" s="3" t="s">
        <v>725</v>
      </c>
      <c r="N511" s="3"/>
      <c r="O511" s="3" t="s">
        <v>11571</v>
      </c>
      <c r="P511" s="3" t="s">
        <v>231</v>
      </c>
      <c r="Q511" s="3"/>
      <c r="R511" s="3" t="s">
        <v>11572</v>
      </c>
      <c r="S511" s="3"/>
      <c r="T511" s="3" t="s">
        <v>11333</v>
      </c>
      <c r="U511" s="3" t="s">
        <v>8868</v>
      </c>
      <c r="V511" s="3" t="s">
        <v>3800</v>
      </c>
      <c r="W511" s="3">
        <v>6</v>
      </c>
      <c r="X511" s="3">
        <v>6</v>
      </c>
      <c r="Y511" s="3" t="s">
        <v>11573</v>
      </c>
      <c r="Z511" s="3"/>
      <c r="AA511" s="3"/>
      <c r="AB511" s="6">
        <v>30944</v>
      </c>
      <c r="AC511" s="3" t="s">
        <v>62</v>
      </c>
      <c r="AD511" s="3">
        <v>2</v>
      </c>
      <c r="AE511" s="3">
        <v>6</v>
      </c>
      <c r="AF511" s="3">
        <v>2</v>
      </c>
      <c r="AG511" s="3" t="s">
        <v>11574</v>
      </c>
      <c r="AH511" s="5">
        <v>0.5</v>
      </c>
      <c r="AI511" s="3">
        <v>270000</v>
      </c>
      <c r="AJ511" s="3" t="s">
        <v>120</v>
      </c>
      <c r="AK511" s="3" t="s">
        <v>62</v>
      </c>
      <c r="AL511" s="3" t="s">
        <v>120</v>
      </c>
      <c r="AM511" s="7" t="s">
        <v>11575</v>
      </c>
      <c r="AN511" s="3"/>
      <c r="AO511" s="3"/>
      <c r="AP511" s="7" t="s">
        <v>729</v>
      </c>
      <c r="AQ511" s="3"/>
      <c r="AR511" s="3"/>
      <c r="AS511" s="7" t="s">
        <v>11576</v>
      </c>
      <c r="AT511" s="3"/>
      <c r="AU511" s="3"/>
      <c r="AV511" s="3"/>
      <c r="AW511" s="3"/>
    </row>
    <row r="512" spans="1:49" ht="12.5" x14ac:dyDescent="0.25">
      <c r="A512" s="3" t="s">
        <v>152</v>
      </c>
      <c r="B512" s="21" t="str">
        <f>HYPERLINK("https://gerandofalcoes.my.salesforce.com/0014P00003AN2Fj", "0014P00003AN2Fj")</f>
        <v>0014P00003AN2Fj</v>
      </c>
      <c r="C512" s="21" t="str">
        <f>HYPERLINK("https://gerandofalcoes.my.salesforce.com/0014P00003AN2FjQAL", "0014P00003AN2FjQAL")</f>
        <v>0014P00003AN2FjQAL</v>
      </c>
      <c r="D512" s="3" t="s">
        <v>11577</v>
      </c>
      <c r="E512" s="3" t="s">
        <v>403</v>
      </c>
      <c r="F512" s="3" t="s">
        <v>404</v>
      </c>
      <c r="G512" s="8">
        <v>44161</v>
      </c>
      <c r="H512" s="3">
        <v>635</v>
      </c>
      <c r="I512" s="3" t="s">
        <v>11578</v>
      </c>
      <c r="J512" s="3" t="s">
        <v>405</v>
      </c>
      <c r="K512" s="3" t="s">
        <v>11579</v>
      </c>
      <c r="L512" s="3" t="s">
        <v>407</v>
      </c>
      <c r="M512" s="3" t="s">
        <v>11580</v>
      </c>
      <c r="N512" s="3"/>
      <c r="O512" s="3" t="s">
        <v>11581</v>
      </c>
      <c r="P512" s="3" t="s">
        <v>409</v>
      </c>
      <c r="Q512" s="3"/>
      <c r="R512" s="3" t="s">
        <v>11582</v>
      </c>
      <c r="S512" s="3"/>
      <c r="T512" s="3" t="s">
        <v>11583</v>
      </c>
      <c r="U512" s="3" t="s">
        <v>9152</v>
      </c>
      <c r="V512" s="3" t="s">
        <v>11584</v>
      </c>
      <c r="W512" s="3">
        <v>6</v>
      </c>
      <c r="X512" s="3">
        <v>6</v>
      </c>
      <c r="Y512" s="3"/>
      <c r="Z512" s="3"/>
      <c r="AA512" s="3"/>
      <c r="AB512" s="8">
        <v>44134</v>
      </c>
      <c r="AC512" s="3" t="s">
        <v>62</v>
      </c>
      <c r="AD512" s="3">
        <v>5</v>
      </c>
      <c r="AE512" s="3">
        <v>20</v>
      </c>
      <c r="AF512" s="3">
        <v>4</v>
      </c>
      <c r="AG512" s="3" t="s">
        <v>11585</v>
      </c>
      <c r="AH512" s="3" t="s">
        <v>414</v>
      </c>
      <c r="AI512" s="3">
        <v>49628.39</v>
      </c>
      <c r="AJ512" s="3" t="s">
        <v>120</v>
      </c>
      <c r="AK512" s="3" t="s">
        <v>120</v>
      </c>
      <c r="AL512" s="7" t="s">
        <v>11586</v>
      </c>
      <c r="AM512" s="7" t="s">
        <v>11587</v>
      </c>
      <c r="AN512" s="3"/>
      <c r="AO512" s="3"/>
      <c r="AP512" s="3" t="s">
        <v>417</v>
      </c>
      <c r="AQ512" s="3"/>
      <c r="AR512" s="3"/>
      <c r="AS512" s="7" t="s">
        <v>11588</v>
      </c>
      <c r="AT512" s="7" t="s">
        <v>11589</v>
      </c>
      <c r="AU512" s="3"/>
      <c r="AV512" s="3"/>
      <c r="AW512" s="3"/>
    </row>
    <row r="513" spans="1:49" ht="12.5" x14ac:dyDescent="0.25">
      <c r="A513" s="3" t="s">
        <v>152</v>
      </c>
      <c r="B513" s="21" t="str">
        <f>HYPERLINK("https://gerandofalcoes.my.salesforce.com/0014P00003AN2Fk", "0014P00003AN2Fk")</f>
        <v>0014P00003AN2Fk</v>
      </c>
      <c r="C513" s="21" t="str">
        <f>HYPERLINK("https://gerandofalcoes.my.salesforce.com/0014P00003AN2FkQAL", "0014P00003AN2FkQAL")</f>
        <v>0014P00003AN2FkQAL</v>
      </c>
      <c r="D513" s="3" t="s">
        <v>11590</v>
      </c>
      <c r="E513" s="3" t="s">
        <v>787</v>
      </c>
      <c r="F513" s="3" t="s">
        <v>11591</v>
      </c>
      <c r="G513" s="8">
        <v>44151</v>
      </c>
      <c r="H513" s="3">
        <v>645</v>
      </c>
      <c r="I513" s="3"/>
      <c r="J513" s="3"/>
      <c r="K513" s="3"/>
      <c r="L513" s="3" t="s">
        <v>295</v>
      </c>
      <c r="M513" s="3" t="s">
        <v>788</v>
      </c>
      <c r="N513" s="3"/>
      <c r="O513" s="3" t="s">
        <v>11592</v>
      </c>
      <c r="P513" s="3" t="s">
        <v>789</v>
      </c>
      <c r="Q513" s="3"/>
      <c r="R513" s="3" t="s">
        <v>2849</v>
      </c>
      <c r="S513" s="3" t="s">
        <v>790</v>
      </c>
      <c r="T513" s="3" t="s">
        <v>11593</v>
      </c>
      <c r="U513" s="3" t="s">
        <v>9005</v>
      </c>
      <c r="V513" s="3" t="s">
        <v>3832</v>
      </c>
      <c r="W513" s="3">
        <v>20</v>
      </c>
      <c r="X513" s="3">
        <v>20</v>
      </c>
      <c r="Y513" s="3"/>
      <c r="Z513" s="3"/>
      <c r="AA513" s="3"/>
      <c r="AB513" s="6">
        <v>43893</v>
      </c>
      <c r="AC513" s="3" t="s">
        <v>120</v>
      </c>
      <c r="AD513" s="3">
        <v>0</v>
      </c>
      <c r="AE513" s="3">
        <v>12</v>
      </c>
      <c r="AF513" s="3">
        <v>4</v>
      </c>
      <c r="AG513" s="3" t="s">
        <v>11451</v>
      </c>
      <c r="AH513" s="3" t="s">
        <v>794</v>
      </c>
      <c r="AI513" s="3">
        <v>45000</v>
      </c>
      <c r="AJ513" s="3" t="s">
        <v>120</v>
      </c>
      <c r="AK513" s="3" t="s">
        <v>62</v>
      </c>
      <c r="AL513" s="3" t="s">
        <v>120</v>
      </c>
      <c r="AM513" s="7" t="s">
        <v>11594</v>
      </c>
      <c r="AN513" s="3"/>
      <c r="AO513" s="7" t="s">
        <v>11595</v>
      </c>
      <c r="AP513" s="3" t="s">
        <v>795</v>
      </c>
      <c r="AQ513" s="3"/>
      <c r="AR513" s="3"/>
      <c r="AS513" s="7" t="s">
        <v>11596</v>
      </c>
      <c r="AT513" s="7" t="s">
        <v>11597</v>
      </c>
      <c r="AU513" s="3"/>
      <c r="AV513" s="3"/>
      <c r="AW513" s="3"/>
    </row>
    <row r="514" spans="1:49" ht="12.5" x14ac:dyDescent="0.25">
      <c r="A514" s="3" t="s">
        <v>152</v>
      </c>
      <c r="B514" s="21" t="str">
        <f>HYPERLINK("https://gerandofalcoes.my.salesforce.com/0014P00003AN2Fl", "0014P00003AN2Fl")</f>
        <v>0014P00003AN2Fl</v>
      </c>
      <c r="C514" s="21" t="str">
        <f>HYPERLINK("https://gerandofalcoes.my.salesforce.com/0014P00003AN2FlQAL", "0014P00003AN2FlQAL")</f>
        <v>0014P00003AN2FlQAL</v>
      </c>
      <c r="D514" s="3" t="s">
        <v>797</v>
      </c>
      <c r="E514" s="3" t="s">
        <v>798</v>
      </c>
      <c r="F514" s="3" t="s">
        <v>799</v>
      </c>
      <c r="G514" s="6">
        <v>44285</v>
      </c>
      <c r="H514" s="3">
        <v>511</v>
      </c>
      <c r="I514" s="3"/>
      <c r="J514" s="3" t="s">
        <v>800</v>
      </c>
      <c r="K514" s="3" t="s">
        <v>801</v>
      </c>
      <c r="L514" s="3" t="s">
        <v>70</v>
      </c>
      <c r="M514" s="3" t="s">
        <v>11598</v>
      </c>
      <c r="N514" s="3"/>
      <c r="O514" s="3" t="s">
        <v>11599</v>
      </c>
      <c r="P514" s="3" t="s">
        <v>73</v>
      </c>
      <c r="Q514" s="3"/>
      <c r="R514" s="3" t="s">
        <v>11600</v>
      </c>
      <c r="S514" s="3" t="s">
        <v>803</v>
      </c>
      <c r="T514" s="3" t="s">
        <v>11601</v>
      </c>
      <c r="U514" s="3" t="s">
        <v>10522</v>
      </c>
      <c r="V514" s="3" t="s">
        <v>11602</v>
      </c>
      <c r="W514" s="3">
        <v>13</v>
      </c>
      <c r="X514" s="3">
        <v>13</v>
      </c>
      <c r="Y514" s="3" t="s">
        <v>806</v>
      </c>
      <c r="Z514" s="3"/>
      <c r="AA514" s="3"/>
      <c r="AB514" s="6">
        <v>44075</v>
      </c>
      <c r="AC514" s="3" t="s">
        <v>807</v>
      </c>
      <c r="AD514" s="3">
        <v>9</v>
      </c>
      <c r="AE514" s="3">
        <v>4</v>
      </c>
      <c r="AF514" s="3">
        <v>5</v>
      </c>
      <c r="AG514" s="3" t="s">
        <v>11411</v>
      </c>
      <c r="AH514" s="3" t="s">
        <v>11603</v>
      </c>
      <c r="AI514" s="3">
        <v>128126.51</v>
      </c>
      <c r="AJ514" s="3" t="s">
        <v>120</v>
      </c>
      <c r="AK514" s="3" t="s">
        <v>120</v>
      </c>
      <c r="AL514" s="7" t="s">
        <v>11604</v>
      </c>
      <c r="AM514" s="7" t="s">
        <v>11605</v>
      </c>
      <c r="AN514" s="7" t="s">
        <v>11606</v>
      </c>
      <c r="AO514" s="3"/>
      <c r="AP514" s="7" t="s">
        <v>812</v>
      </c>
      <c r="AQ514" s="3"/>
      <c r="AR514" s="3"/>
      <c r="AS514" s="7" t="s">
        <v>11607</v>
      </c>
      <c r="AT514" s="3"/>
      <c r="AU514" s="3"/>
    </row>
    <row r="515" spans="1:49" ht="12.5" x14ac:dyDescent="0.25">
      <c r="A515" s="3" t="s">
        <v>152</v>
      </c>
      <c r="B515" s="21" t="str">
        <f>HYPERLINK("https://gerandofalcoes.my.salesforce.com/0014P00003AN2Fm", "0014P00003AN2Fm")</f>
        <v>0014P00003AN2Fm</v>
      </c>
      <c r="C515" s="21" t="str">
        <f>HYPERLINK("https://gerandofalcoes.my.salesforce.com/0014P00003AN2FmQAL", "0014P00003AN2FmQAL")</f>
        <v>0014P00003AN2FmQAL</v>
      </c>
      <c r="D515" s="3" t="s">
        <v>814</v>
      </c>
      <c r="E515" s="3" t="s">
        <v>815</v>
      </c>
      <c r="F515" s="3" t="s">
        <v>816</v>
      </c>
      <c r="G515" s="6">
        <v>44285</v>
      </c>
      <c r="H515" s="3">
        <v>511</v>
      </c>
      <c r="I515" s="3"/>
      <c r="J515" s="3" t="s">
        <v>817</v>
      </c>
      <c r="K515" s="3" t="s">
        <v>11608</v>
      </c>
      <c r="L515" s="3" t="s">
        <v>70</v>
      </c>
      <c r="M515" s="3" t="s">
        <v>11609</v>
      </c>
      <c r="N515" s="3"/>
      <c r="O515" s="3">
        <v>25</v>
      </c>
      <c r="P515" s="3" t="s">
        <v>73</v>
      </c>
      <c r="Q515" s="3"/>
      <c r="R515" s="3" t="s">
        <v>11610</v>
      </c>
      <c r="S515" s="3"/>
      <c r="T515" s="3" t="s">
        <v>11611</v>
      </c>
      <c r="U515" s="3" t="s">
        <v>3799</v>
      </c>
      <c r="V515" s="3" t="s">
        <v>11612</v>
      </c>
      <c r="W515" s="3">
        <v>1</v>
      </c>
      <c r="X515" s="3">
        <v>1</v>
      </c>
      <c r="Y515" s="3" t="s">
        <v>823</v>
      </c>
      <c r="Z515" s="3"/>
      <c r="AA515" s="3"/>
      <c r="AB515" s="6">
        <v>41736</v>
      </c>
      <c r="AC515" s="3" t="s">
        <v>62</v>
      </c>
      <c r="AD515" s="3">
        <v>30</v>
      </c>
      <c r="AE515" s="3">
        <v>20</v>
      </c>
      <c r="AF515" s="3">
        <v>5</v>
      </c>
      <c r="AG515" s="3" t="s">
        <v>11613</v>
      </c>
      <c r="AH515" s="3" t="s">
        <v>11614</v>
      </c>
      <c r="AI515" s="3">
        <v>969799.69</v>
      </c>
      <c r="AJ515" s="3" t="s">
        <v>120</v>
      </c>
      <c r="AK515" s="3" t="s">
        <v>120</v>
      </c>
      <c r="AL515" s="7" t="s">
        <v>11615</v>
      </c>
      <c r="AM515" s="3" t="s">
        <v>11616</v>
      </c>
      <c r="AN515" s="7" t="s">
        <v>11617</v>
      </c>
      <c r="AO515" s="3" t="s">
        <v>11618</v>
      </c>
      <c r="AP515" s="3" t="s">
        <v>828</v>
      </c>
      <c r="AQ515" s="3"/>
      <c r="AR515" s="3"/>
      <c r="AS515" s="7" t="s">
        <v>11619</v>
      </c>
      <c r="AT515" s="7" t="s">
        <v>11620</v>
      </c>
      <c r="AU515" s="3"/>
    </row>
    <row r="516" spans="1:49" ht="12.5" x14ac:dyDescent="0.25">
      <c r="A516" s="3" t="s">
        <v>152</v>
      </c>
      <c r="B516" s="21" t="str">
        <f>HYPERLINK("https://gerandofalcoes.my.salesforce.com/0014P00003AN2Fn", "0014P00003AN2Fn")</f>
        <v>0014P00003AN2Fn</v>
      </c>
      <c r="C516" s="21" t="str">
        <f>HYPERLINK("https://gerandofalcoes.my.salesforce.com/0014P00003AN2FnQAL", "0014P00003AN2FnQAL")</f>
        <v>0014P00003AN2FnQAL</v>
      </c>
      <c r="D516" s="3" t="s">
        <v>830</v>
      </c>
      <c r="E516" s="3" t="s">
        <v>831</v>
      </c>
      <c r="F516" s="3" t="s">
        <v>832</v>
      </c>
      <c r="G516" s="6">
        <v>43864</v>
      </c>
      <c r="H516" s="3">
        <v>932</v>
      </c>
      <c r="I516" s="3"/>
      <c r="J516" s="3" t="s">
        <v>833</v>
      </c>
      <c r="K516" s="3" t="s">
        <v>834</v>
      </c>
      <c r="L516" s="3" t="s">
        <v>101</v>
      </c>
      <c r="M516" s="3" t="s">
        <v>11621</v>
      </c>
      <c r="N516" s="3" t="s">
        <v>11622</v>
      </c>
      <c r="O516" s="3" t="s">
        <v>11623</v>
      </c>
      <c r="P516" s="3" t="s">
        <v>8391</v>
      </c>
      <c r="Q516" s="3"/>
      <c r="R516" s="3" t="s">
        <v>11624</v>
      </c>
      <c r="S516" s="3"/>
      <c r="T516" s="3" t="s">
        <v>11625</v>
      </c>
      <c r="U516" s="3" t="s">
        <v>3799</v>
      </c>
      <c r="V516" s="3" t="s">
        <v>9808</v>
      </c>
      <c r="W516" s="3">
        <v>6</v>
      </c>
      <c r="X516" s="3">
        <v>7</v>
      </c>
      <c r="Y516" s="3"/>
      <c r="Z516" s="3"/>
      <c r="AA516" s="3"/>
      <c r="AB516" s="8">
        <v>43812</v>
      </c>
      <c r="AC516" s="3" t="s">
        <v>62</v>
      </c>
      <c r="AD516" s="3">
        <v>22</v>
      </c>
      <c r="AE516" s="3">
        <v>20</v>
      </c>
      <c r="AF516" s="3">
        <v>3</v>
      </c>
      <c r="AG516" s="3" t="s">
        <v>11626</v>
      </c>
      <c r="AH516" s="3" t="s">
        <v>5157</v>
      </c>
      <c r="AI516" s="3">
        <v>850231.83</v>
      </c>
      <c r="AJ516" s="3" t="s">
        <v>62</v>
      </c>
      <c r="AK516" s="3" t="s">
        <v>120</v>
      </c>
      <c r="AL516" s="7" t="s">
        <v>11627</v>
      </c>
      <c r="AM516" s="7" t="s">
        <v>11628</v>
      </c>
      <c r="AN516" s="7" t="s">
        <v>11629</v>
      </c>
      <c r="AO516" s="7" t="s">
        <v>11630</v>
      </c>
      <c r="AP516" s="3" t="s">
        <v>841</v>
      </c>
      <c r="AR516" s="3"/>
      <c r="AS516" s="7" t="s">
        <v>11631</v>
      </c>
      <c r="AT516" s="7" t="s">
        <v>11632</v>
      </c>
      <c r="AU516" s="3"/>
    </row>
    <row r="517" spans="1:49" ht="12.5" x14ac:dyDescent="0.25">
      <c r="A517" s="3" t="s">
        <v>46</v>
      </c>
      <c r="B517" s="21" t="str">
        <f>HYPERLINK("https://gerandofalcoes.my.salesforce.com/0014P00003AN2Fo", "0014P00003AN2Fo")</f>
        <v>0014P00003AN2Fo</v>
      </c>
      <c r="C517" s="21" t="str">
        <f>HYPERLINK("https://gerandofalcoes.my.salesforce.com/0014P00003AN2FoQAL", "0014P00003AN2FoQAL")</f>
        <v>0014P00003AN2FoQAL</v>
      </c>
      <c r="D517" s="3" t="s">
        <v>843</v>
      </c>
      <c r="E517" s="3" t="s">
        <v>11633</v>
      </c>
      <c r="F517" s="3" t="s">
        <v>845</v>
      </c>
      <c r="G517" s="6">
        <v>44441</v>
      </c>
      <c r="H517" s="3">
        <v>355</v>
      </c>
      <c r="I517" s="3"/>
      <c r="J517" s="3" t="s">
        <v>846</v>
      </c>
      <c r="K517" s="3" t="s">
        <v>11634</v>
      </c>
      <c r="L517" s="3" t="s">
        <v>101</v>
      </c>
      <c r="M517" s="3" t="s">
        <v>11635</v>
      </c>
      <c r="N517" s="3"/>
      <c r="O517" s="3" t="s">
        <v>11636</v>
      </c>
      <c r="P517" s="3" t="s">
        <v>10607</v>
      </c>
      <c r="Q517" s="3">
        <v>100</v>
      </c>
      <c r="R517" s="3" t="s">
        <v>11637</v>
      </c>
      <c r="S517" s="3" t="s">
        <v>848</v>
      </c>
      <c r="T517" s="3" t="s">
        <v>9487</v>
      </c>
      <c r="U517" s="3" t="s">
        <v>9005</v>
      </c>
      <c r="V517" s="3" t="s">
        <v>3800</v>
      </c>
      <c r="W517" s="3">
        <v>5</v>
      </c>
      <c r="X517" s="3">
        <v>5</v>
      </c>
      <c r="Y517" s="3" t="s">
        <v>850</v>
      </c>
      <c r="AA517" s="3"/>
      <c r="AB517" s="8">
        <v>37207</v>
      </c>
      <c r="AC517" s="3" t="s">
        <v>62</v>
      </c>
      <c r="AD517" s="3">
        <v>5</v>
      </c>
      <c r="AE517" s="3">
        <v>12</v>
      </c>
      <c r="AF517" s="3">
        <v>2</v>
      </c>
      <c r="AG517" s="3" t="s">
        <v>9587</v>
      </c>
      <c r="AH517" s="3" t="s">
        <v>851</v>
      </c>
      <c r="AI517" s="3">
        <v>150000</v>
      </c>
      <c r="AJ517" s="3" t="s">
        <v>62</v>
      </c>
      <c r="AK517" s="3" t="s">
        <v>120</v>
      </c>
      <c r="AL517" s="7" t="s">
        <v>11638</v>
      </c>
      <c r="AM517" s="7" t="s">
        <v>11639</v>
      </c>
      <c r="AN517" s="7" t="s">
        <v>11640</v>
      </c>
      <c r="AO517" s="3" t="s">
        <v>11641</v>
      </c>
      <c r="AP517" s="3"/>
      <c r="AS517" s="7" t="s">
        <v>11642</v>
      </c>
      <c r="AT517" s="7" t="s">
        <v>11643</v>
      </c>
    </row>
    <row r="518" spans="1:49" ht="12.5" x14ac:dyDescent="0.25">
      <c r="A518" s="3" t="s">
        <v>152</v>
      </c>
      <c r="B518" s="21" t="str">
        <f>HYPERLINK("https://gerandofalcoes.my.salesforce.com/0014P00003AN2Fp", "0014P00003AN2Fp")</f>
        <v>0014P00003AN2Fp</v>
      </c>
      <c r="C518" s="21" t="str">
        <f>HYPERLINK("https://gerandofalcoes.my.salesforce.com/0014P00003AN2FpQAL", "0014P00003AN2FpQAL")</f>
        <v>0014P00003AN2FpQAL</v>
      </c>
      <c r="D518" s="3" t="s">
        <v>856</v>
      </c>
      <c r="E518" s="3" t="s">
        <v>857</v>
      </c>
      <c r="F518" s="3" t="s">
        <v>858</v>
      </c>
      <c r="G518" s="6">
        <v>44141</v>
      </c>
      <c r="H518" s="3">
        <v>655</v>
      </c>
      <c r="I518" s="3"/>
      <c r="J518" s="3" t="s">
        <v>859</v>
      </c>
      <c r="K518" s="3" t="s">
        <v>860</v>
      </c>
      <c r="L518" s="3" t="s">
        <v>84</v>
      </c>
      <c r="M518" s="3" t="s">
        <v>11644</v>
      </c>
      <c r="N518" s="3" t="s">
        <v>11645</v>
      </c>
      <c r="O518" s="3" t="s">
        <v>11646</v>
      </c>
      <c r="P518" s="3" t="s">
        <v>266</v>
      </c>
      <c r="Q518" s="3"/>
      <c r="R518" s="3" t="s">
        <v>11647</v>
      </c>
      <c r="S518" s="3" t="s">
        <v>862</v>
      </c>
      <c r="T518" s="3" t="s">
        <v>9487</v>
      </c>
      <c r="U518" s="3" t="s">
        <v>8895</v>
      </c>
      <c r="V518" s="3" t="s">
        <v>3832</v>
      </c>
      <c r="W518" s="3">
        <v>7</v>
      </c>
      <c r="X518" s="3">
        <v>3</v>
      </c>
      <c r="Y518" s="3" t="s">
        <v>863</v>
      </c>
      <c r="AA518" s="3"/>
      <c r="AB518" s="6">
        <v>42542</v>
      </c>
      <c r="AC518" s="3" t="s">
        <v>62</v>
      </c>
      <c r="AD518" s="3">
        <v>16</v>
      </c>
      <c r="AE518" s="3">
        <v>8</v>
      </c>
      <c r="AF518" s="3">
        <v>2</v>
      </c>
      <c r="AG518" s="3" t="s">
        <v>11648</v>
      </c>
      <c r="AH518" s="3" t="s">
        <v>11649</v>
      </c>
      <c r="AI518" s="3">
        <v>76727.45</v>
      </c>
      <c r="AJ518" s="3" t="s">
        <v>120</v>
      </c>
      <c r="AK518" s="3" t="s">
        <v>120</v>
      </c>
      <c r="AL518" s="7" t="s">
        <v>11650</v>
      </c>
      <c r="AM518" s="7" t="s">
        <v>11651</v>
      </c>
      <c r="AN518" s="3"/>
      <c r="AO518" s="7" t="s">
        <v>11652</v>
      </c>
      <c r="AP518" s="3" t="s">
        <v>866</v>
      </c>
      <c r="AS518" s="7" t="s">
        <v>11653</v>
      </c>
      <c r="AT518" s="7" t="s">
        <v>11654</v>
      </c>
    </row>
    <row r="519" spans="1:49" ht="12.5" x14ac:dyDescent="0.25">
      <c r="A519" s="3" t="s">
        <v>152</v>
      </c>
      <c r="B519" s="21" t="str">
        <f>HYPERLINK("https://gerandofalcoes.my.salesforce.com/0014P00003AN2Fq", "0014P00003AN2Fq")</f>
        <v>0014P00003AN2Fq</v>
      </c>
      <c r="C519" s="21" t="str">
        <f>HYPERLINK("https://gerandofalcoes.my.salesforce.com/0014P00003AN2FqQAL", "0014P00003AN2FqQAL")</f>
        <v>0014P00003AN2FqQAL</v>
      </c>
      <c r="D519" s="3" t="s">
        <v>868</v>
      </c>
      <c r="E519" s="3" t="s">
        <v>869</v>
      </c>
      <c r="F519" s="3" t="s">
        <v>870</v>
      </c>
      <c r="G519" s="6">
        <v>43922</v>
      </c>
      <c r="H519" s="3">
        <v>874</v>
      </c>
      <c r="I519" s="3"/>
      <c r="J519" s="3" t="s">
        <v>871</v>
      </c>
      <c r="K519" s="3" t="s">
        <v>872</v>
      </c>
      <c r="L519" s="3" t="s">
        <v>101</v>
      </c>
      <c r="M519" s="3" t="s">
        <v>11655</v>
      </c>
      <c r="N519" s="3" t="s">
        <v>11656</v>
      </c>
      <c r="O519" s="3" t="s">
        <v>11657</v>
      </c>
      <c r="P519" s="3" t="s">
        <v>874</v>
      </c>
      <c r="Q519" s="3"/>
      <c r="R519" s="3" t="s">
        <v>11658</v>
      </c>
      <c r="S519" s="3"/>
      <c r="T519" s="3" t="s">
        <v>9366</v>
      </c>
      <c r="U519" s="3" t="s">
        <v>8852</v>
      </c>
      <c r="V519" s="3" t="s">
        <v>9808</v>
      </c>
      <c r="W519" s="3">
        <v>7</v>
      </c>
      <c r="X519" s="3">
        <v>7</v>
      </c>
      <c r="Y519" s="3" t="s">
        <v>877</v>
      </c>
      <c r="AA519" s="3"/>
      <c r="AB519" s="6">
        <v>42835</v>
      </c>
      <c r="AC519" s="3" t="s">
        <v>62</v>
      </c>
      <c r="AD519" s="3">
        <v>46</v>
      </c>
      <c r="AE519" s="3">
        <v>27</v>
      </c>
      <c r="AF519" s="3">
        <v>4</v>
      </c>
      <c r="AG519" s="3" t="s">
        <v>11659</v>
      </c>
      <c r="AH519" s="3" t="s">
        <v>11660</v>
      </c>
      <c r="AI519" s="3">
        <v>1272655.06</v>
      </c>
      <c r="AJ519" s="3" t="s">
        <v>62</v>
      </c>
      <c r="AK519" s="3" t="s">
        <v>62</v>
      </c>
      <c r="AL519" s="7" t="s">
        <v>11661</v>
      </c>
      <c r="AM519" s="7" t="s">
        <v>11662</v>
      </c>
      <c r="AN519" s="7" t="s">
        <v>11663</v>
      </c>
      <c r="AO519" s="7" t="s">
        <v>11664</v>
      </c>
      <c r="AP519" s="3" t="s">
        <v>883</v>
      </c>
      <c r="AS519" s="3"/>
      <c r="AT519" s="3"/>
    </row>
    <row r="520" spans="1:49" ht="12.5" x14ac:dyDescent="0.25">
      <c r="A520" s="3" t="s">
        <v>152</v>
      </c>
      <c r="B520" s="21" t="str">
        <f>HYPERLINK("https://gerandofalcoes.my.salesforce.com/0014P00003AN2Fs", "0014P00003AN2Fs")</f>
        <v>0014P00003AN2Fs</v>
      </c>
      <c r="C520" s="21" t="str">
        <f>HYPERLINK("https://gerandofalcoes.my.salesforce.com/0014P00003AN2FsQAL", "0014P00003AN2FsQAL")</f>
        <v>0014P00003AN2FsQAL</v>
      </c>
      <c r="D520" s="3" t="s">
        <v>885</v>
      </c>
      <c r="E520" s="3" t="s">
        <v>886</v>
      </c>
      <c r="F520" s="3" t="s">
        <v>887</v>
      </c>
      <c r="G520" s="6">
        <v>44141</v>
      </c>
      <c r="H520" s="3">
        <v>655</v>
      </c>
      <c r="I520" s="3"/>
      <c r="J520" s="3" t="s">
        <v>888</v>
      </c>
      <c r="K520" s="3" t="s">
        <v>889</v>
      </c>
      <c r="L520" s="3" t="s">
        <v>101</v>
      </c>
      <c r="M520" s="3" t="s">
        <v>890</v>
      </c>
      <c r="N520" s="3"/>
      <c r="O520" s="3" t="s">
        <v>11665</v>
      </c>
      <c r="P520" s="3" t="s">
        <v>891</v>
      </c>
      <c r="Q520" s="3"/>
      <c r="R520" s="3" t="s">
        <v>11666</v>
      </c>
      <c r="S520" s="3" t="s">
        <v>892</v>
      </c>
      <c r="T520" s="3" t="s">
        <v>11667</v>
      </c>
      <c r="U520" s="3" t="s">
        <v>11180</v>
      </c>
      <c r="V520" s="3" t="s">
        <v>3832</v>
      </c>
      <c r="W520" s="3">
        <v>5</v>
      </c>
      <c r="X520" s="3">
        <v>5</v>
      </c>
      <c r="Y520" s="3"/>
      <c r="Z520" s="3"/>
      <c r="AA520" s="3"/>
      <c r="AB520" s="6">
        <v>43874</v>
      </c>
      <c r="AC520" s="3" t="s">
        <v>62</v>
      </c>
      <c r="AD520" s="3">
        <v>6</v>
      </c>
      <c r="AE520" s="3">
        <v>7</v>
      </c>
      <c r="AF520" s="3">
        <v>3</v>
      </c>
      <c r="AG520" s="3" t="s">
        <v>11668</v>
      </c>
      <c r="AH520" s="3" t="s">
        <v>895</v>
      </c>
      <c r="AI520" s="3">
        <v>93122.27</v>
      </c>
      <c r="AJ520" s="3" t="s">
        <v>120</v>
      </c>
      <c r="AK520" s="3" t="s">
        <v>120</v>
      </c>
      <c r="AL520" s="7" t="s">
        <v>11669</v>
      </c>
      <c r="AM520" s="7" t="s">
        <v>11670</v>
      </c>
      <c r="AN520" s="7" t="s">
        <v>11671</v>
      </c>
      <c r="AO520" s="7" t="s">
        <v>11672</v>
      </c>
      <c r="AP520" s="7" t="s">
        <v>900</v>
      </c>
      <c r="AS520" s="3"/>
      <c r="AT520" s="3"/>
      <c r="AU520" s="3"/>
    </row>
    <row r="521" spans="1:49" ht="12.5" x14ac:dyDescent="0.25">
      <c r="A521" s="3" t="s">
        <v>152</v>
      </c>
      <c r="B521" s="21" t="str">
        <f>HYPERLINK("https://gerandofalcoes.my.salesforce.com/0014P00003AN2Ft", "0014P00003AN2Ft")</f>
        <v>0014P00003AN2Ft</v>
      </c>
      <c r="C521" s="21" t="str">
        <f>HYPERLINK("https://gerandofalcoes.my.salesforce.com/0014P00003AN2FtQAL", "0014P00003AN2FtQAL")</f>
        <v>0014P00003AN2FtQAL</v>
      </c>
      <c r="D521" s="3" t="s">
        <v>902</v>
      </c>
      <c r="E521" s="3" t="s">
        <v>903</v>
      </c>
      <c r="F521" s="3" t="s">
        <v>904</v>
      </c>
      <c r="G521" s="6">
        <v>44285</v>
      </c>
      <c r="H521" s="3">
        <v>511</v>
      </c>
      <c r="I521" s="3" t="s">
        <v>11673</v>
      </c>
      <c r="J521" s="3" t="s">
        <v>905</v>
      </c>
      <c r="K521" s="3" t="s">
        <v>906</v>
      </c>
      <c r="L521" s="3" t="s">
        <v>468</v>
      </c>
      <c r="M521" s="3" t="s">
        <v>11674</v>
      </c>
      <c r="N521" s="3"/>
      <c r="O521" s="3" t="s">
        <v>11675</v>
      </c>
      <c r="P521" s="3" t="s">
        <v>470</v>
      </c>
      <c r="Q521" s="3" t="s">
        <v>11676</v>
      </c>
      <c r="R521" s="3" t="s">
        <v>11677</v>
      </c>
      <c r="S521" s="3" t="s">
        <v>11678</v>
      </c>
      <c r="T521" s="3" t="s">
        <v>11679</v>
      </c>
      <c r="U521" s="3" t="s">
        <v>8880</v>
      </c>
      <c r="V521" s="3" t="s">
        <v>11680</v>
      </c>
      <c r="W521" s="3">
        <v>2</v>
      </c>
      <c r="X521" s="3">
        <v>2</v>
      </c>
      <c r="Y521" s="3"/>
      <c r="AA521" s="3"/>
      <c r="AB521" s="8">
        <v>44148</v>
      </c>
      <c r="AC521" s="3" t="s">
        <v>62</v>
      </c>
      <c r="AD521" s="3">
        <v>7</v>
      </c>
      <c r="AE521" s="3">
        <v>25</v>
      </c>
      <c r="AF521" s="3">
        <v>4</v>
      </c>
      <c r="AG521" s="3" t="s">
        <v>11681</v>
      </c>
      <c r="AH521" s="3" t="s">
        <v>11682</v>
      </c>
      <c r="AI521" s="3">
        <v>67399.429999999993</v>
      </c>
      <c r="AJ521" s="3" t="s">
        <v>120</v>
      </c>
      <c r="AK521" s="3" t="s">
        <v>62</v>
      </c>
      <c r="AL521" s="7" t="s">
        <v>11683</v>
      </c>
      <c r="AM521" s="7" t="s">
        <v>11684</v>
      </c>
      <c r="AN521" s="7" t="s">
        <v>11685</v>
      </c>
      <c r="AO521" s="7" t="s">
        <v>11686</v>
      </c>
      <c r="AP521" s="7" t="s">
        <v>916</v>
      </c>
      <c r="AS521" s="7" t="s">
        <v>11687</v>
      </c>
      <c r="AT521" s="3"/>
    </row>
    <row r="522" spans="1:49" ht="12.5" x14ac:dyDescent="0.25">
      <c r="A522" s="3" t="s">
        <v>152</v>
      </c>
      <c r="B522" s="21" t="str">
        <f>HYPERLINK("https://gerandofalcoes.my.salesforce.com/0014P00003AN2Fu", "0014P00003AN2Fu")</f>
        <v>0014P00003AN2Fu</v>
      </c>
      <c r="C522" s="21" t="str">
        <f>HYPERLINK("https://gerandofalcoes.my.salesforce.com/0014P00003AN2FuQAL", "0014P00003AN2FuQAL")</f>
        <v>0014P00003AN2FuQAL</v>
      </c>
      <c r="D522" s="3" t="s">
        <v>11688</v>
      </c>
      <c r="E522" s="3" t="s">
        <v>919</v>
      </c>
      <c r="F522" s="3" t="s">
        <v>920</v>
      </c>
      <c r="G522" s="6">
        <v>44141</v>
      </c>
      <c r="H522" s="3">
        <v>655</v>
      </c>
      <c r="I522" s="3"/>
      <c r="J522" s="3" t="s">
        <v>921</v>
      </c>
      <c r="K522" s="3" t="s">
        <v>922</v>
      </c>
      <c r="L522" s="3" t="s">
        <v>70</v>
      </c>
      <c r="M522" s="3" t="s">
        <v>923</v>
      </c>
      <c r="O522" s="3" t="s">
        <v>11689</v>
      </c>
      <c r="P522" s="3" t="s">
        <v>73</v>
      </c>
      <c r="Q522" s="3"/>
      <c r="R522" s="3" t="s">
        <v>11690</v>
      </c>
      <c r="S522" s="3" t="s">
        <v>924</v>
      </c>
      <c r="T522" s="3" t="s">
        <v>10996</v>
      </c>
      <c r="U522" s="3" t="s">
        <v>3799</v>
      </c>
      <c r="V522" s="3" t="s">
        <v>9568</v>
      </c>
      <c r="W522" s="3">
        <v>2</v>
      </c>
      <c r="X522" s="3">
        <v>2</v>
      </c>
      <c r="Y522" s="3"/>
      <c r="Z522" s="3"/>
      <c r="AA522" s="3"/>
      <c r="AB522" s="6">
        <v>40554</v>
      </c>
      <c r="AC522" s="3" t="s">
        <v>62</v>
      </c>
      <c r="AD522" s="3">
        <v>23</v>
      </c>
      <c r="AE522" s="3">
        <v>18</v>
      </c>
      <c r="AF522" s="3">
        <v>3</v>
      </c>
      <c r="AG522" s="3" t="s">
        <v>11442</v>
      </c>
      <c r="AH522" s="3" t="s">
        <v>928</v>
      </c>
      <c r="AI522" s="3">
        <v>243360.63</v>
      </c>
      <c r="AJ522" s="3" t="s">
        <v>120</v>
      </c>
      <c r="AK522" s="3" t="s">
        <v>62</v>
      </c>
      <c r="AL522" s="7" t="s">
        <v>11691</v>
      </c>
      <c r="AM522" s="7" t="s">
        <v>11692</v>
      </c>
      <c r="AN522" s="7" t="s">
        <v>11693</v>
      </c>
      <c r="AO522" s="7" t="s">
        <v>11694</v>
      </c>
      <c r="AP522" s="3" t="s">
        <v>933</v>
      </c>
      <c r="AQ522" s="3"/>
      <c r="AS522" s="7" t="s">
        <v>11695</v>
      </c>
      <c r="AT522" s="7" t="s">
        <v>11696</v>
      </c>
    </row>
    <row r="523" spans="1:49" ht="12.5" x14ac:dyDescent="0.25">
      <c r="A523" s="3" t="s">
        <v>152</v>
      </c>
      <c r="B523" s="21" t="str">
        <f>HYPERLINK("https://gerandofalcoes.my.salesforce.com/0014P00003AN2Fv", "0014P00003AN2Fv")</f>
        <v>0014P00003AN2Fv</v>
      </c>
      <c r="C523" s="21" t="str">
        <f>HYPERLINK("https://gerandofalcoes.my.salesforce.com/0014P00003AN2FvQAL", "0014P00003AN2FvQAL")</f>
        <v>0014P00003AN2FvQAL</v>
      </c>
      <c r="D523" s="3" t="s">
        <v>935</v>
      </c>
      <c r="E523" s="3" t="s">
        <v>11697</v>
      </c>
      <c r="F523" s="3" t="s">
        <v>937</v>
      </c>
      <c r="G523" s="6">
        <v>44285</v>
      </c>
      <c r="H523" s="3">
        <v>511</v>
      </c>
      <c r="I523" s="3"/>
      <c r="J523" s="3" t="s">
        <v>938</v>
      </c>
      <c r="K523" s="3" t="s">
        <v>939</v>
      </c>
      <c r="L523" s="3" t="s">
        <v>195</v>
      </c>
      <c r="M523" s="3" t="s">
        <v>11698</v>
      </c>
      <c r="O523" s="3" t="s">
        <v>11699</v>
      </c>
      <c r="P523" s="3" t="s">
        <v>941</v>
      </c>
      <c r="R523" s="3" t="s">
        <v>2923</v>
      </c>
      <c r="S523" s="3" t="s">
        <v>942</v>
      </c>
      <c r="T523" s="3" t="s">
        <v>11700</v>
      </c>
      <c r="U523" s="3" t="s">
        <v>3817</v>
      </c>
      <c r="V523" s="3" t="s">
        <v>11701</v>
      </c>
      <c r="W523" s="3">
        <v>7</v>
      </c>
      <c r="X523" s="3">
        <v>34</v>
      </c>
      <c r="Y523" s="3" t="s">
        <v>945</v>
      </c>
      <c r="AA523" s="3">
        <v>600</v>
      </c>
      <c r="AB523" s="6">
        <v>44089</v>
      </c>
      <c r="AC523" s="3" t="s">
        <v>62</v>
      </c>
      <c r="AD523" s="3">
        <v>7</v>
      </c>
      <c r="AE523" s="3">
        <v>7</v>
      </c>
      <c r="AF523" s="3">
        <v>2</v>
      </c>
      <c r="AG523" s="3" t="s">
        <v>11702</v>
      </c>
      <c r="AH523" s="5">
        <v>0</v>
      </c>
      <c r="AI523" s="3">
        <v>109514.68</v>
      </c>
      <c r="AJ523" s="3" t="s">
        <v>120</v>
      </c>
      <c r="AK523" s="3" t="s">
        <v>62</v>
      </c>
      <c r="AL523" s="7" t="s">
        <v>11703</v>
      </c>
      <c r="AM523" s="7" t="s">
        <v>11704</v>
      </c>
      <c r="AN523" s="7" t="s">
        <v>11705</v>
      </c>
      <c r="AO523" s="7" t="s">
        <v>11706</v>
      </c>
      <c r="AP523" s="3" t="s">
        <v>951</v>
      </c>
      <c r="AS523" s="7" t="s">
        <v>11707</v>
      </c>
      <c r="AT523" s="7" t="s">
        <v>11708</v>
      </c>
    </row>
    <row r="524" spans="1:49" ht="12.5" x14ac:dyDescent="0.25">
      <c r="A524" s="3" t="s">
        <v>152</v>
      </c>
      <c r="B524" s="21" t="str">
        <f>HYPERLINK("https://gerandofalcoes.my.salesforce.com/0014P00003AN2Fw", "0014P00003AN2Fw")</f>
        <v>0014P00003AN2Fw</v>
      </c>
      <c r="C524" s="21" t="str">
        <f>HYPERLINK("https://gerandofalcoes.my.salesforce.com/0014P00003AN2FwQAL", "0014P00003AN2FwQAL")</f>
        <v>0014P00003AN2FwQAL</v>
      </c>
      <c r="D524" s="3" t="s">
        <v>731</v>
      </c>
      <c r="E524" s="3" t="s">
        <v>732</v>
      </c>
      <c r="F524" s="3" t="s">
        <v>733</v>
      </c>
      <c r="G524" s="6">
        <v>44141</v>
      </c>
      <c r="H524" s="3">
        <v>655</v>
      </c>
      <c r="I524" s="3"/>
      <c r="J524" s="3" t="s">
        <v>734</v>
      </c>
      <c r="K524" s="3" t="s">
        <v>735</v>
      </c>
      <c r="L524" s="3" t="s">
        <v>70</v>
      </c>
      <c r="M524" s="3" t="s">
        <v>11709</v>
      </c>
      <c r="N524" s="3"/>
      <c r="O524" s="3" t="s">
        <v>11710</v>
      </c>
      <c r="P524" s="3" t="s">
        <v>73</v>
      </c>
      <c r="R524" s="3" t="s">
        <v>11711</v>
      </c>
      <c r="S524" s="3" t="s">
        <v>737</v>
      </c>
      <c r="T524" s="3" t="s">
        <v>11712</v>
      </c>
      <c r="U524" s="3" t="s">
        <v>9152</v>
      </c>
      <c r="V524" s="3" t="s">
        <v>3800</v>
      </c>
      <c r="W524" s="3">
        <v>3</v>
      </c>
      <c r="X524" s="3">
        <v>3</v>
      </c>
      <c r="Y524" s="3"/>
      <c r="AA524" s="3"/>
      <c r="AB524" s="6">
        <v>43961</v>
      </c>
      <c r="AC524" s="3" t="s">
        <v>62</v>
      </c>
      <c r="AD524" s="3">
        <v>15</v>
      </c>
      <c r="AE524" s="3">
        <v>5</v>
      </c>
      <c r="AF524" s="3">
        <v>1</v>
      </c>
      <c r="AG524" s="3" t="s">
        <v>11713</v>
      </c>
      <c r="AH524" s="3" t="s">
        <v>741</v>
      </c>
      <c r="AI524" s="3">
        <v>65923</v>
      </c>
      <c r="AJ524" s="3" t="s">
        <v>120</v>
      </c>
      <c r="AK524" s="3" t="s">
        <v>120</v>
      </c>
      <c r="AL524" s="3"/>
      <c r="AM524" s="7" t="s">
        <v>11714</v>
      </c>
      <c r="AN524" s="7" t="s">
        <v>11715</v>
      </c>
      <c r="AO524" s="3"/>
      <c r="AP524" s="3" t="s">
        <v>744</v>
      </c>
      <c r="AS524" s="7" t="s">
        <v>11716</v>
      </c>
      <c r="AT524" s="3"/>
    </row>
    <row r="525" spans="1:49" ht="12.5" x14ac:dyDescent="0.25">
      <c r="A525" s="3" t="s">
        <v>152</v>
      </c>
      <c r="B525" s="21" t="str">
        <f>HYPERLINK("https://gerandofalcoes.my.salesforce.com/0014P00003AN2Fx", "0014P00003AN2Fx")</f>
        <v>0014P00003AN2Fx</v>
      </c>
      <c r="C525" s="21" t="str">
        <f>HYPERLINK("https://gerandofalcoes.my.salesforce.com/0014P00003AN2FxQAL", "0014P00003AN2FxQAL")</f>
        <v>0014P00003AN2FxQAL</v>
      </c>
      <c r="D525" s="3" t="s">
        <v>953</v>
      </c>
      <c r="E525" s="3" t="s">
        <v>954</v>
      </c>
      <c r="F525" s="3" t="s">
        <v>955</v>
      </c>
      <c r="G525" s="6">
        <v>44013</v>
      </c>
      <c r="H525" s="3">
        <v>783</v>
      </c>
      <c r="I525" s="3"/>
      <c r="J525" s="3" t="s">
        <v>956</v>
      </c>
      <c r="K525" s="3" t="s">
        <v>957</v>
      </c>
      <c r="L525" s="3" t="s">
        <v>101</v>
      </c>
      <c r="M525" s="3" t="s">
        <v>11717</v>
      </c>
      <c r="N525" s="3"/>
      <c r="O525" s="3" t="s">
        <v>11718</v>
      </c>
      <c r="P525" s="3" t="s">
        <v>443</v>
      </c>
      <c r="Q525" s="3"/>
      <c r="R525" s="3" t="s">
        <v>959</v>
      </c>
      <c r="S525" s="3" t="s">
        <v>960</v>
      </c>
      <c r="T525" s="3" t="s">
        <v>11719</v>
      </c>
      <c r="U525" s="3" t="s">
        <v>3857</v>
      </c>
      <c r="V525" s="3" t="s">
        <v>11720</v>
      </c>
      <c r="W525" s="3">
        <v>20</v>
      </c>
      <c r="X525" s="3">
        <v>4</v>
      </c>
      <c r="Y525" s="3" t="s">
        <v>963</v>
      </c>
      <c r="AB525" s="6">
        <v>43903</v>
      </c>
      <c r="AC525" s="3" t="s">
        <v>62</v>
      </c>
      <c r="AD525" s="3">
        <v>29</v>
      </c>
      <c r="AE525" s="3">
        <v>4</v>
      </c>
      <c r="AF525" s="3">
        <v>1</v>
      </c>
      <c r="AG525" s="3" t="s">
        <v>11721</v>
      </c>
      <c r="AH525" s="3" t="s">
        <v>964</v>
      </c>
      <c r="AI525" s="3">
        <v>621309.18999999994</v>
      </c>
      <c r="AJ525" s="3" t="s">
        <v>120</v>
      </c>
      <c r="AK525" s="3" t="s">
        <v>62</v>
      </c>
      <c r="AL525" s="7" t="s">
        <v>11722</v>
      </c>
      <c r="AM525" s="7" t="s">
        <v>11723</v>
      </c>
      <c r="AN525" s="7" t="s">
        <v>11724</v>
      </c>
      <c r="AO525" s="7" t="s">
        <v>11725</v>
      </c>
      <c r="AP525" s="7" t="s">
        <v>969</v>
      </c>
      <c r="AS525" s="7" t="s">
        <v>11726</v>
      </c>
      <c r="AT525" s="7" t="s">
        <v>11727</v>
      </c>
    </row>
    <row r="526" spans="1:49" ht="12.5" x14ac:dyDescent="0.25">
      <c r="A526" s="3" t="s">
        <v>46</v>
      </c>
      <c r="B526" s="21" t="str">
        <f>HYPERLINK("https://gerandofalcoes.my.salesforce.com/0014P00003AN2Fy", "0014P00003AN2Fy")</f>
        <v>0014P00003AN2Fy</v>
      </c>
      <c r="C526" s="21" t="str">
        <f>HYPERLINK("https://gerandofalcoes.my.salesforce.com/0014P00003AN2FyQAL", "0014P00003AN2FyQAL")</f>
        <v>0014P00003AN2FyQAL</v>
      </c>
      <c r="D526" s="3" t="s">
        <v>971</v>
      </c>
      <c r="E526" s="3"/>
      <c r="F526" s="3" t="s">
        <v>972</v>
      </c>
      <c r="G526" s="6">
        <v>44375</v>
      </c>
      <c r="H526" s="3">
        <v>421</v>
      </c>
      <c r="I526" s="3"/>
      <c r="J526" s="3"/>
      <c r="K526" s="3"/>
      <c r="L526" s="3" t="s">
        <v>407</v>
      </c>
      <c r="M526" s="3" t="s">
        <v>11728</v>
      </c>
      <c r="N526" s="3"/>
      <c r="O526" s="3" t="s">
        <v>11729</v>
      </c>
      <c r="P526" s="3" t="s">
        <v>11730</v>
      </c>
      <c r="R526" s="3" t="s">
        <v>11731</v>
      </c>
      <c r="S526" s="3"/>
      <c r="T526" s="3" t="s">
        <v>11732</v>
      </c>
      <c r="U526" s="3" t="s">
        <v>8880</v>
      </c>
      <c r="V526" s="3" t="s">
        <v>10352</v>
      </c>
      <c r="W526" s="3">
        <v>4</v>
      </c>
      <c r="X526" s="3">
        <v>4</v>
      </c>
      <c r="Y526" s="3" t="s">
        <v>978</v>
      </c>
      <c r="Z526" s="3"/>
      <c r="AA526" s="3"/>
      <c r="AB526" s="8">
        <v>40142</v>
      </c>
      <c r="AC526" s="3" t="s">
        <v>62</v>
      </c>
      <c r="AD526" s="3">
        <v>0</v>
      </c>
      <c r="AE526" s="3">
        <v>4</v>
      </c>
      <c r="AF526" s="3">
        <v>1</v>
      </c>
      <c r="AG526" s="3" t="s">
        <v>3819</v>
      </c>
      <c r="AH526" s="3" t="s">
        <v>979</v>
      </c>
      <c r="AI526" s="3">
        <v>5000000</v>
      </c>
      <c r="AJ526" s="3" t="s">
        <v>62</v>
      </c>
      <c r="AK526" s="3" t="s">
        <v>120</v>
      </c>
      <c r="AL526" s="3" t="s">
        <v>9418</v>
      </c>
      <c r="AM526" s="7" t="s">
        <v>11733</v>
      </c>
      <c r="AN526" s="3"/>
      <c r="AO526" s="3"/>
      <c r="AP526" s="3" t="s">
        <v>981</v>
      </c>
      <c r="AQ526" s="3"/>
      <c r="AR526" s="3"/>
      <c r="AS526" s="7" t="s">
        <v>11734</v>
      </c>
      <c r="AT526" s="3"/>
      <c r="AW526" s="3"/>
    </row>
    <row r="527" spans="1:49" ht="12.5" x14ac:dyDescent="0.25">
      <c r="A527" s="3" t="s">
        <v>46</v>
      </c>
      <c r="B527" s="21" t="str">
        <f>HYPERLINK("https://gerandofalcoes.my.salesforce.com/0014P00003AN2Fz", "0014P00003AN2Fz")</f>
        <v>0014P00003AN2Fz</v>
      </c>
      <c r="C527" s="21" t="str">
        <f>HYPERLINK("https://gerandofalcoes.my.salesforce.com/0014P00003AN2FzQAL", "0014P00003AN2FzQAL")</f>
        <v>0014P00003AN2FzQAL</v>
      </c>
      <c r="D527" s="3" t="s">
        <v>983</v>
      </c>
      <c r="E527" s="3"/>
      <c r="F527" s="3" t="s">
        <v>984</v>
      </c>
      <c r="G527" s="6">
        <v>44306</v>
      </c>
      <c r="H527" s="3">
        <v>490</v>
      </c>
      <c r="I527" s="3"/>
      <c r="J527" s="3"/>
      <c r="K527" s="3"/>
      <c r="L527" s="3" t="s">
        <v>101</v>
      </c>
      <c r="M527" s="3" t="s">
        <v>11735</v>
      </c>
      <c r="N527" s="3"/>
      <c r="O527" s="3" t="s">
        <v>11736</v>
      </c>
      <c r="P527" s="3" t="s">
        <v>128</v>
      </c>
      <c r="R527" s="3" t="s">
        <v>11737</v>
      </c>
      <c r="S527" s="3" t="s">
        <v>11738</v>
      </c>
      <c r="T527" s="3" t="s">
        <v>11739</v>
      </c>
      <c r="U527" s="3" t="s">
        <v>11740</v>
      </c>
      <c r="V527" s="3" t="s">
        <v>9719</v>
      </c>
      <c r="W527" s="3">
        <v>7</v>
      </c>
      <c r="X527" s="3">
        <v>7</v>
      </c>
      <c r="Y527" s="3" t="s">
        <v>991</v>
      </c>
      <c r="Z527" s="3"/>
      <c r="AA527" s="3"/>
      <c r="AB527" s="6">
        <v>41664</v>
      </c>
      <c r="AC527" s="3" t="s">
        <v>62</v>
      </c>
      <c r="AD527" s="3">
        <v>5</v>
      </c>
      <c r="AE527" s="3">
        <v>5</v>
      </c>
      <c r="AF527" s="3">
        <v>4</v>
      </c>
      <c r="AG527" s="3" t="s">
        <v>8960</v>
      </c>
      <c r="AH527" s="3" t="s">
        <v>11741</v>
      </c>
      <c r="AI527" s="3">
        <v>540000</v>
      </c>
      <c r="AJ527" s="3" t="s">
        <v>120</v>
      </c>
      <c r="AK527" s="3" t="s">
        <v>120</v>
      </c>
      <c r="AL527" s="3" t="s">
        <v>11742</v>
      </c>
      <c r="AM527" s="7" t="s">
        <v>11743</v>
      </c>
      <c r="AN527" s="3"/>
      <c r="AO527" s="3"/>
      <c r="AP527" s="3" t="s">
        <v>995</v>
      </c>
      <c r="AQ527" s="3"/>
      <c r="AR527" s="3"/>
      <c r="AS527" s="3"/>
      <c r="AT527" s="3"/>
      <c r="AU527" s="3"/>
      <c r="AW527" s="3"/>
    </row>
    <row r="528" spans="1:49" ht="12.5" x14ac:dyDescent="0.25">
      <c r="A528" s="3" t="s">
        <v>152</v>
      </c>
      <c r="B528" s="21" t="str">
        <f>HYPERLINK("https://gerandofalcoes.my.salesforce.com/0014P00003AN2G0", "0014P00003AN2G0")</f>
        <v>0014P00003AN2G0</v>
      </c>
      <c r="C528" s="21" t="str">
        <f>HYPERLINK("https://gerandofalcoes.my.salesforce.com/0014P00003AN2G0QAL", "0014P00003AN2G0QAL")</f>
        <v>0014P00003AN2G0QAL</v>
      </c>
      <c r="D528" s="3" t="s">
        <v>997</v>
      </c>
      <c r="E528" s="3" t="s">
        <v>998</v>
      </c>
      <c r="F528" s="3" t="s">
        <v>999</v>
      </c>
      <c r="G528" s="6">
        <v>44312</v>
      </c>
      <c r="H528" s="3">
        <v>484</v>
      </c>
      <c r="I528" s="3"/>
      <c r="J528" s="3" t="s">
        <v>11744</v>
      </c>
      <c r="K528" s="3" t="s">
        <v>1001</v>
      </c>
      <c r="L528" s="3" t="s">
        <v>1002</v>
      </c>
      <c r="M528" s="3" t="s">
        <v>11745</v>
      </c>
      <c r="N528" s="3"/>
      <c r="O528" s="3" t="s">
        <v>11746</v>
      </c>
      <c r="P528" s="3" t="s">
        <v>11747</v>
      </c>
      <c r="Q528" s="3"/>
      <c r="R528" s="3" t="s">
        <v>2950</v>
      </c>
      <c r="S528" s="3"/>
      <c r="T528" s="3" t="s">
        <v>11748</v>
      </c>
      <c r="U528" s="3" t="s">
        <v>9005</v>
      </c>
      <c r="V528" s="3" t="s">
        <v>11323</v>
      </c>
      <c r="W528" s="3">
        <v>7</v>
      </c>
      <c r="X528" s="3">
        <v>7</v>
      </c>
      <c r="Y528" s="3"/>
      <c r="Z528" s="3"/>
      <c r="AA528" s="3"/>
      <c r="AB528" s="6">
        <v>44111</v>
      </c>
      <c r="AC528" s="3" t="s">
        <v>62</v>
      </c>
      <c r="AD528" s="3">
        <v>7</v>
      </c>
      <c r="AE528" s="3">
        <v>10</v>
      </c>
      <c r="AF528" s="3">
        <v>3</v>
      </c>
      <c r="AG528" s="3" t="s">
        <v>8960</v>
      </c>
      <c r="AH528" s="5">
        <v>0.4</v>
      </c>
      <c r="AI528" s="3">
        <v>31263.49</v>
      </c>
      <c r="AJ528" s="3" t="s">
        <v>120</v>
      </c>
      <c r="AK528" s="3" t="s">
        <v>120</v>
      </c>
      <c r="AL528" s="3"/>
      <c r="AM528" s="7" t="s">
        <v>11749</v>
      </c>
      <c r="AN528" s="7" t="s">
        <v>11750</v>
      </c>
      <c r="AO528" s="7" t="s">
        <v>11751</v>
      </c>
      <c r="AP528" s="3" t="s">
        <v>1010</v>
      </c>
      <c r="AR528" s="3"/>
      <c r="AS528" s="7" t="s">
        <v>11752</v>
      </c>
      <c r="AT528" s="7" t="s">
        <v>11753</v>
      </c>
      <c r="AU528" s="3"/>
    </row>
    <row r="529" spans="1:49" ht="12.5" x14ac:dyDescent="0.25">
      <c r="A529" s="3" t="s">
        <v>46</v>
      </c>
      <c r="B529" s="21" t="str">
        <f>HYPERLINK("https://gerandofalcoes.my.salesforce.com/0014P00003AN2G1", "0014P00003AN2G1")</f>
        <v>0014P00003AN2G1</v>
      </c>
      <c r="C529" s="21" t="str">
        <f>HYPERLINK("https://gerandofalcoes.my.salesforce.com/0014P00003AN2G1QAL", "0014P00003AN2G1QAL")</f>
        <v>0014P00003AN2G1QAL</v>
      </c>
      <c r="D529" s="3" t="s">
        <v>1023</v>
      </c>
      <c r="E529" s="3" t="s">
        <v>11754</v>
      </c>
      <c r="F529" s="3" t="s">
        <v>1024</v>
      </c>
      <c r="G529" s="6">
        <v>44253</v>
      </c>
      <c r="H529" s="3">
        <v>543</v>
      </c>
      <c r="I529" s="3"/>
      <c r="J529" s="3"/>
      <c r="K529" s="3"/>
      <c r="L529" s="3" t="s">
        <v>468</v>
      </c>
      <c r="M529" s="3" t="s">
        <v>11755</v>
      </c>
      <c r="N529" s="3"/>
      <c r="O529" s="3" t="s">
        <v>11756</v>
      </c>
      <c r="P529" s="3" t="s">
        <v>470</v>
      </c>
      <c r="R529" s="3" t="s">
        <v>11757</v>
      </c>
      <c r="S529" s="3" t="s">
        <v>1026</v>
      </c>
      <c r="T529" s="3" t="s">
        <v>11758</v>
      </c>
      <c r="U529" s="3" t="s">
        <v>3799</v>
      </c>
      <c r="V529" s="3" t="s">
        <v>3890</v>
      </c>
      <c r="W529" s="3">
        <v>12</v>
      </c>
      <c r="X529" s="3">
        <v>12</v>
      </c>
      <c r="Y529" s="3" t="s">
        <v>1029</v>
      </c>
      <c r="Z529" s="3"/>
      <c r="AA529" s="3"/>
      <c r="AB529" s="6">
        <v>41876</v>
      </c>
      <c r="AC529" s="3" t="s">
        <v>62</v>
      </c>
      <c r="AD529" s="3">
        <v>10</v>
      </c>
      <c r="AE529" s="3">
        <v>10</v>
      </c>
      <c r="AF529" s="3">
        <v>3</v>
      </c>
      <c r="AG529" s="3" t="s">
        <v>11759</v>
      </c>
      <c r="AH529" s="3" t="s">
        <v>11760</v>
      </c>
      <c r="AI529" s="3">
        <v>367281</v>
      </c>
      <c r="AJ529" s="3" t="s">
        <v>120</v>
      </c>
      <c r="AK529" s="3" t="s">
        <v>120</v>
      </c>
      <c r="AL529" s="7" t="s">
        <v>11761</v>
      </c>
      <c r="AM529" s="7" t="s">
        <v>11762</v>
      </c>
      <c r="AN529" s="3"/>
      <c r="AO529" s="7" t="s">
        <v>11763</v>
      </c>
      <c r="AP529" s="3" t="s">
        <v>1032</v>
      </c>
      <c r="AQ529" s="3"/>
      <c r="AR529" s="3"/>
      <c r="AS529" s="7" t="s">
        <v>11764</v>
      </c>
      <c r="AT529" s="7" t="s">
        <v>11765</v>
      </c>
      <c r="AU529" s="3"/>
      <c r="AV529" s="3"/>
      <c r="AW529" s="3"/>
    </row>
    <row r="530" spans="1:49" ht="12.5" x14ac:dyDescent="0.25">
      <c r="A530" s="3" t="s">
        <v>46</v>
      </c>
      <c r="B530" s="21" t="str">
        <f>HYPERLINK("https://gerandofalcoes.my.salesforce.com/0014P00003AN2G2", "0014P00003AN2G2")</f>
        <v>0014P00003AN2G2</v>
      </c>
      <c r="C530" s="21" t="str">
        <f>HYPERLINK("https://gerandofalcoes.my.salesforce.com/0014P00003AN2G2QAL", "0014P00003AN2G2QAL")</f>
        <v>0014P00003AN2G2QAL</v>
      </c>
      <c r="D530" s="3" t="s">
        <v>1034</v>
      </c>
      <c r="E530" s="3"/>
      <c r="F530" s="3" t="s">
        <v>1035</v>
      </c>
      <c r="G530" s="6">
        <v>44375</v>
      </c>
      <c r="H530" s="3">
        <v>421</v>
      </c>
      <c r="I530" s="3"/>
      <c r="J530" s="3"/>
      <c r="K530" s="3"/>
      <c r="L530" s="3" t="s">
        <v>468</v>
      </c>
      <c r="M530" s="3" t="s">
        <v>11766</v>
      </c>
      <c r="N530" s="3"/>
      <c r="O530" s="3" t="s">
        <v>11767</v>
      </c>
      <c r="P530" s="3" t="s">
        <v>470</v>
      </c>
      <c r="Q530" s="3"/>
      <c r="R530" s="3" t="s">
        <v>11768</v>
      </c>
      <c r="S530" s="3"/>
      <c r="T530" s="3" t="s">
        <v>11343</v>
      </c>
      <c r="U530" s="3" t="s">
        <v>9005</v>
      </c>
      <c r="V530" s="3" t="s">
        <v>3800</v>
      </c>
      <c r="W530" s="3">
        <v>5</v>
      </c>
      <c r="X530" s="3">
        <v>5</v>
      </c>
      <c r="Y530" s="3" t="s">
        <v>1038</v>
      </c>
      <c r="Z530" s="3"/>
      <c r="AA530" s="3"/>
      <c r="AB530" s="6">
        <v>34704</v>
      </c>
      <c r="AC530" s="3" t="s">
        <v>62</v>
      </c>
      <c r="AD530" s="3">
        <v>10</v>
      </c>
      <c r="AE530" s="3">
        <v>6</v>
      </c>
      <c r="AF530" s="3">
        <v>2</v>
      </c>
      <c r="AG530" s="3" t="s">
        <v>10998</v>
      </c>
      <c r="AH530" s="3" t="s">
        <v>11769</v>
      </c>
      <c r="AI530" s="3">
        <v>97663</v>
      </c>
      <c r="AJ530" s="3" t="s">
        <v>120</v>
      </c>
      <c r="AK530" s="3" t="s">
        <v>62</v>
      </c>
      <c r="AL530" s="7" t="s">
        <v>11770</v>
      </c>
      <c r="AM530" s="7" t="s">
        <v>11771</v>
      </c>
      <c r="AN530" s="3"/>
      <c r="AO530" s="7" t="s">
        <v>11772</v>
      </c>
      <c r="AP530" s="7" t="s">
        <v>1041</v>
      </c>
      <c r="AQ530" s="3"/>
      <c r="AR530" s="3"/>
      <c r="AS530" s="7" t="s">
        <v>11773</v>
      </c>
      <c r="AT530" s="7" t="s">
        <v>11774</v>
      </c>
      <c r="AU530" s="3"/>
      <c r="AV530" s="3"/>
      <c r="AW530" s="3"/>
    </row>
    <row r="531" spans="1:49" ht="12.5" x14ac:dyDescent="0.25">
      <c r="A531" s="3" t="s">
        <v>152</v>
      </c>
      <c r="B531" s="21" t="str">
        <f>HYPERLINK("https://gerandofalcoes.my.salesforce.com/0014P00003AN2G3", "0014P00003AN2G3")</f>
        <v>0014P00003AN2G3</v>
      </c>
      <c r="C531" s="21" t="str">
        <f>HYPERLINK("https://gerandofalcoes.my.salesforce.com/0014P00003AN2G3QAL", "0014P00003AN2G3QAL")</f>
        <v>0014P00003AN2G3QAL</v>
      </c>
      <c r="D531" s="3" t="s">
        <v>1043</v>
      </c>
      <c r="E531" s="3" t="s">
        <v>1044</v>
      </c>
      <c r="F531" s="3" t="s">
        <v>1045</v>
      </c>
      <c r="G531" s="8">
        <v>44145</v>
      </c>
      <c r="H531" s="3">
        <v>651</v>
      </c>
      <c r="I531" s="3"/>
      <c r="J531" s="3" t="s">
        <v>1046</v>
      </c>
      <c r="K531" s="3" t="s">
        <v>1047</v>
      </c>
      <c r="L531" s="3" t="s">
        <v>101</v>
      </c>
      <c r="M531" s="3" t="s">
        <v>1048</v>
      </c>
      <c r="N531" s="3"/>
      <c r="O531" s="3" t="s">
        <v>11775</v>
      </c>
      <c r="P531" s="3" t="s">
        <v>128</v>
      </c>
      <c r="Q531" s="3"/>
      <c r="R531" s="3" t="s">
        <v>11776</v>
      </c>
      <c r="S531" s="3" t="s">
        <v>1049</v>
      </c>
      <c r="T531" s="3" t="s">
        <v>11777</v>
      </c>
      <c r="U531" s="3" t="s">
        <v>8880</v>
      </c>
      <c r="V531" s="3" t="s">
        <v>9780</v>
      </c>
      <c r="W531" s="3">
        <v>4</v>
      </c>
      <c r="X531" s="3">
        <v>4</v>
      </c>
      <c r="Y531" s="3" t="s">
        <v>1051</v>
      </c>
      <c r="Z531" s="3"/>
      <c r="AA531" s="3"/>
      <c r="AB531" s="6">
        <v>43327</v>
      </c>
      <c r="AC531" s="3" t="s">
        <v>62</v>
      </c>
      <c r="AD531" s="3">
        <v>9</v>
      </c>
      <c r="AE531" s="3">
        <v>32</v>
      </c>
      <c r="AF531" s="3">
        <v>3</v>
      </c>
      <c r="AG531" s="3" t="s">
        <v>10210</v>
      </c>
      <c r="AH531" s="3" t="s">
        <v>1052</v>
      </c>
      <c r="AI531" s="3">
        <v>46396.77</v>
      </c>
      <c r="AJ531" s="3" t="s">
        <v>120</v>
      </c>
      <c r="AK531" s="3" t="s">
        <v>120</v>
      </c>
      <c r="AL531" s="7" t="s">
        <v>11778</v>
      </c>
      <c r="AM531" s="7" t="s">
        <v>11779</v>
      </c>
      <c r="AN531" s="7" t="s">
        <v>11780</v>
      </c>
      <c r="AO531" s="7" t="s">
        <v>11781</v>
      </c>
      <c r="AP531" s="7" t="s">
        <v>1057</v>
      </c>
      <c r="AQ531" s="3"/>
      <c r="AR531" s="3"/>
      <c r="AS531" s="7" t="s">
        <v>11782</v>
      </c>
      <c r="AT531" s="7" t="s">
        <v>11783</v>
      </c>
      <c r="AU531" s="3"/>
      <c r="AV531" s="3"/>
      <c r="AW531" s="3"/>
    </row>
    <row r="532" spans="1:49" ht="12.5" x14ac:dyDescent="0.25">
      <c r="A532" s="3" t="s">
        <v>152</v>
      </c>
      <c r="B532" s="21" t="str">
        <f>HYPERLINK("https://gerandofalcoes.my.salesforce.com/0014P00003AN2G4", "0014P00003AN2G4")</f>
        <v>0014P00003AN2G4</v>
      </c>
      <c r="C532" s="21" t="str">
        <f>HYPERLINK("https://gerandofalcoes.my.salesforce.com/0014P00003AN2G4QAL", "0014P00003AN2G4QAL")</f>
        <v>0014P00003AN2G4QAL</v>
      </c>
      <c r="D532" s="3" t="s">
        <v>1059</v>
      </c>
      <c r="E532" s="3" t="s">
        <v>11784</v>
      </c>
      <c r="F532" s="3" t="s">
        <v>1060</v>
      </c>
      <c r="G532" s="8">
        <v>44510</v>
      </c>
      <c r="H532" s="3">
        <v>286</v>
      </c>
      <c r="I532" s="3" t="s">
        <v>11785</v>
      </c>
      <c r="J532" s="3"/>
      <c r="K532" s="3"/>
      <c r="L532" s="3" t="s">
        <v>101</v>
      </c>
      <c r="M532" s="3" t="s">
        <v>11786</v>
      </c>
      <c r="N532" s="3"/>
      <c r="O532" s="3" t="s">
        <v>11787</v>
      </c>
      <c r="P532" s="3" t="s">
        <v>128</v>
      </c>
      <c r="Q532" s="3"/>
      <c r="R532" s="3" t="s">
        <v>3042</v>
      </c>
      <c r="S532" s="3" t="s">
        <v>1062</v>
      </c>
      <c r="T532" s="3" t="s">
        <v>11788</v>
      </c>
      <c r="U532" s="3" t="s">
        <v>11789</v>
      </c>
      <c r="V532" s="3" t="s">
        <v>3800</v>
      </c>
      <c r="W532" s="3">
        <v>5</v>
      </c>
      <c r="X532" s="3">
        <v>5</v>
      </c>
      <c r="Y532" s="3"/>
      <c r="Z532" s="3"/>
      <c r="AA532" s="3"/>
      <c r="AB532" s="8">
        <v>43079</v>
      </c>
      <c r="AC532" s="3" t="s">
        <v>62</v>
      </c>
      <c r="AD532" s="3">
        <v>0</v>
      </c>
      <c r="AE532" s="3">
        <v>13</v>
      </c>
      <c r="AF532" s="3">
        <v>2</v>
      </c>
      <c r="AG532" s="3" t="s">
        <v>11790</v>
      </c>
      <c r="AH532" s="3" t="s">
        <v>1065</v>
      </c>
      <c r="AI532" s="3">
        <v>37000</v>
      </c>
      <c r="AJ532" s="3" t="s">
        <v>120</v>
      </c>
      <c r="AK532" s="3" t="s">
        <v>62</v>
      </c>
      <c r="AL532" s="3" t="s">
        <v>120</v>
      </c>
      <c r="AM532" s="7" t="s">
        <v>11791</v>
      </c>
      <c r="AN532" s="3"/>
      <c r="AO532" s="7" t="s">
        <v>11792</v>
      </c>
      <c r="AP532" s="3" t="s">
        <v>1067</v>
      </c>
      <c r="AQ532" s="3"/>
      <c r="AR532" s="3"/>
      <c r="AS532" s="7" t="s">
        <v>11793</v>
      </c>
      <c r="AT532" s="3"/>
      <c r="AU532" s="3"/>
      <c r="AV532" s="3"/>
      <c r="AW532" s="3"/>
    </row>
    <row r="533" spans="1:49" ht="12.5" x14ac:dyDescent="0.25">
      <c r="A533" s="3" t="s">
        <v>152</v>
      </c>
      <c r="B533" s="21" t="str">
        <f>HYPERLINK("https://gerandofalcoes.my.salesforce.com/0014P00003AN2G5", "0014P00003AN2G5")</f>
        <v>0014P00003AN2G5</v>
      </c>
      <c r="C533" s="21" t="str">
        <f>HYPERLINK("https://gerandofalcoes.my.salesforce.com/0014P00003AN2G5QAL", "0014P00003AN2G5QAL")</f>
        <v>0014P00003AN2G5QAL</v>
      </c>
      <c r="D533" s="3" t="s">
        <v>1069</v>
      </c>
      <c r="E533" s="3" t="s">
        <v>1070</v>
      </c>
      <c r="F533" s="3" t="s">
        <v>1071</v>
      </c>
      <c r="G533" s="6">
        <v>44199</v>
      </c>
      <c r="H533" s="3">
        <v>597</v>
      </c>
      <c r="I533" s="3"/>
      <c r="J533" s="3" t="s">
        <v>1072</v>
      </c>
      <c r="K533" s="3" t="s">
        <v>1073</v>
      </c>
      <c r="L533" s="3" t="s">
        <v>101</v>
      </c>
      <c r="M533" s="3" t="s">
        <v>11794</v>
      </c>
      <c r="N533" s="3"/>
      <c r="O533" s="3" t="s">
        <v>11795</v>
      </c>
      <c r="P533" s="3" t="s">
        <v>128</v>
      </c>
      <c r="Q533" s="3"/>
      <c r="R533" s="3" t="s">
        <v>11796</v>
      </c>
      <c r="S533" s="3" t="s">
        <v>1075</v>
      </c>
      <c r="T533" s="3" t="s">
        <v>11797</v>
      </c>
      <c r="U533" s="3" t="s">
        <v>3799</v>
      </c>
      <c r="V533" s="3" t="s">
        <v>9808</v>
      </c>
      <c r="W533" s="3">
        <v>2</v>
      </c>
      <c r="X533" s="3">
        <v>2</v>
      </c>
      <c r="Y533" s="3"/>
      <c r="Z533" s="3"/>
      <c r="AA533" s="3"/>
      <c r="AB533" s="6">
        <v>39973</v>
      </c>
      <c r="AC533" s="3" t="s">
        <v>62</v>
      </c>
      <c r="AD533" s="3">
        <v>19</v>
      </c>
      <c r="AE533" s="3">
        <v>5</v>
      </c>
      <c r="AF533" s="3">
        <v>3</v>
      </c>
      <c r="AG533" s="3" t="s">
        <v>11798</v>
      </c>
      <c r="AH533" s="3" t="s">
        <v>11799</v>
      </c>
      <c r="AI533" s="3">
        <v>1912288.57</v>
      </c>
      <c r="AJ533" s="3" t="s">
        <v>120</v>
      </c>
      <c r="AK533" s="3" t="s">
        <v>120</v>
      </c>
      <c r="AL533" s="7" t="s">
        <v>11800</v>
      </c>
      <c r="AM533" s="7" t="s">
        <v>11801</v>
      </c>
      <c r="AN533" s="7" t="s">
        <v>11802</v>
      </c>
      <c r="AO533" s="7" t="s">
        <v>11803</v>
      </c>
      <c r="AP533" s="3" t="s">
        <v>1084</v>
      </c>
      <c r="AQ533" s="3"/>
      <c r="AR533" s="3"/>
      <c r="AS533" s="7" t="s">
        <v>11804</v>
      </c>
      <c r="AT533" s="3"/>
      <c r="AU533" s="3"/>
      <c r="AV533" s="3"/>
      <c r="AW533" s="3"/>
    </row>
    <row r="534" spans="1:49" ht="12.5" x14ac:dyDescent="0.25">
      <c r="A534" s="3" t="s">
        <v>152</v>
      </c>
      <c r="B534" s="21" t="str">
        <f>HYPERLINK("https://gerandofalcoes.my.salesforce.com/0014P00003AN2G6", "0014P00003AN2G6")</f>
        <v>0014P00003AN2G6</v>
      </c>
      <c r="C534" s="21" t="str">
        <f>HYPERLINK("https://gerandofalcoes.my.salesforce.com/0014P00003AN2G6QAL", "0014P00003AN2G6QAL")</f>
        <v>0014P00003AN2G6QAL</v>
      </c>
      <c r="D534" s="3" t="s">
        <v>1086</v>
      </c>
      <c r="E534" s="3" t="s">
        <v>1087</v>
      </c>
      <c r="F534" s="3" t="s">
        <v>1088</v>
      </c>
      <c r="G534" s="8">
        <v>44145</v>
      </c>
      <c r="H534" s="3">
        <v>651</v>
      </c>
      <c r="I534" s="3"/>
      <c r="J534" s="3" t="s">
        <v>1089</v>
      </c>
      <c r="K534" s="3" t="s">
        <v>1090</v>
      </c>
      <c r="L534" s="3" t="s">
        <v>84</v>
      </c>
      <c r="M534" s="3" t="s">
        <v>11805</v>
      </c>
      <c r="N534" s="3"/>
      <c r="O534" s="3" t="s">
        <v>11806</v>
      </c>
      <c r="P534" s="3" t="s">
        <v>1092</v>
      </c>
      <c r="Q534" s="3"/>
      <c r="R534" s="3" t="s">
        <v>11807</v>
      </c>
      <c r="S534" s="3" t="s">
        <v>11808</v>
      </c>
      <c r="T534" s="3" t="s">
        <v>11809</v>
      </c>
      <c r="U534" s="3" t="s">
        <v>11810</v>
      </c>
      <c r="V534" s="3" t="s">
        <v>9053</v>
      </c>
      <c r="W534" s="3">
        <v>10</v>
      </c>
      <c r="X534" s="3">
        <v>10</v>
      </c>
      <c r="Y534" s="3"/>
      <c r="Z534" s="3"/>
      <c r="AA534" s="3"/>
      <c r="AB534" s="6">
        <v>40731</v>
      </c>
      <c r="AC534" s="3" t="s">
        <v>62</v>
      </c>
      <c r="AD534" s="3">
        <v>11</v>
      </c>
      <c r="AE534" s="3">
        <v>0</v>
      </c>
      <c r="AF534" s="3">
        <v>3</v>
      </c>
      <c r="AG534" s="3" t="s">
        <v>11811</v>
      </c>
      <c r="AH534" s="3" t="s">
        <v>11812</v>
      </c>
      <c r="AI534" s="3">
        <v>62859.59</v>
      </c>
      <c r="AJ534" s="3" t="s">
        <v>62</v>
      </c>
      <c r="AK534" s="3" t="s">
        <v>120</v>
      </c>
      <c r="AL534" s="3"/>
      <c r="AM534" s="7" t="s">
        <v>11813</v>
      </c>
      <c r="AN534" s="7" t="s">
        <v>11814</v>
      </c>
      <c r="AO534" s="7" t="s">
        <v>11815</v>
      </c>
      <c r="AP534" s="3" t="s">
        <v>1100</v>
      </c>
      <c r="AQ534" s="3"/>
      <c r="AR534" s="3"/>
      <c r="AS534" s="7" t="s">
        <v>11816</v>
      </c>
      <c r="AT534" s="3"/>
      <c r="AU534" s="3"/>
      <c r="AV534" s="3"/>
      <c r="AW534" s="3"/>
    </row>
    <row r="535" spans="1:49" ht="12.5" x14ac:dyDescent="0.25">
      <c r="A535" s="3" t="s">
        <v>46</v>
      </c>
      <c r="B535" s="21" t="str">
        <f>HYPERLINK("https://gerandofalcoes.my.salesforce.com/0014P00003AN2G7", "0014P00003AN2G7")</f>
        <v>0014P00003AN2G7</v>
      </c>
      <c r="C535" s="21" t="str">
        <f>HYPERLINK("https://gerandofalcoes.my.salesforce.com/0014P00003AN2G7QAL", "0014P00003AN2G7QAL")</f>
        <v>0014P00003AN2G7QAL</v>
      </c>
      <c r="D535" s="3" t="s">
        <v>1102</v>
      </c>
      <c r="E535" s="3"/>
      <c r="F535" s="3" t="s">
        <v>1103</v>
      </c>
      <c r="G535" s="6">
        <v>44236</v>
      </c>
      <c r="H535" s="3">
        <v>560</v>
      </c>
      <c r="I535" s="3"/>
      <c r="J535" s="3"/>
      <c r="K535" s="3"/>
      <c r="L535" s="3" t="s">
        <v>70</v>
      </c>
      <c r="M535" s="3" t="s">
        <v>11817</v>
      </c>
      <c r="N535" s="3"/>
      <c r="O535" s="3" t="s">
        <v>11818</v>
      </c>
      <c r="P535" s="3" t="s">
        <v>1105</v>
      </c>
      <c r="Q535" s="3"/>
      <c r="R535" s="3" t="s">
        <v>11819</v>
      </c>
      <c r="S535" s="3" t="s">
        <v>1106</v>
      </c>
      <c r="T535" s="3" t="s">
        <v>11820</v>
      </c>
      <c r="U535" s="3" t="s">
        <v>3817</v>
      </c>
      <c r="V535" s="3" t="s">
        <v>3832</v>
      </c>
      <c r="W535" s="3">
        <v>4</v>
      </c>
      <c r="X535" s="3">
        <v>4</v>
      </c>
      <c r="Y535" s="3" t="s">
        <v>1109</v>
      </c>
      <c r="Z535" s="3"/>
      <c r="AA535" s="3"/>
      <c r="AB535" s="6">
        <v>41898</v>
      </c>
      <c r="AC535" s="3" t="s">
        <v>62</v>
      </c>
      <c r="AD535" s="3">
        <v>3</v>
      </c>
      <c r="AE535" s="3">
        <v>12</v>
      </c>
      <c r="AF535" s="3">
        <v>1</v>
      </c>
      <c r="AG535" s="3" t="s">
        <v>11821</v>
      </c>
      <c r="AH535" s="3" t="s">
        <v>1110</v>
      </c>
      <c r="AI535" s="3">
        <v>48000</v>
      </c>
      <c r="AJ535" s="3" t="s">
        <v>62</v>
      </c>
      <c r="AK535" s="3" t="s">
        <v>62</v>
      </c>
      <c r="AL535" s="7" t="s">
        <v>11822</v>
      </c>
      <c r="AM535" s="7" t="s">
        <v>1112</v>
      </c>
      <c r="AN535" s="3"/>
      <c r="AO535" s="3"/>
      <c r="AP535" s="7" t="s">
        <v>1112</v>
      </c>
      <c r="AQ535" s="3"/>
      <c r="AR535" s="3"/>
      <c r="AS535" s="7" t="s">
        <v>11823</v>
      </c>
      <c r="AT535" s="7" t="s">
        <v>11824</v>
      </c>
      <c r="AU535" s="3"/>
      <c r="AW535" s="3"/>
    </row>
    <row r="536" spans="1:49" ht="12.5" x14ac:dyDescent="0.25">
      <c r="A536" s="3" t="s">
        <v>46</v>
      </c>
      <c r="B536" s="21" t="str">
        <f>HYPERLINK("https://gerandofalcoes.my.salesforce.com/0014P00003AN2G8", "0014P00003AN2G8")</f>
        <v>0014P00003AN2G8</v>
      </c>
      <c r="C536" s="21" t="str">
        <f>HYPERLINK("https://gerandofalcoes.my.salesforce.com/0014P00003AN2G8QAL", "0014P00003AN2G8QAL")</f>
        <v>0014P00003AN2G8QAL</v>
      </c>
      <c r="D536" s="3" t="s">
        <v>1012</v>
      </c>
      <c r="E536" s="3"/>
      <c r="F536" s="3" t="s">
        <v>1013</v>
      </c>
      <c r="G536" s="6">
        <v>44246</v>
      </c>
      <c r="H536" s="3">
        <v>550</v>
      </c>
      <c r="I536" s="3"/>
      <c r="J536" s="3"/>
      <c r="K536" s="3"/>
      <c r="L536" s="3" t="s">
        <v>70</v>
      </c>
      <c r="M536" s="3" t="s">
        <v>1014</v>
      </c>
      <c r="N536" s="3"/>
      <c r="O536" s="3" t="s">
        <v>11825</v>
      </c>
      <c r="P536" s="3" t="s">
        <v>1015</v>
      </c>
      <c r="Q536" s="3"/>
      <c r="R536" s="3" t="s">
        <v>11826</v>
      </c>
      <c r="S536" s="3"/>
      <c r="T536" s="3" t="s">
        <v>11827</v>
      </c>
      <c r="U536" s="3" t="s">
        <v>3799</v>
      </c>
      <c r="V536" s="3" t="s">
        <v>11217</v>
      </c>
      <c r="W536" s="3">
        <v>10</v>
      </c>
      <c r="X536" s="3">
        <v>10</v>
      </c>
      <c r="Y536" s="3"/>
      <c r="Z536" s="3"/>
      <c r="AA536" s="3"/>
      <c r="AB536" s="6">
        <v>43413</v>
      </c>
      <c r="AC536" s="3" t="s">
        <v>62</v>
      </c>
      <c r="AD536" s="3">
        <v>2</v>
      </c>
      <c r="AE536" s="3">
        <v>50</v>
      </c>
      <c r="AF536" s="3">
        <v>5</v>
      </c>
      <c r="AG536" s="3" t="s">
        <v>11074</v>
      </c>
      <c r="AH536" s="3" t="s">
        <v>11828</v>
      </c>
      <c r="AI536" s="3">
        <v>108000</v>
      </c>
      <c r="AJ536" s="3" t="s">
        <v>120</v>
      </c>
      <c r="AK536" s="3" t="s">
        <v>62</v>
      </c>
      <c r="AL536" s="7" t="s">
        <v>11829</v>
      </c>
      <c r="AM536" s="7" t="s">
        <v>11830</v>
      </c>
      <c r="AN536" s="3"/>
      <c r="AO536" s="7" t="s">
        <v>11831</v>
      </c>
      <c r="AP536" s="3" t="s">
        <v>1021</v>
      </c>
      <c r="AQ536" s="3"/>
      <c r="AR536" s="3"/>
      <c r="AS536" s="7" t="s">
        <v>11832</v>
      </c>
      <c r="AT536" s="7" t="s">
        <v>11833</v>
      </c>
      <c r="AU536" s="3"/>
      <c r="AV536" s="3"/>
      <c r="AW536" s="3"/>
    </row>
    <row r="537" spans="1:49" ht="12.5" x14ac:dyDescent="0.25">
      <c r="A537" s="3" t="s">
        <v>152</v>
      </c>
      <c r="B537" s="21" t="str">
        <f>HYPERLINK("https://gerandofalcoes.my.salesforce.com/0014P00003AN2G9", "0014P00003AN2G9")</f>
        <v>0014P00003AN2G9</v>
      </c>
      <c r="C537" s="21" t="str">
        <f>HYPERLINK("https://gerandofalcoes.my.salesforce.com/0014P00003AN2G9QAL", "0014P00003AN2G9QAL")</f>
        <v>0014P00003AN2G9QAL</v>
      </c>
      <c r="D537" s="3" t="s">
        <v>1146</v>
      </c>
      <c r="E537" s="3" t="s">
        <v>11834</v>
      </c>
      <c r="F537" s="3" t="s">
        <v>1147</v>
      </c>
      <c r="G537" s="8">
        <v>44151</v>
      </c>
      <c r="H537" s="3">
        <v>645</v>
      </c>
      <c r="I537" s="3" t="s">
        <v>11835</v>
      </c>
      <c r="J537" s="3"/>
      <c r="K537" s="3"/>
      <c r="L537" s="3" t="s">
        <v>557</v>
      </c>
      <c r="M537" s="3" t="s">
        <v>1148</v>
      </c>
      <c r="N537" s="3"/>
      <c r="O537" s="3" t="s">
        <v>11836</v>
      </c>
      <c r="P537" s="3" t="s">
        <v>1149</v>
      </c>
      <c r="Q537" s="3"/>
      <c r="R537" s="3" t="s">
        <v>11837</v>
      </c>
      <c r="S537" s="3" t="s">
        <v>11838</v>
      </c>
      <c r="T537" s="3" t="s">
        <v>11839</v>
      </c>
      <c r="U537" s="3" t="s">
        <v>3768</v>
      </c>
      <c r="V537" s="3" t="s">
        <v>11840</v>
      </c>
      <c r="W537" s="3">
        <v>20</v>
      </c>
      <c r="X537" s="3">
        <v>20</v>
      </c>
      <c r="Y537" s="3"/>
      <c r="Z537" s="3"/>
      <c r="AA537" s="3"/>
      <c r="AB537" s="8">
        <v>44163</v>
      </c>
      <c r="AC537" s="3" t="s">
        <v>807</v>
      </c>
      <c r="AD537" s="3">
        <v>7</v>
      </c>
      <c r="AE537" s="3">
        <v>8</v>
      </c>
      <c r="AF537" s="3">
        <v>2</v>
      </c>
      <c r="AG537" s="3" t="s">
        <v>11841</v>
      </c>
      <c r="AH537" s="3">
        <v>50</v>
      </c>
      <c r="AI537" s="3">
        <v>5950</v>
      </c>
      <c r="AJ537" s="3" t="s">
        <v>1154</v>
      </c>
      <c r="AK537" s="3" t="s">
        <v>62</v>
      </c>
      <c r="AL537" s="3" t="s">
        <v>11405</v>
      </c>
      <c r="AM537" s="7" t="s">
        <v>11842</v>
      </c>
      <c r="AN537" s="3"/>
      <c r="AO537" s="3"/>
      <c r="AP537" s="3" t="s">
        <v>1155</v>
      </c>
      <c r="AQ537" s="3"/>
      <c r="AR537" s="3"/>
      <c r="AS537" s="7" t="s">
        <v>11843</v>
      </c>
      <c r="AT537" s="7" t="s">
        <v>11844</v>
      </c>
      <c r="AU537" s="3"/>
      <c r="AV537" s="3"/>
      <c r="AW537" s="3"/>
    </row>
    <row r="538" spans="1:49" ht="12.5" x14ac:dyDescent="0.25">
      <c r="A538" s="3" t="s">
        <v>46</v>
      </c>
      <c r="B538" s="21" t="str">
        <f>HYPERLINK("https://gerandofalcoes.my.salesforce.com/0014P00003AN2GB", "0014P00003AN2GB")</f>
        <v>0014P00003AN2GB</v>
      </c>
      <c r="C538" s="21" t="str">
        <f>HYPERLINK("https://gerandofalcoes.my.salesforce.com/0014P00003AN2GBQA1", "0014P00003AN2GBQA1")</f>
        <v>0014P00003AN2GBQA1</v>
      </c>
      <c r="D538" s="3" t="s">
        <v>1157</v>
      </c>
      <c r="E538" s="3"/>
      <c r="F538" s="3" t="s">
        <v>1158</v>
      </c>
      <c r="G538" s="6">
        <v>44306</v>
      </c>
      <c r="H538" s="3">
        <v>490</v>
      </c>
      <c r="I538" s="3"/>
      <c r="J538" s="3"/>
      <c r="K538" s="3"/>
      <c r="L538" s="3" t="s">
        <v>101</v>
      </c>
      <c r="M538" s="3" t="s">
        <v>11845</v>
      </c>
      <c r="N538" s="3"/>
      <c r="O538" s="3" t="s">
        <v>11846</v>
      </c>
      <c r="P538" s="3" t="s">
        <v>1160</v>
      </c>
      <c r="Q538" s="3"/>
      <c r="R538" s="3" t="s">
        <v>11847</v>
      </c>
      <c r="S538" s="3" t="s">
        <v>1161</v>
      </c>
      <c r="T538" s="3" t="s">
        <v>10018</v>
      </c>
      <c r="U538" s="3" t="s">
        <v>5233</v>
      </c>
      <c r="V538" s="3" t="s">
        <v>3800</v>
      </c>
      <c r="W538" s="3">
        <v>5</v>
      </c>
      <c r="X538" s="3">
        <v>5</v>
      </c>
      <c r="Y538" s="3" t="s">
        <v>1164</v>
      </c>
      <c r="Z538" s="3"/>
      <c r="AA538" s="3"/>
      <c r="AB538" s="6">
        <v>39271</v>
      </c>
      <c r="AC538" s="3" t="s">
        <v>62</v>
      </c>
      <c r="AD538" s="3">
        <v>20</v>
      </c>
      <c r="AE538" s="3">
        <v>6</v>
      </c>
      <c r="AF538" s="3">
        <v>5</v>
      </c>
      <c r="AG538" s="3" t="s">
        <v>11848</v>
      </c>
      <c r="AH538" s="3" t="s">
        <v>11849</v>
      </c>
      <c r="AI538" s="3">
        <v>1200000</v>
      </c>
      <c r="AJ538" s="3" t="s">
        <v>62</v>
      </c>
      <c r="AK538" s="3" t="s">
        <v>120</v>
      </c>
      <c r="AL538" s="7" t="s">
        <v>11850</v>
      </c>
      <c r="AM538" s="7" t="s">
        <v>11851</v>
      </c>
      <c r="AN538" s="3"/>
      <c r="AO538" s="3" t="s">
        <v>11852</v>
      </c>
      <c r="AP538" s="3" t="s">
        <v>1167</v>
      </c>
      <c r="AQ538" s="3"/>
      <c r="AR538" s="3"/>
      <c r="AS538" s="7" t="s">
        <v>11853</v>
      </c>
      <c r="AT538" s="7" t="s">
        <v>11854</v>
      </c>
      <c r="AU538" s="3"/>
      <c r="AV538" s="3"/>
      <c r="AW538" s="3"/>
    </row>
    <row r="539" spans="1:49" ht="12.5" x14ac:dyDescent="0.25">
      <c r="A539" s="3" t="s">
        <v>46</v>
      </c>
      <c r="B539" s="21" t="str">
        <f>HYPERLINK("https://gerandofalcoes.my.salesforce.com/0014P00003AN2GC", "0014P00003AN2GC")</f>
        <v>0014P00003AN2GC</v>
      </c>
      <c r="C539" s="21" t="str">
        <f>HYPERLINK("https://gerandofalcoes.my.salesforce.com/0014P00003AN2GCQA1", "0014P00003AN2GCQA1")</f>
        <v>0014P00003AN2GCQA1</v>
      </c>
      <c r="D539" s="3" t="s">
        <v>1169</v>
      </c>
      <c r="E539" s="3"/>
      <c r="F539" s="3" t="s">
        <v>1170</v>
      </c>
      <c r="G539" s="8">
        <v>44485</v>
      </c>
      <c r="H539" s="3">
        <v>311</v>
      </c>
      <c r="I539" s="3"/>
      <c r="J539" s="3"/>
      <c r="K539" s="3"/>
      <c r="L539" s="3" t="s">
        <v>1171</v>
      </c>
      <c r="M539" s="3" t="s">
        <v>3097</v>
      </c>
      <c r="N539" s="3"/>
      <c r="O539" s="3" t="s">
        <v>11855</v>
      </c>
      <c r="P539" s="3" t="s">
        <v>1173</v>
      </c>
      <c r="Q539" s="3"/>
      <c r="R539" s="3" t="s">
        <v>3099</v>
      </c>
      <c r="S539" s="3" t="s">
        <v>1174</v>
      </c>
      <c r="T539" s="3" t="s">
        <v>5266</v>
      </c>
      <c r="U539" s="3" t="s">
        <v>3799</v>
      </c>
      <c r="V539" s="3" t="s">
        <v>11856</v>
      </c>
      <c r="W539" s="3">
        <v>38</v>
      </c>
      <c r="X539" s="3">
        <v>38</v>
      </c>
      <c r="Y539" s="3" t="s">
        <v>1178</v>
      </c>
      <c r="Z539" s="3"/>
      <c r="AA539" s="3"/>
      <c r="AB539" s="6">
        <v>37747</v>
      </c>
      <c r="AC539" s="3" t="s">
        <v>62</v>
      </c>
      <c r="AD539" s="3">
        <v>2</v>
      </c>
      <c r="AE539" s="3">
        <v>22</v>
      </c>
      <c r="AF539" s="3">
        <v>5</v>
      </c>
      <c r="AG539" s="3" t="s">
        <v>11857</v>
      </c>
      <c r="AH539" s="3" t="s">
        <v>11858</v>
      </c>
      <c r="AI539" s="3">
        <v>153260</v>
      </c>
      <c r="AJ539" s="3" t="s">
        <v>120</v>
      </c>
      <c r="AK539" s="3" t="s">
        <v>62</v>
      </c>
      <c r="AL539" s="7" t="s">
        <v>11859</v>
      </c>
      <c r="AM539" s="7" t="s">
        <v>11860</v>
      </c>
      <c r="AN539" s="3"/>
      <c r="AO539" s="7" t="s">
        <v>11861</v>
      </c>
      <c r="AP539" s="3" t="s">
        <v>1182</v>
      </c>
      <c r="AQ539" s="3"/>
      <c r="AR539" s="3"/>
      <c r="AS539" s="7" t="s">
        <v>11862</v>
      </c>
      <c r="AT539" s="3"/>
      <c r="AU539" s="3"/>
      <c r="AV539" s="3"/>
      <c r="AW539" s="3"/>
    </row>
    <row r="540" spans="1:49" ht="12.5" x14ac:dyDescent="0.25">
      <c r="A540" s="3" t="s">
        <v>152</v>
      </c>
      <c r="B540" s="21" t="str">
        <f>HYPERLINK("https://gerandofalcoes.my.salesforce.com/0014P00003AN2GD", "0014P00003AN2GD")</f>
        <v>0014P00003AN2GD</v>
      </c>
      <c r="C540" s="21" t="str">
        <f>HYPERLINK("https://gerandofalcoes.my.salesforce.com/0014P00003AN2GDQA1", "0014P00003AN2GDQA1")</f>
        <v>0014P00003AN2GDQA1</v>
      </c>
      <c r="D540" s="3" t="s">
        <v>1184</v>
      </c>
      <c r="E540" s="3" t="s">
        <v>1185</v>
      </c>
      <c r="F540" s="3" t="s">
        <v>1186</v>
      </c>
      <c r="G540" s="6">
        <v>44375</v>
      </c>
      <c r="H540" s="3">
        <v>421</v>
      </c>
      <c r="I540" s="3"/>
      <c r="J540" s="3"/>
      <c r="K540" s="3"/>
      <c r="L540" s="3" t="s">
        <v>70</v>
      </c>
      <c r="M540" s="3" t="s">
        <v>1187</v>
      </c>
      <c r="N540" s="3"/>
      <c r="O540" s="3" t="s">
        <v>11863</v>
      </c>
      <c r="P540" s="3" t="s">
        <v>11864</v>
      </c>
      <c r="Q540" s="3"/>
      <c r="R540" s="3" t="s">
        <v>11865</v>
      </c>
      <c r="S540" s="3" t="s">
        <v>1189</v>
      </c>
      <c r="T540" s="3" t="s">
        <v>11866</v>
      </c>
      <c r="U540" s="3" t="s">
        <v>8852</v>
      </c>
      <c r="V540" s="3" t="s">
        <v>10804</v>
      </c>
      <c r="W540" s="3">
        <v>14</v>
      </c>
      <c r="X540" s="3">
        <v>14</v>
      </c>
      <c r="Y540" s="3" t="s">
        <v>1193</v>
      </c>
      <c r="Z540" s="3"/>
      <c r="AA540" s="3"/>
      <c r="AB540" s="6">
        <v>37054</v>
      </c>
      <c r="AC540" s="3" t="s">
        <v>62</v>
      </c>
      <c r="AD540" s="3">
        <v>5</v>
      </c>
      <c r="AE540" s="3">
        <v>12</v>
      </c>
      <c r="AF540" s="3">
        <v>2</v>
      </c>
      <c r="AG540" s="3" t="s">
        <v>11867</v>
      </c>
      <c r="AH540" s="3" t="s">
        <v>11868</v>
      </c>
      <c r="AI540" s="3">
        <v>77000</v>
      </c>
      <c r="AJ540" s="3" t="s">
        <v>1195</v>
      </c>
      <c r="AK540" s="3" t="s">
        <v>62</v>
      </c>
      <c r="AL540" s="3" t="s">
        <v>11869</v>
      </c>
      <c r="AM540" s="7" t="s">
        <v>11870</v>
      </c>
      <c r="AN540" s="3"/>
      <c r="AO540" s="7" t="s">
        <v>11871</v>
      </c>
      <c r="AP540" s="3" t="s">
        <v>1197</v>
      </c>
      <c r="AQ540" s="3"/>
      <c r="AR540" s="3"/>
      <c r="AS540" s="7" t="s">
        <v>11872</v>
      </c>
      <c r="AT540" s="7" t="s">
        <v>11873</v>
      </c>
      <c r="AU540" s="3"/>
      <c r="AV540" s="3"/>
      <c r="AW540" s="3"/>
    </row>
    <row r="541" spans="1:49" ht="12.5" x14ac:dyDescent="0.25">
      <c r="A541" s="3" t="s">
        <v>46</v>
      </c>
      <c r="B541" s="21" t="str">
        <f>HYPERLINK("https://gerandofalcoes.my.salesforce.com/0014P00003AN2GF", "0014P00003AN2GF")</f>
        <v>0014P00003AN2GF</v>
      </c>
      <c r="C541" s="21" t="str">
        <f>HYPERLINK("https://gerandofalcoes.my.salesforce.com/0014P00003AN2GFQA1", "0014P00003AN2GFQA1")</f>
        <v>0014P00003AN2GFQA1</v>
      </c>
      <c r="D541" s="3" t="s">
        <v>1199</v>
      </c>
      <c r="E541" s="3"/>
      <c r="F541" s="3" t="s">
        <v>1200</v>
      </c>
      <c r="G541" s="6">
        <v>44306</v>
      </c>
      <c r="H541" s="3">
        <v>490</v>
      </c>
      <c r="I541" s="3"/>
      <c r="J541" s="3"/>
      <c r="K541" s="3"/>
      <c r="L541" s="3" t="s">
        <v>84</v>
      </c>
      <c r="M541" s="3" t="s">
        <v>1201</v>
      </c>
      <c r="N541" s="3"/>
      <c r="O541" s="3" t="s">
        <v>11874</v>
      </c>
      <c r="P541" s="3" t="s">
        <v>177</v>
      </c>
      <c r="Q541" s="3"/>
      <c r="R541" s="3" t="s">
        <v>11875</v>
      </c>
      <c r="S541" s="3" t="s">
        <v>1202</v>
      </c>
      <c r="T541" s="3" t="s">
        <v>11876</v>
      </c>
      <c r="U541" s="3" t="s">
        <v>9005</v>
      </c>
      <c r="V541" s="3" t="s">
        <v>11877</v>
      </c>
      <c r="W541" s="3">
        <v>10</v>
      </c>
      <c r="X541" s="3">
        <v>10</v>
      </c>
      <c r="Y541" s="3" t="s">
        <v>11878</v>
      </c>
      <c r="Z541" s="3"/>
      <c r="AA541" s="3"/>
      <c r="AB541" s="6">
        <v>35065</v>
      </c>
      <c r="AC541" s="3" t="s">
        <v>62</v>
      </c>
      <c r="AD541" s="3">
        <v>23</v>
      </c>
      <c r="AE541" s="3">
        <v>83</v>
      </c>
      <c r="AF541" s="3">
        <v>4</v>
      </c>
      <c r="AG541" s="3" t="s">
        <v>11879</v>
      </c>
      <c r="AH541" s="3" t="s">
        <v>11880</v>
      </c>
      <c r="AI541" s="3">
        <v>531000</v>
      </c>
      <c r="AJ541" s="3" t="s">
        <v>120</v>
      </c>
      <c r="AK541" s="3" t="s">
        <v>120</v>
      </c>
      <c r="AL541" s="7" t="s">
        <v>11881</v>
      </c>
      <c r="AM541" s="7" t="s">
        <v>11882</v>
      </c>
      <c r="AN541" s="3"/>
      <c r="AO541" s="7" t="s">
        <v>11883</v>
      </c>
      <c r="AP541" s="3" t="s">
        <v>1209</v>
      </c>
      <c r="AQ541" s="3"/>
      <c r="AR541" s="3"/>
      <c r="AS541" s="7" t="s">
        <v>11884</v>
      </c>
      <c r="AT541" s="7" t="s">
        <v>11885</v>
      </c>
      <c r="AU541" s="3"/>
      <c r="AV541" s="3"/>
      <c r="AW541" s="3"/>
    </row>
    <row r="542" spans="1:49" ht="12.5" x14ac:dyDescent="0.25">
      <c r="A542" s="3" t="s">
        <v>46</v>
      </c>
      <c r="B542" s="21" t="str">
        <f>HYPERLINK("https://gerandofalcoes.my.salesforce.com/0014P00003AN2GG", "0014P00003AN2GG")</f>
        <v>0014P00003AN2GG</v>
      </c>
      <c r="C542" s="21" t="str">
        <f>HYPERLINK("https://gerandofalcoes.my.salesforce.com/0014P00003AN2GGQA1", "0014P00003AN2GGQA1")</f>
        <v>0014P00003AN2GGQA1</v>
      </c>
      <c r="D542" s="3" t="s">
        <v>1211</v>
      </c>
      <c r="E542" s="3"/>
      <c r="F542" s="3" t="s">
        <v>747</v>
      </c>
      <c r="G542" s="6">
        <v>44237</v>
      </c>
      <c r="H542" s="3">
        <v>559</v>
      </c>
      <c r="I542" s="3"/>
      <c r="J542" s="3"/>
      <c r="K542" s="3"/>
      <c r="L542" s="3" t="s">
        <v>101</v>
      </c>
      <c r="M542" s="3" t="s">
        <v>11886</v>
      </c>
      <c r="N542" s="3" t="s">
        <v>11887</v>
      </c>
      <c r="O542" s="3" t="s">
        <v>11888</v>
      </c>
      <c r="P542" s="3" t="s">
        <v>128</v>
      </c>
      <c r="Q542" s="3"/>
      <c r="R542" s="3" t="s">
        <v>11889</v>
      </c>
      <c r="S542" s="3"/>
      <c r="T542" s="3" t="s">
        <v>11890</v>
      </c>
      <c r="U542" s="3" t="s">
        <v>3817</v>
      </c>
      <c r="V542" s="3" t="s">
        <v>3754</v>
      </c>
      <c r="W542" s="3">
        <v>5</v>
      </c>
      <c r="X542" s="3">
        <v>5</v>
      </c>
      <c r="Y542" s="3"/>
      <c r="Z542" s="3"/>
      <c r="AA542" s="3"/>
      <c r="AB542" s="6">
        <v>42426</v>
      </c>
      <c r="AC542" s="3" t="s">
        <v>807</v>
      </c>
      <c r="AD542" s="3">
        <v>5</v>
      </c>
      <c r="AE542" s="3">
        <v>5</v>
      </c>
      <c r="AF542" s="3">
        <v>1</v>
      </c>
      <c r="AG542" s="3" t="s">
        <v>11891</v>
      </c>
      <c r="AH542" s="3" t="s">
        <v>1216</v>
      </c>
      <c r="AI542" s="3">
        <v>50000</v>
      </c>
      <c r="AJ542" s="3" t="s">
        <v>120</v>
      </c>
      <c r="AK542" s="3" t="s">
        <v>120</v>
      </c>
      <c r="AL542" s="7" t="s">
        <v>11892</v>
      </c>
      <c r="AM542" s="7" t="s">
        <v>11893</v>
      </c>
      <c r="AN542" s="3"/>
      <c r="AO542" s="3"/>
      <c r="AP542" s="7" t="s">
        <v>1218</v>
      </c>
      <c r="AQ542" s="3"/>
      <c r="AR542" s="3"/>
      <c r="AS542" s="7" t="s">
        <v>11894</v>
      </c>
      <c r="AT542" s="3"/>
      <c r="AU542" s="3"/>
      <c r="AV542" s="3"/>
      <c r="AW542" s="3"/>
    </row>
    <row r="543" spans="1:49" ht="12.5" x14ac:dyDescent="0.25">
      <c r="A543" s="3" t="s">
        <v>46</v>
      </c>
      <c r="B543" s="21" t="str">
        <f>HYPERLINK("https://gerandofalcoes.my.salesforce.com/0014P00003AN2GH", "0014P00003AN2GH")</f>
        <v>0014P00003AN2GH</v>
      </c>
      <c r="C543" s="21" t="str">
        <f>HYPERLINK("https://gerandofalcoes.my.salesforce.com/0014P00003AN2GHQA1", "0014P00003AN2GHQA1")</f>
        <v>0014P00003AN2GHQA1</v>
      </c>
      <c r="D543" s="3" t="s">
        <v>1114</v>
      </c>
      <c r="E543" s="3"/>
      <c r="F543" s="3" t="s">
        <v>1115</v>
      </c>
      <c r="G543" s="6">
        <v>44375</v>
      </c>
      <c r="H543" s="3">
        <v>421</v>
      </c>
      <c r="I543" s="3"/>
      <c r="J543" s="3"/>
      <c r="K543" s="3"/>
      <c r="L543" s="3" t="s">
        <v>195</v>
      </c>
      <c r="M543" s="3" t="s">
        <v>11895</v>
      </c>
      <c r="N543" s="3"/>
      <c r="O543" s="3" t="s">
        <v>11896</v>
      </c>
      <c r="P543" s="3" t="s">
        <v>6725</v>
      </c>
      <c r="Q543" s="3"/>
      <c r="R543" s="3" t="s">
        <v>11897</v>
      </c>
      <c r="S543" s="3"/>
      <c r="T543" s="3" t="s">
        <v>11898</v>
      </c>
      <c r="U543" s="3" t="s">
        <v>8880</v>
      </c>
      <c r="V543" s="3" t="s">
        <v>11899</v>
      </c>
      <c r="W543" s="3">
        <v>5</v>
      </c>
      <c r="X543" s="3">
        <v>5</v>
      </c>
      <c r="Y543" s="3"/>
      <c r="Z543" s="3"/>
      <c r="AA543" s="3"/>
      <c r="AB543" s="6">
        <v>43016</v>
      </c>
      <c r="AC543" s="3" t="s">
        <v>62</v>
      </c>
      <c r="AD543" s="3">
        <v>2</v>
      </c>
      <c r="AE543" s="3">
        <v>5</v>
      </c>
      <c r="AF543" s="3">
        <v>2</v>
      </c>
      <c r="AG543" s="3" t="s">
        <v>11900</v>
      </c>
      <c r="AH543" s="3" t="s">
        <v>1120</v>
      </c>
      <c r="AI543" s="3">
        <v>50000</v>
      </c>
      <c r="AJ543" s="3" t="s">
        <v>120</v>
      </c>
      <c r="AK543" s="3" t="s">
        <v>120</v>
      </c>
      <c r="AL543" s="7" t="s">
        <v>11901</v>
      </c>
      <c r="AM543" s="7" t="s">
        <v>11902</v>
      </c>
      <c r="AN543" s="3"/>
      <c r="AO543" s="7" t="s">
        <v>11903</v>
      </c>
      <c r="AP543" s="3" t="s">
        <v>1122</v>
      </c>
      <c r="AQ543" s="3"/>
      <c r="AR543" s="3"/>
      <c r="AS543" s="7" t="s">
        <v>11904</v>
      </c>
      <c r="AT543" s="3"/>
      <c r="AU543" s="3"/>
      <c r="AV543" s="3"/>
      <c r="AW543" s="3"/>
    </row>
    <row r="544" spans="1:49" ht="12.5" x14ac:dyDescent="0.25">
      <c r="A544" s="3" t="s">
        <v>152</v>
      </c>
      <c r="B544" s="21" t="str">
        <f>HYPERLINK("https://gerandofalcoes.my.salesforce.com/0014P00003SGWPW", "0014P00003SGWPW")</f>
        <v>0014P00003SGWPW</v>
      </c>
      <c r="C544" s="21" t="str">
        <f>HYPERLINK("https://gerandofalcoes.my.salesforce.com/0014P00003SGWPWQA5", "0014P00003SGWPWQA5")</f>
        <v>0014P00003SGWPWQA5</v>
      </c>
      <c r="D544" s="3" t="s">
        <v>1220</v>
      </c>
      <c r="E544" s="3" t="s">
        <v>1221</v>
      </c>
      <c r="F544" s="3" t="s">
        <v>1222</v>
      </c>
      <c r="G544" s="6">
        <v>44432</v>
      </c>
      <c r="H544" s="3">
        <v>364</v>
      </c>
      <c r="I544" s="3" t="s">
        <v>1223</v>
      </c>
      <c r="J544" s="3" t="s">
        <v>1224</v>
      </c>
      <c r="K544" s="3" t="s">
        <v>11905</v>
      </c>
      <c r="L544" s="3" t="s">
        <v>84</v>
      </c>
      <c r="M544" s="3" t="s">
        <v>11906</v>
      </c>
      <c r="N544" s="3" t="s">
        <v>1227</v>
      </c>
      <c r="O544" s="3" t="s">
        <v>11907</v>
      </c>
      <c r="P544" s="3" t="s">
        <v>266</v>
      </c>
      <c r="Q544" s="3" t="s">
        <v>1228</v>
      </c>
      <c r="R544" s="3" t="s">
        <v>11908</v>
      </c>
      <c r="S544" s="3" t="s">
        <v>1229</v>
      </c>
      <c r="T544" s="3" t="s">
        <v>11909</v>
      </c>
      <c r="U544" s="3" t="s">
        <v>8880</v>
      </c>
      <c r="V544" s="3" t="s">
        <v>11524</v>
      </c>
      <c r="W544" s="3">
        <v>10</v>
      </c>
      <c r="X544" s="3">
        <v>10</v>
      </c>
      <c r="Y544" s="3" t="s">
        <v>1233</v>
      </c>
      <c r="Z544" s="3">
        <v>300</v>
      </c>
      <c r="AA544" s="3">
        <v>5200</v>
      </c>
      <c r="AB544" s="8">
        <v>43025</v>
      </c>
      <c r="AC544" s="3" t="s">
        <v>62</v>
      </c>
      <c r="AD544" s="3">
        <v>7</v>
      </c>
      <c r="AE544" s="3">
        <v>20</v>
      </c>
      <c r="AF544" s="3">
        <v>4</v>
      </c>
      <c r="AG544" s="3" t="s">
        <v>10336</v>
      </c>
      <c r="AH544" s="3" t="s">
        <v>11910</v>
      </c>
      <c r="AI544" s="3">
        <v>30000</v>
      </c>
      <c r="AJ544" s="3" t="s">
        <v>120</v>
      </c>
      <c r="AK544" s="3" t="s">
        <v>120</v>
      </c>
      <c r="AL544" s="7" t="s">
        <v>1240</v>
      </c>
      <c r="AM544" s="7" t="s">
        <v>11911</v>
      </c>
      <c r="AN544" s="7" t="s">
        <v>11912</v>
      </c>
      <c r="AO544" s="7" t="s">
        <v>11913</v>
      </c>
      <c r="AP544" s="7" t="s">
        <v>1240</v>
      </c>
      <c r="AQ544" s="7" t="s">
        <v>11914</v>
      </c>
      <c r="AR544" s="7" t="s">
        <v>11915</v>
      </c>
      <c r="AS544" s="7" t="s">
        <v>11916</v>
      </c>
      <c r="AT544" s="7" t="s">
        <v>11917</v>
      </c>
      <c r="AU544" s="3" t="s">
        <v>11918</v>
      </c>
      <c r="AV544" s="3"/>
      <c r="AW544" s="3"/>
    </row>
    <row r="545" spans="1:49" ht="12.5" x14ac:dyDescent="0.25">
      <c r="A545" s="3" t="s">
        <v>46</v>
      </c>
      <c r="B545" s="21" t="str">
        <f>HYPERLINK("https://gerandofalcoes.my.salesforce.com/0014P00003SGWPY", "0014P00003SGWPY")</f>
        <v>0014P00003SGWPY</v>
      </c>
      <c r="C545" s="21" t="str">
        <f>HYPERLINK("https://gerandofalcoes.my.salesforce.com/0014P00003SGWPYQA5", "0014P00003SGWPYQA5")</f>
        <v>0014P00003SGWPYQA5</v>
      </c>
      <c r="D545" s="3" t="s">
        <v>1247</v>
      </c>
      <c r="E545" s="3" t="s">
        <v>1248</v>
      </c>
      <c r="F545" s="3" t="s">
        <v>1249</v>
      </c>
      <c r="G545" s="6">
        <v>44432</v>
      </c>
      <c r="H545" s="3">
        <v>364</v>
      </c>
      <c r="I545" s="3" t="s">
        <v>1250</v>
      </c>
      <c r="J545" s="3" t="s">
        <v>1251</v>
      </c>
      <c r="K545" s="3" t="s">
        <v>1252</v>
      </c>
      <c r="L545" s="3" t="s">
        <v>101</v>
      </c>
      <c r="M545" s="3" t="s">
        <v>11919</v>
      </c>
      <c r="N545" s="3" t="s">
        <v>1254</v>
      </c>
      <c r="O545" s="3" t="s">
        <v>11920</v>
      </c>
      <c r="P545" s="3" t="s">
        <v>128</v>
      </c>
      <c r="Q545" s="3"/>
      <c r="R545" s="3" t="s">
        <v>11921</v>
      </c>
      <c r="S545" s="3" t="s">
        <v>1256</v>
      </c>
      <c r="T545" s="3" t="s">
        <v>11922</v>
      </c>
      <c r="U545" s="3" t="s">
        <v>3817</v>
      </c>
      <c r="V545" s="3" t="s">
        <v>11923</v>
      </c>
      <c r="W545" s="3">
        <v>2</v>
      </c>
      <c r="X545" s="3">
        <v>2</v>
      </c>
      <c r="Y545" s="3"/>
      <c r="Z545" s="3">
        <v>150</v>
      </c>
      <c r="AA545" s="3">
        <v>3800</v>
      </c>
      <c r="AB545" s="6">
        <v>43999</v>
      </c>
      <c r="AC545" s="3" t="s">
        <v>62</v>
      </c>
      <c r="AD545" s="3">
        <v>0</v>
      </c>
      <c r="AE545" s="3">
        <v>17</v>
      </c>
      <c r="AF545" s="3">
        <v>6</v>
      </c>
      <c r="AG545" s="3" t="s">
        <v>8882</v>
      </c>
      <c r="AH545" s="3" t="s">
        <v>11924</v>
      </c>
      <c r="AI545" s="3">
        <v>21600</v>
      </c>
      <c r="AJ545" s="3" t="s">
        <v>120</v>
      </c>
      <c r="AK545" s="3" t="s">
        <v>120</v>
      </c>
      <c r="AL545" s="3"/>
      <c r="AM545" s="7" t="s">
        <v>11925</v>
      </c>
      <c r="AN545" s="7" t="s">
        <v>11926</v>
      </c>
      <c r="AO545" s="3"/>
      <c r="AP545" s="3"/>
      <c r="AQ545" s="7" t="s">
        <v>11927</v>
      </c>
      <c r="AR545" s="7" t="s">
        <v>11928</v>
      </c>
      <c r="AS545" s="7" t="s">
        <v>11929</v>
      </c>
      <c r="AT545" s="7" t="s">
        <v>11930</v>
      </c>
      <c r="AU545" s="7" t="s">
        <v>11931</v>
      </c>
      <c r="AV545" s="7" t="s">
        <v>11932</v>
      </c>
      <c r="AW545" s="7" t="s">
        <v>11933</v>
      </c>
    </row>
    <row r="546" spans="1:49" ht="12.5" x14ac:dyDescent="0.25">
      <c r="A546" s="3" t="s">
        <v>46</v>
      </c>
      <c r="B546" s="21" t="str">
        <f>HYPERLINK("https://gerandofalcoes.my.salesforce.com/0014P00003SGWPZ", "0014P00003SGWPZ")</f>
        <v>0014P00003SGWPZ</v>
      </c>
      <c r="C546" s="21" t="str">
        <f>HYPERLINK("https://gerandofalcoes.my.salesforce.com/0014P00003SGWPZQA5", "0014P00003SGWPZQA5")</f>
        <v>0014P00003SGWPZQA5</v>
      </c>
      <c r="D546" s="3" t="s">
        <v>1124</v>
      </c>
      <c r="E546" s="3" t="s">
        <v>1125</v>
      </c>
      <c r="F546" s="3" t="s">
        <v>1126</v>
      </c>
      <c r="G546" s="6">
        <v>44432</v>
      </c>
      <c r="H546" s="3">
        <v>364</v>
      </c>
      <c r="I546" s="3" t="s">
        <v>1127</v>
      </c>
      <c r="J546" s="3" t="s">
        <v>1128</v>
      </c>
      <c r="K546" s="3" t="s">
        <v>1129</v>
      </c>
      <c r="L546" s="3" t="s">
        <v>84</v>
      </c>
      <c r="M546" s="3" t="s">
        <v>1130</v>
      </c>
      <c r="N546" s="3" t="s">
        <v>1131</v>
      </c>
      <c r="O546" s="3" t="s">
        <v>3135</v>
      </c>
      <c r="P546" s="3" t="s">
        <v>87</v>
      </c>
      <c r="Q546" s="3"/>
      <c r="R546" s="3" t="s">
        <v>11934</v>
      </c>
      <c r="S546" s="3"/>
      <c r="T546" s="3" t="s">
        <v>11935</v>
      </c>
      <c r="U546" s="3" t="s">
        <v>9807</v>
      </c>
      <c r="V546" s="3" t="s">
        <v>9780</v>
      </c>
      <c r="W546" s="3">
        <v>5</v>
      </c>
      <c r="X546" s="3">
        <v>5</v>
      </c>
      <c r="Y546" s="3"/>
      <c r="Z546" s="3">
        <v>64</v>
      </c>
      <c r="AA546" s="3">
        <v>300</v>
      </c>
      <c r="AB546" s="6">
        <v>38410</v>
      </c>
      <c r="AC546" s="3" t="s">
        <v>62</v>
      </c>
      <c r="AD546" s="3">
        <v>2</v>
      </c>
      <c r="AE546" s="3">
        <v>6</v>
      </c>
      <c r="AF546" s="3">
        <v>1</v>
      </c>
      <c r="AG546" s="3" t="s">
        <v>11936</v>
      </c>
      <c r="AH546" s="3" t="s">
        <v>11937</v>
      </c>
      <c r="AI546" s="3">
        <v>347000</v>
      </c>
      <c r="AJ546" s="3" t="s">
        <v>120</v>
      </c>
      <c r="AK546" s="3" t="s">
        <v>120</v>
      </c>
      <c r="AL546" s="7" t="s">
        <v>11938</v>
      </c>
      <c r="AM546" s="7" t="s">
        <v>11939</v>
      </c>
      <c r="AN546" s="7" t="s">
        <v>11940</v>
      </c>
      <c r="AO546" s="7" t="s">
        <v>11941</v>
      </c>
      <c r="AP546" s="3"/>
      <c r="AQ546" s="7" t="s">
        <v>11942</v>
      </c>
      <c r="AR546" s="7" t="s">
        <v>11943</v>
      </c>
      <c r="AS546" s="7" t="s">
        <v>11944</v>
      </c>
      <c r="AT546" s="3"/>
      <c r="AU546" s="7" t="s">
        <v>11945</v>
      </c>
      <c r="AV546" s="3"/>
      <c r="AW546" s="3"/>
    </row>
    <row r="547" spans="1:49" ht="12.5" x14ac:dyDescent="0.25">
      <c r="A547" s="3" t="s">
        <v>46</v>
      </c>
      <c r="B547" s="21" t="str">
        <f>HYPERLINK("https://gerandofalcoes.my.salesforce.com/0014P00003SGWPa", "0014P00003SGWPa")</f>
        <v>0014P00003SGWPa</v>
      </c>
      <c r="C547" s="21" t="str">
        <f>HYPERLINK("https://gerandofalcoes.my.salesforce.com/0014P00003SGWPaQAP", "0014P00003SGWPaQAP")</f>
        <v>0014P00003SGWPaQAP</v>
      </c>
      <c r="D547" s="3" t="s">
        <v>1270</v>
      </c>
      <c r="E547" s="3" t="s">
        <v>1271</v>
      </c>
      <c r="F547" s="3" t="s">
        <v>1272</v>
      </c>
      <c r="G547" s="6">
        <v>44432</v>
      </c>
      <c r="H547" s="3">
        <v>364</v>
      </c>
      <c r="I547" s="3" t="s">
        <v>1273</v>
      </c>
      <c r="J547" s="3" t="s">
        <v>1274</v>
      </c>
      <c r="K547" s="3" t="s">
        <v>1275</v>
      </c>
      <c r="L547" s="3" t="s">
        <v>407</v>
      </c>
      <c r="M547" s="3" t="s">
        <v>11946</v>
      </c>
      <c r="N547" s="3" t="s">
        <v>1277</v>
      </c>
      <c r="O547" s="3" t="s">
        <v>11947</v>
      </c>
      <c r="P547" s="3" t="s">
        <v>11948</v>
      </c>
      <c r="Q547" s="3" t="s">
        <v>1279</v>
      </c>
      <c r="R547" s="3" t="s">
        <v>11949</v>
      </c>
      <c r="S547" s="3" t="s">
        <v>1280</v>
      </c>
      <c r="T547" s="3" t="s">
        <v>3816</v>
      </c>
      <c r="U547" s="3" t="s">
        <v>9212</v>
      </c>
      <c r="V547" s="3" t="s">
        <v>3800</v>
      </c>
      <c r="W547" s="3">
        <v>15</v>
      </c>
      <c r="X547" s="3">
        <v>15</v>
      </c>
      <c r="Y547" s="3"/>
      <c r="Z547" s="3">
        <v>110</v>
      </c>
      <c r="AA547" s="3">
        <v>110</v>
      </c>
      <c r="AB547" s="6">
        <v>42565</v>
      </c>
      <c r="AC547" s="3" t="s">
        <v>62</v>
      </c>
      <c r="AD547" s="3">
        <v>4</v>
      </c>
      <c r="AE547" s="3">
        <v>9</v>
      </c>
      <c r="AF547" s="3">
        <v>3</v>
      </c>
      <c r="AG547" s="3" t="s">
        <v>11950</v>
      </c>
      <c r="AH547" s="3" t="s">
        <v>1284</v>
      </c>
      <c r="AI547" s="3">
        <v>50000</v>
      </c>
      <c r="AJ547" s="3" t="s">
        <v>120</v>
      </c>
      <c r="AK547" s="3" t="s">
        <v>120</v>
      </c>
      <c r="AL547" s="3"/>
      <c r="AM547" s="7" t="s">
        <v>11951</v>
      </c>
      <c r="AN547" s="7" t="s">
        <v>11952</v>
      </c>
      <c r="AO547" s="7" t="s">
        <v>11953</v>
      </c>
      <c r="AP547" s="3"/>
      <c r="AQ547" s="3"/>
      <c r="AR547" s="7" t="s">
        <v>11954</v>
      </c>
      <c r="AS547" s="7" t="s">
        <v>11955</v>
      </c>
      <c r="AT547" s="7" t="s">
        <v>11956</v>
      </c>
      <c r="AU547" s="7" t="s">
        <v>11957</v>
      </c>
      <c r="AV547" s="3"/>
      <c r="AW547" s="3"/>
    </row>
    <row r="548" spans="1:49" ht="12.5" x14ac:dyDescent="0.25">
      <c r="A548" s="3" t="s">
        <v>152</v>
      </c>
      <c r="B548" s="21" t="str">
        <f>HYPERLINK("https://gerandofalcoes.my.salesforce.com/0014P00003SGWPu", "0014P00003SGWPu")</f>
        <v>0014P00003SGWPu</v>
      </c>
      <c r="C548" s="21" t="str">
        <f>HYPERLINK("https://gerandofalcoes.my.salesforce.com/0014P00003SGWPuQAP", "0014P00003SGWPuQAP")</f>
        <v>0014P00003SGWPuQAP</v>
      </c>
      <c r="D548" s="3" t="s">
        <v>1315</v>
      </c>
      <c r="E548" s="3" t="s">
        <v>1315</v>
      </c>
      <c r="F548" s="3" t="s">
        <v>1317</v>
      </c>
      <c r="G548" s="6">
        <v>44432</v>
      </c>
      <c r="H548" s="3">
        <v>364</v>
      </c>
      <c r="I548" s="3" t="s">
        <v>1318</v>
      </c>
      <c r="J548" s="3" t="s">
        <v>1319</v>
      </c>
      <c r="K548" s="3" t="s">
        <v>623</v>
      </c>
      <c r="L548" s="3" t="s">
        <v>468</v>
      </c>
      <c r="M548" s="3" t="s">
        <v>11958</v>
      </c>
      <c r="N548" s="3" t="s">
        <v>1321</v>
      </c>
      <c r="O548" s="3" t="s">
        <v>11959</v>
      </c>
      <c r="P548" s="3" t="s">
        <v>4285</v>
      </c>
      <c r="Q548" s="3"/>
      <c r="R548" s="3" t="s">
        <v>11960</v>
      </c>
      <c r="S548" s="3" t="s">
        <v>1322</v>
      </c>
      <c r="T548" s="3" t="s">
        <v>11961</v>
      </c>
      <c r="U548" s="3" t="s">
        <v>9893</v>
      </c>
      <c r="V548" s="3" t="s">
        <v>3800</v>
      </c>
      <c r="W548" s="3">
        <v>3</v>
      </c>
      <c r="X548" s="3">
        <v>3</v>
      </c>
      <c r="Y548" s="3"/>
      <c r="Z548" s="3">
        <v>200</v>
      </c>
      <c r="AA548" s="3">
        <v>1226</v>
      </c>
      <c r="AB548" s="6">
        <v>43106</v>
      </c>
      <c r="AC548" s="3" t="s">
        <v>62</v>
      </c>
      <c r="AD548" s="3">
        <v>0</v>
      </c>
      <c r="AE548" s="3">
        <v>20</v>
      </c>
      <c r="AF548" s="3">
        <v>4</v>
      </c>
      <c r="AG548" s="3" t="s">
        <v>11074</v>
      </c>
      <c r="AH548" s="3" t="s">
        <v>11962</v>
      </c>
      <c r="AI548" s="3">
        <v>3000</v>
      </c>
      <c r="AJ548" s="3" t="s">
        <v>120</v>
      </c>
      <c r="AK548" s="3" t="s">
        <v>120</v>
      </c>
      <c r="AL548" s="3"/>
      <c r="AM548" s="7" t="s">
        <v>11963</v>
      </c>
      <c r="AN548" s="7" t="s">
        <v>11964</v>
      </c>
      <c r="AO548" s="3"/>
      <c r="AP548" s="3"/>
      <c r="AQ548" s="7" t="s">
        <v>11965</v>
      </c>
      <c r="AR548" s="7" t="s">
        <v>11966</v>
      </c>
      <c r="AS548" s="7" t="s">
        <v>11967</v>
      </c>
      <c r="AT548" s="7" t="s">
        <v>11968</v>
      </c>
      <c r="AU548" s="3"/>
      <c r="AV548" s="3"/>
      <c r="AW548" s="7" t="s">
        <v>11969</v>
      </c>
    </row>
    <row r="549" spans="1:49" ht="12.5" x14ac:dyDescent="0.25">
      <c r="A549" s="3" t="s">
        <v>46</v>
      </c>
      <c r="B549" s="21" t="str">
        <f>HYPERLINK("https://gerandofalcoes.my.salesforce.com/0014P00003SGWPv", "0014P00003SGWPv")</f>
        <v>0014P00003SGWPv</v>
      </c>
      <c r="C549" s="21" t="str">
        <f>HYPERLINK("https://gerandofalcoes.my.salesforce.com/0014P00003SGWPvQAP", "0014P00003SGWPvQAP")</f>
        <v>0014P00003SGWPvQAP</v>
      </c>
      <c r="D549" s="3" t="s">
        <v>1331</v>
      </c>
      <c r="E549" s="3" t="s">
        <v>1332</v>
      </c>
      <c r="F549" s="3" t="s">
        <v>1333</v>
      </c>
      <c r="G549" s="6">
        <v>44432</v>
      </c>
      <c r="H549" s="3">
        <v>364</v>
      </c>
      <c r="I549" s="3" t="s">
        <v>1334</v>
      </c>
      <c r="J549" s="3" t="s">
        <v>1335</v>
      </c>
      <c r="K549" s="3" t="s">
        <v>1336</v>
      </c>
      <c r="L549" s="3" t="s">
        <v>84</v>
      </c>
      <c r="M549" s="3" t="s">
        <v>11970</v>
      </c>
      <c r="N549" s="3" t="s">
        <v>1338</v>
      </c>
      <c r="O549" s="3" t="s">
        <v>1336</v>
      </c>
      <c r="P549" s="3" t="s">
        <v>1339</v>
      </c>
      <c r="Q549" s="3"/>
      <c r="R549" s="3" t="s">
        <v>3205</v>
      </c>
      <c r="S549" s="3" t="s">
        <v>1340</v>
      </c>
      <c r="T549" s="3" t="s">
        <v>11971</v>
      </c>
      <c r="U549" s="3" t="s">
        <v>8868</v>
      </c>
      <c r="V549" s="3" t="s">
        <v>11972</v>
      </c>
      <c r="W549" s="3">
        <v>11</v>
      </c>
      <c r="X549" s="3">
        <v>11</v>
      </c>
      <c r="Y549" s="3"/>
      <c r="Z549" s="3">
        <v>300</v>
      </c>
      <c r="AA549" s="3">
        <v>800</v>
      </c>
      <c r="AB549" s="6">
        <v>40939</v>
      </c>
      <c r="AC549" s="3" t="s">
        <v>62</v>
      </c>
      <c r="AD549" s="3">
        <v>0</v>
      </c>
      <c r="AE549" s="3">
        <v>20</v>
      </c>
      <c r="AF549" s="3">
        <v>2</v>
      </c>
      <c r="AG549" s="3" t="s">
        <v>9587</v>
      </c>
      <c r="AH549" s="3" t="s">
        <v>1345</v>
      </c>
      <c r="AI549" s="3">
        <v>10000</v>
      </c>
      <c r="AJ549" s="3" t="s">
        <v>120</v>
      </c>
      <c r="AK549" s="3" t="s">
        <v>120</v>
      </c>
      <c r="AL549" s="7" t="s">
        <v>11973</v>
      </c>
      <c r="AM549" s="7" t="s">
        <v>11974</v>
      </c>
      <c r="AN549" s="7" t="s">
        <v>11975</v>
      </c>
      <c r="AO549" s="7" t="s">
        <v>11976</v>
      </c>
      <c r="AP549" s="3"/>
      <c r="AQ549" s="7" t="s">
        <v>11977</v>
      </c>
      <c r="AR549" s="7" t="s">
        <v>11978</v>
      </c>
      <c r="AS549" s="7" t="s">
        <v>11979</v>
      </c>
      <c r="AT549" s="7" t="s">
        <v>11980</v>
      </c>
      <c r="AU549" s="7" t="s">
        <v>11981</v>
      </c>
      <c r="AV549" s="3"/>
      <c r="AW549" s="7" t="s">
        <v>11982</v>
      </c>
    </row>
    <row r="550" spans="1:49" ht="12.5" x14ac:dyDescent="0.25">
      <c r="A550" s="3" t="s">
        <v>46</v>
      </c>
      <c r="B550" s="21" t="str">
        <f>HYPERLINK("https://gerandofalcoes.my.salesforce.com/0014P00003SGWPx", "0014P00003SGWPx")</f>
        <v>0014P00003SGWPx</v>
      </c>
      <c r="C550" s="21" t="str">
        <f>HYPERLINK("https://gerandofalcoes.my.salesforce.com/0014P00003SGWPxQAP", "0014P00003SGWPxQAP")</f>
        <v>0014P00003SGWPxQAP</v>
      </c>
      <c r="D550" s="3" t="s">
        <v>1293</v>
      </c>
      <c r="E550" s="3" t="s">
        <v>1294</v>
      </c>
      <c r="F550" s="3" t="s">
        <v>1295</v>
      </c>
      <c r="G550" s="6">
        <v>44432</v>
      </c>
      <c r="H550" s="3">
        <v>364</v>
      </c>
      <c r="I550" s="3" t="s">
        <v>1296</v>
      </c>
      <c r="J550" s="3" t="s">
        <v>1297</v>
      </c>
      <c r="K550" s="3" t="s">
        <v>1298</v>
      </c>
      <c r="L550" s="3" t="s">
        <v>101</v>
      </c>
      <c r="M550" s="3" t="s">
        <v>1299</v>
      </c>
      <c r="N550" s="3" t="s">
        <v>1300</v>
      </c>
      <c r="O550" s="3" t="s">
        <v>11983</v>
      </c>
      <c r="P550" s="3" t="s">
        <v>128</v>
      </c>
      <c r="Q550" s="3" t="s">
        <v>1301</v>
      </c>
      <c r="R550" s="3" t="s">
        <v>11984</v>
      </c>
      <c r="S550" s="3" t="s">
        <v>1302</v>
      </c>
      <c r="T550" s="3" t="s">
        <v>11985</v>
      </c>
      <c r="U550" s="3" t="s">
        <v>8852</v>
      </c>
      <c r="V550" s="3" t="s">
        <v>3800</v>
      </c>
      <c r="W550" s="3">
        <v>4</v>
      </c>
      <c r="X550" s="3">
        <v>4</v>
      </c>
      <c r="Y550" s="3"/>
      <c r="Z550" s="3">
        <v>70</v>
      </c>
      <c r="AA550" s="3">
        <v>24000</v>
      </c>
      <c r="AB550" s="6">
        <v>43980</v>
      </c>
      <c r="AC550" s="3" t="s">
        <v>62</v>
      </c>
      <c r="AD550" s="3">
        <v>4</v>
      </c>
      <c r="AE550" s="3">
        <v>6</v>
      </c>
      <c r="AF550" s="3">
        <v>4</v>
      </c>
      <c r="AG550" s="3" t="s">
        <v>11790</v>
      </c>
      <c r="AH550" s="3" t="s">
        <v>1306</v>
      </c>
      <c r="AI550" s="3">
        <v>120000</v>
      </c>
      <c r="AJ550" s="3" t="s">
        <v>120</v>
      </c>
      <c r="AK550" s="3" t="s">
        <v>120</v>
      </c>
      <c r="AL550" s="7" t="s">
        <v>11986</v>
      </c>
      <c r="AM550" s="7" t="s">
        <v>11987</v>
      </c>
      <c r="AN550" s="7" t="s">
        <v>11988</v>
      </c>
      <c r="AO550" s="3"/>
      <c r="AP550" s="3"/>
      <c r="AQ550" s="3"/>
      <c r="AR550" s="7" t="s">
        <v>11989</v>
      </c>
      <c r="AS550" s="7" t="s">
        <v>11990</v>
      </c>
      <c r="AT550" s="7" t="s">
        <v>11991</v>
      </c>
      <c r="AU550" s="7" t="s">
        <v>11992</v>
      </c>
      <c r="AV550" s="3"/>
      <c r="AW550" s="3"/>
    </row>
    <row r="551" spans="1:49" ht="12.5" x14ac:dyDescent="0.25">
      <c r="A551" s="3" t="s">
        <v>46</v>
      </c>
      <c r="B551" s="21" t="str">
        <f>HYPERLINK("https://gerandofalcoes.my.salesforce.com/0014P00003SGWPz", "0014P00003SGWPz")</f>
        <v>0014P00003SGWPz</v>
      </c>
      <c r="C551" s="21" t="str">
        <f>HYPERLINK("https://gerandofalcoes.my.salesforce.com/0014P00003SGWPzQAP", "0014P00003SGWPzQAP")</f>
        <v>0014P00003SGWPzQAP</v>
      </c>
      <c r="D551" s="3" t="s">
        <v>1400</v>
      </c>
      <c r="E551" s="3" t="s">
        <v>1401</v>
      </c>
      <c r="F551" s="3" t="s">
        <v>1402</v>
      </c>
      <c r="G551" s="6">
        <v>44432</v>
      </c>
      <c r="H551" s="3">
        <v>364</v>
      </c>
      <c r="I551" s="3" t="s">
        <v>1403</v>
      </c>
      <c r="J551" s="3" t="s">
        <v>1404</v>
      </c>
      <c r="K551" s="3" t="s">
        <v>1405</v>
      </c>
      <c r="L551" s="3" t="s">
        <v>84</v>
      </c>
      <c r="M551" s="3" t="s">
        <v>11993</v>
      </c>
      <c r="N551" s="3" t="s">
        <v>1407</v>
      </c>
      <c r="O551" s="3" t="s">
        <v>11994</v>
      </c>
      <c r="P551" s="3" t="s">
        <v>11995</v>
      </c>
      <c r="Q551" s="3" t="s">
        <v>1301</v>
      </c>
      <c r="R551" s="3" t="s">
        <v>11996</v>
      </c>
      <c r="S551" s="3" t="s">
        <v>1408</v>
      </c>
      <c r="T551" s="3" t="s">
        <v>9454</v>
      </c>
      <c r="U551" s="3" t="s">
        <v>8895</v>
      </c>
      <c r="V551" s="3" t="s">
        <v>3800</v>
      </c>
      <c r="W551" s="3">
        <v>7</v>
      </c>
      <c r="X551" s="3">
        <v>7</v>
      </c>
      <c r="Y551" s="3" t="s">
        <v>1410</v>
      </c>
      <c r="Z551" s="3">
        <v>726</v>
      </c>
      <c r="AA551" s="3">
        <v>4025</v>
      </c>
      <c r="AB551" s="6">
        <v>39286</v>
      </c>
      <c r="AC551" s="3" t="s">
        <v>62</v>
      </c>
      <c r="AD551" s="3">
        <v>10</v>
      </c>
      <c r="AE551" s="3">
        <v>7</v>
      </c>
      <c r="AF551" s="3">
        <v>3</v>
      </c>
      <c r="AG551" s="3" t="s">
        <v>11997</v>
      </c>
      <c r="AH551" s="3" t="s">
        <v>11998</v>
      </c>
      <c r="AI551" s="3">
        <v>627195</v>
      </c>
      <c r="AJ551" s="3" t="s">
        <v>62</v>
      </c>
      <c r="AK551" s="3" t="s">
        <v>120</v>
      </c>
      <c r="AL551" s="7" t="s">
        <v>11999</v>
      </c>
      <c r="AM551" s="7" t="s">
        <v>12000</v>
      </c>
      <c r="AN551" s="7" t="s">
        <v>12001</v>
      </c>
      <c r="AO551" s="7" t="s">
        <v>12002</v>
      </c>
      <c r="AP551" s="7" t="s">
        <v>1416</v>
      </c>
      <c r="AQ551" s="7" t="s">
        <v>12003</v>
      </c>
      <c r="AR551" s="7" t="s">
        <v>12004</v>
      </c>
      <c r="AS551" s="7" t="s">
        <v>12005</v>
      </c>
      <c r="AT551" s="7" t="s">
        <v>12006</v>
      </c>
      <c r="AU551" s="7" t="s">
        <v>12007</v>
      </c>
      <c r="AV551" s="7" t="s">
        <v>12008</v>
      </c>
      <c r="AW551" s="7" t="s">
        <v>12009</v>
      </c>
    </row>
    <row r="552" spans="1:49" ht="12.5" x14ac:dyDescent="0.25">
      <c r="A552" s="3" t="s">
        <v>46</v>
      </c>
      <c r="B552" s="21" t="str">
        <f>HYPERLINK("https://gerandofalcoes.my.salesforce.com/0014P00003SGWQ0", "0014P00003SGWQ0")</f>
        <v>0014P00003SGWQ0</v>
      </c>
      <c r="C552" s="21" t="str">
        <f>HYPERLINK("https://gerandofalcoes.my.salesforce.com/0014P00003SGWQ0QAP", "0014P00003SGWQ0QAP")</f>
        <v>0014P00003SGWQ0QAP</v>
      </c>
      <c r="D552" s="3" t="s">
        <v>1425</v>
      </c>
      <c r="E552" s="3" t="s">
        <v>1426</v>
      </c>
      <c r="F552" s="3" t="s">
        <v>1427</v>
      </c>
      <c r="G552" s="6">
        <v>44432</v>
      </c>
      <c r="H552" s="3">
        <v>364</v>
      </c>
      <c r="I552" s="3" t="s">
        <v>1428</v>
      </c>
      <c r="J552" s="3" t="s">
        <v>1429</v>
      </c>
      <c r="K552" s="3" t="s">
        <v>1430</v>
      </c>
      <c r="L552" s="3" t="s">
        <v>84</v>
      </c>
      <c r="M552" s="3" t="s">
        <v>1431</v>
      </c>
      <c r="N552" s="3" t="s">
        <v>1432</v>
      </c>
      <c r="O552" s="3" t="s">
        <v>12010</v>
      </c>
      <c r="P552" s="3" t="s">
        <v>266</v>
      </c>
      <c r="Q552" s="3" t="s">
        <v>1433</v>
      </c>
      <c r="R552" s="3" t="s">
        <v>12011</v>
      </c>
      <c r="S552" s="3"/>
      <c r="T552" s="3" t="s">
        <v>12012</v>
      </c>
      <c r="U552" s="3" t="s">
        <v>9005</v>
      </c>
      <c r="V552" s="3" t="s">
        <v>10785</v>
      </c>
      <c r="W552" s="3">
        <v>7</v>
      </c>
      <c r="X552" s="3">
        <v>7</v>
      </c>
      <c r="Y552" s="3" t="s">
        <v>12013</v>
      </c>
      <c r="Z552" s="3">
        <v>80</v>
      </c>
      <c r="AA552" s="3">
        <v>1000</v>
      </c>
      <c r="AB552" s="6">
        <v>38107</v>
      </c>
      <c r="AC552" s="3" t="s">
        <v>62</v>
      </c>
      <c r="AD552" s="3">
        <v>6</v>
      </c>
      <c r="AE552" s="3">
        <v>9</v>
      </c>
      <c r="AF552" s="3">
        <v>2</v>
      </c>
      <c r="AG552" s="3" t="s">
        <v>11442</v>
      </c>
      <c r="AH552" s="3" t="s">
        <v>12014</v>
      </c>
      <c r="AI552" s="3">
        <v>79000</v>
      </c>
      <c r="AJ552" s="3" t="s">
        <v>120</v>
      </c>
      <c r="AK552" s="3" t="s">
        <v>120</v>
      </c>
      <c r="AL552" s="7" t="s">
        <v>12015</v>
      </c>
      <c r="AM552" s="7" t="s">
        <v>12016</v>
      </c>
      <c r="AN552" s="7" t="s">
        <v>12017</v>
      </c>
      <c r="AO552" s="7" t="s">
        <v>12018</v>
      </c>
      <c r="AP552" s="7" t="s">
        <v>1444</v>
      </c>
      <c r="AQ552" s="7" t="s">
        <v>12019</v>
      </c>
      <c r="AR552" s="7" t="s">
        <v>12020</v>
      </c>
      <c r="AS552" s="7" t="s">
        <v>12021</v>
      </c>
      <c r="AT552" s="7" t="s">
        <v>12022</v>
      </c>
      <c r="AU552" s="7" t="s">
        <v>12023</v>
      </c>
      <c r="AV552" s="3"/>
      <c r="AW552" s="3"/>
    </row>
    <row r="553" spans="1:49" ht="12.5" x14ac:dyDescent="0.25">
      <c r="A553" s="3" t="s">
        <v>46</v>
      </c>
      <c r="B553" s="21" t="str">
        <f>HYPERLINK("https://gerandofalcoes.my.salesforce.com/0014P00003SGWQ1", "0014P00003SGWQ1")</f>
        <v>0014P00003SGWQ1</v>
      </c>
      <c r="C553" s="21" t="str">
        <f>HYPERLINK("https://gerandofalcoes.my.salesforce.com/0014P00003SGWQ1QAP", "0014P00003SGWQ1QAP")</f>
        <v>0014P00003SGWQ1QAP</v>
      </c>
      <c r="D553" s="3" t="s">
        <v>1451</v>
      </c>
      <c r="E553" s="3" t="s">
        <v>1452</v>
      </c>
      <c r="F553" s="3" t="s">
        <v>1453</v>
      </c>
      <c r="G553" s="6">
        <v>44432</v>
      </c>
      <c r="H553" s="3">
        <v>364</v>
      </c>
      <c r="I553" s="3" t="s">
        <v>1454</v>
      </c>
      <c r="J553" s="3" t="s">
        <v>1455</v>
      </c>
      <c r="K553" s="3" t="s">
        <v>1456</v>
      </c>
      <c r="L553" s="3" t="s">
        <v>84</v>
      </c>
      <c r="M553" s="3" t="s">
        <v>12024</v>
      </c>
      <c r="N553" s="3" t="s">
        <v>1458</v>
      </c>
      <c r="O553" s="3" t="s">
        <v>12025</v>
      </c>
      <c r="P553" s="3" t="s">
        <v>1459</v>
      </c>
      <c r="Q553" s="3" t="s">
        <v>1460</v>
      </c>
      <c r="R553" s="3" t="s">
        <v>12026</v>
      </c>
      <c r="S553" s="3" t="s">
        <v>1461</v>
      </c>
      <c r="T553" s="3" t="s">
        <v>12027</v>
      </c>
      <c r="U553" s="3" t="s">
        <v>3817</v>
      </c>
      <c r="V553" s="3" t="s">
        <v>3800</v>
      </c>
      <c r="W553" s="3">
        <v>18</v>
      </c>
      <c r="X553" s="3">
        <v>18</v>
      </c>
      <c r="Y553" s="3" t="s">
        <v>1464</v>
      </c>
      <c r="Z553" s="3">
        <v>600</v>
      </c>
      <c r="AA553" s="3">
        <v>300</v>
      </c>
      <c r="AB553" s="6">
        <v>43989</v>
      </c>
      <c r="AC553" s="3" t="s">
        <v>62</v>
      </c>
      <c r="AD553" s="3">
        <v>6</v>
      </c>
      <c r="AE553" s="3">
        <v>12</v>
      </c>
      <c r="AF553" s="3">
        <v>2</v>
      </c>
      <c r="AG553" s="3" t="s">
        <v>12028</v>
      </c>
      <c r="AH553" s="3" t="s">
        <v>12029</v>
      </c>
      <c r="AI553" s="3">
        <v>270000</v>
      </c>
      <c r="AJ553" s="3" t="s">
        <v>120</v>
      </c>
      <c r="AK553" s="3" t="s">
        <v>62</v>
      </c>
      <c r="AL553" s="7" t="s">
        <v>12030</v>
      </c>
      <c r="AM553" s="7" t="s">
        <v>12031</v>
      </c>
      <c r="AN553" s="7" t="s">
        <v>12032</v>
      </c>
      <c r="AO553" s="7" t="s">
        <v>12033</v>
      </c>
      <c r="AP553" s="3"/>
      <c r="AQ553" s="3"/>
      <c r="AR553" s="7" t="s">
        <v>12034</v>
      </c>
      <c r="AS553" s="7" t="s">
        <v>12035</v>
      </c>
      <c r="AT553" s="7" t="s">
        <v>12036</v>
      </c>
      <c r="AU553" s="7" t="s">
        <v>12037</v>
      </c>
      <c r="AV553" s="3"/>
      <c r="AW553" s="3"/>
    </row>
    <row r="554" spans="1:49" ht="12.5" x14ac:dyDescent="0.25">
      <c r="A554" s="3" t="s">
        <v>46</v>
      </c>
      <c r="B554" s="21" t="str">
        <f>HYPERLINK("https://gerandofalcoes.my.salesforce.com/0014P00003SGWQ2", "0014P00003SGWQ2")</f>
        <v>0014P00003SGWQ2</v>
      </c>
      <c r="C554" s="21" t="str">
        <f>HYPERLINK("https://gerandofalcoes.my.salesforce.com/0014P00003SGWQ2QAP", "0014P00003SGWQ2QAP")</f>
        <v>0014P00003SGWQ2QAP</v>
      </c>
      <c r="D554" s="3" t="s">
        <v>1376</v>
      </c>
      <c r="E554" s="3" t="s">
        <v>1377</v>
      </c>
      <c r="F554" s="3" t="s">
        <v>620</v>
      </c>
      <c r="G554" s="6">
        <v>44432</v>
      </c>
      <c r="H554" s="3">
        <v>364</v>
      </c>
      <c r="I554" s="3" t="s">
        <v>1378</v>
      </c>
      <c r="J554" s="3" t="s">
        <v>1379</v>
      </c>
      <c r="K554" s="3" t="s">
        <v>1380</v>
      </c>
      <c r="L554" s="3" t="s">
        <v>1381</v>
      </c>
      <c r="M554" s="3" t="s">
        <v>12038</v>
      </c>
      <c r="N554" s="3" t="s">
        <v>1383</v>
      </c>
      <c r="O554" s="3" t="s">
        <v>12039</v>
      </c>
      <c r="P554" s="3" t="s">
        <v>12040</v>
      </c>
      <c r="Q554" s="3"/>
      <c r="R554" s="3" t="s">
        <v>12041</v>
      </c>
      <c r="S554" s="3"/>
      <c r="T554" s="3" t="s">
        <v>12042</v>
      </c>
      <c r="U554" s="3" t="s">
        <v>9005</v>
      </c>
      <c r="V554" s="3" t="s">
        <v>12043</v>
      </c>
      <c r="W554" s="3">
        <v>20</v>
      </c>
      <c r="X554" s="3">
        <v>20</v>
      </c>
      <c r="Y554" s="3"/>
      <c r="Z554" s="3">
        <v>45</v>
      </c>
      <c r="AA554" s="3">
        <v>500</v>
      </c>
      <c r="AB554" s="6">
        <v>41813</v>
      </c>
      <c r="AC554" s="3" t="s">
        <v>120</v>
      </c>
      <c r="AD554" s="3">
        <v>0</v>
      </c>
      <c r="AE554" s="3">
        <v>8</v>
      </c>
      <c r="AF554" s="3">
        <v>3</v>
      </c>
      <c r="AG554" s="3" t="s">
        <v>12044</v>
      </c>
      <c r="AH554" s="3" t="s">
        <v>12045</v>
      </c>
      <c r="AI554" s="3">
        <v>500</v>
      </c>
      <c r="AJ554" s="3" t="s">
        <v>120</v>
      </c>
      <c r="AK554" s="3" t="s">
        <v>120</v>
      </c>
      <c r="AL554" s="7" t="s">
        <v>12046</v>
      </c>
      <c r="AM554" s="7" t="s">
        <v>12047</v>
      </c>
      <c r="AN554" s="7" t="s">
        <v>12048</v>
      </c>
      <c r="AO554" s="3"/>
      <c r="AP554" s="3"/>
      <c r="AQ554" s="7" t="s">
        <v>12049</v>
      </c>
      <c r="AR554" s="7" t="s">
        <v>12050</v>
      </c>
      <c r="AS554" s="7" t="s">
        <v>12051</v>
      </c>
      <c r="AT554" s="7" t="s">
        <v>12052</v>
      </c>
      <c r="AU554" s="7" t="s">
        <v>12053</v>
      </c>
      <c r="AV554" s="7" t="s">
        <v>12054</v>
      </c>
      <c r="AW554" s="7" t="s">
        <v>12055</v>
      </c>
    </row>
    <row r="555" spans="1:49" ht="12.5" x14ac:dyDescent="0.25">
      <c r="A555" s="3" t="s">
        <v>46</v>
      </c>
      <c r="B555" s="21" t="str">
        <f>HYPERLINK("https://gerandofalcoes.my.salesforce.com/0014P00003SGWQ3", "0014P00003SGWQ3")</f>
        <v>0014P00003SGWQ3</v>
      </c>
      <c r="C555" s="21" t="str">
        <f>HYPERLINK("https://gerandofalcoes.my.salesforce.com/0014P00003SGWQ3QAP", "0014P00003SGWQ3QAP")</f>
        <v>0014P00003SGWQ3QAP</v>
      </c>
      <c r="D555" s="3" t="s">
        <v>1475</v>
      </c>
      <c r="E555" s="3" t="s">
        <v>1476</v>
      </c>
      <c r="F555" s="3" t="s">
        <v>1477</v>
      </c>
      <c r="G555" s="6">
        <v>44432</v>
      </c>
      <c r="H555" s="3">
        <v>364</v>
      </c>
      <c r="I555" s="3" t="s">
        <v>1478</v>
      </c>
      <c r="J555" s="3" t="s">
        <v>1479</v>
      </c>
      <c r="K555" s="3" t="s">
        <v>1480</v>
      </c>
      <c r="L555" s="3" t="s">
        <v>101</v>
      </c>
      <c r="M555" s="3" t="s">
        <v>12056</v>
      </c>
      <c r="N555" s="3" t="s">
        <v>1482</v>
      </c>
      <c r="O555" s="3" t="s">
        <v>12057</v>
      </c>
      <c r="P555" s="3" t="s">
        <v>128</v>
      </c>
      <c r="Q555" s="3"/>
      <c r="R555" s="3" t="s">
        <v>12058</v>
      </c>
      <c r="S555" s="3"/>
      <c r="T555" s="3" t="s">
        <v>12059</v>
      </c>
      <c r="U555" s="3" t="s">
        <v>12060</v>
      </c>
      <c r="V555" s="3" t="s">
        <v>12061</v>
      </c>
      <c r="W555" s="3">
        <v>3</v>
      </c>
      <c r="X555" s="3">
        <v>3</v>
      </c>
      <c r="Y555" s="3"/>
      <c r="Z555" s="3">
        <v>1400</v>
      </c>
      <c r="AA555" s="3">
        <v>3000</v>
      </c>
      <c r="AB555" s="6">
        <v>36568</v>
      </c>
      <c r="AC555" s="3" t="s">
        <v>62</v>
      </c>
      <c r="AD555" s="3">
        <v>34</v>
      </c>
      <c r="AE555" s="3">
        <v>5</v>
      </c>
      <c r="AF555" s="3">
        <v>4</v>
      </c>
      <c r="AG555" s="3" t="s">
        <v>12062</v>
      </c>
      <c r="AH555" s="3" t="s">
        <v>12063</v>
      </c>
      <c r="AI555" s="3">
        <v>140000</v>
      </c>
      <c r="AJ555" s="3" t="s">
        <v>120</v>
      </c>
      <c r="AK555" s="3" t="s">
        <v>120</v>
      </c>
      <c r="AL555" s="7" t="s">
        <v>12064</v>
      </c>
      <c r="AM555" s="7" t="s">
        <v>12065</v>
      </c>
      <c r="AN555" s="7" t="s">
        <v>12066</v>
      </c>
      <c r="AO555" s="7" t="s">
        <v>12067</v>
      </c>
      <c r="AP555" s="3"/>
      <c r="AQ555" s="3"/>
      <c r="AR555" s="7" t="s">
        <v>12068</v>
      </c>
      <c r="AS555" s="7" t="s">
        <v>12069</v>
      </c>
      <c r="AT555" s="7" t="s">
        <v>12070</v>
      </c>
      <c r="AU555" s="7" t="s">
        <v>12071</v>
      </c>
      <c r="AV555" s="7" t="s">
        <v>12072</v>
      </c>
      <c r="AW555" s="3"/>
    </row>
    <row r="556" spans="1:49" ht="12.5" x14ac:dyDescent="0.25">
      <c r="A556" s="3" t="s">
        <v>46</v>
      </c>
      <c r="B556" s="21" t="str">
        <f>HYPERLINK("https://gerandofalcoes.my.salesforce.com/0014P00003SGWQ4", "0014P00003SGWQ4")</f>
        <v>0014P00003SGWQ4</v>
      </c>
      <c r="C556" s="21" t="str">
        <f>HYPERLINK("https://gerandofalcoes.my.salesforce.com/0014P00003SGWQ4QAP", "0014P00003SGWQ4QAP")</f>
        <v>0014P00003SGWQ4QAP</v>
      </c>
      <c r="D556" s="3" t="s">
        <v>1508</v>
      </c>
      <c r="E556" s="3" t="s">
        <v>1509</v>
      </c>
      <c r="F556" s="3" t="s">
        <v>1510</v>
      </c>
      <c r="G556" s="6">
        <v>44432</v>
      </c>
      <c r="H556" s="3">
        <v>364</v>
      </c>
      <c r="I556" s="3" t="s">
        <v>1511</v>
      </c>
      <c r="J556" s="3" t="s">
        <v>1512</v>
      </c>
      <c r="K556" s="3" t="s">
        <v>1513</v>
      </c>
      <c r="L556" s="3" t="s">
        <v>84</v>
      </c>
      <c r="M556" s="3" t="s">
        <v>12073</v>
      </c>
      <c r="N556" s="3" t="s">
        <v>1515</v>
      </c>
      <c r="O556" s="3" t="s">
        <v>3256</v>
      </c>
      <c r="P556" s="3" t="s">
        <v>12074</v>
      </c>
      <c r="Q556" s="3"/>
      <c r="R556" s="3" t="s">
        <v>3260</v>
      </c>
      <c r="S556" s="3" t="s">
        <v>1517</v>
      </c>
      <c r="T556" s="3" t="s">
        <v>12075</v>
      </c>
      <c r="U556" s="3" t="s">
        <v>8895</v>
      </c>
      <c r="V556" s="3" t="s">
        <v>3832</v>
      </c>
      <c r="W556" s="3">
        <v>9</v>
      </c>
      <c r="X556" s="3">
        <v>9</v>
      </c>
      <c r="Y556" s="3" t="s">
        <v>1520</v>
      </c>
      <c r="Z556" s="3">
        <v>75</v>
      </c>
      <c r="AA556" s="3">
        <v>1500</v>
      </c>
      <c r="AB556" s="6">
        <v>42476</v>
      </c>
      <c r="AC556" s="3" t="s">
        <v>62</v>
      </c>
      <c r="AD556" s="3">
        <v>0</v>
      </c>
      <c r="AE556" s="3">
        <v>12</v>
      </c>
      <c r="AF556" s="3">
        <v>4</v>
      </c>
      <c r="AG556" s="3" t="s">
        <v>9782</v>
      </c>
      <c r="AH556" s="3" t="s">
        <v>12076</v>
      </c>
      <c r="AI556" s="3">
        <v>16786</v>
      </c>
      <c r="AJ556" s="3" t="s">
        <v>120</v>
      </c>
      <c r="AK556" s="3" t="s">
        <v>120</v>
      </c>
      <c r="AL556" s="3"/>
      <c r="AM556" s="7" t="s">
        <v>12077</v>
      </c>
      <c r="AN556" s="7" t="s">
        <v>12078</v>
      </c>
      <c r="AO556" s="7" t="s">
        <v>12079</v>
      </c>
      <c r="AP556" s="3"/>
      <c r="AQ556" s="7" t="s">
        <v>12080</v>
      </c>
      <c r="AR556" s="7" t="s">
        <v>12081</v>
      </c>
      <c r="AS556" s="7" t="s">
        <v>12082</v>
      </c>
      <c r="AT556" s="7" t="s">
        <v>12083</v>
      </c>
      <c r="AU556" s="3" t="s">
        <v>12084</v>
      </c>
      <c r="AV556" s="3"/>
      <c r="AW556" s="3"/>
    </row>
    <row r="557" spans="1:49" ht="12.5" x14ac:dyDescent="0.25">
      <c r="A557" s="3" t="s">
        <v>152</v>
      </c>
      <c r="B557" s="21" t="str">
        <f>HYPERLINK("https://gerandofalcoes.my.salesforce.com/0014P00003SGWQ7", "0014P00003SGWQ7")</f>
        <v>0014P00003SGWQ7</v>
      </c>
      <c r="C557" s="21" t="str">
        <f>HYPERLINK("https://gerandofalcoes.my.salesforce.com/0014P00003SGWQ7QAP", "0014P00003SGWQ7QAP")</f>
        <v>0014P00003SGWQ7QAP</v>
      </c>
      <c r="D557" s="3" t="s">
        <v>1555</v>
      </c>
      <c r="E557" s="3" t="s">
        <v>1555</v>
      </c>
      <c r="F557" s="3" t="s">
        <v>1556</v>
      </c>
      <c r="G557" s="6">
        <v>44432</v>
      </c>
      <c r="H557" s="3">
        <v>364</v>
      </c>
      <c r="I557" s="3" t="s">
        <v>1557</v>
      </c>
      <c r="J557" s="3" t="s">
        <v>1558</v>
      </c>
      <c r="K557" s="3" t="s">
        <v>12085</v>
      </c>
      <c r="L557" s="3" t="s">
        <v>379</v>
      </c>
      <c r="M557" s="3" t="s">
        <v>12086</v>
      </c>
      <c r="N557" s="3" t="s">
        <v>1561</v>
      </c>
      <c r="O557" s="3" t="s">
        <v>3275</v>
      </c>
      <c r="P557" s="3" t="s">
        <v>1562</v>
      </c>
      <c r="Q557" s="3" t="s">
        <v>1563</v>
      </c>
      <c r="R557" s="3" t="s">
        <v>12087</v>
      </c>
      <c r="S557" s="3"/>
      <c r="T557" s="3" t="s">
        <v>12088</v>
      </c>
      <c r="U557" s="3" t="s">
        <v>3799</v>
      </c>
      <c r="V557" s="3" t="s">
        <v>3800</v>
      </c>
      <c r="W557" s="3">
        <v>15</v>
      </c>
      <c r="X557" s="3">
        <v>15</v>
      </c>
      <c r="Y557" s="3" t="s">
        <v>1565</v>
      </c>
      <c r="Z557" s="3">
        <v>900</v>
      </c>
      <c r="AA557" s="3">
        <v>2250</v>
      </c>
      <c r="AB557" s="8">
        <v>43400</v>
      </c>
      <c r="AC557" s="3" t="s">
        <v>62</v>
      </c>
      <c r="AD557" s="3">
        <v>6</v>
      </c>
      <c r="AE557" s="3">
        <v>15</v>
      </c>
      <c r="AF557" s="3">
        <v>2</v>
      </c>
      <c r="AG557" s="3" t="s">
        <v>9587</v>
      </c>
      <c r="AH557" s="3">
        <v>0</v>
      </c>
      <c r="AI557" s="3">
        <v>9291.52</v>
      </c>
      <c r="AJ557" s="3" t="s">
        <v>120</v>
      </c>
      <c r="AK557" s="3" t="s">
        <v>120</v>
      </c>
      <c r="AL557" s="3"/>
      <c r="AM557" s="7" t="s">
        <v>12089</v>
      </c>
      <c r="AN557" s="3"/>
      <c r="AO557" s="3"/>
      <c r="AP557" s="3"/>
      <c r="AQ557" s="3"/>
      <c r="AR557" s="7" t="s">
        <v>12090</v>
      </c>
      <c r="AS557" s="7" t="s">
        <v>12091</v>
      </c>
      <c r="AT557" s="7" t="s">
        <v>12092</v>
      </c>
      <c r="AU557" s="7" t="s">
        <v>12093</v>
      </c>
      <c r="AV557" s="3"/>
      <c r="AW557" s="3"/>
    </row>
    <row r="558" spans="1:49" ht="12.5" x14ac:dyDescent="0.25">
      <c r="A558" s="3" t="s">
        <v>46</v>
      </c>
      <c r="B558" s="21" t="str">
        <f>HYPERLINK("https://gerandofalcoes.my.salesforce.com/0014P00003SGWQ8", "0014P00003SGWQ8")</f>
        <v>0014P00003SGWQ8</v>
      </c>
      <c r="C558" s="21" t="str">
        <f>HYPERLINK("https://gerandofalcoes.my.salesforce.com/0014P00003SGWQ8QAP", "0014P00003SGWQ8QAP")</f>
        <v>0014P00003SGWQ8QAP</v>
      </c>
      <c r="D558" s="3" t="s">
        <v>1497</v>
      </c>
      <c r="E558" s="3" t="s">
        <v>1497</v>
      </c>
      <c r="F558" s="3" t="s">
        <v>620</v>
      </c>
      <c r="G558" s="6">
        <v>44432</v>
      </c>
      <c r="H558" s="3">
        <v>364</v>
      </c>
      <c r="I558" s="3" t="s">
        <v>1498</v>
      </c>
      <c r="J558" s="3" t="s">
        <v>1499</v>
      </c>
      <c r="K558" s="3" t="s">
        <v>1500</v>
      </c>
      <c r="L558" s="3" t="s">
        <v>84</v>
      </c>
      <c r="M558" s="3" t="s">
        <v>12094</v>
      </c>
      <c r="N558" s="3" t="s">
        <v>1501</v>
      </c>
      <c r="O558" s="3" t="s">
        <v>12095</v>
      </c>
      <c r="P558" s="3" t="s">
        <v>12096</v>
      </c>
      <c r="Q558" s="3" t="s">
        <v>1501</v>
      </c>
      <c r="R558" s="3" t="s">
        <v>12097</v>
      </c>
      <c r="S558" s="3"/>
      <c r="T558" s="3" t="s">
        <v>12098</v>
      </c>
      <c r="U558" s="3" t="s">
        <v>3799</v>
      </c>
      <c r="V558" s="3" t="s">
        <v>11524</v>
      </c>
      <c r="W558" s="3">
        <v>10</v>
      </c>
      <c r="X558" s="3">
        <v>10</v>
      </c>
      <c r="Y558" s="3"/>
      <c r="Z558" s="3">
        <v>10</v>
      </c>
      <c r="AA558" s="3">
        <v>500</v>
      </c>
      <c r="AB558" s="6">
        <v>44415</v>
      </c>
      <c r="AC558" s="3" t="s">
        <v>120</v>
      </c>
      <c r="AD558" s="3">
        <v>0</v>
      </c>
      <c r="AE558" s="3">
        <v>3</v>
      </c>
      <c r="AF558" s="3">
        <v>2</v>
      </c>
      <c r="AG558" s="3" t="s">
        <v>9587</v>
      </c>
      <c r="AH558" s="3" t="s">
        <v>12099</v>
      </c>
      <c r="AI558" s="3">
        <v>138400</v>
      </c>
      <c r="AJ558" s="3" t="s">
        <v>62</v>
      </c>
      <c r="AK558" s="3" t="s">
        <v>120</v>
      </c>
      <c r="AL558" s="3"/>
      <c r="AM558" s="7" t="s">
        <v>12100</v>
      </c>
      <c r="AN558" s="3" t="s">
        <v>12101</v>
      </c>
      <c r="AO558" s="7" t="s">
        <v>12102</v>
      </c>
      <c r="AP558" s="3"/>
      <c r="AQ558" s="3"/>
      <c r="AR558" s="3"/>
      <c r="AS558" s="3"/>
      <c r="AT558" s="3"/>
      <c r="AU558" s="7" t="s">
        <v>12103</v>
      </c>
      <c r="AV558" s="3"/>
      <c r="AW558" s="3"/>
    </row>
    <row r="559" spans="1:49" ht="12.5" x14ac:dyDescent="0.25">
      <c r="A559" s="3" t="s">
        <v>46</v>
      </c>
      <c r="B559" s="21" t="str">
        <f>HYPERLINK("https://gerandofalcoes.my.salesforce.com/0014P00003SGWQ9", "0014P00003SGWQ9")</f>
        <v>0014P00003SGWQ9</v>
      </c>
      <c r="C559" s="21" t="str">
        <f>HYPERLINK("https://gerandofalcoes.my.salesforce.com/0014P00003SGWQ9QAP", "0014P00003SGWQ9QAP")</f>
        <v>0014P00003SGWQ9QAP</v>
      </c>
      <c r="D559" s="3" t="s">
        <v>1572</v>
      </c>
      <c r="E559" s="3" t="s">
        <v>1573</v>
      </c>
      <c r="F559" s="3" t="s">
        <v>1574</v>
      </c>
      <c r="G559" s="6">
        <v>44432</v>
      </c>
      <c r="H559" s="3">
        <v>364</v>
      </c>
      <c r="I559" s="3" t="s">
        <v>1575</v>
      </c>
      <c r="J559" s="3" t="s">
        <v>1576</v>
      </c>
      <c r="K559" s="3" t="s">
        <v>1577</v>
      </c>
      <c r="L559" s="3" t="s">
        <v>101</v>
      </c>
      <c r="M559" s="3" t="s">
        <v>12104</v>
      </c>
      <c r="N559" s="3" t="s">
        <v>1579</v>
      </c>
      <c r="O559" s="3" t="s">
        <v>3297</v>
      </c>
      <c r="P559" s="3" t="s">
        <v>7083</v>
      </c>
      <c r="Q559" s="3"/>
      <c r="R559" s="3" t="s">
        <v>12105</v>
      </c>
      <c r="S559" s="3"/>
      <c r="T559" s="3" t="s">
        <v>12106</v>
      </c>
      <c r="U559" s="3" t="s">
        <v>11228</v>
      </c>
      <c r="V559" s="3" t="s">
        <v>3800</v>
      </c>
      <c r="W559" s="3">
        <v>1</v>
      </c>
      <c r="X559" s="3">
        <v>1</v>
      </c>
      <c r="Y559" s="3" t="s">
        <v>1584</v>
      </c>
      <c r="Z559" s="3">
        <v>160</v>
      </c>
      <c r="AA559" s="3">
        <v>1100</v>
      </c>
      <c r="AB559" s="6">
        <v>42063</v>
      </c>
      <c r="AC559" s="3" t="s">
        <v>62</v>
      </c>
      <c r="AD559" s="3">
        <v>5</v>
      </c>
      <c r="AE559" s="3">
        <v>30</v>
      </c>
      <c r="AF559" s="3">
        <v>3</v>
      </c>
      <c r="AG559" s="3" t="s">
        <v>12107</v>
      </c>
      <c r="AH559" s="3" t="s">
        <v>12108</v>
      </c>
      <c r="AI559" s="3">
        <v>15035192</v>
      </c>
      <c r="AJ559" s="3" t="s">
        <v>120</v>
      </c>
      <c r="AK559" s="3" t="s">
        <v>120</v>
      </c>
      <c r="AL559" s="7" t="s">
        <v>12109</v>
      </c>
      <c r="AM559" s="7" t="s">
        <v>12110</v>
      </c>
      <c r="AN559" s="7" t="s">
        <v>12111</v>
      </c>
      <c r="AO559" s="7" t="s">
        <v>12112</v>
      </c>
      <c r="AP559" s="7" t="s">
        <v>1591</v>
      </c>
      <c r="AQ559" s="7" t="s">
        <v>12113</v>
      </c>
      <c r="AR559" s="7" t="s">
        <v>12114</v>
      </c>
      <c r="AS559" s="7" t="s">
        <v>12115</v>
      </c>
      <c r="AT559" s="7" t="s">
        <v>12116</v>
      </c>
      <c r="AU559" s="7" t="s">
        <v>12117</v>
      </c>
      <c r="AV559" s="7" t="s">
        <v>12118</v>
      </c>
      <c r="AW559" s="7" t="s">
        <v>12119</v>
      </c>
    </row>
    <row r="560" spans="1:49" ht="12.5" x14ac:dyDescent="0.25">
      <c r="A560" s="3" t="s">
        <v>46</v>
      </c>
      <c r="B560" s="21" t="str">
        <f>HYPERLINK("https://gerandofalcoes.my.salesforce.com/0014P00003SGWQA", "0014P00003SGWQA")</f>
        <v>0014P00003SGWQA</v>
      </c>
      <c r="C560" s="21" t="str">
        <f>HYPERLINK("https://gerandofalcoes.my.salesforce.com/0014P00003SGWQAQA5", "0014P00003SGWQAQA5")</f>
        <v>0014P00003SGWQAQA5</v>
      </c>
      <c r="D560" s="3" t="s">
        <v>1600</v>
      </c>
      <c r="E560" s="3" t="s">
        <v>1601</v>
      </c>
      <c r="F560" s="3" t="s">
        <v>1602</v>
      </c>
      <c r="G560" s="6">
        <v>44432</v>
      </c>
      <c r="H560" s="3">
        <v>364</v>
      </c>
      <c r="I560" s="3" t="s">
        <v>1603</v>
      </c>
      <c r="J560" s="3" t="s">
        <v>1604</v>
      </c>
      <c r="K560" s="3" t="s">
        <v>1605</v>
      </c>
      <c r="L560" s="3" t="s">
        <v>70</v>
      </c>
      <c r="M560" s="3" t="s">
        <v>12120</v>
      </c>
      <c r="N560" s="3" t="s">
        <v>1607</v>
      </c>
      <c r="O560" s="3" t="s">
        <v>12121</v>
      </c>
      <c r="P560" s="3" t="s">
        <v>12122</v>
      </c>
      <c r="Q560" s="3" t="s">
        <v>1609</v>
      </c>
      <c r="R560" s="3" t="s">
        <v>12123</v>
      </c>
      <c r="S560" s="3"/>
      <c r="T560" s="3" t="s">
        <v>12124</v>
      </c>
      <c r="U560" s="3" t="s">
        <v>10032</v>
      </c>
      <c r="V560" s="3" t="s">
        <v>3800</v>
      </c>
      <c r="W560" s="3">
        <v>7</v>
      </c>
      <c r="X560" s="3">
        <v>7</v>
      </c>
      <c r="Y560" s="3"/>
      <c r="Z560" s="3">
        <v>200</v>
      </c>
      <c r="AA560" s="3">
        <v>6000</v>
      </c>
      <c r="AB560" s="6">
        <v>39459</v>
      </c>
      <c r="AC560" s="3" t="s">
        <v>62</v>
      </c>
      <c r="AD560" s="3">
        <v>0</v>
      </c>
      <c r="AE560" s="3">
        <v>10</v>
      </c>
      <c r="AF560" s="3">
        <v>1</v>
      </c>
      <c r="AG560" s="3" t="s">
        <v>9587</v>
      </c>
      <c r="AH560" s="3" t="s">
        <v>12125</v>
      </c>
      <c r="AI560" s="3">
        <v>16000</v>
      </c>
      <c r="AJ560" s="3" t="s">
        <v>120</v>
      </c>
      <c r="AK560" s="3" t="s">
        <v>120</v>
      </c>
      <c r="AL560" s="7" t="s">
        <v>12126</v>
      </c>
      <c r="AM560" s="7" t="s">
        <v>12127</v>
      </c>
      <c r="AN560" s="7" t="s">
        <v>12128</v>
      </c>
      <c r="AO560" s="3"/>
      <c r="AP560" s="3"/>
      <c r="AQ560" s="7" t="s">
        <v>12129</v>
      </c>
      <c r="AR560" s="7" t="s">
        <v>12130</v>
      </c>
      <c r="AS560" s="7" t="s">
        <v>12131</v>
      </c>
      <c r="AT560" s="7" t="s">
        <v>12132</v>
      </c>
      <c r="AU560" s="7" t="s">
        <v>12133</v>
      </c>
      <c r="AV560" s="3"/>
      <c r="AW560" s="7" t="s">
        <v>12134</v>
      </c>
    </row>
    <row r="561" spans="1:49" ht="12.5" x14ac:dyDescent="0.25">
      <c r="A561" s="3" t="s">
        <v>46</v>
      </c>
      <c r="B561" s="21" t="str">
        <f>HYPERLINK("https://gerandofalcoes.my.salesforce.com/0014P00003SGWQB", "0014P00003SGWQB")</f>
        <v>0014P00003SGWQB</v>
      </c>
      <c r="C561" s="21" t="str">
        <f>HYPERLINK("https://gerandofalcoes.my.salesforce.com/0014P00003SGWQBQA5", "0014P00003SGWQBQA5")</f>
        <v>0014P00003SGWQBQA5</v>
      </c>
      <c r="D561" s="3" t="s">
        <v>1623</v>
      </c>
      <c r="E561" s="3" t="s">
        <v>12135</v>
      </c>
      <c r="F561" s="3" t="s">
        <v>1625</v>
      </c>
      <c r="G561" s="6">
        <v>44432</v>
      </c>
      <c r="H561" s="3">
        <v>364</v>
      </c>
      <c r="I561" s="3" t="s">
        <v>1626</v>
      </c>
      <c r="J561" s="3" t="s">
        <v>1627</v>
      </c>
      <c r="K561" s="3" t="s">
        <v>1628</v>
      </c>
      <c r="L561" s="3" t="s">
        <v>246</v>
      </c>
      <c r="M561" s="3" t="s">
        <v>12136</v>
      </c>
      <c r="N561" s="3" t="s">
        <v>1630</v>
      </c>
      <c r="O561" s="3" t="s">
        <v>3317</v>
      </c>
      <c r="P561" s="3" t="s">
        <v>3780</v>
      </c>
      <c r="Q561" s="3" t="s">
        <v>1632</v>
      </c>
      <c r="R561" s="3" t="s">
        <v>3322</v>
      </c>
      <c r="S561" s="3" t="s">
        <v>1633</v>
      </c>
      <c r="T561" s="3" t="s">
        <v>11700</v>
      </c>
      <c r="U561" s="3" t="s">
        <v>10032</v>
      </c>
      <c r="V561" s="3" t="s">
        <v>12137</v>
      </c>
      <c r="W561" s="3">
        <v>10</v>
      </c>
      <c r="X561" s="3">
        <v>10</v>
      </c>
      <c r="Y561" s="3"/>
      <c r="Z561" s="3">
        <v>140</v>
      </c>
      <c r="AA561" s="3">
        <v>773</v>
      </c>
      <c r="AB561" s="6">
        <v>42947</v>
      </c>
      <c r="AC561" s="3" t="s">
        <v>62</v>
      </c>
      <c r="AD561" s="3">
        <v>12</v>
      </c>
      <c r="AE561" s="3">
        <v>12</v>
      </c>
      <c r="AF561" s="3">
        <v>0</v>
      </c>
      <c r="AG561" s="3" t="s">
        <v>10998</v>
      </c>
      <c r="AH561" s="3">
        <v>0</v>
      </c>
      <c r="AI561" s="3">
        <v>0</v>
      </c>
      <c r="AJ561" s="3" t="s">
        <v>120</v>
      </c>
      <c r="AK561" s="3" t="s">
        <v>62</v>
      </c>
      <c r="AL561" s="7" t="s">
        <v>12138</v>
      </c>
      <c r="AM561" s="7" t="s">
        <v>12139</v>
      </c>
      <c r="AN561" s="7" t="s">
        <v>12140</v>
      </c>
      <c r="AO561" s="3"/>
      <c r="AP561" s="3"/>
      <c r="AQ561" s="3"/>
      <c r="AR561" s="7" t="s">
        <v>12141</v>
      </c>
      <c r="AS561" s="7" t="s">
        <v>12142</v>
      </c>
      <c r="AT561" s="7" t="s">
        <v>12143</v>
      </c>
      <c r="AU561" s="7" t="s">
        <v>12144</v>
      </c>
      <c r="AV561" s="7" t="s">
        <v>12145</v>
      </c>
      <c r="AW561" s="7" t="s">
        <v>12146</v>
      </c>
    </row>
    <row r="562" spans="1:49" ht="12.5" x14ac:dyDescent="0.25">
      <c r="A562" s="3" t="s">
        <v>46</v>
      </c>
      <c r="B562" s="21" t="str">
        <f>HYPERLINK("https://gerandofalcoes.my.salesforce.com/0014P00003SGWQC", "0014P00003SGWQC")</f>
        <v>0014P00003SGWQC</v>
      </c>
      <c r="C562" s="21" t="str">
        <f>HYPERLINK("https://gerandofalcoes.my.salesforce.com/0014P00003SGWQCQA5", "0014P00003SGWQCQA5")</f>
        <v>0014P00003SGWQCQA5</v>
      </c>
      <c r="D562" s="3" t="s">
        <v>1647</v>
      </c>
      <c r="E562" s="3" t="s">
        <v>12147</v>
      </c>
      <c r="F562" s="3" t="s">
        <v>1649</v>
      </c>
      <c r="G562" s="6">
        <v>44432</v>
      </c>
      <c r="H562" s="3">
        <v>364</v>
      </c>
      <c r="I562" s="3" t="s">
        <v>1650</v>
      </c>
      <c r="J562" s="3" t="s">
        <v>1651</v>
      </c>
      <c r="K562" s="3">
        <v>31995579665</v>
      </c>
      <c r="L562" s="3" t="s">
        <v>84</v>
      </c>
      <c r="M562" s="3" t="s">
        <v>12148</v>
      </c>
      <c r="N562" s="3" t="s">
        <v>1654</v>
      </c>
      <c r="O562" s="3" t="s">
        <v>12149</v>
      </c>
      <c r="P562" s="3" t="s">
        <v>177</v>
      </c>
      <c r="Q562" s="3"/>
      <c r="R562" s="3" t="s">
        <v>12150</v>
      </c>
      <c r="S562" s="3"/>
      <c r="T562" s="3" t="s">
        <v>3816</v>
      </c>
      <c r="U562" s="3" t="s">
        <v>8895</v>
      </c>
      <c r="V562" s="3" t="s">
        <v>3800</v>
      </c>
      <c r="W562" s="3">
        <v>7</v>
      </c>
      <c r="X562" s="3" t="s">
        <v>1656</v>
      </c>
      <c r="Y562" s="3"/>
      <c r="Z562" s="3">
        <v>60</v>
      </c>
      <c r="AA562" s="3">
        <v>300</v>
      </c>
      <c r="AB562" s="6">
        <v>39097</v>
      </c>
      <c r="AC562" s="3" t="s">
        <v>62</v>
      </c>
      <c r="AD562" s="3">
        <v>5</v>
      </c>
      <c r="AE562" s="3">
        <v>18</v>
      </c>
      <c r="AF562" s="3">
        <v>3</v>
      </c>
      <c r="AG562" s="3" t="s">
        <v>10450</v>
      </c>
      <c r="AH562" s="3" t="s">
        <v>1658</v>
      </c>
      <c r="AI562" s="3">
        <v>181000</v>
      </c>
      <c r="AJ562" s="3" t="s">
        <v>120</v>
      </c>
      <c r="AK562" s="3" t="s">
        <v>120</v>
      </c>
      <c r="AL562" s="7" t="s">
        <v>12151</v>
      </c>
      <c r="AM562" s="7" t="s">
        <v>12152</v>
      </c>
      <c r="AN562" s="7" t="s">
        <v>12153</v>
      </c>
      <c r="AO562" s="7" t="s">
        <v>12154</v>
      </c>
      <c r="AP562" s="7" t="s">
        <v>1663</v>
      </c>
      <c r="AQ562" s="3"/>
      <c r="AR562" s="7" t="s">
        <v>12155</v>
      </c>
      <c r="AS562" s="7" t="s">
        <v>12156</v>
      </c>
      <c r="AT562" s="7" t="s">
        <v>12157</v>
      </c>
      <c r="AU562" s="7" t="s">
        <v>12158</v>
      </c>
      <c r="AV562" s="7" t="s">
        <v>12159</v>
      </c>
      <c r="AW562" s="7" t="s">
        <v>12160</v>
      </c>
    </row>
    <row r="563" spans="1:49" ht="12.5" x14ac:dyDescent="0.25">
      <c r="A563" s="3" t="s">
        <v>152</v>
      </c>
      <c r="B563" s="21" t="str">
        <f>HYPERLINK("https://gerandofalcoes.my.salesforce.com/0014P00003SGWQD", "0014P00003SGWQD")</f>
        <v>0014P00003SGWQD</v>
      </c>
      <c r="C563" s="21" t="str">
        <f>HYPERLINK("https://gerandofalcoes.my.salesforce.com/0014P00003SGWQDQA5", "0014P00003SGWQDQA5")</f>
        <v>0014P00003SGWQDQA5</v>
      </c>
      <c r="D563" s="3" t="s">
        <v>1670</v>
      </c>
      <c r="E563" s="3" t="s">
        <v>1670</v>
      </c>
      <c r="F563" s="3" t="s">
        <v>1672</v>
      </c>
      <c r="G563" s="6">
        <v>44432</v>
      </c>
      <c r="H563" s="3">
        <v>364</v>
      </c>
      <c r="I563" s="3" t="s">
        <v>1673</v>
      </c>
      <c r="J563" s="3" t="s">
        <v>1674</v>
      </c>
      <c r="K563" s="3" t="s">
        <v>3583</v>
      </c>
      <c r="L563" s="3" t="s">
        <v>1676</v>
      </c>
      <c r="M563" s="3" t="s">
        <v>1677</v>
      </c>
      <c r="N563" s="3" t="s">
        <v>1678</v>
      </c>
      <c r="O563" s="3" t="s">
        <v>12161</v>
      </c>
      <c r="P563" s="3" t="s">
        <v>1679</v>
      </c>
      <c r="Q563" s="3" t="s">
        <v>5157</v>
      </c>
      <c r="R563" s="3" t="s">
        <v>3588</v>
      </c>
      <c r="S563" s="3" t="s">
        <v>1680</v>
      </c>
      <c r="T563" s="3" t="s">
        <v>12162</v>
      </c>
      <c r="U563" s="3" t="s">
        <v>3799</v>
      </c>
      <c r="V563" s="3" t="s">
        <v>12163</v>
      </c>
      <c r="W563" s="3">
        <v>16</v>
      </c>
      <c r="X563" s="3">
        <v>1</v>
      </c>
      <c r="Y563" s="3" t="s">
        <v>12164</v>
      </c>
      <c r="Z563" s="3">
        <v>500</v>
      </c>
      <c r="AA563" s="3">
        <v>10000</v>
      </c>
      <c r="AB563" s="8">
        <v>40130</v>
      </c>
      <c r="AC563" s="3" t="s">
        <v>62</v>
      </c>
      <c r="AD563" s="3">
        <v>10</v>
      </c>
      <c r="AE563" s="3">
        <v>4</v>
      </c>
      <c r="AF563" s="3">
        <v>3</v>
      </c>
      <c r="AG563" s="3" t="s">
        <v>12165</v>
      </c>
      <c r="AH563" s="3" t="s">
        <v>12166</v>
      </c>
      <c r="AI563" s="3">
        <v>707090.8</v>
      </c>
      <c r="AJ563" s="3" t="s">
        <v>120</v>
      </c>
      <c r="AK563" s="3" t="s">
        <v>120</v>
      </c>
      <c r="AL563" s="7" t="s">
        <v>12167</v>
      </c>
      <c r="AM563" s="7" t="s">
        <v>12168</v>
      </c>
      <c r="AN563" s="7" t="s">
        <v>12169</v>
      </c>
      <c r="AO563" s="7" t="s">
        <v>12170</v>
      </c>
      <c r="AP563" s="7" t="s">
        <v>1689</v>
      </c>
      <c r="AQ563" s="7" t="s">
        <v>12171</v>
      </c>
      <c r="AR563" s="7" t="s">
        <v>12172</v>
      </c>
      <c r="AS563" s="7" t="s">
        <v>12173</v>
      </c>
      <c r="AT563" s="7" t="s">
        <v>12174</v>
      </c>
      <c r="AU563" s="7" t="s">
        <v>12175</v>
      </c>
      <c r="AV563" s="7" t="s">
        <v>12176</v>
      </c>
      <c r="AW563" s="7" t="s">
        <v>12177</v>
      </c>
    </row>
    <row r="564" spans="1:49" ht="12.5" x14ac:dyDescent="0.25">
      <c r="A564" s="3" t="s">
        <v>46</v>
      </c>
      <c r="B564" s="21" t="str">
        <f>HYPERLINK("https://gerandofalcoes.my.salesforce.com/0014P00003SGWQF", "0014P00003SGWQF")</f>
        <v>0014P00003SGWQF</v>
      </c>
      <c r="C564" s="21" t="str">
        <f>HYPERLINK("https://gerandofalcoes.my.salesforce.com/0014P00003SGWQFQA5", "0014P00003SGWQFQA5")</f>
        <v>0014P00003SGWQFQA5</v>
      </c>
      <c r="D564" s="3" t="s">
        <v>12178</v>
      </c>
      <c r="E564" s="3" t="s">
        <v>12179</v>
      </c>
      <c r="F564" s="3" t="s">
        <v>12180</v>
      </c>
      <c r="G564" s="6">
        <v>44432</v>
      </c>
      <c r="H564" s="3">
        <v>364</v>
      </c>
      <c r="I564" s="3" t="s">
        <v>1700</v>
      </c>
      <c r="J564" s="3" t="s">
        <v>1701</v>
      </c>
      <c r="K564" s="3" t="s">
        <v>1702</v>
      </c>
      <c r="L564" s="3" t="s">
        <v>84</v>
      </c>
      <c r="M564" s="3" t="s">
        <v>12181</v>
      </c>
      <c r="N564" s="3" t="s">
        <v>1704</v>
      </c>
      <c r="O564" s="3" t="s">
        <v>3337</v>
      </c>
      <c r="P564" s="3" t="s">
        <v>177</v>
      </c>
      <c r="Q564" s="3" t="s">
        <v>1705</v>
      </c>
      <c r="R564" s="3" t="s">
        <v>12182</v>
      </c>
      <c r="S564" s="3" t="s">
        <v>1706</v>
      </c>
      <c r="T564" s="3" t="s">
        <v>12183</v>
      </c>
      <c r="U564" s="3" t="s">
        <v>8852</v>
      </c>
      <c r="V564" s="3" t="s">
        <v>12184</v>
      </c>
      <c r="W564" s="3">
        <v>1</v>
      </c>
      <c r="X564" s="3">
        <v>1</v>
      </c>
      <c r="Y564" s="3" t="s">
        <v>1709</v>
      </c>
      <c r="Z564" s="3">
        <v>215</v>
      </c>
      <c r="AA564" s="3">
        <v>900</v>
      </c>
      <c r="AB564" s="6">
        <v>42459</v>
      </c>
      <c r="AC564" s="3" t="s">
        <v>120</v>
      </c>
      <c r="AD564" s="3">
        <v>2</v>
      </c>
      <c r="AE564" s="3">
        <v>5</v>
      </c>
      <c r="AF564" s="3">
        <v>2</v>
      </c>
      <c r="AG564" s="3" t="s">
        <v>9074</v>
      </c>
      <c r="AH564" s="5">
        <v>0</v>
      </c>
      <c r="AI564" s="3">
        <v>0</v>
      </c>
      <c r="AJ564" s="3" t="s">
        <v>62</v>
      </c>
      <c r="AK564" s="3" t="s">
        <v>120</v>
      </c>
      <c r="AL564" s="7" t="s">
        <v>12185</v>
      </c>
      <c r="AM564" s="7" t="s">
        <v>12186</v>
      </c>
      <c r="AN564" s="7" t="s">
        <v>12187</v>
      </c>
      <c r="AO564" s="3"/>
      <c r="AP564" s="3"/>
      <c r="AQ564" s="7" t="s">
        <v>12188</v>
      </c>
      <c r="AR564" s="3"/>
      <c r="AS564" s="7" t="s">
        <v>12189</v>
      </c>
      <c r="AT564" s="3"/>
      <c r="AU564" s="3"/>
      <c r="AV564" s="3"/>
      <c r="AW564" s="3"/>
    </row>
    <row r="565" spans="1:49" ht="12.5" x14ac:dyDescent="0.25">
      <c r="A565" s="3" t="s">
        <v>46</v>
      </c>
      <c r="B565" s="21" t="str">
        <f>HYPERLINK("https://gerandofalcoes.my.salesforce.com/0014P00003SGWQG", "0014P00003SGWQG")</f>
        <v>0014P00003SGWQG</v>
      </c>
      <c r="C565" s="21" t="str">
        <f>HYPERLINK("https://gerandofalcoes.my.salesforce.com/0014P00003SGWQGQA5", "0014P00003SGWQGQA5")</f>
        <v>0014P00003SGWQGQA5</v>
      </c>
      <c r="D565" s="3" t="s">
        <v>1716</v>
      </c>
      <c r="E565" s="3" t="s">
        <v>1717</v>
      </c>
      <c r="F565" s="3" t="s">
        <v>1718</v>
      </c>
      <c r="G565" s="6">
        <v>44432</v>
      </c>
      <c r="H565" s="3">
        <v>364</v>
      </c>
      <c r="I565" s="3" t="s">
        <v>1719</v>
      </c>
      <c r="J565" s="3" t="s">
        <v>1720</v>
      </c>
      <c r="K565" s="3" t="s">
        <v>1721</v>
      </c>
      <c r="L565" s="3" t="s">
        <v>101</v>
      </c>
      <c r="M565" s="3" t="s">
        <v>1722</v>
      </c>
      <c r="N565" s="3" t="s">
        <v>1723</v>
      </c>
      <c r="O565" s="3" t="s">
        <v>12190</v>
      </c>
      <c r="P565" s="3" t="s">
        <v>128</v>
      </c>
      <c r="Q565" s="3"/>
      <c r="R565" s="3" t="s">
        <v>12191</v>
      </c>
      <c r="S565" s="3"/>
      <c r="T565" s="3" t="s">
        <v>12192</v>
      </c>
      <c r="U565" s="3" t="s">
        <v>11180</v>
      </c>
      <c r="V565" s="3" t="s">
        <v>12193</v>
      </c>
      <c r="W565" s="3">
        <v>4</v>
      </c>
      <c r="X565" s="3">
        <v>4</v>
      </c>
      <c r="Y565" s="3"/>
      <c r="Z565" s="3">
        <v>420</v>
      </c>
      <c r="AA565" s="3">
        <v>2225</v>
      </c>
      <c r="AB565" s="6">
        <v>42807</v>
      </c>
      <c r="AC565" s="3" t="s">
        <v>62</v>
      </c>
      <c r="AD565" s="3">
        <v>7</v>
      </c>
      <c r="AE565" s="3">
        <v>10</v>
      </c>
      <c r="AF565" s="3">
        <v>2</v>
      </c>
      <c r="AG565" s="3" t="s">
        <v>9782</v>
      </c>
      <c r="AH565" s="3" t="s">
        <v>1728</v>
      </c>
      <c r="AI565" s="3">
        <v>500</v>
      </c>
      <c r="AJ565" s="3" t="s">
        <v>120</v>
      </c>
      <c r="AK565" s="3" t="s">
        <v>120</v>
      </c>
      <c r="AL565" s="3"/>
      <c r="AM565" s="7" t="s">
        <v>12194</v>
      </c>
      <c r="AN565" s="7" t="s">
        <v>12195</v>
      </c>
      <c r="AO565" s="3"/>
      <c r="AP565" s="3"/>
      <c r="AQ565" s="7" t="s">
        <v>12196</v>
      </c>
      <c r="AR565" s="7" t="s">
        <v>12197</v>
      </c>
      <c r="AS565" s="7" t="s">
        <v>12198</v>
      </c>
      <c r="AT565" s="7" t="s">
        <v>12199</v>
      </c>
      <c r="AU565" s="7" t="s">
        <v>12200</v>
      </c>
      <c r="AV565" s="7" t="s">
        <v>12201</v>
      </c>
      <c r="AW565" s="3"/>
    </row>
    <row r="566" spans="1:49" ht="12.5" x14ac:dyDescent="0.25">
      <c r="A566" s="3" t="s">
        <v>46</v>
      </c>
      <c r="B566" s="21" t="str">
        <f>HYPERLINK("https://gerandofalcoes.my.salesforce.com/0014P00003SGWQH", "0014P00003SGWQH")</f>
        <v>0014P00003SGWQH</v>
      </c>
      <c r="C566" s="21" t="str">
        <f>HYPERLINK("https://gerandofalcoes.my.salesforce.com/0014P00003SGWQHQA5", "0014P00003SGWQHQA5")</f>
        <v>0014P00003SGWQHQA5</v>
      </c>
      <c r="D566" s="3" t="s">
        <v>1738</v>
      </c>
      <c r="E566" s="3" t="s">
        <v>1739</v>
      </c>
      <c r="F566" s="3" t="s">
        <v>12202</v>
      </c>
      <c r="G566" s="6">
        <v>44432</v>
      </c>
      <c r="H566" s="3">
        <v>364</v>
      </c>
      <c r="I566" s="3" t="s">
        <v>1740</v>
      </c>
      <c r="J566" s="3" t="s">
        <v>1741</v>
      </c>
      <c r="K566" s="3" t="s">
        <v>1742</v>
      </c>
      <c r="L566" s="3" t="s">
        <v>84</v>
      </c>
      <c r="M566" s="3" t="s">
        <v>1743</v>
      </c>
      <c r="N566" s="3" t="s">
        <v>1744</v>
      </c>
      <c r="O566" s="3" t="s">
        <v>12203</v>
      </c>
      <c r="P566" s="3" t="s">
        <v>177</v>
      </c>
      <c r="Q566" s="3"/>
      <c r="R566" s="3" t="s">
        <v>12204</v>
      </c>
      <c r="S566" s="3"/>
      <c r="T566" s="3" t="s">
        <v>12205</v>
      </c>
      <c r="U566" s="3" t="s">
        <v>9269</v>
      </c>
      <c r="V566" s="3" t="s">
        <v>9719</v>
      </c>
      <c r="W566" s="3">
        <v>1</v>
      </c>
      <c r="X566" s="3">
        <v>1</v>
      </c>
      <c r="Y566" s="3"/>
      <c r="Z566" s="3">
        <v>144</v>
      </c>
      <c r="AA566" s="3">
        <v>360</v>
      </c>
      <c r="AB566" s="8">
        <v>43416</v>
      </c>
      <c r="AC566" s="3" t="s">
        <v>120</v>
      </c>
      <c r="AD566" s="3">
        <v>0</v>
      </c>
      <c r="AE566" s="3">
        <v>15</v>
      </c>
      <c r="AF566" s="3">
        <v>0</v>
      </c>
      <c r="AG566" s="3" t="s">
        <v>8882</v>
      </c>
      <c r="AH566" s="3" t="s">
        <v>1748</v>
      </c>
      <c r="AI566" s="3">
        <v>800000</v>
      </c>
      <c r="AJ566" s="3" t="s">
        <v>120</v>
      </c>
      <c r="AK566" s="3" t="s">
        <v>120</v>
      </c>
      <c r="AL566" s="3"/>
      <c r="AM566" s="7" t="s">
        <v>12206</v>
      </c>
      <c r="AN566" s="7" t="s">
        <v>12207</v>
      </c>
      <c r="AO566" s="3"/>
      <c r="AP566" s="3"/>
      <c r="AQ566" s="7" t="s">
        <v>12208</v>
      </c>
      <c r="AR566" s="3"/>
      <c r="AS566" s="3"/>
      <c r="AT566" s="7" t="s">
        <v>12209</v>
      </c>
      <c r="AU566" s="7" t="s">
        <v>12210</v>
      </c>
      <c r="AV566" s="3"/>
      <c r="AW566" s="3"/>
    </row>
    <row r="567" spans="1:49" ht="12.5" x14ac:dyDescent="0.25">
      <c r="A567" s="3" t="s">
        <v>46</v>
      </c>
      <c r="B567" s="21" t="str">
        <f>HYPERLINK("https://gerandofalcoes.my.salesforce.com/0014P00003SGWQJ", "0014P00003SGWQJ")</f>
        <v>0014P00003SGWQJ</v>
      </c>
      <c r="C567" s="21" t="str">
        <f>HYPERLINK("https://gerandofalcoes.my.salesforce.com/0014P00003SGWQJQA5", "0014P00003SGWQJQA5")</f>
        <v>0014P00003SGWQJQA5</v>
      </c>
      <c r="D567" s="3" t="s">
        <v>1755</v>
      </c>
      <c r="E567" s="3" t="s">
        <v>1756</v>
      </c>
      <c r="F567" s="3" t="s">
        <v>1757</v>
      </c>
      <c r="G567" s="6">
        <v>44432</v>
      </c>
      <c r="H567" s="3">
        <v>364</v>
      </c>
      <c r="I567" s="3" t="s">
        <v>1758</v>
      </c>
      <c r="J567" s="3" t="s">
        <v>1759</v>
      </c>
      <c r="K567" s="3" t="s">
        <v>1760</v>
      </c>
      <c r="L567" s="3" t="s">
        <v>101</v>
      </c>
      <c r="M567" s="3" t="s">
        <v>12211</v>
      </c>
      <c r="N567" s="3" t="s">
        <v>1762</v>
      </c>
      <c r="O567" s="3" t="s">
        <v>12212</v>
      </c>
      <c r="P567" s="3" t="s">
        <v>128</v>
      </c>
      <c r="Q567" s="3"/>
      <c r="R567" s="3" t="s">
        <v>3366</v>
      </c>
      <c r="S567" s="3" t="s">
        <v>1763</v>
      </c>
      <c r="T567" s="3" t="s">
        <v>12213</v>
      </c>
      <c r="U567" s="3" t="s">
        <v>8880</v>
      </c>
      <c r="V567" s="3" t="s">
        <v>9468</v>
      </c>
      <c r="W567" s="3">
        <v>6</v>
      </c>
      <c r="X567" s="3">
        <v>6</v>
      </c>
      <c r="Y567" s="3"/>
      <c r="Z567" s="3">
        <v>49</v>
      </c>
      <c r="AA567" s="3">
        <v>3321</v>
      </c>
      <c r="AB567" s="8">
        <v>43081</v>
      </c>
      <c r="AC567" s="3" t="s">
        <v>62</v>
      </c>
      <c r="AD567" s="3">
        <v>2</v>
      </c>
      <c r="AE567" s="3">
        <v>12</v>
      </c>
      <c r="AF567" s="3">
        <v>2</v>
      </c>
      <c r="AG567" s="3" t="s">
        <v>3819</v>
      </c>
      <c r="AH567" s="3">
        <v>0</v>
      </c>
      <c r="AI567" s="3">
        <v>11000</v>
      </c>
      <c r="AJ567" s="3" t="s">
        <v>120</v>
      </c>
      <c r="AK567" s="3" t="s">
        <v>120</v>
      </c>
      <c r="AL567" s="7" t="s">
        <v>12214</v>
      </c>
      <c r="AM567" s="7" t="s">
        <v>12215</v>
      </c>
      <c r="AN567" s="7" t="s">
        <v>12216</v>
      </c>
      <c r="AO567" s="7" t="s">
        <v>12217</v>
      </c>
      <c r="AP567" s="3"/>
      <c r="AQ567" s="3"/>
      <c r="AR567" s="7" t="s">
        <v>12218</v>
      </c>
      <c r="AS567" s="7" t="s">
        <v>12219</v>
      </c>
      <c r="AT567" s="7" t="s">
        <v>12220</v>
      </c>
      <c r="AU567" s="7" t="s">
        <v>12221</v>
      </c>
      <c r="AV567" s="3"/>
      <c r="AW567" s="3"/>
    </row>
    <row r="568" spans="1:49" ht="12.5" x14ac:dyDescent="0.25">
      <c r="A568" s="3" t="s">
        <v>46</v>
      </c>
      <c r="B568" s="21" t="str">
        <f>HYPERLINK("https://gerandofalcoes.my.salesforce.com/0014P00003YSm8C", "0014P00003YSm8C")</f>
        <v>0014P00003YSm8C</v>
      </c>
      <c r="C568" s="21" t="str">
        <f>HYPERLINK("https://gerandofalcoes.my.salesforce.com/0014P00003YSm8CQAT", "0014P00003YSm8CQAT")</f>
        <v>0014P00003YSm8CQAT</v>
      </c>
      <c r="D568" s="3" t="s">
        <v>1777</v>
      </c>
      <c r="E568" s="3" t="s">
        <v>1778</v>
      </c>
      <c r="F568" s="3" t="s">
        <v>1779</v>
      </c>
      <c r="G568" s="6">
        <v>44432</v>
      </c>
      <c r="H568" s="3">
        <v>364</v>
      </c>
      <c r="I568" s="3" t="s">
        <v>1780</v>
      </c>
      <c r="J568" s="3" t="s">
        <v>1781</v>
      </c>
      <c r="K568" s="3" t="s">
        <v>1782</v>
      </c>
      <c r="L568" s="3" t="s">
        <v>379</v>
      </c>
      <c r="M568" s="3" t="s">
        <v>12222</v>
      </c>
      <c r="N568" s="3" t="s">
        <v>1784</v>
      </c>
      <c r="O568" s="3" t="s">
        <v>3634</v>
      </c>
      <c r="P568" s="3" t="s">
        <v>381</v>
      </c>
      <c r="Q568" s="3"/>
      <c r="R568" s="3" t="s">
        <v>12223</v>
      </c>
      <c r="S568" s="3" t="s">
        <v>1785</v>
      </c>
      <c r="T568" s="3" t="s">
        <v>9454</v>
      </c>
      <c r="U568" s="3" t="s">
        <v>3799</v>
      </c>
      <c r="V568" s="3" t="s">
        <v>12224</v>
      </c>
      <c r="W568" s="3">
        <v>10</v>
      </c>
      <c r="X568" s="3">
        <v>10</v>
      </c>
      <c r="Y568" s="3"/>
      <c r="Z568" s="3">
        <v>67</v>
      </c>
      <c r="AA568" s="3">
        <v>184</v>
      </c>
      <c r="AB568" s="6">
        <v>42371</v>
      </c>
      <c r="AC568" s="3" t="s">
        <v>62</v>
      </c>
      <c r="AD568" s="3">
        <v>8</v>
      </c>
      <c r="AE568" s="3">
        <v>8</v>
      </c>
      <c r="AF568" s="3">
        <v>2</v>
      </c>
      <c r="AG568" s="3" t="s">
        <v>10998</v>
      </c>
      <c r="AH568" s="3">
        <v>89</v>
      </c>
      <c r="AI568" s="3">
        <v>15000</v>
      </c>
      <c r="AJ568" s="3" t="s">
        <v>62</v>
      </c>
      <c r="AK568" s="3" t="s">
        <v>62</v>
      </c>
      <c r="AL568" s="7" t="s">
        <v>12225</v>
      </c>
      <c r="AM568" s="7" t="s">
        <v>12226</v>
      </c>
      <c r="AN568" s="7" t="s">
        <v>12227</v>
      </c>
      <c r="AO568" s="7" t="s">
        <v>12228</v>
      </c>
      <c r="AP568" s="3"/>
      <c r="AQ568" s="7" t="s">
        <v>12229</v>
      </c>
      <c r="AR568" s="7" t="s">
        <v>12230</v>
      </c>
      <c r="AS568" s="7" t="s">
        <v>12231</v>
      </c>
      <c r="AT568" s="7" t="s">
        <v>12232</v>
      </c>
      <c r="AU568" s="7" t="s">
        <v>12233</v>
      </c>
      <c r="AV568" s="7" t="s">
        <v>12234</v>
      </c>
      <c r="AW568" s="7" t="s">
        <v>12235</v>
      </c>
    </row>
    <row r="569" spans="1:49" ht="12.5" x14ac:dyDescent="0.25">
      <c r="A569" s="3" t="s">
        <v>46</v>
      </c>
      <c r="B569" s="21" t="str">
        <f>HYPERLINK("https://gerandofalcoes.my.salesforce.com/0014P00003SGWPb", "0014P00003SGWPb")</f>
        <v>0014P00003SGWPb</v>
      </c>
      <c r="C569" s="21" t="str">
        <f>HYPERLINK("https://gerandofalcoes.my.salesforce.com/0014P00003SGWPbQAP", "0014P00003SGWPbQAP")</f>
        <v>0014P00003SGWPbQAP</v>
      </c>
      <c r="D569" s="3" t="s">
        <v>1800</v>
      </c>
      <c r="E569" s="3" t="s">
        <v>1801</v>
      </c>
      <c r="F569" s="3" t="s">
        <v>1802</v>
      </c>
      <c r="G569" s="6">
        <v>44432</v>
      </c>
      <c r="H569" s="3">
        <v>364</v>
      </c>
      <c r="I569" s="3" t="s">
        <v>1803</v>
      </c>
      <c r="J569" s="3" t="s">
        <v>1804</v>
      </c>
      <c r="K569" s="3" t="s">
        <v>1805</v>
      </c>
      <c r="L569" s="3" t="s">
        <v>280</v>
      </c>
      <c r="M569" s="3" t="s">
        <v>1806</v>
      </c>
      <c r="N569" s="3" t="s">
        <v>1807</v>
      </c>
      <c r="O569" s="3" t="s">
        <v>3373</v>
      </c>
      <c r="P569" s="3" t="s">
        <v>1808</v>
      </c>
      <c r="Q569" s="3"/>
      <c r="R569" s="3" t="s">
        <v>12236</v>
      </c>
      <c r="S569" s="3"/>
      <c r="T569" s="3" t="s">
        <v>2933</v>
      </c>
      <c r="U569" s="3" t="s">
        <v>9073</v>
      </c>
      <c r="V569" s="3" t="s">
        <v>3890</v>
      </c>
      <c r="W569" s="3">
        <v>8</v>
      </c>
      <c r="X569" s="3">
        <v>8</v>
      </c>
      <c r="Y569" s="3" t="s">
        <v>1812</v>
      </c>
      <c r="Z569" s="3">
        <v>76</v>
      </c>
      <c r="AA569" s="3">
        <v>2005</v>
      </c>
      <c r="AB569" s="6">
        <v>33701</v>
      </c>
      <c r="AC569" s="3" t="s">
        <v>62</v>
      </c>
      <c r="AD569" s="3">
        <v>21</v>
      </c>
      <c r="AE569" s="3">
        <v>19</v>
      </c>
      <c r="AF569" s="3">
        <v>5</v>
      </c>
      <c r="AG569" s="3" t="s">
        <v>12237</v>
      </c>
      <c r="AH569" s="3" t="s">
        <v>12238</v>
      </c>
      <c r="AI569" s="3">
        <v>374211</v>
      </c>
      <c r="AJ569" s="3" t="s">
        <v>120</v>
      </c>
      <c r="AK569" s="3" t="s">
        <v>120</v>
      </c>
      <c r="AL569" s="3"/>
      <c r="AM569" s="7" t="s">
        <v>12239</v>
      </c>
      <c r="AN569" s="7" t="s">
        <v>12240</v>
      </c>
      <c r="AO569" s="3"/>
      <c r="AP569" s="3"/>
      <c r="AQ569" s="3"/>
      <c r="AR569" s="7" t="s">
        <v>12241</v>
      </c>
      <c r="AS569" s="7" t="s">
        <v>12242</v>
      </c>
      <c r="AT569" s="7" t="s">
        <v>12243</v>
      </c>
      <c r="AU569" s="3" t="s">
        <v>12244</v>
      </c>
      <c r="AV569" s="7" t="s">
        <v>12245</v>
      </c>
      <c r="AW569" s="3"/>
    </row>
    <row r="570" spans="1:49" ht="12.5" x14ac:dyDescent="0.25">
      <c r="A570" s="3" t="s">
        <v>46</v>
      </c>
      <c r="B570" s="21" t="str">
        <f>HYPERLINK("https://gerandofalcoes.my.salesforce.com/0014P00003SGWPc", "0014P00003SGWPc")</f>
        <v>0014P00003SGWPc</v>
      </c>
      <c r="C570" s="21" t="str">
        <f>HYPERLINK("https://gerandofalcoes.my.salesforce.com/0014P00003SGWPcQAP", "0014P00003SGWPcQAP")</f>
        <v>0014P00003SGWPcQAP</v>
      </c>
      <c r="D570" s="3" t="s">
        <v>12246</v>
      </c>
      <c r="E570" s="3" t="s">
        <v>12247</v>
      </c>
      <c r="F570" s="3" t="s">
        <v>1825</v>
      </c>
      <c r="G570" s="6">
        <v>44432</v>
      </c>
      <c r="H570" s="3">
        <v>364</v>
      </c>
      <c r="I570" s="3" t="s">
        <v>1826</v>
      </c>
      <c r="J570" s="3" t="s">
        <v>1827</v>
      </c>
      <c r="K570" s="3" t="s">
        <v>1828</v>
      </c>
      <c r="L570" s="3" t="s">
        <v>101</v>
      </c>
      <c r="M570" s="3" t="s">
        <v>12248</v>
      </c>
      <c r="N570" s="3" t="s">
        <v>1830</v>
      </c>
      <c r="O570" s="3" t="s">
        <v>3381</v>
      </c>
      <c r="P570" s="3" t="s">
        <v>128</v>
      </c>
      <c r="Q570" s="3" t="s">
        <v>1831</v>
      </c>
      <c r="R570" s="3" t="s">
        <v>12249</v>
      </c>
      <c r="S570" s="3"/>
      <c r="T570" s="3" t="s">
        <v>12250</v>
      </c>
      <c r="U570" s="3" t="s">
        <v>11180</v>
      </c>
      <c r="V570" s="3" t="s">
        <v>3800</v>
      </c>
      <c r="W570" s="3">
        <v>3</v>
      </c>
      <c r="X570" s="3">
        <v>3</v>
      </c>
      <c r="Y570" s="3"/>
      <c r="Z570" s="3">
        <v>44</v>
      </c>
      <c r="AA570" s="3">
        <v>260</v>
      </c>
      <c r="AB570" s="6">
        <v>41749</v>
      </c>
      <c r="AC570" s="3" t="s">
        <v>62</v>
      </c>
      <c r="AD570" s="3">
        <v>0</v>
      </c>
      <c r="AE570" s="3">
        <v>0</v>
      </c>
      <c r="AF570" s="3">
        <v>0</v>
      </c>
      <c r="AG570" s="3" t="s">
        <v>9099</v>
      </c>
      <c r="AH570" s="3" t="s">
        <v>3625</v>
      </c>
      <c r="AI570" s="3">
        <v>1</v>
      </c>
      <c r="AJ570" s="3" t="s">
        <v>120</v>
      </c>
      <c r="AK570" s="3" t="s">
        <v>120</v>
      </c>
      <c r="AL570" s="3"/>
      <c r="AM570" s="3" t="s">
        <v>12251</v>
      </c>
      <c r="AN570" s="3" t="s">
        <v>12252</v>
      </c>
      <c r="AO570" s="3"/>
      <c r="AP570" s="3"/>
      <c r="AQ570" s="7" t="s">
        <v>12253</v>
      </c>
      <c r="AR570" s="7" t="s">
        <v>12254</v>
      </c>
      <c r="AS570" s="7" t="s">
        <v>12255</v>
      </c>
      <c r="AT570" s="3"/>
      <c r="AU570" s="7" t="s">
        <v>12256</v>
      </c>
      <c r="AV570" s="7" t="s">
        <v>12257</v>
      </c>
      <c r="AW570" s="3"/>
    </row>
    <row r="571" spans="1:49" ht="12.5" x14ac:dyDescent="0.25">
      <c r="A571" s="3" t="s">
        <v>46</v>
      </c>
      <c r="B571" s="21" t="str">
        <f>HYPERLINK("https://gerandofalcoes.my.salesforce.com/0014P00003SGWPd", "0014P00003SGWPd")</f>
        <v>0014P00003SGWPd</v>
      </c>
      <c r="C571" s="21" t="str">
        <f>HYPERLINK("https://gerandofalcoes.my.salesforce.com/0014P00003SGWPdQAP", "0014P00003SGWPdQAP")</f>
        <v>0014P00003SGWPdQAP</v>
      </c>
      <c r="D571" s="3" t="s">
        <v>1841</v>
      </c>
      <c r="E571" s="3" t="s">
        <v>155</v>
      </c>
      <c r="F571" s="3" t="s">
        <v>1842</v>
      </c>
      <c r="G571" s="6">
        <v>44432</v>
      </c>
      <c r="H571" s="3">
        <v>364</v>
      </c>
      <c r="I571" s="3" t="s">
        <v>1843</v>
      </c>
      <c r="J571" s="3" t="s">
        <v>1844</v>
      </c>
      <c r="K571" s="3" t="s">
        <v>1845</v>
      </c>
      <c r="L571" s="3" t="s">
        <v>1002</v>
      </c>
      <c r="M571" s="3" t="s">
        <v>12258</v>
      </c>
      <c r="N571" s="3" t="s">
        <v>1847</v>
      </c>
      <c r="O571" s="3" t="s">
        <v>12259</v>
      </c>
      <c r="P571" s="3" t="s">
        <v>12260</v>
      </c>
      <c r="Q571" s="3" t="s">
        <v>1849</v>
      </c>
      <c r="R571" s="3" t="s">
        <v>12261</v>
      </c>
      <c r="S571" s="3" t="s">
        <v>12262</v>
      </c>
      <c r="T571" s="3" t="s">
        <v>12263</v>
      </c>
      <c r="U571" s="3" t="s">
        <v>8868</v>
      </c>
      <c r="V571" s="3" t="s">
        <v>12264</v>
      </c>
      <c r="W571" s="3">
        <v>100</v>
      </c>
      <c r="X571" s="3" t="s">
        <v>12265</v>
      </c>
      <c r="Y571" s="3" t="s">
        <v>1853</v>
      </c>
      <c r="Z571" s="3">
        <v>800</v>
      </c>
      <c r="AA571" s="3">
        <v>30000</v>
      </c>
      <c r="AB571" s="6">
        <v>40389</v>
      </c>
      <c r="AC571" s="3" t="s">
        <v>62</v>
      </c>
      <c r="AD571" s="3">
        <v>1</v>
      </c>
      <c r="AE571" s="3">
        <v>20</v>
      </c>
      <c r="AF571" s="3">
        <v>2</v>
      </c>
      <c r="AG571" s="3" t="s">
        <v>12266</v>
      </c>
      <c r="AH571" s="3" t="s">
        <v>12267</v>
      </c>
      <c r="AI571" s="3">
        <v>200000</v>
      </c>
      <c r="AJ571" s="3" t="s">
        <v>62</v>
      </c>
      <c r="AK571" s="3" t="s">
        <v>62</v>
      </c>
      <c r="AL571" s="7" t="s">
        <v>12268</v>
      </c>
      <c r="AM571" s="7" t="s">
        <v>12269</v>
      </c>
      <c r="AN571" s="7" t="s">
        <v>12270</v>
      </c>
      <c r="AO571" s="7" t="s">
        <v>12271</v>
      </c>
      <c r="AP571" s="3"/>
      <c r="AQ571" s="3"/>
      <c r="AR571" s="7" t="s">
        <v>12272</v>
      </c>
      <c r="AS571" s="3" t="s">
        <v>12273</v>
      </c>
      <c r="AT571" s="7" t="s">
        <v>12274</v>
      </c>
      <c r="AU571" s="7" t="s">
        <v>12275</v>
      </c>
      <c r="AV571" s="3"/>
      <c r="AW571" s="3"/>
    </row>
    <row r="572" spans="1:49" ht="12.5" x14ac:dyDescent="0.25">
      <c r="A572" s="3" t="s">
        <v>46</v>
      </c>
      <c r="B572" s="21" t="str">
        <f>HYPERLINK("https://gerandofalcoes.my.salesforce.com/0014P00003SGWPe", "0014P00003SGWPe")</f>
        <v>0014P00003SGWPe</v>
      </c>
      <c r="C572" s="21" t="str">
        <f>HYPERLINK("https://gerandofalcoes.my.salesforce.com/0014P00003SGWPeQAP", "0014P00003SGWPeQAP")</f>
        <v>0014P00003SGWPeQAP</v>
      </c>
      <c r="D572" s="3" t="s">
        <v>1893</v>
      </c>
      <c r="E572" s="3" t="s">
        <v>1894</v>
      </c>
      <c r="F572" s="3" t="s">
        <v>1895</v>
      </c>
      <c r="G572" s="6">
        <v>44432</v>
      </c>
      <c r="H572" s="3">
        <v>364</v>
      </c>
      <c r="I572" s="3" t="s">
        <v>1896</v>
      </c>
      <c r="J572" s="3" t="s">
        <v>1897</v>
      </c>
      <c r="K572" s="3" t="s">
        <v>1898</v>
      </c>
      <c r="L572" s="3" t="s">
        <v>101</v>
      </c>
      <c r="M572" s="3" t="s">
        <v>1899</v>
      </c>
      <c r="N572" s="3" t="s">
        <v>1900</v>
      </c>
      <c r="O572" s="3" t="s">
        <v>3404</v>
      </c>
      <c r="P572" s="3" t="s">
        <v>128</v>
      </c>
      <c r="Q572" s="3" t="s">
        <v>1901</v>
      </c>
      <c r="R572" s="3" t="s">
        <v>12276</v>
      </c>
      <c r="S572" s="3"/>
      <c r="T572" s="3" t="s">
        <v>12277</v>
      </c>
      <c r="U572" s="3" t="s">
        <v>12278</v>
      </c>
      <c r="V572" s="3" t="s">
        <v>12279</v>
      </c>
      <c r="W572" s="3">
        <v>4</v>
      </c>
      <c r="X572" s="3">
        <v>4</v>
      </c>
      <c r="Y572" s="3" t="s">
        <v>1904</v>
      </c>
      <c r="Z572" s="3">
        <v>120</v>
      </c>
      <c r="AA572" s="3">
        <v>3200</v>
      </c>
      <c r="AB572" s="6">
        <v>44032</v>
      </c>
      <c r="AC572" s="3" t="s">
        <v>62</v>
      </c>
      <c r="AD572" s="3">
        <v>0</v>
      </c>
      <c r="AE572" s="3">
        <v>8</v>
      </c>
      <c r="AF572" s="3">
        <v>1</v>
      </c>
      <c r="AG572" s="3" t="s">
        <v>3819</v>
      </c>
      <c r="AH572" s="3">
        <v>0</v>
      </c>
      <c r="AI572" s="3">
        <v>12000</v>
      </c>
      <c r="AJ572" s="3" t="s">
        <v>120</v>
      </c>
      <c r="AK572" s="3" t="s">
        <v>120</v>
      </c>
      <c r="AL572" s="3"/>
      <c r="AM572" s="7" t="s">
        <v>12280</v>
      </c>
      <c r="AN572" s="7" t="s">
        <v>12281</v>
      </c>
      <c r="AO572" s="3"/>
      <c r="AP572" s="3"/>
      <c r="AQ572" s="3"/>
      <c r="AR572" s="3"/>
      <c r="AS572" s="7" t="s">
        <v>12282</v>
      </c>
      <c r="AT572" s="3"/>
      <c r="AU572" s="7" t="s">
        <v>12283</v>
      </c>
      <c r="AV572" s="3"/>
      <c r="AW572" s="3"/>
    </row>
    <row r="573" spans="1:49" ht="12.5" x14ac:dyDescent="0.25">
      <c r="A573" s="3" t="s">
        <v>46</v>
      </c>
      <c r="B573" s="21" t="str">
        <f>HYPERLINK("https://gerandofalcoes.my.salesforce.com/0014P00003SGWPf", "0014P00003SGWPf")</f>
        <v>0014P00003SGWPf</v>
      </c>
      <c r="C573" s="21" t="str">
        <f>HYPERLINK("https://gerandofalcoes.my.salesforce.com/0014P00003SGWPfQAP", "0014P00003SGWPfQAP")</f>
        <v>0014P00003SGWPfQAP</v>
      </c>
      <c r="D573" s="3" t="s">
        <v>1910</v>
      </c>
      <c r="E573" s="3" t="s">
        <v>1911</v>
      </c>
      <c r="F573" s="3" t="s">
        <v>1912</v>
      </c>
      <c r="G573" s="6">
        <v>44432</v>
      </c>
      <c r="H573" s="3">
        <v>364</v>
      </c>
      <c r="I573" s="3" t="s">
        <v>1913</v>
      </c>
      <c r="J573" s="3" t="s">
        <v>1914</v>
      </c>
      <c r="K573" s="3" t="s">
        <v>1915</v>
      </c>
      <c r="L573" s="3" t="s">
        <v>84</v>
      </c>
      <c r="M573" s="3" t="s">
        <v>12284</v>
      </c>
      <c r="N573" s="3" t="s">
        <v>1917</v>
      </c>
      <c r="O573" s="3" t="s">
        <v>12285</v>
      </c>
      <c r="P573" s="3" t="s">
        <v>12286</v>
      </c>
      <c r="Q573" s="3"/>
      <c r="R573" s="3" t="s">
        <v>12287</v>
      </c>
      <c r="S573" s="3"/>
      <c r="T573" s="3" t="s">
        <v>9454</v>
      </c>
      <c r="U573" s="3" t="s">
        <v>11228</v>
      </c>
      <c r="V573" s="3" t="s">
        <v>3890</v>
      </c>
      <c r="W573" s="3">
        <v>30</v>
      </c>
      <c r="X573" s="3">
        <v>30</v>
      </c>
      <c r="Y573" s="3" t="s">
        <v>1921</v>
      </c>
      <c r="Z573" s="3">
        <v>100</v>
      </c>
      <c r="AA573" s="3">
        <v>1600</v>
      </c>
      <c r="AB573" s="6">
        <v>41392</v>
      </c>
      <c r="AC573" s="3" t="s">
        <v>62</v>
      </c>
      <c r="AD573" s="3">
        <v>0</v>
      </c>
      <c r="AE573" s="3">
        <v>8</v>
      </c>
      <c r="AF573" s="3">
        <v>3</v>
      </c>
      <c r="AG573" s="3" t="s">
        <v>12288</v>
      </c>
      <c r="AH573" s="3" t="s">
        <v>12289</v>
      </c>
      <c r="AI573" s="3">
        <v>6605</v>
      </c>
      <c r="AJ573" s="3" t="s">
        <v>120</v>
      </c>
      <c r="AK573" s="3" t="s">
        <v>120</v>
      </c>
      <c r="AL573" s="7" t="s">
        <v>12290</v>
      </c>
      <c r="AM573" s="7" t="s">
        <v>12291</v>
      </c>
      <c r="AN573" s="7" t="s">
        <v>12292</v>
      </c>
      <c r="AO573" s="7" t="s">
        <v>12293</v>
      </c>
      <c r="AP573" s="3"/>
      <c r="AQ573" s="7" t="s">
        <v>12294</v>
      </c>
      <c r="AR573" s="7" t="s">
        <v>12295</v>
      </c>
      <c r="AS573" s="7" t="s">
        <v>12296</v>
      </c>
      <c r="AT573" s="7" t="s">
        <v>12297</v>
      </c>
      <c r="AU573" s="7" t="s">
        <v>12298</v>
      </c>
      <c r="AV573" s="3"/>
      <c r="AW573" s="7" t="s">
        <v>12299</v>
      </c>
    </row>
    <row r="574" spans="1:49" ht="12.5" x14ac:dyDescent="0.25">
      <c r="A574" s="3" t="s">
        <v>46</v>
      </c>
      <c r="B574" s="21" t="str">
        <f>HYPERLINK("https://gerandofalcoes.my.salesforce.com/0014P00003SGWPg", "0014P00003SGWPg")</f>
        <v>0014P00003SGWPg</v>
      </c>
      <c r="C574" s="21" t="str">
        <f>HYPERLINK("https://gerandofalcoes.my.salesforce.com/0014P00003SGWPgQAP", "0014P00003SGWPgQAP")</f>
        <v>0014P00003SGWPgQAP</v>
      </c>
      <c r="D574" s="3" t="s">
        <v>1935</v>
      </c>
      <c r="E574" s="3" t="s">
        <v>1936</v>
      </c>
      <c r="F574" s="3" t="s">
        <v>1937</v>
      </c>
      <c r="G574" s="6">
        <v>44432</v>
      </c>
      <c r="H574" s="3">
        <v>364</v>
      </c>
      <c r="I574" s="3" t="s">
        <v>1938</v>
      </c>
      <c r="J574" s="3" t="s">
        <v>1939</v>
      </c>
      <c r="K574" s="3" t="s">
        <v>1940</v>
      </c>
      <c r="L574" s="3" t="s">
        <v>84</v>
      </c>
      <c r="M574" s="3" t="s">
        <v>12300</v>
      </c>
      <c r="N574" s="3" t="s">
        <v>1942</v>
      </c>
      <c r="O574" s="3" t="s">
        <v>12301</v>
      </c>
      <c r="P574" s="3" t="s">
        <v>12302</v>
      </c>
      <c r="Q574" s="3" t="s">
        <v>1943</v>
      </c>
      <c r="R574" s="3" t="s">
        <v>12303</v>
      </c>
      <c r="S574" s="3"/>
      <c r="T574" s="3" t="s">
        <v>12304</v>
      </c>
      <c r="U574" s="3" t="s">
        <v>8852</v>
      </c>
      <c r="V574" s="3" t="s">
        <v>12305</v>
      </c>
      <c r="W574" s="3">
        <v>6</v>
      </c>
      <c r="X574" s="3">
        <v>6</v>
      </c>
      <c r="Y574" s="3" t="s">
        <v>1946</v>
      </c>
      <c r="Z574" s="3">
        <v>20</v>
      </c>
      <c r="AA574" s="3">
        <v>100</v>
      </c>
      <c r="AB574" s="6">
        <v>43941</v>
      </c>
      <c r="AC574" s="3" t="s">
        <v>62</v>
      </c>
      <c r="AD574" s="3">
        <v>4</v>
      </c>
      <c r="AE574" s="3">
        <v>12</v>
      </c>
      <c r="AF574" s="3">
        <v>0</v>
      </c>
      <c r="AG574" s="3" t="s">
        <v>3833</v>
      </c>
      <c r="AH574" s="3" t="s">
        <v>1947</v>
      </c>
      <c r="AI574" s="3">
        <v>11000</v>
      </c>
      <c r="AJ574" s="3" t="s">
        <v>120</v>
      </c>
      <c r="AK574" s="3" t="s">
        <v>62</v>
      </c>
      <c r="AL574" s="3"/>
      <c r="AM574" s="3"/>
      <c r="AN574" s="3" t="s">
        <v>12306</v>
      </c>
      <c r="AO574" s="3"/>
      <c r="AP574" s="3"/>
      <c r="AQ574" s="3"/>
      <c r="AR574" s="3"/>
      <c r="AS574" s="3"/>
      <c r="AT574" s="3"/>
      <c r="AU574" s="7" t="s">
        <v>12307</v>
      </c>
      <c r="AV574" s="3"/>
      <c r="AW574" s="3"/>
    </row>
    <row r="575" spans="1:49" ht="12.5" x14ac:dyDescent="0.25">
      <c r="A575" s="3" t="s">
        <v>152</v>
      </c>
      <c r="B575" s="21" t="str">
        <f>HYPERLINK("https://gerandofalcoes.my.salesforce.com/0014P00003SGWPh", "0014P00003SGWPh")</f>
        <v>0014P00003SGWPh</v>
      </c>
      <c r="C575" s="21" t="str">
        <f>HYPERLINK("https://gerandofalcoes.my.salesforce.com/0014P00003SGWPhQAP", "0014P00003SGWPhQAP")</f>
        <v>0014P00003SGWPhQAP</v>
      </c>
      <c r="D575" s="3" t="s">
        <v>1865</v>
      </c>
      <c r="E575" s="3" t="s">
        <v>1866</v>
      </c>
      <c r="F575" s="3" t="s">
        <v>1867</v>
      </c>
      <c r="G575" s="6">
        <v>44432</v>
      </c>
      <c r="H575" s="3">
        <v>364</v>
      </c>
      <c r="I575" s="3" t="s">
        <v>1868</v>
      </c>
      <c r="J575" s="3" t="s">
        <v>1869</v>
      </c>
      <c r="K575" s="3" t="s">
        <v>1870</v>
      </c>
      <c r="L575" s="3" t="s">
        <v>1871</v>
      </c>
      <c r="M575" s="3" t="s">
        <v>12308</v>
      </c>
      <c r="N575" s="3" t="s">
        <v>1873</v>
      </c>
      <c r="O575" s="3" t="s">
        <v>3437</v>
      </c>
      <c r="P575" s="3" t="s">
        <v>1874</v>
      </c>
      <c r="Q575" s="3"/>
      <c r="R575" s="3" t="s">
        <v>12309</v>
      </c>
      <c r="S575" s="3" t="s">
        <v>1875</v>
      </c>
      <c r="T575" s="3" t="s">
        <v>12310</v>
      </c>
      <c r="U575" s="3" t="s">
        <v>8852</v>
      </c>
      <c r="V575" s="3" t="s">
        <v>12311</v>
      </c>
      <c r="W575" s="3">
        <v>37</v>
      </c>
      <c r="X575" s="3">
        <v>37</v>
      </c>
      <c r="Y575" s="3" t="s">
        <v>1880</v>
      </c>
      <c r="Z575" s="3">
        <v>310</v>
      </c>
      <c r="AA575" s="3">
        <v>5000</v>
      </c>
      <c r="AB575" s="6">
        <v>41387</v>
      </c>
      <c r="AC575" s="3" t="s">
        <v>62</v>
      </c>
      <c r="AD575" s="3">
        <v>14</v>
      </c>
      <c r="AE575" s="3">
        <v>14</v>
      </c>
      <c r="AF575" s="3">
        <v>3</v>
      </c>
      <c r="AG575" s="3" t="s">
        <v>12312</v>
      </c>
      <c r="AH575" s="3" t="s">
        <v>1882</v>
      </c>
      <c r="AI575" s="3">
        <v>173994</v>
      </c>
      <c r="AJ575" s="3" t="s">
        <v>120</v>
      </c>
      <c r="AK575" s="3" t="s">
        <v>62</v>
      </c>
      <c r="AL575" s="7" t="s">
        <v>12313</v>
      </c>
      <c r="AM575" s="7" t="s">
        <v>12314</v>
      </c>
      <c r="AN575" s="7" t="s">
        <v>12315</v>
      </c>
      <c r="AO575" s="3"/>
      <c r="AP575" s="7" t="s">
        <v>1886</v>
      </c>
      <c r="AQ575" s="7" t="s">
        <v>12316</v>
      </c>
      <c r="AR575" s="7" t="s">
        <v>12317</v>
      </c>
      <c r="AS575" s="7" t="s">
        <v>12318</v>
      </c>
      <c r="AT575" s="3"/>
      <c r="AU575" s="7" t="s">
        <v>12319</v>
      </c>
      <c r="AV575" s="7" t="s">
        <v>12320</v>
      </c>
      <c r="AW575" s="3"/>
    </row>
    <row r="576" spans="1:49" ht="12.5" x14ac:dyDescent="0.25">
      <c r="A576" s="3" t="s">
        <v>152</v>
      </c>
      <c r="B576" s="21" t="str">
        <f>HYPERLINK("https://gerandofalcoes.my.salesforce.com/0014P00003SGWPi", "0014P00003SGWPi")</f>
        <v>0014P00003SGWPi</v>
      </c>
      <c r="C576" s="21" t="str">
        <f>HYPERLINK("https://gerandofalcoes.my.salesforce.com/0014P00003SGWPiQAP", "0014P00003SGWPiQAP")</f>
        <v>0014P00003SGWPiQAP</v>
      </c>
      <c r="D576" s="3" t="s">
        <v>1951</v>
      </c>
      <c r="E576" s="3" t="s">
        <v>1952</v>
      </c>
      <c r="F576" s="3" t="s">
        <v>1953</v>
      </c>
      <c r="G576" s="6">
        <v>44432</v>
      </c>
      <c r="H576" s="3">
        <v>364</v>
      </c>
      <c r="I576" s="3" t="s">
        <v>1954</v>
      </c>
      <c r="J576" s="3" t="s">
        <v>1955</v>
      </c>
      <c r="K576" s="3" t="s">
        <v>3445</v>
      </c>
      <c r="L576" s="3" t="s">
        <v>1381</v>
      </c>
      <c r="M576" s="3" t="s">
        <v>12321</v>
      </c>
      <c r="N576" s="3" t="s">
        <v>1958</v>
      </c>
      <c r="O576" s="3" t="s">
        <v>12322</v>
      </c>
      <c r="P576" s="3" t="s">
        <v>12323</v>
      </c>
      <c r="Q576" s="3" t="s">
        <v>1960</v>
      </c>
      <c r="R576" s="3" t="s">
        <v>3450</v>
      </c>
      <c r="S576" s="3"/>
      <c r="T576" s="3" t="s">
        <v>12324</v>
      </c>
      <c r="U576" s="3" t="s">
        <v>3799</v>
      </c>
      <c r="V576" s="3" t="s">
        <v>3800</v>
      </c>
      <c r="W576" s="3">
        <v>5</v>
      </c>
      <c r="X576" s="3">
        <v>5</v>
      </c>
      <c r="Y576" s="3" t="s">
        <v>1963</v>
      </c>
      <c r="Z576" s="3">
        <v>980</v>
      </c>
      <c r="AA576" s="3">
        <v>9590</v>
      </c>
      <c r="AB576" s="6">
        <v>42860</v>
      </c>
      <c r="AC576" s="3" t="s">
        <v>62</v>
      </c>
      <c r="AD576" s="3">
        <v>8</v>
      </c>
      <c r="AE576" s="3">
        <v>80</v>
      </c>
      <c r="AF576" s="3">
        <v>4</v>
      </c>
      <c r="AG576" s="3" t="s">
        <v>9030</v>
      </c>
      <c r="AH576" s="3" t="s">
        <v>1965</v>
      </c>
      <c r="AI576" s="3">
        <v>587278.81999999995</v>
      </c>
      <c r="AJ576" s="3" t="s">
        <v>120</v>
      </c>
      <c r="AK576" s="3" t="s">
        <v>120</v>
      </c>
      <c r="AL576" s="7" t="s">
        <v>12325</v>
      </c>
      <c r="AM576" s="7" t="s">
        <v>12326</v>
      </c>
      <c r="AN576" s="7" t="s">
        <v>12327</v>
      </c>
      <c r="AO576" s="7" t="s">
        <v>12328</v>
      </c>
      <c r="AP576" s="3"/>
      <c r="AQ576" s="7" t="s">
        <v>12329</v>
      </c>
      <c r="AR576" s="7" t="s">
        <v>12330</v>
      </c>
      <c r="AS576" s="7" t="s">
        <v>12331</v>
      </c>
      <c r="AT576" s="7" t="s">
        <v>12332</v>
      </c>
      <c r="AU576" s="3" t="s">
        <v>12333</v>
      </c>
      <c r="AV576" s="3"/>
      <c r="AW576" s="7" t="s">
        <v>12334</v>
      </c>
    </row>
    <row r="577" spans="1:49" ht="12.5" x14ac:dyDescent="0.25">
      <c r="A577" s="3" t="s">
        <v>46</v>
      </c>
      <c r="B577" s="21" t="str">
        <f>HYPERLINK("https://gerandofalcoes.my.salesforce.com/0014P00003SGWPj", "0014P00003SGWPj")</f>
        <v>0014P00003SGWPj</v>
      </c>
      <c r="C577" s="21" t="str">
        <f>HYPERLINK("https://gerandofalcoes.my.salesforce.com/0014P00003SGWPjQAP", "0014P00003SGWPjQAP")</f>
        <v>0014P00003SGWPjQAP</v>
      </c>
      <c r="D577" s="3" t="s">
        <v>1977</v>
      </c>
      <c r="E577" s="3" t="s">
        <v>1978</v>
      </c>
      <c r="F577" s="3" t="s">
        <v>1979</v>
      </c>
      <c r="G577" s="6">
        <v>44432</v>
      </c>
      <c r="H577" s="3">
        <v>364</v>
      </c>
      <c r="I577" s="3" t="s">
        <v>12335</v>
      </c>
      <c r="J577" s="3" t="s">
        <v>1981</v>
      </c>
      <c r="K577" s="3" t="s">
        <v>1982</v>
      </c>
      <c r="L577" s="3" t="s">
        <v>1002</v>
      </c>
      <c r="M577" s="3" t="s">
        <v>1983</v>
      </c>
      <c r="N577" s="3" t="s">
        <v>1984</v>
      </c>
      <c r="O577" s="3" t="s">
        <v>12336</v>
      </c>
      <c r="P577" s="3" t="s">
        <v>1848</v>
      </c>
      <c r="Q577" s="3" t="s">
        <v>1985</v>
      </c>
      <c r="R577" s="3" t="s">
        <v>12337</v>
      </c>
      <c r="S577" s="3"/>
      <c r="T577" s="3" t="s">
        <v>12338</v>
      </c>
      <c r="U577" s="3" t="s">
        <v>11180</v>
      </c>
      <c r="V577" s="3" t="s">
        <v>3800</v>
      </c>
      <c r="W577" s="3">
        <v>4</v>
      </c>
      <c r="X577" s="3">
        <v>4</v>
      </c>
      <c r="Y577" s="3" t="s">
        <v>1988</v>
      </c>
      <c r="Z577" s="3">
        <v>180</v>
      </c>
      <c r="AA577" s="3">
        <v>18000</v>
      </c>
      <c r="AB577" s="6">
        <v>40399</v>
      </c>
      <c r="AC577" s="3" t="s">
        <v>62</v>
      </c>
      <c r="AD577" s="3">
        <v>0</v>
      </c>
      <c r="AE577" s="3">
        <v>13</v>
      </c>
      <c r="AF577" s="3">
        <v>0</v>
      </c>
      <c r="AG577" s="3" t="s">
        <v>9587</v>
      </c>
      <c r="AH577" s="3" t="s">
        <v>1989</v>
      </c>
      <c r="AI577" s="3">
        <v>0</v>
      </c>
      <c r="AJ577" s="3" t="s">
        <v>120</v>
      </c>
      <c r="AK577" s="3" t="s">
        <v>120</v>
      </c>
      <c r="AL577" s="3"/>
      <c r="AM577" s="7" t="s">
        <v>12339</v>
      </c>
      <c r="AN577" s="7" t="s">
        <v>12340</v>
      </c>
      <c r="AO577" s="3"/>
      <c r="AP577" s="3"/>
      <c r="AQ577" s="3"/>
      <c r="AR577" s="7" t="s">
        <v>12341</v>
      </c>
      <c r="AS577" s="7" t="s">
        <v>12342</v>
      </c>
      <c r="AT577" s="3"/>
      <c r="AU577" s="7" t="s">
        <v>12343</v>
      </c>
      <c r="AV577" s="3"/>
      <c r="AW577" s="3"/>
    </row>
    <row r="578" spans="1:49" ht="12.5" x14ac:dyDescent="0.25">
      <c r="A578" s="3" t="s">
        <v>46</v>
      </c>
      <c r="B578" s="21" t="str">
        <f>HYPERLINK("https://gerandofalcoes.my.salesforce.com/0014P00003SGWPk", "0014P00003SGWPk")</f>
        <v>0014P00003SGWPk</v>
      </c>
      <c r="C578" s="21" t="str">
        <f>HYPERLINK("https://gerandofalcoes.my.salesforce.com/0014P00003SGWPkQAP", "0014P00003SGWPkQAP")</f>
        <v>0014P00003SGWPkQAP</v>
      </c>
      <c r="D578" s="3" t="s">
        <v>1996</v>
      </c>
      <c r="E578" s="3" t="s">
        <v>12344</v>
      </c>
      <c r="F578" s="3" t="s">
        <v>1998</v>
      </c>
      <c r="G578" s="6">
        <v>44432</v>
      </c>
      <c r="H578" s="3">
        <v>364</v>
      </c>
      <c r="I578" s="3" t="s">
        <v>1999</v>
      </c>
      <c r="J578" s="3" t="s">
        <v>2000</v>
      </c>
      <c r="K578" s="3" t="s">
        <v>2001</v>
      </c>
      <c r="L578" s="3" t="s">
        <v>101</v>
      </c>
      <c r="M578" s="3" t="s">
        <v>297</v>
      </c>
      <c r="N578" s="3" t="s">
        <v>2003</v>
      </c>
      <c r="O578" s="3" t="s">
        <v>12345</v>
      </c>
      <c r="P578" s="3" t="s">
        <v>128</v>
      </c>
      <c r="Q578" s="3"/>
      <c r="R578" s="3" t="s">
        <v>3469</v>
      </c>
      <c r="S578" s="3"/>
      <c r="T578" s="3" t="s">
        <v>12346</v>
      </c>
      <c r="U578" s="3" t="s">
        <v>12347</v>
      </c>
      <c r="V578" s="3" t="s">
        <v>3800</v>
      </c>
      <c r="W578" s="3">
        <v>6</v>
      </c>
      <c r="X578" s="3">
        <v>6</v>
      </c>
      <c r="Y578" s="3"/>
      <c r="Z578" s="3">
        <v>150</v>
      </c>
      <c r="AA578" s="3">
        <v>3400</v>
      </c>
      <c r="AB578" s="6">
        <v>41285</v>
      </c>
      <c r="AC578" s="3" t="s">
        <v>62</v>
      </c>
      <c r="AD578" s="3">
        <v>7</v>
      </c>
      <c r="AE578" s="3">
        <v>0</v>
      </c>
      <c r="AF578" s="3">
        <v>5</v>
      </c>
      <c r="AG578" s="3" t="s">
        <v>12348</v>
      </c>
      <c r="AH578" s="3" t="s">
        <v>12349</v>
      </c>
      <c r="AI578" s="3">
        <v>42828210</v>
      </c>
      <c r="AJ578" s="3" t="s">
        <v>120</v>
      </c>
      <c r="AK578" s="3" t="s">
        <v>120</v>
      </c>
      <c r="AL578" s="7" t="s">
        <v>12350</v>
      </c>
      <c r="AM578" s="7" t="s">
        <v>12351</v>
      </c>
      <c r="AN578" s="7" t="s">
        <v>12352</v>
      </c>
      <c r="AO578" s="7" t="s">
        <v>12353</v>
      </c>
      <c r="AP578" s="3"/>
      <c r="AQ578" s="3"/>
      <c r="AR578" s="7" t="s">
        <v>12354</v>
      </c>
      <c r="AS578" s="7" t="s">
        <v>12355</v>
      </c>
      <c r="AT578" s="7" t="s">
        <v>12356</v>
      </c>
      <c r="AU578" s="7" t="s">
        <v>12357</v>
      </c>
      <c r="AV578" s="3"/>
      <c r="AW578" s="3"/>
    </row>
    <row r="579" spans="1:49" ht="12.5" x14ac:dyDescent="0.25">
      <c r="A579" s="3" t="s">
        <v>46</v>
      </c>
      <c r="B579" s="21" t="str">
        <f>HYPERLINK("https://gerandofalcoes.my.salesforce.com/0014P00003SGWPl", "0014P00003SGWPl")</f>
        <v>0014P00003SGWPl</v>
      </c>
      <c r="C579" s="21" t="str">
        <f>HYPERLINK("https://gerandofalcoes.my.salesforce.com/0014P00003SGWPlQAP", "0014P00003SGWPlQAP")</f>
        <v>0014P00003SGWPlQAP</v>
      </c>
      <c r="D579" s="3" t="s">
        <v>2015</v>
      </c>
      <c r="E579" s="3" t="s">
        <v>2016</v>
      </c>
      <c r="F579" s="3" t="s">
        <v>2017</v>
      </c>
      <c r="G579" s="6">
        <v>44432</v>
      </c>
      <c r="H579" s="3">
        <v>364</v>
      </c>
      <c r="I579" s="3" t="s">
        <v>2018</v>
      </c>
      <c r="J579" s="3" t="s">
        <v>2019</v>
      </c>
      <c r="K579" s="3" t="s">
        <v>2020</v>
      </c>
      <c r="L579" s="3" t="s">
        <v>101</v>
      </c>
      <c r="M579" s="3" t="s">
        <v>2021</v>
      </c>
      <c r="N579" s="3" t="s">
        <v>2022</v>
      </c>
      <c r="O579" s="3">
        <v>35</v>
      </c>
      <c r="P579" s="3" t="s">
        <v>393</v>
      </c>
      <c r="Q579" s="3"/>
      <c r="R579" s="3">
        <v>8616585</v>
      </c>
      <c r="S579" s="3"/>
      <c r="T579" s="3" t="s">
        <v>12358</v>
      </c>
      <c r="U579" s="3" t="s">
        <v>8895</v>
      </c>
      <c r="V579" s="3"/>
      <c r="W579" s="3">
        <v>4</v>
      </c>
      <c r="X579" s="3">
        <v>0</v>
      </c>
      <c r="Y579" s="3"/>
      <c r="Z579" s="3">
        <v>150</v>
      </c>
      <c r="AA579" s="3">
        <v>1500</v>
      </c>
      <c r="AB579" s="8">
        <v>43060</v>
      </c>
      <c r="AC579" s="3" t="s">
        <v>62</v>
      </c>
      <c r="AD579" s="3">
        <v>0</v>
      </c>
      <c r="AE579" s="3">
        <v>8</v>
      </c>
      <c r="AF579" s="3">
        <v>1</v>
      </c>
      <c r="AG579" s="3" t="s">
        <v>10926</v>
      </c>
      <c r="AH579" s="3" t="s">
        <v>2024</v>
      </c>
      <c r="AI579" s="3">
        <v>20000</v>
      </c>
      <c r="AJ579" s="3" t="s">
        <v>62</v>
      </c>
      <c r="AK579" s="3" t="s">
        <v>120</v>
      </c>
      <c r="AL579" s="3"/>
      <c r="AM579" s="7" t="s">
        <v>12359</v>
      </c>
      <c r="AN579" s="7" t="s">
        <v>12360</v>
      </c>
      <c r="AO579" s="7" t="s">
        <v>12361</v>
      </c>
      <c r="AP579" s="3"/>
      <c r="AQ579" s="3"/>
      <c r="AR579" s="7" t="s">
        <v>12362</v>
      </c>
      <c r="AS579" s="3"/>
      <c r="AT579" s="3"/>
      <c r="AU579" s="7" t="s">
        <v>12363</v>
      </c>
      <c r="AV579" s="3"/>
      <c r="AW579" s="3"/>
    </row>
    <row r="580" spans="1:49" ht="12.5" x14ac:dyDescent="0.25">
      <c r="A580" s="3" t="s">
        <v>46</v>
      </c>
      <c r="B580" s="21" t="str">
        <f>HYPERLINK("https://gerandofalcoes.my.salesforce.com/0014P00003SGWPm", "0014P00003SGWPm")</f>
        <v>0014P00003SGWPm</v>
      </c>
      <c r="C580" s="21" t="str">
        <f>HYPERLINK("https://gerandofalcoes.my.salesforce.com/0014P00003SGWPmQAP", "0014P00003SGWPmQAP")</f>
        <v>0014P00003SGWPmQAP</v>
      </c>
      <c r="D580" s="3" t="s">
        <v>2031</v>
      </c>
      <c r="E580" s="3" t="s">
        <v>2032</v>
      </c>
      <c r="F580" s="3" t="s">
        <v>2033</v>
      </c>
      <c r="G580" s="6">
        <v>44432</v>
      </c>
      <c r="H580" s="3">
        <v>364</v>
      </c>
      <c r="I580" s="3" t="s">
        <v>2034</v>
      </c>
      <c r="J580" s="3" t="s">
        <v>2035</v>
      </c>
      <c r="K580" s="3" t="s">
        <v>2036</v>
      </c>
      <c r="L580" s="3" t="s">
        <v>557</v>
      </c>
      <c r="M580" s="3" t="s">
        <v>12364</v>
      </c>
      <c r="N580" s="3" t="s">
        <v>2038</v>
      </c>
      <c r="O580" s="3" t="s">
        <v>2036</v>
      </c>
      <c r="P580" s="3" t="s">
        <v>1149</v>
      </c>
      <c r="Q580" s="3" t="s">
        <v>2040</v>
      </c>
      <c r="R580" s="3" t="s">
        <v>12365</v>
      </c>
      <c r="S580" s="3" t="s">
        <v>2041</v>
      </c>
      <c r="T580" s="3" t="s">
        <v>12366</v>
      </c>
      <c r="U580" s="3" t="s">
        <v>9169</v>
      </c>
      <c r="V580" s="3" t="s">
        <v>12367</v>
      </c>
      <c r="W580" s="3">
        <v>20</v>
      </c>
      <c r="X580" s="3">
        <v>20</v>
      </c>
      <c r="Y580" s="3" t="s">
        <v>2044</v>
      </c>
      <c r="Z580" s="3">
        <v>37</v>
      </c>
      <c r="AA580" s="3">
        <v>17685</v>
      </c>
      <c r="AB580" s="6">
        <v>44088</v>
      </c>
      <c r="AC580" s="3" t="s">
        <v>62</v>
      </c>
      <c r="AD580" s="3">
        <v>2</v>
      </c>
      <c r="AE580" s="3">
        <v>17</v>
      </c>
      <c r="AF580" s="3">
        <v>4</v>
      </c>
      <c r="AG580" s="3" t="s">
        <v>12368</v>
      </c>
      <c r="AH580" s="3" t="s">
        <v>2045</v>
      </c>
      <c r="AI580" s="3">
        <v>20000</v>
      </c>
      <c r="AJ580" s="3" t="s">
        <v>120</v>
      </c>
      <c r="AK580" s="3" t="s">
        <v>120</v>
      </c>
      <c r="AL580" s="7" t="s">
        <v>12369</v>
      </c>
      <c r="AM580" s="7" t="s">
        <v>12370</v>
      </c>
      <c r="AN580" s="7" t="s">
        <v>12371</v>
      </c>
      <c r="AO580" s="3"/>
      <c r="AP580" s="3"/>
      <c r="AQ580" s="7" t="s">
        <v>12372</v>
      </c>
      <c r="AR580" s="7" t="s">
        <v>12373</v>
      </c>
      <c r="AS580" s="7" t="s">
        <v>12374</v>
      </c>
      <c r="AT580" s="7" t="s">
        <v>12375</v>
      </c>
      <c r="AU580" s="7" t="s">
        <v>12376</v>
      </c>
      <c r="AV580" s="3"/>
      <c r="AW580" s="3"/>
    </row>
    <row r="581" spans="1:49" ht="12.5" x14ac:dyDescent="0.25">
      <c r="A581" s="3" t="s">
        <v>46</v>
      </c>
      <c r="B581" s="21" t="str">
        <f>HYPERLINK("https://gerandofalcoes.my.salesforce.com/0014P00003SGWPn", "0014P00003SGWPn")</f>
        <v>0014P00003SGWPn</v>
      </c>
      <c r="C581" s="21" t="str">
        <f>HYPERLINK("https://gerandofalcoes.my.salesforce.com/0014P00003SGWPnQAP", "0014P00003SGWPnQAP")</f>
        <v>0014P00003SGWPnQAP</v>
      </c>
      <c r="D581" s="3" t="s">
        <v>2055</v>
      </c>
      <c r="E581" s="3" t="s">
        <v>2056</v>
      </c>
      <c r="F581" s="3" t="s">
        <v>2057</v>
      </c>
      <c r="G581" s="6">
        <v>44432</v>
      </c>
      <c r="H581" s="3">
        <v>364</v>
      </c>
      <c r="I581" s="3" t="s">
        <v>2058</v>
      </c>
      <c r="J581" s="3" t="s">
        <v>2059</v>
      </c>
      <c r="K581" s="3" t="s">
        <v>2060</v>
      </c>
      <c r="L581" s="3" t="s">
        <v>70</v>
      </c>
      <c r="M581" s="3" t="s">
        <v>12377</v>
      </c>
      <c r="N581" s="3" t="s">
        <v>2062</v>
      </c>
      <c r="O581" s="3" t="s">
        <v>12378</v>
      </c>
      <c r="P581" s="3" t="s">
        <v>73</v>
      </c>
      <c r="Q581" s="3" t="s">
        <v>2063</v>
      </c>
      <c r="R581" s="3" t="s">
        <v>12379</v>
      </c>
      <c r="S581" s="3" t="s">
        <v>2064</v>
      </c>
      <c r="T581" s="3" t="s">
        <v>12380</v>
      </c>
      <c r="U581" s="3" t="s">
        <v>8927</v>
      </c>
      <c r="V581" s="3" t="s">
        <v>12381</v>
      </c>
      <c r="W581" s="3">
        <v>16</v>
      </c>
      <c r="X581" s="3">
        <v>16</v>
      </c>
      <c r="Y581" s="3" t="s">
        <v>2068</v>
      </c>
      <c r="Z581" s="3">
        <v>180</v>
      </c>
      <c r="AA581" s="3">
        <v>1250</v>
      </c>
      <c r="AB581" s="8">
        <v>38301</v>
      </c>
      <c r="AC581" s="3" t="s">
        <v>62</v>
      </c>
      <c r="AD581" s="3">
        <v>20</v>
      </c>
      <c r="AE581" s="3">
        <v>0</v>
      </c>
      <c r="AF581" s="3">
        <v>1</v>
      </c>
      <c r="AG581" s="3" t="s">
        <v>12382</v>
      </c>
      <c r="AH581" s="3" t="s">
        <v>12383</v>
      </c>
      <c r="AI581" s="3">
        <v>400000</v>
      </c>
      <c r="AJ581" s="3" t="s">
        <v>120</v>
      </c>
      <c r="AK581" s="3" t="s">
        <v>120</v>
      </c>
      <c r="AL581" s="7" t="s">
        <v>12384</v>
      </c>
      <c r="AM581" s="7" t="s">
        <v>12385</v>
      </c>
      <c r="AN581" s="7" t="s">
        <v>12386</v>
      </c>
      <c r="AO581" s="7" t="s">
        <v>12387</v>
      </c>
      <c r="AP581" s="3"/>
      <c r="AQ581" s="7" t="s">
        <v>12388</v>
      </c>
      <c r="AR581" s="7" t="s">
        <v>12389</v>
      </c>
      <c r="AS581" s="7" t="s">
        <v>12390</v>
      </c>
      <c r="AT581" s="7" t="s">
        <v>12391</v>
      </c>
      <c r="AU581" s="7" t="s">
        <v>12392</v>
      </c>
      <c r="AV581" s="7" t="s">
        <v>12393</v>
      </c>
      <c r="AW581" s="7" t="s">
        <v>12394</v>
      </c>
    </row>
    <row r="582" spans="1:49" ht="12.5" x14ac:dyDescent="0.25">
      <c r="A582" s="3" t="s">
        <v>152</v>
      </c>
      <c r="B582" s="21" t="str">
        <f>HYPERLINK("https://gerandofalcoes.my.salesforce.com/0014P00003SGWPo", "0014P00003SGWPo")</f>
        <v>0014P00003SGWPo</v>
      </c>
      <c r="C582" s="21" t="str">
        <f>HYPERLINK("https://gerandofalcoes.my.salesforce.com/0014P00003SGWPoQAP", "0014P00003SGWPoQAP")</f>
        <v>0014P00003SGWPoQAP</v>
      </c>
      <c r="D582" s="3" t="s">
        <v>2082</v>
      </c>
      <c r="E582" s="3" t="s">
        <v>2083</v>
      </c>
      <c r="F582" s="3" t="s">
        <v>2084</v>
      </c>
      <c r="G582" s="6">
        <v>44432</v>
      </c>
      <c r="H582" s="3">
        <v>364</v>
      </c>
      <c r="I582" s="3" t="s">
        <v>12395</v>
      </c>
      <c r="J582" s="3" t="s">
        <v>2086</v>
      </c>
      <c r="K582" s="3" t="s">
        <v>2087</v>
      </c>
      <c r="L582" s="3" t="s">
        <v>468</v>
      </c>
      <c r="M582" s="3" t="s">
        <v>12396</v>
      </c>
      <c r="N582" s="3" t="s">
        <v>647</v>
      </c>
      <c r="O582" s="3" t="s">
        <v>12397</v>
      </c>
      <c r="P582" s="3" t="s">
        <v>2089</v>
      </c>
      <c r="Q582" s="3"/>
      <c r="R582" s="3" t="s">
        <v>3511</v>
      </c>
      <c r="S582" s="3" t="s">
        <v>2090</v>
      </c>
      <c r="T582" s="3" t="s">
        <v>10351</v>
      </c>
      <c r="U582" s="3" t="s">
        <v>9152</v>
      </c>
      <c r="V582" s="3" t="s">
        <v>11323</v>
      </c>
      <c r="W582" s="3">
        <v>14</v>
      </c>
      <c r="X582" s="3">
        <v>14</v>
      </c>
      <c r="Y582" s="3"/>
      <c r="Z582" s="3">
        <v>120</v>
      </c>
      <c r="AA582" s="3">
        <v>660</v>
      </c>
      <c r="AB582" s="6">
        <v>43806</v>
      </c>
      <c r="AC582" s="3" t="s">
        <v>62</v>
      </c>
      <c r="AD582" s="3">
        <v>0</v>
      </c>
      <c r="AE582" s="3">
        <v>9</v>
      </c>
      <c r="AF582" s="3">
        <v>2</v>
      </c>
      <c r="AG582" s="3" t="s">
        <v>12398</v>
      </c>
      <c r="AH582" s="3" t="s">
        <v>12399</v>
      </c>
      <c r="AI582" s="3">
        <v>1000</v>
      </c>
      <c r="AJ582" s="3" t="s">
        <v>120</v>
      </c>
      <c r="AK582" s="3" t="s">
        <v>120</v>
      </c>
      <c r="AL582" s="3"/>
      <c r="AM582" s="7" t="s">
        <v>12400</v>
      </c>
      <c r="AN582" s="7" t="s">
        <v>12401</v>
      </c>
      <c r="AO582" s="3"/>
      <c r="AP582" s="3"/>
      <c r="AQ582" s="3"/>
      <c r="AR582" s="7" t="s">
        <v>12402</v>
      </c>
      <c r="AS582" s="7" t="s">
        <v>12403</v>
      </c>
      <c r="AT582" s="3"/>
      <c r="AU582" s="3"/>
      <c r="AV582" s="3"/>
      <c r="AW582" s="7" t="s">
        <v>12404</v>
      </c>
    </row>
    <row r="583" spans="1:49" ht="12.5" x14ac:dyDescent="0.25">
      <c r="A583" s="3" t="s">
        <v>152</v>
      </c>
      <c r="B583" s="21" t="str">
        <f>HYPERLINK("https://gerandofalcoes.my.salesforce.com/0014P00003SGWPp", "0014P00003SGWPp")</f>
        <v>0014P00003SGWPp</v>
      </c>
      <c r="C583" s="21" t="str">
        <f>HYPERLINK("https://gerandofalcoes.my.salesforce.com/0014P00003SGWPpQAP", "0014P00003SGWPpQAP")</f>
        <v>0014P00003SGWPpQAP</v>
      </c>
      <c r="D583" s="3" t="s">
        <v>2099</v>
      </c>
      <c r="E583" s="3" t="s">
        <v>12405</v>
      </c>
      <c r="F583" s="3" t="s">
        <v>2101</v>
      </c>
      <c r="G583" s="6">
        <v>44432</v>
      </c>
      <c r="H583" s="3">
        <v>364</v>
      </c>
      <c r="I583" s="3" t="s">
        <v>2102</v>
      </c>
      <c r="J583" s="3" t="s">
        <v>2103</v>
      </c>
      <c r="K583" s="3" t="s">
        <v>2104</v>
      </c>
      <c r="L583" s="3" t="s">
        <v>84</v>
      </c>
      <c r="M583" s="3" t="s">
        <v>12406</v>
      </c>
      <c r="N583" s="3" t="s">
        <v>2106</v>
      </c>
      <c r="O583" s="3" t="s">
        <v>12407</v>
      </c>
      <c r="P583" s="3" t="s">
        <v>12408</v>
      </c>
      <c r="Q583" s="3"/>
      <c r="R583" s="3" t="s">
        <v>12409</v>
      </c>
      <c r="S583" s="3"/>
      <c r="T583" s="3" t="s">
        <v>12410</v>
      </c>
      <c r="U583" s="3" t="s">
        <v>8895</v>
      </c>
      <c r="V583" s="3" t="s">
        <v>9568</v>
      </c>
      <c r="W583" s="3">
        <v>5</v>
      </c>
      <c r="X583" s="3">
        <v>5</v>
      </c>
      <c r="Y583" s="3"/>
      <c r="Z583" s="3">
        <v>80</v>
      </c>
      <c r="AA583" s="3">
        <v>5120</v>
      </c>
      <c r="AB583" s="6">
        <v>44243</v>
      </c>
      <c r="AC583" s="3" t="s">
        <v>62</v>
      </c>
      <c r="AD583" s="3">
        <v>1</v>
      </c>
      <c r="AE583" s="3">
        <v>40</v>
      </c>
      <c r="AF583" s="3">
        <v>5</v>
      </c>
      <c r="AG583" s="3" t="s">
        <v>11585</v>
      </c>
      <c r="AH583" s="3" t="s">
        <v>12411</v>
      </c>
      <c r="AI583" s="3">
        <v>36000</v>
      </c>
      <c r="AJ583" s="3" t="s">
        <v>120</v>
      </c>
      <c r="AK583" s="3" t="s">
        <v>120</v>
      </c>
      <c r="AL583" s="7" t="s">
        <v>12412</v>
      </c>
      <c r="AM583" s="7" t="s">
        <v>12413</v>
      </c>
      <c r="AN583" s="7" t="s">
        <v>12414</v>
      </c>
      <c r="AO583" s="7" t="s">
        <v>12415</v>
      </c>
      <c r="AP583" s="3"/>
      <c r="AQ583" s="7" t="s">
        <v>12416</v>
      </c>
      <c r="AR583" s="7" t="s">
        <v>12417</v>
      </c>
      <c r="AS583" s="7" t="s">
        <v>12418</v>
      </c>
      <c r="AT583" s="7" t="s">
        <v>12419</v>
      </c>
      <c r="AU583" s="7" t="s">
        <v>12420</v>
      </c>
      <c r="AV583" s="3"/>
      <c r="AW583" s="7" t="s">
        <v>12421</v>
      </c>
    </row>
    <row r="584" spans="1:49" ht="12.5" x14ac:dyDescent="0.25">
      <c r="A584" s="3" t="s">
        <v>46</v>
      </c>
      <c r="B584" s="21" t="str">
        <f>HYPERLINK("https://gerandofalcoes.my.salesforce.com/0014P00003SGWPq", "0014P00003SGWPq")</f>
        <v>0014P00003SGWPq</v>
      </c>
      <c r="C584" s="21" t="str">
        <f>HYPERLINK("https://gerandofalcoes.my.salesforce.com/0014P00003SGWPqQAP", "0014P00003SGWPqQAP")</f>
        <v>0014P00003SGWPqQAP</v>
      </c>
      <c r="D584" s="3" t="s">
        <v>2122</v>
      </c>
      <c r="E584" s="3" t="s">
        <v>2123</v>
      </c>
      <c r="F584" s="3" t="s">
        <v>2124</v>
      </c>
      <c r="G584" s="6">
        <v>44432</v>
      </c>
      <c r="H584" s="3">
        <v>364</v>
      </c>
      <c r="I584" s="3" t="s">
        <v>2125</v>
      </c>
      <c r="J584" s="3" t="s">
        <v>2126</v>
      </c>
      <c r="K584" s="3" t="s">
        <v>623</v>
      </c>
      <c r="L584" s="3" t="s">
        <v>84</v>
      </c>
      <c r="M584" s="3" t="s">
        <v>12422</v>
      </c>
      <c r="N584" s="3" t="s">
        <v>2128</v>
      </c>
      <c r="O584" s="3" t="s">
        <v>12423</v>
      </c>
      <c r="P584" s="3" t="s">
        <v>6077</v>
      </c>
      <c r="Q584" s="3"/>
      <c r="R584" s="3" t="s">
        <v>12424</v>
      </c>
      <c r="S584" s="3"/>
      <c r="T584" s="3" t="s">
        <v>12425</v>
      </c>
      <c r="U584" s="3" t="s">
        <v>9005</v>
      </c>
      <c r="V584" s="3" t="s">
        <v>9719</v>
      </c>
      <c r="W584" s="3">
        <v>3</v>
      </c>
      <c r="X584" s="3">
        <v>3</v>
      </c>
      <c r="Y584" s="3"/>
      <c r="Z584" s="3">
        <v>200</v>
      </c>
      <c r="AA584" s="3">
        <v>1000</v>
      </c>
      <c r="AB584" s="6">
        <v>42874</v>
      </c>
      <c r="AC584" s="3" t="s">
        <v>62</v>
      </c>
      <c r="AD584" s="3">
        <v>2</v>
      </c>
      <c r="AE584" s="3">
        <v>4</v>
      </c>
      <c r="AF584" s="3">
        <v>0</v>
      </c>
      <c r="AG584" s="3" t="s">
        <v>12426</v>
      </c>
      <c r="AH584" s="3" t="s">
        <v>12427</v>
      </c>
      <c r="AI584" s="3">
        <v>140000</v>
      </c>
      <c r="AJ584" s="3" t="s">
        <v>120</v>
      </c>
      <c r="AK584" s="3" t="s">
        <v>120</v>
      </c>
      <c r="AL584" s="7" t="s">
        <v>12428</v>
      </c>
      <c r="AM584" s="7" t="s">
        <v>12429</v>
      </c>
      <c r="AN584" s="7" t="s">
        <v>12430</v>
      </c>
      <c r="AO584" s="7" t="s">
        <v>12431</v>
      </c>
      <c r="AP584" s="3"/>
      <c r="AQ584" s="7" t="s">
        <v>12432</v>
      </c>
      <c r="AR584" s="7" t="s">
        <v>12433</v>
      </c>
      <c r="AS584" s="7" t="s">
        <v>12434</v>
      </c>
      <c r="AT584" s="7" t="s">
        <v>12435</v>
      </c>
      <c r="AU584" s="7" t="s">
        <v>12436</v>
      </c>
      <c r="AV584" s="7" t="s">
        <v>12437</v>
      </c>
      <c r="AW584" s="7" t="s">
        <v>12438</v>
      </c>
    </row>
    <row r="585" spans="1:49" ht="12.5" x14ac:dyDescent="0.25">
      <c r="A585" s="3" t="s">
        <v>46</v>
      </c>
      <c r="B585" s="21" t="str">
        <f>HYPERLINK("https://gerandofalcoes.my.salesforce.com/0014P00003SGWPr", "0014P00003SGWPr")</f>
        <v>0014P00003SGWPr</v>
      </c>
      <c r="C585" s="21" t="str">
        <f>HYPERLINK("https://gerandofalcoes.my.salesforce.com/0014P00003SGWPrQAP", "0014P00003SGWPrQAP")</f>
        <v>0014P00003SGWPrQAP</v>
      </c>
      <c r="D585" s="3" t="s">
        <v>2144</v>
      </c>
      <c r="E585" s="3" t="s">
        <v>2145</v>
      </c>
      <c r="F585" s="3" t="s">
        <v>2146</v>
      </c>
      <c r="G585" s="6">
        <v>44432</v>
      </c>
      <c r="H585" s="3">
        <v>364</v>
      </c>
      <c r="I585" s="3" t="s">
        <v>2147</v>
      </c>
      <c r="J585" s="3" t="s">
        <v>2148</v>
      </c>
      <c r="K585" s="3" t="s">
        <v>2149</v>
      </c>
      <c r="L585" s="3" t="s">
        <v>1002</v>
      </c>
      <c r="M585" s="3" t="s">
        <v>12439</v>
      </c>
      <c r="N585" s="3" t="s">
        <v>2151</v>
      </c>
      <c r="O585" s="3" t="s">
        <v>12440</v>
      </c>
      <c r="P585" s="3" t="s">
        <v>12441</v>
      </c>
      <c r="Q585" s="3"/>
      <c r="R585" s="3" t="s">
        <v>12442</v>
      </c>
      <c r="S585" s="3" t="s">
        <v>2153</v>
      </c>
      <c r="T585" s="3" t="s">
        <v>12443</v>
      </c>
      <c r="U585" s="3" t="s">
        <v>8880</v>
      </c>
      <c r="V585" s="3" t="s">
        <v>12444</v>
      </c>
      <c r="W585" s="3">
        <v>7</v>
      </c>
      <c r="X585" s="3">
        <v>7</v>
      </c>
      <c r="Y585" s="3" t="s">
        <v>12445</v>
      </c>
      <c r="Z585" s="3">
        <v>0</v>
      </c>
      <c r="AA585" s="3">
        <v>500</v>
      </c>
      <c r="AB585" s="6">
        <v>38558</v>
      </c>
      <c r="AC585" s="3" t="s">
        <v>62</v>
      </c>
      <c r="AD585" s="3">
        <v>0</v>
      </c>
      <c r="AE585" s="3">
        <v>5</v>
      </c>
      <c r="AF585" s="3">
        <v>0</v>
      </c>
      <c r="AG585" s="3" t="s">
        <v>12044</v>
      </c>
      <c r="AH585" s="3" t="s">
        <v>2157</v>
      </c>
      <c r="AI585" s="3">
        <v>50000</v>
      </c>
      <c r="AJ585" s="3" t="s">
        <v>120</v>
      </c>
      <c r="AK585" s="3" t="s">
        <v>120</v>
      </c>
      <c r="AL585" s="7" t="s">
        <v>12446</v>
      </c>
      <c r="AM585" s="7" t="s">
        <v>12447</v>
      </c>
      <c r="AN585" s="7" t="s">
        <v>12448</v>
      </c>
      <c r="AO585" s="7" t="s">
        <v>12449</v>
      </c>
      <c r="AP585" s="3"/>
      <c r="AQ585" s="7" t="s">
        <v>12450</v>
      </c>
      <c r="AR585" s="7" t="s">
        <v>12451</v>
      </c>
      <c r="AS585" s="7" t="s">
        <v>12452</v>
      </c>
      <c r="AT585" s="7" t="s">
        <v>12453</v>
      </c>
      <c r="AU585" s="3" t="s">
        <v>12454</v>
      </c>
      <c r="AV585" s="3"/>
      <c r="AW585" s="3"/>
    </row>
    <row r="586" spans="1:49" ht="12.5" x14ac:dyDescent="0.25">
      <c r="A586" s="3" t="s">
        <v>152</v>
      </c>
      <c r="B586" s="21" t="str">
        <f>HYPERLINK("https://gerandofalcoes.my.salesforce.com/0014P00003SGWPs", "0014P00003SGWPs")</f>
        <v>0014P00003SGWPs</v>
      </c>
      <c r="C586" s="21" t="str">
        <f>HYPERLINK("https://gerandofalcoes.my.salesforce.com/0014P00003SGWPsQAP", "0014P00003SGWPsQAP")</f>
        <v>0014P00003SGWPsQAP</v>
      </c>
      <c r="D586" s="3" t="s">
        <v>2167</v>
      </c>
      <c r="E586" s="3" t="s">
        <v>12455</v>
      </c>
      <c r="F586" s="3" t="s">
        <v>2169</v>
      </c>
      <c r="G586" s="6">
        <v>44432</v>
      </c>
      <c r="H586" s="3">
        <v>364</v>
      </c>
      <c r="I586" s="3" t="s">
        <v>2170</v>
      </c>
      <c r="J586" s="3" t="s">
        <v>2171</v>
      </c>
      <c r="K586" s="3" t="s">
        <v>12456</v>
      </c>
      <c r="L586" s="3" t="s">
        <v>84</v>
      </c>
      <c r="M586" s="3" t="s">
        <v>12457</v>
      </c>
      <c r="N586" s="3" t="s">
        <v>647</v>
      </c>
      <c r="O586" s="3" t="s">
        <v>12458</v>
      </c>
      <c r="P586" s="3" t="s">
        <v>2174</v>
      </c>
      <c r="Q586" s="3" t="s">
        <v>2175</v>
      </c>
      <c r="R586" s="3" t="s">
        <v>12459</v>
      </c>
      <c r="S586" s="3"/>
      <c r="T586" s="3" t="s">
        <v>2933</v>
      </c>
      <c r="U586" s="3" t="s">
        <v>9152</v>
      </c>
      <c r="V586" s="3" t="s">
        <v>3800</v>
      </c>
      <c r="W586" s="3">
        <v>25</v>
      </c>
      <c r="X586" s="3">
        <v>25</v>
      </c>
      <c r="Y586" s="3" t="s">
        <v>12460</v>
      </c>
      <c r="Z586" s="3">
        <v>314</v>
      </c>
      <c r="AA586" s="3">
        <v>1200</v>
      </c>
      <c r="AB586" s="6">
        <v>37296</v>
      </c>
      <c r="AC586" s="3" t="s">
        <v>62</v>
      </c>
      <c r="AD586" s="3">
        <v>49</v>
      </c>
      <c r="AE586" s="3">
        <v>5</v>
      </c>
      <c r="AF586" s="3">
        <v>3</v>
      </c>
      <c r="AG586" s="3" t="s">
        <v>12461</v>
      </c>
      <c r="AH586" s="3" t="s">
        <v>12462</v>
      </c>
      <c r="AI586" s="3">
        <v>1126099.1000000001</v>
      </c>
      <c r="AJ586" s="3" t="s">
        <v>120</v>
      </c>
      <c r="AK586" s="3" t="s">
        <v>120</v>
      </c>
      <c r="AL586" s="7" t="s">
        <v>12463</v>
      </c>
      <c r="AM586" s="3" t="s">
        <v>12464</v>
      </c>
      <c r="AN586" s="7" t="s">
        <v>12465</v>
      </c>
      <c r="AO586" s="7" t="s">
        <v>12466</v>
      </c>
      <c r="AP586" s="7" t="s">
        <v>2186</v>
      </c>
      <c r="AQ586" s="3"/>
      <c r="AR586" s="3"/>
      <c r="AS586" s="7" t="s">
        <v>12467</v>
      </c>
      <c r="AT586" s="7" t="s">
        <v>12468</v>
      </c>
      <c r="AU586" s="3"/>
      <c r="AV586" s="3"/>
      <c r="AW586" s="3"/>
    </row>
    <row r="587" spans="1:49" ht="12.5" x14ac:dyDescent="0.25">
      <c r="A587" s="3" t="s">
        <v>46</v>
      </c>
      <c r="B587" s="21" t="str">
        <f>HYPERLINK("https://gerandofalcoes.my.salesforce.com/0014P00003SGWPt", "0014P00003SGWPt")</f>
        <v>0014P00003SGWPt</v>
      </c>
      <c r="C587" s="21" t="str">
        <f>HYPERLINK("https://gerandofalcoes.my.salesforce.com/0014P00003SGWPtQAP", "0014P00003SGWPtQAP")</f>
        <v>0014P00003SGWPtQAP</v>
      </c>
      <c r="D587" s="3" t="s">
        <v>2188</v>
      </c>
      <c r="E587" s="3" t="s">
        <v>2189</v>
      </c>
      <c r="F587" s="3" t="s">
        <v>2190</v>
      </c>
      <c r="G587" s="6">
        <v>44432</v>
      </c>
      <c r="H587" s="3">
        <v>364</v>
      </c>
      <c r="I587" s="3" t="s">
        <v>2191</v>
      </c>
      <c r="J587" s="3" t="s">
        <v>2192</v>
      </c>
      <c r="K587" s="3" t="s">
        <v>2193</v>
      </c>
      <c r="L587" s="3" t="s">
        <v>1381</v>
      </c>
      <c r="M587" s="3" t="s">
        <v>12469</v>
      </c>
      <c r="N587" s="3" t="s">
        <v>2195</v>
      </c>
      <c r="O587" s="3" t="s">
        <v>12470</v>
      </c>
      <c r="P587" s="3" t="s">
        <v>2195</v>
      </c>
      <c r="Q587" s="3"/>
      <c r="R587" s="3" t="s">
        <v>3557</v>
      </c>
      <c r="S587" s="3"/>
      <c r="T587" s="3" t="s">
        <v>8943</v>
      </c>
      <c r="U587" s="3" t="s">
        <v>8852</v>
      </c>
      <c r="V587" s="3" t="s">
        <v>3832</v>
      </c>
      <c r="W587" s="3">
        <v>5</v>
      </c>
      <c r="X587" s="3">
        <v>5</v>
      </c>
      <c r="Y587" s="3" t="s">
        <v>2199</v>
      </c>
      <c r="Z587" s="3">
        <v>3000</v>
      </c>
      <c r="AA587" s="3">
        <v>5500</v>
      </c>
      <c r="AB587" s="6">
        <v>38144</v>
      </c>
      <c r="AC587" s="3" t="s">
        <v>62</v>
      </c>
      <c r="AD587" s="3">
        <v>3</v>
      </c>
      <c r="AE587" s="3">
        <v>15</v>
      </c>
      <c r="AF587" s="3">
        <v>0</v>
      </c>
      <c r="AG587" s="3" t="s">
        <v>12471</v>
      </c>
      <c r="AH587" s="3" t="s">
        <v>2200</v>
      </c>
      <c r="AI587" s="3">
        <v>400000</v>
      </c>
      <c r="AJ587" s="3" t="s">
        <v>62</v>
      </c>
      <c r="AK587" s="3" t="s">
        <v>120</v>
      </c>
      <c r="AL587" s="3"/>
      <c r="AM587" s="7" t="s">
        <v>12472</v>
      </c>
      <c r="AN587" s="7" t="s">
        <v>12473</v>
      </c>
      <c r="AO587" s="7" t="s">
        <v>12474</v>
      </c>
      <c r="AP587" s="3"/>
      <c r="AQ587" s="7" t="s">
        <v>12475</v>
      </c>
      <c r="AR587" s="7" t="s">
        <v>12476</v>
      </c>
      <c r="AS587" s="7" t="s">
        <v>12477</v>
      </c>
      <c r="AT587" s="7" t="s">
        <v>12478</v>
      </c>
      <c r="AU587" s="3" t="s">
        <v>12479</v>
      </c>
      <c r="AV587" s="3"/>
      <c r="AW587" s="3"/>
    </row>
    <row r="588" spans="1:49" ht="12.5" x14ac:dyDescent="0.25">
      <c r="A588" s="3" t="s">
        <v>46</v>
      </c>
      <c r="B588" s="21" t="str">
        <f>HYPERLINK("https://gerandofalcoes.my.salesforce.com/0014P00003SGWFq", "0014P00003SGWFq")</f>
        <v>0014P00003SGWFq</v>
      </c>
      <c r="C588" s="21" t="str">
        <f>HYPERLINK("https://gerandofalcoes.my.salesforce.com/0014P00003SGWFqQAP", "0014P00003SGWFqQAP")</f>
        <v>0014P00003SGWFqQAP</v>
      </c>
      <c r="D588" s="3" t="s">
        <v>2227</v>
      </c>
      <c r="E588" s="3" t="s">
        <v>2228</v>
      </c>
      <c r="F588" s="3" t="s">
        <v>2229</v>
      </c>
      <c r="G588" s="6">
        <v>44432</v>
      </c>
      <c r="H588" s="3">
        <v>364</v>
      </c>
      <c r="I588" s="3" t="s">
        <v>2230</v>
      </c>
      <c r="J588" s="3" t="s">
        <v>2231</v>
      </c>
      <c r="K588" s="3" t="s">
        <v>2232</v>
      </c>
      <c r="L588" s="3" t="s">
        <v>84</v>
      </c>
      <c r="M588" s="3" t="s">
        <v>2233</v>
      </c>
      <c r="N588" s="3" t="s">
        <v>647</v>
      </c>
      <c r="O588" s="3" t="s">
        <v>12480</v>
      </c>
      <c r="P588" s="3" t="s">
        <v>12481</v>
      </c>
      <c r="Q588" s="3"/>
      <c r="R588" s="3" t="s">
        <v>3598</v>
      </c>
      <c r="S588" s="3"/>
      <c r="T588" s="3" t="s">
        <v>12482</v>
      </c>
      <c r="U588" s="3" t="s">
        <v>9807</v>
      </c>
      <c r="V588" s="3" t="s">
        <v>12483</v>
      </c>
      <c r="W588" s="3">
        <v>16</v>
      </c>
      <c r="X588" s="3">
        <v>16</v>
      </c>
      <c r="Y588" s="3" t="s">
        <v>2239</v>
      </c>
      <c r="Z588" s="3">
        <v>150</v>
      </c>
      <c r="AA588" s="3">
        <v>5000</v>
      </c>
      <c r="AB588" s="6">
        <v>36278</v>
      </c>
      <c r="AC588" s="3" t="s">
        <v>62</v>
      </c>
      <c r="AD588" s="3">
        <v>10</v>
      </c>
      <c r="AE588" s="3">
        <v>36</v>
      </c>
      <c r="AF588" s="3">
        <v>4</v>
      </c>
      <c r="AG588" s="3" t="s">
        <v>11298</v>
      </c>
      <c r="AH588" s="3" t="s">
        <v>12484</v>
      </c>
      <c r="AI588" s="3">
        <v>320000</v>
      </c>
      <c r="AJ588" s="3" t="s">
        <v>62</v>
      </c>
      <c r="AK588" s="3" t="s">
        <v>120</v>
      </c>
      <c r="AL588" s="7" t="s">
        <v>12485</v>
      </c>
      <c r="AM588" s="7" t="s">
        <v>12486</v>
      </c>
      <c r="AN588" s="7" t="s">
        <v>12487</v>
      </c>
      <c r="AO588" s="7" t="s">
        <v>12488</v>
      </c>
      <c r="AP588" s="3"/>
      <c r="AQ588" s="7" t="s">
        <v>12489</v>
      </c>
      <c r="AR588" s="7" t="s">
        <v>12490</v>
      </c>
      <c r="AS588" s="7" t="s">
        <v>12491</v>
      </c>
      <c r="AT588" s="7" t="s">
        <v>12492</v>
      </c>
      <c r="AU588" s="7" t="s">
        <v>12493</v>
      </c>
      <c r="AV588" s="7" t="s">
        <v>12494</v>
      </c>
      <c r="AW588" s="7" t="s">
        <v>12495</v>
      </c>
    </row>
    <row r="589" spans="1:49" ht="12.5" x14ac:dyDescent="0.25">
      <c r="A589" s="3" t="s">
        <v>46</v>
      </c>
      <c r="B589" s="21" t="str">
        <f>HYPERLINK("https://gerandofalcoes.my.salesforce.com/0014P00003SGWPM", "0014P00003SGWPM")</f>
        <v>0014P00003SGWPM</v>
      </c>
      <c r="C589" s="21" t="str">
        <f>HYPERLINK("https://gerandofalcoes.my.salesforce.com/0014P00003SGWPMQA5", "0014P00003SGWPMQA5")</f>
        <v>0014P00003SGWPMQA5</v>
      </c>
      <c r="D589" s="3" t="s">
        <v>2254</v>
      </c>
      <c r="E589" s="3" t="s">
        <v>2255</v>
      </c>
      <c r="F589" s="3" t="s">
        <v>12496</v>
      </c>
      <c r="G589" s="6">
        <v>44432</v>
      </c>
      <c r="H589" s="3">
        <v>364</v>
      </c>
      <c r="I589" s="3" t="s">
        <v>2256</v>
      </c>
      <c r="J589" s="3" t="s">
        <v>2257</v>
      </c>
      <c r="K589" s="3" t="s">
        <v>2258</v>
      </c>
      <c r="L589" s="3" t="s">
        <v>84</v>
      </c>
      <c r="M589" s="3" t="s">
        <v>3606</v>
      </c>
      <c r="N589" s="3" t="s">
        <v>2260</v>
      </c>
      <c r="O589" s="3" t="s">
        <v>12497</v>
      </c>
      <c r="P589" s="3" t="s">
        <v>177</v>
      </c>
      <c r="Q589" s="3" t="s">
        <v>2261</v>
      </c>
      <c r="R589" s="3" t="s">
        <v>3608</v>
      </c>
      <c r="S589" s="3" t="s">
        <v>2262</v>
      </c>
      <c r="T589" s="3" t="s">
        <v>12498</v>
      </c>
      <c r="U589" s="3" t="s">
        <v>8852</v>
      </c>
      <c r="V589" s="3" t="s">
        <v>3800</v>
      </c>
      <c r="W589" s="3">
        <v>1</v>
      </c>
      <c r="X589" s="3">
        <v>1</v>
      </c>
      <c r="Y589" s="3"/>
      <c r="Z589" s="3">
        <v>150</v>
      </c>
      <c r="AA589" s="3">
        <v>2200</v>
      </c>
      <c r="AB589" s="8">
        <v>43419</v>
      </c>
      <c r="AC589" s="3" t="s">
        <v>120</v>
      </c>
      <c r="AD589" s="3">
        <v>0</v>
      </c>
      <c r="AE589" s="3">
        <v>4</v>
      </c>
      <c r="AF589" s="3">
        <v>4</v>
      </c>
      <c r="AG589" s="3" t="s">
        <v>3819</v>
      </c>
      <c r="AH589" s="3">
        <v>0</v>
      </c>
      <c r="AI589" s="3">
        <v>0</v>
      </c>
      <c r="AJ589" s="3" t="s">
        <v>120</v>
      </c>
      <c r="AK589" s="3" t="s">
        <v>120</v>
      </c>
      <c r="AL589" s="7" t="s">
        <v>12499</v>
      </c>
      <c r="AM589" s="7" t="s">
        <v>12500</v>
      </c>
      <c r="AN589" s="7" t="s">
        <v>12501</v>
      </c>
      <c r="AO589" s="3"/>
      <c r="AP589" s="3"/>
      <c r="AQ589" s="7" t="s">
        <v>12502</v>
      </c>
      <c r="AR589" s="3"/>
      <c r="AS589" s="3"/>
      <c r="AT589" s="7" t="s">
        <v>12503</v>
      </c>
      <c r="AU589" s="7" t="s">
        <v>12504</v>
      </c>
      <c r="AV589" s="3"/>
      <c r="AW589" s="3"/>
    </row>
    <row r="590" spans="1:49" ht="12.5" x14ac:dyDescent="0.25">
      <c r="A590" s="3" t="s">
        <v>46</v>
      </c>
      <c r="B590" s="21" t="str">
        <f>HYPERLINK("https://gerandofalcoes.my.salesforce.com/0014P00003SGWFr", "0014P00003SGWFr")</f>
        <v>0014P00003SGWFr</v>
      </c>
      <c r="C590" s="21" t="str">
        <f>HYPERLINK("https://gerandofalcoes.my.salesforce.com/0014P00003SGWFrQAP", "0014P00003SGWFrQAP")</f>
        <v>0014P00003SGWFrQAP</v>
      </c>
      <c r="D590" s="3" t="s">
        <v>2270</v>
      </c>
      <c r="E590" s="3" t="s">
        <v>2271</v>
      </c>
      <c r="F590" s="3" t="s">
        <v>2272</v>
      </c>
      <c r="G590" s="6">
        <v>44432</v>
      </c>
      <c r="H590" s="3">
        <v>364</v>
      </c>
      <c r="I590" s="3" t="s">
        <v>2273</v>
      </c>
      <c r="J590" s="3" t="s">
        <v>2274</v>
      </c>
      <c r="K590" s="3" t="s">
        <v>2275</v>
      </c>
      <c r="L590" s="3" t="s">
        <v>70</v>
      </c>
      <c r="M590" s="3" t="s">
        <v>12505</v>
      </c>
      <c r="N590" s="3" t="s">
        <v>2277</v>
      </c>
      <c r="O590" s="3" t="s">
        <v>12506</v>
      </c>
      <c r="P590" s="3" t="s">
        <v>12507</v>
      </c>
      <c r="Q590" s="3"/>
      <c r="R590" s="3" t="s">
        <v>12508</v>
      </c>
      <c r="S590" s="3"/>
      <c r="T590" s="3" t="s">
        <v>12509</v>
      </c>
      <c r="U590" s="3" t="s">
        <v>8895</v>
      </c>
      <c r="V590" s="3" t="s">
        <v>3800</v>
      </c>
      <c r="W590" s="3">
        <v>4</v>
      </c>
      <c r="X590" s="3">
        <v>4</v>
      </c>
      <c r="Y590" s="3" t="s">
        <v>2279</v>
      </c>
      <c r="Z590" s="3">
        <v>60</v>
      </c>
      <c r="AA590" s="3">
        <v>6400</v>
      </c>
      <c r="AB590" s="6">
        <v>43833</v>
      </c>
      <c r="AC590" s="3" t="s">
        <v>62</v>
      </c>
      <c r="AD590" s="3">
        <v>7</v>
      </c>
      <c r="AE590" s="3">
        <v>10</v>
      </c>
      <c r="AF590" s="3">
        <v>0</v>
      </c>
      <c r="AG590" s="3" t="s">
        <v>12510</v>
      </c>
      <c r="AH590" s="3" t="s">
        <v>2281</v>
      </c>
      <c r="AI590" s="3">
        <v>290000</v>
      </c>
      <c r="AJ590" s="3" t="s">
        <v>62</v>
      </c>
      <c r="AK590" s="3" t="s">
        <v>120</v>
      </c>
      <c r="AL590" s="3"/>
      <c r="AM590" s="7" t="s">
        <v>12511</v>
      </c>
      <c r="AN590" s="7" t="s">
        <v>12512</v>
      </c>
      <c r="AO590" s="7" t="s">
        <v>12513</v>
      </c>
      <c r="AP590" s="3"/>
      <c r="AQ590" s="7" t="s">
        <v>12514</v>
      </c>
      <c r="AR590" s="7" t="s">
        <v>12515</v>
      </c>
      <c r="AS590" s="7" t="s">
        <v>12516</v>
      </c>
      <c r="AT590" s="7" t="s">
        <v>12517</v>
      </c>
      <c r="AU590" s="7" t="s">
        <v>12518</v>
      </c>
      <c r="AV590" s="3"/>
      <c r="AW590" s="3"/>
    </row>
    <row r="591" spans="1:49" ht="12.5" x14ac:dyDescent="0.25">
      <c r="A591" s="3" t="s">
        <v>46</v>
      </c>
      <c r="B591" s="21" t="str">
        <f>HYPERLINK("https://gerandofalcoes.my.salesforce.com/0014P00003SGWFs", "0014P00003SGWFs")</f>
        <v>0014P00003SGWFs</v>
      </c>
      <c r="C591" s="21" t="str">
        <f>HYPERLINK("https://gerandofalcoes.my.salesforce.com/0014P00003SGWFsQAP", "0014P00003SGWFsQAP")</f>
        <v>0014P00003SGWFsQAP</v>
      </c>
      <c r="D591" s="3" t="s">
        <v>2210</v>
      </c>
      <c r="E591" s="3" t="s">
        <v>2211</v>
      </c>
      <c r="F591" s="3" t="s">
        <v>620</v>
      </c>
      <c r="G591" s="6">
        <v>44432</v>
      </c>
      <c r="H591" s="3">
        <v>364</v>
      </c>
      <c r="I591" s="3" t="s">
        <v>2212</v>
      </c>
      <c r="J591" s="3" t="s">
        <v>2213</v>
      </c>
      <c r="K591" s="3" t="s">
        <v>2214</v>
      </c>
      <c r="L591" s="3" t="s">
        <v>1676</v>
      </c>
      <c r="M591" s="3" t="s">
        <v>12519</v>
      </c>
      <c r="N591" s="3" t="s">
        <v>2216</v>
      </c>
      <c r="O591" s="3" t="s">
        <v>3624</v>
      </c>
      <c r="P591" s="3" t="s">
        <v>12520</v>
      </c>
      <c r="Q591" s="3" t="s">
        <v>2218</v>
      </c>
      <c r="R591" s="3" t="s">
        <v>3628</v>
      </c>
      <c r="S591" s="3">
        <v>66823086</v>
      </c>
      <c r="T591" s="3" t="s">
        <v>12521</v>
      </c>
      <c r="U591" s="3" t="s">
        <v>3799</v>
      </c>
      <c r="V591" s="3" t="s">
        <v>12224</v>
      </c>
      <c r="W591" s="3">
        <v>5</v>
      </c>
      <c r="X591" s="3">
        <v>5</v>
      </c>
      <c r="Y591" s="3" t="s">
        <v>2221</v>
      </c>
      <c r="Z591" s="3">
        <v>20</v>
      </c>
      <c r="AA591" s="3">
        <v>700</v>
      </c>
      <c r="AB591" s="8">
        <v>43091</v>
      </c>
      <c r="AC591" s="3" t="s">
        <v>120</v>
      </c>
      <c r="AD591" s="3">
        <v>0</v>
      </c>
      <c r="AE591" s="3">
        <v>6</v>
      </c>
      <c r="AF591" s="3">
        <v>0</v>
      </c>
      <c r="AG591" s="3" t="s">
        <v>12522</v>
      </c>
      <c r="AH591" s="3">
        <v>1</v>
      </c>
      <c r="AI591" s="3">
        <v>8000</v>
      </c>
      <c r="AJ591" s="3" t="s">
        <v>120</v>
      </c>
      <c r="AK591" s="3" t="s">
        <v>120</v>
      </c>
      <c r="AL591" s="7" t="s">
        <v>12523</v>
      </c>
      <c r="AM591" s="7" t="s">
        <v>12524</v>
      </c>
      <c r="AN591" s="7" t="s">
        <v>2224</v>
      </c>
      <c r="AO591" s="7" t="s">
        <v>2224</v>
      </c>
      <c r="AP591" s="7" t="s">
        <v>2224</v>
      </c>
      <c r="AQ591" s="3"/>
      <c r="AR591" s="3"/>
      <c r="AS591" s="3"/>
      <c r="AT591" s="3"/>
      <c r="AU591" s="7" t="s">
        <v>12525</v>
      </c>
      <c r="AV591" s="3"/>
      <c r="AW591" s="3"/>
    </row>
    <row r="592" spans="1:49" ht="12.5" x14ac:dyDescent="0.25">
      <c r="A592" s="3" t="s">
        <v>152</v>
      </c>
      <c r="B592" s="21" t="str">
        <f>HYPERLINK("https://gerandofalcoes.my.salesforce.com/0014P00003SGWFt", "0014P00003SGWFt")</f>
        <v>0014P00003SGWFt</v>
      </c>
      <c r="C592" s="21" t="str">
        <f>HYPERLINK("https://gerandofalcoes.my.salesforce.com/0014P00003SGWFtQAP", "0014P00003SGWFtQAP")</f>
        <v>0014P00003SGWFtQAP</v>
      </c>
      <c r="D592" s="3" t="s">
        <v>2290</v>
      </c>
      <c r="E592" s="3" t="s">
        <v>2291</v>
      </c>
      <c r="F592" s="3" t="s">
        <v>2292</v>
      </c>
      <c r="G592" s="6">
        <v>44432</v>
      </c>
      <c r="H592" s="3">
        <v>364</v>
      </c>
      <c r="I592" s="3" t="s">
        <v>12526</v>
      </c>
      <c r="J592" s="3" t="s">
        <v>12527</v>
      </c>
      <c r="K592" s="3" t="s">
        <v>12528</v>
      </c>
      <c r="L592" s="3" t="s">
        <v>101</v>
      </c>
      <c r="M592" s="3" t="s">
        <v>12529</v>
      </c>
      <c r="N592" s="3" t="s">
        <v>2297</v>
      </c>
      <c r="O592" s="3" t="s">
        <v>12530</v>
      </c>
      <c r="P592" s="3" t="s">
        <v>128</v>
      </c>
      <c r="Q592" s="3"/>
      <c r="R592" s="3" t="s">
        <v>12531</v>
      </c>
      <c r="S592" s="3"/>
      <c r="T592" s="3" t="s">
        <v>12532</v>
      </c>
      <c r="U592" s="3" t="s">
        <v>9005</v>
      </c>
      <c r="V592" s="3" t="s">
        <v>3800</v>
      </c>
      <c r="W592" s="3">
        <v>2</v>
      </c>
      <c r="X592" s="3">
        <v>2</v>
      </c>
      <c r="Y592" s="3"/>
      <c r="Z592" s="3">
        <v>902</v>
      </c>
      <c r="AA592" s="3">
        <v>2000</v>
      </c>
      <c r="AB592" s="6">
        <v>44035</v>
      </c>
      <c r="AC592" s="3" t="s">
        <v>62</v>
      </c>
      <c r="AD592" s="3">
        <v>4</v>
      </c>
      <c r="AE592" s="3">
        <v>5</v>
      </c>
      <c r="AF592" s="3">
        <v>1</v>
      </c>
      <c r="AG592" s="3" t="s">
        <v>4204</v>
      </c>
      <c r="AH592" s="3">
        <v>1</v>
      </c>
      <c r="AI592" s="3">
        <v>11500</v>
      </c>
      <c r="AJ592" s="3" t="s">
        <v>62</v>
      </c>
      <c r="AK592" s="3" t="s">
        <v>120</v>
      </c>
      <c r="AL592" s="3"/>
      <c r="AM592" s="7" t="s">
        <v>12533</v>
      </c>
      <c r="AN592" s="7" t="s">
        <v>12534</v>
      </c>
      <c r="AO592" s="7" t="s">
        <v>12535</v>
      </c>
      <c r="AP592" s="3"/>
      <c r="AQ592" s="7" t="s">
        <v>12536</v>
      </c>
      <c r="AR592" s="7" t="s">
        <v>12537</v>
      </c>
      <c r="AS592" s="7" t="s">
        <v>12538</v>
      </c>
      <c r="AT592" s="3"/>
      <c r="AU592" s="7" t="s">
        <v>12539</v>
      </c>
      <c r="AV592" s="3"/>
      <c r="AW592" s="7" t="s">
        <v>12540</v>
      </c>
    </row>
    <row r="593" spans="1:49" ht="12.5" x14ac:dyDescent="0.25">
      <c r="A593" s="3" t="s">
        <v>46</v>
      </c>
      <c r="B593" s="21" t="str">
        <f>HYPERLINK("https://gerandofalcoes.my.salesforce.com/0014P00003SGWPL", "0014P00003SGWPL")</f>
        <v>0014P00003SGWPL</v>
      </c>
      <c r="C593" s="21" t="str">
        <f>HYPERLINK("https://gerandofalcoes.my.salesforce.com/0014P00003SGWPLQA5", "0014P00003SGWPLQA5")</f>
        <v>0014P00003SGWPLQA5</v>
      </c>
      <c r="D593" s="3" t="s">
        <v>2308</v>
      </c>
      <c r="E593" s="3" t="s">
        <v>2309</v>
      </c>
      <c r="F593" s="3" t="s">
        <v>2310</v>
      </c>
      <c r="G593" s="6">
        <v>44432</v>
      </c>
      <c r="H593" s="3">
        <v>364</v>
      </c>
      <c r="I593" s="3" t="s">
        <v>2311</v>
      </c>
      <c r="J593" s="3" t="s">
        <v>2312</v>
      </c>
      <c r="K593" s="3" t="s">
        <v>2313</v>
      </c>
      <c r="L593" s="3" t="s">
        <v>51</v>
      </c>
      <c r="M593" s="3" t="s">
        <v>12541</v>
      </c>
      <c r="N593" s="3" t="s">
        <v>2315</v>
      </c>
      <c r="O593" s="3" t="s">
        <v>3643</v>
      </c>
      <c r="P593" s="3" t="s">
        <v>231</v>
      </c>
      <c r="Q593" s="3" t="s">
        <v>2316</v>
      </c>
      <c r="R593" s="3" t="s">
        <v>12542</v>
      </c>
      <c r="S593" s="3" t="s">
        <v>2317</v>
      </c>
      <c r="T593" s="3" t="s">
        <v>12543</v>
      </c>
      <c r="U593" s="3" t="s">
        <v>3799</v>
      </c>
      <c r="V593" s="3" t="s">
        <v>3800</v>
      </c>
      <c r="W593" s="3">
        <v>7</v>
      </c>
      <c r="X593" s="3">
        <v>7</v>
      </c>
      <c r="Y593" s="3" t="s">
        <v>12544</v>
      </c>
      <c r="Z593" s="3">
        <v>20</v>
      </c>
      <c r="AA593" s="3">
        <v>260</v>
      </c>
      <c r="AB593" s="8">
        <v>43393</v>
      </c>
      <c r="AC593" s="3" t="s">
        <v>62</v>
      </c>
      <c r="AD593" s="3">
        <v>0</v>
      </c>
      <c r="AE593" s="3">
        <v>25</v>
      </c>
      <c r="AF593" s="3">
        <v>2</v>
      </c>
      <c r="AG593" s="3" t="s">
        <v>9088</v>
      </c>
      <c r="AH593" s="3" t="s">
        <v>12545</v>
      </c>
      <c r="AI593" s="3">
        <v>21250</v>
      </c>
      <c r="AJ593" s="3" t="s">
        <v>120</v>
      </c>
      <c r="AK593" s="3" t="s">
        <v>120</v>
      </c>
      <c r="AL593" s="7" t="s">
        <v>12546</v>
      </c>
      <c r="AM593" s="7" t="s">
        <v>12547</v>
      </c>
      <c r="AN593" s="7" t="s">
        <v>12548</v>
      </c>
      <c r="AO593" s="7" t="s">
        <v>12549</v>
      </c>
      <c r="AP593" s="7" t="s">
        <v>2325</v>
      </c>
      <c r="AQ593" s="7" t="s">
        <v>12550</v>
      </c>
      <c r="AR593" s="7" t="s">
        <v>12551</v>
      </c>
      <c r="AS593" s="7" t="s">
        <v>12552</v>
      </c>
      <c r="AT593" s="7" t="s">
        <v>12553</v>
      </c>
      <c r="AU593" s="7" t="s">
        <v>12554</v>
      </c>
      <c r="AV593" s="3"/>
      <c r="AW593" s="7" t="s">
        <v>12555</v>
      </c>
    </row>
    <row r="594" spans="1:49" ht="12.5" x14ac:dyDescent="0.25">
      <c r="A594" s="3" t="s">
        <v>152</v>
      </c>
      <c r="B594" s="21" t="str">
        <f>HYPERLINK("https://gerandofalcoes.my.salesforce.com/0014P00003SGWPQ", "0014P00003SGWPQ")</f>
        <v>0014P00003SGWPQ</v>
      </c>
      <c r="C594" s="21" t="str">
        <f>HYPERLINK("https://gerandofalcoes.my.salesforce.com/0014P00003SGWPQQA5", "0014P00003SGWPQQA5")</f>
        <v>0014P00003SGWPQQA5</v>
      </c>
      <c r="D594" s="3" t="s">
        <v>2351</v>
      </c>
      <c r="E594" s="3" t="s">
        <v>2352</v>
      </c>
      <c r="F594" s="3" t="s">
        <v>2353</v>
      </c>
      <c r="G594" s="6">
        <v>44432</v>
      </c>
      <c r="H594" s="3">
        <v>364</v>
      </c>
      <c r="I594" s="3" t="s">
        <v>2354</v>
      </c>
      <c r="J594" s="3" t="s">
        <v>2355</v>
      </c>
      <c r="K594" s="3" t="s">
        <v>12556</v>
      </c>
      <c r="L594" s="3" t="s">
        <v>1171</v>
      </c>
      <c r="M594" s="3" t="s">
        <v>12557</v>
      </c>
      <c r="N594" s="3" t="s">
        <v>647</v>
      </c>
      <c r="O594" s="3" t="s">
        <v>3661</v>
      </c>
      <c r="P594" s="3" t="s">
        <v>12558</v>
      </c>
      <c r="Q594" s="3"/>
      <c r="R594" s="3" t="s">
        <v>3666</v>
      </c>
      <c r="S594" s="3"/>
      <c r="T594" s="3" t="s">
        <v>12559</v>
      </c>
      <c r="U594" s="3" t="s">
        <v>8880</v>
      </c>
      <c r="V594" s="3" t="s">
        <v>12483</v>
      </c>
      <c r="W594" s="3">
        <v>15</v>
      </c>
      <c r="X594" s="3">
        <v>15</v>
      </c>
      <c r="Y594" s="3"/>
      <c r="Z594" s="3">
        <v>280</v>
      </c>
      <c r="AA594" s="3">
        <v>2100</v>
      </c>
      <c r="AB594" s="6">
        <v>39391</v>
      </c>
      <c r="AC594" s="3" t="s">
        <v>62</v>
      </c>
      <c r="AD594" s="3">
        <v>32</v>
      </c>
      <c r="AE594" s="3">
        <v>8</v>
      </c>
      <c r="AF594" s="3">
        <v>4</v>
      </c>
      <c r="AG594" s="3" t="s">
        <v>12560</v>
      </c>
      <c r="AH594" s="3" t="s">
        <v>12561</v>
      </c>
      <c r="AI594" s="3">
        <v>1010730.87</v>
      </c>
      <c r="AJ594" s="3" t="s">
        <v>62</v>
      </c>
      <c r="AK594" s="3" t="s">
        <v>120</v>
      </c>
      <c r="AL594" s="7" t="s">
        <v>12562</v>
      </c>
      <c r="AM594" s="7" t="s">
        <v>12563</v>
      </c>
      <c r="AN594" s="7" t="s">
        <v>12564</v>
      </c>
      <c r="AO594" s="7" t="s">
        <v>12565</v>
      </c>
      <c r="AP594" s="3"/>
      <c r="AQ594" s="7" t="s">
        <v>12566</v>
      </c>
      <c r="AR594" s="7" t="s">
        <v>12567</v>
      </c>
      <c r="AS594" s="7" t="s">
        <v>12568</v>
      </c>
      <c r="AT594" s="7" t="s">
        <v>12569</v>
      </c>
      <c r="AU594" s="7" t="s">
        <v>12570</v>
      </c>
      <c r="AV594" s="7" t="s">
        <v>12571</v>
      </c>
      <c r="AW594" s="7" t="s">
        <v>12572</v>
      </c>
    </row>
    <row r="595" spans="1:49" ht="12.5" x14ac:dyDescent="0.25">
      <c r="A595" s="3" t="s">
        <v>152</v>
      </c>
      <c r="B595" s="21" t="str">
        <f>HYPERLINK("https://gerandofalcoes.my.salesforce.com/0014P00003SGWPP", "0014P00003SGWPP")</f>
        <v>0014P00003SGWPP</v>
      </c>
      <c r="C595" s="21" t="str">
        <f>HYPERLINK("https://gerandofalcoes.my.salesforce.com/0014P00003SGWPPQA5", "0014P00003SGWPPQA5")</f>
        <v>0014P00003SGWPPQA5</v>
      </c>
      <c r="D595" s="3" t="s">
        <v>12573</v>
      </c>
      <c r="E595" s="3" t="s">
        <v>12574</v>
      </c>
      <c r="F595" s="3" t="s">
        <v>2375</v>
      </c>
      <c r="G595" s="6">
        <v>44432</v>
      </c>
      <c r="H595" s="3">
        <v>364</v>
      </c>
      <c r="I595" s="3" t="s">
        <v>2376</v>
      </c>
      <c r="J595" s="3" t="s">
        <v>2377</v>
      </c>
      <c r="K595" s="3" t="s">
        <v>2378</v>
      </c>
      <c r="L595" s="3" t="s">
        <v>468</v>
      </c>
      <c r="M595" s="3" t="s">
        <v>12575</v>
      </c>
      <c r="N595" s="3" t="s">
        <v>647</v>
      </c>
      <c r="O595" s="3" t="s">
        <v>12576</v>
      </c>
      <c r="P595" s="3" t="s">
        <v>470</v>
      </c>
      <c r="Q595" s="3" t="s">
        <v>2380</v>
      </c>
      <c r="R595" s="3">
        <v>60055172</v>
      </c>
      <c r="S595" s="3" t="s">
        <v>2381</v>
      </c>
      <c r="T595" s="3" t="s">
        <v>12577</v>
      </c>
      <c r="U595" s="3" t="s">
        <v>8852</v>
      </c>
      <c r="V595" s="3" t="s">
        <v>3800</v>
      </c>
      <c r="W595" s="3">
        <v>4</v>
      </c>
      <c r="X595" s="3">
        <v>4</v>
      </c>
      <c r="Y595" s="3"/>
      <c r="Z595" s="3">
        <v>120</v>
      </c>
      <c r="AA595" s="3">
        <v>400</v>
      </c>
      <c r="AB595" s="6">
        <v>44057</v>
      </c>
      <c r="AC595" s="3" t="s">
        <v>62</v>
      </c>
      <c r="AD595" s="3">
        <v>10</v>
      </c>
      <c r="AE595" s="3">
        <v>10</v>
      </c>
      <c r="AF595" s="3">
        <v>2</v>
      </c>
      <c r="AG595" s="3" t="s">
        <v>9182</v>
      </c>
      <c r="AH595" s="3" t="s">
        <v>12578</v>
      </c>
      <c r="AI595" s="3">
        <v>60000</v>
      </c>
      <c r="AJ595" s="3" t="s">
        <v>120</v>
      </c>
      <c r="AK595" s="3" t="s">
        <v>62</v>
      </c>
      <c r="AL595" s="7" t="s">
        <v>12579</v>
      </c>
      <c r="AM595" s="7" t="s">
        <v>12580</v>
      </c>
      <c r="AN595" s="7" t="s">
        <v>12581</v>
      </c>
      <c r="AO595" s="7" t="s">
        <v>12582</v>
      </c>
      <c r="AP595" s="3"/>
      <c r="AQ595" s="7" t="s">
        <v>12583</v>
      </c>
      <c r="AR595" s="7" t="s">
        <v>12584</v>
      </c>
      <c r="AS595" s="7" t="s">
        <v>12585</v>
      </c>
      <c r="AT595" s="7" t="s">
        <v>12586</v>
      </c>
      <c r="AU595" s="3"/>
      <c r="AV595" s="7" t="s">
        <v>12587</v>
      </c>
      <c r="AW595" s="3"/>
    </row>
    <row r="596" spans="1:49" ht="12.5" x14ac:dyDescent="0.25">
      <c r="A596" s="3" t="s">
        <v>46</v>
      </c>
      <c r="B596" s="21" t="str">
        <f>HYPERLINK("https://gerandofalcoes.my.salesforce.com/0014P00003SGWPR", "0014P00003SGWPR")</f>
        <v>0014P00003SGWPR</v>
      </c>
      <c r="C596" s="21" t="str">
        <f>HYPERLINK("https://gerandofalcoes.my.salesforce.com/0014P00003SGWPRQA5", "0014P00003SGWPRQA5")</f>
        <v>0014P00003SGWPRQA5</v>
      </c>
      <c r="D596" s="3" t="s">
        <v>2394</v>
      </c>
      <c r="E596" s="3" t="s">
        <v>2395</v>
      </c>
      <c r="F596" s="3" t="s">
        <v>2396</v>
      </c>
      <c r="G596" s="6">
        <v>44432</v>
      </c>
      <c r="H596" s="3">
        <v>364</v>
      </c>
      <c r="I596" s="3" t="s">
        <v>2397</v>
      </c>
      <c r="J596" s="3" t="s">
        <v>2398</v>
      </c>
      <c r="K596" s="3" t="s">
        <v>2399</v>
      </c>
      <c r="L596" s="3" t="s">
        <v>379</v>
      </c>
      <c r="M596" s="3" t="s">
        <v>2400</v>
      </c>
      <c r="N596" s="3" t="s">
        <v>2401</v>
      </c>
      <c r="O596" s="3" t="s">
        <v>12588</v>
      </c>
      <c r="P596" s="3" t="s">
        <v>8954</v>
      </c>
      <c r="Q596" s="3" t="s">
        <v>2402</v>
      </c>
      <c r="R596" s="3" t="s">
        <v>3685</v>
      </c>
      <c r="S596" s="3"/>
      <c r="T596" s="3" t="s">
        <v>12589</v>
      </c>
      <c r="U596" s="3" t="s">
        <v>9005</v>
      </c>
      <c r="V596" s="3" t="s">
        <v>3800</v>
      </c>
      <c r="W596" s="3">
        <v>4</v>
      </c>
      <c r="X596" s="3">
        <v>4</v>
      </c>
      <c r="Y596" s="3" t="s">
        <v>2405</v>
      </c>
      <c r="Z596" s="3">
        <v>150</v>
      </c>
      <c r="AA596" s="3">
        <v>3000</v>
      </c>
      <c r="AB596" s="6">
        <v>41790</v>
      </c>
      <c r="AC596" s="3" t="s">
        <v>62</v>
      </c>
      <c r="AD596" s="3">
        <v>4</v>
      </c>
      <c r="AE596" s="3">
        <v>8</v>
      </c>
      <c r="AF596" s="3">
        <v>4</v>
      </c>
      <c r="AG596" s="3" t="s">
        <v>9334</v>
      </c>
      <c r="AH596" s="3" t="s">
        <v>9897</v>
      </c>
      <c r="AI596" s="3">
        <v>70000</v>
      </c>
      <c r="AJ596" s="3" t="s">
        <v>120</v>
      </c>
      <c r="AK596" s="3" t="s">
        <v>120</v>
      </c>
      <c r="AL596" s="7" t="s">
        <v>12590</v>
      </c>
      <c r="AM596" s="7" t="s">
        <v>12591</v>
      </c>
      <c r="AN596" s="7" t="s">
        <v>12592</v>
      </c>
      <c r="AO596" s="3"/>
      <c r="AP596" s="3"/>
      <c r="AQ596" s="7" t="s">
        <v>12593</v>
      </c>
      <c r="AR596" s="7" t="s">
        <v>12594</v>
      </c>
      <c r="AS596" s="7" t="s">
        <v>12595</v>
      </c>
      <c r="AT596" s="7" t="s">
        <v>12596</v>
      </c>
      <c r="AU596" s="7" t="s">
        <v>12597</v>
      </c>
      <c r="AV596" s="7" t="s">
        <v>12598</v>
      </c>
      <c r="AW596" s="7" t="s">
        <v>12599</v>
      </c>
    </row>
    <row r="597" spans="1:49" ht="12.5" x14ac:dyDescent="0.25">
      <c r="A597" s="3" t="s">
        <v>46</v>
      </c>
      <c r="B597" s="21" t="str">
        <f>HYPERLINK("https://gerandofalcoes.my.salesforce.com/0014P00003SGWPS", "0014P00003SGWPS")</f>
        <v>0014P00003SGWPS</v>
      </c>
      <c r="C597" s="21" t="str">
        <f>HYPERLINK("https://gerandofalcoes.my.salesforce.com/0014P00003SGWPSQA5", "0014P00003SGWPSQA5")</f>
        <v>0014P00003SGWPSQA5</v>
      </c>
      <c r="D597" s="3" t="s">
        <v>2418</v>
      </c>
      <c r="E597" s="3" t="s">
        <v>2419</v>
      </c>
      <c r="F597" s="3" t="s">
        <v>2420</v>
      </c>
      <c r="G597" s="6">
        <v>44432</v>
      </c>
      <c r="H597" s="3">
        <v>364</v>
      </c>
      <c r="I597" s="3" t="s">
        <v>2421</v>
      </c>
      <c r="J597" s="3" t="s">
        <v>2422</v>
      </c>
      <c r="K597" s="3" t="s">
        <v>2423</v>
      </c>
      <c r="L597" s="3" t="s">
        <v>195</v>
      </c>
      <c r="M597" s="3" t="s">
        <v>12600</v>
      </c>
      <c r="N597" s="3" t="s">
        <v>647</v>
      </c>
      <c r="O597" s="3" t="s">
        <v>3691</v>
      </c>
      <c r="P597" s="3" t="s">
        <v>2425</v>
      </c>
      <c r="Q597" s="3"/>
      <c r="R597" s="3" t="s">
        <v>3695</v>
      </c>
      <c r="S597" s="3"/>
      <c r="T597" s="3" t="s">
        <v>12601</v>
      </c>
      <c r="U597" s="3" t="s">
        <v>8895</v>
      </c>
      <c r="V597" s="3" t="s">
        <v>12602</v>
      </c>
      <c r="W597" s="3">
        <v>3</v>
      </c>
      <c r="X597" s="3">
        <v>3</v>
      </c>
      <c r="Y597" s="3"/>
      <c r="Z597" s="3">
        <v>80</v>
      </c>
      <c r="AA597" s="3">
        <v>900</v>
      </c>
      <c r="AB597" s="6">
        <v>43182</v>
      </c>
      <c r="AC597" s="3" t="s">
        <v>62</v>
      </c>
      <c r="AD597" s="3">
        <v>10</v>
      </c>
      <c r="AE597" s="3">
        <v>5</v>
      </c>
      <c r="AF597" s="3">
        <v>5</v>
      </c>
      <c r="AG597" s="3" t="s">
        <v>12603</v>
      </c>
      <c r="AH597" s="3" t="s">
        <v>12604</v>
      </c>
      <c r="AI597" s="3">
        <v>561000</v>
      </c>
      <c r="AJ597" s="3" t="s">
        <v>120</v>
      </c>
      <c r="AK597" s="3" t="s">
        <v>120</v>
      </c>
      <c r="AL597" s="7" t="s">
        <v>12605</v>
      </c>
      <c r="AM597" s="7" t="s">
        <v>12606</v>
      </c>
      <c r="AN597" s="7" t="s">
        <v>12606</v>
      </c>
      <c r="AO597" s="7" t="s">
        <v>12607</v>
      </c>
      <c r="AP597" s="3"/>
      <c r="AQ597" s="7" t="s">
        <v>12608</v>
      </c>
      <c r="AR597" s="7" t="s">
        <v>12609</v>
      </c>
      <c r="AS597" s="7" t="s">
        <v>12610</v>
      </c>
      <c r="AT597" s="7" t="s">
        <v>12611</v>
      </c>
      <c r="AU597" s="7" t="s">
        <v>12612</v>
      </c>
      <c r="AV597" s="3"/>
      <c r="AW597" s="7" t="s">
        <v>12613</v>
      </c>
    </row>
    <row r="598" spans="1:49" ht="12.5" x14ac:dyDescent="0.25">
      <c r="A598" s="3" t="s">
        <v>46</v>
      </c>
      <c r="B598" s="21" t="str">
        <f>HYPERLINK("https://gerandofalcoes.my.salesforce.com/0014P00003SGWPT", "0014P00003SGWPT")</f>
        <v>0014P00003SGWPT</v>
      </c>
      <c r="C598" s="21" t="str">
        <f>HYPERLINK("https://gerandofalcoes.my.salesforce.com/0014P00003SGWPTQA5", "0014P00003SGWPTQA5")</f>
        <v>0014P00003SGWPTQA5</v>
      </c>
      <c r="D598" s="3" t="s">
        <v>2439</v>
      </c>
      <c r="E598" s="3" t="s">
        <v>2440</v>
      </c>
      <c r="F598" s="3" t="s">
        <v>2441</v>
      </c>
      <c r="G598" s="6">
        <v>44432</v>
      </c>
      <c r="H598" s="3">
        <v>364</v>
      </c>
      <c r="I598" s="3" t="s">
        <v>2442</v>
      </c>
      <c r="J598" s="3" t="s">
        <v>2443</v>
      </c>
      <c r="K598" s="3" t="s">
        <v>2444</v>
      </c>
      <c r="L598" s="3" t="s">
        <v>70</v>
      </c>
      <c r="M598" s="3" t="s">
        <v>12614</v>
      </c>
      <c r="N598" s="3" t="s">
        <v>2062</v>
      </c>
      <c r="O598" s="3" t="s">
        <v>12615</v>
      </c>
      <c r="P598" s="3" t="s">
        <v>73</v>
      </c>
      <c r="Q598" s="3" t="s">
        <v>2446</v>
      </c>
      <c r="R598" s="3" t="s">
        <v>3704</v>
      </c>
      <c r="S598" s="3" t="s">
        <v>2447</v>
      </c>
      <c r="T598" s="3" t="s">
        <v>12616</v>
      </c>
      <c r="U598" s="3" t="s">
        <v>3799</v>
      </c>
      <c r="V598" s="3" t="s">
        <v>10804</v>
      </c>
      <c r="W598" s="3">
        <v>7</v>
      </c>
      <c r="X598" s="3">
        <v>7</v>
      </c>
      <c r="Y598" s="3" t="s">
        <v>2449</v>
      </c>
      <c r="Z598" s="3">
        <v>30</v>
      </c>
      <c r="AA598" s="3">
        <v>800</v>
      </c>
      <c r="AB598" s="8">
        <v>41253</v>
      </c>
      <c r="AC598" s="3" t="s">
        <v>62</v>
      </c>
      <c r="AD598" s="3">
        <v>0</v>
      </c>
      <c r="AE598" s="3">
        <v>8</v>
      </c>
      <c r="AF598" s="3">
        <v>1</v>
      </c>
      <c r="AG598" s="3" t="s">
        <v>9417</v>
      </c>
      <c r="AH598" s="3">
        <v>1</v>
      </c>
      <c r="AI598" s="3">
        <v>12000</v>
      </c>
      <c r="AJ598" s="3" t="s">
        <v>62</v>
      </c>
      <c r="AK598" s="3" t="s">
        <v>120</v>
      </c>
      <c r="AL598" s="3"/>
      <c r="AM598" s="7" t="s">
        <v>12617</v>
      </c>
      <c r="AN598" s="7" t="s">
        <v>12618</v>
      </c>
      <c r="AO598" s="3"/>
      <c r="AP598" s="3"/>
      <c r="AQ598" s="3"/>
      <c r="AR598" s="7" t="s">
        <v>12619</v>
      </c>
      <c r="AS598" s="7" t="s">
        <v>12620</v>
      </c>
      <c r="AT598" s="7" t="s">
        <v>12621</v>
      </c>
      <c r="AU598" s="7" t="s">
        <v>12622</v>
      </c>
      <c r="AV598" s="3"/>
      <c r="AW598" s="3"/>
    </row>
    <row r="599" spans="1:49" ht="12.5" x14ac:dyDescent="0.25">
      <c r="A599" s="3" t="s">
        <v>46</v>
      </c>
      <c r="B599" s="21" t="str">
        <f>HYPERLINK("https://gerandofalcoes.my.salesforce.com/0014P00003SGWPU", "0014P00003SGWPU")</f>
        <v>0014P00003SGWPU</v>
      </c>
      <c r="C599" s="21" t="str">
        <f>HYPERLINK("https://gerandofalcoes.my.salesforce.com/0014P00003SGWPUQA5", "0014P00003SGWPUQA5")</f>
        <v>0014P00003SGWPUQA5</v>
      </c>
      <c r="D599" s="3" t="s">
        <v>2456</v>
      </c>
      <c r="E599" s="3" t="s">
        <v>2457</v>
      </c>
      <c r="F599" s="3" t="s">
        <v>2458</v>
      </c>
      <c r="G599" s="6">
        <v>44432</v>
      </c>
      <c r="H599" s="3">
        <v>364</v>
      </c>
      <c r="I599" s="3" t="s">
        <v>2459</v>
      </c>
      <c r="J599" s="3" t="s">
        <v>2460</v>
      </c>
      <c r="K599" s="3" t="s">
        <v>2461</v>
      </c>
      <c r="L599" s="3" t="s">
        <v>84</v>
      </c>
      <c r="M599" s="3" t="s">
        <v>12623</v>
      </c>
      <c r="N599" s="3" t="s">
        <v>2463</v>
      </c>
      <c r="O599" s="3" t="s">
        <v>3711</v>
      </c>
      <c r="P599" s="3" t="s">
        <v>177</v>
      </c>
      <c r="Q599" s="3" t="s">
        <v>2464</v>
      </c>
      <c r="R599" s="3" t="s">
        <v>12624</v>
      </c>
      <c r="S599" s="3" t="s">
        <v>2465</v>
      </c>
      <c r="T599" s="3" t="s">
        <v>12625</v>
      </c>
      <c r="U599" s="3" t="s">
        <v>9005</v>
      </c>
      <c r="V599" s="3" t="s">
        <v>4119</v>
      </c>
      <c r="W599" s="3">
        <v>7</v>
      </c>
      <c r="X599" s="3">
        <v>8</v>
      </c>
      <c r="Y599" s="3" t="s">
        <v>2468</v>
      </c>
      <c r="Z599" s="3">
        <v>520</v>
      </c>
      <c r="AA599" s="3">
        <v>2500</v>
      </c>
      <c r="AB599" s="6">
        <v>42509</v>
      </c>
      <c r="AC599" s="3" t="s">
        <v>62</v>
      </c>
      <c r="AD599" s="3">
        <v>0</v>
      </c>
      <c r="AE599" s="3">
        <v>15</v>
      </c>
      <c r="AF599" s="3">
        <v>5</v>
      </c>
      <c r="AG599" s="3" t="s">
        <v>10178</v>
      </c>
      <c r="AH599" s="3" t="s">
        <v>2470</v>
      </c>
      <c r="AI599" s="3">
        <v>78820</v>
      </c>
      <c r="AJ599" s="3" t="s">
        <v>120</v>
      </c>
      <c r="AK599" s="3" t="s">
        <v>120</v>
      </c>
      <c r="AL599" s="7" t="s">
        <v>12626</v>
      </c>
      <c r="AM599" s="7" t="s">
        <v>12627</v>
      </c>
      <c r="AN599" s="7" t="s">
        <v>12628</v>
      </c>
      <c r="AO599" s="7" t="s">
        <v>12629</v>
      </c>
      <c r="AP599" s="3"/>
      <c r="AQ599" s="3"/>
      <c r="AR599" s="7" t="s">
        <v>12630</v>
      </c>
      <c r="AS599" s="7" t="s">
        <v>12631</v>
      </c>
      <c r="AT599" s="7" t="s">
        <v>12632</v>
      </c>
      <c r="AU599" s="3"/>
      <c r="AV599" s="7" t="s">
        <v>12633</v>
      </c>
      <c r="AW599" s="3"/>
    </row>
    <row r="600" spans="1:49" ht="12.5" x14ac:dyDescent="0.25">
      <c r="A600" s="3" t="s">
        <v>46</v>
      </c>
      <c r="B600" s="21" t="str">
        <f>HYPERLINK("https://gerandofalcoes.my.salesforce.com/0014P00003SGWPV", "0014P00003SGWPV")</f>
        <v>0014P00003SGWPV</v>
      </c>
      <c r="C600" s="21" t="str">
        <f>HYPERLINK("https://gerandofalcoes.my.salesforce.com/0014P00003SGWPVQA5", "0014P00003SGWPVQA5")</f>
        <v>0014P00003SGWPVQA5</v>
      </c>
      <c r="D600" s="3" t="s">
        <v>2480</v>
      </c>
      <c r="E600" s="3" t="s">
        <v>2481</v>
      </c>
      <c r="F600" s="3" t="s">
        <v>2482</v>
      </c>
      <c r="G600" s="6">
        <v>44432</v>
      </c>
      <c r="H600" s="3">
        <v>364</v>
      </c>
      <c r="I600" s="3" t="s">
        <v>2483</v>
      </c>
      <c r="J600" s="3" t="s">
        <v>2484</v>
      </c>
      <c r="K600" s="3" t="s">
        <v>2485</v>
      </c>
      <c r="L600" s="3" t="s">
        <v>84</v>
      </c>
      <c r="M600" s="3" t="s">
        <v>12634</v>
      </c>
      <c r="N600" s="3" t="s">
        <v>2106</v>
      </c>
      <c r="O600" s="3" t="s">
        <v>2485</v>
      </c>
      <c r="P600" s="3" t="s">
        <v>12635</v>
      </c>
      <c r="Q600" s="3" t="s">
        <v>673</v>
      </c>
      <c r="R600" s="3" t="s">
        <v>12636</v>
      </c>
      <c r="S600" s="3"/>
      <c r="T600" s="3" t="s">
        <v>12637</v>
      </c>
      <c r="U600" s="3" t="s">
        <v>11789</v>
      </c>
      <c r="V600" s="3" t="s">
        <v>12638</v>
      </c>
      <c r="W600" s="3">
        <v>6</v>
      </c>
      <c r="X600" s="3">
        <v>6</v>
      </c>
      <c r="Y600" s="3"/>
      <c r="Z600" s="3">
        <v>70</v>
      </c>
      <c r="AA600" s="3">
        <v>3952</v>
      </c>
      <c r="AB600" s="6">
        <v>43133</v>
      </c>
      <c r="AC600" s="3" t="s">
        <v>62</v>
      </c>
      <c r="AD600" s="3">
        <v>0</v>
      </c>
      <c r="AE600" s="3">
        <v>15</v>
      </c>
      <c r="AF600" s="3">
        <v>1</v>
      </c>
      <c r="AG600" s="3" t="s">
        <v>9939</v>
      </c>
      <c r="AH600" s="3" t="s">
        <v>2489</v>
      </c>
      <c r="AI600" s="3">
        <v>2000</v>
      </c>
      <c r="AJ600" s="3" t="s">
        <v>120</v>
      </c>
      <c r="AK600" s="3" t="s">
        <v>62</v>
      </c>
      <c r="AL600" s="3"/>
      <c r="AM600" s="7" t="s">
        <v>12639</v>
      </c>
      <c r="AN600" s="7" t="s">
        <v>12640</v>
      </c>
      <c r="AO600" s="3"/>
      <c r="AP600" s="3"/>
      <c r="AQ600" s="7" t="s">
        <v>12641</v>
      </c>
      <c r="AR600" s="7" t="s">
        <v>12642</v>
      </c>
      <c r="AS600" s="7" t="s">
        <v>12643</v>
      </c>
      <c r="AT600" s="7" t="s">
        <v>12644</v>
      </c>
      <c r="AU600" s="7" t="s">
        <v>12645</v>
      </c>
      <c r="AV600" s="3"/>
      <c r="AW600" s="3"/>
    </row>
  </sheetData>
  <autoFilter ref="A2:AY1000" xr:uid="{00000000-0009-0000-0000-000003000000}"/>
  <hyperlinks>
    <hyperlink ref="AM3" r:id="rId1" xr:uid="{00000000-0004-0000-0300-000000000000}"/>
    <hyperlink ref="AL4" r:id="rId2" xr:uid="{00000000-0004-0000-0300-000001000000}"/>
    <hyperlink ref="AM4" r:id="rId3" xr:uid="{00000000-0004-0000-0300-000002000000}"/>
    <hyperlink ref="AO4" r:id="rId4" xr:uid="{00000000-0004-0000-0300-000003000000}"/>
    <hyperlink ref="AL5" r:id="rId5" xr:uid="{00000000-0004-0000-0300-000004000000}"/>
    <hyperlink ref="AL6" r:id="rId6" xr:uid="{00000000-0004-0000-0300-000005000000}"/>
    <hyperlink ref="AT6" r:id="rId7" xr:uid="{00000000-0004-0000-0300-000006000000}"/>
    <hyperlink ref="AL8" r:id="rId8" xr:uid="{00000000-0004-0000-0300-000007000000}"/>
    <hyperlink ref="AL9" r:id="rId9" xr:uid="{00000000-0004-0000-0300-000008000000}"/>
    <hyperlink ref="AM9" r:id="rId10" xr:uid="{00000000-0004-0000-0300-000009000000}"/>
    <hyperlink ref="AO9" r:id="rId11" xr:uid="{00000000-0004-0000-0300-00000A000000}"/>
    <hyperlink ref="AL10" r:id="rId12" xr:uid="{00000000-0004-0000-0300-00000B000000}"/>
    <hyperlink ref="AM10" r:id="rId13" xr:uid="{00000000-0004-0000-0300-00000C000000}"/>
    <hyperlink ref="AT10" r:id="rId14" xr:uid="{00000000-0004-0000-0300-00000D000000}"/>
    <hyperlink ref="AM11" r:id="rId15" xr:uid="{00000000-0004-0000-0300-00000E000000}"/>
    <hyperlink ref="AO11" r:id="rId16" xr:uid="{00000000-0004-0000-0300-00000F000000}"/>
    <hyperlink ref="AM12" r:id="rId17" xr:uid="{00000000-0004-0000-0300-000010000000}"/>
    <hyperlink ref="AN12" r:id="rId18" xr:uid="{00000000-0004-0000-0300-000011000000}"/>
    <hyperlink ref="AU12" r:id="rId19" xr:uid="{00000000-0004-0000-0300-000012000000}"/>
    <hyperlink ref="AL13" r:id="rId20" xr:uid="{00000000-0004-0000-0300-000013000000}"/>
    <hyperlink ref="AN13" r:id="rId21" xr:uid="{00000000-0004-0000-0300-000014000000}"/>
    <hyperlink ref="AR13" r:id="rId22" xr:uid="{00000000-0004-0000-0300-000015000000}"/>
    <hyperlink ref="AS13" r:id="rId23" xr:uid="{00000000-0004-0000-0300-000016000000}"/>
    <hyperlink ref="AU13" r:id="rId24" xr:uid="{00000000-0004-0000-0300-000017000000}"/>
    <hyperlink ref="AM14" r:id="rId25" xr:uid="{00000000-0004-0000-0300-000018000000}"/>
    <hyperlink ref="AR14" r:id="rId26" xr:uid="{00000000-0004-0000-0300-000019000000}"/>
    <hyperlink ref="AS14" r:id="rId27" xr:uid="{00000000-0004-0000-0300-00001A000000}"/>
    <hyperlink ref="AL15" r:id="rId28" xr:uid="{00000000-0004-0000-0300-00001B000000}"/>
    <hyperlink ref="AM15" r:id="rId29" xr:uid="{00000000-0004-0000-0300-00001C000000}"/>
    <hyperlink ref="AQ16" r:id="rId30" xr:uid="{00000000-0004-0000-0300-00001D000000}"/>
    <hyperlink ref="AR16" r:id="rId31" xr:uid="{00000000-0004-0000-0300-00001E000000}"/>
    <hyperlink ref="AS16" r:id="rId32" xr:uid="{00000000-0004-0000-0300-00001F000000}"/>
    <hyperlink ref="AT16" r:id="rId33" xr:uid="{00000000-0004-0000-0300-000020000000}"/>
    <hyperlink ref="AU16" r:id="rId34" xr:uid="{00000000-0004-0000-0300-000021000000}"/>
    <hyperlink ref="AM17" r:id="rId35" xr:uid="{00000000-0004-0000-0300-000022000000}"/>
    <hyperlink ref="AO17" r:id="rId36" xr:uid="{00000000-0004-0000-0300-000023000000}"/>
    <hyperlink ref="AL18" r:id="rId37" xr:uid="{00000000-0004-0000-0300-000024000000}"/>
    <hyperlink ref="AM18" r:id="rId38" xr:uid="{00000000-0004-0000-0300-000025000000}"/>
    <hyperlink ref="AQ18" r:id="rId39" xr:uid="{00000000-0004-0000-0300-000026000000}"/>
    <hyperlink ref="AR18" r:id="rId40" xr:uid="{00000000-0004-0000-0300-000027000000}"/>
    <hyperlink ref="AS18" r:id="rId41" xr:uid="{00000000-0004-0000-0300-000028000000}"/>
    <hyperlink ref="AT18" r:id="rId42" xr:uid="{00000000-0004-0000-0300-000029000000}"/>
    <hyperlink ref="AU18" r:id="rId43" xr:uid="{00000000-0004-0000-0300-00002A000000}"/>
    <hyperlink ref="AM19" r:id="rId44" xr:uid="{00000000-0004-0000-0300-00002B000000}"/>
    <hyperlink ref="AN19" r:id="rId45" xr:uid="{00000000-0004-0000-0300-00002C000000}"/>
    <hyperlink ref="AQ19" r:id="rId46" xr:uid="{00000000-0004-0000-0300-00002D000000}"/>
    <hyperlink ref="AR19" r:id="rId47" xr:uid="{00000000-0004-0000-0300-00002E000000}"/>
    <hyperlink ref="AU19" r:id="rId48" xr:uid="{00000000-0004-0000-0300-00002F000000}"/>
    <hyperlink ref="AU20" r:id="rId49" xr:uid="{00000000-0004-0000-0300-000030000000}"/>
    <hyperlink ref="AL22" r:id="rId50" xr:uid="{00000000-0004-0000-0300-000031000000}"/>
    <hyperlink ref="AM22" r:id="rId51" xr:uid="{00000000-0004-0000-0300-000032000000}"/>
    <hyperlink ref="AN22" r:id="rId52" xr:uid="{00000000-0004-0000-0300-000033000000}"/>
    <hyperlink ref="AS22" r:id="rId53" xr:uid="{00000000-0004-0000-0300-000034000000}"/>
    <hyperlink ref="AT22" r:id="rId54" xr:uid="{00000000-0004-0000-0300-000035000000}"/>
    <hyperlink ref="AU22" r:id="rId55" xr:uid="{00000000-0004-0000-0300-000036000000}"/>
    <hyperlink ref="AM23" r:id="rId56" xr:uid="{00000000-0004-0000-0300-000037000000}"/>
    <hyperlink ref="AU23" r:id="rId57" xr:uid="{00000000-0004-0000-0300-000038000000}"/>
    <hyperlink ref="AL24" r:id="rId58" xr:uid="{00000000-0004-0000-0300-000039000000}"/>
    <hyperlink ref="AM24" r:id="rId59" xr:uid="{00000000-0004-0000-0300-00003A000000}"/>
    <hyperlink ref="AL25" r:id="rId60" xr:uid="{00000000-0004-0000-0300-00003B000000}"/>
    <hyperlink ref="AM25" r:id="rId61" xr:uid="{00000000-0004-0000-0300-00003C000000}"/>
    <hyperlink ref="AN25" r:id="rId62" xr:uid="{00000000-0004-0000-0300-00003D000000}"/>
    <hyperlink ref="AQ25" r:id="rId63" xr:uid="{00000000-0004-0000-0300-00003E000000}"/>
    <hyperlink ref="AR25" r:id="rId64" xr:uid="{00000000-0004-0000-0300-00003F000000}"/>
    <hyperlink ref="AS25" r:id="rId65" xr:uid="{00000000-0004-0000-0300-000040000000}"/>
    <hyperlink ref="AT25" r:id="rId66" xr:uid="{00000000-0004-0000-0300-000041000000}"/>
    <hyperlink ref="AU25" r:id="rId67" xr:uid="{00000000-0004-0000-0300-000042000000}"/>
    <hyperlink ref="AL26" r:id="rId68" xr:uid="{00000000-0004-0000-0300-000043000000}"/>
    <hyperlink ref="AM26" r:id="rId69" xr:uid="{00000000-0004-0000-0300-000044000000}"/>
    <hyperlink ref="AN26" r:id="rId70" xr:uid="{00000000-0004-0000-0300-000045000000}"/>
    <hyperlink ref="AR26" r:id="rId71" xr:uid="{00000000-0004-0000-0300-000046000000}"/>
    <hyperlink ref="AS26" r:id="rId72" xr:uid="{00000000-0004-0000-0300-000047000000}"/>
    <hyperlink ref="AT26" r:id="rId73" xr:uid="{00000000-0004-0000-0300-000048000000}"/>
    <hyperlink ref="AU26" r:id="rId74" xr:uid="{00000000-0004-0000-0300-000049000000}"/>
    <hyperlink ref="AM27" r:id="rId75" xr:uid="{00000000-0004-0000-0300-00004A000000}"/>
    <hyperlink ref="AM28" r:id="rId76" xr:uid="{00000000-0004-0000-0300-00004B000000}"/>
    <hyperlink ref="AU28" r:id="rId77" xr:uid="{00000000-0004-0000-0300-00004C000000}"/>
    <hyperlink ref="AM29" r:id="rId78" xr:uid="{00000000-0004-0000-0300-00004D000000}"/>
    <hyperlink ref="AN29" r:id="rId79" xr:uid="{00000000-0004-0000-0300-00004E000000}"/>
    <hyperlink ref="AQ29" r:id="rId80" xr:uid="{00000000-0004-0000-0300-00004F000000}"/>
    <hyperlink ref="AS29" r:id="rId81" xr:uid="{00000000-0004-0000-0300-000050000000}"/>
    <hyperlink ref="AU29" r:id="rId82" xr:uid="{00000000-0004-0000-0300-000051000000}"/>
    <hyperlink ref="AL30" r:id="rId83" xr:uid="{00000000-0004-0000-0300-000052000000}"/>
    <hyperlink ref="AM30" r:id="rId84" xr:uid="{00000000-0004-0000-0300-000053000000}"/>
    <hyperlink ref="AN30" r:id="rId85" xr:uid="{00000000-0004-0000-0300-000054000000}"/>
    <hyperlink ref="AU30" r:id="rId86" xr:uid="{00000000-0004-0000-0300-000055000000}"/>
    <hyperlink ref="AL31" r:id="rId87" xr:uid="{00000000-0004-0000-0300-000056000000}"/>
    <hyperlink ref="AM31" r:id="rId88" xr:uid="{00000000-0004-0000-0300-000057000000}"/>
    <hyperlink ref="AO31" r:id="rId89" xr:uid="{00000000-0004-0000-0300-000058000000}"/>
    <hyperlink ref="AR31" r:id="rId90" xr:uid="{00000000-0004-0000-0300-000059000000}"/>
    <hyperlink ref="AS31" r:id="rId91" xr:uid="{00000000-0004-0000-0300-00005A000000}"/>
    <hyperlink ref="AU31" r:id="rId92" xr:uid="{00000000-0004-0000-0300-00005B000000}"/>
    <hyperlink ref="AM32" r:id="rId93" xr:uid="{00000000-0004-0000-0300-00005C000000}"/>
    <hyperlink ref="AQ32" r:id="rId94" xr:uid="{00000000-0004-0000-0300-00005D000000}"/>
    <hyperlink ref="AR32" r:id="rId95" xr:uid="{00000000-0004-0000-0300-00005E000000}"/>
    <hyperlink ref="AS32" r:id="rId96" xr:uid="{00000000-0004-0000-0300-00005F000000}"/>
    <hyperlink ref="AT32" r:id="rId97" xr:uid="{00000000-0004-0000-0300-000060000000}"/>
    <hyperlink ref="AU32" r:id="rId98" xr:uid="{00000000-0004-0000-0300-000061000000}"/>
    <hyperlink ref="AM33" r:id="rId99" xr:uid="{00000000-0004-0000-0300-000062000000}"/>
    <hyperlink ref="AQ33" r:id="rId100" xr:uid="{00000000-0004-0000-0300-000063000000}"/>
    <hyperlink ref="AU33" r:id="rId101" xr:uid="{00000000-0004-0000-0300-000064000000}"/>
    <hyperlink ref="AM34" r:id="rId102" xr:uid="{00000000-0004-0000-0300-000065000000}"/>
    <hyperlink ref="AN34" r:id="rId103" xr:uid="{00000000-0004-0000-0300-000066000000}"/>
    <hyperlink ref="AU34" r:id="rId104" xr:uid="{00000000-0004-0000-0300-000067000000}"/>
    <hyperlink ref="AM35" r:id="rId105" xr:uid="{00000000-0004-0000-0300-000068000000}"/>
    <hyperlink ref="AQ35" r:id="rId106" xr:uid="{00000000-0004-0000-0300-000069000000}"/>
    <hyperlink ref="AR35" r:id="rId107" xr:uid="{00000000-0004-0000-0300-00006A000000}"/>
    <hyperlink ref="AU35" r:id="rId108" xr:uid="{00000000-0004-0000-0300-00006B000000}"/>
    <hyperlink ref="AM36" r:id="rId109" xr:uid="{00000000-0004-0000-0300-00006C000000}"/>
    <hyperlink ref="AU36" r:id="rId110" xr:uid="{00000000-0004-0000-0300-00006D000000}"/>
    <hyperlink ref="AL37" r:id="rId111" xr:uid="{00000000-0004-0000-0300-00006E000000}"/>
    <hyperlink ref="AM37" r:id="rId112" xr:uid="{00000000-0004-0000-0300-00006F000000}"/>
    <hyperlink ref="AN37" r:id="rId113" xr:uid="{00000000-0004-0000-0300-000070000000}"/>
    <hyperlink ref="AO37" r:id="rId114" xr:uid="{00000000-0004-0000-0300-000071000000}"/>
    <hyperlink ref="AQ37" r:id="rId115" xr:uid="{00000000-0004-0000-0300-000072000000}"/>
    <hyperlink ref="AR37" r:id="rId116" xr:uid="{00000000-0004-0000-0300-000073000000}"/>
    <hyperlink ref="AS37" r:id="rId117" xr:uid="{00000000-0004-0000-0300-000074000000}"/>
    <hyperlink ref="AT37" r:id="rId118" xr:uid="{00000000-0004-0000-0300-000075000000}"/>
    <hyperlink ref="AU37" r:id="rId119" xr:uid="{00000000-0004-0000-0300-000076000000}"/>
    <hyperlink ref="AL38" r:id="rId120" xr:uid="{00000000-0004-0000-0300-000077000000}"/>
    <hyperlink ref="AM38" r:id="rId121" xr:uid="{00000000-0004-0000-0300-000078000000}"/>
    <hyperlink ref="AN38" r:id="rId122" xr:uid="{00000000-0004-0000-0300-000079000000}"/>
    <hyperlink ref="AO38" r:id="rId123" xr:uid="{00000000-0004-0000-0300-00007A000000}"/>
    <hyperlink ref="AQ38" r:id="rId124" xr:uid="{00000000-0004-0000-0300-00007B000000}"/>
    <hyperlink ref="AR38" r:id="rId125" xr:uid="{00000000-0004-0000-0300-00007C000000}"/>
    <hyperlink ref="AS38" r:id="rId126" xr:uid="{00000000-0004-0000-0300-00007D000000}"/>
    <hyperlink ref="AT38" r:id="rId127" xr:uid="{00000000-0004-0000-0300-00007E000000}"/>
    <hyperlink ref="AU38" r:id="rId128" xr:uid="{00000000-0004-0000-0300-00007F000000}"/>
    <hyperlink ref="AM39" r:id="rId129" xr:uid="{00000000-0004-0000-0300-000080000000}"/>
    <hyperlink ref="AN39" r:id="rId130" xr:uid="{00000000-0004-0000-0300-000081000000}"/>
    <hyperlink ref="AR39" r:id="rId131" xr:uid="{00000000-0004-0000-0300-000082000000}"/>
    <hyperlink ref="AU39" r:id="rId132" xr:uid="{00000000-0004-0000-0300-000083000000}"/>
    <hyperlink ref="AM40" r:id="rId133" xr:uid="{00000000-0004-0000-0300-000084000000}"/>
    <hyperlink ref="AR40" r:id="rId134" xr:uid="{00000000-0004-0000-0300-000085000000}"/>
    <hyperlink ref="AS40" r:id="rId135" xr:uid="{00000000-0004-0000-0300-000086000000}"/>
    <hyperlink ref="AU40" r:id="rId136" xr:uid="{00000000-0004-0000-0300-000087000000}"/>
    <hyperlink ref="AM41" r:id="rId137" xr:uid="{00000000-0004-0000-0300-000088000000}"/>
    <hyperlink ref="AU41" r:id="rId138" xr:uid="{00000000-0004-0000-0300-000089000000}"/>
    <hyperlink ref="AL42" r:id="rId139" xr:uid="{00000000-0004-0000-0300-00008A000000}"/>
    <hyperlink ref="AM42" r:id="rId140" xr:uid="{00000000-0004-0000-0300-00008B000000}"/>
    <hyperlink ref="AN42" r:id="rId141" xr:uid="{00000000-0004-0000-0300-00008C000000}"/>
    <hyperlink ref="AO42" r:id="rId142" xr:uid="{00000000-0004-0000-0300-00008D000000}"/>
    <hyperlink ref="AQ42" r:id="rId143" xr:uid="{00000000-0004-0000-0300-00008E000000}"/>
    <hyperlink ref="AS42" r:id="rId144" xr:uid="{00000000-0004-0000-0300-00008F000000}"/>
    <hyperlink ref="AU42" r:id="rId145" xr:uid="{00000000-0004-0000-0300-000090000000}"/>
    <hyperlink ref="AL43" r:id="rId146" xr:uid="{00000000-0004-0000-0300-000091000000}"/>
    <hyperlink ref="AM43" r:id="rId147" xr:uid="{00000000-0004-0000-0300-000092000000}"/>
    <hyperlink ref="AO43" r:id="rId148" xr:uid="{00000000-0004-0000-0300-000093000000}"/>
    <hyperlink ref="AQ43" r:id="rId149" xr:uid="{00000000-0004-0000-0300-000094000000}"/>
    <hyperlink ref="AR43" r:id="rId150" xr:uid="{00000000-0004-0000-0300-000095000000}"/>
    <hyperlink ref="AS43" r:id="rId151" xr:uid="{00000000-0004-0000-0300-000096000000}"/>
    <hyperlink ref="AT43" r:id="rId152" xr:uid="{00000000-0004-0000-0300-000097000000}"/>
    <hyperlink ref="AU43" r:id="rId153" xr:uid="{00000000-0004-0000-0300-000098000000}"/>
    <hyperlink ref="AL44" r:id="rId154" xr:uid="{00000000-0004-0000-0300-000099000000}"/>
    <hyperlink ref="AM44" r:id="rId155" xr:uid="{00000000-0004-0000-0300-00009A000000}"/>
    <hyperlink ref="AN44" r:id="rId156" xr:uid="{00000000-0004-0000-0300-00009B000000}"/>
    <hyperlink ref="AQ44" r:id="rId157" xr:uid="{00000000-0004-0000-0300-00009C000000}"/>
    <hyperlink ref="AR44" r:id="rId158" xr:uid="{00000000-0004-0000-0300-00009D000000}"/>
    <hyperlink ref="AM45" r:id="rId159" xr:uid="{00000000-0004-0000-0300-00009E000000}"/>
    <hyperlink ref="AN45" r:id="rId160" xr:uid="{00000000-0004-0000-0300-00009F000000}"/>
    <hyperlink ref="AO45" r:id="rId161" xr:uid="{00000000-0004-0000-0300-0000A0000000}"/>
    <hyperlink ref="AR45" r:id="rId162" xr:uid="{00000000-0004-0000-0300-0000A1000000}"/>
    <hyperlink ref="AS45" r:id="rId163" xr:uid="{00000000-0004-0000-0300-0000A2000000}"/>
    <hyperlink ref="AU45" r:id="rId164" xr:uid="{00000000-0004-0000-0300-0000A3000000}"/>
    <hyperlink ref="AL46" r:id="rId165" xr:uid="{00000000-0004-0000-0300-0000A4000000}"/>
    <hyperlink ref="AM46" r:id="rId166" xr:uid="{00000000-0004-0000-0300-0000A5000000}"/>
    <hyperlink ref="AS46" r:id="rId167" xr:uid="{00000000-0004-0000-0300-0000A6000000}"/>
    <hyperlink ref="AU46" r:id="rId168" xr:uid="{00000000-0004-0000-0300-0000A7000000}"/>
    <hyperlink ref="AL47" r:id="rId169" xr:uid="{00000000-0004-0000-0300-0000A8000000}"/>
    <hyperlink ref="AM47" r:id="rId170" xr:uid="{00000000-0004-0000-0300-0000A9000000}"/>
    <hyperlink ref="AR47" r:id="rId171" xr:uid="{00000000-0004-0000-0300-0000AA000000}"/>
    <hyperlink ref="AS47" r:id="rId172" xr:uid="{00000000-0004-0000-0300-0000AB000000}"/>
    <hyperlink ref="AT47" r:id="rId173" xr:uid="{00000000-0004-0000-0300-0000AC000000}"/>
    <hyperlink ref="AU47" r:id="rId174" xr:uid="{00000000-0004-0000-0300-0000AD000000}"/>
    <hyperlink ref="AL48" r:id="rId175" xr:uid="{00000000-0004-0000-0300-0000AE000000}"/>
    <hyperlink ref="AM48" r:id="rId176" xr:uid="{00000000-0004-0000-0300-0000AF000000}"/>
    <hyperlink ref="AN48" r:id="rId177" xr:uid="{00000000-0004-0000-0300-0000B0000000}"/>
    <hyperlink ref="AO48" r:id="rId178" xr:uid="{00000000-0004-0000-0300-0000B1000000}"/>
    <hyperlink ref="AR48" r:id="rId179" xr:uid="{00000000-0004-0000-0300-0000B2000000}"/>
    <hyperlink ref="AS48" r:id="rId180" xr:uid="{00000000-0004-0000-0300-0000B3000000}"/>
    <hyperlink ref="AT48" r:id="rId181" xr:uid="{00000000-0004-0000-0300-0000B4000000}"/>
    <hyperlink ref="AU48" r:id="rId182" xr:uid="{00000000-0004-0000-0300-0000B5000000}"/>
    <hyperlink ref="AM49" r:id="rId183" xr:uid="{00000000-0004-0000-0300-0000B6000000}"/>
    <hyperlink ref="AN49" r:id="rId184" xr:uid="{00000000-0004-0000-0300-0000B7000000}"/>
    <hyperlink ref="AQ49" r:id="rId185" xr:uid="{00000000-0004-0000-0300-0000B8000000}"/>
    <hyperlink ref="AR49" r:id="rId186" xr:uid="{00000000-0004-0000-0300-0000B9000000}"/>
    <hyperlink ref="AS49" r:id="rId187" xr:uid="{00000000-0004-0000-0300-0000BA000000}"/>
    <hyperlink ref="AT49" r:id="rId188" xr:uid="{00000000-0004-0000-0300-0000BB000000}"/>
    <hyperlink ref="AU49" r:id="rId189" xr:uid="{00000000-0004-0000-0300-0000BC000000}"/>
    <hyperlink ref="AM50" r:id="rId190" xr:uid="{00000000-0004-0000-0300-0000BD000000}"/>
    <hyperlink ref="AN50" r:id="rId191" xr:uid="{00000000-0004-0000-0300-0000BE000000}"/>
    <hyperlink ref="AQ50" r:id="rId192" xr:uid="{00000000-0004-0000-0300-0000BF000000}"/>
    <hyperlink ref="AR50" r:id="rId193" xr:uid="{00000000-0004-0000-0300-0000C0000000}"/>
    <hyperlink ref="AS50" r:id="rId194" xr:uid="{00000000-0004-0000-0300-0000C1000000}"/>
    <hyperlink ref="AU50" r:id="rId195" xr:uid="{00000000-0004-0000-0300-0000C2000000}"/>
    <hyperlink ref="AL51" r:id="rId196" xr:uid="{00000000-0004-0000-0300-0000C3000000}"/>
    <hyperlink ref="AM51" r:id="rId197" xr:uid="{00000000-0004-0000-0300-0000C4000000}"/>
    <hyperlink ref="AO51" r:id="rId198" xr:uid="{00000000-0004-0000-0300-0000C5000000}"/>
    <hyperlink ref="AQ51" r:id="rId199" xr:uid="{00000000-0004-0000-0300-0000C6000000}"/>
    <hyperlink ref="AR51" r:id="rId200" xr:uid="{00000000-0004-0000-0300-0000C7000000}"/>
    <hyperlink ref="AS51" r:id="rId201" xr:uid="{00000000-0004-0000-0300-0000C8000000}"/>
    <hyperlink ref="AT51" r:id="rId202" xr:uid="{00000000-0004-0000-0300-0000C9000000}"/>
    <hyperlink ref="AU51" r:id="rId203" xr:uid="{00000000-0004-0000-0300-0000CA000000}"/>
    <hyperlink ref="AL52" r:id="rId204" xr:uid="{00000000-0004-0000-0300-0000CB000000}"/>
    <hyperlink ref="AU52" r:id="rId205" xr:uid="{00000000-0004-0000-0300-0000CC000000}"/>
    <hyperlink ref="AL53" r:id="rId206" xr:uid="{00000000-0004-0000-0300-0000CD000000}"/>
    <hyperlink ref="AM53" r:id="rId207" xr:uid="{00000000-0004-0000-0300-0000CE000000}"/>
    <hyperlink ref="AQ53" r:id="rId208" xr:uid="{00000000-0004-0000-0300-0000CF000000}"/>
    <hyperlink ref="AR53" r:id="rId209" xr:uid="{00000000-0004-0000-0300-0000D0000000}"/>
    <hyperlink ref="AS53" r:id="rId210" xr:uid="{00000000-0004-0000-0300-0000D1000000}"/>
    <hyperlink ref="AL54" r:id="rId211" xr:uid="{00000000-0004-0000-0300-0000D2000000}"/>
    <hyperlink ref="AM54" r:id="rId212" xr:uid="{00000000-0004-0000-0300-0000D3000000}"/>
    <hyperlink ref="AN54" r:id="rId213" xr:uid="{00000000-0004-0000-0300-0000D4000000}"/>
    <hyperlink ref="AQ54" r:id="rId214" xr:uid="{00000000-0004-0000-0300-0000D5000000}"/>
    <hyperlink ref="AR54" r:id="rId215" xr:uid="{00000000-0004-0000-0300-0000D6000000}"/>
    <hyperlink ref="AT54" r:id="rId216" xr:uid="{00000000-0004-0000-0300-0000D7000000}"/>
    <hyperlink ref="AU54" r:id="rId217" xr:uid="{00000000-0004-0000-0300-0000D8000000}"/>
    <hyperlink ref="AL55" r:id="rId218" xr:uid="{00000000-0004-0000-0300-0000D9000000}"/>
    <hyperlink ref="AM55" r:id="rId219" xr:uid="{00000000-0004-0000-0300-0000DA000000}"/>
    <hyperlink ref="AN55" r:id="rId220" xr:uid="{00000000-0004-0000-0300-0000DB000000}"/>
    <hyperlink ref="AO55" r:id="rId221" xr:uid="{00000000-0004-0000-0300-0000DC000000}"/>
    <hyperlink ref="AR55" r:id="rId222" xr:uid="{00000000-0004-0000-0300-0000DD000000}"/>
    <hyperlink ref="AS55" r:id="rId223" xr:uid="{00000000-0004-0000-0300-0000DE000000}"/>
    <hyperlink ref="AU55" r:id="rId224" xr:uid="{00000000-0004-0000-0300-0000DF000000}"/>
    <hyperlink ref="AM56" r:id="rId225" xr:uid="{00000000-0004-0000-0300-0000E0000000}"/>
    <hyperlink ref="AN56" r:id="rId226" xr:uid="{00000000-0004-0000-0300-0000E1000000}"/>
    <hyperlink ref="AU56" r:id="rId227" xr:uid="{00000000-0004-0000-0300-0000E2000000}"/>
    <hyperlink ref="AM57" r:id="rId228" xr:uid="{00000000-0004-0000-0300-0000E3000000}"/>
    <hyperlink ref="AN57" r:id="rId229" xr:uid="{00000000-0004-0000-0300-0000E4000000}"/>
    <hyperlink ref="AR57" r:id="rId230" xr:uid="{00000000-0004-0000-0300-0000E5000000}"/>
    <hyperlink ref="AS57" r:id="rId231" xr:uid="{00000000-0004-0000-0300-0000E6000000}"/>
    <hyperlink ref="AU57" r:id="rId232" xr:uid="{00000000-0004-0000-0300-0000E7000000}"/>
    <hyperlink ref="AM58" r:id="rId233" xr:uid="{00000000-0004-0000-0300-0000E8000000}"/>
    <hyperlink ref="AM59" r:id="rId234" xr:uid="{00000000-0004-0000-0300-0000E9000000}"/>
    <hyperlink ref="AQ59" r:id="rId235" xr:uid="{00000000-0004-0000-0300-0000EA000000}"/>
    <hyperlink ref="AU59" r:id="rId236" xr:uid="{00000000-0004-0000-0300-0000EB000000}"/>
    <hyperlink ref="AM60" r:id="rId237" xr:uid="{00000000-0004-0000-0300-0000EC000000}"/>
    <hyperlink ref="AN60" r:id="rId238" xr:uid="{00000000-0004-0000-0300-0000ED000000}"/>
    <hyperlink ref="AQ60" r:id="rId239" xr:uid="{00000000-0004-0000-0300-0000EE000000}"/>
    <hyperlink ref="AS60" r:id="rId240" xr:uid="{00000000-0004-0000-0300-0000EF000000}"/>
    <hyperlink ref="AU60" r:id="rId241" xr:uid="{00000000-0004-0000-0300-0000F0000000}"/>
    <hyperlink ref="AM61" r:id="rId242" xr:uid="{00000000-0004-0000-0300-0000F1000000}"/>
    <hyperlink ref="AU61" r:id="rId243" xr:uid="{00000000-0004-0000-0300-0000F2000000}"/>
    <hyperlink ref="AM62" r:id="rId244" xr:uid="{00000000-0004-0000-0300-0000F3000000}"/>
    <hyperlink ref="AR63" r:id="rId245" xr:uid="{00000000-0004-0000-0300-0000F4000000}"/>
    <hyperlink ref="AU63" r:id="rId246" xr:uid="{00000000-0004-0000-0300-0000F5000000}"/>
    <hyperlink ref="AM64" r:id="rId247" xr:uid="{00000000-0004-0000-0300-0000F6000000}"/>
    <hyperlink ref="AM65" r:id="rId248" xr:uid="{00000000-0004-0000-0300-0000F7000000}"/>
    <hyperlink ref="AO65" r:id="rId249" xr:uid="{00000000-0004-0000-0300-0000F8000000}"/>
    <hyperlink ref="AQ65" r:id="rId250" xr:uid="{00000000-0004-0000-0300-0000F9000000}"/>
    <hyperlink ref="AU65" r:id="rId251" xr:uid="{00000000-0004-0000-0300-0000FA000000}"/>
    <hyperlink ref="AL66" r:id="rId252" xr:uid="{00000000-0004-0000-0300-0000FB000000}"/>
    <hyperlink ref="AM66" r:id="rId253" xr:uid="{00000000-0004-0000-0300-0000FC000000}"/>
    <hyperlink ref="AN66" r:id="rId254" xr:uid="{00000000-0004-0000-0300-0000FD000000}"/>
    <hyperlink ref="AO66" r:id="rId255" xr:uid="{00000000-0004-0000-0300-0000FE000000}"/>
    <hyperlink ref="AQ66" r:id="rId256" xr:uid="{00000000-0004-0000-0300-0000FF000000}"/>
    <hyperlink ref="AR66" r:id="rId257" xr:uid="{00000000-0004-0000-0300-000000010000}"/>
    <hyperlink ref="AS66" r:id="rId258" xr:uid="{00000000-0004-0000-0300-000001010000}"/>
    <hyperlink ref="AT66" r:id="rId259" xr:uid="{00000000-0004-0000-0300-000002010000}"/>
    <hyperlink ref="AU66" r:id="rId260" xr:uid="{00000000-0004-0000-0300-000003010000}"/>
    <hyperlink ref="AM67" r:id="rId261" xr:uid="{00000000-0004-0000-0300-000004010000}"/>
    <hyperlink ref="AQ67" r:id="rId262" xr:uid="{00000000-0004-0000-0300-000005010000}"/>
    <hyperlink ref="AR67" r:id="rId263" xr:uid="{00000000-0004-0000-0300-000006010000}"/>
    <hyperlink ref="AS67" r:id="rId264" xr:uid="{00000000-0004-0000-0300-000007010000}"/>
    <hyperlink ref="AU67" r:id="rId265" xr:uid="{00000000-0004-0000-0300-000008010000}"/>
    <hyperlink ref="AL68" r:id="rId266" xr:uid="{00000000-0004-0000-0300-000009010000}"/>
    <hyperlink ref="AM68" r:id="rId267" xr:uid="{00000000-0004-0000-0300-00000A010000}"/>
    <hyperlink ref="AM69" r:id="rId268" xr:uid="{00000000-0004-0000-0300-00000B010000}"/>
    <hyperlink ref="AO69" r:id="rId269" xr:uid="{00000000-0004-0000-0300-00000C010000}"/>
    <hyperlink ref="AU69" r:id="rId270" xr:uid="{00000000-0004-0000-0300-00000D010000}"/>
    <hyperlink ref="AL70" r:id="rId271" xr:uid="{00000000-0004-0000-0300-00000E010000}"/>
    <hyperlink ref="AM70" r:id="rId272" xr:uid="{00000000-0004-0000-0300-00000F010000}"/>
    <hyperlink ref="AU70" r:id="rId273" xr:uid="{00000000-0004-0000-0300-000010010000}"/>
    <hyperlink ref="AM71" r:id="rId274" xr:uid="{00000000-0004-0000-0300-000011010000}"/>
    <hyperlink ref="AU71" r:id="rId275" xr:uid="{00000000-0004-0000-0300-000012010000}"/>
    <hyperlink ref="AM72" r:id="rId276" xr:uid="{00000000-0004-0000-0300-000013010000}"/>
    <hyperlink ref="AN72" r:id="rId277" xr:uid="{00000000-0004-0000-0300-000014010000}"/>
    <hyperlink ref="AQ72" r:id="rId278" xr:uid="{00000000-0004-0000-0300-000015010000}"/>
    <hyperlink ref="AR72" r:id="rId279" xr:uid="{00000000-0004-0000-0300-000016010000}"/>
    <hyperlink ref="AS72" r:id="rId280" xr:uid="{00000000-0004-0000-0300-000017010000}"/>
    <hyperlink ref="AU72" r:id="rId281" xr:uid="{00000000-0004-0000-0300-000018010000}"/>
    <hyperlink ref="AL73" r:id="rId282" xr:uid="{00000000-0004-0000-0300-000019010000}"/>
    <hyperlink ref="AM73" r:id="rId283" xr:uid="{00000000-0004-0000-0300-00001A010000}"/>
    <hyperlink ref="AM74" r:id="rId284" xr:uid="{00000000-0004-0000-0300-00001B010000}"/>
    <hyperlink ref="AN74" r:id="rId285" xr:uid="{00000000-0004-0000-0300-00001C010000}"/>
    <hyperlink ref="AO74" r:id="rId286" xr:uid="{00000000-0004-0000-0300-00001D010000}"/>
    <hyperlink ref="AR74" r:id="rId287" xr:uid="{00000000-0004-0000-0300-00001E010000}"/>
    <hyperlink ref="AS74" r:id="rId288" xr:uid="{00000000-0004-0000-0300-00001F010000}"/>
    <hyperlink ref="AU74" r:id="rId289" xr:uid="{00000000-0004-0000-0300-000020010000}"/>
    <hyperlink ref="AL75" r:id="rId290" xr:uid="{00000000-0004-0000-0300-000021010000}"/>
    <hyperlink ref="AM75" r:id="rId291" xr:uid="{00000000-0004-0000-0300-000022010000}"/>
    <hyperlink ref="AO75" r:id="rId292" xr:uid="{00000000-0004-0000-0300-000023010000}"/>
    <hyperlink ref="AQ75" r:id="rId293" xr:uid="{00000000-0004-0000-0300-000024010000}"/>
    <hyperlink ref="AU75" r:id="rId294" xr:uid="{00000000-0004-0000-0300-000025010000}"/>
    <hyperlink ref="AL76" r:id="rId295" xr:uid="{00000000-0004-0000-0300-000026010000}"/>
    <hyperlink ref="AM76" r:id="rId296" xr:uid="{00000000-0004-0000-0300-000027010000}"/>
    <hyperlink ref="AN76" r:id="rId297" xr:uid="{00000000-0004-0000-0300-000028010000}"/>
    <hyperlink ref="AR76" r:id="rId298" xr:uid="{00000000-0004-0000-0300-000029010000}"/>
    <hyperlink ref="AS76" r:id="rId299" xr:uid="{00000000-0004-0000-0300-00002A010000}"/>
    <hyperlink ref="AT76" r:id="rId300" xr:uid="{00000000-0004-0000-0300-00002B010000}"/>
    <hyperlink ref="AU76" r:id="rId301" xr:uid="{00000000-0004-0000-0300-00002C010000}"/>
    <hyperlink ref="AL77" r:id="rId302" xr:uid="{00000000-0004-0000-0300-00002D010000}"/>
    <hyperlink ref="AM77" r:id="rId303" xr:uid="{00000000-0004-0000-0300-00002E010000}"/>
    <hyperlink ref="AR77" r:id="rId304" xr:uid="{00000000-0004-0000-0300-00002F010000}"/>
    <hyperlink ref="AS77" r:id="rId305" xr:uid="{00000000-0004-0000-0300-000030010000}"/>
    <hyperlink ref="AU77" r:id="rId306" xr:uid="{00000000-0004-0000-0300-000031010000}"/>
    <hyperlink ref="AL78" r:id="rId307" xr:uid="{00000000-0004-0000-0300-000032010000}"/>
    <hyperlink ref="AM78" r:id="rId308" xr:uid="{00000000-0004-0000-0300-000033010000}"/>
    <hyperlink ref="AN78" r:id="rId309" xr:uid="{00000000-0004-0000-0300-000034010000}"/>
    <hyperlink ref="AQ78" r:id="rId310" xr:uid="{00000000-0004-0000-0300-000035010000}"/>
    <hyperlink ref="AS78" r:id="rId311" xr:uid="{00000000-0004-0000-0300-000036010000}"/>
    <hyperlink ref="AT78" r:id="rId312" xr:uid="{00000000-0004-0000-0300-000037010000}"/>
    <hyperlink ref="AU78" r:id="rId313" xr:uid="{00000000-0004-0000-0300-000038010000}"/>
    <hyperlink ref="AM79" r:id="rId314" xr:uid="{00000000-0004-0000-0300-000039010000}"/>
    <hyperlink ref="AU79" r:id="rId315" xr:uid="{00000000-0004-0000-0300-00003A010000}"/>
    <hyperlink ref="AL80" r:id="rId316" xr:uid="{00000000-0004-0000-0300-00003B010000}"/>
    <hyperlink ref="AM80" r:id="rId317" xr:uid="{00000000-0004-0000-0300-00003C010000}"/>
    <hyperlink ref="AN80" r:id="rId318" xr:uid="{00000000-0004-0000-0300-00003D010000}"/>
    <hyperlink ref="AO80" r:id="rId319" xr:uid="{00000000-0004-0000-0300-00003E010000}"/>
    <hyperlink ref="AU80" r:id="rId320" xr:uid="{00000000-0004-0000-0300-00003F010000}"/>
    <hyperlink ref="AM81" r:id="rId321" xr:uid="{00000000-0004-0000-0300-000040010000}"/>
    <hyperlink ref="AS82" r:id="rId322" xr:uid="{00000000-0004-0000-0300-000041010000}"/>
    <hyperlink ref="AL83" r:id="rId323" xr:uid="{00000000-0004-0000-0300-000042010000}"/>
    <hyperlink ref="AM83" r:id="rId324" xr:uid="{00000000-0004-0000-0300-000043010000}"/>
    <hyperlink ref="AR83" r:id="rId325" xr:uid="{00000000-0004-0000-0300-000044010000}"/>
    <hyperlink ref="AS83" r:id="rId326" xr:uid="{00000000-0004-0000-0300-000045010000}"/>
    <hyperlink ref="AT83" r:id="rId327" xr:uid="{00000000-0004-0000-0300-000046010000}"/>
    <hyperlink ref="AU83" r:id="rId328" xr:uid="{00000000-0004-0000-0300-000047010000}"/>
    <hyperlink ref="AL84" r:id="rId329" xr:uid="{00000000-0004-0000-0300-000048010000}"/>
    <hyperlink ref="AM84" r:id="rId330" xr:uid="{00000000-0004-0000-0300-000049010000}"/>
    <hyperlink ref="AN84" r:id="rId331" xr:uid="{00000000-0004-0000-0300-00004A010000}"/>
    <hyperlink ref="AR84" r:id="rId332" xr:uid="{00000000-0004-0000-0300-00004B010000}"/>
    <hyperlink ref="AS84" r:id="rId333" xr:uid="{00000000-0004-0000-0300-00004C010000}"/>
    <hyperlink ref="AT84" r:id="rId334" xr:uid="{00000000-0004-0000-0300-00004D010000}"/>
    <hyperlink ref="AU84" r:id="rId335" xr:uid="{00000000-0004-0000-0300-00004E010000}"/>
    <hyperlink ref="AM85" r:id="rId336" xr:uid="{00000000-0004-0000-0300-00004F010000}"/>
    <hyperlink ref="AQ85" r:id="rId337" xr:uid="{00000000-0004-0000-0300-000050010000}"/>
    <hyperlink ref="AU85" r:id="rId338" xr:uid="{00000000-0004-0000-0300-000051010000}"/>
    <hyperlink ref="AN86" r:id="rId339" xr:uid="{00000000-0004-0000-0300-000052010000}"/>
    <hyperlink ref="AU86" r:id="rId340" xr:uid="{00000000-0004-0000-0300-000053010000}"/>
    <hyperlink ref="AL87" r:id="rId341" xr:uid="{00000000-0004-0000-0300-000054010000}"/>
    <hyperlink ref="AM87" r:id="rId342" xr:uid="{00000000-0004-0000-0300-000055010000}"/>
    <hyperlink ref="AN87" r:id="rId343" xr:uid="{00000000-0004-0000-0300-000056010000}"/>
    <hyperlink ref="AO87" r:id="rId344" xr:uid="{00000000-0004-0000-0300-000057010000}"/>
    <hyperlink ref="AR87" r:id="rId345" xr:uid="{00000000-0004-0000-0300-000058010000}"/>
    <hyperlink ref="AT87" r:id="rId346" xr:uid="{00000000-0004-0000-0300-000059010000}"/>
    <hyperlink ref="AU87" r:id="rId347" xr:uid="{00000000-0004-0000-0300-00005A010000}"/>
    <hyperlink ref="AM88" r:id="rId348" xr:uid="{00000000-0004-0000-0300-00005B010000}"/>
    <hyperlink ref="AT88" r:id="rId349" xr:uid="{00000000-0004-0000-0300-00005C010000}"/>
    <hyperlink ref="AU88" r:id="rId350" xr:uid="{00000000-0004-0000-0300-00005D010000}"/>
    <hyperlink ref="AM89" r:id="rId351" xr:uid="{00000000-0004-0000-0300-00005E010000}"/>
    <hyperlink ref="AQ89" r:id="rId352" xr:uid="{00000000-0004-0000-0300-00005F010000}"/>
    <hyperlink ref="AM90" r:id="rId353" xr:uid="{00000000-0004-0000-0300-000060010000}"/>
    <hyperlink ref="AQ91" r:id="rId354" xr:uid="{00000000-0004-0000-0300-000061010000}"/>
    <hyperlink ref="AR91" r:id="rId355" xr:uid="{00000000-0004-0000-0300-000062010000}"/>
    <hyperlink ref="AS91" r:id="rId356" xr:uid="{00000000-0004-0000-0300-000063010000}"/>
    <hyperlink ref="AT91" r:id="rId357" xr:uid="{00000000-0004-0000-0300-000064010000}"/>
    <hyperlink ref="AU91" r:id="rId358" xr:uid="{00000000-0004-0000-0300-000065010000}"/>
    <hyperlink ref="AM92" r:id="rId359" xr:uid="{00000000-0004-0000-0300-000066010000}"/>
    <hyperlink ref="AT92" r:id="rId360" xr:uid="{00000000-0004-0000-0300-000067010000}"/>
    <hyperlink ref="AU92" r:id="rId361" xr:uid="{00000000-0004-0000-0300-000068010000}"/>
    <hyperlink ref="AM93" r:id="rId362" xr:uid="{00000000-0004-0000-0300-000069010000}"/>
    <hyperlink ref="AO93" r:id="rId363" xr:uid="{00000000-0004-0000-0300-00006A010000}"/>
    <hyperlink ref="AU93" r:id="rId364" xr:uid="{00000000-0004-0000-0300-00006B010000}"/>
    <hyperlink ref="AU94" r:id="rId365" xr:uid="{00000000-0004-0000-0300-00006C010000}"/>
    <hyperlink ref="AL95" r:id="rId366" xr:uid="{00000000-0004-0000-0300-00006D010000}"/>
    <hyperlink ref="AM95" r:id="rId367" xr:uid="{00000000-0004-0000-0300-00006E010000}"/>
    <hyperlink ref="AU95" r:id="rId368" xr:uid="{00000000-0004-0000-0300-00006F010000}"/>
    <hyperlink ref="AM96" r:id="rId369" xr:uid="{00000000-0004-0000-0300-000070010000}"/>
    <hyperlink ref="AU96" r:id="rId370" xr:uid="{00000000-0004-0000-0300-000071010000}"/>
    <hyperlink ref="AL97" r:id="rId371" xr:uid="{00000000-0004-0000-0300-000072010000}"/>
    <hyperlink ref="AM97" r:id="rId372" xr:uid="{00000000-0004-0000-0300-000073010000}"/>
    <hyperlink ref="AN97" r:id="rId373" xr:uid="{00000000-0004-0000-0300-000074010000}"/>
    <hyperlink ref="AR97" r:id="rId374" xr:uid="{00000000-0004-0000-0300-000075010000}"/>
    <hyperlink ref="AS97" r:id="rId375" xr:uid="{00000000-0004-0000-0300-000076010000}"/>
    <hyperlink ref="AL99" r:id="rId376" xr:uid="{00000000-0004-0000-0300-000077010000}"/>
    <hyperlink ref="AM99" r:id="rId377" xr:uid="{00000000-0004-0000-0300-000078010000}"/>
    <hyperlink ref="AL100" r:id="rId378" xr:uid="{00000000-0004-0000-0300-000079010000}"/>
    <hyperlink ref="AM100" r:id="rId379" xr:uid="{00000000-0004-0000-0300-00007A010000}"/>
    <hyperlink ref="AN100" r:id="rId380" xr:uid="{00000000-0004-0000-0300-00007B010000}"/>
    <hyperlink ref="AQ100" r:id="rId381" xr:uid="{00000000-0004-0000-0300-00007C010000}"/>
    <hyperlink ref="AR100" r:id="rId382" xr:uid="{00000000-0004-0000-0300-00007D010000}"/>
    <hyperlink ref="AS100" r:id="rId383" xr:uid="{00000000-0004-0000-0300-00007E010000}"/>
    <hyperlink ref="AT100" r:id="rId384" xr:uid="{00000000-0004-0000-0300-00007F010000}"/>
    <hyperlink ref="AU100" r:id="rId385" xr:uid="{00000000-0004-0000-0300-000080010000}"/>
    <hyperlink ref="AL101" r:id="rId386" xr:uid="{00000000-0004-0000-0300-000081010000}"/>
    <hyperlink ref="AM101" r:id="rId387" xr:uid="{00000000-0004-0000-0300-000082010000}"/>
    <hyperlink ref="AR101" r:id="rId388" xr:uid="{00000000-0004-0000-0300-000083010000}"/>
    <hyperlink ref="AS101" r:id="rId389" xr:uid="{00000000-0004-0000-0300-000084010000}"/>
    <hyperlink ref="AU101" r:id="rId390" xr:uid="{00000000-0004-0000-0300-000085010000}"/>
    <hyperlink ref="AL102" r:id="rId391" xr:uid="{00000000-0004-0000-0300-000086010000}"/>
    <hyperlink ref="AM102" r:id="rId392" xr:uid="{00000000-0004-0000-0300-000087010000}"/>
    <hyperlink ref="AN102" r:id="rId393" xr:uid="{00000000-0004-0000-0300-000088010000}"/>
    <hyperlink ref="AO102" r:id="rId394" xr:uid="{00000000-0004-0000-0300-000089010000}"/>
    <hyperlink ref="AR102" r:id="rId395" xr:uid="{00000000-0004-0000-0300-00008A010000}"/>
    <hyperlink ref="AS102" r:id="rId396" xr:uid="{00000000-0004-0000-0300-00008B010000}"/>
    <hyperlink ref="AL103" r:id="rId397" xr:uid="{00000000-0004-0000-0300-00008C010000}"/>
    <hyperlink ref="AM103" r:id="rId398" xr:uid="{00000000-0004-0000-0300-00008D010000}"/>
    <hyperlink ref="AN103" r:id="rId399" xr:uid="{00000000-0004-0000-0300-00008E010000}"/>
    <hyperlink ref="AO103" r:id="rId400" xr:uid="{00000000-0004-0000-0300-00008F010000}"/>
    <hyperlink ref="AQ103" r:id="rId401" xr:uid="{00000000-0004-0000-0300-000090010000}"/>
    <hyperlink ref="AR103" r:id="rId402" xr:uid="{00000000-0004-0000-0300-000091010000}"/>
    <hyperlink ref="AS103" r:id="rId403" xr:uid="{00000000-0004-0000-0300-000092010000}"/>
    <hyperlink ref="AT103" r:id="rId404" xr:uid="{00000000-0004-0000-0300-000093010000}"/>
    <hyperlink ref="AM104" r:id="rId405" xr:uid="{00000000-0004-0000-0300-000094010000}"/>
    <hyperlink ref="AR104" r:id="rId406" xr:uid="{00000000-0004-0000-0300-000095010000}"/>
    <hyperlink ref="AS104" r:id="rId407" xr:uid="{00000000-0004-0000-0300-000096010000}"/>
    <hyperlink ref="AT104" r:id="rId408" xr:uid="{00000000-0004-0000-0300-000097010000}"/>
    <hyperlink ref="AM105" r:id="rId409" xr:uid="{00000000-0004-0000-0300-000098010000}"/>
    <hyperlink ref="AN105" r:id="rId410" xr:uid="{00000000-0004-0000-0300-000099010000}"/>
    <hyperlink ref="AT105" r:id="rId411" xr:uid="{00000000-0004-0000-0300-00009A010000}"/>
    <hyperlink ref="AU105" r:id="rId412" xr:uid="{00000000-0004-0000-0300-00009B010000}"/>
    <hyperlink ref="AM106" r:id="rId413" xr:uid="{00000000-0004-0000-0300-00009C010000}"/>
    <hyperlink ref="AQ106" r:id="rId414" xr:uid="{00000000-0004-0000-0300-00009D010000}"/>
    <hyperlink ref="AU106" r:id="rId415" xr:uid="{00000000-0004-0000-0300-00009E010000}"/>
    <hyperlink ref="AL107" r:id="rId416" xr:uid="{00000000-0004-0000-0300-00009F010000}"/>
    <hyperlink ref="AN107" r:id="rId417" xr:uid="{00000000-0004-0000-0300-0000A0010000}"/>
    <hyperlink ref="AR107" r:id="rId418" xr:uid="{00000000-0004-0000-0300-0000A1010000}"/>
    <hyperlink ref="AS107" r:id="rId419" xr:uid="{00000000-0004-0000-0300-0000A2010000}"/>
    <hyperlink ref="AU107" r:id="rId420" xr:uid="{00000000-0004-0000-0300-0000A3010000}"/>
    <hyperlink ref="AM108" r:id="rId421" xr:uid="{00000000-0004-0000-0300-0000A4010000}"/>
    <hyperlink ref="AN108" r:id="rId422" xr:uid="{00000000-0004-0000-0300-0000A5010000}"/>
    <hyperlink ref="AQ108" r:id="rId423" xr:uid="{00000000-0004-0000-0300-0000A6010000}"/>
    <hyperlink ref="AR108" r:id="rId424" xr:uid="{00000000-0004-0000-0300-0000A7010000}"/>
    <hyperlink ref="AS108" r:id="rId425" xr:uid="{00000000-0004-0000-0300-0000A8010000}"/>
    <hyperlink ref="AT108" r:id="rId426" xr:uid="{00000000-0004-0000-0300-0000A9010000}"/>
    <hyperlink ref="AU108" r:id="rId427" xr:uid="{00000000-0004-0000-0300-0000AA010000}"/>
    <hyperlink ref="AL109" r:id="rId428" xr:uid="{00000000-0004-0000-0300-0000AB010000}"/>
    <hyperlink ref="AM109" r:id="rId429" xr:uid="{00000000-0004-0000-0300-0000AC010000}"/>
    <hyperlink ref="AN109" r:id="rId430" xr:uid="{00000000-0004-0000-0300-0000AD010000}"/>
    <hyperlink ref="AO109" r:id="rId431" xr:uid="{00000000-0004-0000-0300-0000AE010000}"/>
    <hyperlink ref="AQ109" r:id="rId432" xr:uid="{00000000-0004-0000-0300-0000AF010000}"/>
    <hyperlink ref="AS109" r:id="rId433" xr:uid="{00000000-0004-0000-0300-0000B0010000}"/>
    <hyperlink ref="AT109" r:id="rId434" xr:uid="{00000000-0004-0000-0300-0000B1010000}"/>
    <hyperlink ref="AU109" r:id="rId435" xr:uid="{00000000-0004-0000-0300-0000B2010000}"/>
    <hyperlink ref="AL110" r:id="rId436" xr:uid="{00000000-0004-0000-0300-0000B3010000}"/>
    <hyperlink ref="AM110" r:id="rId437" xr:uid="{00000000-0004-0000-0300-0000B4010000}"/>
    <hyperlink ref="AQ110" r:id="rId438" xr:uid="{00000000-0004-0000-0300-0000B5010000}"/>
    <hyperlink ref="AU110" r:id="rId439" xr:uid="{00000000-0004-0000-0300-0000B6010000}"/>
    <hyperlink ref="AL111" r:id="rId440" xr:uid="{00000000-0004-0000-0300-0000B7010000}"/>
    <hyperlink ref="AM111" r:id="rId441" xr:uid="{00000000-0004-0000-0300-0000B8010000}"/>
    <hyperlink ref="AN111" r:id="rId442" xr:uid="{00000000-0004-0000-0300-0000B9010000}"/>
    <hyperlink ref="AO111" r:id="rId443" xr:uid="{00000000-0004-0000-0300-0000BA010000}"/>
    <hyperlink ref="AQ111" r:id="rId444" xr:uid="{00000000-0004-0000-0300-0000BB010000}"/>
    <hyperlink ref="AR111" r:id="rId445" xr:uid="{00000000-0004-0000-0300-0000BC010000}"/>
    <hyperlink ref="AS111" r:id="rId446" xr:uid="{00000000-0004-0000-0300-0000BD010000}"/>
    <hyperlink ref="AU111" r:id="rId447" xr:uid="{00000000-0004-0000-0300-0000BE010000}"/>
    <hyperlink ref="AM112" r:id="rId448" xr:uid="{00000000-0004-0000-0300-0000BF010000}"/>
    <hyperlink ref="AS112" r:id="rId449" xr:uid="{00000000-0004-0000-0300-0000C0010000}"/>
    <hyperlink ref="AL113" r:id="rId450" xr:uid="{00000000-0004-0000-0300-0000C1010000}"/>
    <hyperlink ref="AM113" r:id="rId451" xr:uid="{00000000-0004-0000-0300-0000C2010000}"/>
    <hyperlink ref="AN113" r:id="rId452" xr:uid="{00000000-0004-0000-0300-0000C3010000}"/>
    <hyperlink ref="AO113" r:id="rId453" xr:uid="{00000000-0004-0000-0300-0000C4010000}"/>
    <hyperlink ref="AR113" r:id="rId454" xr:uid="{00000000-0004-0000-0300-0000C5010000}"/>
    <hyperlink ref="AS113" r:id="rId455" xr:uid="{00000000-0004-0000-0300-0000C6010000}"/>
    <hyperlink ref="AU113" r:id="rId456" xr:uid="{00000000-0004-0000-0300-0000C7010000}"/>
    <hyperlink ref="AM114" r:id="rId457" xr:uid="{00000000-0004-0000-0300-0000C8010000}"/>
    <hyperlink ref="AM115" r:id="rId458" xr:uid="{00000000-0004-0000-0300-0000C9010000}"/>
    <hyperlink ref="AN115" r:id="rId459" xr:uid="{00000000-0004-0000-0300-0000CA010000}"/>
    <hyperlink ref="AL116" r:id="rId460" xr:uid="{00000000-0004-0000-0300-0000CB010000}"/>
    <hyperlink ref="AO116" r:id="rId461" xr:uid="{00000000-0004-0000-0300-0000CC010000}"/>
    <hyperlink ref="AQ117" r:id="rId462" xr:uid="{00000000-0004-0000-0300-0000CD010000}"/>
    <hyperlink ref="AM118" r:id="rId463" xr:uid="{00000000-0004-0000-0300-0000CE010000}"/>
    <hyperlink ref="AQ118" r:id="rId464" xr:uid="{00000000-0004-0000-0300-0000CF010000}"/>
    <hyperlink ref="AR118" r:id="rId465" xr:uid="{00000000-0004-0000-0300-0000D0010000}"/>
    <hyperlink ref="AS118" r:id="rId466" xr:uid="{00000000-0004-0000-0300-0000D1010000}"/>
    <hyperlink ref="AL119" r:id="rId467" xr:uid="{00000000-0004-0000-0300-0000D2010000}"/>
    <hyperlink ref="AM119" r:id="rId468" xr:uid="{00000000-0004-0000-0300-0000D3010000}"/>
    <hyperlink ref="AN119" r:id="rId469" xr:uid="{00000000-0004-0000-0300-0000D4010000}"/>
    <hyperlink ref="AR119" r:id="rId470" xr:uid="{00000000-0004-0000-0300-0000D5010000}"/>
    <hyperlink ref="AS119" r:id="rId471" xr:uid="{00000000-0004-0000-0300-0000D6010000}"/>
    <hyperlink ref="AT119" r:id="rId472" xr:uid="{00000000-0004-0000-0300-0000D7010000}"/>
    <hyperlink ref="AU119" r:id="rId473" xr:uid="{00000000-0004-0000-0300-0000D8010000}"/>
    <hyperlink ref="AM120" r:id="rId474" xr:uid="{00000000-0004-0000-0300-0000D9010000}"/>
    <hyperlink ref="AN120" r:id="rId475" xr:uid="{00000000-0004-0000-0300-0000DA010000}"/>
    <hyperlink ref="AQ120" r:id="rId476" xr:uid="{00000000-0004-0000-0300-0000DB010000}"/>
    <hyperlink ref="AR120" r:id="rId477" xr:uid="{00000000-0004-0000-0300-0000DC010000}"/>
    <hyperlink ref="AS120" r:id="rId478" xr:uid="{00000000-0004-0000-0300-0000DD010000}"/>
    <hyperlink ref="AU120" r:id="rId479" xr:uid="{00000000-0004-0000-0300-0000DE010000}"/>
    <hyperlink ref="AR121" r:id="rId480" xr:uid="{00000000-0004-0000-0300-0000DF010000}"/>
    <hyperlink ref="AS121" r:id="rId481" xr:uid="{00000000-0004-0000-0300-0000E0010000}"/>
    <hyperlink ref="AU121" r:id="rId482" xr:uid="{00000000-0004-0000-0300-0000E1010000}"/>
    <hyperlink ref="AM122" r:id="rId483" xr:uid="{00000000-0004-0000-0300-0000E2010000}"/>
    <hyperlink ref="AR122" r:id="rId484" xr:uid="{00000000-0004-0000-0300-0000E3010000}"/>
    <hyperlink ref="AS122" r:id="rId485" xr:uid="{00000000-0004-0000-0300-0000E4010000}"/>
    <hyperlink ref="AT122" r:id="rId486" xr:uid="{00000000-0004-0000-0300-0000E5010000}"/>
    <hyperlink ref="AU122" r:id="rId487" xr:uid="{00000000-0004-0000-0300-0000E6010000}"/>
    <hyperlink ref="AL123" r:id="rId488" xr:uid="{00000000-0004-0000-0300-0000E7010000}"/>
    <hyperlink ref="AM123" r:id="rId489" xr:uid="{00000000-0004-0000-0300-0000E8010000}"/>
    <hyperlink ref="AN123" r:id="rId490" xr:uid="{00000000-0004-0000-0300-0000E9010000}"/>
    <hyperlink ref="AQ123" r:id="rId491" xr:uid="{00000000-0004-0000-0300-0000EA010000}"/>
    <hyperlink ref="AR123" r:id="rId492" xr:uid="{00000000-0004-0000-0300-0000EB010000}"/>
    <hyperlink ref="AS123" r:id="rId493" xr:uid="{00000000-0004-0000-0300-0000EC010000}"/>
    <hyperlink ref="AT123" r:id="rId494" xr:uid="{00000000-0004-0000-0300-0000ED010000}"/>
    <hyperlink ref="AU123" r:id="rId495" xr:uid="{00000000-0004-0000-0300-0000EE010000}"/>
    <hyperlink ref="AM124" r:id="rId496" xr:uid="{00000000-0004-0000-0300-0000EF010000}"/>
    <hyperlink ref="AN124" r:id="rId497" xr:uid="{00000000-0004-0000-0300-0000F0010000}"/>
    <hyperlink ref="AQ124" r:id="rId498" xr:uid="{00000000-0004-0000-0300-0000F1010000}"/>
    <hyperlink ref="AR124" r:id="rId499" xr:uid="{00000000-0004-0000-0300-0000F2010000}"/>
    <hyperlink ref="AS124" r:id="rId500" xr:uid="{00000000-0004-0000-0300-0000F3010000}"/>
    <hyperlink ref="AT124" r:id="rId501" xr:uid="{00000000-0004-0000-0300-0000F4010000}"/>
    <hyperlink ref="AU124" r:id="rId502" xr:uid="{00000000-0004-0000-0300-0000F5010000}"/>
    <hyperlink ref="AL125" r:id="rId503" xr:uid="{00000000-0004-0000-0300-0000F6010000}"/>
    <hyperlink ref="AR125" r:id="rId504" xr:uid="{00000000-0004-0000-0300-0000F7010000}"/>
    <hyperlink ref="AS125" r:id="rId505" xr:uid="{00000000-0004-0000-0300-0000F8010000}"/>
    <hyperlink ref="AU125" r:id="rId506" xr:uid="{00000000-0004-0000-0300-0000F9010000}"/>
    <hyperlink ref="AM126" r:id="rId507" xr:uid="{00000000-0004-0000-0300-0000FA010000}"/>
    <hyperlink ref="AO126" r:id="rId508" xr:uid="{00000000-0004-0000-0300-0000FB010000}"/>
    <hyperlink ref="AS126" r:id="rId509" xr:uid="{00000000-0004-0000-0300-0000FC010000}"/>
    <hyperlink ref="AU126" r:id="rId510" xr:uid="{00000000-0004-0000-0300-0000FD010000}"/>
    <hyperlink ref="AM127" r:id="rId511" xr:uid="{00000000-0004-0000-0300-0000FE010000}"/>
    <hyperlink ref="AN127" r:id="rId512" xr:uid="{00000000-0004-0000-0300-0000FF010000}"/>
    <hyperlink ref="AQ127" r:id="rId513" xr:uid="{00000000-0004-0000-0300-000000020000}"/>
    <hyperlink ref="AR127" r:id="rId514" xr:uid="{00000000-0004-0000-0300-000001020000}"/>
    <hyperlink ref="AS127" r:id="rId515" xr:uid="{00000000-0004-0000-0300-000002020000}"/>
    <hyperlink ref="AT127" r:id="rId516" xr:uid="{00000000-0004-0000-0300-000003020000}"/>
    <hyperlink ref="AU127" r:id="rId517" xr:uid="{00000000-0004-0000-0300-000004020000}"/>
    <hyperlink ref="AM128" r:id="rId518" xr:uid="{00000000-0004-0000-0300-000005020000}"/>
    <hyperlink ref="AR128" r:id="rId519" xr:uid="{00000000-0004-0000-0300-000006020000}"/>
    <hyperlink ref="AS128" r:id="rId520" xr:uid="{00000000-0004-0000-0300-000007020000}"/>
    <hyperlink ref="AU128" r:id="rId521" xr:uid="{00000000-0004-0000-0300-000008020000}"/>
    <hyperlink ref="AL129" r:id="rId522" xr:uid="{00000000-0004-0000-0300-000009020000}"/>
    <hyperlink ref="AM129" r:id="rId523" xr:uid="{00000000-0004-0000-0300-00000A020000}"/>
    <hyperlink ref="AS129" r:id="rId524" xr:uid="{00000000-0004-0000-0300-00000B020000}"/>
    <hyperlink ref="AT129" r:id="rId525" xr:uid="{00000000-0004-0000-0300-00000C020000}"/>
    <hyperlink ref="AU129" r:id="rId526" xr:uid="{00000000-0004-0000-0300-00000D020000}"/>
    <hyperlink ref="AM130" r:id="rId527" xr:uid="{00000000-0004-0000-0300-00000E020000}"/>
    <hyperlink ref="AN130" r:id="rId528" xr:uid="{00000000-0004-0000-0300-00000F020000}"/>
    <hyperlink ref="AR130" r:id="rId529" xr:uid="{00000000-0004-0000-0300-000010020000}"/>
    <hyperlink ref="AS130" r:id="rId530" xr:uid="{00000000-0004-0000-0300-000011020000}"/>
    <hyperlink ref="AT130" r:id="rId531" xr:uid="{00000000-0004-0000-0300-000012020000}"/>
    <hyperlink ref="AL131" r:id="rId532" xr:uid="{00000000-0004-0000-0300-000013020000}"/>
    <hyperlink ref="AM131" r:id="rId533" xr:uid="{00000000-0004-0000-0300-000014020000}"/>
    <hyperlink ref="AN131" r:id="rId534" xr:uid="{00000000-0004-0000-0300-000015020000}"/>
    <hyperlink ref="AO131" r:id="rId535" xr:uid="{00000000-0004-0000-0300-000016020000}"/>
    <hyperlink ref="AR131" r:id="rId536" xr:uid="{00000000-0004-0000-0300-000017020000}"/>
    <hyperlink ref="AS131" r:id="rId537" xr:uid="{00000000-0004-0000-0300-000018020000}"/>
    <hyperlink ref="AT131" r:id="rId538" xr:uid="{00000000-0004-0000-0300-000019020000}"/>
    <hyperlink ref="AU131" r:id="rId539" xr:uid="{00000000-0004-0000-0300-00001A020000}"/>
    <hyperlink ref="AQ132" r:id="rId540" xr:uid="{00000000-0004-0000-0300-00001B020000}"/>
    <hyperlink ref="AR132" r:id="rId541" xr:uid="{00000000-0004-0000-0300-00001C020000}"/>
    <hyperlink ref="AS132" r:id="rId542" xr:uid="{00000000-0004-0000-0300-00001D020000}"/>
    <hyperlink ref="AU132" r:id="rId543" xr:uid="{00000000-0004-0000-0300-00001E020000}"/>
    <hyperlink ref="AN133" r:id="rId544" xr:uid="{00000000-0004-0000-0300-00001F020000}"/>
    <hyperlink ref="AQ133" r:id="rId545" xr:uid="{00000000-0004-0000-0300-000020020000}"/>
    <hyperlink ref="AU133" r:id="rId546" xr:uid="{00000000-0004-0000-0300-000021020000}"/>
    <hyperlink ref="AM134" r:id="rId547" xr:uid="{00000000-0004-0000-0300-000022020000}"/>
    <hyperlink ref="AN134" r:id="rId548" xr:uid="{00000000-0004-0000-0300-000023020000}"/>
    <hyperlink ref="AQ134" r:id="rId549" xr:uid="{00000000-0004-0000-0300-000024020000}"/>
    <hyperlink ref="AU134" r:id="rId550" xr:uid="{00000000-0004-0000-0300-000025020000}"/>
    <hyperlink ref="AM135" r:id="rId551" xr:uid="{00000000-0004-0000-0300-000026020000}"/>
    <hyperlink ref="AS135" r:id="rId552" xr:uid="{00000000-0004-0000-0300-000027020000}"/>
    <hyperlink ref="AU135" r:id="rId553" xr:uid="{00000000-0004-0000-0300-000028020000}"/>
    <hyperlink ref="AL136" r:id="rId554" xr:uid="{00000000-0004-0000-0300-000029020000}"/>
    <hyperlink ref="AM136" r:id="rId555" xr:uid="{00000000-0004-0000-0300-00002A020000}"/>
    <hyperlink ref="AL137" r:id="rId556" xr:uid="{00000000-0004-0000-0300-00002B020000}"/>
    <hyperlink ref="AM137" r:id="rId557" xr:uid="{00000000-0004-0000-0300-00002C020000}"/>
    <hyperlink ref="AQ137" r:id="rId558" xr:uid="{00000000-0004-0000-0300-00002D020000}"/>
    <hyperlink ref="AR137" r:id="rId559" xr:uid="{00000000-0004-0000-0300-00002E020000}"/>
    <hyperlink ref="AS137" r:id="rId560" xr:uid="{00000000-0004-0000-0300-00002F020000}"/>
    <hyperlink ref="AT137" r:id="rId561" xr:uid="{00000000-0004-0000-0300-000030020000}"/>
    <hyperlink ref="AU137" r:id="rId562" xr:uid="{00000000-0004-0000-0300-000031020000}"/>
    <hyperlink ref="AL138" r:id="rId563" xr:uid="{00000000-0004-0000-0300-000032020000}"/>
    <hyperlink ref="AM138" r:id="rId564" xr:uid="{00000000-0004-0000-0300-000033020000}"/>
    <hyperlink ref="AO138" r:id="rId565" xr:uid="{00000000-0004-0000-0300-000034020000}"/>
    <hyperlink ref="AL139" r:id="rId566" xr:uid="{00000000-0004-0000-0300-000035020000}"/>
    <hyperlink ref="AM139" r:id="rId567" xr:uid="{00000000-0004-0000-0300-000036020000}"/>
    <hyperlink ref="AO139" r:id="rId568" xr:uid="{00000000-0004-0000-0300-000037020000}"/>
    <hyperlink ref="AR139" r:id="rId569" xr:uid="{00000000-0004-0000-0300-000038020000}"/>
    <hyperlink ref="AS139" r:id="rId570" xr:uid="{00000000-0004-0000-0300-000039020000}"/>
    <hyperlink ref="AT139" r:id="rId571" xr:uid="{00000000-0004-0000-0300-00003A020000}"/>
    <hyperlink ref="AL140" r:id="rId572" xr:uid="{00000000-0004-0000-0300-00003B020000}"/>
    <hyperlink ref="AM140" r:id="rId573" xr:uid="{00000000-0004-0000-0300-00003C020000}"/>
    <hyperlink ref="AM141" r:id="rId574" xr:uid="{00000000-0004-0000-0300-00003D020000}"/>
    <hyperlink ref="AN141" r:id="rId575" xr:uid="{00000000-0004-0000-0300-00003E020000}"/>
    <hyperlink ref="AR141" r:id="rId576" xr:uid="{00000000-0004-0000-0300-00003F020000}"/>
    <hyperlink ref="AS141" r:id="rId577" xr:uid="{00000000-0004-0000-0300-000040020000}"/>
    <hyperlink ref="AU141" r:id="rId578" xr:uid="{00000000-0004-0000-0300-000041020000}"/>
    <hyperlink ref="AM142" r:id="rId579" xr:uid="{00000000-0004-0000-0300-000042020000}"/>
    <hyperlink ref="AO142" r:id="rId580" xr:uid="{00000000-0004-0000-0300-000043020000}"/>
    <hyperlink ref="AQ142" r:id="rId581" xr:uid="{00000000-0004-0000-0300-000044020000}"/>
    <hyperlink ref="AR142" r:id="rId582" xr:uid="{00000000-0004-0000-0300-000045020000}"/>
    <hyperlink ref="AS142" r:id="rId583" xr:uid="{00000000-0004-0000-0300-000046020000}"/>
    <hyperlink ref="AT142" r:id="rId584" xr:uid="{00000000-0004-0000-0300-000047020000}"/>
    <hyperlink ref="AU142" r:id="rId585" xr:uid="{00000000-0004-0000-0300-000048020000}"/>
    <hyperlink ref="AM143" r:id="rId586" xr:uid="{00000000-0004-0000-0300-000049020000}"/>
    <hyperlink ref="AM144" r:id="rId587" xr:uid="{00000000-0004-0000-0300-00004A020000}"/>
    <hyperlink ref="AL145" r:id="rId588" xr:uid="{00000000-0004-0000-0300-00004B020000}"/>
    <hyperlink ref="AM145" r:id="rId589" xr:uid="{00000000-0004-0000-0300-00004C020000}"/>
    <hyperlink ref="AN145" r:id="rId590" xr:uid="{00000000-0004-0000-0300-00004D020000}"/>
    <hyperlink ref="AO145" r:id="rId591" xr:uid="{00000000-0004-0000-0300-00004E020000}"/>
    <hyperlink ref="AR145" r:id="rId592" xr:uid="{00000000-0004-0000-0300-00004F020000}"/>
    <hyperlink ref="AS145" r:id="rId593" xr:uid="{00000000-0004-0000-0300-000050020000}"/>
    <hyperlink ref="AU145" r:id="rId594" xr:uid="{00000000-0004-0000-0300-000051020000}"/>
    <hyperlink ref="AL146" r:id="rId595" xr:uid="{00000000-0004-0000-0300-000052020000}"/>
    <hyperlink ref="AM146" r:id="rId596" xr:uid="{00000000-0004-0000-0300-000053020000}"/>
    <hyperlink ref="AN146" r:id="rId597" xr:uid="{00000000-0004-0000-0300-000054020000}"/>
    <hyperlink ref="AO146" r:id="rId598" xr:uid="{00000000-0004-0000-0300-000055020000}"/>
    <hyperlink ref="AR146" r:id="rId599" xr:uid="{00000000-0004-0000-0300-000056020000}"/>
    <hyperlink ref="AS146" r:id="rId600" xr:uid="{00000000-0004-0000-0300-000057020000}"/>
    <hyperlink ref="AT146" r:id="rId601" xr:uid="{00000000-0004-0000-0300-000058020000}"/>
    <hyperlink ref="AU146" r:id="rId602" xr:uid="{00000000-0004-0000-0300-000059020000}"/>
    <hyperlink ref="AM147" r:id="rId603" xr:uid="{00000000-0004-0000-0300-00005A020000}"/>
    <hyperlink ref="AU147" r:id="rId604" xr:uid="{00000000-0004-0000-0300-00005B020000}"/>
    <hyperlink ref="AM148" r:id="rId605" xr:uid="{00000000-0004-0000-0300-00005C020000}"/>
    <hyperlink ref="AN148" r:id="rId606" xr:uid="{00000000-0004-0000-0300-00005D020000}"/>
    <hyperlink ref="AU148" r:id="rId607" xr:uid="{00000000-0004-0000-0300-00005E020000}"/>
    <hyperlink ref="AL149" r:id="rId608" xr:uid="{00000000-0004-0000-0300-00005F020000}"/>
    <hyperlink ref="AM149" r:id="rId609" xr:uid="{00000000-0004-0000-0300-000060020000}"/>
    <hyperlink ref="AU149" r:id="rId610" xr:uid="{00000000-0004-0000-0300-000061020000}"/>
    <hyperlink ref="AL150" r:id="rId611" xr:uid="{00000000-0004-0000-0300-000062020000}"/>
    <hyperlink ref="AM150" r:id="rId612" xr:uid="{00000000-0004-0000-0300-000063020000}"/>
    <hyperlink ref="AN150" r:id="rId613" xr:uid="{00000000-0004-0000-0300-000064020000}"/>
    <hyperlink ref="AO150" r:id="rId614" xr:uid="{00000000-0004-0000-0300-000065020000}"/>
    <hyperlink ref="AL151" r:id="rId615" xr:uid="{00000000-0004-0000-0300-000066020000}"/>
    <hyperlink ref="AM151" r:id="rId616" xr:uid="{00000000-0004-0000-0300-000067020000}"/>
    <hyperlink ref="AN151" r:id="rId617" xr:uid="{00000000-0004-0000-0300-000068020000}"/>
    <hyperlink ref="AQ151" r:id="rId618" xr:uid="{00000000-0004-0000-0300-000069020000}"/>
    <hyperlink ref="AR151" r:id="rId619" xr:uid="{00000000-0004-0000-0300-00006A020000}"/>
    <hyperlink ref="AS151" r:id="rId620" xr:uid="{00000000-0004-0000-0300-00006B020000}"/>
    <hyperlink ref="AT151" r:id="rId621" xr:uid="{00000000-0004-0000-0300-00006C020000}"/>
    <hyperlink ref="AM152" r:id="rId622" xr:uid="{00000000-0004-0000-0300-00006D020000}"/>
    <hyperlink ref="AU152" r:id="rId623" xr:uid="{00000000-0004-0000-0300-00006E020000}"/>
    <hyperlink ref="AL153" r:id="rId624" xr:uid="{00000000-0004-0000-0300-00006F020000}"/>
    <hyperlink ref="AM153" r:id="rId625" xr:uid="{00000000-0004-0000-0300-000070020000}"/>
    <hyperlink ref="AQ153" r:id="rId626" xr:uid="{00000000-0004-0000-0300-000071020000}"/>
    <hyperlink ref="AU153" r:id="rId627" xr:uid="{00000000-0004-0000-0300-000072020000}"/>
    <hyperlink ref="AL155" r:id="rId628" xr:uid="{00000000-0004-0000-0300-000073020000}"/>
    <hyperlink ref="AM155" r:id="rId629" xr:uid="{00000000-0004-0000-0300-000074020000}"/>
    <hyperlink ref="AR155" r:id="rId630" xr:uid="{00000000-0004-0000-0300-000075020000}"/>
    <hyperlink ref="AS155" r:id="rId631" xr:uid="{00000000-0004-0000-0300-000076020000}"/>
    <hyperlink ref="AL156" r:id="rId632" xr:uid="{00000000-0004-0000-0300-000077020000}"/>
    <hyperlink ref="AM156" r:id="rId633" xr:uid="{00000000-0004-0000-0300-000078020000}"/>
    <hyperlink ref="AR156" r:id="rId634" xr:uid="{00000000-0004-0000-0300-000079020000}"/>
    <hyperlink ref="AS156" r:id="rId635" xr:uid="{00000000-0004-0000-0300-00007A020000}"/>
    <hyperlink ref="AU156" r:id="rId636" xr:uid="{00000000-0004-0000-0300-00007B020000}"/>
    <hyperlink ref="AL157" r:id="rId637" xr:uid="{00000000-0004-0000-0300-00007C020000}"/>
    <hyperlink ref="AN157" r:id="rId638" xr:uid="{00000000-0004-0000-0300-00007D020000}"/>
    <hyperlink ref="AQ157" r:id="rId639" xr:uid="{00000000-0004-0000-0300-00007E020000}"/>
    <hyperlink ref="AR157" r:id="rId640" xr:uid="{00000000-0004-0000-0300-00007F020000}"/>
    <hyperlink ref="AS157" r:id="rId641" xr:uid="{00000000-0004-0000-0300-000080020000}"/>
    <hyperlink ref="AT157" r:id="rId642" xr:uid="{00000000-0004-0000-0300-000081020000}"/>
    <hyperlink ref="AU157" r:id="rId643" xr:uid="{00000000-0004-0000-0300-000082020000}"/>
    <hyperlink ref="AL158" r:id="rId644" xr:uid="{00000000-0004-0000-0300-000083020000}"/>
    <hyperlink ref="AM158" r:id="rId645" xr:uid="{00000000-0004-0000-0300-000084020000}"/>
    <hyperlink ref="AM159" r:id="rId646" xr:uid="{00000000-0004-0000-0300-000085020000}"/>
    <hyperlink ref="AN159" r:id="rId647" xr:uid="{00000000-0004-0000-0300-000086020000}"/>
    <hyperlink ref="AO159" r:id="rId648" xr:uid="{00000000-0004-0000-0300-000087020000}"/>
    <hyperlink ref="AQ159" r:id="rId649" xr:uid="{00000000-0004-0000-0300-000088020000}"/>
    <hyperlink ref="AU159" r:id="rId650" xr:uid="{00000000-0004-0000-0300-000089020000}"/>
    <hyperlink ref="AL160" r:id="rId651" xr:uid="{00000000-0004-0000-0300-00008A020000}"/>
    <hyperlink ref="AM160" r:id="rId652" xr:uid="{00000000-0004-0000-0300-00008B020000}"/>
    <hyperlink ref="AN160" r:id="rId653" xr:uid="{00000000-0004-0000-0300-00008C020000}"/>
    <hyperlink ref="AQ160" r:id="rId654" xr:uid="{00000000-0004-0000-0300-00008D020000}"/>
    <hyperlink ref="AR160" r:id="rId655" xr:uid="{00000000-0004-0000-0300-00008E020000}"/>
    <hyperlink ref="AS160" r:id="rId656" xr:uid="{00000000-0004-0000-0300-00008F020000}"/>
    <hyperlink ref="AU160" r:id="rId657" xr:uid="{00000000-0004-0000-0300-000090020000}"/>
    <hyperlink ref="AL161" r:id="rId658" xr:uid="{00000000-0004-0000-0300-000091020000}"/>
    <hyperlink ref="AM161" r:id="rId659" xr:uid="{00000000-0004-0000-0300-000092020000}"/>
    <hyperlink ref="AN161" r:id="rId660" xr:uid="{00000000-0004-0000-0300-000093020000}"/>
    <hyperlink ref="AO161" r:id="rId661" xr:uid="{00000000-0004-0000-0300-000094020000}"/>
    <hyperlink ref="AS161" r:id="rId662" xr:uid="{00000000-0004-0000-0300-000095020000}"/>
    <hyperlink ref="AT161" r:id="rId663" xr:uid="{00000000-0004-0000-0300-000096020000}"/>
    <hyperlink ref="AU161" r:id="rId664" xr:uid="{00000000-0004-0000-0300-000097020000}"/>
    <hyperlink ref="AL162" r:id="rId665" xr:uid="{00000000-0004-0000-0300-000098020000}"/>
    <hyperlink ref="AM162" r:id="rId666" xr:uid="{00000000-0004-0000-0300-000099020000}"/>
    <hyperlink ref="AN162" r:id="rId667" xr:uid="{00000000-0004-0000-0300-00009A020000}"/>
    <hyperlink ref="AO162" r:id="rId668" xr:uid="{00000000-0004-0000-0300-00009B020000}"/>
    <hyperlink ref="AU162" r:id="rId669" xr:uid="{00000000-0004-0000-0300-00009C020000}"/>
    <hyperlink ref="AL163" r:id="rId670" xr:uid="{00000000-0004-0000-0300-00009D020000}"/>
    <hyperlink ref="AM163" r:id="rId671" xr:uid="{00000000-0004-0000-0300-00009E020000}"/>
    <hyperlink ref="AN163" r:id="rId672" xr:uid="{00000000-0004-0000-0300-00009F020000}"/>
    <hyperlink ref="AO163" r:id="rId673" xr:uid="{00000000-0004-0000-0300-0000A0020000}"/>
    <hyperlink ref="AU163" r:id="rId674" xr:uid="{00000000-0004-0000-0300-0000A1020000}"/>
    <hyperlink ref="AL164" r:id="rId675" xr:uid="{00000000-0004-0000-0300-0000A2020000}"/>
    <hyperlink ref="AM164" r:id="rId676" xr:uid="{00000000-0004-0000-0300-0000A3020000}"/>
    <hyperlink ref="AN164" r:id="rId677" xr:uid="{00000000-0004-0000-0300-0000A4020000}"/>
    <hyperlink ref="AO164" r:id="rId678" xr:uid="{00000000-0004-0000-0300-0000A5020000}"/>
    <hyperlink ref="AQ164" r:id="rId679" xr:uid="{00000000-0004-0000-0300-0000A6020000}"/>
    <hyperlink ref="AR164" r:id="rId680" xr:uid="{00000000-0004-0000-0300-0000A7020000}"/>
    <hyperlink ref="AS164" r:id="rId681" xr:uid="{00000000-0004-0000-0300-0000A8020000}"/>
    <hyperlink ref="AT164" r:id="rId682" xr:uid="{00000000-0004-0000-0300-0000A9020000}"/>
    <hyperlink ref="AU164" r:id="rId683" xr:uid="{00000000-0004-0000-0300-0000AA020000}"/>
    <hyperlink ref="AM165" r:id="rId684" xr:uid="{00000000-0004-0000-0300-0000AB020000}"/>
    <hyperlink ref="AN165" r:id="rId685" xr:uid="{00000000-0004-0000-0300-0000AC020000}"/>
    <hyperlink ref="AO165" r:id="rId686" xr:uid="{00000000-0004-0000-0300-0000AD020000}"/>
    <hyperlink ref="AU165" r:id="rId687" xr:uid="{00000000-0004-0000-0300-0000AE020000}"/>
    <hyperlink ref="AL166" r:id="rId688" xr:uid="{00000000-0004-0000-0300-0000AF020000}"/>
    <hyperlink ref="AM166" r:id="rId689" xr:uid="{00000000-0004-0000-0300-0000B0020000}"/>
    <hyperlink ref="AN166" r:id="rId690" xr:uid="{00000000-0004-0000-0300-0000B1020000}"/>
    <hyperlink ref="AO166" r:id="rId691" xr:uid="{00000000-0004-0000-0300-0000B2020000}"/>
    <hyperlink ref="AR166" r:id="rId692" xr:uid="{00000000-0004-0000-0300-0000B3020000}"/>
    <hyperlink ref="AS166" r:id="rId693" xr:uid="{00000000-0004-0000-0300-0000B4020000}"/>
    <hyperlink ref="AT166" r:id="rId694" xr:uid="{00000000-0004-0000-0300-0000B5020000}"/>
    <hyperlink ref="AU166" r:id="rId695" xr:uid="{00000000-0004-0000-0300-0000B6020000}"/>
    <hyperlink ref="AM167" r:id="rId696" xr:uid="{00000000-0004-0000-0300-0000B7020000}"/>
    <hyperlink ref="AN167" r:id="rId697" xr:uid="{00000000-0004-0000-0300-0000B8020000}"/>
    <hyperlink ref="AO167" r:id="rId698" xr:uid="{00000000-0004-0000-0300-0000B9020000}"/>
    <hyperlink ref="AU167" r:id="rId699" xr:uid="{00000000-0004-0000-0300-0000BA020000}"/>
    <hyperlink ref="AL168" r:id="rId700" xr:uid="{00000000-0004-0000-0300-0000BB020000}"/>
    <hyperlink ref="AM168" r:id="rId701" xr:uid="{00000000-0004-0000-0300-0000BC020000}"/>
    <hyperlink ref="AN168" r:id="rId702" xr:uid="{00000000-0004-0000-0300-0000BD020000}"/>
    <hyperlink ref="AO168" r:id="rId703" xr:uid="{00000000-0004-0000-0300-0000BE020000}"/>
    <hyperlink ref="AU168" r:id="rId704" xr:uid="{00000000-0004-0000-0300-0000BF020000}"/>
    <hyperlink ref="AM169" r:id="rId705" xr:uid="{00000000-0004-0000-0300-0000C0020000}"/>
    <hyperlink ref="AN169" r:id="rId706" xr:uid="{00000000-0004-0000-0300-0000C1020000}"/>
    <hyperlink ref="AQ169" r:id="rId707" xr:uid="{00000000-0004-0000-0300-0000C2020000}"/>
    <hyperlink ref="AU169" r:id="rId708" xr:uid="{00000000-0004-0000-0300-0000C3020000}"/>
    <hyperlink ref="AL170" r:id="rId709" xr:uid="{00000000-0004-0000-0300-0000C4020000}"/>
    <hyperlink ref="AM170" r:id="rId710" xr:uid="{00000000-0004-0000-0300-0000C5020000}"/>
    <hyperlink ref="AN170" r:id="rId711" xr:uid="{00000000-0004-0000-0300-0000C6020000}"/>
    <hyperlink ref="AQ170" r:id="rId712" xr:uid="{00000000-0004-0000-0300-0000C7020000}"/>
    <hyperlink ref="AR170" r:id="rId713" xr:uid="{00000000-0004-0000-0300-0000C8020000}"/>
    <hyperlink ref="AS170" r:id="rId714" xr:uid="{00000000-0004-0000-0300-0000C9020000}"/>
    <hyperlink ref="AT170" r:id="rId715" xr:uid="{00000000-0004-0000-0300-0000CA020000}"/>
    <hyperlink ref="AU170" r:id="rId716" xr:uid="{00000000-0004-0000-0300-0000CB020000}"/>
    <hyperlink ref="AL171" r:id="rId717" xr:uid="{00000000-0004-0000-0300-0000CC020000}"/>
    <hyperlink ref="AM171" r:id="rId718" xr:uid="{00000000-0004-0000-0300-0000CD020000}"/>
    <hyperlink ref="AN171" r:id="rId719" xr:uid="{00000000-0004-0000-0300-0000CE020000}"/>
    <hyperlink ref="AQ171" r:id="rId720" xr:uid="{00000000-0004-0000-0300-0000CF020000}"/>
    <hyperlink ref="AR171" r:id="rId721" xr:uid="{00000000-0004-0000-0300-0000D0020000}"/>
    <hyperlink ref="AS171" r:id="rId722" xr:uid="{00000000-0004-0000-0300-0000D1020000}"/>
    <hyperlink ref="AT171" r:id="rId723" xr:uid="{00000000-0004-0000-0300-0000D2020000}"/>
    <hyperlink ref="AU171" r:id="rId724" xr:uid="{00000000-0004-0000-0300-0000D3020000}"/>
    <hyperlink ref="AL172" r:id="rId725" xr:uid="{00000000-0004-0000-0300-0000D4020000}"/>
    <hyperlink ref="AM172" r:id="rId726" xr:uid="{00000000-0004-0000-0300-0000D5020000}"/>
    <hyperlink ref="AU172" r:id="rId727" xr:uid="{00000000-0004-0000-0300-0000D6020000}"/>
    <hyperlink ref="AM173" r:id="rId728" xr:uid="{00000000-0004-0000-0300-0000D7020000}"/>
    <hyperlink ref="AQ173" r:id="rId729" xr:uid="{00000000-0004-0000-0300-0000D8020000}"/>
    <hyperlink ref="AS173" r:id="rId730" xr:uid="{00000000-0004-0000-0300-0000D9020000}"/>
    <hyperlink ref="AT173" r:id="rId731" xr:uid="{00000000-0004-0000-0300-0000DA020000}"/>
    <hyperlink ref="AL174" r:id="rId732" xr:uid="{00000000-0004-0000-0300-0000DB020000}"/>
    <hyperlink ref="AM174" r:id="rId733" xr:uid="{00000000-0004-0000-0300-0000DC020000}"/>
    <hyperlink ref="AU174" r:id="rId734" xr:uid="{00000000-0004-0000-0300-0000DD020000}"/>
    <hyperlink ref="AM175" r:id="rId735" xr:uid="{00000000-0004-0000-0300-0000DE020000}"/>
    <hyperlink ref="AN175" r:id="rId736" xr:uid="{00000000-0004-0000-0300-0000DF020000}"/>
    <hyperlink ref="AR175" r:id="rId737" xr:uid="{00000000-0004-0000-0300-0000E0020000}"/>
    <hyperlink ref="AS175" r:id="rId738" xr:uid="{00000000-0004-0000-0300-0000E1020000}"/>
    <hyperlink ref="AT175" r:id="rId739" xr:uid="{00000000-0004-0000-0300-0000E2020000}"/>
    <hyperlink ref="AU175" r:id="rId740" xr:uid="{00000000-0004-0000-0300-0000E3020000}"/>
    <hyperlink ref="AR176" r:id="rId741" xr:uid="{00000000-0004-0000-0300-0000E4020000}"/>
    <hyperlink ref="AT176" r:id="rId742" xr:uid="{00000000-0004-0000-0300-0000E5020000}"/>
    <hyperlink ref="AU176" r:id="rId743" xr:uid="{00000000-0004-0000-0300-0000E6020000}"/>
    <hyperlink ref="AM177" r:id="rId744" xr:uid="{00000000-0004-0000-0300-0000E7020000}"/>
    <hyperlink ref="AN177" r:id="rId745" xr:uid="{00000000-0004-0000-0300-0000E8020000}"/>
    <hyperlink ref="AQ177" r:id="rId746" xr:uid="{00000000-0004-0000-0300-0000E9020000}"/>
    <hyperlink ref="AR177" r:id="rId747" xr:uid="{00000000-0004-0000-0300-0000EA020000}"/>
    <hyperlink ref="AS177" r:id="rId748" xr:uid="{00000000-0004-0000-0300-0000EB020000}"/>
    <hyperlink ref="AU177" r:id="rId749" xr:uid="{00000000-0004-0000-0300-0000EC020000}"/>
    <hyperlink ref="AL178" r:id="rId750" xr:uid="{00000000-0004-0000-0300-0000ED020000}"/>
    <hyperlink ref="AM178" r:id="rId751" xr:uid="{00000000-0004-0000-0300-0000EE020000}"/>
    <hyperlink ref="AN178" r:id="rId752" xr:uid="{00000000-0004-0000-0300-0000EF020000}"/>
    <hyperlink ref="AO178" r:id="rId753" xr:uid="{00000000-0004-0000-0300-0000F0020000}"/>
    <hyperlink ref="AR178" r:id="rId754" xr:uid="{00000000-0004-0000-0300-0000F1020000}"/>
    <hyperlink ref="AS178" r:id="rId755" xr:uid="{00000000-0004-0000-0300-0000F2020000}"/>
    <hyperlink ref="AT178" r:id="rId756" xr:uid="{00000000-0004-0000-0300-0000F3020000}"/>
    <hyperlink ref="AU178" r:id="rId757" xr:uid="{00000000-0004-0000-0300-0000F4020000}"/>
    <hyperlink ref="AM179" r:id="rId758" xr:uid="{00000000-0004-0000-0300-0000F5020000}"/>
    <hyperlink ref="AN179" r:id="rId759" xr:uid="{00000000-0004-0000-0300-0000F6020000}"/>
    <hyperlink ref="AU179" r:id="rId760" xr:uid="{00000000-0004-0000-0300-0000F7020000}"/>
    <hyperlink ref="AL180" r:id="rId761" xr:uid="{00000000-0004-0000-0300-0000F8020000}"/>
    <hyperlink ref="AM180" r:id="rId762" xr:uid="{00000000-0004-0000-0300-0000F9020000}"/>
    <hyperlink ref="AM181" r:id="rId763" xr:uid="{00000000-0004-0000-0300-0000FA020000}"/>
    <hyperlink ref="AU181" r:id="rId764" xr:uid="{00000000-0004-0000-0300-0000FB020000}"/>
    <hyperlink ref="AM182" r:id="rId765" xr:uid="{00000000-0004-0000-0300-0000FC020000}"/>
    <hyperlink ref="AN182" r:id="rId766" xr:uid="{00000000-0004-0000-0300-0000FD020000}"/>
    <hyperlink ref="AQ182" r:id="rId767" xr:uid="{00000000-0004-0000-0300-0000FE020000}"/>
    <hyperlink ref="AU182" r:id="rId768" xr:uid="{00000000-0004-0000-0300-0000FF020000}"/>
    <hyperlink ref="AL183" r:id="rId769" xr:uid="{00000000-0004-0000-0300-000000030000}"/>
    <hyperlink ref="AL184" r:id="rId770" xr:uid="{00000000-0004-0000-0300-000001030000}"/>
    <hyperlink ref="AM184" r:id="rId771" xr:uid="{00000000-0004-0000-0300-000002030000}"/>
    <hyperlink ref="AN184" r:id="rId772" xr:uid="{00000000-0004-0000-0300-000003030000}"/>
    <hyperlink ref="AO184" r:id="rId773" xr:uid="{00000000-0004-0000-0300-000004030000}"/>
    <hyperlink ref="AQ184" r:id="rId774" xr:uid="{00000000-0004-0000-0300-000005030000}"/>
    <hyperlink ref="AR184" r:id="rId775" xr:uid="{00000000-0004-0000-0300-000006030000}"/>
    <hyperlink ref="AS184" r:id="rId776" xr:uid="{00000000-0004-0000-0300-000007030000}"/>
    <hyperlink ref="AU184" r:id="rId777" xr:uid="{00000000-0004-0000-0300-000008030000}"/>
    <hyperlink ref="AL185" r:id="rId778" xr:uid="{00000000-0004-0000-0300-000009030000}"/>
    <hyperlink ref="AM185" r:id="rId779" xr:uid="{00000000-0004-0000-0300-00000A030000}"/>
    <hyperlink ref="AN185" r:id="rId780" xr:uid="{00000000-0004-0000-0300-00000B030000}"/>
    <hyperlink ref="AL186" r:id="rId781" xr:uid="{00000000-0004-0000-0300-00000C030000}"/>
    <hyperlink ref="AU186" r:id="rId782" xr:uid="{00000000-0004-0000-0300-00000D030000}"/>
    <hyperlink ref="AM187" r:id="rId783" xr:uid="{00000000-0004-0000-0300-00000E030000}"/>
    <hyperlink ref="AN187" r:id="rId784" xr:uid="{00000000-0004-0000-0300-00000F030000}"/>
    <hyperlink ref="AR187" r:id="rId785" xr:uid="{00000000-0004-0000-0300-000010030000}"/>
    <hyperlink ref="AS187" r:id="rId786" xr:uid="{00000000-0004-0000-0300-000011030000}"/>
    <hyperlink ref="AU187" r:id="rId787" xr:uid="{00000000-0004-0000-0300-000012030000}"/>
    <hyperlink ref="AM188" r:id="rId788" xr:uid="{00000000-0004-0000-0300-000013030000}"/>
    <hyperlink ref="AR188" r:id="rId789" xr:uid="{00000000-0004-0000-0300-000014030000}"/>
    <hyperlink ref="AS188" r:id="rId790" xr:uid="{00000000-0004-0000-0300-000015030000}"/>
    <hyperlink ref="AT188" r:id="rId791" xr:uid="{00000000-0004-0000-0300-000016030000}"/>
    <hyperlink ref="AU188" r:id="rId792" xr:uid="{00000000-0004-0000-0300-000017030000}"/>
    <hyperlink ref="AL189" r:id="rId793" xr:uid="{00000000-0004-0000-0300-000018030000}"/>
    <hyperlink ref="AM189" r:id="rId794" xr:uid="{00000000-0004-0000-0300-000019030000}"/>
    <hyperlink ref="AN189" r:id="rId795" xr:uid="{00000000-0004-0000-0300-00001A030000}"/>
    <hyperlink ref="AM190" r:id="rId796" xr:uid="{00000000-0004-0000-0300-00001B030000}"/>
    <hyperlink ref="AL191" r:id="rId797" xr:uid="{00000000-0004-0000-0300-00001C030000}"/>
    <hyperlink ref="AM191" r:id="rId798" xr:uid="{00000000-0004-0000-0300-00001D030000}"/>
    <hyperlink ref="AN191" r:id="rId799" xr:uid="{00000000-0004-0000-0300-00001E030000}"/>
    <hyperlink ref="AO191" r:id="rId800" xr:uid="{00000000-0004-0000-0300-00001F030000}"/>
    <hyperlink ref="AQ191" r:id="rId801" xr:uid="{00000000-0004-0000-0300-000020030000}"/>
    <hyperlink ref="AR191" r:id="rId802" xr:uid="{00000000-0004-0000-0300-000021030000}"/>
    <hyperlink ref="AS191" r:id="rId803" xr:uid="{00000000-0004-0000-0300-000022030000}"/>
    <hyperlink ref="AT191" r:id="rId804" xr:uid="{00000000-0004-0000-0300-000023030000}"/>
    <hyperlink ref="AU191" r:id="rId805" xr:uid="{00000000-0004-0000-0300-000024030000}"/>
    <hyperlink ref="AM192" r:id="rId806" xr:uid="{00000000-0004-0000-0300-000025030000}"/>
    <hyperlink ref="AN192" r:id="rId807" xr:uid="{00000000-0004-0000-0300-000026030000}"/>
    <hyperlink ref="AQ192" r:id="rId808" xr:uid="{00000000-0004-0000-0300-000027030000}"/>
    <hyperlink ref="AS192" r:id="rId809" xr:uid="{00000000-0004-0000-0300-000028030000}"/>
    <hyperlink ref="AT192" r:id="rId810" xr:uid="{00000000-0004-0000-0300-000029030000}"/>
    <hyperlink ref="AL193" r:id="rId811" xr:uid="{00000000-0004-0000-0300-00002A030000}"/>
    <hyperlink ref="AM193" r:id="rId812" xr:uid="{00000000-0004-0000-0300-00002B030000}"/>
    <hyperlink ref="AN193" r:id="rId813" xr:uid="{00000000-0004-0000-0300-00002C030000}"/>
    <hyperlink ref="AR193" r:id="rId814" xr:uid="{00000000-0004-0000-0300-00002D030000}"/>
    <hyperlink ref="AS193" r:id="rId815" xr:uid="{00000000-0004-0000-0300-00002E030000}"/>
    <hyperlink ref="AT193" r:id="rId816" xr:uid="{00000000-0004-0000-0300-00002F030000}"/>
    <hyperlink ref="AU193" r:id="rId817" xr:uid="{00000000-0004-0000-0300-000030030000}"/>
    <hyperlink ref="AM194" r:id="rId818" xr:uid="{00000000-0004-0000-0300-000031030000}"/>
    <hyperlink ref="AL195" r:id="rId819" xr:uid="{00000000-0004-0000-0300-000032030000}"/>
    <hyperlink ref="AM195" r:id="rId820" xr:uid="{00000000-0004-0000-0300-000033030000}"/>
    <hyperlink ref="AN195" r:id="rId821" xr:uid="{00000000-0004-0000-0300-000034030000}"/>
    <hyperlink ref="AR195" r:id="rId822" xr:uid="{00000000-0004-0000-0300-000035030000}"/>
    <hyperlink ref="AS195" r:id="rId823" xr:uid="{00000000-0004-0000-0300-000036030000}"/>
    <hyperlink ref="AT195" r:id="rId824" xr:uid="{00000000-0004-0000-0300-000037030000}"/>
    <hyperlink ref="AU195" r:id="rId825" xr:uid="{00000000-0004-0000-0300-000038030000}"/>
    <hyperlink ref="AL196" r:id="rId826" xr:uid="{00000000-0004-0000-0300-000039030000}"/>
    <hyperlink ref="AM196" r:id="rId827" xr:uid="{00000000-0004-0000-0300-00003A030000}"/>
    <hyperlink ref="AN196" r:id="rId828" xr:uid="{00000000-0004-0000-0300-00003B030000}"/>
    <hyperlink ref="AO196" r:id="rId829" xr:uid="{00000000-0004-0000-0300-00003C030000}"/>
    <hyperlink ref="AR196" r:id="rId830" xr:uid="{00000000-0004-0000-0300-00003D030000}"/>
    <hyperlink ref="AS196" r:id="rId831" xr:uid="{00000000-0004-0000-0300-00003E030000}"/>
    <hyperlink ref="AU196" r:id="rId832" xr:uid="{00000000-0004-0000-0300-00003F030000}"/>
    <hyperlink ref="AL197" r:id="rId833" xr:uid="{00000000-0004-0000-0300-000040030000}"/>
    <hyperlink ref="AM197" r:id="rId834" xr:uid="{00000000-0004-0000-0300-000041030000}"/>
    <hyperlink ref="AN197" r:id="rId835" xr:uid="{00000000-0004-0000-0300-000042030000}"/>
    <hyperlink ref="AO197" r:id="rId836" xr:uid="{00000000-0004-0000-0300-000043030000}"/>
    <hyperlink ref="AS197" r:id="rId837" xr:uid="{00000000-0004-0000-0300-000044030000}"/>
    <hyperlink ref="AT197" r:id="rId838" xr:uid="{00000000-0004-0000-0300-000045030000}"/>
    <hyperlink ref="AU197" r:id="rId839" xr:uid="{00000000-0004-0000-0300-000046030000}"/>
    <hyperlink ref="AL198" r:id="rId840" xr:uid="{00000000-0004-0000-0300-000047030000}"/>
    <hyperlink ref="AM198" r:id="rId841" xr:uid="{00000000-0004-0000-0300-000048030000}"/>
    <hyperlink ref="AN198" r:id="rId842" xr:uid="{00000000-0004-0000-0300-000049030000}"/>
    <hyperlink ref="AO198" r:id="rId843" xr:uid="{00000000-0004-0000-0300-00004A030000}"/>
    <hyperlink ref="AQ198" r:id="rId844" xr:uid="{00000000-0004-0000-0300-00004B030000}"/>
    <hyperlink ref="AU198" r:id="rId845" xr:uid="{00000000-0004-0000-0300-00004C030000}"/>
    <hyperlink ref="AL199" r:id="rId846" xr:uid="{00000000-0004-0000-0300-00004D030000}"/>
    <hyperlink ref="AM199" r:id="rId847" xr:uid="{00000000-0004-0000-0300-00004E030000}"/>
    <hyperlink ref="AN199" r:id="rId848" xr:uid="{00000000-0004-0000-0300-00004F030000}"/>
    <hyperlink ref="AO199" r:id="rId849" xr:uid="{00000000-0004-0000-0300-000050030000}"/>
    <hyperlink ref="AR199" r:id="rId850" xr:uid="{00000000-0004-0000-0300-000051030000}"/>
    <hyperlink ref="AU199" r:id="rId851" xr:uid="{00000000-0004-0000-0300-000052030000}"/>
    <hyperlink ref="AL200" r:id="rId852" xr:uid="{00000000-0004-0000-0300-000053030000}"/>
    <hyperlink ref="AO200" r:id="rId853" xr:uid="{00000000-0004-0000-0300-000054030000}"/>
    <hyperlink ref="AM201" r:id="rId854" xr:uid="{00000000-0004-0000-0300-000055030000}"/>
    <hyperlink ref="AN201" r:id="rId855" xr:uid="{00000000-0004-0000-0300-000056030000}"/>
    <hyperlink ref="AU201" r:id="rId856" xr:uid="{00000000-0004-0000-0300-000057030000}"/>
    <hyperlink ref="AM202" r:id="rId857" xr:uid="{00000000-0004-0000-0300-000058030000}"/>
    <hyperlink ref="AN202" r:id="rId858" xr:uid="{00000000-0004-0000-0300-000059030000}"/>
    <hyperlink ref="AR202" r:id="rId859" xr:uid="{00000000-0004-0000-0300-00005A030000}"/>
    <hyperlink ref="AS202" r:id="rId860" xr:uid="{00000000-0004-0000-0300-00005B030000}"/>
    <hyperlink ref="AL204" r:id="rId861" xr:uid="{00000000-0004-0000-0300-00005C030000}"/>
    <hyperlink ref="AM204" r:id="rId862" xr:uid="{00000000-0004-0000-0300-00005D030000}"/>
    <hyperlink ref="AN204" r:id="rId863" xr:uid="{00000000-0004-0000-0300-00005E030000}"/>
    <hyperlink ref="AO204" r:id="rId864" xr:uid="{00000000-0004-0000-0300-00005F030000}"/>
    <hyperlink ref="AR204" r:id="rId865" xr:uid="{00000000-0004-0000-0300-000060030000}"/>
    <hyperlink ref="AS204" r:id="rId866" xr:uid="{00000000-0004-0000-0300-000061030000}"/>
    <hyperlink ref="AU204" r:id="rId867" xr:uid="{00000000-0004-0000-0300-000062030000}"/>
    <hyperlink ref="AL205" r:id="rId868" xr:uid="{00000000-0004-0000-0300-000063030000}"/>
    <hyperlink ref="AN205" r:id="rId869" xr:uid="{00000000-0004-0000-0300-000064030000}"/>
    <hyperlink ref="AU205" r:id="rId870" xr:uid="{00000000-0004-0000-0300-000065030000}"/>
    <hyperlink ref="AL206" r:id="rId871" xr:uid="{00000000-0004-0000-0300-000066030000}"/>
    <hyperlink ref="AM206" r:id="rId872" xr:uid="{00000000-0004-0000-0300-000067030000}"/>
    <hyperlink ref="AN206" r:id="rId873" xr:uid="{00000000-0004-0000-0300-000068030000}"/>
    <hyperlink ref="AQ206" r:id="rId874" xr:uid="{00000000-0004-0000-0300-000069030000}"/>
    <hyperlink ref="AR206" r:id="rId875" xr:uid="{00000000-0004-0000-0300-00006A030000}"/>
    <hyperlink ref="AS206" r:id="rId876" xr:uid="{00000000-0004-0000-0300-00006B030000}"/>
    <hyperlink ref="AT206" r:id="rId877" xr:uid="{00000000-0004-0000-0300-00006C030000}"/>
    <hyperlink ref="AU206" r:id="rId878" xr:uid="{00000000-0004-0000-0300-00006D030000}"/>
    <hyperlink ref="AL207" r:id="rId879" xr:uid="{00000000-0004-0000-0300-00006E030000}"/>
    <hyperlink ref="AM207" r:id="rId880" xr:uid="{00000000-0004-0000-0300-00006F030000}"/>
    <hyperlink ref="AN207" r:id="rId881" xr:uid="{00000000-0004-0000-0300-000070030000}"/>
    <hyperlink ref="AO207" r:id="rId882" xr:uid="{00000000-0004-0000-0300-000071030000}"/>
    <hyperlink ref="AS207" r:id="rId883" xr:uid="{00000000-0004-0000-0300-000072030000}"/>
    <hyperlink ref="AU207" r:id="rId884" xr:uid="{00000000-0004-0000-0300-000073030000}"/>
    <hyperlink ref="AM208" r:id="rId885" xr:uid="{00000000-0004-0000-0300-000074030000}"/>
    <hyperlink ref="AU208" r:id="rId886" xr:uid="{00000000-0004-0000-0300-000075030000}"/>
    <hyperlink ref="AQ209" r:id="rId887" xr:uid="{00000000-0004-0000-0300-000076030000}"/>
    <hyperlink ref="AU209" r:id="rId888" xr:uid="{00000000-0004-0000-0300-000077030000}"/>
    <hyperlink ref="AU210" r:id="rId889" xr:uid="{00000000-0004-0000-0300-000078030000}"/>
    <hyperlink ref="AL211" r:id="rId890" xr:uid="{00000000-0004-0000-0300-000079030000}"/>
    <hyperlink ref="AM211" r:id="rId891" xr:uid="{00000000-0004-0000-0300-00007A030000}"/>
    <hyperlink ref="AO211" r:id="rId892" xr:uid="{00000000-0004-0000-0300-00007B030000}"/>
    <hyperlink ref="AR211" r:id="rId893" xr:uid="{00000000-0004-0000-0300-00007C030000}"/>
    <hyperlink ref="AS211" r:id="rId894" xr:uid="{00000000-0004-0000-0300-00007D030000}"/>
    <hyperlink ref="AU211" r:id="rId895" xr:uid="{00000000-0004-0000-0300-00007E030000}"/>
    <hyperlink ref="AL212" r:id="rId896" xr:uid="{00000000-0004-0000-0300-00007F030000}"/>
    <hyperlink ref="AM212" r:id="rId897" xr:uid="{00000000-0004-0000-0300-000080030000}"/>
    <hyperlink ref="AQ212" r:id="rId898" xr:uid="{00000000-0004-0000-0300-000081030000}"/>
    <hyperlink ref="AR212" r:id="rId899" xr:uid="{00000000-0004-0000-0300-000082030000}"/>
    <hyperlink ref="AS212" r:id="rId900" xr:uid="{00000000-0004-0000-0300-000083030000}"/>
    <hyperlink ref="AT212" r:id="rId901" xr:uid="{00000000-0004-0000-0300-000084030000}"/>
    <hyperlink ref="AU212" r:id="rId902" xr:uid="{00000000-0004-0000-0300-000085030000}"/>
    <hyperlink ref="AL213" r:id="rId903" xr:uid="{00000000-0004-0000-0300-000086030000}"/>
    <hyperlink ref="AM213" r:id="rId904" xr:uid="{00000000-0004-0000-0300-000087030000}"/>
    <hyperlink ref="AL214" r:id="rId905" xr:uid="{00000000-0004-0000-0300-000088030000}"/>
    <hyperlink ref="AM214" r:id="rId906" xr:uid="{00000000-0004-0000-0300-000089030000}"/>
    <hyperlink ref="AQ214" r:id="rId907" xr:uid="{00000000-0004-0000-0300-00008A030000}"/>
    <hyperlink ref="AR214" r:id="rId908" xr:uid="{00000000-0004-0000-0300-00008B030000}"/>
    <hyperlink ref="AS214" r:id="rId909" xr:uid="{00000000-0004-0000-0300-00008C030000}"/>
    <hyperlink ref="AT214" r:id="rId910" xr:uid="{00000000-0004-0000-0300-00008D030000}"/>
    <hyperlink ref="AU214" r:id="rId911" xr:uid="{00000000-0004-0000-0300-00008E030000}"/>
    <hyperlink ref="AM215" r:id="rId912" xr:uid="{00000000-0004-0000-0300-00008F030000}"/>
    <hyperlink ref="AN215" r:id="rId913" xr:uid="{00000000-0004-0000-0300-000090030000}"/>
    <hyperlink ref="AQ215" r:id="rId914" xr:uid="{00000000-0004-0000-0300-000091030000}"/>
    <hyperlink ref="AU215" r:id="rId915" xr:uid="{00000000-0004-0000-0300-000092030000}"/>
    <hyperlink ref="AM216" r:id="rId916" xr:uid="{00000000-0004-0000-0300-000093030000}"/>
    <hyperlink ref="AN216" r:id="rId917" xr:uid="{00000000-0004-0000-0300-000094030000}"/>
    <hyperlink ref="AQ216" r:id="rId918" xr:uid="{00000000-0004-0000-0300-000095030000}"/>
    <hyperlink ref="AU216" r:id="rId919" xr:uid="{00000000-0004-0000-0300-000096030000}"/>
    <hyperlink ref="AM217" r:id="rId920" xr:uid="{00000000-0004-0000-0300-000097030000}"/>
    <hyperlink ref="AU217" r:id="rId921" xr:uid="{00000000-0004-0000-0300-000098030000}"/>
    <hyperlink ref="AN219" r:id="rId922" xr:uid="{00000000-0004-0000-0300-000099030000}"/>
    <hyperlink ref="AO219" r:id="rId923" xr:uid="{00000000-0004-0000-0300-00009A030000}"/>
    <hyperlink ref="AQ219" r:id="rId924" xr:uid="{00000000-0004-0000-0300-00009B030000}"/>
    <hyperlink ref="AU219" r:id="rId925" xr:uid="{00000000-0004-0000-0300-00009C030000}"/>
    <hyperlink ref="AM220" r:id="rId926" xr:uid="{00000000-0004-0000-0300-00009D030000}"/>
    <hyperlink ref="AS220" r:id="rId927" xr:uid="{00000000-0004-0000-0300-00009E030000}"/>
    <hyperlink ref="AT220" r:id="rId928" xr:uid="{00000000-0004-0000-0300-00009F030000}"/>
    <hyperlink ref="AU220" r:id="rId929" xr:uid="{00000000-0004-0000-0300-0000A0030000}"/>
    <hyperlink ref="AU221" r:id="rId930" xr:uid="{00000000-0004-0000-0300-0000A1030000}"/>
    <hyperlink ref="AL222" r:id="rId931" xr:uid="{00000000-0004-0000-0300-0000A2030000}"/>
    <hyperlink ref="AM222" r:id="rId932" xr:uid="{00000000-0004-0000-0300-0000A3030000}"/>
    <hyperlink ref="AN222" r:id="rId933" xr:uid="{00000000-0004-0000-0300-0000A4030000}"/>
    <hyperlink ref="AO222" r:id="rId934" xr:uid="{00000000-0004-0000-0300-0000A5030000}"/>
    <hyperlink ref="AT222" r:id="rId935" xr:uid="{00000000-0004-0000-0300-0000A6030000}"/>
    <hyperlink ref="AU222" r:id="rId936" xr:uid="{00000000-0004-0000-0300-0000A7030000}"/>
    <hyperlink ref="AM223" r:id="rId937" xr:uid="{00000000-0004-0000-0300-0000A8030000}"/>
    <hyperlink ref="AN223" r:id="rId938" xr:uid="{00000000-0004-0000-0300-0000A9030000}"/>
    <hyperlink ref="AQ223" r:id="rId939" xr:uid="{00000000-0004-0000-0300-0000AA030000}"/>
    <hyperlink ref="AR223" r:id="rId940" xr:uid="{00000000-0004-0000-0300-0000AB030000}"/>
    <hyperlink ref="AU223" r:id="rId941" xr:uid="{00000000-0004-0000-0300-0000AC030000}"/>
    <hyperlink ref="AL224" r:id="rId942" xr:uid="{00000000-0004-0000-0300-0000AD030000}"/>
    <hyperlink ref="AM224" r:id="rId943" xr:uid="{00000000-0004-0000-0300-0000AE030000}"/>
    <hyperlink ref="AN224" r:id="rId944" xr:uid="{00000000-0004-0000-0300-0000AF030000}"/>
    <hyperlink ref="AO224" r:id="rId945" xr:uid="{00000000-0004-0000-0300-0000B0030000}"/>
    <hyperlink ref="AR224" r:id="rId946" xr:uid="{00000000-0004-0000-0300-0000B1030000}"/>
    <hyperlink ref="AS224" r:id="rId947" xr:uid="{00000000-0004-0000-0300-0000B2030000}"/>
    <hyperlink ref="AT224" r:id="rId948" xr:uid="{00000000-0004-0000-0300-0000B3030000}"/>
    <hyperlink ref="AU224" r:id="rId949" xr:uid="{00000000-0004-0000-0300-0000B4030000}"/>
    <hyperlink ref="AM225" r:id="rId950" xr:uid="{00000000-0004-0000-0300-0000B5030000}"/>
    <hyperlink ref="AO225" r:id="rId951" xr:uid="{00000000-0004-0000-0300-0000B6030000}"/>
    <hyperlink ref="AU225" r:id="rId952" xr:uid="{00000000-0004-0000-0300-0000B7030000}"/>
    <hyperlink ref="AL226" r:id="rId953" xr:uid="{00000000-0004-0000-0300-0000B8030000}"/>
    <hyperlink ref="AN226" r:id="rId954" xr:uid="{00000000-0004-0000-0300-0000B9030000}"/>
    <hyperlink ref="AQ226" r:id="rId955" xr:uid="{00000000-0004-0000-0300-0000BA030000}"/>
    <hyperlink ref="AT226" r:id="rId956" xr:uid="{00000000-0004-0000-0300-0000BB030000}"/>
    <hyperlink ref="AU226" r:id="rId957" xr:uid="{00000000-0004-0000-0300-0000BC030000}"/>
    <hyperlink ref="AL228" r:id="rId958" xr:uid="{00000000-0004-0000-0300-0000BD030000}"/>
    <hyperlink ref="AQ228" r:id="rId959" xr:uid="{00000000-0004-0000-0300-0000BE030000}"/>
    <hyperlink ref="AR228" r:id="rId960" xr:uid="{00000000-0004-0000-0300-0000BF030000}"/>
    <hyperlink ref="AS228" r:id="rId961" xr:uid="{00000000-0004-0000-0300-0000C0030000}"/>
    <hyperlink ref="AT228" r:id="rId962" xr:uid="{00000000-0004-0000-0300-0000C1030000}"/>
    <hyperlink ref="AU228" r:id="rId963" xr:uid="{00000000-0004-0000-0300-0000C2030000}"/>
    <hyperlink ref="AM229" r:id="rId964" xr:uid="{00000000-0004-0000-0300-0000C3030000}"/>
    <hyperlink ref="AN229" r:id="rId965" xr:uid="{00000000-0004-0000-0300-0000C4030000}"/>
    <hyperlink ref="AU229" r:id="rId966" xr:uid="{00000000-0004-0000-0300-0000C5030000}"/>
    <hyperlink ref="AM230" r:id="rId967" xr:uid="{00000000-0004-0000-0300-0000C6030000}"/>
    <hyperlink ref="AN230" r:id="rId968" xr:uid="{00000000-0004-0000-0300-0000C7030000}"/>
    <hyperlink ref="AR230" r:id="rId969" xr:uid="{00000000-0004-0000-0300-0000C8030000}"/>
    <hyperlink ref="AS230" r:id="rId970" xr:uid="{00000000-0004-0000-0300-0000C9030000}"/>
    <hyperlink ref="AT230" r:id="rId971" xr:uid="{00000000-0004-0000-0300-0000CA030000}"/>
    <hyperlink ref="AU230" r:id="rId972" xr:uid="{00000000-0004-0000-0300-0000CB030000}"/>
    <hyperlink ref="AM231" r:id="rId973" xr:uid="{00000000-0004-0000-0300-0000CC030000}"/>
    <hyperlink ref="AQ231" r:id="rId974" xr:uid="{00000000-0004-0000-0300-0000CD030000}"/>
    <hyperlink ref="AU231" r:id="rId975" xr:uid="{00000000-0004-0000-0300-0000CE030000}"/>
    <hyperlink ref="AM232" r:id="rId976" xr:uid="{00000000-0004-0000-0300-0000CF030000}"/>
    <hyperlink ref="AN232" r:id="rId977" xr:uid="{00000000-0004-0000-0300-0000D0030000}"/>
    <hyperlink ref="AU232" r:id="rId978" xr:uid="{00000000-0004-0000-0300-0000D1030000}"/>
    <hyperlink ref="S233" r:id="rId979" xr:uid="{00000000-0004-0000-0300-0000D2030000}"/>
    <hyperlink ref="AL233" r:id="rId980" xr:uid="{00000000-0004-0000-0300-0000D3030000}"/>
    <hyperlink ref="AM233" r:id="rId981" xr:uid="{00000000-0004-0000-0300-0000D4030000}"/>
    <hyperlink ref="AO233" r:id="rId982" xr:uid="{00000000-0004-0000-0300-0000D5030000}"/>
    <hyperlink ref="AU233" r:id="rId983" xr:uid="{00000000-0004-0000-0300-0000D6030000}"/>
    <hyperlink ref="AL234" r:id="rId984" xr:uid="{00000000-0004-0000-0300-0000D7030000}"/>
    <hyperlink ref="AM234" r:id="rId985" xr:uid="{00000000-0004-0000-0300-0000D8030000}"/>
    <hyperlink ref="AN234" r:id="rId986" xr:uid="{00000000-0004-0000-0300-0000D9030000}"/>
    <hyperlink ref="AU234" r:id="rId987" xr:uid="{00000000-0004-0000-0300-0000DA030000}"/>
    <hyperlink ref="AL235" r:id="rId988" xr:uid="{00000000-0004-0000-0300-0000DB030000}"/>
    <hyperlink ref="AS235" r:id="rId989" xr:uid="{00000000-0004-0000-0300-0000DC030000}"/>
    <hyperlink ref="AU235" r:id="rId990" xr:uid="{00000000-0004-0000-0300-0000DD030000}"/>
    <hyperlink ref="AL236" r:id="rId991" xr:uid="{00000000-0004-0000-0300-0000DE030000}"/>
    <hyperlink ref="AM237" r:id="rId992" xr:uid="{00000000-0004-0000-0300-0000DF030000}"/>
    <hyperlink ref="AL238" r:id="rId993" xr:uid="{00000000-0004-0000-0300-0000E0030000}"/>
    <hyperlink ref="AM238" r:id="rId994" xr:uid="{00000000-0004-0000-0300-0000E1030000}"/>
    <hyperlink ref="AN238" r:id="rId995" xr:uid="{00000000-0004-0000-0300-0000E2030000}"/>
    <hyperlink ref="AR238" r:id="rId996" xr:uid="{00000000-0004-0000-0300-0000E3030000}"/>
    <hyperlink ref="AS238" r:id="rId997" xr:uid="{00000000-0004-0000-0300-0000E4030000}"/>
    <hyperlink ref="AU238" r:id="rId998" xr:uid="{00000000-0004-0000-0300-0000E5030000}"/>
    <hyperlink ref="AL239" r:id="rId999" xr:uid="{00000000-0004-0000-0300-0000E6030000}"/>
    <hyperlink ref="AM239" r:id="rId1000" xr:uid="{00000000-0004-0000-0300-0000E7030000}"/>
    <hyperlink ref="AN239" r:id="rId1001" xr:uid="{00000000-0004-0000-0300-0000E8030000}"/>
    <hyperlink ref="AO239" r:id="rId1002" xr:uid="{00000000-0004-0000-0300-0000E9030000}"/>
    <hyperlink ref="AR239" r:id="rId1003" xr:uid="{00000000-0004-0000-0300-0000EA030000}"/>
    <hyperlink ref="AS239" r:id="rId1004" xr:uid="{00000000-0004-0000-0300-0000EB030000}"/>
    <hyperlink ref="AT239" r:id="rId1005" xr:uid="{00000000-0004-0000-0300-0000EC030000}"/>
    <hyperlink ref="AU239" r:id="rId1006" xr:uid="{00000000-0004-0000-0300-0000ED030000}"/>
    <hyperlink ref="AN240" r:id="rId1007" xr:uid="{00000000-0004-0000-0300-0000EE030000}"/>
    <hyperlink ref="AQ240" r:id="rId1008" xr:uid="{00000000-0004-0000-0300-0000EF030000}"/>
    <hyperlink ref="AR240" r:id="rId1009" xr:uid="{00000000-0004-0000-0300-0000F0030000}"/>
    <hyperlink ref="AS240" r:id="rId1010" xr:uid="{00000000-0004-0000-0300-0000F1030000}"/>
    <hyperlink ref="AT240" r:id="rId1011" xr:uid="{00000000-0004-0000-0300-0000F2030000}"/>
    <hyperlink ref="AU240" r:id="rId1012" xr:uid="{00000000-0004-0000-0300-0000F3030000}"/>
    <hyperlink ref="AM241" r:id="rId1013" xr:uid="{00000000-0004-0000-0300-0000F4030000}"/>
    <hyperlink ref="AN241" r:id="rId1014" xr:uid="{00000000-0004-0000-0300-0000F5030000}"/>
    <hyperlink ref="AQ241" r:id="rId1015" xr:uid="{00000000-0004-0000-0300-0000F6030000}"/>
    <hyperlink ref="AU241" r:id="rId1016" xr:uid="{00000000-0004-0000-0300-0000F7030000}"/>
    <hyperlink ref="AR242" r:id="rId1017" xr:uid="{00000000-0004-0000-0300-0000F8030000}"/>
    <hyperlink ref="AS242" r:id="rId1018" xr:uid="{00000000-0004-0000-0300-0000F9030000}"/>
    <hyperlink ref="AU242" r:id="rId1019" xr:uid="{00000000-0004-0000-0300-0000FA030000}"/>
    <hyperlink ref="AL243" r:id="rId1020" xr:uid="{00000000-0004-0000-0300-0000FB030000}"/>
    <hyperlink ref="AM243" r:id="rId1021" xr:uid="{00000000-0004-0000-0300-0000FC030000}"/>
    <hyperlink ref="AN243" r:id="rId1022" xr:uid="{00000000-0004-0000-0300-0000FD030000}"/>
    <hyperlink ref="AR243" r:id="rId1023" xr:uid="{00000000-0004-0000-0300-0000FE030000}"/>
    <hyperlink ref="AU243" r:id="rId1024" xr:uid="{00000000-0004-0000-0300-0000FF030000}"/>
    <hyperlink ref="AM244" r:id="rId1025" xr:uid="{00000000-0004-0000-0300-000000040000}"/>
    <hyperlink ref="AN244" r:id="rId1026" xr:uid="{00000000-0004-0000-0300-000001040000}"/>
    <hyperlink ref="AM245" r:id="rId1027" xr:uid="{00000000-0004-0000-0300-000002040000}"/>
    <hyperlink ref="AU245" r:id="rId1028" xr:uid="{00000000-0004-0000-0300-000003040000}"/>
    <hyperlink ref="AL246" r:id="rId1029" xr:uid="{00000000-0004-0000-0300-000004040000}"/>
    <hyperlink ref="AM246" r:id="rId1030" xr:uid="{00000000-0004-0000-0300-000005040000}"/>
    <hyperlink ref="AL247" r:id="rId1031" xr:uid="{00000000-0004-0000-0300-000006040000}"/>
    <hyperlink ref="AM247" r:id="rId1032" xr:uid="{00000000-0004-0000-0300-000007040000}"/>
    <hyperlink ref="AN247" r:id="rId1033" xr:uid="{00000000-0004-0000-0300-000008040000}"/>
    <hyperlink ref="AO247" r:id="rId1034" xr:uid="{00000000-0004-0000-0300-000009040000}"/>
    <hyperlink ref="AQ247" r:id="rId1035" xr:uid="{00000000-0004-0000-0300-00000A040000}"/>
    <hyperlink ref="AS247" r:id="rId1036" xr:uid="{00000000-0004-0000-0300-00000B040000}"/>
    <hyperlink ref="AT247" r:id="rId1037" xr:uid="{00000000-0004-0000-0300-00000C040000}"/>
    <hyperlink ref="AU247" r:id="rId1038" xr:uid="{00000000-0004-0000-0300-00000D040000}"/>
    <hyperlink ref="AL248" r:id="rId1039" xr:uid="{00000000-0004-0000-0300-00000E040000}"/>
    <hyperlink ref="AM248" r:id="rId1040" xr:uid="{00000000-0004-0000-0300-00000F040000}"/>
    <hyperlink ref="AN248" r:id="rId1041" xr:uid="{00000000-0004-0000-0300-000010040000}"/>
    <hyperlink ref="AO248" r:id="rId1042" xr:uid="{00000000-0004-0000-0300-000011040000}"/>
    <hyperlink ref="AR248" r:id="rId1043" xr:uid="{00000000-0004-0000-0300-000012040000}"/>
    <hyperlink ref="AS248" r:id="rId1044" xr:uid="{00000000-0004-0000-0300-000013040000}"/>
    <hyperlink ref="AU248" r:id="rId1045" xr:uid="{00000000-0004-0000-0300-000014040000}"/>
    <hyperlink ref="AR249" r:id="rId1046" xr:uid="{00000000-0004-0000-0300-000015040000}"/>
    <hyperlink ref="AS249" r:id="rId1047" xr:uid="{00000000-0004-0000-0300-000016040000}"/>
    <hyperlink ref="AT249" r:id="rId1048" xr:uid="{00000000-0004-0000-0300-000017040000}"/>
    <hyperlink ref="AL250" r:id="rId1049" xr:uid="{00000000-0004-0000-0300-000018040000}"/>
    <hyperlink ref="AM250" r:id="rId1050" xr:uid="{00000000-0004-0000-0300-000019040000}"/>
    <hyperlink ref="AN250" r:id="rId1051" xr:uid="{00000000-0004-0000-0300-00001A040000}"/>
    <hyperlink ref="AO250" r:id="rId1052" xr:uid="{00000000-0004-0000-0300-00001B040000}"/>
    <hyperlink ref="AQ250" r:id="rId1053" xr:uid="{00000000-0004-0000-0300-00001C040000}"/>
    <hyperlink ref="AR250" r:id="rId1054" xr:uid="{00000000-0004-0000-0300-00001D040000}"/>
    <hyperlink ref="AS250" r:id="rId1055" xr:uid="{00000000-0004-0000-0300-00001E040000}"/>
    <hyperlink ref="AU250" r:id="rId1056" xr:uid="{00000000-0004-0000-0300-00001F040000}"/>
    <hyperlink ref="AL251" r:id="rId1057" xr:uid="{00000000-0004-0000-0300-000020040000}"/>
    <hyperlink ref="AM251" r:id="rId1058" xr:uid="{00000000-0004-0000-0300-000021040000}"/>
    <hyperlink ref="AN251" r:id="rId1059" xr:uid="{00000000-0004-0000-0300-000022040000}"/>
    <hyperlink ref="AO251" r:id="rId1060" xr:uid="{00000000-0004-0000-0300-000023040000}"/>
    <hyperlink ref="AS251" r:id="rId1061" xr:uid="{00000000-0004-0000-0300-000024040000}"/>
    <hyperlink ref="AM252" r:id="rId1062" xr:uid="{00000000-0004-0000-0300-000025040000}"/>
    <hyperlink ref="AN252" r:id="rId1063" xr:uid="{00000000-0004-0000-0300-000026040000}"/>
    <hyperlink ref="AO252" r:id="rId1064" xr:uid="{00000000-0004-0000-0300-000027040000}"/>
    <hyperlink ref="AS252" r:id="rId1065" xr:uid="{00000000-0004-0000-0300-000028040000}"/>
    <hyperlink ref="AU252" r:id="rId1066" xr:uid="{00000000-0004-0000-0300-000029040000}"/>
    <hyperlink ref="AM254" r:id="rId1067" xr:uid="{00000000-0004-0000-0300-00002A040000}"/>
    <hyperlink ref="AQ254" r:id="rId1068" xr:uid="{00000000-0004-0000-0300-00002B040000}"/>
    <hyperlink ref="AL255" r:id="rId1069" xr:uid="{00000000-0004-0000-0300-00002C040000}"/>
    <hyperlink ref="AM255" r:id="rId1070" xr:uid="{00000000-0004-0000-0300-00002D040000}"/>
    <hyperlink ref="AN255" r:id="rId1071" xr:uid="{00000000-0004-0000-0300-00002E040000}"/>
    <hyperlink ref="AO255" r:id="rId1072" xr:uid="{00000000-0004-0000-0300-00002F040000}"/>
    <hyperlink ref="AT255" r:id="rId1073" xr:uid="{00000000-0004-0000-0300-000030040000}"/>
    <hyperlink ref="AU255" r:id="rId1074" xr:uid="{00000000-0004-0000-0300-000031040000}"/>
    <hyperlink ref="AM256" r:id="rId1075" xr:uid="{00000000-0004-0000-0300-000032040000}"/>
    <hyperlink ref="AN256" r:id="rId1076" xr:uid="{00000000-0004-0000-0300-000033040000}"/>
    <hyperlink ref="AO256" r:id="rId1077" xr:uid="{00000000-0004-0000-0300-000034040000}"/>
    <hyperlink ref="AS256" r:id="rId1078" xr:uid="{00000000-0004-0000-0300-000035040000}"/>
    <hyperlink ref="AU256" r:id="rId1079" xr:uid="{00000000-0004-0000-0300-000036040000}"/>
    <hyperlink ref="AM257" r:id="rId1080" xr:uid="{00000000-0004-0000-0300-000037040000}"/>
    <hyperlink ref="AM258" r:id="rId1081" xr:uid="{00000000-0004-0000-0300-000038040000}"/>
    <hyperlink ref="AM259" r:id="rId1082" xr:uid="{00000000-0004-0000-0300-000039040000}"/>
    <hyperlink ref="AN259" r:id="rId1083" xr:uid="{00000000-0004-0000-0300-00003A040000}"/>
    <hyperlink ref="AS259" r:id="rId1084" xr:uid="{00000000-0004-0000-0300-00003B040000}"/>
    <hyperlink ref="AT259" r:id="rId1085" xr:uid="{00000000-0004-0000-0300-00003C040000}"/>
    <hyperlink ref="AU259" r:id="rId1086" xr:uid="{00000000-0004-0000-0300-00003D040000}"/>
    <hyperlink ref="AM260" r:id="rId1087" xr:uid="{00000000-0004-0000-0300-00003E040000}"/>
    <hyperlink ref="AN260" r:id="rId1088" xr:uid="{00000000-0004-0000-0300-00003F040000}"/>
    <hyperlink ref="AR260" r:id="rId1089" xr:uid="{00000000-0004-0000-0300-000040040000}"/>
    <hyperlink ref="AS260" r:id="rId1090" xr:uid="{00000000-0004-0000-0300-000041040000}"/>
    <hyperlink ref="AT260" r:id="rId1091" xr:uid="{00000000-0004-0000-0300-000042040000}"/>
    <hyperlink ref="AU260" r:id="rId1092" xr:uid="{00000000-0004-0000-0300-000043040000}"/>
    <hyperlink ref="AL261" r:id="rId1093" xr:uid="{00000000-0004-0000-0300-000044040000}"/>
    <hyperlink ref="AM261" r:id="rId1094" xr:uid="{00000000-0004-0000-0300-000045040000}"/>
    <hyperlink ref="AN261" r:id="rId1095" xr:uid="{00000000-0004-0000-0300-000046040000}"/>
    <hyperlink ref="AO261" r:id="rId1096" xr:uid="{00000000-0004-0000-0300-000047040000}"/>
    <hyperlink ref="AQ261" r:id="rId1097" xr:uid="{00000000-0004-0000-0300-000048040000}"/>
    <hyperlink ref="AU261" r:id="rId1098" xr:uid="{00000000-0004-0000-0300-000049040000}"/>
    <hyperlink ref="AL262" r:id="rId1099" xr:uid="{00000000-0004-0000-0300-00004A040000}"/>
    <hyperlink ref="AN262" r:id="rId1100" xr:uid="{00000000-0004-0000-0300-00004B040000}"/>
    <hyperlink ref="AL263" r:id="rId1101" xr:uid="{00000000-0004-0000-0300-00004C040000}"/>
    <hyperlink ref="AM263" r:id="rId1102" xr:uid="{00000000-0004-0000-0300-00004D040000}"/>
    <hyperlink ref="AN263" r:id="rId1103" xr:uid="{00000000-0004-0000-0300-00004E040000}"/>
    <hyperlink ref="AO263" r:id="rId1104" xr:uid="{00000000-0004-0000-0300-00004F040000}"/>
    <hyperlink ref="AR263" r:id="rId1105" xr:uid="{00000000-0004-0000-0300-000050040000}"/>
    <hyperlink ref="AS263" r:id="rId1106" xr:uid="{00000000-0004-0000-0300-000051040000}"/>
    <hyperlink ref="AU263" r:id="rId1107" xr:uid="{00000000-0004-0000-0300-000052040000}"/>
    <hyperlink ref="AL264" r:id="rId1108" xr:uid="{00000000-0004-0000-0300-000053040000}"/>
    <hyperlink ref="AM264" r:id="rId1109" xr:uid="{00000000-0004-0000-0300-000054040000}"/>
    <hyperlink ref="AN264" r:id="rId1110" xr:uid="{00000000-0004-0000-0300-000055040000}"/>
    <hyperlink ref="AO264" r:id="rId1111" xr:uid="{00000000-0004-0000-0300-000056040000}"/>
    <hyperlink ref="AR264" r:id="rId1112" xr:uid="{00000000-0004-0000-0300-000057040000}"/>
    <hyperlink ref="AS264" r:id="rId1113" xr:uid="{00000000-0004-0000-0300-000058040000}"/>
    <hyperlink ref="AT264" r:id="rId1114" xr:uid="{00000000-0004-0000-0300-000059040000}"/>
    <hyperlink ref="AU264" r:id="rId1115" xr:uid="{00000000-0004-0000-0300-00005A040000}"/>
    <hyperlink ref="AM265" r:id="rId1116" xr:uid="{00000000-0004-0000-0300-00005B040000}"/>
    <hyperlink ref="AN265" r:id="rId1117" xr:uid="{00000000-0004-0000-0300-00005C040000}"/>
    <hyperlink ref="AQ265" r:id="rId1118" xr:uid="{00000000-0004-0000-0300-00005D040000}"/>
    <hyperlink ref="AM266" r:id="rId1119" xr:uid="{00000000-0004-0000-0300-00005E040000}"/>
    <hyperlink ref="AN266" r:id="rId1120" xr:uid="{00000000-0004-0000-0300-00005F040000}"/>
    <hyperlink ref="AQ266" r:id="rId1121" xr:uid="{00000000-0004-0000-0300-000060040000}"/>
    <hyperlink ref="AU266" r:id="rId1122" xr:uid="{00000000-0004-0000-0300-000061040000}"/>
    <hyperlink ref="AM267" r:id="rId1123" xr:uid="{00000000-0004-0000-0300-000062040000}"/>
    <hyperlink ref="AN267" r:id="rId1124" xr:uid="{00000000-0004-0000-0300-000063040000}"/>
    <hyperlink ref="AT267" r:id="rId1125" xr:uid="{00000000-0004-0000-0300-000064040000}"/>
    <hyperlink ref="AU267" r:id="rId1126" xr:uid="{00000000-0004-0000-0300-000065040000}"/>
    <hyperlink ref="AM268" r:id="rId1127" xr:uid="{00000000-0004-0000-0300-000066040000}"/>
    <hyperlink ref="AU268" r:id="rId1128" xr:uid="{00000000-0004-0000-0300-000067040000}"/>
    <hyperlink ref="AU269" r:id="rId1129" xr:uid="{00000000-0004-0000-0300-000068040000}"/>
    <hyperlink ref="AL270" r:id="rId1130" xr:uid="{00000000-0004-0000-0300-000069040000}"/>
    <hyperlink ref="AM270" r:id="rId1131" xr:uid="{00000000-0004-0000-0300-00006A040000}"/>
    <hyperlink ref="AN270" r:id="rId1132" xr:uid="{00000000-0004-0000-0300-00006B040000}"/>
    <hyperlink ref="AR270" r:id="rId1133" xr:uid="{00000000-0004-0000-0300-00006C040000}"/>
    <hyperlink ref="AS270" r:id="rId1134" xr:uid="{00000000-0004-0000-0300-00006D040000}"/>
    <hyperlink ref="AU270" r:id="rId1135" xr:uid="{00000000-0004-0000-0300-00006E040000}"/>
    <hyperlink ref="AL272" r:id="rId1136" xr:uid="{00000000-0004-0000-0300-00006F040000}"/>
    <hyperlink ref="AM272" r:id="rId1137" xr:uid="{00000000-0004-0000-0300-000070040000}"/>
    <hyperlink ref="AN272" r:id="rId1138" xr:uid="{00000000-0004-0000-0300-000071040000}"/>
    <hyperlink ref="AR272" r:id="rId1139" xr:uid="{00000000-0004-0000-0300-000072040000}"/>
    <hyperlink ref="AS272" r:id="rId1140" xr:uid="{00000000-0004-0000-0300-000073040000}"/>
    <hyperlink ref="AT272" r:id="rId1141" xr:uid="{00000000-0004-0000-0300-000074040000}"/>
    <hyperlink ref="AU272" r:id="rId1142" xr:uid="{00000000-0004-0000-0300-000075040000}"/>
    <hyperlink ref="AM273" r:id="rId1143" xr:uid="{00000000-0004-0000-0300-000076040000}"/>
    <hyperlink ref="AN273" r:id="rId1144" xr:uid="{00000000-0004-0000-0300-000077040000}"/>
    <hyperlink ref="AR273" r:id="rId1145" xr:uid="{00000000-0004-0000-0300-000078040000}"/>
    <hyperlink ref="AS273" r:id="rId1146" xr:uid="{00000000-0004-0000-0300-000079040000}"/>
    <hyperlink ref="AT273" r:id="rId1147" xr:uid="{00000000-0004-0000-0300-00007A040000}"/>
    <hyperlink ref="AU273" r:id="rId1148" xr:uid="{00000000-0004-0000-0300-00007B040000}"/>
    <hyperlink ref="AM274" r:id="rId1149" xr:uid="{00000000-0004-0000-0300-00007C040000}"/>
    <hyperlink ref="AU274" r:id="rId1150" xr:uid="{00000000-0004-0000-0300-00007D040000}"/>
    <hyperlink ref="AL275" r:id="rId1151" xr:uid="{00000000-0004-0000-0300-00007E040000}"/>
    <hyperlink ref="AM275" r:id="rId1152" xr:uid="{00000000-0004-0000-0300-00007F040000}"/>
    <hyperlink ref="AO275" r:id="rId1153" xr:uid="{00000000-0004-0000-0300-000080040000}"/>
    <hyperlink ref="AL276" r:id="rId1154" xr:uid="{00000000-0004-0000-0300-000081040000}"/>
    <hyperlink ref="AM276" r:id="rId1155" xr:uid="{00000000-0004-0000-0300-000082040000}"/>
    <hyperlink ref="AN276" r:id="rId1156" xr:uid="{00000000-0004-0000-0300-000083040000}"/>
    <hyperlink ref="AO276" r:id="rId1157" xr:uid="{00000000-0004-0000-0300-000084040000}"/>
    <hyperlink ref="AQ276" r:id="rId1158" xr:uid="{00000000-0004-0000-0300-000085040000}"/>
    <hyperlink ref="AR276" r:id="rId1159" xr:uid="{00000000-0004-0000-0300-000086040000}"/>
    <hyperlink ref="AS276" r:id="rId1160" xr:uid="{00000000-0004-0000-0300-000087040000}"/>
    <hyperlink ref="AT276" r:id="rId1161" xr:uid="{00000000-0004-0000-0300-000088040000}"/>
    <hyperlink ref="AU276" r:id="rId1162" xr:uid="{00000000-0004-0000-0300-000089040000}"/>
    <hyperlink ref="AL277" r:id="rId1163" xr:uid="{00000000-0004-0000-0300-00008A040000}"/>
    <hyperlink ref="AN277" r:id="rId1164" xr:uid="{00000000-0004-0000-0300-00008B040000}"/>
    <hyperlink ref="AN278" r:id="rId1165" xr:uid="{00000000-0004-0000-0300-00008C040000}"/>
    <hyperlink ref="AL279" r:id="rId1166" xr:uid="{00000000-0004-0000-0300-00008D040000}"/>
    <hyperlink ref="AM279" r:id="rId1167" xr:uid="{00000000-0004-0000-0300-00008E040000}"/>
    <hyperlink ref="AQ279" r:id="rId1168" xr:uid="{00000000-0004-0000-0300-00008F040000}"/>
    <hyperlink ref="AR279" r:id="rId1169" xr:uid="{00000000-0004-0000-0300-000090040000}"/>
    <hyperlink ref="AS279" r:id="rId1170" xr:uid="{00000000-0004-0000-0300-000091040000}"/>
    <hyperlink ref="AT279" r:id="rId1171" xr:uid="{00000000-0004-0000-0300-000092040000}"/>
    <hyperlink ref="AU279" r:id="rId1172" xr:uid="{00000000-0004-0000-0300-000093040000}"/>
    <hyperlink ref="AL280" r:id="rId1173" xr:uid="{00000000-0004-0000-0300-000094040000}"/>
    <hyperlink ref="AM280" r:id="rId1174" xr:uid="{00000000-0004-0000-0300-000095040000}"/>
    <hyperlink ref="AL281" r:id="rId1175" xr:uid="{00000000-0004-0000-0300-000096040000}"/>
    <hyperlink ref="AM281" r:id="rId1176" xr:uid="{00000000-0004-0000-0300-000097040000}"/>
    <hyperlink ref="AN281" r:id="rId1177" xr:uid="{00000000-0004-0000-0300-000098040000}"/>
    <hyperlink ref="AR281" r:id="rId1178" xr:uid="{00000000-0004-0000-0300-000099040000}"/>
    <hyperlink ref="AS281" r:id="rId1179" xr:uid="{00000000-0004-0000-0300-00009A040000}"/>
    <hyperlink ref="AT281" r:id="rId1180" xr:uid="{00000000-0004-0000-0300-00009B040000}"/>
    <hyperlink ref="AU281" r:id="rId1181" xr:uid="{00000000-0004-0000-0300-00009C040000}"/>
    <hyperlink ref="AN282" r:id="rId1182" xr:uid="{00000000-0004-0000-0300-00009D040000}"/>
    <hyperlink ref="AU282" r:id="rId1183" xr:uid="{00000000-0004-0000-0300-00009E040000}"/>
    <hyperlink ref="AQ283" r:id="rId1184" xr:uid="{00000000-0004-0000-0300-00009F040000}"/>
    <hyperlink ref="AR283" r:id="rId1185" xr:uid="{00000000-0004-0000-0300-0000A0040000}"/>
    <hyperlink ref="AS283" r:id="rId1186" xr:uid="{00000000-0004-0000-0300-0000A1040000}"/>
    <hyperlink ref="AM284" r:id="rId1187" xr:uid="{00000000-0004-0000-0300-0000A2040000}"/>
    <hyperlink ref="AR284" r:id="rId1188" xr:uid="{00000000-0004-0000-0300-0000A3040000}"/>
    <hyperlink ref="AS284" r:id="rId1189" xr:uid="{00000000-0004-0000-0300-0000A4040000}"/>
    <hyperlink ref="AM285" r:id="rId1190" xr:uid="{00000000-0004-0000-0300-0000A5040000}"/>
    <hyperlink ref="AN285" r:id="rId1191" xr:uid="{00000000-0004-0000-0300-0000A6040000}"/>
    <hyperlink ref="AQ285" r:id="rId1192" xr:uid="{00000000-0004-0000-0300-0000A7040000}"/>
    <hyperlink ref="AR285" r:id="rId1193" xr:uid="{00000000-0004-0000-0300-0000A8040000}"/>
    <hyperlink ref="AS285" r:id="rId1194" xr:uid="{00000000-0004-0000-0300-0000A9040000}"/>
    <hyperlink ref="AU285" r:id="rId1195" xr:uid="{00000000-0004-0000-0300-0000AA040000}"/>
    <hyperlink ref="AM286" r:id="rId1196" xr:uid="{00000000-0004-0000-0300-0000AB040000}"/>
    <hyperlink ref="AN286" r:id="rId1197" xr:uid="{00000000-0004-0000-0300-0000AC040000}"/>
    <hyperlink ref="AU286" r:id="rId1198" xr:uid="{00000000-0004-0000-0300-0000AD040000}"/>
    <hyperlink ref="AM287" r:id="rId1199" xr:uid="{00000000-0004-0000-0300-0000AE040000}"/>
    <hyperlink ref="AN287" r:id="rId1200" xr:uid="{00000000-0004-0000-0300-0000AF040000}"/>
    <hyperlink ref="AO287" r:id="rId1201" xr:uid="{00000000-0004-0000-0300-0000B0040000}"/>
    <hyperlink ref="AQ287" r:id="rId1202" xr:uid="{00000000-0004-0000-0300-0000B1040000}"/>
    <hyperlink ref="AU287" r:id="rId1203" xr:uid="{00000000-0004-0000-0300-0000B2040000}"/>
    <hyperlink ref="AL288" r:id="rId1204" xr:uid="{00000000-0004-0000-0300-0000B3040000}"/>
    <hyperlink ref="AM288" r:id="rId1205" xr:uid="{00000000-0004-0000-0300-0000B4040000}"/>
    <hyperlink ref="AN288" r:id="rId1206" xr:uid="{00000000-0004-0000-0300-0000B5040000}"/>
    <hyperlink ref="AO288" r:id="rId1207" xr:uid="{00000000-0004-0000-0300-0000B6040000}"/>
    <hyperlink ref="AQ288" r:id="rId1208" xr:uid="{00000000-0004-0000-0300-0000B7040000}"/>
    <hyperlink ref="AT288" r:id="rId1209" xr:uid="{00000000-0004-0000-0300-0000B8040000}"/>
    <hyperlink ref="AU288" r:id="rId1210" xr:uid="{00000000-0004-0000-0300-0000B9040000}"/>
    <hyperlink ref="AL289" r:id="rId1211" xr:uid="{00000000-0004-0000-0300-0000BA040000}"/>
    <hyperlink ref="AM289" r:id="rId1212" xr:uid="{00000000-0004-0000-0300-0000BB040000}"/>
    <hyperlink ref="AN289" r:id="rId1213" xr:uid="{00000000-0004-0000-0300-0000BC040000}"/>
    <hyperlink ref="AO289" r:id="rId1214" xr:uid="{00000000-0004-0000-0300-0000BD040000}"/>
    <hyperlink ref="AR289" r:id="rId1215" xr:uid="{00000000-0004-0000-0300-0000BE040000}"/>
    <hyperlink ref="AS289" r:id="rId1216" xr:uid="{00000000-0004-0000-0300-0000BF040000}"/>
    <hyperlink ref="AT289" r:id="rId1217" xr:uid="{00000000-0004-0000-0300-0000C0040000}"/>
    <hyperlink ref="AU289" r:id="rId1218" xr:uid="{00000000-0004-0000-0300-0000C1040000}"/>
    <hyperlink ref="AL290" r:id="rId1219" xr:uid="{00000000-0004-0000-0300-0000C2040000}"/>
    <hyperlink ref="AM290" r:id="rId1220" xr:uid="{00000000-0004-0000-0300-0000C3040000}"/>
    <hyperlink ref="AN290" r:id="rId1221" xr:uid="{00000000-0004-0000-0300-0000C4040000}"/>
    <hyperlink ref="AQ290" r:id="rId1222" xr:uid="{00000000-0004-0000-0300-0000C5040000}"/>
    <hyperlink ref="AT290" r:id="rId1223" xr:uid="{00000000-0004-0000-0300-0000C6040000}"/>
    <hyperlink ref="AU290" r:id="rId1224" xr:uid="{00000000-0004-0000-0300-0000C7040000}"/>
    <hyperlink ref="AS291" r:id="rId1225" xr:uid="{00000000-0004-0000-0300-0000C8040000}"/>
    <hyperlink ref="AU291" r:id="rId1226" xr:uid="{00000000-0004-0000-0300-0000C9040000}"/>
    <hyperlink ref="AL292" r:id="rId1227" xr:uid="{00000000-0004-0000-0300-0000CA040000}"/>
    <hyperlink ref="AM292" r:id="rId1228" xr:uid="{00000000-0004-0000-0300-0000CB040000}"/>
    <hyperlink ref="AN292" r:id="rId1229" xr:uid="{00000000-0004-0000-0300-0000CC040000}"/>
    <hyperlink ref="AR292" r:id="rId1230" xr:uid="{00000000-0004-0000-0300-0000CD040000}"/>
    <hyperlink ref="AS292" r:id="rId1231" xr:uid="{00000000-0004-0000-0300-0000CE040000}"/>
    <hyperlink ref="AT292" r:id="rId1232" xr:uid="{00000000-0004-0000-0300-0000CF040000}"/>
    <hyperlink ref="AU292" r:id="rId1233" xr:uid="{00000000-0004-0000-0300-0000D0040000}"/>
    <hyperlink ref="AL293" r:id="rId1234" xr:uid="{00000000-0004-0000-0300-0000D1040000}"/>
    <hyperlink ref="AM293" r:id="rId1235" xr:uid="{00000000-0004-0000-0300-0000D2040000}"/>
    <hyperlink ref="AN293" r:id="rId1236" xr:uid="{00000000-0004-0000-0300-0000D3040000}"/>
    <hyperlink ref="AQ293" r:id="rId1237" xr:uid="{00000000-0004-0000-0300-0000D4040000}"/>
    <hyperlink ref="AR293" r:id="rId1238" xr:uid="{00000000-0004-0000-0300-0000D5040000}"/>
    <hyperlink ref="AS293" r:id="rId1239" xr:uid="{00000000-0004-0000-0300-0000D6040000}"/>
    <hyperlink ref="AT293" r:id="rId1240" xr:uid="{00000000-0004-0000-0300-0000D7040000}"/>
    <hyperlink ref="AU293" r:id="rId1241" xr:uid="{00000000-0004-0000-0300-0000D8040000}"/>
    <hyperlink ref="AL294" r:id="rId1242" xr:uid="{00000000-0004-0000-0300-0000D9040000}"/>
    <hyperlink ref="AM294" r:id="rId1243" xr:uid="{00000000-0004-0000-0300-0000DA040000}"/>
    <hyperlink ref="AQ294" r:id="rId1244" xr:uid="{00000000-0004-0000-0300-0000DB040000}"/>
    <hyperlink ref="AR294" r:id="rId1245" xr:uid="{00000000-0004-0000-0300-0000DC040000}"/>
    <hyperlink ref="AT294" r:id="rId1246" xr:uid="{00000000-0004-0000-0300-0000DD040000}"/>
    <hyperlink ref="AU294" r:id="rId1247" xr:uid="{00000000-0004-0000-0300-0000DE040000}"/>
    <hyperlink ref="AL295" r:id="rId1248" xr:uid="{00000000-0004-0000-0300-0000DF040000}"/>
    <hyperlink ref="AM295" r:id="rId1249" xr:uid="{00000000-0004-0000-0300-0000E0040000}"/>
    <hyperlink ref="AM296" r:id="rId1250" xr:uid="{00000000-0004-0000-0300-0000E1040000}"/>
    <hyperlink ref="AN296" r:id="rId1251" xr:uid="{00000000-0004-0000-0300-0000E2040000}"/>
    <hyperlink ref="AR296" r:id="rId1252" xr:uid="{00000000-0004-0000-0300-0000E3040000}"/>
    <hyperlink ref="AT296" r:id="rId1253" xr:uid="{00000000-0004-0000-0300-0000E4040000}"/>
    <hyperlink ref="AU296" r:id="rId1254" xr:uid="{00000000-0004-0000-0300-0000E5040000}"/>
    <hyperlink ref="AL297" r:id="rId1255" xr:uid="{00000000-0004-0000-0300-0000E6040000}"/>
    <hyperlink ref="AM297" r:id="rId1256" xr:uid="{00000000-0004-0000-0300-0000E7040000}"/>
    <hyperlink ref="AO297" r:id="rId1257" xr:uid="{00000000-0004-0000-0300-0000E8040000}"/>
    <hyperlink ref="AL298" r:id="rId1258" xr:uid="{00000000-0004-0000-0300-0000E9040000}"/>
    <hyperlink ref="AM298" r:id="rId1259" xr:uid="{00000000-0004-0000-0300-0000EA040000}"/>
    <hyperlink ref="AN298" r:id="rId1260" xr:uid="{00000000-0004-0000-0300-0000EB040000}"/>
    <hyperlink ref="AO298" r:id="rId1261" xr:uid="{00000000-0004-0000-0300-0000EC040000}"/>
    <hyperlink ref="AR298" r:id="rId1262" xr:uid="{00000000-0004-0000-0300-0000ED040000}"/>
    <hyperlink ref="AS298" r:id="rId1263" xr:uid="{00000000-0004-0000-0300-0000EE040000}"/>
    <hyperlink ref="AU298" r:id="rId1264" xr:uid="{00000000-0004-0000-0300-0000EF040000}"/>
    <hyperlink ref="AM301" r:id="rId1265" xr:uid="{00000000-0004-0000-0300-0000F0040000}"/>
    <hyperlink ref="AN301" r:id="rId1266" xr:uid="{00000000-0004-0000-0300-0000F1040000}"/>
    <hyperlink ref="AL302" r:id="rId1267" xr:uid="{00000000-0004-0000-0300-0000F2040000}"/>
    <hyperlink ref="AQ302" r:id="rId1268" xr:uid="{00000000-0004-0000-0300-0000F3040000}"/>
    <hyperlink ref="AR302" r:id="rId1269" xr:uid="{00000000-0004-0000-0300-0000F4040000}"/>
    <hyperlink ref="AS302" r:id="rId1270" xr:uid="{00000000-0004-0000-0300-0000F5040000}"/>
    <hyperlink ref="AT302" r:id="rId1271" xr:uid="{00000000-0004-0000-0300-0000F6040000}"/>
    <hyperlink ref="AU302" r:id="rId1272" xr:uid="{00000000-0004-0000-0300-0000F7040000}"/>
    <hyperlink ref="AM303" r:id="rId1273" xr:uid="{00000000-0004-0000-0300-0000F8040000}"/>
    <hyperlink ref="AQ303" r:id="rId1274" xr:uid="{00000000-0004-0000-0300-0000F9040000}"/>
    <hyperlink ref="AS303" r:id="rId1275" xr:uid="{00000000-0004-0000-0300-0000FA040000}"/>
    <hyperlink ref="AU303" r:id="rId1276" xr:uid="{00000000-0004-0000-0300-0000FB040000}"/>
    <hyperlink ref="AL304" r:id="rId1277" xr:uid="{00000000-0004-0000-0300-0000FC040000}"/>
    <hyperlink ref="AM304" r:id="rId1278" xr:uid="{00000000-0004-0000-0300-0000FD040000}"/>
    <hyperlink ref="AO304" r:id="rId1279" xr:uid="{00000000-0004-0000-0300-0000FE040000}"/>
    <hyperlink ref="AR304" r:id="rId1280" xr:uid="{00000000-0004-0000-0300-0000FF040000}"/>
    <hyperlink ref="AS304" r:id="rId1281" xr:uid="{00000000-0004-0000-0300-000000050000}"/>
    <hyperlink ref="AT304" r:id="rId1282" xr:uid="{00000000-0004-0000-0300-000001050000}"/>
    <hyperlink ref="AU304" r:id="rId1283" xr:uid="{00000000-0004-0000-0300-000002050000}"/>
    <hyperlink ref="AM306" r:id="rId1284" xr:uid="{00000000-0004-0000-0300-000003050000}"/>
    <hyperlink ref="AQ306" r:id="rId1285" xr:uid="{00000000-0004-0000-0300-000004050000}"/>
    <hyperlink ref="AR306" r:id="rId1286" xr:uid="{00000000-0004-0000-0300-000005050000}"/>
    <hyperlink ref="AS306" r:id="rId1287" xr:uid="{00000000-0004-0000-0300-000006050000}"/>
    <hyperlink ref="AU306" r:id="rId1288" xr:uid="{00000000-0004-0000-0300-000007050000}"/>
    <hyperlink ref="AM307" r:id="rId1289" xr:uid="{00000000-0004-0000-0300-000008050000}"/>
    <hyperlink ref="AN307" r:id="rId1290" xr:uid="{00000000-0004-0000-0300-000009050000}"/>
    <hyperlink ref="AO307" r:id="rId1291" xr:uid="{00000000-0004-0000-0300-00000A050000}"/>
    <hyperlink ref="AU307" r:id="rId1292" xr:uid="{00000000-0004-0000-0300-00000B050000}"/>
    <hyperlink ref="AL308" r:id="rId1293" xr:uid="{00000000-0004-0000-0300-00000C050000}"/>
    <hyperlink ref="AM308" r:id="rId1294" xr:uid="{00000000-0004-0000-0300-00000D050000}"/>
    <hyperlink ref="AN308" r:id="rId1295" xr:uid="{00000000-0004-0000-0300-00000E050000}"/>
    <hyperlink ref="AO308" r:id="rId1296" xr:uid="{00000000-0004-0000-0300-00000F050000}"/>
    <hyperlink ref="AQ308" r:id="rId1297" xr:uid="{00000000-0004-0000-0300-000010050000}"/>
    <hyperlink ref="AU308" r:id="rId1298" xr:uid="{00000000-0004-0000-0300-000011050000}"/>
    <hyperlink ref="AL309" r:id="rId1299" xr:uid="{00000000-0004-0000-0300-000012050000}"/>
    <hyperlink ref="AM309" r:id="rId1300" xr:uid="{00000000-0004-0000-0300-000013050000}"/>
    <hyperlink ref="AR309" r:id="rId1301" xr:uid="{00000000-0004-0000-0300-000014050000}"/>
    <hyperlink ref="AS309" r:id="rId1302" xr:uid="{00000000-0004-0000-0300-000015050000}"/>
    <hyperlink ref="AU309" r:id="rId1303" xr:uid="{00000000-0004-0000-0300-000016050000}"/>
    <hyperlink ref="AM311" r:id="rId1304" xr:uid="{00000000-0004-0000-0300-000017050000}"/>
    <hyperlink ref="AL312" r:id="rId1305" xr:uid="{00000000-0004-0000-0300-000018050000}"/>
    <hyperlink ref="AM312" r:id="rId1306" xr:uid="{00000000-0004-0000-0300-000019050000}"/>
    <hyperlink ref="AO312" r:id="rId1307" xr:uid="{00000000-0004-0000-0300-00001A050000}"/>
    <hyperlink ref="AM313" r:id="rId1308" xr:uid="{00000000-0004-0000-0300-00001B050000}"/>
    <hyperlink ref="AO315" r:id="rId1309" xr:uid="{00000000-0004-0000-0300-00001C050000}"/>
    <hyperlink ref="AL316" r:id="rId1310" xr:uid="{00000000-0004-0000-0300-00001D050000}"/>
    <hyperlink ref="AM316" r:id="rId1311" xr:uid="{00000000-0004-0000-0300-00001E050000}"/>
    <hyperlink ref="AO316" r:id="rId1312" xr:uid="{00000000-0004-0000-0300-00001F050000}"/>
    <hyperlink ref="AS316" r:id="rId1313" xr:uid="{00000000-0004-0000-0300-000020050000}"/>
    <hyperlink ref="AT316" r:id="rId1314" xr:uid="{00000000-0004-0000-0300-000021050000}"/>
    <hyperlink ref="AM317" r:id="rId1315" xr:uid="{00000000-0004-0000-0300-000022050000}"/>
    <hyperlink ref="AM318" r:id="rId1316" xr:uid="{00000000-0004-0000-0300-000023050000}"/>
    <hyperlink ref="AO318" r:id="rId1317" xr:uid="{00000000-0004-0000-0300-000024050000}"/>
    <hyperlink ref="AS318" r:id="rId1318" xr:uid="{00000000-0004-0000-0300-000025050000}"/>
    <hyperlink ref="AT318" r:id="rId1319" xr:uid="{00000000-0004-0000-0300-000026050000}"/>
    <hyperlink ref="AM319" r:id="rId1320" xr:uid="{00000000-0004-0000-0300-000027050000}"/>
    <hyperlink ref="AS319" r:id="rId1321" xr:uid="{00000000-0004-0000-0300-000028050000}"/>
    <hyperlink ref="AL320" r:id="rId1322" xr:uid="{00000000-0004-0000-0300-000029050000}"/>
    <hyperlink ref="AM320" r:id="rId1323" xr:uid="{00000000-0004-0000-0300-00002A050000}"/>
    <hyperlink ref="AO320" r:id="rId1324" xr:uid="{00000000-0004-0000-0300-00002B050000}"/>
    <hyperlink ref="AS320" r:id="rId1325" xr:uid="{00000000-0004-0000-0300-00002C050000}"/>
    <hyperlink ref="AL321" r:id="rId1326" xr:uid="{00000000-0004-0000-0300-00002D050000}"/>
    <hyperlink ref="AM321" r:id="rId1327" xr:uid="{00000000-0004-0000-0300-00002E050000}"/>
    <hyperlink ref="AO321" r:id="rId1328" xr:uid="{00000000-0004-0000-0300-00002F050000}"/>
    <hyperlink ref="AS321" r:id="rId1329" xr:uid="{00000000-0004-0000-0300-000030050000}"/>
    <hyperlink ref="AT321" r:id="rId1330" xr:uid="{00000000-0004-0000-0300-000031050000}"/>
    <hyperlink ref="AM322" r:id="rId1331" xr:uid="{00000000-0004-0000-0300-000032050000}"/>
    <hyperlink ref="AT322" r:id="rId1332" xr:uid="{00000000-0004-0000-0300-000033050000}"/>
    <hyperlink ref="AL323" r:id="rId1333" xr:uid="{00000000-0004-0000-0300-000034050000}"/>
    <hyperlink ref="AM323" r:id="rId1334" xr:uid="{00000000-0004-0000-0300-000035050000}"/>
    <hyperlink ref="AN323" r:id="rId1335" xr:uid="{00000000-0004-0000-0300-000036050000}"/>
    <hyperlink ref="AO323" r:id="rId1336" xr:uid="{00000000-0004-0000-0300-000037050000}"/>
    <hyperlink ref="AR323" r:id="rId1337" xr:uid="{00000000-0004-0000-0300-000038050000}"/>
    <hyperlink ref="AS323" r:id="rId1338" xr:uid="{00000000-0004-0000-0300-000039050000}"/>
    <hyperlink ref="AT323" r:id="rId1339" xr:uid="{00000000-0004-0000-0300-00003A050000}"/>
    <hyperlink ref="AL324" r:id="rId1340" xr:uid="{00000000-0004-0000-0300-00003B050000}"/>
    <hyperlink ref="AM324" r:id="rId1341" xr:uid="{00000000-0004-0000-0300-00003C050000}"/>
    <hyperlink ref="AN324" r:id="rId1342" xr:uid="{00000000-0004-0000-0300-00003D050000}"/>
    <hyperlink ref="AR324" r:id="rId1343" xr:uid="{00000000-0004-0000-0300-00003E050000}"/>
    <hyperlink ref="AS324" r:id="rId1344" xr:uid="{00000000-0004-0000-0300-00003F050000}"/>
    <hyperlink ref="AT324" r:id="rId1345" xr:uid="{00000000-0004-0000-0300-000040050000}"/>
    <hyperlink ref="AM325" r:id="rId1346" xr:uid="{00000000-0004-0000-0300-000041050000}"/>
    <hyperlink ref="AN325" r:id="rId1347" xr:uid="{00000000-0004-0000-0300-000042050000}"/>
    <hyperlink ref="AN327" r:id="rId1348" xr:uid="{00000000-0004-0000-0300-000043050000}"/>
    <hyperlink ref="AR327" r:id="rId1349" xr:uid="{00000000-0004-0000-0300-000044050000}"/>
    <hyperlink ref="AS327" r:id="rId1350" xr:uid="{00000000-0004-0000-0300-000045050000}"/>
    <hyperlink ref="AT327" r:id="rId1351" xr:uid="{00000000-0004-0000-0300-000046050000}"/>
    <hyperlink ref="AL329" r:id="rId1352" xr:uid="{00000000-0004-0000-0300-000047050000}"/>
    <hyperlink ref="AM329" r:id="rId1353" xr:uid="{00000000-0004-0000-0300-000048050000}"/>
    <hyperlink ref="AN329" r:id="rId1354" xr:uid="{00000000-0004-0000-0300-000049050000}"/>
    <hyperlink ref="AO329" r:id="rId1355" xr:uid="{00000000-0004-0000-0300-00004A050000}"/>
    <hyperlink ref="AR329" r:id="rId1356" xr:uid="{00000000-0004-0000-0300-00004B050000}"/>
    <hyperlink ref="AS329" r:id="rId1357" xr:uid="{00000000-0004-0000-0300-00004C050000}"/>
    <hyperlink ref="AM330" r:id="rId1358" xr:uid="{00000000-0004-0000-0300-00004D050000}"/>
    <hyperlink ref="AT330" r:id="rId1359" xr:uid="{00000000-0004-0000-0300-00004E050000}"/>
    <hyperlink ref="AN331" r:id="rId1360" xr:uid="{00000000-0004-0000-0300-00004F050000}"/>
    <hyperlink ref="AR331" r:id="rId1361" xr:uid="{00000000-0004-0000-0300-000050050000}"/>
    <hyperlink ref="AS331" r:id="rId1362" xr:uid="{00000000-0004-0000-0300-000051050000}"/>
    <hyperlink ref="AT331" r:id="rId1363" xr:uid="{00000000-0004-0000-0300-000052050000}"/>
    <hyperlink ref="AM332" r:id="rId1364" xr:uid="{00000000-0004-0000-0300-000053050000}"/>
    <hyperlink ref="AL333" r:id="rId1365" xr:uid="{00000000-0004-0000-0300-000054050000}"/>
    <hyperlink ref="AM333" r:id="rId1366" xr:uid="{00000000-0004-0000-0300-000055050000}"/>
    <hyperlink ref="AN333" r:id="rId1367" xr:uid="{00000000-0004-0000-0300-000056050000}"/>
    <hyperlink ref="AO333" r:id="rId1368" xr:uid="{00000000-0004-0000-0300-000057050000}"/>
    <hyperlink ref="AR333" r:id="rId1369" xr:uid="{00000000-0004-0000-0300-000058050000}"/>
    <hyperlink ref="AS333" r:id="rId1370" xr:uid="{00000000-0004-0000-0300-000059050000}"/>
    <hyperlink ref="AT333" r:id="rId1371" xr:uid="{00000000-0004-0000-0300-00005A050000}"/>
    <hyperlink ref="AM334" r:id="rId1372" xr:uid="{00000000-0004-0000-0300-00005B050000}"/>
    <hyperlink ref="AN334" r:id="rId1373" xr:uid="{00000000-0004-0000-0300-00005C050000}"/>
    <hyperlink ref="AR334" r:id="rId1374" xr:uid="{00000000-0004-0000-0300-00005D050000}"/>
    <hyperlink ref="AS334" r:id="rId1375" xr:uid="{00000000-0004-0000-0300-00005E050000}"/>
    <hyperlink ref="AT334" r:id="rId1376" xr:uid="{00000000-0004-0000-0300-00005F050000}"/>
    <hyperlink ref="AL335" r:id="rId1377" xr:uid="{00000000-0004-0000-0300-000060050000}"/>
    <hyperlink ref="AM335" r:id="rId1378" xr:uid="{00000000-0004-0000-0300-000061050000}"/>
    <hyperlink ref="AN335" r:id="rId1379" xr:uid="{00000000-0004-0000-0300-000062050000}"/>
    <hyperlink ref="AO335" r:id="rId1380" xr:uid="{00000000-0004-0000-0300-000063050000}"/>
    <hyperlink ref="AR335" r:id="rId1381" xr:uid="{00000000-0004-0000-0300-000064050000}"/>
    <hyperlink ref="AS335" r:id="rId1382" xr:uid="{00000000-0004-0000-0300-000065050000}"/>
    <hyperlink ref="AL337" r:id="rId1383" xr:uid="{00000000-0004-0000-0300-000066050000}"/>
    <hyperlink ref="AT337" r:id="rId1384" xr:uid="{00000000-0004-0000-0300-000067050000}"/>
    <hyperlink ref="AL338" r:id="rId1385" xr:uid="{00000000-0004-0000-0300-000068050000}"/>
    <hyperlink ref="AM338" r:id="rId1386" xr:uid="{00000000-0004-0000-0300-000069050000}"/>
    <hyperlink ref="AN338" r:id="rId1387" xr:uid="{00000000-0004-0000-0300-00006A050000}"/>
    <hyperlink ref="AR338" r:id="rId1388" xr:uid="{00000000-0004-0000-0300-00006B050000}"/>
    <hyperlink ref="AS338" r:id="rId1389" xr:uid="{00000000-0004-0000-0300-00006C050000}"/>
    <hyperlink ref="AT338" r:id="rId1390" xr:uid="{00000000-0004-0000-0300-00006D050000}"/>
    <hyperlink ref="AM339" r:id="rId1391" xr:uid="{00000000-0004-0000-0300-00006E050000}"/>
    <hyperlink ref="AN339" r:id="rId1392" xr:uid="{00000000-0004-0000-0300-00006F050000}"/>
    <hyperlink ref="AR339" r:id="rId1393" xr:uid="{00000000-0004-0000-0300-000070050000}"/>
    <hyperlink ref="AS339" r:id="rId1394" xr:uid="{00000000-0004-0000-0300-000071050000}"/>
    <hyperlink ref="AS340" r:id="rId1395" xr:uid="{00000000-0004-0000-0300-000072050000}"/>
    <hyperlink ref="AL341" r:id="rId1396" xr:uid="{00000000-0004-0000-0300-000073050000}"/>
    <hyperlink ref="AM341" r:id="rId1397" xr:uid="{00000000-0004-0000-0300-000074050000}"/>
    <hyperlink ref="AN341" r:id="rId1398" xr:uid="{00000000-0004-0000-0300-000075050000}"/>
    <hyperlink ref="AO341" r:id="rId1399" xr:uid="{00000000-0004-0000-0300-000076050000}"/>
    <hyperlink ref="AR341" r:id="rId1400" xr:uid="{00000000-0004-0000-0300-000077050000}"/>
    <hyperlink ref="AS341" r:id="rId1401" xr:uid="{00000000-0004-0000-0300-000078050000}"/>
    <hyperlink ref="AT341" r:id="rId1402" xr:uid="{00000000-0004-0000-0300-000079050000}"/>
    <hyperlink ref="AM342" r:id="rId1403" xr:uid="{00000000-0004-0000-0300-00007A050000}"/>
    <hyperlink ref="AT342" r:id="rId1404" xr:uid="{00000000-0004-0000-0300-00007B050000}"/>
    <hyperlink ref="AL343" r:id="rId1405" xr:uid="{00000000-0004-0000-0300-00007C050000}"/>
    <hyperlink ref="AM343" r:id="rId1406" xr:uid="{00000000-0004-0000-0300-00007D050000}"/>
    <hyperlink ref="AR343" r:id="rId1407" xr:uid="{00000000-0004-0000-0300-00007E050000}"/>
    <hyperlink ref="AS343" r:id="rId1408" xr:uid="{00000000-0004-0000-0300-00007F050000}"/>
    <hyperlink ref="AT343" r:id="rId1409" xr:uid="{00000000-0004-0000-0300-000080050000}"/>
    <hyperlink ref="AL344" r:id="rId1410" xr:uid="{00000000-0004-0000-0300-000081050000}"/>
    <hyperlink ref="AM344" r:id="rId1411" xr:uid="{00000000-0004-0000-0300-000082050000}"/>
    <hyperlink ref="AO344" r:id="rId1412" xr:uid="{00000000-0004-0000-0300-000083050000}"/>
    <hyperlink ref="AT344" r:id="rId1413" xr:uid="{00000000-0004-0000-0300-000084050000}"/>
    <hyperlink ref="AM345" r:id="rId1414" xr:uid="{00000000-0004-0000-0300-000085050000}"/>
    <hyperlink ref="AN345" r:id="rId1415" xr:uid="{00000000-0004-0000-0300-000086050000}"/>
    <hyperlink ref="AO345" r:id="rId1416" xr:uid="{00000000-0004-0000-0300-000087050000}"/>
    <hyperlink ref="AM346" r:id="rId1417" xr:uid="{00000000-0004-0000-0300-000088050000}"/>
    <hyperlink ref="AN346" r:id="rId1418" xr:uid="{00000000-0004-0000-0300-000089050000}"/>
    <hyperlink ref="AO346" r:id="rId1419" xr:uid="{00000000-0004-0000-0300-00008A050000}"/>
    <hyperlink ref="AT346" r:id="rId1420" xr:uid="{00000000-0004-0000-0300-00008B050000}"/>
    <hyperlink ref="AL347" r:id="rId1421" xr:uid="{00000000-0004-0000-0300-00008C050000}"/>
    <hyperlink ref="AM347" r:id="rId1422" xr:uid="{00000000-0004-0000-0300-00008D050000}"/>
    <hyperlink ref="AN347" r:id="rId1423" xr:uid="{00000000-0004-0000-0300-00008E050000}"/>
    <hyperlink ref="AO347" r:id="rId1424" xr:uid="{00000000-0004-0000-0300-00008F050000}"/>
    <hyperlink ref="AR347" r:id="rId1425" xr:uid="{00000000-0004-0000-0300-000090050000}"/>
    <hyperlink ref="AS347" r:id="rId1426" xr:uid="{00000000-0004-0000-0300-000091050000}"/>
    <hyperlink ref="AT347" r:id="rId1427" xr:uid="{00000000-0004-0000-0300-000092050000}"/>
    <hyperlink ref="AL348" r:id="rId1428" xr:uid="{00000000-0004-0000-0300-000093050000}"/>
    <hyperlink ref="AM348" r:id="rId1429" xr:uid="{00000000-0004-0000-0300-000094050000}"/>
    <hyperlink ref="AN348" r:id="rId1430" xr:uid="{00000000-0004-0000-0300-000095050000}"/>
    <hyperlink ref="AL349" r:id="rId1431" xr:uid="{00000000-0004-0000-0300-000096050000}"/>
    <hyperlink ref="AM349" r:id="rId1432" xr:uid="{00000000-0004-0000-0300-000097050000}"/>
    <hyperlink ref="AN349" r:id="rId1433" xr:uid="{00000000-0004-0000-0300-000098050000}"/>
    <hyperlink ref="AR349" r:id="rId1434" xr:uid="{00000000-0004-0000-0300-000099050000}"/>
    <hyperlink ref="AS349" r:id="rId1435" xr:uid="{00000000-0004-0000-0300-00009A050000}"/>
    <hyperlink ref="AL350" r:id="rId1436" xr:uid="{00000000-0004-0000-0300-00009B050000}"/>
    <hyperlink ref="AM350" r:id="rId1437" xr:uid="{00000000-0004-0000-0300-00009C050000}"/>
    <hyperlink ref="AM352" r:id="rId1438" xr:uid="{00000000-0004-0000-0300-00009D050000}"/>
    <hyperlink ref="AL353" r:id="rId1439" xr:uid="{00000000-0004-0000-0300-00009E050000}"/>
    <hyperlink ref="AM353" r:id="rId1440" xr:uid="{00000000-0004-0000-0300-00009F050000}"/>
    <hyperlink ref="AN353" r:id="rId1441" xr:uid="{00000000-0004-0000-0300-0000A0050000}"/>
    <hyperlink ref="AR353" r:id="rId1442" xr:uid="{00000000-0004-0000-0300-0000A1050000}"/>
    <hyperlink ref="AS353" r:id="rId1443" xr:uid="{00000000-0004-0000-0300-0000A2050000}"/>
    <hyperlink ref="AM354" r:id="rId1444" xr:uid="{00000000-0004-0000-0300-0000A3050000}"/>
    <hyperlink ref="AM355" r:id="rId1445" xr:uid="{00000000-0004-0000-0300-0000A4050000}"/>
    <hyperlink ref="AL356" r:id="rId1446" xr:uid="{00000000-0004-0000-0300-0000A5050000}"/>
    <hyperlink ref="AM356" r:id="rId1447" xr:uid="{00000000-0004-0000-0300-0000A6050000}"/>
    <hyperlink ref="AN356" r:id="rId1448" xr:uid="{00000000-0004-0000-0300-0000A7050000}"/>
    <hyperlink ref="AT356" r:id="rId1449" xr:uid="{00000000-0004-0000-0300-0000A8050000}"/>
    <hyperlink ref="AL357" r:id="rId1450" xr:uid="{00000000-0004-0000-0300-0000A9050000}"/>
    <hyperlink ref="AM357" r:id="rId1451" xr:uid="{00000000-0004-0000-0300-0000AA050000}"/>
    <hyperlink ref="AN357" r:id="rId1452" xr:uid="{00000000-0004-0000-0300-0000AB050000}"/>
    <hyperlink ref="AO357" r:id="rId1453" xr:uid="{00000000-0004-0000-0300-0000AC050000}"/>
    <hyperlink ref="AR357" r:id="rId1454" xr:uid="{00000000-0004-0000-0300-0000AD050000}"/>
    <hyperlink ref="AS357" r:id="rId1455" xr:uid="{00000000-0004-0000-0300-0000AE050000}"/>
    <hyperlink ref="AT357" r:id="rId1456" xr:uid="{00000000-0004-0000-0300-0000AF050000}"/>
    <hyperlink ref="AL358" r:id="rId1457" xr:uid="{00000000-0004-0000-0300-0000B0050000}"/>
    <hyperlink ref="AM358" r:id="rId1458" xr:uid="{00000000-0004-0000-0300-0000B1050000}"/>
    <hyperlink ref="AR358" r:id="rId1459" xr:uid="{00000000-0004-0000-0300-0000B2050000}"/>
    <hyperlink ref="AS358" r:id="rId1460" xr:uid="{00000000-0004-0000-0300-0000B3050000}"/>
    <hyperlink ref="AM359" r:id="rId1461" xr:uid="{00000000-0004-0000-0300-0000B4050000}"/>
    <hyperlink ref="AL360" r:id="rId1462" xr:uid="{00000000-0004-0000-0300-0000B5050000}"/>
    <hyperlink ref="AM360" r:id="rId1463" xr:uid="{00000000-0004-0000-0300-0000B6050000}"/>
    <hyperlink ref="AN360" r:id="rId1464" xr:uid="{00000000-0004-0000-0300-0000B7050000}"/>
    <hyperlink ref="AO360" r:id="rId1465" xr:uid="{00000000-0004-0000-0300-0000B8050000}"/>
    <hyperlink ref="AR360" r:id="rId1466" xr:uid="{00000000-0004-0000-0300-0000B9050000}"/>
    <hyperlink ref="AS360" r:id="rId1467" xr:uid="{00000000-0004-0000-0300-0000BA050000}"/>
    <hyperlink ref="AT360" r:id="rId1468" xr:uid="{00000000-0004-0000-0300-0000BB050000}"/>
    <hyperlink ref="AL361" r:id="rId1469" xr:uid="{00000000-0004-0000-0300-0000BC050000}"/>
    <hyperlink ref="AM361" r:id="rId1470" xr:uid="{00000000-0004-0000-0300-0000BD050000}"/>
    <hyperlink ref="AN361" r:id="rId1471" xr:uid="{00000000-0004-0000-0300-0000BE050000}"/>
    <hyperlink ref="AR361" r:id="rId1472" xr:uid="{00000000-0004-0000-0300-0000BF050000}"/>
    <hyperlink ref="AS361" r:id="rId1473" xr:uid="{00000000-0004-0000-0300-0000C0050000}"/>
    <hyperlink ref="AT361" r:id="rId1474" xr:uid="{00000000-0004-0000-0300-0000C1050000}"/>
    <hyperlink ref="AN362" r:id="rId1475" xr:uid="{00000000-0004-0000-0300-0000C2050000}"/>
    <hyperlink ref="AR362" r:id="rId1476" xr:uid="{00000000-0004-0000-0300-0000C3050000}"/>
    <hyperlink ref="AS362" r:id="rId1477" xr:uid="{00000000-0004-0000-0300-0000C4050000}"/>
    <hyperlink ref="AT362" r:id="rId1478" xr:uid="{00000000-0004-0000-0300-0000C5050000}"/>
    <hyperlink ref="AM363" r:id="rId1479" xr:uid="{00000000-0004-0000-0300-0000C6050000}"/>
    <hyperlink ref="AN363" r:id="rId1480" xr:uid="{00000000-0004-0000-0300-0000C7050000}"/>
    <hyperlink ref="AT363" r:id="rId1481" xr:uid="{00000000-0004-0000-0300-0000C8050000}"/>
    <hyperlink ref="AL364" r:id="rId1482" xr:uid="{00000000-0004-0000-0300-0000C9050000}"/>
    <hyperlink ref="AM364" r:id="rId1483" xr:uid="{00000000-0004-0000-0300-0000CA050000}"/>
    <hyperlink ref="AN364" r:id="rId1484" xr:uid="{00000000-0004-0000-0300-0000CB050000}"/>
    <hyperlink ref="AO364" r:id="rId1485" xr:uid="{00000000-0004-0000-0300-0000CC050000}"/>
    <hyperlink ref="AR364" r:id="rId1486" xr:uid="{00000000-0004-0000-0300-0000CD050000}"/>
    <hyperlink ref="AS364" r:id="rId1487" xr:uid="{00000000-0004-0000-0300-0000CE050000}"/>
    <hyperlink ref="AL365" r:id="rId1488" xr:uid="{00000000-0004-0000-0300-0000CF050000}"/>
    <hyperlink ref="AM365" r:id="rId1489" xr:uid="{00000000-0004-0000-0300-0000D0050000}"/>
    <hyperlink ref="AR365" r:id="rId1490" xr:uid="{00000000-0004-0000-0300-0000D1050000}"/>
    <hyperlink ref="AS365" r:id="rId1491" xr:uid="{00000000-0004-0000-0300-0000D2050000}"/>
    <hyperlink ref="AL366" r:id="rId1492" xr:uid="{00000000-0004-0000-0300-0000D3050000}"/>
    <hyperlink ref="AM366" r:id="rId1493" xr:uid="{00000000-0004-0000-0300-0000D4050000}"/>
    <hyperlink ref="AR366" r:id="rId1494" xr:uid="{00000000-0004-0000-0300-0000D5050000}"/>
    <hyperlink ref="AS366" r:id="rId1495" xr:uid="{00000000-0004-0000-0300-0000D6050000}"/>
    <hyperlink ref="AM367" r:id="rId1496" xr:uid="{00000000-0004-0000-0300-0000D7050000}"/>
    <hyperlink ref="AN367" r:id="rId1497" xr:uid="{00000000-0004-0000-0300-0000D8050000}"/>
    <hyperlink ref="AR367" r:id="rId1498" xr:uid="{00000000-0004-0000-0300-0000D9050000}"/>
    <hyperlink ref="AS367" r:id="rId1499" xr:uid="{00000000-0004-0000-0300-0000DA050000}"/>
    <hyperlink ref="AM368" r:id="rId1500" xr:uid="{00000000-0004-0000-0300-0000DB050000}"/>
    <hyperlink ref="AN368" r:id="rId1501" xr:uid="{00000000-0004-0000-0300-0000DC050000}"/>
    <hyperlink ref="AT368" r:id="rId1502" xr:uid="{00000000-0004-0000-0300-0000DD050000}"/>
    <hyperlink ref="AL369" r:id="rId1503" xr:uid="{00000000-0004-0000-0300-0000DE050000}"/>
    <hyperlink ref="AM369" r:id="rId1504" xr:uid="{00000000-0004-0000-0300-0000DF050000}"/>
    <hyperlink ref="AR369" r:id="rId1505" xr:uid="{00000000-0004-0000-0300-0000E0050000}"/>
    <hyperlink ref="AS369" r:id="rId1506" xr:uid="{00000000-0004-0000-0300-0000E1050000}"/>
    <hyperlink ref="AT369" r:id="rId1507" xr:uid="{00000000-0004-0000-0300-0000E2050000}"/>
    <hyperlink ref="AL370" r:id="rId1508" xr:uid="{00000000-0004-0000-0300-0000E3050000}"/>
    <hyperlink ref="AM370" r:id="rId1509" xr:uid="{00000000-0004-0000-0300-0000E4050000}"/>
    <hyperlink ref="AR370" r:id="rId1510" xr:uid="{00000000-0004-0000-0300-0000E5050000}"/>
    <hyperlink ref="AS370" r:id="rId1511" xr:uid="{00000000-0004-0000-0300-0000E6050000}"/>
    <hyperlink ref="AN371" r:id="rId1512" xr:uid="{00000000-0004-0000-0300-0000E7050000}"/>
    <hyperlink ref="AR371" r:id="rId1513" xr:uid="{00000000-0004-0000-0300-0000E8050000}"/>
    <hyperlink ref="AS371" r:id="rId1514" xr:uid="{00000000-0004-0000-0300-0000E9050000}"/>
    <hyperlink ref="AT371" r:id="rId1515" xr:uid="{00000000-0004-0000-0300-0000EA050000}"/>
    <hyperlink ref="AM372" r:id="rId1516" xr:uid="{00000000-0004-0000-0300-0000EB050000}"/>
    <hyperlink ref="AN372" r:id="rId1517" xr:uid="{00000000-0004-0000-0300-0000EC050000}"/>
    <hyperlink ref="AL373" r:id="rId1518" xr:uid="{00000000-0004-0000-0300-0000ED050000}"/>
    <hyperlink ref="AM373" r:id="rId1519" xr:uid="{00000000-0004-0000-0300-0000EE050000}"/>
    <hyperlink ref="AN373" r:id="rId1520" xr:uid="{00000000-0004-0000-0300-0000EF050000}"/>
    <hyperlink ref="AO373" r:id="rId1521" xr:uid="{00000000-0004-0000-0300-0000F0050000}"/>
    <hyperlink ref="AR373" r:id="rId1522" xr:uid="{00000000-0004-0000-0300-0000F1050000}"/>
    <hyperlink ref="AS373" r:id="rId1523" xr:uid="{00000000-0004-0000-0300-0000F2050000}"/>
    <hyperlink ref="AT373" r:id="rId1524" xr:uid="{00000000-0004-0000-0300-0000F3050000}"/>
    <hyperlink ref="AL374" r:id="rId1525" xr:uid="{00000000-0004-0000-0300-0000F4050000}"/>
    <hyperlink ref="AM374" r:id="rId1526" xr:uid="{00000000-0004-0000-0300-0000F5050000}"/>
    <hyperlink ref="AN374" r:id="rId1527" xr:uid="{00000000-0004-0000-0300-0000F6050000}"/>
    <hyperlink ref="AR374" r:id="rId1528" xr:uid="{00000000-0004-0000-0300-0000F7050000}"/>
    <hyperlink ref="AS374" r:id="rId1529" xr:uid="{00000000-0004-0000-0300-0000F8050000}"/>
    <hyperlink ref="AT374" r:id="rId1530" xr:uid="{00000000-0004-0000-0300-0000F9050000}"/>
    <hyperlink ref="AL375" r:id="rId1531" xr:uid="{00000000-0004-0000-0300-0000FA050000}"/>
    <hyperlink ref="AM375" r:id="rId1532" xr:uid="{00000000-0004-0000-0300-0000FB050000}"/>
    <hyperlink ref="AR375" r:id="rId1533" xr:uid="{00000000-0004-0000-0300-0000FC050000}"/>
    <hyperlink ref="AS375" r:id="rId1534" xr:uid="{00000000-0004-0000-0300-0000FD050000}"/>
    <hyperlink ref="AT375" r:id="rId1535" xr:uid="{00000000-0004-0000-0300-0000FE050000}"/>
    <hyperlink ref="AM376" r:id="rId1536" xr:uid="{00000000-0004-0000-0300-0000FF050000}"/>
    <hyperlink ref="AN376" r:id="rId1537" xr:uid="{00000000-0004-0000-0300-000000060000}"/>
    <hyperlink ref="AL377" r:id="rId1538" xr:uid="{00000000-0004-0000-0300-000001060000}"/>
    <hyperlink ref="AM377" r:id="rId1539" xr:uid="{00000000-0004-0000-0300-000002060000}"/>
    <hyperlink ref="AO377" r:id="rId1540" xr:uid="{00000000-0004-0000-0300-000003060000}"/>
    <hyperlink ref="AT377" r:id="rId1541" xr:uid="{00000000-0004-0000-0300-000004060000}"/>
    <hyperlink ref="AL378" r:id="rId1542" xr:uid="{00000000-0004-0000-0300-000005060000}"/>
    <hyperlink ref="AM378" r:id="rId1543" xr:uid="{00000000-0004-0000-0300-000006060000}"/>
    <hyperlink ref="AN378" r:id="rId1544" xr:uid="{00000000-0004-0000-0300-000007060000}"/>
    <hyperlink ref="AR378" r:id="rId1545" xr:uid="{00000000-0004-0000-0300-000008060000}"/>
    <hyperlink ref="AS378" r:id="rId1546" xr:uid="{00000000-0004-0000-0300-000009060000}"/>
    <hyperlink ref="AT378" r:id="rId1547" xr:uid="{00000000-0004-0000-0300-00000A060000}"/>
    <hyperlink ref="AL380" r:id="rId1548" xr:uid="{00000000-0004-0000-0300-00000B060000}"/>
    <hyperlink ref="AM380" r:id="rId1549" xr:uid="{00000000-0004-0000-0300-00000C060000}"/>
    <hyperlink ref="AN380" r:id="rId1550" xr:uid="{00000000-0004-0000-0300-00000D060000}"/>
    <hyperlink ref="AR380" r:id="rId1551" xr:uid="{00000000-0004-0000-0300-00000E060000}"/>
    <hyperlink ref="AS380" r:id="rId1552" xr:uid="{00000000-0004-0000-0300-00000F060000}"/>
    <hyperlink ref="AT380" r:id="rId1553" xr:uid="{00000000-0004-0000-0300-000010060000}"/>
    <hyperlink ref="AN381" r:id="rId1554" xr:uid="{00000000-0004-0000-0300-000011060000}"/>
    <hyperlink ref="AS381" r:id="rId1555" xr:uid="{00000000-0004-0000-0300-000012060000}"/>
    <hyperlink ref="AT381" r:id="rId1556" xr:uid="{00000000-0004-0000-0300-000013060000}"/>
    <hyperlink ref="AM382" r:id="rId1557" xr:uid="{00000000-0004-0000-0300-000014060000}"/>
    <hyperlink ref="AN382" r:id="rId1558" xr:uid="{00000000-0004-0000-0300-000015060000}"/>
    <hyperlink ref="AT382" r:id="rId1559" xr:uid="{00000000-0004-0000-0300-000016060000}"/>
    <hyperlink ref="AL383" r:id="rId1560" xr:uid="{00000000-0004-0000-0300-000017060000}"/>
    <hyperlink ref="AN383" r:id="rId1561" xr:uid="{00000000-0004-0000-0300-000018060000}"/>
    <hyperlink ref="AR383" r:id="rId1562" xr:uid="{00000000-0004-0000-0300-000019060000}"/>
    <hyperlink ref="AS383" r:id="rId1563" xr:uid="{00000000-0004-0000-0300-00001A060000}"/>
    <hyperlink ref="AL384" r:id="rId1564" xr:uid="{00000000-0004-0000-0300-00001B060000}"/>
    <hyperlink ref="AM384" r:id="rId1565" xr:uid="{00000000-0004-0000-0300-00001C060000}"/>
    <hyperlink ref="AN384" r:id="rId1566" xr:uid="{00000000-0004-0000-0300-00001D060000}"/>
    <hyperlink ref="AO384" r:id="rId1567" xr:uid="{00000000-0004-0000-0300-00001E060000}"/>
    <hyperlink ref="AM385" r:id="rId1568" xr:uid="{00000000-0004-0000-0300-00001F060000}"/>
    <hyperlink ref="AN385" r:id="rId1569" xr:uid="{00000000-0004-0000-0300-000020060000}"/>
    <hyperlink ref="AR385" r:id="rId1570" xr:uid="{00000000-0004-0000-0300-000021060000}"/>
    <hyperlink ref="AS385" r:id="rId1571" xr:uid="{00000000-0004-0000-0300-000022060000}"/>
    <hyperlink ref="AT385" r:id="rId1572" xr:uid="{00000000-0004-0000-0300-000023060000}"/>
    <hyperlink ref="AL386" r:id="rId1573" xr:uid="{00000000-0004-0000-0300-000024060000}"/>
    <hyperlink ref="AM386" r:id="rId1574" xr:uid="{00000000-0004-0000-0300-000025060000}"/>
    <hyperlink ref="AR386" r:id="rId1575" xr:uid="{00000000-0004-0000-0300-000026060000}"/>
    <hyperlink ref="AS386" r:id="rId1576" xr:uid="{00000000-0004-0000-0300-000027060000}"/>
    <hyperlink ref="AT386" r:id="rId1577" xr:uid="{00000000-0004-0000-0300-000028060000}"/>
    <hyperlink ref="AL388" r:id="rId1578" xr:uid="{00000000-0004-0000-0300-000029060000}"/>
    <hyperlink ref="AM388" r:id="rId1579" xr:uid="{00000000-0004-0000-0300-00002A060000}"/>
    <hyperlink ref="AN388" r:id="rId1580" xr:uid="{00000000-0004-0000-0300-00002B060000}"/>
    <hyperlink ref="AR388" r:id="rId1581" xr:uid="{00000000-0004-0000-0300-00002C060000}"/>
    <hyperlink ref="AS388" r:id="rId1582" xr:uid="{00000000-0004-0000-0300-00002D060000}"/>
    <hyperlink ref="AT388" r:id="rId1583" xr:uid="{00000000-0004-0000-0300-00002E060000}"/>
    <hyperlink ref="AM389" r:id="rId1584" xr:uid="{00000000-0004-0000-0300-00002F060000}"/>
    <hyperlink ref="AN389" r:id="rId1585" xr:uid="{00000000-0004-0000-0300-000030060000}"/>
    <hyperlink ref="AO389" r:id="rId1586" xr:uid="{00000000-0004-0000-0300-000031060000}"/>
    <hyperlink ref="AR389" r:id="rId1587" xr:uid="{00000000-0004-0000-0300-000032060000}"/>
    <hyperlink ref="AS389" r:id="rId1588" xr:uid="{00000000-0004-0000-0300-000033060000}"/>
    <hyperlink ref="AM390" r:id="rId1589" xr:uid="{00000000-0004-0000-0300-000034060000}"/>
    <hyperlink ref="AL392" r:id="rId1590" xr:uid="{00000000-0004-0000-0300-000035060000}"/>
    <hyperlink ref="AM392" r:id="rId1591" xr:uid="{00000000-0004-0000-0300-000036060000}"/>
    <hyperlink ref="AN392" r:id="rId1592" xr:uid="{00000000-0004-0000-0300-000037060000}"/>
    <hyperlink ref="AO392" r:id="rId1593" xr:uid="{00000000-0004-0000-0300-000038060000}"/>
    <hyperlink ref="AR392" r:id="rId1594" xr:uid="{00000000-0004-0000-0300-000039060000}"/>
    <hyperlink ref="AS392" r:id="rId1595" xr:uid="{00000000-0004-0000-0300-00003A060000}"/>
    <hyperlink ref="AT392" r:id="rId1596" xr:uid="{00000000-0004-0000-0300-00003B060000}"/>
    <hyperlink ref="AL393" r:id="rId1597" xr:uid="{00000000-0004-0000-0300-00003C060000}"/>
    <hyperlink ref="AM393" r:id="rId1598" xr:uid="{00000000-0004-0000-0300-00003D060000}"/>
    <hyperlink ref="AN393" r:id="rId1599" xr:uid="{00000000-0004-0000-0300-00003E060000}"/>
    <hyperlink ref="AO393" r:id="rId1600" xr:uid="{00000000-0004-0000-0300-00003F060000}"/>
    <hyperlink ref="AR393" r:id="rId1601" xr:uid="{00000000-0004-0000-0300-000040060000}"/>
    <hyperlink ref="AS393" r:id="rId1602" xr:uid="{00000000-0004-0000-0300-000041060000}"/>
    <hyperlink ref="AT393" r:id="rId1603" xr:uid="{00000000-0004-0000-0300-000042060000}"/>
    <hyperlink ref="AL394" r:id="rId1604" xr:uid="{00000000-0004-0000-0300-000043060000}"/>
    <hyperlink ref="AM394" r:id="rId1605" xr:uid="{00000000-0004-0000-0300-000044060000}"/>
    <hyperlink ref="AN394" r:id="rId1606" xr:uid="{00000000-0004-0000-0300-000045060000}"/>
    <hyperlink ref="AR394" r:id="rId1607" xr:uid="{00000000-0004-0000-0300-000046060000}"/>
    <hyperlink ref="AS394" r:id="rId1608" xr:uid="{00000000-0004-0000-0300-000047060000}"/>
    <hyperlink ref="AT394" r:id="rId1609" xr:uid="{00000000-0004-0000-0300-000048060000}"/>
    <hyperlink ref="AM395" r:id="rId1610" xr:uid="{00000000-0004-0000-0300-000049060000}"/>
    <hyperlink ref="AN395" r:id="rId1611" xr:uid="{00000000-0004-0000-0300-00004A060000}"/>
    <hyperlink ref="AL396" r:id="rId1612" xr:uid="{00000000-0004-0000-0300-00004B060000}"/>
    <hyperlink ref="AM396" r:id="rId1613" xr:uid="{00000000-0004-0000-0300-00004C060000}"/>
    <hyperlink ref="AN396" r:id="rId1614" xr:uid="{00000000-0004-0000-0300-00004D060000}"/>
    <hyperlink ref="AL397" r:id="rId1615" xr:uid="{00000000-0004-0000-0300-00004E060000}"/>
    <hyperlink ref="AM397" r:id="rId1616" xr:uid="{00000000-0004-0000-0300-00004F060000}"/>
    <hyperlink ref="AO397" r:id="rId1617" xr:uid="{00000000-0004-0000-0300-000050060000}"/>
    <hyperlink ref="AL399" r:id="rId1618" xr:uid="{00000000-0004-0000-0300-000051060000}"/>
    <hyperlink ref="AM399" r:id="rId1619" xr:uid="{00000000-0004-0000-0300-000052060000}"/>
    <hyperlink ref="AN399" r:id="rId1620" xr:uid="{00000000-0004-0000-0300-000053060000}"/>
    <hyperlink ref="AO399" r:id="rId1621" xr:uid="{00000000-0004-0000-0300-000054060000}"/>
    <hyperlink ref="AR399" r:id="rId1622" xr:uid="{00000000-0004-0000-0300-000055060000}"/>
    <hyperlink ref="AS399" r:id="rId1623" xr:uid="{00000000-0004-0000-0300-000056060000}"/>
    <hyperlink ref="AL400" r:id="rId1624" xr:uid="{00000000-0004-0000-0300-000057060000}"/>
    <hyperlink ref="AM400" r:id="rId1625" xr:uid="{00000000-0004-0000-0300-000058060000}"/>
    <hyperlink ref="AN400" r:id="rId1626" xr:uid="{00000000-0004-0000-0300-000059060000}"/>
    <hyperlink ref="AO400" r:id="rId1627" xr:uid="{00000000-0004-0000-0300-00005A060000}"/>
    <hyperlink ref="AT400" r:id="rId1628" xr:uid="{00000000-0004-0000-0300-00005B060000}"/>
    <hyperlink ref="AL401" r:id="rId1629" xr:uid="{00000000-0004-0000-0300-00005C060000}"/>
    <hyperlink ref="AM401" r:id="rId1630" xr:uid="{00000000-0004-0000-0300-00005D060000}"/>
    <hyperlink ref="AN401" r:id="rId1631" xr:uid="{00000000-0004-0000-0300-00005E060000}"/>
    <hyperlink ref="AO401" r:id="rId1632" xr:uid="{00000000-0004-0000-0300-00005F060000}"/>
    <hyperlink ref="AR401" r:id="rId1633" xr:uid="{00000000-0004-0000-0300-000060060000}"/>
    <hyperlink ref="AS401" r:id="rId1634" xr:uid="{00000000-0004-0000-0300-000061060000}"/>
    <hyperlink ref="AT401" r:id="rId1635" xr:uid="{00000000-0004-0000-0300-000062060000}"/>
    <hyperlink ref="AM402" r:id="rId1636" xr:uid="{00000000-0004-0000-0300-000063060000}"/>
    <hyperlink ref="AN402" r:id="rId1637" xr:uid="{00000000-0004-0000-0300-000064060000}"/>
    <hyperlink ref="AL404" r:id="rId1638" xr:uid="{00000000-0004-0000-0300-000065060000}"/>
    <hyperlink ref="AN404" r:id="rId1639" xr:uid="{00000000-0004-0000-0300-000066060000}"/>
    <hyperlink ref="AS404" r:id="rId1640" xr:uid="{00000000-0004-0000-0300-000067060000}"/>
    <hyperlink ref="AT404" r:id="rId1641" xr:uid="{00000000-0004-0000-0300-000068060000}"/>
    <hyperlink ref="AL405" r:id="rId1642" xr:uid="{00000000-0004-0000-0300-000069060000}"/>
    <hyperlink ref="AN405" r:id="rId1643" xr:uid="{00000000-0004-0000-0300-00006A060000}"/>
    <hyperlink ref="AR405" r:id="rId1644" xr:uid="{00000000-0004-0000-0300-00006B060000}"/>
    <hyperlink ref="AS405" r:id="rId1645" xr:uid="{00000000-0004-0000-0300-00006C060000}"/>
    <hyperlink ref="AL406" r:id="rId1646" xr:uid="{00000000-0004-0000-0300-00006D060000}"/>
    <hyperlink ref="AM406" r:id="rId1647" xr:uid="{00000000-0004-0000-0300-00006E060000}"/>
    <hyperlink ref="AN406" r:id="rId1648" xr:uid="{00000000-0004-0000-0300-00006F060000}"/>
    <hyperlink ref="AO406" r:id="rId1649" xr:uid="{00000000-0004-0000-0300-000070060000}"/>
    <hyperlink ref="AR406" r:id="rId1650" xr:uid="{00000000-0004-0000-0300-000071060000}"/>
    <hyperlink ref="AS406" r:id="rId1651" xr:uid="{00000000-0004-0000-0300-000072060000}"/>
    <hyperlink ref="AT406" r:id="rId1652" xr:uid="{00000000-0004-0000-0300-000073060000}"/>
    <hyperlink ref="AM407" r:id="rId1653" xr:uid="{00000000-0004-0000-0300-000074060000}"/>
    <hyperlink ref="AN407" r:id="rId1654" xr:uid="{00000000-0004-0000-0300-000075060000}"/>
    <hyperlink ref="AO407" r:id="rId1655" xr:uid="{00000000-0004-0000-0300-000076060000}"/>
    <hyperlink ref="AM408" r:id="rId1656" xr:uid="{00000000-0004-0000-0300-000077060000}"/>
    <hyperlink ref="AN408" r:id="rId1657" xr:uid="{00000000-0004-0000-0300-000078060000}"/>
    <hyperlink ref="AO408" r:id="rId1658" xr:uid="{00000000-0004-0000-0300-000079060000}"/>
    <hyperlink ref="AR408" r:id="rId1659" xr:uid="{00000000-0004-0000-0300-00007A060000}"/>
    <hyperlink ref="AS408" r:id="rId1660" xr:uid="{00000000-0004-0000-0300-00007B060000}"/>
    <hyperlink ref="AT408" r:id="rId1661" xr:uid="{00000000-0004-0000-0300-00007C060000}"/>
    <hyperlink ref="AL409" r:id="rId1662" xr:uid="{00000000-0004-0000-0300-00007D060000}"/>
    <hyperlink ref="AM409" r:id="rId1663" xr:uid="{00000000-0004-0000-0300-00007E060000}"/>
    <hyperlink ref="AN409" r:id="rId1664" xr:uid="{00000000-0004-0000-0300-00007F060000}"/>
    <hyperlink ref="AO409" r:id="rId1665" xr:uid="{00000000-0004-0000-0300-000080060000}"/>
    <hyperlink ref="AS409" r:id="rId1666" xr:uid="{00000000-0004-0000-0300-000081060000}"/>
    <hyperlink ref="AL410" r:id="rId1667" xr:uid="{00000000-0004-0000-0300-000082060000}"/>
    <hyperlink ref="AM410" r:id="rId1668" xr:uid="{00000000-0004-0000-0300-000083060000}"/>
    <hyperlink ref="AN410" r:id="rId1669" xr:uid="{00000000-0004-0000-0300-000084060000}"/>
    <hyperlink ref="AR410" r:id="rId1670" xr:uid="{00000000-0004-0000-0300-000085060000}"/>
    <hyperlink ref="AS410" r:id="rId1671" xr:uid="{00000000-0004-0000-0300-000086060000}"/>
    <hyperlink ref="AL411" r:id="rId1672" xr:uid="{00000000-0004-0000-0300-000087060000}"/>
    <hyperlink ref="AM411" r:id="rId1673" xr:uid="{00000000-0004-0000-0300-000088060000}"/>
    <hyperlink ref="AN411" r:id="rId1674" xr:uid="{00000000-0004-0000-0300-000089060000}"/>
    <hyperlink ref="AR411" r:id="rId1675" xr:uid="{00000000-0004-0000-0300-00008A060000}"/>
    <hyperlink ref="AT411" r:id="rId1676" xr:uid="{00000000-0004-0000-0300-00008B060000}"/>
    <hyperlink ref="AL412" r:id="rId1677" xr:uid="{00000000-0004-0000-0300-00008C060000}"/>
    <hyperlink ref="AM412" r:id="rId1678" xr:uid="{00000000-0004-0000-0300-00008D060000}"/>
    <hyperlink ref="AN412" r:id="rId1679" xr:uid="{00000000-0004-0000-0300-00008E060000}"/>
    <hyperlink ref="AO412" r:id="rId1680" xr:uid="{00000000-0004-0000-0300-00008F060000}"/>
    <hyperlink ref="AR412" r:id="rId1681" xr:uid="{00000000-0004-0000-0300-000090060000}"/>
    <hyperlink ref="AS412" r:id="rId1682" xr:uid="{00000000-0004-0000-0300-000091060000}"/>
    <hyperlink ref="AT412" r:id="rId1683" xr:uid="{00000000-0004-0000-0300-000092060000}"/>
    <hyperlink ref="AL413" r:id="rId1684" xr:uid="{00000000-0004-0000-0300-000093060000}"/>
    <hyperlink ref="AM413" r:id="rId1685" xr:uid="{00000000-0004-0000-0300-000094060000}"/>
    <hyperlink ref="AN413" r:id="rId1686" xr:uid="{00000000-0004-0000-0300-000095060000}"/>
    <hyperlink ref="AO413" r:id="rId1687" xr:uid="{00000000-0004-0000-0300-000096060000}"/>
    <hyperlink ref="AR413" r:id="rId1688" xr:uid="{00000000-0004-0000-0300-000097060000}"/>
    <hyperlink ref="AS413" r:id="rId1689" xr:uid="{00000000-0004-0000-0300-000098060000}"/>
    <hyperlink ref="AL414" r:id="rId1690" xr:uid="{00000000-0004-0000-0300-000099060000}"/>
    <hyperlink ref="AM414" r:id="rId1691" xr:uid="{00000000-0004-0000-0300-00009A060000}"/>
    <hyperlink ref="AN414" r:id="rId1692" xr:uid="{00000000-0004-0000-0300-00009B060000}"/>
    <hyperlink ref="AO414" r:id="rId1693" xr:uid="{00000000-0004-0000-0300-00009C060000}"/>
    <hyperlink ref="AR414" r:id="rId1694" xr:uid="{00000000-0004-0000-0300-00009D060000}"/>
    <hyperlink ref="AS414" r:id="rId1695" xr:uid="{00000000-0004-0000-0300-00009E060000}"/>
    <hyperlink ref="AT414" r:id="rId1696" xr:uid="{00000000-0004-0000-0300-00009F060000}"/>
    <hyperlink ref="AR415" r:id="rId1697" xr:uid="{00000000-0004-0000-0300-0000A0060000}"/>
    <hyperlink ref="AS415" r:id="rId1698" xr:uid="{00000000-0004-0000-0300-0000A1060000}"/>
    <hyperlink ref="AL416" r:id="rId1699" xr:uid="{00000000-0004-0000-0300-0000A2060000}"/>
    <hyperlink ref="AM416" r:id="rId1700" xr:uid="{00000000-0004-0000-0300-0000A3060000}"/>
    <hyperlink ref="AN416" r:id="rId1701" xr:uid="{00000000-0004-0000-0300-0000A4060000}"/>
    <hyperlink ref="AR416" r:id="rId1702" xr:uid="{00000000-0004-0000-0300-0000A5060000}"/>
    <hyperlink ref="AS416" r:id="rId1703" xr:uid="{00000000-0004-0000-0300-0000A6060000}"/>
    <hyperlink ref="AT416" r:id="rId1704" xr:uid="{00000000-0004-0000-0300-0000A7060000}"/>
    <hyperlink ref="AM417" r:id="rId1705" xr:uid="{00000000-0004-0000-0300-0000A8060000}"/>
    <hyperlink ref="AN417" r:id="rId1706" xr:uid="{00000000-0004-0000-0300-0000A9060000}"/>
    <hyperlink ref="AR417" r:id="rId1707" xr:uid="{00000000-0004-0000-0300-0000AA060000}"/>
    <hyperlink ref="AS417" r:id="rId1708" xr:uid="{00000000-0004-0000-0300-0000AB060000}"/>
    <hyperlink ref="AT417" r:id="rId1709" xr:uid="{00000000-0004-0000-0300-0000AC060000}"/>
    <hyperlink ref="AL418" r:id="rId1710" xr:uid="{00000000-0004-0000-0300-0000AD060000}"/>
    <hyperlink ref="AN418" r:id="rId1711" xr:uid="{00000000-0004-0000-0300-0000AE060000}"/>
    <hyperlink ref="AR418" r:id="rId1712" xr:uid="{00000000-0004-0000-0300-0000AF060000}"/>
    <hyperlink ref="AS418" r:id="rId1713" xr:uid="{00000000-0004-0000-0300-0000B0060000}"/>
    <hyperlink ref="AT418" r:id="rId1714" xr:uid="{00000000-0004-0000-0300-0000B1060000}"/>
    <hyperlink ref="AM419" r:id="rId1715" xr:uid="{00000000-0004-0000-0300-0000B2060000}"/>
    <hyperlink ref="AN419" r:id="rId1716" xr:uid="{00000000-0004-0000-0300-0000B3060000}"/>
    <hyperlink ref="AT419" r:id="rId1717" xr:uid="{00000000-0004-0000-0300-0000B4060000}"/>
    <hyperlink ref="AL420" r:id="rId1718" xr:uid="{00000000-0004-0000-0300-0000B5060000}"/>
    <hyperlink ref="AM420" r:id="rId1719" xr:uid="{00000000-0004-0000-0300-0000B6060000}"/>
    <hyperlink ref="AN420" r:id="rId1720" xr:uid="{00000000-0004-0000-0300-0000B7060000}"/>
    <hyperlink ref="AR420" r:id="rId1721" xr:uid="{00000000-0004-0000-0300-0000B8060000}"/>
    <hyperlink ref="AS420" r:id="rId1722" xr:uid="{00000000-0004-0000-0300-0000B9060000}"/>
    <hyperlink ref="AT420" r:id="rId1723" xr:uid="{00000000-0004-0000-0300-0000BA060000}"/>
    <hyperlink ref="AL421" r:id="rId1724" xr:uid="{00000000-0004-0000-0300-0000BB060000}"/>
    <hyperlink ref="AM421" r:id="rId1725" xr:uid="{00000000-0004-0000-0300-0000BC060000}"/>
    <hyperlink ref="AN421" r:id="rId1726" xr:uid="{00000000-0004-0000-0300-0000BD060000}"/>
    <hyperlink ref="AO421" r:id="rId1727" xr:uid="{00000000-0004-0000-0300-0000BE060000}"/>
    <hyperlink ref="AR421" r:id="rId1728" xr:uid="{00000000-0004-0000-0300-0000BF060000}"/>
    <hyperlink ref="AS421" r:id="rId1729" xr:uid="{00000000-0004-0000-0300-0000C0060000}"/>
    <hyperlink ref="AT421" r:id="rId1730" xr:uid="{00000000-0004-0000-0300-0000C1060000}"/>
    <hyperlink ref="AL422" r:id="rId1731" xr:uid="{00000000-0004-0000-0300-0000C2060000}"/>
    <hyperlink ref="AM422" r:id="rId1732" xr:uid="{00000000-0004-0000-0300-0000C3060000}"/>
    <hyperlink ref="AN422" r:id="rId1733" xr:uid="{00000000-0004-0000-0300-0000C4060000}"/>
    <hyperlink ref="AR422" r:id="rId1734" xr:uid="{00000000-0004-0000-0300-0000C5060000}"/>
    <hyperlink ref="AS422" r:id="rId1735" xr:uid="{00000000-0004-0000-0300-0000C6060000}"/>
    <hyperlink ref="AT422" r:id="rId1736" xr:uid="{00000000-0004-0000-0300-0000C7060000}"/>
    <hyperlink ref="AL423" r:id="rId1737" xr:uid="{00000000-0004-0000-0300-0000C8060000}"/>
    <hyperlink ref="AM423" r:id="rId1738" xr:uid="{00000000-0004-0000-0300-0000C9060000}"/>
    <hyperlink ref="AN423" r:id="rId1739" xr:uid="{00000000-0004-0000-0300-0000CA060000}"/>
    <hyperlink ref="AR423" r:id="rId1740" xr:uid="{00000000-0004-0000-0300-0000CB060000}"/>
    <hyperlink ref="AS423" r:id="rId1741" xr:uid="{00000000-0004-0000-0300-0000CC060000}"/>
    <hyperlink ref="AT423" r:id="rId1742" xr:uid="{00000000-0004-0000-0300-0000CD060000}"/>
    <hyperlink ref="AM424" r:id="rId1743" xr:uid="{00000000-0004-0000-0300-0000CE060000}"/>
    <hyperlink ref="AN424" r:id="rId1744" xr:uid="{00000000-0004-0000-0300-0000CF060000}"/>
    <hyperlink ref="AT424" r:id="rId1745" xr:uid="{00000000-0004-0000-0300-0000D0060000}"/>
    <hyperlink ref="AL425" r:id="rId1746" xr:uid="{00000000-0004-0000-0300-0000D1060000}"/>
    <hyperlink ref="AM425" r:id="rId1747" xr:uid="{00000000-0004-0000-0300-0000D2060000}"/>
    <hyperlink ref="AN425" r:id="rId1748" xr:uid="{00000000-0004-0000-0300-0000D3060000}"/>
    <hyperlink ref="AR425" r:id="rId1749" xr:uid="{00000000-0004-0000-0300-0000D4060000}"/>
    <hyperlink ref="AS425" r:id="rId1750" xr:uid="{00000000-0004-0000-0300-0000D5060000}"/>
    <hyperlink ref="AT425" r:id="rId1751" xr:uid="{00000000-0004-0000-0300-0000D6060000}"/>
    <hyperlink ref="AL426" r:id="rId1752" xr:uid="{00000000-0004-0000-0300-0000D7060000}"/>
    <hyperlink ref="AM426" r:id="rId1753" xr:uid="{00000000-0004-0000-0300-0000D8060000}"/>
    <hyperlink ref="AN426" r:id="rId1754" xr:uid="{00000000-0004-0000-0300-0000D9060000}"/>
    <hyperlink ref="AR426" r:id="rId1755" xr:uid="{00000000-0004-0000-0300-0000DA060000}"/>
    <hyperlink ref="AS426" r:id="rId1756" xr:uid="{00000000-0004-0000-0300-0000DB060000}"/>
    <hyperlink ref="AT426" r:id="rId1757" xr:uid="{00000000-0004-0000-0300-0000DC060000}"/>
    <hyperlink ref="AM427" r:id="rId1758" xr:uid="{00000000-0004-0000-0300-0000DD060000}"/>
    <hyperlink ref="AR427" r:id="rId1759" xr:uid="{00000000-0004-0000-0300-0000DE060000}"/>
    <hyperlink ref="AL428" r:id="rId1760" xr:uid="{00000000-0004-0000-0300-0000DF060000}"/>
    <hyperlink ref="AM428" r:id="rId1761" xr:uid="{00000000-0004-0000-0300-0000E0060000}"/>
    <hyperlink ref="AN428" r:id="rId1762" xr:uid="{00000000-0004-0000-0300-0000E1060000}"/>
    <hyperlink ref="AO428" r:id="rId1763" xr:uid="{00000000-0004-0000-0300-0000E2060000}"/>
    <hyperlink ref="AR428" r:id="rId1764" xr:uid="{00000000-0004-0000-0300-0000E3060000}"/>
    <hyperlink ref="AS428" r:id="rId1765" xr:uid="{00000000-0004-0000-0300-0000E4060000}"/>
    <hyperlink ref="AL429" r:id="rId1766" xr:uid="{00000000-0004-0000-0300-0000E5060000}"/>
    <hyperlink ref="AM429" r:id="rId1767" xr:uid="{00000000-0004-0000-0300-0000E6060000}"/>
    <hyperlink ref="AO429" r:id="rId1768" xr:uid="{00000000-0004-0000-0300-0000E7060000}"/>
    <hyperlink ref="AR429" r:id="rId1769" xr:uid="{00000000-0004-0000-0300-0000E8060000}"/>
    <hyperlink ref="AS429" r:id="rId1770" xr:uid="{00000000-0004-0000-0300-0000E9060000}"/>
    <hyperlink ref="AT429" r:id="rId1771" xr:uid="{00000000-0004-0000-0300-0000EA060000}"/>
    <hyperlink ref="AL430" r:id="rId1772" xr:uid="{00000000-0004-0000-0300-0000EB060000}"/>
    <hyperlink ref="AM430" r:id="rId1773" xr:uid="{00000000-0004-0000-0300-0000EC060000}"/>
    <hyperlink ref="AN430" r:id="rId1774" xr:uid="{00000000-0004-0000-0300-0000ED060000}"/>
    <hyperlink ref="AO430" r:id="rId1775" xr:uid="{00000000-0004-0000-0300-0000EE060000}"/>
    <hyperlink ref="AR430" r:id="rId1776" xr:uid="{00000000-0004-0000-0300-0000EF060000}"/>
    <hyperlink ref="AS430" r:id="rId1777" xr:uid="{00000000-0004-0000-0300-0000F0060000}"/>
    <hyperlink ref="AL431" r:id="rId1778" xr:uid="{00000000-0004-0000-0300-0000F1060000}"/>
    <hyperlink ref="AM431" r:id="rId1779" xr:uid="{00000000-0004-0000-0300-0000F2060000}"/>
    <hyperlink ref="AN431" r:id="rId1780" xr:uid="{00000000-0004-0000-0300-0000F3060000}"/>
    <hyperlink ref="AO431" r:id="rId1781" xr:uid="{00000000-0004-0000-0300-0000F4060000}"/>
    <hyperlink ref="AR431" r:id="rId1782" xr:uid="{00000000-0004-0000-0300-0000F5060000}"/>
    <hyperlink ref="AS431" r:id="rId1783" xr:uid="{00000000-0004-0000-0300-0000F6060000}"/>
    <hyperlink ref="AT431" r:id="rId1784" xr:uid="{00000000-0004-0000-0300-0000F7060000}"/>
    <hyperlink ref="AL432" r:id="rId1785" xr:uid="{00000000-0004-0000-0300-0000F8060000}"/>
    <hyperlink ref="AN432" r:id="rId1786" xr:uid="{00000000-0004-0000-0300-0000F9060000}"/>
    <hyperlink ref="AO432" r:id="rId1787" xr:uid="{00000000-0004-0000-0300-0000FA060000}"/>
    <hyperlink ref="AR432" r:id="rId1788" xr:uid="{00000000-0004-0000-0300-0000FB060000}"/>
    <hyperlink ref="AS432" r:id="rId1789" xr:uid="{00000000-0004-0000-0300-0000FC060000}"/>
    <hyperlink ref="AT432" r:id="rId1790" xr:uid="{00000000-0004-0000-0300-0000FD060000}"/>
    <hyperlink ref="AM434" r:id="rId1791" xr:uid="{00000000-0004-0000-0300-0000FE060000}"/>
    <hyperlink ref="AR434" r:id="rId1792" xr:uid="{00000000-0004-0000-0300-0000FF060000}"/>
    <hyperlink ref="AS434" r:id="rId1793" xr:uid="{00000000-0004-0000-0300-000000070000}"/>
    <hyperlink ref="AL435" r:id="rId1794" xr:uid="{00000000-0004-0000-0300-000001070000}"/>
    <hyperlink ref="AM435" r:id="rId1795" xr:uid="{00000000-0004-0000-0300-000002070000}"/>
    <hyperlink ref="AN435" r:id="rId1796" xr:uid="{00000000-0004-0000-0300-000003070000}"/>
    <hyperlink ref="AR435" r:id="rId1797" xr:uid="{00000000-0004-0000-0300-000004070000}"/>
    <hyperlink ref="AS435" r:id="rId1798" xr:uid="{00000000-0004-0000-0300-000005070000}"/>
    <hyperlink ref="AT435" r:id="rId1799" xr:uid="{00000000-0004-0000-0300-000006070000}"/>
    <hyperlink ref="AM436" r:id="rId1800" xr:uid="{00000000-0004-0000-0300-000007070000}"/>
    <hyperlink ref="AM437" r:id="rId1801" xr:uid="{00000000-0004-0000-0300-000008070000}"/>
    <hyperlink ref="AL438" r:id="rId1802" xr:uid="{00000000-0004-0000-0300-000009070000}"/>
    <hyperlink ref="AM438" r:id="rId1803" xr:uid="{00000000-0004-0000-0300-00000A070000}"/>
    <hyperlink ref="AS438" r:id="rId1804" xr:uid="{00000000-0004-0000-0300-00000B070000}"/>
    <hyperlink ref="AL439" r:id="rId1805" xr:uid="{00000000-0004-0000-0300-00000C070000}"/>
    <hyperlink ref="AM439" r:id="rId1806" xr:uid="{00000000-0004-0000-0300-00000D070000}"/>
    <hyperlink ref="AN439" r:id="rId1807" xr:uid="{00000000-0004-0000-0300-00000E070000}"/>
    <hyperlink ref="AR439" r:id="rId1808" xr:uid="{00000000-0004-0000-0300-00000F070000}"/>
    <hyperlink ref="AS439" r:id="rId1809" xr:uid="{00000000-0004-0000-0300-000010070000}"/>
    <hyperlink ref="AM440" r:id="rId1810" xr:uid="{00000000-0004-0000-0300-000011070000}"/>
    <hyperlink ref="AN440" r:id="rId1811" xr:uid="{00000000-0004-0000-0300-000012070000}"/>
    <hyperlink ref="AR440" r:id="rId1812" xr:uid="{00000000-0004-0000-0300-000013070000}"/>
    <hyperlink ref="AS440" r:id="rId1813" xr:uid="{00000000-0004-0000-0300-000014070000}"/>
    <hyperlink ref="AT440" r:id="rId1814" xr:uid="{00000000-0004-0000-0300-000015070000}"/>
    <hyperlink ref="AM441" r:id="rId1815" xr:uid="{00000000-0004-0000-0300-000016070000}"/>
    <hyperlink ref="AL442" r:id="rId1816" xr:uid="{00000000-0004-0000-0300-000017070000}"/>
    <hyperlink ref="AM442" r:id="rId1817" xr:uid="{00000000-0004-0000-0300-000018070000}"/>
    <hyperlink ref="AN442" r:id="rId1818" xr:uid="{00000000-0004-0000-0300-000019070000}"/>
    <hyperlink ref="AO442" r:id="rId1819" xr:uid="{00000000-0004-0000-0300-00001A070000}"/>
    <hyperlink ref="AR442" r:id="rId1820" xr:uid="{00000000-0004-0000-0300-00001B070000}"/>
    <hyperlink ref="AS442" r:id="rId1821" xr:uid="{00000000-0004-0000-0300-00001C070000}"/>
    <hyperlink ref="AT442" r:id="rId1822" xr:uid="{00000000-0004-0000-0300-00001D070000}"/>
    <hyperlink ref="AL443" r:id="rId1823" xr:uid="{00000000-0004-0000-0300-00001E070000}"/>
    <hyperlink ref="AS443" r:id="rId1824" xr:uid="{00000000-0004-0000-0300-00001F070000}"/>
    <hyperlink ref="AL444" r:id="rId1825" xr:uid="{00000000-0004-0000-0300-000020070000}"/>
    <hyperlink ref="AM444" r:id="rId1826" xr:uid="{00000000-0004-0000-0300-000021070000}"/>
    <hyperlink ref="AN444" r:id="rId1827" xr:uid="{00000000-0004-0000-0300-000022070000}"/>
    <hyperlink ref="AO444" r:id="rId1828" xr:uid="{00000000-0004-0000-0300-000023070000}"/>
    <hyperlink ref="AR444" r:id="rId1829" xr:uid="{00000000-0004-0000-0300-000024070000}"/>
    <hyperlink ref="AS444" r:id="rId1830" xr:uid="{00000000-0004-0000-0300-000025070000}"/>
    <hyperlink ref="AL445" r:id="rId1831" xr:uid="{00000000-0004-0000-0300-000026070000}"/>
    <hyperlink ref="AM445" r:id="rId1832" xr:uid="{00000000-0004-0000-0300-000027070000}"/>
    <hyperlink ref="AR445" r:id="rId1833" xr:uid="{00000000-0004-0000-0300-000028070000}"/>
    <hyperlink ref="AL446" r:id="rId1834" xr:uid="{00000000-0004-0000-0300-000029070000}"/>
    <hyperlink ref="AM446" r:id="rId1835" xr:uid="{00000000-0004-0000-0300-00002A070000}"/>
    <hyperlink ref="AN446" r:id="rId1836" xr:uid="{00000000-0004-0000-0300-00002B070000}"/>
    <hyperlink ref="AO446" r:id="rId1837" xr:uid="{00000000-0004-0000-0300-00002C070000}"/>
    <hyperlink ref="AR446" r:id="rId1838" xr:uid="{00000000-0004-0000-0300-00002D070000}"/>
    <hyperlink ref="AS446" r:id="rId1839" xr:uid="{00000000-0004-0000-0300-00002E070000}"/>
    <hyperlink ref="AT446" r:id="rId1840" xr:uid="{00000000-0004-0000-0300-00002F070000}"/>
    <hyperlink ref="AM447" r:id="rId1841" xr:uid="{00000000-0004-0000-0300-000030070000}"/>
    <hyperlink ref="AL448" r:id="rId1842" xr:uid="{00000000-0004-0000-0300-000031070000}"/>
    <hyperlink ref="AM448" r:id="rId1843" xr:uid="{00000000-0004-0000-0300-000032070000}"/>
    <hyperlink ref="AN448" r:id="rId1844" xr:uid="{00000000-0004-0000-0300-000033070000}"/>
    <hyperlink ref="AO448" r:id="rId1845" xr:uid="{00000000-0004-0000-0300-000034070000}"/>
    <hyperlink ref="AR448" r:id="rId1846" xr:uid="{00000000-0004-0000-0300-000035070000}"/>
    <hyperlink ref="AS448" r:id="rId1847" xr:uid="{00000000-0004-0000-0300-000036070000}"/>
    <hyperlink ref="AT448" r:id="rId1848" xr:uid="{00000000-0004-0000-0300-000037070000}"/>
    <hyperlink ref="AN449" r:id="rId1849" xr:uid="{00000000-0004-0000-0300-000038070000}"/>
    <hyperlink ref="AN450" r:id="rId1850" xr:uid="{00000000-0004-0000-0300-000039070000}"/>
    <hyperlink ref="AR450" r:id="rId1851" xr:uid="{00000000-0004-0000-0300-00003A070000}"/>
    <hyperlink ref="AS450" r:id="rId1852" xr:uid="{00000000-0004-0000-0300-00003B070000}"/>
    <hyperlink ref="AT450" r:id="rId1853" xr:uid="{00000000-0004-0000-0300-00003C070000}"/>
    <hyperlink ref="AM451" r:id="rId1854" xr:uid="{00000000-0004-0000-0300-00003D070000}"/>
    <hyperlink ref="AL452" r:id="rId1855" xr:uid="{00000000-0004-0000-0300-00003E070000}"/>
    <hyperlink ref="AM452" r:id="rId1856" xr:uid="{00000000-0004-0000-0300-00003F070000}"/>
    <hyperlink ref="AN452" r:id="rId1857" xr:uid="{00000000-0004-0000-0300-000040070000}"/>
    <hyperlink ref="AO452" r:id="rId1858" xr:uid="{00000000-0004-0000-0300-000041070000}"/>
    <hyperlink ref="AR452" r:id="rId1859" xr:uid="{00000000-0004-0000-0300-000042070000}"/>
    <hyperlink ref="AS452" r:id="rId1860" xr:uid="{00000000-0004-0000-0300-000043070000}"/>
    <hyperlink ref="AL453" r:id="rId1861" xr:uid="{00000000-0004-0000-0300-000044070000}"/>
    <hyperlink ref="AM453" r:id="rId1862" xr:uid="{00000000-0004-0000-0300-000045070000}"/>
    <hyperlink ref="AN453" r:id="rId1863" xr:uid="{00000000-0004-0000-0300-000046070000}"/>
    <hyperlink ref="AO453" r:id="rId1864" xr:uid="{00000000-0004-0000-0300-000047070000}"/>
    <hyperlink ref="AR453" r:id="rId1865" xr:uid="{00000000-0004-0000-0300-000048070000}"/>
    <hyperlink ref="AS453" r:id="rId1866" xr:uid="{00000000-0004-0000-0300-000049070000}"/>
    <hyperlink ref="AT453" r:id="rId1867" xr:uid="{00000000-0004-0000-0300-00004A070000}"/>
    <hyperlink ref="AR454" r:id="rId1868" xr:uid="{00000000-0004-0000-0300-00004B070000}"/>
    <hyperlink ref="AS454" r:id="rId1869" xr:uid="{00000000-0004-0000-0300-00004C070000}"/>
    <hyperlink ref="AL455" r:id="rId1870" xr:uid="{00000000-0004-0000-0300-00004D070000}"/>
    <hyperlink ref="AM455" r:id="rId1871" xr:uid="{00000000-0004-0000-0300-00004E070000}"/>
    <hyperlink ref="AR455" r:id="rId1872" xr:uid="{00000000-0004-0000-0300-00004F070000}"/>
    <hyperlink ref="AS455" r:id="rId1873" xr:uid="{00000000-0004-0000-0300-000050070000}"/>
    <hyperlink ref="AL456" r:id="rId1874" xr:uid="{00000000-0004-0000-0300-000051070000}"/>
    <hyperlink ref="AM456" r:id="rId1875" xr:uid="{00000000-0004-0000-0300-000052070000}"/>
    <hyperlink ref="AN456" r:id="rId1876" xr:uid="{00000000-0004-0000-0300-000053070000}"/>
    <hyperlink ref="AL457" r:id="rId1877" xr:uid="{00000000-0004-0000-0300-000054070000}"/>
    <hyperlink ref="AM457" r:id="rId1878" xr:uid="{00000000-0004-0000-0300-000055070000}"/>
    <hyperlink ref="AN457" r:id="rId1879" xr:uid="{00000000-0004-0000-0300-000056070000}"/>
    <hyperlink ref="AR457" r:id="rId1880" xr:uid="{00000000-0004-0000-0300-000057070000}"/>
    <hyperlink ref="AS457" r:id="rId1881" xr:uid="{00000000-0004-0000-0300-000058070000}"/>
    <hyperlink ref="AT457" r:id="rId1882" xr:uid="{00000000-0004-0000-0300-000059070000}"/>
    <hyperlink ref="AM458" r:id="rId1883" xr:uid="{00000000-0004-0000-0300-00005A070000}"/>
    <hyperlink ref="AS458" r:id="rId1884" xr:uid="{00000000-0004-0000-0300-00005B070000}"/>
    <hyperlink ref="AL459" r:id="rId1885" xr:uid="{00000000-0004-0000-0300-00005C070000}"/>
    <hyperlink ref="AM459" r:id="rId1886" xr:uid="{00000000-0004-0000-0300-00005D070000}"/>
    <hyperlink ref="AN459" r:id="rId1887" xr:uid="{00000000-0004-0000-0300-00005E070000}"/>
    <hyperlink ref="AR459" r:id="rId1888" xr:uid="{00000000-0004-0000-0300-00005F070000}"/>
    <hyperlink ref="AS459" r:id="rId1889" xr:uid="{00000000-0004-0000-0300-000060070000}"/>
    <hyperlink ref="AT459" r:id="rId1890" xr:uid="{00000000-0004-0000-0300-000061070000}"/>
    <hyperlink ref="AL460" r:id="rId1891" xr:uid="{00000000-0004-0000-0300-000062070000}"/>
    <hyperlink ref="AM460" r:id="rId1892" xr:uid="{00000000-0004-0000-0300-000063070000}"/>
    <hyperlink ref="AN460" r:id="rId1893" xr:uid="{00000000-0004-0000-0300-000064070000}"/>
    <hyperlink ref="AO460" r:id="rId1894" xr:uid="{00000000-0004-0000-0300-000065070000}"/>
    <hyperlink ref="AR460" r:id="rId1895" xr:uid="{00000000-0004-0000-0300-000066070000}"/>
    <hyperlink ref="AS460" r:id="rId1896" xr:uid="{00000000-0004-0000-0300-000067070000}"/>
    <hyperlink ref="AT460" r:id="rId1897" xr:uid="{00000000-0004-0000-0300-000068070000}"/>
    <hyperlink ref="AM461" r:id="rId1898" xr:uid="{00000000-0004-0000-0300-000069070000}"/>
    <hyperlink ref="AN461" r:id="rId1899" xr:uid="{00000000-0004-0000-0300-00006A070000}"/>
    <hyperlink ref="AL462" r:id="rId1900" xr:uid="{00000000-0004-0000-0300-00006B070000}"/>
    <hyperlink ref="AM462" r:id="rId1901" xr:uid="{00000000-0004-0000-0300-00006C070000}"/>
    <hyperlink ref="AN462" r:id="rId1902" xr:uid="{00000000-0004-0000-0300-00006D070000}"/>
    <hyperlink ref="AO462" r:id="rId1903" xr:uid="{00000000-0004-0000-0300-00006E070000}"/>
    <hyperlink ref="AL464" r:id="rId1904" xr:uid="{00000000-0004-0000-0300-00006F070000}"/>
    <hyperlink ref="AO464" r:id="rId1905" xr:uid="{00000000-0004-0000-0300-000070070000}"/>
    <hyperlink ref="AR464" r:id="rId1906" xr:uid="{00000000-0004-0000-0300-000071070000}"/>
    <hyperlink ref="AS464" r:id="rId1907" xr:uid="{00000000-0004-0000-0300-000072070000}"/>
    <hyperlink ref="AT464" r:id="rId1908" xr:uid="{00000000-0004-0000-0300-000073070000}"/>
    <hyperlink ref="AM465" r:id="rId1909" xr:uid="{00000000-0004-0000-0300-000074070000}"/>
    <hyperlink ref="AT465" r:id="rId1910" xr:uid="{00000000-0004-0000-0300-000075070000}"/>
    <hyperlink ref="AL466" r:id="rId1911" xr:uid="{00000000-0004-0000-0300-000076070000}"/>
    <hyperlink ref="AM466" r:id="rId1912" xr:uid="{00000000-0004-0000-0300-000077070000}"/>
    <hyperlink ref="AN466" r:id="rId1913" xr:uid="{00000000-0004-0000-0300-000078070000}"/>
    <hyperlink ref="AO466" r:id="rId1914" xr:uid="{00000000-0004-0000-0300-000079070000}"/>
    <hyperlink ref="AM467" r:id="rId1915" xr:uid="{00000000-0004-0000-0300-00007A070000}"/>
    <hyperlink ref="AN467" r:id="rId1916" xr:uid="{00000000-0004-0000-0300-00007B070000}"/>
    <hyperlink ref="AR467" r:id="rId1917" xr:uid="{00000000-0004-0000-0300-00007C070000}"/>
    <hyperlink ref="AS467" r:id="rId1918" xr:uid="{00000000-0004-0000-0300-00007D070000}"/>
    <hyperlink ref="AT467" r:id="rId1919" xr:uid="{00000000-0004-0000-0300-00007E070000}"/>
    <hyperlink ref="AL468" r:id="rId1920" xr:uid="{00000000-0004-0000-0300-00007F070000}"/>
    <hyperlink ref="AM468" r:id="rId1921" xr:uid="{00000000-0004-0000-0300-000080070000}"/>
    <hyperlink ref="AL469" r:id="rId1922" xr:uid="{00000000-0004-0000-0300-000081070000}"/>
    <hyperlink ref="AM469" r:id="rId1923" xr:uid="{00000000-0004-0000-0300-000082070000}"/>
    <hyperlink ref="AN469" r:id="rId1924" xr:uid="{00000000-0004-0000-0300-000083070000}"/>
    <hyperlink ref="AO469" r:id="rId1925" xr:uid="{00000000-0004-0000-0300-000084070000}"/>
    <hyperlink ref="AR469" r:id="rId1926" xr:uid="{00000000-0004-0000-0300-000085070000}"/>
    <hyperlink ref="AS469" r:id="rId1927" xr:uid="{00000000-0004-0000-0300-000086070000}"/>
    <hyperlink ref="AT469" r:id="rId1928" xr:uid="{00000000-0004-0000-0300-000087070000}"/>
    <hyperlink ref="AL470" r:id="rId1929" xr:uid="{00000000-0004-0000-0300-000088070000}"/>
    <hyperlink ref="AM470" r:id="rId1930" xr:uid="{00000000-0004-0000-0300-000089070000}"/>
    <hyperlink ref="AN470" r:id="rId1931" xr:uid="{00000000-0004-0000-0300-00008A070000}"/>
    <hyperlink ref="AO470" r:id="rId1932" xr:uid="{00000000-0004-0000-0300-00008B070000}"/>
    <hyperlink ref="AR470" r:id="rId1933" xr:uid="{00000000-0004-0000-0300-00008C070000}"/>
    <hyperlink ref="AS470" r:id="rId1934" xr:uid="{00000000-0004-0000-0300-00008D070000}"/>
    <hyperlink ref="AL471" r:id="rId1935" xr:uid="{00000000-0004-0000-0300-00008E070000}"/>
    <hyperlink ref="AM471" r:id="rId1936" xr:uid="{00000000-0004-0000-0300-00008F070000}"/>
    <hyperlink ref="AN471" r:id="rId1937" xr:uid="{00000000-0004-0000-0300-000090070000}"/>
    <hyperlink ref="AO471" r:id="rId1938" xr:uid="{00000000-0004-0000-0300-000091070000}"/>
    <hyperlink ref="AR471" r:id="rId1939" xr:uid="{00000000-0004-0000-0300-000092070000}"/>
    <hyperlink ref="AS471" r:id="rId1940" xr:uid="{00000000-0004-0000-0300-000093070000}"/>
    <hyperlink ref="AO472" r:id="rId1941" xr:uid="{00000000-0004-0000-0300-000094070000}"/>
    <hyperlink ref="AL473" r:id="rId1942" xr:uid="{00000000-0004-0000-0300-000095070000}"/>
    <hyperlink ref="AM473" r:id="rId1943" xr:uid="{00000000-0004-0000-0300-000096070000}"/>
    <hyperlink ref="AN473" r:id="rId1944" xr:uid="{00000000-0004-0000-0300-000097070000}"/>
    <hyperlink ref="AO473" r:id="rId1945" xr:uid="{00000000-0004-0000-0300-000098070000}"/>
    <hyperlink ref="AR473" r:id="rId1946" xr:uid="{00000000-0004-0000-0300-000099070000}"/>
    <hyperlink ref="AS473" r:id="rId1947" xr:uid="{00000000-0004-0000-0300-00009A070000}"/>
    <hyperlink ref="AL474" r:id="rId1948" xr:uid="{00000000-0004-0000-0300-00009B070000}"/>
    <hyperlink ref="AM474" r:id="rId1949" xr:uid="{00000000-0004-0000-0300-00009C070000}"/>
    <hyperlink ref="AN474" r:id="rId1950" xr:uid="{00000000-0004-0000-0300-00009D070000}"/>
    <hyperlink ref="AO474" r:id="rId1951" xr:uid="{00000000-0004-0000-0300-00009E070000}"/>
    <hyperlink ref="AS474" r:id="rId1952" xr:uid="{00000000-0004-0000-0300-00009F070000}"/>
    <hyperlink ref="AT474" r:id="rId1953" xr:uid="{00000000-0004-0000-0300-0000A0070000}"/>
    <hyperlink ref="AL475" r:id="rId1954" xr:uid="{00000000-0004-0000-0300-0000A1070000}"/>
    <hyperlink ref="AM475" r:id="rId1955" xr:uid="{00000000-0004-0000-0300-0000A2070000}"/>
    <hyperlink ref="AN475" r:id="rId1956" xr:uid="{00000000-0004-0000-0300-0000A3070000}"/>
    <hyperlink ref="AO475" r:id="rId1957" xr:uid="{00000000-0004-0000-0300-0000A4070000}"/>
    <hyperlink ref="AS475" r:id="rId1958" xr:uid="{00000000-0004-0000-0300-0000A5070000}"/>
    <hyperlink ref="AT475" r:id="rId1959" xr:uid="{00000000-0004-0000-0300-0000A6070000}"/>
    <hyperlink ref="AL476" r:id="rId1960" xr:uid="{00000000-0004-0000-0300-0000A7070000}"/>
    <hyperlink ref="AM476" r:id="rId1961" xr:uid="{00000000-0004-0000-0300-0000A8070000}"/>
    <hyperlink ref="AN476" r:id="rId1962" xr:uid="{00000000-0004-0000-0300-0000A9070000}"/>
    <hyperlink ref="AO476" r:id="rId1963" xr:uid="{00000000-0004-0000-0300-0000AA070000}"/>
    <hyperlink ref="AS476" r:id="rId1964" xr:uid="{00000000-0004-0000-0300-0000AB070000}"/>
    <hyperlink ref="AL477" r:id="rId1965" xr:uid="{00000000-0004-0000-0300-0000AC070000}"/>
    <hyperlink ref="AM477" r:id="rId1966" xr:uid="{00000000-0004-0000-0300-0000AD070000}"/>
    <hyperlink ref="AN477" r:id="rId1967" xr:uid="{00000000-0004-0000-0300-0000AE070000}"/>
    <hyperlink ref="AO477" r:id="rId1968" xr:uid="{00000000-0004-0000-0300-0000AF070000}"/>
    <hyperlink ref="AP477" r:id="rId1969" xr:uid="{00000000-0004-0000-0300-0000B0070000}"/>
    <hyperlink ref="AL478" r:id="rId1970" xr:uid="{00000000-0004-0000-0300-0000B1070000}"/>
    <hyperlink ref="AM478" r:id="rId1971" xr:uid="{00000000-0004-0000-0300-0000B2070000}"/>
    <hyperlink ref="AN478" r:id="rId1972" xr:uid="{00000000-0004-0000-0300-0000B3070000}"/>
    <hyperlink ref="AO478" r:id="rId1973" xr:uid="{00000000-0004-0000-0300-0000B4070000}"/>
    <hyperlink ref="AP478" r:id="rId1974" xr:uid="{00000000-0004-0000-0300-0000B5070000}"/>
    <hyperlink ref="AL479" r:id="rId1975" xr:uid="{00000000-0004-0000-0300-0000B6070000}"/>
    <hyperlink ref="AM479" r:id="rId1976" xr:uid="{00000000-0004-0000-0300-0000B7070000}"/>
    <hyperlink ref="AO479" r:id="rId1977" xr:uid="{00000000-0004-0000-0300-0000B8070000}"/>
    <hyperlink ref="AL480" r:id="rId1978" xr:uid="{00000000-0004-0000-0300-0000B9070000}"/>
    <hyperlink ref="AM480" r:id="rId1979" xr:uid="{00000000-0004-0000-0300-0000BA070000}"/>
    <hyperlink ref="AN480" r:id="rId1980" xr:uid="{00000000-0004-0000-0300-0000BB070000}"/>
    <hyperlink ref="AO480" r:id="rId1981" xr:uid="{00000000-0004-0000-0300-0000BC070000}"/>
    <hyperlink ref="AS480" r:id="rId1982" xr:uid="{00000000-0004-0000-0300-0000BD070000}"/>
    <hyperlink ref="AL481" r:id="rId1983" xr:uid="{00000000-0004-0000-0300-0000BE070000}"/>
    <hyperlink ref="AM481" r:id="rId1984" xr:uid="{00000000-0004-0000-0300-0000BF070000}"/>
    <hyperlink ref="AN481" r:id="rId1985" xr:uid="{00000000-0004-0000-0300-0000C0070000}"/>
    <hyperlink ref="AO481" r:id="rId1986" xr:uid="{00000000-0004-0000-0300-0000C1070000}"/>
    <hyperlink ref="AS481" r:id="rId1987" xr:uid="{00000000-0004-0000-0300-0000C2070000}"/>
    <hyperlink ref="AT481" r:id="rId1988" xr:uid="{00000000-0004-0000-0300-0000C3070000}"/>
    <hyperlink ref="AL482" r:id="rId1989" xr:uid="{00000000-0004-0000-0300-0000C4070000}"/>
    <hyperlink ref="AM482" r:id="rId1990" xr:uid="{00000000-0004-0000-0300-0000C5070000}"/>
    <hyperlink ref="AO482" r:id="rId1991" xr:uid="{00000000-0004-0000-0300-0000C6070000}"/>
    <hyperlink ref="AP482" r:id="rId1992" xr:uid="{00000000-0004-0000-0300-0000C7070000}"/>
    <hyperlink ref="AS482" r:id="rId1993" xr:uid="{00000000-0004-0000-0300-0000C8070000}"/>
    <hyperlink ref="AL483" r:id="rId1994" xr:uid="{00000000-0004-0000-0300-0000C9070000}"/>
    <hyperlink ref="AM483" r:id="rId1995" xr:uid="{00000000-0004-0000-0300-0000CA070000}"/>
    <hyperlink ref="AO483" r:id="rId1996" xr:uid="{00000000-0004-0000-0300-0000CB070000}"/>
    <hyperlink ref="AS483" r:id="rId1997" xr:uid="{00000000-0004-0000-0300-0000CC070000}"/>
    <hyperlink ref="AT483" r:id="rId1998" xr:uid="{00000000-0004-0000-0300-0000CD070000}"/>
    <hyperlink ref="AL484" r:id="rId1999" xr:uid="{00000000-0004-0000-0300-0000CE070000}"/>
    <hyperlink ref="AM484" r:id="rId2000" xr:uid="{00000000-0004-0000-0300-0000CF070000}"/>
    <hyperlink ref="AN484" r:id="rId2001" xr:uid="{00000000-0004-0000-0300-0000D0070000}"/>
    <hyperlink ref="AO484" r:id="rId2002" xr:uid="{00000000-0004-0000-0300-0000D1070000}"/>
    <hyperlink ref="AS484" r:id="rId2003" xr:uid="{00000000-0004-0000-0300-0000D2070000}"/>
    <hyperlink ref="AT484" r:id="rId2004" xr:uid="{00000000-0004-0000-0300-0000D3070000}"/>
    <hyperlink ref="AL485" r:id="rId2005" xr:uid="{00000000-0004-0000-0300-0000D4070000}"/>
    <hyperlink ref="AM485" r:id="rId2006" xr:uid="{00000000-0004-0000-0300-0000D5070000}"/>
    <hyperlink ref="AN485" r:id="rId2007" xr:uid="{00000000-0004-0000-0300-0000D6070000}"/>
    <hyperlink ref="AP485" r:id="rId2008" xr:uid="{00000000-0004-0000-0300-0000D7070000}"/>
    <hyperlink ref="AS485" r:id="rId2009" xr:uid="{00000000-0004-0000-0300-0000D8070000}"/>
    <hyperlink ref="AL486" r:id="rId2010" xr:uid="{00000000-0004-0000-0300-0000D9070000}"/>
    <hyperlink ref="AM486" r:id="rId2011" xr:uid="{00000000-0004-0000-0300-0000DA070000}"/>
    <hyperlink ref="AO486" r:id="rId2012" xr:uid="{00000000-0004-0000-0300-0000DB070000}"/>
    <hyperlink ref="AS486" r:id="rId2013" xr:uid="{00000000-0004-0000-0300-0000DC070000}"/>
    <hyperlink ref="AL487" r:id="rId2014" xr:uid="{00000000-0004-0000-0300-0000DD070000}"/>
    <hyperlink ref="AM487" r:id="rId2015" xr:uid="{00000000-0004-0000-0300-0000DE070000}"/>
    <hyperlink ref="AO487" r:id="rId2016" xr:uid="{00000000-0004-0000-0300-0000DF070000}"/>
    <hyperlink ref="AP487" r:id="rId2017" xr:uid="{00000000-0004-0000-0300-0000E0070000}"/>
    <hyperlink ref="AS487" r:id="rId2018" xr:uid="{00000000-0004-0000-0300-0000E1070000}"/>
    <hyperlink ref="AL488" r:id="rId2019" xr:uid="{00000000-0004-0000-0300-0000E2070000}"/>
    <hyperlink ref="AM488" r:id="rId2020" xr:uid="{00000000-0004-0000-0300-0000E3070000}"/>
    <hyperlink ref="AN488" r:id="rId2021" xr:uid="{00000000-0004-0000-0300-0000E4070000}"/>
    <hyperlink ref="AO488" r:id="rId2022" xr:uid="{00000000-0004-0000-0300-0000E5070000}"/>
    <hyperlink ref="AS488" r:id="rId2023" xr:uid="{00000000-0004-0000-0300-0000E6070000}"/>
    <hyperlink ref="AL489" r:id="rId2024" xr:uid="{00000000-0004-0000-0300-0000E7070000}"/>
    <hyperlink ref="AM489" r:id="rId2025" xr:uid="{00000000-0004-0000-0300-0000E8070000}"/>
    <hyperlink ref="AN489" r:id="rId2026" xr:uid="{00000000-0004-0000-0300-0000E9070000}"/>
    <hyperlink ref="AO489" r:id="rId2027" xr:uid="{00000000-0004-0000-0300-0000EA070000}"/>
    <hyperlink ref="AS489" r:id="rId2028" xr:uid="{00000000-0004-0000-0300-0000EB070000}"/>
    <hyperlink ref="AT489" r:id="rId2029" xr:uid="{00000000-0004-0000-0300-0000EC070000}"/>
    <hyperlink ref="AL490" r:id="rId2030" xr:uid="{00000000-0004-0000-0300-0000ED070000}"/>
    <hyperlink ref="AM490" r:id="rId2031" xr:uid="{00000000-0004-0000-0300-0000EE070000}"/>
    <hyperlink ref="AN490" r:id="rId2032" xr:uid="{00000000-0004-0000-0300-0000EF070000}"/>
    <hyperlink ref="AO490" r:id="rId2033" xr:uid="{00000000-0004-0000-0300-0000F0070000}"/>
    <hyperlink ref="AS490" r:id="rId2034" xr:uid="{00000000-0004-0000-0300-0000F1070000}"/>
    <hyperlink ref="AL491" r:id="rId2035" xr:uid="{00000000-0004-0000-0300-0000F2070000}"/>
    <hyperlink ref="AL492" r:id="rId2036" xr:uid="{00000000-0004-0000-0300-0000F3070000}"/>
    <hyperlink ref="AM492" r:id="rId2037" xr:uid="{00000000-0004-0000-0300-0000F4070000}"/>
    <hyperlink ref="AN492" r:id="rId2038" xr:uid="{00000000-0004-0000-0300-0000F5070000}"/>
    <hyperlink ref="AO492" r:id="rId2039" xr:uid="{00000000-0004-0000-0300-0000F6070000}"/>
    <hyperlink ref="AQ492" r:id="rId2040" xr:uid="{00000000-0004-0000-0300-0000F7070000}"/>
    <hyperlink ref="AL493" r:id="rId2041" xr:uid="{00000000-0004-0000-0300-0000F8070000}"/>
    <hyperlink ref="AM493" r:id="rId2042" xr:uid="{00000000-0004-0000-0300-0000F9070000}"/>
    <hyperlink ref="AN493" r:id="rId2043" xr:uid="{00000000-0004-0000-0300-0000FA070000}"/>
    <hyperlink ref="AO493" r:id="rId2044" xr:uid="{00000000-0004-0000-0300-0000FB070000}"/>
    <hyperlink ref="AU493" r:id="rId2045" xr:uid="{00000000-0004-0000-0300-0000FC070000}"/>
    <hyperlink ref="AM494" r:id="rId2046" xr:uid="{00000000-0004-0000-0300-0000FD070000}"/>
    <hyperlink ref="AO494" r:id="rId2047" xr:uid="{00000000-0004-0000-0300-0000FE070000}"/>
    <hyperlink ref="AL495" r:id="rId2048" xr:uid="{00000000-0004-0000-0300-0000FF070000}"/>
    <hyperlink ref="AM495" r:id="rId2049" xr:uid="{00000000-0004-0000-0300-000000080000}"/>
    <hyperlink ref="AO495" r:id="rId2050" xr:uid="{00000000-0004-0000-0300-000001080000}"/>
    <hyperlink ref="AS495" r:id="rId2051" xr:uid="{00000000-0004-0000-0300-000002080000}"/>
    <hyperlink ref="AT495" r:id="rId2052" xr:uid="{00000000-0004-0000-0300-000003080000}"/>
    <hyperlink ref="AL496" r:id="rId2053" xr:uid="{00000000-0004-0000-0300-000004080000}"/>
    <hyperlink ref="AM496" r:id="rId2054" xr:uid="{00000000-0004-0000-0300-000005080000}"/>
    <hyperlink ref="AO496" r:id="rId2055" xr:uid="{00000000-0004-0000-0300-000006080000}"/>
    <hyperlink ref="AP496" r:id="rId2056" xr:uid="{00000000-0004-0000-0300-000007080000}"/>
    <hyperlink ref="AS496" r:id="rId2057" xr:uid="{00000000-0004-0000-0300-000008080000}"/>
    <hyperlink ref="AT496" r:id="rId2058" xr:uid="{00000000-0004-0000-0300-000009080000}"/>
    <hyperlink ref="AM497" r:id="rId2059" xr:uid="{00000000-0004-0000-0300-00000A080000}"/>
    <hyperlink ref="AO497" r:id="rId2060" xr:uid="{00000000-0004-0000-0300-00000B080000}"/>
    <hyperlink ref="AS497" r:id="rId2061" xr:uid="{00000000-0004-0000-0300-00000C080000}"/>
    <hyperlink ref="AT497" r:id="rId2062" xr:uid="{00000000-0004-0000-0300-00000D080000}"/>
    <hyperlink ref="AL498" r:id="rId2063" xr:uid="{00000000-0004-0000-0300-00000E080000}"/>
    <hyperlink ref="AM498" r:id="rId2064" xr:uid="{00000000-0004-0000-0300-00000F080000}"/>
    <hyperlink ref="AP498" r:id="rId2065" xr:uid="{00000000-0004-0000-0300-000010080000}"/>
    <hyperlink ref="AS498" r:id="rId2066" xr:uid="{00000000-0004-0000-0300-000011080000}"/>
    <hyperlink ref="AL499" r:id="rId2067" xr:uid="{00000000-0004-0000-0300-000012080000}"/>
    <hyperlink ref="AM499" r:id="rId2068" xr:uid="{00000000-0004-0000-0300-000013080000}"/>
    <hyperlink ref="AL500" r:id="rId2069" xr:uid="{00000000-0004-0000-0300-000014080000}"/>
    <hyperlink ref="AM500" r:id="rId2070" xr:uid="{00000000-0004-0000-0300-000015080000}"/>
    <hyperlink ref="AO500" r:id="rId2071" xr:uid="{00000000-0004-0000-0300-000016080000}"/>
    <hyperlink ref="AS500" r:id="rId2072" xr:uid="{00000000-0004-0000-0300-000017080000}"/>
    <hyperlink ref="AT500" r:id="rId2073" xr:uid="{00000000-0004-0000-0300-000018080000}"/>
    <hyperlink ref="AL501" r:id="rId2074" xr:uid="{00000000-0004-0000-0300-000019080000}"/>
    <hyperlink ref="AN501" r:id="rId2075" xr:uid="{00000000-0004-0000-0300-00001A080000}"/>
    <hyperlink ref="AO501" r:id="rId2076" xr:uid="{00000000-0004-0000-0300-00001B080000}"/>
    <hyperlink ref="AP501" r:id="rId2077" xr:uid="{00000000-0004-0000-0300-00001C080000}"/>
    <hyperlink ref="AQ501" r:id="rId2078" xr:uid="{00000000-0004-0000-0300-00001D080000}"/>
    <hyperlink ref="AR501" r:id="rId2079" xr:uid="{00000000-0004-0000-0300-00001E080000}"/>
    <hyperlink ref="AS501" r:id="rId2080" xr:uid="{00000000-0004-0000-0300-00001F080000}"/>
    <hyperlink ref="AT501" r:id="rId2081" xr:uid="{00000000-0004-0000-0300-000020080000}"/>
    <hyperlink ref="AU501" r:id="rId2082" xr:uid="{00000000-0004-0000-0300-000021080000}"/>
    <hyperlink ref="AV501" r:id="rId2083" xr:uid="{00000000-0004-0000-0300-000022080000}"/>
    <hyperlink ref="AW501" r:id="rId2084" xr:uid="{00000000-0004-0000-0300-000023080000}"/>
    <hyperlink ref="AM502" r:id="rId2085" xr:uid="{00000000-0004-0000-0300-000024080000}"/>
    <hyperlink ref="AN502" r:id="rId2086" xr:uid="{00000000-0004-0000-0300-000025080000}"/>
    <hyperlink ref="AP502" r:id="rId2087" xr:uid="{00000000-0004-0000-0300-000026080000}"/>
    <hyperlink ref="AS502" r:id="rId2088" xr:uid="{00000000-0004-0000-0300-000027080000}"/>
    <hyperlink ref="AU502" r:id="rId2089" xr:uid="{00000000-0004-0000-0300-000028080000}"/>
    <hyperlink ref="AL503" r:id="rId2090" xr:uid="{00000000-0004-0000-0300-000029080000}"/>
    <hyperlink ref="AM503" r:id="rId2091" xr:uid="{00000000-0004-0000-0300-00002A080000}"/>
    <hyperlink ref="AO503" r:id="rId2092" xr:uid="{00000000-0004-0000-0300-00002B080000}"/>
    <hyperlink ref="AS503" r:id="rId2093" xr:uid="{00000000-0004-0000-0300-00002C080000}"/>
    <hyperlink ref="AT503" r:id="rId2094" xr:uid="{00000000-0004-0000-0300-00002D080000}"/>
    <hyperlink ref="AM504" r:id="rId2095" xr:uid="{00000000-0004-0000-0300-00002E080000}"/>
    <hyperlink ref="AN504" r:id="rId2096" xr:uid="{00000000-0004-0000-0300-00002F080000}"/>
    <hyperlink ref="AU504" r:id="rId2097" xr:uid="{00000000-0004-0000-0300-000030080000}"/>
    <hyperlink ref="AL505" r:id="rId2098" xr:uid="{00000000-0004-0000-0300-000031080000}"/>
    <hyperlink ref="AM505" r:id="rId2099" xr:uid="{00000000-0004-0000-0300-000032080000}"/>
    <hyperlink ref="AN505" r:id="rId2100" xr:uid="{00000000-0004-0000-0300-000033080000}"/>
    <hyperlink ref="AO505" r:id="rId2101" xr:uid="{00000000-0004-0000-0300-000034080000}"/>
    <hyperlink ref="AP505" r:id="rId2102" xr:uid="{00000000-0004-0000-0300-000035080000}"/>
    <hyperlink ref="AR505" r:id="rId2103" xr:uid="{00000000-0004-0000-0300-000036080000}"/>
    <hyperlink ref="AS505" r:id="rId2104" xr:uid="{00000000-0004-0000-0300-000037080000}"/>
    <hyperlink ref="AT505" r:id="rId2105" xr:uid="{00000000-0004-0000-0300-000038080000}"/>
    <hyperlink ref="AU505" r:id="rId2106" xr:uid="{00000000-0004-0000-0300-000039080000}"/>
    <hyperlink ref="AM506" r:id="rId2107" xr:uid="{00000000-0004-0000-0300-00003A080000}"/>
    <hyperlink ref="AO506" r:id="rId2108" xr:uid="{00000000-0004-0000-0300-00003B080000}"/>
    <hyperlink ref="AM507" r:id="rId2109" xr:uid="{00000000-0004-0000-0300-00003C080000}"/>
    <hyperlink ref="AO507" r:id="rId2110" xr:uid="{00000000-0004-0000-0300-00003D080000}"/>
    <hyperlink ref="AS507" r:id="rId2111" xr:uid="{00000000-0004-0000-0300-00003E080000}"/>
    <hyperlink ref="AT507" r:id="rId2112" xr:uid="{00000000-0004-0000-0300-00003F080000}"/>
    <hyperlink ref="AL508" r:id="rId2113" xr:uid="{00000000-0004-0000-0300-000040080000}"/>
    <hyperlink ref="AM508" r:id="rId2114" xr:uid="{00000000-0004-0000-0300-000041080000}"/>
    <hyperlink ref="AN508" r:id="rId2115" xr:uid="{00000000-0004-0000-0300-000042080000}"/>
    <hyperlink ref="AO508" r:id="rId2116" xr:uid="{00000000-0004-0000-0300-000043080000}"/>
    <hyperlink ref="AQ508" r:id="rId2117" xr:uid="{00000000-0004-0000-0300-000044080000}"/>
    <hyperlink ref="AR508" r:id="rId2118" xr:uid="{00000000-0004-0000-0300-000045080000}"/>
    <hyperlink ref="AS508" r:id="rId2119" xr:uid="{00000000-0004-0000-0300-000046080000}"/>
    <hyperlink ref="AT508" r:id="rId2120" xr:uid="{00000000-0004-0000-0300-000047080000}"/>
    <hyperlink ref="AU508" r:id="rId2121" xr:uid="{00000000-0004-0000-0300-000048080000}"/>
    <hyperlink ref="AL509" r:id="rId2122" xr:uid="{00000000-0004-0000-0300-000049080000}"/>
    <hyperlink ref="AN509" r:id="rId2123" xr:uid="{00000000-0004-0000-0300-00004A080000}"/>
    <hyperlink ref="AP509" r:id="rId2124" xr:uid="{00000000-0004-0000-0300-00004B080000}"/>
    <hyperlink ref="AR509" r:id="rId2125" xr:uid="{00000000-0004-0000-0300-00004C080000}"/>
    <hyperlink ref="AS509" r:id="rId2126" xr:uid="{00000000-0004-0000-0300-00004D080000}"/>
    <hyperlink ref="AT509" r:id="rId2127" xr:uid="{00000000-0004-0000-0300-00004E080000}"/>
    <hyperlink ref="AU509" r:id="rId2128" xr:uid="{00000000-0004-0000-0300-00004F080000}"/>
    <hyperlink ref="AM511" r:id="rId2129" xr:uid="{00000000-0004-0000-0300-000050080000}"/>
    <hyperlink ref="AP511" r:id="rId2130" xr:uid="{00000000-0004-0000-0300-000051080000}"/>
    <hyperlink ref="AS511" r:id="rId2131" xr:uid="{00000000-0004-0000-0300-000052080000}"/>
    <hyperlink ref="AL512" r:id="rId2132" xr:uid="{00000000-0004-0000-0300-000053080000}"/>
    <hyperlink ref="AM512" r:id="rId2133" xr:uid="{00000000-0004-0000-0300-000054080000}"/>
    <hyperlink ref="AS512" r:id="rId2134" xr:uid="{00000000-0004-0000-0300-000055080000}"/>
    <hyperlink ref="AT512" r:id="rId2135" xr:uid="{00000000-0004-0000-0300-000056080000}"/>
    <hyperlink ref="AM513" r:id="rId2136" xr:uid="{00000000-0004-0000-0300-000057080000}"/>
    <hyperlink ref="AO513" r:id="rId2137" xr:uid="{00000000-0004-0000-0300-000058080000}"/>
    <hyperlink ref="AS513" r:id="rId2138" xr:uid="{00000000-0004-0000-0300-000059080000}"/>
    <hyperlink ref="AT513" r:id="rId2139" xr:uid="{00000000-0004-0000-0300-00005A080000}"/>
    <hyperlink ref="AL514" r:id="rId2140" xr:uid="{00000000-0004-0000-0300-00005B080000}"/>
    <hyperlink ref="AM514" r:id="rId2141" xr:uid="{00000000-0004-0000-0300-00005C080000}"/>
    <hyperlink ref="AN514" r:id="rId2142" xr:uid="{00000000-0004-0000-0300-00005D080000}"/>
    <hyperlink ref="AP514" r:id="rId2143" xr:uid="{00000000-0004-0000-0300-00005E080000}"/>
    <hyperlink ref="AS514" r:id="rId2144" xr:uid="{00000000-0004-0000-0300-00005F080000}"/>
    <hyperlink ref="AL515" r:id="rId2145" xr:uid="{00000000-0004-0000-0300-000060080000}"/>
    <hyperlink ref="AN515" r:id="rId2146" xr:uid="{00000000-0004-0000-0300-000061080000}"/>
    <hyperlink ref="AS515" r:id="rId2147" xr:uid="{00000000-0004-0000-0300-000062080000}"/>
    <hyperlink ref="AT515" r:id="rId2148" xr:uid="{00000000-0004-0000-0300-000063080000}"/>
    <hyperlink ref="AL516" r:id="rId2149" xr:uid="{00000000-0004-0000-0300-000064080000}"/>
    <hyperlink ref="AM516" r:id="rId2150" xr:uid="{00000000-0004-0000-0300-000065080000}"/>
    <hyperlink ref="AN516" r:id="rId2151" xr:uid="{00000000-0004-0000-0300-000066080000}"/>
    <hyperlink ref="AO516" r:id="rId2152" xr:uid="{00000000-0004-0000-0300-000067080000}"/>
    <hyperlink ref="AS516" r:id="rId2153" xr:uid="{00000000-0004-0000-0300-000068080000}"/>
    <hyperlink ref="AT516" r:id="rId2154" xr:uid="{00000000-0004-0000-0300-000069080000}"/>
    <hyperlink ref="AL517" r:id="rId2155" xr:uid="{00000000-0004-0000-0300-00006A080000}"/>
    <hyperlink ref="AM517" r:id="rId2156" xr:uid="{00000000-0004-0000-0300-00006B080000}"/>
    <hyperlink ref="AN517" r:id="rId2157" xr:uid="{00000000-0004-0000-0300-00006C080000}"/>
    <hyperlink ref="AS517" r:id="rId2158" xr:uid="{00000000-0004-0000-0300-00006D080000}"/>
    <hyperlink ref="AT517" r:id="rId2159" xr:uid="{00000000-0004-0000-0300-00006E080000}"/>
    <hyperlink ref="AL518" r:id="rId2160" xr:uid="{00000000-0004-0000-0300-00006F080000}"/>
    <hyperlink ref="AM518" r:id="rId2161" xr:uid="{00000000-0004-0000-0300-000070080000}"/>
    <hyperlink ref="AO518" r:id="rId2162" xr:uid="{00000000-0004-0000-0300-000071080000}"/>
    <hyperlink ref="AS518" r:id="rId2163" xr:uid="{00000000-0004-0000-0300-000072080000}"/>
    <hyperlink ref="AT518" r:id="rId2164" xr:uid="{00000000-0004-0000-0300-000073080000}"/>
    <hyperlink ref="AL519" r:id="rId2165" xr:uid="{00000000-0004-0000-0300-000074080000}"/>
    <hyperlink ref="AM519" r:id="rId2166" xr:uid="{00000000-0004-0000-0300-000075080000}"/>
    <hyperlink ref="AN519" r:id="rId2167" xr:uid="{00000000-0004-0000-0300-000076080000}"/>
    <hyperlink ref="AO519" r:id="rId2168" xr:uid="{00000000-0004-0000-0300-000077080000}"/>
    <hyperlink ref="AL520" r:id="rId2169" xr:uid="{00000000-0004-0000-0300-000078080000}"/>
    <hyperlink ref="AM520" r:id="rId2170" xr:uid="{00000000-0004-0000-0300-000079080000}"/>
    <hyperlink ref="AN520" r:id="rId2171" xr:uid="{00000000-0004-0000-0300-00007A080000}"/>
    <hyperlink ref="AO520" r:id="rId2172" xr:uid="{00000000-0004-0000-0300-00007B080000}"/>
    <hyperlink ref="AP520" r:id="rId2173" xr:uid="{00000000-0004-0000-0300-00007C080000}"/>
    <hyperlink ref="AL521" r:id="rId2174" xr:uid="{00000000-0004-0000-0300-00007D080000}"/>
    <hyperlink ref="AM521" r:id="rId2175" xr:uid="{00000000-0004-0000-0300-00007E080000}"/>
    <hyperlink ref="AN521" r:id="rId2176" xr:uid="{00000000-0004-0000-0300-00007F080000}"/>
    <hyperlink ref="AO521" r:id="rId2177" xr:uid="{00000000-0004-0000-0300-000080080000}"/>
    <hyperlink ref="AP521" r:id="rId2178" xr:uid="{00000000-0004-0000-0300-000081080000}"/>
    <hyperlink ref="AS521" r:id="rId2179" xr:uid="{00000000-0004-0000-0300-000082080000}"/>
    <hyperlink ref="AL522" r:id="rId2180" xr:uid="{00000000-0004-0000-0300-000083080000}"/>
    <hyperlink ref="AM522" r:id="rId2181" xr:uid="{00000000-0004-0000-0300-000084080000}"/>
    <hyperlink ref="AN522" r:id="rId2182" xr:uid="{00000000-0004-0000-0300-000085080000}"/>
    <hyperlink ref="AO522" r:id="rId2183" xr:uid="{00000000-0004-0000-0300-000086080000}"/>
    <hyperlink ref="AS522" r:id="rId2184" xr:uid="{00000000-0004-0000-0300-000087080000}"/>
    <hyperlink ref="AT522" r:id="rId2185" xr:uid="{00000000-0004-0000-0300-000088080000}"/>
    <hyperlink ref="AL523" r:id="rId2186" xr:uid="{00000000-0004-0000-0300-000089080000}"/>
    <hyperlink ref="AM523" r:id="rId2187" xr:uid="{00000000-0004-0000-0300-00008A080000}"/>
    <hyperlink ref="AN523" r:id="rId2188" xr:uid="{00000000-0004-0000-0300-00008B080000}"/>
    <hyperlink ref="AO523" r:id="rId2189" xr:uid="{00000000-0004-0000-0300-00008C080000}"/>
    <hyperlink ref="AS523" r:id="rId2190" xr:uid="{00000000-0004-0000-0300-00008D080000}"/>
    <hyperlink ref="AT523" r:id="rId2191" xr:uid="{00000000-0004-0000-0300-00008E080000}"/>
    <hyperlink ref="AM524" r:id="rId2192" xr:uid="{00000000-0004-0000-0300-00008F080000}"/>
    <hyperlink ref="AN524" r:id="rId2193" xr:uid="{00000000-0004-0000-0300-000090080000}"/>
    <hyperlink ref="AS524" r:id="rId2194" xr:uid="{00000000-0004-0000-0300-000091080000}"/>
    <hyperlink ref="AL525" r:id="rId2195" xr:uid="{00000000-0004-0000-0300-000092080000}"/>
    <hyperlink ref="AM525" r:id="rId2196" xr:uid="{00000000-0004-0000-0300-000093080000}"/>
    <hyperlink ref="AN525" r:id="rId2197" xr:uid="{00000000-0004-0000-0300-000094080000}"/>
    <hyperlink ref="AO525" r:id="rId2198" xr:uid="{00000000-0004-0000-0300-000095080000}"/>
    <hyperlink ref="AP525" r:id="rId2199" xr:uid="{00000000-0004-0000-0300-000096080000}"/>
    <hyperlink ref="AS525" r:id="rId2200" xr:uid="{00000000-0004-0000-0300-000097080000}"/>
    <hyperlink ref="AT525" r:id="rId2201" xr:uid="{00000000-0004-0000-0300-000098080000}"/>
    <hyperlink ref="AM526" r:id="rId2202" xr:uid="{00000000-0004-0000-0300-000099080000}"/>
    <hyperlink ref="AS526" r:id="rId2203" xr:uid="{00000000-0004-0000-0300-00009A080000}"/>
    <hyperlink ref="AM527" r:id="rId2204" xr:uid="{00000000-0004-0000-0300-00009B080000}"/>
    <hyperlink ref="AM528" r:id="rId2205" xr:uid="{00000000-0004-0000-0300-00009C080000}"/>
    <hyperlink ref="AN528" r:id="rId2206" xr:uid="{00000000-0004-0000-0300-00009D080000}"/>
    <hyperlink ref="AO528" r:id="rId2207" xr:uid="{00000000-0004-0000-0300-00009E080000}"/>
    <hyperlink ref="AS528" r:id="rId2208" xr:uid="{00000000-0004-0000-0300-00009F080000}"/>
    <hyperlink ref="AT528" r:id="rId2209" xr:uid="{00000000-0004-0000-0300-0000A0080000}"/>
    <hyperlink ref="AL529" r:id="rId2210" xr:uid="{00000000-0004-0000-0300-0000A1080000}"/>
    <hyperlink ref="AM529" r:id="rId2211" xr:uid="{00000000-0004-0000-0300-0000A2080000}"/>
    <hyperlink ref="AO529" r:id="rId2212" xr:uid="{00000000-0004-0000-0300-0000A3080000}"/>
    <hyperlink ref="AS529" r:id="rId2213" xr:uid="{00000000-0004-0000-0300-0000A4080000}"/>
    <hyperlink ref="AT529" r:id="rId2214" xr:uid="{00000000-0004-0000-0300-0000A5080000}"/>
    <hyperlink ref="AL530" r:id="rId2215" xr:uid="{00000000-0004-0000-0300-0000A6080000}"/>
    <hyperlink ref="AM530" r:id="rId2216" xr:uid="{00000000-0004-0000-0300-0000A7080000}"/>
    <hyperlink ref="AO530" r:id="rId2217" xr:uid="{00000000-0004-0000-0300-0000A8080000}"/>
    <hyperlink ref="AP530" r:id="rId2218" xr:uid="{00000000-0004-0000-0300-0000A9080000}"/>
    <hyperlink ref="AS530" r:id="rId2219" xr:uid="{00000000-0004-0000-0300-0000AA080000}"/>
    <hyperlink ref="AT530" r:id="rId2220" xr:uid="{00000000-0004-0000-0300-0000AB080000}"/>
    <hyperlink ref="AL531" r:id="rId2221" xr:uid="{00000000-0004-0000-0300-0000AC080000}"/>
    <hyperlink ref="AM531" r:id="rId2222" xr:uid="{00000000-0004-0000-0300-0000AD080000}"/>
    <hyperlink ref="AN531" r:id="rId2223" xr:uid="{00000000-0004-0000-0300-0000AE080000}"/>
    <hyperlink ref="AO531" r:id="rId2224" xr:uid="{00000000-0004-0000-0300-0000AF080000}"/>
    <hyperlink ref="AP531" r:id="rId2225" xr:uid="{00000000-0004-0000-0300-0000B0080000}"/>
    <hyperlink ref="AS531" r:id="rId2226" xr:uid="{00000000-0004-0000-0300-0000B1080000}"/>
    <hyperlink ref="AT531" r:id="rId2227" xr:uid="{00000000-0004-0000-0300-0000B2080000}"/>
    <hyperlink ref="AM532" r:id="rId2228" xr:uid="{00000000-0004-0000-0300-0000B3080000}"/>
    <hyperlink ref="AO532" r:id="rId2229" xr:uid="{00000000-0004-0000-0300-0000B4080000}"/>
    <hyperlink ref="AS532" r:id="rId2230" xr:uid="{00000000-0004-0000-0300-0000B5080000}"/>
    <hyperlink ref="AL533" r:id="rId2231" xr:uid="{00000000-0004-0000-0300-0000B6080000}"/>
    <hyperlink ref="AM533" r:id="rId2232" xr:uid="{00000000-0004-0000-0300-0000B7080000}"/>
    <hyperlink ref="AN533" r:id="rId2233" xr:uid="{00000000-0004-0000-0300-0000B8080000}"/>
    <hyperlink ref="AO533" r:id="rId2234" xr:uid="{00000000-0004-0000-0300-0000B9080000}"/>
    <hyperlink ref="AS533" r:id="rId2235" xr:uid="{00000000-0004-0000-0300-0000BA080000}"/>
    <hyperlink ref="AM534" r:id="rId2236" xr:uid="{00000000-0004-0000-0300-0000BB080000}"/>
    <hyperlink ref="AN534" r:id="rId2237" xr:uid="{00000000-0004-0000-0300-0000BC080000}"/>
    <hyperlink ref="AO534" r:id="rId2238" xr:uid="{00000000-0004-0000-0300-0000BD080000}"/>
    <hyperlink ref="AS534" r:id="rId2239" xr:uid="{00000000-0004-0000-0300-0000BE080000}"/>
    <hyperlink ref="AL535" r:id="rId2240" xr:uid="{00000000-0004-0000-0300-0000BF080000}"/>
    <hyperlink ref="AM535" r:id="rId2241" xr:uid="{00000000-0004-0000-0300-0000C0080000}"/>
    <hyperlink ref="AP535" r:id="rId2242" xr:uid="{00000000-0004-0000-0300-0000C1080000}"/>
    <hyperlink ref="AS535" r:id="rId2243" xr:uid="{00000000-0004-0000-0300-0000C2080000}"/>
    <hyperlink ref="AT535" r:id="rId2244" xr:uid="{00000000-0004-0000-0300-0000C3080000}"/>
    <hyperlink ref="AL536" r:id="rId2245" xr:uid="{00000000-0004-0000-0300-0000C4080000}"/>
    <hyperlink ref="AM536" r:id="rId2246" xr:uid="{00000000-0004-0000-0300-0000C5080000}"/>
    <hyperlink ref="AO536" r:id="rId2247" xr:uid="{00000000-0004-0000-0300-0000C6080000}"/>
    <hyperlink ref="AS536" r:id="rId2248" xr:uid="{00000000-0004-0000-0300-0000C7080000}"/>
    <hyperlink ref="AT536" r:id="rId2249" xr:uid="{00000000-0004-0000-0300-0000C8080000}"/>
    <hyperlink ref="AM537" r:id="rId2250" xr:uid="{00000000-0004-0000-0300-0000C9080000}"/>
    <hyperlink ref="AS537" r:id="rId2251" xr:uid="{00000000-0004-0000-0300-0000CA080000}"/>
    <hyperlink ref="AT537" r:id="rId2252" xr:uid="{00000000-0004-0000-0300-0000CB080000}"/>
    <hyperlink ref="AL538" r:id="rId2253" xr:uid="{00000000-0004-0000-0300-0000CC080000}"/>
    <hyperlink ref="AM538" r:id="rId2254" xr:uid="{00000000-0004-0000-0300-0000CD080000}"/>
    <hyperlink ref="AS538" r:id="rId2255" xr:uid="{00000000-0004-0000-0300-0000CE080000}"/>
    <hyperlink ref="AT538" r:id="rId2256" xr:uid="{00000000-0004-0000-0300-0000CF080000}"/>
    <hyperlink ref="AL539" r:id="rId2257" xr:uid="{00000000-0004-0000-0300-0000D0080000}"/>
    <hyperlink ref="AM539" r:id="rId2258" xr:uid="{00000000-0004-0000-0300-0000D1080000}"/>
    <hyperlink ref="AO539" r:id="rId2259" xr:uid="{00000000-0004-0000-0300-0000D2080000}"/>
    <hyperlink ref="AS539" r:id="rId2260" xr:uid="{00000000-0004-0000-0300-0000D3080000}"/>
    <hyperlink ref="AM540" r:id="rId2261" xr:uid="{00000000-0004-0000-0300-0000D4080000}"/>
    <hyperlink ref="AO540" r:id="rId2262" xr:uid="{00000000-0004-0000-0300-0000D5080000}"/>
    <hyperlink ref="AS540" r:id="rId2263" xr:uid="{00000000-0004-0000-0300-0000D6080000}"/>
    <hyperlink ref="AT540" r:id="rId2264" xr:uid="{00000000-0004-0000-0300-0000D7080000}"/>
    <hyperlink ref="AL541" r:id="rId2265" xr:uid="{00000000-0004-0000-0300-0000D8080000}"/>
    <hyperlink ref="AM541" r:id="rId2266" xr:uid="{00000000-0004-0000-0300-0000D9080000}"/>
    <hyperlink ref="AO541" r:id="rId2267" xr:uid="{00000000-0004-0000-0300-0000DA080000}"/>
    <hyperlink ref="AS541" r:id="rId2268" xr:uid="{00000000-0004-0000-0300-0000DB080000}"/>
    <hyperlink ref="AT541" r:id="rId2269" xr:uid="{00000000-0004-0000-0300-0000DC080000}"/>
    <hyperlink ref="AL542" r:id="rId2270" xr:uid="{00000000-0004-0000-0300-0000DD080000}"/>
    <hyperlink ref="AM542" r:id="rId2271" xr:uid="{00000000-0004-0000-0300-0000DE080000}"/>
    <hyperlink ref="AP542" r:id="rId2272" xr:uid="{00000000-0004-0000-0300-0000DF080000}"/>
    <hyperlink ref="AS542" r:id="rId2273" xr:uid="{00000000-0004-0000-0300-0000E0080000}"/>
    <hyperlink ref="AL543" r:id="rId2274" xr:uid="{00000000-0004-0000-0300-0000E1080000}"/>
    <hyperlink ref="AM543" r:id="rId2275" xr:uid="{00000000-0004-0000-0300-0000E2080000}"/>
    <hyperlink ref="AO543" r:id="rId2276" xr:uid="{00000000-0004-0000-0300-0000E3080000}"/>
    <hyperlink ref="AS543" r:id="rId2277" xr:uid="{00000000-0004-0000-0300-0000E4080000}"/>
    <hyperlink ref="AL544" r:id="rId2278" xr:uid="{00000000-0004-0000-0300-0000E5080000}"/>
    <hyperlink ref="AM544" r:id="rId2279" xr:uid="{00000000-0004-0000-0300-0000E6080000}"/>
    <hyperlink ref="AN544" r:id="rId2280" xr:uid="{00000000-0004-0000-0300-0000E7080000}"/>
    <hyperlink ref="AO544" r:id="rId2281" xr:uid="{00000000-0004-0000-0300-0000E8080000}"/>
    <hyperlink ref="AP544" r:id="rId2282" xr:uid="{00000000-0004-0000-0300-0000E9080000}"/>
    <hyperlink ref="AQ544" r:id="rId2283" xr:uid="{00000000-0004-0000-0300-0000EA080000}"/>
    <hyperlink ref="AR544" r:id="rId2284" xr:uid="{00000000-0004-0000-0300-0000EB080000}"/>
    <hyperlink ref="AS544" r:id="rId2285" xr:uid="{00000000-0004-0000-0300-0000EC080000}"/>
    <hyperlink ref="AT544" r:id="rId2286" xr:uid="{00000000-0004-0000-0300-0000ED080000}"/>
    <hyperlink ref="AM545" r:id="rId2287" xr:uid="{00000000-0004-0000-0300-0000EE080000}"/>
    <hyperlink ref="AN545" r:id="rId2288" xr:uid="{00000000-0004-0000-0300-0000EF080000}"/>
    <hyperlink ref="AQ545" r:id="rId2289" xr:uid="{00000000-0004-0000-0300-0000F0080000}"/>
    <hyperlink ref="AR545" r:id="rId2290" xr:uid="{00000000-0004-0000-0300-0000F1080000}"/>
    <hyperlink ref="AS545" r:id="rId2291" xr:uid="{00000000-0004-0000-0300-0000F2080000}"/>
    <hyperlink ref="AT545" r:id="rId2292" xr:uid="{00000000-0004-0000-0300-0000F3080000}"/>
    <hyperlink ref="AU545" r:id="rId2293" xr:uid="{00000000-0004-0000-0300-0000F4080000}"/>
    <hyperlink ref="AV545" r:id="rId2294" xr:uid="{00000000-0004-0000-0300-0000F5080000}"/>
    <hyperlink ref="AW545" r:id="rId2295" xr:uid="{00000000-0004-0000-0300-0000F6080000}"/>
    <hyperlink ref="AL546" r:id="rId2296" xr:uid="{00000000-0004-0000-0300-0000F7080000}"/>
    <hyperlink ref="AM546" r:id="rId2297" xr:uid="{00000000-0004-0000-0300-0000F8080000}"/>
    <hyperlink ref="AN546" r:id="rId2298" xr:uid="{00000000-0004-0000-0300-0000F9080000}"/>
    <hyperlink ref="AO546" r:id="rId2299" xr:uid="{00000000-0004-0000-0300-0000FA080000}"/>
    <hyperlink ref="AQ546" r:id="rId2300" xr:uid="{00000000-0004-0000-0300-0000FB080000}"/>
    <hyperlink ref="AR546" r:id="rId2301" xr:uid="{00000000-0004-0000-0300-0000FC080000}"/>
    <hyperlink ref="AS546" r:id="rId2302" xr:uid="{00000000-0004-0000-0300-0000FD080000}"/>
    <hyperlink ref="AU546" r:id="rId2303" xr:uid="{00000000-0004-0000-0300-0000FE080000}"/>
    <hyperlink ref="AM547" r:id="rId2304" xr:uid="{00000000-0004-0000-0300-0000FF080000}"/>
    <hyperlink ref="AN547" r:id="rId2305" xr:uid="{00000000-0004-0000-0300-000000090000}"/>
    <hyperlink ref="AO547" r:id="rId2306" xr:uid="{00000000-0004-0000-0300-000001090000}"/>
    <hyperlink ref="AR547" r:id="rId2307" xr:uid="{00000000-0004-0000-0300-000002090000}"/>
    <hyperlink ref="AS547" r:id="rId2308" xr:uid="{00000000-0004-0000-0300-000003090000}"/>
    <hyperlink ref="AT547" r:id="rId2309" xr:uid="{00000000-0004-0000-0300-000004090000}"/>
    <hyperlink ref="AU547" r:id="rId2310" xr:uid="{00000000-0004-0000-0300-000005090000}"/>
    <hyperlink ref="AM548" r:id="rId2311" xr:uid="{00000000-0004-0000-0300-000006090000}"/>
    <hyperlink ref="AN548" r:id="rId2312" xr:uid="{00000000-0004-0000-0300-000007090000}"/>
    <hyperlink ref="AQ548" r:id="rId2313" xr:uid="{00000000-0004-0000-0300-000008090000}"/>
    <hyperlink ref="AR548" r:id="rId2314" xr:uid="{00000000-0004-0000-0300-000009090000}"/>
    <hyperlink ref="AS548" r:id="rId2315" xr:uid="{00000000-0004-0000-0300-00000A090000}"/>
    <hyperlink ref="AT548" r:id="rId2316" xr:uid="{00000000-0004-0000-0300-00000B090000}"/>
    <hyperlink ref="AW548" r:id="rId2317" xr:uid="{00000000-0004-0000-0300-00000C090000}"/>
    <hyperlink ref="AL549" r:id="rId2318" xr:uid="{00000000-0004-0000-0300-00000D090000}"/>
    <hyperlink ref="AM549" r:id="rId2319" xr:uid="{00000000-0004-0000-0300-00000E090000}"/>
    <hyperlink ref="AN549" r:id="rId2320" xr:uid="{00000000-0004-0000-0300-00000F090000}"/>
    <hyperlink ref="AO549" r:id="rId2321" xr:uid="{00000000-0004-0000-0300-000010090000}"/>
    <hyperlink ref="AQ549" r:id="rId2322" xr:uid="{00000000-0004-0000-0300-000011090000}"/>
    <hyperlink ref="AR549" r:id="rId2323" xr:uid="{00000000-0004-0000-0300-000012090000}"/>
    <hyperlink ref="AS549" r:id="rId2324" xr:uid="{00000000-0004-0000-0300-000013090000}"/>
    <hyperlink ref="AT549" r:id="rId2325" xr:uid="{00000000-0004-0000-0300-000014090000}"/>
    <hyperlink ref="AU549" r:id="rId2326" xr:uid="{00000000-0004-0000-0300-000015090000}"/>
    <hyperlink ref="AW549" r:id="rId2327" xr:uid="{00000000-0004-0000-0300-000016090000}"/>
    <hyperlink ref="AL550" r:id="rId2328" xr:uid="{00000000-0004-0000-0300-000017090000}"/>
    <hyperlink ref="AM550" r:id="rId2329" xr:uid="{00000000-0004-0000-0300-000018090000}"/>
    <hyperlink ref="AN550" r:id="rId2330" xr:uid="{00000000-0004-0000-0300-000019090000}"/>
    <hyperlink ref="AR550" r:id="rId2331" xr:uid="{00000000-0004-0000-0300-00001A090000}"/>
    <hyperlink ref="AS550" r:id="rId2332" xr:uid="{00000000-0004-0000-0300-00001B090000}"/>
    <hyperlink ref="AT550" r:id="rId2333" xr:uid="{00000000-0004-0000-0300-00001C090000}"/>
    <hyperlink ref="AU550" r:id="rId2334" xr:uid="{00000000-0004-0000-0300-00001D090000}"/>
    <hyperlink ref="AL551" r:id="rId2335" xr:uid="{00000000-0004-0000-0300-00001E090000}"/>
    <hyperlink ref="AM551" r:id="rId2336" xr:uid="{00000000-0004-0000-0300-00001F090000}"/>
    <hyperlink ref="AN551" r:id="rId2337" xr:uid="{00000000-0004-0000-0300-000020090000}"/>
    <hyperlink ref="AO551" r:id="rId2338" xr:uid="{00000000-0004-0000-0300-000021090000}"/>
    <hyperlink ref="AP551" r:id="rId2339" xr:uid="{00000000-0004-0000-0300-000022090000}"/>
    <hyperlink ref="AQ551" r:id="rId2340" xr:uid="{00000000-0004-0000-0300-000023090000}"/>
    <hyperlink ref="AR551" r:id="rId2341" xr:uid="{00000000-0004-0000-0300-000024090000}"/>
    <hyperlink ref="AS551" r:id="rId2342" xr:uid="{00000000-0004-0000-0300-000025090000}"/>
    <hyperlink ref="AT551" r:id="rId2343" xr:uid="{00000000-0004-0000-0300-000026090000}"/>
    <hyperlink ref="AU551" r:id="rId2344" xr:uid="{00000000-0004-0000-0300-000027090000}"/>
    <hyperlink ref="AV551" r:id="rId2345" xr:uid="{00000000-0004-0000-0300-000028090000}"/>
    <hyperlink ref="AW551" r:id="rId2346" xr:uid="{00000000-0004-0000-0300-000029090000}"/>
    <hyperlink ref="AL552" r:id="rId2347" xr:uid="{00000000-0004-0000-0300-00002A090000}"/>
    <hyperlink ref="AM552" r:id="rId2348" xr:uid="{00000000-0004-0000-0300-00002B090000}"/>
    <hyperlink ref="AN552" r:id="rId2349" xr:uid="{00000000-0004-0000-0300-00002C090000}"/>
    <hyperlink ref="AO552" r:id="rId2350" xr:uid="{00000000-0004-0000-0300-00002D090000}"/>
    <hyperlink ref="AP552" r:id="rId2351" xr:uid="{00000000-0004-0000-0300-00002E090000}"/>
    <hyperlink ref="AQ552" r:id="rId2352" xr:uid="{00000000-0004-0000-0300-00002F090000}"/>
    <hyperlink ref="AR552" r:id="rId2353" xr:uid="{00000000-0004-0000-0300-000030090000}"/>
    <hyperlink ref="AS552" r:id="rId2354" xr:uid="{00000000-0004-0000-0300-000031090000}"/>
    <hyperlink ref="AT552" r:id="rId2355" xr:uid="{00000000-0004-0000-0300-000032090000}"/>
    <hyperlink ref="AU552" r:id="rId2356" xr:uid="{00000000-0004-0000-0300-000033090000}"/>
    <hyperlink ref="AL553" r:id="rId2357" xr:uid="{00000000-0004-0000-0300-000034090000}"/>
    <hyperlink ref="AM553" r:id="rId2358" xr:uid="{00000000-0004-0000-0300-000035090000}"/>
    <hyperlink ref="AN553" r:id="rId2359" xr:uid="{00000000-0004-0000-0300-000036090000}"/>
    <hyperlink ref="AO553" r:id="rId2360" xr:uid="{00000000-0004-0000-0300-000037090000}"/>
    <hyperlink ref="AR553" r:id="rId2361" xr:uid="{00000000-0004-0000-0300-000038090000}"/>
    <hyperlink ref="AS553" r:id="rId2362" xr:uid="{00000000-0004-0000-0300-000039090000}"/>
    <hyperlink ref="AT553" r:id="rId2363" xr:uid="{00000000-0004-0000-0300-00003A090000}"/>
    <hyperlink ref="AU553" r:id="rId2364" xr:uid="{00000000-0004-0000-0300-00003B090000}"/>
    <hyperlink ref="AL554" r:id="rId2365" xr:uid="{00000000-0004-0000-0300-00003C090000}"/>
    <hyperlink ref="AM554" r:id="rId2366" xr:uid="{00000000-0004-0000-0300-00003D090000}"/>
    <hyperlink ref="AN554" r:id="rId2367" xr:uid="{00000000-0004-0000-0300-00003E090000}"/>
    <hyperlink ref="AQ554" r:id="rId2368" xr:uid="{00000000-0004-0000-0300-00003F090000}"/>
    <hyperlink ref="AR554" r:id="rId2369" xr:uid="{00000000-0004-0000-0300-000040090000}"/>
    <hyperlink ref="AS554" r:id="rId2370" xr:uid="{00000000-0004-0000-0300-000041090000}"/>
    <hyperlink ref="AT554" r:id="rId2371" xr:uid="{00000000-0004-0000-0300-000042090000}"/>
    <hyperlink ref="AU554" r:id="rId2372" xr:uid="{00000000-0004-0000-0300-000043090000}"/>
    <hyperlink ref="AV554" r:id="rId2373" xr:uid="{00000000-0004-0000-0300-000044090000}"/>
    <hyperlink ref="AW554" r:id="rId2374" xr:uid="{00000000-0004-0000-0300-000045090000}"/>
    <hyperlink ref="AL555" r:id="rId2375" xr:uid="{00000000-0004-0000-0300-000046090000}"/>
    <hyperlink ref="AM555" r:id="rId2376" xr:uid="{00000000-0004-0000-0300-000047090000}"/>
    <hyperlink ref="AN555" r:id="rId2377" xr:uid="{00000000-0004-0000-0300-000048090000}"/>
    <hyperlink ref="AO555" r:id="rId2378" xr:uid="{00000000-0004-0000-0300-000049090000}"/>
    <hyperlink ref="AR555" r:id="rId2379" xr:uid="{00000000-0004-0000-0300-00004A090000}"/>
    <hyperlink ref="AS555" r:id="rId2380" xr:uid="{00000000-0004-0000-0300-00004B090000}"/>
    <hyperlink ref="AT555" r:id="rId2381" xr:uid="{00000000-0004-0000-0300-00004C090000}"/>
    <hyperlink ref="AU555" r:id="rId2382" xr:uid="{00000000-0004-0000-0300-00004D090000}"/>
    <hyperlink ref="AV555" r:id="rId2383" xr:uid="{00000000-0004-0000-0300-00004E090000}"/>
    <hyperlink ref="AM556" r:id="rId2384" xr:uid="{00000000-0004-0000-0300-00004F090000}"/>
    <hyperlink ref="AN556" r:id="rId2385" xr:uid="{00000000-0004-0000-0300-000050090000}"/>
    <hyperlink ref="AO556" r:id="rId2386" xr:uid="{00000000-0004-0000-0300-000051090000}"/>
    <hyperlink ref="AQ556" r:id="rId2387" xr:uid="{00000000-0004-0000-0300-000052090000}"/>
    <hyperlink ref="AR556" r:id="rId2388" xr:uid="{00000000-0004-0000-0300-000053090000}"/>
    <hyperlink ref="AS556" r:id="rId2389" xr:uid="{00000000-0004-0000-0300-000054090000}"/>
    <hyperlink ref="AT556" r:id="rId2390" xr:uid="{00000000-0004-0000-0300-000055090000}"/>
    <hyperlink ref="AM557" r:id="rId2391" xr:uid="{00000000-0004-0000-0300-000056090000}"/>
    <hyperlink ref="AR557" r:id="rId2392" xr:uid="{00000000-0004-0000-0300-000057090000}"/>
    <hyperlink ref="AS557" r:id="rId2393" xr:uid="{00000000-0004-0000-0300-000058090000}"/>
    <hyperlink ref="AT557" r:id="rId2394" xr:uid="{00000000-0004-0000-0300-000059090000}"/>
    <hyperlink ref="AU557" r:id="rId2395" xr:uid="{00000000-0004-0000-0300-00005A090000}"/>
    <hyperlink ref="AM558" r:id="rId2396" xr:uid="{00000000-0004-0000-0300-00005B090000}"/>
    <hyperlink ref="AO558" r:id="rId2397" xr:uid="{00000000-0004-0000-0300-00005C090000}"/>
    <hyperlink ref="AU558" r:id="rId2398" xr:uid="{00000000-0004-0000-0300-00005D090000}"/>
    <hyperlink ref="AL559" r:id="rId2399" xr:uid="{00000000-0004-0000-0300-00005E090000}"/>
    <hyperlink ref="AM559" r:id="rId2400" xr:uid="{00000000-0004-0000-0300-00005F090000}"/>
    <hyperlink ref="AN559" r:id="rId2401" xr:uid="{00000000-0004-0000-0300-000060090000}"/>
    <hyperlink ref="AO559" r:id="rId2402" xr:uid="{00000000-0004-0000-0300-000061090000}"/>
    <hyperlink ref="AP559" r:id="rId2403" xr:uid="{00000000-0004-0000-0300-000062090000}"/>
    <hyperlink ref="AQ559" r:id="rId2404" xr:uid="{00000000-0004-0000-0300-000063090000}"/>
    <hyperlink ref="AR559" r:id="rId2405" xr:uid="{00000000-0004-0000-0300-000064090000}"/>
    <hyperlink ref="AS559" r:id="rId2406" xr:uid="{00000000-0004-0000-0300-000065090000}"/>
    <hyperlink ref="AT559" r:id="rId2407" xr:uid="{00000000-0004-0000-0300-000066090000}"/>
    <hyperlink ref="AU559" r:id="rId2408" xr:uid="{00000000-0004-0000-0300-000067090000}"/>
    <hyperlink ref="AV559" r:id="rId2409" xr:uid="{00000000-0004-0000-0300-000068090000}"/>
    <hyperlink ref="AW559" r:id="rId2410" xr:uid="{00000000-0004-0000-0300-000069090000}"/>
    <hyperlink ref="AL560" r:id="rId2411" xr:uid="{00000000-0004-0000-0300-00006A090000}"/>
    <hyperlink ref="AM560" r:id="rId2412" xr:uid="{00000000-0004-0000-0300-00006B090000}"/>
    <hyperlink ref="AN560" r:id="rId2413" xr:uid="{00000000-0004-0000-0300-00006C090000}"/>
    <hyperlink ref="AQ560" r:id="rId2414" xr:uid="{00000000-0004-0000-0300-00006D090000}"/>
    <hyperlink ref="AR560" r:id="rId2415" xr:uid="{00000000-0004-0000-0300-00006E090000}"/>
    <hyperlink ref="AS560" r:id="rId2416" xr:uid="{00000000-0004-0000-0300-00006F090000}"/>
    <hyperlink ref="AT560" r:id="rId2417" xr:uid="{00000000-0004-0000-0300-000070090000}"/>
    <hyperlink ref="AU560" r:id="rId2418" xr:uid="{00000000-0004-0000-0300-000071090000}"/>
    <hyperlink ref="AW560" r:id="rId2419" xr:uid="{00000000-0004-0000-0300-000072090000}"/>
    <hyperlink ref="AL561" r:id="rId2420" xr:uid="{00000000-0004-0000-0300-000073090000}"/>
    <hyperlink ref="AM561" r:id="rId2421" xr:uid="{00000000-0004-0000-0300-000074090000}"/>
    <hyperlink ref="AN561" r:id="rId2422" xr:uid="{00000000-0004-0000-0300-000075090000}"/>
    <hyperlink ref="AR561" r:id="rId2423" xr:uid="{00000000-0004-0000-0300-000076090000}"/>
    <hyperlink ref="AS561" r:id="rId2424" xr:uid="{00000000-0004-0000-0300-000077090000}"/>
    <hyperlink ref="AT561" r:id="rId2425" xr:uid="{00000000-0004-0000-0300-000078090000}"/>
    <hyperlink ref="AU561" r:id="rId2426" xr:uid="{00000000-0004-0000-0300-000079090000}"/>
    <hyperlink ref="AV561" r:id="rId2427" xr:uid="{00000000-0004-0000-0300-00007A090000}"/>
    <hyperlink ref="AW561" r:id="rId2428" xr:uid="{00000000-0004-0000-0300-00007B090000}"/>
    <hyperlink ref="AL562" r:id="rId2429" xr:uid="{00000000-0004-0000-0300-00007C090000}"/>
    <hyperlink ref="AM562" r:id="rId2430" xr:uid="{00000000-0004-0000-0300-00007D090000}"/>
    <hyperlink ref="AN562" r:id="rId2431" xr:uid="{00000000-0004-0000-0300-00007E090000}"/>
    <hyperlink ref="AO562" r:id="rId2432" xr:uid="{00000000-0004-0000-0300-00007F090000}"/>
    <hyperlink ref="AP562" r:id="rId2433" xr:uid="{00000000-0004-0000-0300-000080090000}"/>
    <hyperlink ref="AR562" r:id="rId2434" xr:uid="{00000000-0004-0000-0300-000081090000}"/>
    <hyperlink ref="AS562" r:id="rId2435" xr:uid="{00000000-0004-0000-0300-000082090000}"/>
    <hyperlink ref="AT562" r:id="rId2436" xr:uid="{00000000-0004-0000-0300-000083090000}"/>
    <hyperlink ref="AU562" r:id="rId2437" xr:uid="{00000000-0004-0000-0300-000084090000}"/>
    <hyperlink ref="AV562" r:id="rId2438" xr:uid="{00000000-0004-0000-0300-000085090000}"/>
    <hyperlink ref="AW562" r:id="rId2439" xr:uid="{00000000-0004-0000-0300-000086090000}"/>
    <hyperlink ref="AL563" r:id="rId2440" xr:uid="{00000000-0004-0000-0300-000087090000}"/>
    <hyperlink ref="AM563" r:id="rId2441" xr:uid="{00000000-0004-0000-0300-000088090000}"/>
    <hyperlink ref="AN563" r:id="rId2442" xr:uid="{00000000-0004-0000-0300-000089090000}"/>
    <hyperlink ref="AO563" r:id="rId2443" xr:uid="{00000000-0004-0000-0300-00008A090000}"/>
    <hyperlink ref="AP563" r:id="rId2444" xr:uid="{00000000-0004-0000-0300-00008B090000}"/>
    <hyperlink ref="AQ563" r:id="rId2445" xr:uid="{00000000-0004-0000-0300-00008C090000}"/>
    <hyperlink ref="AR563" r:id="rId2446" xr:uid="{00000000-0004-0000-0300-00008D090000}"/>
    <hyperlink ref="AS563" r:id="rId2447" xr:uid="{00000000-0004-0000-0300-00008E090000}"/>
    <hyperlink ref="AT563" r:id="rId2448" xr:uid="{00000000-0004-0000-0300-00008F090000}"/>
    <hyperlink ref="AU563" r:id="rId2449" xr:uid="{00000000-0004-0000-0300-000090090000}"/>
    <hyperlink ref="AV563" r:id="rId2450" xr:uid="{00000000-0004-0000-0300-000091090000}"/>
    <hyperlink ref="AW563" r:id="rId2451" xr:uid="{00000000-0004-0000-0300-000092090000}"/>
    <hyperlink ref="AL564" r:id="rId2452" xr:uid="{00000000-0004-0000-0300-000093090000}"/>
    <hyperlink ref="AM564" r:id="rId2453" xr:uid="{00000000-0004-0000-0300-000094090000}"/>
    <hyperlink ref="AN564" r:id="rId2454" xr:uid="{00000000-0004-0000-0300-000095090000}"/>
    <hyperlink ref="AQ564" r:id="rId2455" xr:uid="{00000000-0004-0000-0300-000096090000}"/>
    <hyperlink ref="AS564" r:id="rId2456" xr:uid="{00000000-0004-0000-0300-000097090000}"/>
    <hyperlink ref="AM565" r:id="rId2457" xr:uid="{00000000-0004-0000-0300-000098090000}"/>
    <hyperlink ref="AN565" r:id="rId2458" xr:uid="{00000000-0004-0000-0300-000099090000}"/>
    <hyperlink ref="AQ565" r:id="rId2459" xr:uid="{00000000-0004-0000-0300-00009A090000}"/>
    <hyperlink ref="AR565" r:id="rId2460" xr:uid="{00000000-0004-0000-0300-00009B090000}"/>
    <hyperlink ref="AS565" r:id="rId2461" xr:uid="{00000000-0004-0000-0300-00009C090000}"/>
    <hyperlink ref="AT565" r:id="rId2462" xr:uid="{00000000-0004-0000-0300-00009D090000}"/>
    <hyperlink ref="AU565" r:id="rId2463" xr:uid="{00000000-0004-0000-0300-00009E090000}"/>
    <hyperlink ref="AV565" r:id="rId2464" xr:uid="{00000000-0004-0000-0300-00009F090000}"/>
    <hyperlink ref="AM566" r:id="rId2465" xr:uid="{00000000-0004-0000-0300-0000A0090000}"/>
    <hyperlink ref="AN566" r:id="rId2466" xr:uid="{00000000-0004-0000-0300-0000A1090000}"/>
    <hyperlink ref="AQ566" r:id="rId2467" xr:uid="{00000000-0004-0000-0300-0000A2090000}"/>
    <hyperlink ref="AT566" r:id="rId2468" xr:uid="{00000000-0004-0000-0300-0000A3090000}"/>
    <hyperlink ref="AU566" r:id="rId2469" xr:uid="{00000000-0004-0000-0300-0000A4090000}"/>
    <hyperlink ref="AL567" r:id="rId2470" xr:uid="{00000000-0004-0000-0300-0000A5090000}"/>
    <hyperlink ref="AM567" r:id="rId2471" xr:uid="{00000000-0004-0000-0300-0000A6090000}"/>
    <hyperlink ref="AN567" r:id="rId2472" xr:uid="{00000000-0004-0000-0300-0000A7090000}"/>
    <hyperlink ref="AO567" r:id="rId2473" xr:uid="{00000000-0004-0000-0300-0000A8090000}"/>
    <hyperlink ref="AR567" r:id="rId2474" xr:uid="{00000000-0004-0000-0300-0000A9090000}"/>
    <hyperlink ref="AS567" r:id="rId2475" xr:uid="{00000000-0004-0000-0300-0000AA090000}"/>
    <hyperlink ref="AT567" r:id="rId2476" xr:uid="{00000000-0004-0000-0300-0000AB090000}"/>
    <hyperlink ref="AU567" r:id="rId2477" xr:uid="{00000000-0004-0000-0300-0000AC090000}"/>
    <hyperlink ref="AL568" r:id="rId2478" xr:uid="{00000000-0004-0000-0300-0000AD090000}"/>
    <hyperlink ref="AM568" r:id="rId2479" xr:uid="{00000000-0004-0000-0300-0000AE090000}"/>
    <hyperlink ref="AN568" r:id="rId2480" xr:uid="{00000000-0004-0000-0300-0000AF090000}"/>
    <hyperlink ref="AO568" r:id="rId2481" xr:uid="{00000000-0004-0000-0300-0000B0090000}"/>
    <hyperlink ref="AQ568" r:id="rId2482" xr:uid="{00000000-0004-0000-0300-0000B1090000}"/>
    <hyperlink ref="AR568" r:id="rId2483" xr:uid="{00000000-0004-0000-0300-0000B2090000}"/>
    <hyperlink ref="AS568" r:id="rId2484" xr:uid="{00000000-0004-0000-0300-0000B3090000}"/>
    <hyperlink ref="AT568" r:id="rId2485" xr:uid="{00000000-0004-0000-0300-0000B4090000}"/>
    <hyperlink ref="AU568" r:id="rId2486" xr:uid="{00000000-0004-0000-0300-0000B5090000}"/>
    <hyperlink ref="AV568" r:id="rId2487" xr:uid="{00000000-0004-0000-0300-0000B6090000}"/>
    <hyperlink ref="AW568" r:id="rId2488" xr:uid="{00000000-0004-0000-0300-0000B7090000}"/>
    <hyperlink ref="AM569" r:id="rId2489" xr:uid="{00000000-0004-0000-0300-0000B8090000}"/>
    <hyperlink ref="AN569" r:id="rId2490" xr:uid="{00000000-0004-0000-0300-0000B9090000}"/>
    <hyperlink ref="AR569" r:id="rId2491" xr:uid="{00000000-0004-0000-0300-0000BA090000}"/>
    <hyperlink ref="AS569" r:id="rId2492" xr:uid="{00000000-0004-0000-0300-0000BB090000}"/>
    <hyperlink ref="AT569" r:id="rId2493" xr:uid="{00000000-0004-0000-0300-0000BC090000}"/>
    <hyperlink ref="AV569" r:id="rId2494" xr:uid="{00000000-0004-0000-0300-0000BD090000}"/>
    <hyperlink ref="AQ570" r:id="rId2495" xr:uid="{00000000-0004-0000-0300-0000BE090000}"/>
    <hyperlink ref="AR570" r:id="rId2496" xr:uid="{00000000-0004-0000-0300-0000BF090000}"/>
    <hyperlink ref="AS570" r:id="rId2497" xr:uid="{00000000-0004-0000-0300-0000C0090000}"/>
    <hyperlink ref="AU570" r:id="rId2498" xr:uid="{00000000-0004-0000-0300-0000C1090000}"/>
    <hyperlink ref="AV570" r:id="rId2499" xr:uid="{00000000-0004-0000-0300-0000C2090000}"/>
    <hyperlink ref="AL571" r:id="rId2500" xr:uid="{00000000-0004-0000-0300-0000C3090000}"/>
    <hyperlink ref="AM571" r:id="rId2501" xr:uid="{00000000-0004-0000-0300-0000C4090000}"/>
    <hyperlink ref="AN571" r:id="rId2502" xr:uid="{00000000-0004-0000-0300-0000C5090000}"/>
    <hyperlink ref="AO571" r:id="rId2503" xr:uid="{00000000-0004-0000-0300-0000C6090000}"/>
    <hyperlink ref="AR571" r:id="rId2504" xr:uid="{00000000-0004-0000-0300-0000C7090000}"/>
    <hyperlink ref="AT571" r:id="rId2505" xr:uid="{00000000-0004-0000-0300-0000C8090000}"/>
    <hyperlink ref="AU571" r:id="rId2506" xr:uid="{00000000-0004-0000-0300-0000C9090000}"/>
    <hyperlink ref="AM572" r:id="rId2507" xr:uid="{00000000-0004-0000-0300-0000CA090000}"/>
    <hyperlink ref="AN572" r:id="rId2508" xr:uid="{00000000-0004-0000-0300-0000CB090000}"/>
    <hyperlink ref="AS572" r:id="rId2509" xr:uid="{00000000-0004-0000-0300-0000CC090000}"/>
    <hyperlink ref="AU572" r:id="rId2510" xr:uid="{00000000-0004-0000-0300-0000CD090000}"/>
    <hyperlink ref="AL573" r:id="rId2511" xr:uid="{00000000-0004-0000-0300-0000CE090000}"/>
    <hyperlink ref="AM573" r:id="rId2512" xr:uid="{00000000-0004-0000-0300-0000CF090000}"/>
    <hyperlink ref="AN573" r:id="rId2513" xr:uid="{00000000-0004-0000-0300-0000D0090000}"/>
    <hyperlink ref="AO573" r:id="rId2514" xr:uid="{00000000-0004-0000-0300-0000D1090000}"/>
    <hyperlink ref="AQ573" r:id="rId2515" xr:uid="{00000000-0004-0000-0300-0000D2090000}"/>
    <hyperlink ref="AR573" r:id="rId2516" xr:uid="{00000000-0004-0000-0300-0000D3090000}"/>
    <hyperlink ref="AS573" r:id="rId2517" xr:uid="{00000000-0004-0000-0300-0000D4090000}"/>
    <hyperlink ref="AT573" r:id="rId2518" xr:uid="{00000000-0004-0000-0300-0000D5090000}"/>
    <hyperlink ref="AU573" r:id="rId2519" xr:uid="{00000000-0004-0000-0300-0000D6090000}"/>
    <hyperlink ref="AW573" r:id="rId2520" xr:uid="{00000000-0004-0000-0300-0000D7090000}"/>
    <hyperlink ref="AU574" r:id="rId2521" xr:uid="{00000000-0004-0000-0300-0000D8090000}"/>
    <hyperlink ref="AL575" r:id="rId2522" xr:uid="{00000000-0004-0000-0300-0000D9090000}"/>
    <hyperlink ref="AM575" r:id="rId2523" xr:uid="{00000000-0004-0000-0300-0000DA090000}"/>
    <hyperlink ref="AN575" r:id="rId2524" xr:uid="{00000000-0004-0000-0300-0000DB090000}"/>
    <hyperlink ref="AP575" r:id="rId2525" xr:uid="{00000000-0004-0000-0300-0000DC090000}"/>
    <hyperlink ref="AQ575" r:id="rId2526" xr:uid="{00000000-0004-0000-0300-0000DD090000}"/>
    <hyperlink ref="AR575" r:id="rId2527" xr:uid="{00000000-0004-0000-0300-0000DE090000}"/>
    <hyperlink ref="AS575" r:id="rId2528" xr:uid="{00000000-0004-0000-0300-0000DF090000}"/>
    <hyperlink ref="AU575" r:id="rId2529" xr:uid="{00000000-0004-0000-0300-0000E0090000}"/>
    <hyperlink ref="AV575" r:id="rId2530" xr:uid="{00000000-0004-0000-0300-0000E1090000}"/>
    <hyperlink ref="AL576" r:id="rId2531" xr:uid="{00000000-0004-0000-0300-0000E2090000}"/>
    <hyperlink ref="AM576" r:id="rId2532" xr:uid="{00000000-0004-0000-0300-0000E3090000}"/>
    <hyperlink ref="AN576" r:id="rId2533" xr:uid="{00000000-0004-0000-0300-0000E4090000}"/>
    <hyperlink ref="AO576" r:id="rId2534" xr:uid="{00000000-0004-0000-0300-0000E5090000}"/>
    <hyperlink ref="AQ576" r:id="rId2535" xr:uid="{00000000-0004-0000-0300-0000E6090000}"/>
    <hyperlink ref="AR576" r:id="rId2536" xr:uid="{00000000-0004-0000-0300-0000E7090000}"/>
    <hyperlink ref="AS576" r:id="rId2537" xr:uid="{00000000-0004-0000-0300-0000E8090000}"/>
    <hyperlink ref="AT576" r:id="rId2538" xr:uid="{00000000-0004-0000-0300-0000E9090000}"/>
    <hyperlink ref="AW576" r:id="rId2539" xr:uid="{00000000-0004-0000-0300-0000EA090000}"/>
    <hyperlink ref="AM577" r:id="rId2540" xr:uid="{00000000-0004-0000-0300-0000EB090000}"/>
    <hyperlink ref="AN577" r:id="rId2541" xr:uid="{00000000-0004-0000-0300-0000EC090000}"/>
    <hyperlink ref="AR577" r:id="rId2542" xr:uid="{00000000-0004-0000-0300-0000ED090000}"/>
    <hyperlink ref="AS577" r:id="rId2543" xr:uid="{00000000-0004-0000-0300-0000EE090000}"/>
    <hyperlink ref="AU577" r:id="rId2544" xr:uid="{00000000-0004-0000-0300-0000EF090000}"/>
    <hyperlink ref="AL578" r:id="rId2545" xr:uid="{00000000-0004-0000-0300-0000F0090000}"/>
    <hyperlink ref="AM578" r:id="rId2546" xr:uid="{00000000-0004-0000-0300-0000F1090000}"/>
    <hyperlink ref="AN578" r:id="rId2547" xr:uid="{00000000-0004-0000-0300-0000F2090000}"/>
    <hyperlink ref="AO578" r:id="rId2548" xr:uid="{00000000-0004-0000-0300-0000F3090000}"/>
    <hyperlink ref="AR578" r:id="rId2549" xr:uid="{00000000-0004-0000-0300-0000F4090000}"/>
    <hyperlink ref="AS578" r:id="rId2550" xr:uid="{00000000-0004-0000-0300-0000F5090000}"/>
    <hyperlink ref="AT578" r:id="rId2551" xr:uid="{00000000-0004-0000-0300-0000F6090000}"/>
    <hyperlink ref="AU578" r:id="rId2552" xr:uid="{00000000-0004-0000-0300-0000F7090000}"/>
    <hyperlink ref="AM579" r:id="rId2553" xr:uid="{00000000-0004-0000-0300-0000F8090000}"/>
    <hyperlink ref="AN579" r:id="rId2554" xr:uid="{00000000-0004-0000-0300-0000F9090000}"/>
    <hyperlink ref="AO579" r:id="rId2555" xr:uid="{00000000-0004-0000-0300-0000FA090000}"/>
    <hyperlink ref="AR579" r:id="rId2556" xr:uid="{00000000-0004-0000-0300-0000FB090000}"/>
    <hyperlink ref="AU579" r:id="rId2557" xr:uid="{00000000-0004-0000-0300-0000FC090000}"/>
    <hyperlink ref="AL580" r:id="rId2558" xr:uid="{00000000-0004-0000-0300-0000FD090000}"/>
    <hyperlink ref="AM580" r:id="rId2559" xr:uid="{00000000-0004-0000-0300-0000FE090000}"/>
    <hyperlink ref="AN580" r:id="rId2560" xr:uid="{00000000-0004-0000-0300-0000FF090000}"/>
    <hyperlink ref="AQ580" r:id="rId2561" xr:uid="{00000000-0004-0000-0300-0000000A0000}"/>
    <hyperlink ref="AR580" r:id="rId2562" xr:uid="{00000000-0004-0000-0300-0000010A0000}"/>
    <hyperlink ref="AS580" r:id="rId2563" xr:uid="{00000000-0004-0000-0300-0000020A0000}"/>
    <hyperlink ref="AT580" r:id="rId2564" xr:uid="{00000000-0004-0000-0300-0000030A0000}"/>
    <hyperlink ref="AU580" r:id="rId2565" xr:uid="{00000000-0004-0000-0300-0000040A0000}"/>
    <hyperlink ref="AL581" r:id="rId2566" xr:uid="{00000000-0004-0000-0300-0000050A0000}"/>
    <hyperlink ref="AM581" r:id="rId2567" xr:uid="{00000000-0004-0000-0300-0000060A0000}"/>
    <hyperlink ref="AN581" r:id="rId2568" xr:uid="{00000000-0004-0000-0300-0000070A0000}"/>
    <hyperlink ref="AO581" r:id="rId2569" xr:uid="{00000000-0004-0000-0300-0000080A0000}"/>
    <hyperlink ref="AQ581" r:id="rId2570" xr:uid="{00000000-0004-0000-0300-0000090A0000}"/>
    <hyperlink ref="AR581" r:id="rId2571" xr:uid="{00000000-0004-0000-0300-00000A0A0000}"/>
    <hyperlink ref="AS581" r:id="rId2572" xr:uid="{00000000-0004-0000-0300-00000B0A0000}"/>
    <hyperlink ref="AT581" r:id="rId2573" xr:uid="{00000000-0004-0000-0300-00000C0A0000}"/>
    <hyperlink ref="AU581" r:id="rId2574" xr:uid="{00000000-0004-0000-0300-00000D0A0000}"/>
    <hyperlink ref="AV581" r:id="rId2575" xr:uid="{00000000-0004-0000-0300-00000E0A0000}"/>
    <hyperlink ref="AW581" r:id="rId2576" xr:uid="{00000000-0004-0000-0300-00000F0A0000}"/>
    <hyperlink ref="AM582" r:id="rId2577" xr:uid="{00000000-0004-0000-0300-0000100A0000}"/>
    <hyperlink ref="AN582" r:id="rId2578" xr:uid="{00000000-0004-0000-0300-0000110A0000}"/>
    <hyperlink ref="AR582" r:id="rId2579" xr:uid="{00000000-0004-0000-0300-0000120A0000}"/>
    <hyperlink ref="AS582" r:id="rId2580" xr:uid="{00000000-0004-0000-0300-0000130A0000}"/>
    <hyperlink ref="AW582" r:id="rId2581" xr:uid="{00000000-0004-0000-0300-0000140A0000}"/>
    <hyperlink ref="AL583" r:id="rId2582" xr:uid="{00000000-0004-0000-0300-0000150A0000}"/>
    <hyperlink ref="AM583" r:id="rId2583" xr:uid="{00000000-0004-0000-0300-0000160A0000}"/>
    <hyperlink ref="AN583" r:id="rId2584" xr:uid="{00000000-0004-0000-0300-0000170A0000}"/>
    <hyperlink ref="AO583" r:id="rId2585" xr:uid="{00000000-0004-0000-0300-0000180A0000}"/>
    <hyperlink ref="AQ583" r:id="rId2586" xr:uid="{00000000-0004-0000-0300-0000190A0000}"/>
    <hyperlink ref="AR583" r:id="rId2587" xr:uid="{00000000-0004-0000-0300-00001A0A0000}"/>
    <hyperlink ref="AS583" r:id="rId2588" xr:uid="{00000000-0004-0000-0300-00001B0A0000}"/>
    <hyperlink ref="AT583" r:id="rId2589" xr:uid="{00000000-0004-0000-0300-00001C0A0000}"/>
    <hyperlink ref="AU583" r:id="rId2590" xr:uid="{00000000-0004-0000-0300-00001D0A0000}"/>
    <hyperlink ref="AW583" r:id="rId2591" xr:uid="{00000000-0004-0000-0300-00001E0A0000}"/>
    <hyperlink ref="AL584" r:id="rId2592" xr:uid="{00000000-0004-0000-0300-00001F0A0000}"/>
    <hyperlink ref="AM584" r:id="rId2593" xr:uid="{00000000-0004-0000-0300-0000200A0000}"/>
    <hyperlink ref="AN584" r:id="rId2594" xr:uid="{00000000-0004-0000-0300-0000210A0000}"/>
    <hyperlink ref="AO584" r:id="rId2595" xr:uid="{00000000-0004-0000-0300-0000220A0000}"/>
    <hyperlink ref="AQ584" r:id="rId2596" xr:uid="{00000000-0004-0000-0300-0000230A0000}"/>
    <hyperlink ref="AR584" r:id="rId2597" xr:uid="{00000000-0004-0000-0300-0000240A0000}"/>
    <hyperlink ref="AS584" r:id="rId2598" xr:uid="{00000000-0004-0000-0300-0000250A0000}"/>
    <hyperlink ref="AT584" r:id="rId2599" xr:uid="{00000000-0004-0000-0300-0000260A0000}"/>
    <hyperlink ref="AU584" r:id="rId2600" xr:uid="{00000000-0004-0000-0300-0000270A0000}"/>
    <hyperlink ref="AV584" r:id="rId2601" xr:uid="{00000000-0004-0000-0300-0000280A0000}"/>
    <hyperlink ref="AW584" r:id="rId2602" xr:uid="{00000000-0004-0000-0300-0000290A0000}"/>
    <hyperlink ref="AL585" r:id="rId2603" xr:uid="{00000000-0004-0000-0300-00002A0A0000}"/>
    <hyperlink ref="AM585" r:id="rId2604" xr:uid="{00000000-0004-0000-0300-00002B0A0000}"/>
    <hyperlink ref="AN585" r:id="rId2605" xr:uid="{00000000-0004-0000-0300-00002C0A0000}"/>
    <hyperlink ref="AO585" r:id="rId2606" xr:uid="{00000000-0004-0000-0300-00002D0A0000}"/>
    <hyperlink ref="AQ585" r:id="rId2607" xr:uid="{00000000-0004-0000-0300-00002E0A0000}"/>
    <hyperlink ref="AR585" r:id="rId2608" xr:uid="{00000000-0004-0000-0300-00002F0A0000}"/>
    <hyperlink ref="AS585" r:id="rId2609" xr:uid="{00000000-0004-0000-0300-0000300A0000}"/>
    <hyperlink ref="AT585" r:id="rId2610" xr:uid="{00000000-0004-0000-0300-0000310A0000}"/>
    <hyperlink ref="AL586" r:id="rId2611" xr:uid="{00000000-0004-0000-0300-0000320A0000}"/>
    <hyperlink ref="AN586" r:id="rId2612" xr:uid="{00000000-0004-0000-0300-0000330A0000}"/>
    <hyperlink ref="AO586" r:id="rId2613" xr:uid="{00000000-0004-0000-0300-0000340A0000}"/>
    <hyperlink ref="AP586" r:id="rId2614" xr:uid="{00000000-0004-0000-0300-0000350A0000}"/>
    <hyperlink ref="AS586" r:id="rId2615" xr:uid="{00000000-0004-0000-0300-0000360A0000}"/>
    <hyperlink ref="AT586" r:id="rId2616" xr:uid="{00000000-0004-0000-0300-0000370A0000}"/>
    <hyperlink ref="AM587" r:id="rId2617" xr:uid="{00000000-0004-0000-0300-0000380A0000}"/>
    <hyperlink ref="AN587" r:id="rId2618" xr:uid="{00000000-0004-0000-0300-0000390A0000}"/>
    <hyperlink ref="AO587" r:id="rId2619" xr:uid="{00000000-0004-0000-0300-00003A0A0000}"/>
    <hyperlink ref="AQ587" r:id="rId2620" xr:uid="{00000000-0004-0000-0300-00003B0A0000}"/>
    <hyperlink ref="AR587" r:id="rId2621" xr:uid="{00000000-0004-0000-0300-00003C0A0000}"/>
    <hyperlink ref="AS587" r:id="rId2622" xr:uid="{00000000-0004-0000-0300-00003D0A0000}"/>
    <hyperlink ref="AT587" r:id="rId2623" xr:uid="{00000000-0004-0000-0300-00003E0A0000}"/>
    <hyperlink ref="AL588" r:id="rId2624" xr:uid="{00000000-0004-0000-0300-00003F0A0000}"/>
    <hyperlink ref="AM588" r:id="rId2625" xr:uid="{00000000-0004-0000-0300-0000400A0000}"/>
    <hyperlink ref="AN588" r:id="rId2626" xr:uid="{00000000-0004-0000-0300-0000410A0000}"/>
    <hyperlink ref="AO588" r:id="rId2627" xr:uid="{00000000-0004-0000-0300-0000420A0000}"/>
    <hyperlink ref="AQ588" r:id="rId2628" xr:uid="{00000000-0004-0000-0300-0000430A0000}"/>
    <hyperlink ref="AR588" r:id="rId2629" xr:uid="{00000000-0004-0000-0300-0000440A0000}"/>
    <hyperlink ref="AS588" r:id="rId2630" xr:uid="{00000000-0004-0000-0300-0000450A0000}"/>
    <hyperlink ref="AT588" r:id="rId2631" xr:uid="{00000000-0004-0000-0300-0000460A0000}"/>
    <hyperlink ref="AU588" r:id="rId2632" xr:uid="{00000000-0004-0000-0300-0000470A0000}"/>
    <hyperlink ref="AV588" r:id="rId2633" xr:uid="{00000000-0004-0000-0300-0000480A0000}"/>
    <hyperlink ref="AW588" r:id="rId2634" xr:uid="{00000000-0004-0000-0300-0000490A0000}"/>
    <hyperlink ref="AL589" r:id="rId2635" xr:uid="{00000000-0004-0000-0300-00004A0A0000}"/>
    <hyperlink ref="AM589" r:id="rId2636" xr:uid="{00000000-0004-0000-0300-00004B0A0000}"/>
    <hyperlink ref="AN589" r:id="rId2637" xr:uid="{00000000-0004-0000-0300-00004C0A0000}"/>
    <hyperlink ref="AQ589" r:id="rId2638" xr:uid="{00000000-0004-0000-0300-00004D0A0000}"/>
    <hyperlink ref="AT589" r:id="rId2639" xr:uid="{00000000-0004-0000-0300-00004E0A0000}"/>
    <hyperlink ref="AU589" r:id="rId2640" xr:uid="{00000000-0004-0000-0300-00004F0A0000}"/>
    <hyperlink ref="AM590" r:id="rId2641" xr:uid="{00000000-0004-0000-0300-0000500A0000}"/>
    <hyperlink ref="AN590" r:id="rId2642" xr:uid="{00000000-0004-0000-0300-0000510A0000}"/>
    <hyperlink ref="AO590" r:id="rId2643" xr:uid="{00000000-0004-0000-0300-0000520A0000}"/>
    <hyperlink ref="AQ590" r:id="rId2644" xr:uid="{00000000-0004-0000-0300-0000530A0000}"/>
    <hyperlink ref="AR590" r:id="rId2645" xr:uid="{00000000-0004-0000-0300-0000540A0000}"/>
    <hyperlink ref="AS590" r:id="rId2646" xr:uid="{00000000-0004-0000-0300-0000550A0000}"/>
    <hyperlink ref="AT590" r:id="rId2647" xr:uid="{00000000-0004-0000-0300-0000560A0000}"/>
    <hyperlink ref="AU590" r:id="rId2648" xr:uid="{00000000-0004-0000-0300-0000570A0000}"/>
    <hyperlink ref="AL591" r:id="rId2649" xr:uid="{00000000-0004-0000-0300-0000580A0000}"/>
    <hyperlink ref="AM591" r:id="rId2650" xr:uid="{00000000-0004-0000-0300-0000590A0000}"/>
    <hyperlink ref="AN591" r:id="rId2651" xr:uid="{00000000-0004-0000-0300-00005A0A0000}"/>
    <hyperlink ref="AO591" r:id="rId2652" xr:uid="{00000000-0004-0000-0300-00005B0A0000}"/>
    <hyperlink ref="AP591" r:id="rId2653" xr:uid="{00000000-0004-0000-0300-00005C0A0000}"/>
    <hyperlink ref="AU591" r:id="rId2654" xr:uid="{00000000-0004-0000-0300-00005D0A0000}"/>
    <hyperlink ref="AM592" r:id="rId2655" xr:uid="{00000000-0004-0000-0300-00005E0A0000}"/>
    <hyperlink ref="AN592" r:id="rId2656" xr:uid="{00000000-0004-0000-0300-00005F0A0000}"/>
    <hyperlink ref="AO592" r:id="rId2657" xr:uid="{00000000-0004-0000-0300-0000600A0000}"/>
    <hyperlink ref="AQ592" r:id="rId2658" xr:uid="{00000000-0004-0000-0300-0000610A0000}"/>
    <hyperlink ref="AR592" r:id="rId2659" xr:uid="{00000000-0004-0000-0300-0000620A0000}"/>
    <hyperlink ref="AS592" r:id="rId2660" xr:uid="{00000000-0004-0000-0300-0000630A0000}"/>
    <hyperlink ref="AU592" r:id="rId2661" xr:uid="{00000000-0004-0000-0300-0000640A0000}"/>
    <hyperlink ref="AW592" r:id="rId2662" xr:uid="{00000000-0004-0000-0300-0000650A0000}"/>
    <hyperlink ref="AL593" r:id="rId2663" xr:uid="{00000000-0004-0000-0300-0000660A0000}"/>
    <hyperlink ref="AM593" r:id="rId2664" xr:uid="{00000000-0004-0000-0300-0000670A0000}"/>
    <hyperlink ref="AN593" r:id="rId2665" xr:uid="{00000000-0004-0000-0300-0000680A0000}"/>
    <hyperlink ref="AO593" r:id="rId2666" xr:uid="{00000000-0004-0000-0300-0000690A0000}"/>
    <hyperlink ref="AP593" r:id="rId2667" xr:uid="{00000000-0004-0000-0300-00006A0A0000}"/>
    <hyperlink ref="AQ593" r:id="rId2668" xr:uid="{00000000-0004-0000-0300-00006B0A0000}"/>
    <hyperlink ref="AR593" r:id="rId2669" xr:uid="{00000000-0004-0000-0300-00006C0A0000}"/>
    <hyperlink ref="AS593" r:id="rId2670" xr:uid="{00000000-0004-0000-0300-00006D0A0000}"/>
    <hyperlink ref="AT593" r:id="rId2671" xr:uid="{00000000-0004-0000-0300-00006E0A0000}"/>
    <hyperlink ref="AU593" r:id="rId2672" xr:uid="{00000000-0004-0000-0300-00006F0A0000}"/>
    <hyperlink ref="AW593" r:id="rId2673" xr:uid="{00000000-0004-0000-0300-0000700A0000}"/>
    <hyperlink ref="AL594" r:id="rId2674" xr:uid="{00000000-0004-0000-0300-0000710A0000}"/>
    <hyperlink ref="AM594" r:id="rId2675" xr:uid="{00000000-0004-0000-0300-0000720A0000}"/>
    <hyperlink ref="AN594" r:id="rId2676" xr:uid="{00000000-0004-0000-0300-0000730A0000}"/>
    <hyperlink ref="AO594" r:id="rId2677" xr:uid="{00000000-0004-0000-0300-0000740A0000}"/>
    <hyperlink ref="AQ594" r:id="rId2678" xr:uid="{00000000-0004-0000-0300-0000750A0000}"/>
    <hyperlink ref="AR594" r:id="rId2679" xr:uid="{00000000-0004-0000-0300-0000760A0000}"/>
    <hyperlink ref="AS594" r:id="rId2680" xr:uid="{00000000-0004-0000-0300-0000770A0000}"/>
    <hyperlink ref="AT594" r:id="rId2681" xr:uid="{00000000-0004-0000-0300-0000780A0000}"/>
    <hyperlink ref="AU594" r:id="rId2682" xr:uid="{00000000-0004-0000-0300-0000790A0000}"/>
    <hyperlink ref="AV594" r:id="rId2683" xr:uid="{00000000-0004-0000-0300-00007A0A0000}"/>
    <hyperlink ref="AW594" r:id="rId2684" xr:uid="{00000000-0004-0000-0300-00007B0A0000}"/>
    <hyperlink ref="AL595" r:id="rId2685" xr:uid="{00000000-0004-0000-0300-00007C0A0000}"/>
    <hyperlink ref="AM595" r:id="rId2686" xr:uid="{00000000-0004-0000-0300-00007D0A0000}"/>
    <hyperlink ref="AN595" r:id="rId2687" xr:uid="{00000000-0004-0000-0300-00007E0A0000}"/>
    <hyperlink ref="AO595" r:id="rId2688" xr:uid="{00000000-0004-0000-0300-00007F0A0000}"/>
    <hyperlink ref="AQ595" r:id="rId2689" xr:uid="{00000000-0004-0000-0300-0000800A0000}"/>
    <hyperlink ref="AR595" r:id="rId2690" xr:uid="{00000000-0004-0000-0300-0000810A0000}"/>
    <hyperlink ref="AS595" r:id="rId2691" xr:uid="{00000000-0004-0000-0300-0000820A0000}"/>
    <hyperlink ref="AT595" r:id="rId2692" xr:uid="{00000000-0004-0000-0300-0000830A0000}"/>
    <hyperlink ref="AV595" r:id="rId2693" xr:uid="{00000000-0004-0000-0300-0000840A0000}"/>
    <hyperlink ref="AL596" r:id="rId2694" xr:uid="{00000000-0004-0000-0300-0000850A0000}"/>
    <hyperlink ref="AM596" r:id="rId2695" xr:uid="{00000000-0004-0000-0300-0000860A0000}"/>
    <hyperlink ref="AN596" r:id="rId2696" xr:uid="{00000000-0004-0000-0300-0000870A0000}"/>
    <hyperlink ref="AQ596" r:id="rId2697" xr:uid="{00000000-0004-0000-0300-0000880A0000}"/>
    <hyperlink ref="AR596" r:id="rId2698" xr:uid="{00000000-0004-0000-0300-0000890A0000}"/>
    <hyperlink ref="AS596" r:id="rId2699" xr:uid="{00000000-0004-0000-0300-00008A0A0000}"/>
    <hyperlink ref="AT596" r:id="rId2700" xr:uid="{00000000-0004-0000-0300-00008B0A0000}"/>
    <hyperlink ref="AU596" r:id="rId2701" xr:uid="{00000000-0004-0000-0300-00008C0A0000}"/>
    <hyperlink ref="AV596" r:id="rId2702" xr:uid="{00000000-0004-0000-0300-00008D0A0000}"/>
    <hyperlink ref="AW596" r:id="rId2703" xr:uid="{00000000-0004-0000-0300-00008E0A0000}"/>
    <hyperlink ref="AL597" r:id="rId2704" xr:uid="{00000000-0004-0000-0300-00008F0A0000}"/>
    <hyperlink ref="AM597" r:id="rId2705" xr:uid="{00000000-0004-0000-0300-0000900A0000}"/>
    <hyperlink ref="AN597" r:id="rId2706" xr:uid="{00000000-0004-0000-0300-0000910A0000}"/>
    <hyperlink ref="AO597" r:id="rId2707" xr:uid="{00000000-0004-0000-0300-0000920A0000}"/>
    <hyperlink ref="AQ597" r:id="rId2708" xr:uid="{00000000-0004-0000-0300-0000930A0000}"/>
    <hyperlink ref="AR597" r:id="rId2709" xr:uid="{00000000-0004-0000-0300-0000940A0000}"/>
    <hyperlink ref="AS597" r:id="rId2710" xr:uid="{00000000-0004-0000-0300-0000950A0000}"/>
    <hyperlink ref="AT597" r:id="rId2711" xr:uid="{00000000-0004-0000-0300-0000960A0000}"/>
    <hyperlink ref="AU597" r:id="rId2712" xr:uid="{00000000-0004-0000-0300-0000970A0000}"/>
    <hyperlink ref="AW597" r:id="rId2713" xr:uid="{00000000-0004-0000-0300-0000980A0000}"/>
    <hyperlink ref="AM598" r:id="rId2714" xr:uid="{00000000-0004-0000-0300-0000990A0000}"/>
    <hyperlink ref="AN598" r:id="rId2715" xr:uid="{00000000-0004-0000-0300-00009A0A0000}"/>
    <hyperlink ref="AR598" r:id="rId2716" xr:uid="{00000000-0004-0000-0300-00009B0A0000}"/>
    <hyperlink ref="AS598" r:id="rId2717" xr:uid="{00000000-0004-0000-0300-00009C0A0000}"/>
    <hyperlink ref="AT598" r:id="rId2718" xr:uid="{00000000-0004-0000-0300-00009D0A0000}"/>
    <hyperlink ref="AU598" r:id="rId2719" xr:uid="{00000000-0004-0000-0300-00009E0A0000}"/>
    <hyperlink ref="AL599" r:id="rId2720" xr:uid="{00000000-0004-0000-0300-00009F0A0000}"/>
    <hyperlink ref="AM599" r:id="rId2721" xr:uid="{00000000-0004-0000-0300-0000A00A0000}"/>
    <hyperlink ref="AN599" r:id="rId2722" xr:uid="{00000000-0004-0000-0300-0000A10A0000}"/>
    <hyperlink ref="AO599" r:id="rId2723" xr:uid="{00000000-0004-0000-0300-0000A20A0000}"/>
    <hyperlink ref="AR599" r:id="rId2724" xr:uid="{00000000-0004-0000-0300-0000A30A0000}"/>
    <hyperlink ref="AS599" r:id="rId2725" xr:uid="{00000000-0004-0000-0300-0000A40A0000}"/>
    <hyperlink ref="AT599" r:id="rId2726" xr:uid="{00000000-0004-0000-0300-0000A50A0000}"/>
    <hyperlink ref="AV599" r:id="rId2727" xr:uid="{00000000-0004-0000-0300-0000A60A0000}"/>
    <hyperlink ref="AM600" r:id="rId2728" xr:uid="{00000000-0004-0000-0300-0000A70A0000}"/>
    <hyperlink ref="AN600" r:id="rId2729" xr:uid="{00000000-0004-0000-0300-0000A80A0000}"/>
    <hyperlink ref="AQ600" r:id="rId2730" xr:uid="{00000000-0004-0000-0300-0000A90A0000}"/>
    <hyperlink ref="AR600" r:id="rId2731" xr:uid="{00000000-0004-0000-0300-0000AA0A0000}"/>
    <hyperlink ref="AS600" r:id="rId2732" xr:uid="{00000000-0004-0000-0300-0000AB0A0000}"/>
    <hyperlink ref="AT600" r:id="rId2733" xr:uid="{00000000-0004-0000-0300-0000AC0A0000}"/>
    <hyperlink ref="AU600" r:id="rId2734" xr:uid="{00000000-0004-0000-0300-0000AD0A0000}"/>
  </hyperlinks>
  <pageMargins left="0.511811024" right="0.511811024" top="0.78740157499999996" bottom="0.78740157499999996" header="0.31496062000000002" footer="0.31496062000000002"/>
  <pageSetup paperSize="9" orientation="portrait" verticalDpi="597" r:id="rId2735"/>
  <drawing r:id="rId2736"/>
  <legacyDrawing r:id="rId273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2677F1"/>
    <outlinePr summaryBelow="0" summaryRight="0"/>
  </sheetPr>
  <dimension ref="A1:AV600"/>
  <sheetViews>
    <sheetView workbookViewId="0">
      <pane ySplit="2" topLeftCell="A3" activePane="bottomLeft" state="frozen"/>
      <selection pane="bottomLeft" activeCell="B4" sqref="B4"/>
    </sheetView>
  </sheetViews>
  <sheetFormatPr defaultColWidth="12.6328125" defaultRowHeight="15.75" customHeight="1" x14ac:dyDescent="0.25"/>
  <cols>
    <col min="1" max="1" width="27.08984375" customWidth="1"/>
    <col min="2" max="2" width="20.08984375" customWidth="1"/>
    <col min="3" max="3" width="37.6328125" customWidth="1"/>
    <col min="4" max="4" width="16.08984375" customWidth="1"/>
    <col min="5" max="5" width="17.08984375" customWidth="1"/>
    <col min="6" max="6" width="13.08984375" customWidth="1"/>
    <col min="7" max="7" width="31.6328125" customWidth="1"/>
    <col min="8" max="8" width="14.08984375" customWidth="1"/>
    <col min="9" max="9" width="22.08984375" customWidth="1"/>
    <col min="10" max="10" width="12.08984375" customWidth="1"/>
    <col min="11" max="11" width="37.6328125" customWidth="1"/>
    <col min="12" max="12" width="16.08984375" customWidth="1"/>
    <col min="13" max="13" width="18.08984375" customWidth="1"/>
    <col min="14" max="14" width="10.08984375" customWidth="1"/>
    <col min="15" max="15" width="13.90625" customWidth="1"/>
    <col min="16" max="16" width="11.08984375" customWidth="1"/>
    <col min="17" max="18" width="37.6328125" customWidth="1"/>
    <col min="19" max="20" width="19.08984375" customWidth="1"/>
    <col min="21" max="21" width="35.08984375" customWidth="1"/>
    <col min="22" max="22" width="37.6328125" customWidth="1"/>
    <col min="23" max="23" width="14.08984375" customWidth="1"/>
    <col min="24" max="24" width="17.08984375" customWidth="1"/>
    <col min="25" max="25" width="15.08984375" customWidth="1"/>
    <col min="26" max="26" width="36.08984375" customWidth="1"/>
    <col min="27" max="27" width="24.08984375" customWidth="1"/>
    <col min="28" max="29" width="37.6328125" customWidth="1"/>
    <col min="30" max="30" width="20.08984375" customWidth="1"/>
    <col min="31" max="31" width="30.08984375" customWidth="1"/>
    <col min="32" max="33" width="25.08984375" customWidth="1"/>
    <col min="34" max="34" width="22.08984375" customWidth="1"/>
    <col min="35" max="35" width="35.08984375" customWidth="1"/>
    <col min="36" max="36" width="30.08984375" customWidth="1"/>
    <col min="37" max="37" width="37.6328125" customWidth="1"/>
    <col min="38" max="38" width="20.08984375" customWidth="1"/>
    <col min="39" max="39" width="36.08984375" customWidth="1"/>
    <col min="40" max="40" width="27.08984375" customWidth="1"/>
    <col min="41" max="43" width="37.6328125" customWidth="1"/>
    <col min="44" max="44" width="20.08984375" customWidth="1"/>
    <col min="45" max="48" width="37.6328125" customWidth="1"/>
  </cols>
  <sheetData>
    <row r="1" spans="1:48" ht="33.75" customHeight="1" x14ac:dyDescent="0.25">
      <c r="A1" s="19" t="e">
        <f ca="1">CONCATENATE(
            "              ", "Salesforce Import", CHAR(10),
            "              ", "⚠️   ",
            _xludf.IFS(
                (NOW()-"2022/09/13 13:03") &lt;= 0,
                    "",
                AND((NOW()-"2022/09/13 13:03") * 1440 &gt;= 0, (NOW()-"2022/09/13 13:03") * 1440 &lt;= 5),
                    "Last updated just now",
                (NOW()-"2022/09/13 13:03") * 1440 &lt;= 60,
                    "Last updated "&amp;FLOOR((NOW()-"2022/09/13 13:03")*1440,1)&amp;" minutes ago",
                (NOW()-"2022/09/13 13:03") * 24 &lt;= 24,
                    "Last updated "&amp;FLOOR((NOW()-"2022/09/13 13:03")*24,1) &amp;
                        IF(FLOOR((NOW()-"2022/09/13 13:03")*24,1) &lt;= 1, " hour ago", " hours ago"),
                (NOW()-"2022/09/13 13:03") &lt;= 30,
                    "Last updated "&amp;FLOOR((NOW()-"2022/09/13 13:03"),1) &amp;
                        IF(FLOOR((NOW()-"2022/09/13 13:03"),1) &lt;= 1, " day ago", " days ago"),
                (NOW()-"2022/09/13 13:03") &gt; 30,
                    "Last updated " &amp;
                        FLOOR((NOW()-"2022/09/13 13:03")/7,1) &amp;
                        IF(FLOOR((NOW()-"2022/09/13 13:03"),1) &lt;= 1, " week ago", " weeks ago")
            )
        )</f>
        <v>#NAME?</v>
      </c>
      <c r="B1" s="19" t="s">
        <v>3740</v>
      </c>
      <c r="C1" s="19" t="s">
        <v>3740</v>
      </c>
      <c r="D1" s="18" t="s">
        <v>3740</v>
      </c>
      <c r="E1" s="18" t="s">
        <v>3740</v>
      </c>
      <c r="F1" s="18" t="s">
        <v>3740</v>
      </c>
      <c r="G1" s="18" t="s">
        <v>3740</v>
      </c>
      <c r="H1" s="19" t="s">
        <v>3740</v>
      </c>
      <c r="I1" s="18" t="s">
        <v>3740</v>
      </c>
      <c r="J1" s="19" t="s">
        <v>3740</v>
      </c>
      <c r="K1" s="18" t="s">
        <v>3740</v>
      </c>
      <c r="L1" s="18" t="s">
        <v>3740</v>
      </c>
      <c r="M1" s="18" t="s">
        <v>3740</v>
      </c>
      <c r="N1" s="18" t="s">
        <v>3740</v>
      </c>
      <c r="O1" s="18" t="s">
        <v>3740</v>
      </c>
      <c r="P1" s="18" t="s">
        <v>3740</v>
      </c>
      <c r="Q1" s="18" t="s">
        <v>3740</v>
      </c>
      <c r="R1" s="18" t="s">
        <v>3740</v>
      </c>
      <c r="S1" s="18" t="s">
        <v>3740</v>
      </c>
      <c r="T1" s="18" t="s">
        <v>3740</v>
      </c>
      <c r="U1" s="18" t="s">
        <v>3740</v>
      </c>
      <c r="V1" s="18" t="s">
        <v>3740</v>
      </c>
      <c r="W1" s="18" t="s">
        <v>3740</v>
      </c>
      <c r="X1" s="18" t="s">
        <v>3740</v>
      </c>
      <c r="Y1" s="18" t="s">
        <v>3740</v>
      </c>
      <c r="Z1" s="18" t="s">
        <v>3740</v>
      </c>
      <c r="AA1" s="18" t="s">
        <v>3740</v>
      </c>
      <c r="AB1" s="18" t="s">
        <v>3740</v>
      </c>
      <c r="AC1" s="18" t="s">
        <v>3740</v>
      </c>
      <c r="AD1" s="19" t="s">
        <v>3740</v>
      </c>
      <c r="AE1" s="19" t="s">
        <v>3740</v>
      </c>
      <c r="AF1" s="19" t="s">
        <v>3740</v>
      </c>
      <c r="AG1" s="19" t="s">
        <v>3740</v>
      </c>
      <c r="AH1" s="19" t="s">
        <v>3740</v>
      </c>
      <c r="AI1" s="19" t="s">
        <v>3740</v>
      </c>
      <c r="AJ1" s="19" t="s">
        <v>3740</v>
      </c>
      <c r="AK1" s="19" t="s">
        <v>3740</v>
      </c>
      <c r="AL1" s="19" t="s">
        <v>3740</v>
      </c>
      <c r="AM1" s="19" t="s">
        <v>3740</v>
      </c>
      <c r="AN1" s="19" t="s">
        <v>3740</v>
      </c>
      <c r="AO1" s="19" t="s">
        <v>3740</v>
      </c>
      <c r="AP1" s="19" t="s">
        <v>3740</v>
      </c>
      <c r="AQ1" s="19" t="s">
        <v>3740</v>
      </c>
      <c r="AR1" s="19" t="s">
        <v>3740</v>
      </c>
      <c r="AS1" s="19" t="s">
        <v>3740</v>
      </c>
      <c r="AT1" s="19"/>
      <c r="AU1" s="19"/>
      <c r="AV1" s="19"/>
    </row>
    <row r="2" spans="1:48" ht="22.5" customHeight="1" x14ac:dyDescent="0.25">
      <c r="A2" s="20" t="s">
        <v>12646</v>
      </c>
      <c r="B2" s="20" t="s">
        <v>3741</v>
      </c>
      <c r="C2" s="20" t="s">
        <v>2</v>
      </c>
      <c r="D2" s="20" t="s">
        <v>0</v>
      </c>
      <c r="E2" s="20" t="s">
        <v>2497</v>
      </c>
      <c r="F2" s="20" t="s">
        <v>2498</v>
      </c>
      <c r="G2" s="20" t="s">
        <v>2499</v>
      </c>
      <c r="H2" s="20" t="s">
        <v>12647</v>
      </c>
      <c r="I2" s="20" t="s">
        <v>2501</v>
      </c>
      <c r="J2" s="20" t="s">
        <v>12648</v>
      </c>
      <c r="K2" s="20" t="s">
        <v>2502</v>
      </c>
      <c r="L2" s="20" t="s">
        <v>2503</v>
      </c>
      <c r="M2" s="20" t="s">
        <v>2504</v>
      </c>
      <c r="N2" s="20" t="s">
        <v>2505</v>
      </c>
      <c r="O2" s="20" t="s">
        <v>2506</v>
      </c>
      <c r="P2" s="20" t="s">
        <v>2507</v>
      </c>
      <c r="Q2" s="20" t="s">
        <v>2508</v>
      </c>
      <c r="R2" s="20" t="s">
        <v>2509</v>
      </c>
      <c r="S2" s="20" t="s">
        <v>2510</v>
      </c>
      <c r="T2" s="20" t="s">
        <v>2511</v>
      </c>
      <c r="U2" s="20" t="s">
        <v>2513</v>
      </c>
      <c r="V2" s="20" t="s">
        <v>2514</v>
      </c>
      <c r="W2" s="20" t="s">
        <v>2515</v>
      </c>
      <c r="X2" s="20" t="s">
        <v>2516</v>
      </c>
      <c r="Y2" s="20" t="s">
        <v>2517</v>
      </c>
      <c r="Z2" s="20" t="s">
        <v>2518</v>
      </c>
      <c r="AA2" s="20" t="s">
        <v>2519</v>
      </c>
      <c r="AB2" s="20" t="s">
        <v>2520</v>
      </c>
      <c r="AC2" s="20" t="s">
        <v>2521</v>
      </c>
      <c r="AD2" s="20" t="s">
        <v>2522</v>
      </c>
      <c r="AE2" s="20" t="s">
        <v>2523</v>
      </c>
      <c r="AF2" s="20" t="s">
        <v>2524</v>
      </c>
      <c r="AG2" s="20" t="s">
        <v>12649</v>
      </c>
      <c r="AH2" s="20" t="s">
        <v>2525</v>
      </c>
      <c r="AI2" s="20" t="s">
        <v>2526</v>
      </c>
      <c r="AJ2" s="20" t="s">
        <v>2527</v>
      </c>
      <c r="AK2" s="20" t="s">
        <v>2528</v>
      </c>
      <c r="AL2" s="20" t="s">
        <v>2529</v>
      </c>
      <c r="AM2" s="20" t="s">
        <v>2530</v>
      </c>
      <c r="AN2" s="20" t="s">
        <v>2531</v>
      </c>
      <c r="AO2" s="20" t="s">
        <v>2532</v>
      </c>
      <c r="AP2" s="20" t="s">
        <v>2533</v>
      </c>
      <c r="AQ2" s="20" t="s">
        <v>2534</v>
      </c>
      <c r="AR2" s="20" t="s">
        <v>12650</v>
      </c>
      <c r="AS2" s="20" t="s">
        <v>12651</v>
      </c>
      <c r="AT2" s="20"/>
      <c r="AU2" s="20"/>
      <c r="AV2" s="20"/>
    </row>
    <row r="3" spans="1:48" ht="12.5" hidden="1" x14ac:dyDescent="0.25">
      <c r="A3" s="3" t="s">
        <v>12652</v>
      </c>
      <c r="B3" s="7" t="str">
        <f>HYPERLINK("https://gerandofalcoes.my.salesforce.com/0014X00002OEuauQAD", "0014X00002OEuauQAD")</f>
        <v>0014X00002OEuauQAD</v>
      </c>
      <c r="C3" s="3" t="s">
        <v>3744</v>
      </c>
      <c r="D3" s="3" t="s">
        <v>46</v>
      </c>
      <c r="E3" s="21" t="str">
        <f>HYPERLINK("https://gerandofalcoes.my.salesforce.com/0034X0000315PR3", "0034X0000315PR3")</f>
        <v>0034X0000315PR3</v>
      </c>
      <c r="F3" s="3" t="s">
        <v>3294</v>
      </c>
      <c r="G3" s="3" t="s">
        <v>12653</v>
      </c>
      <c r="H3" s="3" t="s">
        <v>2538</v>
      </c>
      <c r="I3" s="3" t="s">
        <v>12654</v>
      </c>
      <c r="J3" s="3">
        <v>245</v>
      </c>
      <c r="K3" s="3" t="s">
        <v>12655</v>
      </c>
      <c r="L3" s="3" t="s">
        <v>3747</v>
      </c>
      <c r="M3" s="6">
        <v>30548</v>
      </c>
      <c r="N3" s="3">
        <v>39</v>
      </c>
      <c r="O3" s="3">
        <v>1083540128</v>
      </c>
      <c r="P3" s="3">
        <v>82080402072</v>
      </c>
      <c r="S3" s="3" t="s">
        <v>2998</v>
      </c>
      <c r="T3" s="3" t="s">
        <v>12656</v>
      </c>
      <c r="U3" s="3" t="s">
        <v>120</v>
      </c>
      <c r="V3" s="3" t="s">
        <v>12657</v>
      </c>
      <c r="W3" s="3"/>
      <c r="X3" s="3" t="s">
        <v>2980</v>
      </c>
      <c r="Y3" s="3" t="s">
        <v>12658</v>
      </c>
      <c r="Z3" s="3"/>
      <c r="AA3" s="3" t="s">
        <v>2544</v>
      </c>
      <c r="AB3" s="3" t="s">
        <v>2545</v>
      </c>
      <c r="AC3" s="3" t="s">
        <v>12659</v>
      </c>
      <c r="AD3" s="3">
        <v>529</v>
      </c>
      <c r="AE3" s="3" t="s">
        <v>12660</v>
      </c>
      <c r="AF3" s="3" t="s">
        <v>409</v>
      </c>
      <c r="AG3" s="3" t="s">
        <v>3749</v>
      </c>
      <c r="AH3" s="3" t="s">
        <v>3751</v>
      </c>
      <c r="AI3" s="3" t="s">
        <v>407</v>
      </c>
      <c r="AJ3" s="3" t="s">
        <v>2569</v>
      </c>
      <c r="AK3" s="3" t="s">
        <v>12661</v>
      </c>
      <c r="AL3" s="3" t="s">
        <v>2588</v>
      </c>
      <c r="AM3" s="3">
        <v>3</v>
      </c>
      <c r="AP3" s="7" t="s">
        <v>12662</v>
      </c>
      <c r="AQ3" s="7" t="s">
        <v>12663</v>
      </c>
      <c r="AR3" s="3" t="s">
        <v>12664</v>
      </c>
      <c r="AS3" s="7" t="s">
        <v>12665</v>
      </c>
    </row>
    <row r="4" spans="1:48" ht="12.5" hidden="1" x14ac:dyDescent="0.25">
      <c r="A4" s="3" t="s">
        <v>12652</v>
      </c>
      <c r="B4" s="7" t="str">
        <f>HYPERLINK("https://gerandofalcoes.my.salesforce.com/0014X00002OEualQAD", "0014X00002OEualQAD")</f>
        <v>0014X00002OEualQAD</v>
      </c>
      <c r="C4" s="3" t="s">
        <v>3758</v>
      </c>
      <c r="D4" s="3" t="s">
        <v>46</v>
      </c>
      <c r="E4" s="21" t="str">
        <f>HYPERLINK("https://gerandofalcoes.my.salesforce.com/0034X0000315PQu", "0034X0000315PQu")</f>
        <v>0034X0000315PQu</v>
      </c>
      <c r="F4" s="3" t="s">
        <v>12666</v>
      </c>
      <c r="G4" s="3" t="s">
        <v>12667</v>
      </c>
      <c r="H4" s="3" t="s">
        <v>2538</v>
      </c>
      <c r="I4" s="3" t="s">
        <v>12654</v>
      </c>
      <c r="J4" s="3">
        <v>245</v>
      </c>
      <c r="K4" s="3" t="s">
        <v>12668</v>
      </c>
      <c r="L4" s="3" t="s">
        <v>3762</v>
      </c>
      <c r="M4" s="6">
        <v>25766</v>
      </c>
      <c r="N4" s="3">
        <v>52</v>
      </c>
      <c r="O4" s="3">
        <v>8910002008260</v>
      </c>
      <c r="P4" s="3">
        <v>49621718368</v>
      </c>
      <c r="S4" s="3" t="s">
        <v>3137</v>
      </c>
      <c r="T4" s="3" t="s">
        <v>12656</v>
      </c>
      <c r="U4" s="3" t="s">
        <v>120</v>
      </c>
      <c r="V4" s="3" t="s">
        <v>12669</v>
      </c>
      <c r="W4" s="3"/>
      <c r="X4" s="3" t="s">
        <v>2980</v>
      </c>
      <c r="Y4" s="3" t="s">
        <v>12670</v>
      </c>
      <c r="Z4" s="3"/>
      <c r="AA4" s="3" t="s">
        <v>2737</v>
      </c>
      <c r="AB4" s="3" t="s">
        <v>2543</v>
      </c>
      <c r="AC4" s="3" t="s">
        <v>12671</v>
      </c>
      <c r="AD4" s="3">
        <v>2363</v>
      </c>
      <c r="AE4" s="3"/>
      <c r="AF4" s="3" t="s">
        <v>470</v>
      </c>
      <c r="AG4" s="3" t="s">
        <v>12672</v>
      </c>
      <c r="AH4" s="3" t="s">
        <v>12673</v>
      </c>
      <c r="AI4" s="3" t="s">
        <v>468</v>
      </c>
      <c r="AJ4" s="3" t="s">
        <v>2569</v>
      </c>
      <c r="AK4" s="3" t="s">
        <v>12674</v>
      </c>
      <c r="AL4" s="3" t="s">
        <v>2588</v>
      </c>
      <c r="AM4" s="3">
        <v>3</v>
      </c>
      <c r="AP4" s="3"/>
      <c r="AQ4" s="3" t="s">
        <v>12675</v>
      </c>
      <c r="AR4" s="3" t="s">
        <v>12676</v>
      </c>
      <c r="AS4" s="7" t="s">
        <v>12677</v>
      </c>
    </row>
    <row r="5" spans="1:48" ht="12.5" hidden="1" x14ac:dyDescent="0.25">
      <c r="A5" s="3" t="s">
        <v>12652</v>
      </c>
      <c r="B5" s="7" t="str">
        <f>HYPERLINK("https://gerandofalcoes.my.salesforce.com/0014X00002OEuamQAD", "0014X00002OEuamQAD")</f>
        <v>0014X00002OEuamQAD</v>
      </c>
      <c r="C5" s="3" t="s">
        <v>3777</v>
      </c>
      <c r="D5" s="3" t="s">
        <v>46</v>
      </c>
      <c r="E5" s="21" t="str">
        <f>HYPERLINK("https://gerandofalcoes.my.salesforce.com/0034X0000315PQv", "0034X0000315PQv")</f>
        <v>0034X0000315PQv</v>
      </c>
      <c r="F5" s="3" t="s">
        <v>12678</v>
      </c>
      <c r="G5" s="3" t="s">
        <v>12679</v>
      </c>
      <c r="H5" s="3" t="s">
        <v>2538</v>
      </c>
      <c r="I5" s="3" t="s">
        <v>12654</v>
      </c>
      <c r="J5" s="3">
        <v>245</v>
      </c>
      <c r="K5" s="3" t="s">
        <v>12680</v>
      </c>
      <c r="L5" s="3" t="s">
        <v>12681</v>
      </c>
      <c r="M5" s="6">
        <v>34397</v>
      </c>
      <c r="N5" s="3">
        <v>28</v>
      </c>
      <c r="O5" s="3">
        <v>364408820088</v>
      </c>
      <c r="P5" s="3">
        <v>60837476356</v>
      </c>
      <c r="Q5" s="3"/>
      <c r="S5" s="3" t="s">
        <v>3137</v>
      </c>
      <c r="T5" s="3" t="s">
        <v>12682</v>
      </c>
      <c r="U5" s="3" t="s">
        <v>120</v>
      </c>
      <c r="V5" s="3" t="s">
        <v>12683</v>
      </c>
      <c r="W5" s="3"/>
      <c r="X5" s="3" t="s">
        <v>2980</v>
      </c>
      <c r="Y5" s="3" t="s">
        <v>12684</v>
      </c>
      <c r="Z5" s="3" t="s">
        <v>12685</v>
      </c>
      <c r="AA5" s="3"/>
      <c r="AB5" s="3"/>
      <c r="AC5" s="3">
        <v>110</v>
      </c>
      <c r="AD5" s="3">
        <v>10</v>
      </c>
      <c r="AE5" s="3" t="s">
        <v>12686</v>
      </c>
      <c r="AF5" s="3" t="s">
        <v>3780</v>
      </c>
      <c r="AG5" s="3" t="s">
        <v>1630</v>
      </c>
      <c r="AH5" s="3" t="s">
        <v>3781</v>
      </c>
      <c r="AI5" s="3" t="s">
        <v>246</v>
      </c>
      <c r="AJ5" s="3" t="s">
        <v>2569</v>
      </c>
      <c r="AK5" s="3" t="s">
        <v>12687</v>
      </c>
      <c r="AL5" s="3" t="s">
        <v>2588</v>
      </c>
      <c r="AM5" s="3">
        <v>6</v>
      </c>
      <c r="AQ5" s="7" t="s">
        <v>12688</v>
      </c>
      <c r="AR5" s="3" t="s">
        <v>12676</v>
      </c>
      <c r="AS5" s="7" t="s">
        <v>12689</v>
      </c>
    </row>
    <row r="6" spans="1:48" ht="12.5" hidden="1" x14ac:dyDescent="0.25">
      <c r="A6" s="3" t="s">
        <v>12652</v>
      </c>
      <c r="B6" s="7" t="str">
        <f>HYPERLINK("https://gerandofalcoes.my.salesforce.com/0014X00002OEuaoQAD", "0014X00002OEuaoQAD")</f>
        <v>0014X00002OEuaoQAD</v>
      </c>
      <c r="C6" s="3" t="s">
        <v>3788</v>
      </c>
      <c r="D6" s="3" t="s">
        <v>46</v>
      </c>
      <c r="E6" s="21" t="str">
        <f>HYPERLINK("https://gerandofalcoes.my.salesforce.com/0034X0000315PQx", "0034X0000315PQx")</f>
        <v>0034X0000315PQx</v>
      </c>
      <c r="F6" s="3" t="s">
        <v>12690</v>
      </c>
      <c r="G6" s="3" t="s">
        <v>12691</v>
      </c>
      <c r="H6" s="3" t="s">
        <v>2538</v>
      </c>
      <c r="I6" s="3" t="s">
        <v>12654</v>
      </c>
      <c r="J6" s="3">
        <v>245</v>
      </c>
      <c r="K6" s="3" t="s">
        <v>12692</v>
      </c>
      <c r="L6" s="3" t="s">
        <v>12693</v>
      </c>
      <c r="M6" s="6">
        <v>30042</v>
      </c>
      <c r="N6" s="3">
        <v>40</v>
      </c>
      <c r="O6" s="3">
        <v>284857324</v>
      </c>
      <c r="P6" s="3">
        <v>30541241850</v>
      </c>
      <c r="Q6" s="3"/>
      <c r="S6" s="3" t="s">
        <v>3137</v>
      </c>
      <c r="T6" s="3" t="s">
        <v>12656</v>
      </c>
      <c r="U6" s="3" t="s">
        <v>120</v>
      </c>
      <c r="V6" s="3" t="s">
        <v>12694</v>
      </c>
      <c r="W6" s="3"/>
      <c r="X6" s="3" t="s">
        <v>2980</v>
      </c>
      <c r="Y6" s="3" t="s">
        <v>12658</v>
      </c>
      <c r="Z6" s="3" t="s">
        <v>2545</v>
      </c>
      <c r="AA6" s="3" t="s">
        <v>2544</v>
      </c>
      <c r="AB6" s="3" t="s">
        <v>2545</v>
      </c>
      <c r="AC6" s="3" t="s">
        <v>12695</v>
      </c>
      <c r="AD6" s="3">
        <v>843</v>
      </c>
      <c r="AE6" s="3">
        <v>24</v>
      </c>
      <c r="AF6" s="3" t="s">
        <v>3795</v>
      </c>
      <c r="AG6" s="3" t="s">
        <v>12696</v>
      </c>
      <c r="AH6" s="3" t="s">
        <v>12697</v>
      </c>
      <c r="AI6" s="3" t="s">
        <v>101</v>
      </c>
      <c r="AJ6" s="3" t="s">
        <v>2741</v>
      </c>
      <c r="AK6" s="3"/>
      <c r="AL6" s="3" t="s">
        <v>2550</v>
      </c>
      <c r="AM6" s="3">
        <v>1</v>
      </c>
      <c r="AO6" s="3" t="s">
        <v>12698</v>
      </c>
      <c r="AP6" s="7" t="s">
        <v>12699</v>
      </c>
      <c r="AQ6" s="7" t="s">
        <v>12700</v>
      </c>
      <c r="AR6" s="3" t="s">
        <v>4204</v>
      </c>
      <c r="AS6" s="7" t="s">
        <v>12701</v>
      </c>
    </row>
    <row r="7" spans="1:48" ht="12.5" hidden="1" x14ac:dyDescent="0.25">
      <c r="A7" s="3" t="s">
        <v>12652</v>
      </c>
      <c r="B7" s="7" t="str">
        <f>HYPERLINK("https://gerandofalcoes.my.salesforce.com/0014X00002OEuapQAD", "0014X00002OEuapQAD")</f>
        <v>0014X00002OEuapQAD</v>
      </c>
      <c r="C7" s="3" t="s">
        <v>3804</v>
      </c>
      <c r="D7" s="3" t="s">
        <v>46</v>
      </c>
      <c r="E7" s="21" t="str">
        <f>HYPERLINK("https://gerandofalcoes.my.salesforce.com/0034X0000315PQy", "0034X0000315PQy")</f>
        <v>0034X0000315PQy</v>
      </c>
      <c r="F7" s="3" t="s">
        <v>12702</v>
      </c>
      <c r="G7" s="3" t="s">
        <v>12703</v>
      </c>
      <c r="H7" s="3" t="s">
        <v>12704</v>
      </c>
      <c r="I7" s="3" t="s">
        <v>12654</v>
      </c>
      <c r="J7" s="3">
        <v>245</v>
      </c>
      <c r="K7" s="3" t="s">
        <v>12705</v>
      </c>
      <c r="L7" s="3">
        <v>11973779502</v>
      </c>
      <c r="M7" s="6">
        <v>26972</v>
      </c>
      <c r="N7" s="3">
        <v>49</v>
      </c>
      <c r="O7" s="3">
        <v>671121029</v>
      </c>
      <c r="P7" s="3" t="s">
        <v>12706</v>
      </c>
      <c r="Q7" s="3"/>
      <c r="S7" s="3"/>
      <c r="T7" s="3" t="s">
        <v>12656</v>
      </c>
      <c r="U7" s="3"/>
      <c r="V7" s="3"/>
      <c r="W7" s="3"/>
      <c r="Y7" s="3" t="s">
        <v>12658</v>
      </c>
      <c r="Z7" s="3" t="s">
        <v>2543</v>
      </c>
      <c r="AA7" s="3"/>
      <c r="AB7" s="3"/>
      <c r="AC7" s="3" t="s">
        <v>12707</v>
      </c>
      <c r="AD7" s="3">
        <v>310</v>
      </c>
      <c r="AE7" s="3"/>
      <c r="AF7" s="3" t="s">
        <v>12708</v>
      </c>
      <c r="AG7" s="3" t="s">
        <v>12709</v>
      </c>
      <c r="AH7" s="3">
        <v>4225080</v>
      </c>
      <c r="AI7" s="3" t="s">
        <v>101</v>
      </c>
      <c r="AJ7" s="3"/>
      <c r="AK7" s="3"/>
      <c r="AL7" s="3"/>
      <c r="AM7" s="3"/>
      <c r="AP7" s="3"/>
      <c r="AQ7" s="3" t="s">
        <v>3804</v>
      </c>
      <c r="AR7" s="3"/>
      <c r="AS7" s="3"/>
    </row>
    <row r="8" spans="1:48" ht="12.5" hidden="1" x14ac:dyDescent="0.25">
      <c r="A8" s="3" t="s">
        <v>12652</v>
      </c>
      <c r="B8" s="7" t="str">
        <f>HYPERLINK("https://gerandofalcoes.my.salesforce.com/0014X00002OEuaqQAD", "0014X00002OEuaqQAD")</f>
        <v>0014X00002OEuaqQAD</v>
      </c>
      <c r="C8" s="3" t="s">
        <v>3807</v>
      </c>
      <c r="D8" s="3" t="s">
        <v>46</v>
      </c>
      <c r="E8" s="21" t="str">
        <f>HYPERLINK("https://gerandofalcoes.my.salesforce.com/0034X0000315PQz", "0034X0000315PQz")</f>
        <v>0034X0000315PQz</v>
      </c>
      <c r="F8" s="3" t="s">
        <v>3434</v>
      </c>
      <c r="G8" s="3" t="s">
        <v>12710</v>
      </c>
      <c r="H8" s="3" t="s">
        <v>2538</v>
      </c>
      <c r="I8" s="3" t="s">
        <v>12654</v>
      </c>
      <c r="J8" s="3">
        <v>245</v>
      </c>
      <c r="K8" s="3" t="s">
        <v>12711</v>
      </c>
      <c r="L8" s="3" t="s">
        <v>3811</v>
      </c>
      <c r="M8" s="6">
        <v>23770</v>
      </c>
      <c r="N8" s="3">
        <v>57</v>
      </c>
      <c r="O8" s="3">
        <v>197624054</v>
      </c>
      <c r="P8" s="3">
        <v>26717697334</v>
      </c>
      <c r="Q8" s="3"/>
      <c r="S8" s="3" t="s">
        <v>3269</v>
      </c>
      <c r="T8" s="3" t="s">
        <v>12656</v>
      </c>
      <c r="U8" s="3" t="s">
        <v>62</v>
      </c>
      <c r="V8" s="3" t="s">
        <v>12712</v>
      </c>
      <c r="W8" s="3"/>
      <c r="X8" s="3" t="s">
        <v>2980</v>
      </c>
      <c r="Y8" s="3" t="s">
        <v>12713</v>
      </c>
      <c r="Z8" s="3" t="s">
        <v>12685</v>
      </c>
      <c r="AA8" s="3"/>
      <c r="AB8" s="3"/>
      <c r="AC8" s="3" t="s">
        <v>12714</v>
      </c>
      <c r="AD8" s="3">
        <v>33</v>
      </c>
      <c r="AE8" s="3" t="s">
        <v>1539</v>
      </c>
      <c r="AF8" s="3" t="s">
        <v>128</v>
      </c>
      <c r="AG8" s="3" t="s">
        <v>12715</v>
      </c>
      <c r="AH8" s="3" t="s">
        <v>12716</v>
      </c>
      <c r="AI8" s="3" t="s">
        <v>101</v>
      </c>
      <c r="AJ8" s="3" t="s">
        <v>2569</v>
      </c>
      <c r="AK8" s="3" t="s">
        <v>12661</v>
      </c>
      <c r="AL8" s="3" t="s">
        <v>2550</v>
      </c>
      <c r="AM8" s="3">
        <v>3</v>
      </c>
      <c r="AQ8" s="3"/>
      <c r="AR8" s="3" t="s">
        <v>12676</v>
      </c>
      <c r="AS8" s="7" t="s">
        <v>12717</v>
      </c>
    </row>
    <row r="9" spans="1:48" ht="12.5" hidden="1" x14ac:dyDescent="0.25">
      <c r="A9" s="3" t="s">
        <v>12652</v>
      </c>
      <c r="B9" s="7" t="str">
        <f>HYPERLINK("https://gerandofalcoes.my.salesforce.com/0014X00002OEuasQAD", "0014X00002OEuasQAD")</f>
        <v>0014X00002OEuasQAD</v>
      </c>
      <c r="C9" s="3" t="s">
        <v>3821</v>
      </c>
      <c r="D9" s="3" t="s">
        <v>46</v>
      </c>
      <c r="E9" s="21" t="str">
        <f>HYPERLINK("https://gerandofalcoes.my.salesforce.com/0034X0000315PR1", "0034X0000315PR1")</f>
        <v>0034X0000315PR1</v>
      </c>
      <c r="F9" s="3" t="s">
        <v>12718</v>
      </c>
      <c r="G9" s="3" t="s">
        <v>12719</v>
      </c>
      <c r="H9" s="3" t="s">
        <v>2538</v>
      </c>
      <c r="I9" s="3" t="s">
        <v>12654</v>
      </c>
      <c r="J9" s="3">
        <v>245</v>
      </c>
      <c r="K9" s="3" t="s">
        <v>12720</v>
      </c>
      <c r="L9" s="3" t="s">
        <v>12721</v>
      </c>
      <c r="M9" s="6">
        <v>19120</v>
      </c>
      <c r="N9" s="3">
        <v>70</v>
      </c>
      <c r="O9" s="3" t="s">
        <v>12722</v>
      </c>
      <c r="P9" s="3">
        <v>4257523808</v>
      </c>
      <c r="Q9" s="3"/>
      <c r="R9" s="3"/>
      <c r="S9" s="3" t="s">
        <v>3417</v>
      </c>
      <c r="T9" s="3" t="s">
        <v>12723</v>
      </c>
      <c r="U9" s="3" t="s">
        <v>62</v>
      </c>
      <c r="V9" s="3" t="s">
        <v>12724</v>
      </c>
      <c r="W9" s="3"/>
      <c r="X9" s="3" t="s">
        <v>2980</v>
      </c>
      <c r="Y9" s="3" t="s">
        <v>12684</v>
      </c>
      <c r="Z9" s="3" t="s">
        <v>12685</v>
      </c>
      <c r="AA9" s="3"/>
      <c r="AB9" s="3"/>
      <c r="AC9" s="3" t="s">
        <v>12725</v>
      </c>
      <c r="AD9" s="3">
        <v>59</v>
      </c>
      <c r="AE9" s="3" t="s">
        <v>12726</v>
      </c>
      <c r="AF9" s="3" t="s">
        <v>128</v>
      </c>
      <c r="AG9" s="3" t="s">
        <v>12727</v>
      </c>
      <c r="AH9" s="3" t="s">
        <v>12728</v>
      </c>
      <c r="AI9" s="3" t="s">
        <v>101</v>
      </c>
      <c r="AJ9" s="3" t="s">
        <v>2741</v>
      </c>
      <c r="AK9" s="3" t="s">
        <v>12729</v>
      </c>
      <c r="AL9" s="3" t="s">
        <v>2550</v>
      </c>
      <c r="AM9" s="3">
        <v>5</v>
      </c>
      <c r="AP9" s="7" t="s">
        <v>12730</v>
      </c>
      <c r="AQ9" s="7" t="s">
        <v>3835</v>
      </c>
      <c r="AR9" s="3" t="s">
        <v>12676</v>
      </c>
      <c r="AS9" s="7" t="s">
        <v>12731</v>
      </c>
      <c r="AT9" s="3"/>
      <c r="AU9" s="3"/>
      <c r="AV9" s="3"/>
    </row>
    <row r="10" spans="1:48" ht="12.5" hidden="1" x14ac:dyDescent="0.25">
      <c r="A10" s="3" t="s">
        <v>12652</v>
      </c>
      <c r="B10" s="7" t="str">
        <f>HYPERLINK("https://gerandofalcoes.my.salesforce.com/0014X00002OEuawQAD", "0014X00002OEuawQAD")</f>
        <v>0014X00002OEuawQAD</v>
      </c>
      <c r="C10" s="3" t="s">
        <v>3836</v>
      </c>
      <c r="D10" s="3" t="s">
        <v>46</v>
      </c>
      <c r="E10" s="21" t="str">
        <f>HYPERLINK("https://gerandofalcoes.my.salesforce.com/0034X0000315PR5", "0034X0000315PR5")</f>
        <v>0034X0000315PR5</v>
      </c>
      <c r="F10" s="3" t="s">
        <v>12732</v>
      </c>
      <c r="G10" s="3" t="s">
        <v>12733</v>
      </c>
      <c r="H10" s="3" t="s">
        <v>2538</v>
      </c>
      <c r="I10" s="3" t="s">
        <v>12654</v>
      </c>
      <c r="J10" s="3">
        <v>245</v>
      </c>
      <c r="K10" s="3" t="s">
        <v>12734</v>
      </c>
      <c r="L10" s="3">
        <v>51992207078</v>
      </c>
      <c r="M10" s="6">
        <v>22799</v>
      </c>
      <c r="N10" s="3">
        <v>60</v>
      </c>
      <c r="O10" s="3">
        <v>7030351634</v>
      </c>
      <c r="P10" s="3">
        <v>39764516068</v>
      </c>
      <c r="Q10" s="3"/>
      <c r="R10" s="3" t="s">
        <v>12735</v>
      </c>
      <c r="S10" s="3" t="s">
        <v>3269</v>
      </c>
      <c r="T10" s="3" t="s">
        <v>12682</v>
      </c>
      <c r="U10" s="3" t="s">
        <v>62</v>
      </c>
      <c r="V10" s="3"/>
      <c r="W10" s="3" t="s">
        <v>2541</v>
      </c>
      <c r="Y10" s="3" t="s">
        <v>12736</v>
      </c>
      <c r="Z10" s="3"/>
      <c r="AA10" s="3"/>
      <c r="AB10" s="3"/>
      <c r="AC10" s="3" t="s">
        <v>12737</v>
      </c>
      <c r="AD10" s="3">
        <v>1628</v>
      </c>
      <c r="AE10" s="3">
        <v>402</v>
      </c>
      <c r="AF10" s="3" t="s">
        <v>409</v>
      </c>
      <c r="AG10" s="3" t="s">
        <v>12738</v>
      </c>
      <c r="AH10" s="3" t="s">
        <v>12739</v>
      </c>
      <c r="AI10" s="3" t="s">
        <v>407</v>
      </c>
      <c r="AJ10" s="3" t="s">
        <v>2569</v>
      </c>
      <c r="AK10" s="3" t="s">
        <v>12661</v>
      </c>
      <c r="AL10" s="3"/>
      <c r="AM10" s="3">
        <v>3</v>
      </c>
      <c r="AP10" s="3"/>
      <c r="AQ10" s="3"/>
      <c r="AR10" s="3" t="s">
        <v>12676</v>
      </c>
      <c r="AS10" s="3"/>
      <c r="AT10" s="3"/>
      <c r="AU10" s="3"/>
      <c r="AV10" s="3"/>
    </row>
    <row r="11" spans="1:48" ht="12.5" hidden="1" x14ac:dyDescent="0.25">
      <c r="A11" s="3" t="s">
        <v>12652</v>
      </c>
      <c r="B11" s="7" t="str">
        <f>HYPERLINK("https://gerandofalcoes.my.salesforce.com/0014X00002VMXzMQAX", "0014X00002VMXzMQAX")</f>
        <v>0014X00002VMXzMQAX</v>
      </c>
      <c r="C11" s="3" t="s">
        <v>3847</v>
      </c>
      <c r="D11" s="3" t="s">
        <v>46</v>
      </c>
      <c r="E11" s="21" t="str">
        <f>HYPERLINK("https://gerandofalcoes.my.salesforce.com/0034X000038zvcw", "0034X000038zvcw")</f>
        <v>0034X000038zvcw</v>
      </c>
      <c r="F11" s="3" t="s">
        <v>2773</v>
      </c>
      <c r="G11" s="3" t="s">
        <v>12740</v>
      </c>
      <c r="H11" s="3" t="s">
        <v>2538</v>
      </c>
      <c r="I11" s="3" t="s">
        <v>12741</v>
      </c>
      <c r="J11" s="3">
        <v>33</v>
      </c>
      <c r="K11" s="3" t="s">
        <v>12742</v>
      </c>
      <c r="L11" s="3">
        <v>11990110209</v>
      </c>
      <c r="M11" s="8">
        <v>29508</v>
      </c>
      <c r="N11" s="3">
        <v>42</v>
      </c>
      <c r="O11" s="3" t="s">
        <v>12743</v>
      </c>
      <c r="P11" s="3">
        <v>28455670819</v>
      </c>
      <c r="Q11" s="3"/>
      <c r="R11" s="3"/>
      <c r="S11" s="3" t="s">
        <v>12744</v>
      </c>
      <c r="T11" s="3" t="s">
        <v>12723</v>
      </c>
      <c r="U11" s="3"/>
      <c r="V11" s="3" t="s">
        <v>12745</v>
      </c>
      <c r="W11" s="3" t="s">
        <v>2541</v>
      </c>
      <c r="X11" s="3" t="s">
        <v>2980</v>
      </c>
      <c r="Y11" s="3" t="s">
        <v>2542</v>
      </c>
      <c r="Z11" s="3"/>
      <c r="AA11" s="3"/>
      <c r="AB11" s="3"/>
      <c r="AC11" s="3" t="s">
        <v>12746</v>
      </c>
      <c r="AD11" s="3"/>
      <c r="AE11" s="3"/>
      <c r="AF11" s="3" t="s">
        <v>393</v>
      </c>
      <c r="AG11" s="3" t="s">
        <v>12747</v>
      </c>
      <c r="AH11" s="3" t="s">
        <v>12748</v>
      </c>
      <c r="AI11" s="3" t="s">
        <v>101</v>
      </c>
      <c r="AJ11" s="3" t="s">
        <v>2569</v>
      </c>
      <c r="AK11" s="3" t="s">
        <v>12661</v>
      </c>
      <c r="AL11" s="3" t="s">
        <v>2550</v>
      </c>
      <c r="AM11" s="3">
        <v>7</v>
      </c>
      <c r="AN11" s="3"/>
      <c r="AP11" s="3"/>
      <c r="AQ11" s="3"/>
      <c r="AR11" s="3" t="s">
        <v>12749</v>
      </c>
      <c r="AS11" s="7" t="s">
        <v>12750</v>
      </c>
    </row>
    <row r="12" spans="1:48" ht="12.5" hidden="1" x14ac:dyDescent="0.25">
      <c r="A12" s="3" t="s">
        <v>12652</v>
      </c>
      <c r="B12" s="21" t="str">
        <f>HYPERLINK("https://gerandofalcoes.my.salesforce.com/0014X00002VMXzNQAX", "0014X00002VMXzNQAX")</f>
        <v>0014X00002VMXzNQAX</v>
      </c>
      <c r="C12" s="3" t="s">
        <v>3863</v>
      </c>
      <c r="D12" s="3" t="s">
        <v>46</v>
      </c>
      <c r="E12" s="21" t="str">
        <f>HYPERLINK("https://gerandofalcoes.my.salesforce.com/0034X000038zvcx", "0034X000038zvcx")</f>
        <v>0034X000038zvcx</v>
      </c>
      <c r="F12" s="3" t="s">
        <v>12751</v>
      </c>
      <c r="G12" s="3" t="s">
        <v>12752</v>
      </c>
      <c r="H12" s="3" t="s">
        <v>2538</v>
      </c>
      <c r="I12" s="3" t="s">
        <v>12741</v>
      </c>
      <c r="J12" s="3">
        <v>33</v>
      </c>
      <c r="K12" s="3" t="s">
        <v>12753</v>
      </c>
      <c r="L12" s="3">
        <v>31996920030</v>
      </c>
      <c r="M12" s="8">
        <v>28827</v>
      </c>
      <c r="N12" s="3">
        <v>44</v>
      </c>
      <c r="O12" s="3">
        <v>8331351</v>
      </c>
      <c r="P12" s="3">
        <v>3688787676</v>
      </c>
      <c r="Q12" s="3"/>
      <c r="R12" s="3"/>
      <c r="S12" s="3" t="s">
        <v>3269</v>
      </c>
      <c r="T12" s="3" t="s">
        <v>12656</v>
      </c>
      <c r="U12" s="3"/>
      <c r="V12" s="3" t="s">
        <v>12754</v>
      </c>
      <c r="W12" s="3" t="s">
        <v>2541</v>
      </c>
      <c r="X12" s="3" t="s">
        <v>2980</v>
      </c>
      <c r="Y12" s="3" t="s">
        <v>2556</v>
      </c>
      <c r="Z12" s="3"/>
      <c r="AA12" s="3" t="s">
        <v>2544</v>
      </c>
      <c r="AB12" s="3" t="s">
        <v>2545</v>
      </c>
      <c r="AC12" s="3" t="s">
        <v>12755</v>
      </c>
      <c r="AD12" s="3">
        <v>338</v>
      </c>
      <c r="AE12" s="3">
        <v>202</v>
      </c>
      <c r="AF12" s="3" t="s">
        <v>4516</v>
      </c>
      <c r="AG12" s="3" t="s">
        <v>12756</v>
      </c>
      <c r="AH12" s="3" t="s">
        <v>12757</v>
      </c>
      <c r="AI12" s="3" t="s">
        <v>84</v>
      </c>
      <c r="AJ12" s="3" t="s">
        <v>2569</v>
      </c>
      <c r="AK12" s="3" t="s">
        <v>12674</v>
      </c>
      <c r="AL12" s="3" t="s">
        <v>2550</v>
      </c>
      <c r="AM12" s="3">
        <v>2</v>
      </c>
      <c r="AN12" s="3"/>
      <c r="AP12" s="7" t="s">
        <v>12758</v>
      </c>
      <c r="AQ12" s="7" t="s">
        <v>12759</v>
      </c>
      <c r="AR12" s="3" t="s">
        <v>12760</v>
      </c>
      <c r="AS12" s="7" t="s">
        <v>12761</v>
      </c>
    </row>
    <row r="13" spans="1:48" ht="12.5" x14ac:dyDescent="0.25">
      <c r="A13" s="3" t="s">
        <v>12652</v>
      </c>
      <c r="B13" s="21" t="str">
        <f>HYPERLINK("https://gerandofalcoes.my.salesforce.com/0014X00002VKCp7QAH", "0014X00002VKCp7QAH")</f>
        <v>0014X00002VKCp7QAH</v>
      </c>
      <c r="C13" s="3" t="s">
        <v>3878</v>
      </c>
      <c r="D13" s="3" t="s">
        <v>46</v>
      </c>
      <c r="E13" s="21" t="str">
        <f>HYPERLINK("https://gerandofalcoes.my.salesforce.com/0034X0000380O3b", "0034X0000380O3b")</f>
        <v>0034X0000380O3b</v>
      </c>
      <c r="F13" s="3" t="s">
        <v>12762</v>
      </c>
      <c r="G13" s="3" t="s">
        <v>12763</v>
      </c>
      <c r="H13" s="3" t="s">
        <v>2538</v>
      </c>
      <c r="I13" s="3" t="s">
        <v>12741</v>
      </c>
      <c r="J13" s="3">
        <v>33</v>
      </c>
      <c r="K13" s="3" t="s">
        <v>12764</v>
      </c>
      <c r="L13" s="3">
        <v>73988597871</v>
      </c>
      <c r="M13" s="6">
        <v>29729</v>
      </c>
      <c r="N13" s="3">
        <v>41</v>
      </c>
      <c r="O13" s="3">
        <v>1014288479</v>
      </c>
      <c r="P13" s="3">
        <v>21761574</v>
      </c>
      <c r="Q13" s="3"/>
      <c r="R13" s="3"/>
      <c r="S13" s="3" t="s">
        <v>3137</v>
      </c>
      <c r="T13" s="3" t="s">
        <v>12723</v>
      </c>
      <c r="U13" s="3"/>
      <c r="V13" s="3" t="s">
        <v>12765</v>
      </c>
      <c r="W13" s="3" t="s">
        <v>2541</v>
      </c>
      <c r="X13" s="3" t="s">
        <v>2980</v>
      </c>
      <c r="Y13" s="3"/>
      <c r="Z13" s="3" t="s">
        <v>2543</v>
      </c>
      <c r="AA13" s="3" t="s">
        <v>2544</v>
      </c>
      <c r="AB13" s="3" t="s">
        <v>2545</v>
      </c>
      <c r="AC13" s="3" t="s">
        <v>12766</v>
      </c>
      <c r="AD13" s="3">
        <v>977</v>
      </c>
      <c r="AE13" s="3"/>
      <c r="AF13" s="3"/>
      <c r="AG13" s="3" t="s">
        <v>12767</v>
      </c>
      <c r="AH13" s="3">
        <v>45604050</v>
      </c>
      <c r="AI13" s="3" t="s">
        <v>1002</v>
      </c>
      <c r="AJ13" s="3" t="s">
        <v>2569</v>
      </c>
      <c r="AK13" s="3" t="s">
        <v>12661</v>
      </c>
      <c r="AL13" s="3" t="s">
        <v>2550</v>
      </c>
      <c r="AM13" s="3">
        <v>2</v>
      </c>
      <c r="AN13" s="3" t="s">
        <v>7216</v>
      </c>
      <c r="AO13" s="3" t="s">
        <v>120</v>
      </c>
      <c r="AP13" s="3"/>
      <c r="AQ13" s="3"/>
      <c r="AR13" s="3"/>
      <c r="AS13" s="7" t="s">
        <v>12768</v>
      </c>
    </row>
    <row r="14" spans="1:48" ht="12.5" hidden="1" x14ac:dyDescent="0.25">
      <c r="A14" s="3" t="s">
        <v>12652</v>
      </c>
      <c r="B14" s="7" t="str">
        <f>HYPERLINK("https://gerandofalcoes.my.salesforce.com/0014X00002VKCp8QAH", "0014X00002VKCp8QAH")</f>
        <v>0014X00002VKCp8QAH</v>
      </c>
      <c r="C14" s="3" t="s">
        <v>3901</v>
      </c>
      <c r="D14" s="3" t="s">
        <v>46</v>
      </c>
      <c r="E14" s="21" t="str">
        <f>HYPERLINK("https://gerandofalcoes.my.salesforce.com/0034X0000380O1F", "0034X0000380O1F")</f>
        <v>0034X0000380O1F</v>
      </c>
      <c r="F14" s="3" t="s">
        <v>12769</v>
      </c>
      <c r="G14" s="3" t="s">
        <v>12770</v>
      </c>
      <c r="H14" s="3" t="s">
        <v>2538</v>
      </c>
      <c r="I14" s="3" t="s">
        <v>12741</v>
      </c>
      <c r="J14" s="3">
        <v>33</v>
      </c>
      <c r="K14" s="3" t="s">
        <v>12771</v>
      </c>
      <c r="L14" s="3" t="s">
        <v>3906</v>
      </c>
      <c r="M14" s="6">
        <v>30786</v>
      </c>
      <c r="N14" s="3">
        <v>38</v>
      </c>
      <c r="O14" s="3">
        <v>30709350</v>
      </c>
      <c r="P14" s="3">
        <v>1549916513</v>
      </c>
      <c r="Q14" s="3"/>
      <c r="R14" s="3" t="s">
        <v>12772</v>
      </c>
      <c r="S14" s="3" t="s">
        <v>3137</v>
      </c>
      <c r="T14" s="3" t="s">
        <v>12656</v>
      </c>
      <c r="U14" s="3"/>
      <c r="V14" s="3" t="s">
        <v>12773</v>
      </c>
      <c r="W14" s="3" t="s">
        <v>12664</v>
      </c>
      <c r="X14" s="3" t="s">
        <v>2980</v>
      </c>
      <c r="Y14" s="3" t="s">
        <v>12684</v>
      </c>
      <c r="Z14" s="3" t="s">
        <v>2543</v>
      </c>
      <c r="AA14" s="3"/>
      <c r="AB14" s="3"/>
      <c r="AC14" s="3" t="s">
        <v>12774</v>
      </c>
      <c r="AD14" s="3" t="s">
        <v>3098</v>
      </c>
      <c r="AE14" s="3" t="s">
        <v>9176</v>
      </c>
      <c r="AF14" s="3" t="s">
        <v>12775</v>
      </c>
      <c r="AG14" s="3" t="s">
        <v>3907</v>
      </c>
      <c r="AH14" s="3" t="s">
        <v>3911</v>
      </c>
      <c r="AI14" s="3" t="s">
        <v>605</v>
      </c>
      <c r="AJ14" s="3" t="s">
        <v>2741</v>
      </c>
      <c r="AK14" s="3" t="s">
        <v>12776</v>
      </c>
      <c r="AL14" s="3" t="s">
        <v>2550</v>
      </c>
      <c r="AM14" s="3">
        <v>5</v>
      </c>
      <c r="AN14" s="3" t="s">
        <v>7216</v>
      </c>
      <c r="AO14" s="3" t="s">
        <v>120</v>
      </c>
      <c r="AP14" s="3"/>
      <c r="AQ14" s="7" t="s">
        <v>12777</v>
      </c>
      <c r="AR14" s="3"/>
      <c r="AS14" s="7" t="s">
        <v>12778</v>
      </c>
    </row>
    <row r="15" spans="1:48" ht="12.5" x14ac:dyDescent="0.25">
      <c r="A15" s="3" t="s">
        <v>12652</v>
      </c>
      <c r="B15" s="7" t="str">
        <f>HYPERLINK("https://gerandofalcoes.my.salesforce.com/0014X00002VKCp9QAH", "0014X00002VKCp9QAH")</f>
        <v>0014X00002VKCp9QAH</v>
      </c>
      <c r="C15" s="3" t="s">
        <v>3922</v>
      </c>
      <c r="D15" s="3" t="s">
        <v>46</v>
      </c>
      <c r="E15" s="21" t="str">
        <f>HYPERLINK("https://gerandofalcoes.my.salesforce.com/0034X0000380O4P", "0034X0000380O4P")</f>
        <v>0034X0000380O4P</v>
      </c>
      <c r="F15" s="3" t="s">
        <v>12779</v>
      </c>
      <c r="G15" s="3" t="s">
        <v>12780</v>
      </c>
      <c r="H15" s="3" t="s">
        <v>2538</v>
      </c>
      <c r="I15" s="3" t="s">
        <v>12741</v>
      </c>
      <c r="J15" s="3">
        <v>33</v>
      </c>
      <c r="K15" s="3" t="s">
        <v>12781</v>
      </c>
      <c r="L15" s="3">
        <v>71987397322</v>
      </c>
      <c r="M15" s="6">
        <v>30983</v>
      </c>
      <c r="N15" s="3">
        <v>38</v>
      </c>
      <c r="O15" s="3" t="s">
        <v>12782</v>
      </c>
      <c r="P15" s="3">
        <v>1074999592</v>
      </c>
      <c r="Q15" s="3"/>
      <c r="R15" s="3"/>
      <c r="S15" s="3" t="s">
        <v>2998</v>
      </c>
      <c r="T15" s="3" t="s">
        <v>12656</v>
      </c>
      <c r="U15" s="3"/>
      <c r="V15" s="3" t="s">
        <v>12783</v>
      </c>
      <c r="W15" s="3" t="s">
        <v>2541</v>
      </c>
      <c r="X15" s="3" t="s">
        <v>2980</v>
      </c>
      <c r="Y15" s="3"/>
      <c r="Z15" s="3" t="s">
        <v>2543</v>
      </c>
      <c r="AA15" s="3"/>
      <c r="AB15" s="3"/>
      <c r="AC15" s="3" t="s">
        <v>12784</v>
      </c>
      <c r="AD15" s="3">
        <v>12</v>
      </c>
      <c r="AE15" s="3"/>
      <c r="AF15" s="3"/>
      <c r="AG15" s="3" t="s">
        <v>3928</v>
      </c>
      <c r="AH15" s="3">
        <v>41311070</v>
      </c>
      <c r="AI15" s="3" t="s">
        <v>1002</v>
      </c>
      <c r="AJ15" s="3" t="s">
        <v>2569</v>
      </c>
      <c r="AK15" s="3" t="s">
        <v>12661</v>
      </c>
      <c r="AL15" s="3" t="s">
        <v>2550</v>
      </c>
      <c r="AM15" s="3">
        <v>3</v>
      </c>
      <c r="AN15" s="3" t="s">
        <v>7216</v>
      </c>
      <c r="AO15" s="3" t="s">
        <v>120</v>
      </c>
      <c r="AP15" s="3"/>
      <c r="AQ15" s="7" t="s">
        <v>12785</v>
      </c>
      <c r="AR15" s="3"/>
      <c r="AS15" s="7" t="s">
        <v>12786</v>
      </c>
    </row>
    <row r="16" spans="1:48" ht="12.5" x14ac:dyDescent="0.25">
      <c r="A16" s="3" t="s">
        <v>12652</v>
      </c>
      <c r="B16" s="7" t="str">
        <f>HYPERLINK("https://gerandofalcoes.my.salesforce.com/0014X00002VKCpAQAX", "0014X00002VKCpAQAX")</f>
        <v>0014X00002VKCpAQAX</v>
      </c>
      <c r="C16" s="3" t="s">
        <v>3938</v>
      </c>
      <c r="D16" s="3" t="s">
        <v>46</v>
      </c>
      <c r="E16" s="21" t="str">
        <f>HYPERLINK("https://gerandofalcoes.my.salesforce.com/0034X0000380O5K", "0034X0000380O5K")</f>
        <v>0034X0000380O5K</v>
      </c>
      <c r="F16" s="3" t="s">
        <v>12787</v>
      </c>
      <c r="G16" s="3" t="s">
        <v>12788</v>
      </c>
      <c r="H16" s="3" t="s">
        <v>2538</v>
      </c>
      <c r="I16" s="3" t="s">
        <v>12741</v>
      </c>
      <c r="J16" s="3">
        <v>33</v>
      </c>
      <c r="K16" s="3" t="s">
        <v>12789</v>
      </c>
      <c r="L16" s="3">
        <v>82988256312</v>
      </c>
      <c r="M16" s="6">
        <v>22877</v>
      </c>
      <c r="N16" s="3">
        <v>60</v>
      </c>
      <c r="O16" s="3" t="s">
        <v>12790</v>
      </c>
      <c r="P16" s="3">
        <v>32149476487</v>
      </c>
      <c r="Q16" s="3"/>
      <c r="R16" s="3"/>
      <c r="S16" s="3" t="s">
        <v>2998</v>
      </c>
      <c r="T16" s="3" t="s">
        <v>12656</v>
      </c>
      <c r="U16" s="3"/>
      <c r="V16" s="3" t="s">
        <v>12791</v>
      </c>
      <c r="W16" s="3" t="s">
        <v>2576</v>
      </c>
      <c r="X16" s="3" t="s">
        <v>2980</v>
      </c>
      <c r="Y16" s="3"/>
      <c r="Z16" s="3" t="s">
        <v>2543</v>
      </c>
      <c r="AA16" s="3" t="s">
        <v>2544</v>
      </c>
      <c r="AB16" s="3" t="s">
        <v>2545</v>
      </c>
      <c r="AC16" s="3" t="s">
        <v>12792</v>
      </c>
      <c r="AD16" s="3" t="s">
        <v>12793</v>
      </c>
      <c r="AE16" s="3"/>
      <c r="AF16" s="3"/>
      <c r="AG16" s="3" t="s">
        <v>3945</v>
      </c>
      <c r="AH16" s="3">
        <v>57160000</v>
      </c>
      <c r="AI16" s="3" t="s">
        <v>51</v>
      </c>
      <c r="AJ16" s="3" t="s">
        <v>2569</v>
      </c>
      <c r="AK16" s="3" t="s">
        <v>12674</v>
      </c>
      <c r="AL16" s="3" t="s">
        <v>2550</v>
      </c>
      <c r="AM16" s="3">
        <v>1</v>
      </c>
      <c r="AN16" s="3" t="s">
        <v>12794</v>
      </c>
      <c r="AO16" s="3" t="s">
        <v>120</v>
      </c>
      <c r="AP16" s="3"/>
      <c r="AQ16" s="3" t="s">
        <v>12795</v>
      </c>
      <c r="AR16" s="3"/>
      <c r="AS16" s="7" t="s">
        <v>12796</v>
      </c>
    </row>
    <row r="17" spans="1:48" ht="12.5" hidden="1" x14ac:dyDescent="0.25">
      <c r="A17" s="3" t="s">
        <v>12652</v>
      </c>
      <c r="B17" s="7" t="str">
        <f>HYPERLINK("https://gerandofalcoes.my.salesforce.com/0014X00002VKCpBQAX", "0014X00002VKCpBQAX")</f>
        <v>0014X00002VKCpBQAX</v>
      </c>
      <c r="C17" s="3" t="s">
        <v>3955</v>
      </c>
      <c r="D17" s="3" t="s">
        <v>46</v>
      </c>
      <c r="E17" s="21" t="str">
        <f>HYPERLINK("https://gerandofalcoes.my.salesforce.com/0034X0000380O23", "0034X0000380O23")</f>
        <v>0034X0000380O23</v>
      </c>
      <c r="F17" s="3" t="s">
        <v>2936</v>
      </c>
      <c r="G17" s="3" t="s">
        <v>12797</v>
      </c>
      <c r="H17" s="3" t="s">
        <v>2538</v>
      </c>
      <c r="I17" s="3" t="s">
        <v>12741</v>
      </c>
      <c r="J17" s="3">
        <v>33</v>
      </c>
      <c r="K17" s="3" t="s">
        <v>12798</v>
      </c>
      <c r="L17" s="3" t="s">
        <v>12799</v>
      </c>
      <c r="M17" s="6">
        <v>34076</v>
      </c>
      <c r="N17" s="3">
        <v>29</v>
      </c>
      <c r="O17" s="3">
        <v>1447108035</v>
      </c>
      <c r="P17" s="3">
        <v>6347239523</v>
      </c>
      <c r="Q17" s="3"/>
      <c r="R17" s="3" t="s">
        <v>12800</v>
      </c>
      <c r="S17" s="3" t="s">
        <v>2998</v>
      </c>
      <c r="T17" s="3" t="s">
        <v>12656</v>
      </c>
      <c r="U17" s="3"/>
      <c r="V17" s="3" t="s">
        <v>12801</v>
      </c>
      <c r="W17" s="3" t="s">
        <v>4204</v>
      </c>
      <c r="X17" s="3" t="s">
        <v>2980</v>
      </c>
      <c r="Y17" s="3" t="s">
        <v>12684</v>
      </c>
      <c r="Z17" s="3" t="s">
        <v>2543</v>
      </c>
      <c r="AA17" s="3"/>
      <c r="AB17" s="3"/>
      <c r="AC17" s="3" t="s">
        <v>12802</v>
      </c>
      <c r="AD17" s="3">
        <v>60</v>
      </c>
      <c r="AE17" s="3" t="s">
        <v>12803</v>
      </c>
      <c r="AF17" s="3" t="s">
        <v>1848</v>
      </c>
      <c r="AG17" s="3" t="s">
        <v>12804</v>
      </c>
      <c r="AH17" s="3" t="s">
        <v>12805</v>
      </c>
      <c r="AI17" s="3" t="s">
        <v>1002</v>
      </c>
      <c r="AJ17" s="3" t="s">
        <v>2569</v>
      </c>
      <c r="AK17" s="3" t="s">
        <v>12806</v>
      </c>
      <c r="AL17" s="3" t="s">
        <v>2550</v>
      </c>
      <c r="AM17" s="3">
        <v>4</v>
      </c>
      <c r="AN17" s="3" t="s">
        <v>7216</v>
      </c>
      <c r="AO17" s="3" t="s">
        <v>120</v>
      </c>
      <c r="AP17" s="7" t="s">
        <v>12807</v>
      </c>
      <c r="AQ17" s="7" t="s">
        <v>12808</v>
      </c>
      <c r="AR17" s="3"/>
      <c r="AS17" s="7" t="s">
        <v>12809</v>
      </c>
    </row>
    <row r="18" spans="1:48" ht="12.5" hidden="1" x14ac:dyDescent="0.25">
      <c r="A18" s="3" t="s">
        <v>12652</v>
      </c>
      <c r="B18" s="7" t="str">
        <f>HYPERLINK("https://gerandofalcoes.my.salesforce.com/0014X00002VKCpCQAX", "0014X00002VKCpCQAX")</f>
        <v>0014X00002VKCpCQAX</v>
      </c>
      <c r="C18" s="3" t="s">
        <v>3970</v>
      </c>
      <c r="D18" s="3" t="s">
        <v>46</v>
      </c>
      <c r="E18" s="21" t="str">
        <f>HYPERLINK("https://gerandofalcoes.my.salesforce.com/0034X0000380O5E", "0034X0000380O5E")</f>
        <v>0034X0000380O5E</v>
      </c>
      <c r="F18" s="3" t="s">
        <v>12810</v>
      </c>
      <c r="G18" s="3" t="s">
        <v>12811</v>
      </c>
      <c r="H18" s="3" t="s">
        <v>2538</v>
      </c>
      <c r="I18" s="3" t="s">
        <v>12741</v>
      </c>
      <c r="J18" s="3">
        <v>33</v>
      </c>
      <c r="K18" s="3" t="s">
        <v>12812</v>
      </c>
      <c r="L18" s="3" t="s">
        <v>12813</v>
      </c>
      <c r="M18" s="8">
        <v>26555</v>
      </c>
      <c r="N18" s="3">
        <v>50</v>
      </c>
      <c r="O18" s="3">
        <v>1210326</v>
      </c>
      <c r="P18" s="3">
        <v>86028430463</v>
      </c>
      <c r="Q18" s="3"/>
      <c r="R18" s="3" t="s">
        <v>12800</v>
      </c>
      <c r="S18" s="3" t="s">
        <v>3137</v>
      </c>
      <c r="T18" s="3" t="s">
        <v>12656</v>
      </c>
      <c r="U18" s="3"/>
      <c r="V18" s="3" t="s">
        <v>12814</v>
      </c>
      <c r="W18" s="3" t="s">
        <v>12664</v>
      </c>
      <c r="X18" s="3" t="s">
        <v>2980</v>
      </c>
      <c r="Y18" s="3" t="s">
        <v>12670</v>
      </c>
      <c r="Z18" s="3" t="s">
        <v>2543</v>
      </c>
      <c r="AA18" s="3" t="s">
        <v>2577</v>
      </c>
      <c r="AB18" s="3" t="s">
        <v>2545</v>
      </c>
      <c r="AC18" s="3" t="s">
        <v>12815</v>
      </c>
      <c r="AD18" s="3">
        <v>8</v>
      </c>
      <c r="AE18" s="3" t="s">
        <v>12816</v>
      </c>
      <c r="AF18" s="3" t="s">
        <v>231</v>
      </c>
      <c r="AG18" s="3" t="s">
        <v>3977</v>
      </c>
      <c r="AH18" s="3" t="s">
        <v>12817</v>
      </c>
      <c r="AI18" s="3" t="s">
        <v>51</v>
      </c>
      <c r="AJ18" s="3" t="s">
        <v>2569</v>
      </c>
      <c r="AK18" s="3" t="s">
        <v>12674</v>
      </c>
      <c r="AL18" s="3" t="s">
        <v>2550</v>
      </c>
      <c r="AM18" s="3">
        <v>3</v>
      </c>
      <c r="AN18" s="3" t="s">
        <v>7216</v>
      </c>
      <c r="AO18" s="3" t="s">
        <v>120</v>
      </c>
      <c r="AP18" s="3" t="s">
        <v>12818</v>
      </c>
      <c r="AQ18" s="3" t="s">
        <v>12819</v>
      </c>
      <c r="AR18" s="3"/>
      <c r="AS18" s="7" t="s">
        <v>12820</v>
      </c>
    </row>
    <row r="19" spans="1:48" ht="12.5" x14ac:dyDescent="0.25">
      <c r="A19" s="3" t="s">
        <v>12652</v>
      </c>
      <c r="B19" s="7" t="str">
        <f>HYPERLINK("https://gerandofalcoes.my.salesforce.com/0014X00002VKCpDQAX", "0014X00002VKCpDQAX")</f>
        <v>0014X00002VKCpDQAX</v>
      </c>
      <c r="C19" s="3" t="s">
        <v>3993</v>
      </c>
      <c r="D19" s="3" t="s">
        <v>46</v>
      </c>
      <c r="E19" s="21" t="str">
        <f>HYPERLINK("https://gerandofalcoes.my.salesforce.com/0034X0000380O5z", "0034X0000380O5z")</f>
        <v>0034X0000380O5z</v>
      </c>
      <c r="F19" s="3" t="s">
        <v>3161</v>
      </c>
      <c r="G19" s="3" t="s">
        <v>12821</v>
      </c>
      <c r="H19" s="3" t="s">
        <v>2538</v>
      </c>
      <c r="I19" s="3" t="s">
        <v>12741</v>
      </c>
      <c r="J19" s="3"/>
      <c r="K19" s="3" t="s">
        <v>12822</v>
      </c>
      <c r="L19" s="3" t="s">
        <v>12823</v>
      </c>
      <c r="M19" s="6">
        <v>27289</v>
      </c>
      <c r="N19" s="3">
        <v>48</v>
      </c>
      <c r="O19" s="3">
        <v>476727570</v>
      </c>
      <c r="P19" s="3">
        <v>68269951587</v>
      </c>
      <c r="Q19" s="3"/>
      <c r="R19" s="3"/>
      <c r="S19" s="3" t="s">
        <v>2998</v>
      </c>
      <c r="T19" s="3" t="s">
        <v>12656</v>
      </c>
      <c r="U19" s="3"/>
      <c r="V19" s="3" t="s">
        <v>12824</v>
      </c>
      <c r="W19" s="3" t="s">
        <v>2541</v>
      </c>
      <c r="X19" s="3" t="s">
        <v>2980</v>
      </c>
      <c r="Y19" s="3"/>
      <c r="Z19" s="3" t="s">
        <v>2545</v>
      </c>
      <c r="AA19" s="3" t="s">
        <v>2544</v>
      </c>
      <c r="AB19" s="3" t="s">
        <v>2545</v>
      </c>
      <c r="AC19" s="3" t="s">
        <v>12825</v>
      </c>
      <c r="AD19" s="3">
        <v>10</v>
      </c>
      <c r="AE19" s="3">
        <v>3</v>
      </c>
      <c r="AF19" s="3"/>
      <c r="AG19" s="3" t="s">
        <v>12826</v>
      </c>
      <c r="AH19" s="3" t="s">
        <v>12827</v>
      </c>
      <c r="AI19" s="3" t="s">
        <v>1002</v>
      </c>
      <c r="AJ19" s="3" t="s">
        <v>2569</v>
      </c>
      <c r="AK19" s="3" t="s">
        <v>12828</v>
      </c>
      <c r="AL19" s="3" t="s">
        <v>2588</v>
      </c>
      <c r="AM19" s="3">
        <v>6</v>
      </c>
      <c r="AN19" s="3" t="s">
        <v>7216</v>
      </c>
      <c r="AO19" s="3" t="s">
        <v>120</v>
      </c>
      <c r="AP19" s="3"/>
      <c r="AQ19" s="7" t="s">
        <v>12829</v>
      </c>
      <c r="AR19" s="3"/>
      <c r="AS19" s="7" t="s">
        <v>12830</v>
      </c>
    </row>
    <row r="20" spans="1:48" ht="12.5" x14ac:dyDescent="0.25">
      <c r="A20" s="3" t="s">
        <v>12652</v>
      </c>
      <c r="B20" s="7" t="str">
        <f>HYPERLINK("https://gerandofalcoes.my.salesforce.com/0014X00002VKCpEQAX", "0014X00002VKCpEQAX")</f>
        <v>0014X00002VKCpEQAX</v>
      </c>
      <c r="C20" s="3" t="s">
        <v>4007</v>
      </c>
      <c r="D20" s="3" t="s">
        <v>46</v>
      </c>
      <c r="E20" s="21" t="str">
        <f>HYPERLINK("https://gerandofalcoes.my.salesforce.com/0034X0000380O42", "0034X0000380O42")</f>
        <v>0034X0000380O42</v>
      </c>
      <c r="F20" s="3" t="s">
        <v>12831</v>
      </c>
      <c r="G20" s="3" t="s">
        <v>12832</v>
      </c>
      <c r="H20" s="3" t="s">
        <v>2538</v>
      </c>
      <c r="I20" s="3" t="s">
        <v>12741</v>
      </c>
      <c r="J20" s="3">
        <v>33</v>
      </c>
      <c r="K20" s="3" t="s">
        <v>12833</v>
      </c>
      <c r="L20" s="3" t="s">
        <v>12834</v>
      </c>
      <c r="M20" s="8">
        <v>33844</v>
      </c>
      <c r="N20" s="3">
        <v>30</v>
      </c>
      <c r="O20" s="3">
        <v>1440628289</v>
      </c>
      <c r="P20" s="3">
        <v>5321589542</v>
      </c>
      <c r="Q20" s="3"/>
      <c r="R20" s="3"/>
      <c r="S20" s="3" t="s">
        <v>3417</v>
      </c>
      <c r="T20" s="3" t="s">
        <v>12656</v>
      </c>
      <c r="U20" s="3"/>
      <c r="V20" s="3" t="s">
        <v>12835</v>
      </c>
      <c r="W20" s="3" t="s">
        <v>2541</v>
      </c>
      <c r="X20" s="3" t="s">
        <v>12836</v>
      </c>
      <c r="Y20" s="3"/>
      <c r="Z20" s="3" t="s">
        <v>2543</v>
      </c>
      <c r="AA20" s="3"/>
      <c r="AB20" s="3" t="s">
        <v>2543</v>
      </c>
      <c r="AC20" s="3" t="s">
        <v>12837</v>
      </c>
      <c r="AD20" s="3">
        <v>14</v>
      </c>
      <c r="AE20" s="3"/>
      <c r="AF20" s="3"/>
      <c r="AG20" s="3" t="s">
        <v>4018</v>
      </c>
      <c r="AH20" s="3" t="s">
        <v>12838</v>
      </c>
      <c r="AI20" s="3" t="s">
        <v>1002</v>
      </c>
      <c r="AJ20" s="3" t="s">
        <v>2569</v>
      </c>
      <c r="AK20" s="3" t="s">
        <v>12729</v>
      </c>
      <c r="AL20" s="3" t="s">
        <v>2550</v>
      </c>
      <c r="AM20" s="3">
        <v>6</v>
      </c>
      <c r="AN20" s="3" t="s">
        <v>7216</v>
      </c>
      <c r="AO20" s="3" t="s">
        <v>120</v>
      </c>
      <c r="AP20" s="3"/>
      <c r="AQ20" s="3"/>
      <c r="AR20" s="3"/>
      <c r="AS20" s="7" t="s">
        <v>12839</v>
      </c>
    </row>
    <row r="21" spans="1:48" ht="12.5" hidden="1" x14ac:dyDescent="0.25">
      <c r="A21" s="3" t="s">
        <v>12652</v>
      </c>
      <c r="B21" s="7" t="str">
        <f>HYPERLINK("https://gerandofalcoes.my.salesforce.com/0014X00002VKCpFQAX", "0014X00002VKCpFQAX")</f>
        <v>0014X00002VKCpFQAX</v>
      </c>
      <c r="C21" s="3" t="s">
        <v>4021</v>
      </c>
      <c r="D21" s="3" t="s">
        <v>46</v>
      </c>
      <c r="E21" s="21" t="str">
        <f>HYPERLINK("https://gerandofalcoes.my.salesforce.com/0034X0000380O21", "0034X0000380O21")</f>
        <v>0034X0000380O21</v>
      </c>
      <c r="F21" s="3" t="s">
        <v>12840</v>
      </c>
      <c r="G21" s="3" t="s">
        <v>12841</v>
      </c>
      <c r="H21" s="3" t="s">
        <v>2538</v>
      </c>
      <c r="I21" s="3" t="s">
        <v>12741</v>
      </c>
      <c r="J21" s="3">
        <v>33</v>
      </c>
      <c r="K21" s="3" t="s">
        <v>4023</v>
      </c>
      <c r="L21" s="3" t="s">
        <v>4024</v>
      </c>
      <c r="M21" s="6">
        <v>29630</v>
      </c>
      <c r="N21" s="3">
        <v>41</v>
      </c>
      <c r="O21" s="3">
        <v>99001351531</v>
      </c>
      <c r="P21" s="3">
        <v>3482269424</v>
      </c>
      <c r="Q21" s="3"/>
      <c r="R21" s="3" t="s">
        <v>12842</v>
      </c>
      <c r="S21" s="3" t="s">
        <v>2998</v>
      </c>
      <c r="T21" s="3" t="s">
        <v>12656</v>
      </c>
      <c r="U21" s="3"/>
      <c r="V21" s="3" t="s">
        <v>12843</v>
      </c>
      <c r="W21" s="3" t="s">
        <v>12664</v>
      </c>
      <c r="X21" s="3" t="s">
        <v>2980</v>
      </c>
      <c r="Y21" s="3" t="s">
        <v>12684</v>
      </c>
      <c r="Z21" s="3" t="s">
        <v>2543</v>
      </c>
      <c r="AA21" s="3"/>
      <c r="AB21" s="3"/>
      <c r="AC21" s="3" t="s">
        <v>12844</v>
      </c>
      <c r="AD21" s="3">
        <v>183</v>
      </c>
      <c r="AE21" s="3"/>
      <c r="AF21" s="3" t="s">
        <v>4027</v>
      </c>
      <c r="AG21" s="3" t="s">
        <v>4026</v>
      </c>
      <c r="AH21" s="3" t="s">
        <v>4028</v>
      </c>
      <c r="AI21" s="3" t="s">
        <v>51</v>
      </c>
      <c r="AJ21" s="3" t="s">
        <v>2569</v>
      </c>
      <c r="AK21" s="3" t="s">
        <v>12661</v>
      </c>
      <c r="AL21" s="3" t="s">
        <v>2579</v>
      </c>
      <c r="AM21" s="3">
        <v>5</v>
      </c>
      <c r="AN21" s="3" t="s">
        <v>7216</v>
      </c>
      <c r="AO21" s="3" t="s">
        <v>120</v>
      </c>
      <c r="AP21" s="3"/>
      <c r="AQ21" s="3"/>
      <c r="AR21" s="3"/>
      <c r="AS21" s="7" t="s">
        <v>12845</v>
      </c>
      <c r="AT21" s="3"/>
      <c r="AU21" s="3"/>
      <c r="AV21" s="3"/>
    </row>
    <row r="22" spans="1:48" ht="12.5" x14ac:dyDescent="0.25">
      <c r="A22" s="3" t="s">
        <v>12652</v>
      </c>
      <c r="B22" s="7" t="str">
        <f>HYPERLINK("https://gerandofalcoes.my.salesforce.com/0014X00002VKCpGQAX", "0014X00002VKCpGQAX")</f>
        <v>0014X00002VKCpGQAX</v>
      </c>
      <c r="C22" s="3" t="s">
        <v>4034</v>
      </c>
      <c r="D22" s="3" t="s">
        <v>46</v>
      </c>
      <c r="E22" s="21" t="str">
        <f>HYPERLINK("https://gerandofalcoes.my.salesforce.com/0034X0000380O4G", "0034X0000380O4G")</f>
        <v>0034X0000380O4G</v>
      </c>
      <c r="F22" s="3" t="s">
        <v>12846</v>
      </c>
      <c r="G22" s="3" t="s">
        <v>12847</v>
      </c>
      <c r="H22" s="3" t="s">
        <v>2538</v>
      </c>
      <c r="I22" s="3" t="s">
        <v>12741</v>
      </c>
      <c r="J22" s="3">
        <v>33</v>
      </c>
      <c r="K22" s="3" t="s">
        <v>12848</v>
      </c>
      <c r="L22" s="3">
        <v>71993484232</v>
      </c>
      <c r="M22" s="6">
        <v>34153</v>
      </c>
      <c r="N22" s="3">
        <v>29</v>
      </c>
      <c r="O22" s="3">
        <v>1359135430</v>
      </c>
      <c r="P22" s="3">
        <v>3977729551</v>
      </c>
      <c r="Q22" s="3"/>
      <c r="R22" s="3"/>
      <c r="S22" s="3" t="s">
        <v>2998</v>
      </c>
      <c r="T22" s="3" t="s">
        <v>12656</v>
      </c>
      <c r="U22" s="3"/>
      <c r="V22" s="3" t="s">
        <v>12849</v>
      </c>
      <c r="W22" s="3" t="s">
        <v>2576</v>
      </c>
      <c r="X22" s="3" t="s">
        <v>2980</v>
      </c>
      <c r="Y22" s="3"/>
      <c r="Z22" s="3" t="s">
        <v>2545</v>
      </c>
      <c r="AA22" s="3" t="s">
        <v>2544</v>
      </c>
      <c r="AB22" s="3" t="s">
        <v>2545</v>
      </c>
      <c r="AC22" s="3" t="s">
        <v>12850</v>
      </c>
      <c r="AD22" s="3">
        <v>28</v>
      </c>
      <c r="AE22" s="3">
        <v>1</v>
      </c>
      <c r="AF22" s="3"/>
      <c r="AG22" s="3" t="s">
        <v>3961</v>
      </c>
      <c r="AH22" s="3">
        <v>40390380</v>
      </c>
      <c r="AI22" s="3" t="s">
        <v>1002</v>
      </c>
      <c r="AJ22" s="3" t="s">
        <v>2569</v>
      </c>
      <c r="AK22" s="3" t="s">
        <v>12661</v>
      </c>
      <c r="AL22" s="3" t="s">
        <v>2550</v>
      </c>
      <c r="AM22" s="3">
        <v>2</v>
      </c>
      <c r="AN22" s="3" t="s">
        <v>7216</v>
      </c>
      <c r="AO22" s="3" t="s">
        <v>120</v>
      </c>
      <c r="AP22" s="7" t="s">
        <v>12851</v>
      </c>
      <c r="AQ22" s="7" t="s">
        <v>12852</v>
      </c>
      <c r="AR22" s="3"/>
      <c r="AS22" s="7" t="s">
        <v>12853</v>
      </c>
    </row>
    <row r="23" spans="1:48" ht="12.5" hidden="1" x14ac:dyDescent="0.25">
      <c r="A23" s="3" t="s">
        <v>12652</v>
      </c>
      <c r="B23" s="7" t="str">
        <f>HYPERLINK("https://gerandofalcoes.my.salesforce.com/0014X00002VKCpIQAX", "0014X00002VKCpIQAX")</f>
        <v>0014X00002VKCpIQAX</v>
      </c>
      <c r="C23" s="3" t="s">
        <v>4052</v>
      </c>
      <c r="D23" s="3" t="s">
        <v>46</v>
      </c>
      <c r="E23" s="21" t="str">
        <f>HYPERLINK("https://gerandofalcoes.my.salesforce.com/0034X0000380O1z", "0034X0000380O1z")</f>
        <v>0034X0000380O1z</v>
      </c>
      <c r="F23" s="3" t="s">
        <v>3504</v>
      </c>
      <c r="G23" s="3" t="s">
        <v>12854</v>
      </c>
      <c r="H23" s="3" t="s">
        <v>2538</v>
      </c>
      <c r="I23" s="3" t="s">
        <v>12741</v>
      </c>
      <c r="J23" s="3"/>
      <c r="K23" s="3" t="s">
        <v>12855</v>
      </c>
      <c r="L23" s="3" t="s">
        <v>12856</v>
      </c>
      <c r="M23" s="6">
        <v>33936</v>
      </c>
      <c r="N23" s="3">
        <v>30</v>
      </c>
      <c r="O23" s="3">
        <v>21840970</v>
      </c>
      <c r="P23" s="3">
        <v>6509546531</v>
      </c>
      <c r="Q23" s="3"/>
      <c r="R23" s="3" t="s">
        <v>12800</v>
      </c>
      <c r="S23" s="3" t="s">
        <v>3137</v>
      </c>
      <c r="T23" s="3" t="s">
        <v>12682</v>
      </c>
      <c r="U23" s="3"/>
      <c r="V23" s="3" t="s">
        <v>12857</v>
      </c>
      <c r="W23" s="3" t="s">
        <v>4204</v>
      </c>
      <c r="X23" s="3" t="s">
        <v>2980</v>
      </c>
      <c r="Y23" s="3" t="s">
        <v>12684</v>
      </c>
      <c r="Z23" s="3" t="s">
        <v>2543</v>
      </c>
      <c r="AA23" s="3"/>
      <c r="AB23" s="3"/>
      <c r="AC23" s="3" t="s">
        <v>12858</v>
      </c>
      <c r="AD23" s="3">
        <v>14</v>
      </c>
      <c r="AE23" s="3" t="s">
        <v>12859</v>
      </c>
      <c r="AF23" s="3" t="s">
        <v>4058</v>
      </c>
      <c r="AG23" s="3" t="s">
        <v>4057</v>
      </c>
      <c r="AH23" s="3" t="s">
        <v>4060</v>
      </c>
      <c r="AI23" s="3" t="s">
        <v>605</v>
      </c>
      <c r="AJ23" s="3" t="s">
        <v>2569</v>
      </c>
      <c r="AK23" s="3" t="s">
        <v>12729</v>
      </c>
      <c r="AL23" s="3" t="s">
        <v>2588</v>
      </c>
      <c r="AM23" s="3">
        <v>3</v>
      </c>
      <c r="AN23" s="3" t="s">
        <v>7216</v>
      </c>
      <c r="AO23" s="3" t="s">
        <v>120</v>
      </c>
      <c r="AP23" s="3"/>
      <c r="AQ23" s="7" t="s">
        <v>12860</v>
      </c>
      <c r="AR23" s="3"/>
      <c r="AS23" s="7" t="s">
        <v>12861</v>
      </c>
    </row>
    <row r="24" spans="1:48" ht="12.5" hidden="1" x14ac:dyDescent="0.25">
      <c r="A24" s="3" t="s">
        <v>12652</v>
      </c>
      <c r="B24" s="7" t="str">
        <f>HYPERLINK("https://gerandofalcoes.my.salesforce.com/0014X00002VKCpjQAH", "0014X00002VKCpjQAH")</f>
        <v>0014X00002VKCpjQAH</v>
      </c>
      <c r="C24" s="3" t="s">
        <v>4070</v>
      </c>
      <c r="D24" s="3" t="s">
        <v>46</v>
      </c>
      <c r="E24" s="21" t="str">
        <f>HYPERLINK("https://gerandofalcoes.my.salesforce.com/0034X0000380O5u", "0034X0000380O5u")</f>
        <v>0034X0000380O5u</v>
      </c>
      <c r="F24" s="3" t="s">
        <v>2773</v>
      </c>
      <c r="G24" s="3" t="s">
        <v>12862</v>
      </c>
      <c r="H24" s="3" t="s">
        <v>2538</v>
      </c>
      <c r="I24" s="3" t="s">
        <v>12741</v>
      </c>
      <c r="J24" s="3">
        <v>33</v>
      </c>
      <c r="K24" s="3" t="s">
        <v>12863</v>
      </c>
      <c r="L24" s="3" t="s">
        <v>4075</v>
      </c>
      <c r="M24" s="6">
        <v>29849</v>
      </c>
      <c r="N24" s="3">
        <v>41</v>
      </c>
      <c r="O24" s="3">
        <v>20170341253</v>
      </c>
      <c r="P24" s="3">
        <v>92709567334</v>
      </c>
      <c r="Q24" s="3"/>
      <c r="R24" s="3" t="s">
        <v>12800</v>
      </c>
      <c r="S24" s="3" t="s">
        <v>12864</v>
      </c>
      <c r="T24" s="3" t="s">
        <v>12723</v>
      </c>
      <c r="U24" s="3"/>
      <c r="V24" s="3" t="s">
        <v>12865</v>
      </c>
      <c r="W24" s="3" t="s">
        <v>4204</v>
      </c>
      <c r="X24" s="3" t="s">
        <v>2980</v>
      </c>
      <c r="Y24" s="3" t="s">
        <v>12658</v>
      </c>
      <c r="Z24" s="3" t="s">
        <v>2543</v>
      </c>
      <c r="AA24" s="3" t="s">
        <v>2544</v>
      </c>
      <c r="AB24" s="3" t="s">
        <v>2543</v>
      </c>
      <c r="AC24" s="3" t="s">
        <v>4076</v>
      </c>
      <c r="AD24" s="3">
        <v>91</v>
      </c>
      <c r="AE24" s="3" t="s">
        <v>12866</v>
      </c>
      <c r="AF24" s="3" t="s">
        <v>4078</v>
      </c>
      <c r="AG24" s="3" t="s">
        <v>4077</v>
      </c>
      <c r="AH24" s="3" t="s">
        <v>4079</v>
      </c>
      <c r="AI24" s="3" t="s">
        <v>468</v>
      </c>
      <c r="AJ24" s="3" t="s">
        <v>2569</v>
      </c>
      <c r="AK24" s="3" t="s">
        <v>3249</v>
      </c>
      <c r="AL24" s="3" t="s">
        <v>2579</v>
      </c>
      <c r="AM24" s="3">
        <v>1</v>
      </c>
      <c r="AN24" s="3" t="s">
        <v>7216</v>
      </c>
      <c r="AO24" s="3" t="s">
        <v>120</v>
      </c>
      <c r="AP24" s="3"/>
      <c r="AQ24" s="7" t="s">
        <v>12867</v>
      </c>
      <c r="AR24" s="3"/>
      <c r="AS24" s="7" t="s">
        <v>12868</v>
      </c>
    </row>
    <row r="25" spans="1:48" ht="12.5" hidden="1" x14ac:dyDescent="0.25">
      <c r="A25" s="3" t="s">
        <v>12652</v>
      </c>
      <c r="B25" s="7" t="str">
        <f>HYPERLINK("https://gerandofalcoes.my.salesforce.com/0014X00002VKCpkQAH", "0014X00002VKCpkQAH")</f>
        <v>0014X00002VKCpkQAH</v>
      </c>
      <c r="C25" s="3" t="s">
        <v>4087</v>
      </c>
      <c r="D25" s="3" t="s">
        <v>46</v>
      </c>
      <c r="E25" s="21" t="str">
        <f>HYPERLINK("https://gerandofalcoes.my.salesforce.com/0034X0000380O5Q", "0034X0000380O5Q")</f>
        <v>0034X0000380O5Q</v>
      </c>
      <c r="F25" s="3" t="s">
        <v>12869</v>
      </c>
      <c r="G25" s="3" t="s">
        <v>12870</v>
      </c>
      <c r="H25" s="3" t="s">
        <v>2538</v>
      </c>
      <c r="I25" s="3" t="s">
        <v>12741</v>
      </c>
      <c r="J25" s="3">
        <v>33</v>
      </c>
      <c r="K25" s="3" t="s">
        <v>4090</v>
      </c>
      <c r="L25" s="3" t="s">
        <v>12871</v>
      </c>
      <c r="M25" s="6">
        <v>31810</v>
      </c>
      <c r="N25" s="3">
        <v>35</v>
      </c>
      <c r="O25" s="3">
        <v>2002014084250</v>
      </c>
      <c r="P25" s="3">
        <v>1444834320</v>
      </c>
      <c r="Q25" s="3"/>
      <c r="R25" s="3" t="s">
        <v>12872</v>
      </c>
      <c r="S25" s="3" t="s">
        <v>3137</v>
      </c>
      <c r="T25" s="3" t="s">
        <v>12723</v>
      </c>
      <c r="U25" s="3"/>
      <c r="V25" s="3" t="s">
        <v>12873</v>
      </c>
      <c r="W25" s="3" t="s">
        <v>12664</v>
      </c>
      <c r="X25" s="3" t="s">
        <v>2980</v>
      </c>
      <c r="Y25" s="3" t="s">
        <v>12670</v>
      </c>
      <c r="Z25" s="3" t="s">
        <v>2545</v>
      </c>
      <c r="AA25" s="3" t="s">
        <v>2544</v>
      </c>
      <c r="AB25" s="3" t="s">
        <v>2545</v>
      </c>
      <c r="AC25" s="3" t="s">
        <v>12874</v>
      </c>
      <c r="AD25" s="3">
        <v>219</v>
      </c>
      <c r="AE25" s="3"/>
      <c r="AF25" s="3" t="s">
        <v>470</v>
      </c>
      <c r="AG25" s="3" t="s">
        <v>4093</v>
      </c>
      <c r="AH25" s="3" t="s">
        <v>4095</v>
      </c>
      <c r="AI25" s="3" t="s">
        <v>468</v>
      </c>
      <c r="AJ25" s="3" t="s">
        <v>2569</v>
      </c>
      <c r="AK25" s="3" t="s">
        <v>12661</v>
      </c>
      <c r="AL25" s="3" t="s">
        <v>2588</v>
      </c>
      <c r="AM25" s="3">
        <v>2</v>
      </c>
      <c r="AN25" s="3" t="s">
        <v>7216</v>
      </c>
      <c r="AO25" s="3" t="s">
        <v>120</v>
      </c>
      <c r="AP25" s="3"/>
      <c r="AQ25" s="3" t="s">
        <v>12875</v>
      </c>
      <c r="AR25" s="3"/>
      <c r="AS25" s="7" t="s">
        <v>12876</v>
      </c>
    </row>
    <row r="26" spans="1:48" ht="12.5" x14ac:dyDescent="0.25">
      <c r="A26" s="3" t="s">
        <v>12652</v>
      </c>
      <c r="B26" s="7" t="str">
        <f>HYPERLINK("https://gerandofalcoes.my.salesforce.com/0014X00002VKCplQAH", "0014X00002VKCplQAH")</f>
        <v>0014X00002VKCplQAH</v>
      </c>
      <c r="C26" s="3" t="s">
        <v>4108</v>
      </c>
      <c r="D26" s="3" t="s">
        <v>46</v>
      </c>
      <c r="E26" s="21" t="str">
        <f>HYPERLINK("https://gerandofalcoes.my.salesforce.com/0034X0000380O1C", "0034X0000380O1C")</f>
        <v>0034X0000380O1C</v>
      </c>
      <c r="F26" s="3" t="s">
        <v>12877</v>
      </c>
      <c r="G26" s="3" t="s">
        <v>12878</v>
      </c>
      <c r="H26" s="3" t="s">
        <v>2538</v>
      </c>
      <c r="I26" s="3" t="s">
        <v>12741</v>
      </c>
      <c r="J26" s="3">
        <v>33</v>
      </c>
      <c r="K26" s="3" t="s">
        <v>12879</v>
      </c>
      <c r="L26" s="3" t="s">
        <v>12880</v>
      </c>
      <c r="M26" s="8">
        <v>29345</v>
      </c>
      <c r="N26" s="3">
        <v>42</v>
      </c>
      <c r="O26" s="3">
        <v>97002165441</v>
      </c>
      <c r="P26" s="3">
        <v>79739695353</v>
      </c>
      <c r="Q26" s="3"/>
      <c r="R26" s="3"/>
      <c r="S26" s="3" t="s">
        <v>3269</v>
      </c>
      <c r="T26" s="3" t="s">
        <v>12723</v>
      </c>
      <c r="U26" s="3"/>
      <c r="V26" s="3" t="s">
        <v>12881</v>
      </c>
      <c r="W26" s="3" t="s">
        <v>2541</v>
      </c>
      <c r="X26" s="3" t="s">
        <v>3508</v>
      </c>
      <c r="Y26" s="3"/>
      <c r="Z26" s="3" t="s">
        <v>2543</v>
      </c>
      <c r="AA26" s="3" t="s">
        <v>2737</v>
      </c>
      <c r="AB26" s="3" t="s">
        <v>2543</v>
      </c>
      <c r="AC26" s="3" t="s">
        <v>12882</v>
      </c>
      <c r="AD26" s="3">
        <v>120</v>
      </c>
      <c r="AE26" s="3"/>
      <c r="AF26" s="3"/>
      <c r="AG26" s="3" t="s">
        <v>12883</v>
      </c>
      <c r="AH26" s="3" t="s">
        <v>12884</v>
      </c>
      <c r="AI26" s="3" t="s">
        <v>468</v>
      </c>
      <c r="AJ26" s="3" t="s">
        <v>2741</v>
      </c>
      <c r="AK26" s="3" t="s">
        <v>12828</v>
      </c>
      <c r="AL26" s="3" t="s">
        <v>2550</v>
      </c>
      <c r="AM26" s="3">
        <v>1</v>
      </c>
      <c r="AN26" s="3" t="s">
        <v>7216</v>
      </c>
      <c r="AO26" s="3" t="s">
        <v>120</v>
      </c>
      <c r="AP26" s="3"/>
      <c r="AQ26" s="7" t="s">
        <v>12885</v>
      </c>
      <c r="AR26" s="3"/>
      <c r="AS26" s="7" t="s">
        <v>12886</v>
      </c>
      <c r="AT26" s="3"/>
      <c r="AU26" s="3"/>
      <c r="AV26" s="3"/>
    </row>
    <row r="27" spans="1:48" ht="12.5" hidden="1" x14ac:dyDescent="0.25">
      <c r="A27" s="3" t="s">
        <v>12652</v>
      </c>
      <c r="B27" s="7" t="str">
        <f>HYPERLINK("https://gerandofalcoes.my.salesforce.com/0014X00002VKCpmQAH", "0014X00002VKCpmQAH")</f>
        <v>0014X00002VKCpmQAH</v>
      </c>
      <c r="C27" s="3" t="s">
        <v>4131</v>
      </c>
      <c r="D27" s="3" t="s">
        <v>46</v>
      </c>
      <c r="E27" s="21" t="str">
        <f>HYPERLINK("https://gerandofalcoes.my.salesforce.com/0034X0000380O4a", "0034X0000380O4a")</f>
        <v>0034X0000380O4a</v>
      </c>
      <c r="F27" s="3" t="s">
        <v>12887</v>
      </c>
      <c r="G27" s="3" t="s">
        <v>12888</v>
      </c>
      <c r="H27" s="3" t="s">
        <v>2538</v>
      </c>
      <c r="I27" s="3" t="s">
        <v>12741</v>
      </c>
      <c r="J27" s="3">
        <v>33</v>
      </c>
      <c r="K27" s="3" t="s">
        <v>12889</v>
      </c>
      <c r="L27" s="3" t="s">
        <v>4134</v>
      </c>
      <c r="M27" s="6">
        <v>32364</v>
      </c>
      <c r="N27" s="3">
        <v>34</v>
      </c>
      <c r="O27" s="3">
        <v>2006010368221</v>
      </c>
      <c r="P27" s="3">
        <v>2412338361</v>
      </c>
      <c r="Q27" s="3"/>
      <c r="R27" s="3" t="s">
        <v>12890</v>
      </c>
      <c r="S27" s="3" t="s">
        <v>2998</v>
      </c>
      <c r="T27" s="3" t="s">
        <v>12656</v>
      </c>
      <c r="U27" s="3"/>
      <c r="V27" s="3" t="s">
        <v>12891</v>
      </c>
      <c r="W27" s="3" t="s">
        <v>12664</v>
      </c>
      <c r="X27" s="3" t="s">
        <v>2980</v>
      </c>
      <c r="Y27" s="3" t="s">
        <v>12684</v>
      </c>
      <c r="Z27" s="3" t="s">
        <v>2543</v>
      </c>
      <c r="AA27" s="3"/>
      <c r="AB27" s="3"/>
      <c r="AC27" s="3" t="s">
        <v>12892</v>
      </c>
      <c r="AD27" s="3" t="s">
        <v>4137</v>
      </c>
      <c r="AE27" s="3"/>
      <c r="AF27" s="3" t="s">
        <v>4138</v>
      </c>
      <c r="AG27" s="3" t="s">
        <v>4136</v>
      </c>
      <c r="AH27" s="10" t="s">
        <v>4139</v>
      </c>
      <c r="AI27" s="3" t="s">
        <v>468</v>
      </c>
      <c r="AJ27" s="3" t="s">
        <v>2569</v>
      </c>
      <c r="AK27" s="3" t="s">
        <v>12661</v>
      </c>
      <c r="AL27" s="3" t="s">
        <v>2550</v>
      </c>
      <c r="AM27" s="3">
        <v>3</v>
      </c>
      <c r="AN27" s="3" t="s">
        <v>7216</v>
      </c>
      <c r="AO27" s="3" t="s">
        <v>120</v>
      </c>
      <c r="AP27" s="3"/>
      <c r="AQ27" s="7" t="s">
        <v>4145</v>
      </c>
      <c r="AR27" s="3"/>
      <c r="AS27" s="7" t="s">
        <v>12893</v>
      </c>
      <c r="AT27" s="3"/>
      <c r="AU27" s="3"/>
      <c r="AV27" s="3"/>
    </row>
    <row r="28" spans="1:48" ht="12.5" hidden="1" x14ac:dyDescent="0.25">
      <c r="A28" s="3" t="s">
        <v>12652</v>
      </c>
      <c r="B28" s="7" t="str">
        <f>HYPERLINK("https://gerandofalcoes.my.salesforce.com/0014X00002VKCpnQAH", "0014X00002VKCpnQAH")</f>
        <v>0014X00002VKCpnQAH</v>
      </c>
      <c r="C28" s="3" t="s">
        <v>4146</v>
      </c>
      <c r="D28" s="3" t="s">
        <v>46</v>
      </c>
      <c r="E28" s="21" t="str">
        <f>HYPERLINK("https://gerandofalcoes.my.salesforce.com/0034X0000380O6W", "0034X0000380O6W")</f>
        <v>0034X0000380O6W</v>
      </c>
      <c r="F28" s="3" t="s">
        <v>2874</v>
      </c>
      <c r="G28" s="3" t="s">
        <v>12894</v>
      </c>
      <c r="H28" s="3" t="s">
        <v>2538</v>
      </c>
      <c r="I28" s="3" t="s">
        <v>12741</v>
      </c>
      <c r="J28" s="3">
        <v>33</v>
      </c>
      <c r="K28" s="3" t="s">
        <v>4149</v>
      </c>
      <c r="L28" s="3" t="s">
        <v>4150</v>
      </c>
      <c r="M28" s="6">
        <v>26529</v>
      </c>
      <c r="N28" s="3">
        <v>50</v>
      </c>
      <c r="O28" s="3">
        <v>2001010059350</v>
      </c>
      <c r="P28" s="3">
        <v>38969939334</v>
      </c>
      <c r="Q28" s="3"/>
      <c r="R28" s="3" t="s">
        <v>12895</v>
      </c>
      <c r="S28" s="3" t="s">
        <v>2998</v>
      </c>
      <c r="T28" s="3" t="s">
        <v>12656</v>
      </c>
      <c r="U28" s="3"/>
      <c r="V28" s="3" t="s">
        <v>12896</v>
      </c>
      <c r="W28" s="3" t="s">
        <v>12664</v>
      </c>
      <c r="X28" s="3" t="s">
        <v>2980</v>
      </c>
      <c r="Y28" s="3" t="s">
        <v>12658</v>
      </c>
      <c r="Z28" s="3" t="s">
        <v>2543</v>
      </c>
      <c r="AA28" s="3" t="s">
        <v>2544</v>
      </c>
      <c r="AB28" s="3" t="s">
        <v>2545</v>
      </c>
      <c r="AC28" s="3" t="s">
        <v>4151</v>
      </c>
      <c r="AD28" s="3">
        <v>638</v>
      </c>
      <c r="AE28" s="3" t="s">
        <v>12897</v>
      </c>
      <c r="AF28" s="3" t="s">
        <v>470</v>
      </c>
      <c r="AG28" s="3" t="s">
        <v>12898</v>
      </c>
      <c r="AH28" s="3" t="s">
        <v>4153</v>
      </c>
      <c r="AI28" s="3" t="s">
        <v>468</v>
      </c>
      <c r="AJ28" s="3" t="s">
        <v>2569</v>
      </c>
      <c r="AK28" s="3" t="s">
        <v>12806</v>
      </c>
      <c r="AL28" s="3" t="s">
        <v>2550</v>
      </c>
      <c r="AM28" s="3">
        <v>4</v>
      </c>
      <c r="AN28" s="3" t="s">
        <v>7216</v>
      </c>
      <c r="AO28" s="3" t="s">
        <v>120</v>
      </c>
      <c r="AP28" s="3"/>
      <c r="AQ28" s="7" t="s">
        <v>12899</v>
      </c>
      <c r="AR28" s="3"/>
      <c r="AS28" s="7" t="s">
        <v>12900</v>
      </c>
      <c r="AT28" s="3"/>
      <c r="AU28" s="3"/>
      <c r="AV28" s="3"/>
    </row>
    <row r="29" spans="1:48" ht="12.5" x14ac:dyDescent="0.25">
      <c r="A29" s="3" t="s">
        <v>12652</v>
      </c>
      <c r="B29" s="7" t="str">
        <f>HYPERLINK("https://gerandofalcoes.my.salesforce.com/0014X00002VKCpqQAH", "0014X00002VKCpqQAH")</f>
        <v>0014X00002VKCpqQAH</v>
      </c>
      <c r="C29" s="3" t="s">
        <v>4160</v>
      </c>
      <c r="D29" s="3" t="s">
        <v>46</v>
      </c>
      <c r="E29" s="21" t="str">
        <f>HYPERLINK("https://gerandofalcoes.my.salesforce.com/0034X0000380O5q", "0034X0000380O5q")</f>
        <v>0034X0000380O5q</v>
      </c>
      <c r="F29" s="3" t="s">
        <v>12901</v>
      </c>
      <c r="G29" s="3" t="s">
        <v>12902</v>
      </c>
      <c r="H29" s="3" t="s">
        <v>2538</v>
      </c>
      <c r="I29" s="3" t="s">
        <v>12741</v>
      </c>
      <c r="J29" s="3"/>
      <c r="K29" s="3" t="s">
        <v>12903</v>
      </c>
      <c r="L29" s="3" t="s">
        <v>12904</v>
      </c>
      <c r="M29" s="8">
        <v>31382</v>
      </c>
      <c r="N29" s="3">
        <v>37</v>
      </c>
      <c r="O29" s="3">
        <v>2003010420113</v>
      </c>
      <c r="P29" s="3">
        <v>2791083383</v>
      </c>
      <c r="Q29" s="3"/>
      <c r="R29" s="3"/>
      <c r="S29" s="3" t="s">
        <v>3417</v>
      </c>
      <c r="T29" s="3" t="s">
        <v>12723</v>
      </c>
      <c r="U29" s="3"/>
      <c r="V29" s="3" t="s">
        <v>12905</v>
      </c>
      <c r="W29" s="3" t="s">
        <v>2541</v>
      </c>
      <c r="X29" s="3"/>
      <c r="Y29" s="3"/>
      <c r="Z29" s="3" t="s">
        <v>2543</v>
      </c>
      <c r="AA29" s="3"/>
      <c r="AB29" s="3"/>
      <c r="AC29" s="3" t="s">
        <v>4166</v>
      </c>
      <c r="AD29" s="3">
        <v>1325</v>
      </c>
      <c r="AE29" s="3"/>
      <c r="AF29" s="3"/>
      <c r="AG29" s="3" t="s">
        <v>4167</v>
      </c>
      <c r="AH29" s="3">
        <v>60730145</v>
      </c>
      <c r="AI29" s="3" t="s">
        <v>468</v>
      </c>
      <c r="AJ29" s="3" t="s">
        <v>2569</v>
      </c>
      <c r="AK29" s="3" t="s">
        <v>3249</v>
      </c>
      <c r="AL29" s="3" t="s">
        <v>2550</v>
      </c>
      <c r="AM29" s="3">
        <v>2</v>
      </c>
      <c r="AN29" s="3" t="s">
        <v>7216</v>
      </c>
      <c r="AO29" s="3" t="s">
        <v>120</v>
      </c>
      <c r="AP29" s="3"/>
      <c r="AQ29" s="7" t="s">
        <v>12906</v>
      </c>
      <c r="AR29" s="3"/>
      <c r="AS29" s="7" t="s">
        <v>12907</v>
      </c>
      <c r="AT29" s="3"/>
      <c r="AU29" s="3"/>
      <c r="AV29" s="3"/>
    </row>
    <row r="30" spans="1:48" ht="12.5" hidden="1" x14ac:dyDescent="0.25">
      <c r="A30" s="3" t="s">
        <v>12652</v>
      </c>
      <c r="B30" s="7" t="str">
        <f>HYPERLINK("https://gerandofalcoes.my.salesforce.com/0014X00002VKCpsQAH", "0014X00002VKCpsQAH")</f>
        <v>0014X00002VKCpsQAH</v>
      </c>
      <c r="C30" s="3" t="s">
        <v>4176</v>
      </c>
      <c r="D30" s="3" t="s">
        <v>46</v>
      </c>
      <c r="E30" s="21" t="str">
        <f>HYPERLINK("https://gerandofalcoes.my.salesforce.com/0034X0000380O1j", "0034X0000380O1j")</f>
        <v>0034X0000380O1j</v>
      </c>
      <c r="F30" s="3" t="s">
        <v>12908</v>
      </c>
      <c r="G30" s="3" t="s">
        <v>12909</v>
      </c>
      <c r="H30" s="3" t="s">
        <v>2538</v>
      </c>
      <c r="I30" s="3" t="s">
        <v>12741</v>
      </c>
      <c r="J30" s="3">
        <v>33</v>
      </c>
      <c r="K30" s="3" t="s">
        <v>12910</v>
      </c>
      <c r="L30" s="3" t="s">
        <v>12911</v>
      </c>
      <c r="M30" s="6">
        <v>28221</v>
      </c>
      <c r="N30" s="3">
        <v>45</v>
      </c>
      <c r="O30" s="3">
        <v>94006013609</v>
      </c>
      <c r="P30" s="3">
        <v>73800244349</v>
      </c>
      <c r="Q30" s="3"/>
      <c r="R30" s="3" t="s">
        <v>12912</v>
      </c>
      <c r="S30" s="3" t="s">
        <v>2998</v>
      </c>
      <c r="T30" s="3" t="s">
        <v>12682</v>
      </c>
      <c r="U30" s="3"/>
      <c r="V30" s="3" t="s">
        <v>12913</v>
      </c>
      <c r="W30" s="3" t="s">
        <v>12664</v>
      </c>
      <c r="X30" s="3" t="s">
        <v>3508</v>
      </c>
      <c r="Y30" s="3" t="s">
        <v>12670</v>
      </c>
      <c r="Z30" s="3" t="s">
        <v>2543</v>
      </c>
      <c r="AA30" s="3" t="s">
        <v>2577</v>
      </c>
      <c r="AB30" s="3" t="s">
        <v>2543</v>
      </c>
      <c r="AC30" s="3" t="s">
        <v>12914</v>
      </c>
      <c r="AD30" s="3">
        <v>492</v>
      </c>
      <c r="AE30" s="3"/>
      <c r="AF30" s="3" t="s">
        <v>470</v>
      </c>
      <c r="AG30" s="3" t="s">
        <v>4183</v>
      </c>
      <c r="AH30" s="10" t="s">
        <v>12915</v>
      </c>
      <c r="AI30" s="3" t="s">
        <v>468</v>
      </c>
      <c r="AJ30" s="3" t="s">
        <v>2741</v>
      </c>
      <c r="AK30" s="3" t="s">
        <v>12916</v>
      </c>
      <c r="AL30" s="3" t="s">
        <v>2550</v>
      </c>
      <c r="AM30" s="3">
        <v>5</v>
      </c>
      <c r="AN30" s="3" t="s">
        <v>7216</v>
      </c>
      <c r="AO30" s="3" t="s">
        <v>120</v>
      </c>
      <c r="AP30" s="3"/>
      <c r="AQ30" s="7" t="s">
        <v>12917</v>
      </c>
      <c r="AR30" s="3"/>
      <c r="AS30" s="7" t="s">
        <v>12918</v>
      </c>
      <c r="AT30" s="3"/>
      <c r="AU30" s="3"/>
      <c r="AV30" s="3"/>
    </row>
    <row r="31" spans="1:48" ht="12.5" x14ac:dyDescent="0.25">
      <c r="A31" s="3" t="s">
        <v>12652</v>
      </c>
      <c r="B31" s="7" t="str">
        <f>HYPERLINK("https://gerandofalcoes.my.salesforce.com/0014X00002VKCptQAH", "0014X00002VKCptQAH")</f>
        <v>0014X00002VKCptQAH</v>
      </c>
      <c r="C31" s="3" t="s">
        <v>4192</v>
      </c>
      <c r="D31" s="3" t="s">
        <v>46</v>
      </c>
      <c r="E31" s="21" t="str">
        <f>HYPERLINK("https://gerandofalcoes.my.salesforce.com/0034X0000380O55", "0034X0000380O55")</f>
        <v>0034X0000380O55</v>
      </c>
      <c r="F31" s="3" t="s">
        <v>12919</v>
      </c>
      <c r="G31" s="3" t="s">
        <v>12920</v>
      </c>
      <c r="H31" s="3" t="s">
        <v>2538</v>
      </c>
      <c r="I31" s="3" t="s">
        <v>12741</v>
      </c>
      <c r="J31" s="3"/>
      <c r="K31" s="3" t="s">
        <v>12921</v>
      </c>
      <c r="L31" s="3" t="s">
        <v>12922</v>
      </c>
      <c r="M31" s="6">
        <v>26239</v>
      </c>
      <c r="N31" s="3">
        <v>51</v>
      </c>
      <c r="O31" s="3">
        <v>207135940</v>
      </c>
      <c r="P31" s="3">
        <v>43796273300</v>
      </c>
      <c r="Q31" s="3"/>
      <c r="R31" s="3"/>
      <c r="S31" s="3" t="s">
        <v>3137</v>
      </c>
      <c r="T31" s="3" t="s">
        <v>12723</v>
      </c>
      <c r="U31" s="3"/>
      <c r="V31" s="3" t="s">
        <v>12923</v>
      </c>
      <c r="W31" s="3" t="s">
        <v>2541</v>
      </c>
      <c r="X31" s="3" t="s">
        <v>2980</v>
      </c>
      <c r="Y31" s="3"/>
      <c r="Z31" s="3" t="s">
        <v>2543</v>
      </c>
      <c r="AA31" s="3" t="s">
        <v>2544</v>
      </c>
      <c r="AB31" s="3" t="s">
        <v>2545</v>
      </c>
      <c r="AC31" s="3" t="s">
        <v>12924</v>
      </c>
      <c r="AD31" s="3">
        <v>73</v>
      </c>
      <c r="AE31" s="3"/>
      <c r="AF31" s="3"/>
      <c r="AG31" s="3" t="s">
        <v>4199</v>
      </c>
      <c r="AH31" s="3" t="s">
        <v>12925</v>
      </c>
      <c r="AI31" s="3" t="s">
        <v>246</v>
      </c>
      <c r="AJ31" s="3" t="s">
        <v>2569</v>
      </c>
      <c r="AK31" s="3" t="s">
        <v>3249</v>
      </c>
      <c r="AL31" s="3" t="s">
        <v>2579</v>
      </c>
      <c r="AM31" s="3">
        <v>2</v>
      </c>
      <c r="AN31" s="3" t="s">
        <v>7216</v>
      </c>
      <c r="AO31" s="3" t="s">
        <v>120</v>
      </c>
      <c r="AP31" s="7" t="s">
        <v>12926</v>
      </c>
      <c r="AQ31" s="7" t="s">
        <v>12927</v>
      </c>
      <c r="AR31" s="3"/>
      <c r="AS31" s="7" t="s">
        <v>12928</v>
      </c>
      <c r="AT31" s="3"/>
      <c r="AU31" s="3"/>
      <c r="AV31" s="3"/>
    </row>
    <row r="32" spans="1:48" ht="12.5" x14ac:dyDescent="0.25">
      <c r="A32" s="3" t="s">
        <v>12652</v>
      </c>
      <c r="B32" s="7" t="str">
        <f>HYPERLINK("https://gerandofalcoes.my.salesforce.com/0014X00002VKCpuQAH", "0014X00002VKCpuQAH")</f>
        <v>0014X00002VKCpuQAH</v>
      </c>
      <c r="C32" s="3" t="s">
        <v>4211</v>
      </c>
      <c r="D32" s="3" t="s">
        <v>46</v>
      </c>
      <c r="E32" s="21" t="str">
        <f>HYPERLINK("https://gerandofalcoes.my.salesforce.com/0034X0000380O34", "0034X0000380O34")</f>
        <v>0034X0000380O34</v>
      </c>
      <c r="F32" s="3" t="s">
        <v>3434</v>
      </c>
      <c r="G32" s="3" t="s">
        <v>12929</v>
      </c>
      <c r="H32" s="3" t="s">
        <v>2538</v>
      </c>
      <c r="I32" s="3" t="s">
        <v>12741</v>
      </c>
      <c r="J32" s="3">
        <v>33</v>
      </c>
      <c r="K32" s="3" t="s">
        <v>12930</v>
      </c>
      <c r="L32" s="3">
        <v>88999701973</v>
      </c>
      <c r="M32" s="8">
        <v>29186</v>
      </c>
      <c r="N32" s="3">
        <v>43</v>
      </c>
      <c r="O32" s="3">
        <v>2004005018262</v>
      </c>
      <c r="P32" s="3">
        <v>86279688372</v>
      </c>
      <c r="Q32" s="3"/>
      <c r="R32" s="3"/>
      <c r="S32" s="3" t="s">
        <v>3269</v>
      </c>
      <c r="T32" s="3" t="s">
        <v>12656</v>
      </c>
      <c r="U32" s="3"/>
      <c r="V32" s="3" t="s">
        <v>12931</v>
      </c>
      <c r="W32" s="3" t="s">
        <v>2541</v>
      </c>
      <c r="X32" s="3" t="s">
        <v>2980</v>
      </c>
      <c r="Y32" s="3"/>
      <c r="Z32" s="3" t="s">
        <v>2543</v>
      </c>
      <c r="AA32" s="3" t="s">
        <v>2577</v>
      </c>
      <c r="AB32" s="3" t="s">
        <v>2545</v>
      </c>
      <c r="AC32" s="3" t="s">
        <v>12932</v>
      </c>
      <c r="AD32" s="3">
        <v>1453</v>
      </c>
      <c r="AE32" s="3"/>
      <c r="AF32" s="3"/>
      <c r="AG32" s="3" t="s">
        <v>12933</v>
      </c>
      <c r="AH32" s="3">
        <v>63905325</v>
      </c>
      <c r="AI32" s="3" t="s">
        <v>468</v>
      </c>
      <c r="AJ32" s="3" t="s">
        <v>2569</v>
      </c>
      <c r="AK32" s="3" t="s">
        <v>12729</v>
      </c>
      <c r="AL32" s="3" t="s">
        <v>3890</v>
      </c>
      <c r="AM32" s="3">
        <v>2</v>
      </c>
      <c r="AN32" s="3" t="s">
        <v>3890</v>
      </c>
      <c r="AO32" s="3" t="s">
        <v>62</v>
      </c>
      <c r="AP32" s="3"/>
      <c r="AQ32" s="7" t="s">
        <v>12934</v>
      </c>
      <c r="AR32" s="3"/>
      <c r="AS32" s="7" t="s">
        <v>12935</v>
      </c>
      <c r="AT32" s="3"/>
      <c r="AU32" s="3"/>
      <c r="AV32" s="3"/>
    </row>
    <row r="33" spans="1:48" ht="12.5" x14ac:dyDescent="0.25">
      <c r="A33" s="3" t="s">
        <v>12652</v>
      </c>
      <c r="B33" s="7" t="str">
        <f>HYPERLINK("https://gerandofalcoes.my.salesforce.com/0014X00002VKCpvQAH", "0014X00002VKCpvQAH")</f>
        <v>0014X00002VKCpvQAH</v>
      </c>
      <c r="C33" s="3" t="s">
        <v>4232</v>
      </c>
      <c r="D33" s="3" t="s">
        <v>46</v>
      </c>
      <c r="E33" s="21" t="str">
        <f>HYPERLINK("https://gerandofalcoes.my.salesforce.com/0034X0000380O6Z", "0034X0000380O6Z")</f>
        <v>0034X0000380O6Z</v>
      </c>
      <c r="F33" s="3" t="s">
        <v>3434</v>
      </c>
      <c r="G33" s="3" t="s">
        <v>12936</v>
      </c>
      <c r="H33" s="3" t="s">
        <v>2538</v>
      </c>
      <c r="I33" s="3" t="s">
        <v>12741</v>
      </c>
      <c r="J33" s="3">
        <v>33</v>
      </c>
      <c r="K33" s="3" t="s">
        <v>12937</v>
      </c>
      <c r="L33" s="3">
        <v>85986286557</v>
      </c>
      <c r="M33" s="6">
        <v>32367</v>
      </c>
      <c r="N33" s="3">
        <v>34</v>
      </c>
      <c r="O33" s="3">
        <v>2004097009036</v>
      </c>
      <c r="P33" s="3">
        <v>3377330313</v>
      </c>
      <c r="Q33" s="3"/>
      <c r="R33" s="3"/>
      <c r="S33" s="3" t="s">
        <v>3269</v>
      </c>
      <c r="T33" s="3" t="s">
        <v>12656</v>
      </c>
      <c r="U33" s="3"/>
      <c r="V33" s="3" t="s">
        <v>12938</v>
      </c>
      <c r="W33" s="3" t="s">
        <v>2541</v>
      </c>
      <c r="X33" s="3" t="s">
        <v>2980</v>
      </c>
      <c r="Y33" s="3"/>
      <c r="Z33" s="3" t="s">
        <v>2543</v>
      </c>
      <c r="AA33" s="3"/>
      <c r="AB33" s="3"/>
      <c r="AC33" s="3" t="s">
        <v>6749</v>
      </c>
      <c r="AD33" s="3">
        <v>118</v>
      </c>
      <c r="AE33" s="3"/>
      <c r="AF33" s="3"/>
      <c r="AG33" s="3" t="s">
        <v>6751</v>
      </c>
      <c r="AH33" s="3">
        <v>60863840</v>
      </c>
      <c r="AI33" s="3" t="s">
        <v>468</v>
      </c>
      <c r="AJ33" s="3" t="s">
        <v>2569</v>
      </c>
      <c r="AK33" s="3" t="s">
        <v>3249</v>
      </c>
      <c r="AL33" s="3" t="s">
        <v>2550</v>
      </c>
      <c r="AM33" s="3">
        <v>7</v>
      </c>
      <c r="AN33" s="3" t="s">
        <v>7216</v>
      </c>
      <c r="AO33" s="3" t="s">
        <v>120</v>
      </c>
      <c r="AP33" s="3"/>
      <c r="AQ33" s="7" t="s">
        <v>12939</v>
      </c>
      <c r="AR33" s="3"/>
      <c r="AS33" s="7" t="s">
        <v>12940</v>
      </c>
      <c r="AT33" s="3"/>
      <c r="AU33" s="3"/>
      <c r="AV33" s="3"/>
    </row>
    <row r="34" spans="1:48" ht="12.5" x14ac:dyDescent="0.25">
      <c r="A34" s="3" t="s">
        <v>12652</v>
      </c>
      <c r="B34" s="7" t="str">
        <f>HYPERLINK("https://gerandofalcoes.my.salesforce.com/0014X00002VKCpwQAH", "0014X00002VKCpwQAH")</f>
        <v>0014X00002VKCpwQAH</v>
      </c>
      <c r="C34" s="3" t="s">
        <v>4246</v>
      </c>
      <c r="D34" s="3" t="s">
        <v>46</v>
      </c>
      <c r="E34" s="21" t="str">
        <f>HYPERLINK("https://gerandofalcoes.my.salesforce.com/0034X0000380O2U", "0034X0000380O2U")</f>
        <v>0034X0000380O2U</v>
      </c>
      <c r="F34" s="3" t="s">
        <v>3434</v>
      </c>
      <c r="G34" s="3" t="s">
        <v>12941</v>
      </c>
      <c r="H34" s="3" t="s">
        <v>2538</v>
      </c>
      <c r="I34" s="3" t="s">
        <v>12741</v>
      </c>
      <c r="J34" s="3">
        <v>33</v>
      </c>
      <c r="K34" s="3" t="s">
        <v>12942</v>
      </c>
      <c r="L34" s="3">
        <v>85986614323</v>
      </c>
      <c r="M34" s="6">
        <v>27423</v>
      </c>
      <c r="N34" s="3">
        <v>47</v>
      </c>
      <c r="O34" s="3">
        <v>93020002521</v>
      </c>
      <c r="P34" s="3">
        <v>71491309334</v>
      </c>
      <c r="Q34" s="3"/>
      <c r="R34" s="3"/>
      <c r="S34" s="3" t="s">
        <v>2998</v>
      </c>
      <c r="T34" s="3" t="s">
        <v>12723</v>
      </c>
      <c r="U34" s="3"/>
      <c r="V34" s="3" t="s">
        <v>12943</v>
      </c>
      <c r="W34" s="3" t="s">
        <v>2541</v>
      </c>
      <c r="X34" s="3" t="s">
        <v>2980</v>
      </c>
      <c r="Y34" s="3"/>
      <c r="Z34" s="3" t="s">
        <v>2543</v>
      </c>
      <c r="AA34" s="3"/>
      <c r="AB34" s="3"/>
      <c r="AC34" s="3" t="s">
        <v>12944</v>
      </c>
      <c r="AD34" s="3">
        <v>2583</v>
      </c>
      <c r="AE34" s="3"/>
      <c r="AF34" s="3"/>
      <c r="AG34" s="3" t="s">
        <v>12945</v>
      </c>
      <c r="AH34" s="3">
        <v>60353165</v>
      </c>
      <c r="AI34" s="3" t="s">
        <v>468</v>
      </c>
      <c r="AJ34" s="3" t="s">
        <v>2741</v>
      </c>
      <c r="AK34" s="3" t="s">
        <v>12661</v>
      </c>
      <c r="AL34" s="3" t="s">
        <v>2588</v>
      </c>
      <c r="AM34" s="3">
        <v>7</v>
      </c>
      <c r="AN34" s="3" t="s">
        <v>7216</v>
      </c>
      <c r="AO34" s="3" t="s">
        <v>120</v>
      </c>
      <c r="AP34" s="3"/>
      <c r="AQ34" s="3"/>
      <c r="AR34" s="3"/>
      <c r="AS34" s="7" t="s">
        <v>12946</v>
      </c>
      <c r="AT34" s="3"/>
      <c r="AU34" s="3"/>
      <c r="AV34" s="3"/>
    </row>
    <row r="35" spans="1:48" ht="12.5" hidden="1" x14ac:dyDescent="0.25">
      <c r="A35" s="3" t="s">
        <v>12652</v>
      </c>
      <c r="B35" s="7" t="str">
        <f>HYPERLINK("https://gerandofalcoes.my.salesforce.com/0014X00002VKCpxQAH", "0014X00002VKCpxQAH")</f>
        <v>0014X00002VKCpxQAH</v>
      </c>
      <c r="C35" s="3" t="s">
        <v>4260</v>
      </c>
      <c r="D35" s="3" t="s">
        <v>46</v>
      </c>
      <c r="E35" s="21" t="str">
        <f>HYPERLINK("https://gerandofalcoes.my.salesforce.com/0034X0000380O4p", "0034X0000380O4p")</f>
        <v>0034X0000380O4p</v>
      </c>
      <c r="F35" s="3" t="s">
        <v>12947</v>
      </c>
      <c r="G35" s="3" t="s">
        <v>12948</v>
      </c>
      <c r="H35" s="3" t="s">
        <v>2538</v>
      </c>
      <c r="I35" s="3" t="s">
        <v>12741</v>
      </c>
      <c r="J35" s="3"/>
      <c r="K35" s="3" t="s">
        <v>12949</v>
      </c>
      <c r="L35" s="3" t="s">
        <v>12950</v>
      </c>
      <c r="M35" s="8">
        <v>32030</v>
      </c>
      <c r="N35" s="3">
        <v>35</v>
      </c>
      <c r="O35" s="3">
        <v>2002002162544</v>
      </c>
      <c r="P35" s="3">
        <v>1829562371</v>
      </c>
      <c r="Q35" s="3"/>
      <c r="R35" s="3" t="s">
        <v>12800</v>
      </c>
      <c r="S35" s="3" t="s">
        <v>3137</v>
      </c>
      <c r="T35" s="3" t="s">
        <v>12723</v>
      </c>
      <c r="U35" s="3"/>
      <c r="V35" s="3" t="s">
        <v>12951</v>
      </c>
      <c r="W35" s="3" t="s">
        <v>12664</v>
      </c>
      <c r="X35" s="3" t="s">
        <v>2980</v>
      </c>
      <c r="Y35" s="3" t="s">
        <v>12670</v>
      </c>
      <c r="Z35" s="3" t="s">
        <v>2543</v>
      </c>
      <c r="AA35" s="3" t="s">
        <v>2544</v>
      </c>
      <c r="AB35" s="3"/>
      <c r="AC35" s="3" t="s">
        <v>12952</v>
      </c>
      <c r="AD35" s="3">
        <v>1705</v>
      </c>
      <c r="AE35" s="3" t="s">
        <v>9382</v>
      </c>
      <c r="AF35" s="3" t="s">
        <v>470</v>
      </c>
      <c r="AG35" s="3" t="s">
        <v>3764</v>
      </c>
      <c r="AH35" s="3" t="s">
        <v>12953</v>
      </c>
      <c r="AI35" s="3" t="s">
        <v>468</v>
      </c>
      <c r="AJ35" s="3" t="s">
        <v>2569</v>
      </c>
      <c r="AK35" s="3" t="s">
        <v>3249</v>
      </c>
      <c r="AL35" s="3" t="s">
        <v>2550</v>
      </c>
      <c r="AM35" s="3">
        <v>3</v>
      </c>
      <c r="AN35" s="3" t="s">
        <v>7216</v>
      </c>
      <c r="AO35" s="3" t="s">
        <v>120</v>
      </c>
      <c r="AP35" s="3"/>
      <c r="AQ35" s="3" t="s">
        <v>12954</v>
      </c>
      <c r="AR35" s="3"/>
      <c r="AS35" s="7" t="s">
        <v>12955</v>
      </c>
      <c r="AT35" s="3"/>
      <c r="AU35" s="3"/>
      <c r="AV35" s="3"/>
    </row>
    <row r="36" spans="1:48" ht="12.5" x14ac:dyDescent="0.25">
      <c r="A36" s="3" t="s">
        <v>12652</v>
      </c>
      <c r="B36" s="7" t="str">
        <f>HYPERLINK("https://gerandofalcoes.my.salesforce.com/0014X00002VKCpyQAH", "0014X00002VKCpyQAH")</f>
        <v>0014X00002VKCpyQAH</v>
      </c>
      <c r="C36" s="3" t="s">
        <v>4277</v>
      </c>
      <c r="D36" s="3" t="s">
        <v>46</v>
      </c>
      <c r="E36" s="21" t="str">
        <f>HYPERLINK("https://gerandofalcoes.my.salesforce.com/0034X0000380O3N", "0034X0000380O3N")</f>
        <v>0034X0000380O3N</v>
      </c>
      <c r="F36" s="3" t="s">
        <v>12956</v>
      </c>
      <c r="G36" s="3" t="s">
        <v>12957</v>
      </c>
      <c r="H36" s="3" t="s">
        <v>2538</v>
      </c>
      <c r="I36" s="3" t="s">
        <v>12741</v>
      </c>
      <c r="J36" s="3">
        <v>33</v>
      </c>
      <c r="K36" s="3" t="s">
        <v>12958</v>
      </c>
      <c r="L36" s="3">
        <v>85987196031</v>
      </c>
      <c r="M36" s="6">
        <v>30642</v>
      </c>
      <c r="N36" s="3">
        <v>39</v>
      </c>
      <c r="O36" s="3">
        <v>2001010525865</v>
      </c>
      <c r="P36" s="3">
        <v>297223305</v>
      </c>
      <c r="Q36" s="3"/>
      <c r="R36" s="3"/>
      <c r="S36" s="3" t="s">
        <v>3137</v>
      </c>
      <c r="T36" s="3" t="s">
        <v>12723</v>
      </c>
      <c r="U36" s="3"/>
      <c r="V36" s="3" t="s">
        <v>12959</v>
      </c>
      <c r="W36" s="3" t="s">
        <v>2541</v>
      </c>
      <c r="X36" s="3" t="s">
        <v>2980</v>
      </c>
      <c r="Y36" s="3"/>
      <c r="Z36" s="3" t="s">
        <v>2543</v>
      </c>
      <c r="AA36" s="3"/>
      <c r="AB36" s="3"/>
      <c r="AC36" s="3" t="s">
        <v>12960</v>
      </c>
      <c r="AD36" s="3">
        <v>620</v>
      </c>
      <c r="AE36" s="3"/>
      <c r="AF36" s="3"/>
      <c r="AG36" s="3" t="s">
        <v>12961</v>
      </c>
      <c r="AH36" s="3">
        <v>60831160</v>
      </c>
      <c r="AI36" s="3" t="s">
        <v>468</v>
      </c>
      <c r="AJ36" s="3" t="s">
        <v>2569</v>
      </c>
      <c r="AK36" s="3" t="s">
        <v>12661</v>
      </c>
      <c r="AL36" s="3" t="s">
        <v>2550</v>
      </c>
      <c r="AM36" s="3">
        <v>3</v>
      </c>
      <c r="AN36" s="3" t="s">
        <v>7216</v>
      </c>
      <c r="AO36" s="3" t="s">
        <v>120</v>
      </c>
      <c r="AP36" s="3"/>
      <c r="AQ36" s="7" t="s">
        <v>12962</v>
      </c>
      <c r="AR36" s="3"/>
      <c r="AS36" s="7" t="s">
        <v>12963</v>
      </c>
      <c r="AT36" s="3"/>
      <c r="AU36" s="3"/>
      <c r="AV36" s="3"/>
    </row>
    <row r="37" spans="1:48" ht="12.5" hidden="1" x14ac:dyDescent="0.25">
      <c r="A37" s="3" t="s">
        <v>12652</v>
      </c>
      <c r="B37" s="7" t="str">
        <f>HYPERLINK("https://gerandofalcoes.my.salesforce.com/0014X00002VKCpzQAH", "0014X00002VKCpzQAH")</f>
        <v>0014X00002VKCpzQAH</v>
      </c>
      <c r="C37" s="3" t="s">
        <v>4292</v>
      </c>
      <c r="D37" s="3" t="s">
        <v>46</v>
      </c>
      <c r="E37" s="21" t="str">
        <f>HYPERLINK("https://gerandofalcoes.my.salesforce.com/0034X0000380O0m", "0034X0000380O0m")</f>
        <v>0034X0000380O0m</v>
      </c>
      <c r="F37" s="3" t="s">
        <v>12964</v>
      </c>
      <c r="G37" s="3" t="s">
        <v>12965</v>
      </c>
      <c r="H37" s="3" t="s">
        <v>2538</v>
      </c>
      <c r="I37" s="3" t="s">
        <v>12741</v>
      </c>
      <c r="J37" s="3">
        <v>33</v>
      </c>
      <c r="K37" s="3" t="s">
        <v>12966</v>
      </c>
      <c r="L37" s="3" t="s">
        <v>4297</v>
      </c>
      <c r="M37" s="6">
        <v>28724</v>
      </c>
      <c r="N37" s="3">
        <v>44</v>
      </c>
      <c r="O37" s="3">
        <v>94024000475</v>
      </c>
      <c r="P37" s="3">
        <v>63421216304</v>
      </c>
      <c r="Q37" s="3"/>
      <c r="R37" s="3" t="s">
        <v>12800</v>
      </c>
      <c r="S37" s="3" t="s">
        <v>2998</v>
      </c>
      <c r="T37" s="3" t="s">
        <v>12723</v>
      </c>
      <c r="U37" s="3"/>
      <c r="V37" s="3" t="s">
        <v>12967</v>
      </c>
      <c r="W37" s="3" t="s">
        <v>12664</v>
      </c>
      <c r="X37" s="3" t="s">
        <v>2980</v>
      </c>
      <c r="Y37" s="3" t="s">
        <v>12658</v>
      </c>
      <c r="Z37" s="3" t="s">
        <v>2543</v>
      </c>
      <c r="AA37" s="3" t="s">
        <v>2544</v>
      </c>
      <c r="AB37" s="3" t="s">
        <v>2543</v>
      </c>
      <c r="AC37" s="3" t="s">
        <v>3763</v>
      </c>
      <c r="AD37" s="3">
        <v>3929</v>
      </c>
      <c r="AE37" s="3"/>
      <c r="AF37" s="3" t="s">
        <v>470</v>
      </c>
      <c r="AG37" s="3" t="s">
        <v>3764</v>
      </c>
      <c r="AH37" s="3" t="s">
        <v>4298</v>
      </c>
      <c r="AI37" s="3" t="s">
        <v>468</v>
      </c>
      <c r="AJ37" s="3" t="s">
        <v>2569</v>
      </c>
      <c r="AK37" s="3" t="s">
        <v>12661</v>
      </c>
      <c r="AL37" s="3" t="s">
        <v>2550</v>
      </c>
      <c r="AM37" s="3">
        <v>4</v>
      </c>
      <c r="AN37" s="3" t="s">
        <v>7216</v>
      </c>
      <c r="AO37" s="3" t="s">
        <v>120</v>
      </c>
      <c r="AP37" s="7" t="s">
        <v>12968</v>
      </c>
      <c r="AQ37" s="7" t="s">
        <v>12969</v>
      </c>
      <c r="AR37" s="3"/>
      <c r="AS37" s="7" t="s">
        <v>12970</v>
      </c>
      <c r="AT37" s="3"/>
      <c r="AU37" s="3"/>
      <c r="AV37" s="3"/>
    </row>
    <row r="38" spans="1:48" ht="12.5" hidden="1" x14ac:dyDescent="0.25">
      <c r="A38" s="3" t="s">
        <v>12652</v>
      </c>
      <c r="B38" s="7" t="str">
        <f>HYPERLINK("https://gerandofalcoes.my.salesforce.com/0014X00002VKCq0QAH", "0014X00002VKCq0QAH")</f>
        <v>0014X00002VKCq0QAH</v>
      </c>
      <c r="C38" s="3" t="s">
        <v>4312</v>
      </c>
      <c r="D38" s="3" t="s">
        <v>46</v>
      </c>
      <c r="E38" s="21" t="str">
        <f>HYPERLINK("https://gerandofalcoes.my.salesforce.com/0034X0000380O5i", "0034X0000380O5i")</f>
        <v>0034X0000380O5i</v>
      </c>
      <c r="F38" s="3" t="s">
        <v>12971</v>
      </c>
      <c r="G38" s="3" t="s">
        <v>12972</v>
      </c>
      <c r="H38" s="3" t="s">
        <v>2538</v>
      </c>
      <c r="I38" s="3" t="s">
        <v>12741</v>
      </c>
      <c r="J38" s="3"/>
      <c r="K38" s="3" t="s">
        <v>12973</v>
      </c>
      <c r="L38" s="3" t="s">
        <v>12974</v>
      </c>
      <c r="M38" s="6">
        <v>32774</v>
      </c>
      <c r="N38" s="3">
        <v>33</v>
      </c>
      <c r="O38" s="3">
        <v>2003009063361</v>
      </c>
      <c r="P38" s="3">
        <v>3571536347</v>
      </c>
      <c r="Q38" s="3"/>
      <c r="R38" s="3" t="s">
        <v>12975</v>
      </c>
      <c r="S38" s="3" t="s">
        <v>3137</v>
      </c>
      <c r="T38" s="3" t="s">
        <v>12723</v>
      </c>
      <c r="U38" s="3"/>
      <c r="V38" s="3" t="s">
        <v>12976</v>
      </c>
      <c r="W38" s="3" t="s">
        <v>12664</v>
      </c>
      <c r="X38" s="3" t="s">
        <v>2980</v>
      </c>
      <c r="Y38" s="3" t="s">
        <v>12670</v>
      </c>
      <c r="Z38" s="3" t="s">
        <v>2543</v>
      </c>
      <c r="AA38" s="3" t="s">
        <v>2577</v>
      </c>
      <c r="AB38" s="3" t="s">
        <v>2545</v>
      </c>
      <c r="AC38" s="3" t="s">
        <v>4318</v>
      </c>
      <c r="AD38" s="3">
        <v>2013</v>
      </c>
      <c r="AE38" s="3"/>
      <c r="AF38" s="3" t="s">
        <v>12977</v>
      </c>
      <c r="AG38" s="3" t="s">
        <v>12978</v>
      </c>
      <c r="AH38" s="3" t="s">
        <v>4322</v>
      </c>
      <c r="AI38" s="3" t="s">
        <v>468</v>
      </c>
      <c r="AJ38" s="3" t="s">
        <v>2741</v>
      </c>
      <c r="AK38" s="3" t="s">
        <v>12828</v>
      </c>
      <c r="AL38" s="3" t="s">
        <v>2550</v>
      </c>
      <c r="AM38" s="3">
        <v>2</v>
      </c>
      <c r="AN38" s="3" t="s">
        <v>7216</v>
      </c>
      <c r="AO38" s="3" t="s">
        <v>120</v>
      </c>
      <c r="AP38" s="3"/>
      <c r="AQ38" s="7" t="s">
        <v>12979</v>
      </c>
      <c r="AR38" s="3"/>
      <c r="AS38" s="7" t="s">
        <v>12980</v>
      </c>
      <c r="AT38" s="3"/>
      <c r="AU38" s="3"/>
      <c r="AV38" s="3"/>
    </row>
    <row r="39" spans="1:48" ht="12.5" x14ac:dyDescent="0.25">
      <c r="A39" s="3" t="s">
        <v>12652</v>
      </c>
      <c r="B39" s="7" t="str">
        <f>HYPERLINK("https://gerandofalcoes.my.salesforce.com/0014X00002VKCq1QAH", "0014X00002VKCq1QAH")</f>
        <v>0014X00002VKCq1QAH</v>
      </c>
      <c r="C39" s="3" t="s">
        <v>4336</v>
      </c>
      <c r="D39" s="3" t="s">
        <v>46</v>
      </c>
      <c r="E39" s="21" t="str">
        <f>HYPERLINK("https://gerandofalcoes.my.salesforce.com/0034X0000380O1G", "0034X0000380O1G")</f>
        <v>0034X0000380O1G</v>
      </c>
      <c r="F39" s="3" t="s">
        <v>12981</v>
      </c>
      <c r="G39" s="3" t="s">
        <v>12982</v>
      </c>
      <c r="H39" s="3" t="s">
        <v>2538</v>
      </c>
      <c r="I39" s="3" t="s">
        <v>12741</v>
      </c>
      <c r="J39" s="3"/>
      <c r="K39" s="3" t="s">
        <v>12983</v>
      </c>
      <c r="L39" s="3">
        <v>85991836587</v>
      </c>
      <c r="M39" s="6">
        <v>24799</v>
      </c>
      <c r="N39" s="3">
        <v>55</v>
      </c>
      <c r="O39" s="3">
        <v>91002321460</v>
      </c>
      <c r="P39" s="3">
        <v>31005691304</v>
      </c>
      <c r="Q39" s="3"/>
      <c r="R39" s="3"/>
      <c r="S39" s="3" t="s">
        <v>3417</v>
      </c>
      <c r="T39" s="3" t="s">
        <v>12723</v>
      </c>
      <c r="U39" s="3"/>
      <c r="V39" s="3" t="s">
        <v>12984</v>
      </c>
      <c r="W39" s="3" t="s">
        <v>2541</v>
      </c>
      <c r="X39" s="3" t="s">
        <v>2980</v>
      </c>
      <c r="Y39" s="3"/>
      <c r="Z39" s="3" t="s">
        <v>2543</v>
      </c>
      <c r="AA39" s="3"/>
      <c r="AB39" s="3"/>
      <c r="AC39" s="3" t="s">
        <v>12985</v>
      </c>
      <c r="AD39" s="3">
        <v>617</v>
      </c>
      <c r="AE39" s="3"/>
      <c r="AF39" s="3"/>
      <c r="AG39" s="3" t="s">
        <v>4348</v>
      </c>
      <c r="AH39" s="3">
        <v>60348200</v>
      </c>
      <c r="AI39" s="3" t="s">
        <v>468</v>
      </c>
      <c r="AJ39" s="3" t="s">
        <v>2569</v>
      </c>
      <c r="AK39" s="3" t="s">
        <v>12661</v>
      </c>
      <c r="AL39" s="3" t="s">
        <v>2550</v>
      </c>
      <c r="AM39" s="3">
        <v>2</v>
      </c>
      <c r="AN39" s="3" t="s">
        <v>7216</v>
      </c>
      <c r="AO39" s="3" t="s">
        <v>120</v>
      </c>
      <c r="AP39" s="3"/>
      <c r="AQ39" s="3"/>
      <c r="AR39" s="3"/>
      <c r="AS39" s="7" t="s">
        <v>12986</v>
      </c>
      <c r="AT39" s="3"/>
      <c r="AU39" s="3"/>
      <c r="AV39" s="3"/>
    </row>
    <row r="40" spans="1:48" ht="12.5" hidden="1" x14ac:dyDescent="0.25">
      <c r="A40" s="3" t="s">
        <v>12652</v>
      </c>
      <c r="B40" s="7" t="str">
        <f>HYPERLINK("https://gerandofalcoes.my.salesforce.com/0014X00002VKCq2QAH", "0014X00002VKCq2QAH")</f>
        <v>0014X00002VKCq2QAH</v>
      </c>
      <c r="C40" s="3" t="s">
        <v>4354</v>
      </c>
      <c r="D40" s="3" t="s">
        <v>46</v>
      </c>
      <c r="E40" s="21" t="str">
        <f>HYPERLINK("https://gerandofalcoes.my.salesforce.com/0034X0000380O1X", "0034X0000380O1X")</f>
        <v>0034X0000380O1X</v>
      </c>
      <c r="F40" s="3" t="s">
        <v>12987</v>
      </c>
      <c r="G40" s="3" t="s">
        <v>12988</v>
      </c>
      <c r="H40" s="3" t="s">
        <v>2538</v>
      </c>
      <c r="I40" s="3" t="s">
        <v>12741</v>
      </c>
      <c r="J40" s="3"/>
      <c r="K40" s="3" t="s">
        <v>12989</v>
      </c>
      <c r="L40" s="3" t="s">
        <v>4359</v>
      </c>
      <c r="M40" s="6">
        <v>29716</v>
      </c>
      <c r="N40" s="3">
        <v>41</v>
      </c>
      <c r="O40" s="3">
        <v>980120181</v>
      </c>
      <c r="P40" s="3">
        <v>63535041368</v>
      </c>
      <c r="Q40" s="3"/>
      <c r="R40" s="3" t="s">
        <v>12990</v>
      </c>
      <c r="S40" s="3" t="s">
        <v>3605</v>
      </c>
      <c r="T40" s="3" t="s">
        <v>12656</v>
      </c>
      <c r="U40" s="3"/>
      <c r="V40" s="3" t="s">
        <v>12991</v>
      </c>
      <c r="W40" s="3" t="s">
        <v>12664</v>
      </c>
      <c r="X40" s="3" t="s">
        <v>2980</v>
      </c>
      <c r="Y40" s="3" t="s">
        <v>12684</v>
      </c>
      <c r="Z40" s="3" t="s">
        <v>2543</v>
      </c>
      <c r="AA40" s="3"/>
      <c r="AB40" s="3"/>
      <c r="AC40" s="3">
        <v>1002</v>
      </c>
      <c r="AD40" s="3">
        <v>19</v>
      </c>
      <c r="AE40" s="3"/>
      <c r="AF40" s="3" t="s">
        <v>4285</v>
      </c>
      <c r="AG40" s="3" t="s">
        <v>4361</v>
      </c>
      <c r="AH40" s="3" t="s">
        <v>4362</v>
      </c>
      <c r="AI40" s="3" t="s">
        <v>468</v>
      </c>
      <c r="AJ40" s="3" t="s">
        <v>2569</v>
      </c>
      <c r="AK40" s="3" t="s">
        <v>12661</v>
      </c>
      <c r="AL40" s="3" t="s">
        <v>2588</v>
      </c>
      <c r="AM40" s="3">
        <v>4</v>
      </c>
      <c r="AN40" s="3" t="s">
        <v>7216</v>
      </c>
      <c r="AO40" s="3" t="s">
        <v>120</v>
      </c>
      <c r="AP40" s="3"/>
      <c r="AQ40" s="7" t="s">
        <v>12992</v>
      </c>
      <c r="AR40" s="3"/>
      <c r="AS40" s="7" t="s">
        <v>12993</v>
      </c>
      <c r="AT40" s="3"/>
      <c r="AU40" s="3"/>
      <c r="AV40" s="3"/>
    </row>
    <row r="41" spans="1:48" ht="12.5" hidden="1" x14ac:dyDescent="0.25">
      <c r="A41" s="3" t="s">
        <v>12652</v>
      </c>
      <c r="B41" s="7" t="str">
        <f>HYPERLINK("https://gerandofalcoes.my.salesforce.com/0014X00002VKCq3QAH", "0014X00002VKCq3QAH")</f>
        <v>0014X00002VKCq3QAH</v>
      </c>
      <c r="C41" s="3" t="s">
        <v>4370</v>
      </c>
      <c r="D41" s="3" t="s">
        <v>46</v>
      </c>
      <c r="E41" s="21" t="str">
        <f>HYPERLINK("https://gerandofalcoes.my.salesforce.com/0034X0000380O1o", "0034X0000380O1o")</f>
        <v>0034X0000380O1o</v>
      </c>
      <c r="F41" s="3" t="s">
        <v>12994</v>
      </c>
      <c r="G41" s="3" t="s">
        <v>12995</v>
      </c>
      <c r="H41" s="3" t="s">
        <v>2538</v>
      </c>
      <c r="I41" s="3" t="s">
        <v>12741</v>
      </c>
      <c r="J41" s="3">
        <v>33</v>
      </c>
      <c r="K41" s="3" t="s">
        <v>4373</v>
      </c>
      <c r="L41" s="3" t="s">
        <v>6550</v>
      </c>
      <c r="M41" s="6">
        <v>31130</v>
      </c>
      <c r="N41" s="3">
        <v>37</v>
      </c>
      <c r="O41" s="3">
        <v>2001010203302</v>
      </c>
      <c r="P41" s="3">
        <v>697864375</v>
      </c>
      <c r="Q41" s="3"/>
      <c r="R41" s="3" t="s">
        <v>12996</v>
      </c>
      <c r="S41" s="3" t="s">
        <v>3137</v>
      </c>
      <c r="T41" s="3" t="s">
        <v>12723</v>
      </c>
      <c r="U41" s="3"/>
      <c r="V41" s="3" t="s">
        <v>12997</v>
      </c>
      <c r="W41" s="3" t="s">
        <v>12664</v>
      </c>
      <c r="X41" s="3" t="s">
        <v>2980</v>
      </c>
      <c r="Y41" s="3" t="s">
        <v>12684</v>
      </c>
      <c r="Z41" s="3" t="s">
        <v>2543</v>
      </c>
      <c r="AA41" s="3" t="s">
        <v>2544</v>
      </c>
      <c r="AB41" s="3" t="s">
        <v>2543</v>
      </c>
      <c r="AC41" s="3" t="s">
        <v>12998</v>
      </c>
      <c r="AD41" s="3">
        <v>7408</v>
      </c>
      <c r="AE41" s="3" t="s">
        <v>12999</v>
      </c>
      <c r="AF41" s="3" t="s">
        <v>470</v>
      </c>
      <c r="AG41" s="3" t="s">
        <v>13000</v>
      </c>
      <c r="AH41" s="3" t="s">
        <v>4377</v>
      </c>
      <c r="AI41" s="3" t="s">
        <v>468</v>
      </c>
      <c r="AJ41" s="3" t="s">
        <v>2569</v>
      </c>
      <c r="AK41" s="3" t="s">
        <v>12661</v>
      </c>
      <c r="AL41" s="3" t="s">
        <v>3385</v>
      </c>
      <c r="AM41" s="3">
        <v>4</v>
      </c>
      <c r="AN41" s="3" t="s">
        <v>7216</v>
      </c>
      <c r="AO41" s="3" t="s">
        <v>120</v>
      </c>
      <c r="AP41" s="3"/>
      <c r="AQ41" s="7" t="s">
        <v>13001</v>
      </c>
      <c r="AR41" s="3"/>
      <c r="AS41" s="7" t="s">
        <v>13002</v>
      </c>
      <c r="AT41" s="3"/>
      <c r="AU41" s="3"/>
      <c r="AV41" s="3"/>
    </row>
    <row r="42" spans="1:48" ht="12.5" x14ac:dyDescent="0.25">
      <c r="A42" s="3" t="s">
        <v>12652</v>
      </c>
      <c r="B42" s="7" t="str">
        <f>HYPERLINK("https://gerandofalcoes.my.salesforce.com/0014X00002VKCqTQAX", "0014X00002VKCqTQAX")</f>
        <v>0014X00002VKCqTQAX</v>
      </c>
      <c r="C42" s="3" t="s">
        <v>4381</v>
      </c>
      <c r="D42" s="3" t="s">
        <v>46</v>
      </c>
      <c r="E42" s="21" t="str">
        <f>HYPERLINK("https://gerandofalcoes.my.salesforce.com/0034X0000380O3v", "0034X0000380O3v")</f>
        <v>0034X0000380O3v</v>
      </c>
      <c r="F42" s="3" t="s">
        <v>13003</v>
      </c>
      <c r="G42" s="3" t="s">
        <v>13004</v>
      </c>
      <c r="H42" s="3" t="s">
        <v>2538</v>
      </c>
      <c r="I42" s="3" t="s">
        <v>12741</v>
      </c>
      <c r="J42" s="3">
        <v>33</v>
      </c>
      <c r="K42" s="3" t="s">
        <v>4385</v>
      </c>
      <c r="L42" s="3">
        <v>85991824021</v>
      </c>
      <c r="M42" s="6">
        <v>28431</v>
      </c>
      <c r="N42" s="3">
        <v>45</v>
      </c>
      <c r="O42" s="3">
        <v>182777989</v>
      </c>
      <c r="P42" s="3">
        <v>50359479391</v>
      </c>
      <c r="Q42" s="3"/>
      <c r="R42" s="3"/>
      <c r="S42" s="3" t="s">
        <v>3417</v>
      </c>
      <c r="T42" s="3" t="s">
        <v>12723</v>
      </c>
      <c r="U42" s="3"/>
      <c r="V42" s="3" t="s">
        <v>13005</v>
      </c>
      <c r="W42" s="3" t="s">
        <v>2541</v>
      </c>
      <c r="X42" s="3" t="s">
        <v>2980</v>
      </c>
      <c r="Y42" s="3"/>
      <c r="Z42" s="3" t="s">
        <v>2543</v>
      </c>
      <c r="AA42" s="3" t="s">
        <v>2577</v>
      </c>
      <c r="AB42" s="3" t="s">
        <v>2543</v>
      </c>
      <c r="AC42" s="3" t="s">
        <v>13006</v>
      </c>
      <c r="AD42" s="3">
        <v>558</v>
      </c>
      <c r="AE42" s="3"/>
      <c r="AF42" s="3"/>
      <c r="AG42" s="3" t="s">
        <v>4388</v>
      </c>
      <c r="AH42" s="3">
        <v>62870000</v>
      </c>
      <c r="AI42" s="3" t="s">
        <v>468</v>
      </c>
      <c r="AJ42" s="3" t="s">
        <v>2569</v>
      </c>
      <c r="AK42" s="3" t="s">
        <v>3249</v>
      </c>
      <c r="AL42" s="3" t="s">
        <v>2550</v>
      </c>
      <c r="AM42" s="3">
        <v>2</v>
      </c>
      <c r="AN42" s="3" t="s">
        <v>7216</v>
      </c>
      <c r="AO42" s="3" t="s">
        <v>120</v>
      </c>
      <c r="AP42" s="3"/>
      <c r="AQ42" s="7" t="s">
        <v>13007</v>
      </c>
      <c r="AR42" s="3"/>
      <c r="AS42" s="7" t="s">
        <v>13008</v>
      </c>
      <c r="AT42" s="3"/>
      <c r="AU42" s="3"/>
      <c r="AV42" s="3"/>
    </row>
    <row r="43" spans="1:48" ht="12.5" x14ac:dyDescent="0.25">
      <c r="A43" s="3" t="s">
        <v>12652</v>
      </c>
      <c r="B43" s="7" t="str">
        <f>HYPERLINK("https://gerandofalcoes.my.salesforce.com/0014X00002VKCqUQAX", "0014X00002VKCqUQAX")</f>
        <v>0014X00002VKCqUQAX</v>
      </c>
      <c r="C43" s="3" t="s">
        <v>4405</v>
      </c>
      <c r="D43" s="3" t="s">
        <v>46</v>
      </c>
      <c r="E43" s="21" t="str">
        <f>HYPERLINK("https://gerandofalcoes.my.salesforce.com/0034X0000380O4X", "0034X0000380O4X")</f>
        <v>0034X0000380O4X</v>
      </c>
      <c r="F43" s="3" t="s">
        <v>13009</v>
      </c>
      <c r="G43" s="3" t="s">
        <v>13010</v>
      </c>
      <c r="H43" s="3" t="s">
        <v>2538</v>
      </c>
      <c r="I43" s="3" t="s">
        <v>12741</v>
      </c>
      <c r="J43" s="3">
        <v>33</v>
      </c>
      <c r="K43" s="3" t="s">
        <v>4409</v>
      </c>
      <c r="L43" s="3">
        <v>31989064412</v>
      </c>
      <c r="M43" s="6">
        <v>27955</v>
      </c>
      <c r="N43" s="3">
        <v>46</v>
      </c>
      <c r="O43" s="3" t="s">
        <v>13011</v>
      </c>
      <c r="P43" s="3">
        <v>4822217639</v>
      </c>
      <c r="Q43" s="3"/>
      <c r="R43" s="3"/>
      <c r="S43" s="3" t="s">
        <v>3137</v>
      </c>
      <c r="T43" s="3" t="s">
        <v>12656</v>
      </c>
      <c r="U43" s="3"/>
      <c r="V43" s="3" t="s">
        <v>13012</v>
      </c>
      <c r="W43" s="3" t="s">
        <v>2541</v>
      </c>
      <c r="X43" s="3" t="s">
        <v>2980</v>
      </c>
      <c r="Y43" s="3"/>
      <c r="Z43" s="3" t="s">
        <v>2543</v>
      </c>
      <c r="AA43" s="3"/>
      <c r="AB43" s="3"/>
      <c r="AC43" s="3" t="s">
        <v>13013</v>
      </c>
      <c r="AD43" s="3">
        <v>1305</v>
      </c>
      <c r="AE43" s="3">
        <v>101</v>
      </c>
      <c r="AF43" s="3"/>
      <c r="AG43" s="3" t="s">
        <v>13014</v>
      </c>
      <c r="AH43" s="3">
        <v>31070020</v>
      </c>
      <c r="AI43" s="3" t="s">
        <v>84</v>
      </c>
      <c r="AJ43" s="3" t="s">
        <v>2569</v>
      </c>
      <c r="AK43" s="3" t="s">
        <v>12729</v>
      </c>
      <c r="AL43" s="3" t="s">
        <v>2579</v>
      </c>
      <c r="AM43" s="3">
        <v>2</v>
      </c>
      <c r="AN43" s="3" t="s">
        <v>13015</v>
      </c>
      <c r="AO43" s="3" t="s">
        <v>120</v>
      </c>
      <c r="AP43" s="3"/>
      <c r="AQ43" s="7" t="s">
        <v>13016</v>
      </c>
      <c r="AR43" s="3"/>
      <c r="AS43" s="7" t="s">
        <v>13017</v>
      </c>
      <c r="AT43" s="3"/>
      <c r="AU43" s="3"/>
      <c r="AV43" s="3"/>
    </row>
    <row r="44" spans="1:48" ht="12.5" hidden="1" x14ac:dyDescent="0.25">
      <c r="A44" s="3" t="s">
        <v>12652</v>
      </c>
      <c r="B44" s="7" t="str">
        <f>HYPERLINK("https://gerandofalcoes.my.salesforce.com/0014X00002VKCqVQAX", "0014X00002VKCqVQAX")</f>
        <v>0014X00002VKCqVQAX</v>
      </c>
      <c r="C44" s="3" t="s">
        <v>4425</v>
      </c>
      <c r="D44" s="3" t="s">
        <v>46</v>
      </c>
      <c r="E44" s="21" t="str">
        <f>HYPERLINK("https://gerandofalcoes.my.salesforce.com/0034X0000380O2s", "0034X0000380O2s")</f>
        <v>0034X0000380O2s</v>
      </c>
      <c r="F44" s="3" t="s">
        <v>13018</v>
      </c>
      <c r="G44" s="3" t="s">
        <v>13019</v>
      </c>
      <c r="H44" s="3" t="s">
        <v>2538</v>
      </c>
      <c r="I44" s="3" t="s">
        <v>12741</v>
      </c>
      <c r="J44" s="3">
        <v>33</v>
      </c>
      <c r="K44" s="3" t="s">
        <v>4429</v>
      </c>
      <c r="L44" s="3" t="s">
        <v>4430</v>
      </c>
      <c r="M44" s="6">
        <v>29187</v>
      </c>
      <c r="N44" s="3">
        <v>43</v>
      </c>
      <c r="O44" s="3">
        <v>1066461748</v>
      </c>
      <c r="P44" s="3">
        <v>76243214087</v>
      </c>
      <c r="Q44" s="3"/>
      <c r="R44" s="3" t="s">
        <v>13020</v>
      </c>
      <c r="S44" s="3" t="s">
        <v>3605</v>
      </c>
      <c r="T44" s="3" t="s">
        <v>12682</v>
      </c>
      <c r="U44" s="3"/>
      <c r="V44" s="3" t="s">
        <v>13021</v>
      </c>
      <c r="W44" s="3" t="s">
        <v>12664</v>
      </c>
      <c r="X44" s="3" t="s">
        <v>2980</v>
      </c>
      <c r="Y44" s="3" t="s">
        <v>12670</v>
      </c>
      <c r="Z44" s="3" t="s">
        <v>2543</v>
      </c>
      <c r="AA44" s="3" t="s">
        <v>2544</v>
      </c>
      <c r="AB44" s="3" t="s">
        <v>2545</v>
      </c>
      <c r="AC44" s="3" t="s">
        <v>13022</v>
      </c>
      <c r="AD44" s="3" t="s">
        <v>13023</v>
      </c>
      <c r="AE44" s="3" t="s">
        <v>13024</v>
      </c>
      <c r="AF44" s="3" t="s">
        <v>1958</v>
      </c>
      <c r="AG44" s="3" t="s">
        <v>1958</v>
      </c>
      <c r="AH44" s="3" t="s">
        <v>13025</v>
      </c>
      <c r="AI44" s="3" t="s">
        <v>1381</v>
      </c>
      <c r="AJ44" s="3" t="s">
        <v>2741</v>
      </c>
      <c r="AK44" s="3" t="s">
        <v>12828</v>
      </c>
      <c r="AL44" s="3" t="s">
        <v>2588</v>
      </c>
      <c r="AM44" s="3">
        <v>3</v>
      </c>
      <c r="AN44" s="3" t="s">
        <v>7216</v>
      </c>
      <c r="AO44" s="3" t="s">
        <v>120</v>
      </c>
      <c r="AP44" s="3"/>
      <c r="AQ44" s="3" t="s">
        <v>13026</v>
      </c>
      <c r="AR44" s="3"/>
      <c r="AS44" s="7" t="s">
        <v>13027</v>
      </c>
      <c r="AT44" s="3"/>
      <c r="AU44" s="3"/>
      <c r="AV44" s="3"/>
    </row>
    <row r="45" spans="1:48" ht="12.5" x14ac:dyDescent="0.25">
      <c r="A45" s="3" t="s">
        <v>12652</v>
      </c>
      <c r="B45" s="7" t="str">
        <f>HYPERLINK("https://gerandofalcoes.my.salesforce.com/0014X00002VKCqWQAX", "0014X00002VKCqWQAX")</f>
        <v>0014X00002VKCqWQAX</v>
      </c>
      <c r="C45" s="3" t="s">
        <v>4447</v>
      </c>
      <c r="D45" s="3" t="s">
        <v>46</v>
      </c>
      <c r="E45" s="21" t="str">
        <f>HYPERLINK("https://gerandofalcoes.my.salesforce.com/0034X0000380O3o", "0034X0000380O3o")</f>
        <v>0034X0000380O3o</v>
      </c>
      <c r="F45" s="3" t="s">
        <v>13028</v>
      </c>
      <c r="G45" s="3" t="s">
        <v>13029</v>
      </c>
      <c r="H45" s="3" t="s">
        <v>2538</v>
      </c>
      <c r="I45" s="3" t="s">
        <v>12741</v>
      </c>
      <c r="J45" s="3"/>
      <c r="K45" s="3" t="s">
        <v>13030</v>
      </c>
      <c r="L45" s="3">
        <v>31992373857</v>
      </c>
      <c r="M45" s="6">
        <v>30158</v>
      </c>
      <c r="N45" s="3">
        <v>40</v>
      </c>
      <c r="O45" s="3" t="s">
        <v>13031</v>
      </c>
      <c r="P45" s="3">
        <v>1357071612</v>
      </c>
      <c r="Q45" s="3"/>
      <c r="R45" s="3"/>
      <c r="S45" s="3" t="s">
        <v>2998</v>
      </c>
      <c r="T45" s="3" t="s">
        <v>12682</v>
      </c>
      <c r="U45" s="3"/>
      <c r="V45" s="3" t="s">
        <v>13032</v>
      </c>
      <c r="W45" s="3" t="s">
        <v>2576</v>
      </c>
      <c r="X45" s="3" t="s">
        <v>2980</v>
      </c>
      <c r="Y45" s="3"/>
      <c r="Z45" s="3" t="s">
        <v>2543</v>
      </c>
      <c r="AA45" s="3"/>
      <c r="AB45" s="3" t="s">
        <v>2545</v>
      </c>
      <c r="AC45" s="3" t="s">
        <v>13033</v>
      </c>
      <c r="AD45" s="3">
        <v>155</v>
      </c>
      <c r="AE45" s="3"/>
      <c r="AF45" s="3"/>
      <c r="AG45" s="3" t="s">
        <v>4454</v>
      </c>
      <c r="AH45" s="3">
        <v>32183380</v>
      </c>
      <c r="AI45" s="3" t="s">
        <v>84</v>
      </c>
      <c r="AJ45" s="3" t="s">
        <v>2548</v>
      </c>
      <c r="AK45" s="3" t="s">
        <v>12828</v>
      </c>
      <c r="AL45" s="3" t="s">
        <v>2550</v>
      </c>
      <c r="AM45" s="3">
        <v>3</v>
      </c>
      <c r="AN45" s="3" t="s">
        <v>7216</v>
      </c>
      <c r="AO45" s="3" t="s">
        <v>120</v>
      </c>
      <c r="AP45" s="3"/>
      <c r="AQ45" s="7" t="s">
        <v>13034</v>
      </c>
      <c r="AR45" s="3"/>
      <c r="AS45" s="7" t="s">
        <v>13035</v>
      </c>
      <c r="AT45" s="3"/>
      <c r="AU45" s="3"/>
      <c r="AV45" s="3"/>
    </row>
    <row r="46" spans="1:48" ht="12.5" x14ac:dyDescent="0.25">
      <c r="A46" s="3" t="s">
        <v>12652</v>
      </c>
      <c r="B46" s="7" t="str">
        <f>HYPERLINK("https://gerandofalcoes.my.salesforce.com/0014X00002VKCqXQAX", "0014X00002VKCqXQAX")</f>
        <v>0014X00002VKCqXQAX</v>
      </c>
      <c r="C46" s="3" t="s">
        <v>4466</v>
      </c>
      <c r="D46" s="3" t="s">
        <v>46</v>
      </c>
      <c r="E46" s="21" t="str">
        <f>HYPERLINK("https://gerandofalcoes.my.salesforce.com/0034X0000380O2H", "0034X0000380O2H")</f>
        <v>0034X0000380O2H</v>
      </c>
      <c r="F46" s="3" t="s">
        <v>2773</v>
      </c>
      <c r="G46" s="3" t="s">
        <v>13036</v>
      </c>
      <c r="H46" s="3" t="s">
        <v>2538</v>
      </c>
      <c r="I46" s="3" t="s">
        <v>12741</v>
      </c>
      <c r="J46" s="3">
        <v>33</v>
      </c>
      <c r="K46" s="3" t="s">
        <v>13037</v>
      </c>
      <c r="L46" s="3">
        <v>61984956833</v>
      </c>
      <c r="M46" s="6">
        <v>30291</v>
      </c>
      <c r="N46" s="3">
        <v>40</v>
      </c>
      <c r="O46" s="3">
        <v>2085348</v>
      </c>
      <c r="P46" s="3">
        <v>70723095191</v>
      </c>
      <c r="Q46" s="3"/>
      <c r="R46" s="3"/>
      <c r="S46" s="3" t="s">
        <v>3137</v>
      </c>
      <c r="T46" s="3" t="s">
        <v>12723</v>
      </c>
      <c r="U46" s="3"/>
      <c r="V46" s="3" t="s">
        <v>13038</v>
      </c>
      <c r="W46" s="3" t="s">
        <v>2541</v>
      </c>
      <c r="X46" s="3" t="s">
        <v>2980</v>
      </c>
      <c r="Y46" s="3"/>
      <c r="Z46" s="3" t="s">
        <v>2543</v>
      </c>
      <c r="AA46" s="3" t="s">
        <v>2544</v>
      </c>
      <c r="AB46" s="3"/>
      <c r="AC46" s="3" t="s">
        <v>13039</v>
      </c>
      <c r="AD46" s="3">
        <v>18</v>
      </c>
      <c r="AE46" s="3"/>
      <c r="AF46" s="3"/>
      <c r="AG46" s="3" t="s">
        <v>13040</v>
      </c>
      <c r="AH46" s="3">
        <v>72140080</v>
      </c>
      <c r="AI46" s="3" t="s">
        <v>1381</v>
      </c>
      <c r="AJ46" s="3" t="s">
        <v>2741</v>
      </c>
      <c r="AK46" s="3" t="s">
        <v>12661</v>
      </c>
      <c r="AL46" s="3" t="s">
        <v>2588</v>
      </c>
      <c r="AM46" s="3">
        <v>2</v>
      </c>
      <c r="AN46" s="3" t="s">
        <v>7216</v>
      </c>
      <c r="AO46" s="3" t="s">
        <v>120</v>
      </c>
      <c r="AP46" s="3"/>
      <c r="AQ46" s="7" t="s">
        <v>13041</v>
      </c>
      <c r="AR46" s="3"/>
      <c r="AS46" s="7" t="s">
        <v>13042</v>
      </c>
      <c r="AT46" s="3"/>
      <c r="AU46" s="3"/>
      <c r="AV46" s="3"/>
    </row>
    <row r="47" spans="1:48" ht="12.5" x14ac:dyDescent="0.25">
      <c r="A47" s="3" t="s">
        <v>12652</v>
      </c>
      <c r="B47" s="7" t="str">
        <f>HYPERLINK("https://gerandofalcoes.my.salesforce.com/0014X00002VKCqYQAX", "0014X00002VKCqYQAX")</f>
        <v>0014X00002VKCqYQAX</v>
      </c>
      <c r="C47" s="3" t="s">
        <v>4486</v>
      </c>
      <c r="D47" s="3" t="s">
        <v>46</v>
      </c>
      <c r="E47" s="21" t="str">
        <f>HYPERLINK("https://gerandofalcoes.my.salesforce.com/0034X0000380O5N", "0034X0000380O5N")</f>
        <v>0034X0000380O5N</v>
      </c>
      <c r="F47" s="3" t="s">
        <v>13043</v>
      </c>
      <c r="G47" s="3" t="s">
        <v>13044</v>
      </c>
      <c r="H47" s="3" t="s">
        <v>2538</v>
      </c>
      <c r="I47" s="3" t="s">
        <v>12741</v>
      </c>
      <c r="J47" s="3">
        <v>33</v>
      </c>
      <c r="K47" s="3" t="s">
        <v>13045</v>
      </c>
      <c r="L47" s="3">
        <v>37999116637</v>
      </c>
      <c r="M47" s="6">
        <v>26484</v>
      </c>
      <c r="N47" s="3">
        <v>50</v>
      </c>
      <c r="O47" s="3" t="s">
        <v>13046</v>
      </c>
      <c r="P47" s="3">
        <v>82171297620</v>
      </c>
      <c r="Q47" s="3"/>
      <c r="R47" s="3"/>
      <c r="S47" s="3" t="s">
        <v>3137</v>
      </c>
      <c r="T47" s="3" t="s">
        <v>12682</v>
      </c>
      <c r="U47" s="3"/>
      <c r="V47" s="3" t="s">
        <v>13047</v>
      </c>
      <c r="W47" s="3" t="s">
        <v>2541</v>
      </c>
      <c r="X47" s="3" t="s">
        <v>2980</v>
      </c>
      <c r="Y47" s="3"/>
      <c r="Z47" s="3" t="s">
        <v>2543</v>
      </c>
      <c r="AA47" s="3"/>
      <c r="AB47" s="3" t="s">
        <v>2545</v>
      </c>
      <c r="AC47" s="3" t="s">
        <v>13048</v>
      </c>
      <c r="AD47" s="3">
        <v>182</v>
      </c>
      <c r="AE47" s="3"/>
      <c r="AF47" s="3"/>
      <c r="AG47" s="3" t="s">
        <v>13049</v>
      </c>
      <c r="AH47" s="3">
        <v>35660059</v>
      </c>
      <c r="AI47" s="3" t="s">
        <v>84</v>
      </c>
      <c r="AJ47" s="3" t="s">
        <v>2548</v>
      </c>
      <c r="AK47" s="3" t="s">
        <v>12661</v>
      </c>
      <c r="AL47" s="3" t="s">
        <v>2588</v>
      </c>
      <c r="AM47" s="3">
        <v>3</v>
      </c>
      <c r="AN47" s="3" t="s">
        <v>7216</v>
      </c>
      <c r="AO47" s="3" t="s">
        <v>62</v>
      </c>
      <c r="AP47" s="3"/>
      <c r="AQ47" s="7" t="s">
        <v>13050</v>
      </c>
      <c r="AR47" s="3"/>
      <c r="AS47" s="7" t="s">
        <v>13051</v>
      </c>
      <c r="AT47" s="3"/>
      <c r="AU47" s="3"/>
      <c r="AV47" s="3"/>
    </row>
    <row r="48" spans="1:48" ht="12.5" hidden="1" x14ac:dyDescent="0.25">
      <c r="A48" s="3" t="s">
        <v>12652</v>
      </c>
      <c r="B48" s="7" t="str">
        <f>HYPERLINK("https://gerandofalcoes.my.salesforce.com/0014X00002VKCr1QAH", "0014X00002VKCr1QAH")</f>
        <v>0014X00002VKCr1QAH</v>
      </c>
      <c r="C48" s="3" t="s">
        <v>4508</v>
      </c>
      <c r="D48" s="3" t="s">
        <v>46</v>
      </c>
      <c r="E48" s="21" t="str">
        <f>HYPERLINK("https://gerandofalcoes.my.salesforce.com/0034X0000380O2t", "0034X0000380O2t")</f>
        <v>0034X0000380O2t</v>
      </c>
      <c r="F48" s="3" t="s">
        <v>6237</v>
      </c>
      <c r="G48" s="3" t="s">
        <v>13052</v>
      </c>
      <c r="H48" s="3" t="s">
        <v>2538</v>
      </c>
      <c r="I48" s="3" t="s">
        <v>12741</v>
      </c>
      <c r="J48" s="3">
        <v>33</v>
      </c>
      <c r="K48" s="3" t="s">
        <v>13053</v>
      </c>
      <c r="L48" s="3" t="s">
        <v>13054</v>
      </c>
      <c r="M48" s="6">
        <v>28677</v>
      </c>
      <c r="N48" s="3">
        <v>44</v>
      </c>
      <c r="O48" s="3">
        <v>10387504</v>
      </c>
      <c r="P48" s="3">
        <v>3209015643</v>
      </c>
      <c r="Q48" s="3"/>
      <c r="R48" s="3" t="s">
        <v>12800</v>
      </c>
      <c r="S48" s="3" t="s">
        <v>3417</v>
      </c>
      <c r="T48" s="3" t="s">
        <v>12723</v>
      </c>
      <c r="U48" s="3"/>
      <c r="V48" s="3" t="s">
        <v>13055</v>
      </c>
      <c r="W48" s="3" t="s">
        <v>12664</v>
      </c>
      <c r="X48" s="3" t="s">
        <v>2980</v>
      </c>
      <c r="Y48" s="3" t="s">
        <v>12658</v>
      </c>
      <c r="Z48" s="3" t="s">
        <v>2543</v>
      </c>
      <c r="AA48" s="3" t="s">
        <v>2544</v>
      </c>
      <c r="AB48" s="3" t="s">
        <v>2545</v>
      </c>
      <c r="AC48" s="3" t="s">
        <v>13056</v>
      </c>
      <c r="AD48" s="3">
        <v>2</v>
      </c>
      <c r="AE48" s="3"/>
      <c r="AF48" s="3" t="s">
        <v>4516</v>
      </c>
      <c r="AG48" s="3" t="s">
        <v>13057</v>
      </c>
      <c r="AH48" s="3" t="s">
        <v>13058</v>
      </c>
      <c r="AI48" s="3" t="s">
        <v>84</v>
      </c>
      <c r="AJ48" s="3" t="s">
        <v>2569</v>
      </c>
      <c r="AK48" s="3" t="s">
        <v>3249</v>
      </c>
      <c r="AL48" s="3" t="s">
        <v>2550</v>
      </c>
      <c r="AM48" s="3">
        <v>3</v>
      </c>
      <c r="AN48" s="3" t="s">
        <v>7216</v>
      </c>
      <c r="AO48" s="3" t="s">
        <v>120</v>
      </c>
      <c r="AP48" s="3"/>
      <c r="AQ48" s="7" t="s">
        <v>13059</v>
      </c>
      <c r="AR48" s="3"/>
      <c r="AS48" s="7" t="s">
        <v>13060</v>
      </c>
    </row>
    <row r="49" spans="1:48" ht="12.5" x14ac:dyDescent="0.25">
      <c r="A49" s="3" t="s">
        <v>12652</v>
      </c>
      <c r="B49" s="7" t="str">
        <f>HYPERLINK("https://gerandofalcoes.my.salesforce.com/0014X00002VKCr2QAH", "0014X00002VKCr2QAH")</f>
        <v>0014X00002VKCr2QAH</v>
      </c>
      <c r="C49" s="3" t="s">
        <v>4531</v>
      </c>
      <c r="D49" s="3" t="s">
        <v>46</v>
      </c>
      <c r="E49" s="21" t="str">
        <f>HYPERLINK("https://gerandofalcoes.my.salesforce.com/0034X0000380O10", "0034X0000380O10")</f>
        <v>0034X0000380O10</v>
      </c>
      <c r="F49" s="3" t="s">
        <v>2678</v>
      </c>
      <c r="G49" s="3" t="s">
        <v>13061</v>
      </c>
      <c r="H49" s="3" t="s">
        <v>2538</v>
      </c>
      <c r="I49" s="3" t="s">
        <v>12741</v>
      </c>
      <c r="J49" s="3">
        <v>33</v>
      </c>
      <c r="K49" s="3" t="s">
        <v>13062</v>
      </c>
      <c r="L49" s="3">
        <v>34998945101</v>
      </c>
      <c r="M49" s="6">
        <v>26548</v>
      </c>
      <c r="N49" s="3">
        <v>50</v>
      </c>
      <c r="O49" s="3">
        <v>8896391</v>
      </c>
      <c r="P49" s="3">
        <v>92810918600</v>
      </c>
      <c r="Q49" s="3"/>
      <c r="R49" s="3"/>
      <c r="S49" s="3" t="s">
        <v>3137</v>
      </c>
      <c r="T49" s="3" t="s">
        <v>12723</v>
      </c>
      <c r="U49" s="3"/>
      <c r="V49" s="3" t="s">
        <v>13063</v>
      </c>
      <c r="W49" s="3" t="s">
        <v>2541</v>
      </c>
      <c r="X49" s="3" t="s">
        <v>2980</v>
      </c>
      <c r="Y49" s="3"/>
      <c r="Z49" s="3" t="s">
        <v>2543</v>
      </c>
      <c r="AA49" s="3"/>
      <c r="AB49" s="3"/>
      <c r="AC49" s="3" t="s">
        <v>13064</v>
      </c>
      <c r="AD49" s="3">
        <v>107</v>
      </c>
      <c r="AE49" s="3"/>
      <c r="AF49" s="3"/>
      <c r="AG49" s="3" t="s">
        <v>13065</v>
      </c>
      <c r="AH49" s="3" t="s">
        <v>4540</v>
      </c>
      <c r="AI49" s="3" t="s">
        <v>84</v>
      </c>
      <c r="AJ49" s="3" t="s">
        <v>2569</v>
      </c>
      <c r="AK49" s="3" t="s">
        <v>12661</v>
      </c>
      <c r="AL49" s="3" t="s">
        <v>2550</v>
      </c>
      <c r="AM49" s="3">
        <v>1</v>
      </c>
      <c r="AN49" s="3" t="s">
        <v>7216</v>
      </c>
      <c r="AO49" s="3" t="s">
        <v>120</v>
      </c>
      <c r="AP49" s="3"/>
      <c r="AQ49" s="3"/>
      <c r="AR49" s="3"/>
      <c r="AS49" s="7" t="s">
        <v>13066</v>
      </c>
    </row>
    <row r="50" spans="1:48" ht="12.5" x14ac:dyDescent="0.25">
      <c r="A50" s="3" t="s">
        <v>12652</v>
      </c>
      <c r="B50" s="7" t="str">
        <f>HYPERLINK("https://gerandofalcoes.my.salesforce.com/0014X00002VKCr3QAH", "0014X00002VKCr3QAH")</f>
        <v>0014X00002VKCr3QAH</v>
      </c>
      <c r="C50" s="3" t="s">
        <v>4552</v>
      </c>
      <c r="D50" s="3" t="s">
        <v>46</v>
      </c>
      <c r="E50" s="21" t="str">
        <f>HYPERLINK("https://gerandofalcoes.my.salesforce.com/0034X0000380O32", "0034X0000380O32")</f>
        <v>0034X0000380O32</v>
      </c>
      <c r="F50" s="3" t="s">
        <v>13067</v>
      </c>
      <c r="G50" s="3" t="s">
        <v>13068</v>
      </c>
      <c r="H50" s="3" t="s">
        <v>2538</v>
      </c>
      <c r="I50" s="3" t="s">
        <v>12741</v>
      </c>
      <c r="J50" s="3">
        <v>33</v>
      </c>
      <c r="K50" s="3" t="s">
        <v>4556</v>
      </c>
      <c r="L50" s="3">
        <v>31971032340</v>
      </c>
      <c r="M50" s="6">
        <v>26770</v>
      </c>
      <c r="N50" s="3">
        <v>49</v>
      </c>
      <c r="O50" s="3" t="s">
        <v>13069</v>
      </c>
      <c r="P50" s="3">
        <v>99672545649</v>
      </c>
      <c r="Q50" s="3"/>
      <c r="R50" s="3"/>
      <c r="S50" s="3" t="s">
        <v>2998</v>
      </c>
      <c r="T50" s="3" t="s">
        <v>12682</v>
      </c>
      <c r="U50" s="3"/>
      <c r="V50" s="3" t="s">
        <v>13070</v>
      </c>
      <c r="W50" s="3" t="s">
        <v>2541</v>
      </c>
      <c r="X50" s="3" t="s">
        <v>2980</v>
      </c>
      <c r="Y50" s="3"/>
      <c r="Z50" s="3" t="s">
        <v>2543</v>
      </c>
      <c r="AA50" s="3"/>
      <c r="AB50" s="3"/>
      <c r="AC50" s="3" t="s">
        <v>13071</v>
      </c>
      <c r="AD50" s="3">
        <v>364</v>
      </c>
      <c r="AE50" s="3"/>
      <c r="AF50" s="3"/>
      <c r="AG50" s="3" t="s">
        <v>13072</v>
      </c>
      <c r="AH50" s="3">
        <v>32010260</v>
      </c>
      <c r="AI50" s="3" t="s">
        <v>84</v>
      </c>
      <c r="AJ50" s="3" t="s">
        <v>2569</v>
      </c>
      <c r="AK50" s="3" t="s">
        <v>12729</v>
      </c>
      <c r="AL50" s="3" t="s">
        <v>2588</v>
      </c>
      <c r="AM50" s="3">
        <v>5</v>
      </c>
      <c r="AN50" s="3" t="s">
        <v>7216</v>
      </c>
      <c r="AO50" s="3" t="s">
        <v>120</v>
      </c>
      <c r="AP50" s="3"/>
      <c r="AQ50" s="7" t="s">
        <v>13073</v>
      </c>
      <c r="AR50" s="3"/>
      <c r="AS50" s="7" t="s">
        <v>13074</v>
      </c>
    </row>
    <row r="51" spans="1:48" ht="12.5" hidden="1" x14ac:dyDescent="0.25">
      <c r="A51" s="3" t="s">
        <v>12652</v>
      </c>
      <c r="B51" s="7" t="str">
        <f>HYPERLINK("https://gerandofalcoes.my.salesforce.com/0014X00002VKCr4QAH", "0014X00002VKCr4QAH")</f>
        <v>0014X00002VKCr4QAH</v>
      </c>
      <c r="C51" s="3" t="s">
        <v>4569</v>
      </c>
      <c r="D51" s="3" t="s">
        <v>46</v>
      </c>
      <c r="E51" s="21" t="str">
        <f>HYPERLINK("https://gerandofalcoes.my.salesforce.com/0034X0000380O0p", "0034X0000380O0p")</f>
        <v>0034X0000380O0p</v>
      </c>
      <c r="F51" s="3" t="s">
        <v>13075</v>
      </c>
      <c r="G51" s="3" t="s">
        <v>13076</v>
      </c>
      <c r="H51" s="3" t="s">
        <v>2538</v>
      </c>
      <c r="I51" s="3" t="s">
        <v>12741</v>
      </c>
      <c r="J51" s="3">
        <v>33</v>
      </c>
      <c r="K51" s="3" t="s">
        <v>13077</v>
      </c>
      <c r="L51" s="3" t="s">
        <v>13078</v>
      </c>
      <c r="M51" s="6">
        <v>33311</v>
      </c>
      <c r="N51" s="3">
        <v>31</v>
      </c>
      <c r="O51" s="3">
        <v>12372470</v>
      </c>
      <c r="P51" s="3">
        <v>8439145640</v>
      </c>
      <c r="Q51" s="3"/>
      <c r="R51" s="3" t="s">
        <v>13079</v>
      </c>
      <c r="S51" s="3" t="s">
        <v>3605</v>
      </c>
      <c r="T51" s="3" t="s">
        <v>12682</v>
      </c>
      <c r="U51" s="3"/>
      <c r="V51" s="3" t="s">
        <v>13080</v>
      </c>
      <c r="W51" s="3" t="s">
        <v>12664</v>
      </c>
      <c r="X51" s="3" t="s">
        <v>2980</v>
      </c>
      <c r="Y51" s="3" t="s">
        <v>12658</v>
      </c>
      <c r="Z51" s="3" t="s">
        <v>2543</v>
      </c>
      <c r="AA51" s="3"/>
      <c r="AB51" s="3"/>
      <c r="AC51" s="3" t="s">
        <v>13081</v>
      </c>
      <c r="AD51" s="3">
        <v>170</v>
      </c>
      <c r="AE51" s="3"/>
      <c r="AF51" s="3" t="s">
        <v>4577</v>
      </c>
      <c r="AG51" s="3" t="s">
        <v>13082</v>
      </c>
      <c r="AH51" s="3" t="s">
        <v>13083</v>
      </c>
      <c r="AI51" s="3" t="s">
        <v>84</v>
      </c>
      <c r="AJ51" s="3" t="s">
        <v>2569</v>
      </c>
      <c r="AK51" s="3" t="s">
        <v>12661</v>
      </c>
      <c r="AL51" s="3" t="s">
        <v>2579</v>
      </c>
      <c r="AM51" s="3">
        <v>2</v>
      </c>
      <c r="AN51" s="3" t="s">
        <v>7216</v>
      </c>
      <c r="AO51" s="3" t="s">
        <v>120</v>
      </c>
      <c r="AP51" s="3"/>
      <c r="AQ51" s="7" t="s">
        <v>13084</v>
      </c>
      <c r="AR51" s="3"/>
      <c r="AS51" s="7" t="s">
        <v>13085</v>
      </c>
    </row>
    <row r="52" spans="1:48" ht="12.5" hidden="1" x14ac:dyDescent="0.25">
      <c r="A52" s="3" t="s">
        <v>12652</v>
      </c>
      <c r="B52" s="7" t="str">
        <f>HYPERLINK("https://gerandofalcoes.my.salesforce.com/0014X00002VKCr5QAH", "0014X00002VKCr5QAH")</f>
        <v>0014X00002VKCr5QAH</v>
      </c>
      <c r="C52" s="3" t="s">
        <v>4590</v>
      </c>
      <c r="D52" s="3" t="s">
        <v>46</v>
      </c>
      <c r="E52" s="21" t="str">
        <f>HYPERLINK("https://gerandofalcoes.my.salesforce.com/0034X0000380O6K", "0034X0000380O6K")</f>
        <v>0034X0000380O6K</v>
      </c>
      <c r="F52" s="3" t="s">
        <v>13086</v>
      </c>
      <c r="G52" s="3" t="s">
        <v>13087</v>
      </c>
      <c r="H52" s="3" t="s">
        <v>2538</v>
      </c>
      <c r="I52" s="3" t="s">
        <v>12741</v>
      </c>
      <c r="J52" s="3">
        <v>33</v>
      </c>
      <c r="K52" s="3" t="s">
        <v>13088</v>
      </c>
      <c r="L52" s="3" t="s">
        <v>13089</v>
      </c>
      <c r="M52" s="6">
        <v>23162</v>
      </c>
      <c r="N52" s="3">
        <v>59</v>
      </c>
      <c r="O52" s="3" t="s">
        <v>13090</v>
      </c>
      <c r="P52" s="3">
        <v>45672776604</v>
      </c>
      <c r="Q52" s="3"/>
      <c r="R52" s="3" t="s">
        <v>12800</v>
      </c>
      <c r="S52" s="3" t="s">
        <v>12744</v>
      </c>
      <c r="T52" s="3" t="s">
        <v>12723</v>
      </c>
      <c r="U52" s="3"/>
      <c r="V52" s="3" t="s">
        <v>13091</v>
      </c>
      <c r="W52" s="3" t="s">
        <v>12664</v>
      </c>
      <c r="X52" s="3" t="s">
        <v>2980</v>
      </c>
      <c r="Y52" s="3" t="s">
        <v>12658</v>
      </c>
      <c r="Z52" s="3" t="s">
        <v>2543</v>
      </c>
      <c r="AA52" s="3" t="s">
        <v>2544</v>
      </c>
      <c r="AB52" s="3"/>
      <c r="AC52" s="3" t="s">
        <v>13092</v>
      </c>
      <c r="AD52" s="3">
        <v>32</v>
      </c>
      <c r="AE52" s="3" t="s">
        <v>9382</v>
      </c>
      <c r="AF52" s="3" t="s">
        <v>4597</v>
      </c>
      <c r="AG52" s="3" t="s">
        <v>13093</v>
      </c>
      <c r="AH52" s="3" t="s">
        <v>13094</v>
      </c>
      <c r="AI52" s="3" t="s">
        <v>84</v>
      </c>
      <c r="AJ52" s="3" t="s">
        <v>2741</v>
      </c>
      <c r="AK52" s="3" t="s">
        <v>13095</v>
      </c>
      <c r="AL52" s="3" t="s">
        <v>2550</v>
      </c>
      <c r="AM52" s="3">
        <v>3</v>
      </c>
      <c r="AN52" s="3" t="s">
        <v>7216</v>
      </c>
      <c r="AO52" s="3" t="s">
        <v>120</v>
      </c>
      <c r="AP52" s="3" t="s">
        <v>13096</v>
      </c>
      <c r="AQ52" s="3" t="s">
        <v>13097</v>
      </c>
      <c r="AR52" s="3"/>
      <c r="AS52" s="7" t="s">
        <v>13098</v>
      </c>
    </row>
    <row r="53" spans="1:48" ht="12.5" x14ac:dyDescent="0.25">
      <c r="A53" s="3" t="s">
        <v>12652</v>
      </c>
      <c r="B53" s="7" t="str">
        <f>HYPERLINK("https://gerandofalcoes.my.salesforce.com/0014X00002VKCr6QAH", "0014X00002VKCr6QAH")</f>
        <v>0014X00002VKCr6QAH</v>
      </c>
      <c r="C53" s="3" t="s">
        <v>4608</v>
      </c>
      <c r="D53" s="3" t="s">
        <v>46</v>
      </c>
      <c r="E53" s="21" t="str">
        <f>HYPERLINK("https://gerandofalcoes.my.salesforce.com/0034X0000380O6B", "0034X0000380O6B")</f>
        <v>0034X0000380O6B</v>
      </c>
      <c r="F53" s="3" t="s">
        <v>13099</v>
      </c>
      <c r="G53" s="3" t="s">
        <v>13100</v>
      </c>
      <c r="H53" s="3" t="s">
        <v>2538</v>
      </c>
      <c r="I53" s="3" t="s">
        <v>12741</v>
      </c>
      <c r="J53" s="3">
        <v>33</v>
      </c>
      <c r="K53" s="3" t="s">
        <v>13101</v>
      </c>
      <c r="L53" s="3">
        <v>61999422752</v>
      </c>
      <c r="M53" s="6">
        <v>30336</v>
      </c>
      <c r="N53" s="3">
        <v>39</v>
      </c>
      <c r="O53" s="3">
        <v>2269043</v>
      </c>
      <c r="P53" s="3">
        <v>266512119</v>
      </c>
      <c r="Q53" s="3"/>
      <c r="R53" s="3"/>
      <c r="S53" s="3" t="s">
        <v>3137</v>
      </c>
      <c r="T53" s="3" t="s">
        <v>12682</v>
      </c>
      <c r="U53" s="3"/>
      <c r="V53" s="3" t="s">
        <v>13102</v>
      </c>
      <c r="W53" s="3" t="s">
        <v>2541</v>
      </c>
      <c r="X53" s="3" t="s">
        <v>2980</v>
      </c>
      <c r="Y53" s="3"/>
      <c r="Z53" s="3" t="s">
        <v>2545</v>
      </c>
      <c r="AA53" s="3" t="s">
        <v>2544</v>
      </c>
      <c r="AB53" s="3" t="s">
        <v>2545</v>
      </c>
      <c r="AC53" s="3" t="s">
        <v>13103</v>
      </c>
      <c r="AD53" s="3" t="s">
        <v>8622</v>
      </c>
      <c r="AE53" s="3"/>
      <c r="AF53" s="3"/>
      <c r="AG53" s="3" t="s">
        <v>13104</v>
      </c>
      <c r="AH53" s="3">
        <v>73015612</v>
      </c>
      <c r="AI53" s="3" t="s">
        <v>1381</v>
      </c>
      <c r="AJ53" s="3" t="s">
        <v>2548</v>
      </c>
      <c r="AK53" s="3" t="s">
        <v>12828</v>
      </c>
      <c r="AL53" s="3" t="s">
        <v>2550</v>
      </c>
      <c r="AM53" s="3">
        <v>4</v>
      </c>
      <c r="AN53" s="3" t="s">
        <v>7216</v>
      </c>
      <c r="AO53" s="3" t="s">
        <v>120</v>
      </c>
      <c r="AP53" s="3"/>
      <c r="AQ53" s="3"/>
      <c r="AR53" s="3"/>
      <c r="AS53" s="7" t="s">
        <v>13105</v>
      </c>
    </row>
    <row r="54" spans="1:48" ht="12.5" x14ac:dyDescent="0.25">
      <c r="A54" s="3" t="s">
        <v>12652</v>
      </c>
      <c r="B54" s="7" t="str">
        <f>HYPERLINK("https://gerandofalcoes.my.salesforce.com/0014X00002VKCr7QAH", "0014X00002VKCr7QAH")</f>
        <v>0014X00002VKCr7QAH</v>
      </c>
      <c r="C54" s="3" t="s">
        <v>4629</v>
      </c>
      <c r="D54" s="3" t="s">
        <v>46</v>
      </c>
      <c r="E54" s="21" t="str">
        <f>HYPERLINK("https://gerandofalcoes.my.salesforce.com/0034X0000380O3I", "0034X0000380O3I")</f>
        <v>0034X0000380O3I</v>
      </c>
      <c r="F54" s="3" t="s">
        <v>13106</v>
      </c>
      <c r="G54" s="3" t="s">
        <v>13107</v>
      </c>
      <c r="H54" s="3" t="s">
        <v>2538</v>
      </c>
      <c r="I54" s="3" t="s">
        <v>12741</v>
      </c>
      <c r="J54" s="3">
        <v>33</v>
      </c>
      <c r="K54" s="3" t="s">
        <v>4632</v>
      </c>
      <c r="L54" s="3">
        <v>31985441480</v>
      </c>
      <c r="M54" s="6">
        <v>33270</v>
      </c>
      <c r="N54" s="3">
        <v>31</v>
      </c>
      <c r="O54" s="3">
        <v>16304986</v>
      </c>
      <c r="P54" s="3">
        <v>11025094697</v>
      </c>
      <c r="Q54" s="3"/>
      <c r="R54" s="3"/>
      <c r="S54" s="3" t="s">
        <v>3137</v>
      </c>
      <c r="T54" s="3" t="s">
        <v>3213</v>
      </c>
      <c r="U54" s="3"/>
      <c r="V54" s="3" t="s">
        <v>13108</v>
      </c>
      <c r="W54" s="3" t="s">
        <v>2541</v>
      </c>
      <c r="X54" s="3" t="s">
        <v>2980</v>
      </c>
      <c r="Y54" s="3"/>
      <c r="Z54" s="3" t="s">
        <v>2543</v>
      </c>
      <c r="AA54" s="3"/>
      <c r="AB54" s="3" t="s">
        <v>2543</v>
      </c>
      <c r="AC54" s="3" t="s">
        <v>13109</v>
      </c>
      <c r="AD54" s="3">
        <v>991</v>
      </c>
      <c r="AE54" s="3">
        <v>1</v>
      </c>
      <c r="AF54" s="3"/>
      <c r="AG54" s="3" t="s">
        <v>13110</v>
      </c>
      <c r="AH54" s="3">
        <v>11025094697</v>
      </c>
      <c r="AI54" s="3" t="s">
        <v>84</v>
      </c>
      <c r="AJ54" s="3" t="s">
        <v>2569</v>
      </c>
      <c r="AK54" s="3" t="s">
        <v>12729</v>
      </c>
      <c r="AL54" s="3" t="s">
        <v>3385</v>
      </c>
      <c r="AM54" s="3">
        <v>5</v>
      </c>
      <c r="AN54" s="3" t="s">
        <v>7216</v>
      </c>
      <c r="AO54" s="3" t="s">
        <v>120</v>
      </c>
      <c r="AP54" s="3"/>
      <c r="AQ54" s="7" t="s">
        <v>4641</v>
      </c>
      <c r="AR54" s="3"/>
      <c r="AS54" s="7" t="s">
        <v>13111</v>
      </c>
    </row>
    <row r="55" spans="1:48" ht="12.5" x14ac:dyDescent="0.25">
      <c r="A55" s="3" t="s">
        <v>12652</v>
      </c>
      <c r="B55" s="7" t="str">
        <f>HYPERLINK("https://gerandofalcoes.my.salesforce.com/0014X00002VKCr8QAH", "0014X00002VKCr8QAH")</f>
        <v>0014X00002VKCr8QAH</v>
      </c>
      <c r="C55" s="3" t="s">
        <v>4646</v>
      </c>
      <c r="D55" s="3" t="s">
        <v>46</v>
      </c>
      <c r="E55" s="21" t="str">
        <f>HYPERLINK("https://gerandofalcoes.my.salesforce.com/0034X0000380O0n", "0034X0000380O0n")</f>
        <v>0034X0000380O0n</v>
      </c>
      <c r="F55" s="3" t="s">
        <v>13112</v>
      </c>
      <c r="G55" s="3" t="s">
        <v>13113</v>
      </c>
      <c r="H55" s="3" t="s">
        <v>2538</v>
      </c>
      <c r="I55" s="3" t="s">
        <v>12741</v>
      </c>
      <c r="J55" s="3">
        <v>33</v>
      </c>
      <c r="K55" s="3" t="s">
        <v>4650</v>
      </c>
      <c r="L55" s="3" t="s">
        <v>13114</v>
      </c>
      <c r="M55" s="6">
        <v>20573</v>
      </c>
      <c r="N55" s="3">
        <v>66</v>
      </c>
      <c r="O55" s="3" t="s">
        <v>13115</v>
      </c>
      <c r="P55" s="3">
        <v>56036167687</v>
      </c>
      <c r="Q55" s="3"/>
      <c r="R55" s="3"/>
      <c r="S55" s="3" t="s">
        <v>2998</v>
      </c>
      <c r="T55" s="3" t="s">
        <v>12723</v>
      </c>
      <c r="U55" s="3"/>
      <c r="V55" s="3" t="s">
        <v>13116</v>
      </c>
      <c r="W55" s="3" t="s">
        <v>2541</v>
      </c>
      <c r="X55" s="3" t="s">
        <v>2980</v>
      </c>
      <c r="Y55" s="3"/>
      <c r="Z55" s="3" t="s">
        <v>2543</v>
      </c>
      <c r="AA55" s="3" t="s">
        <v>2544</v>
      </c>
      <c r="AB55" s="3" t="s">
        <v>2543</v>
      </c>
      <c r="AC55" s="3" t="s">
        <v>13117</v>
      </c>
      <c r="AD55" s="3">
        <v>121</v>
      </c>
      <c r="AE55" s="3"/>
      <c r="AF55" s="3"/>
      <c r="AG55" s="3" t="s">
        <v>693</v>
      </c>
      <c r="AH55" s="3">
        <v>38410156</v>
      </c>
      <c r="AI55" s="3" t="s">
        <v>84</v>
      </c>
      <c r="AJ55" s="3" t="s">
        <v>2569</v>
      </c>
      <c r="AK55" s="3" t="s">
        <v>12661</v>
      </c>
      <c r="AL55" s="3" t="s">
        <v>2550</v>
      </c>
      <c r="AM55" s="3">
        <v>2</v>
      </c>
      <c r="AN55" s="3" t="s">
        <v>13118</v>
      </c>
      <c r="AO55" s="3" t="s">
        <v>62</v>
      </c>
      <c r="AP55" s="7" t="s">
        <v>13119</v>
      </c>
      <c r="AQ55" s="7" t="s">
        <v>13120</v>
      </c>
      <c r="AR55" s="3"/>
      <c r="AS55" s="7" t="s">
        <v>13121</v>
      </c>
    </row>
    <row r="56" spans="1:48" ht="12.5" hidden="1" x14ac:dyDescent="0.25">
      <c r="A56" s="3" t="s">
        <v>12652</v>
      </c>
      <c r="B56" s="7" t="str">
        <f>HYPERLINK("https://gerandofalcoes.my.salesforce.com/0014X00002VKCr9QAH", "0014X00002VKCr9QAH")</f>
        <v>0014X00002VKCr9QAH</v>
      </c>
      <c r="C56" s="3" t="s">
        <v>4668</v>
      </c>
      <c r="D56" s="3" t="s">
        <v>46</v>
      </c>
      <c r="E56" s="21" t="str">
        <f>HYPERLINK("https://gerandofalcoes.my.salesforce.com/0034X0000380O3q", "0034X0000380O3q")</f>
        <v>0034X0000380O3q</v>
      </c>
      <c r="F56" s="3" t="s">
        <v>13122</v>
      </c>
      <c r="G56" s="3" t="s">
        <v>13123</v>
      </c>
      <c r="H56" s="3" t="s">
        <v>2538</v>
      </c>
      <c r="I56" s="3" t="s">
        <v>12741</v>
      </c>
      <c r="J56" s="3">
        <v>33</v>
      </c>
      <c r="K56" s="3" t="s">
        <v>13124</v>
      </c>
      <c r="L56" s="3" t="s">
        <v>13125</v>
      </c>
      <c r="M56" s="6">
        <v>29223</v>
      </c>
      <c r="N56" s="3">
        <v>42</v>
      </c>
      <c r="O56" s="3">
        <v>7598363</v>
      </c>
      <c r="P56" s="3">
        <v>5150932620</v>
      </c>
      <c r="Q56" s="3"/>
      <c r="R56" s="3" t="s">
        <v>12800</v>
      </c>
      <c r="S56" s="3" t="s">
        <v>2998</v>
      </c>
      <c r="T56" s="3" t="s">
        <v>12682</v>
      </c>
      <c r="U56" s="3"/>
      <c r="V56" s="3" t="s">
        <v>13126</v>
      </c>
      <c r="W56" s="3" t="s">
        <v>12664</v>
      </c>
      <c r="X56" s="3" t="s">
        <v>2980</v>
      </c>
      <c r="Y56" s="3" t="s">
        <v>12670</v>
      </c>
      <c r="Z56" s="3" t="s">
        <v>2543</v>
      </c>
      <c r="AA56" s="3" t="s">
        <v>2577</v>
      </c>
      <c r="AB56" s="3" t="s">
        <v>2545</v>
      </c>
      <c r="AC56" s="3" t="s">
        <v>13127</v>
      </c>
      <c r="AD56" s="3">
        <v>58</v>
      </c>
      <c r="AE56" s="3" t="s">
        <v>9382</v>
      </c>
      <c r="AF56" s="3" t="s">
        <v>4597</v>
      </c>
      <c r="AG56" s="3" t="s">
        <v>4672</v>
      </c>
      <c r="AH56" s="3" t="s">
        <v>4673</v>
      </c>
      <c r="AI56" s="3" t="s">
        <v>84</v>
      </c>
      <c r="AJ56" s="3" t="s">
        <v>2741</v>
      </c>
      <c r="AK56" s="3" t="s">
        <v>12828</v>
      </c>
      <c r="AL56" s="3" t="s">
        <v>2588</v>
      </c>
      <c r="AM56" s="3">
        <v>2</v>
      </c>
      <c r="AN56" s="3" t="s">
        <v>7216</v>
      </c>
      <c r="AO56" s="3" t="s">
        <v>120</v>
      </c>
      <c r="AP56" s="3"/>
      <c r="AQ56" s="7" t="s">
        <v>13128</v>
      </c>
      <c r="AR56" s="3"/>
      <c r="AS56" s="7" t="s">
        <v>13129</v>
      </c>
    </row>
    <row r="57" spans="1:48" ht="12.5" hidden="1" x14ac:dyDescent="0.25">
      <c r="A57" s="3" t="s">
        <v>12652</v>
      </c>
      <c r="B57" s="7" t="str">
        <f>HYPERLINK("https://gerandofalcoes.my.salesforce.com/0014X00002VKCrAQAX", "0014X00002VKCrAQAX")</f>
        <v>0014X00002VKCrAQAX</v>
      </c>
      <c r="C57" s="3" t="s">
        <v>4679</v>
      </c>
      <c r="D57" s="3" t="s">
        <v>46</v>
      </c>
      <c r="E57" s="21" t="str">
        <f>HYPERLINK("https://gerandofalcoes.my.salesforce.com/0034X0000380O48", "0034X0000380O48")</f>
        <v>0034X0000380O48</v>
      </c>
      <c r="F57" s="3" t="s">
        <v>2658</v>
      </c>
      <c r="G57" s="3" t="s">
        <v>13130</v>
      </c>
      <c r="H57" s="3" t="s">
        <v>2538</v>
      </c>
      <c r="I57" s="3" t="s">
        <v>12741</v>
      </c>
      <c r="J57" s="3">
        <v>33</v>
      </c>
      <c r="K57" s="3" t="s">
        <v>13131</v>
      </c>
      <c r="L57" s="3" t="s">
        <v>13132</v>
      </c>
      <c r="M57" s="8">
        <v>32374</v>
      </c>
      <c r="N57" s="3">
        <v>34</v>
      </c>
      <c r="O57" s="3">
        <v>14505438</v>
      </c>
      <c r="P57" s="3">
        <v>8722568638</v>
      </c>
      <c r="Q57" s="3"/>
      <c r="R57" s="3" t="s">
        <v>13133</v>
      </c>
      <c r="S57" s="3" t="s">
        <v>3605</v>
      </c>
      <c r="T57" s="3" t="s">
        <v>12682</v>
      </c>
      <c r="U57" s="3"/>
      <c r="V57" s="3" t="s">
        <v>13134</v>
      </c>
      <c r="W57" s="3" t="s">
        <v>12664</v>
      </c>
      <c r="X57" s="3" t="s">
        <v>2980</v>
      </c>
      <c r="Y57" s="3" t="s">
        <v>12670</v>
      </c>
      <c r="Z57" s="3" t="s">
        <v>2543</v>
      </c>
      <c r="AA57" s="3" t="s">
        <v>2544</v>
      </c>
      <c r="AB57" s="3" t="s">
        <v>2545</v>
      </c>
      <c r="AC57" s="3" t="s">
        <v>13135</v>
      </c>
      <c r="AD57" s="3">
        <v>299</v>
      </c>
      <c r="AE57" s="3"/>
      <c r="AF57" s="3" t="s">
        <v>4687</v>
      </c>
      <c r="AG57" s="3" t="s">
        <v>8301</v>
      </c>
      <c r="AH57" s="3" t="s">
        <v>4688</v>
      </c>
      <c r="AI57" s="3" t="s">
        <v>84</v>
      </c>
      <c r="AJ57" s="3" t="s">
        <v>2569</v>
      </c>
      <c r="AK57" s="3" t="s">
        <v>12806</v>
      </c>
      <c r="AL57" s="3" t="s">
        <v>2579</v>
      </c>
      <c r="AM57" s="3">
        <v>3</v>
      </c>
      <c r="AN57" s="3" t="s">
        <v>7216</v>
      </c>
      <c r="AO57" s="3" t="s">
        <v>120</v>
      </c>
      <c r="AP57" s="7" t="s">
        <v>13136</v>
      </c>
      <c r="AQ57" s="7" t="s">
        <v>13137</v>
      </c>
      <c r="AR57" s="3"/>
      <c r="AS57" s="7" t="s">
        <v>13138</v>
      </c>
      <c r="AT57" s="3"/>
      <c r="AU57" s="3"/>
      <c r="AV57" s="3"/>
    </row>
    <row r="58" spans="1:48" ht="12.5" hidden="1" x14ac:dyDescent="0.25">
      <c r="A58" s="3" t="s">
        <v>12652</v>
      </c>
      <c r="B58" s="7" t="str">
        <f>HYPERLINK("https://gerandofalcoes.my.salesforce.com/0014X00002VKCrCQAX", "0014X00002VKCrCQAX")</f>
        <v>0014X00002VKCrCQAX</v>
      </c>
      <c r="C58" s="3" t="s">
        <v>4698</v>
      </c>
      <c r="D58" s="3" t="s">
        <v>46</v>
      </c>
      <c r="E58" s="21" t="str">
        <f>HYPERLINK("https://gerandofalcoes.my.salesforce.com/0034X0000380O3k", "0034X0000380O3k")</f>
        <v>0034X0000380O3k</v>
      </c>
      <c r="F58" s="3" t="s">
        <v>2658</v>
      </c>
      <c r="G58" s="3" t="s">
        <v>13139</v>
      </c>
      <c r="H58" s="3" t="s">
        <v>2538</v>
      </c>
      <c r="I58" s="3" t="s">
        <v>12741</v>
      </c>
      <c r="J58" s="3">
        <v>33</v>
      </c>
      <c r="K58" s="3" t="s">
        <v>4701</v>
      </c>
      <c r="L58" s="3" t="s">
        <v>4702</v>
      </c>
      <c r="M58" s="6">
        <v>30949</v>
      </c>
      <c r="N58" s="3">
        <v>38</v>
      </c>
      <c r="O58" s="3" t="s">
        <v>13140</v>
      </c>
      <c r="P58" s="3">
        <v>10286919710</v>
      </c>
      <c r="Q58" s="3"/>
      <c r="R58" s="3" t="s">
        <v>12800</v>
      </c>
      <c r="S58" s="3" t="s">
        <v>12744</v>
      </c>
      <c r="T58" s="3" t="s">
        <v>12656</v>
      </c>
      <c r="U58" s="3"/>
      <c r="V58" s="3" t="s">
        <v>13141</v>
      </c>
      <c r="W58" s="3" t="s">
        <v>12664</v>
      </c>
      <c r="X58" s="3" t="s">
        <v>2980</v>
      </c>
      <c r="Y58" s="3" t="s">
        <v>12684</v>
      </c>
      <c r="Z58" s="3" t="s">
        <v>2543</v>
      </c>
      <c r="AA58" s="3"/>
      <c r="AB58" s="3"/>
      <c r="AC58" s="3" t="s">
        <v>13142</v>
      </c>
      <c r="AD58" s="3">
        <v>30</v>
      </c>
      <c r="AE58" s="3" t="s">
        <v>4706</v>
      </c>
      <c r="AF58" s="3" t="s">
        <v>13143</v>
      </c>
      <c r="AG58" s="3" t="s">
        <v>13144</v>
      </c>
      <c r="AH58" s="3" t="s">
        <v>4707</v>
      </c>
      <c r="AI58" s="3" t="s">
        <v>1381</v>
      </c>
      <c r="AJ58" s="3" t="s">
        <v>2569</v>
      </c>
      <c r="AK58" s="3" t="s">
        <v>13145</v>
      </c>
      <c r="AL58" s="3" t="s">
        <v>2579</v>
      </c>
      <c r="AM58" s="3">
        <v>3</v>
      </c>
      <c r="AN58" s="3" t="s">
        <v>7216</v>
      </c>
      <c r="AO58" s="3" t="s">
        <v>120</v>
      </c>
      <c r="AP58" s="3"/>
      <c r="AQ58" s="7" t="s">
        <v>13146</v>
      </c>
      <c r="AR58" s="3"/>
      <c r="AS58" s="7" t="s">
        <v>13147</v>
      </c>
      <c r="AT58" s="3"/>
      <c r="AU58" s="3"/>
      <c r="AV58" s="3"/>
    </row>
    <row r="59" spans="1:48" ht="12.5" hidden="1" x14ac:dyDescent="0.25">
      <c r="A59" s="3" t="s">
        <v>12652</v>
      </c>
      <c r="B59" s="7" t="str">
        <f>HYPERLINK("https://gerandofalcoes.my.salesforce.com/0014X00002VKCrDQAX", "0014X00002VKCrDQAX")</f>
        <v>0014X00002VKCrDQAX</v>
      </c>
      <c r="C59" s="3" t="s">
        <v>4714</v>
      </c>
      <c r="D59" s="3" t="s">
        <v>46</v>
      </c>
      <c r="E59" s="21" t="str">
        <f>HYPERLINK("https://gerandofalcoes.my.salesforce.com/0034X0000380O5C", "0034X0000380O5C")</f>
        <v>0034X0000380O5C</v>
      </c>
      <c r="F59" s="3" t="s">
        <v>13148</v>
      </c>
      <c r="G59" s="3" t="s">
        <v>13149</v>
      </c>
      <c r="H59" s="3" t="s">
        <v>2538</v>
      </c>
      <c r="I59" s="3" t="s">
        <v>12741</v>
      </c>
      <c r="J59" s="3">
        <v>33</v>
      </c>
      <c r="K59" s="3" t="s">
        <v>13150</v>
      </c>
      <c r="L59" s="3" t="s">
        <v>13151</v>
      </c>
      <c r="M59" s="6">
        <v>25365</v>
      </c>
      <c r="N59" s="3">
        <v>53</v>
      </c>
      <c r="O59" s="3" t="s">
        <v>13152</v>
      </c>
      <c r="P59" s="3">
        <v>75878186691</v>
      </c>
      <c r="Q59" s="3"/>
      <c r="R59" s="3" t="s">
        <v>13153</v>
      </c>
      <c r="S59" s="3" t="s">
        <v>3417</v>
      </c>
      <c r="T59" s="3" t="s">
        <v>12656</v>
      </c>
      <c r="U59" s="3"/>
      <c r="V59" s="3" t="s">
        <v>13154</v>
      </c>
      <c r="W59" s="3" t="s">
        <v>12664</v>
      </c>
      <c r="X59" s="3" t="s">
        <v>2980</v>
      </c>
      <c r="Y59" s="3" t="s">
        <v>12684</v>
      </c>
      <c r="Z59" s="3" t="s">
        <v>2543</v>
      </c>
      <c r="AA59" s="3"/>
      <c r="AB59" s="3" t="s">
        <v>2543</v>
      </c>
      <c r="AC59" s="3" t="s">
        <v>13155</v>
      </c>
      <c r="AD59" s="3">
        <v>338</v>
      </c>
      <c r="AE59" s="3"/>
      <c r="AF59" s="3" t="s">
        <v>13156</v>
      </c>
      <c r="AG59" s="3" t="s">
        <v>13157</v>
      </c>
      <c r="AH59" s="3" t="s">
        <v>13158</v>
      </c>
      <c r="AI59" s="3" t="s">
        <v>84</v>
      </c>
      <c r="AJ59" s="3" t="s">
        <v>2569</v>
      </c>
      <c r="AK59" s="3" t="s">
        <v>12828</v>
      </c>
      <c r="AL59" s="3" t="s">
        <v>2588</v>
      </c>
      <c r="AM59" s="3">
        <v>3</v>
      </c>
      <c r="AN59" s="3" t="s">
        <v>7216</v>
      </c>
      <c r="AO59" s="3" t="s">
        <v>120</v>
      </c>
      <c r="AP59" s="3"/>
      <c r="AQ59" s="3" t="s">
        <v>13159</v>
      </c>
      <c r="AR59" s="3"/>
      <c r="AS59" s="7" t="s">
        <v>13160</v>
      </c>
      <c r="AT59" s="3"/>
      <c r="AU59" s="3"/>
      <c r="AV59" s="3"/>
    </row>
    <row r="60" spans="1:48" ht="12.5" hidden="1" x14ac:dyDescent="0.25">
      <c r="A60" s="3" t="s">
        <v>12652</v>
      </c>
      <c r="B60" s="7" t="str">
        <f>HYPERLINK("https://gerandofalcoes.my.salesforce.com/0014X00002VKCpKQAX", "0014X00002VKCpKQAX")</f>
        <v>0014X00002VKCpKQAX</v>
      </c>
      <c r="C60" s="3" t="s">
        <v>4725</v>
      </c>
      <c r="D60" s="3" t="s">
        <v>46</v>
      </c>
      <c r="E60" s="21" t="str">
        <f>HYPERLINK("https://gerandofalcoes.my.salesforce.com/0034X0000380O52", "0034X0000380O52")</f>
        <v>0034X0000380O52</v>
      </c>
      <c r="F60" s="3" t="s">
        <v>2607</v>
      </c>
      <c r="G60" s="3" t="s">
        <v>13161</v>
      </c>
      <c r="H60" s="3" t="s">
        <v>2538</v>
      </c>
      <c r="I60" s="3" t="s">
        <v>12741</v>
      </c>
      <c r="J60" s="3"/>
      <c r="K60" s="3" t="s">
        <v>13162</v>
      </c>
      <c r="L60" s="3" t="s">
        <v>4730</v>
      </c>
      <c r="M60" s="6">
        <v>36968</v>
      </c>
      <c r="N60" s="3">
        <v>21</v>
      </c>
      <c r="O60" s="3">
        <v>1596341807</v>
      </c>
      <c r="P60" s="3">
        <v>9282430529</v>
      </c>
      <c r="Q60" s="3"/>
      <c r="R60" s="3" t="s">
        <v>13163</v>
      </c>
      <c r="S60" s="3" t="s">
        <v>2998</v>
      </c>
      <c r="T60" s="3" t="s">
        <v>12723</v>
      </c>
      <c r="U60" s="3"/>
      <c r="V60" s="3" t="s">
        <v>13164</v>
      </c>
      <c r="W60" s="3" t="s">
        <v>12664</v>
      </c>
      <c r="X60" s="3" t="s">
        <v>2980</v>
      </c>
      <c r="Y60" s="3" t="s">
        <v>12658</v>
      </c>
      <c r="Z60" s="3" t="s">
        <v>2543</v>
      </c>
      <c r="AA60" s="3" t="s">
        <v>2544</v>
      </c>
      <c r="AB60" s="3" t="s">
        <v>2543</v>
      </c>
      <c r="AC60" s="3" t="s">
        <v>13165</v>
      </c>
      <c r="AD60" s="3">
        <v>60</v>
      </c>
      <c r="AE60" s="3" t="s">
        <v>13166</v>
      </c>
      <c r="AF60" s="3" t="s">
        <v>3886</v>
      </c>
      <c r="AG60" s="3" t="s">
        <v>10964</v>
      </c>
      <c r="AH60" s="3" t="s">
        <v>13167</v>
      </c>
      <c r="AI60" s="3" t="s">
        <v>1002</v>
      </c>
      <c r="AJ60" s="3" t="s">
        <v>2569</v>
      </c>
      <c r="AK60" s="3" t="s">
        <v>12729</v>
      </c>
      <c r="AL60" s="3" t="s">
        <v>2588</v>
      </c>
      <c r="AM60" s="3">
        <v>5</v>
      </c>
      <c r="AN60" s="3" t="s">
        <v>7216</v>
      </c>
      <c r="AO60" s="3" t="s">
        <v>120</v>
      </c>
      <c r="AP60" s="3"/>
      <c r="AQ60" s="3" t="s">
        <v>13168</v>
      </c>
      <c r="AR60" s="3"/>
      <c r="AS60" s="7" t="s">
        <v>13169</v>
      </c>
      <c r="AT60" s="3"/>
      <c r="AU60" s="3"/>
      <c r="AV60" s="3"/>
    </row>
    <row r="61" spans="1:48" ht="12.5" x14ac:dyDescent="0.25">
      <c r="A61" s="3" t="s">
        <v>12652</v>
      </c>
      <c r="B61" s="7" t="str">
        <f>HYPERLINK("https://gerandofalcoes.my.salesforce.com/0014X00002VKCpLQAX", "0014X00002VKCpLQAX")</f>
        <v>0014X00002VKCpLQAX</v>
      </c>
      <c r="C61" s="3" t="s">
        <v>4743</v>
      </c>
      <c r="D61" s="3" t="s">
        <v>46</v>
      </c>
      <c r="E61" s="21" t="str">
        <f>HYPERLINK("https://gerandofalcoes.my.salesforce.com/0034X0000380O5T", "0034X0000380O5T")</f>
        <v>0034X0000380O5T</v>
      </c>
      <c r="F61" s="3" t="s">
        <v>13170</v>
      </c>
      <c r="G61" s="3" t="s">
        <v>13171</v>
      </c>
      <c r="H61" s="3" t="s">
        <v>2538</v>
      </c>
      <c r="I61" s="3" t="s">
        <v>12741</v>
      </c>
      <c r="J61" s="3">
        <v>33</v>
      </c>
      <c r="K61" s="3" t="s">
        <v>13172</v>
      </c>
      <c r="L61" s="3">
        <v>71987174277</v>
      </c>
      <c r="M61" s="8">
        <v>33513</v>
      </c>
      <c r="N61" s="3">
        <v>31</v>
      </c>
      <c r="O61" s="3">
        <v>1195980787</v>
      </c>
      <c r="P61" s="3">
        <v>4493815523</v>
      </c>
      <c r="Q61" s="3"/>
      <c r="R61" s="3"/>
      <c r="S61" s="3" t="s">
        <v>3417</v>
      </c>
      <c r="T61" s="3" t="s">
        <v>12682</v>
      </c>
      <c r="U61" s="3"/>
      <c r="V61" s="3" t="s">
        <v>13173</v>
      </c>
      <c r="W61" s="3" t="s">
        <v>2541</v>
      </c>
      <c r="X61" s="3" t="s">
        <v>2980</v>
      </c>
      <c r="Y61" s="3"/>
      <c r="Z61" s="3" t="s">
        <v>2543</v>
      </c>
      <c r="AA61" s="3" t="s">
        <v>2544</v>
      </c>
      <c r="AB61" s="3" t="s">
        <v>2545</v>
      </c>
      <c r="AC61" s="3" t="s">
        <v>3597</v>
      </c>
      <c r="AD61" s="3">
        <v>18</v>
      </c>
      <c r="AE61" s="3"/>
      <c r="AF61" s="3"/>
      <c r="AG61" s="3" t="s">
        <v>13174</v>
      </c>
      <c r="AH61" s="3">
        <v>40730420</v>
      </c>
      <c r="AI61" s="3" t="s">
        <v>1002</v>
      </c>
      <c r="AJ61" s="3" t="s">
        <v>2569</v>
      </c>
      <c r="AK61" s="3" t="s">
        <v>12828</v>
      </c>
      <c r="AL61" s="3" t="s">
        <v>2550</v>
      </c>
      <c r="AM61" s="3">
        <v>2</v>
      </c>
      <c r="AN61" s="3" t="s">
        <v>7216</v>
      </c>
      <c r="AO61" s="3" t="s">
        <v>62</v>
      </c>
      <c r="AP61" s="3"/>
      <c r="AQ61" s="7" t="s">
        <v>13175</v>
      </c>
      <c r="AR61" s="3"/>
      <c r="AS61" s="7" t="s">
        <v>13176</v>
      </c>
      <c r="AT61" s="3"/>
      <c r="AU61" s="3"/>
      <c r="AV61" s="3"/>
    </row>
    <row r="62" spans="1:48" ht="12.5" x14ac:dyDescent="0.25">
      <c r="A62" s="3" t="s">
        <v>12652</v>
      </c>
      <c r="B62" s="7" t="str">
        <f>HYPERLINK("https://gerandofalcoes.my.salesforce.com/0014X00002VKCpMQAX", "0014X00002VKCpMQAX")</f>
        <v>0014X00002VKCpMQAX</v>
      </c>
      <c r="C62" s="3" t="s">
        <v>4758</v>
      </c>
      <c r="D62" s="3" t="s">
        <v>46</v>
      </c>
      <c r="E62" s="21" t="str">
        <f>HYPERLINK("https://gerandofalcoes.my.salesforce.com/0034X0000380O2E", "0034X0000380O2E")</f>
        <v>0034X0000380O2E</v>
      </c>
      <c r="F62" s="3" t="s">
        <v>13177</v>
      </c>
      <c r="G62" s="3" t="s">
        <v>13178</v>
      </c>
      <c r="H62" s="3" t="s">
        <v>2538</v>
      </c>
      <c r="I62" s="3" t="s">
        <v>12741</v>
      </c>
      <c r="J62" s="3">
        <v>33</v>
      </c>
      <c r="K62" s="3" t="s">
        <v>13179</v>
      </c>
      <c r="L62" s="3">
        <v>71972440849</v>
      </c>
      <c r="M62" s="6">
        <v>29971</v>
      </c>
      <c r="N62" s="3">
        <v>40</v>
      </c>
      <c r="O62" s="3">
        <v>795695365</v>
      </c>
      <c r="P62" s="3">
        <v>1990996507</v>
      </c>
      <c r="Q62" s="3"/>
      <c r="R62" s="3"/>
      <c r="S62" s="3" t="s">
        <v>12744</v>
      </c>
      <c r="T62" s="3" t="s">
        <v>12656</v>
      </c>
      <c r="U62" s="3"/>
      <c r="V62" s="3" t="s">
        <v>13180</v>
      </c>
      <c r="W62" s="3" t="s">
        <v>2541</v>
      </c>
      <c r="X62" s="3" t="s">
        <v>2980</v>
      </c>
      <c r="Y62" s="3"/>
      <c r="Z62" s="3" t="s">
        <v>2543</v>
      </c>
      <c r="AA62" s="3" t="s">
        <v>2544</v>
      </c>
      <c r="AB62" s="3" t="s">
        <v>2545</v>
      </c>
      <c r="AC62" s="3" t="s">
        <v>13181</v>
      </c>
      <c r="AD62" s="3">
        <v>182</v>
      </c>
      <c r="AE62" s="3"/>
      <c r="AF62" s="3"/>
      <c r="AG62" s="3" t="s">
        <v>13182</v>
      </c>
      <c r="AH62" s="3">
        <v>41280630</v>
      </c>
      <c r="AI62" s="3" t="s">
        <v>1002</v>
      </c>
      <c r="AJ62" s="3" t="s">
        <v>2569</v>
      </c>
      <c r="AK62" s="3" t="s">
        <v>3249</v>
      </c>
      <c r="AL62" s="3" t="s">
        <v>2588</v>
      </c>
      <c r="AM62" s="3">
        <v>1</v>
      </c>
      <c r="AN62" s="3" t="s">
        <v>7216</v>
      </c>
      <c r="AO62" s="3" t="s">
        <v>120</v>
      </c>
      <c r="AP62" s="3"/>
      <c r="AQ62" s="3"/>
      <c r="AR62" s="3"/>
      <c r="AS62" s="3"/>
      <c r="AT62" s="3"/>
      <c r="AU62" s="3"/>
      <c r="AV62" s="3"/>
    </row>
    <row r="63" spans="1:48" ht="12.5" x14ac:dyDescent="0.25">
      <c r="A63" s="3" t="s">
        <v>12652</v>
      </c>
      <c r="B63" s="7" t="str">
        <f>HYPERLINK("https://gerandofalcoes.my.salesforce.com/0014X00002VKCpNQAX", "0014X00002VKCpNQAX")</f>
        <v>0014X00002VKCpNQAX</v>
      </c>
      <c r="C63" s="3" t="s">
        <v>4768</v>
      </c>
      <c r="D63" s="3" t="s">
        <v>46</v>
      </c>
      <c r="E63" s="21" t="str">
        <f>HYPERLINK("https://gerandofalcoes.my.salesforce.com/0034X0000380O24", "0034X0000380O24")</f>
        <v>0034X0000380O24</v>
      </c>
      <c r="F63" s="3" t="s">
        <v>13183</v>
      </c>
      <c r="G63" s="3" t="s">
        <v>13184</v>
      </c>
      <c r="H63" s="3" t="s">
        <v>2538</v>
      </c>
      <c r="I63" s="3" t="s">
        <v>12741</v>
      </c>
      <c r="J63" s="3">
        <v>33</v>
      </c>
      <c r="K63" s="3" t="s">
        <v>13185</v>
      </c>
      <c r="L63" s="3">
        <v>82999189935</v>
      </c>
      <c r="M63" s="6">
        <v>30894</v>
      </c>
      <c r="N63" s="3">
        <v>38</v>
      </c>
      <c r="O63" s="3" t="s">
        <v>13186</v>
      </c>
      <c r="P63" s="3">
        <v>1265332452</v>
      </c>
      <c r="Q63" s="3"/>
      <c r="R63" s="3"/>
      <c r="S63" s="3" t="s">
        <v>3137</v>
      </c>
      <c r="T63" s="3" t="s">
        <v>12723</v>
      </c>
      <c r="U63" s="3"/>
      <c r="V63" s="3" t="s">
        <v>13187</v>
      </c>
      <c r="W63" s="3" t="s">
        <v>2541</v>
      </c>
      <c r="X63" s="3" t="s">
        <v>2980</v>
      </c>
      <c r="Y63" s="3"/>
      <c r="Z63" s="3" t="s">
        <v>2543</v>
      </c>
      <c r="AA63" s="3" t="s">
        <v>13188</v>
      </c>
      <c r="AB63" s="3" t="s">
        <v>2543</v>
      </c>
      <c r="AC63" s="3" t="s">
        <v>13189</v>
      </c>
      <c r="AD63" s="3">
        <v>329</v>
      </c>
      <c r="AE63" s="3"/>
      <c r="AF63" s="3"/>
      <c r="AG63" s="3" t="s">
        <v>13190</v>
      </c>
      <c r="AH63" s="3">
        <v>57052489</v>
      </c>
      <c r="AI63" s="3" t="s">
        <v>51</v>
      </c>
      <c r="AJ63" s="3" t="s">
        <v>2548</v>
      </c>
      <c r="AK63" s="3" t="s">
        <v>3249</v>
      </c>
      <c r="AL63" s="3" t="s">
        <v>2579</v>
      </c>
      <c r="AM63" s="3">
        <v>3</v>
      </c>
      <c r="AN63" s="3" t="s">
        <v>7216</v>
      </c>
      <c r="AO63" s="3" t="s">
        <v>62</v>
      </c>
      <c r="AP63" s="7" t="s">
        <v>13191</v>
      </c>
      <c r="AQ63" s="3" t="s">
        <v>13192</v>
      </c>
      <c r="AR63" s="3"/>
      <c r="AS63" s="7" t="s">
        <v>13193</v>
      </c>
      <c r="AT63" s="3"/>
      <c r="AU63" s="3"/>
      <c r="AV63" s="3"/>
    </row>
    <row r="64" spans="1:48" ht="12.5" hidden="1" x14ac:dyDescent="0.25">
      <c r="A64" s="3" t="s">
        <v>12652</v>
      </c>
      <c r="B64" s="7" t="str">
        <f>HYPERLINK("https://gerandofalcoes.my.salesforce.com/0014X00002VKCpOQAX", "0014X00002VKCpOQAX")</f>
        <v>0014X00002VKCpOQAX</v>
      </c>
      <c r="C64" s="3" t="s">
        <v>4787</v>
      </c>
      <c r="D64" s="3" t="s">
        <v>46</v>
      </c>
      <c r="E64" s="21" t="str">
        <f>HYPERLINK("https://gerandofalcoes.my.salesforce.com/0034X0000380O6S", "0034X0000380O6S")</f>
        <v>0034X0000380O6S</v>
      </c>
      <c r="F64" s="3" t="s">
        <v>13194</v>
      </c>
      <c r="G64" s="3" t="s">
        <v>13195</v>
      </c>
      <c r="H64" s="3" t="s">
        <v>2538</v>
      </c>
      <c r="I64" s="3" t="s">
        <v>12741</v>
      </c>
      <c r="J64" s="3"/>
      <c r="K64" s="3" t="s">
        <v>13196</v>
      </c>
      <c r="L64" s="3" t="s">
        <v>13197</v>
      </c>
      <c r="M64" s="6">
        <v>36093</v>
      </c>
      <c r="N64" s="3">
        <v>24</v>
      </c>
      <c r="O64" s="3">
        <v>40380157</v>
      </c>
      <c r="P64" s="3">
        <v>13246039410</v>
      </c>
      <c r="Q64" s="3"/>
      <c r="R64" s="3" t="s">
        <v>2786</v>
      </c>
      <c r="S64" s="3" t="s">
        <v>3137</v>
      </c>
      <c r="T64" s="3" t="s">
        <v>12723</v>
      </c>
      <c r="U64" s="3"/>
      <c r="V64" s="3" t="s">
        <v>13198</v>
      </c>
      <c r="W64" s="3" t="s">
        <v>4204</v>
      </c>
      <c r="X64" s="3" t="s">
        <v>2980</v>
      </c>
      <c r="Y64" s="3" t="s">
        <v>12684</v>
      </c>
      <c r="Z64" s="3" t="s">
        <v>2543</v>
      </c>
      <c r="AA64" s="3"/>
      <c r="AB64" s="3" t="s">
        <v>2543</v>
      </c>
      <c r="AC64" s="3" t="s">
        <v>13199</v>
      </c>
      <c r="AD64" s="3">
        <v>122</v>
      </c>
      <c r="AE64" s="3" t="s">
        <v>13200</v>
      </c>
      <c r="AF64" s="3" t="s">
        <v>13201</v>
      </c>
      <c r="AG64" s="3" t="s">
        <v>1515</v>
      </c>
      <c r="AH64" s="3" t="s">
        <v>4793</v>
      </c>
      <c r="AI64" s="3" t="s">
        <v>51</v>
      </c>
      <c r="AJ64" s="3" t="s">
        <v>2569</v>
      </c>
      <c r="AK64" s="3" t="s">
        <v>12729</v>
      </c>
      <c r="AL64" s="3" t="s">
        <v>2588</v>
      </c>
      <c r="AM64" s="3">
        <v>4</v>
      </c>
      <c r="AN64" s="3" t="s">
        <v>13118</v>
      </c>
      <c r="AO64" s="3" t="s">
        <v>120</v>
      </c>
      <c r="AP64" s="3"/>
      <c r="AQ64" s="7" t="s">
        <v>13202</v>
      </c>
      <c r="AR64" s="3"/>
      <c r="AS64" s="7" t="s">
        <v>13203</v>
      </c>
      <c r="AT64" s="3"/>
      <c r="AU64" s="3"/>
      <c r="AV64" s="3"/>
    </row>
    <row r="65" spans="1:48" ht="12.5" x14ac:dyDescent="0.25">
      <c r="A65" s="3" t="s">
        <v>12652</v>
      </c>
      <c r="B65" s="7" t="str">
        <f>HYPERLINK("https://gerandofalcoes.my.salesforce.com/0014X00002VKCpPQAX", "0014X00002VKCpPQAX")</f>
        <v>0014X00002VKCpPQAX</v>
      </c>
      <c r="C65" s="3" t="s">
        <v>4796</v>
      </c>
      <c r="D65" s="3" t="s">
        <v>46</v>
      </c>
      <c r="E65" s="21" t="str">
        <f>HYPERLINK("https://gerandofalcoes.my.salesforce.com/0034X0000380O6M", "0034X0000380O6M")</f>
        <v>0034X0000380O6M</v>
      </c>
      <c r="F65" s="3" t="s">
        <v>13204</v>
      </c>
      <c r="G65" s="3" t="s">
        <v>13205</v>
      </c>
      <c r="H65" s="3" t="s">
        <v>2538</v>
      </c>
      <c r="I65" s="3" t="s">
        <v>12741</v>
      </c>
      <c r="J65" s="3">
        <v>33</v>
      </c>
      <c r="K65" s="3" t="s">
        <v>4800</v>
      </c>
      <c r="L65" s="3">
        <v>75991746520</v>
      </c>
      <c r="M65" s="6">
        <v>25174</v>
      </c>
      <c r="N65" s="3">
        <v>54</v>
      </c>
      <c r="O65" s="3">
        <v>364760303</v>
      </c>
      <c r="P65" s="3">
        <v>52795705591</v>
      </c>
      <c r="Q65" s="3"/>
      <c r="R65" s="3"/>
      <c r="S65" s="3" t="s">
        <v>3137</v>
      </c>
      <c r="T65" s="3" t="s">
        <v>12682</v>
      </c>
      <c r="U65" s="3"/>
      <c r="V65" s="3" t="s">
        <v>13206</v>
      </c>
      <c r="W65" s="3" t="s">
        <v>2541</v>
      </c>
      <c r="X65" s="3" t="s">
        <v>2980</v>
      </c>
      <c r="Y65" s="3"/>
      <c r="Z65" s="3" t="s">
        <v>2543</v>
      </c>
      <c r="AA65" s="3"/>
      <c r="AB65" s="3"/>
      <c r="AC65" s="3" t="s">
        <v>13207</v>
      </c>
      <c r="AD65" s="3">
        <v>38</v>
      </c>
      <c r="AE65" s="3">
        <v>38</v>
      </c>
      <c r="AF65" s="3"/>
      <c r="AG65" s="3" t="s">
        <v>13208</v>
      </c>
      <c r="AH65" s="3">
        <v>44056544</v>
      </c>
      <c r="AI65" s="3" t="s">
        <v>1002</v>
      </c>
      <c r="AJ65" s="3" t="s">
        <v>2569</v>
      </c>
      <c r="AK65" s="3" t="s">
        <v>12828</v>
      </c>
      <c r="AL65" s="3" t="s">
        <v>2550</v>
      </c>
      <c r="AM65" s="3">
        <v>2</v>
      </c>
      <c r="AN65" s="3" t="s">
        <v>7216</v>
      </c>
      <c r="AO65" s="3" t="s">
        <v>120</v>
      </c>
      <c r="AP65" s="3"/>
      <c r="AQ65" s="7" t="s">
        <v>13209</v>
      </c>
      <c r="AR65" s="3"/>
      <c r="AS65" s="7" t="s">
        <v>13210</v>
      </c>
      <c r="AT65" s="3"/>
      <c r="AU65" s="3"/>
      <c r="AV65" s="3"/>
    </row>
    <row r="66" spans="1:48" ht="12.5" x14ac:dyDescent="0.25">
      <c r="A66" s="3" t="s">
        <v>12652</v>
      </c>
      <c r="B66" s="7" t="str">
        <f>HYPERLINK("https://gerandofalcoes.my.salesforce.com/0014X00002VKCpQQAX", "0014X00002VKCpQQAX")</f>
        <v>0014X00002VKCpQQAX</v>
      </c>
      <c r="C66" s="3" t="s">
        <v>4815</v>
      </c>
      <c r="D66" s="3" t="s">
        <v>46</v>
      </c>
      <c r="E66" s="21" t="str">
        <f>HYPERLINK("https://gerandofalcoes.my.salesforce.com/0034X0000380O0t", "0034X0000380O0t")</f>
        <v>0034X0000380O0t</v>
      </c>
      <c r="F66" s="3" t="s">
        <v>13211</v>
      </c>
      <c r="G66" s="3" t="s">
        <v>13212</v>
      </c>
      <c r="H66" s="3" t="s">
        <v>2538</v>
      </c>
      <c r="I66" s="3" t="s">
        <v>12741</v>
      </c>
      <c r="J66" s="3">
        <v>33</v>
      </c>
      <c r="K66" s="3" t="s">
        <v>13213</v>
      </c>
      <c r="L66" s="3">
        <v>75991103998</v>
      </c>
      <c r="M66" s="6">
        <v>27826</v>
      </c>
      <c r="N66" s="3">
        <v>46</v>
      </c>
      <c r="O66" s="3" t="s">
        <v>13214</v>
      </c>
      <c r="P66" s="3">
        <v>95614036504</v>
      </c>
      <c r="Q66" s="3"/>
      <c r="R66" s="3"/>
      <c r="S66" s="3" t="s">
        <v>2998</v>
      </c>
      <c r="T66" s="3" t="s">
        <v>12723</v>
      </c>
      <c r="U66" s="3"/>
      <c r="V66" s="3" t="s">
        <v>13215</v>
      </c>
      <c r="W66" s="3" t="s">
        <v>2541</v>
      </c>
      <c r="X66" s="3" t="s">
        <v>2980</v>
      </c>
      <c r="Y66" s="3"/>
      <c r="Z66" s="3" t="s">
        <v>2543</v>
      </c>
      <c r="AA66" s="3" t="s">
        <v>2544</v>
      </c>
      <c r="AB66" s="3" t="s">
        <v>2543</v>
      </c>
      <c r="AC66" s="3" t="s">
        <v>13216</v>
      </c>
      <c r="AD66" s="3">
        <v>40</v>
      </c>
      <c r="AE66" s="3"/>
      <c r="AF66" s="3"/>
      <c r="AG66" s="3" t="s">
        <v>128</v>
      </c>
      <c r="AH66" s="3">
        <v>44442076</v>
      </c>
      <c r="AI66" s="3" t="s">
        <v>1002</v>
      </c>
      <c r="AJ66" s="3" t="s">
        <v>2569</v>
      </c>
      <c r="AK66" s="3" t="s">
        <v>3249</v>
      </c>
      <c r="AL66" s="3" t="s">
        <v>2550</v>
      </c>
      <c r="AM66" s="3">
        <v>4</v>
      </c>
      <c r="AN66" s="3" t="s">
        <v>7216</v>
      </c>
      <c r="AO66" s="3" t="s">
        <v>120</v>
      </c>
      <c r="AP66" s="3"/>
      <c r="AQ66" s="7" t="s">
        <v>13217</v>
      </c>
      <c r="AR66" s="3"/>
      <c r="AS66" s="7" t="s">
        <v>13218</v>
      </c>
    </row>
    <row r="67" spans="1:48" ht="12.5" x14ac:dyDescent="0.25">
      <c r="A67" s="3" t="s">
        <v>12652</v>
      </c>
      <c r="B67" s="7" t="str">
        <f>HYPERLINK("https://gerandofalcoes.my.salesforce.com/0014X00002VKCpRQAX", "0014X00002VKCpRQAX")</f>
        <v>0014X00002VKCpRQAX</v>
      </c>
      <c r="C67" s="3" t="s">
        <v>4838</v>
      </c>
      <c r="D67" s="3" t="s">
        <v>46</v>
      </c>
      <c r="E67" s="21" t="str">
        <f>HYPERLINK("https://gerandofalcoes.my.salesforce.com/0034X0000380O28", "0034X0000380O28")</f>
        <v>0034X0000380O28</v>
      </c>
      <c r="F67" s="3" t="s">
        <v>13219</v>
      </c>
      <c r="G67" s="3" t="s">
        <v>13220</v>
      </c>
      <c r="H67" s="3" t="s">
        <v>2538</v>
      </c>
      <c r="I67" s="3" t="s">
        <v>12741</v>
      </c>
      <c r="J67" s="3">
        <v>33</v>
      </c>
      <c r="K67" s="3" t="s">
        <v>13221</v>
      </c>
      <c r="L67" s="3">
        <v>75991057981</v>
      </c>
      <c r="M67" s="6">
        <v>28459</v>
      </c>
      <c r="N67" s="3">
        <v>45</v>
      </c>
      <c r="O67" s="3">
        <v>852230184</v>
      </c>
      <c r="P67" s="3">
        <v>80353665568</v>
      </c>
      <c r="Q67" s="3"/>
      <c r="R67" s="3"/>
      <c r="S67" s="3" t="s">
        <v>3137</v>
      </c>
      <c r="T67" s="3" t="s">
        <v>12656</v>
      </c>
      <c r="U67" s="3"/>
      <c r="V67" s="3" t="s">
        <v>13222</v>
      </c>
      <c r="W67" s="3" t="s">
        <v>2541</v>
      </c>
      <c r="X67" s="3" t="s">
        <v>12836</v>
      </c>
      <c r="Y67" s="3"/>
      <c r="Z67" s="3" t="s">
        <v>2543</v>
      </c>
      <c r="AA67" s="3"/>
      <c r="AB67" s="3"/>
      <c r="AC67" s="3" t="s">
        <v>13223</v>
      </c>
      <c r="AD67" s="3">
        <v>22</v>
      </c>
      <c r="AE67" s="3"/>
      <c r="AF67" s="3"/>
      <c r="AG67" s="3" t="s">
        <v>13224</v>
      </c>
      <c r="AH67" s="3">
        <v>44300000</v>
      </c>
      <c r="AI67" s="3" t="s">
        <v>1002</v>
      </c>
      <c r="AJ67" s="3" t="s">
        <v>2569</v>
      </c>
      <c r="AK67" s="3" t="s">
        <v>3249</v>
      </c>
      <c r="AL67" s="3" t="s">
        <v>2550</v>
      </c>
      <c r="AM67" s="3">
        <v>1</v>
      </c>
      <c r="AN67" s="3" t="s">
        <v>7216</v>
      </c>
      <c r="AO67" s="3" t="s">
        <v>120</v>
      </c>
      <c r="AP67" s="3"/>
      <c r="AQ67" s="7" t="s">
        <v>13225</v>
      </c>
      <c r="AR67" s="3"/>
      <c r="AS67" s="7" t="s">
        <v>13226</v>
      </c>
    </row>
    <row r="68" spans="1:48" ht="12.5" x14ac:dyDescent="0.25">
      <c r="A68" s="3" t="s">
        <v>12652</v>
      </c>
      <c r="B68" s="7" t="str">
        <f>HYPERLINK("https://gerandofalcoes.my.salesforce.com/0014X00002VKCpUQAX", "0014X00002VKCpUQAX")</f>
        <v>0014X00002VKCpUQAX</v>
      </c>
      <c r="C68" s="3" t="s">
        <v>4854</v>
      </c>
      <c r="D68" s="3" t="s">
        <v>46</v>
      </c>
      <c r="E68" s="21" t="str">
        <f>HYPERLINK("https://gerandofalcoes.my.salesforce.com/0034X0000380O6f", "0034X0000380O6f")</f>
        <v>0034X0000380O6f</v>
      </c>
      <c r="F68" s="3" t="s">
        <v>13227</v>
      </c>
      <c r="G68" s="3" t="s">
        <v>13228</v>
      </c>
      <c r="H68" s="3" t="s">
        <v>2538</v>
      </c>
      <c r="I68" s="3" t="s">
        <v>12741</v>
      </c>
      <c r="J68" s="3">
        <v>33</v>
      </c>
      <c r="K68" s="3" t="s">
        <v>13229</v>
      </c>
      <c r="L68" s="3" t="s">
        <v>13230</v>
      </c>
      <c r="M68" s="6">
        <v>27035</v>
      </c>
      <c r="N68" s="3">
        <v>48</v>
      </c>
      <c r="O68" s="3">
        <v>567656900</v>
      </c>
      <c r="P68" s="3">
        <v>76723607520</v>
      </c>
      <c r="Q68" s="3"/>
      <c r="R68" s="3"/>
      <c r="S68" s="3" t="s">
        <v>3269</v>
      </c>
      <c r="T68" s="3" t="s">
        <v>12656</v>
      </c>
      <c r="U68" s="3"/>
      <c r="V68" s="3" t="s">
        <v>13231</v>
      </c>
      <c r="W68" s="3" t="s">
        <v>2541</v>
      </c>
      <c r="X68" s="3" t="s">
        <v>2980</v>
      </c>
      <c r="Y68" s="3"/>
      <c r="Z68" s="3" t="s">
        <v>2543</v>
      </c>
      <c r="AA68" s="3" t="s">
        <v>2544</v>
      </c>
      <c r="AB68" s="3" t="s">
        <v>2545</v>
      </c>
      <c r="AC68" s="3" t="s">
        <v>13232</v>
      </c>
      <c r="AD68" s="3">
        <v>73</v>
      </c>
      <c r="AE68" s="3"/>
      <c r="AF68" s="3"/>
      <c r="AG68" s="3" t="s">
        <v>13233</v>
      </c>
      <c r="AH68" s="3">
        <v>40420190</v>
      </c>
      <c r="AI68" s="3" t="s">
        <v>1002</v>
      </c>
      <c r="AJ68" s="3" t="s">
        <v>2569</v>
      </c>
      <c r="AK68" s="3" t="s">
        <v>12729</v>
      </c>
      <c r="AL68" s="3" t="s">
        <v>2550</v>
      </c>
      <c r="AM68" s="3">
        <v>3</v>
      </c>
      <c r="AN68" s="3" t="s">
        <v>7216</v>
      </c>
      <c r="AO68" s="3" t="s">
        <v>120</v>
      </c>
      <c r="AP68" s="3"/>
      <c r="AQ68" s="7" t="s">
        <v>13234</v>
      </c>
      <c r="AR68" s="3"/>
      <c r="AS68" s="7" t="s">
        <v>13235</v>
      </c>
    </row>
    <row r="69" spans="1:48" ht="12.5" hidden="1" x14ac:dyDescent="0.25">
      <c r="A69" s="3" t="s">
        <v>12652</v>
      </c>
      <c r="B69" s="7" t="str">
        <f>HYPERLINK("https://gerandofalcoes.my.salesforce.com/0014X00002VKCpWQAX", "0014X00002VKCpWQAX")</f>
        <v>0014X00002VKCpWQAX</v>
      </c>
      <c r="C69" s="3" t="s">
        <v>4868</v>
      </c>
      <c r="D69" s="3" t="s">
        <v>46</v>
      </c>
      <c r="E69" s="21" t="str">
        <f>HYPERLINK("https://gerandofalcoes.my.salesforce.com/0034X0000380O4f", "0034X0000380O4f")</f>
        <v>0034X0000380O4f</v>
      </c>
      <c r="F69" s="3" t="s">
        <v>13236</v>
      </c>
      <c r="G69" s="3" t="s">
        <v>13237</v>
      </c>
      <c r="H69" s="3" t="s">
        <v>2538</v>
      </c>
      <c r="I69" s="3" t="s">
        <v>12741</v>
      </c>
      <c r="J69" s="3"/>
      <c r="K69" s="3" t="s">
        <v>13238</v>
      </c>
      <c r="L69" s="3" t="s">
        <v>4872</v>
      </c>
      <c r="M69" s="6">
        <v>34819</v>
      </c>
      <c r="N69" s="3">
        <v>27</v>
      </c>
      <c r="O69" s="3">
        <v>1460831306</v>
      </c>
      <c r="P69" s="3">
        <v>5663515516</v>
      </c>
      <c r="Q69" s="3"/>
      <c r="R69" s="3" t="s">
        <v>13239</v>
      </c>
      <c r="S69" s="3" t="s">
        <v>3137</v>
      </c>
      <c r="T69" s="3" t="s">
        <v>12656</v>
      </c>
      <c r="U69" s="3"/>
      <c r="V69" s="3" t="s">
        <v>13240</v>
      </c>
      <c r="W69" s="3" t="s">
        <v>12664</v>
      </c>
      <c r="X69" s="3" t="s">
        <v>3508</v>
      </c>
      <c r="Y69" s="3" t="s">
        <v>12684</v>
      </c>
      <c r="Z69" s="3" t="s">
        <v>2543</v>
      </c>
      <c r="AA69" s="3"/>
      <c r="AB69" s="3"/>
      <c r="AC69" s="3" t="s">
        <v>13241</v>
      </c>
      <c r="AD69" s="3" t="s">
        <v>13242</v>
      </c>
      <c r="AE69" s="3" t="s">
        <v>1539</v>
      </c>
      <c r="AF69" s="3" t="s">
        <v>1848</v>
      </c>
      <c r="AG69" s="3" t="s">
        <v>4874</v>
      </c>
      <c r="AH69" s="3" t="s">
        <v>13243</v>
      </c>
      <c r="AI69" s="3" t="s">
        <v>1002</v>
      </c>
      <c r="AJ69" s="3" t="s">
        <v>2569</v>
      </c>
      <c r="AK69" s="3" t="s">
        <v>12828</v>
      </c>
      <c r="AL69" s="3" t="s">
        <v>2550</v>
      </c>
      <c r="AM69" s="3">
        <v>4</v>
      </c>
      <c r="AN69" s="3" t="s">
        <v>7216</v>
      </c>
      <c r="AO69" s="3" t="s">
        <v>120</v>
      </c>
      <c r="AP69" s="3"/>
      <c r="AQ69" s="7" t="s">
        <v>13244</v>
      </c>
      <c r="AR69" s="3"/>
      <c r="AS69" s="7" t="s">
        <v>13245</v>
      </c>
      <c r="AT69" s="3"/>
      <c r="AU69" s="3"/>
      <c r="AV69" s="3"/>
    </row>
    <row r="70" spans="1:48" ht="12.5" x14ac:dyDescent="0.25">
      <c r="A70" s="3" t="s">
        <v>12652</v>
      </c>
      <c r="B70" s="7" t="str">
        <f>HYPERLINK("https://gerandofalcoes.my.salesforce.com/0014X00002VKCpXQAX", "0014X00002VKCpXQAX")</f>
        <v>0014X00002VKCpXQAX</v>
      </c>
      <c r="C70" s="3" t="s">
        <v>4884</v>
      </c>
      <c r="D70" s="3" t="s">
        <v>46</v>
      </c>
      <c r="E70" s="21" t="str">
        <f>HYPERLINK("https://gerandofalcoes.my.salesforce.com/0034X0000380O3w", "0034X0000380O3w")</f>
        <v>0034X0000380O3w</v>
      </c>
      <c r="F70" s="3" t="s">
        <v>13246</v>
      </c>
      <c r="G70" s="3" t="s">
        <v>13247</v>
      </c>
      <c r="H70" s="3" t="s">
        <v>2538</v>
      </c>
      <c r="I70" s="3" t="s">
        <v>12741</v>
      </c>
      <c r="J70" s="3">
        <v>33</v>
      </c>
      <c r="K70" s="3" t="s">
        <v>13248</v>
      </c>
      <c r="L70" s="3">
        <v>82999802495</v>
      </c>
      <c r="M70" s="6">
        <v>35782</v>
      </c>
      <c r="N70" s="3">
        <v>25</v>
      </c>
      <c r="O70" s="3">
        <v>38641674</v>
      </c>
      <c r="P70" s="3">
        <v>70592444414</v>
      </c>
      <c r="Q70" s="3"/>
      <c r="R70" s="3"/>
      <c r="S70" s="3" t="s">
        <v>3137</v>
      </c>
      <c r="T70" s="3" t="s">
        <v>12723</v>
      </c>
      <c r="U70" s="3"/>
      <c r="V70" s="3" t="s">
        <v>13249</v>
      </c>
      <c r="W70" s="3" t="s">
        <v>2541</v>
      </c>
      <c r="X70" s="3" t="s">
        <v>2980</v>
      </c>
      <c r="Y70" s="3"/>
      <c r="Z70" s="3" t="s">
        <v>2543</v>
      </c>
      <c r="AA70" s="3" t="s">
        <v>2544</v>
      </c>
      <c r="AB70" s="3" t="s">
        <v>2543</v>
      </c>
      <c r="AC70" s="3" t="s">
        <v>13250</v>
      </c>
      <c r="AD70" s="3">
        <v>37</v>
      </c>
      <c r="AE70" s="3"/>
      <c r="AF70" s="3"/>
      <c r="AG70" s="3" t="s">
        <v>4890</v>
      </c>
      <c r="AH70" s="3">
        <v>57680000</v>
      </c>
      <c r="AI70" s="3" t="s">
        <v>51</v>
      </c>
      <c r="AJ70" s="3" t="s">
        <v>2569</v>
      </c>
      <c r="AK70" s="3" t="s">
        <v>3249</v>
      </c>
      <c r="AL70" s="3" t="s">
        <v>2550</v>
      </c>
      <c r="AM70" s="3">
        <v>4</v>
      </c>
      <c r="AN70" s="3" t="s">
        <v>7216</v>
      </c>
      <c r="AO70" s="3" t="s">
        <v>120</v>
      </c>
      <c r="AP70" s="3"/>
      <c r="AQ70" s="7" t="s">
        <v>13251</v>
      </c>
      <c r="AR70" s="3"/>
      <c r="AS70" s="7" t="s">
        <v>13252</v>
      </c>
      <c r="AT70" s="3"/>
      <c r="AU70" s="3"/>
      <c r="AV70" s="3"/>
    </row>
    <row r="71" spans="1:48" ht="12.5" x14ac:dyDescent="0.25">
      <c r="A71" s="3" t="s">
        <v>12652</v>
      </c>
      <c r="B71" s="7" t="str">
        <f>HYPERLINK("https://gerandofalcoes.my.salesforce.com/0014X00002VKCpYQAX", "0014X00002VKCpYQAX")</f>
        <v>0014X00002VKCpYQAX</v>
      </c>
      <c r="C71" s="3" t="s">
        <v>4898</v>
      </c>
      <c r="D71" s="3" t="s">
        <v>46</v>
      </c>
      <c r="E71" s="21" t="str">
        <f>HYPERLINK("https://gerandofalcoes.my.salesforce.com/0034X0000380O2x", "0034X0000380O2x")</f>
        <v>0034X0000380O2x</v>
      </c>
      <c r="F71" s="3" t="s">
        <v>13253</v>
      </c>
      <c r="G71" s="3" t="s">
        <v>13254</v>
      </c>
      <c r="H71" s="3" t="s">
        <v>2538</v>
      </c>
      <c r="I71" s="3" t="s">
        <v>12741</v>
      </c>
      <c r="J71" s="3"/>
      <c r="K71" s="3" t="s">
        <v>4901</v>
      </c>
      <c r="L71" s="3">
        <v>71991925673</v>
      </c>
      <c r="M71" s="8">
        <v>27723</v>
      </c>
      <c r="N71" s="3">
        <v>47</v>
      </c>
      <c r="O71" s="3">
        <v>2133227814</v>
      </c>
      <c r="P71" s="3">
        <v>18677513809</v>
      </c>
      <c r="Q71" s="3"/>
      <c r="R71" s="3"/>
      <c r="S71" s="3" t="s">
        <v>2998</v>
      </c>
      <c r="T71" s="3" t="s">
        <v>12656</v>
      </c>
      <c r="U71" s="3"/>
      <c r="V71" s="3" t="s">
        <v>13255</v>
      </c>
      <c r="W71" s="3" t="s">
        <v>2541</v>
      </c>
      <c r="X71" s="3" t="s">
        <v>3365</v>
      </c>
      <c r="Y71" s="3"/>
      <c r="Z71" s="3" t="s">
        <v>2543</v>
      </c>
      <c r="AA71" s="3"/>
      <c r="AB71" s="3"/>
      <c r="AC71" s="3" t="s">
        <v>13256</v>
      </c>
      <c r="AD71" s="3">
        <v>149</v>
      </c>
      <c r="AE71" s="3">
        <v>7</v>
      </c>
      <c r="AF71" s="3"/>
      <c r="AG71" s="3" t="s">
        <v>4904</v>
      </c>
      <c r="AH71" s="3">
        <v>42739190</v>
      </c>
      <c r="AI71" s="3" t="s">
        <v>1002</v>
      </c>
      <c r="AJ71" s="3" t="s">
        <v>2569</v>
      </c>
      <c r="AK71" s="3" t="s">
        <v>3249</v>
      </c>
      <c r="AL71" s="3" t="s">
        <v>2550</v>
      </c>
      <c r="AM71" s="3">
        <v>1</v>
      </c>
      <c r="AN71" s="3" t="s">
        <v>7216</v>
      </c>
      <c r="AO71" s="3" t="s">
        <v>120</v>
      </c>
      <c r="AP71" s="3"/>
      <c r="AQ71" s="7" t="s">
        <v>13257</v>
      </c>
      <c r="AR71" s="3"/>
      <c r="AS71" s="3"/>
      <c r="AT71" s="3"/>
      <c r="AU71" s="3"/>
      <c r="AV71" s="3"/>
    </row>
    <row r="72" spans="1:48" ht="12.5" hidden="1" x14ac:dyDescent="0.25">
      <c r="A72" s="3" t="s">
        <v>12652</v>
      </c>
      <c r="B72" s="7" t="str">
        <f>HYPERLINK("https://gerandofalcoes.my.salesforce.com/0014X00002VKCq4QAH", "0014X00002VKCq4QAH")</f>
        <v>0014X00002VKCq4QAH</v>
      </c>
      <c r="C72" s="3" t="s">
        <v>4915</v>
      </c>
      <c r="D72" s="3" t="s">
        <v>46</v>
      </c>
      <c r="E72" s="21" t="str">
        <f>HYPERLINK("https://gerandofalcoes.my.salesforce.com/0034X0000380O1N", "0034X0000380O1N")</f>
        <v>0034X0000380O1N</v>
      </c>
      <c r="F72" s="3" t="s">
        <v>13258</v>
      </c>
      <c r="G72" s="3" t="s">
        <v>13259</v>
      </c>
      <c r="H72" s="3" t="s">
        <v>2538</v>
      </c>
      <c r="I72" s="3" t="s">
        <v>12741</v>
      </c>
      <c r="J72" s="3"/>
      <c r="K72" s="3" t="s">
        <v>13260</v>
      </c>
      <c r="L72" s="3" t="s">
        <v>13261</v>
      </c>
      <c r="M72" s="8">
        <v>32352</v>
      </c>
      <c r="N72" s="3">
        <v>34</v>
      </c>
      <c r="O72" s="3">
        <v>2001010330835</v>
      </c>
      <c r="P72" s="3">
        <v>3762337373</v>
      </c>
      <c r="Q72" s="3"/>
      <c r="R72" s="3" t="s">
        <v>12800</v>
      </c>
      <c r="S72" s="3" t="s">
        <v>3417</v>
      </c>
      <c r="T72" s="3" t="s">
        <v>12656</v>
      </c>
      <c r="U72" s="3"/>
      <c r="V72" s="3" t="s">
        <v>13262</v>
      </c>
      <c r="W72" s="3" t="s">
        <v>12664</v>
      </c>
      <c r="X72" s="3" t="s">
        <v>2980</v>
      </c>
      <c r="Y72" s="3" t="s">
        <v>12684</v>
      </c>
      <c r="Z72" s="3" t="s">
        <v>2543</v>
      </c>
      <c r="AA72" s="3"/>
      <c r="AB72" s="3"/>
      <c r="AC72" s="3" t="s">
        <v>13263</v>
      </c>
      <c r="AD72" s="3">
        <v>1140</v>
      </c>
      <c r="AE72" s="3" t="s">
        <v>673</v>
      </c>
      <c r="AF72" s="3" t="s">
        <v>470</v>
      </c>
      <c r="AG72" s="3" t="s">
        <v>13264</v>
      </c>
      <c r="AH72" s="3" t="s">
        <v>13265</v>
      </c>
      <c r="AI72" s="3" t="s">
        <v>468</v>
      </c>
      <c r="AJ72" s="3" t="s">
        <v>2569</v>
      </c>
      <c r="AK72" s="3" t="s">
        <v>12661</v>
      </c>
      <c r="AL72" s="3" t="s">
        <v>2550</v>
      </c>
      <c r="AM72" s="3">
        <v>3</v>
      </c>
      <c r="AN72" s="3" t="s">
        <v>7216</v>
      </c>
      <c r="AO72" s="3" t="s">
        <v>120</v>
      </c>
      <c r="AP72" s="3"/>
      <c r="AQ72" s="7" t="s">
        <v>13266</v>
      </c>
      <c r="AR72" s="3"/>
      <c r="AS72" s="7" t="s">
        <v>13267</v>
      </c>
      <c r="AT72" s="3"/>
      <c r="AU72" s="3"/>
      <c r="AV72" s="3"/>
    </row>
    <row r="73" spans="1:48" ht="12.5" hidden="1" x14ac:dyDescent="0.25">
      <c r="A73" s="3" t="s">
        <v>12652</v>
      </c>
      <c r="B73" s="7" t="str">
        <f>HYPERLINK("https://gerandofalcoes.my.salesforce.com/0014X00002VKCq5QAH", "0014X00002VKCq5QAH")</f>
        <v>0014X00002VKCq5QAH</v>
      </c>
      <c r="C73" s="3" t="s">
        <v>4936</v>
      </c>
      <c r="D73" s="3" t="s">
        <v>46</v>
      </c>
      <c r="E73" s="21" t="str">
        <f>HYPERLINK("https://gerandofalcoes.my.salesforce.com/0034X0000380O4O", "0034X0000380O4O")</f>
        <v>0034X0000380O4O</v>
      </c>
      <c r="F73" s="3" t="s">
        <v>13268</v>
      </c>
      <c r="G73" s="3" t="s">
        <v>13269</v>
      </c>
      <c r="H73" s="3" t="s">
        <v>2538</v>
      </c>
      <c r="I73" s="3" t="s">
        <v>12741</v>
      </c>
      <c r="J73" s="3">
        <v>33</v>
      </c>
      <c r="K73" s="3" t="s">
        <v>4940</v>
      </c>
      <c r="L73" s="3" t="s">
        <v>13270</v>
      </c>
      <c r="M73" s="8">
        <v>32611</v>
      </c>
      <c r="N73" s="3">
        <v>33</v>
      </c>
      <c r="O73" s="3">
        <v>2007010131947</v>
      </c>
      <c r="P73" s="3">
        <v>4138941347</v>
      </c>
      <c r="Q73" s="3"/>
      <c r="R73" s="3" t="s">
        <v>13153</v>
      </c>
      <c r="S73" s="3" t="s">
        <v>3137</v>
      </c>
      <c r="T73" s="3" t="s">
        <v>12723</v>
      </c>
      <c r="U73" s="3"/>
      <c r="V73" s="3" t="s">
        <v>11614</v>
      </c>
      <c r="W73" s="3" t="s">
        <v>13271</v>
      </c>
      <c r="X73" s="3" t="s">
        <v>2980</v>
      </c>
      <c r="Y73" s="3" t="s">
        <v>12684</v>
      </c>
      <c r="Z73" s="3" t="s">
        <v>2543</v>
      </c>
      <c r="AA73" s="3" t="s">
        <v>2544</v>
      </c>
      <c r="AB73" s="3"/>
      <c r="AC73" s="3" t="s">
        <v>13272</v>
      </c>
      <c r="AD73" s="3">
        <v>1321</v>
      </c>
      <c r="AE73" s="3"/>
      <c r="AF73" s="3" t="s">
        <v>13273</v>
      </c>
      <c r="AG73" s="3" t="s">
        <v>4943</v>
      </c>
      <c r="AH73" s="3" t="s">
        <v>4944</v>
      </c>
      <c r="AI73" s="3" t="s">
        <v>468</v>
      </c>
      <c r="AJ73" s="3" t="s">
        <v>2569</v>
      </c>
      <c r="AK73" s="3" t="s">
        <v>12674</v>
      </c>
      <c r="AL73" s="3" t="s">
        <v>2588</v>
      </c>
      <c r="AM73" s="3">
        <v>3</v>
      </c>
      <c r="AN73" s="3" t="s">
        <v>7216</v>
      </c>
      <c r="AO73" s="3" t="s">
        <v>120</v>
      </c>
      <c r="AP73" s="3"/>
      <c r="AQ73" s="7" t="s">
        <v>13274</v>
      </c>
      <c r="AR73" s="3"/>
      <c r="AS73" s="7" t="s">
        <v>13275</v>
      </c>
      <c r="AT73" s="3"/>
      <c r="AU73" s="3"/>
      <c r="AV73" s="3"/>
    </row>
    <row r="74" spans="1:48" ht="12.5" hidden="1" x14ac:dyDescent="0.25">
      <c r="A74" s="3" t="s">
        <v>12652</v>
      </c>
      <c r="B74" s="7" t="str">
        <f>HYPERLINK("https://gerandofalcoes.my.salesforce.com/0014X00002VKCq6QAH", "0014X00002VKCq6QAH")</f>
        <v>0014X00002VKCq6QAH</v>
      </c>
      <c r="C74" s="3" t="s">
        <v>4951</v>
      </c>
      <c r="D74" s="3" t="s">
        <v>46</v>
      </c>
      <c r="E74" s="21" t="str">
        <f>HYPERLINK("https://gerandofalcoes.my.salesforce.com/0034X0000380O1L", "0034X0000380O1L")</f>
        <v>0034X0000380O1L</v>
      </c>
      <c r="F74" s="3" t="s">
        <v>3504</v>
      </c>
      <c r="G74" s="3" t="s">
        <v>13276</v>
      </c>
      <c r="H74" s="3" t="s">
        <v>2538</v>
      </c>
      <c r="I74" s="3" t="s">
        <v>12741</v>
      </c>
      <c r="J74" s="3">
        <v>33</v>
      </c>
      <c r="K74" s="3" t="s">
        <v>13277</v>
      </c>
      <c r="L74" s="3" t="s">
        <v>4956</v>
      </c>
      <c r="M74" s="6">
        <v>34191</v>
      </c>
      <c r="N74" s="3">
        <v>29</v>
      </c>
      <c r="O74" s="3">
        <v>2001098020896</v>
      </c>
      <c r="P74" s="3">
        <v>5427089306</v>
      </c>
      <c r="Q74" s="3"/>
      <c r="R74" s="3" t="s">
        <v>13278</v>
      </c>
      <c r="S74" s="3" t="s">
        <v>3137</v>
      </c>
      <c r="T74" s="3" t="s">
        <v>12723</v>
      </c>
      <c r="U74" s="3"/>
      <c r="V74" s="3" t="s">
        <v>13279</v>
      </c>
      <c r="W74" s="3" t="s">
        <v>12664</v>
      </c>
      <c r="X74" s="3" t="s">
        <v>2980</v>
      </c>
      <c r="Y74" s="3" t="s">
        <v>12670</v>
      </c>
      <c r="Z74" s="3" t="s">
        <v>2543</v>
      </c>
      <c r="AA74" s="3" t="s">
        <v>2544</v>
      </c>
      <c r="AB74" s="3"/>
      <c r="AC74" s="3" t="s">
        <v>13280</v>
      </c>
      <c r="AD74" s="3">
        <v>132</v>
      </c>
      <c r="AE74" s="3"/>
      <c r="AF74" s="3" t="s">
        <v>4958</v>
      </c>
      <c r="AG74" s="3" t="s">
        <v>13281</v>
      </c>
      <c r="AH74" s="3" t="s">
        <v>4959</v>
      </c>
      <c r="AI74" s="3" t="s">
        <v>468</v>
      </c>
      <c r="AJ74" s="3" t="s">
        <v>2569</v>
      </c>
      <c r="AK74" s="3" t="s">
        <v>12729</v>
      </c>
      <c r="AL74" s="3" t="s">
        <v>2550</v>
      </c>
      <c r="AM74" s="3">
        <v>3</v>
      </c>
      <c r="AN74" s="3" t="s">
        <v>7216</v>
      </c>
      <c r="AO74" s="3" t="s">
        <v>120</v>
      </c>
      <c r="AP74" s="7" t="s">
        <v>13282</v>
      </c>
      <c r="AQ74" s="7" t="s">
        <v>13283</v>
      </c>
      <c r="AR74" s="3"/>
      <c r="AS74" s="7" t="s">
        <v>13284</v>
      </c>
      <c r="AT74" s="3"/>
      <c r="AU74" s="3"/>
      <c r="AV74" s="3"/>
    </row>
    <row r="75" spans="1:48" ht="12.5" x14ac:dyDescent="0.25">
      <c r="A75" s="3" t="s">
        <v>12652</v>
      </c>
      <c r="B75" s="7" t="str">
        <f>HYPERLINK("https://gerandofalcoes.my.salesforce.com/0014X00002VKCq8QAH", "0014X00002VKCq8QAH")</f>
        <v>0014X00002VKCq8QAH</v>
      </c>
      <c r="C75" s="3" t="s">
        <v>4970</v>
      </c>
      <c r="D75" s="3" t="s">
        <v>46</v>
      </c>
      <c r="E75" s="21" t="str">
        <f>HYPERLINK("https://gerandofalcoes.my.salesforce.com/0034X0000380O3K", "0034X0000380O3K")</f>
        <v>0034X0000380O3K</v>
      </c>
      <c r="F75" s="3" t="s">
        <v>13285</v>
      </c>
      <c r="G75" s="3" t="s">
        <v>13286</v>
      </c>
      <c r="H75" s="3" t="s">
        <v>2538</v>
      </c>
      <c r="I75" s="3" t="s">
        <v>12741</v>
      </c>
      <c r="J75" s="3">
        <v>33</v>
      </c>
      <c r="K75" s="3" t="s">
        <v>13287</v>
      </c>
      <c r="L75" s="3" t="s">
        <v>13288</v>
      </c>
      <c r="M75" s="6">
        <v>30172</v>
      </c>
      <c r="N75" s="3">
        <v>40</v>
      </c>
      <c r="O75" s="3">
        <v>98010182188</v>
      </c>
      <c r="P75" s="3">
        <v>64846083349</v>
      </c>
      <c r="Q75" s="3"/>
      <c r="R75" s="3"/>
      <c r="S75" s="3" t="s">
        <v>3137</v>
      </c>
      <c r="T75" s="3" t="s">
        <v>12656</v>
      </c>
      <c r="U75" s="3"/>
      <c r="V75" s="3" t="s">
        <v>13289</v>
      </c>
      <c r="W75" s="3" t="s">
        <v>2541</v>
      </c>
      <c r="X75" s="3" t="s">
        <v>2980</v>
      </c>
      <c r="Y75" s="3"/>
      <c r="Z75" s="3" t="s">
        <v>2543</v>
      </c>
      <c r="AA75" s="3"/>
      <c r="AB75" s="3"/>
      <c r="AC75" s="3" t="s">
        <v>13290</v>
      </c>
      <c r="AD75" s="3">
        <v>454</v>
      </c>
      <c r="AE75" s="3"/>
      <c r="AF75" s="3"/>
      <c r="AG75" s="3" t="s">
        <v>13291</v>
      </c>
      <c r="AH75" s="3" t="s">
        <v>13292</v>
      </c>
      <c r="AI75" s="3" t="s">
        <v>468</v>
      </c>
      <c r="AJ75" s="3" t="s">
        <v>2569</v>
      </c>
      <c r="AK75" s="3" t="s">
        <v>12729</v>
      </c>
      <c r="AL75" s="3" t="s">
        <v>2550</v>
      </c>
      <c r="AM75" s="3">
        <v>5</v>
      </c>
      <c r="AN75" s="3" t="s">
        <v>7216</v>
      </c>
      <c r="AO75" s="3" t="s">
        <v>120</v>
      </c>
      <c r="AP75" s="3"/>
      <c r="AQ75" s="7" t="s">
        <v>13293</v>
      </c>
      <c r="AR75" s="3"/>
      <c r="AS75" s="7" t="s">
        <v>13294</v>
      </c>
      <c r="AT75" s="3"/>
      <c r="AU75" s="3"/>
      <c r="AV75" s="3"/>
    </row>
    <row r="76" spans="1:48" ht="12.5" x14ac:dyDescent="0.25">
      <c r="A76" s="3" t="s">
        <v>12652</v>
      </c>
      <c r="B76" s="7" t="str">
        <f>HYPERLINK("https://gerandofalcoes.my.salesforce.com/0014X00002VKCqAQAX", "0014X00002VKCqAQAX")</f>
        <v>0014X00002VKCqAQAX</v>
      </c>
      <c r="C76" s="3" t="s">
        <v>4990</v>
      </c>
      <c r="D76" s="3" t="s">
        <v>46</v>
      </c>
      <c r="E76" s="21" t="str">
        <f>HYPERLINK("https://gerandofalcoes.my.salesforce.com/0034X0000380O4H", "0034X0000380O4H")</f>
        <v>0034X0000380O4H</v>
      </c>
      <c r="F76" s="3" t="s">
        <v>13295</v>
      </c>
      <c r="G76" s="3" t="s">
        <v>13296</v>
      </c>
      <c r="H76" s="3" t="s">
        <v>2538</v>
      </c>
      <c r="I76" s="3" t="s">
        <v>12741</v>
      </c>
      <c r="J76" s="3">
        <v>33</v>
      </c>
      <c r="K76" s="3" t="s">
        <v>13297</v>
      </c>
      <c r="L76" s="3">
        <v>98983502377</v>
      </c>
      <c r="M76" s="6">
        <v>33743</v>
      </c>
      <c r="N76" s="3">
        <v>30</v>
      </c>
      <c r="O76" s="3">
        <v>200963920025</v>
      </c>
      <c r="P76" s="3">
        <v>5401837330</v>
      </c>
      <c r="Q76" s="3"/>
      <c r="R76" s="3"/>
      <c r="S76" s="3" t="s">
        <v>2998</v>
      </c>
      <c r="T76" s="3" t="s">
        <v>12682</v>
      </c>
      <c r="U76" s="3"/>
      <c r="V76" s="3" t="s">
        <v>13298</v>
      </c>
      <c r="W76" s="3" t="s">
        <v>2541</v>
      </c>
      <c r="X76" s="3" t="s">
        <v>2980</v>
      </c>
      <c r="Y76" s="3"/>
      <c r="Z76" s="3" t="s">
        <v>2543</v>
      </c>
      <c r="AA76" s="3" t="s">
        <v>2544</v>
      </c>
      <c r="AB76" s="3" t="s">
        <v>2545</v>
      </c>
      <c r="AC76" s="3" t="s">
        <v>13299</v>
      </c>
      <c r="AD76" s="3">
        <v>47</v>
      </c>
      <c r="AE76" s="3"/>
      <c r="AF76" s="3"/>
      <c r="AG76" s="3" t="s">
        <v>4996</v>
      </c>
      <c r="AH76" s="3">
        <v>65040560</v>
      </c>
      <c r="AI76" s="3" t="s">
        <v>246</v>
      </c>
      <c r="AJ76" s="3" t="s">
        <v>2741</v>
      </c>
      <c r="AK76" s="3" t="s">
        <v>12661</v>
      </c>
      <c r="AL76" s="3" t="s">
        <v>2550</v>
      </c>
      <c r="AM76" s="3">
        <v>8</v>
      </c>
      <c r="AN76" s="3" t="s">
        <v>7216</v>
      </c>
      <c r="AO76" s="3" t="s">
        <v>120</v>
      </c>
      <c r="AP76" s="3"/>
      <c r="AQ76" s="7" t="s">
        <v>13300</v>
      </c>
      <c r="AR76" s="3"/>
      <c r="AS76" s="7" t="s">
        <v>13301</v>
      </c>
      <c r="AT76" s="3"/>
      <c r="AU76" s="3"/>
      <c r="AV76" s="3"/>
    </row>
    <row r="77" spans="1:48" ht="12.5" hidden="1" x14ac:dyDescent="0.25">
      <c r="A77" s="3" t="s">
        <v>12652</v>
      </c>
      <c r="B77" s="7" t="str">
        <f>HYPERLINK("https://gerandofalcoes.my.salesforce.com/0014X00002VKCqBQAX", "0014X00002VKCqBQAX")</f>
        <v>0014X00002VKCqBQAX</v>
      </c>
      <c r="C77" s="3" t="s">
        <v>5010</v>
      </c>
      <c r="D77" s="3" t="s">
        <v>46</v>
      </c>
      <c r="E77" s="21" t="str">
        <f>HYPERLINK("https://gerandofalcoes.my.salesforce.com/0034X0000380O3c", "0034X0000380O3c")</f>
        <v>0034X0000380O3c</v>
      </c>
      <c r="F77" s="3" t="s">
        <v>13302</v>
      </c>
      <c r="G77" s="3" t="s">
        <v>13303</v>
      </c>
      <c r="H77" s="3" t="s">
        <v>2538</v>
      </c>
      <c r="I77" s="3" t="s">
        <v>12741</v>
      </c>
      <c r="J77" s="3">
        <v>33</v>
      </c>
      <c r="K77" s="3" t="s">
        <v>13304</v>
      </c>
      <c r="L77" s="3" t="s">
        <v>5015</v>
      </c>
      <c r="M77" s="6">
        <v>34876</v>
      </c>
      <c r="N77" s="3">
        <v>27</v>
      </c>
      <c r="O77" s="3">
        <v>20078229230</v>
      </c>
      <c r="P77" s="3">
        <v>60748611371</v>
      </c>
      <c r="Q77" s="3"/>
      <c r="R77" s="3" t="s">
        <v>13163</v>
      </c>
      <c r="S77" s="3" t="s">
        <v>3269</v>
      </c>
      <c r="T77" s="3" t="s">
        <v>12723</v>
      </c>
      <c r="U77" s="3"/>
      <c r="V77" s="3" t="s">
        <v>13305</v>
      </c>
      <c r="W77" s="3" t="s">
        <v>12664</v>
      </c>
      <c r="X77" s="3" t="s">
        <v>3508</v>
      </c>
      <c r="Y77" s="3" t="s">
        <v>12670</v>
      </c>
      <c r="Z77" s="3" t="s">
        <v>2545</v>
      </c>
      <c r="AA77" s="3" t="s">
        <v>2544</v>
      </c>
      <c r="AB77" s="3" t="s">
        <v>2545</v>
      </c>
      <c r="AC77" s="3" t="s">
        <v>13306</v>
      </c>
      <c r="AD77" s="3">
        <v>505</v>
      </c>
      <c r="AE77" s="3"/>
      <c r="AF77" s="3" t="s">
        <v>470</v>
      </c>
      <c r="AG77" s="3" t="s">
        <v>5017</v>
      </c>
      <c r="AH77" s="3" t="s">
        <v>13307</v>
      </c>
      <c r="AI77" s="3" t="s">
        <v>468</v>
      </c>
      <c r="AJ77" s="3" t="s">
        <v>2569</v>
      </c>
      <c r="AK77" s="3" t="s">
        <v>3249</v>
      </c>
      <c r="AL77" s="3" t="s">
        <v>2550</v>
      </c>
      <c r="AM77" s="3">
        <v>2</v>
      </c>
      <c r="AN77" s="3" t="s">
        <v>7216</v>
      </c>
      <c r="AO77" s="3" t="s">
        <v>120</v>
      </c>
      <c r="AP77" s="3"/>
      <c r="AQ77" s="7" t="s">
        <v>13308</v>
      </c>
      <c r="AR77" s="3"/>
      <c r="AS77" s="7" t="s">
        <v>13309</v>
      </c>
      <c r="AT77" s="3"/>
      <c r="AU77" s="3"/>
      <c r="AV77" s="3"/>
    </row>
    <row r="78" spans="1:48" ht="12.5" x14ac:dyDescent="0.25">
      <c r="A78" s="3" t="s">
        <v>12652</v>
      </c>
      <c r="B78" s="7" t="str">
        <f>HYPERLINK("https://gerandofalcoes.my.salesforce.com/0014X00002VKCqCQAX", "0014X00002VKCqCQAX")</f>
        <v>0014X00002VKCqCQAX</v>
      </c>
      <c r="C78" s="3" t="s">
        <v>5026</v>
      </c>
      <c r="D78" s="3" t="s">
        <v>46</v>
      </c>
      <c r="E78" s="21" t="str">
        <f>HYPERLINK("https://gerandofalcoes.my.salesforce.com/0034X0000380O3P", "0034X0000380O3P")</f>
        <v>0034X0000380O3P</v>
      </c>
      <c r="F78" s="3" t="s">
        <v>13310</v>
      </c>
      <c r="G78" s="3" t="s">
        <v>13311</v>
      </c>
      <c r="H78" s="3" t="s">
        <v>2538</v>
      </c>
      <c r="I78" s="3" t="s">
        <v>12741</v>
      </c>
      <c r="J78" s="3">
        <v>33</v>
      </c>
      <c r="K78" s="3" t="s">
        <v>5030</v>
      </c>
      <c r="L78" s="3">
        <v>98987814943</v>
      </c>
      <c r="M78" s="6">
        <v>31701</v>
      </c>
      <c r="N78" s="3">
        <v>36</v>
      </c>
      <c r="O78" s="3" t="s">
        <v>13312</v>
      </c>
      <c r="P78" s="3">
        <v>1161454390</v>
      </c>
      <c r="Q78" s="3"/>
      <c r="R78" s="3"/>
      <c r="S78" s="3" t="s">
        <v>3417</v>
      </c>
      <c r="T78" s="3" t="s">
        <v>12656</v>
      </c>
      <c r="U78" s="3"/>
      <c r="V78" s="3" t="s">
        <v>13313</v>
      </c>
      <c r="W78" s="3" t="s">
        <v>2541</v>
      </c>
      <c r="X78" s="3" t="s">
        <v>2980</v>
      </c>
      <c r="Y78" s="3"/>
      <c r="Z78" s="3" t="s">
        <v>2543</v>
      </c>
      <c r="AA78" s="3" t="s">
        <v>2577</v>
      </c>
      <c r="AB78" s="3" t="s">
        <v>2545</v>
      </c>
      <c r="AC78" s="3" t="s">
        <v>13314</v>
      </c>
      <c r="AD78" s="3">
        <v>7</v>
      </c>
      <c r="AE78" s="3"/>
      <c r="AF78" s="3"/>
      <c r="AG78" s="3" t="s">
        <v>13315</v>
      </c>
      <c r="AH78" s="3" t="s">
        <v>3322</v>
      </c>
      <c r="AI78" s="3" t="s">
        <v>246</v>
      </c>
      <c r="AJ78" s="3" t="s">
        <v>2569</v>
      </c>
      <c r="AK78" s="3" t="s">
        <v>12828</v>
      </c>
      <c r="AL78" s="3" t="s">
        <v>2550</v>
      </c>
      <c r="AM78" s="3">
        <v>3</v>
      </c>
      <c r="AN78" s="3" t="s">
        <v>7216</v>
      </c>
      <c r="AO78" s="3" t="s">
        <v>120</v>
      </c>
      <c r="AP78" s="3"/>
      <c r="AQ78" s="7" t="s">
        <v>13316</v>
      </c>
      <c r="AR78" s="3"/>
      <c r="AS78" s="7" t="s">
        <v>13317</v>
      </c>
      <c r="AT78" s="3"/>
      <c r="AU78" s="3"/>
      <c r="AV78" s="3"/>
    </row>
    <row r="79" spans="1:48" ht="12.5" hidden="1" x14ac:dyDescent="0.25">
      <c r="A79" s="3" t="s">
        <v>12652</v>
      </c>
      <c r="B79" s="7" t="str">
        <f>HYPERLINK("https://gerandofalcoes.my.salesforce.com/0014X00002VKCqDQAX", "0014X00002VKCqDQAX")</f>
        <v>0014X00002VKCqDQAX</v>
      </c>
      <c r="C79" s="3" t="s">
        <v>5046</v>
      </c>
      <c r="D79" s="3" t="s">
        <v>46</v>
      </c>
      <c r="E79" s="21" t="str">
        <f>HYPERLINK("https://gerandofalcoes.my.salesforce.com/0034X0000380O29", "0034X0000380O29")</f>
        <v>0034X0000380O29</v>
      </c>
      <c r="F79" s="3" t="s">
        <v>13318</v>
      </c>
      <c r="G79" s="3" t="s">
        <v>13319</v>
      </c>
      <c r="H79" s="3" t="s">
        <v>2538</v>
      </c>
      <c r="I79" s="3" t="s">
        <v>12741</v>
      </c>
      <c r="J79" s="3">
        <v>33</v>
      </c>
      <c r="K79" s="3" t="s">
        <v>13320</v>
      </c>
      <c r="L79" s="3" t="s">
        <v>13321</v>
      </c>
      <c r="M79" s="8">
        <v>35750</v>
      </c>
      <c r="N79" s="3">
        <v>25</v>
      </c>
      <c r="O79" s="3">
        <v>20078528385</v>
      </c>
      <c r="P79" s="3">
        <v>5871650309</v>
      </c>
      <c r="Q79" s="3"/>
      <c r="R79" s="3" t="s">
        <v>13322</v>
      </c>
      <c r="S79" s="3" t="s">
        <v>3269</v>
      </c>
      <c r="T79" s="3" t="s">
        <v>12723</v>
      </c>
      <c r="U79" s="3"/>
      <c r="V79" s="3" t="s">
        <v>13323</v>
      </c>
      <c r="W79" s="3" t="s">
        <v>12664</v>
      </c>
      <c r="X79" s="3" t="s">
        <v>3508</v>
      </c>
      <c r="Y79" s="3" t="s">
        <v>12658</v>
      </c>
      <c r="Z79" s="3" t="s">
        <v>2543</v>
      </c>
      <c r="AA79" s="3" t="s">
        <v>2544</v>
      </c>
      <c r="AB79" s="3" t="s">
        <v>2545</v>
      </c>
      <c r="AC79" s="3" t="s">
        <v>5052</v>
      </c>
      <c r="AD79" s="3">
        <v>4838</v>
      </c>
      <c r="AE79" s="3" t="s">
        <v>1539</v>
      </c>
      <c r="AF79" s="3" t="s">
        <v>470</v>
      </c>
      <c r="AG79" s="3" t="s">
        <v>13324</v>
      </c>
      <c r="AH79" s="3" t="s">
        <v>13325</v>
      </c>
      <c r="AI79" s="3" t="s">
        <v>468</v>
      </c>
      <c r="AJ79" s="3" t="s">
        <v>2569</v>
      </c>
      <c r="AK79" s="3" t="s">
        <v>13326</v>
      </c>
      <c r="AL79" s="3" t="s">
        <v>2588</v>
      </c>
      <c r="AM79" s="3">
        <v>4</v>
      </c>
      <c r="AN79" s="3" t="s">
        <v>7216</v>
      </c>
      <c r="AO79" s="3" t="s">
        <v>13327</v>
      </c>
      <c r="AP79" s="3"/>
      <c r="AQ79" s="7" t="s">
        <v>13328</v>
      </c>
      <c r="AR79" s="3"/>
      <c r="AS79" s="7" t="s">
        <v>13329</v>
      </c>
      <c r="AT79" s="3"/>
      <c r="AU79" s="3"/>
      <c r="AV79" s="3"/>
    </row>
    <row r="80" spans="1:48" ht="12.5" x14ac:dyDescent="0.25">
      <c r="A80" s="3" t="s">
        <v>12652</v>
      </c>
      <c r="B80" s="7" t="str">
        <f>HYPERLINK("https://gerandofalcoes.my.salesforce.com/0014X00002VKCqEQAX", "0014X00002VKCqEQAX")</f>
        <v>0014X00002VKCqEQAX</v>
      </c>
      <c r="C80" s="3" t="s">
        <v>5060</v>
      </c>
      <c r="D80" s="3" t="s">
        <v>46</v>
      </c>
      <c r="E80" s="21" t="str">
        <f>HYPERLINK("https://gerandofalcoes.my.salesforce.com/0034X0000380O5U", "0034X0000380O5U")</f>
        <v>0034X0000380O5U</v>
      </c>
      <c r="F80" s="3" t="s">
        <v>13330</v>
      </c>
      <c r="G80" s="3" t="s">
        <v>13331</v>
      </c>
      <c r="H80" s="3" t="s">
        <v>2538</v>
      </c>
      <c r="I80" s="3" t="s">
        <v>12741</v>
      </c>
      <c r="J80" s="3">
        <v>33</v>
      </c>
      <c r="K80" s="3" t="s">
        <v>13332</v>
      </c>
      <c r="L80" s="3">
        <v>98992343803</v>
      </c>
      <c r="M80" s="8">
        <v>31814</v>
      </c>
      <c r="N80" s="3">
        <v>35</v>
      </c>
      <c r="O80" s="3">
        <v>181320820011</v>
      </c>
      <c r="P80" s="3">
        <v>900487330</v>
      </c>
      <c r="Q80" s="3"/>
      <c r="R80" s="3"/>
      <c r="S80" s="3" t="s">
        <v>3137</v>
      </c>
      <c r="T80" s="3" t="s">
        <v>12656</v>
      </c>
      <c r="U80" s="3"/>
      <c r="V80" s="3" t="s">
        <v>13333</v>
      </c>
      <c r="W80" s="3" t="s">
        <v>2541</v>
      </c>
      <c r="X80" s="3" t="s">
        <v>2980</v>
      </c>
      <c r="Y80" s="3"/>
      <c r="Z80" s="3" t="s">
        <v>2545</v>
      </c>
      <c r="AA80" s="3" t="s">
        <v>2544</v>
      </c>
      <c r="AB80" s="3" t="s">
        <v>2545</v>
      </c>
      <c r="AC80" s="3" t="s">
        <v>13334</v>
      </c>
      <c r="AD80" s="3">
        <v>60</v>
      </c>
      <c r="AE80" s="3"/>
      <c r="AF80" s="3"/>
      <c r="AG80" s="3" t="s">
        <v>13335</v>
      </c>
      <c r="AH80" s="3" t="s">
        <v>13336</v>
      </c>
      <c r="AI80" s="3" t="s">
        <v>246</v>
      </c>
      <c r="AJ80" s="3" t="s">
        <v>2569</v>
      </c>
      <c r="AK80" s="3" t="s">
        <v>12729</v>
      </c>
      <c r="AL80" s="3" t="s">
        <v>2550</v>
      </c>
      <c r="AM80" s="3">
        <v>3</v>
      </c>
      <c r="AN80" s="3" t="s">
        <v>7216</v>
      </c>
      <c r="AO80" s="3" t="s">
        <v>120</v>
      </c>
      <c r="AP80" s="7" t="s">
        <v>13337</v>
      </c>
      <c r="AQ80" s="7" t="s">
        <v>13338</v>
      </c>
      <c r="AR80" s="3"/>
      <c r="AS80" s="7" t="s">
        <v>13339</v>
      </c>
      <c r="AT80" s="3"/>
      <c r="AU80" s="3"/>
      <c r="AV80" s="3"/>
    </row>
    <row r="81" spans="1:48" ht="12.5" x14ac:dyDescent="0.25">
      <c r="A81" s="3" t="s">
        <v>12652</v>
      </c>
      <c r="B81" s="7" t="str">
        <f>HYPERLINK("https://gerandofalcoes.my.salesforce.com/0014X00002VKCqFQAX", "0014X00002VKCqFQAX")</f>
        <v>0014X00002VKCqFQAX</v>
      </c>
      <c r="C81" s="3" t="s">
        <v>5079</v>
      </c>
      <c r="D81" s="3" t="s">
        <v>46</v>
      </c>
      <c r="E81" s="21" t="str">
        <f>HYPERLINK("https://gerandofalcoes.my.salesforce.com/0034X0000380O6q", "0034X0000380O6q")</f>
        <v>0034X0000380O6q</v>
      </c>
      <c r="F81" s="3" t="s">
        <v>5081</v>
      </c>
      <c r="G81" s="3" t="s">
        <v>13340</v>
      </c>
      <c r="H81" s="3" t="s">
        <v>2538</v>
      </c>
      <c r="I81" s="3" t="s">
        <v>12741</v>
      </c>
      <c r="J81" s="3">
        <v>33</v>
      </c>
      <c r="K81" s="3" t="s">
        <v>4235</v>
      </c>
      <c r="L81" s="3">
        <v>85987755459</v>
      </c>
      <c r="M81" s="6">
        <v>31800</v>
      </c>
      <c r="N81" s="3">
        <v>35</v>
      </c>
      <c r="O81" s="3">
        <v>2003002101632</v>
      </c>
      <c r="P81" s="3">
        <v>1782113380</v>
      </c>
      <c r="Q81" s="3"/>
      <c r="R81" s="3"/>
      <c r="S81" s="3" t="s">
        <v>2998</v>
      </c>
      <c r="T81" s="3" t="s">
        <v>12723</v>
      </c>
      <c r="U81" s="3"/>
      <c r="V81" s="3" t="s">
        <v>13341</v>
      </c>
      <c r="W81" s="3" t="s">
        <v>2541</v>
      </c>
      <c r="X81" s="3" t="s">
        <v>2980</v>
      </c>
      <c r="Y81" s="3"/>
      <c r="Z81" s="3" t="s">
        <v>2543</v>
      </c>
      <c r="AA81" s="3"/>
      <c r="AB81" s="3"/>
      <c r="AC81" s="3" t="s">
        <v>13342</v>
      </c>
      <c r="AD81" s="3">
        <v>401</v>
      </c>
      <c r="AE81" s="3"/>
      <c r="AF81" s="3"/>
      <c r="AG81" s="3" t="s">
        <v>13343</v>
      </c>
      <c r="AH81" s="3">
        <v>61949040</v>
      </c>
      <c r="AI81" s="3" t="s">
        <v>468</v>
      </c>
      <c r="AJ81" s="3" t="s">
        <v>2569</v>
      </c>
      <c r="AK81" s="3" t="s">
        <v>12729</v>
      </c>
      <c r="AL81" s="3" t="s">
        <v>2550</v>
      </c>
      <c r="AM81" s="3">
        <v>10</v>
      </c>
      <c r="AN81" s="3" t="s">
        <v>7216</v>
      </c>
      <c r="AO81" s="3" t="s">
        <v>120</v>
      </c>
      <c r="AP81" s="3"/>
      <c r="AQ81" s="3"/>
      <c r="AR81" s="3"/>
      <c r="AS81" s="7" t="s">
        <v>13344</v>
      </c>
      <c r="AT81" s="3"/>
      <c r="AU81" s="3"/>
      <c r="AV81" s="3"/>
    </row>
    <row r="82" spans="1:48" ht="12.5" hidden="1" x14ac:dyDescent="0.25">
      <c r="A82" s="3" t="s">
        <v>12652</v>
      </c>
      <c r="B82" s="7" t="str">
        <f>HYPERLINK("https://gerandofalcoes.my.salesforce.com/0014X00002VKCqGQAX", "0014X00002VKCqGQAX")</f>
        <v>0014X00002VKCqGQAX</v>
      </c>
      <c r="C82" s="3" t="s">
        <v>5087</v>
      </c>
      <c r="D82" s="3" t="s">
        <v>46</v>
      </c>
      <c r="E82" s="21" t="str">
        <f>HYPERLINK("https://gerandofalcoes.my.salesforce.com/0034X0000380O3x", "0034X0000380O3x")</f>
        <v>0034X0000380O3x</v>
      </c>
      <c r="F82" s="3" t="s">
        <v>13345</v>
      </c>
      <c r="G82" s="3" t="s">
        <v>13346</v>
      </c>
      <c r="H82" s="3" t="s">
        <v>2538</v>
      </c>
      <c r="I82" s="3" t="s">
        <v>12741</v>
      </c>
      <c r="J82" s="3">
        <v>33</v>
      </c>
      <c r="K82" s="3" t="s">
        <v>13347</v>
      </c>
      <c r="L82" s="3" t="s">
        <v>5092</v>
      </c>
      <c r="M82" s="6">
        <v>29305</v>
      </c>
      <c r="N82" s="3">
        <v>42</v>
      </c>
      <c r="O82" s="3">
        <v>960025002547</v>
      </c>
      <c r="P82" s="3">
        <v>63015412353</v>
      </c>
      <c r="Q82" s="3"/>
      <c r="R82" s="3"/>
      <c r="S82" s="3" t="s">
        <v>12744</v>
      </c>
      <c r="T82" s="3" t="s">
        <v>12656</v>
      </c>
      <c r="U82" s="3"/>
      <c r="V82" s="3" t="s">
        <v>13348</v>
      </c>
      <c r="W82" s="3" t="s">
        <v>12664</v>
      </c>
      <c r="X82" s="3" t="s">
        <v>2980</v>
      </c>
      <c r="Y82" s="3" t="s">
        <v>12670</v>
      </c>
      <c r="Z82" s="3" t="s">
        <v>2545</v>
      </c>
      <c r="AA82" s="3" t="s">
        <v>2544</v>
      </c>
      <c r="AB82" s="3" t="s">
        <v>2543</v>
      </c>
      <c r="AC82" s="3" t="s">
        <v>13349</v>
      </c>
      <c r="AD82" s="3">
        <v>800</v>
      </c>
      <c r="AE82" s="3"/>
      <c r="AF82" s="3" t="s">
        <v>4285</v>
      </c>
      <c r="AG82" s="3" t="s">
        <v>13350</v>
      </c>
      <c r="AH82" s="3" t="s">
        <v>13351</v>
      </c>
      <c r="AI82" s="3" t="s">
        <v>468</v>
      </c>
      <c r="AJ82" s="3" t="s">
        <v>2569</v>
      </c>
      <c r="AK82" s="3" t="s">
        <v>12661</v>
      </c>
      <c r="AL82" s="3" t="s">
        <v>2579</v>
      </c>
      <c r="AM82" s="3">
        <v>4</v>
      </c>
      <c r="AN82" s="3" t="s">
        <v>7216</v>
      </c>
      <c r="AO82" s="3" t="s">
        <v>120</v>
      </c>
      <c r="AP82" s="3"/>
      <c r="AQ82" s="7" t="s">
        <v>13352</v>
      </c>
      <c r="AR82" s="3"/>
      <c r="AS82" s="7" t="s">
        <v>13353</v>
      </c>
      <c r="AT82" s="3"/>
      <c r="AU82" s="3"/>
      <c r="AV82" s="3"/>
    </row>
    <row r="83" spans="1:48" ht="12.5" x14ac:dyDescent="0.25">
      <c r="A83" s="3" t="s">
        <v>12652</v>
      </c>
      <c r="B83" s="7" t="str">
        <f>HYPERLINK("https://gerandofalcoes.my.salesforce.com/0014X00002VKCqZQAX", "0014X00002VKCqZQAX")</f>
        <v>0014X00002VKCqZQAX</v>
      </c>
      <c r="C83" s="3" t="s">
        <v>5099</v>
      </c>
      <c r="D83" s="3" t="s">
        <v>46</v>
      </c>
      <c r="E83" s="21" t="str">
        <f>HYPERLINK("https://gerandofalcoes.my.salesforce.com/0034X0000380O1Q", "0034X0000380O1Q")</f>
        <v>0034X0000380O1Q</v>
      </c>
      <c r="F83" s="3" t="s">
        <v>13354</v>
      </c>
      <c r="G83" s="3" t="s">
        <v>13355</v>
      </c>
      <c r="H83" s="3" t="s">
        <v>2538</v>
      </c>
      <c r="I83" s="3" t="s">
        <v>12741</v>
      </c>
      <c r="J83" s="3"/>
      <c r="K83" s="3" t="s">
        <v>13356</v>
      </c>
      <c r="L83" s="3">
        <v>31984721542</v>
      </c>
      <c r="M83" s="6">
        <v>30864</v>
      </c>
      <c r="N83" s="3">
        <v>38</v>
      </c>
      <c r="O83" s="3" t="s">
        <v>13357</v>
      </c>
      <c r="P83" s="3">
        <v>6601710660</v>
      </c>
      <c r="Q83" s="3"/>
      <c r="R83" s="3"/>
      <c r="S83" s="3" t="s">
        <v>2998</v>
      </c>
      <c r="T83" s="3" t="s">
        <v>12723</v>
      </c>
      <c r="U83" s="3"/>
      <c r="V83" s="3" t="s">
        <v>13358</v>
      </c>
      <c r="W83" s="3" t="s">
        <v>2541</v>
      </c>
      <c r="X83" s="3" t="s">
        <v>2980</v>
      </c>
      <c r="Y83" s="3"/>
      <c r="Z83" s="3" t="s">
        <v>2543</v>
      </c>
      <c r="AA83" s="3" t="s">
        <v>2577</v>
      </c>
      <c r="AB83" s="3" t="s">
        <v>2545</v>
      </c>
      <c r="AC83" s="3" t="s">
        <v>13359</v>
      </c>
      <c r="AD83" s="3">
        <v>165</v>
      </c>
      <c r="AE83" s="3"/>
      <c r="AF83" s="3"/>
      <c r="AG83" s="3" t="s">
        <v>13360</v>
      </c>
      <c r="AH83" s="3" t="s">
        <v>13361</v>
      </c>
      <c r="AI83" s="3" t="s">
        <v>84</v>
      </c>
      <c r="AJ83" s="3" t="s">
        <v>2569</v>
      </c>
      <c r="AK83" s="3" t="s">
        <v>12661</v>
      </c>
      <c r="AL83" s="3" t="s">
        <v>2550</v>
      </c>
      <c r="AM83" s="3">
        <v>3</v>
      </c>
      <c r="AN83" s="3" t="s">
        <v>7216</v>
      </c>
      <c r="AO83" s="3" t="s">
        <v>62</v>
      </c>
      <c r="AP83" s="7" t="s">
        <v>13362</v>
      </c>
      <c r="AQ83" s="3"/>
      <c r="AR83" s="3"/>
      <c r="AS83" s="7" t="s">
        <v>13363</v>
      </c>
      <c r="AT83" s="3"/>
      <c r="AU83" s="3"/>
      <c r="AV83" s="3"/>
    </row>
    <row r="84" spans="1:48" ht="12.5" x14ac:dyDescent="0.25">
      <c r="A84" s="3" t="s">
        <v>12652</v>
      </c>
      <c r="B84" s="7" t="str">
        <f>HYPERLINK("https://gerandofalcoes.my.salesforce.com/0014X00002VKCrGQAX", "0014X00002VKCrGQAX")</f>
        <v>0014X00002VKCrGQAX</v>
      </c>
      <c r="C84" s="3" t="s">
        <v>5117</v>
      </c>
      <c r="D84" s="3" t="s">
        <v>46</v>
      </c>
      <c r="E84" s="21" t="str">
        <f>HYPERLINK("https://gerandofalcoes.my.salesforce.com/0034X0000380O1J", "0034X0000380O1J")</f>
        <v>0034X0000380O1J</v>
      </c>
      <c r="F84" s="3" t="s">
        <v>13364</v>
      </c>
      <c r="G84" s="3" t="s">
        <v>13365</v>
      </c>
      <c r="H84" s="3" t="s">
        <v>2538</v>
      </c>
      <c r="I84" s="3" t="s">
        <v>12741</v>
      </c>
      <c r="J84" s="3">
        <v>33</v>
      </c>
      <c r="K84" s="3" t="s">
        <v>13366</v>
      </c>
      <c r="L84" s="3">
        <v>31995939465</v>
      </c>
      <c r="M84" s="6">
        <v>27536</v>
      </c>
      <c r="N84" s="3">
        <v>47</v>
      </c>
      <c r="O84" s="3" t="s">
        <v>13367</v>
      </c>
      <c r="P84" s="3">
        <v>3921211662</v>
      </c>
      <c r="Q84" s="3"/>
      <c r="R84" s="3"/>
      <c r="S84" s="3" t="s">
        <v>3269</v>
      </c>
      <c r="T84" s="3" t="s">
        <v>12723</v>
      </c>
      <c r="U84" s="3"/>
      <c r="V84" s="3" t="s">
        <v>13368</v>
      </c>
      <c r="W84" s="3" t="s">
        <v>2541</v>
      </c>
      <c r="X84" s="3" t="s">
        <v>2980</v>
      </c>
      <c r="Y84" s="3"/>
      <c r="Z84" s="3" t="s">
        <v>2543</v>
      </c>
      <c r="AA84" s="3" t="s">
        <v>2577</v>
      </c>
      <c r="AB84" s="3" t="s">
        <v>2545</v>
      </c>
      <c r="AC84" s="3" t="s">
        <v>13369</v>
      </c>
      <c r="AD84" s="3">
        <v>566</v>
      </c>
      <c r="AE84" s="3"/>
      <c r="AF84" s="3"/>
      <c r="AG84" s="3" t="s">
        <v>13370</v>
      </c>
      <c r="AH84" s="3">
        <v>32667002</v>
      </c>
      <c r="AI84" s="3" t="s">
        <v>84</v>
      </c>
      <c r="AJ84" s="3" t="s">
        <v>2569</v>
      </c>
      <c r="AK84" s="3" t="s">
        <v>12661</v>
      </c>
      <c r="AL84" s="3" t="s">
        <v>2550</v>
      </c>
      <c r="AM84" s="3">
        <v>5</v>
      </c>
      <c r="AN84" s="3" t="s">
        <v>7216</v>
      </c>
      <c r="AO84" s="3" t="s">
        <v>120</v>
      </c>
      <c r="AP84" s="7" t="s">
        <v>13371</v>
      </c>
      <c r="AQ84" s="7" t="s">
        <v>13372</v>
      </c>
      <c r="AR84" s="3"/>
      <c r="AS84" s="7" t="s">
        <v>13373</v>
      </c>
      <c r="AT84" s="3"/>
      <c r="AU84" s="3"/>
      <c r="AV84" s="3"/>
    </row>
    <row r="85" spans="1:48" ht="12.5" hidden="1" x14ac:dyDescent="0.25">
      <c r="A85" s="3" t="s">
        <v>12652</v>
      </c>
      <c r="B85" s="7" t="str">
        <f>HYPERLINK("https://gerandofalcoes.my.salesforce.com/0014X00002VKCrHQAX", "0014X00002VKCrHQAX")</f>
        <v>0014X00002VKCrHQAX</v>
      </c>
      <c r="C85" s="3" t="s">
        <v>5134</v>
      </c>
      <c r="D85" s="3" t="s">
        <v>46</v>
      </c>
      <c r="E85" s="21" t="str">
        <f>HYPERLINK("https://gerandofalcoes.my.salesforce.com/0034X0000380O1n", "0034X0000380O1n")</f>
        <v>0034X0000380O1n</v>
      </c>
      <c r="F85" s="3" t="s">
        <v>13374</v>
      </c>
      <c r="G85" s="3" t="s">
        <v>13375</v>
      </c>
      <c r="H85" s="3" t="s">
        <v>2538</v>
      </c>
      <c r="I85" s="3" t="s">
        <v>12741</v>
      </c>
      <c r="J85" s="3">
        <v>33</v>
      </c>
      <c r="K85" s="3" t="s">
        <v>5137</v>
      </c>
      <c r="L85" s="3" t="s">
        <v>5138</v>
      </c>
      <c r="M85" s="6">
        <v>29427</v>
      </c>
      <c r="N85" s="3">
        <v>42</v>
      </c>
      <c r="O85" s="3">
        <v>1008399590</v>
      </c>
      <c r="P85" s="3">
        <v>714204528</v>
      </c>
      <c r="Q85" s="3"/>
      <c r="R85" s="3" t="s">
        <v>13153</v>
      </c>
      <c r="S85" s="3" t="s">
        <v>2998</v>
      </c>
      <c r="T85" s="3" t="s">
        <v>12723</v>
      </c>
      <c r="U85" s="3"/>
      <c r="V85" s="3" t="s">
        <v>13376</v>
      </c>
      <c r="W85" s="3" t="s">
        <v>12664</v>
      </c>
      <c r="X85" s="3" t="s">
        <v>2980</v>
      </c>
      <c r="Y85" s="3" t="s">
        <v>12684</v>
      </c>
      <c r="Z85" s="3" t="s">
        <v>2543</v>
      </c>
      <c r="AA85" s="3"/>
      <c r="AB85" s="3"/>
      <c r="AC85" s="3" t="s">
        <v>13377</v>
      </c>
      <c r="AD85" s="3">
        <v>100</v>
      </c>
      <c r="AE85" s="3"/>
      <c r="AF85" s="3" t="s">
        <v>5141</v>
      </c>
      <c r="AG85" s="3" t="s">
        <v>13378</v>
      </c>
      <c r="AH85" s="3" t="s">
        <v>5142</v>
      </c>
      <c r="AI85" s="3" t="s">
        <v>1002</v>
      </c>
      <c r="AJ85" s="3" t="s">
        <v>2569</v>
      </c>
      <c r="AK85" s="3" t="s">
        <v>12729</v>
      </c>
      <c r="AL85" s="3" t="s">
        <v>2550</v>
      </c>
      <c r="AM85" s="3">
        <v>4</v>
      </c>
      <c r="AN85" s="3" t="s">
        <v>7216</v>
      </c>
      <c r="AO85" s="3" t="s">
        <v>120</v>
      </c>
      <c r="AP85" s="7" t="s">
        <v>13379</v>
      </c>
      <c r="AQ85" s="7" t="s">
        <v>13380</v>
      </c>
      <c r="AR85" s="3"/>
      <c r="AS85" s="7" t="s">
        <v>13381</v>
      </c>
      <c r="AT85" s="3"/>
      <c r="AU85" s="3"/>
      <c r="AV85" s="3"/>
    </row>
    <row r="86" spans="1:48" ht="12.5" hidden="1" x14ac:dyDescent="0.25">
      <c r="A86" s="3" t="s">
        <v>12652</v>
      </c>
      <c r="B86" s="7" t="str">
        <f>HYPERLINK("https://gerandofalcoes.my.salesforce.com/0014X00002VKCrIQAX", "0014X00002VKCrIQAX")</f>
        <v>0014X00002VKCrIQAX</v>
      </c>
      <c r="C86" s="3" t="s">
        <v>5148</v>
      </c>
      <c r="D86" s="3" t="s">
        <v>46</v>
      </c>
      <c r="E86" s="21" t="str">
        <f>HYPERLINK("https://gerandofalcoes.my.salesforce.com/0034X0000380O38", "0034X0000380O38")</f>
        <v>0034X0000380O38</v>
      </c>
      <c r="F86" s="3" t="s">
        <v>13382</v>
      </c>
      <c r="G86" s="3" t="s">
        <v>13383</v>
      </c>
      <c r="H86" s="3" t="s">
        <v>2538</v>
      </c>
      <c r="I86" s="3" t="s">
        <v>12741</v>
      </c>
      <c r="J86" s="3">
        <v>33</v>
      </c>
      <c r="K86" s="3" t="s">
        <v>13384</v>
      </c>
      <c r="L86" s="3" t="s">
        <v>5152</v>
      </c>
      <c r="M86" s="6">
        <v>30659</v>
      </c>
      <c r="N86" s="3">
        <v>39</v>
      </c>
      <c r="O86" s="3">
        <v>4132971</v>
      </c>
      <c r="P86" s="3">
        <v>99315874153</v>
      </c>
      <c r="Q86" s="3"/>
      <c r="R86" s="3" t="s">
        <v>13385</v>
      </c>
      <c r="S86" s="3" t="s">
        <v>2998</v>
      </c>
      <c r="T86" s="3" t="s">
        <v>12723</v>
      </c>
      <c r="U86" s="3"/>
      <c r="V86" s="3" t="s">
        <v>13386</v>
      </c>
      <c r="W86" s="3" t="s">
        <v>12664</v>
      </c>
      <c r="X86" s="3" t="s">
        <v>2980</v>
      </c>
      <c r="Y86" s="3" t="s">
        <v>12670</v>
      </c>
      <c r="Z86" s="3" t="s">
        <v>2543</v>
      </c>
      <c r="AA86" s="3" t="s">
        <v>2577</v>
      </c>
      <c r="AB86" s="3" t="s">
        <v>2545</v>
      </c>
      <c r="AC86" s="3" t="s">
        <v>5153</v>
      </c>
      <c r="AD86" s="3">
        <v>330</v>
      </c>
      <c r="AE86" s="3" t="s">
        <v>5155</v>
      </c>
      <c r="AF86" s="3" t="s">
        <v>282</v>
      </c>
      <c r="AG86" s="3" t="s">
        <v>5154</v>
      </c>
      <c r="AH86" s="3" t="s">
        <v>5156</v>
      </c>
      <c r="AI86" s="3" t="s">
        <v>280</v>
      </c>
      <c r="AJ86" s="3" t="s">
        <v>2548</v>
      </c>
      <c r="AK86" s="3" t="s">
        <v>12661</v>
      </c>
      <c r="AL86" s="3" t="s">
        <v>2550</v>
      </c>
      <c r="AM86" s="3">
        <v>5</v>
      </c>
      <c r="AN86" s="3" t="s">
        <v>7216</v>
      </c>
      <c r="AO86" s="3" t="s">
        <v>120</v>
      </c>
      <c r="AP86" s="7" t="s">
        <v>13387</v>
      </c>
      <c r="AQ86" s="3" t="s">
        <v>13388</v>
      </c>
      <c r="AR86" s="3"/>
      <c r="AS86" s="7" t="s">
        <v>13389</v>
      </c>
      <c r="AT86" s="3"/>
      <c r="AU86" s="3"/>
      <c r="AV86" s="3"/>
    </row>
    <row r="87" spans="1:48" ht="12.5" x14ac:dyDescent="0.25">
      <c r="A87" s="3" t="s">
        <v>12652</v>
      </c>
      <c r="B87" s="7" t="str">
        <f>HYPERLINK("https://gerandofalcoes.my.salesforce.com/0014X00002VKCrJQAX", "0014X00002VKCrJQAX")</f>
        <v>0014X00002VKCrJQAX</v>
      </c>
      <c r="C87" s="3" t="s">
        <v>5161</v>
      </c>
      <c r="D87" s="3" t="s">
        <v>46</v>
      </c>
      <c r="E87" s="21" t="str">
        <f>HYPERLINK("https://gerandofalcoes.my.salesforce.com/0034X0000380O19", "0034X0000380O19")</f>
        <v>0034X0000380O19</v>
      </c>
      <c r="F87" s="3" t="s">
        <v>13390</v>
      </c>
      <c r="G87" s="3" t="s">
        <v>13391</v>
      </c>
      <c r="H87" s="3" t="s">
        <v>2538</v>
      </c>
      <c r="I87" s="3" t="s">
        <v>12741</v>
      </c>
      <c r="J87" s="3">
        <v>33</v>
      </c>
      <c r="K87" s="3" t="s">
        <v>13392</v>
      </c>
      <c r="L87" s="3">
        <v>31987047993</v>
      </c>
      <c r="M87" s="6">
        <v>31294</v>
      </c>
      <c r="N87" s="3">
        <v>37</v>
      </c>
      <c r="O87" s="3" t="s">
        <v>13393</v>
      </c>
      <c r="P87" s="3">
        <v>6174839656</v>
      </c>
      <c r="Q87" s="3"/>
      <c r="R87" s="3"/>
      <c r="S87" s="3" t="s">
        <v>3269</v>
      </c>
      <c r="T87" s="3" t="s">
        <v>12656</v>
      </c>
      <c r="U87" s="3"/>
      <c r="V87" s="3" t="s">
        <v>13394</v>
      </c>
      <c r="W87" s="3" t="s">
        <v>2541</v>
      </c>
      <c r="X87" s="3" t="s">
        <v>2980</v>
      </c>
      <c r="Y87" s="3"/>
      <c r="Z87" s="3" t="s">
        <v>2543</v>
      </c>
      <c r="AA87" s="3" t="s">
        <v>2737</v>
      </c>
      <c r="AB87" s="3" t="s">
        <v>2545</v>
      </c>
      <c r="AC87" s="3" t="s">
        <v>13395</v>
      </c>
      <c r="AD87" s="3">
        <v>218</v>
      </c>
      <c r="AE87" s="3"/>
      <c r="AF87" s="3"/>
      <c r="AG87" s="3" t="s">
        <v>647</v>
      </c>
      <c r="AH87" s="3">
        <v>34400000</v>
      </c>
      <c r="AI87" s="3" t="s">
        <v>84</v>
      </c>
      <c r="AJ87" s="3" t="s">
        <v>2741</v>
      </c>
      <c r="AK87" s="3" t="s">
        <v>12661</v>
      </c>
      <c r="AL87" s="3" t="s">
        <v>2550</v>
      </c>
      <c r="AM87" s="3">
        <v>3</v>
      </c>
      <c r="AN87" s="3" t="s">
        <v>7216</v>
      </c>
      <c r="AO87" s="3" t="s">
        <v>120</v>
      </c>
      <c r="AP87" s="7" t="s">
        <v>13396</v>
      </c>
      <c r="AQ87" s="7" t="s">
        <v>5176</v>
      </c>
      <c r="AR87" s="3"/>
      <c r="AS87" s="7" t="s">
        <v>13397</v>
      </c>
      <c r="AT87" s="3"/>
      <c r="AU87" s="3"/>
      <c r="AV87" s="3"/>
    </row>
    <row r="88" spans="1:48" ht="12.5" x14ac:dyDescent="0.25">
      <c r="A88" s="3" t="s">
        <v>12652</v>
      </c>
      <c r="B88" s="7" t="str">
        <f>HYPERLINK("https://gerandofalcoes.my.salesforce.com/0014X00002VKCrKQAX", "0014X00002VKCrKQAX")</f>
        <v>0014X00002VKCrKQAX</v>
      </c>
      <c r="C88" s="3" t="s">
        <v>5181</v>
      </c>
      <c r="D88" s="3" t="s">
        <v>46</v>
      </c>
      <c r="E88" s="21" t="str">
        <f>HYPERLINK("https://gerandofalcoes.my.salesforce.com/0034X0000380O5I", "0034X0000380O5I")</f>
        <v>0034X0000380O5I</v>
      </c>
      <c r="F88" s="3" t="s">
        <v>13398</v>
      </c>
      <c r="G88" s="3" t="s">
        <v>13399</v>
      </c>
      <c r="H88" s="3" t="s">
        <v>2538</v>
      </c>
      <c r="I88" s="3" t="s">
        <v>12741</v>
      </c>
      <c r="J88" s="3"/>
      <c r="K88" s="3" t="s">
        <v>13400</v>
      </c>
      <c r="L88" s="3">
        <v>27997522458</v>
      </c>
      <c r="M88" s="6">
        <v>32717</v>
      </c>
      <c r="N88" s="3">
        <v>33</v>
      </c>
      <c r="O88" s="3">
        <v>2228678</v>
      </c>
      <c r="P88" s="3">
        <v>12481232712</v>
      </c>
      <c r="Q88" s="3"/>
      <c r="R88" s="3"/>
      <c r="S88" s="3" t="s">
        <v>12744</v>
      </c>
      <c r="T88" s="3" t="s">
        <v>12656</v>
      </c>
      <c r="U88" s="3"/>
      <c r="V88" s="3" t="s">
        <v>13401</v>
      </c>
      <c r="W88" s="3" t="s">
        <v>2541</v>
      </c>
      <c r="X88" s="3" t="s">
        <v>2980</v>
      </c>
      <c r="Y88" s="3"/>
      <c r="Z88" s="3" t="s">
        <v>2543</v>
      </c>
      <c r="AA88" s="3" t="s">
        <v>2544</v>
      </c>
      <c r="AB88" s="3" t="s">
        <v>2545</v>
      </c>
      <c r="AC88" s="3" t="s">
        <v>5186</v>
      </c>
      <c r="AD88" s="3">
        <v>14</v>
      </c>
      <c r="AE88" s="3"/>
      <c r="AF88" s="3"/>
      <c r="AG88" s="3" t="s">
        <v>5187</v>
      </c>
      <c r="AH88" s="3" t="s">
        <v>5189</v>
      </c>
      <c r="AI88" s="3" t="s">
        <v>295</v>
      </c>
      <c r="AJ88" s="3" t="s">
        <v>2569</v>
      </c>
      <c r="AK88" s="3" t="s">
        <v>12828</v>
      </c>
      <c r="AL88" s="3" t="s">
        <v>2550</v>
      </c>
      <c r="AM88" s="3">
        <v>4</v>
      </c>
      <c r="AN88" s="3" t="s">
        <v>7216</v>
      </c>
      <c r="AO88" s="3" t="s">
        <v>120</v>
      </c>
      <c r="AP88" s="7" t="s">
        <v>13402</v>
      </c>
      <c r="AQ88" s="7" t="s">
        <v>13403</v>
      </c>
      <c r="AR88" s="3"/>
      <c r="AS88" s="7" t="s">
        <v>13404</v>
      </c>
      <c r="AT88" s="3"/>
      <c r="AU88" s="3"/>
      <c r="AV88" s="3"/>
    </row>
    <row r="89" spans="1:48" ht="12.5" hidden="1" x14ac:dyDescent="0.25">
      <c r="A89" s="3" t="s">
        <v>12652</v>
      </c>
      <c r="B89" s="7" t="str">
        <f>HYPERLINK("https://gerandofalcoes.my.salesforce.com/0014X00002VKCrLQAX", "0014X00002VKCrLQAX")</f>
        <v>0014X00002VKCrLQAX</v>
      </c>
      <c r="C89" s="3" t="s">
        <v>5198</v>
      </c>
      <c r="D89" s="3" t="s">
        <v>46</v>
      </c>
      <c r="E89" s="21" t="str">
        <f>HYPERLINK("https://gerandofalcoes.my.salesforce.com/0034X0000380O5A", "0034X0000380O5A")</f>
        <v>0034X0000380O5A</v>
      </c>
      <c r="F89" s="3" t="s">
        <v>13405</v>
      </c>
      <c r="G89" s="3" t="s">
        <v>13406</v>
      </c>
      <c r="H89" s="3" t="s">
        <v>2538</v>
      </c>
      <c r="I89" s="3" t="s">
        <v>12741</v>
      </c>
      <c r="J89" s="3">
        <v>33</v>
      </c>
      <c r="K89" s="3" t="s">
        <v>13407</v>
      </c>
      <c r="L89" s="3" t="s">
        <v>13408</v>
      </c>
      <c r="M89" s="6">
        <v>27466</v>
      </c>
      <c r="N89" s="3">
        <v>47</v>
      </c>
      <c r="O89" s="3">
        <v>4449069</v>
      </c>
      <c r="P89" s="3">
        <v>2174165430</v>
      </c>
      <c r="Q89" s="3"/>
      <c r="R89" s="3" t="s">
        <v>13409</v>
      </c>
      <c r="S89" s="3" t="s">
        <v>3417</v>
      </c>
      <c r="T89" s="3" t="s">
        <v>12723</v>
      </c>
      <c r="U89" s="3"/>
      <c r="V89" s="3" t="s">
        <v>13410</v>
      </c>
      <c r="W89" s="3" t="s">
        <v>12664</v>
      </c>
      <c r="X89" s="3" t="s">
        <v>2980</v>
      </c>
      <c r="Y89" s="3" t="s">
        <v>12658</v>
      </c>
      <c r="Z89" s="3" t="s">
        <v>2543</v>
      </c>
      <c r="AA89" s="3" t="s">
        <v>2544</v>
      </c>
      <c r="AB89" s="3"/>
      <c r="AC89" s="3" t="s">
        <v>13411</v>
      </c>
      <c r="AD89" s="3">
        <v>260</v>
      </c>
      <c r="AE89" s="3" t="s">
        <v>13412</v>
      </c>
      <c r="AF89" s="3" t="s">
        <v>381</v>
      </c>
      <c r="AG89" s="3" t="s">
        <v>5202</v>
      </c>
      <c r="AH89" s="3" t="s">
        <v>13413</v>
      </c>
      <c r="AI89" s="3" t="s">
        <v>379</v>
      </c>
      <c r="AJ89" s="3" t="s">
        <v>2569</v>
      </c>
      <c r="AK89" s="3" t="s">
        <v>3249</v>
      </c>
      <c r="AL89" s="3" t="s">
        <v>2588</v>
      </c>
      <c r="AM89" s="3">
        <v>4</v>
      </c>
      <c r="AN89" s="3" t="s">
        <v>7216</v>
      </c>
      <c r="AO89" s="3" t="s">
        <v>120</v>
      </c>
      <c r="AP89" s="3"/>
      <c r="AQ89" s="7" t="s">
        <v>13414</v>
      </c>
      <c r="AR89" s="3"/>
      <c r="AS89" s="7" t="s">
        <v>13415</v>
      </c>
      <c r="AT89" s="3"/>
      <c r="AU89" s="3"/>
      <c r="AV89" s="3"/>
    </row>
    <row r="90" spans="1:48" ht="12.5" x14ac:dyDescent="0.25">
      <c r="A90" s="3" t="s">
        <v>12652</v>
      </c>
      <c r="B90" s="7" t="str">
        <f>HYPERLINK("https://gerandofalcoes.my.salesforce.com/0014X00002VKCrMQAX", "0014X00002VKCrMQAX")</f>
        <v>0014X00002VKCrMQAX</v>
      </c>
      <c r="C90" s="3" t="s">
        <v>5209</v>
      </c>
      <c r="D90" s="3" t="s">
        <v>46</v>
      </c>
      <c r="E90" s="21" t="str">
        <f>HYPERLINK("https://gerandofalcoes.my.salesforce.com/0034X0000380O0k", "0034X0000380O0k")</f>
        <v>0034X0000380O0k</v>
      </c>
      <c r="F90" s="3" t="s">
        <v>13416</v>
      </c>
      <c r="G90" s="3" t="s">
        <v>13417</v>
      </c>
      <c r="H90" s="3" t="s">
        <v>2538</v>
      </c>
      <c r="I90" s="3" t="s">
        <v>12741</v>
      </c>
      <c r="J90" s="3">
        <v>33</v>
      </c>
      <c r="K90" s="3" t="s">
        <v>13418</v>
      </c>
      <c r="L90" s="3">
        <v>81987338407</v>
      </c>
      <c r="M90" s="8">
        <v>36100</v>
      </c>
      <c r="N90" s="3">
        <v>24</v>
      </c>
      <c r="O90" s="3">
        <v>9741090</v>
      </c>
      <c r="P90" s="3">
        <v>70547077459</v>
      </c>
      <c r="Q90" s="3"/>
      <c r="R90" s="3"/>
      <c r="S90" s="3" t="s">
        <v>2998</v>
      </c>
      <c r="T90" s="3" t="s">
        <v>12656</v>
      </c>
      <c r="U90" s="3"/>
      <c r="V90" s="3"/>
      <c r="W90" s="3" t="s">
        <v>2541</v>
      </c>
      <c r="X90" s="3" t="s">
        <v>2980</v>
      </c>
      <c r="Y90" s="3"/>
      <c r="Z90" s="3" t="s">
        <v>2543</v>
      </c>
      <c r="AA90" s="3"/>
      <c r="AB90" s="3"/>
      <c r="AC90" s="3" t="s">
        <v>5214</v>
      </c>
      <c r="AD90" s="3">
        <v>355</v>
      </c>
      <c r="AE90" s="3"/>
      <c r="AF90" s="3"/>
      <c r="AG90" s="3" t="s">
        <v>5202</v>
      </c>
      <c r="AH90" s="3">
        <v>50790901</v>
      </c>
      <c r="AI90" s="3" t="s">
        <v>379</v>
      </c>
      <c r="AJ90" s="3" t="s">
        <v>2569</v>
      </c>
      <c r="AK90" s="3" t="s">
        <v>12674</v>
      </c>
      <c r="AL90" s="3" t="s">
        <v>2550</v>
      </c>
      <c r="AM90" s="3">
        <v>4</v>
      </c>
      <c r="AN90" s="3" t="s">
        <v>7216</v>
      </c>
      <c r="AO90" s="3" t="s">
        <v>120</v>
      </c>
      <c r="AP90" s="7" t="s">
        <v>13419</v>
      </c>
      <c r="AQ90" s="7" t="s">
        <v>13420</v>
      </c>
      <c r="AR90" s="3"/>
      <c r="AS90" s="3"/>
      <c r="AT90" s="3"/>
      <c r="AU90" s="3"/>
      <c r="AV90" s="3"/>
    </row>
    <row r="91" spans="1:48" ht="12.5" x14ac:dyDescent="0.25">
      <c r="A91" s="3" t="s">
        <v>12652</v>
      </c>
      <c r="B91" s="7" t="str">
        <f>HYPERLINK("https://gerandofalcoes.my.salesforce.com/0014X00002VKCrNQAX", "0014X00002VKCrNQAX")</f>
        <v>0014X00002VKCrNQAX</v>
      </c>
      <c r="C91" s="3" t="s">
        <v>5223</v>
      </c>
      <c r="D91" s="3" t="s">
        <v>46</v>
      </c>
      <c r="E91" s="21" t="str">
        <f>HYPERLINK("https://gerandofalcoes.my.salesforce.com/0034X0000380O5o", "0034X0000380O5o")</f>
        <v>0034X0000380O5o</v>
      </c>
      <c r="F91" s="3" t="s">
        <v>13421</v>
      </c>
      <c r="G91" s="3" t="s">
        <v>13422</v>
      </c>
      <c r="H91" s="3" t="s">
        <v>2538</v>
      </c>
      <c r="I91" s="3" t="s">
        <v>12741</v>
      </c>
      <c r="J91" s="3">
        <v>33</v>
      </c>
      <c r="K91" s="3" t="s">
        <v>13423</v>
      </c>
      <c r="L91" s="3">
        <v>81997926151</v>
      </c>
      <c r="M91" s="6">
        <v>20292</v>
      </c>
      <c r="N91" s="3">
        <v>67</v>
      </c>
      <c r="O91" s="3" t="s">
        <v>13424</v>
      </c>
      <c r="P91" s="3">
        <v>14706563453</v>
      </c>
      <c r="Q91" s="3"/>
      <c r="R91" s="3"/>
      <c r="S91" s="3" t="s">
        <v>3605</v>
      </c>
      <c r="T91" s="3" t="s">
        <v>12723</v>
      </c>
      <c r="U91" s="3"/>
      <c r="V91" s="3" t="s">
        <v>13425</v>
      </c>
      <c r="W91" s="3" t="s">
        <v>2541</v>
      </c>
      <c r="X91" s="3" t="s">
        <v>2980</v>
      </c>
      <c r="Y91" s="3"/>
      <c r="Z91" s="3" t="s">
        <v>2543</v>
      </c>
      <c r="AA91" s="3" t="s">
        <v>2577</v>
      </c>
      <c r="AB91" s="3" t="s">
        <v>2545</v>
      </c>
      <c r="AC91" s="3" t="s">
        <v>13426</v>
      </c>
      <c r="AD91" s="3">
        <v>221</v>
      </c>
      <c r="AE91" s="3"/>
      <c r="AF91" s="3"/>
      <c r="AG91" s="3" t="s">
        <v>13427</v>
      </c>
      <c r="AH91" s="3">
        <v>51030300</v>
      </c>
      <c r="AI91" s="3" t="s">
        <v>379</v>
      </c>
      <c r="AJ91" s="3" t="s">
        <v>2741</v>
      </c>
      <c r="AK91" s="3" t="s">
        <v>12729</v>
      </c>
      <c r="AL91" s="3" t="s">
        <v>2588</v>
      </c>
      <c r="AM91" s="3">
        <v>4</v>
      </c>
      <c r="AN91" s="3" t="s">
        <v>3890</v>
      </c>
      <c r="AO91" s="3" t="s">
        <v>120</v>
      </c>
      <c r="AP91" s="3"/>
      <c r="AQ91" s="3"/>
      <c r="AR91" s="3"/>
      <c r="AS91" s="7" t="s">
        <v>13428</v>
      </c>
      <c r="AT91" s="3"/>
      <c r="AU91" s="3"/>
      <c r="AV91" s="3"/>
    </row>
    <row r="92" spans="1:48" ht="12.5" hidden="1" x14ac:dyDescent="0.25">
      <c r="A92" s="3" t="s">
        <v>12652</v>
      </c>
      <c r="B92" s="7" t="str">
        <f>HYPERLINK("https://gerandofalcoes.my.salesforce.com/0014X00002VKCrOQAX", "0014X00002VKCrOQAX")</f>
        <v>0014X00002VKCrOQAX</v>
      </c>
      <c r="C92" s="3" t="s">
        <v>5244</v>
      </c>
      <c r="D92" s="3" t="s">
        <v>46</v>
      </c>
      <c r="E92" s="21" t="str">
        <f>HYPERLINK("https://gerandofalcoes.my.salesforce.com/0034X0000380O3g", "0034X0000380O3g")</f>
        <v>0034X0000380O3g</v>
      </c>
      <c r="F92" s="3" t="s">
        <v>13429</v>
      </c>
      <c r="G92" s="3" t="s">
        <v>13430</v>
      </c>
      <c r="H92" s="3" t="s">
        <v>2538</v>
      </c>
      <c r="I92" s="3" t="s">
        <v>12741</v>
      </c>
      <c r="J92" s="3"/>
      <c r="K92" s="3" t="s">
        <v>13431</v>
      </c>
      <c r="L92" s="3" t="s">
        <v>5247</v>
      </c>
      <c r="M92" s="6">
        <v>32623</v>
      </c>
      <c r="N92" s="3">
        <v>33</v>
      </c>
      <c r="O92" s="3">
        <v>7817329</v>
      </c>
      <c r="P92" s="3">
        <v>7974112409</v>
      </c>
      <c r="Q92" s="3"/>
      <c r="R92" s="3" t="s">
        <v>2786</v>
      </c>
      <c r="S92" s="3" t="s">
        <v>2998</v>
      </c>
      <c r="T92" s="3" t="s">
        <v>12723</v>
      </c>
      <c r="U92" s="3"/>
      <c r="V92" s="3" t="s">
        <v>13432</v>
      </c>
      <c r="W92" s="3" t="s">
        <v>12664</v>
      </c>
      <c r="X92" s="3" t="s">
        <v>2980</v>
      </c>
      <c r="Y92" s="3" t="s">
        <v>12670</v>
      </c>
      <c r="Z92" s="3" t="s">
        <v>2545</v>
      </c>
      <c r="AA92" s="3" t="s">
        <v>2577</v>
      </c>
      <c r="AB92" s="3" t="s">
        <v>2545</v>
      </c>
      <c r="AC92" s="3" t="s">
        <v>13433</v>
      </c>
      <c r="AD92" s="3">
        <v>270</v>
      </c>
      <c r="AE92" s="3" t="s">
        <v>13434</v>
      </c>
      <c r="AF92" s="3" t="s">
        <v>381</v>
      </c>
      <c r="AG92" s="3" t="s">
        <v>13435</v>
      </c>
      <c r="AH92" s="3" t="s">
        <v>13436</v>
      </c>
      <c r="AI92" s="3" t="s">
        <v>379</v>
      </c>
      <c r="AJ92" s="3" t="s">
        <v>2548</v>
      </c>
      <c r="AK92" s="3" t="s">
        <v>13437</v>
      </c>
      <c r="AL92" s="3" t="s">
        <v>2588</v>
      </c>
      <c r="AM92" s="3">
        <v>2</v>
      </c>
      <c r="AN92" s="3" t="s">
        <v>7216</v>
      </c>
      <c r="AO92" s="3" t="s">
        <v>120</v>
      </c>
      <c r="AP92" s="3" t="s">
        <v>13438</v>
      </c>
      <c r="AQ92" s="3" t="s">
        <v>13439</v>
      </c>
      <c r="AR92" s="3"/>
      <c r="AS92" s="7" t="s">
        <v>13440</v>
      </c>
      <c r="AT92" s="3"/>
      <c r="AU92" s="3"/>
      <c r="AV92" s="3"/>
    </row>
    <row r="93" spans="1:48" ht="12.5" hidden="1" x14ac:dyDescent="0.25">
      <c r="A93" s="3" t="s">
        <v>12652</v>
      </c>
      <c r="B93" s="7" t="str">
        <f>HYPERLINK("https://gerandofalcoes.my.salesforce.com/0014X00002VKCrQQAX", "0014X00002VKCrQQAX")</f>
        <v>0014X00002VKCrQQAX</v>
      </c>
      <c r="C93" s="3" t="s">
        <v>5258</v>
      </c>
      <c r="D93" s="3" t="s">
        <v>46</v>
      </c>
      <c r="E93" s="21" t="str">
        <f>HYPERLINK("https://gerandofalcoes.my.salesforce.com/0034X0000380O4d", "0034X0000380O4d")</f>
        <v>0034X0000380O4d</v>
      </c>
      <c r="F93" s="3" t="s">
        <v>13441</v>
      </c>
      <c r="G93" s="3" t="s">
        <v>13442</v>
      </c>
      <c r="H93" s="3" t="s">
        <v>2538</v>
      </c>
      <c r="I93" s="3" t="s">
        <v>12741</v>
      </c>
      <c r="J93" s="3">
        <v>33</v>
      </c>
      <c r="K93" s="3" t="s">
        <v>13443</v>
      </c>
      <c r="L93" s="3" t="s">
        <v>5262</v>
      </c>
      <c r="M93" s="6">
        <v>31022</v>
      </c>
      <c r="N93" s="3">
        <v>38</v>
      </c>
      <c r="O93" s="3">
        <v>6366352</v>
      </c>
      <c r="P93" s="3">
        <v>5286779425</v>
      </c>
      <c r="Q93" s="3"/>
      <c r="R93" s="3" t="s">
        <v>13444</v>
      </c>
      <c r="S93" s="3" t="s">
        <v>2998</v>
      </c>
      <c r="T93" s="3" t="s">
        <v>12682</v>
      </c>
      <c r="U93" s="3"/>
      <c r="V93" s="3" t="s">
        <v>13445</v>
      </c>
      <c r="W93" s="3" t="s">
        <v>12664</v>
      </c>
      <c r="X93" s="3" t="s">
        <v>2980</v>
      </c>
      <c r="Y93" s="3" t="s">
        <v>12670</v>
      </c>
      <c r="Z93" s="3" t="s">
        <v>2545</v>
      </c>
      <c r="AA93" s="3" t="s">
        <v>2577</v>
      </c>
      <c r="AB93" s="3" t="s">
        <v>2545</v>
      </c>
      <c r="AC93" s="3" t="s">
        <v>13446</v>
      </c>
      <c r="AD93" s="3">
        <v>816</v>
      </c>
      <c r="AE93" s="3">
        <v>1202</v>
      </c>
      <c r="AF93" s="3" t="s">
        <v>381</v>
      </c>
      <c r="AG93" s="3" t="s">
        <v>13427</v>
      </c>
      <c r="AH93" s="3" t="s">
        <v>5264</v>
      </c>
      <c r="AI93" s="3" t="s">
        <v>379</v>
      </c>
      <c r="AJ93" s="3" t="s">
        <v>2548</v>
      </c>
      <c r="AK93" s="3" t="s">
        <v>12661</v>
      </c>
      <c r="AL93" s="3" t="s">
        <v>2588</v>
      </c>
      <c r="AM93" s="3">
        <v>1</v>
      </c>
      <c r="AN93" s="3" t="s">
        <v>7216</v>
      </c>
      <c r="AO93" s="3" t="s">
        <v>120</v>
      </c>
      <c r="AP93" s="7" t="s">
        <v>13447</v>
      </c>
      <c r="AQ93" s="7" t="s">
        <v>13448</v>
      </c>
      <c r="AR93" s="3"/>
      <c r="AS93" s="7" t="s">
        <v>13449</v>
      </c>
      <c r="AT93" s="3"/>
      <c r="AU93" s="3"/>
      <c r="AV93" s="3"/>
    </row>
    <row r="94" spans="1:48" ht="12.5" hidden="1" x14ac:dyDescent="0.25">
      <c r="A94" s="3" t="s">
        <v>12652</v>
      </c>
      <c r="B94" s="7" t="str">
        <f>HYPERLINK("https://gerandofalcoes.my.salesforce.com/0014X00002VKCs0QAH", "0014X00002VKCs0QAH")</f>
        <v>0014X00002VKCs0QAH</v>
      </c>
      <c r="C94" s="3" t="s">
        <v>5270</v>
      </c>
      <c r="D94" s="3" t="s">
        <v>46</v>
      </c>
      <c r="E94" s="21" t="str">
        <f>HYPERLINK("https://gerandofalcoes.my.salesforce.com/0034X0000380O6c", "0034X0000380O6c")</f>
        <v>0034X0000380O6c</v>
      </c>
      <c r="F94" s="3" t="s">
        <v>13450</v>
      </c>
      <c r="G94" s="3" t="s">
        <v>13451</v>
      </c>
      <c r="H94" s="3" t="s">
        <v>2538</v>
      </c>
      <c r="I94" s="3" t="s">
        <v>12741</v>
      </c>
      <c r="J94" s="3">
        <v>33</v>
      </c>
      <c r="K94" s="3" t="s">
        <v>13452</v>
      </c>
      <c r="L94" s="3" t="s">
        <v>5274</v>
      </c>
      <c r="M94" s="6">
        <v>30847</v>
      </c>
      <c r="N94" s="3">
        <v>38</v>
      </c>
      <c r="O94" s="3">
        <v>5894634</v>
      </c>
      <c r="P94" s="3">
        <v>4275533429</v>
      </c>
      <c r="Q94" s="3"/>
      <c r="R94" s="3" t="s">
        <v>2786</v>
      </c>
      <c r="S94" s="3" t="s">
        <v>3137</v>
      </c>
      <c r="T94" s="3" t="s">
        <v>12682</v>
      </c>
      <c r="U94" s="3"/>
      <c r="V94" s="3" t="s">
        <v>13453</v>
      </c>
      <c r="W94" s="3" t="s">
        <v>12664</v>
      </c>
      <c r="X94" s="3" t="s">
        <v>2980</v>
      </c>
      <c r="Y94" s="3" t="s">
        <v>12670</v>
      </c>
      <c r="Z94" s="3" t="s">
        <v>2543</v>
      </c>
      <c r="AA94" s="3" t="s">
        <v>2577</v>
      </c>
      <c r="AB94" s="3" t="s">
        <v>2545</v>
      </c>
      <c r="AC94" s="3" t="s">
        <v>13454</v>
      </c>
      <c r="AD94" s="3">
        <v>20</v>
      </c>
      <c r="AE94" s="3"/>
      <c r="AF94" s="3" t="s">
        <v>381</v>
      </c>
      <c r="AG94" s="3" t="s">
        <v>13455</v>
      </c>
      <c r="AH94" s="3" t="s">
        <v>13456</v>
      </c>
      <c r="AI94" s="3" t="s">
        <v>379</v>
      </c>
      <c r="AJ94" s="3" t="s">
        <v>2741</v>
      </c>
      <c r="AK94" s="3" t="s">
        <v>12916</v>
      </c>
      <c r="AL94" s="3" t="s">
        <v>2550</v>
      </c>
      <c r="AM94" s="3">
        <v>4</v>
      </c>
      <c r="AN94" s="3" t="s">
        <v>7216</v>
      </c>
      <c r="AO94" s="3" t="s">
        <v>120</v>
      </c>
      <c r="AP94" s="3"/>
      <c r="AQ94" s="3" t="s">
        <v>13457</v>
      </c>
      <c r="AR94" s="3"/>
      <c r="AS94" s="7" t="s">
        <v>13458</v>
      </c>
      <c r="AT94" s="3"/>
      <c r="AU94" s="3"/>
      <c r="AV94" s="3"/>
    </row>
    <row r="95" spans="1:48" ht="12.5" x14ac:dyDescent="0.25">
      <c r="A95" s="3" t="s">
        <v>12652</v>
      </c>
      <c r="B95" s="7" t="str">
        <f>HYPERLINK("https://gerandofalcoes.my.salesforce.com/0014X00002VKCs2QAH", "0014X00002VKCs2QAH")</f>
        <v>0014X00002VKCs2QAH</v>
      </c>
      <c r="C95" s="3" t="s">
        <v>5284</v>
      </c>
      <c r="D95" s="3" t="s">
        <v>46</v>
      </c>
      <c r="E95" s="21" t="str">
        <f>HYPERLINK("https://gerandofalcoes.my.salesforce.com/0034X0000380O6U", "0034X0000380O6U")</f>
        <v>0034X0000380O6U</v>
      </c>
      <c r="F95" s="3" t="s">
        <v>3241</v>
      </c>
      <c r="G95" s="3" t="s">
        <v>13459</v>
      </c>
      <c r="H95" s="3" t="s">
        <v>2538</v>
      </c>
      <c r="I95" s="3" t="s">
        <v>12741</v>
      </c>
      <c r="J95" s="3">
        <v>33</v>
      </c>
      <c r="K95" s="3" t="s">
        <v>13460</v>
      </c>
      <c r="L95" s="3">
        <v>81997992877</v>
      </c>
      <c r="M95" s="6">
        <v>32290</v>
      </c>
      <c r="N95" s="3">
        <v>34</v>
      </c>
      <c r="O95" s="3">
        <v>7542436</v>
      </c>
      <c r="P95" s="3">
        <v>6688986400</v>
      </c>
      <c r="Q95" s="3"/>
      <c r="R95" s="3"/>
      <c r="S95" s="3" t="s">
        <v>12864</v>
      </c>
      <c r="T95" s="3" t="s">
        <v>12723</v>
      </c>
      <c r="U95" s="3"/>
      <c r="V95" s="3" t="s">
        <v>13461</v>
      </c>
      <c r="W95" s="3" t="s">
        <v>2541</v>
      </c>
      <c r="X95" s="3" t="s">
        <v>2980</v>
      </c>
      <c r="Y95" s="3"/>
      <c r="Z95" s="3" t="s">
        <v>2545</v>
      </c>
      <c r="AA95" s="3" t="s">
        <v>2577</v>
      </c>
      <c r="AB95" s="3" t="s">
        <v>2545</v>
      </c>
      <c r="AC95" s="3" t="s">
        <v>13462</v>
      </c>
      <c r="AD95" s="3">
        <v>85</v>
      </c>
      <c r="AE95" s="3">
        <v>704</v>
      </c>
      <c r="AF95" s="3"/>
      <c r="AG95" s="3" t="s">
        <v>5290</v>
      </c>
      <c r="AH95" s="3" t="s">
        <v>5292</v>
      </c>
      <c r="AI95" s="3" t="s">
        <v>379</v>
      </c>
      <c r="AJ95" s="3" t="s">
        <v>2741</v>
      </c>
      <c r="AK95" s="3" t="s">
        <v>12828</v>
      </c>
      <c r="AL95" s="3" t="s">
        <v>2588</v>
      </c>
      <c r="AM95" s="3">
        <v>2</v>
      </c>
      <c r="AN95" s="3" t="s">
        <v>7216</v>
      </c>
      <c r="AO95" s="3" t="s">
        <v>120</v>
      </c>
      <c r="AP95" s="7" t="s">
        <v>13463</v>
      </c>
      <c r="AQ95" s="7" t="s">
        <v>13464</v>
      </c>
      <c r="AR95" s="3"/>
      <c r="AS95" s="7" t="s">
        <v>13465</v>
      </c>
      <c r="AT95" s="3"/>
      <c r="AU95" s="3"/>
      <c r="AV95" s="3"/>
    </row>
    <row r="96" spans="1:48" ht="12.5" hidden="1" x14ac:dyDescent="0.25">
      <c r="A96" s="3" t="s">
        <v>12652</v>
      </c>
      <c r="B96" s="7" t="str">
        <f>HYPERLINK("https://gerandofalcoes.my.salesforce.com/0014X00002VKCs4QAH", "0014X00002VKCs4QAH")</f>
        <v>0014X00002VKCs4QAH</v>
      </c>
      <c r="C96" s="3" t="s">
        <v>5299</v>
      </c>
      <c r="D96" s="3" t="s">
        <v>46</v>
      </c>
      <c r="E96" s="21" t="str">
        <f>HYPERLINK("https://gerandofalcoes.my.salesforce.com/0034X0000380O3d", "0034X0000380O3d")</f>
        <v>0034X0000380O3d</v>
      </c>
      <c r="F96" s="3" t="s">
        <v>13466</v>
      </c>
      <c r="G96" s="3" t="s">
        <v>13467</v>
      </c>
      <c r="H96" s="3" t="s">
        <v>2538</v>
      </c>
      <c r="I96" s="3" t="s">
        <v>12741</v>
      </c>
      <c r="J96" s="3">
        <v>33</v>
      </c>
      <c r="K96" s="3" t="s">
        <v>13468</v>
      </c>
      <c r="L96" s="3" t="s">
        <v>13469</v>
      </c>
      <c r="M96" s="6">
        <v>31686</v>
      </c>
      <c r="N96" s="3">
        <v>36</v>
      </c>
      <c r="O96" s="3">
        <v>7875810</v>
      </c>
      <c r="P96" s="3">
        <v>7723277423</v>
      </c>
      <c r="Q96" s="3"/>
      <c r="R96" s="3" t="s">
        <v>2786</v>
      </c>
      <c r="S96" s="3" t="s">
        <v>3417</v>
      </c>
      <c r="T96" s="3" t="s">
        <v>12723</v>
      </c>
      <c r="U96" s="3"/>
      <c r="V96" s="3" t="s">
        <v>13470</v>
      </c>
      <c r="W96" s="3" t="s">
        <v>12664</v>
      </c>
      <c r="X96" s="3" t="s">
        <v>2980</v>
      </c>
      <c r="Y96" s="3" t="s">
        <v>12670</v>
      </c>
      <c r="Z96" s="3" t="s">
        <v>2545</v>
      </c>
      <c r="AA96" s="3" t="s">
        <v>2577</v>
      </c>
      <c r="AB96" s="3" t="s">
        <v>2545</v>
      </c>
      <c r="AC96" s="3" t="s">
        <v>13471</v>
      </c>
      <c r="AD96" s="3">
        <v>34</v>
      </c>
      <c r="AE96" s="3" t="s">
        <v>1539</v>
      </c>
      <c r="AF96" s="3" t="s">
        <v>13472</v>
      </c>
      <c r="AG96" s="3" t="s">
        <v>9638</v>
      </c>
      <c r="AH96" s="3" t="s">
        <v>13473</v>
      </c>
      <c r="AI96" s="3" t="s">
        <v>379</v>
      </c>
      <c r="AJ96" s="3" t="s">
        <v>2569</v>
      </c>
      <c r="AK96" s="3" t="s">
        <v>12661</v>
      </c>
      <c r="AL96" s="3" t="s">
        <v>2550</v>
      </c>
      <c r="AM96" s="3">
        <v>3</v>
      </c>
      <c r="AN96" s="3" t="s">
        <v>7216</v>
      </c>
      <c r="AO96" s="3" t="s">
        <v>120</v>
      </c>
      <c r="AP96" s="7" t="s">
        <v>13474</v>
      </c>
      <c r="AQ96" s="7" t="s">
        <v>13475</v>
      </c>
      <c r="AR96" s="3"/>
      <c r="AS96" s="7" t="s">
        <v>13476</v>
      </c>
      <c r="AT96" s="3"/>
      <c r="AU96" s="3"/>
      <c r="AV96" s="3"/>
    </row>
    <row r="97" spans="1:48" ht="12.5" x14ac:dyDescent="0.25">
      <c r="A97" s="3" t="s">
        <v>12652</v>
      </c>
      <c r="B97" s="7" t="str">
        <f>HYPERLINK("https://gerandofalcoes.my.salesforce.com/0014X00002VKCs5QAH", "0014X00002VKCs5QAH")</f>
        <v>0014X00002VKCs5QAH</v>
      </c>
      <c r="C97" s="3" t="s">
        <v>5310</v>
      </c>
      <c r="D97" s="3" t="s">
        <v>46</v>
      </c>
      <c r="E97" s="21" t="str">
        <f>HYPERLINK("https://gerandofalcoes.my.salesforce.com/0034X0000380O2u", "0034X0000380O2u")</f>
        <v>0034X0000380O2u</v>
      </c>
      <c r="F97" s="3" t="s">
        <v>13477</v>
      </c>
      <c r="G97" s="3" t="s">
        <v>13478</v>
      </c>
      <c r="H97" s="3" t="s">
        <v>2538</v>
      </c>
      <c r="I97" s="3" t="s">
        <v>12741</v>
      </c>
      <c r="J97" s="3"/>
      <c r="K97" s="3" t="s">
        <v>13479</v>
      </c>
      <c r="L97" s="3">
        <v>68999712438</v>
      </c>
      <c r="M97" s="8">
        <v>27167</v>
      </c>
      <c r="N97" s="3">
        <v>48</v>
      </c>
      <c r="O97" s="3">
        <v>223783</v>
      </c>
      <c r="P97" s="10">
        <v>39145697272</v>
      </c>
      <c r="Q97" s="3"/>
      <c r="R97" s="3"/>
      <c r="S97" s="3" t="s">
        <v>2998</v>
      </c>
      <c r="T97" s="3" t="s">
        <v>12723</v>
      </c>
      <c r="U97" s="3"/>
      <c r="V97" s="3" t="s">
        <v>13480</v>
      </c>
      <c r="W97" s="3" t="s">
        <v>2541</v>
      </c>
      <c r="X97" s="3" t="s">
        <v>2980</v>
      </c>
      <c r="Y97" s="3"/>
      <c r="Z97" s="3" t="s">
        <v>2543</v>
      </c>
      <c r="AA97" s="3"/>
      <c r="AB97" s="3"/>
      <c r="AC97" s="3" t="s">
        <v>13481</v>
      </c>
      <c r="AD97" s="3">
        <v>1853</v>
      </c>
      <c r="AE97" s="3"/>
      <c r="AF97" s="3"/>
      <c r="AG97" s="3" t="s">
        <v>789</v>
      </c>
      <c r="AH97" s="3">
        <v>69901815</v>
      </c>
      <c r="AI97" s="3" t="s">
        <v>5316</v>
      </c>
      <c r="AJ97" s="3" t="s">
        <v>2569</v>
      </c>
      <c r="AK97" s="3" t="s">
        <v>12729</v>
      </c>
      <c r="AL97" s="3" t="s">
        <v>2550</v>
      </c>
      <c r="AM97" s="3">
        <v>5</v>
      </c>
      <c r="AN97" s="3" t="s">
        <v>7216</v>
      </c>
      <c r="AO97" s="3" t="s">
        <v>120</v>
      </c>
      <c r="AP97" s="3"/>
      <c r="AQ97" s="3"/>
      <c r="AR97" s="3"/>
      <c r="AS97" s="7" t="s">
        <v>13482</v>
      </c>
      <c r="AT97" s="3"/>
      <c r="AU97" s="3"/>
      <c r="AV97" s="3"/>
    </row>
    <row r="98" spans="1:48" ht="12.5" x14ac:dyDescent="0.25">
      <c r="A98" s="3" t="s">
        <v>12652</v>
      </c>
      <c r="B98" s="7" t="str">
        <f>HYPERLINK("https://gerandofalcoes.my.salesforce.com/0014X00002VKCpbQAH", "0014X00002VKCpbQAH")</f>
        <v>0014X00002VKCpbQAH</v>
      </c>
      <c r="C98" s="3" t="s">
        <v>5327</v>
      </c>
      <c r="D98" s="3" t="s">
        <v>46</v>
      </c>
      <c r="E98" s="21" t="str">
        <f>HYPERLINK("https://gerandofalcoes.my.salesforce.com/0034X0000380O4Q", "0034X0000380O4Q")</f>
        <v>0034X0000380O4Q</v>
      </c>
      <c r="F98" s="3" t="s">
        <v>3074</v>
      </c>
      <c r="G98" s="3" t="s">
        <v>13483</v>
      </c>
      <c r="H98" s="3" t="s">
        <v>2538</v>
      </c>
      <c r="I98" s="3" t="s">
        <v>12741</v>
      </c>
      <c r="J98" s="3">
        <v>33</v>
      </c>
      <c r="K98" s="3" t="s">
        <v>13484</v>
      </c>
      <c r="L98" s="3" t="s">
        <v>5329</v>
      </c>
      <c r="M98" s="6">
        <v>29819</v>
      </c>
      <c r="N98" s="3">
        <v>41</v>
      </c>
      <c r="O98" s="3" t="s">
        <v>13485</v>
      </c>
      <c r="P98" s="3">
        <v>1926917596</v>
      </c>
      <c r="Q98" s="3"/>
      <c r="R98" s="3"/>
      <c r="S98" s="3" t="s">
        <v>3269</v>
      </c>
      <c r="T98" s="3" t="s">
        <v>12723</v>
      </c>
      <c r="U98" s="3"/>
      <c r="V98" s="3" t="s">
        <v>13486</v>
      </c>
      <c r="W98" s="3" t="s">
        <v>2541</v>
      </c>
      <c r="X98" s="3" t="s">
        <v>2980</v>
      </c>
      <c r="Y98" s="3"/>
      <c r="Z98" s="3" t="s">
        <v>2543</v>
      </c>
      <c r="AA98" s="3"/>
      <c r="AB98" s="3"/>
      <c r="AC98" s="3" t="s">
        <v>5330</v>
      </c>
      <c r="AD98" s="3" t="s">
        <v>13487</v>
      </c>
      <c r="AE98" s="3"/>
      <c r="AF98" s="3"/>
      <c r="AG98" s="3"/>
      <c r="AH98" s="3" t="s">
        <v>5332</v>
      </c>
      <c r="AI98" s="3" t="s">
        <v>1002</v>
      </c>
      <c r="AJ98" s="3" t="s">
        <v>2569</v>
      </c>
      <c r="AK98" s="3" t="s">
        <v>3249</v>
      </c>
      <c r="AL98" s="3" t="s">
        <v>2550</v>
      </c>
      <c r="AM98" s="3">
        <v>4</v>
      </c>
      <c r="AN98" s="3" t="s">
        <v>7216</v>
      </c>
      <c r="AO98" s="3" t="s">
        <v>120</v>
      </c>
      <c r="AP98" s="3"/>
      <c r="AQ98" s="3"/>
      <c r="AR98" s="3"/>
      <c r="AS98" s="7" t="s">
        <v>13488</v>
      </c>
      <c r="AT98" s="3"/>
      <c r="AU98" s="3"/>
      <c r="AV98" s="3"/>
    </row>
    <row r="99" spans="1:48" ht="12.5" x14ac:dyDescent="0.25">
      <c r="A99" s="3" t="s">
        <v>12652</v>
      </c>
      <c r="B99" s="7" t="str">
        <f>HYPERLINK("https://gerandofalcoes.my.salesforce.com/0014X00002VKCpcQAH", "0014X00002VKCpcQAH")</f>
        <v>0014X00002VKCpcQAH</v>
      </c>
      <c r="C99" s="3" t="s">
        <v>5336</v>
      </c>
      <c r="D99" s="3" t="s">
        <v>46</v>
      </c>
      <c r="E99" s="21" t="str">
        <f>HYPERLINK("https://gerandofalcoes.my.salesforce.com/0034X0000380O1i", "0034X0000380O1i")</f>
        <v>0034X0000380O1i</v>
      </c>
      <c r="F99" s="3" t="s">
        <v>13489</v>
      </c>
      <c r="G99" s="3" t="s">
        <v>13490</v>
      </c>
      <c r="H99" s="3" t="s">
        <v>2538</v>
      </c>
      <c r="I99" s="3" t="s">
        <v>12741</v>
      </c>
      <c r="J99" s="3">
        <v>33</v>
      </c>
      <c r="K99" s="3" t="s">
        <v>13491</v>
      </c>
      <c r="L99" s="3">
        <v>71987313084</v>
      </c>
      <c r="M99" s="6">
        <v>31516</v>
      </c>
      <c r="N99" s="3">
        <v>36</v>
      </c>
      <c r="O99" s="3">
        <v>916036928</v>
      </c>
      <c r="P99" s="3">
        <v>1925188523</v>
      </c>
      <c r="Q99" s="3"/>
      <c r="R99" s="3"/>
      <c r="S99" s="3" t="s">
        <v>3137</v>
      </c>
      <c r="T99" s="3" t="s">
        <v>12656</v>
      </c>
      <c r="U99" s="3"/>
      <c r="V99" s="3" t="s">
        <v>13492</v>
      </c>
      <c r="W99" s="3" t="s">
        <v>2541</v>
      </c>
      <c r="X99" s="3" t="s">
        <v>2980</v>
      </c>
      <c r="Y99" s="3"/>
      <c r="Z99" s="3" t="s">
        <v>2543</v>
      </c>
      <c r="AA99" s="3"/>
      <c r="AB99" s="3"/>
      <c r="AC99" s="3" t="s">
        <v>13493</v>
      </c>
      <c r="AD99" s="3">
        <v>22</v>
      </c>
      <c r="AE99" s="3"/>
      <c r="AF99" s="3"/>
      <c r="AG99" s="3" t="s">
        <v>13494</v>
      </c>
      <c r="AH99" s="3" t="s">
        <v>13495</v>
      </c>
      <c r="AI99" s="3" t="s">
        <v>1002</v>
      </c>
      <c r="AJ99" s="3" t="s">
        <v>2569</v>
      </c>
      <c r="AK99" s="3" t="s">
        <v>12729</v>
      </c>
      <c r="AL99" s="3" t="s">
        <v>3890</v>
      </c>
      <c r="AM99" s="3">
        <v>1</v>
      </c>
      <c r="AN99" s="3" t="s">
        <v>7216</v>
      </c>
      <c r="AO99" s="3" t="s">
        <v>120</v>
      </c>
      <c r="AP99" s="3"/>
      <c r="AQ99" s="3" t="s">
        <v>13496</v>
      </c>
      <c r="AR99" s="3"/>
      <c r="AS99" s="3"/>
      <c r="AT99" s="3"/>
      <c r="AU99" s="3"/>
      <c r="AV99" s="3"/>
    </row>
    <row r="100" spans="1:48" ht="12.5" hidden="1" x14ac:dyDescent="0.25">
      <c r="A100" s="3" t="s">
        <v>12652</v>
      </c>
      <c r="B100" s="7" t="str">
        <f>HYPERLINK("https://gerandofalcoes.my.salesforce.com/0014X00002VKCpdQAH", "0014X00002VKCpdQAH")</f>
        <v>0014X00002VKCpdQAH</v>
      </c>
      <c r="C100" s="3" t="s">
        <v>5349</v>
      </c>
      <c r="D100" s="3" t="s">
        <v>46</v>
      </c>
      <c r="E100" s="21" t="str">
        <f>HYPERLINK("https://gerandofalcoes.my.salesforce.com/0034X0000380O64", "0034X0000380O64")</f>
        <v>0034X0000380O64</v>
      </c>
      <c r="F100" s="3" t="s">
        <v>13497</v>
      </c>
      <c r="G100" s="3" t="s">
        <v>13498</v>
      </c>
      <c r="H100" s="3" t="s">
        <v>2538</v>
      </c>
      <c r="I100" s="3" t="s">
        <v>12741</v>
      </c>
      <c r="J100" s="3">
        <v>33</v>
      </c>
      <c r="K100" s="3" t="s">
        <v>13499</v>
      </c>
      <c r="L100" s="3" t="s">
        <v>13500</v>
      </c>
      <c r="M100" s="6">
        <v>28333</v>
      </c>
      <c r="N100" s="3">
        <v>45</v>
      </c>
      <c r="O100" s="3" t="s">
        <v>13501</v>
      </c>
      <c r="P100" s="3">
        <v>2509041444</v>
      </c>
      <c r="Q100" s="3"/>
      <c r="R100" s="3" t="s">
        <v>12800</v>
      </c>
      <c r="S100" s="3" t="s">
        <v>2998</v>
      </c>
      <c r="T100" s="3" t="s">
        <v>12723</v>
      </c>
      <c r="U100" s="3"/>
      <c r="V100" s="3" t="s">
        <v>13502</v>
      </c>
      <c r="W100" s="3" t="s">
        <v>12664</v>
      </c>
      <c r="X100" s="3" t="s">
        <v>2980</v>
      </c>
      <c r="Y100" s="3" t="s">
        <v>12684</v>
      </c>
      <c r="Z100" s="3" t="s">
        <v>2545</v>
      </c>
      <c r="AA100" s="3"/>
      <c r="AB100" s="3"/>
      <c r="AC100" s="3" t="s">
        <v>13503</v>
      </c>
      <c r="AD100" s="3" t="s">
        <v>13504</v>
      </c>
      <c r="AE100" s="3"/>
      <c r="AF100" s="3" t="s">
        <v>231</v>
      </c>
      <c r="AG100" s="3" t="s">
        <v>8722</v>
      </c>
      <c r="AH100" s="3" t="s">
        <v>13505</v>
      </c>
      <c r="AI100" s="3" t="s">
        <v>51</v>
      </c>
      <c r="AJ100" s="3" t="s">
        <v>2569</v>
      </c>
      <c r="AK100" s="3" t="s">
        <v>12916</v>
      </c>
      <c r="AL100" s="3" t="s">
        <v>2550</v>
      </c>
      <c r="AM100" s="3">
        <v>2</v>
      </c>
      <c r="AN100" s="3" t="s">
        <v>7216</v>
      </c>
      <c r="AO100" s="3" t="s">
        <v>120</v>
      </c>
      <c r="AP100" s="3" t="s">
        <v>13506</v>
      </c>
      <c r="AQ100" s="3" t="s">
        <v>13507</v>
      </c>
      <c r="AR100" s="3"/>
      <c r="AS100" s="7" t="s">
        <v>13508</v>
      </c>
      <c r="AT100" s="3"/>
      <c r="AU100" s="3"/>
      <c r="AV100" s="3"/>
    </row>
    <row r="101" spans="1:48" ht="12.5" hidden="1" x14ac:dyDescent="0.25">
      <c r="A101" s="3" t="s">
        <v>12652</v>
      </c>
      <c r="B101" s="7" t="str">
        <f>HYPERLINK("https://gerandofalcoes.my.salesforce.com/0014X00002VKCpfQAH", "0014X00002VKCpfQAH")</f>
        <v>0014X00002VKCpfQAH</v>
      </c>
      <c r="C101" s="3" t="s">
        <v>5371</v>
      </c>
      <c r="D101" s="3" t="s">
        <v>46</v>
      </c>
      <c r="E101" s="21" t="str">
        <f>HYPERLINK("https://gerandofalcoes.my.salesforce.com/0034X0000380O2h", "0034X0000380O2h")</f>
        <v>0034X0000380O2h</v>
      </c>
      <c r="F101" s="3" t="s">
        <v>13509</v>
      </c>
      <c r="G101" s="3" t="s">
        <v>13510</v>
      </c>
      <c r="H101" s="3" t="s">
        <v>2538</v>
      </c>
      <c r="I101" s="3" t="s">
        <v>12741</v>
      </c>
      <c r="J101" s="3">
        <v>33</v>
      </c>
      <c r="K101" s="3" t="s">
        <v>13511</v>
      </c>
      <c r="L101" s="3" t="s">
        <v>5376</v>
      </c>
      <c r="M101" s="6">
        <v>26917</v>
      </c>
      <c r="N101" s="3">
        <v>49</v>
      </c>
      <c r="O101" s="3">
        <v>99001318666</v>
      </c>
      <c r="P101" s="3">
        <v>91149525487</v>
      </c>
      <c r="Q101" s="3"/>
      <c r="R101" s="3" t="s">
        <v>13512</v>
      </c>
      <c r="S101" s="3" t="s">
        <v>12744</v>
      </c>
      <c r="T101" s="3" t="s">
        <v>12656</v>
      </c>
      <c r="U101" s="3"/>
      <c r="V101" s="3" t="s">
        <v>13513</v>
      </c>
      <c r="W101" s="3" t="s">
        <v>12664</v>
      </c>
      <c r="X101" s="3" t="s">
        <v>2980</v>
      </c>
      <c r="Y101" s="3" t="s">
        <v>12670</v>
      </c>
      <c r="Z101" s="3" t="s">
        <v>2545</v>
      </c>
      <c r="AA101" s="3" t="s">
        <v>2577</v>
      </c>
      <c r="AB101" s="3" t="s">
        <v>2543</v>
      </c>
      <c r="AC101" s="3" t="s">
        <v>13514</v>
      </c>
      <c r="AD101" s="3">
        <v>704</v>
      </c>
      <c r="AE101" s="3" t="s">
        <v>13515</v>
      </c>
      <c r="AF101" s="3" t="s">
        <v>231</v>
      </c>
      <c r="AG101" s="3" t="s">
        <v>13516</v>
      </c>
      <c r="AH101" s="3" t="s">
        <v>13517</v>
      </c>
      <c r="AI101" s="3" t="s">
        <v>51</v>
      </c>
      <c r="AJ101" s="3" t="s">
        <v>2569</v>
      </c>
      <c r="AK101" s="3" t="s">
        <v>13518</v>
      </c>
      <c r="AL101" s="3" t="s">
        <v>2579</v>
      </c>
      <c r="AM101" s="3">
        <v>5</v>
      </c>
      <c r="AN101" s="3" t="s">
        <v>7216</v>
      </c>
      <c r="AO101" s="3" t="s">
        <v>120</v>
      </c>
      <c r="AP101" s="3"/>
      <c r="AQ101" s="3"/>
      <c r="AR101" s="3"/>
      <c r="AS101" s="7" t="s">
        <v>13519</v>
      </c>
      <c r="AT101" s="3"/>
      <c r="AU101" s="3"/>
      <c r="AV101" s="3"/>
    </row>
    <row r="102" spans="1:48" ht="12.5" hidden="1" x14ac:dyDescent="0.25">
      <c r="A102" s="3" t="s">
        <v>12652</v>
      </c>
      <c r="B102" s="7" t="str">
        <f>HYPERLINK("https://gerandofalcoes.my.salesforce.com/0014X00002VKCpgQAH", "0014X00002VKCpgQAH")</f>
        <v>0014X00002VKCpgQAH</v>
      </c>
      <c r="C102" s="3" t="s">
        <v>5390</v>
      </c>
      <c r="D102" s="3" t="s">
        <v>46</v>
      </c>
      <c r="E102" s="21" t="str">
        <f>HYPERLINK("https://gerandofalcoes.my.salesforce.com/0034X0000380O4R", "0034X0000380O4R")</f>
        <v>0034X0000380O4R</v>
      </c>
      <c r="F102" s="3" t="s">
        <v>13520</v>
      </c>
      <c r="G102" s="3" t="s">
        <v>13521</v>
      </c>
      <c r="H102" s="3" t="s">
        <v>2538</v>
      </c>
      <c r="I102" s="3" t="s">
        <v>12741</v>
      </c>
      <c r="J102" s="3"/>
      <c r="K102" s="3" t="s">
        <v>5394</v>
      </c>
      <c r="L102" s="3" t="s">
        <v>5395</v>
      </c>
      <c r="M102" s="6">
        <v>31449</v>
      </c>
      <c r="N102" s="3">
        <v>36</v>
      </c>
      <c r="O102" s="3">
        <v>2119621</v>
      </c>
      <c r="P102" s="3">
        <v>5934951440</v>
      </c>
      <c r="Q102" s="3"/>
      <c r="R102" s="3" t="s">
        <v>12800</v>
      </c>
      <c r="S102" s="3" t="s">
        <v>3137</v>
      </c>
      <c r="T102" s="3" t="s">
        <v>12723</v>
      </c>
      <c r="U102" s="3"/>
      <c r="V102" s="3" t="s">
        <v>13522</v>
      </c>
      <c r="W102" s="3" t="s">
        <v>12664</v>
      </c>
      <c r="X102" s="3" t="s">
        <v>2980</v>
      </c>
      <c r="Y102" s="3" t="s">
        <v>12670</v>
      </c>
      <c r="Z102" s="3" t="s">
        <v>2543</v>
      </c>
      <c r="AA102" s="3" t="s">
        <v>2544</v>
      </c>
      <c r="AB102" s="3" t="s">
        <v>2543</v>
      </c>
      <c r="AC102" s="3" t="s">
        <v>13523</v>
      </c>
      <c r="AD102" s="3">
        <v>265</v>
      </c>
      <c r="AE102" s="3"/>
      <c r="AF102" s="3" t="s">
        <v>5397</v>
      </c>
      <c r="AG102" s="3" t="s">
        <v>4026</v>
      </c>
      <c r="AH102" s="3" t="s">
        <v>5399</v>
      </c>
      <c r="AI102" s="3" t="s">
        <v>51</v>
      </c>
      <c r="AJ102" s="3" t="s">
        <v>2741</v>
      </c>
      <c r="AK102" s="3" t="s">
        <v>12674</v>
      </c>
      <c r="AL102" s="3" t="s">
        <v>2588</v>
      </c>
      <c r="AM102" s="3">
        <v>6</v>
      </c>
      <c r="AN102" s="3" t="s">
        <v>7216</v>
      </c>
      <c r="AO102" s="3" t="s">
        <v>120</v>
      </c>
      <c r="AP102" s="7" t="s">
        <v>13524</v>
      </c>
      <c r="AQ102" s="7" t="s">
        <v>13525</v>
      </c>
      <c r="AR102" s="3"/>
      <c r="AS102" s="7" t="s">
        <v>13526</v>
      </c>
      <c r="AT102" s="3"/>
      <c r="AU102" s="3"/>
      <c r="AV102" s="3"/>
    </row>
    <row r="103" spans="1:48" ht="12.5" hidden="1" x14ac:dyDescent="0.25">
      <c r="A103" s="3" t="s">
        <v>12652</v>
      </c>
      <c r="B103" s="7" t="str">
        <f>HYPERLINK("https://gerandofalcoes.my.salesforce.com/0014X00002VKCphQAH", "0014X00002VKCphQAH")</f>
        <v>0014X00002VKCphQAH</v>
      </c>
      <c r="C103" s="3" t="s">
        <v>5409</v>
      </c>
      <c r="D103" s="3" t="s">
        <v>46</v>
      </c>
      <c r="E103" s="21" t="str">
        <f>HYPERLINK("https://gerandofalcoes.my.salesforce.com/0034X0000380O4y", "0034X0000380O4y")</f>
        <v>0034X0000380O4y</v>
      </c>
      <c r="F103" s="3" t="s">
        <v>13527</v>
      </c>
      <c r="G103" s="3" t="s">
        <v>13528</v>
      </c>
      <c r="H103" s="3" t="s">
        <v>2538</v>
      </c>
      <c r="I103" s="3" t="s">
        <v>12741</v>
      </c>
      <c r="J103" s="3">
        <v>33</v>
      </c>
      <c r="K103" s="3" t="s">
        <v>13529</v>
      </c>
      <c r="L103" s="3" t="s">
        <v>5414</v>
      </c>
      <c r="M103" s="6">
        <v>33350</v>
      </c>
      <c r="N103" s="3">
        <v>31</v>
      </c>
      <c r="O103" s="3">
        <v>314654620065</v>
      </c>
      <c r="P103" s="3">
        <v>4966707358</v>
      </c>
      <c r="Q103" s="3"/>
      <c r="R103" s="3" t="s">
        <v>13153</v>
      </c>
      <c r="S103" s="3" t="s">
        <v>2998</v>
      </c>
      <c r="T103" s="3" t="s">
        <v>12656</v>
      </c>
      <c r="U103" s="3"/>
      <c r="V103" s="3" t="s">
        <v>13530</v>
      </c>
      <c r="W103" s="3" t="s">
        <v>12664</v>
      </c>
      <c r="X103" s="3" t="s">
        <v>2980</v>
      </c>
      <c r="Y103" s="3" t="s">
        <v>12670</v>
      </c>
      <c r="Z103" s="3" t="s">
        <v>2543</v>
      </c>
      <c r="AA103" s="3" t="s">
        <v>2577</v>
      </c>
      <c r="AB103" s="3" t="s">
        <v>2545</v>
      </c>
      <c r="AC103" s="3" t="s">
        <v>13531</v>
      </c>
      <c r="AD103" s="3">
        <v>4</v>
      </c>
      <c r="AE103" s="3"/>
      <c r="AF103" s="3" t="s">
        <v>5417</v>
      </c>
      <c r="AG103" s="3" t="s">
        <v>5416</v>
      </c>
      <c r="AH103" s="3" t="s">
        <v>13532</v>
      </c>
      <c r="AI103" s="3" t="s">
        <v>246</v>
      </c>
      <c r="AJ103" s="3" t="s">
        <v>2569</v>
      </c>
      <c r="AK103" s="3" t="s">
        <v>3249</v>
      </c>
      <c r="AL103" s="3" t="s">
        <v>2550</v>
      </c>
      <c r="AM103" s="3">
        <v>4</v>
      </c>
      <c r="AN103" s="3" t="s">
        <v>7216</v>
      </c>
      <c r="AO103" s="3" t="s">
        <v>120</v>
      </c>
      <c r="AP103" s="3"/>
      <c r="AQ103" s="7" t="s">
        <v>13533</v>
      </c>
      <c r="AR103" s="3"/>
      <c r="AS103" s="7" t="s">
        <v>13534</v>
      </c>
      <c r="AT103" s="3"/>
      <c r="AU103" s="3"/>
      <c r="AV103" s="3"/>
    </row>
    <row r="104" spans="1:48" ht="12.5" x14ac:dyDescent="0.25">
      <c r="A104" s="3" t="s">
        <v>12652</v>
      </c>
      <c r="B104" s="7" t="str">
        <f>HYPERLINK("https://gerandofalcoes.my.salesforce.com/0014X00002VKCqHQAX", "0014X00002VKCqHQAX")</f>
        <v>0014X00002VKCqHQAX</v>
      </c>
      <c r="C104" s="3" t="s">
        <v>5432</v>
      </c>
      <c r="D104" s="3" t="s">
        <v>46</v>
      </c>
      <c r="E104" s="21" t="str">
        <f>HYPERLINK("https://gerandofalcoes.my.salesforce.com/0034X0000380O3z", "0034X0000380O3z")</f>
        <v>0034X0000380O3z</v>
      </c>
      <c r="F104" s="3" t="s">
        <v>2678</v>
      </c>
      <c r="G104" s="3" t="s">
        <v>13535</v>
      </c>
      <c r="H104" s="3" t="s">
        <v>2538</v>
      </c>
      <c r="I104" s="3" t="s">
        <v>12741</v>
      </c>
      <c r="J104" s="3">
        <v>33</v>
      </c>
      <c r="K104" s="3" t="s">
        <v>13536</v>
      </c>
      <c r="L104" s="3">
        <v>98988592714</v>
      </c>
      <c r="M104" s="6">
        <v>25177</v>
      </c>
      <c r="N104" s="3">
        <v>54</v>
      </c>
      <c r="O104" s="3" t="s">
        <v>13537</v>
      </c>
      <c r="P104" s="3">
        <v>46753206353</v>
      </c>
      <c r="Q104" s="3"/>
      <c r="R104" s="3"/>
      <c r="S104" s="3" t="s">
        <v>3137</v>
      </c>
      <c r="T104" s="3" t="s">
        <v>12723</v>
      </c>
      <c r="U104" s="3"/>
      <c r="V104" s="3" t="s">
        <v>13538</v>
      </c>
      <c r="W104" s="3" t="s">
        <v>2541</v>
      </c>
      <c r="X104" s="3" t="s">
        <v>2980</v>
      </c>
      <c r="Y104" s="3"/>
      <c r="Z104" s="3" t="s">
        <v>2543</v>
      </c>
      <c r="AA104" s="3" t="s">
        <v>2577</v>
      </c>
      <c r="AB104" s="3" t="s">
        <v>2545</v>
      </c>
      <c r="AC104" s="3" t="s">
        <v>13539</v>
      </c>
      <c r="AD104" s="3">
        <v>48</v>
      </c>
      <c r="AE104" s="3">
        <v>203</v>
      </c>
      <c r="AF104" s="3"/>
      <c r="AG104" s="3" t="s">
        <v>5438</v>
      </c>
      <c r="AH104" s="3" t="s">
        <v>13540</v>
      </c>
      <c r="AI104" s="3" t="s">
        <v>246</v>
      </c>
      <c r="AJ104" s="3" t="s">
        <v>2741</v>
      </c>
      <c r="AK104" s="3" t="s">
        <v>12828</v>
      </c>
      <c r="AL104" s="3" t="s">
        <v>2550</v>
      </c>
      <c r="AM104" s="3">
        <v>4</v>
      </c>
      <c r="AN104" s="3" t="s">
        <v>7216</v>
      </c>
      <c r="AO104" s="3" t="s">
        <v>62</v>
      </c>
      <c r="AP104" s="3"/>
      <c r="AQ104" s="7" t="s">
        <v>13541</v>
      </c>
      <c r="AR104" s="3"/>
      <c r="AS104" s="7" t="s">
        <v>13542</v>
      </c>
      <c r="AT104" s="3"/>
      <c r="AU104" s="3"/>
      <c r="AV104" s="3"/>
    </row>
    <row r="105" spans="1:48" ht="12.5" x14ac:dyDescent="0.25">
      <c r="A105" s="3" t="s">
        <v>12652</v>
      </c>
      <c r="B105" s="7" t="str">
        <f>HYPERLINK("https://gerandofalcoes.my.salesforce.com/0014X00002VKCqJQAX", "0014X00002VKCqJQAX")</f>
        <v>0014X00002VKCqJQAX</v>
      </c>
      <c r="C105" s="3" t="s">
        <v>5451</v>
      </c>
      <c r="D105" s="3" t="s">
        <v>46</v>
      </c>
      <c r="E105" s="21" t="str">
        <f>HYPERLINK("https://gerandofalcoes.my.salesforce.com/0034X0000380O3S", "0034X0000380O3S")</f>
        <v>0034X0000380O3S</v>
      </c>
      <c r="F105" s="3" t="s">
        <v>2678</v>
      </c>
      <c r="G105" s="3" t="s">
        <v>13543</v>
      </c>
      <c r="H105" s="3" t="s">
        <v>2538</v>
      </c>
      <c r="I105" s="3" t="s">
        <v>12741</v>
      </c>
      <c r="J105" s="3">
        <v>33</v>
      </c>
      <c r="K105" s="3" t="s">
        <v>13544</v>
      </c>
      <c r="L105" s="3">
        <v>85999739931</v>
      </c>
      <c r="M105" s="6">
        <v>29571</v>
      </c>
      <c r="N105" s="3">
        <v>42</v>
      </c>
      <c r="O105" s="3">
        <v>97002019747</v>
      </c>
      <c r="P105" s="3">
        <v>64704246353</v>
      </c>
      <c r="Q105" s="3"/>
      <c r="R105" s="3"/>
      <c r="S105" s="3" t="s">
        <v>3137</v>
      </c>
      <c r="T105" s="3" t="s">
        <v>12682</v>
      </c>
      <c r="U105" s="3"/>
      <c r="V105" s="3" t="s">
        <v>13545</v>
      </c>
      <c r="W105" s="3" t="s">
        <v>2541</v>
      </c>
      <c r="X105" s="3" t="s">
        <v>3508</v>
      </c>
      <c r="Y105" s="3"/>
      <c r="Z105" s="3" t="s">
        <v>2543</v>
      </c>
      <c r="AA105" s="3" t="s">
        <v>2544</v>
      </c>
      <c r="AB105" s="3" t="s">
        <v>2543</v>
      </c>
      <c r="AC105" s="3" t="s">
        <v>13546</v>
      </c>
      <c r="AD105" s="3">
        <v>1814</v>
      </c>
      <c r="AE105" s="3"/>
      <c r="AF105" s="3"/>
      <c r="AG105" s="3" t="s">
        <v>5457</v>
      </c>
      <c r="AH105" s="3">
        <v>62700000</v>
      </c>
      <c r="AI105" s="3" t="s">
        <v>468</v>
      </c>
      <c r="AJ105" s="3" t="s">
        <v>2569</v>
      </c>
      <c r="AK105" s="3" t="s">
        <v>3249</v>
      </c>
      <c r="AL105" s="3" t="s">
        <v>2588</v>
      </c>
      <c r="AM105" s="3">
        <v>1</v>
      </c>
      <c r="AN105" s="3" t="s">
        <v>7216</v>
      </c>
      <c r="AO105" s="3" t="s">
        <v>120</v>
      </c>
      <c r="AP105" s="7" t="s">
        <v>13547</v>
      </c>
      <c r="AQ105" s="7" t="s">
        <v>13548</v>
      </c>
      <c r="AR105" s="3"/>
      <c r="AS105" s="7" t="s">
        <v>13549</v>
      </c>
      <c r="AT105" s="3"/>
      <c r="AU105" s="3"/>
      <c r="AV105" s="3"/>
    </row>
    <row r="106" spans="1:48" ht="12.5" x14ac:dyDescent="0.25">
      <c r="A106" s="3" t="s">
        <v>12652</v>
      </c>
      <c r="B106" s="7" t="str">
        <f>HYPERLINK("https://gerandofalcoes.my.salesforce.com/0014X00002VKCqKQAX", "0014X00002VKCqKQAX")</f>
        <v>0014X00002VKCqKQAX</v>
      </c>
      <c r="C106" s="3" t="s">
        <v>5469</v>
      </c>
      <c r="D106" s="3" t="s">
        <v>46</v>
      </c>
      <c r="E106" s="21" t="str">
        <f>HYPERLINK("https://gerandofalcoes.my.salesforce.com/0034X0000380O1s", "0034X0000380O1s")</f>
        <v>0034X0000380O1s</v>
      </c>
      <c r="F106" s="3" t="s">
        <v>13550</v>
      </c>
      <c r="G106" s="3" t="s">
        <v>13551</v>
      </c>
      <c r="H106" s="3" t="s">
        <v>2538</v>
      </c>
      <c r="I106" s="3" t="s">
        <v>12741</v>
      </c>
      <c r="J106" s="3">
        <v>33</v>
      </c>
      <c r="K106" s="3" t="s">
        <v>13552</v>
      </c>
      <c r="L106" s="3">
        <v>98985100920</v>
      </c>
      <c r="M106" s="6">
        <v>32552</v>
      </c>
      <c r="N106" s="3">
        <v>33</v>
      </c>
      <c r="O106" s="3">
        <v>286932120050</v>
      </c>
      <c r="P106" s="3">
        <v>2470582385</v>
      </c>
      <c r="Q106" s="3"/>
      <c r="R106" s="3"/>
      <c r="S106" s="3" t="s">
        <v>3137</v>
      </c>
      <c r="T106" s="3" t="s">
        <v>12656</v>
      </c>
      <c r="U106" s="3"/>
      <c r="V106" s="3" t="s">
        <v>13553</v>
      </c>
      <c r="W106" s="3" t="s">
        <v>2541</v>
      </c>
      <c r="X106" s="3" t="s">
        <v>2980</v>
      </c>
      <c r="Y106" s="3"/>
      <c r="Z106" s="3" t="s">
        <v>2543</v>
      </c>
      <c r="AA106" s="3" t="s">
        <v>2544</v>
      </c>
      <c r="AB106" s="3" t="s">
        <v>2543</v>
      </c>
      <c r="AC106" s="3" t="s">
        <v>13554</v>
      </c>
      <c r="AD106" s="3">
        <v>12</v>
      </c>
      <c r="AE106" s="3"/>
      <c r="AF106" s="3"/>
      <c r="AG106" s="3" t="s">
        <v>13555</v>
      </c>
      <c r="AH106" s="3" t="s">
        <v>13556</v>
      </c>
      <c r="AI106" s="3" t="s">
        <v>246</v>
      </c>
      <c r="AJ106" s="3" t="s">
        <v>2569</v>
      </c>
      <c r="AK106" s="3" t="s">
        <v>12729</v>
      </c>
      <c r="AL106" s="3" t="s">
        <v>2550</v>
      </c>
      <c r="AM106" s="3">
        <v>3</v>
      </c>
      <c r="AN106" s="3" t="s">
        <v>7216</v>
      </c>
      <c r="AO106" s="3" t="s">
        <v>120</v>
      </c>
      <c r="AP106" s="7" t="s">
        <v>13557</v>
      </c>
      <c r="AQ106" s="7" t="s">
        <v>13558</v>
      </c>
      <c r="AR106" s="3"/>
      <c r="AS106" s="7" t="s">
        <v>13559</v>
      </c>
      <c r="AT106" s="3"/>
      <c r="AU106" s="3"/>
      <c r="AV106" s="3"/>
    </row>
    <row r="107" spans="1:48" ht="12.5" x14ac:dyDescent="0.25">
      <c r="A107" s="3" t="s">
        <v>12652</v>
      </c>
      <c r="B107" s="7" t="str">
        <f>HYPERLINK("https://gerandofalcoes.my.salesforce.com/0014X00002VKCqLQAX", "0014X00002VKCqLQAX")</f>
        <v>0014X00002VKCqLQAX</v>
      </c>
      <c r="C107" s="3" t="s">
        <v>5485</v>
      </c>
      <c r="D107" s="3" t="s">
        <v>46</v>
      </c>
      <c r="E107" s="21" t="str">
        <f>HYPERLINK("https://gerandofalcoes.my.salesforce.com/0034X0000380O17", "0034X0000380O17")</f>
        <v>0034X0000380O17</v>
      </c>
      <c r="F107" s="3" t="s">
        <v>13560</v>
      </c>
      <c r="G107" s="3" t="s">
        <v>13561</v>
      </c>
      <c r="H107" s="3" t="s">
        <v>2538</v>
      </c>
      <c r="I107" s="3" t="s">
        <v>12741</v>
      </c>
      <c r="J107" s="3">
        <v>33</v>
      </c>
      <c r="K107" s="3" t="s">
        <v>13562</v>
      </c>
      <c r="L107" s="3">
        <v>85988223134</v>
      </c>
      <c r="M107" s="6">
        <v>31320</v>
      </c>
      <c r="N107" s="3">
        <v>37</v>
      </c>
      <c r="O107" s="3">
        <v>2000002363667</v>
      </c>
      <c r="P107" s="3">
        <v>1010500384</v>
      </c>
      <c r="Q107" s="3"/>
      <c r="R107" s="3"/>
      <c r="S107" s="3" t="s">
        <v>3137</v>
      </c>
      <c r="T107" s="3" t="s">
        <v>12723</v>
      </c>
      <c r="U107" s="3"/>
      <c r="V107" s="3" t="s">
        <v>13563</v>
      </c>
      <c r="W107" s="3" t="s">
        <v>2541</v>
      </c>
      <c r="X107" s="3" t="s">
        <v>2980</v>
      </c>
      <c r="Y107" s="3"/>
      <c r="Z107" s="3" t="s">
        <v>2543</v>
      </c>
      <c r="AA107" s="3"/>
      <c r="AB107" s="3"/>
      <c r="AC107" s="3" t="s">
        <v>13564</v>
      </c>
      <c r="AD107" s="3">
        <v>662</v>
      </c>
      <c r="AE107" s="3">
        <v>302</v>
      </c>
      <c r="AF107" s="3"/>
      <c r="AG107" s="3" t="s">
        <v>13565</v>
      </c>
      <c r="AH107" s="3">
        <v>61620030</v>
      </c>
      <c r="AI107" s="3" t="s">
        <v>468</v>
      </c>
      <c r="AJ107" s="3" t="s">
        <v>2569</v>
      </c>
      <c r="AK107" s="3" t="s">
        <v>12661</v>
      </c>
      <c r="AL107" s="3" t="s">
        <v>2550</v>
      </c>
      <c r="AM107" s="3">
        <v>4</v>
      </c>
      <c r="AN107" s="3" t="s">
        <v>7216</v>
      </c>
      <c r="AO107" s="3" t="s">
        <v>120</v>
      </c>
      <c r="AP107" s="3"/>
      <c r="AQ107" s="3"/>
      <c r="AR107" s="3"/>
      <c r="AS107" s="7" t="s">
        <v>13566</v>
      </c>
      <c r="AT107" s="3"/>
      <c r="AU107" s="3"/>
      <c r="AV107" s="3"/>
    </row>
    <row r="108" spans="1:48" ht="12.5" x14ac:dyDescent="0.25">
      <c r="A108" s="3" t="s">
        <v>12652</v>
      </c>
      <c r="B108" s="7" t="str">
        <f>HYPERLINK("https://gerandofalcoes.my.salesforce.com/0014X00002VKCqMQAX", "0014X00002VKCqMQAX")</f>
        <v>0014X00002VKCqMQAX</v>
      </c>
      <c r="C108" s="3" t="s">
        <v>5505</v>
      </c>
      <c r="D108" s="3" t="s">
        <v>46</v>
      </c>
      <c r="E108" s="21" t="str">
        <f>HYPERLINK("https://gerandofalcoes.my.salesforce.com/0034X0000380O4q", "0034X0000380O4q")</f>
        <v>0034X0000380O4q</v>
      </c>
      <c r="F108" s="3" t="s">
        <v>13567</v>
      </c>
      <c r="G108" s="3" t="s">
        <v>13568</v>
      </c>
      <c r="H108" s="3" t="s">
        <v>2538</v>
      </c>
      <c r="I108" s="3" t="s">
        <v>12741</v>
      </c>
      <c r="J108" s="3"/>
      <c r="K108" s="3" t="s">
        <v>13569</v>
      </c>
      <c r="L108" s="3">
        <v>98987159149</v>
      </c>
      <c r="M108" s="6">
        <v>30371</v>
      </c>
      <c r="N108" s="3">
        <v>39</v>
      </c>
      <c r="O108" s="3">
        <v>180743520010</v>
      </c>
      <c r="P108" s="3">
        <v>52333302</v>
      </c>
      <c r="Q108" s="3"/>
      <c r="R108" s="3"/>
      <c r="S108" s="3" t="s">
        <v>2998</v>
      </c>
      <c r="T108" s="3" t="s">
        <v>12656</v>
      </c>
      <c r="U108" s="3"/>
      <c r="V108" s="3" t="s">
        <v>13570</v>
      </c>
      <c r="W108" s="3" t="s">
        <v>2541</v>
      </c>
      <c r="X108" s="3" t="s">
        <v>3365</v>
      </c>
      <c r="Y108" s="3"/>
      <c r="Z108" s="3" t="s">
        <v>2545</v>
      </c>
      <c r="AA108" s="3" t="s">
        <v>2577</v>
      </c>
      <c r="AB108" s="3" t="s">
        <v>2545</v>
      </c>
      <c r="AC108" s="3" t="s">
        <v>13571</v>
      </c>
      <c r="AD108" s="3">
        <v>1</v>
      </c>
      <c r="AE108" s="3"/>
      <c r="AF108" s="3"/>
      <c r="AG108" s="3" t="s">
        <v>13572</v>
      </c>
      <c r="AH108" s="3" t="s">
        <v>13573</v>
      </c>
      <c r="AI108" s="3" t="s">
        <v>246</v>
      </c>
      <c r="AJ108" s="3" t="s">
        <v>2569</v>
      </c>
      <c r="AK108" s="3" t="s">
        <v>12729</v>
      </c>
      <c r="AL108" s="3" t="s">
        <v>2588</v>
      </c>
      <c r="AM108" s="3">
        <v>2</v>
      </c>
      <c r="AN108" s="3" t="s">
        <v>7216</v>
      </c>
      <c r="AO108" s="3" t="s">
        <v>120</v>
      </c>
      <c r="AP108" s="7" t="s">
        <v>13574</v>
      </c>
      <c r="AQ108" s="7" t="s">
        <v>13575</v>
      </c>
      <c r="AR108" s="3"/>
      <c r="AS108" s="7" t="s">
        <v>13576</v>
      </c>
      <c r="AT108" s="3"/>
      <c r="AU108" s="3"/>
      <c r="AV108" s="3"/>
    </row>
    <row r="109" spans="1:48" ht="12.5" hidden="1" x14ac:dyDescent="0.25">
      <c r="A109" s="3" t="s">
        <v>12652</v>
      </c>
      <c r="B109" s="7" t="str">
        <f>HYPERLINK("https://gerandofalcoes.my.salesforce.com/0014X00002VKCqNQAX", "0014X00002VKCqNQAX")</f>
        <v>0014X00002VKCqNQAX</v>
      </c>
      <c r="C109" s="3" t="s">
        <v>5522</v>
      </c>
      <c r="D109" s="3" t="s">
        <v>46</v>
      </c>
      <c r="E109" s="21" t="str">
        <f>HYPERLINK("https://gerandofalcoes.my.salesforce.com/0034X0000380O50", "0034X0000380O50")</f>
        <v>0034X0000380O50</v>
      </c>
      <c r="F109" s="3" t="s">
        <v>13577</v>
      </c>
      <c r="G109" s="3" t="s">
        <v>13578</v>
      </c>
      <c r="H109" s="3" t="s">
        <v>2538</v>
      </c>
      <c r="I109" s="3" t="s">
        <v>12741</v>
      </c>
      <c r="J109" s="3">
        <v>33</v>
      </c>
      <c r="K109" s="3" t="s">
        <v>13579</v>
      </c>
      <c r="L109" s="3" t="s">
        <v>13580</v>
      </c>
      <c r="M109" s="6">
        <v>32288</v>
      </c>
      <c r="N109" s="3">
        <v>34</v>
      </c>
      <c r="O109" s="3">
        <v>2005010461282</v>
      </c>
      <c r="P109" s="3">
        <v>3720633306</v>
      </c>
      <c r="Q109" s="3"/>
      <c r="R109" s="3" t="s">
        <v>13581</v>
      </c>
      <c r="S109" s="3" t="s">
        <v>3417</v>
      </c>
      <c r="T109" s="3" t="s">
        <v>12656</v>
      </c>
      <c r="U109" s="3"/>
      <c r="V109" s="3" t="s">
        <v>13582</v>
      </c>
      <c r="W109" s="3" t="s">
        <v>12664</v>
      </c>
      <c r="X109" s="3" t="s">
        <v>2980</v>
      </c>
      <c r="Y109" s="3" t="s">
        <v>12670</v>
      </c>
      <c r="Z109" s="3" t="s">
        <v>2543</v>
      </c>
      <c r="AA109" s="3" t="s">
        <v>2577</v>
      </c>
      <c r="AB109" s="3" t="s">
        <v>2545</v>
      </c>
      <c r="AC109" s="3" t="s">
        <v>13583</v>
      </c>
      <c r="AD109" s="3">
        <v>107</v>
      </c>
      <c r="AE109" s="3" t="s">
        <v>13584</v>
      </c>
      <c r="AF109" s="3" t="s">
        <v>470</v>
      </c>
      <c r="AG109" s="3" t="s">
        <v>9041</v>
      </c>
      <c r="AH109" s="3" t="s">
        <v>13585</v>
      </c>
      <c r="AI109" s="3" t="s">
        <v>468</v>
      </c>
      <c r="AJ109" s="3" t="s">
        <v>2569</v>
      </c>
      <c r="AK109" s="3" t="s">
        <v>12828</v>
      </c>
      <c r="AL109" s="3" t="s">
        <v>2550</v>
      </c>
      <c r="AM109" s="3">
        <v>3</v>
      </c>
      <c r="AN109" s="3" t="s">
        <v>7216</v>
      </c>
      <c r="AO109" s="3" t="s">
        <v>120</v>
      </c>
      <c r="AP109" s="3"/>
      <c r="AQ109" s="7" t="s">
        <v>13586</v>
      </c>
      <c r="AR109" s="3"/>
      <c r="AS109" s="7" t="s">
        <v>13587</v>
      </c>
      <c r="AT109" s="3"/>
      <c r="AU109" s="3"/>
      <c r="AV109" s="3"/>
    </row>
    <row r="110" spans="1:48" ht="12.5" x14ac:dyDescent="0.25">
      <c r="A110" s="3" t="s">
        <v>12652</v>
      </c>
      <c r="B110" s="7" t="str">
        <f>HYPERLINK("https://gerandofalcoes.my.salesforce.com/0014X00002VKCqOQAX", "0014X00002VKCqOQAX")</f>
        <v>0014X00002VKCqOQAX</v>
      </c>
      <c r="C110" s="3" t="s">
        <v>5544</v>
      </c>
      <c r="D110" s="3" t="s">
        <v>46</v>
      </c>
      <c r="E110" s="21" t="str">
        <f>HYPERLINK("https://gerandofalcoes.my.salesforce.com/0034X0000380O6X", "0034X0000380O6X")</f>
        <v>0034X0000380O6X</v>
      </c>
      <c r="F110" s="3" t="s">
        <v>13588</v>
      </c>
      <c r="G110" s="3" t="s">
        <v>13589</v>
      </c>
      <c r="H110" s="3" t="s">
        <v>2538</v>
      </c>
      <c r="I110" s="3" t="s">
        <v>12741</v>
      </c>
      <c r="J110" s="3">
        <v>33</v>
      </c>
      <c r="K110" s="3" t="s">
        <v>5546</v>
      </c>
      <c r="L110" s="3">
        <v>85985308649</v>
      </c>
      <c r="M110" s="6">
        <v>31083</v>
      </c>
      <c r="N110" s="3">
        <v>37</v>
      </c>
      <c r="O110" s="3">
        <v>98030007390</v>
      </c>
      <c r="P110" s="3">
        <v>458999326</v>
      </c>
      <c r="Q110" s="3"/>
      <c r="R110" s="3"/>
      <c r="S110" s="3" t="s">
        <v>2998</v>
      </c>
      <c r="T110" s="3" t="s">
        <v>12656</v>
      </c>
      <c r="U110" s="3"/>
      <c r="V110" s="3" t="s">
        <v>13590</v>
      </c>
      <c r="W110" s="3" t="s">
        <v>2541</v>
      </c>
      <c r="X110" s="3" t="s">
        <v>2980</v>
      </c>
      <c r="Y110" s="3"/>
      <c r="Z110" s="3" t="s">
        <v>2543</v>
      </c>
      <c r="AA110" s="3"/>
      <c r="AB110" s="3"/>
      <c r="AC110" s="3" t="s">
        <v>13591</v>
      </c>
      <c r="AD110" s="3">
        <v>557</v>
      </c>
      <c r="AE110" s="3"/>
      <c r="AF110" s="3"/>
      <c r="AG110" s="3" t="s">
        <v>13592</v>
      </c>
      <c r="AH110" s="3" t="s">
        <v>13593</v>
      </c>
      <c r="AI110" s="3" t="s">
        <v>468</v>
      </c>
      <c r="AJ110" s="3" t="s">
        <v>2569</v>
      </c>
      <c r="AK110" s="3" t="s">
        <v>12674</v>
      </c>
      <c r="AL110" s="3" t="s">
        <v>2550</v>
      </c>
      <c r="AM110" s="3">
        <v>4</v>
      </c>
      <c r="AN110" s="3" t="s">
        <v>7216</v>
      </c>
      <c r="AO110" s="3" t="s">
        <v>120</v>
      </c>
      <c r="AP110" s="3"/>
      <c r="AQ110" s="3"/>
      <c r="AR110" s="3"/>
      <c r="AS110" s="7" t="s">
        <v>13594</v>
      </c>
      <c r="AT110" s="3"/>
      <c r="AU110" s="3"/>
      <c r="AV110" s="3"/>
    </row>
    <row r="111" spans="1:48" ht="12.5" hidden="1" x14ac:dyDescent="0.25">
      <c r="A111" s="3" t="s">
        <v>12652</v>
      </c>
      <c r="B111" s="7" t="str">
        <f>HYPERLINK("https://gerandofalcoes.my.salesforce.com/0014X00002VKCqPQAX", "0014X00002VKCqPQAX")</f>
        <v>0014X00002VKCqPQAX</v>
      </c>
      <c r="C111" s="3" t="s">
        <v>5555</v>
      </c>
      <c r="D111" s="3" t="s">
        <v>46</v>
      </c>
      <c r="E111" s="21" t="str">
        <f>HYPERLINK("https://gerandofalcoes.my.salesforce.com/0034X0000380O2z", "0034X0000380O2z")</f>
        <v>0034X0000380O2z</v>
      </c>
      <c r="F111" s="3" t="s">
        <v>10859</v>
      </c>
      <c r="G111" s="3" t="s">
        <v>13595</v>
      </c>
      <c r="H111" s="3" t="s">
        <v>2538</v>
      </c>
      <c r="I111" s="3" t="s">
        <v>12741</v>
      </c>
      <c r="J111" s="3">
        <v>33</v>
      </c>
      <c r="K111" s="3" t="s">
        <v>13596</v>
      </c>
      <c r="L111" s="3" t="s">
        <v>13597</v>
      </c>
      <c r="M111" s="8">
        <v>35387</v>
      </c>
      <c r="N111" s="3">
        <v>26</v>
      </c>
      <c r="O111" s="3">
        <v>2005099012067</v>
      </c>
      <c r="P111" s="3">
        <v>6338581370</v>
      </c>
      <c r="Q111" s="3"/>
      <c r="R111" s="3" t="s">
        <v>13598</v>
      </c>
      <c r="S111" s="3" t="s">
        <v>2998</v>
      </c>
      <c r="T111" s="3" t="s">
        <v>13599</v>
      </c>
      <c r="U111" s="3"/>
      <c r="V111" s="3" t="s">
        <v>13600</v>
      </c>
      <c r="W111" s="3" t="s">
        <v>12664</v>
      </c>
      <c r="X111" s="3" t="s">
        <v>2980</v>
      </c>
      <c r="Y111" s="3" t="s">
        <v>12684</v>
      </c>
      <c r="Z111" s="3" t="s">
        <v>2543</v>
      </c>
      <c r="AA111" s="3"/>
      <c r="AB111" s="3"/>
      <c r="AC111" s="3" t="s">
        <v>13601</v>
      </c>
      <c r="AD111" s="3">
        <v>61</v>
      </c>
      <c r="AE111" s="3"/>
      <c r="AF111" s="3" t="s">
        <v>13602</v>
      </c>
      <c r="AG111" s="3" t="s">
        <v>13603</v>
      </c>
      <c r="AH111" s="3" t="s">
        <v>5564</v>
      </c>
      <c r="AI111" s="3" t="s">
        <v>468</v>
      </c>
      <c r="AJ111" s="3" t="s">
        <v>2569</v>
      </c>
      <c r="AK111" s="3" t="s">
        <v>13437</v>
      </c>
      <c r="AL111" s="3" t="s">
        <v>2550</v>
      </c>
      <c r="AM111" s="3">
        <v>3</v>
      </c>
      <c r="AN111" s="3" t="s">
        <v>7216</v>
      </c>
      <c r="AO111" s="3" t="s">
        <v>120</v>
      </c>
      <c r="AP111" s="3"/>
      <c r="AQ111" s="7" t="s">
        <v>13604</v>
      </c>
      <c r="AR111" s="3"/>
      <c r="AS111" s="7" t="s">
        <v>13605</v>
      </c>
      <c r="AT111" s="3"/>
      <c r="AU111" s="3"/>
      <c r="AV111" s="3"/>
    </row>
    <row r="112" spans="1:48" ht="12.5" hidden="1" x14ac:dyDescent="0.25">
      <c r="A112" s="3" t="s">
        <v>12652</v>
      </c>
      <c r="B112" s="7" t="str">
        <f>HYPERLINK("https://gerandofalcoes.my.salesforce.com/0014X00002VKCqQQAX", "0014X00002VKCqQQAX")</f>
        <v>0014X00002VKCqQQAX</v>
      </c>
      <c r="C112" s="3" t="s">
        <v>5576</v>
      </c>
      <c r="D112" s="3" t="s">
        <v>46</v>
      </c>
      <c r="E112" s="21" t="str">
        <f>HYPERLINK("https://gerandofalcoes.my.salesforce.com/0034X0000380O5l", "0034X0000380O5l")</f>
        <v>0034X0000380O5l</v>
      </c>
      <c r="F112" s="3" t="s">
        <v>2658</v>
      </c>
      <c r="G112" s="3" t="s">
        <v>13606</v>
      </c>
      <c r="H112" s="3" t="s">
        <v>2538</v>
      </c>
      <c r="I112" s="3" t="s">
        <v>12741</v>
      </c>
      <c r="J112" s="3">
        <v>33</v>
      </c>
      <c r="K112" s="3" t="s">
        <v>13607</v>
      </c>
      <c r="L112" s="3" t="s">
        <v>5581</v>
      </c>
      <c r="M112" s="6">
        <v>34086</v>
      </c>
      <c r="N112" s="3">
        <v>29</v>
      </c>
      <c r="O112" s="3">
        <v>2003009077656</v>
      </c>
      <c r="P112" s="3">
        <v>3779489341</v>
      </c>
      <c r="Q112" s="3"/>
      <c r="R112" s="3"/>
      <c r="S112" s="3" t="s">
        <v>3137</v>
      </c>
      <c r="T112" s="3" t="s">
        <v>13608</v>
      </c>
      <c r="U112" s="3"/>
      <c r="V112" s="3" t="s">
        <v>13609</v>
      </c>
      <c r="W112" s="3" t="s">
        <v>12664</v>
      </c>
      <c r="X112" s="3" t="s">
        <v>3365</v>
      </c>
      <c r="Y112" s="3" t="s">
        <v>12658</v>
      </c>
      <c r="Z112" s="3" t="s">
        <v>2543</v>
      </c>
      <c r="AA112" s="3" t="s">
        <v>2544</v>
      </c>
      <c r="AB112" s="3"/>
      <c r="AC112" s="3" t="s">
        <v>5582</v>
      </c>
      <c r="AD112" s="3">
        <v>344</v>
      </c>
      <c r="AE112" s="3"/>
      <c r="AF112" s="3" t="s">
        <v>470</v>
      </c>
      <c r="AG112" s="3" t="s">
        <v>5583</v>
      </c>
      <c r="AH112" s="3" t="s">
        <v>5584</v>
      </c>
      <c r="AI112" s="3" t="s">
        <v>468</v>
      </c>
      <c r="AJ112" s="3" t="s">
        <v>2569</v>
      </c>
      <c r="AK112" s="3" t="s">
        <v>12661</v>
      </c>
      <c r="AL112" s="3" t="s">
        <v>2550</v>
      </c>
      <c r="AM112" s="3">
        <v>1</v>
      </c>
      <c r="AN112" s="3" t="s">
        <v>7216</v>
      </c>
      <c r="AO112" s="3" t="s">
        <v>120</v>
      </c>
      <c r="AP112" s="3"/>
      <c r="AQ112" s="7" t="s">
        <v>13610</v>
      </c>
      <c r="AR112" s="3"/>
      <c r="AS112" s="7" t="s">
        <v>13611</v>
      </c>
      <c r="AT112" s="3"/>
      <c r="AU112" s="3"/>
      <c r="AV112" s="3"/>
    </row>
    <row r="113" spans="1:48" ht="12.5" hidden="1" x14ac:dyDescent="0.25">
      <c r="A113" s="3" t="s">
        <v>12652</v>
      </c>
      <c r="B113" s="7" t="str">
        <f>HYPERLINK("https://gerandofalcoes.my.salesforce.com/0014X00002VKCqRQAX", "0014X00002VKCqRQAX")</f>
        <v>0014X00002VKCqRQAX</v>
      </c>
      <c r="C113" s="3" t="s">
        <v>5590</v>
      </c>
      <c r="D113" s="3" t="s">
        <v>46</v>
      </c>
      <c r="E113" s="21" t="str">
        <f>HYPERLINK("https://gerandofalcoes.my.salesforce.com/0034X0000380O6G", "0034X0000380O6G")</f>
        <v>0034X0000380O6G</v>
      </c>
      <c r="F113" s="3" t="s">
        <v>13612</v>
      </c>
      <c r="G113" s="3" t="s">
        <v>13613</v>
      </c>
      <c r="H113" s="3" t="s">
        <v>2538</v>
      </c>
      <c r="I113" s="3" t="s">
        <v>12741</v>
      </c>
      <c r="J113" s="3">
        <v>33</v>
      </c>
      <c r="K113" s="3" t="s">
        <v>13614</v>
      </c>
      <c r="L113" s="3" t="s">
        <v>5595</v>
      </c>
      <c r="M113" s="6">
        <v>29079</v>
      </c>
      <c r="N113" s="3">
        <v>43</v>
      </c>
      <c r="O113" s="3">
        <v>97029078760</v>
      </c>
      <c r="P113" s="3">
        <v>81545371334</v>
      </c>
      <c r="Q113" s="3"/>
      <c r="R113" s="3" t="s">
        <v>13615</v>
      </c>
      <c r="S113" s="3" t="s">
        <v>3605</v>
      </c>
      <c r="T113" s="3" t="s">
        <v>12723</v>
      </c>
      <c r="U113" s="3"/>
      <c r="V113" s="3" t="s">
        <v>13616</v>
      </c>
      <c r="W113" s="3" t="s">
        <v>12664</v>
      </c>
      <c r="X113" s="3" t="s">
        <v>3508</v>
      </c>
      <c r="Y113" s="3" t="s">
        <v>12670</v>
      </c>
      <c r="Z113" s="3" t="s">
        <v>2543</v>
      </c>
      <c r="AA113" s="3" t="s">
        <v>2544</v>
      </c>
      <c r="AB113" s="3" t="s">
        <v>2543</v>
      </c>
      <c r="AC113" s="3" t="s">
        <v>5596</v>
      </c>
      <c r="AD113" s="3">
        <v>252</v>
      </c>
      <c r="AE113" s="3"/>
      <c r="AF113" s="3" t="s">
        <v>5598</v>
      </c>
      <c r="AG113" s="3" t="s">
        <v>5597</v>
      </c>
      <c r="AH113" s="3" t="s">
        <v>5600</v>
      </c>
      <c r="AI113" s="3" t="s">
        <v>468</v>
      </c>
      <c r="AJ113" s="3" t="s">
        <v>2569</v>
      </c>
      <c r="AK113" s="3" t="s">
        <v>12661</v>
      </c>
      <c r="AL113" s="3" t="s">
        <v>2588</v>
      </c>
      <c r="AM113" s="3">
        <v>1</v>
      </c>
      <c r="AN113" s="3" t="s">
        <v>7216</v>
      </c>
      <c r="AO113" s="3" t="s">
        <v>120</v>
      </c>
      <c r="AP113" s="3" t="s">
        <v>13617</v>
      </c>
      <c r="AQ113" s="7" t="s">
        <v>13618</v>
      </c>
      <c r="AR113" s="3"/>
      <c r="AS113" s="7" t="s">
        <v>13619</v>
      </c>
      <c r="AT113" s="3"/>
      <c r="AU113" s="3"/>
      <c r="AV113" s="3"/>
    </row>
    <row r="114" spans="1:48" ht="12.5" x14ac:dyDescent="0.25">
      <c r="A114" s="3" t="s">
        <v>12652</v>
      </c>
      <c r="B114" s="7" t="str">
        <f>HYPERLINK("https://gerandofalcoes.my.salesforce.com/0014X00002VKCqSQAX", "0014X00002VKCqSQAX")</f>
        <v>0014X00002VKCqSQAX</v>
      </c>
      <c r="C114" s="3" t="s">
        <v>5611</v>
      </c>
      <c r="D114" s="3" t="s">
        <v>46</v>
      </c>
      <c r="E114" s="21" t="str">
        <f>HYPERLINK("https://gerandofalcoes.my.salesforce.com/0034X0000380O1b", "0034X0000380O1b")</f>
        <v>0034X0000380O1b</v>
      </c>
      <c r="F114" s="3" t="s">
        <v>13620</v>
      </c>
      <c r="G114" s="3" t="s">
        <v>13621</v>
      </c>
      <c r="H114" s="3" t="s">
        <v>2538</v>
      </c>
      <c r="I114" s="3" t="s">
        <v>12741</v>
      </c>
      <c r="J114" s="3">
        <v>33</v>
      </c>
      <c r="K114" s="3" t="s">
        <v>13622</v>
      </c>
      <c r="L114" s="3">
        <v>85988446011</v>
      </c>
      <c r="M114" s="8">
        <v>30028</v>
      </c>
      <c r="N114" s="3">
        <v>40</v>
      </c>
      <c r="O114" s="3">
        <v>98002038081</v>
      </c>
      <c r="P114" s="3">
        <v>62871188300</v>
      </c>
      <c r="Q114" s="3"/>
      <c r="R114" s="3"/>
      <c r="S114" s="3" t="s">
        <v>2998</v>
      </c>
      <c r="T114" s="3" t="s">
        <v>12723</v>
      </c>
      <c r="U114" s="3"/>
      <c r="V114" s="3" t="s">
        <v>13623</v>
      </c>
      <c r="W114" s="3" t="s">
        <v>2541</v>
      </c>
      <c r="X114" s="3" t="s">
        <v>2980</v>
      </c>
      <c r="Y114" s="3"/>
      <c r="Z114" s="3" t="s">
        <v>2543</v>
      </c>
      <c r="AA114" s="3"/>
      <c r="AB114" s="3"/>
      <c r="AC114" s="3" t="s">
        <v>13624</v>
      </c>
      <c r="AD114" s="3">
        <v>108</v>
      </c>
      <c r="AE114" s="3"/>
      <c r="AF114" s="3"/>
      <c r="AG114" s="3" t="s">
        <v>13625</v>
      </c>
      <c r="AH114" s="3">
        <v>60349010</v>
      </c>
      <c r="AI114" s="3" t="s">
        <v>468</v>
      </c>
      <c r="AJ114" s="3" t="s">
        <v>2569</v>
      </c>
      <c r="AK114" s="3" t="s">
        <v>12729</v>
      </c>
      <c r="AL114" s="3" t="s">
        <v>2550</v>
      </c>
      <c r="AM114" s="3">
        <v>4</v>
      </c>
      <c r="AN114" s="3" t="s">
        <v>7216</v>
      </c>
      <c r="AO114" s="3" t="s">
        <v>120</v>
      </c>
      <c r="AP114" s="3"/>
      <c r="AQ114" s="7" t="s">
        <v>13626</v>
      </c>
      <c r="AR114" s="3"/>
      <c r="AS114" s="7" t="s">
        <v>13627</v>
      </c>
      <c r="AT114" s="3"/>
      <c r="AU114" s="3"/>
      <c r="AV114" s="3"/>
    </row>
    <row r="115" spans="1:48" ht="12.5" x14ac:dyDescent="0.25">
      <c r="A115" s="3" t="s">
        <v>12652</v>
      </c>
      <c r="B115" s="7" t="str">
        <f>HYPERLINK("https://gerandofalcoes.my.salesforce.com/0014X00002VKCqaQAH", "0014X00002VKCqaQAH")</f>
        <v>0014X00002VKCqaQAH</v>
      </c>
      <c r="C115" s="3" t="s">
        <v>5624</v>
      </c>
      <c r="D115" s="3" t="s">
        <v>46</v>
      </c>
      <c r="E115" s="21" t="str">
        <f>HYPERLINK("https://gerandofalcoes.my.salesforce.com/0034X0000380O5b", "0034X0000380O5b")</f>
        <v>0034X0000380O5b</v>
      </c>
      <c r="F115" s="3" t="s">
        <v>2581</v>
      </c>
      <c r="G115" s="3" t="s">
        <v>13628</v>
      </c>
      <c r="H115" s="3" t="s">
        <v>2538</v>
      </c>
      <c r="I115" s="3" t="s">
        <v>12741</v>
      </c>
      <c r="J115" s="3">
        <v>33</v>
      </c>
      <c r="K115" s="3" t="s">
        <v>13629</v>
      </c>
      <c r="L115" s="3" t="s">
        <v>13630</v>
      </c>
      <c r="M115" s="6">
        <v>31110</v>
      </c>
      <c r="N115" s="3">
        <v>37</v>
      </c>
      <c r="O115" s="3" t="s">
        <v>13631</v>
      </c>
      <c r="P115" s="3">
        <v>7212318612</v>
      </c>
      <c r="Q115" s="3"/>
      <c r="R115" s="3"/>
      <c r="S115" s="3" t="s">
        <v>3137</v>
      </c>
      <c r="T115" s="3" t="s">
        <v>12723</v>
      </c>
      <c r="U115" s="3"/>
      <c r="V115" s="3" t="s">
        <v>13632</v>
      </c>
      <c r="W115" s="3" t="s">
        <v>2541</v>
      </c>
      <c r="X115" s="3" t="s">
        <v>2980</v>
      </c>
      <c r="Y115" s="3"/>
      <c r="Z115" s="3" t="s">
        <v>2543</v>
      </c>
      <c r="AA115" s="3" t="s">
        <v>2544</v>
      </c>
      <c r="AB115" s="3" t="s">
        <v>2545</v>
      </c>
      <c r="AC115" s="3" t="s">
        <v>13633</v>
      </c>
      <c r="AD115" s="3" t="s">
        <v>13634</v>
      </c>
      <c r="AE115" s="3">
        <v>4</v>
      </c>
      <c r="AF115" s="3"/>
      <c r="AG115" s="3" t="s">
        <v>13635</v>
      </c>
      <c r="AH115" s="3" t="s">
        <v>13636</v>
      </c>
      <c r="AI115" s="3" t="s">
        <v>84</v>
      </c>
      <c r="AJ115" s="3" t="s">
        <v>2741</v>
      </c>
      <c r="AK115" s="3" t="s">
        <v>12661</v>
      </c>
      <c r="AL115" s="3" t="s">
        <v>2588</v>
      </c>
      <c r="AM115" s="3">
        <v>2</v>
      </c>
      <c r="AN115" s="3" t="s">
        <v>7216</v>
      </c>
      <c r="AO115" s="3" t="s">
        <v>120</v>
      </c>
      <c r="AP115" s="3"/>
      <c r="AQ115" s="7" t="s">
        <v>13637</v>
      </c>
      <c r="AR115" s="3"/>
      <c r="AS115" s="7" t="s">
        <v>13638</v>
      </c>
      <c r="AT115" s="3"/>
      <c r="AU115" s="3"/>
      <c r="AV115" s="3"/>
    </row>
    <row r="116" spans="1:48" ht="12.5" x14ac:dyDescent="0.25">
      <c r="A116" s="3" t="s">
        <v>12652</v>
      </c>
      <c r="B116" s="7" t="str">
        <f>HYPERLINK("https://gerandofalcoes.my.salesforce.com/0014X00002VKCqbQAH", "0014X00002VKCqbQAH")</f>
        <v>0014X00002VKCqbQAH</v>
      </c>
      <c r="C116" s="3" t="s">
        <v>5634</v>
      </c>
      <c r="D116" s="3" t="s">
        <v>46</v>
      </c>
      <c r="E116" s="21" t="str">
        <f>HYPERLINK("https://gerandofalcoes.my.salesforce.com/0034X0000380O5L", "0034X0000380O5L")</f>
        <v>0034X0000380O5L</v>
      </c>
      <c r="F116" s="3" t="s">
        <v>13639</v>
      </c>
      <c r="G116" s="3" t="s">
        <v>13640</v>
      </c>
      <c r="H116" s="3" t="s">
        <v>2538</v>
      </c>
      <c r="I116" s="3" t="s">
        <v>12741</v>
      </c>
      <c r="J116" s="3">
        <v>33</v>
      </c>
      <c r="K116" s="3" t="s">
        <v>13641</v>
      </c>
      <c r="L116" s="3">
        <v>32988861018</v>
      </c>
      <c r="M116" s="6">
        <v>23230</v>
      </c>
      <c r="N116" s="3">
        <v>59</v>
      </c>
      <c r="O116" s="3" t="s">
        <v>13642</v>
      </c>
      <c r="P116" s="3">
        <v>52989780610</v>
      </c>
      <c r="Q116" s="3"/>
      <c r="R116" s="3"/>
      <c r="S116" s="3" t="s">
        <v>3137</v>
      </c>
      <c r="T116" s="3" t="s">
        <v>12682</v>
      </c>
      <c r="U116" s="3"/>
      <c r="V116" s="3" t="s">
        <v>13643</v>
      </c>
      <c r="W116" s="3" t="s">
        <v>2541</v>
      </c>
      <c r="X116" s="3" t="s">
        <v>2980</v>
      </c>
      <c r="Y116" s="3"/>
      <c r="Z116" s="3" t="s">
        <v>2543</v>
      </c>
      <c r="AA116" s="3" t="s">
        <v>13188</v>
      </c>
      <c r="AB116" s="3" t="s">
        <v>2543</v>
      </c>
      <c r="AC116" s="3" t="s">
        <v>13644</v>
      </c>
      <c r="AD116" s="3">
        <v>48</v>
      </c>
      <c r="AE116" s="3"/>
      <c r="AF116" s="3"/>
      <c r="AG116" s="3" t="s">
        <v>5641</v>
      </c>
      <c r="AH116" s="3">
        <v>36200128</v>
      </c>
      <c r="AI116" s="3" t="s">
        <v>84</v>
      </c>
      <c r="AJ116" s="3" t="s">
        <v>2548</v>
      </c>
      <c r="AK116" s="3" t="s">
        <v>12674</v>
      </c>
      <c r="AL116" s="3" t="s">
        <v>2550</v>
      </c>
      <c r="AM116" s="3">
        <v>3</v>
      </c>
      <c r="AN116" s="3" t="s">
        <v>7216</v>
      </c>
      <c r="AO116" s="3" t="s">
        <v>120</v>
      </c>
      <c r="AP116" s="3"/>
      <c r="AQ116" s="3"/>
      <c r="AR116" s="3"/>
      <c r="AS116" s="7" t="s">
        <v>13645</v>
      </c>
      <c r="AT116" s="3"/>
      <c r="AU116" s="3"/>
      <c r="AV116" s="3"/>
    </row>
    <row r="117" spans="1:48" ht="12.5" x14ac:dyDescent="0.25">
      <c r="A117" s="3" t="s">
        <v>12652</v>
      </c>
      <c r="B117" s="7" t="str">
        <f>HYPERLINK("https://gerandofalcoes.my.salesforce.com/0014X00002VKCqeQAH", "0014X00002VKCqeQAH")</f>
        <v>0014X00002VKCqeQAH</v>
      </c>
      <c r="C117" s="3" t="s">
        <v>5654</v>
      </c>
      <c r="D117" s="3" t="s">
        <v>46</v>
      </c>
      <c r="E117" s="21" t="str">
        <f>HYPERLINK("https://gerandofalcoes.my.salesforce.com/0034X0000380O6Y", "0034X0000380O6Y")</f>
        <v>0034X0000380O6Y</v>
      </c>
      <c r="F117" s="3" t="s">
        <v>2959</v>
      </c>
      <c r="G117" s="3" t="s">
        <v>13646</v>
      </c>
      <c r="H117" s="3" t="s">
        <v>2538</v>
      </c>
      <c r="I117" s="3" t="s">
        <v>12741</v>
      </c>
      <c r="J117" s="3">
        <v>33</v>
      </c>
      <c r="K117" s="3" t="s">
        <v>5657</v>
      </c>
      <c r="L117" s="3" t="s">
        <v>13647</v>
      </c>
      <c r="M117" s="6">
        <v>30422</v>
      </c>
      <c r="N117" s="3">
        <v>39</v>
      </c>
      <c r="O117" s="3">
        <v>2059936</v>
      </c>
      <c r="P117" s="10">
        <v>72219866149</v>
      </c>
      <c r="Q117" s="3"/>
      <c r="R117" s="3"/>
      <c r="S117" s="3" t="s">
        <v>3137</v>
      </c>
      <c r="T117" s="3" t="s">
        <v>12723</v>
      </c>
      <c r="U117" s="3"/>
      <c r="V117" s="3" t="s">
        <v>13648</v>
      </c>
      <c r="W117" s="3" t="s">
        <v>2541</v>
      </c>
      <c r="X117" s="3" t="s">
        <v>2980</v>
      </c>
      <c r="Y117" s="3"/>
      <c r="Z117" s="3" t="s">
        <v>2543</v>
      </c>
      <c r="AA117" s="3" t="s">
        <v>2544</v>
      </c>
      <c r="AB117" s="3" t="s">
        <v>2543</v>
      </c>
      <c r="AC117" s="3" t="s">
        <v>13649</v>
      </c>
      <c r="AD117" s="3">
        <v>31</v>
      </c>
      <c r="AE117" s="3">
        <v>2</v>
      </c>
      <c r="AF117" s="3"/>
      <c r="AG117" s="3" t="s">
        <v>2195</v>
      </c>
      <c r="AH117" s="3">
        <v>72236800</v>
      </c>
      <c r="AI117" s="3" t="s">
        <v>1381</v>
      </c>
      <c r="AJ117" s="3" t="s">
        <v>2569</v>
      </c>
      <c r="AK117" s="3" t="s">
        <v>12729</v>
      </c>
      <c r="AL117" s="3" t="s">
        <v>2579</v>
      </c>
      <c r="AM117" s="3">
        <v>3</v>
      </c>
      <c r="AN117" s="3" t="s">
        <v>7216</v>
      </c>
      <c r="AO117" s="3" t="s">
        <v>120</v>
      </c>
      <c r="AP117" s="3"/>
      <c r="AQ117" s="7" t="s">
        <v>13650</v>
      </c>
      <c r="AR117" s="3"/>
      <c r="AS117" s="7" t="s">
        <v>13651</v>
      </c>
      <c r="AT117" s="3"/>
      <c r="AU117" s="3"/>
      <c r="AV117" s="3"/>
    </row>
    <row r="118" spans="1:48" ht="12.5" x14ac:dyDescent="0.25">
      <c r="A118" s="3" t="s">
        <v>12652</v>
      </c>
      <c r="B118" s="7" t="str">
        <f>HYPERLINK("https://gerandofalcoes.my.salesforce.com/0014X00002VKCqfQAH", "0014X00002VKCqfQAH")</f>
        <v>0014X00002VKCqfQAH</v>
      </c>
      <c r="C118" s="3" t="s">
        <v>5670</v>
      </c>
      <c r="D118" s="3" t="s">
        <v>46</v>
      </c>
      <c r="E118" s="21" t="str">
        <f>HYPERLINK("https://gerandofalcoes.my.salesforce.com/0034X0000380O3C", "0034X0000380O3C")</f>
        <v>0034X0000380O3C</v>
      </c>
      <c r="F118" s="3" t="s">
        <v>13652</v>
      </c>
      <c r="G118" s="3" t="s">
        <v>13653</v>
      </c>
      <c r="H118" s="3" t="s">
        <v>2538</v>
      </c>
      <c r="I118" s="3" t="s">
        <v>12741</v>
      </c>
      <c r="J118" s="3">
        <v>33</v>
      </c>
      <c r="K118" s="3" t="s">
        <v>13654</v>
      </c>
      <c r="L118" s="3">
        <v>63984884657</v>
      </c>
      <c r="M118" s="8">
        <v>30871</v>
      </c>
      <c r="N118" s="3">
        <v>38</v>
      </c>
      <c r="O118" s="3">
        <v>354906</v>
      </c>
      <c r="P118" s="3">
        <v>855290102</v>
      </c>
      <c r="Q118" s="3"/>
      <c r="R118" s="3"/>
      <c r="S118" s="3" t="s">
        <v>2998</v>
      </c>
      <c r="T118" s="3" t="s">
        <v>12656</v>
      </c>
      <c r="U118" s="3"/>
      <c r="V118" s="3" t="s">
        <v>13655</v>
      </c>
      <c r="W118" s="3" t="s">
        <v>2541</v>
      </c>
      <c r="X118" s="3" t="s">
        <v>2980</v>
      </c>
      <c r="Y118" s="3"/>
      <c r="Z118" s="3" t="s">
        <v>2543</v>
      </c>
      <c r="AA118" s="3"/>
      <c r="AB118" s="3"/>
      <c r="AC118" s="3" t="s">
        <v>13656</v>
      </c>
      <c r="AD118" s="3" t="s">
        <v>13657</v>
      </c>
      <c r="AE118" s="3"/>
      <c r="AF118" s="3"/>
      <c r="AG118" s="3" t="s">
        <v>10950</v>
      </c>
      <c r="AH118" s="3">
        <v>77024586</v>
      </c>
      <c r="AI118" s="3" t="s">
        <v>5676</v>
      </c>
      <c r="AJ118" s="3" t="s">
        <v>2569</v>
      </c>
      <c r="AK118" s="3" t="s">
        <v>12661</v>
      </c>
      <c r="AL118" s="3" t="s">
        <v>2550</v>
      </c>
      <c r="AM118" s="3">
        <v>4</v>
      </c>
      <c r="AN118" s="3" t="s">
        <v>7216</v>
      </c>
      <c r="AO118" s="3" t="s">
        <v>120</v>
      </c>
      <c r="AP118" s="3"/>
      <c r="AQ118" s="7" t="s">
        <v>13658</v>
      </c>
      <c r="AR118" s="3"/>
      <c r="AS118" s="7" t="s">
        <v>13659</v>
      </c>
      <c r="AT118" s="3"/>
      <c r="AU118" s="3"/>
      <c r="AV118" s="3"/>
    </row>
    <row r="119" spans="1:48" ht="12.5" hidden="1" x14ac:dyDescent="0.25">
      <c r="A119" s="3" t="s">
        <v>12652</v>
      </c>
      <c r="B119" s="7" t="str">
        <f>HYPERLINK("https://gerandofalcoes.my.salesforce.com/0014X00002VKCqgQAH", "0014X00002VKCqgQAH")</f>
        <v>0014X00002VKCqgQAH</v>
      </c>
      <c r="C119" s="3" t="s">
        <v>5688</v>
      </c>
      <c r="D119" s="3" t="s">
        <v>46</v>
      </c>
      <c r="E119" s="21" t="str">
        <f>HYPERLINK("https://gerandofalcoes.my.salesforce.com/0034X0000380O30", "0034X0000380O30")</f>
        <v>0034X0000380O30</v>
      </c>
      <c r="F119" s="3" t="s">
        <v>12787</v>
      </c>
      <c r="G119" s="3" t="s">
        <v>13660</v>
      </c>
      <c r="H119" s="3" t="s">
        <v>2538</v>
      </c>
      <c r="I119" s="3" t="s">
        <v>12741</v>
      </c>
      <c r="J119" s="3">
        <v>33</v>
      </c>
      <c r="K119" s="3" t="s">
        <v>5691</v>
      </c>
      <c r="L119" s="3" t="s">
        <v>13661</v>
      </c>
      <c r="M119" s="6">
        <v>29259</v>
      </c>
      <c r="N119" s="3">
        <v>42</v>
      </c>
      <c r="O119" s="3">
        <v>294579552</v>
      </c>
      <c r="P119" s="3">
        <v>62510550225</v>
      </c>
      <c r="Q119" s="3"/>
      <c r="R119" s="3" t="s">
        <v>12800</v>
      </c>
      <c r="S119" s="3" t="s">
        <v>3137</v>
      </c>
      <c r="T119" s="3" t="s">
        <v>12682</v>
      </c>
      <c r="U119" s="3"/>
      <c r="V119" s="3" t="s">
        <v>13662</v>
      </c>
      <c r="W119" s="3" t="s">
        <v>12664</v>
      </c>
      <c r="X119" s="3" t="s">
        <v>2980</v>
      </c>
      <c r="Y119" s="3" t="s">
        <v>12670</v>
      </c>
      <c r="Z119" s="3" t="s">
        <v>2543</v>
      </c>
      <c r="AA119" s="3" t="s">
        <v>13663</v>
      </c>
      <c r="AB119" s="3" t="s">
        <v>2543</v>
      </c>
      <c r="AC119" s="3" t="s">
        <v>13664</v>
      </c>
      <c r="AD119" s="3">
        <v>2057</v>
      </c>
      <c r="AE119" s="3" t="s">
        <v>673</v>
      </c>
      <c r="AF119" s="3" t="s">
        <v>13665</v>
      </c>
      <c r="AG119" s="3" t="s">
        <v>13666</v>
      </c>
      <c r="AH119" s="3" t="s">
        <v>13667</v>
      </c>
      <c r="AI119" s="3" t="s">
        <v>5693</v>
      </c>
      <c r="AJ119" s="3" t="s">
        <v>2548</v>
      </c>
      <c r="AK119" s="3" t="s">
        <v>12674</v>
      </c>
      <c r="AL119" s="3" t="s">
        <v>2579</v>
      </c>
      <c r="AM119" s="3">
        <v>4</v>
      </c>
      <c r="AN119" s="3" t="s">
        <v>7216</v>
      </c>
      <c r="AO119" s="3" t="s">
        <v>12698</v>
      </c>
      <c r="AP119" s="7" t="s">
        <v>13668</v>
      </c>
      <c r="AQ119" s="3" t="s">
        <v>13669</v>
      </c>
      <c r="AR119" s="3"/>
      <c r="AS119" s="7" t="s">
        <v>13670</v>
      </c>
      <c r="AT119" s="3"/>
      <c r="AU119" s="3"/>
      <c r="AV119" s="3"/>
    </row>
    <row r="120" spans="1:48" ht="12.5" hidden="1" x14ac:dyDescent="0.25">
      <c r="A120" s="3" t="s">
        <v>12652</v>
      </c>
      <c r="B120" s="7" t="str">
        <f>HYPERLINK("https://gerandofalcoes.my.salesforce.com/0014X00002VKCqhQAH", "0014X00002VKCqhQAH")</f>
        <v>0014X00002VKCqhQAH</v>
      </c>
      <c r="C120" s="3" t="s">
        <v>5711</v>
      </c>
      <c r="D120" s="3" t="s">
        <v>46</v>
      </c>
      <c r="E120" s="21" t="str">
        <f>HYPERLINK("https://gerandofalcoes.my.salesforce.com/0034X0000380O1D", "0034X0000380O1D")</f>
        <v>0034X0000380O1D</v>
      </c>
      <c r="F120" s="3" t="s">
        <v>13671</v>
      </c>
      <c r="G120" s="3" t="s">
        <v>13672</v>
      </c>
      <c r="H120" s="3" t="s">
        <v>2538</v>
      </c>
      <c r="I120" s="3" t="s">
        <v>12741</v>
      </c>
      <c r="J120" s="3">
        <v>33</v>
      </c>
      <c r="K120" s="3" t="s">
        <v>13673</v>
      </c>
      <c r="L120" s="3" t="s">
        <v>13674</v>
      </c>
      <c r="M120" s="6">
        <v>31089</v>
      </c>
      <c r="N120" s="3">
        <v>37</v>
      </c>
      <c r="O120" s="3">
        <v>12450784</v>
      </c>
      <c r="P120" s="3">
        <v>8453092699</v>
      </c>
      <c r="Q120" s="3"/>
      <c r="R120" s="3" t="s">
        <v>13675</v>
      </c>
      <c r="S120" s="3" t="s">
        <v>3137</v>
      </c>
      <c r="T120" s="3" t="s">
        <v>12656</v>
      </c>
      <c r="U120" s="3"/>
      <c r="V120" s="3" t="s">
        <v>13676</v>
      </c>
      <c r="W120" s="3" t="s">
        <v>12664</v>
      </c>
      <c r="X120" s="3" t="s">
        <v>2980</v>
      </c>
      <c r="Y120" s="3" t="s">
        <v>12684</v>
      </c>
      <c r="Z120" s="3" t="s">
        <v>2543</v>
      </c>
      <c r="AA120" s="3"/>
      <c r="AB120" s="3"/>
      <c r="AC120" s="3" t="s">
        <v>13677</v>
      </c>
      <c r="AD120" s="3" t="s">
        <v>779</v>
      </c>
      <c r="AE120" s="3" t="s">
        <v>7437</v>
      </c>
      <c r="AF120" s="3" t="s">
        <v>13678</v>
      </c>
      <c r="AG120" s="3" t="s">
        <v>13679</v>
      </c>
      <c r="AH120" s="3" t="s">
        <v>13680</v>
      </c>
      <c r="AI120" s="3" t="s">
        <v>1002</v>
      </c>
      <c r="AJ120" s="3" t="s">
        <v>2569</v>
      </c>
      <c r="AK120" s="3" t="s">
        <v>12729</v>
      </c>
      <c r="AL120" s="3" t="s">
        <v>2550</v>
      </c>
      <c r="AM120" s="3">
        <v>3</v>
      </c>
      <c r="AN120" s="3" t="s">
        <v>7216</v>
      </c>
      <c r="AO120" s="3" t="s">
        <v>120</v>
      </c>
      <c r="AP120" s="3"/>
      <c r="AQ120" s="7" t="s">
        <v>5720</v>
      </c>
      <c r="AR120" s="3"/>
      <c r="AS120" s="7" t="s">
        <v>13681</v>
      </c>
      <c r="AT120" s="3"/>
      <c r="AU120" s="3"/>
      <c r="AV120" s="3"/>
    </row>
    <row r="121" spans="1:48" ht="12.5" x14ac:dyDescent="0.25">
      <c r="A121" s="3" t="s">
        <v>12652</v>
      </c>
      <c r="B121" s="7" t="str">
        <f>HYPERLINK("https://gerandofalcoes.my.salesforce.com/0014X00002VKCqjQAH", "0014X00002VKCqjQAH")</f>
        <v>0014X00002VKCqjQAH</v>
      </c>
      <c r="C121" s="3" t="s">
        <v>5726</v>
      </c>
      <c r="D121" s="3" t="s">
        <v>46</v>
      </c>
      <c r="E121" s="21" t="str">
        <f>HYPERLINK("https://gerandofalcoes.my.salesforce.com/0034X0000380O11", "0034X0000380O11")</f>
        <v>0034X0000380O11</v>
      </c>
      <c r="F121" s="3" t="s">
        <v>13682</v>
      </c>
      <c r="G121" s="3" t="s">
        <v>13683</v>
      </c>
      <c r="H121" s="3" t="s">
        <v>2538</v>
      </c>
      <c r="I121" s="3" t="s">
        <v>12741</v>
      </c>
      <c r="J121" s="3">
        <v>33</v>
      </c>
      <c r="K121" s="3" t="s">
        <v>13684</v>
      </c>
      <c r="L121" s="3">
        <v>34996958816</v>
      </c>
      <c r="M121" s="6">
        <v>29867</v>
      </c>
      <c r="N121" s="3">
        <v>41</v>
      </c>
      <c r="O121" s="3" t="s">
        <v>13685</v>
      </c>
      <c r="P121" s="3">
        <v>6006780674</v>
      </c>
      <c r="Q121" s="3"/>
      <c r="R121" s="3"/>
      <c r="S121" s="3" t="s">
        <v>2998</v>
      </c>
      <c r="T121" s="3" t="s">
        <v>12682</v>
      </c>
      <c r="U121" s="3"/>
      <c r="V121" s="3" t="s">
        <v>13686</v>
      </c>
      <c r="W121" s="3" t="s">
        <v>2541</v>
      </c>
      <c r="X121" s="3" t="s">
        <v>2980</v>
      </c>
      <c r="Y121" s="3"/>
      <c r="Z121" s="3" t="s">
        <v>2543</v>
      </c>
      <c r="AA121" s="3" t="s">
        <v>2544</v>
      </c>
      <c r="AB121" s="3" t="s">
        <v>2545</v>
      </c>
      <c r="AC121" s="3" t="s">
        <v>13687</v>
      </c>
      <c r="AD121" s="3">
        <v>161</v>
      </c>
      <c r="AE121" s="3"/>
      <c r="AF121" s="3"/>
      <c r="AG121" s="3" t="s">
        <v>5733</v>
      </c>
      <c r="AH121" s="3" t="s">
        <v>5734</v>
      </c>
      <c r="AI121" s="3" t="s">
        <v>84</v>
      </c>
      <c r="AJ121" s="3" t="s">
        <v>2569</v>
      </c>
      <c r="AK121" s="3" t="s">
        <v>12661</v>
      </c>
      <c r="AL121" s="3" t="s">
        <v>2550</v>
      </c>
      <c r="AM121" s="3">
        <v>3</v>
      </c>
      <c r="AN121" s="3" t="s">
        <v>7216</v>
      </c>
      <c r="AO121" s="3" t="s">
        <v>62</v>
      </c>
      <c r="AP121" s="3"/>
      <c r="AQ121" s="3" t="s">
        <v>5738</v>
      </c>
      <c r="AR121" s="3"/>
      <c r="AS121" s="7" t="s">
        <v>13688</v>
      </c>
      <c r="AT121" s="3"/>
      <c r="AU121" s="3"/>
      <c r="AV121" s="3"/>
    </row>
    <row r="122" spans="1:48" ht="12.5" hidden="1" x14ac:dyDescent="0.25">
      <c r="A122" s="3" t="s">
        <v>12652</v>
      </c>
      <c r="B122" s="7" t="str">
        <f>HYPERLINK("https://gerandofalcoes.my.salesforce.com/0014X00002VKCqkQAH", "0014X00002VKCqkQAH")</f>
        <v>0014X00002VKCqkQAH</v>
      </c>
      <c r="C122" s="3" t="s">
        <v>5742</v>
      </c>
      <c r="D122" s="3" t="s">
        <v>46</v>
      </c>
      <c r="E122" s="21" t="str">
        <f>HYPERLINK("https://gerandofalcoes.my.salesforce.com/0034X0000380O2o", "0034X0000380O2o")</f>
        <v>0034X0000380O2o</v>
      </c>
      <c r="F122" s="3" t="s">
        <v>13689</v>
      </c>
      <c r="G122" s="3" t="s">
        <v>13690</v>
      </c>
      <c r="H122" s="3" t="s">
        <v>2538</v>
      </c>
      <c r="I122" s="3" t="s">
        <v>12741</v>
      </c>
      <c r="J122" s="3"/>
      <c r="K122" s="3" t="s">
        <v>13691</v>
      </c>
      <c r="L122" s="3" t="s">
        <v>5747</v>
      </c>
      <c r="M122" s="6">
        <v>28495</v>
      </c>
      <c r="N122" s="3">
        <v>44</v>
      </c>
      <c r="O122" s="3">
        <v>3877518</v>
      </c>
      <c r="P122" s="3">
        <v>970244657</v>
      </c>
      <c r="Q122" s="3"/>
      <c r="R122" s="3" t="s">
        <v>2786</v>
      </c>
      <c r="S122" s="3" t="s">
        <v>3605</v>
      </c>
      <c r="T122" s="3" t="s">
        <v>12682</v>
      </c>
      <c r="U122" s="3"/>
      <c r="V122" s="3" t="s">
        <v>13692</v>
      </c>
      <c r="W122" s="3" t="s">
        <v>12664</v>
      </c>
      <c r="X122" s="3" t="s">
        <v>2980</v>
      </c>
      <c r="Y122" s="3" t="s">
        <v>12670</v>
      </c>
      <c r="Z122" s="3" t="s">
        <v>2543</v>
      </c>
      <c r="AA122" s="3" t="s">
        <v>2577</v>
      </c>
      <c r="AB122" s="3" t="s">
        <v>2545</v>
      </c>
      <c r="AC122" s="3" t="s">
        <v>13693</v>
      </c>
      <c r="AD122" s="3">
        <v>115</v>
      </c>
      <c r="AE122" s="3"/>
      <c r="AF122" s="3" t="s">
        <v>177</v>
      </c>
      <c r="AG122" s="3" t="s">
        <v>1407</v>
      </c>
      <c r="AH122" s="3" t="s">
        <v>13694</v>
      </c>
      <c r="AI122" s="3" t="s">
        <v>84</v>
      </c>
      <c r="AJ122" s="3" t="s">
        <v>2741</v>
      </c>
      <c r="AK122" s="3" t="s">
        <v>12661</v>
      </c>
      <c r="AL122" s="3" t="s">
        <v>2550</v>
      </c>
      <c r="AM122" s="3">
        <v>1</v>
      </c>
      <c r="AN122" s="3" t="s">
        <v>7216</v>
      </c>
      <c r="AO122" s="3" t="s">
        <v>120</v>
      </c>
      <c r="AP122" s="3"/>
      <c r="AQ122" s="3" t="s">
        <v>13695</v>
      </c>
      <c r="AR122" s="3"/>
      <c r="AS122" s="7" t="s">
        <v>13696</v>
      </c>
      <c r="AT122" s="3"/>
      <c r="AU122" s="3"/>
      <c r="AV122" s="3"/>
    </row>
    <row r="123" spans="1:48" ht="12.5" hidden="1" x14ac:dyDescent="0.25">
      <c r="A123" s="3" t="s">
        <v>12652</v>
      </c>
      <c r="B123" s="7" t="str">
        <f>HYPERLINK("https://gerandofalcoes.my.salesforce.com/0014X00002VKCqlQAH", "0014X00002VKCqlQAH")</f>
        <v>0014X00002VKCqlQAH</v>
      </c>
      <c r="C123" s="3" t="s">
        <v>5759</v>
      </c>
      <c r="D123" s="3" t="s">
        <v>46</v>
      </c>
      <c r="E123" s="21" t="str">
        <f>HYPERLINK("https://gerandofalcoes.my.salesforce.com/0034X0000380O3l", "0034X0000380O3l")</f>
        <v>0034X0000380O3l</v>
      </c>
      <c r="F123" s="3" t="s">
        <v>13697</v>
      </c>
      <c r="G123" s="3" t="s">
        <v>13698</v>
      </c>
      <c r="H123" s="3" t="s">
        <v>2538</v>
      </c>
      <c r="I123" s="3" t="s">
        <v>12741</v>
      </c>
      <c r="J123" s="3"/>
      <c r="K123" s="3" t="s">
        <v>13699</v>
      </c>
      <c r="L123" s="3" t="s">
        <v>5764</v>
      </c>
      <c r="M123" s="6">
        <v>32652</v>
      </c>
      <c r="N123" s="3">
        <v>33</v>
      </c>
      <c r="O123" s="3">
        <v>12291631</v>
      </c>
      <c r="P123" s="3">
        <v>6887064600</v>
      </c>
      <c r="Q123" s="3"/>
      <c r="R123" s="3" t="s">
        <v>13700</v>
      </c>
      <c r="S123" s="3" t="s">
        <v>3137</v>
      </c>
      <c r="T123" s="3" t="s">
        <v>12682</v>
      </c>
      <c r="U123" s="3"/>
      <c r="V123" s="3" t="s">
        <v>13701</v>
      </c>
      <c r="W123" s="3" t="s">
        <v>12664</v>
      </c>
      <c r="X123" s="3" t="s">
        <v>2980</v>
      </c>
      <c r="Y123" s="3" t="s">
        <v>12670</v>
      </c>
      <c r="Z123" s="3" t="s">
        <v>2543</v>
      </c>
      <c r="AA123" s="3" t="s">
        <v>2737</v>
      </c>
      <c r="AB123" s="3" t="s">
        <v>2543</v>
      </c>
      <c r="AC123" s="3" t="s">
        <v>13702</v>
      </c>
      <c r="AD123" s="3">
        <v>126</v>
      </c>
      <c r="AE123" s="3"/>
      <c r="AF123" s="3" t="s">
        <v>5767</v>
      </c>
      <c r="AG123" s="3" t="s">
        <v>647</v>
      </c>
      <c r="AH123" s="3" t="s">
        <v>13703</v>
      </c>
      <c r="AI123" s="3" t="s">
        <v>84</v>
      </c>
      <c r="AJ123" s="3" t="s">
        <v>2741</v>
      </c>
      <c r="AK123" s="3" t="s">
        <v>12661</v>
      </c>
      <c r="AL123" s="3" t="s">
        <v>2588</v>
      </c>
      <c r="AM123" s="3">
        <v>3</v>
      </c>
      <c r="AN123" s="3" t="s">
        <v>7216</v>
      </c>
      <c r="AO123" s="3" t="s">
        <v>120</v>
      </c>
      <c r="AP123" s="7" t="s">
        <v>13704</v>
      </c>
      <c r="AQ123" s="3" t="s">
        <v>13705</v>
      </c>
      <c r="AR123" s="3"/>
      <c r="AS123" s="7" t="s">
        <v>13706</v>
      </c>
      <c r="AT123" s="3"/>
      <c r="AU123" s="3"/>
      <c r="AV123" s="3"/>
    </row>
    <row r="124" spans="1:48" ht="12.5" x14ac:dyDescent="0.25">
      <c r="A124" s="3" t="s">
        <v>12652</v>
      </c>
      <c r="B124" s="7" t="str">
        <f>HYPERLINK("https://gerandofalcoes.my.salesforce.com/0014X00002VKCqmQAH", "0014X00002VKCqmQAH")</f>
        <v>0014X00002VKCqmQAH</v>
      </c>
      <c r="C124" s="3" t="s">
        <v>5782</v>
      </c>
      <c r="D124" s="3" t="s">
        <v>46</v>
      </c>
      <c r="E124" s="21" t="str">
        <f>HYPERLINK("https://gerandofalcoes.my.salesforce.com/0034X0000380O1P", "0034X0000380O1P")</f>
        <v>0034X0000380O1P</v>
      </c>
      <c r="F124" s="3" t="s">
        <v>13707</v>
      </c>
      <c r="G124" s="3" t="s">
        <v>13708</v>
      </c>
      <c r="H124" s="3" t="s">
        <v>2538</v>
      </c>
      <c r="I124" s="3" t="s">
        <v>12741</v>
      </c>
      <c r="J124" s="3">
        <v>33</v>
      </c>
      <c r="K124" s="3" t="s">
        <v>13709</v>
      </c>
      <c r="L124" s="3">
        <v>34992141063</v>
      </c>
      <c r="M124" s="6">
        <v>25587</v>
      </c>
      <c r="N124" s="3">
        <v>52</v>
      </c>
      <c r="O124" s="3" t="s">
        <v>13710</v>
      </c>
      <c r="P124" s="3">
        <v>3520053608</v>
      </c>
      <c r="Q124" s="3"/>
      <c r="R124" s="3"/>
      <c r="S124" s="3" t="s">
        <v>2998</v>
      </c>
      <c r="T124" s="3" t="s">
        <v>12656</v>
      </c>
      <c r="U124" s="3"/>
      <c r="V124" s="3" t="s">
        <v>13711</v>
      </c>
      <c r="W124" s="3" t="s">
        <v>2541</v>
      </c>
      <c r="X124" s="3" t="s">
        <v>2980</v>
      </c>
      <c r="Y124" s="3"/>
      <c r="Z124" s="3" t="s">
        <v>2545</v>
      </c>
      <c r="AA124" s="3" t="s">
        <v>2544</v>
      </c>
      <c r="AB124" s="3" t="s">
        <v>2545</v>
      </c>
      <c r="AC124" s="3" t="s">
        <v>13712</v>
      </c>
      <c r="AD124" s="3">
        <v>455</v>
      </c>
      <c r="AE124" s="3"/>
      <c r="AF124" s="3"/>
      <c r="AG124" s="3" t="s">
        <v>5789</v>
      </c>
      <c r="AH124" s="3">
        <v>38410048</v>
      </c>
      <c r="AI124" s="3" t="s">
        <v>84</v>
      </c>
      <c r="AJ124" s="3" t="s">
        <v>2569</v>
      </c>
      <c r="AK124" s="3" t="s">
        <v>12674</v>
      </c>
      <c r="AL124" s="3" t="s">
        <v>2550</v>
      </c>
      <c r="AM124" s="3">
        <v>2</v>
      </c>
      <c r="AN124" s="3" t="s">
        <v>7216</v>
      </c>
      <c r="AO124" s="3" t="s">
        <v>120</v>
      </c>
      <c r="AP124" s="7" t="s">
        <v>13713</v>
      </c>
      <c r="AQ124" s="7" t="s">
        <v>13714</v>
      </c>
      <c r="AR124" s="3"/>
      <c r="AS124" s="7" t="s">
        <v>13715</v>
      </c>
      <c r="AT124" s="3"/>
      <c r="AU124" s="3"/>
      <c r="AV124" s="3"/>
    </row>
    <row r="125" spans="1:48" ht="12.5" x14ac:dyDescent="0.25">
      <c r="A125" s="3" t="s">
        <v>12652</v>
      </c>
      <c r="B125" s="7" t="str">
        <f>HYPERLINK("https://gerandofalcoes.my.salesforce.com/0014X00002VKCqnQAH", "0014X00002VKCqnQAH")</f>
        <v>0014X00002VKCqnQAH</v>
      </c>
      <c r="C125" s="3" t="s">
        <v>5804</v>
      </c>
      <c r="D125" s="3" t="s">
        <v>46</v>
      </c>
      <c r="E125" s="21" t="str">
        <f>HYPERLINK("https://gerandofalcoes.my.salesforce.com/0034X0000380O0Y", "0034X0000380O0Y")</f>
        <v>0034X0000380O0Y</v>
      </c>
      <c r="F125" s="3" t="s">
        <v>13716</v>
      </c>
      <c r="G125" s="3" t="s">
        <v>13717</v>
      </c>
      <c r="H125" s="3" t="s">
        <v>2538</v>
      </c>
      <c r="I125" s="3" t="s">
        <v>12741</v>
      </c>
      <c r="J125" s="3">
        <v>33</v>
      </c>
      <c r="K125" s="3" t="s">
        <v>13718</v>
      </c>
      <c r="L125" s="3">
        <v>61996681047</v>
      </c>
      <c r="M125" s="8">
        <v>27929</v>
      </c>
      <c r="N125" s="3">
        <v>46</v>
      </c>
      <c r="O125" s="3" t="s">
        <v>13719</v>
      </c>
      <c r="P125" s="3">
        <v>85865460110</v>
      </c>
      <c r="Q125" s="3"/>
      <c r="R125" s="3"/>
      <c r="S125" s="3" t="s">
        <v>3137</v>
      </c>
      <c r="T125" s="3" t="s">
        <v>12682</v>
      </c>
      <c r="U125" s="3"/>
      <c r="V125" s="3"/>
      <c r="W125" s="3" t="s">
        <v>2541</v>
      </c>
      <c r="X125" s="3" t="s">
        <v>2980</v>
      </c>
      <c r="Y125" s="3"/>
      <c r="Z125" s="3" t="s">
        <v>2543</v>
      </c>
      <c r="AA125" s="3" t="s">
        <v>2577</v>
      </c>
      <c r="AB125" s="3" t="s">
        <v>2545</v>
      </c>
      <c r="AC125" s="3" t="s">
        <v>13720</v>
      </c>
      <c r="AD125" s="3" t="s">
        <v>13721</v>
      </c>
      <c r="AE125" s="3"/>
      <c r="AF125" s="3"/>
      <c r="AG125" s="3" t="s">
        <v>5812</v>
      </c>
      <c r="AH125" s="3">
        <v>72227992</v>
      </c>
      <c r="AI125" s="3" t="s">
        <v>1381</v>
      </c>
      <c r="AJ125" s="3" t="s">
        <v>2569</v>
      </c>
      <c r="AK125" s="3" t="s">
        <v>3249</v>
      </c>
      <c r="AL125" s="3" t="s">
        <v>2550</v>
      </c>
      <c r="AM125" s="3">
        <v>5</v>
      </c>
      <c r="AN125" s="3" t="s">
        <v>7216</v>
      </c>
      <c r="AO125" s="3" t="s">
        <v>62</v>
      </c>
      <c r="AP125" s="3"/>
      <c r="AQ125" s="3"/>
      <c r="AR125" s="3"/>
      <c r="AS125" s="7" t="s">
        <v>13722</v>
      </c>
      <c r="AT125" s="3"/>
      <c r="AU125" s="3"/>
      <c r="AV125" s="3"/>
    </row>
    <row r="126" spans="1:48" ht="12.5" hidden="1" x14ac:dyDescent="0.25">
      <c r="A126" s="3" t="s">
        <v>12652</v>
      </c>
      <c r="B126" s="7" t="str">
        <f>HYPERLINK("https://gerandofalcoes.my.salesforce.com/0014X00002VKCqoQAH", "0014X00002VKCqoQAH")</f>
        <v>0014X00002VKCqoQAH</v>
      </c>
      <c r="C126" s="3" t="s">
        <v>5825</v>
      </c>
      <c r="D126" s="3" t="s">
        <v>46</v>
      </c>
      <c r="E126" s="21" t="str">
        <f>HYPERLINK("https://gerandofalcoes.my.salesforce.com/0034X0000380O51", "0034X0000380O51")</f>
        <v>0034X0000380O51</v>
      </c>
      <c r="F126" s="3" t="s">
        <v>13723</v>
      </c>
      <c r="G126" s="3" t="s">
        <v>13724</v>
      </c>
      <c r="H126" s="3" t="s">
        <v>2538</v>
      </c>
      <c r="I126" s="3" t="s">
        <v>12741</v>
      </c>
      <c r="J126" s="3"/>
      <c r="K126" s="3" t="s">
        <v>13725</v>
      </c>
      <c r="L126" s="3" t="s">
        <v>13726</v>
      </c>
      <c r="M126" s="6">
        <v>34733</v>
      </c>
      <c r="N126" s="3">
        <v>27</v>
      </c>
      <c r="O126" s="3">
        <v>3288619</v>
      </c>
      <c r="P126" s="3">
        <v>12873758716</v>
      </c>
      <c r="Q126" s="3"/>
      <c r="R126" s="3" t="s">
        <v>12800</v>
      </c>
      <c r="S126" s="3" t="s">
        <v>3137</v>
      </c>
      <c r="T126" s="3" t="s">
        <v>12682</v>
      </c>
      <c r="U126" s="3"/>
      <c r="V126" s="3" t="s">
        <v>13727</v>
      </c>
      <c r="W126" s="3" t="s">
        <v>12664</v>
      </c>
      <c r="X126" s="3" t="s">
        <v>2980</v>
      </c>
      <c r="Y126" s="3" t="s">
        <v>12670</v>
      </c>
      <c r="Z126" s="3" t="s">
        <v>2545</v>
      </c>
      <c r="AA126" s="3" t="s">
        <v>2544</v>
      </c>
      <c r="AB126" s="3" t="s">
        <v>2543</v>
      </c>
      <c r="AC126" s="3" t="s">
        <v>13728</v>
      </c>
      <c r="AD126" s="3">
        <v>394</v>
      </c>
      <c r="AE126" s="3" t="s">
        <v>1539</v>
      </c>
      <c r="AF126" s="3" t="s">
        <v>128</v>
      </c>
      <c r="AG126" s="3" t="s">
        <v>13729</v>
      </c>
      <c r="AH126" s="3" t="s">
        <v>13730</v>
      </c>
      <c r="AI126" s="3" t="s">
        <v>101</v>
      </c>
      <c r="AJ126" s="3" t="s">
        <v>2741</v>
      </c>
      <c r="AK126" s="3" t="s">
        <v>13437</v>
      </c>
      <c r="AL126" s="3" t="s">
        <v>2588</v>
      </c>
      <c r="AM126" s="3">
        <v>1</v>
      </c>
      <c r="AN126" s="3" t="s">
        <v>7216</v>
      </c>
      <c r="AO126" s="3" t="s">
        <v>120</v>
      </c>
      <c r="AP126" s="7" t="s">
        <v>13731</v>
      </c>
      <c r="AQ126" s="7" t="s">
        <v>13732</v>
      </c>
      <c r="AR126" s="3"/>
      <c r="AS126" s="7" t="s">
        <v>13733</v>
      </c>
      <c r="AT126" s="3"/>
      <c r="AU126" s="3"/>
      <c r="AV126" s="3"/>
    </row>
    <row r="127" spans="1:48" ht="12.5" hidden="1" x14ac:dyDescent="0.25">
      <c r="A127" s="3" t="s">
        <v>12652</v>
      </c>
      <c r="B127" s="7" t="str">
        <f>HYPERLINK("https://gerandofalcoes.my.salesforce.com/0014X00002VKCrRQAX", "0014X00002VKCrRQAX")</f>
        <v>0014X00002VKCrRQAX</v>
      </c>
      <c r="C127" s="3" t="s">
        <v>5843</v>
      </c>
      <c r="D127" s="3" t="s">
        <v>46</v>
      </c>
      <c r="E127" s="21" t="str">
        <f>HYPERLINK("https://gerandofalcoes.my.salesforce.com/0034X0000380O1p", "0034X0000380O1p")</f>
        <v>0034X0000380O1p</v>
      </c>
      <c r="F127" s="3" t="s">
        <v>13734</v>
      </c>
      <c r="G127" s="3" t="s">
        <v>13735</v>
      </c>
      <c r="H127" s="3" t="s">
        <v>2538</v>
      </c>
      <c r="I127" s="3" t="s">
        <v>12741</v>
      </c>
      <c r="J127" s="3">
        <v>33</v>
      </c>
      <c r="K127" s="3" t="s">
        <v>13736</v>
      </c>
      <c r="L127" s="3" t="s">
        <v>13737</v>
      </c>
      <c r="M127" s="6">
        <v>28283</v>
      </c>
      <c r="N127" s="3">
        <v>45</v>
      </c>
      <c r="O127" s="3">
        <v>95016001822</v>
      </c>
      <c r="P127" s="3">
        <v>62036955304</v>
      </c>
      <c r="Q127" s="3"/>
      <c r="R127" s="3" t="s">
        <v>12800</v>
      </c>
      <c r="S127" s="3" t="s">
        <v>12744</v>
      </c>
      <c r="T127" s="3" t="s">
        <v>12723</v>
      </c>
      <c r="U127" s="3"/>
      <c r="V127" s="3" t="s">
        <v>13738</v>
      </c>
      <c r="W127" s="3" t="s">
        <v>12664</v>
      </c>
      <c r="X127" s="3" t="s">
        <v>2980</v>
      </c>
      <c r="Y127" s="3" t="s">
        <v>12670</v>
      </c>
      <c r="Z127" s="3" t="s">
        <v>2545</v>
      </c>
      <c r="AA127" s="3" t="s">
        <v>2544</v>
      </c>
      <c r="AB127" s="3" t="s">
        <v>2545</v>
      </c>
      <c r="AC127" s="3" t="s">
        <v>13739</v>
      </c>
      <c r="AD127" s="3">
        <v>631</v>
      </c>
      <c r="AE127" s="3"/>
      <c r="AF127" s="3" t="s">
        <v>470</v>
      </c>
      <c r="AG127" s="3" t="s">
        <v>4348</v>
      </c>
      <c r="AH127" s="3" t="s">
        <v>13740</v>
      </c>
      <c r="AI127" s="3" t="s">
        <v>468</v>
      </c>
      <c r="AJ127" s="3" t="s">
        <v>2569</v>
      </c>
      <c r="AK127" s="3" t="s">
        <v>12729</v>
      </c>
      <c r="AL127" s="3" t="s">
        <v>2588</v>
      </c>
      <c r="AM127" s="3">
        <v>5</v>
      </c>
      <c r="AN127" s="3" t="s">
        <v>7216</v>
      </c>
      <c r="AO127" s="3" t="s">
        <v>120</v>
      </c>
      <c r="AP127" s="3"/>
      <c r="AQ127" s="3" t="s">
        <v>13741</v>
      </c>
      <c r="AR127" s="3"/>
      <c r="AS127" s="7" t="s">
        <v>13742</v>
      </c>
      <c r="AT127" s="3"/>
      <c r="AU127" s="3"/>
      <c r="AV127" s="3"/>
    </row>
    <row r="128" spans="1:48" ht="12.5" x14ac:dyDescent="0.25">
      <c r="A128" s="3" t="s">
        <v>12652</v>
      </c>
      <c r="B128" s="7" t="str">
        <f>HYPERLINK("https://gerandofalcoes.my.salesforce.com/0014X00002VKCrTQAX", "0014X00002VKCrTQAX")</f>
        <v>0014X00002VKCrTQAX</v>
      </c>
      <c r="C128" s="3" t="s">
        <v>5863</v>
      </c>
      <c r="D128" s="3" t="s">
        <v>46</v>
      </c>
      <c r="E128" s="21" t="str">
        <f>HYPERLINK("https://gerandofalcoes.my.salesforce.com/0034X0000380O3h", "0034X0000380O3h")</f>
        <v>0034X0000380O3h</v>
      </c>
      <c r="F128" s="3" t="s">
        <v>13743</v>
      </c>
      <c r="G128" s="3" t="s">
        <v>13744</v>
      </c>
      <c r="H128" s="3" t="s">
        <v>2538</v>
      </c>
      <c r="I128" s="3" t="s">
        <v>12741</v>
      </c>
      <c r="J128" s="3"/>
      <c r="K128" s="3" t="s">
        <v>13745</v>
      </c>
      <c r="L128" s="3">
        <v>81987245450</v>
      </c>
      <c r="M128" s="6">
        <v>26123</v>
      </c>
      <c r="N128" s="3">
        <v>51</v>
      </c>
      <c r="O128" s="3">
        <v>4185257</v>
      </c>
      <c r="P128" s="3">
        <v>79594506415</v>
      </c>
      <c r="Q128" s="3"/>
      <c r="R128" s="3"/>
      <c r="S128" s="3" t="s">
        <v>3137</v>
      </c>
      <c r="T128" s="3" t="s">
        <v>12682</v>
      </c>
      <c r="U128" s="3"/>
      <c r="V128" s="3" t="s">
        <v>13746</v>
      </c>
      <c r="W128" s="3" t="s">
        <v>2541</v>
      </c>
      <c r="X128" s="3" t="s">
        <v>2980</v>
      </c>
      <c r="Y128" s="3"/>
      <c r="Z128" s="3" t="s">
        <v>2543</v>
      </c>
      <c r="AA128" s="3" t="s">
        <v>2544</v>
      </c>
      <c r="AB128" s="3" t="s">
        <v>2545</v>
      </c>
      <c r="AC128" s="3" t="s">
        <v>13747</v>
      </c>
      <c r="AD128" s="3" t="s">
        <v>13748</v>
      </c>
      <c r="AE128" s="3"/>
      <c r="AF128" s="3"/>
      <c r="AG128" s="3" t="s">
        <v>5869</v>
      </c>
      <c r="AH128" s="3">
        <v>50711550</v>
      </c>
      <c r="AI128" s="3" t="s">
        <v>379</v>
      </c>
      <c r="AJ128" s="3" t="s">
        <v>2741</v>
      </c>
      <c r="AK128" s="3" t="s">
        <v>12674</v>
      </c>
      <c r="AL128" s="3" t="s">
        <v>2550</v>
      </c>
      <c r="AM128" s="3">
        <v>2</v>
      </c>
      <c r="AN128" s="3" t="s">
        <v>7216</v>
      </c>
      <c r="AO128" s="3" t="s">
        <v>120</v>
      </c>
      <c r="AP128" s="3"/>
      <c r="AQ128" s="7" t="s">
        <v>13749</v>
      </c>
      <c r="AR128" s="3"/>
      <c r="AS128" s="7" t="s">
        <v>13750</v>
      </c>
      <c r="AT128" s="3"/>
      <c r="AU128" s="3"/>
      <c r="AV128" s="3"/>
    </row>
    <row r="129" spans="1:48" ht="12.5" x14ac:dyDescent="0.25">
      <c r="A129" s="3" t="s">
        <v>12652</v>
      </c>
      <c r="B129" s="7" t="str">
        <f>HYPERLINK("https://gerandofalcoes.my.salesforce.com/0014X00002VKCrVQAX", "0014X00002VKCrVQAX")</f>
        <v>0014X00002VKCrVQAX</v>
      </c>
      <c r="C129" s="3" t="s">
        <v>5878</v>
      </c>
      <c r="D129" s="3" t="s">
        <v>46</v>
      </c>
      <c r="E129" s="21" t="str">
        <f>HYPERLINK("https://gerandofalcoes.my.salesforce.com/0034X0000380O2N", "0034X0000380O2N")</f>
        <v>0034X0000380O2N</v>
      </c>
      <c r="F129" s="3" t="s">
        <v>13652</v>
      </c>
      <c r="G129" s="3" t="s">
        <v>13751</v>
      </c>
      <c r="H129" s="3" t="s">
        <v>2538</v>
      </c>
      <c r="I129" s="3" t="s">
        <v>12741</v>
      </c>
      <c r="J129" s="3">
        <v>33</v>
      </c>
      <c r="K129" s="3" t="s">
        <v>13752</v>
      </c>
      <c r="L129" s="3">
        <v>81981643898</v>
      </c>
      <c r="M129" s="6">
        <v>29267</v>
      </c>
      <c r="N129" s="3">
        <v>42</v>
      </c>
      <c r="O129" s="3" t="s">
        <v>13753</v>
      </c>
      <c r="P129" s="3">
        <v>90674847172</v>
      </c>
      <c r="Q129" s="3"/>
      <c r="R129" s="3"/>
      <c r="S129" s="3" t="s">
        <v>3137</v>
      </c>
      <c r="T129" s="3" t="s">
        <v>12656</v>
      </c>
      <c r="U129" s="3"/>
      <c r="V129" s="3" t="s">
        <v>13754</v>
      </c>
      <c r="W129" s="3" t="s">
        <v>2541</v>
      </c>
      <c r="X129" s="3" t="s">
        <v>2980</v>
      </c>
      <c r="Y129" s="3"/>
      <c r="Z129" s="3" t="s">
        <v>2545</v>
      </c>
      <c r="AA129" s="3" t="s">
        <v>2577</v>
      </c>
      <c r="AB129" s="3" t="s">
        <v>2545</v>
      </c>
      <c r="AC129" s="3" t="s">
        <v>13755</v>
      </c>
      <c r="AD129" s="3">
        <v>109</v>
      </c>
      <c r="AE129" s="3">
        <v>401</v>
      </c>
      <c r="AF129" s="3"/>
      <c r="AG129" s="3" t="s">
        <v>13427</v>
      </c>
      <c r="AH129" s="3" t="s">
        <v>13756</v>
      </c>
      <c r="AI129" s="3" t="s">
        <v>379</v>
      </c>
      <c r="AJ129" s="3" t="s">
        <v>2569</v>
      </c>
      <c r="AK129" s="3" t="s">
        <v>12661</v>
      </c>
      <c r="AL129" s="3" t="s">
        <v>2550</v>
      </c>
      <c r="AM129" s="3">
        <v>1</v>
      </c>
      <c r="AN129" s="3" t="s">
        <v>7216</v>
      </c>
      <c r="AO129" s="3" t="s">
        <v>120</v>
      </c>
      <c r="AP129" s="3"/>
      <c r="AQ129" s="3"/>
      <c r="AR129" s="3"/>
      <c r="AS129" s="7" t="s">
        <v>13757</v>
      </c>
      <c r="AT129" s="3"/>
      <c r="AU129" s="3"/>
      <c r="AV129" s="3"/>
    </row>
    <row r="130" spans="1:48" ht="12.5" hidden="1" x14ac:dyDescent="0.25">
      <c r="A130" s="3" t="s">
        <v>12652</v>
      </c>
      <c r="B130" s="7" t="str">
        <f>HYPERLINK("https://gerandofalcoes.my.salesforce.com/0014X00002VKCrWQAX", "0014X00002VKCrWQAX")</f>
        <v>0014X00002VKCrWQAX</v>
      </c>
      <c r="C130" s="3" t="s">
        <v>5895</v>
      </c>
      <c r="D130" s="3" t="s">
        <v>46</v>
      </c>
      <c r="E130" s="21" t="str">
        <f>HYPERLINK("https://gerandofalcoes.my.salesforce.com/0034X0000380O4S", "0034X0000380O4S")</f>
        <v>0034X0000380O4S</v>
      </c>
      <c r="F130" s="3" t="s">
        <v>13758</v>
      </c>
      <c r="G130" s="3" t="s">
        <v>13759</v>
      </c>
      <c r="H130" s="3" t="s">
        <v>2538</v>
      </c>
      <c r="I130" s="3" t="s">
        <v>12741</v>
      </c>
      <c r="J130" s="3"/>
      <c r="K130" s="3" t="s">
        <v>13760</v>
      </c>
      <c r="L130" s="3" t="s">
        <v>5899</v>
      </c>
      <c r="M130" s="6">
        <v>31328</v>
      </c>
      <c r="N130" s="3">
        <v>37</v>
      </c>
      <c r="O130" s="3">
        <v>310722273185</v>
      </c>
      <c r="P130" s="3">
        <v>83672222291</v>
      </c>
      <c r="Q130" s="3"/>
      <c r="R130" s="3" t="s">
        <v>12800</v>
      </c>
      <c r="S130" s="3" t="s">
        <v>3137</v>
      </c>
      <c r="T130" s="3" t="s">
        <v>12656</v>
      </c>
      <c r="U130" s="3"/>
      <c r="V130" s="3" t="s">
        <v>13761</v>
      </c>
      <c r="W130" s="3" t="s">
        <v>12664</v>
      </c>
      <c r="X130" s="3" t="s">
        <v>3508</v>
      </c>
      <c r="Y130" s="3" t="s">
        <v>12670</v>
      </c>
      <c r="Z130" s="3" t="s">
        <v>2543</v>
      </c>
      <c r="AA130" s="3" t="s">
        <v>2544</v>
      </c>
      <c r="AB130" s="3" t="s">
        <v>2545</v>
      </c>
      <c r="AC130" s="3" t="s">
        <v>13762</v>
      </c>
      <c r="AD130" s="3">
        <v>146</v>
      </c>
      <c r="AE130" s="3"/>
      <c r="AF130" s="3" t="s">
        <v>5319</v>
      </c>
      <c r="AG130" s="3" t="s">
        <v>5901</v>
      </c>
      <c r="AH130" s="3" t="s">
        <v>13763</v>
      </c>
      <c r="AI130" s="3" t="s">
        <v>5316</v>
      </c>
      <c r="AJ130" s="3" t="s">
        <v>2741</v>
      </c>
      <c r="AK130" s="3" t="s">
        <v>3249</v>
      </c>
      <c r="AL130" s="3" t="s">
        <v>2588</v>
      </c>
      <c r="AM130" s="3">
        <v>4</v>
      </c>
      <c r="AN130" s="3" t="s">
        <v>7216</v>
      </c>
      <c r="AO130" s="3" t="s">
        <v>120</v>
      </c>
      <c r="AP130" s="3"/>
      <c r="AQ130" s="7" t="s">
        <v>13764</v>
      </c>
      <c r="AR130" s="3"/>
      <c r="AS130" s="7" t="s">
        <v>13765</v>
      </c>
      <c r="AT130" s="3"/>
      <c r="AU130" s="3"/>
      <c r="AV130" s="3"/>
    </row>
    <row r="131" spans="1:48" ht="12.5" x14ac:dyDescent="0.25">
      <c r="A131" s="3" t="s">
        <v>12652</v>
      </c>
      <c r="B131" s="7" t="str">
        <f>HYPERLINK("https://gerandofalcoes.my.salesforce.com/0014X00002VKCrZQAX", "0014X00002VKCrZQAX")</f>
        <v>0014X00002VKCrZQAX</v>
      </c>
      <c r="C131" s="3" t="s">
        <v>5910</v>
      </c>
      <c r="D131" s="3" t="s">
        <v>46</v>
      </c>
      <c r="E131" s="21" t="str">
        <f>HYPERLINK("https://gerandofalcoes.my.salesforce.com/0034X0000380O0l", "0034X0000380O0l")</f>
        <v>0034X0000380O0l</v>
      </c>
      <c r="F131" s="3" t="s">
        <v>13766</v>
      </c>
      <c r="G131" s="3" t="s">
        <v>13767</v>
      </c>
      <c r="H131" s="3" t="s">
        <v>2538</v>
      </c>
      <c r="I131" s="3" t="s">
        <v>12741</v>
      </c>
      <c r="J131" s="3">
        <v>33</v>
      </c>
      <c r="K131" s="3" t="s">
        <v>13768</v>
      </c>
      <c r="L131" s="3">
        <v>81988442358</v>
      </c>
      <c r="M131" s="6">
        <v>20887</v>
      </c>
      <c r="N131" s="3">
        <v>65</v>
      </c>
      <c r="O131" s="3" t="s">
        <v>13769</v>
      </c>
      <c r="P131" s="3">
        <v>12812889420</v>
      </c>
      <c r="Q131" s="3"/>
      <c r="R131" s="3"/>
      <c r="S131" s="3" t="s">
        <v>3417</v>
      </c>
      <c r="T131" s="3" t="s">
        <v>12723</v>
      </c>
      <c r="U131" s="3"/>
      <c r="V131" s="3" t="s">
        <v>13770</v>
      </c>
      <c r="W131" s="3" t="s">
        <v>2541</v>
      </c>
      <c r="X131" s="3" t="s">
        <v>2980</v>
      </c>
      <c r="Y131" s="3"/>
      <c r="Z131" s="3" t="s">
        <v>2545</v>
      </c>
      <c r="AA131" s="3" t="s">
        <v>2544</v>
      </c>
      <c r="AB131" s="3" t="s">
        <v>2543</v>
      </c>
      <c r="AC131" s="3" t="s">
        <v>13771</v>
      </c>
      <c r="AD131" s="3" t="s">
        <v>779</v>
      </c>
      <c r="AE131" s="3"/>
      <c r="AF131" s="3"/>
      <c r="AG131" s="3" t="s">
        <v>9014</v>
      </c>
      <c r="AH131" s="3" t="s">
        <v>5918</v>
      </c>
      <c r="AI131" s="3" t="s">
        <v>379</v>
      </c>
      <c r="AJ131" s="3" t="s">
        <v>2741</v>
      </c>
      <c r="AK131" s="3" t="s">
        <v>3249</v>
      </c>
      <c r="AL131" s="3" t="s">
        <v>2550</v>
      </c>
      <c r="AM131" s="3">
        <v>3</v>
      </c>
      <c r="AN131" s="3" t="s">
        <v>7216</v>
      </c>
      <c r="AO131" s="3" t="s">
        <v>120</v>
      </c>
      <c r="AP131" s="3"/>
      <c r="AQ131" s="7" t="s">
        <v>13772</v>
      </c>
      <c r="AR131" s="3"/>
      <c r="AS131" s="7" t="s">
        <v>13773</v>
      </c>
      <c r="AT131" s="3"/>
      <c r="AU131" s="3"/>
      <c r="AV131" s="3"/>
    </row>
    <row r="132" spans="1:48" ht="12.5" hidden="1" x14ac:dyDescent="0.25">
      <c r="A132" s="3" t="s">
        <v>12652</v>
      </c>
      <c r="B132" s="7" t="str">
        <f>HYPERLINK("https://gerandofalcoes.my.salesforce.com/0014X00002VKCraQAH", "0014X00002VKCraQAH")</f>
        <v>0014X00002VKCraQAH</v>
      </c>
      <c r="C132" s="3" t="s">
        <v>5933</v>
      </c>
      <c r="D132" s="3" t="s">
        <v>46</v>
      </c>
      <c r="E132" s="21" t="str">
        <f>HYPERLINK("https://gerandofalcoes.my.salesforce.com/0034X0000380O4N", "0034X0000380O4N")</f>
        <v>0034X0000380O4N</v>
      </c>
      <c r="F132" s="3" t="s">
        <v>3144</v>
      </c>
      <c r="G132" s="3" t="s">
        <v>13774</v>
      </c>
      <c r="H132" s="3" t="s">
        <v>2538</v>
      </c>
      <c r="I132" s="3" t="s">
        <v>12741</v>
      </c>
      <c r="J132" s="3">
        <v>33</v>
      </c>
      <c r="K132" s="3" t="s">
        <v>13775</v>
      </c>
      <c r="L132" s="3" t="s">
        <v>5938</v>
      </c>
      <c r="M132" s="6">
        <v>25368</v>
      </c>
      <c r="N132" s="3">
        <v>53</v>
      </c>
      <c r="O132" s="3">
        <v>3376487</v>
      </c>
      <c r="P132" s="3">
        <v>80055800459</v>
      </c>
      <c r="Q132" s="3"/>
      <c r="R132" s="3" t="s">
        <v>12800</v>
      </c>
      <c r="S132" s="3" t="s">
        <v>3137</v>
      </c>
      <c r="T132" s="3" t="s">
        <v>12723</v>
      </c>
      <c r="U132" s="3"/>
      <c r="V132" s="3" t="s">
        <v>13776</v>
      </c>
      <c r="W132" s="3" t="s">
        <v>12664</v>
      </c>
      <c r="X132" s="3" t="s">
        <v>2980</v>
      </c>
      <c r="Y132" s="3" t="s">
        <v>12670</v>
      </c>
      <c r="Z132" s="3" t="s">
        <v>2543</v>
      </c>
      <c r="AA132" s="3" t="s">
        <v>2544</v>
      </c>
      <c r="AB132" s="3" t="s">
        <v>2545</v>
      </c>
      <c r="AC132" s="3" t="s">
        <v>5939</v>
      </c>
      <c r="AD132" s="3">
        <v>120</v>
      </c>
      <c r="AE132" s="3"/>
      <c r="AF132" s="3" t="s">
        <v>6163</v>
      </c>
      <c r="AG132" s="3" t="s">
        <v>13777</v>
      </c>
      <c r="AH132" s="3" t="s">
        <v>5941</v>
      </c>
      <c r="AI132" s="3" t="s">
        <v>379</v>
      </c>
      <c r="AJ132" s="3" t="s">
        <v>2569</v>
      </c>
      <c r="AK132" s="3" t="s">
        <v>12661</v>
      </c>
      <c r="AL132" s="3" t="s">
        <v>2550</v>
      </c>
      <c r="AM132" s="3">
        <v>2</v>
      </c>
      <c r="AN132" s="3" t="s">
        <v>7216</v>
      </c>
      <c r="AO132" s="3" t="s">
        <v>120</v>
      </c>
      <c r="AP132" s="3"/>
      <c r="AQ132" s="3"/>
      <c r="AR132" s="3"/>
      <c r="AS132" s="7" t="s">
        <v>13778</v>
      </c>
      <c r="AT132" s="3"/>
      <c r="AU132" s="3"/>
      <c r="AV132" s="3"/>
    </row>
    <row r="133" spans="1:48" ht="12.5" x14ac:dyDescent="0.25">
      <c r="A133" s="3" t="s">
        <v>12652</v>
      </c>
      <c r="B133" s="7" t="str">
        <f>HYPERLINK("https://gerandofalcoes.my.salesforce.com/0014X00002VKCrbQAH", "0014X00002VKCrbQAH")</f>
        <v>0014X00002VKCrbQAH</v>
      </c>
      <c r="C133" s="3" t="s">
        <v>5948</v>
      </c>
      <c r="D133" s="3" t="s">
        <v>46</v>
      </c>
      <c r="E133" s="21" t="str">
        <f>HYPERLINK("https://gerandofalcoes.my.salesforce.com/0034X0000380O6d", "0034X0000380O6d")</f>
        <v>0034X0000380O6d</v>
      </c>
      <c r="F133" s="3" t="s">
        <v>13779</v>
      </c>
      <c r="G133" s="3" t="s">
        <v>13780</v>
      </c>
      <c r="H133" s="3" t="s">
        <v>2538</v>
      </c>
      <c r="I133" s="3" t="s">
        <v>12741</v>
      </c>
      <c r="J133" s="3">
        <v>33</v>
      </c>
      <c r="K133" s="3" t="s">
        <v>13781</v>
      </c>
      <c r="L133" s="3">
        <v>81999996623</v>
      </c>
      <c r="M133" s="6">
        <v>31148</v>
      </c>
      <c r="N133" s="3">
        <v>37</v>
      </c>
      <c r="O133" s="3">
        <v>8354448</v>
      </c>
      <c r="P133" s="3">
        <v>6244179480</v>
      </c>
      <c r="Q133" s="3"/>
      <c r="R133" s="3"/>
      <c r="S133" s="3" t="s">
        <v>3269</v>
      </c>
      <c r="T133" s="3" t="s">
        <v>12682</v>
      </c>
      <c r="U133" s="3"/>
      <c r="V133" s="3" t="s">
        <v>13782</v>
      </c>
      <c r="W133" s="3" t="s">
        <v>2541</v>
      </c>
      <c r="X133" s="3" t="s">
        <v>2980</v>
      </c>
      <c r="Y133" s="3"/>
      <c r="Z133" s="3" t="s">
        <v>2543</v>
      </c>
      <c r="AA133" s="3"/>
      <c r="AB133" s="3"/>
      <c r="AC133" s="3" t="s">
        <v>13783</v>
      </c>
      <c r="AD133" s="3">
        <v>44</v>
      </c>
      <c r="AE133" s="3">
        <v>44</v>
      </c>
      <c r="AF133" s="3"/>
      <c r="AG133" s="3" t="s">
        <v>5290</v>
      </c>
      <c r="AH133" s="3">
        <v>50810220</v>
      </c>
      <c r="AI133" s="3" t="s">
        <v>379</v>
      </c>
      <c r="AJ133" s="3" t="s">
        <v>2569</v>
      </c>
      <c r="AK133" s="3" t="s">
        <v>12674</v>
      </c>
      <c r="AL133" s="3" t="s">
        <v>2550</v>
      </c>
      <c r="AM133" s="3">
        <v>3</v>
      </c>
      <c r="AN133" s="3" t="s">
        <v>7216</v>
      </c>
      <c r="AO133" s="3" t="s">
        <v>120</v>
      </c>
      <c r="AP133" s="3"/>
      <c r="AQ133" s="3"/>
      <c r="AR133" s="3"/>
      <c r="AS133" s="7" t="s">
        <v>13784</v>
      </c>
      <c r="AT133" s="3"/>
      <c r="AU133" s="3"/>
      <c r="AV133" s="3"/>
    </row>
    <row r="134" spans="1:48" ht="12.5" hidden="1" x14ac:dyDescent="0.25">
      <c r="A134" s="3" t="s">
        <v>12652</v>
      </c>
      <c r="B134" s="7" t="str">
        <f>HYPERLINK("https://gerandofalcoes.my.salesforce.com/0014X00002VKCrcQAH", "0014X00002VKCrcQAH")</f>
        <v>0014X00002VKCrcQAH</v>
      </c>
      <c r="C134" s="3" t="s">
        <v>5964</v>
      </c>
      <c r="D134" s="3" t="s">
        <v>46</v>
      </c>
      <c r="E134" s="21" t="str">
        <f>HYPERLINK("https://gerandofalcoes.my.salesforce.com/0034X0000380O47", "0034X0000380O47")</f>
        <v>0034X0000380O47</v>
      </c>
      <c r="F134" s="3" t="s">
        <v>13785</v>
      </c>
      <c r="G134" s="3" t="s">
        <v>13786</v>
      </c>
      <c r="H134" s="3" t="s">
        <v>2538</v>
      </c>
      <c r="I134" s="3" t="s">
        <v>12741</v>
      </c>
      <c r="J134" s="3">
        <v>33</v>
      </c>
      <c r="K134" s="3" t="s">
        <v>13787</v>
      </c>
      <c r="L134" s="22" t="s">
        <v>5969</v>
      </c>
      <c r="M134" s="6">
        <v>27175</v>
      </c>
      <c r="N134" s="3">
        <v>48</v>
      </c>
      <c r="O134" s="3">
        <v>4099712</v>
      </c>
      <c r="P134" s="3">
        <v>77349997434</v>
      </c>
      <c r="Q134" s="3"/>
      <c r="R134" s="3" t="s">
        <v>12800</v>
      </c>
      <c r="S134" s="3" t="s">
        <v>2998</v>
      </c>
      <c r="T134" s="3" t="s">
        <v>12723</v>
      </c>
      <c r="U134" s="3"/>
      <c r="V134" s="3" t="s">
        <v>13788</v>
      </c>
      <c r="W134" s="3" t="s">
        <v>12664</v>
      </c>
      <c r="X134" s="3" t="s">
        <v>2980</v>
      </c>
      <c r="Y134" s="3" t="s">
        <v>12658</v>
      </c>
      <c r="Z134" s="3" t="s">
        <v>2543</v>
      </c>
      <c r="AA134" s="3" t="s">
        <v>2544</v>
      </c>
      <c r="AB134" s="3"/>
      <c r="AC134" s="3" t="s">
        <v>13789</v>
      </c>
      <c r="AD134" s="3">
        <v>32</v>
      </c>
      <c r="AE134" s="3"/>
      <c r="AF134" s="3" t="s">
        <v>381</v>
      </c>
      <c r="AG134" s="3" t="s">
        <v>5971</v>
      </c>
      <c r="AH134" s="3" t="s">
        <v>13790</v>
      </c>
      <c r="AI134" s="3" t="s">
        <v>379</v>
      </c>
      <c r="AJ134" s="3" t="s">
        <v>2569</v>
      </c>
      <c r="AK134" s="3" t="s">
        <v>12661</v>
      </c>
      <c r="AL134" s="3" t="s">
        <v>2588</v>
      </c>
      <c r="AM134" s="3">
        <v>4</v>
      </c>
      <c r="AN134" s="3" t="s">
        <v>7216</v>
      </c>
      <c r="AO134" s="3" t="s">
        <v>120</v>
      </c>
      <c r="AP134" s="3"/>
      <c r="AQ134" s="3"/>
      <c r="AR134" s="3"/>
      <c r="AS134" s="7" t="s">
        <v>13791</v>
      </c>
      <c r="AT134" s="3"/>
      <c r="AU134" s="3"/>
      <c r="AV134" s="3"/>
    </row>
    <row r="135" spans="1:48" ht="12.5" hidden="1" x14ac:dyDescent="0.25">
      <c r="A135" s="3" t="s">
        <v>12652</v>
      </c>
      <c r="B135" s="7" t="str">
        <f>HYPERLINK("https://gerandofalcoes.my.salesforce.com/0014X00002VKCreQAH", "0014X00002VKCreQAH")</f>
        <v>0014X00002VKCreQAH</v>
      </c>
      <c r="C135" s="3" t="s">
        <v>5979</v>
      </c>
      <c r="D135" s="3" t="s">
        <v>46</v>
      </c>
      <c r="E135" s="21" t="str">
        <f>HYPERLINK("https://gerandofalcoes.my.salesforce.com/0034X0000380O4W", "0034X0000380O4W")</f>
        <v>0034X0000380O4W</v>
      </c>
      <c r="F135" s="3" t="s">
        <v>13792</v>
      </c>
      <c r="G135" s="3" t="s">
        <v>13793</v>
      </c>
      <c r="H135" s="3" t="s">
        <v>2538</v>
      </c>
      <c r="I135" s="3" t="s">
        <v>12741</v>
      </c>
      <c r="J135" s="3">
        <v>33</v>
      </c>
      <c r="K135" s="3" t="s">
        <v>5983</v>
      </c>
      <c r="L135" s="3" t="s">
        <v>5984</v>
      </c>
      <c r="M135" s="6">
        <v>31674</v>
      </c>
      <c r="N135" s="3">
        <v>36</v>
      </c>
      <c r="O135" s="3">
        <v>9618917</v>
      </c>
      <c r="P135" s="3">
        <v>10867881763</v>
      </c>
      <c r="Q135" s="3"/>
      <c r="R135" s="3" t="s">
        <v>2786</v>
      </c>
      <c r="S135" s="3" t="s">
        <v>3417</v>
      </c>
      <c r="T135" s="3" t="s">
        <v>12656</v>
      </c>
      <c r="U135" s="3"/>
      <c r="V135" s="3" t="s">
        <v>13794</v>
      </c>
      <c r="W135" s="3" t="s">
        <v>12664</v>
      </c>
      <c r="X135" s="3" t="s">
        <v>2980</v>
      </c>
      <c r="Y135" s="3" t="s">
        <v>12658</v>
      </c>
      <c r="Z135" s="3" t="s">
        <v>2543</v>
      </c>
      <c r="AA135" s="3" t="s">
        <v>2544</v>
      </c>
      <c r="AB135" s="3" t="s">
        <v>2545</v>
      </c>
      <c r="AC135" s="3" t="s">
        <v>13795</v>
      </c>
      <c r="AD135" s="3">
        <v>311</v>
      </c>
      <c r="AE135" s="3" t="s">
        <v>673</v>
      </c>
      <c r="AF135" s="3" t="s">
        <v>5987</v>
      </c>
      <c r="AG135" s="3" t="s">
        <v>5986</v>
      </c>
      <c r="AH135" s="3" t="s">
        <v>5988</v>
      </c>
      <c r="AI135" s="3" t="s">
        <v>379</v>
      </c>
      <c r="AJ135" s="3" t="s">
        <v>2569</v>
      </c>
      <c r="AK135" s="3" t="s">
        <v>12729</v>
      </c>
      <c r="AL135" s="3" t="s">
        <v>2550</v>
      </c>
      <c r="AM135" s="3">
        <v>3</v>
      </c>
      <c r="AN135" s="3" t="s">
        <v>13118</v>
      </c>
      <c r="AO135" s="3" t="s">
        <v>120</v>
      </c>
      <c r="AP135" s="3"/>
      <c r="AQ135" s="3"/>
      <c r="AR135" s="3"/>
      <c r="AS135" s="7" t="s">
        <v>13796</v>
      </c>
      <c r="AT135" s="3"/>
      <c r="AU135" s="3"/>
      <c r="AV135" s="3"/>
    </row>
    <row r="136" spans="1:48" ht="12.5" x14ac:dyDescent="0.25">
      <c r="A136" s="3" t="s">
        <v>12652</v>
      </c>
      <c r="B136" s="7" t="str">
        <f>HYPERLINK("https://gerandofalcoes.my.salesforce.com/0014X00002VKCrfQAH", "0014X00002VKCrfQAH")</f>
        <v>0014X00002VKCrfQAH</v>
      </c>
      <c r="C136" s="3" t="s">
        <v>5994</v>
      </c>
      <c r="D136" s="3" t="s">
        <v>46</v>
      </c>
      <c r="E136" s="21" t="str">
        <f>HYPERLINK("https://gerandofalcoes.my.salesforce.com/0034X0000380O6h", "0034X0000380O6h")</f>
        <v>0034X0000380O6h</v>
      </c>
      <c r="F136" s="3" t="s">
        <v>3401</v>
      </c>
      <c r="G136" s="3" t="s">
        <v>13797</v>
      </c>
      <c r="H136" s="3" t="s">
        <v>2538</v>
      </c>
      <c r="I136" s="3" t="s">
        <v>12741</v>
      </c>
      <c r="J136" s="3">
        <v>33</v>
      </c>
      <c r="K136" s="3" t="s">
        <v>13798</v>
      </c>
      <c r="L136" s="3">
        <v>81983560445</v>
      </c>
      <c r="M136" s="6">
        <v>28734</v>
      </c>
      <c r="N136" s="3">
        <v>44</v>
      </c>
      <c r="O136" s="3">
        <v>5158594</v>
      </c>
      <c r="P136" s="3">
        <v>2159564435</v>
      </c>
      <c r="Q136" s="3"/>
      <c r="R136" s="3"/>
      <c r="S136" s="3" t="s">
        <v>3269</v>
      </c>
      <c r="T136" s="3" t="s">
        <v>12723</v>
      </c>
      <c r="U136" s="3"/>
      <c r="V136" s="3" t="s">
        <v>13799</v>
      </c>
      <c r="W136" s="3" t="s">
        <v>2541</v>
      </c>
      <c r="X136" s="3" t="s">
        <v>2980</v>
      </c>
      <c r="Y136" s="3"/>
      <c r="Z136" s="3" t="s">
        <v>2543</v>
      </c>
      <c r="AA136" s="3" t="s">
        <v>2544</v>
      </c>
      <c r="AB136" s="3" t="s">
        <v>2545</v>
      </c>
      <c r="AC136" s="3" t="s">
        <v>13800</v>
      </c>
      <c r="AD136" s="3" t="s">
        <v>13801</v>
      </c>
      <c r="AE136" s="3"/>
      <c r="AF136" s="3"/>
      <c r="AG136" s="3" t="s">
        <v>13802</v>
      </c>
      <c r="AH136" s="3">
        <v>53421440</v>
      </c>
      <c r="AI136" s="3" t="s">
        <v>379</v>
      </c>
      <c r="AJ136" s="3" t="s">
        <v>2569</v>
      </c>
      <c r="AK136" s="3" t="s">
        <v>12729</v>
      </c>
      <c r="AL136" s="3" t="s">
        <v>2550</v>
      </c>
      <c r="AM136" s="3">
        <v>3</v>
      </c>
      <c r="AN136" s="3" t="s">
        <v>7216</v>
      </c>
      <c r="AO136" s="3" t="s">
        <v>120</v>
      </c>
      <c r="AP136" s="3"/>
      <c r="AQ136" s="3"/>
      <c r="AR136" s="3"/>
      <c r="AS136" s="7" t="s">
        <v>13803</v>
      </c>
      <c r="AT136" s="3"/>
      <c r="AU136" s="3"/>
      <c r="AV136" s="3"/>
    </row>
    <row r="137" spans="1:48" ht="12.5" x14ac:dyDescent="0.25">
      <c r="A137" s="3" t="s">
        <v>12652</v>
      </c>
      <c r="B137" s="7" t="str">
        <f>HYPERLINK("https://gerandofalcoes.my.salesforce.com/0014X00002VKCrgQAH", "0014X00002VKCrgQAH")</f>
        <v>0014X00002VKCrgQAH</v>
      </c>
      <c r="C137" s="3" t="s">
        <v>6009</v>
      </c>
      <c r="D137" s="3" t="s">
        <v>46</v>
      </c>
      <c r="E137" s="21" t="str">
        <f>HYPERLINK("https://gerandofalcoes.my.salesforce.com/0034X0000380O39", "0034X0000380O39")</f>
        <v>0034X0000380O39</v>
      </c>
      <c r="F137" s="3" t="s">
        <v>13804</v>
      </c>
      <c r="G137" s="3" t="s">
        <v>13805</v>
      </c>
      <c r="H137" s="3" t="s">
        <v>2538</v>
      </c>
      <c r="I137" s="3" t="s">
        <v>12741</v>
      </c>
      <c r="J137" s="3">
        <v>33</v>
      </c>
      <c r="K137" s="3" t="s">
        <v>6012</v>
      </c>
      <c r="L137" s="3">
        <v>81985381294</v>
      </c>
      <c r="M137" s="6">
        <v>25706</v>
      </c>
      <c r="N137" s="3">
        <v>52</v>
      </c>
      <c r="O137" s="3">
        <v>2956856</v>
      </c>
      <c r="P137" s="3">
        <v>46453580497</v>
      </c>
      <c r="Q137" s="3"/>
      <c r="R137" s="3"/>
      <c r="S137" s="3" t="s">
        <v>3417</v>
      </c>
      <c r="T137" s="3" t="s">
        <v>12682</v>
      </c>
      <c r="U137" s="3"/>
      <c r="V137" s="3" t="s">
        <v>13806</v>
      </c>
      <c r="W137" s="3" t="s">
        <v>2576</v>
      </c>
      <c r="X137" s="3" t="s">
        <v>2980</v>
      </c>
      <c r="Y137" s="3"/>
      <c r="Z137" s="3" t="s">
        <v>2543</v>
      </c>
      <c r="AA137" s="3" t="s">
        <v>2737</v>
      </c>
      <c r="AB137" s="3" t="s">
        <v>2543</v>
      </c>
      <c r="AC137" s="3" t="s">
        <v>13807</v>
      </c>
      <c r="AD137" s="3">
        <v>173</v>
      </c>
      <c r="AE137" s="3"/>
      <c r="AF137" s="3"/>
      <c r="AG137" s="3" t="s">
        <v>5885</v>
      </c>
      <c r="AH137" s="3">
        <v>52211020</v>
      </c>
      <c r="AI137" s="3" t="s">
        <v>379</v>
      </c>
      <c r="AJ137" s="3" t="s">
        <v>2569</v>
      </c>
      <c r="AK137" s="3" t="s">
        <v>12729</v>
      </c>
      <c r="AL137" s="3" t="s">
        <v>3890</v>
      </c>
      <c r="AM137" s="3">
        <v>2</v>
      </c>
      <c r="AN137" s="3" t="s">
        <v>7216</v>
      </c>
      <c r="AO137" s="3" t="s">
        <v>62</v>
      </c>
      <c r="AP137" s="7" t="s">
        <v>13808</v>
      </c>
      <c r="AQ137" s="7" t="s">
        <v>13809</v>
      </c>
      <c r="AR137" s="3"/>
      <c r="AS137" s="7" t="s">
        <v>13810</v>
      </c>
      <c r="AT137" s="3"/>
      <c r="AU137" s="3"/>
      <c r="AV137" s="3"/>
    </row>
    <row r="138" spans="1:48" ht="12.5" x14ac:dyDescent="0.25">
      <c r="A138" s="3" t="s">
        <v>12652</v>
      </c>
      <c r="B138" s="7" t="str">
        <f>HYPERLINK("https://gerandofalcoes.my.salesforce.com/0014X00002VKCrhQAH", "0014X00002VKCrhQAH")</f>
        <v>0014X00002VKCrhQAH</v>
      </c>
      <c r="C138" s="3" t="s">
        <v>6024</v>
      </c>
      <c r="D138" s="3" t="s">
        <v>46</v>
      </c>
      <c r="E138" s="21" t="str">
        <f>HYPERLINK("https://gerandofalcoes.my.salesforce.com/0034X0000380O4Y", "0034X0000380O4Y")</f>
        <v>0034X0000380O4Y</v>
      </c>
      <c r="F138" s="3" t="s">
        <v>13811</v>
      </c>
      <c r="G138" s="3" t="s">
        <v>13812</v>
      </c>
      <c r="H138" s="3" t="s">
        <v>2538</v>
      </c>
      <c r="I138" s="3" t="s">
        <v>12741</v>
      </c>
      <c r="J138" s="3">
        <v>33</v>
      </c>
      <c r="K138" s="3" t="s">
        <v>13813</v>
      </c>
      <c r="L138" s="3">
        <v>81999964874</v>
      </c>
      <c r="M138" s="6">
        <v>31433</v>
      </c>
      <c r="N138" s="3">
        <v>36</v>
      </c>
      <c r="O138" s="3" t="s">
        <v>13814</v>
      </c>
      <c r="P138" s="3">
        <v>6134039403</v>
      </c>
      <c r="Q138" s="3"/>
      <c r="S138" s="3" t="s">
        <v>3137</v>
      </c>
      <c r="T138" s="3" t="s">
        <v>12723</v>
      </c>
      <c r="U138" s="3"/>
      <c r="V138" s="3" t="s">
        <v>13815</v>
      </c>
      <c r="W138" s="3" t="s">
        <v>2541</v>
      </c>
      <c r="X138" s="3" t="s">
        <v>2980</v>
      </c>
      <c r="Y138" s="3"/>
      <c r="Z138" s="3" t="s">
        <v>2545</v>
      </c>
      <c r="AA138" s="3" t="s">
        <v>2544</v>
      </c>
      <c r="AB138" s="3" t="s">
        <v>2545</v>
      </c>
      <c r="AC138" s="3" t="s">
        <v>13816</v>
      </c>
      <c r="AD138" s="3">
        <v>200</v>
      </c>
      <c r="AE138" s="3"/>
      <c r="AF138" s="3"/>
      <c r="AG138" s="3" t="s">
        <v>13817</v>
      </c>
      <c r="AH138" s="3" t="s">
        <v>13818</v>
      </c>
      <c r="AI138" s="3" t="s">
        <v>379</v>
      </c>
      <c r="AJ138" s="3" t="s">
        <v>2569</v>
      </c>
      <c r="AK138" s="3" t="s">
        <v>12828</v>
      </c>
      <c r="AL138" s="3" t="s">
        <v>2579</v>
      </c>
      <c r="AM138" s="3">
        <v>3</v>
      </c>
      <c r="AN138" s="3" t="s">
        <v>7216</v>
      </c>
      <c r="AO138" s="3" t="s">
        <v>120</v>
      </c>
      <c r="AP138" s="3"/>
      <c r="AQ138" s="3" t="s">
        <v>13819</v>
      </c>
      <c r="AR138" s="3"/>
      <c r="AS138" s="3"/>
      <c r="AT138" s="3"/>
      <c r="AU138" s="3"/>
      <c r="AV138" s="3"/>
    </row>
    <row r="139" spans="1:48" ht="12.5" hidden="1" x14ac:dyDescent="0.25">
      <c r="A139" s="3" t="s">
        <v>12652</v>
      </c>
      <c r="B139" s="7" t="str">
        <f>HYPERLINK("https://gerandofalcoes.my.salesforce.com/0014X00002VKCriQAH", "0014X00002VKCriQAH")</f>
        <v>0014X00002VKCriQAH</v>
      </c>
      <c r="C139" s="3" t="s">
        <v>6038</v>
      </c>
      <c r="D139" s="3" t="s">
        <v>46</v>
      </c>
      <c r="E139" s="21" t="str">
        <f>HYPERLINK("https://gerandofalcoes.my.salesforce.com/0034X0000380O43", "0034X0000380O43")</f>
        <v>0034X0000380O43</v>
      </c>
      <c r="F139" s="3" t="s">
        <v>13820</v>
      </c>
      <c r="G139" s="3" t="s">
        <v>13821</v>
      </c>
      <c r="H139" s="3" t="s">
        <v>2538</v>
      </c>
      <c r="I139" s="3" t="s">
        <v>12741</v>
      </c>
      <c r="J139" s="3"/>
      <c r="K139" s="3" t="s">
        <v>13822</v>
      </c>
      <c r="L139" s="3" t="s">
        <v>13823</v>
      </c>
      <c r="M139" s="6">
        <v>30625</v>
      </c>
      <c r="N139" s="3">
        <v>39</v>
      </c>
      <c r="O139" s="3">
        <v>5397465</v>
      </c>
      <c r="P139" s="3">
        <v>4758241481</v>
      </c>
      <c r="Q139" s="3"/>
      <c r="R139" s="3" t="s">
        <v>13824</v>
      </c>
      <c r="S139" s="3" t="s">
        <v>3605</v>
      </c>
      <c r="T139" s="3" t="s">
        <v>12656</v>
      </c>
      <c r="U139" s="3"/>
      <c r="V139" s="3" t="s">
        <v>13825</v>
      </c>
      <c r="W139" s="3" t="s">
        <v>12664</v>
      </c>
      <c r="X139" s="3" t="s">
        <v>2980</v>
      </c>
      <c r="Y139" s="3" t="s">
        <v>12670</v>
      </c>
      <c r="Z139" s="3" t="s">
        <v>2543</v>
      </c>
      <c r="AA139" s="3" t="s">
        <v>2577</v>
      </c>
      <c r="AB139" s="3" t="s">
        <v>2543</v>
      </c>
      <c r="AC139" s="3" t="s">
        <v>13826</v>
      </c>
      <c r="AD139" s="3">
        <v>11</v>
      </c>
      <c r="AE139" s="3" t="s">
        <v>6045</v>
      </c>
      <c r="AF139" s="3" t="s">
        <v>1562</v>
      </c>
      <c r="AG139" s="3" t="s">
        <v>5628</v>
      </c>
      <c r="AH139" s="3" t="s">
        <v>6046</v>
      </c>
      <c r="AI139" s="3" t="s">
        <v>379</v>
      </c>
      <c r="AJ139" s="3" t="s">
        <v>2569</v>
      </c>
      <c r="AK139" s="3" t="s">
        <v>12674</v>
      </c>
      <c r="AL139" s="3" t="s">
        <v>2550</v>
      </c>
      <c r="AM139" s="3">
        <v>5</v>
      </c>
      <c r="AN139" s="3" t="s">
        <v>7216</v>
      </c>
      <c r="AO139" s="3" t="s">
        <v>120</v>
      </c>
      <c r="AP139" s="3"/>
      <c r="AQ139" s="3" t="s">
        <v>13827</v>
      </c>
      <c r="AR139" s="3"/>
      <c r="AS139" s="7" t="s">
        <v>13828</v>
      </c>
      <c r="AT139" s="3"/>
      <c r="AU139" s="3"/>
      <c r="AV139" s="3"/>
    </row>
    <row r="140" spans="1:48" ht="12.5" x14ac:dyDescent="0.25">
      <c r="A140" s="3" t="s">
        <v>12652</v>
      </c>
      <c r="B140" s="7" t="str">
        <f>HYPERLINK("https://gerandofalcoes.my.salesforce.com/0014X00002VKCqsQAH", "0014X00002VKCqsQAH")</f>
        <v>0014X00002VKCqsQAH</v>
      </c>
      <c r="C140" s="3" t="s">
        <v>6056</v>
      </c>
      <c r="D140" s="3" t="s">
        <v>46</v>
      </c>
      <c r="E140" s="21" t="str">
        <f>HYPERLINK("https://gerandofalcoes.my.salesforce.com/0034X0000380O5J", "0034X0000380O5J")</f>
        <v>0034X0000380O5J</v>
      </c>
      <c r="F140" s="3" t="s">
        <v>2552</v>
      </c>
      <c r="G140" s="3" t="s">
        <v>13829</v>
      </c>
      <c r="H140" s="3" t="s">
        <v>2538</v>
      </c>
      <c r="I140" s="3" t="s">
        <v>12741</v>
      </c>
      <c r="J140" s="3"/>
      <c r="K140" s="3" t="s">
        <v>13830</v>
      </c>
      <c r="L140" s="3">
        <v>35999179201</v>
      </c>
      <c r="M140" s="8">
        <v>30967</v>
      </c>
      <c r="N140" s="3">
        <v>38</v>
      </c>
      <c r="O140" s="3">
        <v>13825569</v>
      </c>
      <c r="P140" s="3">
        <v>7172807642</v>
      </c>
      <c r="Q140" s="3"/>
      <c r="S140" s="3" t="s">
        <v>3137</v>
      </c>
      <c r="T140" s="3" t="s">
        <v>12682</v>
      </c>
      <c r="U140" s="3"/>
      <c r="V140" s="3" t="s">
        <v>13831</v>
      </c>
      <c r="W140" s="3" t="s">
        <v>2541</v>
      </c>
      <c r="X140" s="3" t="s">
        <v>2980</v>
      </c>
      <c r="Y140" s="3"/>
      <c r="Z140" s="3" t="s">
        <v>2543</v>
      </c>
      <c r="AA140" s="3"/>
      <c r="AB140" s="3" t="s">
        <v>2545</v>
      </c>
      <c r="AC140" s="3" t="s">
        <v>13832</v>
      </c>
      <c r="AD140" s="3">
        <v>171</v>
      </c>
      <c r="AE140" s="3"/>
      <c r="AF140" s="3"/>
      <c r="AG140" s="3" t="s">
        <v>4026</v>
      </c>
      <c r="AH140" s="3">
        <v>37968000</v>
      </c>
      <c r="AI140" s="3" t="s">
        <v>84</v>
      </c>
      <c r="AJ140" s="3" t="s">
        <v>2569</v>
      </c>
      <c r="AK140" s="3" t="s">
        <v>12828</v>
      </c>
      <c r="AL140" s="3" t="s">
        <v>2588</v>
      </c>
      <c r="AM140" s="3">
        <v>1</v>
      </c>
      <c r="AN140" s="3" t="s">
        <v>7216</v>
      </c>
      <c r="AO140" s="3" t="s">
        <v>120</v>
      </c>
      <c r="AP140" s="3"/>
      <c r="AQ140" s="7" t="s">
        <v>13833</v>
      </c>
      <c r="AR140" s="3"/>
      <c r="AS140" s="7" t="s">
        <v>13834</v>
      </c>
      <c r="AT140" s="3"/>
      <c r="AU140" s="3"/>
      <c r="AV140" s="3"/>
    </row>
    <row r="141" spans="1:48" ht="12.5" x14ac:dyDescent="0.25">
      <c r="A141" s="3" t="s">
        <v>12652</v>
      </c>
      <c r="B141" s="7" t="str">
        <f>HYPERLINK("https://gerandofalcoes.my.salesforce.com/0014X00002VKCqtQAH", "0014X00002VKCqtQAH")</f>
        <v>0014X00002VKCqtQAH</v>
      </c>
      <c r="C141" s="3" t="s">
        <v>6070</v>
      </c>
      <c r="D141" s="3" t="s">
        <v>46</v>
      </c>
      <c r="E141" s="21" t="str">
        <f>HYPERLINK("https://gerandofalcoes.my.salesforce.com/0034X0000380O4c", "0034X0000380O4c")</f>
        <v>0034X0000380O4c</v>
      </c>
      <c r="F141" s="3" t="s">
        <v>13835</v>
      </c>
      <c r="G141" s="3" t="s">
        <v>13836</v>
      </c>
      <c r="H141" s="3" t="s">
        <v>2538</v>
      </c>
      <c r="I141" s="3" t="s">
        <v>12741</v>
      </c>
      <c r="J141" s="3">
        <v>33</v>
      </c>
      <c r="K141" s="3" t="s">
        <v>13837</v>
      </c>
      <c r="L141" s="3">
        <v>31991512901</v>
      </c>
      <c r="M141" s="6">
        <v>29584</v>
      </c>
      <c r="N141" s="3">
        <v>42</v>
      </c>
      <c r="O141" s="3" t="s">
        <v>13838</v>
      </c>
      <c r="P141" s="3">
        <v>15217441640</v>
      </c>
      <c r="S141" s="3" t="s">
        <v>2998</v>
      </c>
      <c r="T141" s="3" t="s">
        <v>12656</v>
      </c>
      <c r="U141" s="3"/>
      <c r="V141" s="3" t="s">
        <v>13839</v>
      </c>
      <c r="W141" s="3" t="s">
        <v>2541</v>
      </c>
      <c r="X141" s="3" t="s">
        <v>2980</v>
      </c>
      <c r="Y141" s="3"/>
      <c r="Z141" s="3" t="s">
        <v>2543</v>
      </c>
      <c r="AA141" s="3"/>
      <c r="AB141" s="3"/>
      <c r="AC141" s="3" t="s">
        <v>13840</v>
      </c>
      <c r="AD141" s="3">
        <v>101</v>
      </c>
      <c r="AE141" s="3"/>
      <c r="AF141" s="3"/>
      <c r="AG141" s="3" t="s">
        <v>13841</v>
      </c>
      <c r="AH141" s="3">
        <v>30250230</v>
      </c>
      <c r="AI141" s="3" t="s">
        <v>84</v>
      </c>
      <c r="AJ141" s="3" t="s">
        <v>2569</v>
      </c>
      <c r="AK141" s="3" t="s">
        <v>12674</v>
      </c>
      <c r="AL141" s="3" t="s">
        <v>2550</v>
      </c>
      <c r="AM141" s="3">
        <v>1</v>
      </c>
      <c r="AN141" s="3" t="s">
        <v>7216</v>
      </c>
      <c r="AO141" s="3" t="s">
        <v>120</v>
      </c>
      <c r="AP141" s="3"/>
      <c r="AQ141" s="3"/>
      <c r="AR141" s="3"/>
      <c r="AS141" s="7" t="s">
        <v>13842</v>
      </c>
    </row>
    <row r="142" spans="1:48" ht="12.5" hidden="1" x14ac:dyDescent="0.25">
      <c r="A142" s="3" t="s">
        <v>12652</v>
      </c>
      <c r="B142" s="7" t="str">
        <f>HYPERLINK("https://gerandofalcoes.my.salesforce.com/0014X00002VKCqvQAH", "0014X00002VKCqvQAH")</f>
        <v>0014X00002VKCqvQAH</v>
      </c>
      <c r="C142" s="3" t="s">
        <v>6088</v>
      </c>
      <c r="D142" s="3" t="s">
        <v>46</v>
      </c>
      <c r="E142" s="21" t="str">
        <f>HYPERLINK("https://gerandofalcoes.my.salesforce.com/0034X0000380O5X", "0034X0000380O5X")</f>
        <v>0034X0000380O5X</v>
      </c>
      <c r="F142" s="3" t="s">
        <v>13843</v>
      </c>
      <c r="G142" s="3" t="s">
        <v>13844</v>
      </c>
      <c r="H142" s="3" t="s">
        <v>2538</v>
      </c>
      <c r="I142" s="3" t="s">
        <v>12741</v>
      </c>
      <c r="J142" s="3">
        <v>33</v>
      </c>
      <c r="K142" s="3" t="s">
        <v>13845</v>
      </c>
      <c r="L142" s="3" t="s">
        <v>13846</v>
      </c>
      <c r="M142" s="6">
        <v>27687</v>
      </c>
      <c r="N142" s="3">
        <v>47</v>
      </c>
      <c r="O142" s="3">
        <v>7794512</v>
      </c>
      <c r="P142" s="3">
        <v>956968651</v>
      </c>
      <c r="R142" s="3" t="s">
        <v>12800</v>
      </c>
      <c r="S142" s="3" t="s">
        <v>3137</v>
      </c>
      <c r="T142" s="3" t="s">
        <v>12723</v>
      </c>
      <c r="U142" s="3"/>
      <c r="V142" s="3" t="s">
        <v>13847</v>
      </c>
      <c r="W142" s="3" t="s">
        <v>12664</v>
      </c>
      <c r="X142" s="3" t="s">
        <v>2980</v>
      </c>
      <c r="Y142" s="3" t="s">
        <v>12684</v>
      </c>
      <c r="Z142" s="3" t="s">
        <v>2543</v>
      </c>
      <c r="AA142" s="3" t="s">
        <v>2544</v>
      </c>
      <c r="AB142" s="3" t="s">
        <v>2543</v>
      </c>
      <c r="AC142" s="3" t="s">
        <v>13848</v>
      </c>
      <c r="AD142" s="3">
        <v>2361</v>
      </c>
      <c r="AE142" s="3" t="s">
        <v>673</v>
      </c>
      <c r="AF142" s="3" t="s">
        <v>177</v>
      </c>
      <c r="AG142" s="3" t="s">
        <v>5789</v>
      </c>
      <c r="AH142" s="3" t="s">
        <v>13849</v>
      </c>
      <c r="AI142" s="3" t="s">
        <v>84</v>
      </c>
      <c r="AJ142" s="3" t="s">
        <v>2569</v>
      </c>
      <c r="AK142" s="3" t="s">
        <v>3249</v>
      </c>
      <c r="AL142" s="3" t="s">
        <v>2550</v>
      </c>
      <c r="AM142" s="3">
        <v>4</v>
      </c>
      <c r="AN142" s="3" t="s">
        <v>7216</v>
      </c>
      <c r="AO142" s="3" t="s">
        <v>120</v>
      </c>
      <c r="AP142" s="3"/>
      <c r="AQ142" s="3" t="s">
        <v>13850</v>
      </c>
      <c r="AR142" s="3"/>
      <c r="AS142" s="7" t="s">
        <v>13851</v>
      </c>
    </row>
    <row r="143" spans="1:48" ht="12.5" x14ac:dyDescent="0.25">
      <c r="A143" s="3" t="s">
        <v>12652</v>
      </c>
      <c r="B143" s="7" t="str">
        <f>HYPERLINK("https://gerandofalcoes.my.salesforce.com/0014X00002VKCqyQAH", "0014X00002VKCqyQAH")</f>
        <v>0014X00002VKCqyQAH</v>
      </c>
      <c r="C143" s="3" t="s">
        <v>6107</v>
      </c>
      <c r="D143" s="3" t="s">
        <v>46</v>
      </c>
      <c r="E143" s="21" t="str">
        <f>HYPERLINK("https://gerandofalcoes.my.salesforce.com/0034X0000380O4l", "0034X0000380O4l")</f>
        <v>0034X0000380O4l</v>
      </c>
      <c r="F143" s="3" t="s">
        <v>13852</v>
      </c>
      <c r="G143" s="3" t="s">
        <v>13853</v>
      </c>
      <c r="H143" s="3" t="s">
        <v>2538</v>
      </c>
      <c r="I143" s="3" t="s">
        <v>12741</v>
      </c>
      <c r="J143" s="3">
        <v>33</v>
      </c>
      <c r="K143" s="3" t="s">
        <v>13854</v>
      </c>
      <c r="L143" s="3">
        <v>31999388077</v>
      </c>
      <c r="M143" s="6">
        <v>26158</v>
      </c>
      <c r="N143" s="3">
        <v>51</v>
      </c>
      <c r="O143" s="3" t="s">
        <v>13855</v>
      </c>
      <c r="P143" s="3">
        <v>384025641</v>
      </c>
      <c r="S143" s="3" t="s">
        <v>2998</v>
      </c>
      <c r="T143" s="3" t="s">
        <v>12723</v>
      </c>
      <c r="U143" s="3"/>
      <c r="V143" s="3" t="s">
        <v>13856</v>
      </c>
      <c r="W143" s="3" t="s">
        <v>2541</v>
      </c>
      <c r="X143" s="3" t="s">
        <v>2980</v>
      </c>
      <c r="Y143" s="3"/>
      <c r="Z143" s="3" t="s">
        <v>2543</v>
      </c>
      <c r="AA143" s="3" t="s">
        <v>2544</v>
      </c>
      <c r="AB143" s="3" t="s">
        <v>2545</v>
      </c>
      <c r="AC143" s="3" t="s">
        <v>13857</v>
      </c>
      <c r="AD143" s="3">
        <v>377</v>
      </c>
      <c r="AE143" s="3"/>
      <c r="AF143" s="3"/>
      <c r="AG143" s="3" t="s">
        <v>13858</v>
      </c>
      <c r="AH143" s="3">
        <v>34400000</v>
      </c>
      <c r="AI143" s="3" t="s">
        <v>84</v>
      </c>
      <c r="AJ143" s="3" t="s">
        <v>2569</v>
      </c>
      <c r="AK143" s="3" t="s">
        <v>12674</v>
      </c>
      <c r="AL143" s="3" t="s">
        <v>2550</v>
      </c>
      <c r="AM143" s="3">
        <v>4</v>
      </c>
      <c r="AN143" s="3" t="s">
        <v>7216</v>
      </c>
      <c r="AO143" s="3" t="s">
        <v>120</v>
      </c>
      <c r="AP143" s="3"/>
      <c r="AQ143" s="3"/>
      <c r="AR143" s="3"/>
      <c r="AS143" s="7" t="s">
        <v>13859</v>
      </c>
    </row>
    <row r="144" spans="1:48" ht="12.5" hidden="1" x14ac:dyDescent="0.25">
      <c r="A144" s="3" t="s">
        <v>12652</v>
      </c>
      <c r="B144" s="7" t="str">
        <f>HYPERLINK("https://gerandofalcoes.my.salesforce.com/0014X00002VKCqzQAH", "0014X00002VKCqzQAH")</f>
        <v>0014X00002VKCqzQAH</v>
      </c>
      <c r="C144" s="3" t="s">
        <v>6120</v>
      </c>
      <c r="D144" s="3" t="s">
        <v>46</v>
      </c>
      <c r="E144" s="21" t="str">
        <f>HYPERLINK("https://gerandofalcoes.my.salesforce.com/0034X0000380O3t", "0034X0000380O3t")</f>
        <v>0034X0000380O3t</v>
      </c>
      <c r="F144" s="3" t="s">
        <v>13860</v>
      </c>
      <c r="G144" s="3" t="s">
        <v>13861</v>
      </c>
      <c r="H144" s="3" t="s">
        <v>2538</v>
      </c>
      <c r="I144" s="3" t="s">
        <v>12741</v>
      </c>
      <c r="J144" s="3">
        <v>33</v>
      </c>
      <c r="K144" s="3" t="s">
        <v>6124</v>
      </c>
      <c r="L144" s="3" t="s">
        <v>6125</v>
      </c>
      <c r="M144" s="6">
        <v>27480</v>
      </c>
      <c r="N144" s="3">
        <v>47</v>
      </c>
      <c r="O144" s="3">
        <v>6880756</v>
      </c>
      <c r="P144" s="3">
        <v>147611652</v>
      </c>
      <c r="R144" s="3" t="s">
        <v>13409</v>
      </c>
      <c r="S144" s="3" t="s">
        <v>3605</v>
      </c>
      <c r="T144" s="3" t="s">
        <v>12723</v>
      </c>
      <c r="U144" s="3"/>
      <c r="V144" s="3" t="s">
        <v>13862</v>
      </c>
      <c r="W144" s="3" t="s">
        <v>4204</v>
      </c>
      <c r="X144" s="3" t="s">
        <v>2980</v>
      </c>
      <c r="Y144" s="3" t="s">
        <v>12670</v>
      </c>
      <c r="Z144" s="3" t="s">
        <v>2543</v>
      </c>
      <c r="AA144" s="3" t="s">
        <v>2544</v>
      </c>
      <c r="AB144" s="3" t="s">
        <v>2545</v>
      </c>
      <c r="AC144" s="3" t="s">
        <v>13863</v>
      </c>
      <c r="AD144" s="3">
        <v>75</v>
      </c>
      <c r="AE144" s="3"/>
      <c r="AF144" s="3" t="s">
        <v>13156</v>
      </c>
      <c r="AG144" s="3" t="s">
        <v>13864</v>
      </c>
      <c r="AH144" s="3" t="s">
        <v>6128</v>
      </c>
      <c r="AI144" s="3" t="s">
        <v>84</v>
      </c>
      <c r="AJ144" s="3" t="s">
        <v>2569</v>
      </c>
      <c r="AK144" s="3" t="s">
        <v>3249</v>
      </c>
      <c r="AL144" s="3" t="s">
        <v>2550</v>
      </c>
      <c r="AM144" s="3">
        <v>3</v>
      </c>
      <c r="AN144" s="3" t="s">
        <v>7216</v>
      </c>
      <c r="AO144" s="3" t="s">
        <v>120</v>
      </c>
      <c r="AP144" s="3"/>
      <c r="AQ144" s="3" t="s">
        <v>13865</v>
      </c>
      <c r="AR144" s="3"/>
      <c r="AS144" s="7" t="s">
        <v>13866</v>
      </c>
    </row>
    <row r="145" spans="1:45" ht="12.5" hidden="1" x14ac:dyDescent="0.25">
      <c r="A145" s="3" t="s">
        <v>12652</v>
      </c>
      <c r="B145" s="7" t="str">
        <f>HYPERLINK("https://gerandofalcoes.my.salesforce.com/0014X00002VKCrkQAH", "0014X00002VKCrkQAH")</f>
        <v>0014X00002VKCrkQAH</v>
      </c>
      <c r="C145" s="3" t="s">
        <v>6135</v>
      </c>
      <c r="D145" s="3" t="s">
        <v>46</v>
      </c>
      <c r="E145" s="21" t="str">
        <f>HYPERLINK("https://gerandofalcoes.my.salesforce.com/0034X0000380O49", "0034X0000380O49")</f>
        <v>0034X0000380O49</v>
      </c>
      <c r="F145" s="3" t="s">
        <v>13723</v>
      </c>
      <c r="G145" s="3" t="s">
        <v>13867</v>
      </c>
      <c r="H145" s="3" t="s">
        <v>2538</v>
      </c>
      <c r="I145" s="3" t="s">
        <v>12741</v>
      </c>
      <c r="J145" s="3">
        <v>33</v>
      </c>
      <c r="K145" s="3" t="s">
        <v>13868</v>
      </c>
      <c r="L145" s="3" t="s">
        <v>13869</v>
      </c>
      <c r="M145" s="6">
        <v>29364</v>
      </c>
      <c r="N145" s="3">
        <v>42</v>
      </c>
      <c r="O145" s="3">
        <v>5299626</v>
      </c>
      <c r="P145" s="3">
        <v>3174173477</v>
      </c>
      <c r="R145" s="3" t="s">
        <v>13512</v>
      </c>
      <c r="S145" s="3" t="s">
        <v>2998</v>
      </c>
      <c r="T145" s="3" t="s">
        <v>12656</v>
      </c>
      <c r="U145" s="3"/>
      <c r="V145" s="3" t="s">
        <v>13870</v>
      </c>
      <c r="W145" s="3" t="s">
        <v>12664</v>
      </c>
      <c r="X145" s="3" t="s">
        <v>2980</v>
      </c>
      <c r="Y145" s="3" t="s">
        <v>12670</v>
      </c>
      <c r="Z145" s="3" t="s">
        <v>2543</v>
      </c>
      <c r="AA145" s="3" t="s">
        <v>2544</v>
      </c>
      <c r="AB145" s="3" t="s">
        <v>2545</v>
      </c>
      <c r="AC145" s="3" t="s">
        <v>13871</v>
      </c>
      <c r="AD145" s="3">
        <v>139</v>
      </c>
      <c r="AE145" s="3" t="s">
        <v>1539</v>
      </c>
      <c r="AF145" s="3" t="s">
        <v>5987</v>
      </c>
      <c r="AG145" s="3" t="s">
        <v>6142</v>
      </c>
      <c r="AH145" s="3" t="s">
        <v>6144</v>
      </c>
      <c r="AI145" s="3" t="s">
        <v>379</v>
      </c>
      <c r="AJ145" s="3" t="s">
        <v>2569</v>
      </c>
      <c r="AK145" s="3" t="s">
        <v>12828</v>
      </c>
      <c r="AL145" s="3" t="s">
        <v>2550</v>
      </c>
      <c r="AM145" s="3">
        <v>2</v>
      </c>
      <c r="AN145" s="3" t="s">
        <v>7216</v>
      </c>
      <c r="AO145" s="3" t="s">
        <v>120</v>
      </c>
      <c r="AP145" s="7" t="s">
        <v>13872</v>
      </c>
      <c r="AQ145" s="7" t="s">
        <v>13872</v>
      </c>
      <c r="AR145" s="3"/>
      <c r="AS145" s="7" t="s">
        <v>13873</v>
      </c>
    </row>
    <row r="146" spans="1:45" ht="12.5" hidden="1" x14ac:dyDescent="0.25">
      <c r="A146" s="3" t="s">
        <v>12652</v>
      </c>
      <c r="B146" s="7" t="str">
        <f>HYPERLINK("https://gerandofalcoes.my.salesforce.com/0014X00002VKCrlQAH", "0014X00002VKCrlQAH")</f>
        <v>0014X00002VKCrlQAH</v>
      </c>
      <c r="C146" s="3" t="s">
        <v>6156</v>
      </c>
      <c r="D146" s="3" t="s">
        <v>46</v>
      </c>
      <c r="E146" s="21" t="str">
        <f>HYPERLINK("https://gerandofalcoes.my.salesforce.com/0034X0000380O3X", "0034X0000380O3X")</f>
        <v>0034X0000380O3X</v>
      </c>
      <c r="F146" s="3" t="s">
        <v>13874</v>
      </c>
      <c r="G146" s="3" t="s">
        <v>13875</v>
      </c>
      <c r="H146" s="3" t="s">
        <v>2538</v>
      </c>
      <c r="I146" s="3" t="s">
        <v>12741</v>
      </c>
      <c r="J146" s="3">
        <v>33</v>
      </c>
      <c r="K146" s="3" t="s">
        <v>6159</v>
      </c>
      <c r="L146" s="3" t="s">
        <v>6160</v>
      </c>
      <c r="M146" s="6">
        <v>28734</v>
      </c>
      <c r="N146" s="3">
        <v>44</v>
      </c>
      <c r="O146" s="3">
        <v>5382546</v>
      </c>
      <c r="P146" s="3">
        <v>925351431</v>
      </c>
      <c r="R146" s="3" t="s">
        <v>13876</v>
      </c>
      <c r="S146" s="3" t="s">
        <v>3417</v>
      </c>
      <c r="T146" s="3" t="s">
        <v>12682</v>
      </c>
      <c r="U146" s="3"/>
      <c r="V146" s="3" t="s">
        <v>13877</v>
      </c>
      <c r="W146" s="3" t="s">
        <v>12664</v>
      </c>
      <c r="X146" s="3" t="s">
        <v>2980</v>
      </c>
      <c r="Y146" s="3" t="s">
        <v>12670</v>
      </c>
      <c r="Z146" s="3" t="s">
        <v>2545</v>
      </c>
      <c r="AA146" s="3" t="s">
        <v>2544</v>
      </c>
      <c r="AB146" s="3" t="s">
        <v>2545</v>
      </c>
      <c r="AC146" s="3" t="s">
        <v>13878</v>
      </c>
      <c r="AD146" s="3">
        <v>98</v>
      </c>
      <c r="AE146" s="3" t="s">
        <v>13879</v>
      </c>
      <c r="AF146" s="3" t="s">
        <v>6163</v>
      </c>
      <c r="AG146" s="3" t="s">
        <v>13880</v>
      </c>
      <c r="AH146" s="3" t="s">
        <v>13881</v>
      </c>
      <c r="AI146" s="3" t="s">
        <v>379</v>
      </c>
      <c r="AJ146" s="3" t="s">
        <v>2741</v>
      </c>
      <c r="AK146" s="3" t="s">
        <v>12661</v>
      </c>
      <c r="AL146" s="3" t="s">
        <v>2588</v>
      </c>
      <c r="AM146" s="3">
        <v>2</v>
      </c>
      <c r="AN146" s="3" t="s">
        <v>7216</v>
      </c>
      <c r="AO146" s="3" t="s">
        <v>120</v>
      </c>
      <c r="AP146" s="7" t="s">
        <v>13882</v>
      </c>
      <c r="AQ146" s="7" t="s">
        <v>13883</v>
      </c>
      <c r="AR146" s="3"/>
      <c r="AS146" s="7" t="s">
        <v>13884</v>
      </c>
    </row>
    <row r="147" spans="1:45" ht="12.5" hidden="1" x14ac:dyDescent="0.25">
      <c r="A147" s="3" t="s">
        <v>12652</v>
      </c>
      <c r="B147" s="7" t="str">
        <f>HYPERLINK("https://gerandofalcoes.my.salesforce.com/0014X00002VKCroQAH", "0014X00002VKCroQAH")</f>
        <v>0014X00002VKCroQAH</v>
      </c>
      <c r="C147" s="3" t="s">
        <v>6176</v>
      </c>
      <c r="D147" s="3" t="s">
        <v>46</v>
      </c>
      <c r="E147" s="21" t="str">
        <f>HYPERLINK("https://gerandofalcoes.my.salesforce.com/0034X0000380O1O", "0034X0000380O1O")</f>
        <v>0034X0000380O1O</v>
      </c>
      <c r="F147" s="3" t="s">
        <v>13885</v>
      </c>
      <c r="G147" s="3" t="s">
        <v>13886</v>
      </c>
      <c r="H147" s="3" t="s">
        <v>2538</v>
      </c>
      <c r="I147" s="3" t="s">
        <v>12741</v>
      </c>
      <c r="J147" s="3">
        <v>33</v>
      </c>
      <c r="K147" s="3" t="s">
        <v>13887</v>
      </c>
      <c r="L147" s="3" t="s">
        <v>13888</v>
      </c>
      <c r="M147" s="6">
        <v>34358</v>
      </c>
      <c r="N147" s="3">
        <v>28</v>
      </c>
      <c r="O147" s="3">
        <v>8292634</v>
      </c>
      <c r="P147" s="3">
        <v>9798874455</v>
      </c>
      <c r="R147" s="3" t="s">
        <v>13512</v>
      </c>
      <c r="S147" s="3" t="s">
        <v>3137</v>
      </c>
      <c r="T147" s="3" t="s">
        <v>12723</v>
      </c>
      <c r="U147" s="3"/>
      <c r="V147" s="3" t="s">
        <v>13889</v>
      </c>
      <c r="W147" s="3" t="s">
        <v>12664</v>
      </c>
      <c r="X147" s="3" t="s">
        <v>2980</v>
      </c>
      <c r="Y147" s="3" t="s">
        <v>12670</v>
      </c>
      <c r="Z147" s="3" t="s">
        <v>2543</v>
      </c>
      <c r="AA147" s="3" t="s">
        <v>2544</v>
      </c>
      <c r="AB147" s="3" t="s">
        <v>2545</v>
      </c>
      <c r="AC147" s="3" t="s">
        <v>13890</v>
      </c>
      <c r="AD147" s="3">
        <v>260</v>
      </c>
      <c r="AE147" s="3" t="s">
        <v>673</v>
      </c>
      <c r="AF147" s="3" t="s">
        <v>381</v>
      </c>
      <c r="AG147" s="3" t="s">
        <v>13891</v>
      </c>
      <c r="AH147" s="3" t="s">
        <v>13892</v>
      </c>
      <c r="AI147" s="3" t="s">
        <v>379</v>
      </c>
      <c r="AJ147" s="3" t="s">
        <v>2569</v>
      </c>
      <c r="AK147" s="3" t="s">
        <v>12661</v>
      </c>
      <c r="AL147" s="3" t="s">
        <v>2550</v>
      </c>
      <c r="AM147" s="3">
        <v>4</v>
      </c>
      <c r="AN147" s="3" t="s">
        <v>7216</v>
      </c>
      <c r="AO147" s="3" t="s">
        <v>120</v>
      </c>
      <c r="AP147" s="7" t="s">
        <v>13893</v>
      </c>
      <c r="AQ147" s="7" t="s">
        <v>13894</v>
      </c>
      <c r="AR147" s="3"/>
      <c r="AS147" s="7" t="s">
        <v>13895</v>
      </c>
    </row>
    <row r="148" spans="1:45" ht="12.5" hidden="1" x14ac:dyDescent="0.25">
      <c r="A148" s="3" t="s">
        <v>12652</v>
      </c>
      <c r="B148" s="7" t="str">
        <f>HYPERLINK("https://gerandofalcoes.my.salesforce.com/0014X00002VKCrpQAH", "0014X00002VKCrpQAH")</f>
        <v>0014X00002VKCrpQAH</v>
      </c>
      <c r="C148" s="3" t="s">
        <v>6189</v>
      </c>
      <c r="D148" s="3" t="s">
        <v>46</v>
      </c>
      <c r="E148" s="21" t="str">
        <f>HYPERLINK("https://gerandofalcoes.my.salesforce.com/0034X0000380O1v", "0034X0000380O1v")</f>
        <v>0034X0000380O1v</v>
      </c>
      <c r="F148" s="3" t="s">
        <v>13896</v>
      </c>
      <c r="G148" s="3" t="s">
        <v>13897</v>
      </c>
      <c r="H148" s="3" t="s">
        <v>2538</v>
      </c>
      <c r="I148" s="3" t="s">
        <v>12741</v>
      </c>
      <c r="J148" s="3"/>
      <c r="K148" s="3" t="s">
        <v>13898</v>
      </c>
      <c r="L148" s="3" t="s">
        <v>13899</v>
      </c>
      <c r="M148" s="8">
        <v>29865</v>
      </c>
      <c r="N148" s="3">
        <v>41</v>
      </c>
      <c r="O148" s="3">
        <v>6388209</v>
      </c>
      <c r="P148" s="3">
        <v>4863393431</v>
      </c>
      <c r="R148" s="3" t="s">
        <v>13900</v>
      </c>
      <c r="S148" s="3" t="s">
        <v>12744</v>
      </c>
      <c r="T148" s="3" t="s">
        <v>12723</v>
      </c>
      <c r="U148" s="3"/>
      <c r="V148" s="3" t="s">
        <v>13901</v>
      </c>
      <c r="W148" s="3" t="s">
        <v>12664</v>
      </c>
      <c r="X148" s="3" t="s">
        <v>2980</v>
      </c>
      <c r="Y148" s="3" t="s">
        <v>12670</v>
      </c>
      <c r="Z148" s="3" t="s">
        <v>2543</v>
      </c>
      <c r="AA148" s="3" t="s">
        <v>2544</v>
      </c>
      <c r="AB148" s="3" t="s">
        <v>2543</v>
      </c>
      <c r="AC148" s="3" t="s">
        <v>13902</v>
      </c>
      <c r="AD148" s="3">
        <v>481</v>
      </c>
      <c r="AE148" s="3" t="s">
        <v>7437</v>
      </c>
      <c r="AF148" s="3" t="s">
        <v>5987</v>
      </c>
      <c r="AG148" s="3" t="s">
        <v>6195</v>
      </c>
      <c r="AH148" s="3" t="s">
        <v>6196</v>
      </c>
      <c r="AI148" s="3" t="s">
        <v>379</v>
      </c>
      <c r="AJ148" s="3" t="s">
        <v>2569</v>
      </c>
      <c r="AK148" s="3" t="s">
        <v>13326</v>
      </c>
      <c r="AL148" s="3" t="s">
        <v>2550</v>
      </c>
      <c r="AM148" s="3">
        <v>5</v>
      </c>
      <c r="AN148" s="3" t="s">
        <v>7216</v>
      </c>
      <c r="AO148" s="3" t="s">
        <v>120</v>
      </c>
      <c r="AP148" s="3"/>
      <c r="AQ148" s="7" t="s">
        <v>13903</v>
      </c>
      <c r="AR148" s="3"/>
      <c r="AS148" s="7" t="s">
        <v>13904</v>
      </c>
    </row>
    <row r="149" spans="1:45" ht="12.5" x14ac:dyDescent="0.25">
      <c r="A149" s="3" t="s">
        <v>12652</v>
      </c>
      <c r="B149" s="7" t="str">
        <f>HYPERLINK("https://gerandofalcoes.my.salesforce.com/0014X00002VKCrqQAH", "0014X00002VKCrqQAH")</f>
        <v>0014X00002VKCrqQAH</v>
      </c>
      <c r="C149" s="3" t="s">
        <v>6204</v>
      </c>
      <c r="D149" s="3" t="s">
        <v>46</v>
      </c>
      <c r="E149" s="21" t="str">
        <f>HYPERLINK("https://gerandofalcoes.my.salesforce.com/0034X0000380O5a", "0034X0000380O5a")</f>
        <v>0034X0000380O5a</v>
      </c>
      <c r="F149" s="3" t="s">
        <v>2552</v>
      </c>
      <c r="G149" s="3" t="s">
        <v>13905</v>
      </c>
      <c r="H149" s="3" t="s">
        <v>2538</v>
      </c>
      <c r="I149" s="3" t="s">
        <v>12741</v>
      </c>
      <c r="J149" s="3">
        <v>33</v>
      </c>
      <c r="K149" s="3" t="s">
        <v>13906</v>
      </c>
      <c r="L149" s="3">
        <v>81995250360</v>
      </c>
      <c r="M149" s="6">
        <v>28233</v>
      </c>
      <c r="N149" s="3">
        <v>45</v>
      </c>
      <c r="O149" s="3">
        <v>5254131</v>
      </c>
      <c r="P149" s="3">
        <v>3054550443</v>
      </c>
      <c r="S149" s="3" t="s">
        <v>3137</v>
      </c>
      <c r="T149" s="3" t="s">
        <v>13599</v>
      </c>
      <c r="U149" s="3"/>
      <c r="V149" s="3" t="s">
        <v>13907</v>
      </c>
      <c r="W149" s="3" t="s">
        <v>2541</v>
      </c>
      <c r="X149" s="3" t="s">
        <v>2980</v>
      </c>
      <c r="Y149" s="3"/>
      <c r="Z149" s="3" t="s">
        <v>2545</v>
      </c>
      <c r="AA149" s="3" t="s">
        <v>2577</v>
      </c>
      <c r="AB149" s="3" t="s">
        <v>2545</v>
      </c>
      <c r="AC149" s="3" t="s">
        <v>13908</v>
      </c>
      <c r="AD149" s="3">
        <v>166</v>
      </c>
      <c r="AE149" s="3"/>
      <c r="AF149" s="3"/>
      <c r="AG149" s="3" t="s">
        <v>13909</v>
      </c>
      <c r="AH149" s="3">
        <v>50741010</v>
      </c>
      <c r="AI149" s="3" t="s">
        <v>379</v>
      </c>
      <c r="AJ149" s="3" t="s">
        <v>2548</v>
      </c>
      <c r="AK149" s="3" t="s">
        <v>12674</v>
      </c>
      <c r="AL149" s="3" t="s">
        <v>2588</v>
      </c>
      <c r="AM149" s="3">
        <v>2</v>
      </c>
      <c r="AN149" s="3" t="s">
        <v>7216</v>
      </c>
      <c r="AO149" s="3" t="s">
        <v>62</v>
      </c>
      <c r="AP149" s="3"/>
      <c r="AQ149" s="7" t="s">
        <v>13910</v>
      </c>
      <c r="AR149" s="3"/>
      <c r="AS149" s="7" t="s">
        <v>13911</v>
      </c>
    </row>
    <row r="150" spans="1:45" ht="12.5" x14ac:dyDescent="0.25">
      <c r="A150" s="3" t="s">
        <v>12652</v>
      </c>
      <c r="B150" s="7" t="str">
        <f>HYPERLINK("https://gerandofalcoes.my.salesforce.com/0014X00002VKCrtQAH", "0014X00002VKCrtQAH")</f>
        <v>0014X00002VKCrtQAH</v>
      </c>
      <c r="C150" s="3" t="s">
        <v>6215</v>
      </c>
      <c r="D150" s="3" t="s">
        <v>46</v>
      </c>
      <c r="E150" s="21" t="str">
        <f>HYPERLINK("https://gerandofalcoes.my.salesforce.com/0034X0000380O1a", "0034X0000380O1a")</f>
        <v>0034X0000380O1a</v>
      </c>
      <c r="F150" s="3" t="s">
        <v>13912</v>
      </c>
      <c r="G150" s="3" t="s">
        <v>13913</v>
      </c>
      <c r="H150" s="3" t="s">
        <v>2538</v>
      </c>
      <c r="I150" s="3" t="s">
        <v>12741</v>
      </c>
      <c r="J150" s="3">
        <v>33</v>
      </c>
      <c r="K150" s="3" t="s">
        <v>13914</v>
      </c>
      <c r="L150" s="3" t="s">
        <v>13915</v>
      </c>
      <c r="M150" s="6">
        <v>20357</v>
      </c>
      <c r="N150" s="3">
        <v>67</v>
      </c>
      <c r="O150" s="3">
        <v>1391649</v>
      </c>
      <c r="P150" s="3">
        <v>16795407420</v>
      </c>
      <c r="S150" s="3" t="s">
        <v>3137</v>
      </c>
      <c r="T150" s="3" t="s">
        <v>12656</v>
      </c>
      <c r="U150" s="3"/>
      <c r="V150" s="3" t="s">
        <v>13916</v>
      </c>
      <c r="W150" s="3" t="s">
        <v>2541</v>
      </c>
      <c r="X150" s="3" t="s">
        <v>2980</v>
      </c>
      <c r="Y150" s="3"/>
      <c r="Z150" s="3" t="s">
        <v>2543</v>
      </c>
      <c r="AA150" s="3" t="s">
        <v>2577</v>
      </c>
      <c r="AB150" s="3" t="s">
        <v>2543</v>
      </c>
      <c r="AC150" s="3" t="s">
        <v>13917</v>
      </c>
      <c r="AD150" s="3">
        <v>40</v>
      </c>
      <c r="AE150" s="3"/>
      <c r="AF150" s="3"/>
      <c r="AG150" s="3" t="s">
        <v>13918</v>
      </c>
      <c r="AH150" s="3">
        <v>51010420</v>
      </c>
      <c r="AI150" s="3" t="s">
        <v>379</v>
      </c>
      <c r="AJ150" s="3" t="s">
        <v>2741</v>
      </c>
      <c r="AK150" s="3" t="s">
        <v>12661</v>
      </c>
      <c r="AL150" s="3" t="s">
        <v>2550</v>
      </c>
      <c r="AM150" s="3">
        <v>5</v>
      </c>
      <c r="AN150" s="3" t="s">
        <v>7216</v>
      </c>
      <c r="AO150" s="3" t="s">
        <v>120</v>
      </c>
      <c r="AP150" s="3"/>
      <c r="AQ150" s="3"/>
      <c r="AR150" s="3"/>
      <c r="AS150" s="3"/>
    </row>
    <row r="151" spans="1:45" ht="12.5" hidden="1" x14ac:dyDescent="0.25">
      <c r="A151" s="3" t="s">
        <v>12652</v>
      </c>
      <c r="B151" s="7" t="str">
        <f>HYPERLINK("https://gerandofalcoes.my.salesforce.com/0014X00002VKCrvQAH", "0014X00002VKCrvQAH")</f>
        <v>0014X00002VKCrvQAH</v>
      </c>
      <c r="C151" s="3" t="s">
        <v>6235</v>
      </c>
      <c r="D151" s="3" t="s">
        <v>46</v>
      </c>
      <c r="E151" s="21" t="str">
        <f>HYPERLINK("https://gerandofalcoes.my.salesforce.com/0034X0000380O6r", "0034X0000380O6r")</f>
        <v>0034X0000380O6r</v>
      </c>
      <c r="F151" s="3" t="s">
        <v>6237</v>
      </c>
      <c r="G151" s="3" t="s">
        <v>13919</v>
      </c>
      <c r="H151" s="3" t="s">
        <v>2538</v>
      </c>
      <c r="I151" s="3" t="s">
        <v>12741</v>
      </c>
      <c r="J151" s="3">
        <v>33</v>
      </c>
      <c r="K151" s="3" t="s">
        <v>13920</v>
      </c>
      <c r="L151" s="3" t="s">
        <v>13921</v>
      </c>
      <c r="M151" s="6">
        <v>25743</v>
      </c>
      <c r="N151" s="3">
        <v>52</v>
      </c>
      <c r="O151" s="3">
        <v>3379537</v>
      </c>
      <c r="P151" s="3">
        <v>93230540468</v>
      </c>
      <c r="R151" s="3" t="s">
        <v>12800</v>
      </c>
      <c r="S151" s="3" t="s">
        <v>3137</v>
      </c>
      <c r="T151" s="3" t="s">
        <v>12656</v>
      </c>
      <c r="U151" s="3"/>
      <c r="V151" s="3" t="s">
        <v>13922</v>
      </c>
      <c r="W151" s="3" t="s">
        <v>12664</v>
      </c>
      <c r="X151" s="3" t="s">
        <v>2980</v>
      </c>
      <c r="Y151" s="3" t="s">
        <v>12658</v>
      </c>
      <c r="Z151" s="3" t="s">
        <v>2543</v>
      </c>
      <c r="AA151" s="3" t="s">
        <v>2544</v>
      </c>
      <c r="AB151" s="3" t="s">
        <v>2545</v>
      </c>
      <c r="AC151" s="3" t="s">
        <v>13923</v>
      </c>
      <c r="AD151" s="3" t="s">
        <v>13924</v>
      </c>
      <c r="AE151" s="3" t="s">
        <v>13925</v>
      </c>
      <c r="AF151" s="3" t="s">
        <v>13926</v>
      </c>
      <c r="AG151" s="3" t="s">
        <v>7583</v>
      </c>
      <c r="AH151" s="3" t="s">
        <v>13927</v>
      </c>
      <c r="AI151" s="3" t="s">
        <v>379</v>
      </c>
      <c r="AJ151" s="3" t="s">
        <v>2569</v>
      </c>
      <c r="AK151" s="3" t="s">
        <v>12729</v>
      </c>
      <c r="AL151" s="3" t="s">
        <v>2550</v>
      </c>
      <c r="AM151" s="3">
        <v>2</v>
      </c>
      <c r="AN151" s="3" t="s">
        <v>7216</v>
      </c>
      <c r="AO151" s="3" t="s">
        <v>120</v>
      </c>
      <c r="AP151" s="3"/>
      <c r="AQ151" s="7" t="s">
        <v>13928</v>
      </c>
      <c r="AR151" s="3"/>
      <c r="AS151" s="7" t="s">
        <v>13929</v>
      </c>
    </row>
    <row r="152" spans="1:45" ht="12.5" hidden="1" x14ac:dyDescent="0.25">
      <c r="A152" s="3" t="s">
        <v>12652</v>
      </c>
      <c r="B152" s="7" t="str">
        <f>HYPERLINK("https://gerandofalcoes.my.salesforce.com/0014X00002VKCrwQAH", "0014X00002VKCrwQAH")</f>
        <v>0014X00002VKCrwQAH</v>
      </c>
      <c r="C152" s="3" t="s">
        <v>6250</v>
      </c>
      <c r="D152" s="3" t="s">
        <v>46</v>
      </c>
      <c r="E152" s="21" t="str">
        <f>HYPERLINK("https://gerandofalcoes.my.salesforce.com/0034X0000380O5V", "0034X0000380O5V")</f>
        <v>0034X0000380O5V</v>
      </c>
      <c r="F152" s="3" t="s">
        <v>6237</v>
      </c>
      <c r="G152" s="3" t="s">
        <v>13930</v>
      </c>
      <c r="H152" s="3" t="s">
        <v>2538</v>
      </c>
      <c r="I152" s="3" t="s">
        <v>12741</v>
      </c>
      <c r="J152" s="3"/>
      <c r="K152" s="3" t="s">
        <v>13931</v>
      </c>
      <c r="L152" s="3" t="s">
        <v>6253</v>
      </c>
      <c r="M152" s="6">
        <v>36933</v>
      </c>
      <c r="N152" s="3">
        <v>21</v>
      </c>
      <c r="O152" s="3">
        <v>10545704</v>
      </c>
      <c r="P152" s="3">
        <v>1775993400</v>
      </c>
      <c r="R152" s="3" t="s">
        <v>12895</v>
      </c>
      <c r="S152" s="3" t="s">
        <v>3137</v>
      </c>
      <c r="T152" s="3" t="s">
        <v>12723</v>
      </c>
      <c r="U152" s="3"/>
      <c r="V152" s="3" t="s">
        <v>13932</v>
      </c>
      <c r="W152" s="3" t="s">
        <v>12664</v>
      </c>
      <c r="X152" s="3" t="s">
        <v>2980</v>
      </c>
      <c r="Y152" s="3" t="s">
        <v>12684</v>
      </c>
      <c r="Z152" s="3" t="s">
        <v>2543</v>
      </c>
      <c r="AA152" s="3"/>
      <c r="AB152" s="3"/>
      <c r="AC152" s="3" t="s">
        <v>6254</v>
      </c>
      <c r="AD152" s="3">
        <v>0</v>
      </c>
      <c r="AE152" s="3" t="s">
        <v>6256</v>
      </c>
      <c r="AF152" s="3" t="s">
        <v>381</v>
      </c>
      <c r="AG152" s="3" t="s">
        <v>6255</v>
      </c>
      <c r="AH152" s="3" t="s">
        <v>6257</v>
      </c>
      <c r="AI152" s="3" t="s">
        <v>379</v>
      </c>
      <c r="AJ152" s="3" t="s">
        <v>2569</v>
      </c>
      <c r="AK152" s="3" t="s">
        <v>12729</v>
      </c>
      <c r="AL152" s="3" t="s">
        <v>3385</v>
      </c>
      <c r="AM152" s="3">
        <v>2</v>
      </c>
      <c r="AN152" s="3" t="s">
        <v>7216</v>
      </c>
      <c r="AO152" s="3" t="s">
        <v>120</v>
      </c>
      <c r="AP152" s="3"/>
      <c r="AQ152" s="7" t="s">
        <v>13933</v>
      </c>
      <c r="AR152" s="3"/>
      <c r="AS152" s="7" t="s">
        <v>13934</v>
      </c>
    </row>
    <row r="153" spans="1:45" ht="12.5" x14ac:dyDescent="0.25">
      <c r="A153" s="3" t="s">
        <v>12652</v>
      </c>
      <c r="B153" s="7" t="str">
        <f>HYPERLINK("https://gerandofalcoes.my.salesforce.com/0014X00002VKCrxQAH", "0014X00002VKCrxQAH")</f>
        <v>0014X00002VKCrxQAH</v>
      </c>
      <c r="C153" s="3" t="s">
        <v>6262</v>
      </c>
      <c r="D153" s="3" t="s">
        <v>46</v>
      </c>
      <c r="E153" s="21" t="str">
        <f>HYPERLINK("https://gerandofalcoes.my.salesforce.com/0034X0000380O6V", "0034X0000380O6V")</f>
        <v>0034X0000380O6V</v>
      </c>
      <c r="F153" s="3" t="s">
        <v>3552</v>
      </c>
      <c r="G153" s="3" t="s">
        <v>13935</v>
      </c>
      <c r="H153" s="3" t="s">
        <v>2538</v>
      </c>
      <c r="I153" s="3" t="s">
        <v>12741</v>
      </c>
      <c r="J153" s="3">
        <v>33</v>
      </c>
      <c r="K153" s="3" t="s">
        <v>13936</v>
      </c>
      <c r="L153" s="3">
        <v>81994266265</v>
      </c>
      <c r="M153" s="8">
        <v>32688</v>
      </c>
      <c r="N153" s="3">
        <v>33</v>
      </c>
      <c r="O153" s="3">
        <v>8411527</v>
      </c>
      <c r="P153" s="3">
        <v>9358002476</v>
      </c>
      <c r="S153" s="3" t="s">
        <v>3137</v>
      </c>
      <c r="T153" s="3" t="s">
        <v>12656</v>
      </c>
      <c r="U153" s="3"/>
      <c r="V153" s="3" t="s">
        <v>13937</v>
      </c>
      <c r="W153" s="3" t="s">
        <v>2541</v>
      </c>
      <c r="X153" s="3" t="s">
        <v>2980</v>
      </c>
      <c r="Y153" s="3"/>
      <c r="Z153" s="3" t="s">
        <v>2543</v>
      </c>
      <c r="AA153" s="3" t="s">
        <v>2544</v>
      </c>
      <c r="AB153" s="3" t="s">
        <v>2545</v>
      </c>
      <c r="AC153" s="3" t="s">
        <v>13938</v>
      </c>
      <c r="AD153" s="3">
        <v>95</v>
      </c>
      <c r="AE153" s="3"/>
      <c r="AF153" s="3"/>
      <c r="AG153" s="3" t="s">
        <v>13939</v>
      </c>
      <c r="AH153" s="3">
        <v>50720055</v>
      </c>
      <c r="AI153" s="3" t="s">
        <v>379</v>
      </c>
      <c r="AJ153" s="3" t="s">
        <v>2569</v>
      </c>
      <c r="AK153" s="3" t="s">
        <v>12674</v>
      </c>
      <c r="AL153" s="3" t="s">
        <v>2550</v>
      </c>
      <c r="AM153" s="3">
        <v>4</v>
      </c>
      <c r="AN153" s="3" t="s">
        <v>7216</v>
      </c>
      <c r="AO153" s="3" t="s">
        <v>120</v>
      </c>
      <c r="AP153" s="3"/>
      <c r="AQ153" s="7" t="s">
        <v>13940</v>
      </c>
      <c r="AR153" s="3"/>
      <c r="AS153" s="7" t="s">
        <v>13941</v>
      </c>
    </row>
    <row r="154" spans="1:45" ht="12.5" x14ac:dyDescent="0.25">
      <c r="A154" s="3" t="s">
        <v>12652</v>
      </c>
      <c r="B154" s="7" t="str">
        <f>HYPERLINK("https://gerandofalcoes.my.salesforce.com/0014X00002VKCryQAH", "0014X00002VKCryQAH")</f>
        <v>0014X00002VKCryQAH</v>
      </c>
      <c r="C154" s="3" t="s">
        <v>6277</v>
      </c>
      <c r="D154" s="3" t="s">
        <v>46</v>
      </c>
      <c r="E154" s="21" t="str">
        <f>HYPERLINK("https://gerandofalcoes.my.salesforce.com/0034X0000380O5e", "0034X0000380O5e")</f>
        <v>0034X0000380O5e</v>
      </c>
      <c r="F154" s="3" t="s">
        <v>2678</v>
      </c>
      <c r="G154" s="3" t="s">
        <v>13942</v>
      </c>
      <c r="H154" s="3" t="s">
        <v>2538</v>
      </c>
      <c r="I154" s="3" t="s">
        <v>12741</v>
      </c>
      <c r="J154" s="3">
        <v>33</v>
      </c>
      <c r="K154" s="3" t="s">
        <v>13943</v>
      </c>
      <c r="L154" s="3">
        <v>81988222055</v>
      </c>
      <c r="M154" s="6">
        <v>25757</v>
      </c>
      <c r="N154" s="3">
        <v>52</v>
      </c>
      <c r="O154" s="3">
        <v>3556701</v>
      </c>
      <c r="P154" s="3">
        <v>59120266472</v>
      </c>
      <c r="S154" s="3" t="s">
        <v>3137</v>
      </c>
      <c r="T154" s="3" t="s">
        <v>12723</v>
      </c>
      <c r="U154" s="3"/>
      <c r="V154" s="3" t="s">
        <v>13944</v>
      </c>
      <c r="W154" s="3" t="s">
        <v>2541</v>
      </c>
      <c r="X154" s="3" t="s">
        <v>2980</v>
      </c>
      <c r="Y154" s="3"/>
      <c r="Z154" s="3" t="s">
        <v>2543</v>
      </c>
      <c r="AA154" s="3" t="s">
        <v>2577</v>
      </c>
      <c r="AB154" s="3" t="s">
        <v>2545</v>
      </c>
      <c r="AC154" s="3" t="s">
        <v>13945</v>
      </c>
      <c r="AD154" s="3">
        <v>115</v>
      </c>
      <c r="AE154" s="3"/>
      <c r="AF154" s="3"/>
      <c r="AG154" s="3" t="s">
        <v>13946</v>
      </c>
      <c r="AH154" s="3">
        <v>53441330</v>
      </c>
      <c r="AI154" s="3" t="s">
        <v>379</v>
      </c>
      <c r="AJ154" s="3" t="s">
        <v>2569</v>
      </c>
      <c r="AK154" s="3" t="s">
        <v>3249</v>
      </c>
      <c r="AL154" s="3" t="s">
        <v>2550</v>
      </c>
      <c r="AM154" s="3">
        <v>3</v>
      </c>
      <c r="AN154" s="3" t="s">
        <v>7216</v>
      </c>
      <c r="AO154" s="3" t="s">
        <v>120</v>
      </c>
      <c r="AP154" s="3"/>
      <c r="AQ154" s="3"/>
      <c r="AR154" s="3"/>
      <c r="AS154" s="3"/>
    </row>
    <row r="155" spans="1:45" ht="12.5" hidden="1" x14ac:dyDescent="0.25">
      <c r="A155" s="3" t="s">
        <v>12652</v>
      </c>
      <c r="B155" s="7" t="str">
        <f>HYPERLINK("https://gerandofalcoes.my.salesforce.com/0014X00002VKD04QAH", "0014X00002VKD04QAH")</f>
        <v>0014X00002VKD04QAH</v>
      </c>
      <c r="C155" s="3" t="s">
        <v>6287</v>
      </c>
      <c r="D155" s="3" t="s">
        <v>46</v>
      </c>
      <c r="E155" s="21" t="str">
        <f>HYPERLINK("https://gerandofalcoes.my.salesforce.com/0034X0000380O1W", "0034X0000380O1W")</f>
        <v>0034X0000380O1W</v>
      </c>
      <c r="F155" s="3" t="s">
        <v>13947</v>
      </c>
      <c r="G155" s="3" t="s">
        <v>13948</v>
      </c>
      <c r="H155" s="3" t="s">
        <v>2538</v>
      </c>
      <c r="I155" s="3" t="s">
        <v>12741</v>
      </c>
      <c r="J155" s="3">
        <v>33</v>
      </c>
      <c r="K155" s="3" t="s">
        <v>13949</v>
      </c>
      <c r="L155" s="3" t="s">
        <v>13950</v>
      </c>
      <c r="M155" s="6">
        <v>21753</v>
      </c>
      <c r="N155" s="3">
        <v>63</v>
      </c>
      <c r="O155" s="3" t="s">
        <v>13951</v>
      </c>
      <c r="P155" s="3">
        <v>15019985368</v>
      </c>
      <c r="R155" s="3" t="s">
        <v>13952</v>
      </c>
      <c r="S155" s="3" t="s">
        <v>2998</v>
      </c>
      <c r="T155" s="3" t="s">
        <v>12656</v>
      </c>
      <c r="U155" s="3"/>
      <c r="V155" s="3" t="s">
        <v>13953</v>
      </c>
      <c r="W155" s="3" t="s">
        <v>4204</v>
      </c>
      <c r="X155" s="3" t="s">
        <v>2980</v>
      </c>
      <c r="Y155" s="3" t="s">
        <v>12684</v>
      </c>
      <c r="Z155" s="3" t="s">
        <v>2543</v>
      </c>
      <c r="AA155" s="3"/>
      <c r="AB155" s="3"/>
      <c r="AC155" s="3" t="s">
        <v>13954</v>
      </c>
      <c r="AD155" s="3">
        <v>1</v>
      </c>
      <c r="AE155" s="3" t="s">
        <v>13955</v>
      </c>
      <c r="AF155" s="3" t="s">
        <v>6295</v>
      </c>
      <c r="AG155" s="3" t="s">
        <v>13956</v>
      </c>
      <c r="AH155" s="3" t="s">
        <v>13957</v>
      </c>
      <c r="AI155" s="3" t="s">
        <v>246</v>
      </c>
      <c r="AJ155" s="3" t="s">
        <v>2569</v>
      </c>
      <c r="AK155" s="3" t="s">
        <v>12729</v>
      </c>
      <c r="AL155" s="3" t="s">
        <v>2550</v>
      </c>
      <c r="AM155" s="3">
        <v>2</v>
      </c>
      <c r="AN155" s="3" t="s">
        <v>3890</v>
      </c>
      <c r="AO155" s="3" t="s">
        <v>120</v>
      </c>
      <c r="AP155" s="3"/>
      <c r="AQ155" s="3"/>
      <c r="AR155" s="3"/>
      <c r="AS155" s="7" t="s">
        <v>13958</v>
      </c>
    </row>
    <row r="156" spans="1:45" ht="12.5" hidden="1" x14ac:dyDescent="0.25">
      <c r="A156" s="3" t="s">
        <v>12652</v>
      </c>
      <c r="B156" s="7" t="str">
        <f>HYPERLINK("https://gerandofalcoes.my.salesforce.com/0014X00002VKD05QAH", "0014X00002VKD05QAH")</f>
        <v>0014X00002VKD05QAH</v>
      </c>
      <c r="C156" s="3" t="s">
        <v>6306</v>
      </c>
      <c r="D156" s="3" t="s">
        <v>46</v>
      </c>
      <c r="E156" s="21" t="str">
        <f>HYPERLINK("https://gerandofalcoes.my.salesforce.com/0034X0000380O2X", "0034X0000380O2X")</f>
        <v>0034X0000380O2X</v>
      </c>
      <c r="F156" s="3" t="s">
        <v>13959</v>
      </c>
      <c r="G156" s="3" t="s">
        <v>13960</v>
      </c>
      <c r="H156" s="3" t="s">
        <v>2538</v>
      </c>
      <c r="I156" s="3" t="s">
        <v>12741</v>
      </c>
      <c r="J156" s="3">
        <v>33</v>
      </c>
      <c r="K156" s="3" t="s">
        <v>13961</v>
      </c>
      <c r="L156" s="3" t="s">
        <v>13962</v>
      </c>
      <c r="M156" s="6">
        <v>29432</v>
      </c>
      <c r="N156" s="3">
        <v>42</v>
      </c>
      <c r="O156" s="3" t="s">
        <v>13963</v>
      </c>
      <c r="P156" s="3">
        <v>5611757642</v>
      </c>
      <c r="R156" s="3" t="s">
        <v>12800</v>
      </c>
      <c r="S156" s="3" t="s">
        <v>3137</v>
      </c>
      <c r="T156" s="3" t="s">
        <v>12723</v>
      </c>
      <c r="U156" s="3"/>
      <c r="V156" s="3" t="s">
        <v>13964</v>
      </c>
      <c r="W156" s="3" t="s">
        <v>12664</v>
      </c>
      <c r="X156" s="3" t="s">
        <v>2980</v>
      </c>
      <c r="Y156" s="3" t="s">
        <v>12670</v>
      </c>
      <c r="Z156" s="3" t="s">
        <v>2543</v>
      </c>
      <c r="AA156" s="3" t="s">
        <v>2577</v>
      </c>
      <c r="AB156" s="3" t="s">
        <v>2545</v>
      </c>
      <c r="AC156" s="3" t="s">
        <v>13965</v>
      </c>
      <c r="AD156" s="3">
        <v>1201</v>
      </c>
      <c r="AE156" s="3" t="s">
        <v>1539</v>
      </c>
      <c r="AF156" s="3" t="s">
        <v>177</v>
      </c>
      <c r="AG156" s="3" t="s">
        <v>13966</v>
      </c>
      <c r="AH156" s="3" t="s">
        <v>13967</v>
      </c>
      <c r="AI156" s="3" t="s">
        <v>84</v>
      </c>
      <c r="AJ156" s="3" t="s">
        <v>2569</v>
      </c>
      <c r="AK156" s="3" t="s">
        <v>3249</v>
      </c>
      <c r="AL156" s="3" t="s">
        <v>2550</v>
      </c>
      <c r="AM156" s="3">
        <v>3</v>
      </c>
      <c r="AN156" s="3" t="s">
        <v>7216</v>
      </c>
      <c r="AO156" s="3" t="s">
        <v>120</v>
      </c>
      <c r="AP156" s="3"/>
      <c r="AQ156" s="7" t="s">
        <v>13968</v>
      </c>
      <c r="AR156" s="3"/>
      <c r="AS156" s="7" t="s">
        <v>13969</v>
      </c>
    </row>
    <row r="157" spans="1:45" ht="12.5" x14ac:dyDescent="0.25">
      <c r="A157" s="3" t="s">
        <v>12652</v>
      </c>
      <c r="B157" s="7" t="str">
        <f>HYPERLINK("https://gerandofalcoes.my.salesforce.com/0014X00002VKD06QAH", "0014X00002VKD06QAH")</f>
        <v>0014X00002VKD06QAH</v>
      </c>
      <c r="C157" s="3" t="s">
        <v>6326</v>
      </c>
      <c r="D157" s="3" t="s">
        <v>46</v>
      </c>
      <c r="E157" s="21" t="str">
        <f>HYPERLINK("https://gerandofalcoes.my.salesforce.com/0034X0000380O2d", "0034X0000380O2d")</f>
        <v>0034X0000380O2d</v>
      </c>
      <c r="F157" s="3" t="s">
        <v>13970</v>
      </c>
      <c r="G157" s="3" t="s">
        <v>13971</v>
      </c>
      <c r="H157" s="3" t="s">
        <v>2538</v>
      </c>
      <c r="I157" s="3" t="s">
        <v>12741</v>
      </c>
      <c r="J157" s="3"/>
      <c r="K157" s="3" t="s">
        <v>13972</v>
      </c>
      <c r="L157" s="3">
        <v>51994290873</v>
      </c>
      <c r="M157" s="6">
        <v>26984</v>
      </c>
      <c r="N157" s="3">
        <v>49</v>
      </c>
      <c r="O157" s="3">
        <v>3050601933</v>
      </c>
      <c r="P157" s="3">
        <v>60689510063</v>
      </c>
      <c r="S157" s="3" t="s">
        <v>2998</v>
      </c>
      <c r="T157" s="3" t="s">
        <v>12656</v>
      </c>
      <c r="U157" s="3"/>
      <c r="V157" s="3" t="s">
        <v>13973</v>
      </c>
      <c r="W157" s="3" t="s">
        <v>2541</v>
      </c>
      <c r="X157" s="3" t="s">
        <v>2980</v>
      </c>
      <c r="Y157" s="3"/>
      <c r="Z157" s="3" t="s">
        <v>2543</v>
      </c>
      <c r="AA157" s="3"/>
      <c r="AB157" s="3"/>
      <c r="AC157" s="3" t="s">
        <v>13974</v>
      </c>
      <c r="AD157" s="3">
        <v>729</v>
      </c>
      <c r="AE157" s="3">
        <v>49</v>
      </c>
      <c r="AF157" s="3"/>
      <c r="AG157" s="3" t="s">
        <v>13975</v>
      </c>
      <c r="AH157" s="3">
        <v>90040270</v>
      </c>
      <c r="AI157" s="3" t="s">
        <v>407</v>
      </c>
      <c r="AJ157" s="3" t="s">
        <v>2569</v>
      </c>
      <c r="AK157" s="3" t="s">
        <v>3249</v>
      </c>
      <c r="AL157" s="3" t="s">
        <v>2550</v>
      </c>
      <c r="AM157" s="3">
        <v>5</v>
      </c>
      <c r="AN157" s="3" t="s">
        <v>13118</v>
      </c>
      <c r="AO157" s="3" t="s">
        <v>120</v>
      </c>
      <c r="AP157" s="3" t="s">
        <v>13976</v>
      </c>
      <c r="AQ157" s="7" t="s">
        <v>13977</v>
      </c>
      <c r="AR157" s="3"/>
      <c r="AS157" s="7" t="s">
        <v>13978</v>
      </c>
    </row>
    <row r="158" spans="1:45" ht="12.5" hidden="1" x14ac:dyDescent="0.25">
      <c r="A158" s="3" t="s">
        <v>12652</v>
      </c>
      <c r="B158" s="7" t="str">
        <f>HYPERLINK("https://gerandofalcoes.my.salesforce.com/0014X00002VKCsvQAH", "0014X00002VKCsvQAH")</f>
        <v>0014X00002VKCsvQAH</v>
      </c>
      <c r="C158" s="3" t="s">
        <v>6347</v>
      </c>
      <c r="D158" s="3" t="s">
        <v>46</v>
      </c>
      <c r="E158" s="21" t="str">
        <f>HYPERLINK("https://gerandofalcoes.my.salesforce.com/0034X0000380O0j", "0034X0000380O0j")</f>
        <v>0034X0000380O0j</v>
      </c>
      <c r="F158" s="3" t="s">
        <v>13979</v>
      </c>
      <c r="G158" s="3" t="s">
        <v>13980</v>
      </c>
      <c r="H158" s="3" t="s">
        <v>2538</v>
      </c>
      <c r="I158" s="3" t="s">
        <v>12741</v>
      </c>
      <c r="J158" s="3">
        <v>33</v>
      </c>
      <c r="K158" s="3" t="s">
        <v>6350</v>
      </c>
      <c r="L158" s="3" t="s">
        <v>6351</v>
      </c>
      <c r="M158" s="6">
        <v>30510</v>
      </c>
      <c r="N158" s="3">
        <v>39</v>
      </c>
      <c r="O158" s="3">
        <v>129090056</v>
      </c>
      <c r="P158" s="3">
        <v>9418545748</v>
      </c>
      <c r="R158" s="3" t="s">
        <v>13981</v>
      </c>
      <c r="S158" s="3" t="s">
        <v>3417</v>
      </c>
      <c r="T158" s="3" t="s">
        <v>12723</v>
      </c>
      <c r="U158" s="3"/>
      <c r="V158" s="3" t="s">
        <v>13982</v>
      </c>
      <c r="W158" s="3" t="s">
        <v>12664</v>
      </c>
      <c r="X158" s="3" t="s">
        <v>2980</v>
      </c>
      <c r="Y158" s="3" t="s">
        <v>12670</v>
      </c>
      <c r="Z158" s="3" t="s">
        <v>2543</v>
      </c>
      <c r="AA158" s="3" t="s">
        <v>2577</v>
      </c>
      <c r="AB158" s="3" t="s">
        <v>2545</v>
      </c>
      <c r="AC158" s="3" t="s">
        <v>13983</v>
      </c>
      <c r="AD158" s="3">
        <v>1111</v>
      </c>
      <c r="AE158" s="3" t="s">
        <v>13984</v>
      </c>
      <c r="AF158" s="3" t="s">
        <v>73</v>
      </c>
      <c r="AG158" s="3" t="s">
        <v>6353</v>
      </c>
      <c r="AH158" s="3" t="s">
        <v>6355</v>
      </c>
      <c r="AI158" s="3" t="s">
        <v>70</v>
      </c>
      <c r="AJ158" s="3" t="s">
        <v>2548</v>
      </c>
      <c r="AK158" s="3" t="s">
        <v>12729</v>
      </c>
      <c r="AL158" s="3" t="s">
        <v>2588</v>
      </c>
      <c r="AM158" s="3">
        <v>3</v>
      </c>
      <c r="AN158" s="3" t="s">
        <v>7216</v>
      </c>
      <c r="AO158" s="3" t="s">
        <v>120</v>
      </c>
      <c r="AP158" s="7" t="s">
        <v>13985</v>
      </c>
      <c r="AQ158" s="3" t="s">
        <v>13986</v>
      </c>
      <c r="AR158" s="3"/>
      <c r="AS158" s="7" t="s">
        <v>13987</v>
      </c>
    </row>
    <row r="159" spans="1:45" ht="12.5" x14ac:dyDescent="0.25">
      <c r="A159" s="3" t="s">
        <v>12652</v>
      </c>
      <c r="B159" s="7" t="str">
        <f>HYPERLINK("https://gerandofalcoes.my.salesforce.com/0014X00002VKCsxQAH", "0014X00002VKCsxQAH")</f>
        <v>0014X00002VKCsxQAH</v>
      </c>
      <c r="C159" s="3" t="s">
        <v>6361</v>
      </c>
      <c r="D159" s="3" t="s">
        <v>46</v>
      </c>
      <c r="E159" s="21" t="str">
        <f>HYPERLINK("https://gerandofalcoes.my.salesforce.com/0034X0000380O3M", "0034X0000380O3M")</f>
        <v>0034X0000380O3M</v>
      </c>
      <c r="F159" s="3" t="s">
        <v>13988</v>
      </c>
      <c r="G159" s="3" t="s">
        <v>13989</v>
      </c>
      <c r="H159" s="3" t="s">
        <v>2538</v>
      </c>
      <c r="I159" s="3" t="s">
        <v>12741</v>
      </c>
      <c r="J159" s="3">
        <v>33</v>
      </c>
      <c r="K159" s="3" t="s">
        <v>13990</v>
      </c>
      <c r="L159" s="3">
        <v>21984198968</v>
      </c>
      <c r="M159" s="6">
        <v>32866</v>
      </c>
      <c r="N159" s="3">
        <v>33</v>
      </c>
      <c r="O159" s="3">
        <v>256611286</v>
      </c>
      <c r="P159" s="3">
        <v>13948719705</v>
      </c>
      <c r="S159" s="3" t="s">
        <v>3137</v>
      </c>
      <c r="T159" s="3" t="s">
        <v>13599</v>
      </c>
      <c r="U159" s="3"/>
      <c r="V159" s="3" t="s">
        <v>13991</v>
      </c>
      <c r="W159" s="3" t="s">
        <v>2541</v>
      </c>
      <c r="X159" s="3" t="s">
        <v>2980</v>
      </c>
      <c r="Y159" s="3"/>
      <c r="Z159" s="3" t="s">
        <v>2543</v>
      </c>
      <c r="AA159" s="3"/>
      <c r="AB159" s="3"/>
      <c r="AC159" s="3" t="s">
        <v>13992</v>
      </c>
      <c r="AD159" s="3">
        <v>250</v>
      </c>
      <c r="AE159" s="3"/>
      <c r="AF159" s="3"/>
      <c r="AG159" s="3" t="s">
        <v>1321</v>
      </c>
      <c r="AH159" s="3">
        <v>21060580</v>
      </c>
      <c r="AI159" s="3" t="s">
        <v>70</v>
      </c>
      <c r="AJ159" s="3" t="s">
        <v>2569</v>
      </c>
      <c r="AK159" s="3" t="s">
        <v>3249</v>
      </c>
      <c r="AL159" s="3" t="s">
        <v>3890</v>
      </c>
      <c r="AM159" s="3">
        <v>5</v>
      </c>
      <c r="AN159" s="3" t="s">
        <v>7216</v>
      </c>
      <c r="AO159" s="3" t="s">
        <v>120</v>
      </c>
      <c r="AP159" s="3"/>
      <c r="AQ159" s="7" t="s">
        <v>13993</v>
      </c>
      <c r="AR159" s="3"/>
      <c r="AS159" s="7" t="s">
        <v>13994</v>
      </c>
    </row>
    <row r="160" spans="1:45" ht="12.5" x14ac:dyDescent="0.25">
      <c r="A160" s="3" t="s">
        <v>12652</v>
      </c>
      <c r="B160" s="7" t="str">
        <f>HYPERLINK("https://gerandofalcoes.my.salesforce.com/0014X00002VKCsyQAH", "0014X00002VKCsyQAH")</f>
        <v>0014X00002VKCsyQAH</v>
      </c>
      <c r="C160" s="3" t="s">
        <v>6378</v>
      </c>
      <c r="D160" s="3" t="s">
        <v>46</v>
      </c>
      <c r="E160" s="21" t="str">
        <f>HYPERLINK("https://gerandofalcoes.my.salesforce.com/0034X0000380O2c", "0034X0000380O2c")</f>
        <v>0034X0000380O2c</v>
      </c>
      <c r="F160" s="3" t="s">
        <v>13995</v>
      </c>
      <c r="G160" s="3" t="s">
        <v>13996</v>
      </c>
      <c r="H160" s="3" t="s">
        <v>2538</v>
      </c>
      <c r="I160" s="3" t="s">
        <v>12741</v>
      </c>
      <c r="J160" s="3">
        <v>33</v>
      </c>
      <c r="K160" s="3" t="s">
        <v>6382</v>
      </c>
      <c r="L160" s="3" t="s">
        <v>13997</v>
      </c>
      <c r="M160" s="8">
        <v>32893</v>
      </c>
      <c r="N160" s="3">
        <v>32</v>
      </c>
      <c r="O160" s="3">
        <v>269412045</v>
      </c>
      <c r="P160" s="3">
        <v>13957467705</v>
      </c>
      <c r="S160" s="3" t="s">
        <v>2998</v>
      </c>
      <c r="T160" s="3" t="s">
        <v>13608</v>
      </c>
      <c r="U160" s="3"/>
      <c r="V160" s="3" t="s">
        <v>13998</v>
      </c>
      <c r="W160" s="3" t="s">
        <v>2541</v>
      </c>
      <c r="X160" s="3" t="s">
        <v>3508</v>
      </c>
      <c r="Y160" s="3"/>
      <c r="Z160" s="3" t="s">
        <v>2543</v>
      </c>
      <c r="AA160" s="3" t="s">
        <v>2544</v>
      </c>
      <c r="AB160" s="3" t="s">
        <v>2545</v>
      </c>
      <c r="AC160" s="3" t="s">
        <v>13999</v>
      </c>
      <c r="AD160" s="3">
        <v>919</v>
      </c>
      <c r="AE160" s="3">
        <v>12</v>
      </c>
      <c r="AF160" s="3"/>
      <c r="AG160" s="3" t="s">
        <v>14000</v>
      </c>
      <c r="AH160" s="3">
        <v>25015045</v>
      </c>
      <c r="AI160" s="3" t="s">
        <v>70</v>
      </c>
      <c r="AJ160" s="3" t="s">
        <v>2569</v>
      </c>
      <c r="AK160" s="3" t="s">
        <v>3249</v>
      </c>
      <c r="AL160" s="3" t="s">
        <v>3890</v>
      </c>
      <c r="AM160" s="3">
        <v>0</v>
      </c>
      <c r="AN160" s="3" t="s">
        <v>7216</v>
      </c>
      <c r="AO160" s="3" t="s">
        <v>120</v>
      </c>
      <c r="AP160" s="3"/>
      <c r="AQ160" s="7" t="s">
        <v>14001</v>
      </c>
      <c r="AR160" s="3"/>
      <c r="AS160" s="7" t="s">
        <v>14002</v>
      </c>
    </row>
    <row r="161" spans="1:45" ht="12.5" x14ac:dyDescent="0.25">
      <c r="A161" s="3" t="s">
        <v>12652</v>
      </c>
      <c r="B161" s="7" t="str">
        <f>HYPERLINK("https://gerandofalcoes.my.salesforce.com/0014X00002VKCszQAH", "0014X00002VKCszQAH")</f>
        <v>0014X00002VKCszQAH</v>
      </c>
      <c r="C161" s="3" t="s">
        <v>6396</v>
      </c>
      <c r="D161" s="3" t="s">
        <v>46</v>
      </c>
      <c r="E161" s="21" t="str">
        <f>HYPERLINK("https://gerandofalcoes.my.salesforce.com/0034X0000380O4m", "0034X0000380O4m")</f>
        <v>0034X0000380O4m</v>
      </c>
      <c r="F161" s="3" t="s">
        <v>14003</v>
      </c>
      <c r="G161" s="3" t="s">
        <v>14004</v>
      </c>
      <c r="H161" s="3" t="s">
        <v>2538</v>
      </c>
      <c r="I161" s="3" t="s">
        <v>12741</v>
      </c>
      <c r="J161" s="3"/>
      <c r="K161" s="3" t="s">
        <v>14005</v>
      </c>
      <c r="L161" s="3">
        <v>21999855218</v>
      </c>
      <c r="M161" s="6">
        <v>34638</v>
      </c>
      <c r="N161" s="3">
        <v>28</v>
      </c>
      <c r="O161" s="3">
        <v>202161352</v>
      </c>
      <c r="P161" s="3">
        <v>14437038770</v>
      </c>
      <c r="S161" s="3" t="s">
        <v>3417</v>
      </c>
      <c r="T161" s="3" t="s">
        <v>12656</v>
      </c>
      <c r="U161" s="3"/>
      <c r="V161" s="3" t="s">
        <v>14006</v>
      </c>
      <c r="W161" s="3" t="s">
        <v>2541</v>
      </c>
      <c r="X161" s="3" t="s">
        <v>3365</v>
      </c>
      <c r="Y161" s="3"/>
      <c r="Z161" s="3" t="s">
        <v>2545</v>
      </c>
      <c r="AA161" s="3" t="s">
        <v>2577</v>
      </c>
      <c r="AB161" s="3" t="s">
        <v>2545</v>
      </c>
      <c r="AC161" s="3" t="s">
        <v>14007</v>
      </c>
      <c r="AD161" s="3" t="s">
        <v>14008</v>
      </c>
      <c r="AE161" s="3"/>
      <c r="AF161" s="3"/>
      <c r="AG161" s="3" t="s">
        <v>14009</v>
      </c>
      <c r="AH161" s="3">
        <v>21235270</v>
      </c>
      <c r="AI161" s="3" t="s">
        <v>70</v>
      </c>
      <c r="AJ161" s="3" t="s">
        <v>2741</v>
      </c>
      <c r="AK161" s="3" t="s">
        <v>12661</v>
      </c>
      <c r="AL161" s="3" t="s">
        <v>2588</v>
      </c>
      <c r="AM161" s="3">
        <v>4</v>
      </c>
      <c r="AN161" s="3" t="s">
        <v>7216</v>
      </c>
      <c r="AO161" s="3" t="s">
        <v>120</v>
      </c>
      <c r="AP161" s="7" t="s">
        <v>14010</v>
      </c>
      <c r="AQ161" s="7" t="s">
        <v>14011</v>
      </c>
      <c r="AR161" s="3"/>
      <c r="AS161" s="7" t="s">
        <v>14012</v>
      </c>
    </row>
    <row r="162" spans="1:45" ht="12.5" x14ac:dyDescent="0.25">
      <c r="A162" s="3" t="s">
        <v>12652</v>
      </c>
      <c r="B162" s="7" t="str">
        <f>HYPERLINK("https://gerandofalcoes.my.salesforce.com/0014X00002VKCt0QAH", "0014X00002VKCt0QAH")</f>
        <v>0014X00002VKCt0QAH</v>
      </c>
      <c r="C162" s="3" t="s">
        <v>6416</v>
      </c>
      <c r="D162" s="3" t="s">
        <v>46</v>
      </c>
      <c r="E162" s="21" t="str">
        <f>HYPERLINK("https://gerandofalcoes.my.salesforce.com/0034X0000380O2I", "0034X0000380O2I")</f>
        <v>0034X0000380O2I</v>
      </c>
      <c r="F162" s="3" t="s">
        <v>13588</v>
      </c>
      <c r="G162" s="3" t="s">
        <v>14013</v>
      </c>
      <c r="H162" s="3" t="s">
        <v>2538</v>
      </c>
      <c r="I162" s="3" t="s">
        <v>12741</v>
      </c>
      <c r="J162" s="3">
        <v>33</v>
      </c>
      <c r="K162" s="3" t="s">
        <v>14014</v>
      </c>
      <c r="L162" s="3">
        <v>21987240003</v>
      </c>
      <c r="M162" s="6">
        <v>30633</v>
      </c>
      <c r="N162" s="3">
        <v>39</v>
      </c>
      <c r="O162" s="3" t="s">
        <v>14015</v>
      </c>
      <c r="P162" s="3">
        <v>9921331736</v>
      </c>
      <c r="S162" s="3" t="s">
        <v>3417</v>
      </c>
      <c r="T162" s="3" t="s">
        <v>12723</v>
      </c>
      <c r="U162" s="3"/>
      <c r="V162" s="3" t="s">
        <v>14016</v>
      </c>
      <c r="W162" s="3" t="s">
        <v>2541</v>
      </c>
      <c r="X162" s="3" t="s">
        <v>2980</v>
      </c>
      <c r="Y162" s="3"/>
      <c r="Z162" s="3" t="s">
        <v>2543</v>
      </c>
      <c r="AA162" s="3"/>
      <c r="AB162" s="3"/>
      <c r="AC162" s="3" t="s">
        <v>14017</v>
      </c>
      <c r="AD162" s="3">
        <v>76</v>
      </c>
      <c r="AE162" s="3"/>
      <c r="AF162" s="3"/>
      <c r="AG162" s="3" t="s">
        <v>6423</v>
      </c>
      <c r="AH162" s="3" t="s">
        <v>14018</v>
      </c>
      <c r="AI162" s="3" t="s">
        <v>70</v>
      </c>
      <c r="AJ162" s="3" t="s">
        <v>2569</v>
      </c>
      <c r="AK162" s="3" t="s">
        <v>12661</v>
      </c>
      <c r="AL162" s="3" t="s">
        <v>2550</v>
      </c>
      <c r="AM162" s="3">
        <v>1</v>
      </c>
      <c r="AN162" s="3" t="s">
        <v>7216</v>
      </c>
      <c r="AO162" s="3" t="s">
        <v>120</v>
      </c>
      <c r="AP162" s="7" t="s">
        <v>14019</v>
      </c>
      <c r="AQ162" s="7" t="s">
        <v>14020</v>
      </c>
      <c r="AR162" s="3"/>
      <c r="AS162" s="7" t="s">
        <v>14021</v>
      </c>
    </row>
    <row r="163" spans="1:45" ht="12.5" hidden="1" x14ac:dyDescent="0.25">
      <c r="A163" s="3" t="s">
        <v>12652</v>
      </c>
      <c r="B163" s="7" t="str">
        <f>HYPERLINK("https://gerandofalcoes.my.salesforce.com/0014X00002VKCt1QAH", "0014X00002VKCt1QAH")</f>
        <v>0014X00002VKCt1QAH</v>
      </c>
      <c r="C163" s="3" t="s">
        <v>6434</v>
      </c>
      <c r="D163" s="3" t="s">
        <v>46</v>
      </c>
      <c r="E163" s="21" t="str">
        <f>HYPERLINK("https://gerandofalcoes.my.salesforce.com/0034X0000380O36", "0034X0000380O36")</f>
        <v>0034X0000380O36</v>
      </c>
      <c r="F163" s="3" t="s">
        <v>10859</v>
      </c>
      <c r="G163" s="3" t="s">
        <v>14022</v>
      </c>
      <c r="H163" s="3" t="s">
        <v>2538</v>
      </c>
      <c r="I163" s="3" t="s">
        <v>12741</v>
      </c>
      <c r="J163" s="3"/>
      <c r="K163" s="3" t="s">
        <v>14023</v>
      </c>
      <c r="L163" s="3" t="s">
        <v>14024</v>
      </c>
      <c r="M163" s="6">
        <v>25117</v>
      </c>
      <c r="N163" s="3">
        <v>54</v>
      </c>
      <c r="O163" s="3">
        <v>5200741</v>
      </c>
      <c r="P163" s="3">
        <v>71375945653</v>
      </c>
      <c r="R163" s="3" t="s">
        <v>12800</v>
      </c>
      <c r="S163" s="3" t="s">
        <v>2998</v>
      </c>
      <c r="T163" s="3" t="s">
        <v>12723</v>
      </c>
      <c r="U163" s="3"/>
      <c r="V163" s="3" t="s">
        <v>14025</v>
      </c>
      <c r="W163" s="3" t="s">
        <v>12664</v>
      </c>
      <c r="X163" s="3" t="s">
        <v>2980</v>
      </c>
      <c r="Y163" s="3" t="s">
        <v>12670</v>
      </c>
      <c r="Z163" s="3" t="s">
        <v>2543</v>
      </c>
      <c r="AA163" s="3" t="s">
        <v>2577</v>
      </c>
      <c r="AB163" s="3" t="s">
        <v>2545</v>
      </c>
      <c r="AC163" s="3" t="s">
        <v>14026</v>
      </c>
      <c r="AD163" s="3">
        <v>77</v>
      </c>
      <c r="AE163" s="3" t="s">
        <v>1539</v>
      </c>
      <c r="AF163" s="3" t="s">
        <v>73</v>
      </c>
      <c r="AG163" s="3" t="s">
        <v>14027</v>
      </c>
      <c r="AH163" s="3" t="s">
        <v>14028</v>
      </c>
      <c r="AI163" s="3" t="s">
        <v>70</v>
      </c>
      <c r="AJ163" s="3" t="s">
        <v>2548</v>
      </c>
      <c r="AK163" s="3" t="s">
        <v>3249</v>
      </c>
      <c r="AL163" s="3" t="s">
        <v>2588</v>
      </c>
      <c r="AM163" s="3">
        <v>4</v>
      </c>
      <c r="AN163" s="3" t="s">
        <v>7216</v>
      </c>
      <c r="AO163" s="3" t="s">
        <v>120</v>
      </c>
      <c r="AP163" s="7" t="s">
        <v>14029</v>
      </c>
      <c r="AQ163" s="7" t="s">
        <v>14030</v>
      </c>
      <c r="AR163" s="3"/>
      <c r="AS163" s="7" t="s">
        <v>14031</v>
      </c>
    </row>
    <row r="164" spans="1:45" ht="12.5" x14ac:dyDescent="0.25">
      <c r="A164" s="3" t="s">
        <v>12652</v>
      </c>
      <c r="B164" s="7" t="str">
        <f>HYPERLINK("https://gerandofalcoes.my.salesforce.com/0014X00002VKCt2QAH", "0014X00002VKCt2QAH")</f>
        <v>0014X00002VKCt2QAH</v>
      </c>
      <c r="C164" s="3" t="s">
        <v>6454</v>
      </c>
      <c r="D164" s="3" t="s">
        <v>46</v>
      </c>
      <c r="E164" s="21" t="str">
        <f>HYPERLINK("https://gerandofalcoes.my.salesforce.com/0034X0000380O3m", "0034X0000380O3m")</f>
        <v>0034X0000380O3m</v>
      </c>
      <c r="F164" s="3" t="s">
        <v>13253</v>
      </c>
      <c r="G164" s="3" t="s">
        <v>14032</v>
      </c>
      <c r="H164" s="3" t="s">
        <v>2538</v>
      </c>
      <c r="I164" s="3" t="s">
        <v>12741</v>
      </c>
      <c r="J164" s="3">
        <v>33</v>
      </c>
      <c r="K164" s="3" t="s">
        <v>14033</v>
      </c>
      <c r="L164" s="3">
        <v>21979021436</v>
      </c>
      <c r="M164" s="6">
        <v>32115</v>
      </c>
      <c r="N164" s="3">
        <v>35</v>
      </c>
      <c r="O164" s="3">
        <v>222665986</v>
      </c>
      <c r="P164" s="3">
        <v>7200476927</v>
      </c>
      <c r="S164" s="3" t="s">
        <v>12864</v>
      </c>
      <c r="T164" s="3" t="s">
        <v>12682</v>
      </c>
      <c r="U164" s="3"/>
      <c r="V164" s="3" t="s">
        <v>14034</v>
      </c>
      <c r="W164" s="3" t="s">
        <v>2541</v>
      </c>
      <c r="X164" s="3" t="s">
        <v>2980</v>
      </c>
      <c r="Y164" s="3"/>
      <c r="Z164" s="3" t="s">
        <v>2543</v>
      </c>
      <c r="AA164" s="3" t="s">
        <v>2544</v>
      </c>
      <c r="AB164" s="3" t="s">
        <v>2543</v>
      </c>
      <c r="AC164" s="3" t="s">
        <v>14035</v>
      </c>
      <c r="AD164" s="3">
        <v>98</v>
      </c>
      <c r="AE164" s="3"/>
      <c r="AF164" s="3"/>
      <c r="AG164" s="3" t="s">
        <v>14036</v>
      </c>
      <c r="AH164" s="3">
        <v>25225300</v>
      </c>
      <c r="AI164" s="3" t="s">
        <v>70</v>
      </c>
      <c r="AJ164" s="3" t="s">
        <v>2569</v>
      </c>
      <c r="AK164" s="3" t="s">
        <v>12661</v>
      </c>
      <c r="AL164" s="3" t="s">
        <v>2579</v>
      </c>
      <c r="AM164" s="3">
        <v>4</v>
      </c>
      <c r="AN164" s="3" t="s">
        <v>7216</v>
      </c>
      <c r="AO164" s="3" t="s">
        <v>120</v>
      </c>
      <c r="AP164" s="7" t="s">
        <v>14037</v>
      </c>
      <c r="AQ164" s="7" t="s">
        <v>14038</v>
      </c>
      <c r="AR164" s="3"/>
      <c r="AS164" s="7" t="s">
        <v>14039</v>
      </c>
    </row>
    <row r="165" spans="1:45" ht="12.5" x14ac:dyDescent="0.25">
      <c r="A165" s="3" t="s">
        <v>12652</v>
      </c>
      <c r="B165" s="7" t="str">
        <f>HYPERLINK("https://gerandofalcoes.my.salesforce.com/0014X00002VKCt3QAH", "0014X00002VKCt3QAH")</f>
        <v>0014X00002VKCt3QAH</v>
      </c>
      <c r="C165" s="3" t="s">
        <v>6475</v>
      </c>
      <c r="D165" s="3" t="s">
        <v>46</v>
      </c>
      <c r="E165" s="21" t="str">
        <f>HYPERLINK("https://gerandofalcoes.my.salesforce.com/0034X0000380O5y", "0034X0000380O5y")</f>
        <v>0034X0000380O5y</v>
      </c>
      <c r="F165" s="3" t="s">
        <v>13620</v>
      </c>
      <c r="G165" s="3" t="s">
        <v>14040</v>
      </c>
      <c r="H165" s="3" t="s">
        <v>2538</v>
      </c>
      <c r="I165" s="3" t="s">
        <v>12741</v>
      </c>
      <c r="J165" s="3"/>
      <c r="K165" s="3" t="s">
        <v>14041</v>
      </c>
      <c r="L165" s="3">
        <v>21969649943</v>
      </c>
      <c r="M165" s="6">
        <v>27546</v>
      </c>
      <c r="N165" s="3">
        <v>47</v>
      </c>
      <c r="O165" s="3">
        <v>106214752</v>
      </c>
      <c r="P165" s="3">
        <v>4433119784</v>
      </c>
      <c r="S165" s="3" t="s">
        <v>3137</v>
      </c>
      <c r="T165" s="3" t="s">
        <v>12656</v>
      </c>
      <c r="U165" s="3"/>
      <c r="V165" s="3" t="s">
        <v>14042</v>
      </c>
      <c r="W165" s="3" t="s">
        <v>2541</v>
      </c>
      <c r="X165" s="3" t="s">
        <v>2980</v>
      </c>
      <c r="Y165" s="3"/>
      <c r="Z165" s="3" t="s">
        <v>2543</v>
      </c>
      <c r="AA165" s="3"/>
      <c r="AB165" s="3"/>
      <c r="AC165" s="3" t="s">
        <v>6480</v>
      </c>
      <c r="AD165" s="3">
        <v>2900</v>
      </c>
      <c r="AE165" s="3"/>
      <c r="AF165" s="3"/>
      <c r="AG165" s="3" t="s">
        <v>6481</v>
      </c>
      <c r="AH165" s="3">
        <v>26195010</v>
      </c>
      <c r="AI165" s="3" t="s">
        <v>70</v>
      </c>
      <c r="AJ165" s="3" t="s">
        <v>2569</v>
      </c>
      <c r="AK165" s="3" t="s">
        <v>12661</v>
      </c>
      <c r="AL165" s="3" t="s">
        <v>2550</v>
      </c>
      <c r="AM165" s="3">
        <v>3</v>
      </c>
      <c r="AN165" s="3" t="s">
        <v>7216</v>
      </c>
      <c r="AO165" s="3" t="s">
        <v>62</v>
      </c>
      <c r="AP165" s="3"/>
      <c r="AQ165" s="3"/>
      <c r="AR165" s="3"/>
      <c r="AS165" s="7" t="s">
        <v>14043</v>
      </c>
    </row>
    <row r="166" spans="1:45" ht="12.5" x14ac:dyDescent="0.25">
      <c r="A166" s="3" t="s">
        <v>12652</v>
      </c>
      <c r="B166" s="7" t="str">
        <f>HYPERLINK("https://gerandofalcoes.my.salesforce.com/0014X00002VKCt4QAH", "0014X00002VKCt4QAH")</f>
        <v>0014X00002VKCt4QAH</v>
      </c>
      <c r="C166" s="3" t="s">
        <v>6491</v>
      </c>
      <c r="D166" s="3" t="s">
        <v>46</v>
      </c>
      <c r="E166" s="21" t="str">
        <f>HYPERLINK("https://gerandofalcoes.my.salesforce.com/0034X0000380O0y", "0034X0000380O0y")</f>
        <v>0034X0000380O0y</v>
      </c>
      <c r="F166" s="3" t="s">
        <v>3272</v>
      </c>
      <c r="G166" s="3" t="s">
        <v>14044</v>
      </c>
      <c r="H166" s="3" t="s">
        <v>2538</v>
      </c>
      <c r="I166" s="3" t="s">
        <v>12741</v>
      </c>
      <c r="J166" s="3">
        <v>33</v>
      </c>
      <c r="K166" s="3" t="s">
        <v>14045</v>
      </c>
      <c r="L166" s="3">
        <v>21994924661</v>
      </c>
      <c r="M166" s="6">
        <v>29949</v>
      </c>
      <c r="N166" s="3">
        <v>41</v>
      </c>
      <c r="O166" s="3">
        <v>129623203</v>
      </c>
      <c r="P166" s="3">
        <v>8892107720</v>
      </c>
      <c r="S166" s="3" t="s">
        <v>3417</v>
      </c>
      <c r="T166" s="3" t="s">
        <v>12682</v>
      </c>
      <c r="U166" s="3"/>
      <c r="V166" s="3" t="s">
        <v>14046</v>
      </c>
      <c r="W166" s="3" t="s">
        <v>2541</v>
      </c>
      <c r="X166" s="3" t="s">
        <v>2980</v>
      </c>
      <c r="Y166" s="3"/>
      <c r="Z166" s="3" t="s">
        <v>2543</v>
      </c>
      <c r="AA166" s="3" t="s">
        <v>2577</v>
      </c>
      <c r="AB166" s="3" t="s">
        <v>2545</v>
      </c>
      <c r="AC166" s="3" t="s">
        <v>6497</v>
      </c>
      <c r="AD166" s="3">
        <v>812</v>
      </c>
      <c r="AE166" s="3"/>
      <c r="AF166" s="3"/>
      <c r="AG166" s="3" t="s">
        <v>14047</v>
      </c>
      <c r="AH166" s="3">
        <v>26060530</v>
      </c>
      <c r="AI166" s="3" t="s">
        <v>70</v>
      </c>
      <c r="AJ166" s="3" t="s">
        <v>2569</v>
      </c>
      <c r="AK166" s="3" t="s">
        <v>12674</v>
      </c>
      <c r="AL166" s="3" t="s">
        <v>2588</v>
      </c>
      <c r="AM166" s="3">
        <v>2</v>
      </c>
      <c r="AN166" s="3" t="s">
        <v>7216</v>
      </c>
      <c r="AO166" s="3" t="s">
        <v>120</v>
      </c>
      <c r="AP166" s="3"/>
      <c r="AQ166" s="7" t="s">
        <v>14048</v>
      </c>
      <c r="AR166" s="3"/>
      <c r="AS166" s="7" t="s">
        <v>14049</v>
      </c>
    </row>
    <row r="167" spans="1:45" ht="12.5" x14ac:dyDescent="0.25">
      <c r="A167" s="3" t="s">
        <v>12652</v>
      </c>
      <c r="B167" s="7" t="str">
        <f>HYPERLINK("https://gerandofalcoes.my.salesforce.com/0014X00002VKCt6QAH", "0014X00002VKCt6QAH")</f>
        <v>0014X00002VKCt6QAH</v>
      </c>
      <c r="C167" s="3" t="s">
        <v>6512</v>
      </c>
      <c r="D167" s="3" t="s">
        <v>46</v>
      </c>
      <c r="E167" s="21" t="str">
        <f>HYPERLINK("https://gerandofalcoes.my.salesforce.com/0034X0000380O3F", "0034X0000380O3F")</f>
        <v>0034X0000380O3F</v>
      </c>
      <c r="F167" s="3" t="s">
        <v>14050</v>
      </c>
      <c r="G167" s="3" t="s">
        <v>14051</v>
      </c>
      <c r="H167" s="3" t="s">
        <v>2538</v>
      </c>
      <c r="I167" s="3" t="s">
        <v>12741</v>
      </c>
      <c r="J167" s="3">
        <v>33</v>
      </c>
      <c r="K167" s="3" t="s">
        <v>14052</v>
      </c>
      <c r="L167" s="22">
        <v>5.52196E+17</v>
      </c>
      <c r="M167" s="6">
        <v>29091</v>
      </c>
      <c r="N167" s="3">
        <v>43</v>
      </c>
      <c r="O167" s="3">
        <v>124495060</v>
      </c>
      <c r="P167" s="3">
        <v>10028998774</v>
      </c>
      <c r="S167" s="3" t="s">
        <v>3137</v>
      </c>
      <c r="T167" s="3" t="s">
        <v>12723</v>
      </c>
      <c r="U167" s="3"/>
      <c r="V167" s="3" t="s">
        <v>14053</v>
      </c>
      <c r="W167" s="3" t="s">
        <v>2541</v>
      </c>
      <c r="X167" s="3" t="s">
        <v>2980</v>
      </c>
      <c r="Y167" s="3"/>
      <c r="Z167" s="3" t="s">
        <v>2543</v>
      </c>
      <c r="AA167" s="3"/>
      <c r="AB167" s="3"/>
      <c r="AC167" s="3" t="s">
        <v>14054</v>
      </c>
      <c r="AD167" s="3">
        <v>499</v>
      </c>
      <c r="AE167" s="3"/>
      <c r="AF167" s="3"/>
      <c r="AG167" s="3" t="s">
        <v>14055</v>
      </c>
      <c r="AH167" s="3">
        <v>26130740</v>
      </c>
      <c r="AI167" s="3" t="s">
        <v>70</v>
      </c>
      <c r="AJ167" s="3" t="s">
        <v>2569</v>
      </c>
      <c r="AK167" s="3" t="s">
        <v>3249</v>
      </c>
      <c r="AL167" s="3" t="s">
        <v>2550</v>
      </c>
      <c r="AM167" s="3">
        <v>5</v>
      </c>
      <c r="AN167" s="3" t="s">
        <v>7216</v>
      </c>
      <c r="AO167" s="3" t="s">
        <v>120</v>
      </c>
      <c r="AP167" s="3"/>
      <c r="AQ167" s="7" t="s">
        <v>14056</v>
      </c>
      <c r="AR167" s="3"/>
      <c r="AS167" s="7" t="s">
        <v>14057</v>
      </c>
    </row>
    <row r="168" spans="1:45" ht="12.5" x14ac:dyDescent="0.25">
      <c r="A168" s="3" t="s">
        <v>12652</v>
      </c>
      <c r="B168" s="7" t="str">
        <f>HYPERLINK("https://gerandofalcoes.my.salesforce.com/0014X00002VKCt7QAH", "0014X00002VKCt7QAH")</f>
        <v>0014X00002VKCt7QAH</v>
      </c>
      <c r="C168" s="3" t="s">
        <v>6529</v>
      </c>
      <c r="D168" s="3" t="s">
        <v>46</v>
      </c>
      <c r="E168" s="21" t="str">
        <f>HYPERLINK("https://gerandofalcoes.my.salesforce.com/0034X0000380O2Q", "0034X0000380O2Q")</f>
        <v>0034X0000380O2Q</v>
      </c>
      <c r="F168" s="3" t="s">
        <v>14058</v>
      </c>
      <c r="G168" s="3" t="s">
        <v>14059</v>
      </c>
      <c r="H168" s="3" t="s">
        <v>2538</v>
      </c>
      <c r="I168" s="3" t="s">
        <v>12741</v>
      </c>
      <c r="J168" s="3"/>
      <c r="K168" s="3" t="s">
        <v>14060</v>
      </c>
      <c r="L168" s="3" t="s">
        <v>14061</v>
      </c>
      <c r="M168" s="6">
        <v>25726</v>
      </c>
      <c r="N168" s="3">
        <v>52</v>
      </c>
      <c r="O168" s="3" t="s">
        <v>14062</v>
      </c>
      <c r="P168" s="3">
        <v>2720696714</v>
      </c>
      <c r="Q168" s="3"/>
      <c r="R168" s="3"/>
      <c r="S168" s="3" t="s">
        <v>2998</v>
      </c>
      <c r="T168" s="3" t="s">
        <v>12656</v>
      </c>
      <c r="U168" s="3"/>
      <c r="V168" s="3" t="s">
        <v>14063</v>
      </c>
      <c r="W168" s="3" t="s">
        <v>2541</v>
      </c>
      <c r="X168" s="3" t="s">
        <v>2980</v>
      </c>
      <c r="Y168" s="3"/>
      <c r="Z168" s="3" t="s">
        <v>2543</v>
      </c>
      <c r="AA168" s="3"/>
      <c r="AB168" s="3"/>
      <c r="AC168" s="3" t="s">
        <v>14064</v>
      </c>
      <c r="AD168" s="3">
        <v>39</v>
      </c>
      <c r="AE168" s="3"/>
      <c r="AF168" s="3"/>
      <c r="AG168" s="3" t="s">
        <v>14065</v>
      </c>
      <c r="AH168" s="3">
        <v>21930155</v>
      </c>
      <c r="AI168" s="3" t="s">
        <v>70</v>
      </c>
      <c r="AJ168" s="3" t="s">
        <v>2741</v>
      </c>
      <c r="AK168" s="3" t="s">
        <v>12729</v>
      </c>
      <c r="AL168" s="3" t="s">
        <v>2550</v>
      </c>
      <c r="AM168" s="3">
        <v>3</v>
      </c>
      <c r="AN168" s="3" t="s">
        <v>7216</v>
      </c>
      <c r="AO168" s="3" t="s">
        <v>120</v>
      </c>
      <c r="AP168" s="3"/>
      <c r="AQ168" s="7" t="s">
        <v>14066</v>
      </c>
      <c r="AR168" s="3"/>
      <c r="AS168" s="7" t="s">
        <v>14067</v>
      </c>
    </row>
    <row r="169" spans="1:45" ht="12.5" x14ac:dyDescent="0.25">
      <c r="A169" s="3" t="s">
        <v>12652</v>
      </c>
      <c r="B169" s="7" t="str">
        <f>HYPERLINK("https://gerandofalcoes.my.salesforce.com/0014X00002VKCt8QAH", "0014X00002VKCt8QAH")</f>
        <v>0014X00002VKCt8QAH</v>
      </c>
      <c r="C169" s="3" t="s">
        <v>6545</v>
      </c>
      <c r="D169" s="3" t="s">
        <v>46</v>
      </c>
      <c r="E169" s="21" t="str">
        <f>HYPERLINK("https://gerandofalcoes.my.salesforce.com/0034X0000380O2F", "0034X0000380O2F")</f>
        <v>0034X0000380O2F</v>
      </c>
      <c r="F169" s="3" t="s">
        <v>14068</v>
      </c>
      <c r="G169" s="3" t="s">
        <v>14069</v>
      </c>
      <c r="H169" s="3" t="s">
        <v>2538</v>
      </c>
      <c r="I169" s="3" t="s">
        <v>12741</v>
      </c>
      <c r="J169" s="3"/>
      <c r="K169" s="3" t="s">
        <v>14070</v>
      </c>
      <c r="L169" s="3">
        <v>21992946480</v>
      </c>
      <c r="M169" s="6">
        <v>21968</v>
      </c>
      <c r="N169" s="3">
        <v>62</v>
      </c>
      <c r="O169" s="3">
        <v>54076559</v>
      </c>
      <c r="P169" s="3">
        <v>64907430787</v>
      </c>
      <c r="Q169" s="3"/>
      <c r="S169" s="3" t="s">
        <v>12744</v>
      </c>
      <c r="T169" s="3" t="s">
        <v>12656</v>
      </c>
      <c r="U169" s="3"/>
      <c r="V169" s="3" t="s">
        <v>14071</v>
      </c>
      <c r="W169" s="3" t="s">
        <v>2541</v>
      </c>
      <c r="X169" s="3" t="s">
        <v>2980</v>
      </c>
      <c r="Y169" s="3"/>
      <c r="Z169" s="3" t="s">
        <v>2545</v>
      </c>
      <c r="AA169" s="3"/>
      <c r="AB169" s="3"/>
      <c r="AC169" s="3" t="s">
        <v>14072</v>
      </c>
      <c r="AD169" s="3">
        <v>655</v>
      </c>
      <c r="AE169" s="3"/>
      <c r="AF169" s="3"/>
      <c r="AG169" s="3" t="s">
        <v>14073</v>
      </c>
      <c r="AH169" s="3">
        <v>25220690</v>
      </c>
      <c r="AI169" s="3" t="s">
        <v>70</v>
      </c>
      <c r="AJ169" s="3" t="s">
        <v>2569</v>
      </c>
      <c r="AK169" s="3" t="s">
        <v>12661</v>
      </c>
      <c r="AL169" s="3" t="s">
        <v>2550</v>
      </c>
      <c r="AM169" s="3">
        <v>3</v>
      </c>
      <c r="AN169" s="3" t="s">
        <v>7216</v>
      </c>
      <c r="AO169" s="3" t="s">
        <v>120</v>
      </c>
      <c r="AP169" s="3"/>
      <c r="AQ169" s="3"/>
      <c r="AR169" s="3"/>
      <c r="AS169" s="7" t="s">
        <v>14074</v>
      </c>
    </row>
    <row r="170" spans="1:45" ht="12.5" x14ac:dyDescent="0.25">
      <c r="A170" s="3" t="s">
        <v>12652</v>
      </c>
      <c r="B170" s="7" t="str">
        <f>HYPERLINK("https://gerandofalcoes.my.salesforce.com/0014X00002VKCt9QAH", "0014X00002VKCt9QAH")</f>
        <v>0014X00002VKCt9QAH</v>
      </c>
      <c r="C170" s="3" t="s">
        <v>6561</v>
      </c>
      <c r="D170" s="3" t="s">
        <v>46</v>
      </c>
      <c r="E170" s="21" t="str">
        <f>HYPERLINK("https://gerandofalcoes.my.salesforce.com/0034X0000380O46", "0034X0000380O46")</f>
        <v>0034X0000380O46</v>
      </c>
      <c r="F170" s="3" t="s">
        <v>14075</v>
      </c>
      <c r="G170" s="3" t="s">
        <v>14076</v>
      </c>
      <c r="H170" s="3" t="s">
        <v>2538</v>
      </c>
      <c r="I170" s="3" t="s">
        <v>12741</v>
      </c>
      <c r="J170" s="3">
        <v>33</v>
      </c>
      <c r="K170" s="3" t="s">
        <v>14077</v>
      </c>
      <c r="L170" s="3">
        <v>21979598397</v>
      </c>
      <c r="M170" s="6">
        <v>30432</v>
      </c>
      <c r="N170" s="3">
        <v>39</v>
      </c>
      <c r="O170" s="3">
        <v>201567211</v>
      </c>
      <c r="P170" s="3">
        <v>10370686705</v>
      </c>
      <c r="Q170" s="3"/>
      <c r="S170" s="3" t="s">
        <v>3269</v>
      </c>
      <c r="T170" s="3" t="s">
        <v>12656</v>
      </c>
      <c r="U170" s="3"/>
      <c r="V170" s="3" t="s">
        <v>14078</v>
      </c>
      <c r="W170" s="3" t="s">
        <v>2541</v>
      </c>
      <c r="X170" s="3" t="s">
        <v>2980</v>
      </c>
      <c r="Y170" s="3"/>
      <c r="Z170" s="3" t="s">
        <v>2543</v>
      </c>
      <c r="AA170" s="3" t="s">
        <v>2577</v>
      </c>
      <c r="AB170" s="3" t="s">
        <v>2543</v>
      </c>
      <c r="AC170" s="3" t="s">
        <v>14079</v>
      </c>
      <c r="AD170" s="3">
        <v>240</v>
      </c>
      <c r="AE170" s="3">
        <v>3</v>
      </c>
      <c r="AF170" s="3"/>
      <c r="AG170" s="3" t="s">
        <v>14080</v>
      </c>
      <c r="AH170" s="3">
        <v>26383544</v>
      </c>
      <c r="AI170" s="3" t="s">
        <v>70</v>
      </c>
      <c r="AJ170" s="3" t="s">
        <v>2569</v>
      </c>
      <c r="AK170" s="3" t="s">
        <v>12674</v>
      </c>
      <c r="AL170" s="3" t="s">
        <v>2550</v>
      </c>
      <c r="AM170" s="3">
        <v>2</v>
      </c>
      <c r="AN170" s="3" t="s">
        <v>7216</v>
      </c>
      <c r="AO170" s="3" t="s">
        <v>62</v>
      </c>
      <c r="AP170" s="3"/>
      <c r="AQ170" s="7" t="s">
        <v>14081</v>
      </c>
      <c r="AR170" s="3"/>
      <c r="AS170" s="7" t="s">
        <v>14082</v>
      </c>
    </row>
    <row r="171" spans="1:45" ht="12.5" x14ac:dyDescent="0.25">
      <c r="A171" s="3" t="s">
        <v>12652</v>
      </c>
      <c r="B171" s="7" t="str">
        <f>HYPERLINK("https://gerandofalcoes.my.salesforce.com/0014X00002VKCtAQAX", "0014X00002VKCtAQAX")</f>
        <v>0014X00002VKCtAQAX</v>
      </c>
      <c r="C171" s="3" t="s">
        <v>6581</v>
      </c>
      <c r="D171" s="3" t="s">
        <v>46</v>
      </c>
      <c r="E171" s="21" t="str">
        <f>HYPERLINK("https://gerandofalcoes.my.salesforce.com/0034X0000380O5O", "0034X0000380O5O")</f>
        <v>0034X0000380O5O</v>
      </c>
      <c r="F171" s="3" t="s">
        <v>14083</v>
      </c>
      <c r="G171" s="3" t="s">
        <v>14084</v>
      </c>
      <c r="H171" s="3" t="s">
        <v>2538</v>
      </c>
      <c r="I171" s="3" t="s">
        <v>12741</v>
      </c>
      <c r="J171" s="3"/>
      <c r="K171" s="3" t="s">
        <v>14085</v>
      </c>
      <c r="L171" s="3">
        <v>21975140032</v>
      </c>
      <c r="M171" s="8">
        <v>29322</v>
      </c>
      <c r="N171" s="3">
        <v>42</v>
      </c>
      <c r="O171" s="3" t="s">
        <v>14086</v>
      </c>
      <c r="P171" s="3">
        <v>8963165728</v>
      </c>
      <c r="Q171" s="3"/>
      <c r="S171" s="3" t="s">
        <v>2998</v>
      </c>
      <c r="T171" s="3" t="s">
        <v>12656</v>
      </c>
      <c r="U171" s="3"/>
      <c r="V171" s="3" t="s">
        <v>14087</v>
      </c>
      <c r="W171" s="3" t="s">
        <v>2541</v>
      </c>
      <c r="X171" s="3" t="s">
        <v>2980</v>
      </c>
      <c r="Y171" s="3"/>
      <c r="Z171" s="3" t="s">
        <v>2543</v>
      </c>
      <c r="AA171" s="3"/>
      <c r="AB171" s="3"/>
      <c r="AC171" s="3" t="s">
        <v>14088</v>
      </c>
      <c r="AD171" s="3">
        <v>106</v>
      </c>
      <c r="AE171" s="3"/>
      <c r="AF171" s="3"/>
      <c r="AG171" s="3" t="s">
        <v>14089</v>
      </c>
      <c r="AH171" s="3">
        <v>21340370</v>
      </c>
      <c r="AI171" s="3" t="s">
        <v>70</v>
      </c>
      <c r="AJ171" s="3" t="s">
        <v>2569</v>
      </c>
      <c r="AK171" s="3" t="s">
        <v>3249</v>
      </c>
      <c r="AL171" s="3" t="s">
        <v>2579</v>
      </c>
      <c r="AM171" s="3">
        <v>4</v>
      </c>
      <c r="AN171" s="3" t="s">
        <v>7216</v>
      </c>
      <c r="AO171" s="3" t="s">
        <v>120</v>
      </c>
      <c r="AP171" s="3"/>
      <c r="AQ171" s="7" t="s">
        <v>14090</v>
      </c>
      <c r="AR171" s="3"/>
      <c r="AS171" s="7" t="s">
        <v>14091</v>
      </c>
    </row>
    <row r="172" spans="1:45" ht="12.5" hidden="1" x14ac:dyDescent="0.25">
      <c r="A172" s="3" t="s">
        <v>12652</v>
      </c>
      <c r="B172" s="7" t="str">
        <f>HYPERLINK("https://gerandofalcoes.my.salesforce.com/0014X00002VKCtCQAX", "0014X00002VKCtCQAX")</f>
        <v>0014X00002VKCtCQAX</v>
      </c>
      <c r="C172" s="3" t="s">
        <v>6601</v>
      </c>
      <c r="D172" s="3" t="s">
        <v>46</v>
      </c>
      <c r="E172" s="21" t="str">
        <f>HYPERLINK("https://gerandofalcoes.my.salesforce.com/0034X0000380O40", "0034X0000380O40")</f>
        <v>0034X0000380O40</v>
      </c>
      <c r="F172" s="3" t="s">
        <v>3123</v>
      </c>
      <c r="G172" s="3" t="s">
        <v>14092</v>
      </c>
      <c r="H172" s="3" t="s">
        <v>2538</v>
      </c>
      <c r="I172" s="3" t="s">
        <v>12741</v>
      </c>
      <c r="J172" s="3">
        <v>33</v>
      </c>
      <c r="K172" s="3" t="s">
        <v>14093</v>
      </c>
      <c r="L172" s="3" t="s">
        <v>6605</v>
      </c>
      <c r="M172" s="8">
        <v>27500</v>
      </c>
      <c r="N172" s="3">
        <v>47</v>
      </c>
      <c r="O172" s="3">
        <v>1805651</v>
      </c>
      <c r="P172" s="3">
        <v>2851153404</v>
      </c>
      <c r="Q172" s="3"/>
      <c r="R172" s="3" t="s">
        <v>14094</v>
      </c>
      <c r="S172" s="3" t="s">
        <v>3137</v>
      </c>
      <c r="T172" s="3" t="s">
        <v>12682</v>
      </c>
      <c r="U172" s="3"/>
      <c r="V172" s="3" t="s">
        <v>14095</v>
      </c>
      <c r="W172" s="3" t="s">
        <v>12664</v>
      </c>
      <c r="X172" s="3" t="s">
        <v>2980</v>
      </c>
      <c r="Y172" s="3" t="s">
        <v>12670</v>
      </c>
      <c r="Z172" s="3" t="s">
        <v>2543</v>
      </c>
      <c r="AA172" s="3" t="s">
        <v>2577</v>
      </c>
      <c r="AB172" s="3" t="s">
        <v>2543</v>
      </c>
      <c r="AC172" s="3" t="s">
        <v>14096</v>
      </c>
      <c r="AD172" s="3">
        <v>107</v>
      </c>
      <c r="AE172" s="3"/>
      <c r="AF172" s="3" t="s">
        <v>14097</v>
      </c>
      <c r="AG172" s="3" t="s">
        <v>14098</v>
      </c>
      <c r="AH172" s="3" t="s">
        <v>14099</v>
      </c>
      <c r="AI172" s="3" t="s">
        <v>1171</v>
      </c>
      <c r="AJ172" s="3" t="s">
        <v>2569</v>
      </c>
      <c r="AK172" s="3" t="s">
        <v>14100</v>
      </c>
      <c r="AL172" s="3" t="s">
        <v>2550</v>
      </c>
      <c r="AM172" s="3">
        <v>4</v>
      </c>
      <c r="AN172" s="3" t="s">
        <v>7216</v>
      </c>
      <c r="AO172" s="3" t="s">
        <v>120</v>
      </c>
      <c r="AP172" s="3"/>
      <c r="AQ172" s="3" t="s">
        <v>14101</v>
      </c>
      <c r="AR172" s="3"/>
      <c r="AS172" s="7" t="s">
        <v>14102</v>
      </c>
    </row>
    <row r="173" spans="1:45" ht="12.5" x14ac:dyDescent="0.25">
      <c r="A173" s="3" t="s">
        <v>12652</v>
      </c>
      <c r="B173" s="7" t="str">
        <f>HYPERLINK("https://gerandofalcoes.my.salesforce.com/0014X00002VKCtDQAX", "0014X00002VKCtDQAX")</f>
        <v>0014X00002VKCtDQAX</v>
      </c>
      <c r="C173" s="3" t="s">
        <v>6616</v>
      </c>
      <c r="D173" s="3" t="s">
        <v>46</v>
      </c>
      <c r="E173" s="21" t="str">
        <f>HYPERLINK("https://gerandofalcoes.my.salesforce.com/0034X0000380O4F", "0034X0000380O4F")</f>
        <v>0034X0000380O4F</v>
      </c>
      <c r="F173" s="3" t="s">
        <v>2773</v>
      </c>
      <c r="G173" s="3" t="s">
        <v>14103</v>
      </c>
      <c r="H173" s="3" t="s">
        <v>2538</v>
      </c>
      <c r="I173" s="3" t="s">
        <v>12741</v>
      </c>
      <c r="J173" s="3">
        <v>33</v>
      </c>
      <c r="K173" s="3" t="s">
        <v>14104</v>
      </c>
      <c r="L173" s="3">
        <v>83998532670</v>
      </c>
      <c r="M173" s="6">
        <v>29649</v>
      </c>
      <c r="N173" s="3">
        <v>41</v>
      </c>
      <c r="O173" s="3">
        <v>1122969</v>
      </c>
      <c r="P173" s="3">
        <v>3594328406</v>
      </c>
      <c r="Q173" s="3"/>
      <c r="R173" s="3"/>
      <c r="S173" s="3" t="s">
        <v>3137</v>
      </c>
      <c r="T173" s="3" t="s">
        <v>12682</v>
      </c>
      <c r="U173" s="3"/>
      <c r="V173" s="3" t="s">
        <v>14105</v>
      </c>
      <c r="W173" s="3" t="s">
        <v>2541</v>
      </c>
      <c r="X173" s="3" t="s">
        <v>2980</v>
      </c>
      <c r="Y173" s="3"/>
      <c r="Z173" s="3" t="s">
        <v>2545</v>
      </c>
      <c r="AA173" s="3" t="s">
        <v>2544</v>
      </c>
      <c r="AB173" s="3" t="s">
        <v>2545</v>
      </c>
      <c r="AC173" s="3" t="s">
        <v>14106</v>
      </c>
      <c r="AD173" s="3">
        <v>11</v>
      </c>
      <c r="AE173" s="3"/>
      <c r="AF173" s="3"/>
      <c r="AG173" s="3" t="s">
        <v>4026</v>
      </c>
      <c r="AH173" s="3">
        <v>58255000</v>
      </c>
      <c r="AI173" s="3" t="s">
        <v>1171</v>
      </c>
      <c r="AJ173" s="3" t="s">
        <v>2569</v>
      </c>
      <c r="AK173" s="3" t="s">
        <v>12674</v>
      </c>
      <c r="AL173" s="3" t="s">
        <v>2550</v>
      </c>
      <c r="AM173" s="3">
        <v>1</v>
      </c>
      <c r="AN173" s="3" t="s">
        <v>14107</v>
      </c>
      <c r="AO173" s="3" t="s">
        <v>120</v>
      </c>
      <c r="AP173" s="3"/>
      <c r="AQ173" s="7" t="s">
        <v>6628</v>
      </c>
      <c r="AR173" s="3"/>
      <c r="AS173" s="7" t="s">
        <v>14108</v>
      </c>
    </row>
    <row r="174" spans="1:45" ht="12.5" x14ac:dyDescent="0.25">
      <c r="A174" s="3" t="s">
        <v>12652</v>
      </c>
      <c r="B174" s="7" t="str">
        <f>HYPERLINK("https://gerandofalcoes.my.salesforce.com/0014X00002VKCtEQAX", "0014X00002VKCtEQAX")</f>
        <v>0014X00002VKCtEQAX</v>
      </c>
      <c r="C174" s="3" t="s">
        <v>6632</v>
      </c>
      <c r="D174" s="3" t="s">
        <v>46</v>
      </c>
      <c r="E174" s="21" t="str">
        <f>HYPERLINK("https://gerandofalcoes.my.salesforce.com/0034X0000380O5h", "0034X0000380O5h")</f>
        <v>0034X0000380O5h</v>
      </c>
      <c r="F174" s="3" t="s">
        <v>14109</v>
      </c>
      <c r="G174" s="3" t="s">
        <v>14110</v>
      </c>
      <c r="H174" s="3" t="s">
        <v>2538</v>
      </c>
      <c r="I174" s="3" t="s">
        <v>12741</v>
      </c>
      <c r="J174" s="3">
        <v>33</v>
      </c>
      <c r="K174" s="3" t="s">
        <v>14111</v>
      </c>
      <c r="L174" s="3">
        <v>84998567036</v>
      </c>
      <c r="M174" s="6">
        <v>36571</v>
      </c>
      <c r="N174" s="3">
        <v>22</v>
      </c>
      <c r="O174" s="3">
        <v>3423859</v>
      </c>
      <c r="P174" s="3">
        <v>70324781407</v>
      </c>
      <c r="Q174" s="3"/>
      <c r="R174" s="3"/>
      <c r="S174" s="3" t="s">
        <v>3137</v>
      </c>
      <c r="T174" s="3" t="s">
        <v>12682</v>
      </c>
      <c r="U174" s="3"/>
      <c r="V174" s="3" t="s">
        <v>14112</v>
      </c>
      <c r="W174" s="3" t="s">
        <v>2541</v>
      </c>
      <c r="X174" s="3" t="s">
        <v>14113</v>
      </c>
      <c r="Y174" s="3"/>
      <c r="Z174" s="3" t="s">
        <v>2543</v>
      </c>
      <c r="AA174" s="3"/>
      <c r="AB174" s="3"/>
      <c r="AC174" s="3" t="s">
        <v>14114</v>
      </c>
      <c r="AD174" s="3">
        <v>14</v>
      </c>
      <c r="AE174" s="3"/>
      <c r="AF174" s="3"/>
      <c r="AG174" s="3" t="s">
        <v>6637</v>
      </c>
      <c r="AH174" s="3">
        <v>59650000</v>
      </c>
      <c r="AI174" s="3" t="s">
        <v>195</v>
      </c>
      <c r="AJ174" s="3" t="s">
        <v>2569</v>
      </c>
      <c r="AK174" s="3" t="s">
        <v>12661</v>
      </c>
      <c r="AL174" s="3" t="s">
        <v>2550</v>
      </c>
      <c r="AM174" s="3">
        <v>3</v>
      </c>
      <c r="AN174" s="3" t="s">
        <v>7216</v>
      </c>
      <c r="AO174" s="3" t="s">
        <v>120</v>
      </c>
      <c r="AP174" s="3"/>
      <c r="AQ174" s="7" t="s">
        <v>14115</v>
      </c>
      <c r="AR174" s="3"/>
      <c r="AS174" s="7" t="s">
        <v>14116</v>
      </c>
    </row>
    <row r="175" spans="1:45" ht="12.5" hidden="1" x14ac:dyDescent="0.25">
      <c r="A175" s="3" t="s">
        <v>12652</v>
      </c>
      <c r="B175" s="7" t="str">
        <f>HYPERLINK("https://gerandofalcoes.my.salesforce.com/0014X00002VKCtFQAX", "0014X00002VKCtFQAX")</f>
        <v>0014X00002VKCtFQAX</v>
      </c>
      <c r="C175" s="3" t="s">
        <v>6647</v>
      </c>
      <c r="D175" s="3" t="s">
        <v>46</v>
      </c>
      <c r="E175" s="21" t="str">
        <f>HYPERLINK("https://gerandofalcoes.my.salesforce.com/0034X0000380O6N", "0034X0000380O6N")</f>
        <v>0034X0000380O6N</v>
      </c>
      <c r="F175" s="3" t="s">
        <v>13441</v>
      </c>
      <c r="G175" s="3" t="s">
        <v>14117</v>
      </c>
      <c r="H175" s="3" t="s">
        <v>2538</v>
      </c>
      <c r="I175" s="3" t="s">
        <v>12741</v>
      </c>
      <c r="J175" s="3"/>
      <c r="K175" s="3" t="s">
        <v>6650</v>
      </c>
      <c r="L175" s="3" t="s">
        <v>6651</v>
      </c>
      <c r="M175" s="6">
        <v>27730</v>
      </c>
      <c r="N175" s="3">
        <v>47</v>
      </c>
      <c r="O175" s="3">
        <v>652799302</v>
      </c>
      <c r="P175" s="3">
        <v>77615590582</v>
      </c>
      <c r="Q175" s="3"/>
      <c r="R175" s="3" t="s">
        <v>12800</v>
      </c>
      <c r="S175" s="3" t="s">
        <v>3605</v>
      </c>
      <c r="T175" s="3" t="s">
        <v>12682</v>
      </c>
      <c r="U175" s="3"/>
      <c r="V175" s="3" t="s">
        <v>14118</v>
      </c>
      <c r="W175" s="3" t="s">
        <v>12664</v>
      </c>
      <c r="X175" s="3" t="s">
        <v>2980</v>
      </c>
      <c r="Y175" s="3" t="s">
        <v>12670</v>
      </c>
      <c r="Z175" s="3" t="s">
        <v>2545</v>
      </c>
      <c r="AA175" s="3" t="s">
        <v>2544</v>
      </c>
      <c r="AB175" s="3" t="s">
        <v>2543</v>
      </c>
      <c r="AC175" s="3" t="s">
        <v>14119</v>
      </c>
      <c r="AD175" s="3">
        <v>680</v>
      </c>
      <c r="AE175" s="3" t="s">
        <v>14120</v>
      </c>
      <c r="AF175" s="3" t="s">
        <v>14121</v>
      </c>
      <c r="AG175" s="3" t="s">
        <v>14122</v>
      </c>
      <c r="AH175" s="3" t="s">
        <v>14123</v>
      </c>
      <c r="AI175" s="3" t="s">
        <v>195</v>
      </c>
      <c r="AJ175" s="3" t="s">
        <v>2548</v>
      </c>
      <c r="AK175" s="3" t="s">
        <v>12661</v>
      </c>
      <c r="AL175" s="3" t="s">
        <v>2550</v>
      </c>
      <c r="AM175" s="3">
        <v>7</v>
      </c>
      <c r="AN175" s="3" t="s">
        <v>7216</v>
      </c>
      <c r="AO175" s="3" t="s">
        <v>120</v>
      </c>
      <c r="AP175" s="7" t="s">
        <v>14124</v>
      </c>
      <c r="AQ175" s="3" t="s">
        <v>14125</v>
      </c>
      <c r="AR175" s="3"/>
      <c r="AS175" s="7" t="s">
        <v>14126</v>
      </c>
    </row>
    <row r="176" spans="1:45" ht="12.5" hidden="1" x14ac:dyDescent="0.25">
      <c r="A176" s="3" t="s">
        <v>12652</v>
      </c>
      <c r="B176" s="7" t="str">
        <f>HYPERLINK("https://gerandofalcoes.my.salesforce.com/0014X00002VKCtGQAX", "0014X00002VKCtGQAX")</f>
        <v>0014X00002VKCtGQAX</v>
      </c>
      <c r="C176" s="3" t="s">
        <v>6664</v>
      </c>
      <c r="D176" s="3" t="s">
        <v>46</v>
      </c>
      <c r="E176" s="21" t="str">
        <f>HYPERLINK("https://gerandofalcoes.my.salesforce.com/0034X0000380O4C", "0034X0000380O4C")</f>
        <v>0034X0000380O4C</v>
      </c>
      <c r="F176" s="3" t="s">
        <v>14127</v>
      </c>
      <c r="G176" s="3" t="s">
        <v>14128</v>
      </c>
      <c r="H176" s="3" t="s">
        <v>2538</v>
      </c>
      <c r="I176" s="3" t="s">
        <v>12741</v>
      </c>
      <c r="J176" s="3">
        <v>33</v>
      </c>
      <c r="K176" s="3" t="s">
        <v>14129</v>
      </c>
      <c r="L176" s="3" t="s">
        <v>6668</v>
      </c>
      <c r="M176" s="6">
        <v>32326</v>
      </c>
      <c r="N176" s="3">
        <v>34</v>
      </c>
      <c r="O176" s="3">
        <v>2684013</v>
      </c>
      <c r="P176" s="3">
        <v>7846712497</v>
      </c>
      <c r="Q176" s="3"/>
      <c r="R176" s="3" t="s">
        <v>14130</v>
      </c>
      <c r="S176" s="3" t="s">
        <v>3137</v>
      </c>
      <c r="T176" s="3" t="s">
        <v>12656</v>
      </c>
      <c r="U176" s="3"/>
      <c r="V176" s="3" t="s">
        <v>14131</v>
      </c>
      <c r="W176" s="3" t="s">
        <v>12664</v>
      </c>
      <c r="X176" s="3" t="s">
        <v>3365</v>
      </c>
      <c r="Y176" s="3" t="s">
        <v>12670</v>
      </c>
      <c r="Z176" s="3" t="s">
        <v>2543</v>
      </c>
      <c r="AA176" s="3" t="s">
        <v>2577</v>
      </c>
      <c r="AB176" s="3" t="s">
        <v>2545</v>
      </c>
      <c r="AC176" s="3" t="s">
        <v>14132</v>
      </c>
      <c r="AD176" s="3">
        <v>179</v>
      </c>
      <c r="AE176" s="3"/>
      <c r="AF176" s="3" t="s">
        <v>14133</v>
      </c>
      <c r="AG176" s="3" t="s">
        <v>14134</v>
      </c>
      <c r="AH176" s="3" t="s">
        <v>6671</v>
      </c>
      <c r="AI176" s="3" t="s">
        <v>195</v>
      </c>
      <c r="AJ176" s="3" t="s">
        <v>2569</v>
      </c>
      <c r="AK176" s="3" t="s">
        <v>14135</v>
      </c>
      <c r="AL176" s="3" t="s">
        <v>2550</v>
      </c>
      <c r="AM176" s="3">
        <v>6</v>
      </c>
      <c r="AN176" s="3" t="s">
        <v>7216</v>
      </c>
      <c r="AO176" s="3" t="s">
        <v>120</v>
      </c>
      <c r="AP176" s="7" t="s">
        <v>14136</v>
      </c>
      <c r="AQ176" s="7" t="s">
        <v>14137</v>
      </c>
      <c r="AR176" s="3"/>
      <c r="AS176" s="7" t="s">
        <v>14138</v>
      </c>
    </row>
    <row r="177" spans="1:45" ht="12.5" hidden="1" x14ac:dyDescent="0.25">
      <c r="A177" s="3" t="s">
        <v>12652</v>
      </c>
      <c r="B177" s="7" t="str">
        <f>HYPERLINK("https://gerandofalcoes.my.salesforce.com/0014X00002VKCtHQAX", "0014X00002VKCtHQAX")</f>
        <v>0014X00002VKCtHQAX</v>
      </c>
      <c r="C177" s="3" t="s">
        <v>6679</v>
      </c>
      <c r="D177" s="3" t="s">
        <v>46</v>
      </c>
      <c r="E177" s="21" t="str">
        <f>HYPERLINK("https://gerandofalcoes.my.salesforce.com/0034X0000380O5n", "0034X0000380O5n")</f>
        <v>0034X0000380O5n</v>
      </c>
      <c r="F177" s="3" t="s">
        <v>14139</v>
      </c>
      <c r="G177" s="3" t="s">
        <v>14140</v>
      </c>
      <c r="H177" s="3" t="s">
        <v>2538</v>
      </c>
      <c r="I177" s="3" t="s">
        <v>12741</v>
      </c>
      <c r="J177" s="3">
        <v>33</v>
      </c>
      <c r="K177" s="3" t="s">
        <v>14141</v>
      </c>
      <c r="L177" s="3" t="s">
        <v>14142</v>
      </c>
      <c r="M177" s="8">
        <v>27371</v>
      </c>
      <c r="N177" s="3">
        <v>48</v>
      </c>
      <c r="O177" s="3">
        <v>2682322</v>
      </c>
      <c r="P177" s="3">
        <v>37108980215</v>
      </c>
      <c r="Q177" s="3"/>
      <c r="R177" s="3"/>
      <c r="S177" s="3" t="s">
        <v>3137</v>
      </c>
      <c r="T177" s="3" t="s">
        <v>12656</v>
      </c>
      <c r="U177" s="3"/>
      <c r="V177" s="3" t="s">
        <v>14143</v>
      </c>
      <c r="W177" s="3" t="s">
        <v>12664</v>
      </c>
      <c r="X177" s="3" t="s">
        <v>2980</v>
      </c>
      <c r="Y177" s="3" t="s">
        <v>12658</v>
      </c>
      <c r="Z177" s="3" t="s">
        <v>2543</v>
      </c>
      <c r="AA177" s="3" t="s">
        <v>2544</v>
      </c>
      <c r="AB177" s="3"/>
      <c r="AC177" s="3" t="s">
        <v>6684</v>
      </c>
      <c r="AD177" s="3">
        <v>400</v>
      </c>
      <c r="AE177" s="3"/>
      <c r="AF177" s="3" t="s">
        <v>6686</v>
      </c>
      <c r="AG177" s="3" t="s">
        <v>6685</v>
      </c>
      <c r="AH177" s="3" t="s">
        <v>6687</v>
      </c>
      <c r="AI177" s="3" t="s">
        <v>1676</v>
      </c>
      <c r="AJ177" s="3" t="s">
        <v>2569</v>
      </c>
      <c r="AK177" s="3" t="s">
        <v>12674</v>
      </c>
      <c r="AL177" s="3" t="s">
        <v>2550</v>
      </c>
      <c r="AM177" s="3">
        <v>5</v>
      </c>
      <c r="AN177" s="3" t="s">
        <v>7216</v>
      </c>
      <c r="AO177" s="3" t="s">
        <v>120</v>
      </c>
      <c r="AP177" s="3"/>
      <c r="AQ177" s="3" t="s">
        <v>14144</v>
      </c>
      <c r="AR177" s="3"/>
      <c r="AS177" s="7" t="s">
        <v>14145</v>
      </c>
    </row>
    <row r="178" spans="1:45" ht="12.5" x14ac:dyDescent="0.25">
      <c r="A178" s="3" t="s">
        <v>12652</v>
      </c>
      <c r="B178" s="7" t="str">
        <f>HYPERLINK("https://gerandofalcoes.my.salesforce.com/0014X00002VKCtIQAX", "0014X00002VKCtIQAX")</f>
        <v>0014X00002VKCtIQAX</v>
      </c>
      <c r="C178" s="3" t="s">
        <v>6697</v>
      </c>
      <c r="D178" s="3" t="s">
        <v>46</v>
      </c>
      <c r="E178" s="21" t="str">
        <f>HYPERLINK("https://gerandofalcoes.my.salesforce.com/0034X0000380O4b", "0034X0000380O4b")</f>
        <v>0034X0000380O4b</v>
      </c>
      <c r="F178" s="3" t="s">
        <v>14146</v>
      </c>
      <c r="G178" s="3" t="s">
        <v>14147</v>
      </c>
      <c r="H178" s="3" t="s">
        <v>2538</v>
      </c>
      <c r="I178" s="3" t="s">
        <v>12741</v>
      </c>
      <c r="J178" s="3">
        <v>33</v>
      </c>
      <c r="K178" s="3" t="s">
        <v>14148</v>
      </c>
      <c r="L178" s="3">
        <v>97981061128</v>
      </c>
      <c r="M178" s="6">
        <v>35671</v>
      </c>
      <c r="N178" s="3">
        <v>25</v>
      </c>
      <c r="O178" s="3">
        <v>28871812</v>
      </c>
      <c r="P178" s="3">
        <v>3414529203</v>
      </c>
      <c r="Q178" s="3"/>
      <c r="R178" s="3"/>
      <c r="S178" s="3" t="s">
        <v>3137</v>
      </c>
      <c r="T178" s="3" t="s">
        <v>12723</v>
      </c>
      <c r="U178" s="3"/>
      <c r="V178" s="3" t="s">
        <v>14149</v>
      </c>
      <c r="W178" s="3" t="s">
        <v>2541</v>
      </c>
      <c r="X178" s="3" t="s">
        <v>2980</v>
      </c>
      <c r="Y178" s="3"/>
      <c r="Z178" s="3" t="s">
        <v>2543</v>
      </c>
      <c r="AA178" s="3"/>
      <c r="AB178" s="3"/>
      <c r="AC178" s="3" t="s">
        <v>14150</v>
      </c>
      <c r="AD178" s="3">
        <v>725</v>
      </c>
      <c r="AE178" s="3"/>
      <c r="AF178" s="3"/>
      <c r="AG178" s="3" t="s">
        <v>10964</v>
      </c>
      <c r="AH178" s="3">
        <v>69550300</v>
      </c>
      <c r="AI178" s="3" t="s">
        <v>1871</v>
      </c>
      <c r="AJ178" s="3" t="s">
        <v>2569</v>
      </c>
      <c r="AK178" s="3" t="s">
        <v>12674</v>
      </c>
      <c r="AL178" s="3" t="s">
        <v>2550</v>
      </c>
      <c r="AM178" s="3">
        <v>2</v>
      </c>
      <c r="AN178" s="3" t="s">
        <v>7216</v>
      </c>
      <c r="AO178" s="3" t="s">
        <v>120</v>
      </c>
      <c r="AP178" s="3"/>
      <c r="AQ178" s="7" t="s">
        <v>14151</v>
      </c>
      <c r="AR178" s="3"/>
      <c r="AS178" s="7" t="s">
        <v>14152</v>
      </c>
    </row>
    <row r="179" spans="1:45" ht="12.5" x14ac:dyDescent="0.25">
      <c r="A179" s="3" t="s">
        <v>12652</v>
      </c>
      <c r="B179" s="7" t="str">
        <f>HYPERLINK("https://gerandofalcoes.my.salesforce.com/0014X00002VKCtJQAX", "0014X00002VKCtJQAX")</f>
        <v>0014X00002VKCtJQAX</v>
      </c>
      <c r="C179" s="3" t="s">
        <v>6719</v>
      </c>
      <c r="D179" s="3" t="s">
        <v>46</v>
      </c>
      <c r="E179" s="21" t="str">
        <f>HYPERLINK("https://gerandofalcoes.my.salesforce.com/0034X0000380O2G", "0034X0000380O2G")</f>
        <v>0034X0000380O2G</v>
      </c>
      <c r="F179" s="3" t="s">
        <v>14146</v>
      </c>
      <c r="G179" s="3" t="s">
        <v>14153</v>
      </c>
      <c r="H179" s="3" t="s">
        <v>2538</v>
      </c>
      <c r="I179" s="3" t="s">
        <v>12741</v>
      </c>
      <c r="J179" s="3">
        <v>33</v>
      </c>
      <c r="K179" s="3" t="s">
        <v>14154</v>
      </c>
      <c r="L179" s="3">
        <v>84988541448</v>
      </c>
      <c r="M179" s="6">
        <v>34438</v>
      </c>
      <c r="N179" s="3">
        <v>28</v>
      </c>
      <c r="O179" s="3">
        <v>2386918</v>
      </c>
      <c r="P179" s="3">
        <v>6407303451</v>
      </c>
      <c r="Q179" s="3"/>
      <c r="R179" s="3"/>
      <c r="S179" s="3" t="s">
        <v>3417</v>
      </c>
      <c r="T179" s="3" t="s">
        <v>12723</v>
      </c>
      <c r="U179" s="3"/>
      <c r="V179" s="3" t="s">
        <v>14155</v>
      </c>
      <c r="W179" s="3" t="s">
        <v>2541</v>
      </c>
      <c r="X179" s="3" t="s">
        <v>14113</v>
      </c>
      <c r="Y179" s="3"/>
      <c r="Z179" s="3" t="s">
        <v>2543</v>
      </c>
      <c r="AA179" s="3"/>
      <c r="AB179" s="3" t="s">
        <v>2545</v>
      </c>
      <c r="AC179" s="3" t="s">
        <v>14156</v>
      </c>
      <c r="AD179" s="3">
        <v>216</v>
      </c>
      <c r="AE179" s="3"/>
      <c r="AF179" s="3"/>
      <c r="AG179" s="3" t="s">
        <v>6724</v>
      </c>
      <c r="AH179" s="3" t="s">
        <v>6726</v>
      </c>
      <c r="AI179" s="3" t="s">
        <v>195</v>
      </c>
      <c r="AJ179" s="3" t="s">
        <v>2569</v>
      </c>
      <c r="AK179" s="3" t="s">
        <v>12729</v>
      </c>
      <c r="AL179" s="3" t="s">
        <v>2550</v>
      </c>
      <c r="AM179" s="3">
        <v>3</v>
      </c>
      <c r="AN179" s="3" t="s">
        <v>7216</v>
      </c>
      <c r="AO179" s="3" t="s">
        <v>62</v>
      </c>
      <c r="AP179" s="3"/>
      <c r="AQ179" s="7" t="s">
        <v>14157</v>
      </c>
      <c r="AR179" s="3"/>
      <c r="AS179" s="7" t="s">
        <v>14158</v>
      </c>
    </row>
    <row r="180" spans="1:45" ht="12.5" x14ac:dyDescent="0.25">
      <c r="A180" s="3" t="s">
        <v>12652</v>
      </c>
      <c r="B180" s="7" t="str">
        <f>HYPERLINK("https://gerandofalcoes.my.salesforce.com/0014X00002VKCtKQAX", "0014X00002VKCtKQAX")</f>
        <v>0014X00002VKCtKQAX</v>
      </c>
      <c r="C180" s="3" t="s">
        <v>6732</v>
      </c>
      <c r="D180" s="3" t="s">
        <v>46</v>
      </c>
      <c r="E180" s="21" t="str">
        <f>HYPERLINK("https://gerandofalcoes.my.salesforce.com/0034X0000380O2r", "0034X0000380O2r")</f>
        <v>0034X0000380O2r</v>
      </c>
      <c r="F180" s="3" t="s">
        <v>14159</v>
      </c>
      <c r="G180" s="3" t="s">
        <v>2883</v>
      </c>
      <c r="H180" s="3" t="s">
        <v>2538</v>
      </c>
      <c r="I180" s="3" t="s">
        <v>12741</v>
      </c>
      <c r="J180" s="3">
        <v>33</v>
      </c>
      <c r="K180" s="3" t="s">
        <v>6735</v>
      </c>
      <c r="L180" s="3">
        <v>84987958834</v>
      </c>
      <c r="M180" s="6">
        <v>27524</v>
      </c>
      <c r="N180" s="3">
        <v>47</v>
      </c>
      <c r="O180" s="3">
        <v>1520326</v>
      </c>
      <c r="P180" s="3">
        <v>91571529420</v>
      </c>
      <c r="Q180" s="3"/>
      <c r="R180" s="3"/>
      <c r="S180" s="3" t="s">
        <v>3137</v>
      </c>
      <c r="T180" s="3" t="s">
        <v>12723</v>
      </c>
      <c r="U180" s="3"/>
      <c r="V180" s="3" t="s">
        <v>14160</v>
      </c>
      <c r="W180" s="3" t="s">
        <v>2541</v>
      </c>
      <c r="X180" s="3" t="s">
        <v>2980</v>
      </c>
      <c r="Y180" s="3"/>
      <c r="Z180" s="3" t="s">
        <v>2543</v>
      </c>
      <c r="AA180" s="3" t="s">
        <v>2544</v>
      </c>
      <c r="AB180" s="3" t="s">
        <v>2545</v>
      </c>
      <c r="AC180" s="3" t="s">
        <v>14161</v>
      </c>
      <c r="AD180" s="3">
        <v>26</v>
      </c>
      <c r="AE180" s="3"/>
      <c r="AF180" s="3"/>
      <c r="AG180" s="3" t="s">
        <v>14162</v>
      </c>
      <c r="AH180" s="3">
        <v>59050130</v>
      </c>
      <c r="AI180" s="3" t="s">
        <v>195</v>
      </c>
      <c r="AJ180" s="3" t="s">
        <v>2569</v>
      </c>
      <c r="AK180" s="3" t="s">
        <v>12674</v>
      </c>
      <c r="AL180" s="3" t="s">
        <v>2550</v>
      </c>
      <c r="AM180" s="3">
        <v>3</v>
      </c>
      <c r="AN180" s="3" t="s">
        <v>7216</v>
      </c>
      <c r="AO180" s="3" t="s">
        <v>120</v>
      </c>
      <c r="AP180" s="3"/>
      <c r="AQ180" s="3"/>
      <c r="AR180" s="3"/>
      <c r="AS180" s="7" t="s">
        <v>14163</v>
      </c>
    </row>
    <row r="181" spans="1:45" ht="12.5" hidden="1" x14ac:dyDescent="0.25">
      <c r="A181" s="3" t="s">
        <v>12652</v>
      </c>
      <c r="B181" s="7" t="str">
        <f>HYPERLINK("https://gerandofalcoes.my.salesforce.com/0014X00002VKCtMQAX", "0014X00002VKCtMQAX")</f>
        <v>0014X00002VKCtMQAX</v>
      </c>
      <c r="C181" s="3" t="s">
        <v>6744</v>
      </c>
      <c r="D181" s="3" t="s">
        <v>46</v>
      </c>
      <c r="E181" s="21" t="str">
        <f>HYPERLINK("https://gerandofalcoes.my.salesforce.com/0034X0000380O6i", "0034X0000380O6i")</f>
        <v>0034X0000380O6i</v>
      </c>
      <c r="F181" s="3" t="s">
        <v>3443</v>
      </c>
      <c r="G181" s="3" t="s">
        <v>14164</v>
      </c>
      <c r="H181" s="3" t="s">
        <v>2538</v>
      </c>
      <c r="I181" s="3" t="s">
        <v>12741</v>
      </c>
      <c r="J181" s="3">
        <v>33</v>
      </c>
      <c r="K181" s="3" t="s">
        <v>14165</v>
      </c>
      <c r="L181" s="3" t="s">
        <v>7937</v>
      </c>
      <c r="M181" s="6">
        <v>31249</v>
      </c>
      <c r="N181" s="3">
        <v>37</v>
      </c>
      <c r="O181" s="3">
        <v>2493423</v>
      </c>
      <c r="P181" s="3">
        <v>4617468404</v>
      </c>
      <c r="Q181" s="3"/>
      <c r="R181" s="3" t="s">
        <v>12800</v>
      </c>
      <c r="S181" s="3" t="s">
        <v>2998</v>
      </c>
      <c r="T181" s="3" t="s">
        <v>13599</v>
      </c>
      <c r="U181" s="3"/>
      <c r="V181" s="3" t="s">
        <v>14166</v>
      </c>
      <c r="W181" s="3" t="s">
        <v>12664</v>
      </c>
      <c r="X181" s="3" t="s">
        <v>2980</v>
      </c>
      <c r="Y181" s="3" t="s">
        <v>12684</v>
      </c>
      <c r="Z181" s="3" t="s">
        <v>2543</v>
      </c>
      <c r="AA181" s="3"/>
      <c r="AB181" s="3"/>
      <c r="AC181" s="3" t="s">
        <v>14167</v>
      </c>
      <c r="AD181" s="3" t="s">
        <v>14168</v>
      </c>
      <c r="AE181" s="3" t="s">
        <v>14169</v>
      </c>
      <c r="AF181" s="3" t="s">
        <v>7940</v>
      </c>
      <c r="AG181" s="3" t="s">
        <v>14170</v>
      </c>
      <c r="AH181" s="3" t="s">
        <v>6671</v>
      </c>
      <c r="AI181" s="3" t="s">
        <v>195</v>
      </c>
      <c r="AJ181" s="3" t="s">
        <v>2569</v>
      </c>
      <c r="AK181" s="3" t="s">
        <v>14135</v>
      </c>
      <c r="AL181" s="3" t="s">
        <v>2550</v>
      </c>
      <c r="AM181" s="3">
        <v>5</v>
      </c>
      <c r="AN181" s="3" t="s">
        <v>7216</v>
      </c>
      <c r="AO181" s="3" t="s">
        <v>120</v>
      </c>
      <c r="AP181" s="3"/>
      <c r="AQ181" s="3" t="s">
        <v>14171</v>
      </c>
      <c r="AR181" s="3"/>
      <c r="AS181" s="7" t="s">
        <v>14172</v>
      </c>
    </row>
    <row r="182" spans="1:45" ht="12.5" x14ac:dyDescent="0.25">
      <c r="A182" s="3" t="s">
        <v>12652</v>
      </c>
      <c r="B182" s="21" t="str">
        <f>HYPERLINK("https://gerandofalcoes.my.salesforce.com/0014X00002VKCtNQAX", "0014X00002VKCtNQAX")</f>
        <v>0014X00002VKCtNQAX</v>
      </c>
      <c r="C182" s="3" t="s">
        <v>6759</v>
      </c>
      <c r="D182" s="3" t="s">
        <v>46</v>
      </c>
      <c r="E182" s="21" t="str">
        <f>HYPERLINK("https://gerandofalcoes.my.salesforce.com/0034X0000380O59", "0034X0000380O59")</f>
        <v>0034X0000380O59</v>
      </c>
      <c r="F182" s="3" t="s">
        <v>14173</v>
      </c>
      <c r="G182" s="3" t="s">
        <v>14174</v>
      </c>
      <c r="H182" s="3" t="s">
        <v>2538</v>
      </c>
      <c r="I182" s="3" t="s">
        <v>12741</v>
      </c>
      <c r="J182" s="3"/>
      <c r="K182" s="3" t="s">
        <v>14175</v>
      </c>
      <c r="L182" s="3">
        <v>91988724718</v>
      </c>
      <c r="M182" s="8">
        <v>29770</v>
      </c>
      <c r="N182" s="3">
        <v>41</v>
      </c>
      <c r="O182" s="3">
        <v>2882752</v>
      </c>
      <c r="P182" s="3">
        <v>71378138287</v>
      </c>
      <c r="Q182" s="3"/>
      <c r="R182" s="3"/>
      <c r="S182" s="3" t="s">
        <v>3269</v>
      </c>
      <c r="T182" s="3" t="s">
        <v>12656</v>
      </c>
      <c r="U182" s="3"/>
      <c r="V182" s="3" t="s">
        <v>14176</v>
      </c>
      <c r="W182" s="3" t="s">
        <v>2541</v>
      </c>
      <c r="X182" s="3" t="s">
        <v>2980</v>
      </c>
      <c r="Y182" s="3"/>
      <c r="Z182" s="3" t="s">
        <v>2545</v>
      </c>
      <c r="AA182" s="3" t="s">
        <v>2577</v>
      </c>
      <c r="AB182" s="3" t="s">
        <v>2543</v>
      </c>
      <c r="AC182" s="3" t="s">
        <v>14177</v>
      </c>
      <c r="AD182" s="3">
        <v>66</v>
      </c>
      <c r="AE182" s="3"/>
      <c r="AF182" s="3"/>
      <c r="AG182" s="3" t="s">
        <v>14178</v>
      </c>
      <c r="AH182" s="3">
        <v>66123030</v>
      </c>
      <c r="AI182" s="3" t="s">
        <v>1676</v>
      </c>
      <c r="AJ182" s="3" t="s">
        <v>2569</v>
      </c>
      <c r="AK182" s="3" t="s">
        <v>3249</v>
      </c>
      <c r="AL182" s="3" t="s">
        <v>2550</v>
      </c>
      <c r="AM182" s="3">
        <v>1</v>
      </c>
      <c r="AN182" s="3" t="s">
        <v>7216</v>
      </c>
      <c r="AO182" s="3" t="s">
        <v>120</v>
      </c>
      <c r="AP182" s="3"/>
      <c r="AQ182" s="7" t="s">
        <v>14179</v>
      </c>
      <c r="AS182" s="7" t="s">
        <v>14180</v>
      </c>
    </row>
    <row r="183" spans="1:45" ht="12.5" hidden="1" x14ac:dyDescent="0.25">
      <c r="A183" s="3" t="s">
        <v>12652</v>
      </c>
      <c r="B183" s="21" t="str">
        <f>HYPERLINK("https://gerandofalcoes.my.salesforce.com/0014X00002VKCuDQAX", "0014X00002VKCuDQAX")</f>
        <v>0014X00002VKCuDQAX</v>
      </c>
      <c r="C183" s="3" t="s">
        <v>6775</v>
      </c>
      <c r="D183" s="3" t="s">
        <v>46</v>
      </c>
      <c r="E183" s="21" t="str">
        <f>HYPERLINK("https://gerandofalcoes.my.salesforce.com/0034X0000380O6a", "0034X0000380O6a")</f>
        <v>0034X0000380O6a</v>
      </c>
      <c r="F183" s="3" t="s">
        <v>14181</v>
      </c>
      <c r="G183" s="3" t="s">
        <v>14182</v>
      </c>
      <c r="H183" s="3" t="s">
        <v>2538</v>
      </c>
      <c r="I183" s="3" t="s">
        <v>12741</v>
      </c>
      <c r="J183" s="3">
        <v>33</v>
      </c>
      <c r="K183" s="3" t="s">
        <v>14183</v>
      </c>
      <c r="L183" s="3" t="s">
        <v>6780</v>
      </c>
      <c r="M183" s="6">
        <v>28510</v>
      </c>
      <c r="N183" s="3">
        <v>44</v>
      </c>
      <c r="O183" s="3">
        <v>500519717</v>
      </c>
      <c r="P183" s="3">
        <v>83833951168</v>
      </c>
      <c r="Q183" s="3"/>
      <c r="R183" s="3" t="s">
        <v>14184</v>
      </c>
      <c r="S183" s="3" t="s">
        <v>2998</v>
      </c>
      <c r="T183" s="3" t="s">
        <v>12723</v>
      </c>
      <c r="U183" s="3"/>
      <c r="V183" s="3" t="s">
        <v>14185</v>
      </c>
      <c r="W183" s="3" t="s">
        <v>4204</v>
      </c>
      <c r="X183" s="3" t="s">
        <v>3508</v>
      </c>
      <c r="Y183" s="3" t="s">
        <v>12736</v>
      </c>
      <c r="Z183" s="3" t="s">
        <v>2543</v>
      </c>
      <c r="AA183" s="3"/>
      <c r="AB183" s="3"/>
      <c r="AC183" s="3" t="s">
        <v>6782</v>
      </c>
      <c r="AD183" s="3">
        <v>1139</v>
      </c>
      <c r="AE183" s="3" t="s">
        <v>6785</v>
      </c>
      <c r="AF183" s="3" t="s">
        <v>6784</v>
      </c>
      <c r="AG183" s="3" t="s">
        <v>6783</v>
      </c>
      <c r="AH183" s="3" t="s">
        <v>6786</v>
      </c>
      <c r="AI183" s="3" t="s">
        <v>6781</v>
      </c>
      <c r="AJ183" s="3" t="s">
        <v>2569</v>
      </c>
      <c r="AK183" s="3" t="s">
        <v>3249</v>
      </c>
      <c r="AL183" s="3" t="s">
        <v>2588</v>
      </c>
      <c r="AM183" s="3">
        <v>1</v>
      </c>
      <c r="AN183" s="3" t="s">
        <v>7216</v>
      </c>
      <c r="AO183" s="3" t="s">
        <v>120</v>
      </c>
      <c r="AP183" s="3"/>
      <c r="AQ183" s="3"/>
      <c r="AS183" s="7" t="s">
        <v>14186</v>
      </c>
    </row>
    <row r="184" spans="1:45" ht="12.5" x14ac:dyDescent="0.25">
      <c r="A184" s="3" t="s">
        <v>12652</v>
      </c>
      <c r="B184" s="21" t="str">
        <f>HYPERLINK("https://gerandofalcoes.my.salesforce.com/0014X00002VKCuEQAX", "0014X00002VKCuEQAX")</f>
        <v>0014X00002VKCuEQAX</v>
      </c>
      <c r="C184" s="3" t="s">
        <v>6791</v>
      </c>
      <c r="D184" s="3" t="s">
        <v>46</v>
      </c>
      <c r="E184" s="21" t="str">
        <f>HYPERLINK("https://gerandofalcoes.my.salesforce.com/0034X0000380O14", "0034X0000380O14")</f>
        <v>0034X0000380O14</v>
      </c>
      <c r="F184" s="3" t="s">
        <v>14187</v>
      </c>
      <c r="G184" s="3" t="s">
        <v>14188</v>
      </c>
      <c r="H184" s="3" t="s">
        <v>2538</v>
      </c>
      <c r="I184" s="3" t="s">
        <v>12741</v>
      </c>
      <c r="J184" s="3"/>
      <c r="K184" s="3" t="s">
        <v>14189</v>
      </c>
      <c r="L184" s="3">
        <v>4998186137</v>
      </c>
      <c r="M184" s="6">
        <v>23918</v>
      </c>
      <c r="N184" s="3">
        <v>57</v>
      </c>
      <c r="O184" s="3">
        <v>1851939</v>
      </c>
      <c r="P184" s="3">
        <v>82484538987</v>
      </c>
      <c r="Q184" s="3"/>
      <c r="R184" s="3"/>
      <c r="S184" s="3" t="s">
        <v>3137</v>
      </c>
      <c r="T184" s="3" t="s">
        <v>12682</v>
      </c>
      <c r="U184" s="3"/>
      <c r="V184" s="3" t="s">
        <v>14190</v>
      </c>
      <c r="W184" s="3" t="s">
        <v>2541</v>
      </c>
      <c r="X184" s="3" t="s">
        <v>2980</v>
      </c>
      <c r="Y184" s="3"/>
      <c r="Z184" s="3" t="s">
        <v>2543</v>
      </c>
      <c r="AA184" s="3" t="s">
        <v>2577</v>
      </c>
      <c r="AB184" s="3" t="s">
        <v>2545</v>
      </c>
      <c r="AC184" s="3" t="s">
        <v>6796</v>
      </c>
      <c r="AD184" s="3">
        <v>1916</v>
      </c>
      <c r="AE184" s="3"/>
      <c r="AF184" s="3"/>
      <c r="AG184" s="3" t="s">
        <v>6797</v>
      </c>
      <c r="AH184" s="3" t="s">
        <v>6799</v>
      </c>
      <c r="AI184" s="3" t="s">
        <v>557</v>
      </c>
      <c r="AJ184" s="3" t="s">
        <v>2569</v>
      </c>
      <c r="AK184" s="3" t="s">
        <v>12828</v>
      </c>
      <c r="AL184" s="3" t="s">
        <v>2550</v>
      </c>
      <c r="AM184" s="3">
        <v>2</v>
      </c>
      <c r="AN184" s="3" t="s">
        <v>7216</v>
      </c>
      <c r="AO184" s="3" t="s">
        <v>120</v>
      </c>
      <c r="AP184" s="7" t="s">
        <v>14191</v>
      </c>
      <c r="AQ184" s="7" t="s">
        <v>14192</v>
      </c>
      <c r="AS184" s="7" t="s">
        <v>14193</v>
      </c>
    </row>
    <row r="185" spans="1:45" ht="12.5" x14ac:dyDescent="0.25">
      <c r="A185" s="3" t="s">
        <v>12652</v>
      </c>
      <c r="B185" s="21" t="str">
        <f>HYPERLINK("https://gerandofalcoes.my.salesforce.com/0014X00002VKCuHQAX", "0014X00002VKCuHQAX")</f>
        <v>0014X00002VKCuHQAX</v>
      </c>
      <c r="C185" s="3" t="s">
        <v>6814</v>
      </c>
      <c r="D185" s="3" t="s">
        <v>46</v>
      </c>
      <c r="E185" s="21" t="str">
        <f>HYPERLINK("https://gerandofalcoes.my.salesforce.com/0034X0000380O1M", "0034X0000380O1M")</f>
        <v>0034X0000380O1M</v>
      </c>
      <c r="F185" s="3" t="s">
        <v>2616</v>
      </c>
      <c r="G185" s="3" t="s">
        <v>14194</v>
      </c>
      <c r="H185" s="3" t="s">
        <v>2538</v>
      </c>
      <c r="I185" s="3" t="s">
        <v>12741</v>
      </c>
      <c r="J185" s="3">
        <v>33</v>
      </c>
      <c r="K185" s="3" t="s">
        <v>14195</v>
      </c>
      <c r="L185" s="3">
        <v>11981114838</v>
      </c>
      <c r="M185" s="6">
        <v>30592</v>
      </c>
      <c r="N185" s="3">
        <v>39</v>
      </c>
      <c r="O185" s="3" t="s">
        <v>14196</v>
      </c>
      <c r="P185" s="3">
        <v>30164430822</v>
      </c>
      <c r="Q185" s="3"/>
      <c r="R185" s="3"/>
      <c r="S185" s="3" t="s">
        <v>3605</v>
      </c>
      <c r="T185" s="3" t="s">
        <v>12682</v>
      </c>
      <c r="U185" s="3"/>
      <c r="V185" s="3" t="s">
        <v>14197</v>
      </c>
      <c r="W185" s="3" t="s">
        <v>2541</v>
      </c>
      <c r="X185" s="3" t="s">
        <v>2980</v>
      </c>
      <c r="Y185" s="3"/>
      <c r="Z185" s="3" t="s">
        <v>2545</v>
      </c>
      <c r="AA185" s="3" t="s">
        <v>2577</v>
      </c>
      <c r="AB185" s="3" t="s">
        <v>2545</v>
      </c>
      <c r="AC185" s="3" t="s">
        <v>14198</v>
      </c>
      <c r="AD185" s="3">
        <v>208</v>
      </c>
      <c r="AE185" s="3"/>
      <c r="AF185" s="3"/>
      <c r="AG185" s="3" t="s">
        <v>14199</v>
      </c>
      <c r="AH185" s="3">
        <v>7114120</v>
      </c>
      <c r="AI185" s="3" t="s">
        <v>101</v>
      </c>
      <c r="AJ185" s="3" t="s">
        <v>2569</v>
      </c>
      <c r="AK185" s="3" t="s">
        <v>3249</v>
      </c>
      <c r="AL185" s="3" t="s">
        <v>2579</v>
      </c>
      <c r="AM185" s="3">
        <v>3</v>
      </c>
      <c r="AN185" s="3" t="s">
        <v>7216</v>
      </c>
      <c r="AO185" s="3" t="s">
        <v>120</v>
      </c>
      <c r="AP185" s="7" t="s">
        <v>14200</v>
      </c>
      <c r="AQ185" s="7" t="s">
        <v>14201</v>
      </c>
      <c r="AS185" s="7" t="s">
        <v>14202</v>
      </c>
    </row>
    <row r="186" spans="1:45" ht="12.5" hidden="1" x14ac:dyDescent="0.25">
      <c r="A186" s="3" t="s">
        <v>12652</v>
      </c>
      <c r="B186" s="21" t="str">
        <f>HYPERLINK("https://gerandofalcoes.my.salesforce.com/0014X00002VKCuIQAX", "0014X00002VKCuIQAX")</f>
        <v>0014X00002VKCuIQAX</v>
      </c>
      <c r="C186" s="3" t="s">
        <v>6827</v>
      </c>
      <c r="D186" s="3" t="s">
        <v>46</v>
      </c>
      <c r="E186" s="21" t="str">
        <f>HYPERLINK("https://gerandofalcoes.my.salesforce.com/0034X0000380O6P", "0034X0000380O6P")</f>
        <v>0034X0000380O6P</v>
      </c>
      <c r="F186" s="3" t="s">
        <v>3652</v>
      </c>
      <c r="G186" s="3" t="s">
        <v>14203</v>
      </c>
      <c r="H186" s="3" t="s">
        <v>2538</v>
      </c>
      <c r="I186" s="3" t="s">
        <v>12741</v>
      </c>
      <c r="J186" s="3">
        <v>33</v>
      </c>
      <c r="K186" s="3" t="s">
        <v>14204</v>
      </c>
      <c r="L186" s="3" t="s">
        <v>14205</v>
      </c>
      <c r="M186" s="6">
        <v>29247</v>
      </c>
      <c r="N186" s="3">
        <v>42</v>
      </c>
      <c r="O186" s="3">
        <v>275389261</v>
      </c>
      <c r="P186" s="3">
        <v>27775834803</v>
      </c>
      <c r="Q186" s="3"/>
      <c r="R186" s="3" t="s">
        <v>12800</v>
      </c>
      <c r="S186" s="3" t="s">
        <v>3605</v>
      </c>
      <c r="T186" s="3" t="s">
        <v>12723</v>
      </c>
      <c r="U186" s="3"/>
      <c r="V186" s="3" t="s">
        <v>14206</v>
      </c>
      <c r="W186" s="3" t="s">
        <v>12664</v>
      </c>
      <c r="X186" s="3" t="s">
        <v>2980</v>
      </c>
      <c r="Y186" s="3" t="s">
        <v>12670</v>
      </c>
      <c r="Z186" s="3" t="s">
        <v>2543</v>
      </c>
      <c r="AA186" s="3" t="s">
        <v>2544</v>
      </c>
      <c r="AB186" s="3" t="s">
        <v>2545</v>
      </c>
      <c r="AC186" s="3" t="s">
        <v>14207</v>
      </c>
      <c r="AD186" s="3" t="s">
        <v>14208</v>
      </c>
      <c r="AE186" s="3"/>
      <c r="AF186" s="3" t="s">
        <v>128</v>
      </c>
      <c r="AG186" s="3" t="s">
        <v>14209</v>
      </c>
      <c r="AH186" s="3" t="s">
        <v>14210</v>
      </c>
      <c r="AI186" s="3" t="s">
        <v>101</v>
      </c>
      <c r="AJ186" s="3" t="s">
        <v>2569</v>
      </c>
      <c r="AK186" s="3" t="s">
        <v>3249</v>
      </c>
      <c r="AL186" s="3" t="s">
        <v>2550</v>
      </c>
      <c r="AM186" s="3">
        <v>3</v>
      </c>
      <c r="AN186" s="3" t="s">
        <v>7216</v>
      </c>
      <c r="AO186" s="3" t="s">
        <v>120</v>
      </c>
      <c r="AP186" s="3"/>
      <c r="AQ186" s="3"/>
      <c r="AS186" s="7" t="s">
        <v>14211</v>
      </c>
    </row>
    <row r="187" spans="1:45" ht="12.5" x14ac:dyDescent="0.25">
      <c r="A187" s="3" t="s">
        <v>12652</v>
      </c>
      <c r="B187" s="21" t="str">
        <f>HYPERLINK("https://gerandofalcoes.my.salesforce.com/0014X00002VKCuJQAX", "0014X00002VKCuJQAX")</f>
        <v>0014X00002VKCuJQAX</v>
      </c>
      <c r="C187" s="3" t="s">
        <v>6840</v>
      </c>
      <c r="D187" s="3" t="s">
        <v>46</v>
      </c>
      <c r="E187" s="21" t="str">
        <f>HYPERLINK("https://gerandofalcoes.my.salesforce.com/0034X0000380O37", "0034X0000380O37")</f>
        <v>0034X0000380O37</v>
      </c>
      <c r="F187" s="3" t="s">
        <v>2715</v>
      </c>
      <c r="G187" s="3" t="s">
        <v>14212</v>
      </c>
      <c r="H187" s="3" t="s">
        <v>2538</v>
      </c>
      <c r="I187" s="3" t="s">
        <v>12741</v>
      </c>
      <c r="J187" s="3">
        <v>33</v>
      </c>
      <c r="K187" s="3" t="s">
        <v>14213</v>
      </c>
      <c r="L187" s="3">
        <v>11967837099</v>
      </c>
      <c r="M187" s="6">
        <v>32299</v>
      </c>
      <c r="N187" s="3">
        <v>34</v>
      </c>
      <c r="O187" s="3" t="s">
        <v>14214</v>
      </c>
      <c r="P187" s="3">
        <v>36394477869</v>
      </c>
      <c r="Q187" s="3"/>
      <c r="R187" s="3"/>
      <c r="S187" s="3" t="s">
        <v>3605</v>
      </c>
      <c r="T187" s="3" t="s">
        <v>12723</v>
      </c>
      <c r="U187" s="3"/>
      <c r="V187" s="3" t="s">
        <v>14215</v>
      </c>
      <c r="W187" s="3" t="s">
        <v>2541</v>
      </c>
      <c r="X187" s="3" t="s">
        <v>2980</v>
      </c>
      <c r="Y187" s="3"/>
      <c r="Z187" s="3" t="s">
        <v>2543</v>
      </c>
      <c r="AA187" s="3" t="s">
        <v>2577</v>
      </c>
      <c r="AB187" s="3" t="s">
        <v>2545</v>
      </c>
      <c r="AC187" s="3" t="s">
        <v>14216</v>
      </c>
      <c r="AD187" s="3">
        <v>56</v>
      </c>
      <c r="AE187" s="3"/>
      <c r="AF187" s="3"/>
      <c r="AG187" s="3" t="s">
        <v>6846</v>
      </c>
      <c r="AH187" s="3">
        <v>5164137</v>
      </c>
      <c r="AI187" s="3" t="s">
        <v>101</v>
      </c>
      <c r="AJ187" s="3" t="s">
        <v>2569</v>
      </c>
      <c r="AK187" s="3" t="s">
        <v>3249</v>
      </c>
      <c r="AL187" s="3" t="s">
        <v>2550</v>
      </c>
      <c r="AM187" s="3">
        <v>5</v>
      </c>
      <c r="AN187" s="3" t="s">
        <v>7216</v>
      </c>
      <c r="AO187" s="3" t="s">
        <v>120</v>
      </c>
      <c r="AP187" s="3"/>
      <c r="AQ187" s="3"/>
      <c r="AS187" s="7" t="s">
        <v>14217</v>
      </c>
    </row>
    <row r="188" spans="1:45" ht="12.5" x14ac:dyDescent="0.25">
      <c r="A188" s="3" t="s">
        <v>12652</v>
      </c>
      <c r="B188" s="7" t="str">
        <f>HYPERLINK("https://gerandofalcoes.my.salesforce.com/0014X00002VKCuKQAX", "0014X00002VKCuKQAX")</f>
        <v>0014X00002VKCuKQAX</v>
      </c>
      <c r="C188" s="3" t="s">
        <v>6858</v>
      </c>
      <c r="D188" s="3" t="s">
        <v>46</v>
      </c>
      <c r="E188" s="21" t="str">
        <f>HYPERLINK("https://gerandofalcoes.my.salesforce.com/0034X0000380O5W", "0034X0000380O5W")</f>
        <v>0034X0000380O5W</v>
      </c>
      <c r="F188" s="3" t="s">
        <v>2773</v>
      </c>
      <c r="G188" s="3" t="s">
        <v>14218</v>
      </c>
      <c r="H188" s="3" t="s">
        <v>2538</v>
      </c>
      <c r="I188" s="3" t="s">
        <v>12741</v>
      </c>
      <c r="J188" s="3">
        <v>33</v>
      </c>
      <c r="K188" s="3" t="s">
        <v>6861</v>
      </c>
      <c r="L188" s="3">
        <v>11975911225</v>
      </c>
      <c r="M188" s="6">
        <v>33027</v>
      </c>
      <c r="N188" s="3">
        <v>32</v>
      </c>
      <c r="O188" s="3">
        <v>474983663</v>
      </c>
      <c r="P188" s="3">
        <v>39585812851</v>
      </c>
      <c r="Q188" s="3"/>
      <c r="R188" s="3"/>
      <c r="S188" s="3" t="s">
        <v>12744</v>
      </c>
      <c r="T188" s="3" t="s">
        <v>12656</v>
      </c>
      <c r="U188" s="3"/>
      <c r="V188" s="3" t="s">
        <v>14219</v>
      </c>
      <c r="W188" s="3" t="s">
        <v>2541</v>
      </c>
      <c r="X188" s="3" t="s">
        <v>2980</v>
      </c>
      <c r="Y188" s="3"/>
      <c r="Z188" s="3" t="s">
        <v>2543</v>
      </c>
      <c r="AA188" s="3" t="s">
        <v>2544</v>
      </c>
      <c r="AB188" s="3" t="s">
        <v>2545</v>
      </c>
      <c r="AC188" s="3" t="s">
        <v>14220</v>
      </c>
      <c r="AD188" s="3">
        <v>97</v>
      </c>
      <c r="AE188" s="3">
        <v>5</v>
      </c>
      <c r="AF188" s="3"/>
      <c r="AG188" s="3" t="s">
        <v>6863</v>
      </c>
      <c r="AH188" s="3">
        <v>2409080</v>
      </c>
      <c r="AI188" s="3" t="s">
        <v>101</v>
      </c>
      <c r="AJ188" s="3" t="s">
        <v>2569</v>
      </c>
      <c r="AK188" s="3" t="s">
        <v>3249</v>
      </c>
      <c r="AL188" s="3" t="s">
        <v>2588</v>
      </c>
      <c r="AM188" s="3">
        <v>2</v>
      </c>
      <c r="AN188" s="3" t="s">
        <v>7216</v>
      </c>
      <c r="AO188" s="3" t="s">
        <v>120</v>
      </c>
      <c r="AP188" s="7" t="s">
        <v>14221</v>
      </c>
      <c r="AQ188" s="7" t="s">
        <v>14222</v>
      </c>
      <c r="AR188" s="3"/>
      <c r="AS188" s="3"/>
    </row>
    <row r="189" spans="1:45" ht="12.5" x14ac:dyDescent="0.25">
      <c r="A189" s="3" t="s">
        <v>12652</v>
      </c>
      <c r="B189" s="21" t="str">
        <f>HYPERLINK("https://gerandofalcoes.my.salesforce.com/0014X00002VKCuLQAX", "0014X00002VKCuLQAX")</f>
        <v>0014X00002VKCuLQAX</v>
      </c>
      <c r="C189" s="3" t="s">
        <v>6871</v>
      </c>
      <c r="D189" s="3" t="s">
        <v>46</v>
      </c>
      <c r="E189" s="21" t="str">
        <f>HYPERLINK("https://gerandofalcoes.my.salesforce.com/0034X0000380O6b", "0034X0000380O6b")</f>
        <v>0034X0000380O6b</v>
      </c>
      <c r="F189" s="3" t="s">
        <v>2773</v>
      </c>
      <c r="G189" s="3" t="s">
        <v>14223</v>
      </c>
      <c r="H189" s="3" t="s">
        <v>2538</v>
      </c>
      <c r="I189" s="3" t="s">
        <v>12741</v>
      </c>
      <c r="J189" s="3">
        <v>33</v>
      </c>
      <c r="K189" s="3" t="s">
        <v>6873</v>
      </c>
      <c r="L189" s="3">
        <v>11930030803</v>
      </c>
      <c r="M189" s="6">
        <v>28945</v>
      </c>
      <c r="N189" s="3">
        <v>43</v>
      </c>
      <c r="O189" s="3">
        <v>395186006</v>
      </c>
      <c r="P189" s="3">
        <v>97317594504</v>
      </c>
      <c r="Q189" s="3"/>
      <c r="R189" s="3"/>
      <c r="S189" s="3" t="s">
        <v>3605</v>
      </c>
      <c r="T189" s="3" t="s">
        <v>12723</v>
      </c>
      <c r="U189" s="3"/>
      <c r="V189" s="3" t="s">
        <v>14224</v>
      </c>
      <c r="W189" s="3" t="s">
        <v>2541</v>
      </c>
      <c r="X189" s="3" t="s">
        <v>2980</v>
      </c>
      <c r="Y189" s="3"/>
      <c r="Z189" s="3" t="s">
        <v>2545</v>
      </c>
      <c r="AA189" s="3" t="s">
        <v>2544</v>
      </c>
      <c r="AB189" s="3" t="s">
        <v>2545</v>
      </c>
      <c r="AC189" s="3" t="s">
        <v>14225</v>
      </c>
      <c r="AD189" s="3">
        <v>246</v>
      </c>
      <c r="AE189" s="3"/>
      <c r="AF189" s="3"/>
      <c r="AG189" s="3" t="s">
        <v>14226</v>
      </c>
      <c r="AH189" s="3">
        <v>8321010</v>
      </c>
      <c r="AI189" s="3" t="s">
        <v>101</v>
      </c>
      <c r="AJ189" s="3" t="s">
        <v>2569</v>
      </c>
      <c r="AK189" s="3" t="s">
        <v>12661</v>
      </c>
      <c r="AL189" s="3" t="s">
        <v>2588</v>
      </c>
      <c r="AM189" s="3">
        <v>2</v>
      </c>
      <c r="AN189" s="3" t="s">
        <v>13118</v>
      </c>
      <c r="AO189" s="3" t="s">
        <v>120</v>
      </c>
      <c r="AP189" s="3"/>
      <c r="AQ189" s="7" t="s">
        <v>6880</v>
      </c>
      <c r="AS189" s="3"/>
    </row>
    <row r="190" spans="1:45" ht="12.5" hidden="1" x14ac:dyDescent="0.25">
      <c r="A190" s="3" t="s">
        <v>12652</v>
      </c>
      <c r="B190" s="21" t="str">
        <f>HYPERLINK("https://gerandofalcoes.my.salesforce.com/0014X00002VKCuMQAX", "0014X00002VKCuMQAX")</f>
        <v>0014X00002VKCuMQAX</v>
      </c>
      <c r="C190" s="3" t="s">
        <v>6882</v>
      </c>
      <c r="D190" s="3" t="s">
        <v>46</v>
      </c>
      <c r="E190" s="21" t="str">
        <f>HYPERLINK("https://gerandofalcoes.my.salesforce.com/0034X0000380O5v", "0034X0000380O5v")</f>
        <v>0034X0000380O5v</v>
      </c>
      <c r="F190" s="3" t="s">
        <v>2773</v>
      </c>
      <c r="G190" s="3" t="s">
        <v>14227</v>
      </c>
      <c r="H190" s="3" t="s">
        <v>2538</v>
      </c>
      <c r="I190" s="3" t="s">
        <v>12741</v>
      </c>
      <c r="J190" s="3">
        <v>33</v>
      </c>
      <c r="K190" s="3" t="s">
        <v>14228</v>
      </c>
      <c r="L190" s="3" t="s">
        <v>14229</v>
      </c>
      <c r="M190" s="8">
        <v>29014</v>
      </c>
      <c r="N190" s="3">
        <v>43</v>
      </c>
      <c r="O190" s="3">
        <v>288950951</v>
      </c>
      <c r="P190" s="3">
        <v>21922523828</v>
      </c>
      <c r="Q190" s="3"/>
      <c r="R190" s="3" t="s">
        <v>2978</v>
      </c>
      <c r="S190" s="3" t="s">
        <v>3417</v>
      </c>
      <c r="T190" s="3" t="s">
        <v>12656</v>
      </c>
      <c r="U190" s="3"/>
      <c r="V190" s="3" t="s">
        <v>14230</v>
      </c>
      <c r="W190" s="3" t="s">
        <v>14231</v>
      </c>
      <c r="X190" s="3" t="s">
        <v>2980</v>
      </c>
      <c r="Y190" s="3" t="s">
        <v>12670</v>
      </c>
      <c r="Z190" s="3" t="s">
        <v>2543</v>
      </c>
      <c r="AA190" s="3" t="s">
        <v>2577</v>
      </c>
      <c r="AB190" s="3" t="s">
        <v>2545</v>
      </c>
      <c r="AC190" s="3" t="s">
        <v>14232</v>
      </c>
      <c r="AD190" s="3">
        <v>58</v>
      </c>
      <c r="AE190" s="3" t="s">
        <v>14233</v>
      </c>
      <c r="AF190" s="3" t="s">
        <v>128</v>
      </c>
      <c r="AG190" s="3" t="s">
        <v>14234</v>
      </c>
      <c r="AH190" s="3" t="s">
        <v>14235</v>
      </c>
      <c r="AI190" s="3" t="s">
        <v>101</v>
      </c>
      <c r="AJ190" s="3" t="s">
        <v>2569</v>
      </c>
      <c r="AK190" s="3" t="s">
        <v>3249</v>
      </c>
      <c r="AL190" s="3" t="s">
        <v>2550</v>
      </c>
      <c r="AM190" s="3">
        <v>2</v>
      </c>
      <c r="AN190" s="3" t="s">
        <v>7216</v>
      </c>
      <c r="AO190" s="3" t="s">
        <v>120</v>
      </c>
      <c r="AP190" s="3"/>
      <c r="AQ190" s="3" t="s">
        <v>14236</v>
      </c>
      <c r="AS190" s="7" t="s">
        <v>14237</v>
      </c>
    </row>
    <row r="191" spans="1:45" ht="12.5" x14ac:dyDescent="0.25">
      <c r="A191" s="3" t="s">
        <v>12652</v>
      </c>
      <c r="B191" s="21" t="str">
        <f>HYPERLINK("https://gerandofalcoes.my.salesforce.com/0014X00002VKCtOQAX", "0014X00002VKCtOQAX")</f>
        <v>0014X00002VKCtOQAX</v>
      </c>
      <c r="C191" s="3" t="s">
        <v>6896</v>
      </c>
      <c r="D191" s="3" t="s">
        <v>46</v>
      </c>
      <c r="E191" s="21" t="str">
        <f>HYPERLINK("https://gerandofalcoes.my.salesforce.com/0034X0000380O5g", "0034X0000380O5g")</f>
        <v>0034X0000380O5g</v>
      </c>
      <c r="F191" s="3" t="s">
        <v>14238</v>
      </c>
      <c r="G191" s="3" t="s">
        <v>14239</v>
      </c>
      <c r="H191" s="3" t="s">
        <v>2538</v>
      </c>
      <c r="I191" s="3" t="s">
        <v>12741</v>
      </c>
      <c r="J191" s="3">
        <v>33</v>
      </c>
      <c r="K191" s="3" t="s">
        <v>14240</v>
      </c>
      <c r="L191" s="3">
        <v>84994543103</v>
      </c>
      <c r="M191" s="6">
        <v>33516</v>
      </c>
      <c r="N191" s="3">
        <v>31</v>
      </c>
      <c r="O191" s="3">
        <v>2438898</v>
      </c>
      <c r="P191" s="3">
        <v>9555189463</v>
      </c>
      <c r="Q191" s="3"/>
      <c r="R191" s="3"/>
      <c r="S191" s="3" t="s">
        <v>3417</v>
      </c>
      <c r="T191" s="3" t="s">
        <v>12723</v>
      </c>
      <c r="U191" s="3"/>
      <c r="V191" s="3" t="s">
        <v>14241</v>
      </c>
      <c r="W191" s="3" t="s">
        <v>2541</v>
      </c>
      <c r="X191" s="3" t="s">
        <v>2980</v>
      </c>
      <c r="Y191" s="3"/>
      <c r="Z191" s="3" t="s">
        <v>2543</v>
      </c>
      <c r="AA191" s="3" t="s">
        <v>2544</v>
      </c>
      <c r="AB191" s="3" t="s">
        <v>2545</v>
      </c>
      <c r="AC191" s="3" t="s">
        <v>14242</v>
      </c>
      <c r="AD191" s="3">
        <v>481</v>
      </c>
      <c r="AE191" s="3"/>
      <c r="AF191" s="3"/>
      <c r="AG191" s="3" t="s">
        <v>14243</v>
      </c>
      <c r="AH191" s="3">
        <v>59460000</v>
      </c>
      <c r="AI191" s="3" t="s">
        <v>195</v>
      </c>
      <c r="AJ191" s="3" t="s">
        <v>2569</v>
      </c>
      <c r="AK191" s="3" t="s">
        <v>12828</v>
      </c>
      <c r="AL191" s="3" t="s">
        <v>2550</v>
      </c>
      <c r="AM191" s="3">
        <v>2</v>
      </c>
      <c r="AN191" s="3" t="s">
        <v>7216</v>
      </c>
      <c r="AO191" s="3" t="s">
        <v>120</v>
      </c>
      <c r="AP191" s="3"/>
      <c r="AQ191" s="3" t="s">
        <v>14244</v>
      </c>
      <c r="AS191" s="7" t="s">
        <v>14245</v>
      </c>
    </row>
    <row r="192" spans="1:45" ht="12.5" hidden="1" x14ac:dyDescent="0.25">
      <c r="A192" s="3" t="s">
        <v>12652</v>
      </c>
      <c r="B192" s="7" t="str">
        <f>HYPERLINK("https://gerandofalcoes.my.salesforce.com/0014X00002VKCtRQAX", "0014X00002VKCtRQAX")</f>
        <v>0014X00002VKCtRQAX</v>
      </c>
      <c r="C192" s="3" t="s">
        <v>6918</v>
      </c>
      <c r="D192" s="3" t="s">
        <v>46</v>
      </c>
      <c r="E192" s="21" t="str">
        <f>HYPERLINK("https://gerandofalcoes.my.salesforce.com/0034X0000380O2C", "0034X0000380O2C")</f>
        <v>0034X0000380O2C</v>
      </c>
      <c r="F192" s="3" t="s">
        <v>14246</v>
      </c>
      <c r="G192" s="3" t="s">
        <v>14247</v>
      </c>
      <c r="H192" s="3" t="s">
        <v>2538</v>
      </c>
      <c r="I192" s="3" t="s">
        <v>12741</v>
      </c>
      <c r="J192" s="3">
        <v>33</v>
      </c>
      <c r="K192" s="3" t="s">
        <v>6922</v>
      </c>
      <c r="L192" s="3" t="s">
        <v>6923</v>
      </c>
      <c r="M192" s="6">
        <v>33432</v>
      </c>
      <c r="N192" s="3">
        <v>31</v>
      </c>
      <c r="O192" s="3">
        <v>2370904</v>
      </c>
      <c r="P192" s="3">
        <v>9582589450</v>
      </c>
      <c r="Q192" s="3"/>
      <c r="R192" s="3" t="s">
        <v>14248</v>
      </c>
      <c r="S192" s="3" t="s">
        <v>2998</v>
      </c>
      <c r="T192" s="3" t="s">
        <v>12656</v>
      </c>
      <c r="U192" s="3"/>
      <c r="V192" s="3" t="s">
        <v>14249</v>
      </c>
      <c r="W192" s="3" t="s">
        <v>12664</v>
      </c>
      <c r="X192" s="3" t="s">
        <v>2980</v>
      </c>
      <c r="Y192" s="3" t="s">
        <v>12658</v>
      </c>
      <c r="Z192" s="3" t="s">
        <v>2543</v>
      </c>
      <c r="AA192" s="3" t="s">
        <v>2544</v>
      </c>
      <c r="AB192" s="3" t="s">
        <v>2543</v>
      </c>
      <c r="AC192" s="3" t="s">
        <v>14250</v>
      </c>
      <c r="AD192" s="3">
        <v>50</v>
      </c>
      <c r="AE192" s="3"/>
      <c r="AF192" s="3" t="s">
        <v>6725</v>
      </c>
      <c r="AG192" s="3" t="s">
        <v>14251</v>
      </c>
      <c r="AH192" s="3" t="s">
        <v>6926</v>
      </c>
      <c r="AI192" s="3" t="s">
        <v>195</v>
      </c>
      <c r="AJ192" s="3" t="s">
        <v>2569</v>
      </c>
      <c r="AK192" s="3" t="s">
        <v>12828</v>
      </c>
      <c r="AL192" s="3" t="s">
        <v>2588</v>
      </c>
      <c r="AM192" s="3">
        <v>2</v>
      </c>
      <c r="AN192" s="3" t="s">
        <v>7216</v>
      </c>
      <c r="AO192" s="3" t="s">
        <v>120</v>
      </c>
      <c r="AP192" s="3"/>
      <c r="AQ192" s="7" t="s">
        <v>14252</v>
      </c>
      <c r="AR192" s="3"/>
      <c r="AS192" s="7" t="s">
        <v>14253</v>
      </c>
    </row>
    <row r="193" spans="1:45" ht="12.5" hidden="1" x14ac:dyDescent="0.25">
      <c r="A193" s="3" t="s">
        <v>12652</v>
      </c>
      <c r="B193" s="7" t="str">
        <f>HYPERLINK("https://gerandofalcoes.my.salesforce.com/0014X00002VKCtTQAX", "0014X00002VKCtTQAX")</f>
        <v>0014X00002VKCtTQAX</v>
      </c>
      <c r="C193" s="3" t="s">
        <v>6936</v>
      </c>
      <c r="D193" s="3" t="s">
        <v>46</v>
      </c>
      <c r="E193" s="21" t="str">
        <f>HYPERLINK("https://gerandofalcoes.my.salesforce.com/0034X0000380O2w", "0034X0000380O2w")</f>
        <v>0034X0000380O2w</v>
      </c>
      <c r="F193" s="3" t="s">
        <v>3504</v>
      </c>
      <c r="G193" s="3" t="s">
        <v>14254</v>
      </c>
      <c r="H193" s="3" t="s">
        <v>2538</v>
      </c>
      <c r="I193" s="3" t="s">
        <v>12741</v>
      </c>
      <c r="J193" s="3">
        <v>33</v>
      </c>
      <c r="K193" s="3" t="s">
        <v>14255</v>
      </c>
      <c r="L193" s="3" t="s">
        <v>6941</v>
      </c>
      <c r="M193" s="6">
        <v>22748</v>
      </c>
      <c r="N193" s="3">
        <v>60</v>
      </c>
      <c r="O193" s="3">
        <v>398466</v>
      </c>
      <c r="P193" s="3">
        <v>30120160404</v>
      </c>
      <c r="Q193" s="3"/>
      <c r="R193" s="3" t="s">
        <v>14256</v>
      </c>
      <c r="S193" s="3" t="s">
        <v>3137</v>
      </c>
      <c r="T193" s="3" t="s">
        <v>12723</v>
      </c>
      <c r="U193" s="3"/>
      <c r="V193" s="3" t="s">
        <v>14257</v>
      </c>
      <c r="W193" s="3" t="s">
        <v>12664</v>
      </c>
      <c r="X193" s="3" t="s">
        <v>2980</v>
      </c>
      <c r="Y193" s="3" t="s">
        <v>12670</v>
      </c>
      <c r="Z193" s="3" t="s">
        <v>2543</v>
      </c>
      <c r="AA193" s="3" t="s">
        <v>2737</v>
      </c>
      <c r="AB193" s="3" t="s">
        <v>2543</v>
      </c>
      <c r="AC193" s="3" t="s">
        <v>14258</v>
      </c>
      <c r="AD193" s="3">
        <v>276</v>
      </c>
      <c r="AE193" s="3"/>
      <c r="AF193" s="3" t="s">
        <v>6725</v>
      </c>
      <c r="AG193" s="3" t="s">
        <v>14259</v>
      </c>
      <c r="AH193" s="3" t="s">
        <v>14260</v>
      </c>
      <c r="AI193" s="3" t="s">
        <v>195</v>
      </c>
      <c r="AJ193" s="3" t="s">
        <v>2741</v>
      </c>
      <c r="AK193" s="3" t="s">
        <v>12828</v>
      </c>
      <c r="AL193" s="3" t="s">
        <v>2550</v>
      </c>
      <c r="AM193" s="3">
        <v>3</v>
      </c>
      <c r="AN193" s="3" t="s">
        <v>7216</v>
      </c>
      <c r="AO193" s="3" t="s">
        <v>120</v>
      </c>
      <c r="AP193" s="7" t="s">
        <v>14261</v>
      </c>
      <c r="AQ193" s="7" t="s">
        <v>14262</v>
      </c>
      <c r="AR193" s="3"/>
      <c r="AS193" s="7" t="s">
        <v>14263</v>
      </c>
    </row>
    <row r="194" spans="1:45" ht="12.5" x14ac:dyDescent="0.25">
      <c r="A194" s="3" t="s">
        <v>12652</v>
      </c>
      <c r="B194" s="7" t="str">
        <f>HYPERLINK("https://gerandofalcoes.my.salesforce.com/0014X00002VKCtUQAX", "0014X00002VKCtUQAX")</f>
        <v>0014X00002VKCtUQAX</v>
      </c>
      <c r="C194" s="3" t="s">
        <v>6955</v>
      </c>
      <c r="D194" s="3" t="s">
        <v>46</v>
      </c>
      <c r="E194" s="21" t="str">
        <f>HYPERLINK("https://gerandofalcoes.my.salesforce.com/0034X0000380O2O", "0034X0000380O2O")</f>
        <v>0034X0000380O2O</v>
      </c>
      <c r="F194" s="3" t="s">
        <v>14264</v>
      </c>
      <c r="G194" s="3" t="s">
        <v>14212</v>
      </c>
      <c r="H194" s="3" t="s">
        <v>2538</v>
      </c>
      <c r="I194" s="3" t="s">
        <v>12741</v>
      </c>
      <c r="J194" s="3">
        <v>33</v>
      </c>
      <c r="K194" s="3" t="s">
        <v>6959</v>
      </c>
      <c r="L194" s="3">
        <v>84991515376</v>
      </c>
      <c r="M194" s="6">
        <v>32476</v>
      </c>
      <c r="N194" s="3">
        <v>34</v>
      </c>
      <c r="O194" s="3">
        <v>2326055</v>
      </c>
      <c r="P194" s="3">
        <v>7175182481</v>
      </c>
      <c r="Q194" s="3"/>
      <c r="R194" s="3"/>
      <c r="S194" s="3" t="s">
        <v>2998</v>
      </c>
      <c r="T194" s="3" t="s">
        <v>12723</v>
      </c>
      <c r="U194" s="3"/>
      <c r="V194" s="3" t="s">
        <v>14265</v>
      </c>
      <c r="W194" s="3" t="s">
        <v>2576</v>
      </c>
      <c r="X194" s="3" t="s">
        <v>2980</v>
      </c>
      <c r="Y194" s="3"/>
      <c r="Z194" s="3" t="s">
        <v>2543</v>
      </c>
      <c r="AA194" s="3"/>
      <c r="AB194" s="3"/>
      <c r="AC194" s="3" t="s">
        <v>14266</v>
      </c>
      <c r="AD194" s="3">
        <v>395</v>
      </c>
      <c r="AE194" s="3"/>
      <c r="AF194" s="3"/>
      <c r="AG194" s="3" t="s">
        <v>14267</v>
      </c>
      <c r="AH194" s="3" t="s">
        <v>14268</v>
      </c>
      <c r="AI194" s="3" t="s">
        <v>195</v>
      </c>
      <c r="AJ194" s="3" t="s">
        <v>2569</v>
      </c>
      <c r="AK194" s="3" t="s">
        <v>12729</v>
      </c>
      <c r="AL194" s="3" t="s">
        <v>2588</v>
      </c>
      <c r="AM194" s="3">
        <v>3</v>
      </c>
      <c r="AN194" s="3" t="s">
        <v>14269</v>
      </c>
      <c r="AO194" s="3" t="s">
        <v>120</v>
      </c>
      <c r="AP194" s="3"/>
      <c r="AQ194" s="7" t="s">
        <v>14270</v>
      </c>
      <c r="AR194" s="3"/>
      <c r="AS194" s="3"/>
    </row>
    <row r="195" spans="1:45" ht="12.5" hidden="1" x14ac:dyDescent="0.25">
      <c r="A195" s="3" t="s">
        <v>12652</v>
      </c>
      <c r="B195" s="7" t="str">
        <f>HYPERLINK("https://gerandofalcoes.my.salesforce.com/0014X00002VKCuNQAX", "0014X00002VKCuNQAX")</f>
        <v>0014X00002VKCuNQAX</v>
      </c>
      <c r="C195" s="3" t="s">
        <v>6965</v>
      </c>
      <c r="D195" s="3" t="s">
        <v>46</v>
      </c>
      <c r="E195" s="21" t="str">
        <f>HYPERLINK("https://gerandofalcoes.my.salesforce.com/0034X0000380O1E", "0034X0000380O1E")</f>
        <v>0034X0000380O1E</v>
      </c>
      <c r="F195" s="3" t="s">
        <v>2636</v>
      </c>
      <c r="G195" s="3" t="s">
        <v>14271</v>
      </c>
      <c r="H195" s="3" t="s">
        <v>2538</v>
      </c>
      <c r="I195" s="3" t="s">
        <v>12741</v>
      </c>
      <c r="J195" s="3">
        <v>33</v>
      </c>
      <c r="K195" s="3" t="s">
        <v>14272</v>
      </c>
      <c r="L195" s="3" t="s">
        <v>14273</v>
      </c>
      <c r="M195" s="6">
        <v>26808</v>
      </c>
      <c r="N195" s="3">
        <v>49</v>
      </c>
      <c r="O195" s="3">
        <v>233847431</v>
      </c>
      <c r="P195" s="3">
        <v>15155069831</v>
      </c>
      <c r="Q195" s="3"/>
      <c r="R195" s="3" t="s">
        <v>12800</v>
      </c>
      <c r="S195" s="3" t="s">
        <v>12744</v>
      </c>
      <c r="T195" s="3" t="s">
        <v>12656</v>
      </c>
      <c r="U195" s="3"/>
      <c r="V195" s="3" t="s">
        <v>14274</v>
      </c>
      <c r="W195" s="3" t="s">
        <v>12664</v>
      </c>
      <c r="X195" s="3" t="s">
        <v>2980</v>
      </c>
      <c r="Y195" s="3" t="s">
        <v>14275</v>
      </c>
      <c r="Z195" s="3" t="s">
        <v>2543</v>
      </c>
      <c r="AA195" s="3"/>
      <c r="AB195" s="3"/>
      <c r="AC195" s="3" t="s">
        <v>14276</v>
      </c>
      <c r="AD195" s="3">
        <v>560</v>
      </c>
      <c r="AE195" s="3" t="s">
        <v>14277</v>
      </c>
      <c r="AF195" s="3" t="s">
        <v>128</v>
      </c>
      <c r="AG195" s="3" t="s">
        <v>14278</v>
      </c>
      <c r="AH195" s="3" t="s">
        <v>14279</v>
      </c>
      <c r="AI195" s="3" t="s">
        <v>101</v>
      </c>
      <c r="AJ195" s="3" t="s">
        <v>2569</v>
      </c>
      <c r="AK195" s="3" t="s">
        <v>13145</v>
      </c>
      <c r="AL195" s="3" t="s">
        <v>2550</v>
      </c>
      <c r="AM195" s="3">
        <v>4</v>
      </c>
      <c r="AN195" s="3" t="s">
        <v>7216</v>
      </c>
      <c r="AO195" s="3" t="s">
        <v>120</v>
      </c>
      <c r="AP195" s="3" t="s">
        <v>14280</v>
      </c>
      <c r="AQ195" s="7" t="s">
        <v>14281</v>
      </c>
      <c r="AR195" s="3"/>
      <c r="AS195" s="7" t="s">
        <v>14282</v>
      </c>
    </row>
    <row r="196" spans="1:45" ht="12.5" x14ac:dyDescent="0.25">
      <c r="A196" s="3" t="s">
        <v>12652</v>
      </c>
      <c r="B196" s="7" t="str">
        <f>HYPERLINK("https://gerandofalcoes.my.salesforce.com/0014X00002VKCuPQAX", "0014X00002VKCuPQAX")</f>
        <v>0014X00002VKCuPQAX</v>
      </c>
      <c r="C196" s="3" t="s">
        <v>6984</v>
      </c>
      <c r="D196" s="3" t="s">
        <v>46</v>
      </c>
      <c r="E196" s="21" t="str">
        <f>HYPERLINK("https://gerandofalcoes.my.salesforce.com/0034X0000380O4Z", "0034X0000380O4Z")</f>
        <v>0034X0000380O4Z</v>
      </c>
      <c r="F196" s="3" t="s">
        <v>14283</v>
      </c>
      <c r="G196" s="3" t="s">
        <v>14284</v>
      </c>
      <c r="H196" s="3" t="s">
        <v>2538</v>
      </c>
      <c r="I196" s="3" t="s">
        <v>12741</v>
      </c>
      <c r="J196" s="3">
        <v>33</v>
      </c>
      <c r="K196" s="3" t="s">
        <v>14285</v>
      </c>
      <c r="L196" s="3">
        <v>11940308902</v>
      </c>
      <c r="M196" s="6">
        <v>27942</v>
      </c>
      <c r="N196" s="3">
        <v>46</v>
      </c>
      <c r="O196" s="3">
        <v>262120550</v>
      </c>
      <c r="P196" s="3">
        <v>25043875857</v>
      </c>
      <c r="Q196" s="3"/>
      <c r="R196" s="3"/>
      <c r="S196" s="3" t="s">
        <v>3137</v>
      </c>
      <c r="T196" s="3" t="s">
        <v>12656</v>
      </c>
      <c r="U196" s="3"/>
      <c r="V196" s="3" t="s">
        <v>14286</v>
      </c>
      <c r="W196" s="3" t="s">
        <v>2541</v>
      </c>
      <c r="X196" s="3" t="s">
        <v>2980</v>
      </c>
      <c r="Y196" s="3"/>
      <c r="Z196" s="3" t="s">
        <v>2543</v>
      </c>
      <c r="AA196" s="3" t="s">
        <v>2544</v>
      </c>
      <c r="AB196" s="3" t="s">
        <v>2545</v>
      </c>
      <c r="AC196" s="3" t="s">
        <v>14287</v>
      </c>
      <c r="AD196" s="3">
        <v>122</v>
      </c>
      <c r="AE196" s="3"/>
      <c r="AF196" s="3"/>
      <c r="AG196" s="3" t="s">
        <v>14288</v>
      </c>
      <c r="AH196" s="3" t="s">
        <v>14289</v>
      </c>
      <c r="AI196" s="3" t="s">
        <v>101</v>
      </c>
      <c r="AJ196" s="3" t="s">
        <v>2569</v>
      </c>
      <c r="AK196" s="3" t="s">
        <v>3249</v>
      </c>
      <c r="AL196" s="3" t="s">
        <v>2579</v>
      </c>
      <c r="AM196" s="3">
        <v>3</v>
      </c>
      <c r="AN196" s="3" t="s">
        <v>7216</v>
      </c>
      <c r="AO196" s="3" t="s">
        <v>120</v>
      </c>
      <c r="AP196" s="7" t="s">
        <v>14290</v>
      </c>
      <c r="AQ196" s="7" t="s">
        <v>14291</v>
      </c>
      <c r="AR196" s="3"/>
      <c r="AS196" s="7" t="s">
        <v>14292</v>
      </c>
    </row>
    <row r="197" spans="1:45" ht="12.5" hidden="1" x14ac:dyDescent="0.25">
      <c r="A197" s="3" t="s">
        <v>12652</v>
      </c>
      <c r="B197" s="7" t="str">
        <f>HYPERLINK("https://gerandofalcoes.my.salesforce.com/0014X00002VKCuRQAX", "0014X00002VKCuRQAX")</f>
        <v>0014X00002VKCuRQAX</v>
      </c>
      <c r="C197" s="3" t="s">
        <v>7001</v>
      </c>
      <c r="D197" s="3" t="s">
        <v>46</v>
      </c>
      <c r="E197" s="21" t="str">
        <f>HYPERLINK("https://gerandofalcoes.my.salesforce.com/0034X0000380O4n", "0034X0000380O4n")</f>
        <v>0034X0000380O4n</v>
      </c>
      <c r="F197" s="3" t="s">
        <v>14293</v>
      </c>
      <c r="G197" s="3" t="s">
        <v>14294</v>
      </c>
      <c r="H197" s="3" t="s">
        <v>2538</v>
      </c>
      <c r="I197" s="3" t="s">
        <v>12741</v>
      </c>
      <c r="J197" s="3">
        <v>33</v>
      </c>
      <c r="K197" s="3" t="s">
        <v>7004</v>
      </c>
      <c r="L197" s="3" t="s">
        <v>7005</v>
      </c>
      <c r="M197" s="8">
        <v>29571</v>
      </c>
      <c r="N197" s="3">
        <v>42</v>
      </c>
      <c r="O197" s="3" t="s">
        <v>14295</v>
      </c>
      <c r="P197" s="3">
        <v>28607351869</v>
      </c>
      <c r="Q197" s="3"/>
      <c r="R197" s="3" t="s">
        <v>14248</v>
      </c>
      <c r="S197" s="3" t="s">
        <v>3137</v>
      </c>
      <c r="T197" s="3" t="s">
        <v>12682</v>
      </c>
      <c r="U197" s="3"/>
      <c r="V197" s="3" t="s">
        <v>14296</v>
      </c>
      <c r="W197" s="3" t="s">
        <v>12664</v>
      </c>
      <c r="X197" s="3" t="s">
        <v>2980</v>
      </c>
      <c r="Y197" s="3" t="s">
        <v>12684</v>
      </c>
      <c r="Z197" s="3" t="s">
        <v>2543</v>
      </c>
      <c r="AA197" s="3"/>
      <c r="AB197" s="3"/>
      <c r="AC197" s="3" t="s">
        <v>14297</v>
      </c>
      <c r="AD197" s="3">
        <v>169</v>
      </c>
      <c r="AE197" s="3" t="s">
        <v>673</v>
      </c>
      <c r="AF197" s="3" t="s">
        <v>14298</v>
      </c>
      <c r="AG197" s="3" t="s">
        <v>4026</v>
      </c>
      <c r="AH197" s="3" t="s">
        <v>14299</v>
      </c>
      <c r="AI197" s="3" t="s">
        <v>101</v>
      </c>
      <c r="AJ197" s="3" t="s">
        <v>2569</v>
      </c>
      <c r="AK197" s="3" t="s">
        <v>12828</v>
      </c>
      <c r="AL197" s="3" t="s">
        <v>2550</v>
      </c>
      <c r="AM197" s="3">
        <v>1</v>
      </c>
      <c r="AN197" s="3" t="s">
        <v>7216</v>
      </c>
      <c r="AO197" s="3" t="s">
        <v>120</v>
      </c>
      <c r="AP197" s="7" t="s">
        <v>14300</v>
      </c>
      <c r="AQ197" s="7" t="s">
        <v>14301</v>
      </c>
      <c r="AR197" s="3"/>
      <c r="AS197" s="7" t="s">
        <v>14302</v>
      </c>
    </row>
    <row r="198" spans="1:45" ht="12.5" hidden="1" x14ac:dyDescent="0.25">
      <c r="A198" s="3" t="s">
        <v>12652</v>
      </c>
      <c r="B198" s="7" t="str">
        <f>HYPERLINK("https://gerandofalcoes.my.salesforce.com/0014X00002VKCuSQAX", "0014X00002VKCuSQAX")</f>
        <v>0014X00002VKCuSQAX</v>
      </c>
      <c r="C198" s="3" t="s">
        <v>7024</v>
      </c>
      <c r="D198" s="3" t="s">
        <v>46</v>
      </c>
      <c r="E198" s="21" t="str">
        <f>HYPERLINK("https://gerandofalcoes.my.salesforce.com/0034X0000380O2Y", "0034X0000380O2Y")</f>
        <v>0034X0000380O2Y</v>
      </c>
      <c r="F198" s="3" t="s">
        <v>2975</v>
      </c>
      <c r="G198" s="3" t="s">
        <v>14303</v>
      </c>
      <c r="H198" s="3" t="s">
        <v>2538</v>
      </c>
      <c r="I198" s="3" t="s">
        <v>12741</v>
      </c>
      <c r="J198" s="3">
        <v>33</v>
      </c>
      <c r="K198" s="3" t="s">
        <v>14304</v>
      </c>
      <c r="L198" s="3" t="s">
        <v>7028</v>
      </c>
      <c r="M198" s="6">
        <v>32056</v>
      </c>
      <c r="N198" s="3">
        <v>35</v>
      </c>
      <c r="O198" s="3">
        <v>300968000</v>
      </c>
      <c r="P198" s="3">
        <v>23053196816</v>
      </c>
      <c r="Q198" s="3"/>
      <c r="R198" s="3" t="s">
        <v>12800</v>
      </c>
      <c r="S198" s="3" t="s">
        <v>2998</v>
      </c>
      <c r="T198" s="3" t="s">
        <v>12656</v>
      </c>
      <c r="U198" s="3"/>
      <c r="V198" s="3" t="s">
        <v>14305</v>
      </c>
      <c r="W198" s="3" t="s">
        <v>12664</v>
      </c>
      <c r="X198" s="3" t="s">
        <v>2980</v>
      </c>
      <c r="Y198" s="3" t="s">
        <v>12670</v>
      </c>
      <c r="Z198" s="3" t="s">
        <v>2543</v>
      </c>
      <c r="AA198" s="3" t="s">
        <v>2544</v>
      </c>
      <c r="AB198" s="3" t="s">
        <v>2545</v>
      </c>
      <c r="AC198" s="3" t="s">
        <v>7029</v>
      </c>
      <c r="AD198" s="3">
        <v>248</v>
      </c>
      <c r="AE198" s="3" t="s">
        <v>1539</v>
      </c>
      <c r="AF198" s="3" t="s">
        <v>128</v>
      </c>
      <c r="AG198" s="3" t="s">
        <v>7030</v>
      </c>
      <c r="AH198" s="3" t="s">
        <v>7031</v>
      </c>
      <c r="AI198" s="3" t="s">
        <v>101</v>
      </c>
      <c r="AJ198" s="3" t="s">
        <v>2741</v>
      </c>
      <c r="AK198" s="3" t="s">
        <v>14100</v>
      </c>
      <c r="AL198" s="3" t="s">
        <v>2588</v>
      </c>
      <c r="AM198" s="3">
        <v>4</v>
      </c>
      <c r="AN198" s="3" t="s">
        <v>7216</v>
      </c>
      <c r="AO198" s="3" t="s">
        <v>120</v>
      </c>
      <c r="AP198" s="7" t="s">
        <v>14306</v>
      </c>
      <c r="AQ198" s="7" t="s">
        <v>14307</v>
      </c>
      <c r="AR198" s="3"/>
      <c r="AS198" s="7" t="s">
        <v>14308</v>
      </c>
    </row>
    <row r="199" spans="1:45" ht="12.5" hidden="1" x14ac:dyDescent="0.25">
      <c r="A199" s="3" t="s">
        <v>12652</v>
      </c>
      <c r="B199" s="7" t="str">
        <f>HYPERLINK("https://gerandofalcoes.my.salesforce.com/0014X00002VKCuTQAX", "0014X00002VKCuTQAX")</f>
        <v>0014X00002VKCuTQAX</v>
      </c>
      <c r="C199" s="3" t="s">
        <v>7042</v>
      </c>
      <c r="D199" s="3" t="s">
        <v>46</v>
      </c>
      <c r="E199" s="21" t="str">
        <f>HYPERLINK("https://gerandofalcoes.my.salesforce.com/0034X0000380O1m", "0034X0000380O1m")</f>
        <v>0034X0000380O1m</v>
      </c>
      <c r="F199" s="3" t="s">
        <v>14309</v>
      </c>
      <c r="G199" s="3" t="s">
        <v>14310</v>
      </c>
      <c r="H199" s="3" t="s">
        <v>2538</v>
      </c>
      <c r="I199" s="3" t="s">
        <v>12741</v>
      </c>
      <c r="J199" s="3">
        <v>33</v>
      </c>
      <c r="K199" s="3" t="s">
        <v>14311</v>
      </c>
      <c r="L199" s="3" t="s">
        <v>14312</v>
      </c>
      <c r="M199" s="6">
        <v>32310</v>
      </c>
      <c r="N199" s="3">
        <v>34</v>
      </c>
      <c r="O199" s="3">
        <v>440161642</v>
      </c>
      <c r="P199" s="3">
        <v>36561683854</v>
      </c>
      <c r="Q199" s="3"/>
      <c r="R199" s="3" t="s">
        <v>14313</v>
      </c>
      <c r="S199" s="3" t="s">
        <v>2998</v>
      </c>
      <c r="T199" s="3" t="s">
        <v>12682</v>
      </c>
      <c r="U199" s="3"/>
      <c r="V199" s="3" t="s">
        <v>14314</v>
      </c>
      <c r="W199" s="3" t="s">
        <v>12664</v>
      </c>
      <c r="X199" s="3" t="s">
        <v>3508</v>
      </c>
      <c r="Y199" s="3" t="s">
        <v>12670</v>
      </c>
      <c r="Z199" s="3" t="s">
        <v>2543</v>
      </c>
      <c r="AA199" s="3" t="s">
        <v>2577</v>
      </c>
      <c r="AB199" s="3" t="s">
        <v>2545</v>
      </c>
      <c r="AC199" s="3" t="s">
        <v>14315</v>
      </c>
      <c r="AD199" s="3">
        <v>176</v>
      </c>
      <c r="AE199" s="3"/>
      <c r="AF199" s="3" t="s">
        <v>128</v>
      </c>
      <c r="AG199" s="3" t="s">
        <v>7049</v>
      </c>
      <c r="AH199" s="3" t="s">
        <v>7050</v>
      </c>
      <c r="AI199" s="3" t="s">
        <v>101</v>
      </c>
      <c r="AJ199" s="3" t="s">
        <v>2569</v>
      </c>
      <c r="AK199" s="3" t="s">
        <v>12828</v>
      </c>
      <c r="AL199" s="3" t="s">
        <v>2550</v>
      </c>
      <c r="AM199" s="3">
        <v>4</v>
      </c>
      <c r="AN199" s="3" t="s">
        <v>7216</v>
      </c>
      <c r="AO199" s="3" t="s">
        <v>120</v>
      </c>
      <c r="AP199" s="7" t="s">
        <v>14316</v>
      </c>
      <c r="AQ199" s="7" t="s">
        <v>14317</v>
      </c>
      <c r="AR199" s="3"/>
      <c r="AS199" s="7" t="s">
        <v>14318</v>
      </c>
    </row>
    <row r="200" spans="1:45" ht="12.5" hidden="1" x14ac:dyDescent="0.25">
      <c r="A200" s="3" t="s">
        <v>12652</v>
      </c>
      <c r="B200" s="7" t="str">
        <f>HYPERLINK("https://gerandofalcoes.my.salesforce.com/0014X00002VKCuUQAX", "0014X00002VKCuUQAX")</f>
        <v>0014X00002VKCuUQAX</v>
      </c>
      <c r="C200" s="3" t="s">
        <v>7060</v>
      </c>
      <c r="D200" s="3" t="s">
        <v>46</v>
      </c>
      <c r="E200" s="21" t="str">
        <f>HYPERLINK("https://gerandofalcoes.my.salesforce.com/0034X0000380O2i", "0034X0000380O2i")</f>
        <v>0034X0000380O2i</v>
      </c>
      <c r="F200" s="3" t="s">
        <v>14309</v>
      </c>
      <c r="G200" s="3" t="s">
        <v>14319</v>
      </c>
      <c r="H200" s="3" t="s">
        <v>2538</v>
      </c>
      <c r="I200" s="3" t="s">
        <v>12741</v>
      </c>
      <c r="J200" s="3">
        <v>33</v>
      </c>
      <c r="K200" s="3" t="s">
        <v>14320</v>
      </c>
      <c r="L200" s="3" t="s">
        <v>14321</v>
      </c>
      <c r="M200" s="8">
        <v>30586</v>
      </c>
      <c r="N200" s="3">
        <v>39</v>
      </c>
      <c r="O200" s="3">
        <v>41678785</v>
      </c>
      <c r="P200" s="3">
        <v>32050083831</v>
      </c>
      <c r="Q200" s="3"/>
      <c r="R200" s="3" t="s">
        <v>14322</v>
      </c>
      <c r="S200" s="3" t="s">
        <v>3417</v>
      </c>
      <c r="T200" s="3" t="s">
        <v>12682</v>
      </c>
      <c r="U200" s="3"/>
      <c r="V200" s="3" t="s">
        <v>14323</v>
      </c>
      <c r="W200" s="3" t="s">
        <v>12664</v>
      </c>
      <c r="X200" s="3" t="s">
        <v>2980</v>
      </c>
      <c r="Y200" s="3" t="s">
        <v>12670</v>
      </c>
      <c r="Z200" s="3" t="s">
        <v>2543</v>
      </c>
      <c r="AA200" s="3" t="s">
        <v>2577</v>
      </c>
      <c r="AB200" s="3" t="s">
        <v>2545</v>
      </c>
      <c r="AC200" s="3" t="s">
        <v>14324</v>
      </c>
      <c r="AD200" s="3">
        <v>230</v>
      </c>
      <c r="AE200" s="3" t="s">
        <v>14325</v>
      </c>
      <c r="AF200" s="3" t="s">
        <v>443</v>
      </c>
      <c r="AG200" s="3" t="s">
        <v>14326</v>
      </c>
      <c r="AH200" s="3" t="s">
        <v>14327</v>
      </c>
      <c r="AI200" s="3" t="s">
        <v>101</v>
      </c>
      <c r="AJ200" s="3" t="s">
        <v>2548</v>
      </c>
      <c r="AK200" s="3" t="s">
        <v>12729</v>
      </c>
      <c r="AL200" s="3" t="s">
        <v>2550</v>
      </c>
      <c r="AM200" s="3">
        <v>4</v>
      </c>
      <c r="AN200" s="3" t="s">
        <v>7216</v>
      </c>
      <c r="AO200" s="3" t="s">
        <v>120</v>
      </c>
      <c r="AP200" s="3"/>
      <c r="AQ200" s="3" t="s">
        <v>14328</v>
      </c>
      <c r="AR200" s="3"/>
      <c r="AS200" s="7" t="s">
        <v>14329</v>
      </c>
    </row>
    <row r="201" spans="1:45" ht="12.5" hidden="1" x14ac:dyDescent="0.25">
      <c r="A201" s="3" t="s">
        <v>12652</v>
      </c>
      <c r="B201" s="7" t="str">
        <f>HYPERLINK("https://gerandofalcoes.my.salesforce.com/0014X00002VKCuVQAX", "0014X00002VKCuVQAX")</f>
        <v>0014X00002VKCuVQAX</v>
      </c>
      <c r="C201" s="3" t="s">
        <v>7077</v>
      </c>
      <c r="D201" s="3" t="s">
        <v>46</v>
      </c>
      <c r="E201" s="21" t="str">
        <f>HYPERLINK("https://gerandofalcoes.my.salesforce.com/0034X0000380O1y", "0034X0000380O1y")</f>
        <v>0034X0000380O1y</v>
      </c>
      <c r="F201" s="3" t="s">
        <v>14309</v>
      </c>
      <c r="G201" s="3" t="s">
        <v>14330</v>
      </c>
      <c r="H201" s="3" t="s">
        <v>2538</v>
      </c>
      <c r="I201" s="3" t="s">
        <v>12741</v>
      </c>
      <c r="J201" s="3">
        <v>33</v>
      </c>
      <c r="K201" s="3" t="s">
        <v>14331</v>
      </c>
      <c r="L201" s="3" t="s">
        <v>7080</v>
      </c>
      <c r="M201" s="6">
        <v>29841</v>
      </c>
      <c r="N201" s="3">
        <v>41</v>
      </c>
      <c r="O201" s="3">
        <v>262295775</v>
      </c>
      <c r="P201" s="3">
        <v>30435194852</v>
      </c>
      <c r="Q201" s="3"/>
      <c r="R201" s="3"/>
      <c r="S201" s="3" t="s">
        <v>3417</v>
      </c>
      <c r="T201" s="3" t="s">
        <v>12682</v>
      </c>
      <c r="U201" s="3"/>
      <c r="V201" s="3" t="s">
        <v>14332</v>
      </c>
      <c r="W201" s="3" t="s">
        <v>12664</v>
      </c>
      <c r="X201" s="3" t="s">
        <v>2980</v>
      </c>
      <c r="Y201" s="3" t="s">
        <v>12670</v>
      </c>
      <c r="Z201" s="3" t="s">
        <v>2543</v>
      </c>
      <c r="AA201" s="3" t="s">
        <v>2577</v>
      </c>
      <c r="AB201" s="3" t="s">
        <v>2545</v>
      </c>
      <c r="AC201" s="3" t="s">
        <v>14333</v>
      </c>
      <c r="AD201" s="3">
        <v>44</v>
      </c>
      <c r="AE201" s="3"/>
      <c r="AF201" s="3" t="s">
        <v>7083</v>
      </c>
      <c r="AG201" s="3" t="s">
        <v>14334</v>
      </c>
      <c r="AH201" s="3" t="s">
        <v>14335</v>
      </c>
      <c r="AI201" s="3" t="s">
        <v>101</v>
      </c>
      <c r="AJ201" s="3" t="s">
        <v>2741</v>
      </c>
      <c r="AK201" s="3" t="s">
        <v>12661</v>
      </c>
      <c r="AL201" s="3" t="s">
        <v>2588</v>
      </c>
      <c r="AM201" s="3">
        <v>4</v>
      </c>
      <c r="AN201" s="3" t="s">
        <v>7216</v>
      </c>
      <c r="AO201" s="3" t="s">
        <v>120</v>
      </c>
      <c r="AP201" s="7" t="s">
        <v>14336</v>
      </c>
      <c r="AQ201" s="7" t="s">
        <v>14337</v>
      </c>
      <c r="AR201" s="3"/>
      <c r="AS201" s="7" t="s">
        <v>14338</v>
      </c>
    </row>
    <row r="202" spans="1:45" ht="12.5" x14ac:dyDescent="0.25">
      <c r="A202" s="3" t="s">
        <v>12652</v>
      </c>
      <c r="B202" s="7" t="str">
        <f>HYPERLINK("https://gerandofalcoes.my.salesforce.com/0014X00002VKCuWQAX", "0014X00002VKCuWQAX")</f>
        <v>0014X00002VKCuWQAX</v>
      </c>
      <c r="C202" s="3" t="s">
        <v>7090</v>
      </c>
      <c r="D202" s="3" t="s">
        <v>46</v>
      </c>
      <c r="E202" s="21" t="str">
        <f>HYPERLINK("https://gerandofalcoes.my.salesforce.com/0034X0000380O3O", "0034X0000380O3O")</f>
        <v>0034X0000380O3O</v>
      </c>
      <c r="F202" s="3" t="s">
        <v>14339</v>
      </c>
      <c r="G202" s="3" t="s">
        <v>14340</v>
      </c>
      <c r="H202" s="3" t="s">
        <v>2538</v>
      </c>
      <c r="I202" s="3" t="s">
        <v>12741</v>
      </c>
      <c r="J202" s="3">
        <v>33</v>
      </c>
      <c r="K202" s="3" t="s">
        <v>7094</v>
      </c>
      <c r="L202" s="3">
        <v>11995391167</v>
      </c>
      <c r="M202" s="6">
        <v>24638</v>
      </c>
      <c r="N202" s="3">
        <v>55</v>
      </c>
      <c r="O202" s="3">
        <v>168885773</v>
      </c>
      <c r="P202" s="3">
        <v>9165898893</v>
      </c>
      <c r="Q202" s="3"/>
      <c r="R202" s="3"/>
      <c r="S202" s="3" t="s">
        <v>3269</v>
      </c>
      <c r="T202" s="3" t="s">
        <v>12682</v>
      </c>
      <c r="U202" s="3"/>
      <c r="V202" s="3" t="s">
        <v>14341</v>
      </c>
      <c r="W202" s="3" t="s">
        <v>2541</v>
      </c>
      <c r="X202" s="3" t="s">
        <v>2980</v>
      </c>
      <c r="Y202" s="3"/>
      <c r="Z202" s="3" t="s">
        <v>2543</v>
      </c>
      <c r="AA202" s="3" t="s">
        <v>2577</v>
      </c>
      <c r="AB202" s="3" t="s">
        <v>2545</v>
      </c>
      <c r="AC202" s="3" t="s">
        <v>14342</v>
      </c>
      <c r="AD202" s="3">
        <v>69</v>
      </c>
      <c r="AE202" s="3"/>
      <c r="AF202" s="3"/>
      <c r="AG202" s="3" t="s">
        <v>14343</v>
      </c>
      <c r="AH202" s="3" t="s">
        <v>14344</v>
      </c>
      <c r="AI202" s="3" t="s">
        <v>101</v>
      </c>
      <c r="AJ202" s="3" t="s">
        <v>2741</v>
      </c>
      <c r="AK202" s="3" t="s">
        <v>12828</v>
      </c>
      <c r="AL202" s="3" t="s">
        <v>2550</v>
      </c>
      <c r="AM202" s="3">
        <v>3</v>
      </c>
      <c r="AN202" s="3" t="s">
        <v>7216</v>
      </c>
      <c r="AO202" s="3" t="s">
        <v>62</v>
      </c>
      <c r="AP202" s="3"/>
      <c r="AQ202" s="3" t="s">
        <v>14345</v>
      </c>
      <c r="AR202" s="3"/>
      <c r="AS202" s="7" t="s">
        <v>14346</v>
      </c>
    </row>
    <row r="203" spans="1:45" ht="12.5" x14ac:dyDescent="0.25">
      <c r="A203" s="3" t="s">
        <v>12652</v>
      </c>
      <c r="B203" s="7" t="str">
        <f>HYPERLINK("https://gerandofalcoes.my.salesforce.com/0014X00002VKCuZQAX", "0014X00002VKCuZQAX")</f>
        <v>0014X00002VKCuZQAX</v>
      </c>
      <c r="C203" s="3" t="s">
        <v>7108</v>
      </c>
      <c r="D203" s="3" t="s">
        <v>46</v>
      </c>
      <c r="E203" s="21" t="str">
        <f>HYPERLINK("https://gerandofalcoes.my.salesforce.com/0034X0000380O4M", "0034X0000380O4M")</f>
        <v>0034X0000380O4M</v>
      </c>
      <c r="F203" s="3" t="s">
        <v>14347</v>
      </c>
      <c r="G203" s="3" t="s">
        <v>14348</v>
      </c>
      <c r="H203" s="3" t="s">
        <v>2538</v>
      </c>
      <c r="I203" s="3" t="s">
        <v>12741</v>
      </c>
      <c r="J203" s="3">
        <v>33</v>
      </c>
      <c r="K203" s="3" t="s">
        <v>14349</v>
      </c>
      <c r="L203" s="3">
        <v>11988853212</v>
      </c>
      <c r="M203" s="8">
        <v>29292</v>
      </c>
      <c r="N203" s="3">
        <v>42</v>
      </c>
      <c r="O203" s="3">
        <v>336553924</v>
      </c>
      <c r="P203" s="3">
        <v>22140845846</v>
      </c>
      <c r="Q203" s="3"/>
      <c r="R203" s="3"/>
      <c r="S203" s="3" t="s">
        <v>2998</v>
      </c>
      <c r="T203" s="3" t="s">
        <v>12723</v>
      </c>
      <c r="U203" s="3"/>
      <c r="V203" s="3" t="s">
        <v>14350</v>
      </c>
      <c r="W203" s="3" t="s">
        <v>2541</v>
      </c>
      <c r="X203" s="3" t="s">
        <v>2980</v>
      </c>
      <c r="Y203" s="3"/>
      <c r="Z203" s="3" t="s">
        <v>2543</v>
      </c>
      <c r="AA203" s="3"/>
      <c r="AB203" s="3"/>
      <c r="AC203" s="3" t="s">
        <v>7111</v>
      </c>
      <c r="AD203" s="3">
        <v>223</v>
      </c>
      <c r="AE203" s="3"/>
      <c r="AF203" s="3"/>
      <c r="AG203" s="3" t="s">
        <v>7112</v>
      </c>
      <c r="AH203" s="3" t="s">
        <v>14351</v>
      </c>
      <c r="AI203" s="3" t="s">
        <v>101</v>
      </c>
      <c r="AJ203" s="3" t="s">
        <v>2569</v>
      </c>
      <c r="AK203" s="3" t="s">
        <v>12661</v>
      </c>
      <c r="AL203" s="3" t="s">
        <v>2579</v>
      </c>
      <c r="AM203" s="3">
        <v>2</v>
      </c>
      <c r="AN203" s="3" t="s">
        <v>7216</v>
      </c>
      <c r="AO203" s="3" t="s">
        <v>62</v>
      </c>
      <c r="AP203" s="7" t="s">
        <v>14352</v>
      </c>
      <c r="AQ203" s="3" t="s">
        <v>14353</v>
      </c>
      <c r="AR203" s="3"/>
      <c r="AS203" s="3"/>
    </row>
    <row r="204" spans="1:45" ht="12.5" hidden="1" x14ac:dyDescent="0.25">
      <c r="A204" s="3" t="s">
        <v>12652</v>
      </c>
      <c r="B204" s="7" t="str">
        <f>HYPERLINK("https://gerandofalcoes.my.salesforce.com/0014X00002VKCubQAH", "0014X00002VKCubQAH")</f>
        <v>0014X00002VKCubQAH</v>
      </c>
      <c r="C204" s="3" t="s">
        <v>7114</v>
      </c>
      <c r="D204" s="3" t="s">
        <v>46</v>
      </c>
      <c r="E204" s="21" t="str">
        <f>HYPERLINK("https://gerandofalcoes.my.salesforce.com/0034X0000380O4L", "0034X0000380O4L")</f>
        <v>0034X0000380O4L</v>
      </c>
      <c r="F204" s="3" t="s">
        <v>14354</v>
      </c>
      <c r="G204" s="3" t="s">
        <v>14355</v>
      </c>
      <c r="H204" s="3" t="s">
        <v>2538</v>
      </c>
      <c r="I204" s="3" t="s">
        <v>12741</v>
      </c>
      <c r="J204" s="3">
        <v>33</v>
      </c>
      <c r="K204" s="3" t="s">
        <v>14356</v>
      </c>
      <c r="L204" s="3" t="s">
        <v>7119</v>
      </c>
      <c r="M204" s="6">
        <v>29333</v>
      </c>
      <c r="N204" s="3">
        <v>42</v>
      </c>
      <c r="O204" s="3">
        <v>336678216</v>
      </c>
      <c r="P204" s="3">
        <v>21768724873</v>
      </c>
      <c r="Q204" s="3"/>
      <c r="R204" s="3" t="s">
        <v>12800</v>
      </c>
      <c r="S204" s="3" t="s">
        <v>2998</v>
      </c>
      <c r="T204" s="3" t="s">
        <v>12682</v>
      </c>
      <c r="U204" s="3"/>
      <c r="V204" s="3" t="s">
        <v>14357</v>
      </c>
      <c r="W204" s="3" t="s">
        <v>12664</v>
      </c>
      <c r="X204" s="3" t="s">
        <v>2980</v>
      </c>
      <c r="Y204" s="3" t="s">
        <v>12658</v>
      </c>
      <c r="Z204" s="3" t="s">
        <v>2543</v>
      </c>
      <c r="AA204" s="3" t="s">
        <v>2544</v>
      </c>
      <c r="AB204" s="3" t="s">
        <v>2545</v>
      </c>
      <c r="AC204" s="3" t="s">
        <v>14358</v>
      </c>
      <c r="AD204" s="3">
        <v>143</v>
      </c>
      <c r="AE204" s="3" t="s">
        <v>7865</v>
      </c>
      <c r="AF204" s="3" t="s">
        <v>128</v>
      </c>
      <c r="AG204" s="3" t="s">
        <v>7121</v>
      </c>
      <c r="AH204" s="3" t="s">
        <v>14359</v>
      </c>
      <c r="AI204" s="3" t="s">
        <v>101</v>
      </c>
      <c r="AJ204" s="3" t="s">
        <v>2569</v>
      </c>
      <c r="AK204" s="3" t="s">
        <v>3249</v>
      </c>
      <c r="AL204" s="3" t="s">
        <v>2550</v>
      </c>
      <c r="AM204" s="3">
        <v>2</v>
      </c>
      <c r="AN204" s="3" t="s">
        <v>7216</v>
      </c>
      <c r="AO204" s="3" t="s">
        <v>120</v>
      </c>
      <c r="AP204" s="7" t="s">
        <v>14360</v>
      </c>
      <c r="AQ204" s="7" t="s">
        <v>14361</v>
      </c>
      <c r="AR204" s="3"/>
      <c r="AS204" s="7" t="s">
        <v>14362</v>
      </c>
    </row>
    <row r="205" spans="1:45" ht="12.5" hidden="1" x14ac:dyDescent="0.25">
      <c r="A205" s="3" t="s">
        <v>12652</v>
      </c>
      <c r="B205" s="7" t="str">
        <f>HYPERLINK("https://gerandofalcoes.my.salesforce.com/0014X00002VKCucQAH", "0014X00002VKCucQAH")</f>
        <v>0014X00002VKCucQAH</v>
      </c>
      <c r="C205" s="3" t="s">
        <v>7134</v>
      </c>
      <c r="D205" s="3" t="s">
        <v>46</v>
      </c>
      <c r="E205" s="21" t="str">
        <f>HYPERLINK("https://gerandofalcoes.my.salesforce.com/0034X0000380O15", "0034X0000380O15")</f>
        <v>0034X0000380O15</v>
      </c>
      <c r="F205" s="3" t="s">
        <v>14363</v>
      </c>
      <c r="G205" s="3" t="s">
        <v>14364</v>
      </c>
      <c r="H205" s="3" t="s">
        <v>2538</v>
      </c>
      <c r="I205" s="3" t="s">
        <v>12741</v>
      </c>
      <c r="J205" s="3">
        <v>33</v>
      </c>
      <c r="K205" s="3" t="s">
        <v>14365</v>
      </c>
      <c r="L205" s="3" t="s">
        <v>7139</v>
      </c>
      <c r="M205" s="6">
        <v>31035</v>
      </c>
      <c r="N205" s="3">
        <v>38</v>
      </c>
      <c r="O205" s="3">
        <v>4555607710</v>
      </c>
      <c r="P205" s="3">
        <v>31421114844</v>
      </c>
      <c r="Q205" s="3"/>
      <c r="R205" s="3" t="s">
        <v>14366</v>
      </c>
      <c r="S205" s="3" t="s">
        <v>3417</v>
      </c>
      <c r="T205" s="3" t="s">
        <v>12656</v>
      </c>
      <c r="U205" s="3"/>
      <c r="V205" s="3" t="s">
        <v>14367</v>
      </c>
      <c r="W205" s="3" t="s">
        <v>12664</v>
      </c>
      <c r="X205" s="3" t="s">
        <v>2980</v>
      </c>
      <c r="Y205" s="3" t="s">
        <v>12670</v>
      </c>
      <c r="Z205" s="3" t="s">
        <v>2543</v>
      </c>
      <c r="AA205" s="3" t="s">
        <v>2577</v>
      </c>
      <c r="AB205" s="3" t="s">
        <v>2545</v>
      </c>
      <c r="AC205" s="3" t="s">
        <v>7140</v>
      </c>
      <c r="AD205" s="3">
        <v>105</v>
      </c>
      <c r="AE205" s="3"/>
      <c r="AF205" s="3" t="s">
        <v>128</v>
      </c>
      <c r="AG205" s="3" t="s">
        <v>14368</v>
      </c>
      <c r="AH205" s="3" t="s">
        <v>7143</v>
      </c>
      <c r="AI205" s="3" t="s">
        <v>101</v>
      </c>
      <c r="AJ205" s="3" t="s">
        <v>2569</v>
      </c>
      <c r="AK205" s="3" t="s">
        <v>12674</v>
      </c>
      <c r="AL205" s="3" t="s">
        <v>2588</v>
      </c>
      <c r="AM205" s="3">
        <v>5</v>
      </c>
      <c r="AN205" s="3" t="s">
        <v>7216</v>
      </c>
      <c r="AO205" s="3" t="s">
        <v>120</v>
      </c>
      <c r="AP205" s="3" t="s">
        <v>9501</v>
      </c>
      <c r="AQ205" s="3" t="s">
        <v>14369</v>
      </c>
      <c r="AR205" s="3"/>
      <c r="AS205" s="7" t="s">
        <v>14370</v>
      </c>
    </row>
    <row r="206" spans="1:45" ht="12.5" hidden="1" x14ac:dyDescent="0.25">
      <c r="A206" s="3" t="s">
        <v>12652</v>
      </c>
      <c r="B206" s="7" t="str">
        <f>HYPERLINK("https://gerandofalcoes.my.salesforce.com/0014X00002VKCudQAH", "0014X00002VKCudQAH")</f>
        <v>0014X00002VKCudQAH</v>
      </c>
      <c r="C206" s="3" t="s">
        <v>7151</v>
      </c>
      <c r="D206" s="3" t="s">
        <v>46</v>
      </c>
      <c r="E206" s="21" t="str">
        <f>HYPERLINK("https://gerandofalcoes.my.salesforce.com/0034X0000380O35", "0034X0000380O35")</f>
        <v>0034X0000380O35</v>
      </c>
      <c r="F206" s="3" t="s">
        <v>12787</v>
      </c>
      <c r="G206" s="3" t="s">
        <v>13044</v>
      </c>
      <c r="H206" s="3" t="s">
        <v>2538</v>
      </c>
      <c r="I206" s="3" t="s">
        <v>12741</v>
      </c>
      <c r="J206" s="3">
        <v>33</v>
      </c>
      <c r="K206" s="3" t="s">
        <v>14371</v>
      </c>
      <c r="L206" s="3" t="s">
        <v>14372</v>
      </c>
      <c r="M206" s="8">
        <v>29403</v>
      </c>
      <c r="N206" s="3">
        <v>42</v>
      </c>
      <c r="O206" s="3" t="s">
        <v>14373</v>
      </c>
      <c r="P206" s="3">
        <v>28750621860</v>
      </c>
      <c r="Q206" s="3"/>
      <c r="R206" s="3" t="s">
        <v>14374</v>
      </c>
      <c r="S206" s="3" t="s">
        <v>2998</v>
      </c>
      <c r="T206" s="3" t="s">
        <v>12682</v>
      </c>
      <c r="U206" s="3"/>
      <c r="V206" s="3" t="s">
        <v>14375</v>
      </c>
      <c r="W206" s="3" t="s">
        <v>12664</v>
      </c>
      <c r="X206" s="3" t="s">
        <v>2980</v>
      </c>
      <c r="Y206" s="3" t="s">
        <v>12670</v>
      </c>
      <c r="Z206" s="3" t="s">
        <v>2543</v>
      </c>
      <c r="AA206" s="3" t="s">
        <v>2544</v>
      </c>
      <c r="AB206" s="3" t="s">
        <v>2545</v>
      </c>
      <c r="AC206" s="3" t="s">
        <v>14376</v>
      </c>
      <c r="AD206" s="3">
        <v>251</v>
      </c>
      <c r="AE206" s="3"/>
      <c r="AF206" s="3" t="s">
        <v>128</v>
      </c>
      <c r="AG206" s="3" t="s">
        <v>14377</v>
      </c>
      <c r="AH206" s="3" t="s">
        <v>14378</v>
      </c>
      <c r="AI206" s="3" t="s">
        <v>101</v>
      </c>
      <c r="AJ206" s="3" t="s">
        <v>2741</v>
      </c>
      <c r="AK206" s="3" t="s">
        <v>3249</v>
      </c>
      <c r="AL206" s="3" t="s">
        <v>2579</v>
      </c>
      <c r="AM206" s="3">
        <v>4</v>
      </c>
      <c r="AN206" s="3" t="s">
        <v>7216</v>
      </c>
      <c r="AO206" s="3" t="s">
        <v>120</v>
      </c>
      <c r="AP206" s="7" t="s">
        <v>14379</v>
      </c>
      <c r="AQ206" s="7" t="s">
        <v>14380</v>
      </c>
      <c r="AR206" s="3"/>
      <c r="AS206" s="7" t="s">
        <v>14381</v>
      </c>
    </row>
    <row r="207" spans="1:45" ht="12.5" hidden="1" x14ac:dyDescent="0.25">
      <c r="A207" s="3" t="s">
        <v>12652</v>
      </c>
      <c r="B207" s="7" t="str">
        <f>HYPERLINK("https://gerandofalcoes.my.salesforce.com/0014X00002VKCueQAH", "0014X00002VKCueQAH")</f>
        <v>0014X00002VKCueQAH</v>
      </c>
      <c r="C207" s="3" t="s">
        <v>7174</v>
      </c>
      <c r="D207" s="3" t="s">
        <v>46</v>
      </c>
      <c r="E207" s="21" t="str">
        <f>HYPERLINK("https://gerandofalcoes.my.salesforce.com/0034X0000380O1I", "0034X0000380O1I")</f>
        <v>0034X0000380O1I</v>
      </c>
      <c r="F207" s="3" t="s">
        <v>2936</v>
      </c>
      <c r="G207" s="3" t="s">
        <v>14382</v>
      </c>
      <c r="H207" s="3" t="s">
        <v>2538</v>
      </c>
      <c r="I207" s="3" t="s">
        <v>12741</v>
      </c>
      <c r="J207" s="3">
        <v>33</v>
      </c>
      <c r="K207" s="3" t="s">
        <v>14383</v>
      </c>
      <c r="L207" s="3" t="s">
        <v>7179</v>
      </c>
      <c r="M207" s="6">
        <v>28672</v>
      </c>
      <c r="N207" s="3">
        <v>44</v>
      </c>
      <c r="O207" s="3">
        <v>230040019</v>
      </c>
      <c r="P207" s="3">
        <v>31859922880</v>
      </c>
      <c r="Q207" s="3"/>
      <c r="R207" s="3" t="s">
        <v>12800</v>
      </c>
      <c r="S207" s="3" t="s">
        <v>2998</v>
      </c>
      <c r="T207" s="3" t="s">
        <v>12682</v>
      </c>
      <c r="U207" s="3"/>
      <c r="V207" s="3" t="s">
        <v>14384</v>
      </c>
      <c r="W207" s="3" t="s">
        <v>12664</v>
      </c>
      <c r="X207" s="3" t="s">
        <v>2980</v>
      </c>
      <c r="Y207" s="3" t="s">
        <v>12670</v>
      </c>
      <c r="Z207" s="3" t="s">
        <v>2545</v>
      </c>
      <c r="AA207" s="3" t="s">
        <v>2544</v>
      </c>
      <c r="AB207" s="3" t="s">
        <v>2545</v>
      </c>
      <c r="AC207" s="3" t="s">
        <v>14385</v>
      </c>
      <c r="AD207" s="3">
        <v>59</v>
      </c>
      <c r="AE207" s="3"/>
      <c r="AF207" s="3" t="s">
        <v>128</v>
      </c>
      <c r="AG207" s="3" t="s">
        <v>7181</v>
      </c>
      <c r="AH207" s="3" t="s">
        <v>7182</v>
      </c>
      <c r="AI207" s="3" t="s">
        <v>101</v>
      </c>
      <c r="AJ207" s="3" t="s">
        <v>2548</v>
      </c>
      <c r="AK207" s="3" t="s">
        <v>3249</v>
      </c>
      <c r="AL207" s="3" t="s">
        <v>2588</v>
      </c>
      <c r="AM207" s="3">
        <v>3</v>
      </c>
      <c r="AN207" s="3" t="s">
        <v>7216</v>
      </c>
      <c r="AO207" s="3" t="s">
        <v>120</v>
      </c>
      <c r="AP207" s="7" t="s">
        <v>14386</v>
      </c>
      <c r="AQ207" s="3" t="s">
        <v>14387</v>
      </c>
      <c r="AR207" s="3"/>
      <c r="AS207" s="7" t="s">
        <v>14388</v>
      </c>
    </row>
    <row r="208" spans="1:45" ht="12.5" x14ac:dyDescent="0.25">
      <c r="A208" s="3" t="s">
        <v>12652</v>
      </c>
      <c r="B208" s="7" t="str">
        <f>HYPERLINK("https://gerandofalcoes.my.salesforce.com/0014X00002VKCsBQAX", "0014X00002VKCsBQAX")</f>
        <v>0014X00002VKCsBQAX</v>
      </c>
      <c r="C208" s="3" t="s">
        <v>7190</v>
      </c>
      <c r="D208" s="3" t="s">
        <v>46</v>
      </c>
      <c r="E208" s="21" t="str">
        <f>HYPERLINK("https://gerandofalcoes.my.salesforce.com/0034X0000380O44", "0034X0000380O44")</f>
        <v>0034X0000380O44</v>
      </c>
      <c r="F208" s="3" t="s">
        <v>14389</v>
      </c>
      <c r="G208" s="3" t="s">
        <v>14390</v>
      </c>
      <c r="H208" s="3" t="s">
        <v>2538</v>
      </c>
      <c r="I208" s="3" t="s">
        <v>12741</v>
      </c>
      <c r="J208" s="3">
        <v>33</v>
      </c>
      <c r="K208" s="3" t="s">
        <v>14391</v>
      </c>
      <c r="L208" s="3">
        <v>81999246841</v>
      </c>
      <c r="M208" s="6">
        <v>32690</v>
      </c>
      <c r="N208" s="3">
        <v>33</v>
      </c>
      <c r="O208" s="3">
        <v>7848529</v>
      </c>
      <c r="P208" s="3">
        <v>7722094481</v>
      </c>
      <c r="Q208" s="3"/>
      <c r="R208" s="3"/>
      <c r="S208" s="3" t="s">
        <v>3417</v>
      </c>
      <c r="T208" s="3" t="s">
        <v>12682</v>
      </c>
      <c r="U208" s="3"/>
      <c r="V208" s="3" t="s">
        <v>14392</v>
      </c>
      <c r="W208" s="3" t="s">
        <v>2541</v>
      </c>
      <c r="X208" s="3" t="s">
        <v>2980</v>
      </c>
      <c r="Y208" s="3"/>
      <c r="Z208" s="3" t="s">
        <v>2543</v>
      </c>
      <c r="AA208" s="3" t="s">
        <v>2544</v>
      </c>
      <c r="AB208" s="3" t="s">
        <v>2545</v>
      </c>
      <c r="AC208" s="3" t="s">
        <v>14393</v>
      </c>
      <c r="AD208" s="3" t="s">
        <v>14394</v>
      </c>
      <c r="AE208" s="3"/>
      <c r="AF208" s="3"/>
      <c r="AG208" s="3" t="s">
        <v>14395</v>
      </c>
      <c r="AH208" s="3">
        <v>55000550</v>
      </c>
      <c r="AI208" s="3" t="s">
        <v>379</v>
      </c>
      <c r="AJ208" s="3" t="s">
        <v>2569</v>
      </c>
      <c r="AK208" s="3" t="s">
        <v>12674</v>
      </c>
      <c r="AL208" s="3" t="s">
        <v>2550</v>
      </c>
      <c r="AM208" s="3">
        <v>0</v>
      </c>
      <c r="AN208" s="3" t="s">
        <v>7216</v>
      </c>
      <c r="AO208" s="3" t="s">
        <v>120</v>
      </c>
      <c r="AP208" s="3"/>
      <c r="AQ208" s="7" t="s">
        <v>14396</v>
      </c>
      <c r="AR208" s="3"/>
      <c r="AS208" s="7" t="s">
        <v>14397</v>
      </c>
    </row>
    <row r="209" spans="1:45" ht="12.5" hidden="1" x14ac:dyDescent="0.25">
      <c r="A209" s="3" t="s">
        <v>12652</v>
      </c>
      <c r="B209" s="7" t="str">
        <f>HYPERLINK("https://gerandofalcoes.my.salesforce.com/0014X00002VKCsCQAX", "0014X00002VKCsCQAX")</f>
        <v>0014X00002VKCsCQAX</v>
      </c>
      <c r="C209" s="3" t="s">
        <v>7204</v>
      </c>
      <c r="D209" s="3" t="s">
        <v>46</v>
      </c>
      <c r="E209" s="21" t="str">
        <f>HYPERLINK("https://gerandofalcoes.my.salesforce.com/0034X0000380O5F", "0034X0000380O5F")</f>
        <v>0034X0000380O5F</v>
      </c>
      <c r="F209" s="3" t="s">
        <v>14398</v>
      </c>
      <c r="G209" s="3" t="s">
        <v>14399</v>
      </c>
      <c r="H209" s="3" t="s">
        <v>2538</v>
      </c>
      <c r="I209" s="3" t="s">
        <v>12741</v>
      </c>
      <c r="J209" s="3">
        <v>33</v>
      </c>
      <c r="K209" s="3" t="s">
        <v>7208</v>
      </c>
      <c r="L209" s="3" t="s">
        <v>7209</v>
      </c>
      <c r="M209" s="6">
        <v>33672</v>
      </c>
      <c r="N209" s="3">
        <v>30</v>
      </c>
      <c r="O209" s="3">
        <v>7664086</v>
      </c>
      <c r="P209" s="3">
        <v>10705290441</v>
      </c>
      <c r="Q209" s="3"/>
      <c r="R209" s="3" t="s">
        <v>14400</v>
      </c>
      <c r="S209" s="3" t="s">
        <v>3137</v>
      </c>
      <c r="T209" s="3" t="s">
        <v>12723</v>
      </c>
      <c r="U209" s="3"/>
      <c r="V209" s="3" t="s">
        <v>14401</v>
      </c>
      <c r="W209" s="3" t="s">
        <v>4204</v>
      </c>
      <c r="X209" s="3" t="s">
        <v>2980</v>
      </c>
      <c r="Y209" s="3" t="s">
        <v>12684</v>
      </c>
      <c r="Z209" s="3" t="s">
        <v>2543</v>
      </c>
      <c r="AA209" s="3" t="s">
        <v>2544</v>
      </c>
      <c r="AB209" s="3" t="s">
        <v>2543</v>
      </c>
      <c r="AC209" s="3" t="s">
        <v>14402</v>
      </c>
      <c r="AD209" s="3">
        <v>615</v>
      </c>
      <c r="AE209" s="3" t="s">
        <v>1539</v>
      </c>
      <c r="AF209" s="3" t="s">
        <v>381</v>
      </c>
      <c r="AG209" s="3" t="s">
        <v>14403</v>
      </c>
      <c r="AH209" s="3" t="s">
        <v>14404</v>
      </c>
      <c r="AI209" s="3" t="s">
        <v>379</v>
      </c>
      <c r="AJ209" s="3" t="s">
        <v>2569</v>
      </c>
      <c r="AK209" s="3" t="s">
        <v>12729</v>
      </c>
      <c r="AL209" s="3" t="s">
        <v>2588</v>
      </c>
      <c r="AM209" s="3">
        <v>3</v>
      </c>
      <c r="AN209" s="3" t="s">
        <v>7216</v>
      </c>
      <c r="AO209" s="3" t="s">
        <v>120</v>
      </c>
      <c r="AP209" s="3" t="s">
        <v>3032</v>
      </c>
      <c r="AQ209" s="3" t="s">
        <v>14405</v>
      </c>
      <c r="AR209" s="3"/>
      <c r="AS209" s="7" t="s">
        <v>14406</v>
      </c>
    </row>
    <row r="210" spans="1:45" ht="12.5" x14ac:dyDescent="0.25">
      <c r="A210" s="3" t="s">
        <v>12652</v>
      </c>
      <c r="B210" s="7" t="str">
        <f>HYPERLINK("https://gerandofalcoes.my.salesforce.com/0014X00002VKCsDQAX", "0014X00002VKCsDQAX")</f>
        <v>0014X00002VKCsDQAX</v>
      </c>
      <c r="C210" s="3" t="s">
        <v>7219</v>
      </c>
      <c r="D210" s="3" t="s">
        <v>46</v>
      </c>
      <c r="E210" s="21" t="str">
        <f>HYPERLINK("https://gerandofalcoes.my.salesforce.com/0034X0000380O6p", "0034X0000380O6p")</f>
        <v>0034X0000380O6p</v>
      </c>
      <c r="F210" s="3" t="s">
        <v>14407</v>
      </c>
      <c r="G210" s="3" t="s">
        <v>14408</v>
      </c>
      <c r="H210" s="3" t="s">
        <v>2538</v>
      </c>
      <c r="I210" s="3" t="s">
        <v>12741</v>
      </c>
      <c r="J210" s="3">
        <v>33</v>
      </c>
      <c r="K210" s="3" t="s">
        <v>14409</v>
      </c>
      <c r="L210" s="3">
        <v>81985585628</v>
      </c>
      <c r="M210" s="6">
        <v>33701</v>
      </c>
      <c r="N210" s="3">
        <v>30</v>
      </c>
      <c r="O210" s="3">
        <v>8424334</v>
      </c>
      <c r="P210" s="3">
        <v>9300591401</v>
      </c>
      <c r="Q210" s="3"/>
      <c r="R210" s="3"/>
      <c r="S210" s="3" t="s">
        <v>2998</v>
      </c>
      <c r="T210" s="3" t="s">
        <v>13599</v>
      </c>
      <c r="U210" s="3"/>
      <c r="V210" s="3" t="s">
        <v>14410</v>
      </c>
      <c r="W210" s="3" t="s">
        <v>2541</v>
      </c>
      <c r="X210" s="3" t="s">
        <v>2980</v>
      </c>
      <c r="Y210" s="3"/>
      <c r="Z210" s="3" t="s">
        <v>2543</v>
      </c>
      <c r="AA210" s="3"/>
      <c r="AB210" s="3"/>
      <c r="AC210" s="3" t="s">
        <v>14411</v>
      </c>
      <c r="AD210" s="3">
        <v>106</v>
      </c>
      <c r="AE210" s="3"/>
      <c r="AF210" s="3"/>
      <c r="AG210" s="3" t="s">
        <v>7225</v>
      </c>
      <c r="AH210" s="3">
        <v>53405625</v>
      </c>
      <c r="AI210" s="3" t="s">
        <v>379</v>
      </c>
      <c r="AJ210" s="3" t="s">
        <v>2569</v>
      </c>
      <c r="AK210" s="3" t="s">
        <v>12729</v>
      </c>
      <c r="AL210" s="3" t="s">
        <v>2550</v>
      </c>
      <c r="AM210" s="3">
        <v>6</v>
      </c>
      <c r="AN210" s="3" t="s">
        <v>7216</v>
      </c>
      <c r="AO210" s="3" t="s">
        <v>120</v>
      </c>
      <c r="AP210" s="3"/>
      <c r="AQ210" s="3"/>
      <c r="AR210" s="3"/>
      <c r="AS210" s="7" t="s">
        <v>14412</v>
      </c>
    </row>
    <row r="211" spans="1:45" ht="12.5" hidden="1" x14ac:dyDescent="0.25">
      <c r="A211" s="3" t="s">
        <v>12652</v>
      </c>
      <c r="B211" s="7" t="str">
        <f>HYPERLINK("https://gerandofalcoes.my.salesforce.com/0014X00002VKCsEQAX", "0014X00002VKCsEQAX")</f>
        <v>0014X00002VKCsEQAX</v>
      </c>
      <c r="C211" s="3" t="s">
        <v>7233</v>
      </c>
      <c r="D211" s="3" t="s">
        <v>46</v>
      </c>
      <c r="E211" s="21" t="str">
        <f>HYPERLINK("https://gerandofalcoes.my.salesforce.com/0034X0000380O2n", "0034X0000380O2n")</f>
        <v>0034X0000380O2n</v>
      </c>
      <c r="F211" s="3" t="s">
        <v>14413</v>
      </c>
      <c r="G211" s="3" t="s">
        <v>14414</v>
      </c>
      <c r="H211" s="3" t="s">
        <v>2538</v>
      </c>
      <c r="I211" s="3" t="s">
        <v>12741</v>
      </c>
      <c r="J211" s="3">
        <v>33</v>
      </c>
      <c r="K211" s="3" t="s">
        <v>14415</v>
      </c>
      <c r="L211" s="3" t="s">
        <v>14416</v>
      </c>
      <c r="M211" s="6">
        <v>32767</v>
      </c>
      <c r="N211" s="3">
        <v>33</v>
      </c>
      <c r="O211" s="3" t="s">
        <v>14417</v>
      </c>
      <c r="P211" s="3">
        <v>7803046401</v>
      </c>
      <c r="Q211" s="3"/>
      <c r="R211" s="3" t="s">
        <v>14418</v>
      </c>
      <c r="S211" s="3" t="s">
        <v>3417</v>
      </c>
      <c r="T211" s="3" t="s">
        <v>12656</v>
      </c>
      <c r="U211" s="3"/>
      <c r="V211" s="3" t="s">
        <v>14419</v>
      </c>
      <c r="W211" s="3" t="s">
        <v>12664</v>
      </c>
      <c r="X211" s="3" t="s">
        <v>2980</v>
      </c>
      <c r="Y211" s="3" t="s">
        <v>12670</v>
      </c>
      <c r="Z211" s="3" t="s">
        <v>2543</v>
      </c>
      <c r="AA211" s="3" t="s">
        <v>2577</v>
      </c>
      <c r="AB211" s="3" t="s">
        <v>2543</v>
      </c>
      <c r="AC211" s="3" t="s">
        <v>14420</v>
      </c>
      <c r="AD211" s="3">
        <v>170</v>
      </c>
      <c r="AE211" s="3" t="s">
        <v>14421</v>
      </c>
      <c r="AF211" s="3" t="s">
        <v>7241</v>
      </c>
      <c r="AG211" s="3" t="s">
        <v>14422</v>
      </c>
      <c r="AH211" s="3" t="s">
        <v>14423</v>
      </c>
      <c r="AI211" s="3" t="s">
        <v>1171</v>
      </c>
      <c r="AJ211" s="3" t="s">
        <v>2569</v>
      </c>
      <c r="AK211" s="3" t="s">
        <v>12674</v>
      </c>
      <c r="AL211" s="3" t="s">
        <v>2588</v>
      </c>
      <c r="AM211" s="3">
        <v>1</v>
      </c>
      <c r="AN211" s="3" t="s">
        <v>7216</v>
      </c>
      <c r="AO211" s="3" t="s">
        <v>120</v>
      </c>
      <c r="AP211" s="7" t="s">
        <v>14424</v>
      </c>
      <c r="AQ211" s="7" t="s">
        <v>14425</v>
      </c>
      <c r="AR211" s="3"/>
      <c r="AS211" s="7" t="s">
        <v>14426</v>
      </c>
    </row>
    <row r="212" spans="1:45" ht="12.5" x14ac:dyDescent="0.25">
      <c r="A212" s="3" t="s">
        <v>12652</v>
      </c>
      <c r="B212" s="7" t="str">
        <f>HYPERLINK("https://gerandofalcoes.my.salesforce.com/0014X00002VKCsFQAX", "0014X00002VKCsFQAX")</f>
        <v>0014X00002VKCsFQAX</v>
      </c>
      <c r="C212" s="3" t="s">
        <v>7251</v>
      </c>
      <c r="D212" s="3" t="s">
        <v>46</v>
      </c>
      <c r="E212" s="21" t="str">
        <f>HYPERLINK("https://gerandofalcoes.my.salesforce.com/0034X0000380O3R", "0034X0000380O3R")</f>
        <v>0034X0000380O3R</v>
      </c>
      <c r="F212" s="3" t="s">
        <v>14427</v>
      </c>
      <c r="G212" s="3" t="s">
        <v>14428</v>
      </c>
      <c r="H212" s="3" t="s">
        <v>2538</v>
      </c>
      <c r="I212" s="3" t="s">
        <v>12741</v>
      </c>
      <c r="J212" s="3">
        <v>33</v>
      </c>
      <c r="K212" s="3" t="s">
        <v>14429</v>
      </c>
      <c r="L212" s="3">
        <v>81988067677</v>
      </c>
      <c r="M212" s="6">
        <v>29666</v>
      </c>
      <c r="N212" s="3">
        <v>41</v>
      </c>
      <c r="O212" s="3">
        <v>5841642</v>
      </c>
      <c r="P212" s="3">
        <v>3109131447</v>
      </c>
      <c r="Q212" s="3"/>
      <c r="R212" s="3"/>
      <c r="S212" s="3" t="s">
        <v>3137</v>
      </c>
      <c r="T212" s="3" t="s">
        <v>12723</v>
      </c>
      <c r="U212" s="3"/>
      <c r="V212" s="3" t="s">
        <v>14430</v>
      </c>
      <c r="W212" s="3" t="s">
        <v>2541</v>
      </c>
      <c r="X212" s="3" t="s">
        <v>2980</v>
      </c>
      <c r="Y212" s="3"/>
      <c r="Z212" s="3" t="s">
        <v>2543</v>
      </c>
      <c r="AA212" s="3" t="s">
        <v>2544</v>
      </c>
      <c r="AB212" s="3" t="s">
        <v>2545</v>
      </c>
      <c r="AC212" s="3" t="s">
        <v>14431</v>
      </c>
      <c r="AD212" s="3">
        <v>2455</v>
      </c>
      <c r="AE212" s="3"/>
      <c r="AF212" s="3"/>
      <c r="AG212" s="3" t="s">
        <v>14432</v>
      </c>
      <c r="AH212" s="3" t="s">
        <v>14433</v>
      </c>
      <c r="AI212" s="3" t="s">
        <v>379</v>
      </c>
      <c r="AJ212" s="3" t="s">
        <v>2569</v>
      </c>
      <c r="AK212" s="3" t="s">
        <v>12674</v>
      </c>
      <c r="AL212" s="3" t="s">
        <v>2550</v>
      </c>
      <c r="AM212" s="3">
        <v>4</v>
      </c>
      <c r="AN212" s="3" t="s">
        <v>7216</v>
      </c>
      <c r="AO212" s="3" t="s">
        <v>120</v>
      </c>
      <c r="AP212" s="3"/>
      <c r="AQ212" s="7" t="s">
        <v>14434</v>
      </c>
      <c r="AR212" s="3"/>
      <c r="AS212" s="7" t="s">
        <v>14435</v>
      </c>
    </row>
    <row r="213" spans="1:45" ht="12.5" x14ac:dyDescent="0.25">
      <c r="A213" s="3" t="s">
        <v>12652</v>
      </c>
      <c r="B213" s="7" t="str">
        <f>HYPERLINK("https://gerandofalcoes.my.salesforce.com/0014X00002VKCsGQAX", "0014X00002VKCsGQAX")</f>
        <v>0014X00002VKCsGQAX</v>
      </c>
      <c r="C213" s="3" t="s">
        <v>7270</v>
      </c>
      <c r="D213" s="3" t="s">
        <v>46</v>
      </c>
      <c r="E213" s="21" t="str">
        <f>HYPERLINK("https://gerandofalcoes.my.salesforce.com/0034X0000380O4t", "0034X0000380O4t")</f>
        <v>0034X0000380O4t</v>
      </c>
      <c r="F213" s="3" t="s">
        <v>14436</v>
      </c>
      <c r="G213" s="3" t="s">
        <v>14437</v>
      </c>
      <c r="H213" s="3" t="s">
        <v>2538</v>
      </c>
      <c r="I213" s="3" t="s">
        <v>12741</v>
      </c>
      <c r="J213" s="3"/>
      <c r="K213" s="3" t="s">
        <v>14438</v>
      </c>
      <c r="L213" s="3">
        <v>21996364086</v>
      </c>
      <c r="M213" s="6">
        <v>24649</v>
      </c>
      <c r="N213" s="3">
        <v>55</v>
      </c>
      <c r="O213" s="3" t="s">
        <v>14439</v>
      </c>
      <c r="P213" s="3">
        <v>40897265572</v>
      </c>
      <c r="Q213" s="3"/>
      <c r="R213" s="3"/>
      <c r="S213" s="3" t="s">
        <v>2998</v>
      </c>
      <c r="T213" s="3" t="s">
        <v>12682</v>
      </c>
      <c r="U213" s="3"/>
      <c r="V213" s="3" t="s">
        <v>14440</v>
      </c>
      <c r="W213" s="3" t="s">
        <v>2541</v>
      </c>
      <c r="X213" s="3" t="s">
        <v>2980</v>
      </c>
      <c r="Y213" s="3"/>
      <c r="Z213" s="3" t="s">
        <v>2543</v>
      </c>
      <c r="AA213" s="3" t="s">
        <v>2737</v>
      </c>
      <c r="AB213" s="3" t="s">
        <v>2543</v>
      </c>
      <c r="AC213" s="3" t="s">
        <v>7275</v>
      </c>
      <c r="AD213" s="3">
        <v>18</v>
      </c>
      <c r="AE213" s="3"/>
      <c r="AF213" s="3"/>
      <c r="AG213" s="3" t="s">
        <v>7276</v>
      </c>
      <c r="AH213" s="3">
        <v>24130175</v>
      </c>
      <c r="AI213" s="3" t="s">
        <v>70</v>
      </c>
      <c r="AJ213" s="3" t="s">
        <v>2569</v>
      </c>
      <c r="AK213" s="3" t="s">
        <v>3249</v>
      </c>
      <c r="AL213" s="3" t="s">
        <v>2588</v>
      </c>
      <c r="AM213" s="3">
        <v>1</v>
      </c>
      <c r="AN213" s="3" t="s">
        <v>7216</v>
      </c>
      <c r="AO213" s="3" t="s">
        <v>120</v>
      </c>
      <c r="AP213" s="3"/>
      <c r="AQ213" s="3"/>
      <c r="AR213" s="3"/>
      <c r="AS213" s="3"/>
    </row>
    <row r="214" spans="1:45" ht="12.5" hidden="1" x14ac:dyDescent="0.25">
      <c r="A214" s="3" t="s">
        <v>12652</v>
      </c>
      <c r="B214" s="7" t="str">
        <f>HYPERLINK("https://gerandofalcoes.my.salesforce.com/0014X00002VKCsIQAX", "0014X00002VKCsIQAX")</f>
        <v>0014X00002VKCsIQAX</v>
      </c>
      <c r="C214" s="3" t="s">
        <v>7287</v>
      </c>
      <c r="D214" s="3" t="s">
        <v>46</v>
      </c>
      <c r="E214" s="21" t="str">
        <f>HYPERLINK("https://gerandofalcoes.my.salesforce.com/0034X0000380O13", "0034X0000380O13")</f>
        <v>0034X0000380O13</v>
      </c>
      <c r="F214" s="3" t="s">
        <v>14441</v>
      </c>
      <c r="G214" s="3" t="s">
        <v>14442</v>
      </c>
      <c r="H214" s="3" t="s">
        <v>2538</v>
      </c>
      <c r="I214" s="3" t="s">
        <v>12741</v>
      </c>
      <c r="J214" s="3">
        <v>33</v>
      </c>
      <c r="K214" s="3" t="s">
        <v>14443</v>
      </c>
      <c r="L214" s="3" t="s">
        <v>14444</v>
      </c>
      <c r="M214" s="6">
        <v>28788</v>
      </c>
      <c r="N214" s="3">
        <v>44</v>
      </c>
      <c r="O214" s="3">
        <v>128618782</v>
      </c>
      <c r="P214" s="3">
        <v>5721460784</v>
      </c>
      <c r="Q214" s="3"/>
      <c r="R214" s="3" t="s">
        <v>13512</v>
      </c>
      <c r="S214" s="3" t="s">
        <v>3417</v>
      </c>
      <c r="T214" s="3" t="s">
        <v>12656</v>
      </c>
      <c r="U214" s="3"/>
      <c r="V214" s="3" t="s">
        <v>14445</v>
      </c>
      <c r="W214" s="3" t="s">
        <v>12664</v>
      </c>
      <c r="X214" s="3" t="s">
        <v>2980</v>
      </c>
      <c r="Y214" s="3" t="s">
        <v>12658</v>
      </c>
      <c r="Z214" s="3" t="s">
        <v>2543</v>
      </c>
      <c r="AA214" s="3" t="s">
        <v>2544</v>
      </c>
      <c r="AB214" s="3" t="s">
        <v>2543</v>
      </c>
      <c r="AC214" s="3" t="s">
        <v>7293</v>
      </c>
      <c r="AD214" s="3">
        <v>95</v>
      </c>
      <c r="AE214" s="3" t="s">
        <v>7295</v>
      </c>
      <c r="AF214" s="3" t="s">
        <v>73</v>
      </c>
      <c r="AG214" s="3" t="s">
        <v>7294</v>
      </c>
      <c r="AH214" s="3" t="s">
        <v>7296</v>
      </c>
      <c r="AI214" s="3" t="s">
        <v>70</v>
      </c>
      <c r="AJ214" s="3" t="s">
        <v>2569</v>
      </c>
      <c r="AK214" s="3" t="s">
        <v>3249</v>
      </c>
      <c r="AL214" s="3" t="s">
        <v>2588</v>
      </c>
      <c r="AM214" s="3">
        <v>2</v>
      </c>
      <c r="AN214" s="3" t="s">
        <v>7216</v>
      </c>
      <c r="AO214" s="3" t="s">
        <v>120</v>
      </c>
      <c r="AP214" s="3"/>
      <c r="AQ214" s="3"/>
      <c r="AR214" s="3"/>
      <c r="AS214" s="7" t="s">
        <v>14446</v>
      </c>
    </row>
    <row r="215" spans="1:45" ht="12.5" x14ac:dyDescent="0.25">
      <c r="A215" s="3" t="s">
        <v>12652</v>
      </c>
      <c r="B215" s="7" t="str">
        <f>HYPERLINK("https://gerandofalcoes.my.salesforce.com/0014X00002VKCsKQAX", "0014X00002VKCsKQAX")</f>
        <v>0014X00002VKCsKQAX</v>
      </c>
      <c r="C215" s="3" t="s">
        <v>7307</v>
      </c>
      <c r="D215" s="3" t="s">
        <v>46</v>
      </c>
      <c r="E215" s="21" t="str">
        <f>HYPERLINK("https://gerandofalcoes.my.salesforce.com/0034X0000380O2b", "0034X0000380O2b")</f>
        <v>0034X0000380O2b</v>
      </c>
      <c r="F215" s="3" t="s">
        <v>2773</v>
      </c>
      <c r="G215" s="3" t="s">
        <v>14447</v>
      </c>
      <c r="H215" s="3" t="s">
        <v>2538</v>
      </c>
      <c r="I215" s="3" t="s">
        <v>12741</v>
      </c>
      <c r="J215" s="3">
        <v>33</v>
      </c>
      <c r="K215" s="3" t="s">
        <v>14448</v>
      </c>
      <c r="L215" s="3">
        <v>21964239859</v>
      </c>
      <c r="M215" s="6">
        <v>37585</v>
      </c>
      <c r="N215" s="3">
        <v>20</v>
      </c>
      <c r="O215" s="3" t="s">
        <v>14449</v>
      </c>
      <c r="P215" s="3">
        <v>18269992720</v>
      </c>
      <c r="Q215" s="3"/>
      <c r="R215" s="3"/>
      <c r="S215" s="3" t="s">
        <v>3269</v>
      </c>
      <c r="T215" s="3" t="s">
        <v>12656</v>
      </c>
      <c r="U215" s="3"/>
      <c r="V215" s="3" t="s">
        <v>14450</v>
      </c>
      <c r="W215" s="3" t="s">
        <v>2541</v>
      </c>
      <c r="X215" s="3" t="s">
        <v>2980</v>
      </c>
      <c r="Y215" s="3"/>
      <c r="Z215" s="3" t="s">
        <v>2543</v>
      </c>
      <c r="AA215" s="3"/>
      <c r="AB215" s="3"/>
      <c r="AC215" s="3" t="s">
        <v>14451</v>
      </c>
      <c r="AD215" s="3">
        <v>124</v>
      </c>
      <c r="AE215" s="3">
        <v>10</v>
      </c>
      <c r="AF215" s="3"/>
      <c r="AG215" s="3" t="s">
        <v>14452</v>
      </c>
      <c r="AH215" s="3">
        <v>20771360</v>
      </c>
      <c r="AI215" s="3" t="s">
        <v>70</v>
      </c>
      <c r="AJ215" s="3" t="s">
        <v>2569</v>
      </c>
      <c r="AK215" s="3" t="s">
        <v>3249</v>
      </c>
      <c r="AL215" s="3" t="s">
        <v>2588</v>
      </c>
      <c r="AM215" s="3">
        <v>2</v>
      </c>
      <c r="AN215" s="3" t="s">
        <v>7216</v>
      </c>
      <c r="AO215" s="3" t="s">
        <v>120</v>
      </c>
      <c r="AP215" s="7" t="s">
        <v>14453</v>
      </c>
      <c r="AQ215" s="7" t="s">
        <v>14454</v>
      </c>
      <c r="AR215" s="3"/>
      <c r="AS215" s="7" t="s">
        <v>14455</v>
      </c>
    </row>
    <row r="216" spans="1:45" ht="12.5" x14ac:dyDescent="0.25">
      <c r="A216" s="3" t="s">
        <v>12652</v>
      </c>
      <c r="B216" s="7" t="str">
        <f>HYPERLINK("https://gerandofalcoes.my.salesforce.com/0014X00002VKCsLQAX", "0014X00002VKCsLQAX")</f>
        <v>0014X00002VKCsLQAX</v>
      </c>
      <c r="C216" s="3" t="s">
        <v>7320</v>
      </c>
      <c r="D216" s="3" t="s">
        <v>46</v>
      </c>
      <c r="E216" s="21" t="str">
        <f>HYPERLINK("https://gerandofalcoes.my.salesforce.com/0034X0000380O2p", "0034X0000380O2p")</f>
        <v>0034X0000380O2p</v>
      </c>
      <c r="F216" s="3" t="s">
        <v>2773</v>
      </c>
      <c r="G216" s="3" t="s">
        <v>14456</v>
      </c>
      <c r="H216" s="3" t="s">
        <v>2538</v>
      </c>
      <c r="I216" s="3" t="s">
        <v>12741</v>
      </c>
      <c r="J216" s="3">
        <v>33</v>
      </c>
      <c r="K216" s="3" t="s">
        <v>14457</v>
      </c>
      <c r="L216" s="3">
        <v>24999336353</v>
      </c>
      <c r="M216" s="8">
        <v>32244</v>
      </c>
      <c r="N216" s="3">
        <v>34</v>
      </c>
      <c r="O216" s="3" t="s">
        <v>14458</v>
      </c>
      <c r="P216" s="3">
        <v>14103108762</v>
      </c>
      <c r="Q216" s="3"/>
      <c r="R216" s="3"/>
      <c r="S216" s="3" t="s">
        <v>12744</v>
      </c>
      <c r="T216" s="3" t="s">
        <v>12656</v>
      </c>
      <c r="U216" s="3"/>
      <c r="V216" s="3" t="s">
        <v>14459</v>
      </c>
      <c r="W216" s="3" t="s">
        <v>2541</v>
      </c>
      <c r="X216" s="3" t="s">
        <v>12836</v>
      </c>
      <c r="Y216" s="3"/>
      <c r="Z216" s="3" t="s">
        <v>2543</v>
      </c>
      <c r="AA216" s="3"/>
      <c r="AB216" s="3"/>
      <c r="AC216" s="3" t="s">
        <v>14460</v>
      </c>
      <c r="AD216" s="3">
        <v>175</v>
      </c>
      <c r="AE216" s="3"/>
      <c r="AF216" s="3"/>
      <c r="AG216" s="3" t="s">
        <v>14461</v>
      </c>
      <c r="AH216" s="3" t="s">
        <v>14462</v>
      </c>
      <c r="AI216" s="3" t="s">
        <v>70</v>
      </c>
      <c r="AJ216" s="3" t="s">
        <v>2569</v>
      </c>
      <c r="AK216" s="3" t="s">
        <v>3249</v>
      </c>
      <c r="AL216" s="3" t="s">
        <v>2588</v>
      </c>
      <c r="AM216" s="3">
        <v>0</v>
      </c>
      <c r="AN216" s="3" t="s">
        <v>3890</v>
      </c>
      <c r="AO216" s="3" t="s">
        <v>120</v>
      </c>
      <c r="AP216" s="3"/>
      <c r="AQ216" s="3"/>
      <c r="AR216" s="3"/>
      <c r="AS216" s="7" t="s">
        <v>14463</v>
      </c>
    </row>
    <row r="217" spans="1:45" ht="12.5" hidden="1" x14ac:dyDescent="0.25">
      <c r="A217" s="3" t="s">
        <v>12652</v>
      </c>
      <c r="B217" s="7" t="str">
        <f>HYPERLINK("https://gerandofalcoes.my.salesforce.com/0014X00002VKCsMQAX", "0014X00002VKCsMQAX")</f>
        <v>0014X00002VKCsMQAX</v>
      </c>
      <c r="C217" s="3" t="s">
        <v>7338</v>
      </c>
      <c r="D217" s="3" t="s">
        <v>46</v>
      </c>
      <c r="E217" s="21" t="str">
        <f>HYPERLINK("https://gerandofalcoes.my.salesforce.com/0034X0000380O4z", "0034X0000380O4z")</f>
        <v>0034X0000380O4z</v>
      </c>
      <c r="F217" s="3" t="s">
        <v>2636</v>
      </c>
      <c r="G217" s="3" t="s">
        <v>14464</v>
      </c>
      <c r="H217" s="3" t="s">
        <v>2538</v>
      </c>
      <c r="I217" s="3" t="s">
        <v>12741</v>
      </c>
      <c r="J217" s="3">
        <v>33</v>
      </c>
      <c r="K217" s="3" t="s">
        <v>14465</v>
      </c>
      <c r="L217" s="3" t="s">
        <v>7342</v>
      </c>
      <c r="M217" s="8">
        <v>33842</v>
      </c>
      <c r="N217" s="3">
        <v>30</v>
      </c>
      <c r="O217" s="3" t="s">
        <v>14466</v>
      </c>
      <c r="P217" s="3">
        <v>14702035703</v>
      </c>
      <c r="Q217" s="3"/>
      <c r="R217" s="3" t="s">
        <v>12800</v>
      </c>
      <c r="S217" s="3" t="s">
        <v>2998</v>
      </c>
      <c r="T217" s="3" t="s">
        <v>12656</v>
      </c>
      <c r="U217" s="3"/>
      <c r="V217" s="3" t="s">
        <v>14467</v>
      </c>
      <c r="W217" s="3" t="s">
        <v>13271</v>
      </c>
      <c r="X217" s="3" t="s">
        <v>2980</v>
      </c>
      <c r="Y217" s="3" t="s">
        <v>12684</v>
      </c>
      <c r="Z217" s="3" t="s">
        <v>2543</v>
      </c>
      <c r="AA217" s="3"/>
      <c r="AB217" s="3"/>
      <c r="AC217" s="3" t="s">
        <v>14468</v>
      </c>
      <c r="AD217" s="3">
        <v>125</v>
      </c>
      <c r="AE217" s="3" t="s">
        <v>7344</v>
      </c>
      <c r="AF217" s="3" t="s">
        <v>7345</v>
      </c>
      <c r="AG217" s="3" t="s">
        <v>14469</v>
      </c>
      <c r="AH217" s="3" t="s">
        <v>14470</v>
      </c>
      <c r="AI217" s="3" t="s">
        <v>70</v>
      </c>
      <c r="AJ217" s="3" t="s">
        <v>2569</v>
      </c>
      <c r="AK217" s="3" t="s">
        <v>12729</v>
      </c>
      <c r="AL217" s="3" t="s">
        <v>2550</v>
      </c>
      <c r="AM217" s="3">
        <v>5</v>
      </c>
      <c r="AN217" s="3" t="s">
        <v>7216</v>
      </c>
      <c r="AO217" s="3" t="s">
        <v>120</v>
      </c>
      <c r="AP217" s="7" t="s">
        <v>14471</v>
      </c>
      <c r="AQ217" s="7" t="s">
        <v>14471</v>
      </c>
      <c r="AR217" s="3"/>
      <c r="AS217" s="7" t="s">
        <v>14472</v>
      </c>
    </row>
    <row r="218" spans="1:45" ht="12.5" x14ac:dyDescent="0.25">
      <c r="A218" s="3" t="s">
        <v>12652</v>
      </c>
      <c r="B218" s="21" t="str">
        <f>HYPERLINK("https://gerandofalcoes.my.salesforce.com/0014X00002VKCsNQAX", "0014X00002VKCsNQAX")</f>
        <v>0014X00002VKCsNQAX</v>
      </c>
      <c r="C218" s="3" t="s">
        <v>7352</v>
      </c>
      <c r="D218" s="3" t="s">
        <v>46</v>
      </c>
      <c r="E218" s="21" t="str">
        <f>HYPERLINK("https://gerandofalcoes.my.salesforce.com/0034X0000380O5c", "0034X0000380O5c")</f>
        <v>0034X0000380O5c</v>
      </c>
      <c r="F218" s="3" t="s">
        <v>2636</v>
      </c>
      <c r="G218" s="3" t="s">
        <v>14473</v>
      </c>
      <c r="H218" s="3" t="s">
        <v>2538</v>
      </c>
      <c r="I218" s="3" t="s">
        <v>12741</v>
      </c>
      <c r="J218" s="3">
        <v>33</v>
      </c>
      <c r="K218" s="3" t="s">
        <v>14474</v>
      </c>
      <c r="L218" s="3" t="s">
        <v>14475</v>
      </c>
      <c r="M218" s="6">
        <v>32194</v>
      </c>
      <c r="N218" s="3">
        <v>34</v>
      </c>
      <c r="O218" s="3" t="s">
        <v>14476</v>
      </c>
      <c r="P218" s="3">
        <v>12226080732</v>
      </c>
      <c r="Q218" s="3"/>
      <c r="R218" s="3"/>
      <c r="S218" s="3" t="s">
        <v>3417</v>
      </c>
      <c r="T218" s="3" t="s">
        <v>12656</v>
      </c>
      <c r="U218" s="3"/>
      <c r="V218" s="3" t="s">
        <v>14477</v>
      </c>
      <c r="W218" s="3" t="s">
        <v>2576</v>
      </c>
      <c r="X218" s="3" t="s">
        <v>2980</v>
      </c>
      <c r="Y218" s="3"/>
      <c r="Z218" s="3" t="s">
        <v>2543</v>
      </c>
      <c r="AA218" s="3"/>
      <c r="AB218" s="3"/>
      <c r="AC218" s="3" t="s">
        <v>14478</v>
      </c>
      <c r="AD218" s="3">
        <v>200</v>
      </c>
      <c r="AE218" s="3"/>
      <c r="AF218" s="3"/>
      <c r="AG218" s="3" t="s">
        <v>7357</v>
      </c>
      <c r="AH218" s="3" t="s">
        <v>6424</v>
      </c>
      <c r="AI218" s="3" t="s">
        <v>70</v>
      </c>
      <c r="AJ218" s="3" t="s">
        <v>2569</v>
      </c>
      <c r="AK218" s="3" t="s">
        <v>12729</v>
      </c>
      <c r="AL218" s="3" t="s">
        <v>2588</v>
      </c>
      <c r="AM218" s="3">
        <v>6</v>
      </c>
      <c r="AN218" s="3" t="s">
        <v>7216</v>
      </c>
      <c r="AO218" s="3" t="s">
        <v>120</v>
      </c>
      <c r="AP218" s="3"/>
      <c r="AQ218" s="3"/>
      <c r="AS218" s="3"/>
    </row>
    <row r="219" spans="1:45" ht="12.5" x14ac:dyDescent="0.25">
      <c r="A219" s="3" t="s">
        <v>12652</v>
      </c>
      <c r="B219" s="21" t="str">
        <f>HYPERLINK("https://gerandofalcoes.my.salesforce.com/0014X00002VKCsOQAX", "0014X00002VKCsOQAX")</f>
        <v>0014X00002VKCsOQAX</v>
      </c>
      <c r="C219" s="3" t="s">
        <v>7360</v>
      </c>
      <c r="D219" s="3" t="s">
        <v>46</v>
      </c>
      <c r="E219" s="21" t="str">
        <f>HYPERLINK("https://gerandofalcoes.my.salesforce.com/0034X0000380O56", "0034X0000380O56")</f>
        <v>0034X0000380O56</v>
      </c>
      <c r="F219" s="3" t="s">
        <v>2536</v>
      </c>
      <c r="G219" s="3" t="s">
        <v>14479</v>
      </c>
      <c r="H219" s="3" t="s">
        <v>2538</v>
      </c>
      <c r="I219" s="3" t="s">
        <v>12741</v>
      </c>
      <c r="J219" s="3">
        <v>33</v>
      </c>
      <c r="K219" s="3" t="s">
        <v>14480</v>
      </c>
      <c r="L219" s="3">
        <v>21997175097</v>
      </c>
      <c r="M219" s="6">
        <v>30201</v>
      </c>
      <c r="N219" s="3">
        <v>40</v>
      </c>
      <c r="O219" s="3">
        <v>120422209</v>
      </c>
      <c r="P219" s="3">
        <v>9106429742</v>
      </c>
      <c r="Q219" s="3"/>
      <c r="R219" s="3"/>
      <c r="S219" s="3" t="s">
        <v>2998</v>
      </c>
      <c r="T219" s="3" t="s">
        <v>12723</v>
      </c>
      <c r="U219" s="3"/>
      <c r="V219" s="3" t="s">
        <v>14481</v>
      </c>
      <c r="W219" s="3" t="s">
        <v>2541</v>
      </c>
      <c r="X219" s="3" t="s">
        <v>2980</v>
      </c>
      <c r="Y219" s="3"/>
      <c r="Z219" s="3" t="s">
        <v>2543</v>
      </c>
      <c r="AA219" s="3"/>
      <c r="AB219" s="3"/>
      <c r="AC219" s="3" t="s">
        <v>14482</v>
      </c>
      <c r="AD219" s="3">
        <v>58</v>
      </c>
      <c r="AE219" s="3"/>
      <c r="AF219" s="3"/>
      <c r="AG219" s="3" t="s">
        <v>14483</v>
      </c>
      <c r="AH219" s="3">
        <v>21061200</v>
      </c>
      <c r="AI219" s="3" t="s">
        <v>70</v>
      </c>
      <c r="AJ219" s="3" t="s">
        <v>2569</v>
      </c>
      <c r="AK219" s="3" t="s">
        <v>12729</v>
      </c>
      <c r="AL219" s="3" t="s">
        <v>2588</v>
      </c>
      <c r="AM219" s="3">
        <v>3</v>
      </c>
      <c r="AN219" s="3" t="s">
        <v>7216</v>
      </c>
      <c r="AO219" s="3" t="s">
        <v>120</v>
      </c>
      <c r="AP219" s="3"/>
      <c r="AQ219" s="3" t="s">
        <v>7374</v>
      </c>
      <c r="AS219" s="7" t="s">
        <v>14484</v>
      </c>
    </row>
    <row r="220" spans="1:45" ht="12.5" x14ac:dyDescent="0.25">
      <c r="A220" s="3" t="s">
        <v>12652</v>
      </c>
      <c r="B220" s="21" t="str">
        <f>HYPERLINK("https://gerandofalcoes.my.salesforce.com/0014X00002VKCsQQAX", "0014X00002VKCsQQAX")</f>
        <v>0014X00002VKCsQQAX</v>
      </c>
      <c r="C220" s="3" t="s">
        <v>7379</v>
      </c>
      <c r="D220" s="3" t="s">
        <v>46</v>
      </c>
      <c r="E220" s="21" t="str">
        <f>HYPERLINK("https://gerandofalcoes.my.salesforce.com/0034X0000380O57", "0034X0000380O57")</f>
        <v>0034X0000380O57</v>
      </c>
      <c r="F220" s="3" t="s">
        <v>14485</v>
      </c>
      <c r="G220" s="3" t="s">
        <v>14486</v>
      </c>
      <c r="H220" s="3" t="s">
        <v>2538</v>
      </c>
      <c r="I220" s="3" t="s">
        <v>12741</v>
      </c>
      <c r="J220" s="3">
        <v>33</v>
      </c>
      <c r="K220" s="3" t="s">
        <v>14487</v>
      </c>
      <c r="L220" s="3">
        <v>21964530437</v>
      </c>
      <c r="M220" s="6">
        <v>29042</v>
      </c>
      <c r="N220" s="3">
        <v>43</v>
      </c>
      <c r="O220" s="3">
        <v>115264566</v>
      </c>
      <c r="P220" s="3">
        <v>8157984742</v>
      </c>
      <c r="Q220" s="3"/>
      <c r="R220" s="3"/>
      <c r="S220" s="3" t="s">
        <v>2998</v>
      </c>
      <c r="T220" s="3" t="s">
        <v>12723</v>
      </c>
      <c r="U220" s="3"/>
      <c r="V220" s="3" t="s">
        <v>14488</v>
      </c>
      <c r="W220" s="3" t="s">
        <v>2541</v>
      </c>
      <c r="X220" s="3" t="s">
        <v>2980</v>
      </c>
      <c r="Y220" s="3"/>
      <c r="Z220" s="3" t="s">
        <v>2545</v>
      </c>
      <c r="AA220" s="3"/>
      <c r="AB220" s="3"/>
      <c r="AC220" s="3" t="s">
        <v>14489</v>
      </c>
      <c r="AD220" s="3">
        <v>99</v>
      </c>
      <c r="AE220" s="3"/>
      <c r="AF220" s="3"/>
      <c r="AG220" s="3" t="s">
        <v>14490</v>
      </c>
      <c r="AH220" s="3">
        <v>227775130</v>
      </c>
      <c r="AI220" s="3" t="s">
        <v>70</v>
      </c>
      <c r="AJ220" s="3" t="s">
        <v>2569</v>
      </c>
      <c r="AK220" s="3" t="s">
        <v>3249</v>
      </c>
      <c r="AL220" s="3" t="s">
        <v>2550</v>
      </c>
      <c r="AM220" s="3">
        <v>1</v>
      </c>
      <c r="AN220" s="3" t="s">
        <v>7216</v>
      </c>
      <c r="AO220" s="3" t="s">
        <v>120</v>
      </c>
      <c r="AP220" s="3"/>
      <c r="AQ220" s="7" t="s">
        <v>14491</v>
      </c>
      <c r="AS220" s="3"/>
    </row>
    <row r="221" spans="1:45" ht="12.5" hidden="1" x14ac:dyDescent="0.25">
      <c r="A221" s="3" t="s">
        <v>12652</v>
      </c>
      <c r="B221" s="21" t="str">
        <f>HYPERLINK("https://gerandofalcoes.my.salesforce.com/0014X00002VKCsRQAX", "0014X00002VKCsRQAX")</f>
        <v>0014X00002VKCsRQAX</v>
      </c>
      <c r="C221" s="3" t="s">
        <v>7392</v>
      </c>
      <c r="D221" s="3" t="s">
        <v>46</v>
      </c>
      <c r="E221" s="21" t="str">
        <f>HYPERLINK("https://gerandofalcoes.my.salesforce.com/0034X0000380O0a", "0034X0000380O0a")</f>
        <v>0034X0000380O0a</v>
      </c>
      <c r="F221" s="3" t="s">
        <v>3699</v>
      </c>
      <c r="G221" s="3" t="s">
        <v>14492</v>
      </c>
      <c r="H221" s="3" t="s">
        <v>2538</v>
      </c>
      <c r="I221" s="3" t="s">
        <v>12741</v>
      </c>
      <c r="J221" s="3">
        <v>33</v>
      </c>
      <c r="K221" s="3" t="s">
        <v>14493</v>
      </c>
      <c r="L221" s="3" t="s">
        <v>14494</v>
      </c>
      <c r="M221" s="6">
        <v>24896</v>
      </c>
      <c r="N221" s="3">
        <v>54</v>
      </c>
      <c r="O221" s="3" t="s">
        <v>14495</v>
      </c>
      <c r="P221" s="3">
        <v>82274223734</v>
      </c>
      <c r="Q221" s="3"/>
      <c r="R221" s="3" t="s">
        <v>12800</v>
      </c>
      <c r="S221" s="3" t="s">
        <v>3417</v>
      </c>
      <c r="T221" s="3" t="s">
        <v>12656</v>
      </c>
      <c r="U221" s="3"/>
      <c r="V221" s="3" t="s">
        <v>14496</v>
      </c>
      <c r="W221" s="3" t="s">
        <v>4204</v>
      </c>
      <c r="X221" s="3" t="s">
        <v>2980</v>
      </c>
      <c r="Y221" s="3" t="s">
        <v>12684</v>
      </c>
      <c r="Z221" s="3" t="s">
        <v>2543</v>
      </c>
      <c r="AA221" s="3"/>
      <c r="AB221" s="3"/>
      <c r="AC221" s="3" t="s">
        <v>14497</v>
      </c>
      <c r="AD221" s="3">
        <v>118</v>
      </c>
      <c r="AE221" s="3" t="s">
        <v>1539</v>
      </c>
      <c r="AF221" s="3" t="s">
        <v>760</v>
      </c>
      <c r="AG221" s="3" t="s">
        <v>11864</v>
      </c>
      <c r="AH221" s="3" t="s">
        <v>7398</v>
      </c>
      <c r="AI221" s="3" t="s">
        <v>70</v>
      </c>
      <c r="AJ221" s="3" t="s">
        <v>2569</v>
      </c>
      <c r="AK221" s="3" t="s">
        <v>3249</v>
      </c>
      <c r="AL221" s="3" t="s">
        <v>3385</v>
      </c>
      <c r="AM221" s="3">
        <v>6</v>
      </c>
      <c r="AN221" s="3" t="s">
        <v>7216</v>
      </c>
      <c r="AO221" s="3" t="s">
        <v>120</v>
      </c>
      <c r="AP221" s="3" t="s">
        <v>14498</v>
      </c>
      <c r="AQ221" s="3" t="s">
        <v>14499</v>
      </c>
      <c r="AS221" s="7" t="s">
        <v>14500</v>
      </c>
    </row>
    <row r="222" spans="1:45" ht="12.5" hidden="1" x14ac:dyDescent="0.25">
      <c r="A222" s="3" t="s">
        <v>12652</v>
      </c>
      <c r="B222" s="21" t="str">
        <f>HYPERLINK("https://gerandofalcoes.my.salesforce.com/0014X00002VKCsSQAX", "0014X00002VKCsSQAX")</f>
        <v>0014X00002VKCsSQAX</v>
      </c>
      <c r="C222" s="3" t="s">
        <v>7401</v>
      </c>
      <c r="D222" s="3" t="s">
        <v>46</v>
      </c>
      <c r="E222" s="21" t="str">
        <f>HYPERLINK("https://gerandofalcoes.my.salesforce.com/0034X0000380O3r", "0034X0000380O3r")</f>
        <v>0034X0000380O3r</v>
      </c>
      <c r="F222" s="3" t="s">
        <v>14501</v>
      </c>
      <c r="G222" s="3" t="s">
        <v>14502</v>
      </c>
      <c r="H222" s="3" t="s">
        <v>2538</v>
      </c>
      <c r="I222" s="3" t="s">
        <v>12741</v>
      </c>
      <c r="J222" s="3">
        <v>33</v>
      </c>
      <c r="K222" s="3" t="s">
        <v>14503</v>
      </c>
      <c r="L222" s="3" t="s">
        <v>7405</v>
      </c>
      <c r="M222" s="6">
        <v>31694</v>
      </c>
      <c r="N222" s="3">
        <v>36</v>
      </c>
      <c r="O222" s="3">
        <v>125216523</v>
      </c>
      <c r="P222" s="3">
        <v>6439530437</v>
      </c>
      <c r="Q222" s="3"/>
      <c r="R222" s="3" t="s">
        <v>12800</v>
      </c>
      <c r="S222" s="3" t="s">
        <v>3417</v>
      </c>
      <c r="T222" s="3" t="s">
        <v>12682</v>
      </c>
      <c r="U222" s="3"/>
      <c r="V222" s="3" t="s">
        <v>14504</v>
      </c>
      <c r="W222" s="3" t="s">
        <v>12664</v>
      </c>
      <c r="X222" s="3" t="s">
        <v>2980</v>
      </c>
      <c r="Y222" s="3" t="s">
        <v>12684</v>
      </c>
      <c r="Z222" s="3" t="s">
        <v>2545</v>
      </c>
      <c r="AA222" s="3"/>
      <c r="AB222" s="3"/>
      <c r="AC222" s="3" t="s">
        <v>14505</v>
      </c>
      <c r="AD222" s="3">
        <v>68</v>
      </c>
      <c r="AE222" s="3" t="s">
        <v>14277</v>
      </c>
      <c r="AF222" s="3" t="s">
        <v>73</v>
      </c>
      <c r="AG222" s="3" t="s">
        <v>14506</v>
      </c>
      <c r="AH222" s="3" t="s">
        <v>14507</v>
      </c>
      <c r="AI222" s="3" t="s">
        <v>70</v>
      </c>
      <c r="AJ222" s="3" t="s">
        <v>2741</v>
      </c>
      <c r="AK222" s="3" t="s">
        <v>12828</v>
      </c>
      <c r="AL222" s="3" t="s">
        <v>2588</v>
      </c>
      <c r="AM222" s="3">
        <v>2</v>
      </c>
      <c r="AN222" s="3" t="s">
        <v>7216</v>
      </c>
      <c r="AO222" s="3" t="s">
        <v>120</v>
      </c>
      <c r="AP222" s="3"/>
      <c r="AQ222" s="7" t="s">
        <v>14508</v>
      </c>
      <c r="AS222" s="7" t="s">
        <v>14509</v>
      </c>
    </row>
    <row r="223" spans="1:45" ht="12.5" hidden="1" x14ac:dyDescent="0.25">
      <c r="A223" s="3" t="s">
        <v>12652</v>
      </c>
      <c r="B223" s="7" t="str">
        <f>HYPERLINK("https://gerandofalcoes.my.salesforce.com/0014X00002VKCtVQAX", "0014X00002VKCtVQAX")</f>
        <v>0014X00002VKCtVQAX</v>
      </c>
      <c r="C223" s="3" t="s">
        <v>7417</v>
      </c>
      <c r="D223" s="3" t="s">
        <v>46</v>
      </c>
      <c r="E223" s="21" t="str">
        <f>HYPERLINK("https://gerandofalcoes.my.salesforce.com/0034X0000380O1w", "0034X0000380O1w")</f>
        <v>0034X0000380O1w</v>
      </c>
      <c r="F223" s="3" t="s">
        <v>14510</v>
      </c>
      <c r="G223" s="3" t="s">
        <v>14511</v>
      </c>
      <c r="H223" s="3" t="s">
        <v>2538</v>
      </c>
      <c r="I223" s="3" t="s">
        <v>12741</v>
      </c>
      <c r="J223" s="3"/>
      <c r="K223" s="3" t="s">
        <v>14512</v>
      </c>
      <c r="L223" s="3" t="s">
        <v>7419</v>
      </c>
      <c r="M223" s="6">
        <v>28510</v>
      </c>
      <c r="N223" s="3">
        <v>44</v>
      </c>
      <c r="O223" s="3">
        <v>1621466</v>
      </c>
      <c r="P223" s="3">
        <v>2687394475</v>
      </c>
      <c r="Q223" s="3"/>
      <c r="R223" s="3" t="s">
        <v>12800</v>
      </c>
      <c r="S223" s="3" t="s">
        <v>3137</v>
      </c>
      <c r="T223" s="3" t="s">
        <v>12723</v>
      </c>
      <c r="U223" s="3"/>
      <c r="V223" s="3" t="s">
        <v>14513</v>
      </c>
      <c r="W223" s="3" t="s">
        <v>12664</v>
      </c>
      <c r="X223" s="3" t="s">
        <v>2980</v>
      </c>
      <c r="Y223" s="3" t="s">
        <v>12658</v>
      </c>
      <c r="Z223" s="3" t="s">
        <v>2543</v>
      </c>
      <c r="AA223" s="3" t="s">
        <v>2577</v>
      </c>
      <c r="AB223" s="3" t="s">
        <v>2543</v>
      </c>
      <c r="AC223" s="3" t="s">
        <v>14514</v>
      </c>
      <c r="AD223" s="3">
        <v>162</v>
      </c>
      <c r="AE223" s="3"/>
      <c r="AF223" s="3" t="s">
        <v>6725</v>
      </c>
      <c r="AG223" s="3" t="s">
        <v>14515</v>
      </c>
      <c r="AH223" s="3" t="s">
        <v>7423</v>
      </c>
      <c r="AI223" s="3" t="s">
        <v>195</v>
      </c>
      <c r="AJ223" s="3" t="s">
        <v>2569</v>
      </c>
      <c r="AK223" s="3" t="s">
        <v>3249</v>
      </c>
      <c r="AL223" s="3" t="s">
        <v>2550</v>
      </c>
      <c r="AM223" s="3">
        <v>1</v>
      </c>
      <c r="AN223" s="3" t="s">
        <v>7216</v>
      </c>
      <c r="AO223" s="3" t="s">
        <v>14516</v>
      </c>
      <c r="AP223" s="3"/>
      <c r="AQ223" s="7" t="s">
        <v>14517</v>
      </c>
      <c r="AR223" s="3"/>
      <c r="AS223" s="7" t="s">
        <v>14518</v>
      </c>
    </row>
    <row r="224" spans="1:45" ht="12.5" hidden="1" x14ac:dyDescent="0.25">
      <c r="A224" s="3" t="s">
        <v>12652</v>
      </c>
      <c r="B224" s="7" t="str">
        <f>HYPERLINK("https://gerandofalcoes.my.salesforce.com/0014X00002VKCtWQAX", "0014X00002VKCtWQAX")</f>
        <v>0014X00002VKCtWQAX</v>
      </c>
      <c r="C224" s="3" t="s">
        <v>7429</v>
      </c>
      <c r="D224" s="3" t="s">
        <v>46</v>
      </c>
      <c r="E224" s="21" t="str">
        <f>HYPERLINK("https://gerandofalcoes.my.salesforce.com/0034X0000380O1l", "0034X0000380O1l")</f>
        <v>0034X0000380O1l</v>
      </c>
      <c r="F224" s="3" t="s">
        <v>14519</v>
      </c>
      <c r="G224" s="3" t="s">
        <v>14520</v>
      </c>
      <c r="H224" s="3" t="s">
        <v>2538</v>
      </c>
      <c r="I224" s="3" t="s">
        <v>12741</v>
      </c>
      <c r="J224" s="3">
        <v>33</v>
      </c>
      <c r="K224" s="3" t="s">
        <v>14521</v>
      </c>
      <c r="L224" s="3" t="s">
        <v>14522</v>
      </c>
      <c r="M224" s="6">
        <v>30871</v>
      </c>
      <c r="N224" s="3">
        <v>38</v>
      </c>
      <c r="O224" s="3">
        <v>2916089</v>
      </c>
      <c r="P224" s="3">
        <v>5275593422</v>
      </c>
      <c r="Q224" s="3"/>
      <c r="R224" s="3" t="s">
        <v>14523</v>
      </c>
      <c r="S224" s="3" t="s">
        <v>2998</v>
      </c>
      <c r="T224" s="3" t="s">
        <v>12656</v>
      </c>
      <c r="U224" s="3"/>
      <c r="V224" s="3" t="s">
        <v>14524</v>
      </c>
      <c r="W224" s="3" t="s">
        <v>12664</v>
      </c>
      <c r="X224" s="3" t="s">
        <v>2980</v>
      </c>
      <c r="Y224" s="3" t="s">
        <v>12670</v>
      </c>
      <c r="Z224" s="3" t="s">
        <v>2543</v>
      </c>
      <c r="AA224" s="3" t="s">
        <v>2544</v>
      </c>
      <c r="AB224" s="3" t="s">
        <v>2545</v>
      </c>
      <c r="AC224" s="3" t="s">
        <v>14525</v>
      </c>
      <c r="AD224" s="3">
        <v>170</v>
      </c>
      <c r="AE224" s="3" t="s">
        <v>14526</v>
      </c>
      <c r="AF224" s="3" t="s">
        <v>9298</v>
      </c>
      <c r="AG224" s="3" t="s">
        <v>14527</v>
      </c>
      <c r="AH224" s="3" t="s">
        <v>14423</v>
      </c>
      <c r="AI224" s="3" t="s">
        <v>1171</v>
      </c>
      <c r="AJ224" s="3" t="s">
        <v>2569</v>
      </c>
      <c r="AK224" s="3" t="s">
        <v>3249</v>
      </c>
      <c r="AL224" s="3" t="s">
        <v>2588</v>
      </c>
      <c r="AM224" s="3">
        <v>4</v>
      </c>
      <c r="AN224" s="3" t="s">
        <v>7216</v>
      </c>
      <c r="AO224" s="3" t="s">
        <v>120</v>
      </c>
      <c r="AP224" s="3"/>
      <c r="AQ224" s="3" t="s">
        <v>14528</v>
      </c>
      <c r="AR224" s="3"/>
      <c r="AS224" s="7" t="s">
        <v>14529</v>
      </c>
    </row>
    <row r="225" spans="1:45" ht="12.5" x14ac:dyDescent="0.25">
      <c r="A225" s="3" t="s">
        <v>12652</v>
      </c>
      <c r="B225" s="7" t="str">
        <f>HYPERLINK("https://gerandofalcoes.my.salesforce.com/0014X00002VKCtXQAX", "0014X00002VKCtXQAX")</f>
        <v>0014X00002VKCtXQAX</v>
      </c>
      <c r="C225" s="3" t="s">
        <v>7449</v>
      </c>
      <c r="D225" s="3" t="s">
        <v>46</v>
      </c>
      <c r="E225" s="21" t="str">
        <f>HYPERLINK("https://gerandofalcoes.my.salesforce.com/0034X0000380O3j", "0034X0000380O3j")</f>
        <v>0034X0000380O3j</v>
      </c>
      <c r="F225" s="3" t="s">
        <v>2678</v>
      </c>
      <c r="G225" s="3" t="s">
        <v>14530</v>
      </c>
      <c r="H225" s="3" t="s">
        <v>2538</v>
      </c>
      <c r="I225" s="3" t="s">
        <v>12741</v>
      </c>
      <c r="J225" s="3">
        <v>33</v>
      </c>
      <c r="K225" s="3" t="s">
        <v>14531</v>
      </c>
      <c r="L225" s="3">
        <v>84991364195</v>
      </c>
      <c r="M225" s="6">
        <v>22778</v>
      </c>
      <c r="N225" s="3">
        <v>60</v>
      </c>
      <c r="O225" s="3">
        <v>2115394</v>
      </c>
      <c r="P225" s="3">
        <v>16027019204</v>
      </c>
      <c r="Q225" s="3"/>
      <c r="R225" s="3"/>
      <c r="S225" s="3" t="s">
        <v>2998</v>
      </c>
      <c r="T225" s="3" t="s">
        <v>3213</v>
      </c>
      <c r="U225" s="3"/>
      <c r="V225" s="3" t="s">
        <v>14532</v>
      </c>
      <c r="W225" s="3" t="s">
        <v>2541</v>
      </c>
      <c r="X225" s="3" t="s">
        <v>2980</v>
      </c>
      <c r="Y225" s="3"/>
      <c r="Z225" s="3" t="s">
        <v>2543</v>
      </c>
      <c r="AA225" s="3" t="s">
        <v>2577</v>
      </c>
      <c r="AB225" s="3" t="s">
        <v>2543</v>
      </c>
      <c r="AC225" s="3" t="s">
        <v>14533</v>
      </c>
      <c r="AD225" s="3">
        <v>210</v>
      </c>
      <c r="AE225" s="3"/>
      <c r="AF225" s="3"/>
      <c r="AG225" s="3" t="s">
        <v>14534</v>
      </c>
      <c r="AH225" s="3">
        <v>59090470</v>
      </c>
      <c r="AI225" s="3" t="s">
        <v>195</v>
      </c>
      <c r="AJ225" s="3" t="s">
        <v>2569</v>
      </c>
      <c r="AK225" s="3" t="s">
        <v>12661</v>
      </c>
      <c r="AL225" s="3" t="s">
        <v>2550</v>
      </c>
      <c r="AM225" s="3">
        <v>3</v>
      </c>
      <c r="AN225" s="3"/>
      <c r="AO225" s="3" t="s">
        <v>120</v>
      </c>
      <c r="AP225" s="3"/>
      <c r="AQ225" s="7" t="s">
        <v>14535</v>
      </c>
      <c r="AR225" s="3"/>
      <c r="AS225" s="7" t="s">
        <v>14536</v>
      </c>
    </row>
    <row r="226" spans="1:45" ht="12.5" x14ac:dyDescent="0.25">
      <c r="A226" s="3" t="s">
        <v>12652</v>
      </c>
      <c r="B226" s="7" t="str">
        <f>HYPERLINK("https://gerandofalcoes.my.salesforce.com/0014X00002VKCtYQAX", "0014X00002VKCtYQAX")</f>
        <v>0014X00002VKCtYQAX</v>
      </c>
      <c r="C226" s="3" t="s">
        <v>7465</v>
      </c>
      <c r="D226" s="3" t="s">
        <v>46</v>
      </c>
      <c r="E226" s="21" t="str">
        <f>HYPERLINK("https://gerandofalcoes.my.salesforce.com/0034X0000380O1T", "0034X0000380O1T")</f>
        <v>0034X0000380O1T</v>
      </c>
      <c r="F226" s="3" t="s">
        <v>2678</v>
      </c>
      <c r="G226" s="3" t="s">
        <v>14537</v>
      </c>
      <c r="H226" s="3" t="s">
        <v>2538</v>
      </c>
      <c r="I226" s="3" t="s">
        <v>12741</v>
      </c>
      <c r="J226" s="3">
        <v>33</v>
      </c>
      <c r="K226" s="3" t="s">
        <v>7468</v>
      </c>
      <c r="L226" s="3" t="s">
        <v>14538</v>
      </c>
      <c r="M226" s="6">
        <v>25386</v>
      </c>
      <c r="N226" s="3">
        <v>53</v>
      </c>
      <c r="O226" s="3">
        <v>1217748</v>
      </c>
      <c r="P226" s="3">
        <v>2971794466</v>
      </c>
      <c r="Q226" s="3"/>
      <c r="R226" s="3"/>
      <c r="S226" s="3" t="s">
        <v>2998</v>
      </c>
      <c r="T226" s="3" t="s">
        <v>12723</v>
      </c>
      <c r="U226" s="3"/>
      <c r="V226" s="3" t="s">
        <v>14539</v>
      </c>
      <c r="W226" s="3" t="s">
        <v>2541</v>
      </c>
      <c r="X226" s="3" t="s">
        <v>2980</v>
      </c>
      <c r="Y226" s="3"/>
      <c r="Z226" s="3" t="s">
        <v>2543</v>
      </c>
      <c r="AA226" s="3"/>
      <c r="AB226" s="3"/>
      <c r="AC226" s="3" t="s">
        <v>14540</v>
      </c>
      <c r="AD226" s="3">
        <v>1120</v>
      </c>
      <c r="AE226" s="3"/>
      <c r="AF226" s="3"/>
      <c r="AG226" s="3" t="s">
        <v>14541</v>
      </c>
      <c r="AH226" s="3" t="s">
        <v>7472</v>
      </c>
      <c r="AI226" s="3" t="s">
        <v>195</v>
      </c>
      <c r="AJ226" s="3" t="s">
        <v>2569</v>
      </c>
      <c r="AK226" s="3" t="s">
        <v>12674</v>
      </c>
      <c r="AL226" s="3" t="s">
        <v>2550</v>
      </c>
      <c r="AM226" s="3">
        <v>2</v>
      </c>
      <c r="AN226" s="3" t="s">
        <v>7216</v>
      </c>
      <c r="AO226" s="3" t="s">
        <v>120</v>
      </c>
      <c r="AP226" s="3"/>
      <c r="AQ226" s="3"/>
      <c r="AR226" s="3"/>
      <c r="AS226" s="7" t="s">
        <v>14542</v>
      </c>
    </row>
    <row r="227" spans="1:45" ht="12.5" hidden="1" x14ac:dyDescent="0.25">
      <c r="A227" s="3" t="s">
        <v>12652</v>
      </c>
      <c r="B227" s="7" t="str">
        <f>HYPERLINK("https://gerandofalcoes.my.salesforce.com/0014X00002VKCtZQAX", "0014X00002VKCtZQAX")</f>
        <v>0014X00002VKCtZQAX</v>
      </c>
      <c r="C227" s="3" t="s">
        <v>7482</v>
      </c>
      <c r="D227" s="3" t="s">
        <v>46</v>
      </c>
      <c r="E227" s="21" t="str">
        <f>HYPERLINK("https://gerandofalcoes.my.salesforce.com/0034X0000380O6m", "0034X0000380O6m")</f>
        <v>0034X0000380O6m</v>
      </c>
      <c r="F227" s="3" t="s">
        <v>2678</v>
      </c>
      <c r="G227" s="3" t="s">
        <v>14543</v>
      </c>
      <c r="H227" s="3" t="s">
        <v>2538</v>
      </c>
      <c r="I227" s="3" t="s">
        <v>12741</v>
      </c>
      <c r="J227" s="3">
        <v>33</v>
      </c>
      <c r="K227" s="3" t="s">
        <v>4009</v>
      </c>
      <c r="L227" s="3" t="s">
        <v>4010</v>
      </c>
      <c r="M227" s="8">
        <v>33648</v>
      </c>
      <c r="N227" s="3">
        <v>30</v>
      </c>
      <c r="O227" s="3">
        <v>3057519</v>
      </c>
      <c r="P227" s="3">
        <v>9753242417</v>
      </c>
      <c r="Q227" s="3"/>
      <c r="R227" s="3" t="s">
        <v>14544</v>
      </c>
      <c r="S227" s="3" t="s">
        <v>2998</v>
      </c>
      <c r="T227" s="3" t="s">
        <v>12723</v>
      </c>
      <c r="U227" s="3"/>
      <c r="V227" s="3" t="s">
        <v>14545</v>
      </c>
      <c r="W227" s="3" t="s">
        <v>4204</v>
      </c>
      <c r="X227" s="3" t="s">
        <v>2980</v>
      </c>
      <c r="Y227" s="3" t="s">
        <v>12684</v>
      </c>
      <c r="Z227" s="3" t="s">
        <v>2543</v>
      </c>
      <c r="AA227" s="3" t="s">
        <v>2544</v>
      </c>
      <c r="AB227" s="3" t="s">
        <v>2543</v>
      </c>
      <c r="AC227" s="3" t="s">
        <v>4011</v>
      </c>
      <c r="AD227" s="3">
        <v>5</v>
      </c>
      <c r="AE227" s="3" t="s">
        <v>1539</v>
      </c>
      <c r="AF227" s="3" t="s">
        <v>4013</v>
      </c>
      <c r="AG227" s="3" t="s">
        <v>4012</v>
      </c>
      <c r="AH227" s="3" t="s">
        <v>4014</v>
      </c>
      <c r="AI227" s="3" t="s">
        <v>195</v>
      </c>
      <c r="AJ227" s="3" t="s">
        <v>2569</v>
      </c>
      <c r="AK227" s="3" t="s">
        <v>3249</v>
      </c>
      <c r="AL227" s="3" t="s">
        <v>2550</v>
      </c>
      <c r="AM227" s="3">
        <v>7</v>
      </c>
      <c r="AN227" s="3" t="s">
        <v>7216</v>
      </c>
      <c r="AO227" s="3" t="s">
        <v>120</v>
      </c>
      <c r="AP227" s="3" t="s">
        <v>4009</v>
      </c>
      <c r="AQ227" s="3" t="s">
        <v>4009</v>
      </c>
      <c r="AR227" s="3"/>
      <c r="AS227" s="7" t="s">
        <v>14546</v>
      </c>
    </row>
    <row r="228" spans="1:45" ht="12.5" x14ac:dyDescent="0.25">
      <c r="A228" s="3" t="s">
        <v>12652</v>
      </c>
      <c r="B228" s="7" t="str">
        <f>HYPERLINK("https://gerandofalcoes.my.salesforce.com/0014X00002VKCtaQAH", "0014X00002VKCtaQAH")</f>
        <v>0014X00002VKCtaQAH</v>
      </c>
      <c r="C228" s="3" t="s">
        <v>7487</v>
      </c>
      <c r="D228" s="3" t="s">
        <v>46</v>
      </c>
      <c r="E228" s="21" t="str">
        <f>HYPERLINK("https://gerandofalcoes.my.salesforce.com/0034X0000380O5p", "0034X0000380O5p")</f>
        <v>0034X0000380O5p</v>
      </c>
      <c r="F228" s="3" t="s">
        <v>2678</v>
      </c>
      <c r="G228" s="3" t="s">
        <v>14547</v>
      </c>
      <c r="H228" s="3" t="s">
        <v>2538</v>
      </c>
      <c r="I228" s="3" t="s">
        <v>12741</v>
      </c>
      <c r="J228" s="3">
        <v>33</v>
      </c>
      <c r="K228" s="3" t="s">
        <v>7491</v>
      </c>
      <c r="L228" s="3">
        <v>83988567721</v>
      </c>
      <c r="M228" s="6">
        <v>26302</v>
      </c>
      <c r="N228" s="3">
        <v>50</v>
      </c>
      <c r="O228" s="3">
        <v>2234843</v>
      </c>
      <c r="P228" s="3">
        <v>2959652401</v>
      </c>
      <c r="Q228" s="3"/>
      <c r="R228" s="3"/>
      <c r="S228" s="3" t="s">
        <v>3137</v>
      </c>
      <c r="T228" s="3" t="s">
        <v>12723</v>
      </c>
      <c r="U228" s="3"/>
      <c r="V228" s="3" t="s">
        <v>14548</v>
      </c>
      <c r="W228" s="3" t="s">
        <v>2541</v>
      </c>
      <c r="X228" s="3" t="s">
        <v>2980</v>
      </c>
      <c r="Y228" s="3"/>
      <c r="Z228" s="3" t="s">
        <v>2543</v>
      </c>
      <c r="AA228" s="3"/>
      <c r="AB228" s="3"/>
      <c r="AC228" s="3" t="s">
        <v>14549</v>
      </c>
      <c r="AD228" s="3">
        <v>29</v>
      </c>
      <c r="AE228" s="3"/>
      <c r="AF228" s="3"/>
      <c r="AG228" s="3" t="s">
        <v>647</v>
      </c>
      <c r="AH228" s="3" t="s">
        <v>7496</v>
      </c>
      <c r="AI228" s="3" t="s">
        <v>1171</v>
      </c>
      <c r="AJ228" s="3" t="s">
        <v>2569</v>
      </c>
      <c r="AK228" s="3" t="s">
        <v>3249</v>
      </c>
      <c r="AL228" s="3" t="s">
        <v>2550</v>
      </c>
      <c r="AM228" s="3">
        <v>2</v>
      </c>
      <c r="AN228" s="3" t="s">
        <v>7216</v>
      </c>
      <c r="AO228" s="3" t="s">
        <v>62</v>
      </c>
      <c r="AP228" s="3"/>
      <c r="AQ228" s="3"/>
      <c r="AR228" s="3"/>
      <c r="AS228" s="7" t="s">
        <v>14550</v>
      </c>
    </row>
    <row r="229" spans="1:45" ht="12.5" x14ac:dyDescent="0.25">
      <c r="A229" s="3" t="s">
        <v>12652</v>
      </c>
      <c r="B229" s="7" t="str">
        <f>HYPERLINK("https://gerandofalcoes.my.salesforce.com/0014X00002VKCtbQAH", "0014X00002VKCtbQAH")</f>
        <v>0014X00002VKCtbQAH</v>
      </c>
      <c r="C229" s="3" t="s">
        <v>7507</v>
      </c>
      <c r="D229" s="3" t="s">
        <v>46</v>
      </c>
      <c r="E229" s="21" t="str">
        <f>HYPERLINK("https://gerandofalcoes.my.salesforce.com/0034X0000380O3G", "0034X0000380O3G")</f>
        <v>0034X0000380O3G</v>
      </c>
      <c r="F229" s="3" t="s">
        <v>14551</v>
      </c>
      <c r="G229" s="3" t="s">
        <v>14552</v>
      </c>
      <c r="H229" s="3" t="s">
        <v>2538</v>
      </c>
      <c r="I229" s="3" t="s">
        <v>12741</v>
      </c>
      <c r="J229" s="3"/>
      <c r="K229" s="3" t="s">
        <v>14553</v>
      </c>
      <c r="L229" s="3">
        <v>92994164491</v>
      </c>
      <c r="M229" s="6">
        <v>27943</v>
      </c>
      <c r="N229" s="3">
        <v>46</v>
      </c>
      <c r="O229" s="3" t="s">
        <v>14554</v>
      </c>
      <c r="P229" s="3">
        <v>58837833253</v>
      </c>
      <c r="Q229" s="3"/>
      <c r="R229" s="3"/>
      <c r="S229" s="3" t="s">
        <v>12864</v>
      </c>
      <c r="T229" s="3" t="s">
        <v>12723</v>
      </c>
      <c r="U229" s="3"/>
      <c r="V229" s="3" t="s">
        <v>14555</v>
      </c>
      <c r="W229" s="3" t="s">
        <v>2541</v>
      </c>
      <c r="X229" s="3" t="s">
        <v>2980</v>
      </c>
      <c r="Y229" s="3"/>
      <c r="Z229" s="3" t="s">
        <v>2543</v>
      </c>
      <c r="AA229" s="3" t="s">
        <v>2544</v>
      </c>
      <c r="AB229" s="3" t="s">
        <v>2545</v>
      </c>
      <c r="AC229" s="3" t="s">
        <v>14556</v>
      </c>
      <c r="AD229" s="3">
        <v>119</v>
      </c>
      <c r="AE229" s="3"/>
      <c r="AF229" s="3"/>
      <c r="AG229" s="3" t="s">
        <v>14557</v>
      </c>
      <c r="AH229" s="3" t="s">
        <v>7515</v>
      </c>
      <c r="AI229" s="3" t="s">
        <v>1871</v>
      </c>
      <c r="AJ229" s="3" t="s">
        <v>2569</v>
      </c>
      <c r="AK229" s="3" t="s">
        <v>12661</v>
      </c>
      <c r="AL229" s="3" t="s">
        <v>2550</v>
      </c>
      <c r="AM229" s="3">
        <v>4</v>
      </c>
      <c r="AN229" s="3" t="s">
        <v>7216</v>
      </c>
      <c r="AO229" s="3" t="s">
        <v>120</v>
      </c>
      <c r="AP229" s="3"/>
      <c r="AQ229" s="7" t="s">
        <v>14558</v>
      </c>
      <c r="AR229" s="3"/>
      <c r="AS229" s="7" t="s">
        <v>14559</v>
      </c>
    </row>
    <row r="230" spans="1:45" ht="12.5" x14ac:dyDescent="0.25">
      <c r="A230" s="3" t="s">
        <v>12652</v>
      </c>
      <c r="B230" s="7" t="str">
        <f>HYPERLINK("https://gerandofalcoes.my.salesforce.com/0014X00002VKCtdQAH", "0014X00002VKCtdQAH")</f>
        <v>0014X00002VKCtdQAH</v>
      </c>
      <c r="C230" s="3" t="s">
        <v>7523</v>
      </c>
      <c r="D230" s="3" t="s">
        <v>46</v>
      </c>
      <c r="E230" s="21" t="str">
        <f>HYPERLINK("https://gerandofalcoes.my.salesforce.com/0034X0000380O4E", "0034X0000380O4E")</f>
        <v>0034X0000380O4E</v>
      </c>
      <c r="F230" s="3" t="s">
        <v>14560</v>
      </c>
      <c r="G230" s="3" t="s">
        <v>14561</v>
      </c>
      <c r="H230" s="3" t="s">
        <v>2538</v>
      </c>
      <c r="I230" s="3" t="s">
        <v>12741</v>
      </c>
      <c r="J230" s="3"/>
      <c r="K230" s="3" t="s">
        <v>14562</v>
      </c>
      <c r="L230" s="3">
        <v>92988017520</v>
      </c>
      <c r="M230" s="6">
        <v>34795</v>
      </c>
      <c r="N230" s="3">
        <v>27</v>
      </c>
      <c r="O230" s="3" t="s">
        <v>14563</v>
      </c>
      <c r="P230" s="3">
        <v>2098151241</v>
      </c>
      <c r="Q230" s="3"/>
      <c r="R230" s="3"/>
      <c r="S230" s="3" t="s">
        <v>3137</v>
      </c>
      <c r="T230" s="3" t="s">
        <v>12723</v>
      </c>
      <c r="U230" s="3"/>
      <c r="V230" s="3" t="s">
        <v>14564</v>
      </c>
      <c r="W230" s="3" t="s">
        <v>2541</v>
      </c>
      <c r="X230" s="3" t="s">
        <v>3365</v>
      </c>
      <c r="Y230" s="3"/>
      <c r="Z230" s="3" t="s">
        <v>2543</v>
      </c>
      <c r="AA230" s="3" t="s">
        <v>2577</v>
      </c>
      <c r="AB230" s="3" t="s">
        <v>2545</v>
      </c>
      <c r="AC230" s="3" t="s">
        <v>14565</v>
      </c>
      <c r="AD230" s="3">
        <v>95</v>
      </c>
      <c r="AE230" s="3"/>
      <c r="AF230" s="3"/>
      <c r="AG230" s="3" t="s">
        <v>14566</v>
      </c>
      <c r="AH230" s="3">
        <v>69093141</v>
      </c>
      <c r="AI230" s="3" t="s">
        <v>1871</v>
      </c>
      <c r="AJ230" s="3" t="s">
        <v>2569</v>
      </c>
      <c r="AK230" s="3" t="s">
        <v>12661</v>
      </c>
      <c r="AL230" s="3" t="s">
        <v>2579</v>
      </c>
      <c r="AM230" s="3">
        <v>1</v>
      </c>
      <c r="AN230" s="3" t="s">
        <v>7216</v>
      </c>
      <c r="AO230" s="3" t="s">
        <v>120</v>
      </c>
      <c r="AP230" s="7" t="s">
        <v>14567</v>
      </c>
      <c r="AQ230" s="7" t="s">
        <v>14568</v>
      </c>
      <c r="AR230" s="3"/>
      <c r="AS230" s="7" t="s">
        <v>14569</v>
      </c>
    </row>
    <row r="231" spans="1:45" ht="12.5" x14ac:dyDescent="0.25">
      <c r="A231" s="3" t="s">
        <v>12652</v>
      </c>
      <c r="B231" s="7" t="str">
        <f>HYPERLINK("https://gerandofalcoes.my.salesforce.com/0014X00002VKCteQAH", "0014X00002VKCteQAH")</f>
        <v>0014X00002VKCteQAH</v>
      </c>
      <c r="C231" s="3" t="s">
        <v>7533</v>
      </c>
      <c r="D231" s="3" t="s">
        <v>46</v>
      </c>
      <c r="E231" s="21" t="str">
        <f>HYPERLINK("https://gerandofalcoes.my.salesforce.com/0034X0000380O6E", "0034X0000380O6E")</f>
        <v>0034X0000380O6E</v>
      </c>
      <c r="F231" s="3" t="s">
        <v>14570</v>
      </c>
      <c r="G231" s="3" t="s">
        <v>14571</v>
      </c>
      <c r="H231" s="3" t="s">
        <v>2538</v>
      </c>
      <c r="I231" s="3" t="s">
        <v>12741</v>
      </c>
      <c r="J231" s="3">
        <v>33</v>
      </c>
      <c r="K231" s="3" t="s">
        <v>7536</v>
      </c>
      <c r="L231" s="3">
        <v>84988776684</v>
      </c>
      <c r="M231" s="8">
        <v>27507</v>
      </c>
      <c r="N231" s="3">
        <v>47</v>
      </c>
      <c r="O231" s="3">
        <v>1466133</v>
      </c>
      <c r="P231" s="3">
        <v>96964944400</v>
      </c>
      <c r="Q231" s="3"/>
      <c r="R231" s="3"/>
      <c r="S231" s="3" t="s">
        <v>3137</v>
      </c>
      <c r="T231" s="3" t="s">
        <v>12656</v>
      </c>
      <c r="U231" s="3"/>
      <c r="V231" s="3" t="s">
        <v>14572</v>
      </c>
      <c r="W231" s="3" t="s">
        <v>2541</v>
      </c>
      <c r="X231" s="3" t="s">
        <v>2980</v>
      </c>
      <c r="Y231" s="3"/>
      <c r="Z231" s="3" t="s">
        <v>2543</v>
      </c>
      <c r="AA231" s="3" t="s">
        <v>2544</v>
      </c>
      <c r="AB231" s="3" t="s">
        <v>2543</v>
      </c>
      <c r="AC231" s="3" t="s">
        <v>7538</v>
      </c>
      <c r="AD231" s="3">
        <v>87</v>
      </c>
      <c r="AE231" s="3"/>
      <c r="AF231" s="3"/>
      <c r="AG231" s="3" t="s">
        <v>7539</v>
      </c>
      <c r="AH231" s="3">
        <v>59178000</v>
      </c>
      <c r="AI231" s="3" t="s">
        <v>195</v>
      </c>
      <c r="AJ231" s="3" t="s">
        <v>2741</v>
      </c>
      <c r="AK231" s="3" t="s">
        <v>12674</v>
      </c>
      <c r="AL231" s="3" t="s">
        <v>2550</v>
      </c>
      <c r="AM231" s="3">
        <v>4</v>
      </c>
      <c r="AN231" s="3" t="s">
        <v>7216</v>
      </c>
      <c r="AO231" s="3" t="s">
        <v>120</v>
      </c>
      <c r="AP231" s="3"/>
      <c r="AQ231" s="7" t="s">
        <v>14573</v>
      </c>
      <c r="AR231" s="3"/>
      <c r="AS231" s="7" t="s">
        <v>14574</v>
      </c>
    </row>
    <row r="232" spans="1:45" ht="12.5" x14ac:dyDescent="0.25">
      <c r="A232" s="3" t="s">
        <v>12652</v>
      </c>
      <c r="B232" s="7" t="str">
        <f>HYPERLINK("https://gerandofalcoes.my.salesforce.com/0014X00002VKCtgQAH", "0014X00002VKCtgQAH")</f>
        <v>0014X00002VKCtgQAH</v>
      </c>
      <c r="C232" s="3" t="s">
        <v>7549</v>
      </c>
      <c r="D232" s="3" t="s">
        <v>46</v>
      </c>
      <c r="E232" s="21" t="str">
        <f>HYPERLINK("https://gerandofalcoes.my.salesforce.com/0034X0000380O5S", "0034X0000380O5S")</f>
        <v>0034X0000380O5S</v>
      </c>
      <c r="F232" s="3" t="s">
        <v>2773</v>
      </c>
      <c r="G232" s="3" t="s">
        <v>14575</v>
      </c>
      <c r="H232" s="3" t="s">
        <v>2538</v>
      </c>
      <c r="I232" s="3" t="s">
        <v>12741</v>
      </c>
      <c r="J232" s="3">
        <v>33</v>
      </c>
      <c r="K232" s="3" t="s">
        <v>14576</v>
      </c>
      <c r="L232" s="3">
        <v>51986540984</v>
      </c>
      <c r="M232" s="6">
        <v>25831</v>
      </c>
      <c r="N232" s="3">
        <v>52</v>
      </c>
      <c r="O232" s="3">
        <v>1045017009</v>
      </c>
      <c r="P232" s="3">
        <v>49973614020</v>
      </c>
      <c r="Q232" s="3"/>
      <c r="R232" s="3"/>
      <c r="S232" s="3" t="s">
        <v>3269</v>
      </c>
      <c r="T232" s="3" t="s">
        <v>12723</v>
      </c>
      <c r="U232" s="3"/>
      <c r="V232" s="3" t="s">
        <v>14577</v>
      </c>
      <c r="W232" s="3" t="s">
        <v>2541</v>
      </c>
      <c r="X232" s="3" t="s">
        <v>2980</v>
      </c>
      <c r="Y232" s="3"/>
      <c r="Z232" s="3" t="s">
        <v>2543</v>
      </c>
      <c r="AA232" s="3"/>
      <c r="AB232" s="3"/>
      <c r="AC232" s="3" t="s">
        <v>14578</v>
      </c>
      <c r="AD232" s="3">
        <v>671</v>
      </c>
      <c r="AE232" s="3"/>
      <c r="AF232" s="3"/>
      <c r="AG232" s="3" t="s">
        <v>7552</v>
      </c>
      <c r="AH232" s="3">
        <v>91430680</v>
      </c>
      <c r="AI232" s="3" t="s">
        <v>407</v>
      </c>
      <c r="AJ232" s="3" t="s">
        <v>2741</v>
      </c>
      <c r="AK232" s="3" t="s">
        <v>12828</v>
      </c>
      <c r="AL232" s="3" t="s">
        <v>2550</v>
      </c>
      <c r="AM232" s="3">
        <v>3</v>
      </c>
      <c r="AN232" s="3" t="s">
        <v>7216</v>
      </c>
      <c r="AO232" s="3" t="s">
        <v>120</v>
      </c>
      <c r="AP232" s="3"/>
      <c r="AQ232" s="7" t="s">
        <v>14579</v>
      </c>
      <c r="AR232" s="3"/>
      <c r="AS232" s="7" t="s">
        <v>14580</v>
      </c>
    </row>
    <row r="233" spans="1:45" ht="12.5" x14ac:dyDescent="0.25">
      <c r="A233" s="3" t="s">
        <v>12652</v>
      </c>
      <c r="B233" s="7" t="str">
        <f>HYPERLINK("https://gerandofalcoes.my.salesforce.com/0014X00002VKCtjQAH", "0014X00002VKCtjQAH")</f>
        <v>0014X00002VKCtjQAH</v>
      </c>
      <c r="C233" s="3" t="s">
        <v>7559</v>
      </c>
      <c r="D233" s="3" t="s">
        <v>46</v>
      </c>
      <c r="E233" s="21" t="str">
        <f>HYPERLINK("https://gerandofalcoes.my.salesforce.com/0034X0000380O6F", "0034X0000380O6F")</f>
        <v>0034X0000380O6F</v>
      </c>
      <c r="F233" s="3" t="s">
        <v>12877</v>
      </c>
      <c r="G233" s="3" t="s">
        <v>14581</v>
      </c>
      <c r="H233" s="3" t="s">
        <v>2538</v>
      </c>
      <c r="I233" s="3" t="s">
        <v>12741</v>
      </c>
      <c r="J233" s="3">
        <v>33</v>
      </c>
      <c r="K233" s="3" t="s">
        <v>14582</v>
      </c>
      <c r="L233" s="3">
        <v>51999610402</v>
      </c>
      <c r="M233" s="6">
        <v>32814</v>
      </c>
      <c r="N233" s="3">
        <v>33</v>
      </c>
      <c r="O233" s="3">
        <v>7079503285</v>
      </c>
      <c r="P233" s="3">
        <v>749987065</v>
      </c>
      <c r="Q233" s="3"/>
      <c r="R233" s="3"/>
      <c r="S233" s="3" t="s">
        <v>3137</v>
      </c>
      <c r="T233" s="3" t="s">
        <v>12682</v>
      </c>
      <c r="U233" s="3"/>
      <c r="V233" s="3" t="s">
        <v>14583</v>
      </c>
      <c r="W233" s="3" t="s">
        <v>2541</v>
      </c>
      <c r="X233" s="3" t="s">
        <v>2980</v>
      </c>
      <c r="Y233" s="3"/>
      <c r="Z233" s="3" t="s">
        <v>2545</v>
      </c>
      <c r="AA233" s="3" t="s">
        <v>13188</v>
      </c>
      <c r="AB233" s="3" t="s">
        <v>2543</v>
      </c>
      <c r="AC233" s="3" t="s">
        <v>7564</v>
      </c>
      <c r="AD233" s="3">
        <v>54</v>
      </c>
      <c r="AE233" s="3">
        <v>303</v>
      </c>
      <c r="AF233" s="3"/>
      <c r="AG233" s="3" t="s">
        <v>7565</v>
      </c>
      <c r="AH233" s="3">
        <v>90690150</v>
      </c>
      <c r="AI233" s="3" t="s">
        <v>407</v>
      </c>
      <c r="AJ233" s="3" t="s">
        <v>2569</v>
      </c>
      <c r="AK233" s="3" t="s">
        <v>3249</v>
      </c>
      <c r="AL233" s="3" t="s">
        <v>2588</v>
      </c>
      <c r="AM233" s="3">
        <v>1</v>
      </c>
      <c r="AN233" s="3" t="s">
        <v>7216</v>
      </c>
      <c r="AO233" s="3" t="s">
        <v>120</v>
      </c>
      <c r="AP233" s="3"/>
      <c r="AQ233" s="7" t="s">
        <v>14584</v>
      </c>
      <c r="AR233" s="3"/>
      <c r="AS233" s="7" t="s">
        <v>14585</v>
      </c>
    </row>
    <row r="234" spans="1:45" ht="12.5" x14ac:dyDescent="0.25">
      <c r="A234" s="3" t="s">
        <v>12652</v>
      </c>
      <c r="B234" s="7" t="str">
        <f>HYPERLINK("https://gerandofalcoes.my.salesforce.com/0014X00002VKCtkQAH", "0014X00002VKCtkQAH")</f>
        <v>0014X00002VKCtkQAH</v>
      </c>
      <c r="C234" s="3" t="s">
        <v>7576</v>
      </c>
      <c r="D234" s="3" t="s">
        <v>46</v>
      </c>
      <c r="E234" s="21" t="str">
        <f>HYPERLINK("https://gerandofalcoes.my.salesforce.com/0034X0000380O4I", "0034X0000380O4I")</f>
        <v>0034X0000380O4I</v>
      </c>
      <c r="F234" s="3" t="s">
        <v>14586</v>
      </c>
      <c r="G234" s="3" t="s">
        <v>14587</v>
      </c>
      <c r="H234" s="3" t="s">
        <v>2538</v>
      </c>
      <c r="I234" s="3" t="s">
        <v>12741</v>
      </c>
      <c r="J234" s="3"/>
      <c r="K234" s="3" t="s">
        <v>14588</v>
      </c>
      <c r="L234" s="3">
        <v>67992888349</v>
      </c>
      <c r="M234" s="6">
        <v>26838</v>
      </c>
      <c r="N234" s="3">
        <v>49</v>
      </c>
      <c r="O234" s="3">
        <v>830448</v>
      </c>
      <c r="P234" s="3">
        <v>3326034903</v>
      </c>
      <c r="Q234" s="3"/>
      <c r="R234" s="3"/>
      <c r="S234" s="3" t="s">
        <v>3137</v>
      </c>
      <c r="T234" s="3" t="s">
        <v>12723</v>
      </c>
      <c r="U234" s="3"/>
      <c r="V234" s="3" t="s">
        <v>14589</v>
      </c>
      <c r="W234" s="3" t="s">
        <v>2541</v>
      </c>
      <c r="X234" s="3" t="s">
        <v>2980</v>
      </c>
      <c r="Y234" s="3"/>
      <c r="Z234" s="3" t="s">
        <v>2543</v>
      </c>
      <c r="AA234" s="3"/>
      <c r="AB234" s="3"/>
      <c r="AC234" s="3" t="s">
        <v>14590</v>
      </c>
      <c r="AD234" s="3">
        <v>905</v>
      </c>
      <c r="AE234" s="3"/>
      <c r="AF234" s="3"/>
      <c r="AG234" s="3" t="s">
        <v>14591</v>
      </c>
      <c r="AH234" s="3" t="s">
        <v>14592</v>
      </c>
      <c r="AI234" s="3" t="s">
        <v>6781</v>
      </c>
      <c r="AJ234" s="3" t="s">
        <v>2569</v>
      </c>
      <c r="AK234" s="3" t="s">
        <v>12661</v>
      </c>
      <c r="AL234" s="3" t="s">
        <v>2550</v>
      </c>
      <c r="AM234" s="3">
        <v>3</v>
      </c>
      <c r="AN234" s="3" t="s">
        <v>7216</v>
      </c>
      <c r="AO234" s="3" t="s">
        <v>120</v>
      </c>
      <c r="AP234" s="3"/>
      <c r="AQ234" s="7" t="s">
        <v>14593</v>
      </c>
      <c r="AR234" s="3"/>
      <c r="AS234" s="7" t="s">
        <v>14594</v>
      </c>
    </row>
    <row r="235" spans="1:45" ht="12.5" x14ac:dyDescent="0.25">
      <c r="A235" s="3" t="s">
        <v>12652</v>
      </c>
      <c r="B235" s="7" t="str">
        <f>HYPERLINK("https://gerandofalcoes.my.salesforce.com/0014X00002VKCufQAH", "0014X00002VKCufQAH")</f>
        <v>0014X00002VKCufQAH</v>
      </c>
      <c r="C235" s="3" t="s">
        <v>7594</v>
      </c>
      <c r="D235" s="3" t="s">
        <v>46</v>
      </c>
      <c r="E235" s="21" t="str">
        <f>HYPERLINK("https://gerandofalcoes.my.salesforce.com/0034X0000380O0r", "0034X0000380O0r")</f>
        <v>0034X0000380O0r</v>
      </c>
      <c r="F235" s="3" t="s">
        <v>13766</v>
      </c>
      <c r="G235" s="3" t="s">
        <v>14595</v>
      </c>
      <c r="H235" s="3" t="s">
        <v>2538</v>
      </c>
      <c r="I235" s="3" t="s">
        <v>12741</v>
      </c>
      <c r="J235" s="3">
        <v>33</v>
      </c>
      <c r="K235" s="3" t="s">
        <v>7598</v>
      </c>
      <c r="L235" s="3">
        <v>11943979671</v>
      </c>
      <c r="M235" s="8">
        <v>24804</v>
      </c>
      <c r="N235" s="3">
        <v>55</v>
      </c>
      <c r="O235" s="3" t="s">
        <v>14596</v>
      </c>
      <c r="P235" s="3">
        <v>14510597878</v>
      </c>
      <c r="Q235" s="3"/>
      <c r="R235" s="3"/>
      <c r="S235" s="3" t="s">
        <v>3137</v>
      </c>
      <c r="T235" s="3" t="s">
        <v>12656</v>
      </c>
      <c r="U235" s="3"/>
      <c r="V235" s="3" t="s">
        <v>14597</v>
      </c>
      <c r="W235" s="3" t="s">
        <v>2541</v>
      </c>
      <c r="X235" s="3" t="s">
        <v>2980</v>
      </c>
      <c r="Y235" s="3"/>
      <c r="Z235" s="3" t="s">
        <v>2543</v>
      </c>
      <c r="AA235" s="3" t="s">
        <v>2544</v>
      </c>
      <c r="AB235" s="3" t="s">
        <v>2545</v>
      </c>
      <c r="AC235" s="3" t="s">
        <v>14598</v>
      </c>
      <c r="AD235" s="3">
        <v>586</v>
      </c>
      <c r="AE235" s="3"/>
      <c r="AF235" s="3"/>
      <c r="AG235" s="3" t="s">
        <v>14599</v>
      </c>
      <c r="AH235" s="3">
        <v>6864340</v>
      </c>
      <c r="AI235" s="3" t="s">
        <v>101</v>
      </c>
      <c r="AJ235" s="3" t="s">
        <v>2569</v>
      </c>
      <c r="AK235" s="3" t="s">
        <v>12729</v>
      </c>
      <c r="AL235" s="3" t="s">
        <v>2550</v>
      </c>
      <c r="AM235" s="3">
        <v>1</v>
      </c>
      <c r="AN235" s="3" t="s">
        <v>7216</v>
      </c>
      <c r="AO235" s="3" t="s">
        <v>120</v>
      </c>
      <c r="AP235" s="3"/>
      <c r="AQ235" s="3" t="s">
        <v>14600</v>
      </c>
      <c r="AR235" s="3"/>
      <c r="AS235" s="7" t="s">
        <v>14601</v>
      </c>
    </row>
    <row r="236" spans="1:45" ht="12.5" x14ac:dyDescent="0.25">
      <c r="A236" s="3" t="s">
        <v>12652</v>
      </c>
      <c r="B236" s="7" t="str">
        <f>HYPERLINK("https://gerandofalcoes.my.salesforce.com/0014X00002VKCugQAH", "0014X00002VKCugQAH")</f>
        <v>0014X00002VKCugQAH</v>
      </c>
      <c r="C236" s="3" t="s">
        <v>7613</v>
      </c>
      <c r="D236" s="3" t="s">
        <v>46</v>
      </c>
      <c r="E236" s="21" t="str">
        <f>HYPERLINK("https://gerandofalcoes.my.salesforce.com/0034X0000380O3Z", "0034X0000380O3Z")</f>
        <v>0034X0000380O3Z</v>
      </c>
      <c r="F236" s="3" t="s">
        <v>14602</v>
      </c>
      <c r="G236" s="3" t="s">
        <v>14603</v>
      </c>
      <c r="H236" s="3" t="s">
        <v>2538</v>
      </c>
      <c r="I236" s="3" t="s">
        <v>12741</v>
      </c>
      <c r="J236" s="3">
        <v>33</v>
      </c>
      <c r="K236" s="3" t="s">
        <v>14604</v>
      </c>
      <c r="L236" s="3">
        <v>11982825798</v>
      </c>
      <c r="M236" s="6">
        <v>32778</v>
      </c>
      <c r="N236" s="3">
        <v>33</v>
      </c>
      <c r="O236" s="3" t="s">
        <v>14605</v>
      </c>
      <c r="P236" s="3">
        <v>38076265819</v>
      </c>
      <c r="Q236" s="3"/>
      <c r="R236" s="3"/>
      <c r="S236" s="3" t="s">
        <v>3137</v>
      </c>
      <c r="T236" s="3" t="s">
        <v>12723</v>
      </c>
      <c r="U236" s="3"/>
      <c r="V236" s="3" t="s">
        <v>14606</v>
      </c>
      <c r="W236" s="3" t="s">
        <v>2541</v>
      </c>
      <c r="X236" s="3" t="s">
        <v>2980</v>
      </c>
      <c r="Y236" s="3"/>
      <c r="Z236" s="3" t="s">
        <v>2545</v>
      </c>
      <c r="AA236" s="3" t="s">
        <v>2577</v>
      </c>
      <c r="AB236" s="3" t="s">
        <v>2545</v>
      </c>
      <c r="AC236" s="3" t="s">
        <v>14607</v>
      </c>
      <c r="AD236" s="3" t="s">
        <v>14608</v>
      </c>
      <c r="AE236" s="3">
        <v>403</v>
      </c>
      <c r="AF236" s="3"/>
      <c r="AG236" s="3" t="s">
        <v>14609</v>
      </c>
      <c r="AH236" s="3">
        <v>8664005</v>
      </c>
      <c r="AI236" s="3" t="s">
        <v>101</v>
      </c>
      <c r="AJ236" s="3" t="s">
        <v>2741</v>
      </c>
      <c r="AK236" s="3" t="s">
        <v>3249</v>
      </c>
      <c r="AL236" s="3" t="s">
        <v>2550</v>
      </c>
      <c r="AM236" s="3">
        <v>2</v>
      </c>
      <c r="AN236" s="3" t="s">
        <v>7216</v>
      </c>
      <c r="AO236" s="3" t="s">
        <v>120</v>
      </c>
      <c r="AP236" s="3"/>
      <c r="AQ236" s="3"/>
      <c r="AR236" s="3"/>
      <c r="AS236" s="3"/>
    </row>
    <row r="237" spans="1:45" ht="12.5" x14ac:dyDescent="0.25">
      <c r="A237" s="3" t="s">
        <v>12652</v>
      </c>
      <c r="B237" s="7" t="str">
        <f>HYPERLINK("https://gerandofalcoes.my.salesforce.com/0014X00002VKCuhQAH", "0014X00002VKCuhQAH")</f>
        <v>0014X00002VKCuhQAH</v>
      </c>
      <c r="C237" s="3" t="s">
        <v>7625</v>
      </c>
      <c r="D237" s="3" t="s">
        <v>46</v>
      </c>
      <c r="E237" s="21" t="str">
        <f>HYPERLINK("https://gerandofalcoes.my.salesforce.com/0034X0000380O26", "0034X0000380O26")</f>
        <v>0034X0000380O26</v>
      </c>
      <c r="F237" s="3" t="s">
        <v>14610</v>
      </c>
      <c r="G237" s="3" t="s">
        <v>14611</v>
      </c>
      <c r="H237" s="3" t="s">
        <v>2538</v>
      </c>
      <c r="I237" s="3" t="s">
        <v>12741</v>
      </c>
      <c r="J237" s="3"/>
      <c r="K237" s="3" t="s">
        <v>7629</v>
      </c>
      <c r="L237" s="3">
        <v>11970635139</v>
      </c>
      <c r="M237" s="6">
        <v>28161</v>
      </c>
      <c r="N237" s="3">
        <v>45</v>
      </c>
      <c r="O237" s="3">
        <v>284020667</v>
      </c>
      <c r="P237" s="3">
        <v>18169258880</v>
      </c>
      <c r="Q237" s="3"/>
      <c r="R237" s="3"/>
      <c r="S237" s="3" t="s">
        <v>2998</v>
      </c>
      <c r="T237" s="3" t="s">
        <v>12682</v>
      </c>
      <c r="U237" s="3"/>
      <c r="V237" s="3" t="s">
        <v>14612</v>
      </c>
      <c r="W237" s="3" t="s">
        <v>2541</v>
      </c>
      <c r="X237" s="3" t="s">
        <v>2980</v>
      </c>
      <c r="Y237" s="3"/>
      <c r="Z237" s="3" t="s">
        <v>2543</v>
      </c>
      <c r="AA237" s="3"/>
      <c r="AB237" s="3"/>
      <c r="AC237" s="3" t="s">
        <v>14613</v>
      </c>
      <c r="AD237" s="3">
        <v>1500</v>
      </c>
      <c r="AE237" s="3"/>
      <c r="AF237" s="3"/>
      <c r="AG237" s="3" t="s">
        <v>14614</v>
      </c>
      <c r="AH237" s="3">
        <v>8490600</v>
      </c>
      <c r="AI237" s="3" t="s">
        <v>101</v>
      </c>
      <c r="AJ237" s="3" t="s">
        <v>2569</v>
      </c>
      <c r="AK237" s="3" t="s">
        <v>12661</v>
      </c>
      <c r="AL237" s="3" t="s">
        <v>2550</v>
      </c>
      <c r="AM237" s="3">
        <v>0</v>
      </c>
      <c r="AN237" s="3" t="s">
        <v>7216</v>
      </c>
      <c r="AO237" s="3" t="s">
        <v>120</v>
      </c>
      <c r="AP237" s="3"/>
      <c r="AQ237" s="3"/>
      <c r="AR237" s="3"/>
      <c r="AS237" s="7" t="s">
        <v>14615</v>
      </c>
    </row>
    <row r="238" spans="1:45" ht="12.5" x14ac:dyDescent="0.25">
      <c r="A238" s="3" t="s">
        <v>12652</v>
      </c>
      <c r="B238" s="7" t="str">
        <f>HYPERLINK("https://gerandofalcoes.my.salesforce.com/0014X00002VKCuiQAH", "0014X00002VKCuiQAH")</f>
        <v>0014X00002VKCuiQAH</v>
      </c>
      <c r="C238" s="3" t="s">
        <v>7636</v>
      </c>
      <c r="D238" s="3" t="s">
        <v>46</v>
      </c>
      <c r="E238" s="21" t="str">
        <f>HYPERLINK("https://gerandofalcoes.my.salesforce.com/0034X0000380O3i", "0034X0000380O3i")</f>
        <v>0034X0000380O3i</v>
      </c>
      <c r="F238" s="3" t="s">
        <v>14610</v>
      </c>
      <c r="G238" s="3" t="s">
        <v>14616</v>
      </c>
      <c r="H238" s="3" t="s">
        <v>2538</v>
      </c>
      <c r="I238" s="3" t="s">
        <v>12741</v>
      </c>
      <c r="J238" s="3">
        <v>33</v>
      </c>
      <c r="K238" s="3" t="s">
        <v>14617</v>
      </c>
      <c r="L238" s="3">
        <v>11998551096</v>
      </c>
      <c r="M238" s="6">
        <v>30267</v>
      </c>
      <c r="N238" s="3">
        <v>40</v>
      </c>
      <c r="O238" s="3">
        <v>293449399</v>
      </c>
      <c r="P238" s="3">
        <v>30984242813</v>
      </c>
      <c r="Q238" s="3"/>
      <c r="R238" s="3"/>
      <c r="S238" s="3" t="s">
        <v>3137</v>
      </c>
      <c r="T238" s="3" t="s">
        <v>12682</v>
      </c>
      <c r="U238" s="3"/>
      <c r="V238" s="3" t="s">
        <v>14618</v>
      </c>
      <c r="W238" s="3" t="s">
        <v>2541</v>
      </c>
      <c r="X238" s="3" t="s">
        <v>2980</v>
      </c>
      <c r="Y238" s="3"/>
      <c r="Z238" s="3" t="s">
        <v>2543</v>
      </c>
      <c r="AA238" s="3" t="s">
        <v>13663</v>
      </c>
      <c r="AB238" s="3" t="s">
        <v>2543</v>
      </c>
      <c r="AC238" s="3" t="s">
        <v>14619</v>
      </c>
      <c r="AD238" s="3">
        <v>126</v>
      </c>
      <c r="AE238" s="3">
        <v>1</v>
      </c>
      <c r="AF238" s="3"/>
      <c r="AG238" s="3" t="s">
        <v>14620</v>
      </c>
      <c r="AH238" s="3">
        <v>9175640</v>
      </c>
      <c r="AI238" s="3" t="s">
        <v>101</v>
      </c>
      <c r="AJ238" s="3" t="s">
        <v>2741</v>
      </c>
      <c r="AK238" s="3" t="s">
        <v>12661</v>
      </c>
      <c r="AL238" s="3" t="s">
        <v>2550</v>
      </c>
      <c r="AM238" s="3">
        <v>3</v>
      </c>
      <c r="AN238" s="3" t="s">
        <v>7216</v>
      </c>
      <c r="AO238" s="3" t="s">
        <v>120</v>
      </c>
      <c r="AP238" s="7" t="s">
        <v>14621</v>
      </c>
      <c r="AQ238" s="7" t="s">
        <v>14622</v>
      </c>
      <c r="AR238" s="3"/>
      <c r="AS238" s="7" t="s">
        <v>14623</v>
      </c>
    </row>
    <row r="239" spans="1:45" ht="12.5" hidden="1" x14ac:dyDescent="0.25">
      <c r="A239" s="3" t="s">
        <v>12652</v>
      </c>
      <c r="B239" s="7" t="str">
        <f>HYPERLINK("https://gerandofalcoes.my.salesforce.com/0014X00002VKCujQAH", "0014X00002VKCujQAH")</f>
        <v>0014X00002VKCujQAH</v>
      </c>
      <c r="C239" s="3" t="s">
        <v>7657</v>
      </c>
      <c r="D239" s="3" t="s">
        <v>46</v>
      </c>
      <c r="E239" s="21" t="str">
        <f>HYPERLINK("https://gerandofalcoes.my.salesforce.com/0034X0000380O1S", "0034X0000380O1S")</f>
        <v>0034X0000380O1S</v>
      </c>
      <c r="F239" s="3" t="s">
        <v>14624</v>
      </c>
      <c r="G239" s="3" t="s">
        <v>14625</v>
      </c>
      <c r="H239" s="3" t="s">
        <v>2538</v>
      </c>
      <c r="I239" s="3" t="s">
        <v>12741</v>
      </c>
      <c r="J239" s="3">
        <v>33</v>
      </c>
      <c r="K239" s="3" t="s">
        <v>14626</v>
      </c>
      <c r="L239" s="3" t="s">
        <v>14627</v>
      </c>
      <c r="M239" s="6">
        <v>35497</v>
      </c>
      <c r="N239" s="3">
        <v>25</v>
      </c>
      <c r="O239" s="3">
        <v>394486717</v>
      </c>
      <c r="P239" s="3">
        <v>43531020870</v>
      </c>
      <c r="Q239" s="3"/>
      <c r="R239" s="3" t="s">
        <v>14313</v>
      </c>
      <c r="S239" s="3" t="s">
        <v>3137</v>
      </c>
      <c r="T239" s="3" t="s">
        <v>12682</v>
      </c>
      <c r="U239" s="3"/>
      <c r="V239" s="3" t="s">
        <v>14628</v>
      </c>
      <c r="W239" s="3" t="s">
        <v>12664</v>
      </c>
      <c r="X239" s="3" t="s">
        <v>3508</v>
      </c>
      <c r="Y239" s="3" t="s">
        <v>12658</v>
      </c>
      <c r="Z239" s="3" t="s">
        <v>2545</v>
      </c>
      <c r="AA239" s="3" t="s">
        <v>2544</v>
      </c>
      <c r="AB239" s="3" t="s">
        <v>2543</v>
      </c>
      <c r="AC239" s="3" t="s">
        <v>14629</v>
      </c>
      <c r="AD239" s="3">
        <v>533</v>
      </c>
      <c r="AE239" s="3"/>
      <c r="AF239" s="3" t="s">
        <v>4861</v>
      </c>
      <c r="AG239" s="3" t="s">
        <v>14630</v>
      </c>
      <c r="AH239" s="3" t="s">
        <v>14631</v>
      </c>
      <c r="AI239" s="3" t="s">
        <v>101</v>
      </c>
      <c r="AJ239" s="3" t="s">
        <v>2569</v>
      </c>
      <c r="AK239" s="3" t="s">
        <v>12661</v>
      </c>
      <c r="AL239" s="3" t="s">
        <v>2550</v>
      </c>
      <c r="AM239" s="3">
        <v>2</v>
      </c>
      <c r="AN239" s="3" t="s">
        <v>7216</v>
      </c>
      <c r="AO239" s="3" t="s">
        <v>14516</v>
      </c>
      <c r="AP239" s="7" t="s">
        <v>14632</v>
      </c>
      <c r="AQ239" s="7" t="s">
        <v>14633</v>
      </c>
      <c r="AR239" s="3"/>
      <c r="AS239" s="7" t="s">
        <v>14634</v>
      </c>
    </row>
    <row r="240" spans="1:45" ht="12.5" x14ac:dyDescent="0.25">
      <c r="A240" s="3" t="s">
        <v>12652</v>
      </c>
      <c r="B240" s="7" t="str">
        <f>HYPERLINK("https://gerandofalcoes.my.salesforce.com/0014X00002VKCukQAH", "0014X00002VKCukQAH")</f>
        <v>0014X00002VKCukQAH</v>
      </c>
      <c r="C240" s="3" t="s">
        <v>7677</v>
      </c>
      <c r="D240" s="3" t="s">
        <v>46</v>
      </c>
      <c r="E240" s="21" t="str">
        <f>HYPERLINK("https://gerandofalcoes.my.salesforce.com/0034X0000380O6n", "0034X0000380O6n")</f>
        <v>0034X0000380O6n</v>
      </c>
      <c r="F240" s="3" t="s">
        <v>14635</v>
      </c>
      <c r="G240" s="3" t="s">
        <v>14636</v>
      </c>
      <c r="H240" s="3" t="s">
        <v>2538</v>
      </c>
      <c r="I240" s="3" t="s">
        <v>12741</v>
      </c>
      <c r="J240" s="3">
        <v>33</v>
      </c>
      <c r="K240" s="3" t="s">
        <v>14637</v>
      </c>
      <c r="L240" s="3">
        <v>11971956257</v>
      </c>
      <c r="M240" s="6">
        <v>30153</v>
      </c>
      <c r="N240" s="3">
        <v>40</v>
      </c>
      <c r="O240" s="3">
        <v>302446126</v>
      </c>
      <c r="P240" s="3">
        <v>31008255866</v>
      </c>
      <c r="Q240" s="3"/>
      <c r="R240" s="3"/>
      <c r="S240" s="3" t="s">
        <v>3137</v>
      </c>
      <c r="T240" s="3" t="s">
        <v>12656</v>
      </c>
      <c r="U240" s="3"/>
      <c r="V240" s="3" t="s">
        <v>14638</v>
      </c>
      <c r="W240" s="3" t="s">
        <v>2576</v>
      </c>
      <c r="X240" s="3" t="s">
        <v>2980</v>
      </c>
      <c r="Y240" s="3"/>
      <c r="Z240" s="3" t="s">
        <v>2543</v>
      </c>
      <c r="AA240" s="3"/>
      <c r="AB240" s="3"/>
      <c r="AC240" s="3" t="s">
        <v>14639</v>
      </c>
      <c r="AD240" s="3">
        <v>764</v>
      </c>
      <c r="AE240" s="3"/>
      <c r="AF240" s="3"/>
      <c r="AG240" s="3" t="s">
        <v>14640</v>
      </c>
      <c r="AH240" s="3" t="s">
        <v>14641</v>
      </c>
      <c r="AI240" s="3" t="s">
        <v>101</v>
      </c>
      <c r="AJ240" s="3" t="s">
        <v>2569</v>
      </c>
      <c r="AK240" s="3" t="s">
        <v>12828</v>
      </c>
      <c r="AL240" s="3" t="s">
        <v>2550</v>
      </c>
      <c r="AM240" s="3">
        <v>3</v>
      </c>
      <c r="AN240" s="3" t="s">
        <v>7216</v>
      </c>
      <c r="AO240" s="3" t="s">
        <v>120</v>
      </c>
      <c r="AP240" s="3"/>
      <c r="AQ240" s="3"/>
      <c r="AR240" s="3"/>
      <c r="AS240" s="7" t="s">
        <v>14642</v>
      </c>
    </row>
    <row r="241" spans="1:45" ht="12.5" x14ac:dyDescent="0.25">
      <c r="A241" s="3" t="s">
        <v>12652</v>
      </c>
      <c r="B241" s="7" t="str">
        <f>HYPERLINK("https://gerandofalcoes.my.salesforce.com/0014X00002VKCulQAH", "0014X00002VKCulQAH")</f>
        <v>0014X00002VKCulQAH</v>
      </c>
      <c r="C241" s="3" t="s">
        <v>7695</v>
      </c>
      <c r="D241" s="3" t="s">
        <v>46</v>
      </c>
      <c r="E241" s="21" t="str">
        <f>HYPERLINK("https://gerandofalcoes.my.salesforce.com/0034X0000380O1K", "0034X0000380O1K")</f>
        <v>0034X0000380O1K</v>
      </c>
      <c r="F241" s="3" t="s">
        <v>14643</v>
      </c>
      <c r="G241" s="3" t="s">
        <v>14644</v>
      </c>
      <c r="H241" s="3" t="s">
        <v>2538</v>
      </c>
      <c r="I241" s="3" t="s">
        <v>12741</v>
      </c>
      <c r="J241" s="3">
        <v>33</v>
      </c>
      <c r="K241" s="3" t="s">
        <v>14645</v>
      </c>
      <c r="L241" s="3">
        <v>11983286001</v>
      </c>
      <c r="M241" s="6">
        <v>30412</v>
      </c>
      <c r="N241" s="3">
        <v>39</v>
      </c>
      <c r="O241" s="3">
        <v>330706883</v>
      </c>
      <c r="P241" s="10">
        <v>32137952831</v>
      </c>
      <c r="Q241" s="3"/>
      <c r="R241" s="3"/>
      <c r="S241" s="3" t="s">
        <v>2998</v>
      </c>
      <c r="T241" s="3" t="s">
        <v>3213</v>
      </c>
      <c r="U241" s="3"/>
      <c r="V241" s="3" t="s">
        <v>14646</v>
      </c>
      <c r="W241" s="3" t="s">
        <v>2541</v>
      </c>
      <c r="X241" s="3" t="s">
        <v>2980</v>
      </c>
      <c r="Y241" s="3"/>
      <c r="Z241" s="3" t="s">
        <v>2543</v>
      </c>
      <c r="AA241" s="3"/>
      <c r="AB241" s="3"/>
      <c r="AC241" s="3" t="s">
        <v>7699</v>
      </c>
      <c r="AD241" s="3">
        <v>125</v>
      </c>
      <c r="AE241" s="3"/>
      <c r="AF241" s="3"/>
      <c r="AG241" s="3" t="s">
        <v>14647</v>
      </c>
      <c r="AH241" s="3">
        <v>8346585</v>
      </c>
      <c r="AI241" s="3" t="s">
        <v>101</v>
      </c>
      <c r="AJ241" s="3" t="s">
        <v>2569</v>
      </c>
      <c r="AK241" s="3" t="s">
        <v>3249</v>
      </c>
      <c r="AL241" s="3" t="s">
        <v>3385</v>
      </c>
      <c r="AM241" s="3">
        <v>5</v>
      </c>
      <c r="AN241" s="3" t="s">
        <v>7216</v>
      </c>
      <c r="AO241" s="3" t="s">
        <v>62</v>
      </c>
      <c r="AP241" s="3"/>
      <c r="AQ241" s="7" t="s">
        <v>7702</v>
      </c>
      <c r="AR241" s="3"/>
      <c r="AS241" s="7" t="s">
        <v>14648</v>
      </c>
    </row>
    <row r="242" spans="1:45" ht="12.5" x14ac:dyDescent="0.25">
      <c r="A242" s="3" t="s">
        <v>12652</v>
      </c>
      <c r="B242" s="7" t="str">
        <f>HYPERLINK("https://gerandofalcoes.my.salesforce.com/0014X00002VKCumQAH", "0014X00002VKCumQAH")</f>
        <v>0014X00002VKCumQAH</v>
      </c>
      <c r="C242" s="3" t="s">
        <v>7706</v>
      </c>
      <c r="D242" s="3" t="s">
        <v>46</v>
      </c>
      <c r="E242" s="21" t="str">
        <f>HYPERLINK("https://gerandofalcoes.my.salesforce.com/0034X0000380O1A", "0034X0000380O1A")</f>
        <v>0034X0000380O1A</v>
      </c>
      <c r="F242" s="3" t="s">
        <v>14649</v>
      </c>
      <c r="G242" s="3" t="s">
        <v>14650</v>
      </c>
      <c r="H242" s="3" t="s">
        <v>2538</v>
      </c>
      <c r="I242" s="3" t="s">
        <v>12741</v>
      </c>
      <c r="J242" s="3">
        <v>33</v>
      </c>
      <c r="K242" s="3" t="s">
        <v>14651</v>
      </c>
      <c r="L242" s="3">
        <v>11965952085</v>
      </c>
      <c r="M242" s="8">
        <v>33980</v>
      </c>
      <c r="N242" s="3">
        <v>29</v>
      </c>
      <c r="O242" s="3" t="s">
        <v>14652</v>
      </c>
      <c r="P242" s="3">
        <v>37091701844</v>
      </c>
      <c r="Q242" s="3"/>
      <c r="R242" s="3"/>
      <c r="S242" s="3" t="s">
        <v>3417</v>
      </c>
      <c r="T242" s="3" t="s">
        <v>12656</v>
      </c>
      <c r="U242" s="3"/>
      <c r="V242" s="3" t="s">
        <v>14653</v>
      </c>
      <c r="W242" s="3" t="s">
        <v>2576</v>
      </c>
      <c r="X242" s="3" t="s">
        <v>2980</v>
      </c>
      <c r="Y242" s="3"/>
      <c r="Z242" s="3" t="s">
        <v>2543</v>
      </c>
      <c r="AA242" s="3" t="s">
        <v>2544</v>
      </c>
      <c r="AB242" s="3" t="s">
        <v>2545</v>
      </c>
      <c r="AC242" s="3" t="s">
        <v>14654</v>
      </c>
      <c r="AD242" s="3">
        <v>47</v>
      </c>
      <c r="AE242" s="3"/>
      <c r="AF242" s="3"/>
      <c r="AG242" s="3" t="s">
        <v>14655</v>
      </c>
      <c r="AH242" s="3">
        <v>7262090</v>
      </c>
      <c r="AI242" s="3" t="s">
        <v>101</v>
      </c>
      <c r="AJ242" s="3" t="s">
        <v>2569</v>
      </c>
      <c r="AK242" s="3" t="s">
        <v>12661</v>
      </c>
      <c r="AL242" s="3" t="s">
        <v>2588</v>
      </c>
      <c r="AM242" s="3">
        <v>2</v>
      </c>
      <c r="AN242" s="3" t="s">
        <v>7216</v>
      </c>
      <c r="AO242" s="3" t="s">
        <v>120</v>
      </c>
      <c r="AP242" s="7" t="s">
        <v>14656</v>
      </c>
      <c r="AQ242" s="7" t="s">
        <v>14657</v>
      </c>
      <c r="AR242" s="3"/>
      <c r="AS242" s="3"/>
    </row>
    <row r="243" spans="1:45" ht="12.5" x14ac:dyDescent="0.25">
      <c r="A243" s="3" t="s">
        <v>12652</v>
      </c>
      <c r="B243" s="7" t="str">
        <f>HYPERLINK("https://gerandofalcoes.my.salesforce.com/0014X00002VKCunQAH", "0014X00002VKCunQAH")</f>
        <v>0014X00002VKCunQAH</v>
      </c>
      <c r="C243" s="3" t="s">
        <v>7717</v>
      </c>
      <c r="D243" s="3" t="s">
        <v>46</v>
      </c>
      <c r="E243" s="21" t="str">
        <f>HYPERLINK("https://gerandofalcoes.my.salesforce.com/0034X0000380O0u", "0034X0000380O0u")</f>
        <v>0034X0000380O0u</v>
      </c>
      <c r="F243" s="3" t="s">
        <v>14658</v>
      </c>
      <c r="G243" s="3" t="s">
        <v>14659</v>
      </c>
      <c r="H243" s="3" t="s">
        <v>2538</v>
      </c>
      <c r="I243" s="3" t="s">
        <v>12741</v>
      </c>
      <c r="J243" s="3"/>
      <c r="K243" s="3" t="s">
        <v>14660</v>
      </c>
      <c r="L243" s="3">
        <v>11988624338</v>
      </c>
      <c r="M243" s="8">
        <v>27493</v>
      </c>
      <c r="N243" s="3">
        <v>47</v>
      </c>
      <c r="O243" s="3" t="s">
        <v>14661</v>
      </c>
      <c r="P243" s="3">
        <v>18029182805</v>
      </c>
      <c r="Q243" s="3"/>
      <c r="R243" s="3"/>
      <c r="S243" s="3" t="s">
        <v>3137</v>
      </c>
      <c r="T243" s="3" t="s">
        <v>12682</v>
      </c>
      <c r="U243" s="3"/>
      <c r="V243" s="3" t="s">
        <v>14662</v>
      </c>
      <c r="W243" s="3" t="s">
        <v>2541</v>
      </c>
      <c r="X243" s="3" t="s">
        <v>2980</v>
      </c>
      <c r="Y243" s="3"/>
      <c r="Z243" s="3" t="s">
        <v>2545</v>
      </c>
      <c r="AA243" s="3" t="s">
        <v>2737</v>
      </c>
      <c r="AB243" s="3" t="s">
        <v>2543</v>
      </c>
      <c r="AC243" s="3" t="s">
        <v>14663</v>
      </c>
      <c r="AD243" s="3">
        <v>111</v>
      </c>
      <c r="AE243" s="3">
        <v>1202</v>
      </c>
      <c r="AF243" s="3"/>
      <c r="AG243" s="3" t="s">
        <v>14664</v>
      </c>
      <c r="AH243" s="3">
        <v>4552060</v>
      </c>
      <c r="AI243" s="3" t="s">
        <v>101</v>
      </c>
      <c r="AJ243" s="3" t="s">
        <v>2569</v>
      </c>
      <c r="AK243" s="3" t="s">
        <v>12661</v>
      </c>
      <c r="AL243" s="3" t="s">
        <v>2550</v>
      </c>
      <c r="AM243" s="3">
        <v>0</v>
      </c>
      <c r="AN243" s="3" t="s">
        <v>7216</v>
      </c>
      <c r="AO243" s="3" t="s">
        <v>120</v>
      </c>
      <c r="AP243" s="7" t="s">
        <v>14665</v>
      </c>
      <c r="AQ243" s="7" t="s">
        <v>14666</v>
      </c>
      <c r="AR243" s="3"/>
      <c r="AS243" s="7" t="s">
        <v>14667</v>
      </c>
    </row>
    <row r="244" spans="1:45" ht="12.5" x14ac:dyDescent="0.25">
      <c r="A244" s="3" t="s">
        <v>12652</v>
      </c>
      <c r="B244" s="7" t="str">
        <f>HYPERLINK("https://gerandofalcoes.my.salesforce.com/0014X00002VKCuoQAH", "0014X00002VKCuoQAH")</f>
        <v>0014X00002VKCuoQAH</v>
      </c>
      <c r="C244" s="3" t="s">
        <v>7732</v>
      </c>
      <c r="D244" s="3" t="s">
        <v>46</v>
      </c>
      <c r="E244" s="21" t="str">
        <f>HYPERLINK("https://gerandofalcoes.my.salesforce.com/0034X0000380O2k", "0034X0000380O2k")</f>
        <v>0034X0000380O2k</v>
      </c>
      <c r="F244" s="3" t="s">
        <v>13318</v>
      </c>
      <c r="G244" s="3" t="s">
        <v>14668</v>
      </c>
      <c r="H244" s="3" t="s">
        <v>2538</v>
      </c>
      <c r="I244" s="3" t="s">
        <v>12741</v>
      </c>
      <c r="J244" s="3">
        <v>33</v>
      </c>
      <c r="K244" s="3" t="s">
        <v>14669</v>
      </c>
      <c r="L244" s="3">
        <v>13997758440</v>
      </c>
      <c r="M244" s="6">
        <v>35900</v>
      </c>
      <c r="N244" s="3">
        <v>24</v>
      </c>
      <c r="O244" s="3">
        <v>548548377</v>
      </c>
      <c r="P244" s="3">
        <v>45860485816</v>
      </c>
      <c r="Q244" s="3"/>
      <c r="R244" s="3"/>
      <c r="S244" s="3" t="s">
        <v>3417</v>
      </c>
      <c r="T244" s="3" t="s">
        <v>12723</v>
      </c>
      <c r="U244" s="3"/>
      <c r="V244" s="3" t="s">
        <v>14670</v>
      </c>
      <c r="W244" s="3" t="s">
        <v>2576</v>
      </c>
      <c r="X244" s="3" t="s">
        <v>2980</v>
      </c>
      <c r="Y244" s="3"/>
      <c r="Z244" s="3" t="s">
        <v>2543</v>
      </c>
      <c r="AA244" s="3" t="s">
        <v>2544</v>
      </c>
      <c r="AB244" s="3" t="s">
        <v>2545</v>
      </c>
      <c r="AC244" s="3" t="s">
        <v>14671</v>
      </c>
      <c r="AD244" s="3">
        <v>96</v>
      </c>
      <c r="AE244" s="3"/>
      <c r="AF244" s="3"/>
      <c r="AG244" s="3" t="s">
        <v>14672</v>
      </c>
      <c r="AH244" s="3">
        <v>11347200</v>
      </c>
      <c r="AI244" s="3" t="s">
        <v>101</v>
      </c>
      <c r="AJ244" s="3" t="s">
        <v>2741</v>
      </c>
      <c r="AK244" s="3" t="s">
        <v>12828</v>
      </c>
      <c r="AL244" s="3" t="s">
        <v>2550</v>
      </c>
      <c r="AM244" s="3">
        <v>2</v>
      </c>
      <c r="AN244" s="3" t="s">
        <v>7216</v>
      </c>
      <c r="AO244" s="3" t="s">
        <v>120</v>
      </c>
      <c r="AP244" s="3"/>
      <c r="AQ244" s="7" t="s">
        <v>14673</v>
      </c>
      <c r="AR244" s="3"/>
      <c r="AS244" s="7" t="s">
        <v>14674</v>
      </c>
    </row>
    <row r="245" spans="1:45" ht="12.5" x14ac:dyDescent="0.25">
      <c r="A245" s="3" t="s">
        <v>12652</v>
      </c>
      <c r="B245" s="7" t="str">
        <f>HYPERLINK("https://gerandofalcoes.my.salesforce.com/0014X00002VKCuqQAH", "0014X00002VKCuqQAH")</f>
        <v>0014X00002VKCuqQAH</v>
      </c>
      <c r="C245" s="3" t="s">
        <v>7743</v>
      </c>
      <c r="D245" s="3" t="s">
        <v>46</v>
      </c>
      <c r="E245" s="21" t="str">
        <f>HYPERLINK("https://gerandofalcoes.my.salesforce.com/0034X0000380O4J", "0034X0000380O4J")</f>
        <v>0034X0000380O4J</v>
      </c>
      <c r="F245" s="3" t="s">
        <v>14675</v>
      </c>
      <c r="G245" s="3" t="s">
        <v>14676</v>
      </c>
      <c r="H245" s="3" t="s">
        <v>2538</v>
      </c>
      <c r="I245" s="3" t="s">
        <v>12741</v>
      </c>
      <c r="J245" s="3">
        <v>33</v>
      </c>
      <c r="K245" s="3" t="s">
        <v>7745</v>
      </c>
      <c r="L245" s="4" t="s">
        <v>14677</v>
      </c>
      <c r="M245" s="6">
        <v>25637</v>
      </c>
      <c r="N245" s="3">
        <v>52</v>
      </c>
      <c r="O245" s="3">
        <v>227879879</v>
      </c>
      <c r="P245" s="3">
        <v>13639865898</v>
      </c>
      <c r="Q245" s="3"/>
      <c r="R245" s="3"/>
      <c r="S245" s="3" t="s">
        <v>3417</v>
      </c>
      <c r="T245" s="3" t="s">
        <v>12656</v>
      </c>
      <c r="U245" s="3"/>
      <c r="V245" s="3" t="s">
        <v>14678</v>
      </c>
      <c r="W245" s="3" t="s">
        <v>2541</v>
      </c>
      <c r="X245" s="3" t="s">
        <v>2980</v>
      </c>
      <c r="Y245" s="3"/>
      <c r="Z245" s="3" t="s">
        <v>2543</v>
      </c>
      <c r="AA245" s="3" t="s">
        <v>2544</v>
      </c>
      <c r="AB245" s="3" t="s">
        <v>2545</v>
      </c>
      <c r="AC245" s="3" t="s">
        <v>7747</v>
      </c>
      <c r="AD245" s="3">
        <v>20</v>
      </c>
      <c r="AE245" s="3"/>
      <c r="AF245" s="3"/>
      <c r="AG245" s="3" t="s">
        <v>7748</v>
      </c>
      <c r="AH245" s="3">
        <v>8032320</v>
      </c>
      <c r="AI245" s="3" t="s">
        <v>101</v>
      </c>
      <c r="AJ245" s="3" t="s">
        <v>2569</v>
      </c>
      <c r="AK245" s="3" t="s">
        <v>12661</v>
      </c>
      <c r="AL245" s="3" t="s">
        <v>2588</v>
      </c>
      <c r="AM245" s="3">
        <v>1</v>
      </c>
      <c r="AN245" s="3" t="s">
        <v>7216</v>
      </c>
      <c r="AO245" s="3" t="s">
        <v>120</v>
      </c>
      <c r="AP245" s="7" t="s">
        <v>14679</v>
      </c>
      <c r="AQ245" s="7" t="s">
        <v>14680</v>
      </c>
      <c r="AR245" s="3"/>
      <c r="AS245" s="7" t="s">
        <v>14681</v>
      </c>
    </row>
    <row r="246" spans="1:45" ht="12.5" x14ac:dyDescent="0.25">
      <c r="A246" s="3" t="s">
        <v>12652</v>
      </c>
      <c r="B246" s="7" t="str">
        <f>HYPERLINK("https://gerandofalcoes.my.salesforce.com/0014X00002VKCurQAH", "0014X00002VKCurQAH")</f>
        <v>0014X00002VKCurQAH</v>
      </c>
      <c r="C246" s="3" t="s">
        <v>7755</v>
      </c>
      <c r="D246" s="3" t="s">
        <v>46</v>
      </c>
      <c r="E246" s="21" t="str">
        <f>HYPERLINK("https://gerandofalcoes.my.salesforce.com/0034X0000380O2y", "0034X0000380O2y")</f>
        <v>0034X0000380O2y</v>
      </c>
      <c r="F246" s="3" t="s">
        <v>14682</v>
      </c>
      <c r="G246" s="3" t="s">
        <v>14683</v>
      </c>
      <c r="H246" s="3" t="s">
        <v>2538</v>
      </c>
      <c r="I246" s="3" t="s">
        <v>12741</v>
      </c>
      <c r="J246" s="3">
        <v>33</v>
      </c>
      <c r="K246" s="3" t="s">
        <v>14684</v>
      </c>
      <c r="L246" s="3">
        <v>11996128559</v>
      </c>
      <c r="M246" s="6">
        <v>35184</v>
      </c>
      <c r="N246" s="3">
        <v>26</v>
      </c>
      <c r="O246" s="3">
        <v>506019093</v>
      </c>
      <c r="P246" s="3">
        <v>48381242878</v>
      </c>
      <c r="Q246" s="3"/>
      <c r="R246" s="3"/>
      <c r="S246" s="3" t="s">
        <v>2998</v>
      </c>
      <c r="T246" s="3" t="s">
        <v>12682</v>
      </c>
      <c r="U246" s="3"/>
      <c r="V246" s="3" t="s">
        <v>14685</v>
      </c>
      <c r="W246" s="3" t="s">
        <v>2541</v>
      </c>
      <c r="X246" s="3" t="s">
        <v>2980</v>
      </c>
      <c r="Y246" s="3"/>
      <c r="Z246" s="3" t="s">
        <v>2545</v>
      </c>
      <c r="AA246" s="3" t="s">
        <v>2544</v>
      </c>
      <c r="AB246" s="3" t="s">
        <v>2545</v>
      </c>
      <c r="AC246" s="3" t="s">
        <v>14686</v>
      </c>
      <c r="AD246" s="3">
        <v>234</v>
      </c>
      <c r="AE246" s="3">
        <v>82</v>
      </c>
      <c r="AF246" s="3"/>
      <c r="AG246" s="3" t="s">
        <v>647</v>
      </c>
      <c r="AH246" s="3">
        <v>8675240</v>
      </c>
      <c r="AI246" s="3" t="s">
        <v>101</v>
      </c>
      <c r="AJ246" s="3" t="s">
        <v>2569</v>
      </c>
      <c r="AK246" s="3" t="s">
        <v>12828</v>
      </c>
      <c r="AL246" s="3" t="s">
        <v>2588</v>
      </c>
      <c r="AM246" s="3">
        <v>2</v>
      </c>
      <c r="AN246" s="3"/>
      <c r="AO246" s="3" t="s">
        <v>120</v>
      </c>
      <c r="AP246" s="3"/>
      <c r="AQ246" s="7" t="s">
        <v>14687</v>
      </c>
      <c r="AR246" s="3"/>
      <c r="AS246" s="7" t="s">
        <v>14688</v>
      </c>
    </row>
    <row r="247" spans="1:45" ht="12.5" x14ac:dyDescent="0.25">
      <c r="A247" s="3" t="s">
        <v>12652</v>
      </c>
      <c r="B247" s="7" t="str">
        <f>HYPERLINK("https://gerandofalcoes.my.salesforce.com/0014X00002VKCusQAH", "0014X00002VKCusQAH")</f>
        <v>0014X00002VKCusQAH</v>
      </c>
      <c r="C247" s="3" t="s">
        <v>7766</v>
      </c>
      <c r="D247" s="3" t="s">
        <v>46</v>
      </c>
      <c r="E247" s="21" t="str">
        <f>HYPERLINK("https://gerandofalcoes.my.salesforce.com/0034X0000380O0g", "0034X0000380O0g")</f>
        <v>0034X0000380O0g</v>
      </c>
      <c r="F247" s="3" t="s">
        <v>13852</v>
      </c>
      <c r="G247" s="3" t="s">
        <v>14689</v>
      </c>
      <c r="H247" s="3" t="s">
        <v>2538</v>
      </c>
      <c r="I247" s="3" t="s">
        <v>12741</v>
      </c>
      <c r="J247" s="3">
        <v>33</v>
      </c>
      <c r="K247" s="3" t="s">
        <v>14690</v>
      </c>
      <c r="L247" s="3">
        <v>13981843656</v>
      </c>
      <c r="M247" s="6">
        <v>28172</v>
      </c>
      <c r="N247" s="3">
        <v>45</v>
      </c>
      <c r="O247" s="3">
        <v>277729324</v>
      </c>
      <c r="P247" s="3">
        <v>16964987835</v>
      </c>
      <c r="Q247" s="3"/>
      <c r="R247" s="3"/>
      <c r="S247" s="3" t="s">
        <v>3137</v>
      </c>
      <c r="T247" s="3" t="s">
        <v>12723</v>
      </c>
      <c r="U247" s="3"/>
      <c r="V247" s="3"/>
      <c r="W247" s="3" t="s">
        <v>2541</v>
      </c>
      <c r="X247" s="3" t="s">
        <v>2980</v>
      </c>
      <c r="Y247" s="3"/>
      <c r="Z247" s="3" t="s">
        <v>2543</v>
      </c>
      <c r="AA247" s="3" t="s">
        <v>2577</v>
      </c>
      <c r="AB247" s="3" t="s">
        <v>2545</v>
      </c>
      <c r="AC247" s="3" t="s">
        <v>14691</v>
      </c>
      <c r="AD247" s="3">
        <v>6</v>
      </c>
      <c r="AE247" s="3"/>
      <c r="AF247" s="3"/>
      <c r="AG247" s="3" t="s">
        <v>14692</v>
      </c>
      <c r="AH247" s="3">
        <v>11355290</v>
      </c>
      <c r="AI247" s="3" t="s">
        <v>101</v>
      </c>
      <c r="AJ247" s="3" t="s">
        <v>2569</v>
      </c>
      <c r="AK247" s="3" t="s">
        <v>12661</v>
      </c>
      <c r="AL247" s="3" t="s">
        <v>2579</v>
      </c>
      <c r="AM247" s="3">
        <v>2</v>
      </c>
      <c r="AN247" s="3" t="s">
        <v>7216</v>
      </c>
      <c r="AO247" s="3" t="s">
        <v>120</v>
      </c>
      <c r="AP247" s="7" t="s">
        <v>14693</v>
      </c>
      <c r="AQ247" s="7" t="s">
        <v>14694</v>
      </c>
      <c r="AR247" s="3"/>
      <c r="AS247" s="7" t="s">
        <v>14695</v>
      </c>
    </row>
    <row r="248" spans="1:45" ht="12.5" x14ac:dyDescent="0.25">
      <c r="A248" s="3" t="s">
        <v>12652</v>
      </c>
      <c r="B248" s="7" t="str">
        <f>HYPERLINK("https://gerandofalcoes.my.salesforce.com/0014X00002VKCutQAH", "0014X00002VKCutQAH")</f>
        <v>0014X00002VKCutQAH</v>
      </c>
      <c r="C248" s="3" t="s">
        <v>7788</v>
      </c>
      <c r="D248" s="3" t="s">
        <v>46</v>
      </c>
      <c r="E248" s="21" t="str">
        <f>HYPERLINK("https://gerandofalcoes.my.salesforce.com/0034X0000380O2j", "0034X0000380O2j")</f>
        <v>0034X0000380O2j</v>
      </c>
      <c r="F248" s="3" t="s">
        <v>2678</v>
      </c>
      <c r="G248" s="3" t="s">
        <v>14696</v>
      </c>
      <c r="H248" s="3" t="s">
        <v>2538</v>
      </c>
      <c r="I248" s="3" t="s">
        <v>12741</v>
      </c>
      <c r="J248" s="3"/>
      <c r="K248" s="3" t="s">
        <v>14697</v>
      </c>
      <c r="L248" s="3">
        <v>11998530870</v>
      </c>
      <c r="M248" s="6">
        <v>22674</v>
      </c>
      <c r="N248" s="3">
        <v>60</v>
      </c>
      <c r="O248" s="3" t="s">
        <v>14698</v>
      </c>
      <c r="P248" s="3">
        <v>5227349878</v>
      </c>
      <c r="Q248" s="3"/>
      <c r="R248" s="3"/>
      <c r="S248" s="3" t="s">
        <v>2998</v>
      </c>
      <c r="T248" s="3" t="s">
        <v>12682</v>
      </c>
      <c r="U248" s="3"/>
      <c r="V248" s="3" t="s">
        <v>14699</v>
      </c>
      <c r="W248" s="3" t="s">
        <v>2541</v>
      </c>
      <c r="X248" s="3" t="s">
        <v>2980</v>
      </c>
      <c r="Y248" s="3"/>
      <c r="Z248" s="3" t="s">
        <v>2543</v>
      </c>
      <c r="AA248" s="3"/>
      <c r="AB248" s="3"/>
      <c r="AC248" s="3" t="s">
        <v>14700</v>
      </c>
      <c r="AD248" s="3">
        <v>361</v>
      </c>
      <c r="AE248" s="3"/>
      <c r="AF248" s="3"/>
      <c r="AG248" s="3" t="s">
        <v>14701</v>
      </c>
      <c r="AH248" s="10">
        <v>2760000</v>
      </c>
      <c r="AI248" s="3" t="s">
        <v>101</v>
      </c>
      <c r="AJ248" s="3" t="s">
        <v>2548</v>
      </c>
      <c r="AK248" s="3" t="s">
        <v>12661</v>
      </c>
      <c r="AL248" s="3" t="s">
        <v>2550</v>
      </c>
      <c r="AM248" s="3">
        <v>2</v>
      </c>
      <c r="AN248" s="3" t="s">
        <v>7216</v>
      </c>
      <c r="AO248" s="3" t="s">
        <v>120</v>
      </c>
      <c r="AP248" s="7" t="s">
        <v>14702</v>
      </c>
      <c r="AQ248" s="7" t="s">
        <v>14703</v>
      </c>
      <c r="AR248" s="3"/>
      <c r="AS248" s="7" t="s">
        <v>14704</v>
      </c>
    </row>
    <row r="249" spans="1:45" ht="12.5" x14ac:dyDescent="0.25">
      <c r="A249" s="3" t="s">
        <v>12652</v>
      </c>
      <c r="B249" s="7" t="str">
        <f>HYPERLINK("https://gerandofalcoes.my.salesforce.com/0014X00002VKCuuQAH", "0014X00002VKCuuQAH")</f>
        <v>0014X00002VKCuuQAH</v>
      </c>
      <c r="C249" s="3" t="s">
        <v>7807</v>
      </c>
      <c r="D249" s="3" t="s">
        <v>46</v>
      </c>
      <c r="E249" s="21" t="str">
        <f>HYPERLINK("https://gerandofalcoes.my.salesforce.com/0034X0000380O3U", "0034X0000380O3U")</f>
        <v>0034X0000380O3U</v>
      </c>
      <c r="F249" s="3" t="s">
        <v>7810</v>
      </c>
      <c r="G249" s="3" t="s">
        <v>14705</v>
      </c>
      <c r="H249" s="3" t="s">
        <v>2538</v>
      </c>
      <c r="I249" s="3" t="s">
        <v>12741</v>
      </c>
      <c r="J249" s="3">
        <v>33</v>
      </c>
      <c r="K249" s="3" t="s">
        <v>14706</v>
      </c>
      <c r="L249" s="3">
        <v>11985320668</v>
      </c>
      <c r="M249" s="6">
        <v>25737</v>
      </c>
      <c r="N249" s="3">
        <v>52</v>
      </c>
      <c r="O249" s="3" t="s">
        <v>14707</v>
      </c>
      <c r="P249" s="3">
        <v>22504340850</v>
      </c>
      <c r="Q249" s="3"/>
      <c r="R249" s="3"/>
      <c r="S249" s="3" t="s">
        <v>12744</v>
      </c>
      <c r="T249" s="3" t="s">
        <v>12723</v>
      </c>
      <c r="U249" s="3"/>
      <c r="V249" s="3" t="s">
        <v>14708</v>
      </c>
      <c r="W249" s="3" t="s">
        <v>2541</v>
      </c>
      <c r="X249" s="3" t="s">
        <v>2980</v>
      </c>
      <c r="Y249" s="3"/>
      <c r="Z249" s="3" t="s">
        <v>2543</v>
      </c>
      <c r="AA249" s="3"/>
      <c r="AB249" s="3"/>
      <c r="AC249" s="3" t="s">
        <v>14709</v>
      </c>
      <c r="AD249" s="3">
        <v>145</v>
      </c>
      <c r="AE249" s="3"/>
      <c r="AF249" s="3"/>
      <c r="AG249" s="3" t="s">
        <v>14710</v>
      </c>
      <c r="AH249" s="3" t="s">
        <v>14711</v>
      </c>
      <c r="AI249" s="3" t="s">
        <v>101</v>
      </c>
      <c r="AJ249" s="3" t="s">
        <v>2569</v>
      </c>
      <c r="AK249" s="3" t="s">
        <v>3249</v>
      </c>
      <c r="AL249" s="3" t="s">
        <v>2550</v>
      </c>
      <c r="AM249" s="3">
        <v>6</v>
      </c>
      <c r="AN249" s="3" t="s">
        <v>7216</v>
      </c>
      <c r="AO249" s="3" t="s">
        <v>120</v>
      </c>
      <c r="AP249" s="3"/>
      <c r="AQ249" s="7" t="s">
        <v>14712</v>
      </c>
      <c r="AR249" s="3"/>
      <c r="AS249" s="7" t="s">
        <v>14713</v>
      </c>
    </row>
    <row r="250" spans="1:45" ht="12.5" x14ac:dyDescent="0.25">
      <c r="A250" s="3" t="s">
        <v>12652</v>
      </c>
      <c r="B250" s="7" t="str">
        <f>HYPERLINK("https://gerandofalcoes.my.salesforce.com/0014X00002VKCuvQAH", "0014X00002VKCuvQAH")</f>
        <v>0014X00002VKCuvQAH</v>
      </c>
      <c r="C250" s="3" t="s">
        <v>7817</v>
      </c>
      <c r="D250" s="3" t="s">
        <v>46</v>
      </c>
      <c r="E250" s="21" t="str">
        <f>HYPERLINK("https://gerandofalcoes.my.salesforce.com/0034X0000380O3p", "0034X0000380O3p")</f>
        <v>0034X0000380O3p</v>
      </c>
      <c r="F250" s="3" t="s">
        <v>14714</v>
      </c>
      <c r="G250" s="3" t="s">
        <v>14715</v>
      </c>
      <c r="H250" s="3" t="s">
        <v>2538</v>
      </c>
      <c r="I250" s="3" t="s">
        <v>12741</v>
      </c>
      <c r="J250" s="3">
        <v>33</v>
      </c>
      <c r="K250" s="3" t="s">
        <v>14716</v>
      </c>
      <c r="L250" s="3">
        <v>11981358248</v>
      </c>
      <c r="M250" s="6">
        <v>26926</v>
      </c>
      <c r="N250" s="3">
        <v>49</v>
      </c>
      <c r="O250" s="3">
        <v>241770191</v>
      </c>
      <c r="P250" s="3">
        <v>19474980888</v>
      </c>
      <c r="Q250" s="3"/>
      <c r="R250" s="3"/>
      <c r="S250" s="3" t="s">
        <v>12744</v>
      </c>
      <c r="T250" s="3" t="s">
        <v>12682</v>
      </c>
      <c r="U250" s="3"/>
      <c r="V250" s="3" t="s">
        <v>14717</v>
      </c>
      <c r="W250" s="3" t="s">
        <v>2541</v>
      </c>
      <c r="X250" s="3" t="s">
        <v>2980</v>
      </c>
      <c r="Y250" s="3"/>
      <c r="Z250" s="3" t="s">
        <v>2543</v>
      </c>
      <c r="AA250" s="3" t="s">
        <v>2544</v>
      </c>
      <c r="AB250" s="3" t="s">
        <v>2545</v>
      </c>
      <c r="AC250" s="3" t="s">
        <v>14718</v>
      </c>
      <c r="AD250" s="3">
        <v>467</v>
      </c>
      <c r="AE250" s="3"/>
      <c r="AF250" s="3"/>
      <c r="AG250" s="3" t="s">
        <v>12858</v>
      </c>
      <c r="AH250" s="3">
        <v>8693150</v>
      </c>
      <c r="AI250" s="3" t="s">
        <v>101</v>
      </c>
      <c r="AJ250" s="3" t="s">
        <v>2741</v>
      </c>
      <c r="AK250" s="3" t="s">
        <v>12661</v>
      </c>
      <c r="AL250" s="3" t="s">
        <v>2588</v>
      </c>
      <c r="AM250" s="3">
        <v>3</v>
      </c>
      <c r="AN250" s="3" t="s">
        <v>7216</v>
      </c>
      <c r="AO250" s="3" t="s">
        <v>120</v>
      </c>
      <c r="AP250" s="3"/>
      <c r="AQ250" s="3"/>
      <c r="AR250" s="3"/>
      <c r="AS250" s="7" t="s">
        <v>14719</v>
      </c>
    </row>
    <row r="251" spans="1:45" ht="12.5" x14ac:dyDescent="0.25">
      <c r="A251" s="3" t="s">
        <v>12652</v>
      </c>
      <c r="B251" s="7" t="str">
        <f>HYPERLINK("https://gerandofalcoes.my.salesforce.com/0014X00002VKCuwQAH", "0014X00002VKCuwQAH")</f>
        <v>0014X00002VKCuwQAH</v>
      </c>
      <c r="C251" s="3" t="s">
        <v>7839</v>
      </c>
      <c r="D251" s="3" t="s">
        <v>46</v>
      </c>
      <c r="E251" s="21" t="str">
        <f>HYPERLINK("https://gerandofalcoes.my.salesforce.com/0034X0000380O33", "0034X0000380O33")</f>
        <v>0034X0000380O33</v>
      </c>
      <c r="F251" s="3" t="s">
        <v>14720</v>
      </c>
      <c r="G251" s="3" t="s">
        <v>14721</v>
      </c>
      <c r="H251" s="3" t="s">
        <v>2538</v>
      </c>
      <c r="I251" s="3" t="s">
        <v>12741</v>
      </c>
      <c r="J251" s="3">
        <v>33</v>
      </c>
      <c r="K251" s="3" t="s">
        <v>14722</v>
      </c>
      <c r="L251" s="3">
        <v>11958396082</v>
      </c>
      <c r="M251" s="6">
        <v>32399</v>
      </c>
      <c r="N251" s="3">
        <v>34</v>
      </c>
      <c r="O251" s="3">
        <v>448941235</v>
      </c>
      <c r="P251" s="3">
        <v>36535127869</v>
      </c>
      <c r="Q251" s="3"/>
      <c r="R251" s="3"/>
      <c r="S251" s="3" t="s">
        <v>2998</v>
      </c>
      <c r="T251" s="3" t="s">
        <v>12656</v>
      </c>
      <c r="U251" s="3"/>
      <c r="V251" s="3" t="s">
        <v>14723</v>
      </c>
      <c r="W251" s="3" t="s">
        <v>2541</v>
      </c>
      <c r="X251" s="3" t="s">
        <v>2980</v>
      </c>
      <c r="Y251" s="3"/>
      <c r="Z251" s="3" t="s">
        <v>2545</v>
      </c>
      <c r="AA251" s="3" t="s">
        <v>2577</v>
      </c>
      <c r="AB251" s="3" t="s">
        <v>2545</v>
      </c>
      <c r="AC251" s="3" t="s">
        <v>14724</v>
      </c>
      <c r="AD251" s="3">
        <v>438</v>
      </c>
      <c r="AE251" s="3"/>
      <c r="AF251" s="3"/>
      <c r="AG251" s="3" t="s">
        <v>14725</v>
      </c>
      <c r="AH251" s="3">
        <v>2566010</v>
      </c>
      <c r="AI251" s="3" t="s">
        <v>101</v>
      </c>
      <c r="AJ251" s="3" t="s">
        <v>2569</v>
      </c>
      <c r="AK251" s="3" t="s">
        <v>12661</v>
      </c>
      <c r="AL251" s="3" t="s">
        <v>2588</v>
      </c>
      <c r="AM251" s="3">
        <v>2</v>
      </c>
      <c r="AN251" s="3" t="s">
        <v>7216</v>
      </c>
      <c r="AO251" s="3" t="s">
        <v>62</v>
      </c>
      <c r="AP251" s="7" t="s">
        <v>14726</v>
      </c>
      <c r="AQ251" s="3"/>
      <c r="AR251" s="3"/>
      <c r="AS251" s="7" t="s">
        <v>14727</v>
      </c>
    </row>
    <row r="252" spans="1:45" ht="12.5" x14ac:dyDescent="0.25">
      <c r="A252" s="3" t="s">
        <v>12652</v>
      </c>
      <c r="B252" s="7" t="str">
        <f>HYPERLINK("https://gerandofalcoes.my.salesforce.com/0014X00002VKCsVQAX", "0014X00002VKCsVQAX")</f>
        <v>0014X00002VKCsVQAX</v>
      </c>
      <c r="C252" s="3" t="s">
        <v>7857</v>
      </c>
      <c r="D252" s="3" t="s">
        <v>46</v>
      </c>
      <c r="E252" s="21" t="str">
        <f>HYPERLINK("https://gerandofalcoes.my.salesforce.com/0034X0000380O0o", "0034X0000380O0o")</f>
        <v>0034X0000380O0o</v>
      </c>
      <c r="F252" s="3" t="s">
        <v>14728</v>
      </c>
      <c r="G252" s="3" t="s">
        <v>14729</v>
      </c>
      <c r="H252" s="3" t="s">
        <v>2538</v>
      </c>
      <c r="I252" s="3" t="s">
        <v>12741</v>
      </c>
      <c r="J252" s="3">
        <v>33</v>
      </c>
      <c r="K252" s="3" t="s">
        <v>14730</v>
      </c>
      <c r="L252" s="3">
        <v>21985339761</v>
      </c>
      <c r="M252" s="6">
        <v>24274</v>
      </c>
      <c r="N252" s="3">
        <v>56</v>
      </c>
      <c r="O252" s="3" t="s">
        <v>14731</v>
      </c>
      <c r="P252" s="3">
        <v>86389211791</v>
      </c>
      <c r="Q252" s="3"/>
      <c r="R252" s="3"/>
      <c r="S252" s="3" t="s">
        <v>3417</v>
      </c>
      <c r="T252" s="3" t="s">
        <v>12723</v>
      </c>
      <c r="U252" s="3"/>
      <c r="V252" s="3" t="s">
        <v>14732</v>
      </c>
      <c r="W252" s="3" t="s">
        <v>2541</v>
      </c>
      <c r="X252" s="3" t="s">
        <v>2980</v>
      </c>
      <c r="Y252" s="3"/>
      <c r="Z252" s="3" t="s">
        <v>2543</v>
      </c>
      <c r="AA252" s="3"/>
      <c r="AB252" s="3"/>
      <c r="AC252" s="3" t="s">
        <v>7863</v>
      </c>
      <c r="AD252" s="3">
        <v>61</v>
      </c>
      <c r="AE252" s="3"/>
      <c r="AF252" s="3"/>
      <c r="AG252" s="3" t="s">
        <v>7864</v>
      </c>
      <c r="AH252" s="3" t="s">
        <v>7866</v>
      </c>
      <c r="AI252" s="3" t="s">
        <v>70</v>
      </c>
      <c r="AJ252" s="3" t="s">
        <v>2569</v>
      </c>
      <c r="AK252" s="3" t="s">
        <v>3249</v>
      </c>
      <c r="AL252" s="3" t="s">
        <v>2588</v>
      </c>
      <c r="AM252" s="3">
        <v>3</v>
      </c>
      <c r="AN252" s="3" t="s">
        <v>14107</v>
      </c>
      <c r="AO252" s="3" t="s">
        <v>120</v>
      </c>
      <c r="AP252" s="3"/>
      <c r="AQ252" s="3"/>
      <c r="AR252" s="3"/>
      <c r="AS252" s="7" t="s">
        <v>14733</v>
      </c>
    </row>
    <row r="253" spans="1:45" ht="12.5" x14ac:dyDescent="0.25">
      <c r="A253" s="3" t="s">
        <v>12652</v>
      </c>
      <c r="B253" s="7" t="str">
        <f>HYPERLINK("https://gerandofalcoes.my.salesforce.com/0014X00002VKCsWQAX", "0014X00002VKCsWQAX")</f>
        <v>0014X00002VKCsWQAX</v>
      </c>
      <c r="C253" s="3" t="s">
        <v>7876</v>
      </c>
      <c r="D253" s="3" t="s">
        <v>46</v>
      </c>
      <c r="E253" s="21" t="str">
        <f>HYPERLINK("https://gerandofalcoes.my.salesforce.com/0034X0000380O2f", "0034X0000380O2f")</f>
        <v>0034X0000380O2f</v>
      </c>
      <c r="F253" s="3" t="s">
        <v>14734</v>
      </c>
      <c r="G253" s="3" t="s">
        <v>14735</v>
      </c>
      <c r="H253" s="3" t="s">
        <v>2538</v>
      </c>
      <c r="I253" s="3" t="s">
        <v>12741</v>
      </c>
      <c r="J253" s="3">
        <v>33</v>
      </c>
      <c r="K253" s="3" t="s">
        <v>14736</v>
      </c>
      <c r="L253" s="3" t="s">
        <v>14737</v>
      </c>
      <c r="M253" s="6">
        <v>28191</v>
      </c>
      <c r="N253" s="3">
        <v>45</v>
      </c>
      <c r="O253" s="3" t="s">
        <v>14738</v>
      </c>
      <c r="P253" s="3">
        <v>8049142736</v>
      </c>
      <c r="Q253" s="3"/>
      <c r="R253" s="3"/>
      <c r="S253" s="3" t="s">
        <v>2998</v>
      </c>
      <c r="T253" s="3" t="s">
        <v>12656</v>
      </c>
      <c r="U253" s="3"/>
      <c r="V253" s="3" t="s">
        <v>14739</v>
      </c>
      <c r="W253" s="3" t="s">
        <v>2541</v>
      </c>
      <c r="X253" s="3" t="s">
        <v>2980</v>
      </c>
      <c r="Y253" s="3"/>
      <c r="Z253" s="3" t="s">
        <v>2543</v>
      </c>
      <c r="AA253" s="3" t="s">
        <v>2577</v>
      </c>
      <c r="AB253" s="3" t="s">
        <v>2545</v>
      </c>
      <c r="AC253" s="3" t="s">
        <v>14740</v>
      </c>
      <c r="AD253" s="3">
        <v>32</v>
      </c>
      <c r="AE253" s="3"/>
      <c r="AF253" s="3"/>
      <c r="AG253" s="3" t="s">
        <v>14741</v>
      </c>
      <c r="AH253" s="3">
        <v>21061560</v>
      </c>
      <c r="AI253" s="3" t="s">
        <v>70</v>
      </c>
      <c r="AJ253" s="3" t="s">
        <v>2569</v>
      </c>
      <c r="AK253" s="3" t="s">
        <v>3249</v>
      </c>
      <c r="AL253" s="3" t="s">
        <v>2579</v>
      </c>
      <c r="AM253" s="3">
        <v>4</v>
      </c>
      <c r="AN253" s="3" t="s">
        <v>7216</v>
      </c>
      <c r="AO253" s="3" t="s">
        <v>120</v>
      </c>
      <c r="AP253" s="3"/>
      <c r="AQ253" s="3"/>
      <c r="AR253" s="3"/>
      <c r="AS253" s="3"/>
    </row>
    <row r="254" spans="1:45" ht="12.5" x14ac:dyDescent="0.25">
      <c r="A254" s="3" t="s">
        <v>12652</v>
      </c>
      <c r="B254" s="7" t="str">
        <f>HYPERLINK("https://gerandofalcoes.my.salesforce.com/0014X00002VKCsYQAX", "0014X00002VKCsYQAX")</f>
        <v>0014X00002VKCsYQAX</v>
      </c>
      <c r="C254" s="3" t="s">
        <v>7888</v>
      </c>
      <c r="D254" s="3" t="s">
        <v>46</v>
      </c>
      <c r="E254" s="21" t="str">
        <f>HYPERLINK("https://gerandofalcoes.my.salesforce.com/0034X0000380O5x", "0034X0000380O5x")</f>
        <v>0034X0000380O5x</v>
      </c>
      <c r="F254" s="3" t="s">
        <v>14742</v>
      </c>
      <c r="G254" s="3" t="s">
        <v>14743</v>
      </c>
      <c r="H254" s="3" t="s">
        <v>2538</v>
      </c>
      <c r="I254" s="3" t="s">
        <v>12741</v>
      </c>
      <c r="J254" s="3">
        <v>33</v>
      </c>
      <c r="K254" s="3" t="s">
        <v>6438</v>
      </c>
      <c r="L254" s="3">
        <v>21984442713</v>
      </c>
      <c r="M254" s="6">
        <v>27456</v>
      </c>
      <c r="N254" s="3">
        <v>47</v>
      </c>
      <c r="O254" s="3">
        <v>94792918</v>
      </c>
      <c r="P254" s="3">
        <v>11026678706</v>
      </c>
      <c r="Q254" s="3"/>
      <c r="R254" s="3"/>
      <c r="S254" s="3" t="s">
        <v>3137</v>
      </c>
      <c r="T254" s="3" t="s">
        <v>12682</v>
      </c>
      <c r="U254" s="3"/>
      <c r="V254" s="3" t="s">
        <v>14744</v>
      </c>
      <c r="W254" s="3" t="s">
        <v>2541</v>
      </c>
      <c r="X254" s="3" t="s">
        <v>2980</v>
      </c>
      <c r="Y254" s="3"/>
      <c r="Z254" s="3" t="s">
        <v>2543</v>
      </c>
      <c r="AA254" s="3"/>
      <c r="AB254" s="3"/>
      <c r="AC254" s="3" t="s">
        <v>14745</v>
      </c>
      <c r="AD254" s="3">
        <v>134</v>
      </c>
      <c r="AE254" s="3">
        <v>101</v>
      </c>
      <c r="AF254" s="3"/>
      <c r="AG254" s="3" t="s">
        <v>6441</v>
      </c>
      <c r="AH254" s="3">
        <v>20551230</v>
      </c>
      <c r="AI254" s="3" t="s">
        <v>70</v>
      </c>
      <c r="AJ254" s="3" t="s">
        <v>2569</v>
      </c>
      <c r="AK254" s="3" t="s">
        <v>12729</v>
      </c>
      <c r="AL254" s="3" t="s">
        <v>2588</v>
      </c>
      <c r="AM254" s="3">
        <v>3</v>
      </c>
      <c r="AN254" s="3" t="s">
        <v>7216</v>
      </c>
      <c r="AO254" s="3" t="s">
        <v>120</v>
      </c>
      <c r="AP254" s="3"/>
      <c r="AQ254" s="7" t="s">
        <v>7893</v>
      </c>
      <c r="AR254" s="3"/>
      <c r="AS254" s="7" t="s">
        <v>14746</v>
      </c>
    </row>
    <row r="255" spans="1:45" ht="12.5" x14ac:dyDescent="0.25">
      <c r="A255" s="3" t="s">
        <v>12652</v>
      </c>
      <c r="B255" s="7" t="str">
        <f>HYPERLINK("https://gerandofalcoes.my.salesforce.com/0014X00002VKCsaQAH", "0014X00002VKCsaQAH")</f>
        <v>0014X00002VKCsaQAH</v>
      </c>
      <c r="C255" s="3" t="s">
        <v>7895</v>
      </c>
      <c r="D255" s="3" t="s">
        <v>46</v>
      </c>
      <c r="E255" s="21" t="str">
        <f>HYPERLINK("https://gerandofalcoes.my.salesforce.com/0034X0000380O1d", "0034X0000380O1d")</f>
        <v>0034X0000380O1d</v>
      </c>
      <c r="F255" s="3" t="s">
        <v>14747</v>
      </c>
      <c r="G255" s="3" t="s">
        <v>14748</v>
      </c>
      <c r="H255" s="3" t="s">
        <v>2538</v>
      </c>
      <c r="I255" s="3" t="s">
        <v>12741</v>
      </c>
      <c r="J255" s="3">
        <v>33</v>
      </c>
      <c r="K255" s="3" t="s">
        <v>7898</v>
      </c>
      <c r="L255" s="3">
        <v>21985363694</v>
      </c>
      <c r="M255" s="6">
        <v>26943</v>
      </c>
      <c r="N255" s="3">
        <v>49</v>
      </c>
      <c r="O255" s="3" t="s">
        <v>14749</v>
      </c>
      <c r="P255" s="3">
        <v>2295485711</v>
      </c>
      <c r="Q255" s="3"/>
      <c r="R255" s="3"/>
      <c r="S255" s="3" t="s">
        <v>2998</v>
      </c>
      <c r="T255" s="3" t="s">
        <v>12723</v>
      </c>
      <c r="U255" s="3"/>
      <c r="V255" s="3" t="s">
        <v>14750</v>
      </c>
      <c r="W255" s="3" t="s">
        <v>2541</v>
      </c>
      <c r="X255" s="3" t="s">
        <v>2980</v>
      </c>
      <c r="Y255" s="3"/>
      <c r="Z255" s="3" t="s">
        <v>2543</v>
      </c>
      <c r="AA255" s="3" t="s">
        <v>2577</v>
      </c>
      <c r="AB255" s="3" t="s">
        <v>2545</v>
      </c>
      <c r="AC255" s="3" t="s">
        <v>14751</v>
      </c>
      <c r="AD255" s="3">
        <v>19</v>
      </c>
      <c r="AE255" s="3">
        <v>38</v>
      </c>
      <c r="AF255" s="3"/>
      <c r="AG255" s="3" t="s">
        <v>14752</v>
      </c>
      <c r="AH255" s="3">
        <v>26110415</v>
      </c>
      <c r="AI255" s="3" t="s">
        <v>70</v>
      </c>
      <c r="AJ255" s="3" t="s">
        <v>2569</v>
      </c>
      <c r="AK255" s="3" t="s">
        <v>12729</v>
      </c>
      <c r="AL255" s="3" t="s">
        <v>2550</v>
      </c>
      <c r="AM255" s="3">
        <v>3</v>
      </c>
      <c r="AN255" s="3" t="s">
        <v>7216</v>
      </c>
      <c r="AO255" s="3" t="s">
        <v>120</v>
      </c>
      <c r="AP255" s="3"/>
      <c r="AQ255" s="7" t="s">
        <v>14753</v>
      </c>
      <c r="AR255" s="3"/>
      <c r="AS255" s="7" t="s">
        <v>14754</v>
      </c>
    </row>
    <row r="256" spans="1:45" ht="12.5" hidden="1" x14ac:dyDescent="0.25">
      <c r="A256" s="3" t="s">
        <v>12652</v>
      </c>
      <c r="B256" s="7" t="str">
        <f>HYPERLINK("https://gerandofalcoes.my.salesforce.com/0014X00002VKCscQAH", "0014X00002VKCscQAH")</f>
        <v>0014X00002VKCscQAH</v>
      </c>
      <c r="C256" s="3" t="s">
        <v>7914</v>
      </c>
      <c r="D256" s="3" t="s">
        <v>46</v>
      </c>
      <c r="E256" s="21" t="str">
        <f>HYPERLINK("https://gerandofalcoes.my.salesforce.com/0034X0000380O0e", "0034X0000380O0e")</f>
        <v>0034X0000380O0e</v>
      </c>
      <c r="F256" s="3" t="s">
        <v>14755</v>
      </c>
      <c r="G256" s="3" t="s">
        <v>14756</v>
      </c>
      <c r="H256" s="3" t="s">
        <v>2538</v>
      </c>
      <c r="I256" s="3" t="s">
        <v>12741</v>
      </c>
      <c r="J256" s="3"/>
      <c r="K256" s="3" t="s">
        <v>14757</v>
      </c>
      <c r="L256" s="3" t="s">
        <v>7919</v>
      </c>
      <c r="M256" s="6">
        <v>29313</v>
      </c>
      <c r="N256" s="3">
        <v>42</v>
      </c>
      <c r="O256" s="3">
        <v>114432594</v>
      </c>
      <c r="P256" s="3">
        <v>8448931700</v>
      </c>
      <c r="Q256" s="3"/>
      <c r="R256" s="3" t="s">
        <v>13675</v>
      </c>
      <c r="S256" s="3" t="s">
        <v>3417</v>
      </c>
      <c r="T256" s="3" t="s">
        <v>12656</v>
      </c>
      <c r="U256" s="3"/>
      <c r="V256" s="3" t="s">
        <v>14758</v>
      </c>
      <c r="W256" s="3" t="s">
        <v>12664</v>
      </c>
      <c r="X256" s="3" t="s">
        <v>2980</v>
      </c>
      <c r="Y256" s="3" t="s">
        <v>12670</v>
      </c>
      <c r="Z256" s="3" t="s">
        <v>2545</v>
      </c>
      <c r="AA256" s="3" t="s">
        <v>2577</v>
      </c>
      <c r="AB256" s="3" t="s">
        <v>2543</v>
      </c>
      <c r="AC256" s="3" t="s">
        <v>14759</v>
      </c>
      <c r="AD256" s="3">
        <v>20</v>
      </c>
      <c r="AE256" s="3" t="s">
        <v>14760</v>
      </c>
      <c r="AF256" s="3" t="s">
        <v>7922</v>
      </c>
      <c r="AG256" s="3" t="s">
        <v>7921</v>
      </c>
      <c r="AH256" s="3" t="s">
        <v>14761</v>
      </c>
      <c r="AI256" s="3" t="s">
        <v>70</v>
      </c>
      <c r="AJ256" s="3" t="s">
        <v>2569</v>
      </c>
      <c r="AK256" s="3" t="s">
        <v>12916</v>
      </c>
      <c r="AL256" s="3" t="s">
        <v>2550</v>
      </c>
      <c r="AM256" s="3">
        <v>3</v>
      </c>
      <c r="AN256" s="3" t="s">
        <v>7216</v>
      </c>
      <c r="AO256" s="3" t="s">
        <v>120</v>
      </c>
      <c r="AP256" s="7" t="s">
        <v>14762</v>
      </c>
      <c r="AQ256" s="7" t="s">
        <v>7928</v>
      </c>
      <c r="AR256" s="3"/>
      <c r="AS256" s="7" t="s">
        <v>14763</v>
      </c>
    </row>
    <row r="257" spans="1:45" ht="12.5" hidden="1" x14ac:dyDescent="0.25">
      <c r="A257" s="3" t="s">
        <v>12652</v>
      </c>
      <c r="B257" s="7" t="str">
        <f>HYPERLINK("https://gerandofalcoes.my.salesforce.com/0014X00002VKCsdQAH", "0014X00002VKCsdQAH")</f>
        <v>0014X00002VKCsdQAH</v>
      </c>
      <c r="C257" s="3" t="s">
        <v>7933</v>
      </c>
      <c r="D257" s="3" t="s">
        <v>46</v>
      </c>
      <c r="E257" s="21" t="str">
        <f>HYPERLINK("https://gerandofalcoes.my.salesforce.com/0034X0000380O3y", "0034X0000380O3y")</f>
        <v>0034X0000380O3y</v>
      </c>
      <c r="F257" s="3" t="s">
        <v>14764</v>
      </c>
      <c r="G257" s="3" t="s">
        <v>14765</v>
      </c>
      <c r="H257" s="3" t="s">
        <v>2538</v>
      </c>
      <c r="I257" s="3" t="s">
        <v>12741</v>
      </c>
      <c r="J257" s="3">
        <v>33</v>
      </c>
      <c r="K257" s="3" t="s">
        <v>14766</v>
      </c>
      <c r="L257" s="3" t="s">
        <v>14767</v>
      </c>
      <c r="M257" s="6">
        <v>32476</v>
      </c>
      <c r="N257" s="3">
        <v>34</v>
      </c>
      <c r="O257" s="3">
        <v>209894849</v>
      </c>
      <c r="P257" s="3">
        <v>12720833738</v>
      </c>
      <c r="Q257" s="3"/>
      <c r="R257" s="3" t="s">
        <v>14768</v>
      </c>
      <c r="S257" s="3" t="s">
        <v>3417</v>
      </c>
      <c r="T257" s="3" t="s">
        <v>12682</v>
      </c>
      <c r="U257" s="3"/>
      <c r="V257" s="3" t="s">
        <v>14769</v>
      </c>
      <c r="W257" s="3" t="s">
        <v>12664</v>
      </c>
      <c r="X257" s="3" t="s">
        <v>2980</v>
      </c>
      <c r="Y257" s="3" t="s">
        <v>12684</v>
      </c>
      <c r="Z257" s="3" t="s">
        <v>2543</v>
      </c>
      <c r="AA257" s="3"/>
      <c r="AB257" s="3"/>
      <c r="AC257" s="3" t="s">
        <v>14770</v>
      </c>
      <c r="AD257" s="3">
        <v>685</v>
      </c>
      <c r="AE257" s="3" t="s">
        <v>14771</v>
      </c>
      <c r="AF257" s="3" t="s">
        <v>73</v>
      </c>
      <c r="AG257" s="3" t="s">
        <v>14772</v>
      </c>
      <c r="AH257" s="3" t="s">
        <v>14773</v>
      </c>
      <c r="AI257" s="3" t="s">
        <v>70</v>
      </c>
      <c r="AJ257" s="3" t="s">
        <v>2569</v>
      </c>
      <c r="AK257" s="3" t="s">
        <v>3249</v>
      </c>
      <c r="AL257" s="3" t="s">
        <v>2588</v>
      </c>
      <c r="AM257" s="3">
        <v>3</v>
      </c>
      <c r="AN257" s="3" t="s">
        <v>7216</v>
      </c>
      <c r="AO257" s="3" t="s">
        <v>120</v>
      </c>
      <c r="AP257" s="3"/>
      <c r="AQ257" s="7" t="s">
        <v>14774</v>
      </c>
      <c r="AR257" s="3"/>
      <c r="AS257" s="7" t="s">
        <v>14775</v>
      </c>
    </row>
    <row r="258" spans="1:45" ht="12.5" hidden="1" x14ac:dyDescent="0.25">
      <c r="A258" s="3" t="s">
        <v>12652</v>
      </c>
      <c r="B258" s="7" t="str">
        <f>HYPERLINK("https://gerandofalcoes.my.salesforce.com/0014X00002VKCseQAH", "0014X00002VKCseQAH")</f>
        <v>0014X00002VKCseQAH</v>
      </c>
      <c r="C258" s="3" t="s">
        <v>7947</v>
      </c>
      <c r="D258" s="3" t="s">
        <v>46</v>
      </c>
      <c r="E258" s="21" t="str">
        <f>HYPERLINK("https://gerandofalcoes.my.salesforce.com/0034X0000380O3J", "0034X0000380O3J")</f>
        <v>0034X0000380O3J</v>
      </c>
      <c r="F258" s="3" t="s">
        <v>14776</v>
      </c>
      <c r="G258" s="3" t="s">
        <v>14777</v>
      </c>
      <c r="H258" s="3" t="s">
        <v>2538</v>
      </c>
      <c r="I258" s="3" t="s">
        <v>12741</v>
      </c>
      <c r="J258" s="3">
        <v>33</v>
      </c>
      <c r="K258" s="3" t="s">
        <v>14778</v>
      </c>
      <c r="L258" s="3" t="s">
        <v>7952</v>
      </c>
      <c r="M258" s="6">
        <v>29165</v>
      </c>
      <c r="N258" s="3">
        <v>43</v>
      </c>
      <c r="O258" s="3">
        <v>116047648</v>
      </c>
      <c r="P258" s="3">
        <v>5197057777</v>
      </c>
      <c r="Q258" s="3"/>
      <c r="R258" s="3" t="s">
        <v>14779</v>
      </c>
      <c r="S258" s="3" t="s">
        <v>3417</v>
      </c>
      <c r="T258" s="3" t="s">
        <v>12723</v>
      </c>
      <c r="U258" s="3"/>
      <c r="V258" s="3" t="s">
        <v>14780</v>
      </c>
      <c r="W258" s="3" t="s">
        <v>4204</v>
      </c>
      <c r="X258" s="3" t="s">
        <v>2980</v>
      </c>
      <c r="Y258" s="3" t="s">
        <v>12658</v>
      </c>
      <c r="Z258" s="3" t="s">
        <v>2543</v>
      </c>
      <c r="AA258" s="3" t="s">
        <v>2544</v>
      </c>
      <c r="AB258" s="3" t="s">
        <v>2545</v>
      </c>
      <c r="AC258" s="3" t="s">
        <v>7953</v>
      </c>
      <c r="AD258" s="3">
        <v>29</v>
      </c>
      <c r="AE258" s="3" t="s">
        <v>14781</v>
      </c>
      <c r="AF258" s="3" t="s">
        <v>73</v>
      </c>
      <c r="AG258" s="3" t="s">
        <v>7407</v>
      </c>
      <c r="AH258" s="3" t="s">
        <v>7955</v>
      </c>
      <c r="AI258" s="3" t="s">
        <v>70</v>
      </c>
      <c r="AJ258" s="3" t="s">
        <v>2569</v>
      </c>
      <c r="AK258" s="3" t="s">
        <v>13095</v>
      </c>
      <c r="AL258" s="3" t="s">
        <v>2550</v>
      </c>
      <c r="AM258" s="3">
        <v>4</v>
      </c>
      <c r="AN258" s="3" t="s">
        <v>7216</v>
      </c>
      <c r="AO258" s="3" t="s">
        <v>120</v>
      </c>
      <c r="AP258" s="3"/>
      <c r="AQ258" s="3" t="s">
        <v>14782</v>
      </c>
      <c r="AR258" s="3"/>
      <c r="AS258" s="7" t="s">
        <v>14783</v>
      </c>
    </row>
    <row r="259" spans="1:45" ht="12.5" hidden="1" x14ac:dyDescent="0.25">
      <c r="A259" s="3" t="s">
        <v>12652</v>
      </c>
      <c r="B259" s="7" t="str">
        <f>HYPERLINK("https://gerandofalcoes.my.salesforce.com/0014X00002VKCshQAH", "0014X00002VKCshQAH")</f>
        <v>0014X00002VKCshQAH</v>
      </c>
      <c r="C259" s="3" t="s">
        <v>7961</v>
      </c>
      <c r="D259" s="3" t="s">
        <v>46</v>
      </c>
      <c r="E259" s="21" t="str">
        <f>HYPERLINK("https://gerandofalcoes.my.salesforce.com/0034X0000380O0f", "0034X0000380O0f")</f>
        <v>0034X0000380O0f</v>
      </c>
      <c r="F259" s="3" t="s">
        <v>13723</v>
      </c>
      <c r="G259" s="3" t="s">
        <v>14784</v>
      </c>
      <c r="H259" s="3" t="s">
        <v>2538</v>
      </c>
      <c r="I259" s="3" t="s">
        <v>12741</v>
      </c>
      <c r="J259" s="3">
        <v>33</v>
      </c>
      <c r="K259" s="3" t="s">
        <v>14785</v>
      </c>
      <c r="L259" s="3" t="s">
        <v>7965</v>
      </c>
      <c r="M259" s="6">
        <v>29340</v>
      </c>
      <c r="N259" s="3">
        <v>42</v>
      </c>
      <c r="O259" s="3">
        <v>110432119</v>
      </c>
      <c r="P259" s="3">
        <v>5317513766</v>
      </c>
      <c r="Q259" s="3"/>
      <c r="R259" s="3" t="s">
        <v>14786</v>
      </c>
      <c r="S259" s="3" t="s">
        <v>2998</v>
      </c>
      <c r="T259" s="3" t="s">
        <v>12723</v>
      </c>
      <c r="U259" s="3"/>
      <c r="V259" s="3" t="s">
        <v>14787</v>
      </c>
      <c r="W259" s="3" t="s">
        <v>12664</v>
      </c>
      <c r="X259" s="3" t="s">
        <v>2980</v>
      </c>
      <c r="Y259" s="3" t="s">
        <v>12658</v>
      </c>
      <c r="Z259" s="3" t="s">
        <v>2545</v>
      </c>
      <c r="AA259" s="3" t="s">
        <v>2544</v>
      </c>
      <c r="AB259" s="3"/>
      <c r="AC259" s="3" t="s">
        <v>14788</v>
      </c>
      <c r="AD259" s="3">
        <v>455</v>
      </c>
      <c r="AE259" s="3"/>
      <c r="AF259" s="3" t="s">
        <v>1608</v>
      </c>
      <c r="AG259" s="3" t="s">
        <v>14789</v>
      </c>
      <c r="AH259" s="3" t="s">
        <v>14790</v>
      </c>
      <c r="AI259" s="3" t="s">
        <v>70</v>
      </c>
      <c r="AJ259" s="3" t="s">
        <v>2569</v>
      </c>
      <c r="AK259" s="3" t="s">
        <v>12828</v>
      </c>
      <c r="AL259" s="3" t="s">
        <v>2588</v>
      </c>
      <c r="AM259" s="3">
        <v>3</v>
      </c>
      <c r="AN259" s="3" t="s">
        <v>3890</v>
      </c>
      <c r="AO259" s="3" t="s">
        <v>120</v>
      </c>
      <c r="AP259" s="7" t="s">
        <v>14791</v>
      </c>
      <c r="AQ259" s="7" t="s">
        <v>7975</v>
      </c>
      <c r="AR259" s="3"/>
      <c r="AS259" s="7" t="s">
        <v>14792</v>
      </c>
    </row>
    <row r="260" spans="1:45" ht="12.5" hidden="1" x14ac:dyDescent="0.25">
      <c r="A260" s="3" t="s">
        <v>12652</v>
      </c>
      <c r="B260" s="7" t="str">
        <f>HYPERLINK("https://gerandofalcoes.my.salesforce.com/0014X00002VKCsjQAH", "0014X00002VKCsjQAH")</f>
        <v>0014X00002VKCsjQAH</v>
      </c>
      <c r="C260" s="3" t="s">
        <v>7980</v>
      </c>
      <c r="D260" s="3" t="s">
        <v>46</v>
      </c>
      <c r="E260" s="21" t="str">
        <f>HYPERLINK("https://gerandofalcoes.my.salesforce.com/0034X0000380O0z", "0034X0000380O0z")</f>
        <v>0034X0000380O0z</v>
      </c>
      <c r="F260" s="3" t="s">
        <v>14793</v>
      </c>
      <c r="G260" s="3" t="s">
        <v>14794</v>
      </c>
      <c r="H260" s="3" t="s">
        <v>2538</v>
      </c>
      <c r="I260" s="3" t="s">
        <v>12741</v>
      </c>
      <c r="J260" s="3"/>
      <c r="K260" s="3" t="s">
        <v>14795</v>
      </c>
      <c r="L260" s="3" t="s">
        <v>7985</v>
      </c>
      <c r="M260" s="6">
        <v>31827</v>
      </c>
      <c r="N260" s="3">
        <v>35</v>
      </c>
      <c r="O260" s="3">
        <v>213928567</v>
      </c>
      <c r="P260" s="3">
        <v>11898292744</v>
      </c>
      <c r="Q260" s="3"/>
      <c r="R260" s="3" t="s">
        <v>12800</v>
      </c>
      <c r="S260" s="3" t="s">
        <v>3417</v>
      </c>
      <c r="T260" s="3" t="s">
        <v>12723</v>
      </c>
      <c r="U260" s="3"/>
      <c r="V260" s="3" t="s">
        <v>14796</v>
      </c>
      <c r="W260" s="3" t="s">
        <v>12664</v>
      </c>
      <c r="X260" s="3" t="s">
        <v>2980</v>
      </c>
      <c r="Y260" s="3" t="s">
        <v>12658</v>
      </c>
      <c r="Z260" s="3" t="s">
        <v>2543</v>
      </c>
      <c r="AA260" s="3" t="s">
        <v>2544</v>
      </c>
      <c r="AB260" s="3"/>
      <c r="AC260" s="3" t="s">
        <v>14797</v>
      </c>
      <c r="AD260" s="3">
        <v>160</v>
      </c>
      <c r="AE260" s="3" t="s">
        <v>14798</v>
      </c>
      <c r="AF260" s="3" t="s">
        <v>7989</v>
      </c>
      <c r="AG260" s="3" t="s">
        <v>14799</v>
      </c>
      <c r="AH260" s="3" t="s">
        <v>14800</v>
      </c>
      <c r="AI260" s="3" t="s">
        <v>70</v>
      </c>
      <c r="AJ260" s="3" t="s">
        <v>2569</v>
      </c>
      <c r="AK260" s="3" t="s">
        <v>12661</v>
      </c>
      <c r="AL260" s="3" t="s">
        <v>2579</v>
      </c>
      <c r="AM260" s="3">
        <v>2</v>
      </c>
      <c r="AN260" s="3" t="s">
        <v>7216</v>
      </c>
      <c r="AO260" s="3" t="s">
        <v>120</v>
      </c>
      <c r="AP260" s="3"/>
      <c r="AQ260" s="7" t="s">
        <v>14801</v>
      </c>
      <c r="AR260" s="3"/>
      <c r="AS260" s="7" t="s">
        <v>14802</v>
      </c>
    </row>
    <row r="261" spans="1:45" ht="12.5" x14ac:dyDescent="0.25">
      <c r="A261" s="3" t="s">
        <v>12652</v>
      </c>
      <c r="B261" s="7" t="str">
        <f>HYPERLINK("https://gerandofalcoes.my.salesforce.com/0014X00002VKCslQAH", "0014X00002VKCslQAH")</f>
        <v>0014X00002VKCslQAH</v>
      </c>
      <c r="C261" s="3" t="s">
        <v>8001</v>
      </c>
      <c r="D261" s="3" t="s">
        <v>46</v>
      </c>
      <c r="E261" s="21" t="str">
        <f>HYPERLINK("https://gerandofalcoes.my.salesforce.com/0034X0000380O63", "0034X0000380O63")</f>
        <v>0034X0000380O63</v>
      </c>
      <c r="F261" s="3" t="s">
        <v>2552</v>
      </c>
      <c r="G261" s="3" t="s">
        <v>14803</v>
      </c>
      <c r="H261" s="3" t="s">
        <v>2538</v>
      </c>
      <c r="I261" s="3" t="s">
        <v>12741</v>
      </c>
      <c r="J261" s="3">
        <v>33</v>
      </c>
      <c r="K261" s="3" t="s">
        <v>14804</v>
      </c>
      <c r="L261" s="3" t="s">
        <v>14805</v>
      </c>
      <c r="M261" s="8">
        <v>30581</v>
      </c>
      <c r="N261" s="3">
        <v>39</v>
      </c>
      <c r="O261" s="3">
        <v>201867575</v>
      </c>
      <c r="P261" s="3">
        <v>10416108741</v>
      </c>
      <c r="Q261" s="3"/>
      <c r="R261" s="3"/>
      <c r="S261" s="3" t="s">
        <v>3417</v>
      </c>
      <c r="T261" s="3" t="s">
        <v>12723</v>
      </c>
      <c r="U261" s="3"/>
      <c r="V261" s="3" t="s">
        <v>14806</v>
      </c>
      <c r="W261" s="3" t="s">
        <v>2541</v>
      </c>
      <c r="X261" s="3" t="s">
        <v>2980</v>
      </c>
      <c r="Y261" s="3"/>
      <c r="Z261" s="3" t="s">
        <v>2545</v>
      </c>
      <c r="AA261" s="3"/>
      <c r="AB261" s="3"/>
      <c r="AC261" s="3" t="s">
        <v>14807</v>
      </c>
      <c r="AD261" s="3">
        <v>205</v>
      </c>
      <c r="AE261" s="3">
        <v>7</v>
      </c>
      <c r="AF261" s="3"/>
      <c r="AG261" s="3" t="s">
        <v>9687</v>
      </c>
      <c r="AH261" s="3">
        <v>25040360</v>
      </c>
      <c r="AI261" s="3" t="s">
        <v>70</v>
      </c>
      <c r="AJ261" s="3" t="s">
        <v>2569</v>
      </c>
      <c r="AK261" s="3" t="s">
        <v>12828</v>
      </c>
      <c r="AL261" s="3" t="s">
        <v>2579</v>
      </c>
      <c r="AM261" s="3">
        <v>4</v>
      </c>
      <c r="AN261" s="3" t="s">
        <v>7216</v>
      </c>
      <c r="AO261" s="3" t="s">
        <v>120</v>
      </c>
      <c r="AP261" s="7" t="s">
        <v>14808</v>
      </c>
      <c r="AQ261" s="7" t="s">
        <v>14808</v>
      </c>
      <c r="AR261" s="3"/>
      <c r="AS261" s="7" t="s">
        <v>14809</v>
      </c>
    </row>
    <row r="262" spans="1:45" ht="12.5" hidden="1" x14ac:dyDescent="0.25">
      <c r="A262" s="3" t="s">
        <v>12652</v>
      </c>
      <c r="B262" s="7" t="str">
        <f>HYPERLINK("https://gerandofalcoes.my.salesforce.com/0014X00002VKCsmQAH", "0014X00002VKCsmQAH")</f>
        <v>0014X00002VKCsmQAH</v>
      </c>
      <c r="C262" s="3" t="s">
        <v>8020</v>
      </c>
      <c r="D262" s="3" t="s">
        <v>46</v>
      </c>
      <c r="E262" s="21" t="str">
        <f>HYPERLINK("https://gerandofalcoes.my.salesforce.com/0034X0000380O6k", "0034X0000380O6k")</f>
        <v>0034X0000380O6k</v>
      </c>
      <c r="F262" s="3" t="s">
        <v>14810</v>
      </c>
      <c r="G262" s="3" t="s">
        <v>14811</v>
      </c>
      <c r="H262" s="3" t="s">
        <v>2538</v>
      </c>
      <c r="I262" s="3" t="s">
        <v>12741</v>
      </c>
      <c r="J262" s="3">
        <v>33</v>
      </c>
      <c r="K262" s="3" t="s">
        <v>14637</v>
      </c>
      <c r="L262" s="3" t="s">
        <v>7681</v>
      </c>
      <c r="M262" s="6">
        <v>30153</v>
      </c>
      <c r="N262" s="3">
        <v>40</v>
      </c>
      <c r="O262" s="3">
        <v>302446126</v>
      </c>
      <c r="P262" s="3">
        <v>31008255866</v>
      </c>
      <c r="Q262" s="3"/>
      <c r="R262" s="3" t="s">
        <v>13153</v>
      </c>
      <c r="S262" s="3" t="s">
        <v>3269</v>
      </c>
      <c r="T262" s="3" t="s">
        <v>12656</v>
      </c>
      <c r="U262" s="3"/>
      <c r="V262" s="3" t="s">
        <v>14812</v>
      </c>
      <c r="W262" s="3" t="s">
        <v>12664</v>
      </c>
      <c r="X262" s="3" t="s">
        <v>2980</v>
      </c>
      <c r="Y262" s="3" t="s">
        <v>12658</v>
      </c>
      <c r="Z262" s="3" t="s">
        <v>2545</v>
      </c>
      <c r="AA262" s="3" t="s">
        <v>2544</v>
      </c>
      <c r="AB262" s="3" t="s">
        <v>2545</v>
      </c>
      <c r="AC262" s="3" t="s">
        <v>14813</v>
      </c>
      <c r="AD262" s="3">
        <v>764</v>
      </c>
      <c r="AE262" s="3" t="s">
        <v>14814</v>
      </c>
      <c r="AF262" s="3" t="s">
        <v>14815</v>
      </c>
      <c r="AG262" s="3" t="s">
        <v>14816</v>
      </c>
      <c r="AH262" s="3" t="s">
        <v>14641</v>
      </c>
      <c r="AI262" s="3" t="s">
        <v>101</v>
      </c>
      <c r="AJ262" s="3" t="s">
        <v>2569</v>
      </c>
      <c r="AK262" s="3" t="s">
        <v>3249</v>
      </c>
      <c r="AL262" s="3" t="s">
        <v>2588</v>
      </c>
      <c r="AM262" s="3">
        <v>4</v>
      </c>
      <c r="AN262" s="3" t="s">
        <v>7216</v>
      </c>
      <c r="AO262" s="3" t="s">
        <v>120</v>
      </c>
      <c r="AP262" s="3"/>
      <c r="AQ262" s="7" t="s">
        <v>14817</v>
      </c>
      <c r="AR262" s="3"/>
      <c r="AS262" s="7" t="s">
        <v>14818</v>
      </c>
    </row>
    <row r="263" spans="1:45" ht="12.5" x14ac:dyDescent="0.25">
      <c r="A263" s="3" t="s">
        <v>12652</v>
      </c>
      <c r="B263" s="7" t="str">
        <f>HYPERLINK("https://gerandofalcoes.my.salesforce.com/0014X00002VKCsnQAH", "0014X00002VKCsnQAH")</f>
        <v>0014X00002VKCsnQAH</v>
      </c>
      <c r="C263" s="3" t="s">
        <v>8035</v>
      </c>
      <c r="D263" s="3" t="s">
        <v>46</v>
      </c>
      <c r="E263" s="21" t="str">
        <f>HYPERLINK("https://gerandofalcoes.my.salesforce.com/0034X0000380O16", "0034X0000380O16")</f>
        <v>0034X0000380O16</v>
      </c>
      <c r="F263" s="3" t="s">
        <v>14819</v>
      </c>
      <c r="G263" s="3" t="s">
        <v>14820</v>
      </c>
      <c r="H263" s="3" t="s">
        <v>2538</v>
      </c>
      <c r="I263" s="3" t="s">
        <v>12741</v>
      </c>
      <c r="J263" s="3">
        <v>33</v>
      </c>
      <c r="K263" s="3" t="s">
        <v>14821</v>
      </c>
      <c r="L263" s="3">
        <v>21965415006</v>
      </c>
      <c r="M263" s="6">
        <v>32587</v>
      </c>
      <c r="N263" s="3">
        <v>33</v>
      </c>
      <c r="O263" s="3" t="s">
        <v>14822</v>
      </c>
      <c r="P263" s="3">
        <v>12599843707</v>
      </c>
      <c r="Q263" s="3"/>
      <c r="R263" s="3"/>
      <c r="S263" s="3" t="s">
        <v>3269</v>
      </c>
      <c r="T263" s="3" t="s">
        <v>12682</v>
      </c>
      <c r="U263" s="3"/>
      <c r="V263" s="3" t="s">
        <v>14823</v>
      </c>
      <c r="W263" s="3" t="s">
        <v>2541</v>
      </c>
      <c r="X263" s="3" t="s">
        <v>3365</v>
      </c>
      <c r="Y263" s="3"/>
      <c r="Z263" s="3" t="s">
        <v>2545</v>
      </c>
      <c r="AA263" s="3" t="s">
        <v>2544</v>
      </c>
      <c r="AB263" s="3" t="s">
        <v>2545</v>
      </c>
      <c r="AC263" s="3" t="s">
        <v>14824</v>
      </c>
      <c r="AD263" s="3">
        <v>90</v>
      </c>
      <c r="AE263" s="3">
        <v>104</v>
      </c>
      <c r="AF263" s="3"/>
      <c r="AG263" s="3" t="s">
        <v>14506</v>
      </c>
      <c r="AH263" s="3">
        <v>20520202</v>
      </c>
      <c r="AI263" s="3" t="s">
        <v>70</v>
      </c>
      <c r="AJ263" s="3" t="s">
        <v>2569</v>
      </c>
      <c r="AK263" s="3" t="s">
        <v>12828</v>
      </c>
      <c r="AL263" s="3" t="s">
        <v>2588</v>
      </c>
      <c r="AM263" s="3">
        <v>1</v>
      </c>
      <c r="AN263" s="3" t="s">
        <v>7216</v>
      </c>
      <c r="AO263" s="3" t="s">
        <v>120</v>
      </c>
      <c r="AP263" s="7" t="s">
        <v>14825</v>
      </c>
      <c r="AQ263" s="7" t="s">
        <v>14826</v>
      </c>
      <c r="AR263" s="3"/>
      <c r="AS263" s="7" t="s">
        <v>14827</v>
      </c>
    </row>
    <row r="264" spans="1:45" ht="12.5" hidden="1" x14ac:dyDescent="0.25">
      <c r="A264" s="3" t="s">
        <v>12652</v>
      </c>
      <c r="B264" s="7" t="str">
        <f>HYPERLINK("https://gerandofalcoes.my.salesforce.com/0014X00002VKCsoQAH", "0014X00002VKCsoQAH")</f>
        <v>0014X00002VKCsoQAH</v>
      </c>
      <c r="C264" s="3" t="s">
        <v>8056</v>
      </c>
      <c r="D264" s="3" t="s">
        <v>46</v>
      </c>
      <c r="E264" s="21" t="str">
        <f>HYPERLINK("https://gerandofalcoes.my.salesforce.com/0034X0000380O2m", "0034X0000380O2m")</f>
        <v>0034X0000380O2m</v>
      </c>
      <c r="F264" s="3" t="s">
        <v>14828</v>
      </c>
      <c r="G264" s="3" t="s">
        <v>14829</v>
      </c>
      <c r="H264" s="3" t="s">
        <v>2538</v>
      </c>
      <c r="I264" s="3" t="s">
        <v>12741</v>
      </c>
      <c r="J264" s="3"/>
      <c r="K264" s="3" t="s">
        <v>8060</v>
      </c>
      <c r="L264" s="3" t="s">
        <v>8061</v>
      </c>
      <c r="M264" s="8">
        <v>26765</v>
      </c>
      <c r="N264" s="3">
        <v>49</v>
      </c>
      <c r="O264" s="3">
        <v>93730737</v>
      </c>
      <c r="P264" s="3">
        <v>360313728</v>
      </c>
      <c r="Q264" s="3"/>
      <c r="R264" s="3" t="s">
        <v>14248</v>
      </c>
      <c r="S264" s="3" t="s">
        <v>2998</v>
      </c>
      <c r="T264" s="3" t="s">
        <v>12682</v>
      </c>
      <c r="U264" s="3"/>
      <c r="V264" s="3" t="s">
        <v>14830</v>
      </c>
      <c r="W264" s="3" t="s">
        <v>12664</v>
      </c>
      <c r="X264" s="3" t="s">
        <v>2980</v>
      </c>
      <c r="Y264" s="3" t="s">
        <v>12670</v>
      </c>
      <c r="Z264" s="3" t="s">
        <v>2545</v>
      </c>
      <c r="AA264" s="3" t="s">
        <v>2577</v>
      </c>
      <c r="AB264" s="3" t="s">
        <v>2545</v>
      </c>
      <c r="AC264" s="3" t="s">
        <v>14831</v>
      </c>
      <c r="AD264" s="3">
        <v>297</v>
      </c>
      <c r="AE264" s="3" t="s">
        <v>14832</v>
      </c>
      <c r="AF264" s="3" t="s">
        <v>73</v>
      </c>
      <c r="AG264" s="3" t="s">
        <v>14065</v>
      </c>
      <c r="AH264" s="3" t="s">
        <v>14833</v>
      </c>
      <c r="AI264" s="3" t="s">
        <v>70</v>
      </c>
      <c r="AJ264" s="3" t="s">
        <v>2548</v>
      </c>
      <c r="AK264" s="3" t="s">
        <v>13437</v>
      </c>
      <c r="AL264" s="3" t="s">
        <v>2550</v>
      </c>
      <c r="AM264" s="3">
        <v>4</v>
      </c>
      <c r="AN264" s="3" t="s">
        <v>7216</v>
      </c>
      <c r="AO264" s="3" t="s">
        <v>120</v>
      </c>
      <c r="AP264" s="7" t="s">
        <v>14834</v>
      </c>
      <c r="AQ264" s="7" t="s">
        <v>14835</v>
      </c>
      <c r="AR264" s="3"/>
      <c r="AS264" s="7" t="s">
        <v>14836</v>
      </c>
    </row>
    <row r="265" spans="1:45" ht="12.5" hidden="1" x14ac:dyDescent="0.25">
      <c r="A265" s="3" t="s">
        <v>12652</v>
      </c>
      <c r="B265" s="7" t="str">
        <f>HYPERLINK("https://gerandofalcoes.my.salesforce.com/0014X00002VKCspQAH", "0014X00002VKCspQAH")</f>
        <v>0014X00002VKCspQAH</v>
      </c>
      <c r="C265" s="3" t="s">
        <v>8077</v>
      </c>
      <c r="D265" s="3" t="s">
        <v>46</v>
      </c>
      <c r="E265" s="21" t="str">
        <f>HYPERLINK("https://gerandofalcoes.my.salesforce.com/0034X0000380O65", "0034X0000380O65")</f>
        <v>0034X0000380O65</v>
      </c>
      <c r="F265" s="3" t="s">
        <v>14837</v>
      </c>
      <c r="G265" s="3" t="s">
        <v>14838</v>
      </c>
      <c r="H265" s="3" t="s">
        <v>2538</v>
      </c>
      <c r="I265" s="3" t="s">
        <v>12741</v>
      </c>
      <c r="J265" s="3">
        <v>33</v>
      </c>
      <c r="K265" s="3" t="s">
        <v>14839</v>
      </c>
      <c r="L265" s="3" t="s">
        <v>8082</v>
      </c>
      <c r="M265" s="6">
        <v>33549</v>
      </c>
      <c r="N265" s="3">
        <v>31</v>
      </c>
      <c r="O265" s="3">
        <v>217409663</v>
      </c>
      <c r="P265" s="3">
        <v>13326599773</v>
      </c>
      <c r="Q265" s="3"/>
      <c r="R265" s="3" t="s">
        <v>13409</v>
      </c>
      <c r="S265" s="3" t="s">
        <v>2998</v>
      </c>
      <c r="T265" s="3" t="s">
        <v>12656</v>
      </c>
      <c r="U265" s="3"/>
      <c r="V265" s="3" t="s">
        <v>14840</v>
      </c>
      <c r="W265" s="3" t="s">
        <v>4204</v>
      </c>
      <c r="X265" s="3" t="s">
        <v>3508</v>
      </c>
      <c r="Y265" s="3" t="s">
        <v>12684</v>
      </c>
      <c r="Z265" s="3" t="s">
        <v>2543</v>
      </c>
      <c r="AA265" s="3" t="s">
        <v>2544</v>
      </c>
      <c r="AB265" s="3"/>
      <c r="AC265" s="3" t="s">
        <v>8083</v>
      </c>
      <c r="AD265" s="3">
        <v>1184</v>
      </c>
      <c r="AE265" s="3" t="s">
        <v>14841</v>
      </c>
      <c r="AF265" s="3" t="s">
        <v>6367</v>
      </c>
      <c r="AG265" s="3" t="s">
        <v>72</v>
      </c>
      <c r="AH265" s="3" t="s">
        <v>8085</v>
      </c>
      <c r="AI265" s="3" t="s">
        <v>70</v>
      </c>
      <c r="AJ265" s="3" t="s">
        <v>2569</v>
      </c>
      <c r="AK265" s="3" t="s">
        <v>12828</v>
      </c>
      <c r="AL265" s="3" t="s">
        <v>2550</v>
      </c>
      <c r="AM265" s="3">
        <v>3</v>
      </c>
      <c r="AN265" s="3" t="s">
        <v>7216</v>
      </c>
      <c r="AO265" s="3" t="s">
        <v>120</v>
      </c>
      <c r="AP265" s="3"/>
      <c r="AQ265" s="7" t="s">
        <v>14842</v>
      </c>
      <c r="AR265" s="3"/>
      <c r="AS265" s="7" t="s">
        <v>14843</v>
      </c>
    </row>
    <row r="266" spans="1:45" ht="12.5" x14ac:dyDescent="0.25">
      <c r="A266" s="3" t="s">
        <v>12652</v>
      </c>
      <c r="B266" s="7" t="str">
        <f>HYPERLINK("https://gerandofalcoes.my.salesforce.com/0014X00002VKCstQAH", "0014X00002VKCstQAH")</f>
        <v>0014X00002VKCstQAH</v>
      </c>
      <c r="C266" s="3" t="s">
        <v>8092</v>
      </c>
      <c r="D266" s="3" t="s">
        <v>46</v>
      </c>
      <c r="E266" s="21" t="str">
        <f>HYPERLINK("https://gerandofalcoes.my.salesforce.com/0034X0000380O18", "0034X0000380O18")</f>
        <v>0034X0000380O18</v>
      </c>
      <c r="F266" s="3" t="s">
        <v>2678</v>
      </c>
      <c r="G266" s="3" t="s">
        <v>14844</v>
      </c>
      <c r="H266" s="3" t="s">
        <v>2538</v>
      </c>
      <c r="I266" s="3" t="s">
        <v>12741</v>
      </c>
      <c r="J266" s="3">
        <v>33</v>
      </c>
      <c r="K266" s="3" t="s">
        <v>8095</v>
      </c>
      <c r="L266" s="3">
        <v>21976125245</v>
      </c>
      <c r="M266" s="6">
        <v>20448</v>
      </c>
      <c r="N266" s="3">
        <v>67</v>
      </c>
      <c r="O266" s="3">
        <v>39636329</v>
      </c>
      <c r="P266" s="3">
        <v>44629486704</v>
      </c>
      <c r="Q266" s="3"/>
      <c r="R266" s="3"/>
      <c r="S266" s="3" t="s">
        <v>2998</v>
      </c>
      <c r="T266" s="3" t="s">
        <v>12656</v>
      </c>
      <c r="U266" s="3"/>
      <c r="V266" s="3" t="s">
        <v>14845</v>
      </c>
      <c r="W266" s="3" t="s">
        <v>2541</v>
      </c>
      <c r="X266" s="3" t="s">
        <v>2980</v>
      </c>
      <c r="Y266" s="3"/>
      <c r="Z266" s="3" t="s">
        <v>2545</v>
      </c>
      <c r="AA266" s="3" t="s">
        <v>2577</v>
      </c>
      <c r="AB266" s="3" t="s">
        <v>2545</v>
      </c>
      <c r="AC266" s="3" t="s">
        <v>14846</v>
      </c>
      <c r="AD266" s="3">
        <v>42</v>
      </c>
      <c r="AE266" s="3"/>
      <c r="AF266" s="3"/>
      <c r="AG266" s="3" t="s">
        <v>14847</v>
      </c>
      <c r="AH266" s="3">
        <v>20751390</v>
      </c>
      <c r="AI266" s="3" t="s">
        <v>70</v>
      </c>
      <c r="AJ266" s="3" t="s">
        <v>2569</v>
      </c>
      <c r="AK266" s="3" t="s">
        <v>12661</v>
      </c>
      <c r="AL266" s="3" t="s">
        <v>2550</v>
      </c>
      <c r="AM266" s="3">
        <v>3</v>
      </c>
      <c r="AN266" s="3" t="s">
        <v>7216</v>
      </c>
      <c r="AO266" s="3" t="s">
        <v>120</v>
      </c>
      <c r="AP266" s="3"/>
      <c r="AQ266" s="7" t="s">
        <v>8105</v>
      </c>
      <c r="AR266" s="3"/>
      <c r="AS266" s="7" t="s">
        <v>14848</v>
      </c>
    </row>
    <row r="267" spans="1:45" ht="12.5" x14ac:dyDescent="0.25">
      <c r="A267" s="3" t="s">
        <v>12652</v>
      </c>
      <c r="B267" s="7" t="str">
        <f>HYPERLINK("https://gerandofalcoes.my.salesforce.com/0014X00002VKCtmQAH", "0014X00002VKCtmQAH")</f>
        <v>0014X00002VKCtmQAH</v>
      </c>
      <c r="C267" s="3" t="s">
        <v>8109</v>
      </c>
      <c r="D267" s="3" t="s">
        <v>46</v>
      </c>
      <c r="E267" s="21" t="str">
        <f>HYPERLINK("https://gerandofalcoes.my.salesforce.com/0034X0000380O2P", "0034X0000380O2P")</f>
        <v>0034X0000380O2P</v>
      </c>
      <c r="F267" s="3" t="s">
        <v>14849</v>
      </c>
      <c r="G267" s="3" t="s">
        <v>14850</v>
      </c>
      <c r="H267" s="3" t="s">
        <v>2538</v>
      </c>
      <c r="I267" s="3" t="s">
        <v>12741</v>
      </c>
      <c r="J267" s="3">
        <v>33</v>
      </c>
      <c r="K267" s="3" t="s">
        <v>8112</v>
      </c>
      <c r="L267" s="3">
        <v>51999981166</v>
      </c>
      <c r="M267" s="6">
        <v>27785</v>
      </c>
      <c r="N267" s="3">
        <v>46</v>
      </c>
      <c r="O267" s="3">
        <v>8061813898</v>
      </c>
      <c r="P267" s="3">
        <v>89995066068</v>
      </c>
      <c r="Q267" s="3"/>
      <c r="R267" s="3"/>
      <c r="S267" s="3" t="s">
        <v>3269</v>
      </c>
      <c r="T267" s="3" t="s">
        <v>12682</v>
      </c>
      <c r="U267" s="3"/>
      <c r="V267" s="3" t="s">
        <v>14851</v>
      </c>
      <c r="W267" s="3" t="s">
        <v>2541</v>
      </c>
      <c r="X267" s="3" t="s">
        <v>2980</v>
      </c>
      <c r="Y267" s="3"/>
      <c r="Z267" s="3" t="s">
        <v>2545</v>
      </c>
      <c r="AA267" s="3" t="s">
        <v>2577</v>
      </c>
      <c r="AB267" s="3" t="s">
        <v>2545</v>
      </c>
      <c r="AC267" s="3" t="s">
        <v>14852</v>
      </c>
      <c r="AD267" s="3">
        <v>77</v>
      </c>
      <c r="AE267" s="3"/>
      <c r="AF267" s="3"/>
      <c r="AG267" s="3" t="s">
        <v>8115</v>
      </c>
      <c r="AH267" s="3">
        <v>91330320</v>
      </c>
      <c r="AI267" s="3" t="s">
        <v>407</v>
      </c>
      <c r="AJ267" s="3" t="s">
        <v>2548</v>
      </c>
      <c r="AK267" s="3" t="s">
        <v>12674</v>
      </c>
      <c r="AL267" s="3" t="s">
        <v>2579</v>
      </c>
      <c r="AM267" s="3">
        <v>5</v>
      </c>
      <c r="AN267" s="3" t="s">
        <v>7216</v>
      </c>
      <c r="AO267" s="3" t="s">
        <v>120</v>
      </c>
      <c r="AP267" s="3"/>
      <c r="AQ267" s="7" t="s">
        <v>14853</v>
      </c>
      <c r="AR267" s="3"/>
      <c r="AS267" s="7" t="s">
        <v>14854</v>
      </c>
    </row>
    <row r="268" spans="1:45" ht="12.5" hidden="1" x14ac:dyDescent="0.25">
      <c r="A268" s="3" t="s">
        <v>12652</v>
      </c>
      <c r="B268" s="7" t="str">
        <f>HYPERLINK("https://gerandofalcoes.my.salesforce.com/0014X00002VKCtpQAH", "0014X00002VKCtpQAH")</f>
        <v>0014X00002VKCtpQAH</v>
      </c>
      <c r="C268" s="3" t="s">
        <v>8124</v>
      </c>
      <c r="D268" s="3" t="s">
        <v>46</v>
      </c>
      <c r="E268" s="21" t="str">
        <f>HYPERLINK("https://gerandofalcoes.my.salesforce.com/0034X0000380O2R", "0034X0000380O2R")</f>
        <v>0034X0000380O2R</v>
      </c>
      <c r="F268" s="3" t="s">
        <v>14855</v>
      </c>
      <c r="G268" s="3" t="s">
        <v>14856</v>
      </c>
      <c r="H268" s="3" t="s">
        <v>2538</v>
      </c>
      <c r="I268" s="3" t="s">
        <v>12741</v>
      </c>
      <c r="J268" s="3">
        <v>33</v>
      </c>
      <c r="K268" s="3" t="s">
        <v>14857</v>
      </c>
      <c r="L268" s="3" t="s">
        <v>8128</v>
      </c>
      <c r="M268" s="6">
        <v>37289</v>
      </c>
      <c r="N268" s="3">
        <v>20</v>
      </c>
      <c r="O268" s="3">
        <v>7600963</v>
      </c>
      <c r="P268" s="3">
        <v>12511194929</v>
      </c>
      <c r="Q268" s="3"/>
      <c r="R268" s="3" t="s">
        <v>14858</v>
      </c>
      <c r="S268" s="3" t="s">
        <v>3417</v>
      </c>
      <c r="T268" s="3" t="s">
        <v>12682</v>
      </c>
      <c r="U268" s="3"/>
      <c r="V268" s="3" t="s">
        <v>14859</v>
      </c>
      <c r="W268" s="3" t="s">
        <v>12664</v>
      </c>
      <c r="X268" s="3" t="s">
        <v>3508</v>
      </c>
      <c r="Y268" s="3" t="s">
        <v>12658</v>
      </c>
      <c r="Z268" s="3" t="s">
        <v>2543</v>
      </c>
      <c r="AA268" s="3" t="s">
        <v>2544</v>
      </c>
      <c r="AB268" s="3" t="s">
        <v>2545</v>
      </c>
      <c r="AC268" s="3" t="s">
        <v>8129</v>
      </c>
      <c r="AD268" s="3">
        <v>1</v>
      </c>
      <c r="AE268" s="3" t="s">
        <v>14860</v>
      </c>
      <c r="AF268" s="3" t="s">
        <v>8131</v>
      </c>
      <c r="AG268" s="3" t="s">
        <v>8130</v>
      </c>
      <c r="AH268" s="3" t="s">
        <v>8132</v>
      </c>
      <c r="AI268" s="3" t="s">
        <v>557</v>
      </c>
      <c r="AJ268" s="3" t="s">
        <v>2569</v>
      </c>
      <c r="AK268" s="3" t="s">
        <v>13518</v>
      </c>
      <c r="AL268" s="3" t="s">
        <v>2550</v>
      </c>
      <c r="AM268" s="3">
        <v>3</v>
      </c>
      <c r="AN268" s="3" t="s">
        <v>7216</v>
      </c>
      <c r="AO268" s="3" t="s">
        <v>13327</v>
      </c>
      <c r="AP268" s="7" t="s">
        <v>14861</v>
      </c>
      <c r="AQ268" s="7" t="s">
        <v>14862</v>
      </c>
      <c r="AR268" s="3"/>
      <c r="AS268" s="7" t="s">
        <v>14863</v>
      </c>
    </row>
    <row r="269" spans="1:45" ht="12.5" x14ac:dyDescent="0.25">
      <c r="A269" s="3" t="s">
        <v>12652</v>
      </c>
      <c r="B269" s="7" t="str">
        <f>HYPERLINK("https://gerandofalcoes.my.salesforce.com/0014X00002VKCtqQAH", "0014X00002VKCtqQAH")</f>
        <v>0014X00002VKCtqQAH</v>
      </c>
      <c r="C269" s="3" t="s">
        <v>8138</v>
      </c>
      <c r="D269" s="3" t="s">
        <v>46</v>
      </c>
      <c r="E269" s="21" t="str">
        <f>HYPERLINK("https://gerandofalcoes.my.salesforce.com/0034X0000380O5d", "0034X0000380O5d")</f>
        <v>0034X0000380O5d</v>
      </c>
      <c r="F269" s="3" t="s">
        <v>14501</v>
      </c>
      <c r="G269" s="3" t="s">
        <v>14864</v>
      </c>
      <c r="H269" s="3" t="s">
        <v>2538</v>
      </c>
      <c r="I269" s="3" t="s">
        <v>12741</v>
      </c>
      <c r="J269" s="3">
        <v>33</v>
      </c>
      <c r="K269" s="3" t="s">
        <v>14865</v>
      </c>
      <c r="L269" s="3">
        <v>41987944035</v>
      </c>
      <c r="M269" s="6">
        <v>32719</v>
      </c>
      <c r="N269" s="3">
        <v>33</v>
      </c>
      <c r="O269" s="3">
        <v>100160650</v>
      </c>
      <c r="P269" s="3">
        <v>6945898962</v>
      </c>
      <c r="Q269" s="3"/>
      <c r="R269" s="3"/>
      <c r="S269" s="3" t="s">
        <v>2998</v>
      </c>
      <c r="T269" s="3" t="s">
        <v>12682</v>
      </c>
      <c r="U269" s="3"/>
      <c r="V269" s="3" t="s">
        <v>14866</v>
      </c>
      <c r="W269" s="3" t="s">
        <v>2576</v>
      </c>
      <c r="X269" s="3" t="s">
        <v>2980</v>
      </c>
      <c r="Y269" s="3"/>
      <c r="Z269" s="3" t="s">
        <v>2543</v>
      </c>
      <c r="AA269" s="3" t="s">
        <v>2544</v>
      </c>
      <c r="AB269" s="3" t="s">
        <v>2545</v>
      </c>
      <c r="AC269" s="3" t="s">
        <v>14867</v>
      </c>
      <c r="AD269" s="3">
        <v>519</v>
      </c>
      <c r="AE269" s="3"/>
      <c r="AF269" s="3"/>
      <c r="AG269" s="3" t="s">
        <v>14868</v>
      </c>
      <c r="AH269" s="3">
        <v>83075288</v>
      </c>
      <c r="AI269" s="3" t="s">
        <v>310</v>
      </c>
      <c r="AJ269" s="3" t="s">
        <v>2569</v>
      </c>
      <c r="AK269" s="3" t="s">
        <v>3249</v>
      </c>
      <c r="AL269" s="3" t="s">
        <v>2588</v>
      </c>
      <c r="AM269" s="3">
        <v>8</v>
      </c>
      <c r="AN269" s="3" t="s">
        <v>7216</v>
      </c>
      <c r="AO269" s="3" t="s">
        <v>120</v>
      </c>
      <c r="AP269" s="3"/>
      <c r="AQ269" s="3"/>
      <c r="AR269" s="3"/>
      <c r="AS269" s="7" t="s">
        <v>14869</v>
      </c>
    </row>
    <row r="270" spans="1:45" ht="12.5" x14ac:dyDescent="0.25">
      <c r="A270" s="3" t="s">
        <v>12652</v>
      </c>
      <c r="B270" s="7" t="str">
        <f>HYPERLINK("https://gerandofalcoes.my.salesforce.com/0014X00002VKCtrQAH", "0014X00002VKCtrQAH")</f>
        <v>0014X00002VKCtrQAH</v>
      </c>
      <c r="C270" s="3" t="s">
        <v>8147</v>
      </c>
      <c r="D270" s="3" t="s">
        <v>46</v>
      </c>
      <c r="E270" s="21" t="str">
        <f>HYPERLINK("https://gerandofalcoes.my.salesforce.com/0034X0000380O1Y", "0034X0000380O1Y")</f>
        <v>0034X0000380O1Y</v>
      </c>
      <c r="F270" s="3" t="s">
        <v>3161</v>
      </c>
      <c r="G270" s="3" t="s">
        <v>14870</v>
      </c>
      <c r="H270" s="3" t="s">
        <v>2538</v>
      </c>
      <c r="I270" s="3" t="s">
        <v>12741</v>
      </c>
      <c r="J270" s="3">
        <v>33</v>
      </c>
      <c r="K270" s="3" t="s">
        <v>14871</v>
      </c>
      <c r="L270" s="3" t="s">
        <v>14872</v>
      </c>
      <c r="M270" s="6">
        <v>29584</v>
      </c>
      <c r="N270" s="3">
        <v>42</v>
      </c>
      <c r="O270" s="3">
        <v>3873799</v>
      </c>
      <c r="P270" s="3">
        <v>2897314966</v>
      </c>
      <c r="Q270" s="3"/>
      <c r="R270" s="3"/>
      <c r="S270" s="3" t="s">
        <v>2998</v>
      </c>
      <c r="T270" s="3" t="s">
        <v>12682</v>
      </c>
      <c r="U270" s="3"/>
      <c r="V270" s="3" t="s">
        <v>14873</v>
      </c>
      <c r="W270" s="3" t="s">
        <v>2541</v>
      </c>
      <c r="X270" s="3" t="s">
        <v>2980</v>
      </c>
      <c r="Y270" s="3"/>
      <c r="Z270" s="3" t="s">
        <v>2543</v>
      </c>
      <c r="AA270" s="3" t="s">
        <v>2577</v>
      </c>
      <c r="AB270" s="3" t="s">
        <v>2545</v>
      </c>
      <c r="AC270" s="3" t="s">
        <v>14874</v>
      </c>
      <c r="AD270" s="3">
        <v>51</v>
      </c>
      <c r="AE270" s="3"/>
      <c r="AF270" s="3"/>
      <c r="AG270" s="3" t="s">
        <v>14875</v>
      </c>
      <c r="AH270" s="3">
        <v>89221605</v>
      </c>
      <c r="AI270" s="3" t="s">
        <v>557</v>
      </c>
      <c r="AJ270" s="3" t="s">
        <v>2741</v>
      </c>
      <c r="AK270" s="3" t="s">
        <v>12661</v>
      </c>
      <c r="AL270" s="3" t="s">
        <v>2550</v>
      </c>
      <c r="AM270" s="3">
        <v>3</v>
      </c>
      <c r="AN270" s="3" t="s">
        <v>7216</v>
      </c>
      <c r="AO270" s="3" t="s">
        <v>120</v>
      </c>
      <c r="AP270" s="7" t="s">
        <v>14876</v>
      </c>
      <c r="AQ270" s="7" t="s">
        <v>14877</v>
      </c>
      <c r="AR270" s="3"/>
      <c r="AS270" s="7" t="s">
        <v>14878</v>
      </c>
    </row>
    <row r="271" spans="1:45" ht="12.5" x14ac:dyDescent="0.25">
      <c r="A271" s="3" t="s">
        <v>12652</v>
      </c>
      <c r="B271" s="7" t="str">
        <f>HYPERLINK("https://gerandofalcoes.my.salesforce.com/0014X00002VKCtsQAH", "0014X00002VKCtsQAH")</f>
        <v>0014X00002VKCtsQAH</v>
      </c>
      <c r="C271" s="3" t="s">
        <v>8165</v>
      </c>
      <c r="D271" s="3" t="s">
        <v>46</v>
      </c>
      <c r="E271" s="21" t="str">
        <f>HYPERLINK("https://gerandofalcoes.my.salesforce.com/0034X0000380O2q", "0034X0000380O2q")</f>
        <v>0034X0000380O2q</v>
      </c>
      <c r="F271" s="3" t="s">
        <v>14879</v>
      </c>
      <c r="G271" s="3" t="s">
        <v>14880</v>
      </c>
      <c r="H271" s="3" t="s">
        <v>2538</v>
      </c>
      <c r="I271" s="3" t="s">
        <v>12741</v>
      </c>
      <c r="J271" s="3">
        <v>33</v>
      </c>
      <c r="K271" s="3" t="s">
        <v>14881</v>
      </c>
      <c r="L271" s="3">
        <v>51996090642</v>
      </c>
      <c r="M271" s="6">
        <v>29080</v>
      </c>
      <c r="N271" s="3">
        <v>43</v>
      </c>
      <c r="O271" s="3">
        <v>9059133398</v>
      </c>
      <c r="P271" s="3">
        <v>66754780010</v>
      </c>
      <c r="Q271" s="3"/>
      <c r="R271" s="3"/>
      <c r="S271" s="3" t="s">
        <v>12744</v>
      </c>
      <c r="T271" s="3" t="s">
        <v>12682</v>
      </c>
      <c r="U271" s="3"/>
      <c r="V271" s="3" t="s">
        <v>14882</v>
      </c>
      <c r="W271" s="3" t="s">
        <v>2576</v>
      </c>
      <c r="X271" s="3" t="s">
        <v>2980</v>
      </c>
      <c r="Y271" s="3"/>
      <c r="Z271" s="3" t="s">
        <v>2543</v>
      </c>
      <c r="AA271" s="3" t="s">
        <v>2544</v>
      </c>
      <c r="AB271" s="3" t="s">
        <v>2545</v>
      </c>
      <c r="AC271" s="3" t="s">
        <v>14883</v>
      </c>
      <c r="AD271" s="3">
        <v>1330</v>
      </c>
      <c r="AE271" s="3"/>
      <c r="AF271" s="3"/>
      <c r="AG271" s="3" t="s">
        <v>14884</v>
      </c>
      <c r="AH271" s="3">
        <v>95601358</v>
      </c>
      <c r="AI271" s="3" t="s">
        <v>407</v>
      </c>
      <c r="AJ271" s="3" t="s">
        <v>2741</v>
      </c>
      <c r="AK271" s="3" t="s">
        <v>12661</v>
      </c>
      <c r="AL271" s="3" t="s">
        <v>2550</v>
      </c>
      <c r="AM271" s="3">
        <v>4</v>
      </c>
      <c r="AN271" s="3" t="s">
        <v>7216</v>
      </c>
      <c r="AO271" s="3" t="s">
        <v>120</v>
      </c>
      <c r="AP271" s="3"/>
      <c r="AQ271" s="3"/>
      <c r="AR271" s="3"/>
      <c r="AS271" s="7" t="s">
        <v>14885</v>
      </c>
    </row>
    <row r="272" spans="1:45" ht="12.5" x14ac:dyDescent="0.25">
      <c r="A272" s="3" t="s">
        <v>12652</v>
      </c>
      <c r="B272" s="7" t="str">
        <f>HYPERLINK("https://gerandofalcoes.my.salesforce.com/0014X00002VKCttQAH", "0014X00002VKCttQAH")</f>
        <v>0014X00002VKCttQAH</v>
      </c>
      <c r="C272" s="3" t="s">
        <v>8174</v>
      </c>
      <c r="D272" s="3" t="s">
        <v>46</v>
      </c>
      <c r="E272" s="21" t="str">
        <f>HYPERLINK("https://gerandofalcoes.my.salesforce.com/0034X0000380O3Y", "0034X0000380O3Y")</f>
        <v>0034X0000380O3Y</v>
      </c>
      <c r="F272" s="3" t="s">
        <v>2745</v>
      </c>
      <c r="G272" s="3" t="s">
        <v>14886</v>
      </c>
      <c r="H272" s="3" t="s">
        <v>2538</v>
      </c>
      <c r="I272" s="3" t="s">
        <v>12741</v>
      </c>
      <c r="J272" s="3"/>
      <c r="K272" s="3" t="s">
        <v>14887</v>
      </c>
      <c r="L272" s="3">
        <v>67981637842</v>
      </c>
      <c r="M272" s="6">
        <v>32684</v>
      </c>
      <c r="N272" s="3">
        <v>33</v>
      </c>
      <c r="O272" s="3">
        <v>444987265</v>
      </c>
      <c r="P272" s="3">
        <v>36070409825</v>
      </c>
      <c r="Q272" s="3"/>
      <c r="R272" s="3"/>
      <c r="S272" s="3" t="s">
        <v>2998</v>
      </c>
      <c r="T272" s="3" t="s">
        <v>12682</v>
      </c>
      <c r="U272" s="3"/>
      <c r="V272" s="3" t="s">
        <v>14888</v>
      </c>
      <c r="W272" s="3" t="s">
        <v>2576</v>
      </c>
      <c r="X272" s="3" t="s">
        <v>2980</v>
      </c>
      <c r="Y272" s="3"/>
      <c r="Z272" s="3" t="s">
        <v>2543</v>
      </c>
      <c r="AA272" s="3" t="s">
        <v>2737</v>
      </c>
      <c r="AB272" s="3" t="s">
        <v>2543</v>
      </c>
      <c r="AC272" s="3" t="s">
        <v>14889</v>
      </c>
      <c r="AD272" s="3">
        <v>1250</v>
      </c>
      <c r="AE272" s="3"/>
      <c r="AF272" s="3"/>
      <c r="AG272" s="3" t="s">
        <v>14890</v>
      </c>
      <c r="AH272" s="3">
        <v>79004150</v>
      </c>
      <c r="AI272" s="3" t="s">
        <v>6781</v>
      </c>
      <c r="AJ272" s="3" t="s">
        <v>2741</v>
      </c>
      <c r="AK272" s="3" t="s">
        <v>12674</v>
      </c>
      <c r="AL272" s="3" t="s">
        <v>2588</v>
      </c>
      <c r="AM272" s="3">
        <v>2</v>
      </c>
      <c r="AN272" s="3"/>
      <c r="AO272" s="3" t="s">
        <v>120</v>
      </c>
      <c r="AP272" s="3"/>
      <c r="AQ272" s="7" t="s">
        <v>14891</v>
      </c>
      <c r="AR272" s="3"/>
      <c r="AS272" s="7" t="s">
        <v>14892</v>
      </c>
    </row>
    <row r="273" spans="1:45" ht="12.5" x14ac:dyDescent="0.25">
      <c r="A273" s="3" t="s">
        <v>12652</v>
      </c>
      <c r="B273" s="7" t="str">
        <f>HYPERLINK("https://gerandofalcoes.my.salesforce.com/0014X00002VKCtuQAH", "0014X00002VKCtuQAH")</f>
        <v>0014X00002VKCtuQAH</v>
      </c>
      <c r="C273" s="3" t="s">
        <v>8191</v>
      </c>
      <c r="D273" s="3" t="s">
        <v>46</v>
      </c>
      <c r="E273" s="21" t="str">
        <f>HYPERLINK("https://gerandofalcoes.my.salesforce.com/0034X0000380O3A", "0034X0000380O3A")</f>
        <v>0034X0000380O3A</v>
      </c>
      <c r="F273" s="3" t="s">
        <v>14893</v>
      </c>
      <c r="G273" s="3" t="s">
        <v>14894</v>
      </c>
      <c r="H273" s="3" t="s">
        <v>2538</v>
      </c>
      <c r="I273" s="3" t="s">
        <v>12741</v>
      </c>
      <c r="J273" s="3"/>
      <c r="K273" s="3" t="s">
        <v>14895</v>
      </c>
      <c r="L273" s="3">
        <v>51998309188</v>
      </c>
      <c r="M273" s="8">
        <v>34991</v>
      </c>
      <c r="N273" s="3">
        <v>27</v>
      </c>
      <c r="O273" s="3">
        <v>2110250384</v>
      </c>
      <c r="P273" s="3">
        <v>3577377097</v>
      </c>
      <c r="Q273" s="3"/>
      <c r="R273" s="3"/>
      <c r="S273" s="3" t="s">
        <v>3417</v>
      </c>
      <c r="T273" s="3" t="s">
        <v>12682</v>
      </c>
      <c r="U273" s="3"/>
      <c r="V273" s="3" t="s">
        <v>14896</v>
      </c>
      <c r="W273" s="3" t="s">
        <v>2541</v>
      </c>
      <c r="X273" s="3" t="s">
        <v>2980</v>
      </c>
      <c r="Y273" s="3"/>
      <c r="Z273" s="3" t="s">
        <v>2543</v>
      </c>
      <c r="AA273" s="3" t="s">
        <v>2737</v>
      </c>
      <c r="AB273" s="3" t="s">
        <v>2543</v>
      </c>
      <c r="AC273" s="3" t="s">
        <v>14897</v>
      </c>
      <c r="AD273" s="3">
        <v>1726</v>
      </c>
      <c r="AE273" s="3"/>
      <c r="AF273" s="3"/>
      <c r="AG273" s="3" t="s">
        <v>8198</v>
      </c>
      <c r="AH273" s="3">
        <v>90090000</v>
      </c>
      <c r="AI273" s="3" t="s">
        <v>407</v>
      </c>
      <c r="AJ273" s="3" t="s">
        <v>2569</v>
      </c>
      <c r="AK273" s="3" t="s">
        <v>12828</v>
      </c>
      <c r="AL273" s="3" t="s">
        <v>2579</v>
      </c>
      <c r="AM273" s="3">
        <v>2</v>
      </c>
      <c r="AN273" s="3" t="s">
        <v>14269</v>
      </c>
      <c r="AO273" s="3" t="s">
        <v>120</v>
      </c>
      <c r="AP273" s="7" t="s">
        <v>14898</v>
      </c>
      <c r="AQ273" s="7" t="s">
        <v>14899</v>
      </c>
      <c r="AR273" s="3"/>
      <c r="AS273" s="7" t="s">
        <v>14900</v>
      </c>
    </row>
    <row r="274" spans="1:45" ht="12.5" x14ac:dyDescent="0.25">
      <c r="A274" s="3" t="s">
        <v>12652</v>
      </c>
      <c r="B274" s="7" t="str">
        <f>HYPERLINK("https://gerandofalcoes.my.salesforce.com/0014X00002VKCtvQAH", "0014X00002VKCtvQAH")</f>
        <v>0014X00002VKCtvQAH</v>
      </c>
      <c r="C274" s="3" t="s">
        <v>8210</v>
      </c>
      <c r="D274" s="3" t="s">
        <v>46</v>
      </c>
      <c r="E274" s="21" t="str">
        <f>HYPERLINK("https://gerandofalcoes.my.salesforce.com/0034X0000380O2L", "0034X0000380O2L")</f>
        <v>0034X0000380O2L</v>
      </c>
      <c r="F274" s="3" t="s">
        <v>14901</v>
      </c>
      <c r="G274" s="3" t="s">
        <v>14902</v>
      </c>
      <c r="H274" s="3" t="s">
        <v>2538</v>
      </c>
      <c r="I274" s="3" t="s">
        <v>12741</v>
      </c>
      <c r="J274" s="3">
        <v>33</v>
      </c>
      <c r="K274" s="3" t="s">
        <v>14903</v>
      </c>
      <c r="L274" s="3">
        <v>51984017604</v>
      </c>
      <c r="M274" s="6">
        <v>27837</v>
      </c>
      <c r="N274" s="3">
        <v>46</v>
      </c>
      <c r="O274" s="3">
        <v>1057382143</v>
      </c>
      <c r="P274" s="3">
        <v>67445950087</v>
      </c>
      <c r="Q274" s="3"/>
      <c r="R274" s="3"/>
      <c r="S274" s="3" t="s">
        <v>3137</v>
      </c>
      <c r="T274" s="3" t="s">
        <v>12682</v>
      </c>
      <c r="U274" s="3"/>
      <c r="V274" s="3" t="s">
        <v>14904</v>
      </c>
      <c r="W274" s="3" t="s">
        <v>2541</v>
      </c>
      <c r="X274" s="3" t="s">
        <v>2980</v>
      </c>
      <c r="Y274" s="3"/>
      <c r="Z274" s="3" t="s">
        <v>2543</v>
      </c>
      <c r="AA274" s="3"/>
      <c r="AB274" s="3"/>
      <c r="AC274" s="3" t="s">
        <v>14905</v>
      </c>
      <c r="AD274" s="3" t="s">
        <v>8218</v>
      </c>
      <c r="AE274" s="3"/>
      <c r="AF274" s="3"/>
      <c r="AG274" s="3" t="s">
        <v>14906</v>
      </c>
      <c r="AH274" s="3">
        <v>91520030</v>
      </c>
      <c r="AI274" s="3" t="s">
        <v>407</v>
      </c>
      <c r="AJ274" s="3" t="s">
        <v>2569</v>
      </c>
      <c r="AK274" s="3" t="s">
        <v>12828</v>
      </c>
      <c r="AL274" s="3" t="s">
        <v>2579</v>
      </c>
      <c r="AM274" s="3">
        <v>4</v>
      </c>
      <c r="AN274" s="3" t="s">
        <v>7216</v>
      </c>
      <c r="AO274" s="3" t="s">
        <v>120</v>
      </c>
      <c r="AP274" s="3"/>
      <c r="AQ274" s="3" t="s">
        <v>14907</v>
      </c>
      <c r="AR274" s="3"/>
      <c r="AS274" s="7" t="s">
        <v>14908</v>
      </c>
    </row>
    <row r="275" spans="1:45" ht="12.5" x14ac:dyDescent="0.25">
      <c r="A275" s="3" t="s">
        <v>12652</v>
      </c>
      <c r="B275" s="7" t="str">
        <f>HYPERLINK("https://gerandofalcoes.my.salesforce.com/0014X00002VKCtwQAH", "0014X00002VKCtwQAH")</f>
        <v>0014X00002VKCtwQAH</v>
      </c>
      <c r="C275" s="3" t="s">
        <v>8228</v>
      </c>
      <c r="D275" s="3" t="s">
        <v>46</v>
      </c>
      <c r="E275" s="21" t="str">
        <f>HYPERLINK("https://gerandofalcoes.my.salesforce.com/0034X0000380O4h", "0034X0000380O4h")</f>
        <v>0034X0000380O4h</v>
      </c>
      <c r="F275" s="3" t="s">
        <v>14909</v>
      </c>
      <c r="G275" s="3" t="s">
        <v>14910</v>
      </c>
      <c r="H275" s="3" t="s">
        <v>2538</v>
      </c>
      <c r="I275" s="3" t="s">
        <v>12741</v>
      </c>
      <c r="J275" s="3">
        <v>33</v>
      </c>
      <c r="K275" s="3" t="s">
        <v>14911</v>
      </c>
      <c r="L275" s="3">
        <v>41991650744</v>
      </c>
      <c r="M275" s="6">
        <v>31927</v>
      </c>
      <c r="N275" s="3">
        <v>35</v>
      </c>
      <c r="O275" s="3">
        <v>87356906</v>
      </c>
      <c r="P275" s="3">
        <v>5897292922</v>
      </c>
      <c r="Q275" s="3"/>
      <c r="R275" s="3"/>
      <c r="S275" s="3" t="s">
        <v>3269</v>
      </c>
      <c r="T275" s="3" t="s">
        <v>12723</v>
      </c>
      <c r="U275" s="3"/>
      <c r="V275" s="3" t="s">
        <v>14912</v>
      </c>
      <c r="W275" s="3" t="s">
        <v>2541</v>
      </c>
      <c r="X275" s="3" t="s">
        <v>2980</v>
      </c>
      <c r="Y275" s="3"/>
      <c r="Z275" s="3" t="s">
        <v>2543</v>
      </c>
      <c r="AA275" s="3" t="s">
        <v>2577</v>
      </c>
      <c r="AB275" s="3" t="s">
        <v>2545</v>
      </c>
      <c r="AC275" s="3" t="s">
        <v>14913</v>
      </c>
      <c r="AD275" s="3">
        <v>202</v>
      </c>
      <c r="AE275" s="3">
        <v>242</v>
      </c>
      <c r="AF275" s="3"/>
      <c r="AG275" s="3" t="s">
        <v>14914</v>
      </c>
      <c r="AH275" s="3">
        <v>82510180</v>
      </c>
      <c r="AI275" s="3" t="s">
        <v>310</v>
      </c>
      <c r="AJ275" s="3" t="s">
        <v>2548</v>
      </c>
      <c r="AK275" s="3" t="s">
        <v>12661</v>
      </c>
      <c r="AL275" s="3" t="s">
        <v>2588</v>
      </c>
      <c r="AM275" s="3">
        <v>1</v>
      </c>
      <c r="AN275" s="3" t="s">
        <v>7216</v>
      </c>
      <c r="AO275" s="3" t="s">
        <v>62</v>
      </c>
      <c r="AP275" s="7" t="s">
        <v>14915</v>
      </c>
      <c r="AQ275" s="7" t="s">
        <v>14916</v>
      </c>
      <c r="AR275" s="3"/>
      <c r="AS275" s="7" t="s">
        <v>14917</v>
      </c>
    </row>
    <row r="276" spans="1:45" ht="12.5" x14ac:dyDescent="0.25">
      <c r="A276" s="3" t="s">
        <v>12652</v>
      </c>
      <c r="B276" s="7" t="str">
        <f>HYPERLINK("https://gerandofalcoes.my.salesforce.com/0014X00002VKCuzQAH", "0014X00002VKCuzQAH")</f>
        <v>0014X00002VKCuzQAH</v>
      </c>
      <c r="C276" s="3" t="s">
        <v>8243</v>
      </c>
      <c r="D276" s="3" t="s">
        <v>46</v>
      </c>
      <c r="E276" s="21" t="str">
        <f>HYPERLINK("https://gerandofalcoes.my.salesforce.com/0034X0000380O1f", "0034X0000380O1f")</f>
        <v>0034X0000380O1f</v>
      </c>
      <c r="F276" s="3" t="s">
        <v>14918</v>
      </c>
      <c r="G276" s="3" t="s">
        <v>14919</v>
      </c>
      <c r="H276" s="3" t="s">
        <v>2538</v>
      </c>
      <c r="I276" s="3" t="s">
        <v>12741</v>
      </c>
      <c r="J276" s="3">
        <v>33</v>
      </c>
      <c r="K276" s="3" t="s">
        <v>14920</v>
      </c>
      <c r="L276" s="3">
        <v>11949009997</v>
      </c>
      <c r="M276" s="6">
        <v>23746</v>
      </c>
      <c r="N276" s="3">
        <v>57</v>
      </c>
      <c r="O276" s="3">
        <v>138776593</v>
      </c>
      <c r="P276" s="3">
        <v>8325651806</v>
      </c>
      <c r="Q276" s="3"/>
      <c r="R276" s="3"/>
      <c r="S276" s="3" t="s">
        <v>12864</v>
      </c>
      <c r="T276" s="3" t="s">
        <v>13608</v>
      </c>
      <c r="U276" s="3"/>
      <c r="V276" s="3" t="s">
        <v>14921</v>
      </c>
      <c r="W276" s="3" t="s">
        <v>2541</v>
      </c>
      <c r="X276" s="3" t="s">
        <v>2980</v>
      </c>
      <c r="Y276" s="3"/>
      <c r="Z276" s="3" t="s">
        <v>2543</v>
      </c>
      <c r="AA276" s="3"/>
      <c r="AB276" s="3"/>
      <c r="AC276" s="3" t="s">
        <v>14922</v>
      </c>
      <c r="AD276" s="3">
        <v>98</v>
      </c>
      <c r="AE276" s="3"/>
      <c r="AF276" s="3"/>
      <c r="AG276" s="3" t="s">
        <v>8250</v>
      </c>
      <c r="AH276" s="3">
        <v>4337140</v>
      </c>
      <c r="AI276" s="3" t="s">
        <v>101</v>
      </c>
      <c r="AJ276" s="3" t="s">
        <v>2569</v>
      </c>
      <c r="AK276" s="3" t="s">
        <v>12729</v>
      </c>
      <c r="AL276" s="3" t="s">
        <v>2588</v>
      </c>
      <c r="AM276" s="3">
        <v>2</v>
      </c>
      <c r="AN276" s="3" t="s">
        <v>3890</v>
      </c>
      <c r="AO276" s="3" t="s">
        <v>120</v>
      </c>
      <c r="AP276" s="3"/>
      <c r="AQ276" s="7" t="s">
        <v>14923</v>
      </c>
      <c r="AR276" s="3"/>
      <c r="AS276" s="7" t="s">
        <v>14924</v>
      </c>
    </row>
    <row r="277" spans="1:45" ht="12.5" hidden="1" x14ac:dyDescent="0.25">
      <c r="A277" s="3" t="s">
        <v>12652</v>
      </c>
      <c r="B277" s="7" t="str">
        <f>HYPERLINK("https://gerandofalcoes.my.salesforce.com/0014X00002VKCv1QAH", "0014X00002VKCv1QAH")</f>
        <v>0014X00002VKCv1QAH</v>
      </c>
      <c r="C277" s="3" t="s">
        <v>8265</v>
      </c>
      <c r="D277" s="3" t="s">
        <v>46</v>
      </c>
      <c r="E277" s="21" t="str">
        <f>HYPERLINK("https://gerandofalcoes.my.salesforce.com/0034X0000380O22", "0034X0000380O22")</f>
        <v>0034X0000380O22</v>
      </c>
      <c r="F277" s="3" t="s">
        <v>14925</v>
      </c>
      <c r="G277" s="3" t="s">
        <v>14926</v>
      </c>
      <c r="H277" s="3" t="s">
        <v>2538</v>
      </c>
      <c r="I277" s="3" t="s">
        <v>12741</v>
      </c>
      <c r="J277" s="3">
        <v>33</v>
      </c>
      <c r="K277" s="3" t="s">
        <v>8269</v>
      </c>
      <c r="L277" s="3" t="s">
        <v>14927</v>
      </c>
      <c r="M277" s="6">
        <v>25546</v>
      </c>
      <c r="N277" s="3">
        <v>53</v>
      </c>
      <c r="O277" s="3" t="s">
        <v>14928</v>
      </c>
      <c r="P277" s="3">
        <v>14406626816</v>
      </c>
      <c r="Q277" s="3"/>
      <c r="R277" s="3" t="s">
        <v>14929</v>
      </c>
      <c r="S277" s="3" t="s">
        <v>3417</v>
      </c>
      <c r="T277" s="3" t="s">
        <v>12656</v>
      </c>
      <c r="U277" s="3"/>
      <c r="V277" s="3" t="s">
        <v>14930</v>
      </c>
      <c r="W277" s="3" t="s">
        <v>12664</v>
      </c>
      <c r="X277" s="3" t="s">
        <v>2980</v>
      </c>
      <c r="Y277" s="3" t="s">
        <v>12670</v>
      </c>
      <c r="Z277" s="3" t="s">
        <v>2543</v>
      </c>
      <c r="AA277" s="3" t="s">
        <v>2577</v>
      </c>
      <c r="AB277" s="3" t="s">
        <v>2545</v>
      </c>
      <c r="AC277" s="3" t="s">
        <v>8271</v>
      </c>
      <c r="AD277" s="3">
        <v>163</v>
      </c>
      <c r="AE277" s="3" t="s">
        <v>2864</v>
      </c>
      <c r="AF277" s="3" t="s">
        <v>8273</v>
      </c>
      <c r="AG277" s="3" t="s">
        <v>14931</v>
      </c>
      <c r="AH277" s="3" t="s">
        <v>8274</v>
      </c>
      <c r="AI277" s="3" t="s">
        <v>101</v>
      </c>
      <c r="AJ277" s="3" t="s">
        <v>2569</v>
      </c>
      <c r="AK277" s="3" t="s">
        <v>12729</v>
      </c>
      <c r="AL277" s="3" t="s">
        <v>2588</v>
      </c>
      <c r="AM277" s="3">
        <v>4</v>
      </c>
      <c r="AN277" s="3" t="s">
        <v>7216</v>
      </c>
      <c r="AO277" s="3" t="s">
        <v>120</v>
      </c>
      <c r="AP277" s="3"/>
      <c r="AQ277" s="7" t="s">
        <v>14932</v>
      </c>
      <c r="AR277" s="3"/>
      <c r="AS277" s="7" t="s">
        <v>14933</v>
      </c>
    </row>
    <row r="278" spans="1:45" ht="12.5" hidden="1" x14ac:dyDescent="0.25">
      <c r="A278" s="3" t="s">
        <v>12652</v>
      </c>
      <c r="B278" s="7" t="str">
        <f>HYPERLINK("https://gerandofalcoes.my.salesforce.com/0014X00002VKCv2QAH", "0014X00002VKCv2QAH")</f>
        <v>0014X00002VKCv2QAH</v>
      </c>
      <c r="C278" s="3" t="s">
        <v>8282</v>
      </c>
      <c r="D278" s="3" t="s">
        <v>46</v>
      </c>
      <c r="E278" s="21" t="str">
        <f>HYPERLINK("https://gerandofalcoes.my.salesforce.com/0034X0000380O5k", "0034X0000380O5k")</f>
        <v>0034X0000380O5k</v>
      </c>
      <c r="F278" s="3" t="s">
        <v>14934</v>
      </c>
      <c r="G278" s="3" t="s">
        <v>14935</v>
      </c>
      <c r="H278" s="3" t="s">
        <v>2538</v>
      </c>
      <c r="I278" s="3" t="s">
        <v>12741</v>
      </c>
      <c r="J278" s="3">
        <v>33</v>
      </c>
      <c r="K278" s="3" t="s">
        <v>8286</v>
      </c>
      <c r="L278" s="3" t="s">
        <v>14936</v>
      </c>
      <c r="M278" s="6">
        <v>25472</v>
      </c>
      <c r="N278" s="3">
        <v>53</v>
      </c>
      <c r="O278" s="3">
        <v>183861553</v>
      </c>
      <c r="P278" s="3">
        <v>12972564847</v>
      </c>
      <c r="Q278" s="3"/>
      <c r="R278" s="3" t="s">
        <v>12800</v>
      </c>
      <c r="S278" s="3" t="s">
        <v>3605</v>
      </c>
      <c r="T278" s="3" t="s">
        <v>12723</v>
      </c>
      <c r="U278" s="3"/>
      <c r="V278" s="3" t="s">
        <v>14937</v>
      </c>
      <c r="W278" s="3" t="s">
        <v>4204</v>
      </c>
      <c r="X278" s="3" t="s">
        <v>2980</v>
      </c>
      <c r="Y278" s="3" t="s">
        <v>12658</v>
      </c>
      <c r="Z278" s="3" t="s">
        <v>2543</v>
      </c>
      <c r="AA278" s="3" t="s">
        <v>2544</v>
      </c>
      <c r="AB278" s="3" t="s">
        <v>2545</v>
      </c>
      <c r="AC278" s="3" t="s">
        <v>8288</v>
      </c>
      <c r="AD278" s="3">
        <v>191</v>
      </c>
      <c r="AE278" s="3"/>
      <c r="AF278" s="3" t="s">
        <v>128</v>
      </c>
      <c r="AG278" s="3" t="s">
        <v>7795</v>
      </c>
      <c r="AH278" s="3" t="s">
        <v>8289</v>
      </c>
      <c r="AI278" s="3" t="s">
        <v>101</v>
      </c>
      <c r="AJ278" s="3" t="s">
        <v>2741</v>
      </c>
      <c r="AK278" s="3" t="s">
        <v>12661</v>
      </c>
      <c r="AL278" s="3" t="s">
        <v>2550</v>
      </c>
      <c r="AM278" s="3">
        <v>3</v>
      </c>
      <c r="AN278" s="3" t="s">
        <v>7216</v>
      </c>
      <c r="AO278" s="3" t="s">
        <v>120</v>
      </c>
      <c r="AP278" s="3"/>
      <c r="AQ278" s="3" t="s">
        <v>8292</v>
      </c>
      <c r="AR278" s="3"/>
      <c r="AS278" s="7" t="s">
        <v>14938</v>
      </c>
    </row>
    <row r="279" spans="1:45" ht="12.5" hidden="1" x14ac:dyDescent="0.25">
      <c r="A279" s="3" t="s">
        <v>12652</v>
      </c>
      <c r="B279" s="7" t="str">
        <f>HYPERLINK("https://gerandofalcoes.my.salesforce.com/0014X00002VKCv3QAH", "0014X00002VKCv3QAH")</f>
        <v>0014X00002VKCv3QAH</v>
      </c>
      <c r="C279" s="3" t="s">
        <v>8294</v>
      </c>
      <c r="D279" s="3" t="s">
        <v>46</v>
      </c>
      <c r="E279" s="21" t="str">
        <f>HYPERLINK("https://gerandofalcoes.my.salesforce.com/0034X0000380O0b", "0034X0000380O0b")</f>
        <v>0034X0000380O0b</v>
      </c>
      <c r="F279" s="3" t="s">
        <v>13122</v>
      </c>
      <c r="G279" s="3" t="s">
        <v>14939</v>
      </c>
      <c r="H279" s="3" t="s">
        <v>2538</v>
      </c>
      <c r="I279" s="3" t="s">
        <v>12741</v>
      </c>
      <c r="J279" s="3">
        <v>33</v>
      </c>
      <c r="K279" s="3" t="s">
        <v>14940</v>
      </c>
      <c r="L279" s="3" t="s">
        <v>8299</v>
      </c>
      <c r="M279" s="6">
        <v>33257</v>
      </c>
      <c r="N279" s="3">
        <v>31</v>
      </c>
      <c r="O279" s="3">
        <v>47325962</v>
      </c>
      <c r="P279" s="3">
        <v>36397616851</v>
      </c>
      <c r="Q279" s="3"/>
      <c r="R279" s="3" t="s">
        <v>12800</v>
      </c>
      <c r="S279" s="3" t="s">
        <v>3417</v>
      </c>
      <c r="T279" s="3" t="s">
        <v>12656</v>
      </c>
      <c r="U279" s="3"/>
      <c r="V279" s="3" t="s">
        <v>14941</v>
      </c>
      <c r="W279" s="3" t="s">
        <v>12664</v>
      </c>
      <c r="X279" s="3" t="s">
        <v>3508</v>
      </c>
      <c r="Y279" s="3" t="s">
        <v>12670</v>
      </c>
      <c r="Z279" s="3" t="s">
        <v>2543</v>
      </c>
      <c r="AA279" s="3" t="s">
        <v>2577</v>
      </c>
      <c r="AB279" s="3" t="s">
        <v>2543</v>
      </c>
      <c r="AC279" s="3" t="s">
        <v>14942</v>
      </c>
      <c r="AD279" s="3">
        <v>347</v>
      </c>
      <c r="AE279" s="3" t="s">
        <v>14943</v>
      </c>
      <c r="AF279" s="3" t="s">
        <v>128</v>
      </c>
      <c r="AG279" s="3" t="s">
        <v>14944</v>
      </c>
      <c r="AH279" s="3" t="s">
        <v>14945</v>
      </c>
      <c r="AI279" s="3" t="s">
        <v>101</v>
      </c>
      <c r="AJ279" s="3" t="s">
        <v>2741</v>
      </c>
      <c r="AK279" s="3" t="s">
        <v>12661</v>
      </c>
      <c r="AL279" s="3" t="s">
        <v>2588</v>
      </c>
      <c r="AM279" s="3">
        <v>1</v>
      </c>
      <c r="AN279" s="3" t="s">
        <v>7216</v>
      </c>
      <c r="AO279" s="3" t="s">
        <v>120</v>
      </c>
      <c r="AP279" s="7" t="s">
        <v>14946</v>
      </c>
      <c r="AQ279" s="7" t="s">
        <v>8309</v>
      </c>
      <c r="AR279" s="3"/>
      <c r="AS279" s="7" t="s">
        <v>14947</v>
      </c>
    </row>
    <row r="280" spans="1:45" ht="12.5" x14ac:dyDescent="0.25">
      <c r="A280" s="3" t="s">
        <v>12652</v>
      </c>
      <c r="B280" s="7" t="str">
        <f>HYPERLINK("https://gerandofalcoes.my.salesforce.com/0014X00002VKCv4QAH", "0014X00002VKCv4QAH")</f>
        <v>0014X00002VKCv4QAH</v>
      </c>
      <c r="C280" s="3" t="s">
        <v>8316</v>
      </c>
      <c r="D280" s="3" t="s">
        <v>46</v>
      </c>
      <c r="E280" s="21" t="str">
        <f>HYPERLINK("https://gerandofalcoes.my.salesforce.com/0034X0000380O5r", "0034X0000380O5r")</f>
        <v>0034X0000380O5r</v>
      </c>
      <c r="F280" s="3" t="s">
        <v>14948</v>
      </c>
      <c r="G280" s="3" t="s">
        <v>14949</v>
      </c>
      <c r="H280" s="3" t="s">
        <v>2538</v>
      </c>
      <c r="I280" s="3" t="s">
        <v>12741</v>
      </c>
      <c r="J280" s="3"/>
      <c r="K280" s="3" t="s">
        <v>14950</v>
      </c>
      <c r="L280" s="3">
        <v>11969809205</v>
      </c>
      <c r="M280" s="6">
        <v>31696</v>
      </c>
      <c r="N280" s="3">
        <v>36</v>
      </c>
      <c r="O280" s="3">
        <v>451778698</v>
      </c>
      <c r="P280" s="3">
        <v>36417907864</v>
      </c>
      <c r="Q280" s="3"/>
      <c r="R280" s="3"/>
      <c r="S280" s="3" t="s">
        <v>3137</v>
      </c>
      <c r="T280" s="3" t="s">
        <v>12723</v>
      </c>
      <c r="U280" s="3"/>
      <c r="V280" s="3" t="s">
        <v>14951</v>
      </c>
      <c r="W280" s="3" t="s">
        <v>2541</v>
      </c>
      <c r="X280" s="3" t="s">
        <v>2980</v>
      </c>
      <c r="Y280" s="3"/>
      <c r="Z280" s="3" t="s">
        <v>2543</v>
      </c>
      <c r="AA280" s="3" t="s">
        <v>2577</v>
      </c>
      <c r="AB280" s="3" t="s">
        <v>2545</v>
      </c>
      <c r="AC280" s="3" t="s">
        <v>14952</v>
      </c>
      <c r="AD280" s="3">
        <v>1500</v>
      </c>
      <c r="AE280" s="3"/>
      <c r="AF280" s="3"/>
      <c r="AG280" s="3" t="s">
        <v>14953</v>
      </c>
      <c r="AH280" s="3">
        <v>8616740</v>
      </c>
      <c r="AI280" s="3" t="s">
        <v>101</v>
      </c>
      <c r="AJ280" s="3" t="s">
        <v>2569</v>
      </c>
      <c r="AK280" s="3" t="s">
        <v>12661</v>
      </c>
      <c r="AL280" s="3" t="s">
        <v>2550</v>
      </c>
      <c r="AM280" s="3">
        <v>1</v>
      </c>
      <c r="AN280" s="3" t="s">
        <v>7216</v>
      </c>
      <c r="AO280" s="3" t="s">
        <v>62</v>
      </c>
      <c r="AP280" s="3"/>
      <c r="AQ280" s="7" t="s">
        <v>14954</v>
      </c>
      <c r="AR280" s="3"/>
      <c r="AS280" s="7" t="s">
        <v>14955</v>
      </c>
    </row>
    <row r="281" spans="1:45" ht="12.5" hidden="1" x14ac:dyDescent="0.25">
      <c r="A281" s="3" t="s">
        <v>12652</v>
      </c>
      <c r="B281" s="7" t="str">
        <f>HYPERLINK("https://gerandofalcoes.my.salesforce.com/0014X00002VKCv6QAH", "0014X00002VKCv6QAH")</f>
        <v>0014X00002VKCv6QAH</v>
      </c>
      <c r="C281" s="3" t="s">
        <v>8328</v>
      </c>
      <c r="D281" s="3" t="s">
        <v>46</v>
      </c>
      <c r="E281" s="21" t="str">
        <f>HYPERLINK("https://gerandofalcoes.my.salesforce.com/0034X0000380O1r", "0034X0000380O1r")</f>
        <v>0034X0000380O1r</v>
      </c>
      <c r="F281" s="3" t="s">
        <v>14956</v>
      </c>
      <c r="G281" s="3" t="s">
        <v>14957</v>
      </c>
      <c r="H281" s="3" t="s">
        <v>2538</v>
      </c>
      <c r="I281" s="3" t="s">
        <v>12741</v>
      </c>
      <c r="J281" s="3">
        <v>33</v>
      </c>
      <c r="K281" s="3" t="s">
        <v>14958</v>
      </c>
      <c r="L281" s="3" t="s">
        <v>8333</v>
      </c>
      <c r="M281" s="6">
        <v>24781</v>
      </c>
      <c r="N281" s="3">
        <v>55</v>
      </c>
      <c r="O281" s="3">
        <v>194110874</v>
      </c>
      <c r="P281" s="3">
        <v>19066478870</v>
      </c>
      <c r="Q281" s="3"/>
      <c r="R281" s="3" t="s">
        <v>14959</v>
      </c>
      <c r="S281" s="3" t="s">
        <v>3605</v>
      </c>
      <c r="T281" s="3" t="s">
        <v>12723</v>
      </c>
      <c r="U281" s="3"/>
      <c r="V281" s="3" t="s">
        <v>14960</v>
      </c>
      <c r="W281" s="3" t="s">
        <v>4204</v>
      </c>
      <c r="X281" s="3" t="s">
        <v>2980</v>
      </c>
      <c r="Y281" s="3" t="s">
        <v>12736</v>
      </c>
      <c r="Z281" s="3" t="s">
        <v>2543</v>
      </c>
      <c r="AA281" s="3"/>
      <c r="AB281" s="3"/>
      <c r="AC281" s="3" t="s">
        <v>14961</v>
      </c>
      <c r="AD281" s="3">
        <v>295</v>
      </c>
      <c r="AE281" s="3" t="s">
        <v>14962</v>
      </c>
      <c r="AF281" s="3" t="s">
        <v>128</v>
      </c>
      <c r="AG281" s="3" t="s">
        <v>14963</v>
      </c>
      <c r="AH281" s="3" t="s">
        <v>14964</v>
      </c>
      <c r="AI281" s="3" t="s">
        <v>101</v>
      </c>
      <c r="AJ281" s="3" t="s">
        <v>2569</v>
      </c>
      <c r="AK281" s="3" t="s">
        <v>12729</v>
      </c>
      <c r="AL281" s="3" t="s">
        <v>2579</v>
      </c>
      <c r="AM281" s="3">
        <v>6</v>
      </c>
      <c r="AN281" s="3" t="s">
        <v>7216</v>
      </c>
      <c r="AO281" s="3" t="s">
        <v>120</v>
      </c>
      <c r="AP281" s="7" t="s">
        <v>14965</v>
      </c>
      <c r="AQ281" s="7" t="s">
        <v>14966</v>
      </c>
      <c r="AR281" s="3"/>
      <c r="AS281" s="7" t="s">
        <v>14967</v>
      </c>
    </row>
    <row r="282" spans="1:45" ht="12.5" x14ac:dyDescent="0.25">
      <c r="A282" s="3" t="s">
        <v>12652</v>
      </c>
      <c r="B282" s="7" t="str">
        <f>HYPERLINK("https://gerandofalcoes.my.salesforce.com/0014X00002VKCv7QAH", "0014X00002VKCv7QAH")</f>
        <v>0014X00002VKCv7QAH</v>
      </c>
      <c r="C282" s="3" t="s">
        <v>8351</v>
      </c>
      <c r="D282" s="3" t="s">
        <v>46</v>
      </c>
      <c r="E282" s="21" t="str">
        <f>HYPERLINK("https://gerandofalcoes.my.salesforce.com/0034X0000380O6e", "0034X0000380O6e")</f>
        <v>0034X0000380O6e</v>
      </c>
      <c r="F282" s="3" t="s">
        <v>14968</v>
      </c>
      <c r="G282" s="3" t="s">
        <v>14969</v>
      </c>
      <c r="H282" s="3" t="s">
        <v>2538</v>
      </c>
      <c r="I282" s="3" t="s">
        <v>12741</v>
      </c>
      <c r="J282" s="3">
        <v>33</v>
      </c>
      <c r="K282" s="3" t="s">
        <v>14970</v>
      </c>
      <c r="L282" s="3">
        <v>11959373321</v>
      </c>
      <c r="M282" s="6">
        <v>23738</v>
      </c>
      <c r="N282" s="3">
        <v>58</v>
      </c>
      <c r="O282" s="3">
        <v>139803543</v>
      </c>
      <c r="P282" s="3">
        <v>11096318806</v>
      </c>
      <c r="Q282" s="3"/>
      <c r="R282" s="3"/>
      <c r="S282" s="3" t="s">
        <v>3417</v>
      </c>
      <c r="T282" s="3" t="s">
        <v>12682</v>
      </c>
      <c r="U282" s="3"/>
      <c r="V282" s="3" t="s">
        <v>14971</v>
      </c>
      <c r="W282" s="3" t="s">
        <v>2541</v>
      </c>
      <c r="X282" s="3" t="s">
        <v>2980</v>
      </c>
      <c r="Y282" s="3"/>
      <c r="Z282" s="3" t="s">
        <v>2543</v>
      </c>
      <c r="AA282" s="3"/>
      <c r="AB282" s="3"/>
      <c r="AC282" s="3" t="s">
        <v>14972</v>
      </c>
      <c r="AD282" s="3">
        <v>149</v>
      </c>
      <c r="AE282" s="3"/>
      <c r="AF282" s="3"/>
      <c r="AG282" s="3" t="s">
        <v>7748</v>
      </c>
      <c r="AH282" s="3">
        <v>8031210</v>
      </c>
      <c r="AI282" s="3" t="s">
        <v>101</v>
      </c>
      <c r="AJ282" s="3" t="s">
        <v>2569</v>
      </c>
      <c r="AK282" s="3" t="s">
        <v>12729</v>
      </c>
      <c r="AL282" s="3" t="s">
        <v>2588</v>
      </c>
      <c r="AM282" s="3">
        <v>2</v>
      </c>
      <c r="AN282" s="3" t="s">
        <v>14269</v>
      </c>
      <c r="AO282" s="3" t="s">
        <v>62</v>
      </c>
      <c r="AP282" s="3"/>
      <c r="AQ282" s="3" t="s">
        <v>14973</v>
      </c>
      <c r="AR282" s="3"/>
      <c r="AS282" s="7" t="s">
        <v>14974</v>
      </c>
    </row>
    <row r="283" spans="1:45" ht="12.5" x14ac:dyDescent="0.25">
      <c r="A283" s="3" t="s">
        <v>12652</v>
      </c>
      <c r="B283" s="7" t="str">
        <f>HYPERLINK("https://gerandofalcoes.my.salesforce.com/0014X00002VKCv8QAH", "0014X00002VKCv8QAH")</f>
        <v>0014X00002VKCv8QAH</v>
      </c>
      <c r="C283" s="3" t="s">
        <v>8367</v>
      </c>
      <c r="D283" s="3" t="s">
        <v>46</v>
      </c>
      <c r="E283" s="21" t="str">
        <f>HYPERLINK("https://gerandofalcoes.my.salesforce.com/0034X0000380O58", "0034X0000380O58")</f>
        <v>0034X0000380O58</v>
      </c>
      <c r="F283" s="3" t="s">
        <v>14975</v>
      </c>
      <c r="G283" s="3" t="s">
        <v>14976</v>
      </c>
      <c r="H283" s="3" t="s">
        <v>2538</v>
      </c>
      <c r="I283" s="3" t="s">
        <v>12741</v>
      </c>
      <c r="J283" s="3">
        <v>33</v>
      </c>
      <c r="K283" s="3" t="s">
        <v>14977</v>
      </c>
      <c r="L283" s="3">
        <v>11947822137</v>
      </c>
      <c r="M283" s="6">
        <v>28375</v>
      </c>
      <c r="N283" s="3">
        <v>45</v>
      </c>
      <c r="O283" s="3" t="s">
        <v>14978</v>
      </c>
      <c r="P283" s="3">
        <v>25645807855</v>
      </c>
      <c r="Q283" s="3"/>
      <c r="R283" s="3"/>
      <c r="S283" s="3" t="s">
        <v>2998</v>
      </c>
      <c r="T283" s="3" t="s">
        <v>12723</v>
      </c>
      <c r="U283" s="3"/>
      <c r="V283" s="3" t="s">
        <v>14979</v>
      </c>
      <c r="W283" s="3" t="s">
        <v>2541</v>
      </c>
      <c r="X283" s="3" t="s">
        <v>2980</v>
      </c>
      <c r="Y283" s="3"/>
      <c r="Z283" s="3" t="s">
        <v>2543</v>
      </c>
      <c r="AA283" s="3"/>
      <c r="AB283" s="3"/>
      <c r="AC283" s="3" t="s">
        <v>14980</v>
      </c>
      <c r="AD283" s="3">
        <v>231</v>
      </c>
      <c r="AE283" s="3"/>
      <c r="AF283" s="3"/>
      <c r="AG283" s="3" t="s">
        <v>14981</v>
      </c>
      <c r="AH283" s="3" t="s">
        <v>14982</v>
      </c>
      <c r="AI283" s="3" t="s">
        <v>101</v>
      </c>
      <c r="AJ283" s="3" t="s">
        <v>2569</v>
      </c>
      <c r="AK283" s="3" t="s">
        <v>3249</v>
      </c>
      <c r="AL283" s="3" t="s">
        <v>2550</v>
      </c>
      <c r="AM283" s="3">
        <v>1</v>
      </c>
      <c r="AN283" s="3" t="s">
        <v>7216</v>
      </c>
      <c r="AO283" s="3" t="s">
        <v>120</v>
      </c>
      <c r="AP283" s="3"/>
      <c r="AQ283" s="3"/>
      <c r="AR283" s="3"/>
      <c r="AS283" s="7" t="s">
        <v>14983</v>
      </c>
    </row>
    <row r="284" spans="1:45" ht="12.5" x14ac:dyDescent="0.25">
      <c r="A284" s="3" t="s">
        <v>12652</v>
      </c>
      <c r="B284" s="7" t="str">
        <f>HYPERLINK("https://gerandofalcoes.my.salesforce.com/0014X00002VKCv9QAH", "0014X00002VKCv9QAH")</f>
        <v>0014X00002VKCv9QAH</v>
      </c>
      <c r="C284" s="3" t="s">
        <v>8383</v>
      </c>
      <c r="D284" s="3" t="s">
        <v>46</v>
      </c>
      <c r="E284" s="21" t="str">
        <f>HYPERLINK("https://gerandofalcoes.my.salesforce.com/0034X0000380O6O", "0034X0000380O6O")</f>
        <v>0034X0000380O6O</v>
      </c>
      <c r="F284" s="3" t="s">
        <v>14984</v>
      </c>
      <c r="G284" s="3" t="s">
        <v>14985</v>
      </c>
      <c r="H284" s="3" t="s">
        <v>2538</v>
      </c>
      <c r="I284" s="3" t="s">
        <v>12741</v>
      </c>
      <c r="J284" s="3">
        <v>33</v>
      </c>
      <c r="K284" s="3" t="s">
        <v>14986</v>
      </c>
      <c r="L284" s="3" t="s">
        <v>14987</v>
      </c>
      <c r="M284" s="6">
        <v>29212</v>
      </c>
      <c r="N284" s="3">
        <v>43</v>
      </c>
      <c r="O284" s="3" t="s">
        <v>14988</v>
      </c>
      <c r="P284" s="3">
        <v>22359094858</v>
      </c>
      <c r="Q284" s="3"/>
      <c r="R284" s="3"/>
      <c r="S284" s="3" t="s">
        <v>3137</v>
      </c>
      <c r="T284" s="3" t="s">
        <v>12723</v>
      </c>
      <c r="U284" s="3"/>
      <c r="V284" s="3" t="s">
        <v>14989</v>
      </c>
      <c r="W284" s="3" t="s">
        <v>2541</v>
      </c>
      <c r="X284" s="3" t="s">
        <v>2980</v>
      </c>
      <c r="Y284" s="3"/>
      <c r="Z284" s="3" t="s">
        <v>2543</v>
      </c>
      <c r="AA284" s="3"/>
      <c r="AB284" s="3"/>
      <c r="AC284" s="3" t="s">
        <v>14990</v>
      </c>
      <c r="AD284" s="3" t="s">
        <v>14991</v>
      </c>
      <c r="AE284" s="3"/>
      <c r="AF284" s="3"/>
      <c r="AG284" s="3" t="s">
        <v>14992</v>
      </c>
      <c r="AH284" s="3" t="s">
        <v>14993</v>
      </c>
      <c r="AI284" s="3" t="s">
        <v>101</v>
      </c>
      <c r="AJ284" s="3" t="s">
        <v>2569</v>
      </c>
      <c r="AK284" s="3" t="s">
        <v>3249</v>
      </c>
      <c r="AL284" s="3" t="s">
        <v>2550</v>
      </c>
      <c r="AM284" s="3">
        <v>3</v>
      </c>
      <c r="AN284" s="3" t="s">
        <v>7216</v>
      </c>
      <c r="AO284" s="3" t="s">
        <v>120</v>
      </c>
      <c r="AP284" s="3"/>
      <c r="AQ284" s="3"/>
      <c r="AR284" s="3"/>
      <c r="AS284" s="7" t="s">
        <v>14994</v>
      </c>
    </row>
    <row r="285" spans="1:45" ht="12.5" x14ac:dyDescent="0.25">
      <c r="A285" s="3" t="s">
        <v>12652</v>
      </c>
      <c r="B285" s="7" t="str">
        <f>HYPERLINK("https://gerandofalcoes.my.salesforce.com/0014X00002VKCvAQAX", "0014X00002VKCvAQAX")</f>
        <v>0014X00002VKCvAQAX</v>
      </c>
      <c r="C285" s="3" t="s">
        <v>8399</v>
      </c>
      <c r="D285" s="3" t="s">
        <v>46</v>
      </c>
      <c r="E285" s="21" t="str">
        <f>HYPERLINK("https://gerandofalcoes.my.salesforce.com/0034X0000380O5B", "0034X0000380O5B")</f>
        <v>0034X0000380O5B</v>
      </c>
      <c r="F285" s="3" t="s">
        <v>13489</v>
      </c>
      <c r="G285" s="3" t="s">
        <v>14995</v>
      </c>
      <c r="H285" s="3" t="s">
        <v>2538</v>
      </c>
      <c r="I285" s="3" t="s">
        <v>12741</v>
      </c>
      <c r="J285" s="3"/>
      <c r="K285" s="3" t="s">
        <v>14996</v>
      </c>
      <c r="L285" s="3">
        <v>11981431401</v>
      </c>
      <c r="M285" s="6">
        <v>30369</v>
      </c>
      <c r="N285" s="3">
        <v>39</v>
      </c>
      <c r="O285" s="3">
        <v>347146314</v>
      </c>
      <c r="P285" s="3">
        <v>31432534835</v>
      </c>
      <c r="Q285" s="3"/>
      <c r="R285" s="3"/>
      <c r="S285" s="3" t="s">
        <v>3137</v>
      </c>
      <c r="T285" s="3" t="s">
        <v>12682</v>
      </c>
      <c r="U285" s="3"/>
      <c r="V285" s="3" t="s">
        <v>14997</v>
      </c>
      <c r="W285" s="3" t="s">
        <v>2541</v>
      </c>
      <c r="X285" s="3" t="s">
        <v>2980</v>
      </c>
      <c r="Y285" s="3"/>
      <c r="Z285" s="3" t="s">
        <v>2543</v>
      </c>
      <c r="AA285" s="3"/>
      <c r="AB285" s="3"/>
      <c r="AC285" s="3" t="s">
        <v>14998</v>
      </c>
      <c r="AD285" s="3">
        <v>22</v>
      </c>
      <c r="AE285" s="3"/>
      <c r="AF285" s="3"/>
      <c r="AG285" s="3" t="s">
        <v>14999</v>
      </c>
      <c r="AH285" s="3">
        <v>8280700</v>
      </c>
      <c r="AI285" s="3" t="s">
        <v>101</v>
      </c>
      <c r="AJ285" s="3" t="s">
        <v>2569</v>
      </c>
      <c r="AK285" s="3" t="s">
        <v>12729</v>
      </c>
      <c r="AL285" s="3" t="s">
        <v>2550</v>
      </c>
      <c r="AM285" s="3">
        <v>4</v>
      </c>
      <c r="AN285" s="3" t="s">
        <v>7216</v>
      </c>
      <c r="AO285" s="3" t="s">
        <v>120</v>
      </c>
      <c r="AP285" s="3"/>
      <c r="AQ285" s="7" t="s">
        <v>15000</v>
      </c>
      <c r="AR285" s="3"/>
      <c r="AS285" s="7" t="s">
        <v>15001</v>
      </c>
    </row>
    <row r="286" spans="1:45" ht="12.5" hidden="1" x14ac:dyDescent="0.25">
      <c r="A286" s="3" t="s">
        <v>12652</v>
      </c>
      <c r="B286" s="7" t="str">
        <f>HYPERLINK("https://gerandofalcoes.my.salesforce.com/0014X00002VKCvCQAX", "0014X00002VKCvCQAX")</f>
        <v>0014X00002VKCvCQAX</v>
      </c>
      <c r="C286" s="3" t="s">
        <v>8417</v>
      </c>
      <c r="D286" s="3" t="s">
        <v>46</v>
      </c>
      <c r="E286" s="21" t="str">
        <f>HYPERLINK("https://gerandofalcoes.my.salesforce.com/0034X0000380O1V", "0034X0000380O1V")</f>
        <v>0034X0000380O1V</v>
      </c>
      <c r="F286" s="3" t="s">
        <v>15002</v>
      </c>
      <c r="G286" s="3" t="s">
        <v>15003</v>
      </c>
      <c r="H286" s="3" t="s">
        <v>2538</v>
      </c>
      <c r="I286" s="3" t="s">
        <v>12741</v>
      </c>
      <c r="J286" s="3">
        <v>33</v>
      </c>
      <c r="K286" s="3" t="s">
        <v>15004</v>
      </c>
      <c r="L286" s="3" t="s">
        <v>8422</v>
      </c>
      <c r="M286" s="6">
        <v>32216</v>
      </c>
      <c r="N286" s="3">
        <v>34</v>
      </c>
      <c r="O286" s="3">
        <v>34248882</v>
      </c>
      <c r="P286" s="3">
        <v>36436163840</v>
      </c>
      <c r="Q286" s="3"/>
      <c r="R286" s="3" t="s">
        <v>14779</v>
      </c>
      <c r="S286" s="3" t="s">
        <v>3417</v>
      </c>
      <c r="T286" s="3" t="s">
        <v>12656</v>
      </c>
      <c r="U286" s="3"/>
      <c r="V286" s="3" t="s">
        <v>15005</v>
      </c>
      <c r="W286" s="3" t="s">
        <v>12664</v>
      </c>
      <c r="X286" s="3" t="s">
        <v>2980</v>
      </c>
      <c r="Y286" s="3" t="s">
        <v>12658</v>
      </c>
      <c r="Z286" s="3" t="s">
        <v>2543</v>
      </c>
      <c r="AA286" s="3" t="s">
        <v>2544</v>
      </c>
      <c r="AB286" s="3"/>
      <c r="AC286" s="3" t="s">
        <v>8423</v>
      </c>
      <c r="AD286" s="3">
        <v>174</v>
      </c>
      <c r="AE286" s="3" t="s">
        <v>8425</v>
      </c>
      <c r="AF286" s="3" t="s">
        <v>3795</v>
      </c>
      <c r="AG286" s="3" t="s">
        <v>15006</v>
      </c>
      <c r="AH286" s="3" t="s">
        <v>8426</v>
      </c>
      <c r="AI286" s="3" t="s">
        <v>101</v>
      </c>
      <c r="AJ286" s="3" t="s">
        <v>2569</v>
      </c>
      <c r="AK286" s="3" t="s">
        <v>12729</v>
      </c>
      <c r="AL286" s="3" t="s">
        <v>2550</v>
      </c>
      <c r="AM286" s="3">
        <v>3</v>
      </c>
      <c r="AN286" s="3" t="s">
        <v>7216</v>
      </c>
      <c r="AO286" s="3" t="s">
        <v>13327</v>
      </c>
      <c r="AP286" s="7" t="s">
        <v>15007</v>
      </c>
      <c r="AQ286" s="7" t="s">
        <v>15008</v>
      </c>
      <c r="AR286" s="3"/>
      <c r="AS286" s="7" t="s">
        <v>15009</v>
      </c>
    </row>
    <row r="287" spans="1:45" ht="12.5" hidden="1" x14ac:dyDescent="0.25">
      <c r="A287" s="3" t="s">
        <v>12652</v>
      </c>
      <c r="B287" s="7" t="str">
        <f>HYPERLINK("https://gerandofalcoes.my.salesforce.com/0014X00002VKCvDQAX", "0014X00002VKCvDQAX")</f>
        <v>0014X00002VKCvDQAX</v>
      </c>
      <c r="C287" s="3" t="s">
        <v>8435</v>
      </c>
      <c r="D287" s="3" t="s">
        <v>46</v>
      </c>
      <c r="E287" s="21" t="str">
        <f>HYPERLINK("https://gerandofalcoes.my.salesforce.com/0034X0000380O4w", "0034X0000380O4w")</f>
        <v>0034X0000380O4w</v>
      </c>
      <c r="F287" s="3" t="s">
        <v>2858</v>
      </c>
      <c r="G287" s="3" t="s">
        <v>15010</v>
      </c>
      <c r="H287" s="3" t="s">
        <v>2538</v>
      </c>
      <c r="I287" s="3" t="s">
        <v>12741</v>
      </c>
      <c r="J287" s="3">
        <v>33</v>
      </c>
      <c r="K287" s="3" t="s">
        <v>15011</v>
      </c>
      <c r="L287" s="3" t="s">
        <v>15012</v>
      </c>
      <c r="M287" s="8">
        <v>32584</v>
      </c>
      <c r="N287" s="3">
        <v>33</v>
      </c>
      <c r="O287" s="3" t="s">
        <v>15013</v>
      </c>
      <c r="P287" s="3">
        <v>37770407893</v>
      </c>
      <c r="Q287" s="3"/>
      <c r="R287" s="3" t="s">
        <v>12800</v>
      </c>
      <c r="S287" s="3" t="s">
        <v>3137</v>
      </c>
      <c r="T287" s="3" t="s">
        <v>12723</v>
      </c>
      <c r="U287" s="3"/>
      <c r="V287" s="3" t="s">
        <v>15014</v>
      </c>
      <c r="W287" s="3" t="s">
        <v>4204</v>
      </c>
      <c r="X287" s="3" t="s">
        <v>2980</v>
      </c>
      <c r="Y287" s="3" t="s">
        <v>12670</v>
      </c>
      <c r="Z287" s="3" t="s">
        <v>2543</v>
      </c>
      <c r="AA287" s="3" t="s">
        <v>2577</v>
      </c>
      <c r="AB287" s="3" t="s">
        <v>2545</v>
      </c>
      <c r="AC287" s="3" t="s">
        <v>15015</v>
      </c>
      <c r="AD287" s="3">
        <v>274</v>
      </c>
      <c r="AE287" s="3" t="s">
        <v>673</v>
      </c>
      <c r="AF287" s="3" t="s">
        <v>128</v>
      </c>
      <c r="AG287" s="3" t="s">
        <v>15016</v>
      </c>
      <c r="AH287" s="3" t="s">
        <v>15017</v>
      </c>
      <c r="AI287" s="3" t="s">
        <v>101</v>
      </c>
      <c r="AJ287" s="3" t="s">
        <v>2741</v>
      </c>
      <c r="AK287" s="3" t="s">
        <v>12729</v>
      </c>
      <c r="AL287" s="3" t="s">
        <v>2588</v>
      </c>
      <c r="AM287" s="3">
        <v>3</v>
      </c>
      <c r="AN287" s="3" t="s">
        <v>7216</v>
      </c>
      <c r="AO287" s="3" t="s">
        <v>120</v>
      </c>
      <c r="AP287" s="3"/>
      <c r="AQ287" s="7" t="s">
        <v>15018</v>
      </c>
      <c r="AR287" s="3"/>
      <c r="AS287" s="7" t="s">
        <v>15019</v>
      </c>
    </row>
    <row r="288" spans="1:45" ht="12.5" x14ac:dyDescent="0.25">
      <c r="A288" s="3" t="s">
        <v>12652</v>
      </c>
      <c r="B288" s="7" t="str">
        <f>HYPERLINK("https://gerandofalcoes.my.salesforce.com/0014X00002VKCtxQAH", "0014X00002VKCtxQAH")</f>
        <v>0014X00002VKCtxQAH</v>
      </c>
      <c r="C288" s="3" t="s">
        <v>8443</v>
      </c>
      <c r="D288" s="3" t="s">
        <v>46</v>
      </c>
      <c r="E288" s="21" t="str">
        <f>HYPERLINK("https://gerandofalcoes.my.salesforce.com/0034X0000380O2D", "0034X0000380O2D")</f>
        <v>0034X0000380O2D</v>
      </c>
      <c r="F288" s="3" t="s">
        <v>14173</v>
      </c>
      <c r="G288" s="3" t="s">
        <v>15020</v>
      </c>
      <c r="H288" s="3" t="s">
        <v>2538</v>
      </c>
      <c r="I288" s="3" t="s">
        <v>12741</v>
      </c>
      <c r="J288" s="3">
        <v>33</v>
      </c>
      <c r="K288" s="3" t="s">
        <v>15021</v>
      </c>
      <c r="L288" s="3">
        <v>41987061379</v>
      </c>
      <c r="M288" s="6">
        <v>28351</v>
      </c>
      <c r="N288" s="3">
        <v>45</v>
      </c>
      <c r="O288" s="3">
        <v>509433182</v>
      </c>
      <c r="P288" s="3">
        <v>2076960988</v>
      </c>
      <c r="Q288" s="3"/>
      <c r="R288" s="3"/>
      <c r="S288" s="3" t="s">
        <v>3269</v>
      </c>
      <c r="T288" s="3" t="s">
        <v>12682</v>
      </c>
      <c r="U288" s="3"/>
      <c r="V288" s="3" t="s">
        <v>15022</v>
      </c>
      <c r="W288" s="3" t="s">
        <v>2541</v>
      </c>
      <c r="X288" s="3" t="s">
        <v>2980</v>
      </c>
      <c r="Y288" s="3"/>
      <c r="Z288" s="3" t="s">
        <v>2545</v>
      </c>
      <c r="AA288" s="3" t="s">
        <v>2577</v>
      </c>
      <c r="AB288" s="3" t="s">
        <v>2545</v>
      </c>
      <c r="AC288" s="3" t="s">
        <v>15023</v>
      </c>
      <c r="AD288" s="3">
        <v>191</v>
      </c>
      <c r="AE288" s="3">
        <v>501</v>
      </c>
      <c r="AF288" s="3"/>
      <c r="AG288" s="3" t="s">
        <v>15024</v>
      </c>
      <c r="AH288" s="3">
        <v>80045105</v>
      </c>
      <c r="AI288" s="3" t="s">
        <v>310</v>
      </c>
      <c r="AJ288" s="3" t="s">
        <v>2569</v>
      </c>
      <c r="AK288" s="3" t="s">
        <v>12661</v>
      </c>
      <c r="AL288" s="3" t="s">
        <v>3890</v>
      </c>
      <c r="AM288" s="3">
        <v>2</v>
      </c>
      <c r="AN288" s="3" t="s">
        <v>7216</v>
      </c>
      <c r="AO288" s="3" t="s">
        <v>120</v>
      </c>
      <c r="AP288" s="7" t="s">
        <v>15025</v>
      </c>
      <c r="AQ288" s="7" t="s">
        <v>15026</v>
      </c>
      <c r="AR288" s="3"/>
      <c r="AS288" s="7" t="s">
        <v>15027</v>
      </c>
    </row>
    <row r="289" spans="1:45" ht="12.5" x14ac:dyDescent="0.25">
      <c r="A289" s="3" t="s">
        <v>12652</v>
      </c>
      <c r="B289" s="7" t="str">
        <f>HYPERLINK("https://gerandofalcoes.my.salesforce.com/0014X00002VKCtyQAH", "0014X00002VKCtyQAH")</f>
        <v>0014X00002VKCtyQAH</v>
      </c>
      <c r="C289" s="3" t="s">
        <v>8464</v>
      </c>
      <c r="D289" s="3" t="s">
        <v>46</v>
      </c>
      <c r="E289" s="21" t="str">
        <f>HYPERLINK("https://gerandofalcoes.my.salesforce.com/0034X0000380O1c", "0034X0000380O1c")</f>
        <v>0034X0000380O1c</v>
      </c>
      <c r="F289" s="3" t="s">
        <v>15028</v>
      </c>
      <c r="G289" s="3" t="s">
        <v>15029</v>
      </c>
      <c r="H289" s="3" t="s">
        <v>2538</v>
      </c>
      <c r="I289" s="3" t="s">
        <v>12741</v>
      </c>
      <c r="J289" s="3">
        <v>33</v>
      </c>
      <c r="K289" s="3" t="s">
        <v>15030</v>
      </c>
      <c r="L289" s="3">
        <v>53999957592</v>
      </c>
      <c r="M289" s="6">
        <v>31912</v>
      </c>
      <c r="N289" s="3">
        <v>35</v>
      </c>
      <c r="O289" s="3">
        <v>9090076192</v>
      </c>
      <c r="P289" s="3">
        <v>1211459055</v>
      </c>
      <c r="Q289" s="3"/>
      <c r="R289" s="3"/>
      <c r="S289" s="3" t="s">
        <v>3137</v>
      </c>
      <c r="T289" s="3" t="s">
        <v>12682</v>
      </c>
      <c r="U289" s="3"/>
      <c r="V289" s="3" t="s">
        <v>15031</v>
      </c>
      <c r="W289" s="3" t="s">
        <v>2541</v>
      </c>
      <c r="X289" s="3" t="s">
        <v>2980</v>
      </c>
      <c r="Y289" s="3"/>
      <c r="Z289" s="3" t="s">
        <v>2545</v>
      </c>
      <c r="AA289" s="3" t="s">
        <v>2577</v>
      </c>
      <c r="AB289" s="3" t="s">
        <v>2545</v>
      </c>
      <c r="AC289" s="3" t="s">
        <v>15032</v>
      </c>
      <c r="AD289" s="3">
        <v>2281</v>
      </c>
      <c r="AE289" s="3"/>
      <c r="AF289" s="3"/>
      <c r="AG289" s="3" t="s">
        <v>647</v>
      </c>
      <c r="AH289" s="3" t="s">
        <v>8471</v>
      </c>
      <c r="AI289" s="3" t="s">
        <v>407</v>
      </c>
      <c r="AJ289" s="3" t="s">
        <v>2548</v>
      </c>
      <c r="AK289" s="3" t="s">
        <v>12661</v>
      </c>
      <c r="AL289" s="3" t="s">
        <v>2550</v>
      </c>
      <c r="AM289" s="3">
        <v>3</v>
      </c>
      <c r="AN289" s="3" t="s">
        <v>7216</v>
      </c>
      <c r="AO289" s="3" t="s">
        <v>120</v>
      </c>
      <c r="AP289" s="3" t="s">
        <v>15033</v>
      </c>
      <c r="AQ289" s="7" t="s">
        <v>15034</v>
      </c>
      <c r="AR289" s="3"/>
      <c r="AS289" s="7" t="s">
        <v>15035</v>
      </c>
    </row>
    <row r="290" spans="1:45" ht="12.5" hidden="1" x14ac:dyDescent="0.25">
      <c r="A290" s="3" t="s">
        <v>12652</v>
      </c>
      <c r="B290" s="7" t="str">
        <f>HYPERLINK("https://gerandofalcoes.my.salesforce.com/0014X00002VKCtzQAH", "0014X00002VKCtzQAH")</f>
        <v>0014X00002VKCtzQAH</v>
      </c>
      <c r="C290" s="3" t="s">
        <v>8484</v>
      </c>
      <c r="D290" s="3" t="s">
        <v>46</v>
      </c>
      <c r="E290" s="21" t="str">
        <f>HYPERLINK("https://gerandofalcoes.my.salesforce.com/0034X0000380O0v", "0034X0000380O0v")</f>
        <v>0034X0000380O0v</v>
      </c>
      <c r="F290" s="3" t="s">
        <v>15036</v>
      </c>
      <c r="G290" s="3" t="s">
        <v>15037</v>
      </c>
      <c r="H290" s="3" t="s">
        <v>2538</v>
      </c>
      <c r="I290" s="3" t="s">
        <v>12741</v>
      </c>
      <c r="J290" s="3"/>
      <c r="K290" s="3" t="s">
        <v>8487</v>
      </c>
      <c r="L290" s="3" t="s">
        <v>8488</v>
      </c>
      <c r="M290" s="6">
        <v>28617</v>
      </c>
      <c r="N290" s="3">
        <v>44</v>
      </c>
      <c r="O290" s="3">
        <v>717011</v>
      </c>
      <c r="P290" s="3">
        <v>69741697104</v>
      </c>
      <c r="Q290" s="3"/>
      <c r="R290" s="3" t="s">
        <v>15038</v>
      </c>
      <c r="S290" s="3" t="s">
        <v>3605</v>
      </c>
      <c r="T290" s="3" t="s">
        <v>12656</v>
      </c>
      <c r="U290" s="3"/>
      <c r="V290" s="3" t="s">
        <v>15039</v>
      </c>
      <c r="W290" s="3" t="s">
        <v>12664</v>
      </c>
      <c r="X290" s="3" t="s">
        <v>2980</v>
      </c>
      <c r="Y290" s="3" t="s">
        <v>12658</v>
      </c>
      <c r="Z290" s="3" t="s">
        <v>2543</v>
      </c>
      <c r="AA290" s="3" t="s">
        <v>2544</v>
      </c>
      <c r="AB290" s="3" t="s">
        <v>2545</v>
      </c>
      <c r="AC290" s="3" t="s">
        <v>15040</v>
      </c>
      <c r="AD290" s="3" t="s">
        <v>15041</v>
      </c>
      <c r="AE290" s="3"/>
      <c r="AF290" s="3" t="s">
        <v>15042</v>
      </c>
      <c r="AG290" s="3" t="s">
        <v>15043</v>
      </c>
      <c r="AH290" s="3" t="s">
        <v>8492</v>
      </c>
      <c r="AI290" s="3" t="s">
        <v>6781</v>
      </c>
      <c r="AJ290" s="3" t="s">
        <v>2741</v>
      </c>
      <c r="AK290" s="3" t="s">
        <v>3249</v>
      </c>
      <c r="AL290" s="3" t="s">
        <v>2550</v>
      </c>
      <c r="AM290" s="3">
        <v>3</v>
      </c>
      <c r="AN290" s="3" t="s">
        <v>7216</v>
      </c>
      <c r="AO290" s="3" t="s">
        <v>120</v>
      </c>
      <c r="AP290" s="7" t="s">
        <v>15044</v>
      </c>
      <c r="AQ290" s="7" t="s">
        <v>8499</v>
      </c>
      <c r="AR290" s="3"/>
      <c r="AS290" s="7" t="s">
        <v>15045</v>
      </c>
    </row>
    <row r="291" spans="1:45" ht="12.5" hidden="1" x14ac:dyDescent="0.25">
      <c r="A291" s="3" t="s">
        <v>12652</v>
      </c>
      <c r="B291" s="7" t="str">
        <f>HYPERLINK("https://gerandofalcoes.my.salesforce.com/0014X00002VKCu0QAH", "0014X00002VKCu0QAH")</f>
        <v>0014X00002VKCu0QAH</v>
      </c>
      <c r="C291" s="3" t="s">
        <v>8504</v>
      </c>
      <c r="D291" s="3" t="s">
        <v>46</v>
      </c>
      <c r="E291" s="21" t="str">
        <f>HYPERLINK("https://gerandofalcoes.my.salesforce.com/0034X0000380O5P", "0034X0000380O5P")</f>
        <v>0034X0000380O5P</v>
      </c>
      <c r="F291" s="3" t="s">
        <v>13885</v>
      </c>
      <c r="G291" s="3" t="s">
        <v>15046</v>
      </c>
      <c r="H291" s="3" t="s">
        <v>2538</v>
      </c>
      <c r="I291" s="3" t="s">
        <v>12741</v>
      </c>
      <c r="J291" s="3">
        <v>33</v>
      </c>
      <c r="K291" s="3" t="s">
        <v>8507</v>
      </c>
      <c r="L291" s="3" t="s">
        <v>8508</v>
      </c>
      <c r="M291" s="8">
        <v>27481</v>
      </c>
      <c r="N291" s="3">
        <v>47</v>
      </c>
      <c r="O291" s="3">
        <v>5733506</v>
      </c>
      <c r="P291" s="3">
        <v>71351850300</v>
      </c>
      <c r="Q291" s="3"/>
      <c r="R291" s="3" t="s">
        <v>13444</v>
      </c>
      <c r="S291" s="3" t="s">
        <v>3137</v>
      </c>
      <c r="T291" s="3" t="s">
        <v>12682</v>
      </c>
      <c r="U291" s="3"/>
      <c r="V291" s="3" t="s">
        <v>15047</v>
      </c>
      <c r="W291" s="3" t="s">
        <v>12664</v>
      </c>
      <c r="X291" s="3" t="s">
        <v>2980</v>
      </c>
      <c r="Y291" s="3" t="s">
        <v>12670</v>
      </c>
      <c r="Z291" s="3" t="s">
        <v>2543</v>
      </c>
      <c r="AA291" s="3" t="s">
        <v>2544</v>
      </c>
      <c r="AB291" s="3" t="s">
        <v>2545</v>
      </c>
      <c r="AC291" s="3" t="s">
        <v>15048</v>
      </c>
      <c r="AD291" s="3">
        <v>176</v>
      </c>
      <c r="AE291" s="3" t="s">
        <v>2864</v>
      </c>
      <c r="AF291" s="3" t="s">
        <v>15049</v>
      </c>
      <c r="AG291" s="3" t="s">
        <v>15050</v>
      </c>
      <c r="AH291" s="3" t="s">
        <v>8511</v>
      </c>
      <c r="AI291" s="3" t="s">
        <v>557</v>
      </c>
      <c r="AJ291" s="3" t="s">
        <v>2569</v>
      </c>
      <c r="AK291" s="3" t="s">
        <v>12661</v>
      </c>
      <c r="AL291" s="3" t="s">
        <v>2550</v>
      </c>
      <c r="AM291" s="3">
        <v>3</v>
      </c>
      <c r="AN291" s="3" t="s">
        <v>13118</v>
      </c>
      <c r="AO291" s="3" t="s">
        <v>120</v>
      </c>
      <c r="AP291" s="7" t="s">
        <v>15051</v>
      </c>
      <c r="AQ291" s="7" t="s">
        <v>15052</v>
      </c>
      <c r="AR291" s="3"/>
      <c r="AS291" s="7" t="s">
        <v>15053</v>
      </c>
    </row>
    <row r="292" spans="1:45" ht="12.5" x14ac:dyDescent="0.25">
      <c r="A292" s="3" t="s">
        <v>12652</v>
      </c>
      <c r="B292" s="7" t="str">
        <f>HYPERLINK("https://gerandofalcoes.my.salesforce.com/0014X00002VKCu1QAH", "0014X00002VKCu1QAH")</f>
        <v>0014X00002VKCu1QAH</v>
      </c>
      <c r="C292" s="3" t="s">
        <v>8516</v>
      </c>
      <c r="D292" s="3" t="s">
        <v>46</v>
      </c>
      <c r="E292" s="21" t="str">
        <f>HYPERLINK("https://gerandofalcoes.my.salesforce.com/0034X0000380O2v", "0034X0000380O2v")</f>
        <v>0034X0000380O2v</v>
      </c>
      <c r="F292" s="3" t="s">
        <v>15054</v>
      </c>
      <c r="G292" s="3" t="s">
        <v>15055</v>
      </c>
      <c r="H292" s="3" t="s">
        <v>2538</v>
      </c>
      <c r="I292" s="3" t="s">
        <v>12741</v>
      </c>
      <c r="J292" s="3">
        <v>33</v>
      </c>
      <c r="K292" s="3" t="s">
        <v>15056</v>
      </c>
      <c r="L292" s="3">
        <v>51998691550</v>
      </c>
      <c r="M292" s="8">
        <v>36032</v>
      </c>
      <c r="N292" s="3">
        <v>24</v>
      </c>
      <c r="O292" s="3">
        <v>3098809001</v>
      </c>
      <c r="P292" s="3">
        <v>2631937058</v>
      </c>
      <c r="Q292" s="3"/>
      <c r="R292" s="3"/>
      <c r="S292" s="3" t="s">
        <v>3137</v>
      </c>
      <c r="T292" s="3" t="s">
        <v>12682</v>
      </c>
      <c r="U292" s="3"/>
      <c r="V292" s="3" t="s">
        <v>15057</v>
      </c>
      <c r="W292" s="3" t="s">
        <v>2541</v>
      </c>
      <c r="X292" s="3" t="s">
        <v>3365</v>
      </c>
      <c r="Y292" s="3"/>
      <c r="Z292" s="3" t="s">
        <v>2545</v>
      </c>
      <c r="AA292" s="3" t="s">
        <v>2544</v>
      </c>
      <c r="AB292" s="3" t="s">
        <v>2543</v>
      </c>
      <c r="AC292" s="3" t="s">
        <v>15058</v>
      </c>
      <c r="AD292" s="3" t="s">
        <v>15059</v>
      </c>
      <c r="AE292" s="3"/>
      <c r="AF292" s="3"/>
      <c r="AG292" s="3" t="s">
        <v>647</v>
      </c>
      <c r="AH292" s="3">
        <v>97010410</v>
      </c>
      <c r="AI292" s="3" t="s">
        <v>407</v>
      </c>
      <c r="AJ292" s="3" t="s">
        <v>2569</v>
      </c>
      <c r="AK292" s="3" t="s">
        <v>12828</v>
      </c>
      <c r="AL292" s="3" t="s">
        <v>2588</v>
      </c>
      <c r="AM292" s="3">
        <v>1</v>
      </c>
      <c r="AN292" s="3" t="s">
        <v>14269</v>
      </c>
      <c r="AO292" s="3" t="s">
        <v>120</v>
      </c>
      <c r="AP292" s="7" t="s">
        <v>15060</v>
      </c>
      <c r="AQ292" s="7" t="s">
        <v>15061</v>
      </c>
      <c r="AR292" s="3"/>
      <c r="AS292" s="7" t="s">
        <v>15062</v>
      </c>
    </row>
    <row r="293" spans="1:45" ht="12.5" hidden="1" x14ac:dyDescent="0.25">
      <c r="A293" s="3" t="s">
        <v>12652</v>
      </c>
      <c r="B293" s="7" t="str">
        <f>HYPERLINK("https://gerandofalcoes.my.salesforce.com/0014X00002VKCu2QAH", "0014X00002VKCu2QAH")</f>
        <v>0014X00002VKCu2QAH</v>
      </c>
      <c r="C293" s="3" t="s">
        <v>8534</v>
      </c>
      <c r="D293" s="3" t="s">
        <v>46</v>
      </c>
      <c r="E293" s="21" t="str">
        <f>HYPERLINK("https://gerandofalcoes.my.salesforce.com/0034X0000380O2W", "0034X0000380O2W")</f>
        <v>0034X0000380O2W</v>
      </c>
      <c r="F293" s="3" t="s">
        <v>13318</v>
      </c>
      <c r="G293" s="3" t="s">
        <v>15063</v>
      </c>
      <c r="H293" s="3" t="s">
        <v>2538</v>
      </c>
      <c r="I293" s="3" t="s">
        <v>12741</v>
      </c>
      <c r="J293" s="3"/>
      <c r="K293" s="3" t="s">
        <v>15064</v>
      </c>
      <c r="L293" s="3" t="s">
        <v>15065</v>
      </c>
      <c r="M293" s="6">
        <v>31358</v>
      </c>
      <c r="N293" s="3">
        <v>37</v>
      </c>
      <c r="O293" s="3">
        <v>2091900999</v>
      </c>
      <c r="P293" s="3">
        <v>862590086</v>
      </c>
      <c r="Q293" s="3"/>
      <c r="R293" s="3" t="s">
        <v>15066</v>
      </c>
      <c r="S293" s="3" t="s">
        <v>2998</v>
      </c>
      <c r="T293" s="3" t="s">
        <v>12682</v>
      </c>
      <c r="U293" s="3"/>
      <c r="V293" s="3" t="s">
        <v>15067</v>
      </c>
      <c r="W293" s="3" t="s">
        <v>12664</v>
      </c>
      <c r="X293" s="3" t="s">
        <v>2980</v>
      </c>
      <c r="Y293" s="3" t="s">
        <v>12684</v>
      </c>
      <c r="Z293" s="3" t="s">
        <v>2543</v>
      </c>
      <c r="AA293" s="3"/>
      <c r="AB293" s="3"/>
      <c r="AC293" s="3" t="s">
        <v>15068</v>
      </c>
      <c r="AD293" s="3">
        <v>151</v>
      </c>
      <c r="AE293" s="3" t="s">
        <v>673</v>
      </c>
      <c r="AF293" s="3" t="s">
        <v>409</v>
      </c>
      <c r="AG293" s="3" t="s">
        <v>8084</v>
      </c>
      <c r="AH293" s="3" t="s">
        <v>15069</v>
      </c>
      <c r="AI293" s="3" t="s">
        <v>407</v>
      </c>
      <c r="AJ293" s="3" t="s">
        <v>2569</v>
      </c>
      <c r="AK293" s="3" t="s">
        <v>12729</v>
      </c>
      <c r="AL293" s="3" t="s">
        <v>2550</v>
      </c>
      <c r="AM293" s="3">
        <v>4</v>
      </c>
      <c r="AN293" s="3" t="s">
        <v>7216</v>
      </c>
      <c r="AO293" s="3" t="s">
        <v>120</v>
      </c>
      <c r="AP293" s="3"/>
      <c r="AQ293" s="7" t="s">
        <v>15070</v>
      </c>
      <c r="AR293" s="3"/>
      <c r="AS293" s="7" t="s">
        <v>15071</v>
      </c>
    </row>
    <row r="294" spans="1:45" ht="12.5" hidden="1" x14ac:dyDescent="0.25">
      <c r="A294" s="3" t="s">
        <v>12652</v>
      </c>
      <c r="B294" s="7" t="str">
        <f>HYPERLINK("https://gerandofalcoes.my.salesforce.com/0014X00002VKCu5QAH", "0014X00002VKCu5QAH")</f>
        <v>0014X00002VKCu5QAH</v>
      </c>
      <c r="C294" s="3" t="s">
        <v>8557</v>
      </c>
      <c r="D294" s="3" t="s">
        <v>46</v>
      </c>
      <c r="E294" s="21" t="str">
        <f>HYPERLINK("https://gerandofalcoes.my.salesforce.com/0034X0000380O4B", "0034X0000380O4B")</f>
        <v>0034X0000380O4B</v>
      </c>
      <c r="F294" s="3" t="s">
        <v>15072</v>
      </c>
      <c r="G294" s="3" t="s">
        <v>15073</v>
      </c>
      <c r="H294" s="3" t="s">
        <v>2538</v>
      </c>
      <c r="I294" s="3" t="s">
        <v>12741</v>
      </c>
      <c r="J294" s="3">
        <v>33</v>
      </c>
      <c r="K294" s="3" t="s">
        <v>15074</v>
      </c>
      <c r="L294" s="3" t="s">
        <v>15075</v>
      </c>
      <c r="M294" s="6">
        <v>33329</v>
      </c>
      <c r="N294" s="3">
        <v>31</v>
      </c>
      <c r="O294" s="3">
        <v>1104773881</v>
      </c>
      <c r="P294" s="3">
        <v>2978968060</v>
      </c>
      <c r="Q294" s="3"/>
      <c r="R294" s="3" t="s">
        <v>15076</v>
      </c>
      <c r="S294" s="3" t="s">
        <v>3417</v>
      </c>
      <c r="T294" s="3" t="s">
        <v>12656</v>
      </c>
      <c r="U294" s="3"/>
      <c r="V294" s="3" t="s">
        <v>15077</v>
      </c>
      <c r="W294" s="3" t="s">
        <v>12664</v>
      </c>
      <c r="X294" s="3" t="s">
        <v>2980</v>
      </c>
      <c r="Y294" s="3" t="s">
        <v>12670</v>
      </c>
      <c r="Z294" s="3" t="s">
        <v>2543</v>
      </c>
      <c r="AA294" s="3" t="s">
        <v>2737</v>
      </c>
      <c r="AB294" s="3" t="s">
        <v>2543</v>
      </c>
      <c r="AC294" s="3" t="s">
        <v>15078</v>
      </c>
      <c r="AD294" s="3">
        <v>71</v>
      </c>
      <c r="AE294" s="3" t="s">
        <v>1539</v>
      </c>
      <c r="AF294" s="3" t="s">
        <v>409</v>
      </c>
      <c r="AG294" s="3" t="s">
        <v>8564</v>
      </c>
      <c r="AH294" s="3" t="s">
        <v>8565</v>
      </c>
      <c r="AI294" s="3" t="s">
        <v>407</v>
      </c>
      <c r="AJ294" s="3" t="s">
        <v>2569</v>
      </c>
      <c r="AK294" s="3" t="s">
        <v>12729</v>
      </c>
      <c r="AL294" s="3" t="s">
        <v>2550</v>
      </c>
      <c r="AM294" s="3">
        <v>2</v>
      </c>
      <c r="AN294" s="3" t="s">
        <v>7216</v>
      </c>
      <c r="AO294" s="3" t="s">
        <v>120</v>
      </c>
      <c r="AP294" s="3" t="s">
        <v>15079</v>
      </c>
      <c r="AQ294" s="7" t="s">
        <v>15080</v>
      </c>
      <c r="AR294" s="3"/>
      <c r="AS294" s="7" t="s">
        <v>15081</v>
      </c>
    </row>
    <row r="295" spans="1:45" ht="12.5" hidden="1" x14ac:dyDescent="0.25">
      <c r="A295" s="3" t="s">
        <v>12652</v>
      </c>
      <c r="B295" s="7" t="str">
        <f>HYPERLINK("https://gerandofalcoes.my.salesforce.com/0014X00002VKCu7QAH", "0014X00002VKCu7QAH")</f>
        <v>0014X00002VKCu7QAH</v>
      </c>
      <c r="C295" s="3" t="s">
        <v>8578</v>
      </c>
      <c r="D295" s="3" t="s">
        <v>46</v>
      </c>
      <c r="E295" s="21" t="str">
        <f>HYPERLINK("https://gerandofalcoes.my.salesforce.com/0034X0000380O4D", "0034X0000380O4D")</f>
        <v>0034X0000380O4D</v>
      </c>
      <c r="F295" s="3" t="s">
        <v>15082</v>
      </c>
      <c r="G295" s="3" t="s">
        <v>15083</v>
      </c>
      <c r="H295" s="3" t="s">
        <v>2538</v>
      </c>
      <c r="I295" s="3" t="s">
        <v>12741</v>
      </c>
      <c r="J295" s="3"/>
      <c r="K295" s="3" t="s">
        <v>15084</v>
      </c>
      <c r="L295" s="3" t="s">
        <v>8583</v>
      </c>
      <c r="M295" s="8">
        <v>33499</v>
      </c>
      <c r="N295" s="3">
        <v>31</v>
      </c>
      <c r="O295" s="3">
        <v>1078201082</v>
      </c>
      <c r="P295" s="3">
        <v>694294055</v>
      </c>
      <c r="Q295" s="3"/>
      <c r="R295" s="3" t="s">
        <v>15085</v>
      </c>
      <c r="S295" s="3" t="s">
        <v>3417</v>
      </c>
      <c r="T295" s="3" t="s">
        <v>12682</v>
      </c>
      <c r="U295" s="3"/>
      <c r="V295" s="3" t="s">
        <v>15086</v>
      </c>
      <c r="W295" s="3" t="s">
        <v>12664</v>
      </c>
      <c r="X295" s="3" t="s">
        <v>2980</v>
      </c>
      <c r="Y295" s="3" t="s">
        <v>12670</v>
      </c>
      <c r="Z295" s="3" t="s">
        <v>2545</v>
      </c>
      <c r="AA295" s="3" t="s">
        <v>2577</v>
      </c>
      <c r="AB295" s="3" t="s">
        <v>2545</v>
      </c>
      <c r="AC295" s="3" t="s">
        <v>15087</v>
      </c>
      <c r="AD295" s="3">
        <v>2764</v>
      </c>
      <c r="AE295" s="3" t="s">
        <v>15088</v>
      </c>
      <c r="AF295" s="3" t="s">
        <v>1149</v>
      </c>
      <c r="AG295" s="3" t="s">
        <v>8585</v>
      </c>
      <c r="AH295" s="3" t="s">
        <v>8587</v>
      </c>
      <c r="AI295" s="3" t="s">
        <v>557</v>
      </c>
      <c r="AJ295" s="3" t="s">
        <v>2569</v>
      </c>
      <c r="AK295" s="3" t="s">
        <v>12828</v>
      </c>
      <c r="AL295" s="3" t="s">
        <v>2588</v>
      </c>
      <c r="AM295" s="3">
        <v>0</v>
      </c>
      <c r="AN295" s="3" t="s">
        <v>7216</v>
      </c>
      <c r="AO295" s="3" t="s">
        <v>120</v>
      </c>
      <c r="AP295" s="7" t="s">
        <v>15089</v>
      </c>
      <c r="AQ295" s="7" t="s">
        <v>15090</v>
      </c>
      <c r="AR295" s="3"/>
      <c r="AS295" s="7" t="s">
        <v>15091</v>
      </c>
    </row>
    <row r="296" spans="1:45" ht="12.5" x14ac:dyDescent="0.25">
      <c r="A296" s="3" t="s">
        <v>12652</v>
      </c>
      <c r="B296" s="7" t="str">
        <f>HYPERLINK("https://gerandofalcoes.my.salesforce.com/0014X00002VKCuAQAX", "0014X00002VKCuAQAX")</f>
        <v>0014X00002VKCuAQAX</v>
      </c>
      <c r="C296" s="3" t="s">
        <v>8594</v>
      </c>
      <c r="D296" s="3" t="s">
        <v>46</v>
      </c>
      <c r="E296" s="21" t="str">
        <f>HYPERLINK("https://gerandofalcoes.my.salesforce.com/0034X0000380O0q", "0034X0000380O0q")</f>
        <v>0034X0000380O0q</v>
      </c>
      <c r="F296" s="3" t="s">
        <v>13253</v>
      </c>
      <c r="G296" s="3" t="s">
        <v>15092</v>
      </c>
      <c r="H296" s="3" t="s">
        <v>2538</v>
      </c>
      <c r="I296" s="3" t="s">
        <v>12741</v>
      </c>
      <c r="J296" s="3">
        <v>33</v>
      </c>
      <c r="K296" s="3" t="s">
        <v>15093</v>
      </c>
      <c r="L296" s="3">
        <v>47996545519</v>
      </c>
      <c r="M296" s="6">
        <v>35635</v>
      </c>
      <c r="N296" s="3">
        <v>25</v>
      </c>
      <c r="O296" s="3">
        <v>6502739</v>
      </c>
      <c r="P296" s="3">
        <v>8232427906</v>
      </c>
      <c r="Q296" s="3"/>
      <c r="R296" s="3"/>
      <c r="S296" s="3" t="s">
        <v>3137</v>
      </c>
      <c r="T296" s="3" t="s">
        <v>12682</v>
      </c>
      <c r="U296" s="3"/>
      <c r="V296" s="3" t="s">
        <v>15094</v>
      </c>
      <c r="W296" s="3" t="s">
        <v>2541</v>
      </c>
      <c r="X296" s="3" t="s">
        <v>2980</v>
      </c>
      <c r="Y296" s="3"/>
      <c r="Z296" s="3" t="s">
        <v>2543</v>
      </c>
      <c r="AA296" s="3" t="s">
        <v>2544</v>
      </c>
      <c r="AB296" s="3" t="s">
        <v>2545</v>
      </c>
      <c r="AC296" s="3" t="s">
        <v>15095</v>
      </c>
      <c r="AD296" s="3">
        <v>2954</v>
      </c>
      <c r="AE296" s="3"/>
      <c r="AF296" s="3"/>
      <c r="AG296" s="3" t="s">
        <v>8601</v>
      </c>
      <c r="AH296" s="3">
        <v>89220660</v>
      </c>
      <c r="AI296" s="3" t="s">
        <v>557</v>
      </c>
      <c r="AJ296" s="3" t="s">
        <v>2569</v>
      </c>
      <c r="AK296" s="3" t="s">
        <v>12661</v>
      </c>
      <c r="AL296" s="3" t="s">
        <v>2588</v>
      </c>
      <c r="AM296" s="3">
        <v>1</v>
      </c>
      <c r="AN296" s="3" t="s">
        <v>7216</v>
      </c>
      <c r="AO296" s="3" t="s">
        <v>120</v>
      </c>
      <c r="AP296" s="7" t="s">
        <v>15096</v>
      </c>
      <c r="AQ296" s="7" t="s">
        <v>15097</v>
      </c>
      <c r="AR296" s="3"/>
      <c r="AS296" s="7" t="s">
        <v>15098</v>
      </c>
    </row>
    <row r="297" spans="1:45" ht="12.5" x14ac:dyDescent="0.25">
      <c r="A297" s="3" t="s">
        <v>12652</v>
      </c>
      <c r="B297" s="7" t="str">
        <f>HYPERLINK("https://gerandofalcoes.my.salesforce.com/0014X00002VKCuBQAX", "0014X00002VKCuBQAX")</f>
        <v>0014X00002VKCuBQAX</v>
      </c>
      <c r="C297" s="3" t="s">
        <v>8613</v>
      </c>
      <c r="D297" s="3" t="s">
        <v>46</v>
      </c>
      <c r="E297" s="21" t="str">
        <f>HYPERLINK("https://gerandofalcoes.my.salesforce.com/0034X0000380O3s", "0034X0000380O3s")</f>
        <v>0034X0000380O3s</v>
      </c>
      <c r="F297" s="3" t="s">
        <v>15099</v>
      </c>
      <c r="G297" s="3" t="s">
        <v>15100</v>
      </c>
      <c r="H297" s="3" t="s">
        <v>2538</v>
      </c>
      <c r="I297" s="3" t="s">
        <v>12741</v>
      </c>
      <c r="J297" s="3">
        <v>33</v>
      </c>
      <c r="K297" s="3" t="s">
        <v>8617</v>
      </c>
      <c r="L297" s="3">
        <v>4791125538</v>
      </c>
      <c r="M297" s="6">
        <v>24717</v>
      </c>
      <c r="N297" s="3">
        <v>55</v>
      </c>
      <c r="O297" s="3">
        <v>8516791</v>
      </c>
      <c r="P297" s="3">
        <v>10426347854</v>
      </c>
      <c r="Q297" s="3"/>
      <c r="R297" s="3"/>
      <c r="S297" s="3" t="s">
        <v>3605</v>
      </c>
      <c r="T297" s="3" t="s">
        <v>12656</v>
      </c>
      <c r="U297" s="3"/>
      <c r="V297" s="3" t="s">
        <v>15101</v>
      </c>
      <c r="W297" s="3" t="s">
        <v>2541</v>
      </c>
      <c r="X297" s="3" t="s">
        <v>2980</v>
      </c>
      <c r="Y297" s="3"/>
      <c r="Z297" s="3" t="s">
        <v>2543</v>
      </c>
      <c r="AA297" s="3" t="s">
        <v>2544</v>
      </c>
      <c r="AB297" s="3" t="s">
        <v>2545</v>
      </c>
      <c r="AC297" s="3" t="s">
        <v>15102</v>
      </c>
      <c r="AD297" s="3">
        <v>32</v>
      </c>
      <c r="AE297" s="3"/>
      <c r="AF297" s="3"/>
      <c r="AG297" s="3" t="s">
        <v>8620</v>
      </c>
      <c r="AH297" s="3">
        <v>88390000</v>
      </c>
      <c r="AI297" s="3" t="s">
        <v>557</v>
      </c>
      <c r="AJ297" s="3" t="s">
        <v>2569</v>
      </c>
      <c r="AK297" s="3" t="s">
        <v>12828</v>
      </c>
      <c r="AL297" s="3" t="s">
        <v>2588</v>
      </c>
      <c r="AM297" s="3">
        <v>5</v>
      </c>
      <c r="AN297" s="3" t="s">
        <v>7216</v>
      </c>
      <c r="AO297" s="3" t="s">
        <v>62</v>
      </c>
      <c r="AP297" s="3"/>
      <c r="AQ297" s="3"/>
      <c r="AR297" s="3"/>
      <c r="AS297" s="7" t="s">
        <v>15103</v>
      </c>
    </row>
    <row r="298" spans="1:45" ht="12.5" x14ac:dyDescent="0.25">
      <c r="A298" s="3" t="s">
        <v>12652</v>
      </c>
      <c r="B298" s="7" t="str">
        <f>HYPERLINK("https://gerandofalcoes.my.salesforce.com/0014X00002VKCuCQAX", "0014X00002VKCuCQAX")</f>
        <v>0014X00002VKCuCQAX</v>
      </c>
      <c r="C298" s="3" t="s">
        <v>8629</v>
      </c>
      <c r="D298" s="3" t="s">
        <v>46</v>
      </c>
      <c r="E298" s="21" t="str">
        <f>HYPERLINK("https://gerandofalcoes.my.salesforce.com/0034X0000380O0i", "0034X0000380O0i")</f>
        <v>0034X0000380O0i</v>
      </c>
      <c r="F298" s="3" t="s">
        <v>15104</v>
      </c>
      <c r="G298" s="3" t="s">
        <v>15105</v>
      </c>
      <c r="H298" s="3" t="s">
        <v>2538</v>
      </c>
      <c r="I298" s="3" t="s">
        <v>12741</v>
      </c>
      <c r="J298" s="3">
        <v>33</v>
      </c>
      <c r="K298" s="3" t="s">
        <v>15106</v>
      </c>
      <c r="L298" s="3">
        <v>47996050564</v>
      </c>
      <c r="M298" s="6">
        <v>24244</v>
      </c>
      <c r="N298" s="3">
        <v>56</v>
      </c>
      <c r="O298" s="3">
        <v>6161265</v>
      </c>
      <c r="P298" s="10">
        <v>66668360653</v>
      </c>
      <c r="Q298" s="3"/>
      <c r="R298" s="3"/>
      <c r="S298" s="3" t="s">
        <v>2998</v>
      </c>
      <c r="T298" s="3" t="s">
        <v>12723</v>
      </c>
      <c r="U298" s="3"/>
      <c r="V298" s="3"/>
      <c r="W298" s="3" t="s">
        <v>2541</v>
      </c>
      <c r="X298" s="3" t="s">
        <v>2980</v>
      </c>
      <c r="Y298" s="3"/>
      <c r="Z298" s="3" t="s">
        <v>2543</v>
      </c>
      <c r="AA298" s="3" t="s">
        <v>2577</v>
      </c>
      <c r="AB298" s="3" t="s">
        <v>2545</v>
      </c>
      <c r="AC298" s="3" t="s">
        <v>15107</v>
      </c>
      <c r="AD298" s="3">
        <v>97</v>
      </c>
      <c r="AE298" s="3">
        <v>1101</v>
      </c>
      <c r="AF298" s="3"/>
      <c r="AG298" s="3" t="s">
        <v>15108</v>
      </c>
      <c r="AH298" s="3">
        <v>89203060</v>
      </c>
      <c r="AI298" s="3" t="s">
        <v>557</v>
      </c>
      <c r="AJ298" s="3" t="s">
        <v>2741</v>
      </c>
      <c r="AK298" s="3" t="s">
        <v>12661</v>
      </c>
      <c r="AL298" s="3" t="s">
        <v>2550</v>
      </c>
      <c r="AM298" s="3">
        <v>1</v>
      </c>
      <c r="AN298" s="3"/>
      <c r="AO298" s="3" t="s">
        <v>120</v>
      </c>
      <c r="AP298" s="3"/>
      <c r="AQ298" s="7" t="s">
        <v>15109</v>
      </c>
      <c r="AR298" s="3"/>
      <c r="AS298" s="7" t="s">
        <v>15110</v>
      </c>
    </row>
    <row r="299" spans="1:45" ht="12.5" x14ac:dyDescent="0.25">
      <c r="A299" s="3" t="s">
        <v>12652</v>
      </c>
      <c r="B299" s="7" t="str">
        <f>HYPERLINK("https://gerandofalcoes.my.salesforce.com/0014X00002VKCvEQAX", "0014X00002VKCvEQAX")</f>
        <v>0014X00002VKCvEQAX</v>
      </c>
      <c r="C299" s="3" t="s">
        <v>8652</v>
      </c>
      <c r="D299" s="3" t="s">
        <v>46</v>
      </c>
      <c r="E299" s="21" t="str">
        <f>HYPERLINK("https://gerandofalcoes.my.salesforce.com/0034X0000380O41", "0034X0000380O41")</f>
        <v>0034X0000380O41</v>
      </c>
      <c r="F299" s="3" t="s">
        <v>14083</v>
      </c>
      <c r="G299" s="3" t="s">
        <v>15111</v>
      </c>
      <c r="H299" s="3" t="s">
        <v>2538</v>
      </c>
      <c r="I299" s="3" t="s">
        <v>12741</v>
      </c>
      <c r="J299" s="3">
        <v>33</v>
      </c>
      <c r="K299" s="3" t="s">
        <v>15112</v>
      </c>
      <c r="L299" s="3">
        <v>11999349438</v>
      </c>
      <c r="M299" s="6">
        <v>28987</v>
      </c>
      <c r="N299" s="3">
        <v>43</v>
      </c>
      <c r="O299" s="3" t="s">
        <v>15113</v>
      </c>
      <c r="P299" s="3">
        <v>28977294819</v>
      </c>
      <c r="Q299" s="3"/>
      <c r="R299" s="3"/>
      <c r="S299" s="3" t="s">
        <v>2998</v>
      </c>
      <c r="T299" s="3" t="s">
        <v>12682</v>
      </c>
      <c r="U299" s="3"/>
      <c r="V299" s="3" t="s">
        <v>15114</v>
      </c>
      <c r="W299" s="3" t="s">
        <v>2541</v>
      </c>
      <c r="X299" s="3" t="s">
        <v>2980</v>
      </c>
      <c r="Y299" s="3"/>
      <c r="Z299" s="3" t="s">
        <v>2543</v>
      </c>
      <c r="AA299" s="3" t="s">
        <v>2577</v>
      </c>
      <c r="AB299" s="3" t="s">
        <v>2545</v>
      </c>
      <c r="AC299" s="3" t="s">
        <v>15115</v>
      </c>
      <c r="AD299" s="3">
        <v>10</v>
      </c>
      <c r="AE299" s="3"/>
      <c r="AF299" s="3"/>
      <c r="AG299" s="3" t="s">
        <v>15116</v>
      </c>
      <c r="AH299" s="3">
        <v>9271150</v>
      </c>
      <c r="AI299" s="3" t="s">
        <v>101</v>
      </c>
      <c r="AJ299" s="3" t="s">
        <v>2741</v>
      </c>
      <c r="AK299" s="3" t="s">
        <v>12661</v>
      </c>
      <c r="AL299" s="3" t="s">
        <v>2550</v>
      </c>
      <c r="AM299" s="3">
        <v>4</v>
      </c>
      <c r="AN299" s="3" t="s">
        <v>7216</v>
      </c>
      <c r="AO299" s="3" t="s">
        <v>120</v>
      </c>
      <c r="AP299" s="3"/>
      <c r="AQ299" s="3"/>
      <c r="AR299" s="3"/>
      <c r="AS299" s="3"/>
    </row>
    <row r="300" spans="1:45" ht="12.5" hidden="1" x14ac:dyDescent="0.25">
      <c r="A300" s="3" t="s">
        <v>12652</v>
      </c>
      <c r="B300" s="7" t="str">
        <f>HYPERLINK("https://gerandofalcoes.my.salesforce.com/0014X00002VKCouQAH", "0014X00002VKCouQAH")</f>
        <v>0014X00002VKCouQAH</v>
      </c>
      <c r="C300" s="3" t="s">
        <v>8660</v>
      </c>
      <c r="D300" s="3" t="s">
        <v>46</v>
      </c>
      <c r="E300" s="21" t="str">
        <f>HYPERLINK("https://gerandofalcoes.my.salesforce.com/0034X0000380O5w", "0034X0000380O5w")</f>
        <v>0034X0000380O5w</v>
      </c>
      <c r="F300" s="3" t="s">
        <v>15117</v>
      </c>
      <c r="G300" s="3" t="s">
        <v>15118</v>
      </c>
      <c r="H300" s="3" t="s">
        <v>2538</v>
      </c>
      <c r="I300" s="3" t="s">
        <v>12741</v>
      </c>
      <c r="J300" s="3">
        <v>33</v>
      </c>
      <c r="K300" s="3" t="s">
        <v>8664</v>
      </c>
      <c r="L300" s="3" t="s">
        <v>8668</v>
      </c>
      <c r="M300" s="6">
        <v>29715</v>
      </c>
      <c r="N300" s="3">
        <v>41</v>
      </c>
      <c r="O300" s="3">
        <v>750515325</v>
      </c>
      <c r="P300" s="3">
        <v>82649006587</v>
      </c>
      <c r="Q300" s="3"/>
      <c r="R300" s="3" t="s">
        <v>15119</v>
      </c>
      <c r="S300" s="3" t="s">
        <v>3269</v>
      </c>
      <c r="T300" s="3" t="s">
        <v>12656</v>
      </c>
      <c r="U300" s="3"/>
      <c r="V300" s="3" t="s">
        <v>15120</v>
      </c>
      <c r="W300" s="3" t="s">
        <v>12664</v>
      </c>
      <c r="X300" s="3" t="s">
        <v>2980</v>
      </c>
      <c r="Y300" s="3" t="s">
        <v>12670</v>
      </c>
      <c r="Z300" s="3" t="s">
        <v>2545</v>
      </c>
      <c r="AA300" s="3" t="s">
        <v>2577</v>
      </c>
      <c r="AB300" s="3" t="s">
        <v>2545</v>
      </c>
      <c r="AC300" s="3" t="s">
        <v>15121</v>
      </c>
      <c r="AD300" s="3">
        <v>55</v>
      </c>
      <c r="AE300" s="3"/>
      <c r="AF300" s="3" t="s">
        <v>1848</v>
      </c>
      <c r="AG300" s="3" t="s">
        <v>15122</v>
      </c>
      <c r="AH300" s="3" t="s">
        <v>8669</v>
      </c>
      <c r="AI300" s="3" t="s">
        <v>1002</v>
      </c>
      <c r="AJ300" s="3" t="s">
        <v>2569</v>
      </c>
      <c r="AK300" s="3" t="s">
        <v>12661</v>
      </c>
      <c r="AL300" s="3" t="s">
        <v>2550</v>
      </c>
      <c r="AM300" s="3">
        <v>2</v>
      </c>
      <c r="AN300" s="3" t="s">
        <v>7216</v>
      </c>
      <c r="AO300" s="3" t="s">
        <v>120</v>
      </c>
      <c r="AP300" s="7" t="s">
        <v>15123</v>
      </c>
      <c r="AQ300" s="7" t="s">
        <v>15124</v>
      </c>
      <c r="AR300" s="3"/>
      <c r="AS300" s="7" t="s">
        <v>15125</v>
      </c>
    </row>
    <row r="301" spans="1:45" ht="12.5" x14ac:dyDescent="0.25">
      <c r="A301" s="3" t="s">
        <v>12652</v>
      </c>
      <c r="B301" s="7" t="str">
        <f>HYPERLINK("https://gerandofalcoes.my.salesforce.com/0014X00002VKCowQAH", "0014X00002VKCowQAH")</f>
        <v>0014X00002VKCowQAH</v>
      </c>
      <c r="C301" s="3" t="s">
        <v>8671</v>
      </c>
      <c r="D301" s="3" t="s">
        <v>46</v>
      </c>
      <c r="E301" s="21" t="str">
        <f>HYPERLINK("https://gerandofalcoes.my.salesforce.com/0034X0000380O3a", "0034X0000380O3a")</f>
        <v>0034X0000380O3a</v>
      </c>
      <c r="F301" s="3" t="s">
        <v>2616</v>
      </c>
      <c r="G301" s="3" t="s">
        <v>13913</v>
      </c>
      <c r="H301" s="3" t="s">
        <v>2538</v>
      </c>
      <c r="I301" s="3" t="s">
        <v>12741</v>
      </c>
      <c r="J301" s="3"/>
      <c r="K301" s="3" t="s">
        <v>15126</v>
      </c>
      <c r="L301" s="3">
        <v>87999668328</v>
      </c>
      <c r="M301" s="6">
        <v>28779</v>
      </c>
      <c r="N301" s="3">
        <v>44</v>
      </c>
      <c r="O301" s="3">
        <v>4752123</v>
      </c>
      <c r="P301" s="3">
        <v>2858968497</v>
      </c>
      <c r="Q301" s="3"/>
      <c r="R301" s="3"/>
      <c r="S301" s="3" t="s">
        <v>2998</v>
      </c>
      <c r="T301" s="3" t="s">
        <v>12656</v>
      </c>
      <c r="U301" s="3"/>
      <c r="V301" s="3" t="s">
        <v>15127</v>
      </c>
      <c r="W301" s="3" t="s">
        <v>2541</v>
      </c>
      <c r="X301" s="3" t="s">
        <v>2980</v>
      </c>
      <c r="Y301" s="3"/>
      <c r="Z301" s="3" t="s">
        <v>2543</v>
      </c>
      <c r="AA301" s="3" t="s">
        <v>2577</v>
      </c>
      <c r="AB301" s="3" t="s">
        <v>2545</v>
      </c>
      <c r="AC301" s="3" t="s">
        <v>15128</v>
      </c>
      <c r="AD301" s="3">
        <v>1</v>
      </c>
      <c r="AE301" s="3"/>
      <c r="AF301" s="3"/>
      <c r="AG301" s="3" t="s">
        <v>15129</v>
      </c>
      <c r="AH301" s="3">
        <v>56980000</v>
      </c>
      <c r="AI301" s="3" t="s">
        <v>379</v>
      </c>
      <c r="AJ301" s="3" t="s">
        <v>2569</v>
      </c>
      <c r="AK301" s="3" t="s">
        <v>12729</v>
      </c>
      <c r="AL301" s="3" t="s">
        <v>2550</v>
      </c>
      <c r="AM301" s="3">
        <v>6</v>
      </c>
      <c r="AN301" s="3" t="s">
        <v>7216</v>
      </c>
      <c r="AO301" s="3" t="s">
        <v>120</v>
      </c>
      <c r="AP301" s="3"/>
      <c r="AQ301" s="7" t="s">
        <v>15130</v>
      </c>
      <c r="AR301" s="3"/>
      <c r="AS301" s="3"/>
    </row>
    <row r="302" spans="1:45" ht="12.5" hidden="1" x14ac:dyDescent="0.25">
      <c r="A302" s="3" t="s">
        <v>12652</v>
      </c>
      <c r="B302" s="7" t="str">
        <f>HYPERLINK("https://gerandofalcoes.my.salesforce.com/0014X00002VKCoxQAH", "0014X00002VKCoxQAH")</f>
        <v>0014X00002VKCoxQAH</v>
      </c>
      <c r="C302" s="3" t="s">
        <v>8682</v>
      </c>
      <c r="D302" s="3" t="s">
        <v>46</v>
      </c>
      <c r="E302" s="21" t="str">
        <f>HYPERLINK("https://gerandofalcoes.my.salesforce.com/0034X0000380O0x", "0034X0000380O0x")</f>
        <v>0034X0000380O0x</v>
      </c>
      <c r="F302" s="3" t="s">
        <v>15131</v>
      </c>
      <c r="G302" s="3" t="s">
        <v>15132</v>
      </c>
      <c r="H302" s="3" t="s">
        <v>2538</v>
      </c>
      <c r="I302" s="3" t="s">
        <v>12741</v>
      </c>
      <c r="J302" s="3">
        <v>33</v>
      </c>
      <c r="K302" s="3" t="s">
        <v>15133</v>
      </c>
      <c r="L302" s="3" t="s">
        <v>15134</v>
      </c>
      <c r="M302" s="6">
        <v>20802</v>
      </c>
      <c r="N302" s="3">
        <v>66</v>
      </c>
      <c r="O302" s="3">
        <v>1590101</v>
      </c>
      <c r="P302" s="3">
        <v>10536167400</v>
      </c>
      <c r="Q302" s="3"/>
      <c r="R302" s="3" t="s">
        <v>12800</v>
      </c>
      <c r="S302" s="3" t="s">
        <v>12744</v>
      </c>
      <c r="T302" s="3" t="s">
        <v>12723</v>
      </c>
      <c r="U302" s="3"/>
      <c r="V302" s="3" t="s">
        <v>15135</v>
      </c>
      <c r="W302" s="3" t="s">
        <v>4204</v>
      </c>
      <c r="X302" s="3" t="s">
        <v>2980</v>
      </c>
      <c r="Y302" s="3" t="s">
        <v>12670</v>
      </c>
      <c r="Z302" s="3" t="s">
        <v>2543</v>
      </c>
      <c r="AA302" s="3" t="s">
        <v>13663</v>
      </c>
      <c r="AB302" s="3"/>
      <c r="AC302" s="3" t="s">
        <v>15136</v>
      </c>
      <c r="AD302" s="3">
        <v>53</v>
      </c>
      <c r="AE302" s="3"/>
      <c r="AF302" s="3" t="s">
        <v>8688</v>
      </c>
      <c r="AG302" s="3" t="s">
        <v>647</v>
      </c>
      <c r="AH302" s="3" t="s">
        <v>8689</v>
      </c>
      <c r="AI302" s="3" t="s">
        <v>379</v>
      </c>
      <c r="AJ302" s="3" t="s">
        <v>2548</v>
      </c>
      <c r="AK302" s="3" t="s">
        <v>12674</v>
      </c>
      <c r="AL302" s="3" t="s">
        <v>2550</v>
      </c>
      <c r="AM302" s="3">
        <v>2</v>
      </c>
      <c r="AN302" s="3" t="s">
        <v>7216</v>
      </c>
      <c r="AO302" s="3" t="s">
        <v>120</v>
      </c>
      <c r="AP302" s="3" t="s">
        <v>15137</v>
      </c>
      <c r="AQ302" s="3" t="s">
        <v>15137</v>
      </c>
      <c r="AR302" s="3"/>
      <c r="AS302" s="7" t="s">
        <v>15138</v>
      </c>
    </row>
    <row r="303" spans="1:45" ht="12.5" x14ac:dyDescent="0.25">
      <c r="A303" s="3" t="s">
        <v>12652</v>
      </c>
      <c r="B303" s="7" t="str">
        <f>HYPERLINK("https://gerandofalcoes.my.salesforce.com/0014X00002VKCoyQAH", "0014X00002VKCoyQAH")</f>
        <v>0014X00002VKCoyQAH</v>
      </c>
      <c r="C303" s="3" t="s">
        <v>8699</v>
      </c>
      <c r="D303" s="3" t="s">
        <v>46</v>
      </c>
      <c r="E303" s="21" t="str">
        <f>HYPERLINK("https://gerandofalcoes.my.salesforce.com/0034X0000380O3L", "0034X0000380O3L")</f>
        <v>0034X0000380O3L</v>
      </c>
      <c r="F303" s="3" t="s">
        <v>2773</v>
      </c>
      <c r="G303" s="3" t="s">
        <v>15139</v>
      </c>
      <c r="H303" s="3" t="s">
        <v>2538</v>
      </c>
      <c r="I303" s="3" t="s">
        <v>12741</v>
      </c>
      <c r="J303" s="3">
        <v>33</v>
      </c>
      <c r="K303" s="3" t="s">
        <v>15140</v>
      </c>
      <c r="L303" s="3">
        <v>75981868074</v>
      </c>
      <c r="M303" s="6">
        <v>30213</v>
      </c>
      <c r="N303" s="3">
        <v>40</v>
      </c>
      <c r="O303" s="3">
        <v>1654690309</v>
      </c>
      <c r="P303" s="3">
        <v>1825256519</v>
      </c>
      <c r="Q303" s="3"/>
      <c r="R303" s="3"/>
      <c r="S303" s="3" t="s">
        <v>3605</v>
      </c>
      <c r="T303" s="3" t="s">
        <v>12656</v>
      </c>
      <c r="U303" s="3"/>
      <c r="V303" s="3" t="s">
        <v>15141</v>
      </c>
      <c r="W303" s="3" t="s">
        <v>2541</v>
      </c>
      <c r="X303" s="3" t="s">
        <v>2980</v>
      </c>
      <c r="Y303" s="3"/>
      <c r="Z303" s="3" t="s">
        <v>2543</v>
      </c>
      <c r="AA303" s="3" t="s">
        <v>2577</v>
      </c>
      <c r="AB303" s="3" t="s">
        <v>2543</v>
      </c>
      <c r="AC303" s="3" t="s">
        <v>8705</v>
      </c>
      <c r="AD303" s="3">
        <v>19</v>
      </c>
      <c r="AE303" s="3"/>
      <c r="AF303" s="3"/>
      <c r="AG303" s="3" t="s">
        <v>647</v>
      </c>
      <c r="AH303" s="3">
        <v>44345000</v>
      </c>
      <c r="AI303" s="3" t="s">
        <v>1002</v>
      </c>
      <c r="AJ303" s="3" t="s">
        <v>2569</v>
      </c>
      <c r="AK303" s="3" t="s">
        <v>12729</v>
      </c>
      <c r="AL303" s="3" t="s">
        <v>2579</v>
      </c>
      <c r="AM303" s="3">
        <v>5</v>
      </c>
      <c r="AN303" s="3" t="s">
        <v>7216</v>
      </c>
      <c r="AO303" s="3" t="s">
        <v>120</v>
      </c>
      <c r="AP303" s="7" t="s">
        <v>15142</v>
      </c>
      <c r="AQ303" s="7" t="s">
        <v>15143</v>
      </c>
      <c r="AR303" s="3"/>
      <c r="AS303" s="7" t="s">
        <v>15144</v>
      </c>
    </row>
    <row r="304" spans="1:45" ht="12.5" hidden="1" x14ac:dyDescent="0.25">
      <c r="A304" s="3" t="s">
        <v>12652</v>
      </c>
      <c r="B304" s="7" t="str">
        <f>HYPERLINK("https://gerandofalcoes.my.salesforce.com/0014X00002VKCp1QAH", "0014X00002VKCp1QAH")</f>
        <v>0014X00002VKCp1QAH</v>
      </c>
      <c r="C304" s="3" t="s">
        <v>8715</v>
      </c>
      <c r="D304" s="3" t="s">
        <v>46</v>
      </c>
      <c r="E304" s="21" t="str">
        <f>HYPERLINK("https://gerandofalcoes.my.salesforce.com/0034X0000380O45", "0034X0000380O45")</f>
        <v>0034X0000380O45</v>
      </c>
      <c r="F304" s="3" t="s">
        <v>15145</v>
      </c>
      <c r="G304" s="3" t="s">
        <v>15146</v>
      </c>
      <c r="H304" s="3" t="s">
        <v>2538</v>
      </c>
      <c r="I304" s="3" t="s">
        <v>12741</v>
      </c>
      <c r="J304" s="3">
        <v>33</v>
      </c>
      <c r="K304" s="3" t="s">
        <v>8719</v>
      </c>
      <c r="L304" s="3" t="s">
        <v>15147</v>
      </c>
      <c r="M304" s="6">
        <v>26802</v>
      </c>
      <c r="N304" s="3">
        <v>49</v>
      </c>
      <c r="O304" s="3">
        <v>97436968</v>
      </c>
      <c r="P304" s="3">
        <v>7564568780</v>
      </c>
      <c r="Q304" s="3"/>
      <c r="R304" s="3" t="s">
        <v>15148</v>
      </c>
      <c r="S304" s="3" t="s">
        <v>3417</v>
      </c>
      <c r="T304" s="3" t="s">
        <v>12723</v>
      </c>
      <c r="U304" s="3"/>
      <c r="V304" s="3" t="s">
        <v>15149</v>
      </c>
      <c r="W304" s="3" t="s">
        <v>12664</v>
      </c>
      <c r="X304" s="3" t="s">
        <v>2980</v>
      </c>
      <c r="Y304" s="3" t="s">
        <v>12736</v>
      </c>
      <c r="Z304" s="3" t="s">
        <v>2543</v>
      </c>
      <c r="AA304" s="3"/>
      <c r="AB304" s="3"/>
      <c r="AC304" s="3" t="s">
        <v>15150</v>
      </c>
      <c r="AD304" s="3">
        <v>8</v>
      </c>
      <c r="AE304" s="3" t="s">
        <v>2316</v>
      </c>
      <c r="AF304" s="3" t="s">
        <v>231</v>
      </c>
      <c r="AG304" s="3" t="s">
        <v>15151</v>
      </c>
      <c r="AH304" s="3" t="s">
        <v>15152</v>
      </c>
      <c r="AI304" s="3" t="s">
        <v>51</v>
      </c>
      <c r="AJ304" s="3" t="s">
        <v>2569</v>
      </c>
      <c r="AK304" s="3" t="s">
        <v>3249</v>
      </c>
      <c r="AL304" s="3" t="s">
        <v>2550</v>
      </c>
      <c r="AM304" s="3">
        <v>3</v>
      </c>
      <c r="AN304" s="3" t="s">
        <v>7216</v>
      </c>
      <c r="AO304" s="3" t="s">
        <v>120</v>
      </c>
      <c r="AP304" s="3"/>
      <c r="AQ304" s="7" t="s">
        <v>8728</v>
      </c>
      <c r="AR304" s="3"/>
      <c r="AS304" s="7" t="s">
        <v>15153</v>
      </c>
    </row>
    <row r="305" spans="1:45" ht="12.5" x14ac:dyDescent="0.25">
      <c r="A305" s="3" t="s">
        <v>12652</v>
      </c>
      <c r="B305" s="7" t="str">
        <f>HYPERLINK("https://gerandofalcoes.my.salesforce.com/0014X00002VKCp2QAH", "0014X00002VKCp2QAH")</f>
        <v>0014X00002VKCp2QAH</v>
      </c>
      <c r="C305" s="3" t="s">
        <v>8734</v>
      </c>
      <c r="D305" s="3" t="s">
        <v>46</v>
      </c>
      <c r="E305" s="21" t="str">
        <f>HYPERLINK("https://gerandofalcoes.my.salesforce.com/0034X0000380O0d", "0034X0000380O0d")</f>
        <v>0034X0000380O0d</v>
      </c>
      <c r="F305" s="3" t="s">
        <v>15154</v>
      </c>
      <c r="G305" s="3" t="s">
        <v>15155</v>
      </c>
      <c r="H305" s="3" t="s">
        <v>2538</v>
      </c>
      <c r="I305" s="3" t="s">
        <v>12741</v>
      </c>
      <c r="J305" s="3">
        <v>33</v>
      </c>
      <c r="K305" s="3" t="s">
        <v>3851</v>
      </c>
      <c r="L305" s="3">
        <v>71999487575</v>
      </c>
      <c r="M305" s="6">
        <v>28517</v>
      </c>
      <c r="N305" s="3">
        <v>44</v>
      </c>
      <c r="O305" s="3">
        <v>600959112</v>
      </c>
      <c r="P305" s="3">
        <v>91913462587</v>
      </c>
      <c r="Q305" s="3"/>
      <c r="R305" s="3"/>
      <c r="S305" s="3" t="s">
        <v>3417</v>
      </c>
      <c r="T305" s="3" t="s">
        <v>12723</v>
      </c>
      <c r="U305" s="3"/>
      <c r="V305" s="3"/>
      <c r="W305" s="3" t="s">
        <v>2541</v>
      </c>
      <c r="X305" s="3" t="s">
        <v>2980</v>
      </c>
      <c r="Y305" s="3"/>
      <c r="Z305" s="3" t="s">
        <v>2545</v>
      </c>
      <c r="AA305" s="3" t="s">
        <v>2737</v>
      </c>
      <c r="AB305" s="3" t="s">
        <v>2545</v>
      </c>
      <c r="AC305" s="3" t="s">
        <v>15156</v>
      </c>
      <c r="AD305" s="3" t="s">
        <v>15157</v>
      </c>
      <c r="AE305" s="3"/>
      <c r="AF305" s="3"/>
      <c r="AG305" s="3" t="s">
        <v>3854</v>
      </c>
      <c r="AH305" s="3">
        <v>40340420</v>
      </c>
      <c r="AI305" s="3" t="s">
        <v>1002</v>
      </c>
      <c r="AJ305" s="3" t="s">
        <v>2741</v>
      </c>
      <c r="AK305" s="3" t="s">
        <v>12661</v>
      </c>
      <c r="AL305" s="3" t="s">
        <v>2550</v>
      </c>
      <c r="AM305" s="3">
        <v>4</v>
      </c>
      <c r="AN305" s="3" t="s">
        <v>7216</v>
      </c>
      <c r="AO305" s="3" t="s">
        <v>120</v>
      </c>
      <c r="AP305" s="7" t="s">
        <v>15158</v>
      </c>
      <c r="AQ305" s="7" t="s">
        <v>15159</v>
      </c>
      <c r="AR305" s="3"/>
      <c r="AS305" s="7" t="s">
        <v>15160</v>
      </c>
    </row>
    <row r="306" spans="1:45" ht="12.5" hidden="1" x14ac:dyDescent="0.25">
      <c r="A306" s="3" t="s">
        <v>12652</v>
      </c>
      <c r="B306" s="7" t="str">
        <f>HYPERLINK("https://gerandofalcoes.my.salesforce.com/0014X00002VKCp3QAH", "0014X00002VKCp3QAH")</f>
        <v>0014X00002VKCp3QAH</v>
      </c>
      <c r="C306" s="3" t="s">
        <v>8742</v>
      </c>
      <c r="D306" s="3" t="s">
        <v>46</v>
      </c>
      <c r="E306" s="21" t="str">
        <f>HYPERLINK("https://gerandofalcoes.my.salesforce.com/0034X0000380O6l", "0034X0000380O6l")</f>
        <v>0034X0000380O6l</v>
      </c>
      <c r="F306" s="3" t="s">
        <v>15161</v>
      </c>
      <c r="G306" s="3" t="s">
        <v>15162</v>
      </c>
      <c r="H306" s="3" t="s">
        <v>2538</v>
      </c>
      <c r="I306" s="3" t="s">
        <v>12741</v>
      </c>
      <c r="J306" s="3">
        <v>33</v>
      </c>
      <c r="K306" s="3" t="s">
        <v>8746</v>
      </c>
      <c r="L306" s="3" t="s">
        <v>8747</v>
      </c>
      <c r="M306" s="6">
        <v>30614</v>
      </c>
      <c r="N306" s="3">
        <v>39</v>
      </c>
      <c r="O306" s="3">
        <v>878570810</v>
      </c>
      <c r="P306" s="3">
        <v>1436073596</v>
      </c>
      <c r="Q306" s="3"/>
      <c r="R306" s="3" t="s">
        <v>12800</v>
      </c>
      <c r="S306" s="3" t="s">
        <v>2998</v>
      </c>
      <c r="T306" s="3" t="s">
        <v>12656</v>
      </c>
      <c r="U306" s="3"/>
      <c r="V306" s="3" t="s">
        <v>15163</v>
      </c>
      <c r="W306" s="3" t="s">
        <v>12664</v>
      </c>
      <c r="X306" s="3" t="s">
        <v>2980</v>
      </c>
      <c r="Y306" s="3" t="s">
        <v>12684</v>
      </c>
      <c r="Z306" s="3" t="s">
        <v>2543</v>
      </c>
      <c r="AA306" s="3"/>
      <c r="AB306" s="3"/>
      <c r="AC306" s="3" t="s">
        <v>15164</v>
      </c>
      <c r="AD306" s="3" t="s">
        <v>8750</v>
      </c>
      <c r="AE306" s="3" t="s">
        <v>1539</v>
      </c>
      <c r="AF306" s="3" t="s">
        <v>1848</v>
      </c>
      <c r="AG306" s="3" t="s">
        <v>8749</v>
      </c>
      <c r="AH306" s="10" t="s">
        <v>8752</v>
      </c>
      <c r="AI306" s="3" t="s">
        <v>1002</v>
      </c>
      <c r="AJ306" s="3" t="s">
        <v>2569</v>
      </c>
      <c r="AK306" s="3" t="s">
        <v>12729</v>
      </c>
      <c r="AL306" s="3" t="s">
        <v>2550</v>
      </c>
      <c r="AM306" s="3">
        <v>5</v>
      </c>
      <c r="AN306" s="3" t="s">
        <v>7216</v>
      </c>
      <c r="AO306" s="3" t="s">
        <v>120</v>
      </c>
      <c r="AP306" s="3"/>
      <c r="AQ306" s="7" t="s">
        <v>8756</v>
      </c>
      <c r="AR306" s="3"/>
      <c r="AS306" s="7" t="s">
        <v>15165</v>
      </c>
    </row>
    <row r="307" spans="1:45" ht="12.5" x14ac:dyDescent="0.25">
      <c r="A307" s="3" t="s">
        <v>12652</v>
      </c>
      <c r="B307" s="7" t="str">
        <f>HYPERLINK("https://gerandofalcoes.my.salesforce.com/0014X00002VKCp4QAH", "0014X00002VKCp4QAH")</f>
        <v>0014X00002VKCp4QAH</v>
      </c>
      <c r="C307" s="3" t="s">
        <v>8761</v>
      </c>
      <c r="D307" s="3" t="s">
        <v>46</v>
      </c>
      <c r="E307" s="21" t="str">
        <f>HYPERLINK("https://gerandofalcoes.my.salesforce.com/0034X0000380O69", "0034X0000380O69")</f>
        <v>0034X0000380O69</v>
      </c>
      <c r="F307" s="3" t="s">
        <v>12901</v>
      </c>
      <c r="G307" s="3" t="s">
        <v>15166</v>
      </c>
      <c r="H307" s="3" t="s">
        <v>2538</v>
      </c>
      <c r="I307" s="3" t="s">
        <v>12741</v>
      </c>
      <c r="J307" s="3">
        <v>33</v>
      </c>
      <c r="K307" s="3" t="s">
        <v>15167</v>
      </c>
      <c r="L307" s="3">
        <v>73999719351</v>
      </c>
      <c r="M307" s="6">
        <v>25777</v>
      </c>
      <c r="N307" s="3">
        <v>52</v>
      </c>
      <c r="O307" s="3" t="s">
        <v>15168</v>
      </c>
      <c r="P307" s="3">
        <v>51320193587</v>
      </c>
      <c r="Q307" s="3"/>
      <c r="R307" s="3"/>
      <c r="S307" s="3" t="s">
        <v>3137</v>
      </c>
      <c r="T307" s="3" t="s">
        <v>12656</v>
      </c>
      <c r="U307" s="3"/>
      <c r="V307" s="3" t="s">
        <v>15169</v>
      </c>
      <c r="W307" s="3" t="s">
        <v>2541</v>
      </c>
      <c r="X307" s="3" t="s">
        <v>2980</v>
      </c>
      <c r="Y307" s="3"/>
      <c r="Z307" s="3" t="s">
        <v>2543</v>
      </c>
      <c r="AA307" s="3" t="s">
        <v>2577</v>
      </c>
      <c r="AB307" s="3" t="s">
        <v>2545</v>
      </c>
      <c r="AC307" s="3" t="s">
        <v>15170</v>
      </c>
      <c r="AD307" s="3">
        <v>345</v>
      </c>
      <c r="AE307" s="3"/>
      <c r="AF307" s="3"/>
      <c r="AG307" s="3" t="s">
        <v>9266</v>
      </c>
      <c r="AH307" s="3">
        <v>45530000</v>
      </c>
      <c r="AI307" s="3" t="s">
        <v>1002</v>
      </c>
      <c r="AJ307" s="3" t="s">
        <v>2569</v>
      </c>
      <c r="AK307" s="3" t="s">
        <v>12828</v>
      </c>
      <c r="AL307" s="3" t="s">
        <v>2550</v>
      </c>
      <c r="AM307" s="3">
        <v>2</v>
      </c>
      <c r="AN307" s="3" t="s">
        <v>7216</v>
      </c>
      <c r="AO307" s="3" t="s">
        <v>120</v>
      </c>
      <c r="AP307" s="3"/>
      <c r="AQ307" s="7" t="s">
        <v>15171</v>
      </c>
      <c r="AR307" s="3"/>
      <c r="AS307" s="7" t="s">
        <v>15172</v>
      </c>
    </row>
    <row r="308" spans="1:45" ht="12.5" x14ac:dyDescent="0.25">
      <c r="A308" s="3" t="s">
        <v>12652</v>
      </c>
      <c r="B308" s="7" t="str">
        <f>HYPERLINK("https://gerandofalcoes.my.salesforce.com/0014X00002VKCp5QAH", "0014X00002VKCp5QAH")</f>
        <v>0014X00002VKCp5QAH</v>
      </c>
      <c r="C308" s="3" t="s">
        <v>8777</v>
      </c>
      <c r="D308" s="3" t="s">
        <v>46</v>
      </c>
      <c r="E308" s="21" t="str">
        <f>HYPERLINK("https://gerandofalcoes.my.salesforce.com/0034X0000380O6Q", "0034X0000380O6Q")</f>
        <v>0034X0000380O6Q</v>
      </c>
      <c r="F308" s="3" t="s">
        <v>14849</v>
      </c>
      <c r="G308" s="3" t="s">
        <v>15173</v>
      </c>
      <c r="H308" s="3" t="s">
        <v>2538</v>
      </c>
      <c r="I308" s="3" t="s">
        <v>12741</v>
      </c>
      <c r="J308" s="3">
        <v>33</v>
      </c>
      <c r="K308" s="3" t="s">
        <v>15174</v>
      </c>
      <c r="L308" s="3" t="s">
        <v>15175</v>
      </c>
      <c r="M308" s="6">
        <v>31674</v>
      </c>
      <c r="N308" s="3">
        <v>36</v>
      </c>
      <c r="O308" s="3">
        <v>817587748</v>
      </c>
      <c r="P308" s="3">
        <v>3443440533</v>
      </c>
      <c r="Q308" s="3"/>
      <c r="R308" s="3"/>
      <c r="S308" s="3" t="s">
        <v>3417</v>
      </c>
      <c r="T308" s="3" t="s">
        <v>12723</v>
      </c>
      <c r="U308" s="3"/>
      <c r="V308" s="3" t="s">
        <v>15176</v>
      </c>
      <c r="W308" s="3" t="s">
        <v>2541</v>
      </c>
      <c r="X308" s="3" t="s">
        <v>2980</v>
      </c>
      <c r="Y308" s="3"/>
      <c r="Z308" s="3" t="s">
        <v>2543</v>
      </c>
      <c r="AA308" s="3" t="s">
        <v>2544</v>
      </c>
      <c r="AB308" s="3" t="s">
        <v>2545</v>
      </c>
      <c r="AC308" s="3" t="s">
        <v>15177</v>
      </c>
      <c r="AD308" s="3">
        <v>10</v>
      </c>
      <c r="AE308" s="3"/>
      <c r="AF308" s="3"/>
      <c r="AG308" s="3" t="s">
        <v>8783</v>
      </c>
      <c r="AH308" s="3" t="s">
        <v>8786</v>
      </c>
      <c r="AI308" s="3" t="s">
        <v>1002</v>
      </c>
      <c r="AJ308" s="3" t="s">
        <v>2569</v>
      </c>
      <c r="AK308" s="3" t="s">
        <v>12729</v>
      </c>
      <c r="AL308" s="3" t="s">
        <v>2588</v>
      </c>
      <c r="AM308" s="3">
        <v>5</v>
      </c>
      <c r="AN308" s="3" t="s">
        <v>7216</v>
      </c>
      <c r="AO308" s="3" t="s">
        <v>120</v>
      </c>
      <c r="AP308" s="3"/>
      <c r="AQ308" s="7" t="s">
        <v>15178</v>
      </c>
      <c r="AR308" s="3"/>
      <c r="AS308" s="7" t="s">
        <v>15179</v>
      </c>
    </row>
    <row r="309" spans="1:45" ht="12.5" x14ac:dyDescent="0.25">
      <c r="A309" s="3" t="s">
        <v>12652</v>
      </c>
      <c r="B309" s="21" t="str">
        <f>HYPERLINK("https://gerandofalcoes.my.salesforce.com/0014X00002VKCp6QAH", "0014X00002VKCp6QAH")</f>
        <v>0014X00002VKCp6QAH</v>
      </c>
      <c r="C309" s="3" t="s">
        <v>8799</v>
      </c>
      <c r="D309" s="3" t="s">
        <v>46</v>
      </c>
      <c r="E309" s="21" t="str">
        <f>HYPERLINK("https://gerandofalcoes.my.salesforce.com/0034X0000380O2J", "0034X0000380O2J")</f>
        <v>0034X0000380O2J</v>
      </c>
      <c r="F309" s="3" t="s">
        <v>15180</v>
      </c>
      <c r="G309" s="3" t="s">
        <v>15181</v>
      </c>
      <c r="H309" s="3" t="s">
        <v>2538</v>
      </c>
      <c r="I309" s="3" t="s">
        <v>12741</v>
      </c>
      <c r="J309" s="3">
        <v>33</v>
      </c>
      <c r="K309" s="3" t="s">
        <v>15182</v>
      </c>
      <c r="L309" s="3">
        <v>75999290292</v>
      </c>
      <c r="M309" s="6">
        <v>29033</v>
      </c>
      <c r="N309" s="3">
        <v>43</v>
      </c>
      <c r="O309" s="3">
        <v>772457760</v>
      </c>
      <c r="P309" s="3">
        <v>89698999568</v>
      </c>
      <c r="Q309" s="3"/>
      <c r="R309" s="3"/>
      <c r="S309" s="3" t="s">
        <v>3137</v>
      </c>
      <c r="T309" s="3" t="s">
        <v>12723</v>
      </c>
      <c r="U309" s="3"/>
      <c r="V309" s="3" t="s">
        <v>15183</v>
      </c>
      <c r="W309" s="3" t="s">
        <v>2541</v>
      </c>
      <c r="X309" s="3" t="s">
        <v>2980</v>
      </c>
      <c r="Y309" s="3"/>
      <c r="Z309" s="3" t="s">
        <v>2545</v>
      </c>
      <c r="AA309" s="3" t="s">
        <v>2737</v>
      </c>
      <c r="AB309" s="3" t="s">
        <v>2543</v>
      </c>
      <c r="AC309" s="3" t="s">
        <v>15184</v>
      </c>
      <c r="AD309" s="3">
        <v>8897</v>
      </c>
      <c r="AE309" s="3"/>
      <c r="AF309" s="3"/>
      <c r="AG309" s="3" t="s">
        <v>15185</v>
      </c>
      <c r="AH309" s="3">
        <v>44085370</v>
      </c>
      <c r="AI309" s="3" t="s">
        <v>1002</v>
      </c>
      <c r="AJ309" s="3" t="s">
        <v>2569</v>
      </c>
      <c r="AK309" s="3" t="s">
        <v>12828</v>
      </c>
      <c r="AL309" s="3" t="s">
        <v>2550</v>
      </c>
      <c r="AM309" s="3">
        <v>4</v>
      </c>
      <c r="AN309" s="3" t="s">
        <v>7216</v>
      </c>
      <c r="AO309" s="3" t="s">
        <v>120</v>
      </c>
      <c r="AP309" s="7" t="s">
        <v>15186</v>
      </c>
      <c r="AQ309" s="7" t="s">
        <v>15187</v>
      </c>
      <c r="AR309" s="3"/>
      <c r="AS309" s="7" t="s">
        <v>15188</v>
      </c>
    </row>
    <row r="310" spans="1:45" ht="12.5" hidden="1" x14ac:dyDescent="0.25">
      <c r="A310" s="3" t="s">
        <v>12652</v>
      </c>
      <c r="B310" s="21" t="str">
        <f>HYPERLINK("https://gerandofalcoes.my.salesforce.com/0014X00002UGscXQAT", "0014X00002UGscXQAT")</f>
        <v>0014X00002UGscXQAT</v>
      </c>
      <c r="C310" s="3" t="s">
        <v>8820</v>
      </c>
      <c r="D310" s="3" t="s">
        <v>46</v>
      </c>
      <c r="E310" s="21" t="str">
        <f>HYPERLINK("https://gerandofalcoes.my.salesforce.com/0034P000045kxjw", "0034P000045kxjw")</f>
        <v>0034P000045kxjw</v>
      </c>
      <c r="F310" s="3" t="s">
        <v>15189</v>
      </c>
      <c r="G310" s="3" t="s">
        <v>15190</v>
      </c>
      <c r="H310" s="3" t="s">
        <v>2538</v>
      </c>
      <c r="I310" s="3" t="s">
        <v>12654</v>
      </c>
      <c r="J310" s="3">
        <v>151</v>
      </c>
      <c r="K310" s="3" t="s">
        <v>15191</v>
      </c>
      <c r="L310" s="3" t="s">
        <v>15192</v>
      </c>
      <c r="M310" s="6">
        <v>28839</v>
      </c>
      <c r="N310" s="3">
        <v>44</v>
      </c>
      <c r="O310" s="3">
        <v>294764148</v>
      </c>
      <c r="P310" s="3">
        <v>39503004810</v>
      </c>
      <c r="Q310" s="3"/>
      <c r="R310" s="3"/>
      <c r="S310" s="3" t="s">
        <v>2998</v>
      </c>
      <c r="T310" s="3" t="s">
        <v>13608</v>
      </c>
      <c r="U310" s="3" t="s">
        <v>120</v>
      </c>
      <c r="V310" s="3" t="s">
        <v>15193</v>
      </c>
      <c r="W310" s="3"/>
      <c r="X310" s="3" t="s">
        <v>2980</v>
      </c>
      <c r="Y310" s="3" t="s">
        <v>12670</v>
      </c>
      <c r="Z310" s="3" t="s">
        <v>2543</v>
      </c>
      <c r="AA310" s="3" t="s">
        <v>2577</v>
      </c>
      <c r="AB310" s="3" t="s">
        <v>2543</v>
      </c>
      <c r="AC310" s="3" t="s">
        <v>15194</v>
      </c>
      <c r="AD310" s="3">
        <v>179</v>
      </c>
      <c r="AE310" s="3"/>
      <c r="AF310" s="3" t="s">
        <v>8826</v>
      </c>
      <c r="AG310" s="3" t="s">
        <v>15195</v>
      </c>
      <c r="AH310" s="3" t="s">
        <v>15196</v>
      </c>
      <c r="AI310" s="3" t="s">
        <v>101</v>
      </c>
      <c r="AJ310" s="3" t="s">
        <v>2569</v>
      </c>
      <c r="AK310" s="3" t="s">
        <v>12674</v>
      </c>
      <c r="AL310" s="3" t="s">
        <v>2550</v>
      </c>
      <c r="AM310" s="3">
        <v>5</v>
      </c>
      <c r="AN310" s="3" t="s">
        <v>7216</v>
      </c>
      <c r="AP310" s="3"/>
      <c r="AQ310" s="3" t="s">
        <v>15197</v>
      </c>
      <c r="AR310" s="3" t="s">
        <v>12676</v>
      </c>
      <c r="AS310" s="7" t="s">
        <v>15198</v>
      </c>
    </row>
    <row r="311" spans="1:45" ht="12.5" hidden="1" x14ac:dyDescent="0.25">
      <c r="A311" s="3" t="s">
        <v>12652</v>
      </c>
      <c r="B311" s="21" t="str">
        <f>HYPERLINK("https://gerandofalcoes.my.salesforce.com/0014X00002UGqWjQAL", "0014X00002UGqWjQAL")</f>
        <v>0014X00002UGqWjQAL</v>
      </c>
      <c r="C311" s="3" t="s">
        <v>8831</v>
      </c>
      <c r="D311" s="3" t="s">
        <v>46</v>
      </c>
      <c r="E311" s="21" t="str">
        <f>HYPERLINK("https://gerandofalcoes.my.salesforce.com/0034P000045kxkg", "0034P000045kxkg")</f>
        <v>0034P000045kxkg</v>
      </c>
      <c r="F311" s="3" t="s">
        <v>3161</v>
      </c>
      <c r="G311" s="3" t="s">
        <v>15199</v>
      </c>
      <c r="H311" s="3" t="s">
        <v>2538</v>
      </c>
      <c r="I311" s="3" t="s">
        <v>12654</v>
      </c>
      <c r="J311" s="3">
        <v>234</v>
      </c>
      <c r="K311" s="3" t="s">
        <v>15200</v>
      </c>
      <c r="L311" s="3" t="s">
        <v>8835</v>
      </c>
      <c r="M311" s="6">
        <v>30512</v>
      </c>
      <c r="N311" s="3">
        <v>39</v>
      </c>
      <c r="O311" s="3">
        <v>12263611</v>
      </c>
      <c r="P311" s="3">
        <v>6231073688</v>
      </c>
      <c r="Q311" s="3"/>
      <c r="R311" s="3"/>
      <c r="S311" s="3" t="s">
        <v>12744</v>
      </c>
      <c r="T311" s="3" t="s">
        <v>12723</v>
      </c>
      <c r="U311" s="3" t="s">
        <v>62</v>
      </c>
      <c r="V311" s="3" t="s">
        <v>15201</v>
      </c>
      <c r="W311" s="3"/>
      <c r="X311" s="3" t="s">
        <v>2980</v>
      </c>
      <c r="Y311" s="3" t="s">
        <v>12670</v>
      </c>
      <c r="Z311" s="3" t="s">
        <v>2543</v>
      </c>
      <c r="AA311" s="3" t="s">
        <v>2577</v>
      </c>
      <c r="AB311" s="3" t="s">
        <v>2545</v>
      </c>
      <c r="AC311" s="3" t="s">
        <v>15202</v>
      </c>
      <c r="AD311" s="3">
        <v>60</v>
      </c>
      <c r="AE311" s="3" t="s">
        <v>15203</v>
      </c>
      <c r="AF311" s="3" t="s">
        <v>177</v>
      </c>
      <c r="AG311" s="3" t="s">
        <v>8837</v>
      </c>
      <c r="AH311" s="3" t="s">
        <v>15204</v>
      </c>
      <c r="AI311" s="3" t="s">
        <v>84</v>
      </c>
      <c r="AJ311" s="3" t="s">
        <v>2569</v>
      </c>
      <c r="AK311" s="3" t="s">
        <v>15205</v>
      </c>
      <c r="AL311" s="3" t="s">
        <v>2550</v>
      </c>
      <c r="AM311" s="3">
        <v>5</v>
      </c>
      <c r="AN311" s="3" t="s">
        <v>14107</v>
      </c>
      <c r="AP311" s="3"/>
      <c r="AQ311" s="3" t="s">
        <v>15206</v>
      </c>
      <c r="AR311" s="3" t="s">
        <v>12676</v>
      </c>
      <c r="AS311" s="7" t="s">
        <v>15207</v>
      </c>
    </row>
    <row r="312" spans="1:45" ht="12.5" hidden="1" x14ac:dyDescent="0.25">
      <c r="A312" s="3" t="s">
        <v>12652</v>
      </c>
      <c r="B312" s="21" t="str">
        <f>HYPERLINK("https://gerandofalcoes.my.salesforce.com/0014X00002QTWXtQAP", "0014X00002QTWXtQAP")</f>
        <v>0014X00002QTWXtQAP</v>
      </c>
      <c r="C312" s="3" t="s">
        <v>8843</v>
      </c>
      <c r="D312" s="3" t="s">
        <v>46</v>
      </c>
      <c r="E312" s="21" t="str">
        <f>HYPERLINK("https://gerandofalcoes.my.salesforce.com/0034X000033zzcD", "0034X000033zzcD")</f>
        <v>0034X000033zzcD</v>
      </c>
      <c r="F312" s="3" t="s">
        <v>15208</v>
      </c>
      <c r="G312" s="3" t="s">
        <v>15209</v>
      </c>
      <c r="H312" s="3" t="s">
        <v>2538</v>
      </c>
      <c r="I312" s="3" t="s">
        <v>12654</v>
      </c>
      <c r="J312" s="3">
        <v>245</v>
      </c>
      <c r="K312" s="3" t="s">
        <v>15210</v>
      </c>
      <c r="L312" s="3" t="s">
        <v>15211</v>
      </c>
      <c r="M312" s="6">
        <v>25834</v>
      </c>
      <c r="N312" s="3">
        <v>52</v>
      </c>
      <c r="O312" s="3">
        <v>195035793</v>
      </c>
      <c r="P312" s="3">
        <v>10178636878</v>
      </c>
      <c r="S312" s="3" t="s">
        <v>3417</v>
      </c>
      <c r="T312" s="3" t="s">
        <v>12682</v>
      </c>
      <c r="U312" s="3" t="s">
        <v>120</v>
      </c>
      <c r="V312" s="3" t="s">
        <v>15212</v>
      </c>
      <c r="X312" s="3" t="s">
        <v>2980</v>
      </c>
      <c r="Y312" s="3" t="s">
        <v>12670</v>
      </c>
      <c r="Z312" s="3"/>
      <c r="AA312" s="3" t="s">
        <v>2577</v>
      </c>
      <c r="AB312" s="3" t="s">
        <v>2545</v>
      </c>
      <c r="AC312" s="3" t="s">
        <v>15213</v>
      </c>
      <c r="AD312" s="3">
        <v>1711</v>
      </c>
      <c r="AE312" s="3" t="s">
        <v>15214</v>
      </c>
      <c r="AF312" s="3" t="s">
        <v>8849</v>
      </c>
      <c r="AG312" s="3" t="s">
        <v>15215</v>
      </c>
      <c r="AH312" s="3" t="s">
        <v>15216</v>
      </c>
      <c r="AI312" s="3" t="s">
        <v>101</v>
      </c>
      <c r="AJ312" s="3" t="s">
        <v>2741</v>
      </c>
      <c r="AK312" s="3" t="s">
        <v>12661</v>
      </c>
      <c r="AL312" s="3" t="s">
        <v>2550</v>
      </c>
      <c r="AM312" s="3">
        <v>2</v>
      </c>
      <c r="AN312" s="3"/>
      <c r="AP312" s="7" t="s">
        <v>15217</v>
      </c>
      <c r="AQ312" s="7" t="s">
        <v>15218</v>
      </c>
      <c r="AR312" s="3" t="s">
        <v>12676</v>
      </c>
      <c r="AS312" s="7" t="s">
        <v>15219</v>
      </c>
    </row>
    <row r="313" spans="1:45" ht="12.5" hidden="1" x14ac:dyDescent="0.25">
      <c r="A313" s="3" t="s">
        <v>12652</v>
      </c>
      <c r="B313" s="21" t="str">
        <f>HYPERLINK("https://gerandofalcoes.my.salesforce.com/0014X00002QTWZVQA5", "0014X00002QTWZVQA5")</f>
        <v>0014X00002QTWZVQA5</v>
      </c>
      <c r="C313" s="3" t="s">
        <v>8858</v>
      </c>
      <c r="D313" s="3" t="s">
        <v>46</v>
      </c>
      <c r="E313" s="21" t="str">
        <f>HYPERLINK("https://gerandofalcoes.my.salesforce.com/0034X000033zzZd", "0034X000033zzZd")</f>
        <v>0034X000033zzZd</v>
      </c>
      <c r="F313" s="3" t="s">
        <v>15220</v>
      </c>
      <c r="G313" s="3" t="s">
        <v>15221</v>
      </c>
      <c r="H313" s="3" t="s">
        <v>2538</v>
      </c>
      <c r="I313" s="3" t="s">
        <v>12654</v>
      </c>
      <c r="J313" s="3">
        <v>245</v>
      </c>
      <c r="K313" s="3" t="s">
        <v>15222</v>
      </c>
      <c r="L313" s="3" t="s">
        <v>15223</v>
      </c>
      <c r="M313" s="8">
        <v>31558</v>
      </c>
      <c r="N313" s="3">
        <v>36</v>
      </c>
      <c r="O313" s="3" t="s">
        <v>15224</v>
      </c>
      <c r="P313" s="3">
        <v>2673944540</v>
      </c>
      <c r="S313" s="3" t="s">
        <v>3417</v>
      </c>
      <c r="T313" s="3" t="s">
        <v>12656</v>
      </c>
      <c r="U313" s="3" t="s">
        <v>62</v>
      </c>
      <c r="V313" s="3" t="s">
        <v>15225</v>
      </c>
      <c r="X313" s="3" t="s">
        <v>2980</v>
      </c>
      <c r="Y313" s="3" t="s">
        <v>12670</v>
      </c>
      <c r="Z313" s="3"/>
      <c r="AA313" s="3" t="s">
        <v>2737</v>
      </c>
      <c r="AB313" s="3" t="s">
        <v>2543</v>
      </c>
      <c r="AC313" s="3" t="s">
        <v>15226</v>
      </c>
      <c r="AD313" s="3" t="s">
        <v>15227</v>
      </c>
      <c r="AE313" s="3" t="s">
        <v>15228</v>
      </c>
      <c r="AF313" s="3" t="s">
        <v>8864</v>
      </c>
      <c r="AG313" s="3" t="s">
        <v>12756</v>
      </c>
      <c r="AH313" s="3" t="s">
        <v>8866</v>
      </c>
      <c r="AI313" s="3" t="s">
        <v>1002</v>
      </c>
      <c r="AJ313" s="3" t="s">
        <v>2569</v>
      </c>
      <c r="AK313" s="3" t="s">
        <v>12729</v>
      </c>
      <c r="AL313" s="3" t="s">
        <v>2588</v>
      </c>
      <c r="AM313" s="3">
        <v>2</v>
      </c>
      <c r="AN313" s="3"/>
      <c r="AO313" s="3" t="s">
        <v>15229</v>
      </c>
      <c r="AP313" s="7" t="s">
        <v>15230</v>
      </c>
      <c r="AQ313" s="7" t="s">
        <v>15231</v>
      </c>
      <c r="AR313" s="3" t="s">
        <v>12676</v>
      </c>
      <c r="AS313" s="7" t="s">
        <v>15232</v>
      </c>
    </row>
    <row r="314" spans="1:45" ht="12.5" hidden="1" x14ac:dyDescent="0.25">
      <c r="A314" s="3" t="s">
        <v>12652</v>
      </c>
      <c r="B314" s="21" t="str">
        <f>HYPERLINK("https://gerandofalcoes.my.salesforce.com/0014X00002QTry4QAD", "0014X00002QTry4QAD")</f>
        <v>0014X00002QTry4QAD</v>
      </c>
      <c r="C314" s="3" t="s">
        <v>8872</v>
      </c>
      <c r="D314" s="3" t="s">
        <v>152</v>
      </c>
      <c r="E314" s="21" t="str">
        <f>HYPERLINK("https://gerandofalcoes.my.salesforce.com/0034X0000340kpL", "0034X0000340kpL")</f>
        <v>0034X0000340kpL</v>
      </c>
      <c r="F314" s="3" t="s">
        <v>15233</v>
      </c>
      <c r="G314" s="3" t="s">
        <v>15234</v>
      </c>
      <c r="H314" s="3" t="s">
        <v>2538</v>
      </c>
      <c r="I314" s="3" t="s">
        <v>12654</v>
      </c>
      <c r="J314" s="3">
        <v>245</v>
      </c>
      <c r="K314" s="3" t="s">
        <v>15235</v>
      </c>
      <c r="L314" s="3" t="s">
        <v>8876</v>
      </c>
      <c r="M314" s="6">
        <v>28791</v>
      </c>
      <c r="N314" s="3">
        <v>44</v>
      </c>
      <c r="O314" s="3">
        <v>119860435</v>
      </c>
      <c r="P314" s="3">
        <v>7894648701</v>
      </c>
      <c r="R314" s="3" t="s">
        <v>15236</v>
      </c>
      <c r="S314" s="3" t="s">
        <v>3417</v>
      </c>
      <c r="T314" s="3" t="s">
        <v>12656</v>
      </c>
      <c r="U314" s="3" t="s">
        <v>62</v>
      </c>
      <c r="V314" s="3" t="s">
        <v>15237</v>
      </c>
      <c r="W314" s="3" t="s">
        <v>2576</v>
      </c>
      <c r="X314" s="3" t="s">
        <v>2980</v>
      </c>
      <c r="Y314" s="3" t="s">
        <v>12670</v>
      </c>
      <c r="Z314" s="3"/>
      <c r="AA314" s="3" t="s">
        <v>2544</v>
      </c>
      <c r="AB314" s="3" t="s">
        <v>2545</v>
      </c>
      <c r="AC314" s="3" t="s">
        <v>15238</v>
      </c>
      <c r="AD314" s="3" t="s">
        <v>15239</v>
      </c>
      <c r="AE314" s="3"/>
      <c r="AF314" s="3" t="s">
        <v>7345</v>
      </c>
      <c r="AG314" s="3" t="s">
        <v>15240</v>
      </c>
      <c r="AH314" s="3" t="s">
        <v>15241</v>
      </c>
      <c r="AI314" s="3" t="s">
        <v>70</v>
      </c>
      <c r="AJ314" s="3" t="s">
        <v>2569</v>
      </c>
      <c r="AK314" s="3" t="s">
        <v>12729</v>
      </c>
      <c r="AL314" s="3" t="s">
        <v>2550</v>
      </c>
      <c r="AM314" s="3">
        <v>4</v>
      </c>
      <c r="AN314" s="3"/>
      <c r="AP314" s="3" t="s">
        <v>15242</v>
      </c>
      <c r="AQ314" s="7" t="s">
        <v>15243</v>
      </c>
      <c r="AR314" s="3" t="s">
        <v>12664</v>
      </c>
      <c r="AS314" s="7" t="s">
        <v>15244</v>
      </c>
    </row>
    <row r="315" spans="1:45" ht="12.5" hidden="1" x14ac:dyDescent="0.25">
      <c r="A315" s="3" t="s">
        <v>12652</v>
      </c>
      <c r="B315" s="21" t="str">
        <f>HYPERLINK("https://gerandofalcoes.my.salesforce.com/0014X00002PUOTvQAP", "0014X00002PUOTvQAP")</f>
        <v>0014X00002PUOTvQAP</v>
      </c>
      <c r="C315" s="3" t="s">
        <v>80</v>
      </c>
      <c r="D315" s="3" t="s">
        <v>46</v>
      </c>
      <c r="E315" s="21" t="str">
        <f>HYPERLINK("https://gerandofalcoes.my.salesforce.com/0034X000032Hrzz", "0034X000032Hrzz")</f>
        <v>0034X000032Hrzz</v>
      </c>
      <c r="F315" s="3" t="s">
        <v>2536</v>
      </c>
      <c r="G315" s="3" t="s">
        <v>15245</v>
      </c>
      <c r="H315" s="3" t="s">
        <v>2538</v>
      </c>
      <c r="I315" s="3" t="s">
        <v>2624</v>
      </c>
      <c r="J315" s="3">
        <v>309</v>
      </c>
      <c r="K315" s="3" t="s">
        <v>2539</v>
      </c>
      <c r="L315" s="3">
        <v>31973117450</v>
      </c>
      <c r="M315" s="6">
        <v>34852</v>
      </c>
      <c r="N315" s="3">
        <v>27</v>
      </c>
      <c r="O315" s="3" t="s">
        <v>2540</v>
      </c>
      <c r="P315" s="3">
        <v>12243828626</v>
      </c>
      <c r="S315" s="3"/>
      <c r="T315" s="3"/>
      <c r="U315" s="3" t="s">
        <v>62</v>
      </c>
      <c r="V315" s="3"/>
      <c r="W315" s="3" t="s">
        <v>2541</v>
      </c>
      <c r="X315" s="3"/>
      <c r="Y315" s="3" t="s">
        <v>12736</v>
      </c>
      <c r="Z315" s="3" t="s">
        <v>2543</v>
      </c>
      <c r="AA315" s="3" t="s">
        <v>2544</v>
      </c>
      <c r="AB315" s="3" t="s">
        <v>2545</v>
      </c>
      <c r="AC315" s="3" t="s">
        <v>2546</v>
      </c>
      <c r="AD315" s="3">
        <v>214</v>
      </c>
      <c r="AE315" s="3"/>
      <c r="AF315" s="3" t="s">
        <v>87</v>
      </c>
      <c r="AG315" s="3" t="s">
        <v>15246</v>
      </c>
      <c r="AH315" s="3" t="s">
        <v>2547</v>
      </c>
      <c r="AI315" s="3" t="s">
        <v>84</v>
      </c>
      <c r="AJ315" s="3" t="s">
        <v>2548</v>
      </c>
      <c r="AK315" s="3" t="s">
        <v>12674</v>
      </c>
      <c r="AL315" s="3" t="s">
        <v>2550</v>
      </c>
      <c r="AM315" s="3">
        <v>4</v>
      </c>
      <c r="AN315" s="3"/>
      <c r="AP315" s="3"/>
      <c r="AQ315" s="3"/>
      <c r="AR315" s="3"/>
      <c r="AS315" s="3"/>
    </row>
    <row r="316" spans="1:45" ht="12.5" hidden="1" x14ac:dyDescent="0.25">
      <c r="A316" s="3" t="s">
        <v>12652</v>
      </c>
      <c r="B316" s="21" t="str">
        <f>HYPERLINK("https://gerandofalcoes.my.salesforce.com/0014X00002PUOaDQAX", "0014X00002PUOaDQAX")</f>
        <v>0014X00002PUOaDQAX</v>
      </c>
      <c r="C316" s="3" t="s">
        <v>98</v>
      </c>
      <c r="D316" s="3" t="s">
        <v>46</v>
      </c>
      <c r="E316" s="21" t="str">
        <f>HYPERLINK("https://gerandofalcoes.my.salesforce.com/0034X000032HsDd", "0034X000032HsDd")</f>
        <v>0034X000032HsDd</v>
      </c>
      <c r="F316" s="3" t="s">
        <v>2552</v>
      </c>
      <c r="G316" s="3" t="s">
        <v>15247</v>
      </c>
      <c r="H316" s="3" t="s">
        <v>2538</v>
      </c>
      <c r="I316" s="3" t="s">
        <v>2624</v>
      </c>
      <c r="J316" s="3">
        <v>309</v>
      </c>
      <c r="K316" s="3" t="s">
        <v>2554</v>
      </c>
      <c r="L316" s="3" t="s">
        <v>8892</v>
      </c>
      <c r="M316" s="6">
        <v>31866</v>
      </c>
      <c r="N316" s="3">
        <v>35</v>
      </c>
      <c r="O316" s="4" t="s">
        <v>2555</v>
      </c>
      <c r="P316" s="3">
        <v>34504841843</v>
      </c>
      <c r="S316" s="3" t="s">
        <v>12864</v>
      </c>
      <c r="T316" s="3"/>
      <c r="U316" s="3" t="s">
        <v>62</v>
      </c>
      <c r="V316" s="3" t="s">
        <v>15248</v>
      </c>
      <c r="W316" s="3" t="s">
        <v>2541</v>
      </c>
      <c r="X316" s="3"/>
      <c r="Y316" s="3" t="s">
        <v>12670</v>
      </c>
      <c r="Z316" s="3" t="s">
        <v>2543</v>
      </c>
      <c r="AA316" s="3" t="s">
        <v>2577</v>
      </c>
      <c r="AB316" s="3" t="s">
        <v>2545</v>
      </c>
      <c r="AC316" s="3" t="s">
        <v>15249</v>
      </c>
      <c r="AD316" s="3">
        <v>98</v>
      </c>
      <c r="AE316" s="3"/>
      <c r="AF316" s="3" t="s">
        <v>104</v>
      </c>
      <c r="AG316" s="3" t="s">
        <v>15250</v>
      </c>
      <c r="AH316" s="3" t="s">
        <v>2558</v>
      </c>
      <c r="AI316" s="3" t="s">
        <v>101</v>
      </c>
      <c r="AJ316" s="3" t="s">
        <v>2569</v>
      </c>
      <c r="AK316" s="3" t="s">
        <v>12661</v>
      </c>
      <c r="AL316" s="3" t="s">
        <v>2550</v>
      </c>
      <c r="AM316" s="3">
        <v>4</v>
      </c>
      <c r="AN316" s="3"/>
      <c r="AP316" s="7" t="s">
        <v>15251</v>
      </c>
      <c r="AQ316" s="7" t="s">
        <v>15252</v>
      </c>
      <c r="AR316" s="3"/>
      <c r="AS316" s="7" t="s">
        <v>15253</v>
      </c>
    </row>
    <row r="317" spans="1:45" ht="12.5" hidden="1" x14ac:dyDescent="0.25">
      <c r="A317" s="3" t="s">
        <v>12652</v>
      </c>
      <c r="B317" s="21" t="str">
        <f>HYPERLINK("https://gerandofalcoes.my.salesforce.com/0014X00002PUOY7QAP", "0014X00002PUOY7QAP")</f>
        <v>0014X00002PUOY7QAP</v>
      </c>
      <c r="C317" s="3" t="s">
        <v>110</v>
      </c>
      <c r="D317" s="3" t="s">
        <v>46</v>
      </c>
      <c r="E317" s="21" t="str">
        <f>HYPERLINK("https://gerandofalcoes.my.salesforce.com/0034X000032Hs7K", "0034X000032Hs7K")</f>
        <v>0034X000032Hs7K</v>
      </c>
      <c r="F317" s="3" t="s">
        <v>2561</v>
      </c>
      <c r="G317" s="3" t="s">
        <v>15254</v>
      </c>
      <c r="H317" s="3" t="s">
        <v>2538</v>
      </c>
      <c r="I317" s="3" t="s">
        <v>2638</v>
      </c>
      <c r="J317" s="3">
        <v>309</v>
      </c>
      <c r="K317" s="3" t="s">
        <v>2563</v>
      </c>
      <c r="L317" s="3" t="s">
        <v>8904</v>
      </c>
      <c r="M317" s="6">
        <v>28030</v>
      </c>
      <c r="N317" s="3">
        <v>46</v>
      </c>
      <c r="O317" s="4" t="s">
        <v>2565</v>
      </c>
      <c r="P317" s="3">
        <v>8036727722</v>
      </c>
      <c r="Q317" s="3" t="s">
        <v>2566</v>
      </c>
      <c r="S317" s="3" t="s">
        <v>3269</v>
      </c>
      <c r="T317" s="3"/>
      <c r="U317" s="3" t="s">
        <v>120</v>
      </c>
      <c r="V317" s="3" t="s">
        <v>15255</v>
      </c>
      <c r="W317" s="3" t="s">
        <v>2541</v>
      </c>
      <c r="X317" s="3"/>
      <c r="Y317" s="3" t="s">
        <v>12670</v>
      </c>
      <c r="Z317" s="3" t="s">
        <v>2543</v>
      </c>
      <c r="AA317" s="3" t="s">
        <v>2544</v>
      </c>
      <c r="AB317" s="3" t="s">
        <v>2543</v>
      </c>
      <c r="AC317" s="3" t="s">
        <v>15256</v>
      </c>
      <c r="AD317" s="3">
        <v>91</v>
      </c>
      <c r="AE317" s="3">
        <v>101</v>
      </c>
      <c r="AF317" s="3" t="s">
        <v>73</v>
      </c>
      <c r="AG317" s="3" t="s">
        <v>15257</v>
      </c>
      <c r="AH317" s="3" t="s">
        <v>2568</v>
      </c>
      <c r="AI317" s="3" t="s">
        <v>70</v>
      </c>
      <c r="AJ317" s="3" t="s">
        <v>2741</v>
      </c>
      <c r="AK317" s="3" t="s">
        <v>12828</v>
      </c>
      <c r="AL317" s="3" t="s">
        <v>2550</v>
      </c>
      <c r="AM317" s="3">
        <v>5</v>
      </c>
      <c r="AN317" s="3"/>
      <c r="AO317" s="3" t="s">
        <v>15258</v>
      </c>
      <c r="AQ317" s="3" t="s">
        <v>15259</v>
      </c>
      <c r="AR317" s="3"/>
      <c r="AS317" s="7" t="s">
        <v>15260</v>
      </c>
    </row>
    <row r="318" spans="1:45" ht="12.5" hidden="1" x14ac:dyDescent="0.25">
      <c r="A318" s="3" t="s">
        <v>12652</v>
      </c>
      <c r="B318" s="21" t="str">
        <f>HYPERLINK("https://gerandofalcoes.my.salesforce.com/0014X00002PUOZAQA5", "0014X00002PUOZAQA5")</f>
        <v>0014X00002PUOZAQA5</v>
      </c>
      <c r="C318" s="3" t="s">
        <v>48</v>
      </c>
      <c r="D318" s="3" t="s">
        <v>46</v>
      </c>
      <c r="E318" s="21" t="str">
        <f>HYPERLINK("https://gerandofalcoes.my.salesforce.com/0034X000032Hs9p", "0034X000032Hs9p")</f>
        <v>0034X000032Hs9p</v>
      </c>
      <c r="F318" s="3" t="s">
        <v>2571</v>
      </c>
      <c r="G318" s="3" t="s">
        <v>15261</v>
      </c>
      <c r="H318" s="3" t="s">
        <v>2538</v>
      </c>
      <c r="I318" s="3" t="s">
        <v>2624</v>
      </c>
      <c r="J318" s="3">
        <v>309</v>
      </c>
      <c r="K318" s="3" t="s">
        <v>15262</v>
      </c>
      <c r="L318" s="3" t="s">
        <v>8912</v>
      </c>
      <c r="M318" s="6">
        <v>30869</v>
      </c>
      <c r="N318" s="3">
        <v>38</v>
      </c>
      <c r="O318" s="4" t="s">
        <v>2574</v>
      </c>
      <c r="P318" s="3">
        <v>5239578400</v>
      </c>
      <c r="Q318" s="3" t="s">
        <v>2575</v>
      </c>
      <c r="S318" s="3" t="s">
        <v>2998</v>
      </c>
      <c r="T318" s="3"/>
      <c r="U318" s="3" t="s">
        <v>120</v>
      </c>
      <c r="V318" s="3" t="s">
        <v>15263</v>
      </c>
      <c r="W318" s="3" t="s">
        <v>2576</v>
      </c>
      <c r="X318" s="3"/>
      <c r="Y318" s="3" t="s">
        <v>12670</v>
      </c>
      <c r="Z318" s="3" t="s">
        <v>2543</v>
      </c>
      <c r="AA318" s="3" t="s">
        <v>2577</v>
      </c>
      <c r="AB318" s="3" t="s">
        <v>2545</v>
      </c>
      <c r="AC318" s="3" t="s">
        <v>15264</v>
      </c>
      <c r="AD318" s="3">
        <v>67</v>
      </c>
      <c r="AE318" s="3"/>
      <c r="AF318" s="3" t="s">
        <v>8913</v>
      </c>
      <c r="AG318" s="3" t="s">
        <v>647</v>
      </c>
      <c r="AH318" s="3" t="s">
        <v>55</v>
      </c>
      <c r="AI318" s="3" t="s">
        <v>51</v>
      </c>
      <c r="AJ318" s="3" t="s">
        <v>2569</v>
      </c>
      <c r="AK318" s="3" t="s">
        <v>3249</v>
      </c>
      <c r="AL318" s="3" t="s">
        <v>2579</v>
      </c>
      <c r="AM318" s="3">
        <v>1</v>
      </c>
      <c r="AN318" s="3"/>
      <c r="AP318" s="7" t="s">
        <v>15265</v>
      </c>
      <c r="AQ318" s="7" t="s">
        <v>15266</v>
      </c>
      <c r="AR318" s="3"/>
      <c r="AS318" s="7" t="s">
        <v>15267</v>
      </c>
    </row>
    <row r="319" spans="1:45" ht="12.5" hidden="1" x14ac:dyDescent="0.25">
      <c r="A319" s="3" t="s">
        <v>12652</v>
      </c>
      <c r="B319" s="21" t="str">
        <f>HYPERLINK("https://gerandofalcoes.my.salesforce.com/0014X00002PUOUaQAP", "0014X00002PUOUaQAP")</f>
        <v>0014X00002PUOUaQAP</v>
      </c>
      <c r="C319" s="3" t="s">
        <v>67</v>
      </c>
      <c r="D319" s="3" t="s">
        <v>46</v>
      </c>
      <c r="E319" s="21" t="str">
        <f>HYPERLINK("https://gerandofalcoes.my.salesforce.com/0034X000032Hs00", "0034X000032Hs00")</f>
        <v>0034X000032Hs00</v>
      </c>
      <c r="F319" s="3" t="s">
        <v>2581</v>
      </c>
      <c r="G319" s="3" t="s">
        <v>15268</v>
      </c>
      <c r="H319" s="3" t="s">
        <v>2538</v>
      </c>
      <c r="I319" s="3" t="s">
        <v>2638</v>
      </c>
      <c r="J319" s="3">
        <v>309</v>
      </c>
      <c r="K319" s="3" t="s">
        <v>15269</v>
      </c>
      <c r="L319" s="3" t="s">
        <v>8923</v>
      </c>
      <c r="M319" s="6">
        <v>35163</v>
      </c>
      <c r="N319" s="3">
        <v>26</v>
      </c>
      <c r="O319" s="3">
        <v>285033130</v>
      </c>
      <c r="P319" s="3">
        <v>15678185799</v>
      </c>
      <c r="Q319" s="3" t="s">
        <v>2584</v>
      </c>
      <c r="S319" s="3" t="s">
        <v>3269</v>
      </c>
      <c r="T319" s="3"/>
      <c r="U319" s="3" t="s">
        <v>62</v>
      </c>
      <c r="V319" s="3" t="s">
        <v>15270</v>
      </c>
      <c r="W319" s="3" t="s">
        <v>2541</v>
      </c>
      <c r="X319" s="3"/>
      <c r="Y319" s="3" t="s">
        <v>12658</v>
      </c>
      <c r="Z319" s="3"/>
      <c r="AA319" s="3" t="s">
        <v>2544</v>
      </c>
      <c r="AB319" s="3" t="s">
        <v>2545</v>
      </c>
      <c r="AC319" s="3" t="s">
        <v>15271</v>
      </c>
      <c r="AD319" s="3">
        <v>48</v>
      </c>
      <c r="AE319" s="3" t="s">
        <v>673</v>
      </c>
      <c r="AF319" s="3" t="s">
        <v>8924</v>
      </c>
      <c r="AG319" s="3" t="s">
        <v>15272</v>
      </c>
      <c r="AH319" s="3" t="s">
        <v>2586</v>
      </c>
      <c r="AI319" s="3" t="s">
        <v>70</v>
      </c>
      <c r="AJ319" s="3" t="s">
        <v>2569</v>
      </c>
      <c r="AK319" s="3" t="s">
        <v>3249</v>
      </c>
      <c r="AL319" s="3" t="s">
        <v>2588</v>
      </c>
      <c r="AM319" s="3">
        <v>9</v>
      </c>
      <c r="AN319" s="3"/>
      <c r="AO319" s="3" t="s">
        <v>12698</v>
      </c>
      <c r="AP319" s="3"/>
      <c r="AQ319" s="7" t="s">
        <v>15273</v>
      </c>
      <c r="AR319" s="3"/>
      <c r="AS319" s="7" t="s">
        <v>15274</v>
      </c>
    </row>
    <row r="320" spans="1:45" ht="12.5" hidden="1" x14ac:dyDescent="0.25">
      <c r="A320" s="3" t="s">
        <v>12652</v>
      </c>
      <c r="B320" s="21" t="str">
        <f>HYPERLINK("https://gerandofalcoes.my.salesforce.com/0014X00002PUObkQAH", "0014X00002PUObkQAH")</f>
        <v>0014X00002PUObkQAH</v>
      </c>
      <c r="C320" s="3" t="s">
        <v>8930</v>
      </c>
      <c r="D320" s="3" t="s">
        <v>46</v>
      </c>
      <c r="E320" s="21" t="str">
        <f>HYPERLINK("https://gerandofalcoes.my.salesforce.com/0034X000032HsHf", "0034X000032HsHf")</f>
        <v>0034X000032HsHf</v>
      </c>
      <c r="F320" s="3" t="s">
        <v>2590</v>
      </c>
      <c r="G320" s="3" t="s">
        <v>15275</v>
      </c>
      <c r="H320" s="3" t="s">
        <v>2538</v>
      </c>
      <c r="I320" s="3" t="s">
        <v>2638</v>
      </c>
      <c r="J320" s="3">
        <v>309</v>
      </c>
      <c r="K320" s="3" t="s">
        <v>2592</v>
      </c>
      <c r="L320" s="3" t="s">
        <v>8934</v>
      </c>
      <c r="M320" s="6">
        <v>31887</v>
      </c>
      <c r="N320" s="3">
        <v>35</v>
      </c>
      <c r="O320" s="3">
        <v>446821561</v>
      </c>
      <c r="P320" s="3">
        <v>23116132860</v>
      </c>
      <c r="S320" s="3" t="s">
        <v>3269</v>
      </c>
      <c r="T320" s="3"/>
      <c r="U320" s="3" t="s">
        <v>62</v>
      </c>
      <c r="V320" s="3" t="s">
        <v>15276</v>
      </c>
      <c r="W320" s="3" t="s">
        <v>2541</v>
      </c>
      <c r="X320" s="3"/>
      <c r="Y320" s="3" t="s">
        <v>12670</v>
      </c>
      <c r="Z320" s="3" t="s">
        <v>2543</v>
      </c>
      <c r="AA320" s="3" t="s">
        <v>2544</v>
      </c>
      <c r="AB320" s="3" t="s">
        <v>2545</v>
      </c>
      <c r="AC320" s="3" t="s">
        <v>2593</v>
      </c>
      <c r="AD320" s="3">
        <v>2</v>
      </c>
      <c r="AE320" s="3" t="s">
        <v>8358</v>
      </c>
      <c r="AF320" s="3" t="s">
        <v>2594</v>
      </c>
      <c r="AG320" s="3" t="s">
        <v>15277</v>
      </c>
      <c r="AH320" s="3" t="s">
        <v>2595</v>
      </c>
      <c r="AI320" s="3" t="s">
        <v>84</v>
      </c>
      <c r="AJ320" s="3" t="s">
        <v>2569</v>
      </c>
      <c r="AK320" s="3" t="s">
        <v>3249</v>
      </c>
      <c r="AL320" s="3" t="s">
        <v>2588</v>
      </c>
      <c r="AM320" s="3">
        <v>7</v>
      </c>
      <c r="AN320" s="3"/>
      <c r="AP320" s="3"/>
      <c r="AQ320" s="7" t="s">
        <v>15278</v>
      </c>
      <c r="AR320" s="3"/>
      <c r="AS320" s="7" t="s">
        <v>15279</v>
      </c>
    </row>
    <row r="321" spans="1:45" ht="12.5" hidden="1" x14ac:dyDescent="0.25">
      <c r="A321" s="3" t="s">
        <v>12652</v>
      </c>
      <c r="B321" s="21" t="str">
        <f>HYPERLINK("https://gerandofalcoes.my.salesforce.com/0014X00002PUOdWQAX", "0014X00002PUOdWQAX")</f>
        <v>0014X00002PUOdWQAX</v>
      </c>
      <c r="C321" s="3" t="s">
        <v>138</v>
      </c>
      <c r="D321" s="3" t="s">
        <v>46</v>
      </c>
      <c r="E321" s="21" t="str">
        <f>HYPERLINK("https://gerandofalcoes.my.salesforce.com/0034X000032HsKK", "0034X000032HsKK")</f>
        <v>0034X000032HsKK</v>
      </c>
      <c r="F321" s="3" t="s">
        <v>2598</v>
      </c>
      <c r="G321" s="3" t="s">
        <v>15280</v>
      </c>
      <c r="H321" s="3" t="s">
        <v>2538</v>
      </c>
      <c r="I321" s="3" t="s">
        <v>2618</v>
      </c>
      <c r="J321" s="3">
        <v>309</v>
      </c>
      <c r="K321" s="3" t="s">
        <v>2600</v>
      </c>
      <c r="L321" s="3"/>
      <c r="M321" s="6">
        <v>25018</v>
      </c>
      <c r="N321" s="3">
        <v>54</v>
      </c>
      <c r="O321" s="3">
        <v>4473565</v>
      </c>
      <c r="P321" s="3">
        <v>68794878668</v>
      </c>
      <c r="Q321" s="3" t="s">
        <v>2601</v>
      </c>
      <c r="S321" s="3"/>
      <c r="T321" s="3"/>
      <c r="U321" s="3" t="s">
        <v>120</v>
      </c>
      <c r="V321" s="3"/>
      <c r="W321" s="3" t="s">
        <v>2576</v>
      </c>
      <c r="X321" s="3"/>
      <c r="Y321" s="3" t="s">
        <v>12658</v>
      </c>
      <c r="Z321" s="3" t="s">
        <v>2543</v>
      </c>
      <c r="AA321" s="3" t="s">
        <v>2544</v>
      </c>
      <c r="AB321" s="3" t="s">
        <v>2545</v>
      </c>
      <c r="AC321" s="3" t="s">
        <v>2602</v>
      </c>
      <c r="AD321" s="3">
        <v>1</v>
      </c>
      <c r="AF321" s="3" t="s">
        <v>144</v>
      </c>
      <c r="AG321" s="3" t="s">
        <v>143</v>
      </c>
      <c r="AH321" s="3" t="s">
        <v>145</v>
      </c>
      <c r="AI321" s="3" t="s">
        <v>84</v>
      </c>
      <c r="AJ321" s="3" t="s">
        <v>2569</v>
      </c>
      <c r="AK321" s="3" t="s">
        <v>12729</v>
      </c>
      <c r="AL321" s="3" t="s">
        <v>2579</v>
      </c>
      <c r="AM321" s="3">
        <v>3</v>
      </c>
      <c r="AN321" s="3"/>
      <c r="AP321" s="7" t="s">
        <v>15281</v>
      </c>
      <c r="AQ321" s="7" t="s">
        <v>15282</v>
      </c>
      <c r="AR321" s="3"/>
      <c r="AS321" s="3"/>
    </row>
    <row r="322" spans="1:45" ht="12.5" hidden="1" x14ac:dyDescent="0.25">
      <c r="A322" s="3" t="s">
        <v>12652</v>
      </c>
      <c r="B322" s="21" t="str">
        <f>HYPERLINK("https://gerandofalcoes.my.salesforce.com/0014P00003YSp7OQAT", "0014P00003YSp7OQAT")</f>
        <v>0014P00003YSp7OQAT</v>
      </c>
      <c r="C322" s="3" t="s">
        <v>8949</v>
      </c>
      <c r="D322" s="3" t="s">
        <v>46</v>
      </c>
      <c r="E322" s="21" t="str">
        <f>HYPERLINK("https://gerandofalcoes.my.salesforce.com/0034P000045kxhz", "0034P000045kxhz")</f>
        <v>0034P000045kxhz</v>
      </c>
      <c r="F322" s="3" t="s">
        <v>15283</v>
      </c>
      <c r="G322" s="3" t="s">
        <v>15284</v>
      </c>
      <c r="H322" s="3" t="s">
        <v>2538</v>
      </c>
      <c r="I322" s="3" t="s">
        <v>12654</v>
      </c>
      <c r="J322" s="3">
        <v>245</v>
      </c>
      <c r="K322" s="3" t="s">
        <v>15285</v>
      </c>
      <c r="L322" s="3" t="s">
        <v>8952</v>
      </c>
      <c r="M322" s="6">
        <v>31569</v>
      </c>
      <c r="N322" s="3">
        <v>36</v>
      </c>
      <c r="O322" s="3" t="s">
        <v>15286</v>
      </c>
      <c r="P322" s="3">
        <v>5179717477</v>
      </c>
      <c r="S322" s="3" t="s">
        <v>3417</v>
      </c>
      <c r="T322" s="3" t="s">
        <v>12723</v>
      </c>
      <c r="U322" s="3" t="s">
        <v>62</v>
      </c>
      <c r="V322" s="3" t="s">
        <v>15287</v>
      </c>
      <c r="X322" s="3" t="s">
        <v>2980</v>
      </c>
      <c r="Y322" s="3" t="s">
        <v>12670</v>
      </c>
      <c r="Z322" s="3" t="s">
        <v>2545</v>
      </c>
      <c r="AA322" s="3" t="s">
        <v>2577</v>
      </c>
      <c r="AB322" s="3" t="s">
        <v>2545</v>
      </c>
      <c r="AC322" s="3" t="s">
        <v>15288</v>
      </c>
      <c r="AD322" s="3">
        <v>25</v>
      </c>
      <c r="AE322" s="3" t="s">
        <v>1539</v>
      </c>
      <c r="AF322" s="3" t="s">
        <v>8954</v>
      </c>
      <c r="AG322" s="3" t="s">
        <v>5290</v>
      </c>
      <c r="AH322" s="3" t="s">
        <v>15289</v>
      </c>
      <c r="AI322" s="3" t="s">
        <v>379</v>
      </c>
      <c r="AJ322" s="3" t="s">
        <v>2569</v>
      </c>
      <c r="AK322" s="3" t="s">
        <v>12729</v>
      </c>
      <c r="AL322" s="3" t="s">
        <v>2550</v>
      </c>
      <c r="AM322" s="3">
        <v>1</v>
      </c>
      <c r="AN322" s="3" t="s">
        <v>7216</v>
      </c>
      <c r="AO322" s="3"/>
      <c r="AP322" s="7" t="s">
        <v>15290</v>
      </c>
      <c r="AQ322" s="7" t="s">
        <v>15291</v>
      </c>
      <c r="AR322" s="3" t="s">
        <v>12664</v>
      </c>
      <c r="AS322" s="7" t="s">
        <v>15292</v>
      </c>
    </row>
    <row r="323" spans="1:45" ht="12.5" hidden="1" x14ac:dyDescent="0.25">
      <c r="A323" s="3" t="s">
        <v>12652</v>
      </c>
      <c r="B323" s="21" t="str">
        <f>HYPERLINK("https://gerandofalcoes.my.salesforce.com/0014P00003YSp7PQAT", "0014P00003YSp7PQAT")</f>
        <v>0014P00003YSp7PQAT</v>
      </c>
      <c r="C323" s="3" t="s">
        <v>8964</v>
      </c>
      <c r="D323" s="3" t="s">
        <v>46</v>
      </c>
      <c r="E323" s="21" t="str">
        <f>HYPERLINK("https://gerandofalcoes.my.salesforce.com/0034P000045kxi0", "0034P000045kxi0")</f>
        <v>0034P000045kxi0</v>
      </c>
      <c r="F323" s="3" t="s">
        <v>15293</v>
      </c>
      <c r="G323" s="3" t="s">
        <v>15294</v>
      </c>
      <c r="H323" s="3" t="s">
        <v>2538</v>
      </c>
      <c r="I323" s="3" t="s">
        <v>12654</v>
      </c>
      <c r="J323" s="3">
        <v>245</v>
      </c>
      <c r="K323" s="3" t="s">
        <v>15295</v>
      </c>
      <c r="L323" s="3" t="s">
        <v>15296</v>
      </c>
      <c r="M323" s="6">
        <v>26393</v>
      </c>
      <c r="N323" s="3">
        <v>50</v>
      </c>
      <c r="O323" s="3" t="s">
        <v>15297</v>
      </c>
      <c r="P323" s="3">
        <v>87891620482</v>
      </c>
      <c r="S323" s="3" t="s">
        <v>3269</v>
      </c>
      <c r="T323" s="3" t="s">
        <v>12682</v>
      </c>
      <c r="U323" s="3" t="s">
        <v>120</v>
      </c>
      <c r="V323" s="3" t="s">
        <v>15298</v>
      </c>
      <c r="X323" s="3" t="s">
        <v>2980</v>
      </c>
      <c r="Y323" s="3" t="s">
        <v>12670</v>
      </c>
      <c r="Z323" s="3" t="s">
        <v>2545</v>
      </c>
      <c r="AA323" s="3" t="s">
        <v>2544</v>
      </c>
      <c r="AB323" s="3" t="s">
        <v>2543</v>
      </c>
      <c r="AC323" s="3" t="s">
        <v>15299</v>
      </c>
      <c r="AD323" s="3">
        <v>934</v>
      </c>
      <c r="AE323" s="3" t="s">
        <v>15300</v>
      </c>
      <c r="AF323" s="3" t="s">
        <v>381</v>
      </c>
      <c r="AG323" s="3" t="s">
        <v>13435</v>
      </c>
      <c r="AH323" s="3" t="s">
        <v>15301</v>
      </c>
      <c r="AI323" s="3" t="s">
        <v>379</v>
      </c>
      <c r="AJ323" s="3" t="s">
        <v>2741</v>
      </c>
      <c r="AK323" s="3" t="s">
        <v>12661</v>
      </c>
      <c r="AL323" s="3" t="s">
        <v>2550</v>
      </c>
      <c r="AM323" s="3">
        <v>2</v>
      </c>
      <c r="AN323" s="3" t="s">
        <v>7216</v>
      </c>
      <c r="AP323" s="7" t="s">
        <v>15302</v>
      </c>
      <c r="AR323" s="3" t="s">
        <v>12676</v>
      </c>
      <c r="AS323" s="7" t="s">
        <v>15303</v>
      </c>
    </row>
    <row r="324" spans="1:45" ht="12.5" hidden="1" x14ac:dyDescent="0.25">
      <c r="A324" s="3" t="s">
        <v>12652</v>
      </c>
      <c r="B324" s="21" t="str">
        <f>HYPERLINK("https://gerandofalcoes.my.salesforce.com/0014P00003YSp7RQAT", "0014P00003YSp7RQAT")</f>
        <v>0014P00003YSp7RQAT</v>
      </c>
      <c r="C324" s="3" t="s">
        <v>8984</v>
      </c>
      <c r="D324" s="3" t="s">
        <v>46</v>
      </c>
      <c r="E324" s="21" t="str">
        <f>HYPERLINK("https://gerandofalcoes.my.salesforce.com/0034P000045kxi2", "0034P000045kxi2")</f>
        <v>0034P000045kxi2</v>
      </c>
      <c r="F324" s="3" t="s">
        <v>15304</v>
      </c>
      <c r="G324" s="3" t="s">
        <v>15305</v>
      </c>
      <c r="H324" s="3" t="s">
        <v>2538</v>
      </c>
      <c r="I324" s="3" t="s">
        <v>12654</v>
      </c>
      <c r="J324" s="3">
        <v>245</v>
      </c>
      <c r="K324" s="3" t="s">
        <v>15306</v>
      </c>
      <c r="L324" s="3">
        <v>71988088327</v>
      </c>
      <c r="M324" s="6">
        <v>27960</v>
      </c>
      <c r="N324" s="3">
        <v>46</v>
      </c>
      <c r="O324" s="3">
        <v>484058509</v>
      </c>
      <c r="P324" s="3">
        <v>77696522515</v>
      </c>
      <c r="S324" s="3" t="s">
        <v>2998</v>
      </c>
      <c r="T324" s="3" t="s">
        <v>12656</v>
      </c>
      <c r="U324" s="3" t="s">
        <v>62</v>
      </c>
      <c r="V324" s="3" t="s">
        <v>15307</v>
      </c>
      <c r="X324" s="3"/>
      <c r="Y324" s="3" t="s">
        <v>12658</v>
      </c>
      <c r="Z324" s="3" t="s">
        <v>2543</v>
      </c>
      <c r="AA324" s="3" t="s">
        <v>2544</v>
      </c>
      <c r="AB324" s="3" t="s">
        <v>2545</v>
      </c>
      <c r="AC324" s="3" t="s">
        <v>15308</v>
      </c>
      <c r="AD324" s="3">
        <v>61</v>
      </c>
      <c r="AE324" s="3" t="s">
        <v>7437</v>
      </c>
      <c r="AF324" s="3" t="s">
        <v>5344</v>
      </c>
      <c r="AG324" s="3" t="s">
        <v>8988</v>
      </c>
      <c r="AH324" s="3">
        <v>40450575</v>
      </c>
      <c r="AI324" s="3" t="s">
        <v>1002</v>
      </c>
      <c r="AJ324" s="3"/>
      <c r="AK324" s="3"/>
      <c r="AL324" s="3"/>
      <c r="AM324" s="3"/>
      <c r="AN324" s="3" t="s">
        <v>7216</v>
      </c>
      <c r="AQ324" s="7" t="s">
        <v>15309</v>
      </c>
      <c r="AR324" s="3"/>
      <c r="AS324" s="7" t="s">
        <v>15310</v>
      </c>
    </row>
    <row r="325" spans="1:45" ht="12.5" hidden="1" x14ac:dyDescent="0.25">
      <c r="A325" s="3" t="s">
        <v>12652</v>
      </c>
      <c r="B325" s="21" t="str">
        <f>HYPERLINK("https://gerandofalcoes.my.salesforce.com/0014P00003YSp7SQAT", "0014P00003YSp7SQAT")</f>
        <v>0014P00003YSp7SQAT</v>
      </c>
      <c r="C325" s="3" t="s">
        <v>8997</v>
      </c>
      <c r="D325" s="3" t="s">
        <v>46</v>
      </c>
      <c r="E325" s="21" t="str">
        <f>HYPERLINK("https://gerandofalcoes.my.salesforce.com/0034P000045kxi3", "0034P000045kxi3")</f>
        <v>0034P000045kxi3</v>
      </c>
      <c r="F325" s="3" t="s">
        <v>12869</v>
      </c>
      <c r="G325" s="3" t="s">
        <v>15311</v>
      </c>
      <c r="H325" s="3" t="s">
        <v>2538</v>
      </c>
      <c r="I325" s="3" t="s">
        <v>12654</v>
      </c>
      <c r="J325" s="3">
        <v>245</v>
      </c>
      <c r="K325" s="3" t="s">
        <v>15312</v>
      </c>
      <c r="L325" s="3" t="s">
        <v>9000</v>
      </c>
      <c r="M325" s="8">
        <v>28615</v>
      </c>
      <c r="N325" s="3">
        <v>44</v>
      </c>
      <c r="O325" s="3">
        <v>3459216</v>
      </c>
      <c r="P325" s="3">
        <v>66561051220</v>
      </c>
      <c r="S325" s="3" t="s">
        <v>3137</v>
      </c>
      <c r="T325" s="3" t="s">
        <v>12656</v>
      </c>
      <c r="U325" s="3" t="s">
        <v>120</v>
      </c>
      <c r="V325" s="3" t="s">
        <v>15313</v>
      </c>
      <c r="X325" s="3" t="s">
        <v>2980</v>
      </c>
      <c r="Y325" s="3" t="s">
        <v>12670</v>
      </c>
      <c r="Z325" s="3" t="s">
        <v>2543</v>
      </c>
      <c r="AA325" s="3" t="s">
        <v>2544</v>
      </c>
      <c r="AB325" s="3" t="s">
        <v>2543</v>
      </c>
      <c r="AC325" s="3" t="s">
        <v>9001</v>
      </c>
      <c r="AD325" s="3">
        <v>91</v>
      </c>
      <c r="AE325" s="3" t="s">
        <v>15314</v>
      </c>
      <c r="AF325" s="3" t="s">
        <v>2217</v>
      </c>
      <c r="AG325" s="3" t="s">
        <v>1959</v>
      </c>
      <c r="AH325" s="3" t="s">
        <v>9003</v>
      </c>
      <c r="AI325" s="3" t="s">
        <v>1676</v>
      </c>
      <c r="AJ325" s="3" t="s">
        <v>2569</v>
      </c>
      <c r="AK325" s="3" t="s">
        <v>12729</v>
      </c>
      <c r="AL325" s="3" t="s">
        <v>2550</v>
      </c>
      <c r="AM325" s="3">
        <v>4</v>
      </c>
      <c r="AN325" s="3" t="s">
        <v>7216</v>
      </c>
      <c r="AP325" s="7" t="s">
        <v>15315</v>
      </c>
      <c r="AQ325" s="7" t="s">
        <v>15316</v>
      </c>
      <c r="AR325" s="3" t="s">
        <v>12664</v>
      </c>
      <c r="AS325" s="7" t="s">
        <v>15317</v>
      </c>
    </row>
    <row r="326" spans="1:45" ht="12.5" hidden="1" x14ac:dyDescent="0.25">
      <c r="A326" s="3" t="s">
        <v>12652</v>
      </c>
      <c r="B326" s="21" t="str">
        <f>HYPERLINK("https://gerandofalcoes.my.salesforce.com/0014P00003YSp7TQAT", "0014P00003YSp7TQAT")</f>
        <v>0014P00003YSp7TQAT</v>
      </c>
      <c r="C326" s="3" t="s">
        <v>9008</v>
      </c>
      <c r="D326" s="3" t="s">
        <v>46</v>
      </c>
      <c r="E326" s="21" t="str">
        <f>HYPERLINK("https://gerandofalcoes.my.salesforce.com/0034P000045kxi4", "0034P000045kxi4")</f>
        <v>0034P000045kxi4</v>
      </c>
      <c r="F326" s="3" t="s">
        <v>15318</v>
      </c>
      <c r="G326" s="3" t="s">
        <v>15319</v>
      </c>
      <c r="H326" s="3" t="s">
        <v>12704</v>
      </c>
      <c r="I326" s="3" t="s">
        <v>12654</v>
      </c>
      <c r="J326" s="3">
        <v>245</v>
      </c>
      <c r="K326" s="3" t="s">
        <v>9010</v>
      </c>
      <c r="L326" s="3">
        <v>84981383486</v>
      </c>
      <c r="M326" s="6">
        <v>31291</v>
      </c>
      <c r="N326" s="3">
        <v>37</v>
      </c>
      <c r="O326" s="3">
        <v>1846547</v>
      </c>
      <c r="P326" s="3">
        <v>5451041490</v>
      </c>
      <c r="S326" s="3" t="s">
        <v>3137</v>
      </c>
      <c r="T326" s="3" t="s">
        <v>12656</v>
      </c>
      <c r="U326" s="3" t="s">
        <v>120</v>
      </c>
      <c r="V326" s="3" t="s">
        <v>15320</v>
      </c>
      <c r="Y326" s="3" t="s">
        <v>12658</v>
      </c>
      <c r="Z326" s="3" t="s">
        <v>2543</v>
      </c>
      <c r="AA326" s="3" t="s">
        <v>2577</v>
      </c>
      <c r="AB326" s="3" t="s">
        <v>2545</v>
      </c>
      <c r="AC326" s="3" t="s">
        <v>9011</v>
      </c>
      <c r="AD326" s="3">
        <v>114</v>
      </c>
      <c r="AE326" s="3" t="s">
        <v>9014</v>
      </c>
      <c r="AF326" s="3" t="s">
        <v>9013</v>
      </c>
      <c r="AG326" s="3" t="s">
        <v>9012</v>
      </c>
      <c r="AH326" s="3">
        <v>59164000</v>
      </c>
      <c r="AI326" s="3" t="s">
        <v>195</v>
      </c>
      <c r="AN326" s="3" t="s">
        <v>7216</v>
      </c>
      <c r="AQ326" s="7" t="s">
        <v>15321</v>
      </c>
      <c r="AS326" s="7" t="s">
        <v>15322</v>
      </c>
    </row>
    <row r="327" spans="1:45" ht="12.5" hidden="1" x14ac:dyDescent="0.25">
      <c r="A327" s="3" t="s">
        <v>12652</v>
      </c>
      <c r="B327" s="21" t="str">
        <f>HYPERLINK("https://gerandofalcoes.my.salesforce.com/0014P00003YSp7UQAT", "0014P00003YSp7UQAT")</f>
        <v>0014P00003YSp7UQAT</v>
      </c>
      <c r="C327" s="3" t="s">
        <v>9017</v>
      </c>
      <c r="D327" s="3" t="s">
        <v>46</v>
      </c>
      <c r="E327" s="21" t="str">
        <f>HYPERLINK("https://gerandofalcoes.my.salesforce.com/0034P000045kxi5", "0034P000045kxi5")</f>
        <v>0034P000045kxi5</v>
      </c>
      <c r="F327" s="3" t="s">
        <v>15323</v>
      </c>
      <c r="G327" s="3" t="s">
        <v>15324</v>
      </c>
      <c r="H327" s="3" t="s">
        <v>2538</v>
      </c>
      <c r="I327" s="3" t="s">
        <v>12654</v>
      </c>
      <c r="J327" s="3">
        <v>245</v>
      </c>
      <c r="K327" s="3" t="s">
        <v>9021</v>
      </c>
      <c r="L327" s="3" t="s">
        <v>15325</v>
      </c>
      <c r="M327" s="6">
        <v>32991</v>
      </c>
      <c r="N327" s="3">
        <v>32</v>
      </c>
      <c r="O327" s="3">
        <v>20071779633</v>
      </c>
      <c r="P327" s="3">
        <v>5785614332</v>
      </c>
      <c r="S327" s="3" t="s">
        <v>2998</v>
      </c>
      <c r="T327" s="3" t="s">
        <v>12656</v>
      </c>
      <c r="U327" s="3" t="s">
        <v>62</v>
      </c>
      <c r="V327" s="3" t="s">
        <v>15326</v>
      </c>
      <c r="X327" s="3" t="s">
        <v>3508</v>
      </c>
      <c r="Y327" s="3" t="s">
        <v>12658</v>
      </c>
      <c r="Z327" s="3" t="s">
        <v>15327</v>
      </c>
      <c r="AA327" s="3" t="s">
        <v>2544</v>
      </c>
      <c r="AB327" s="3" t="s">
        <v>2543</v>
      </c>
      <c r="AC327" s="3" t="s">
        <v>15328</v>
      </c>
      <c r="AD327" s="3">
        <v>94</v>
      </c>
      <c r="AE327" s="3" t="s">
        <v>1539</v>
      </c>
      <c r="AF327" s="3" t="s">
        <v>9025</v>
      </c>
      <c r="AG327" s="3" t="s">
        <v>15329</v>
      </c>
      <c r="AH327" s="3" t="s">
        <v>9026</v>
      </c>
      <c r="AI327" s="3" t="s">
        <v>468</v>
      </c>
      <c r="AJ327" s="3" t="s">
        <v>2569</v>
      </c>
      <c r="AK327" s="3" t="s">
        <v>3249</v>
      </c>
      <c r="AL327" s="3" t="s">
        <v>2588</v>
      </c>
      <c r="AM327" s="3">
        <v>3</v>
      </c>
      <c r="AN327" s="3" t="s">
        <v>7216</v>
      </c>
      <c r="AQ327" s="7" t="s">
        <v>15330</v>
      </c>
      <c r="AR327" s="3" t="s">
        <v>13271</v>
      </c>
      <c r="AS327" s="7" t="s">
        <v>15331</v>
      </c>
    </row>
    <row r="328" spans="1:45" ht="12.5" hidden="1" x14ac:dyDescent="0.25">
      <c r="A328" s="3" t="s">
        <v>12652</v>
      </c>
      <c r="B328" s="21" t="str">
        <f>HYPERLINK("https://gerandofalcoes.my.salesforce.com/0014P00003YSp7VQAT", "0014P00003YSp7VQAT")</f>
        <v>0014P00003YSp7VQAT</v>
      </c>
      <c r="C328" s="3" t="s">
        <v>9036</v>
      </c>
      <c r="D328" s="3" t="s">
        <v>46</v>
      </c>
      <c r="E328" s="21" t="str">
        <f>HYPERLINK("https://gerandofalcoes.my.salesforce.com/0034P000045kxi6", "0034P000045kxi6")</f>
        <v>0034P000045kxi6</v>
      </c>
      <c r="F328" s="3" t="s">
        <v>15332</v>
      </c>
      <c r="G328" s="3" t="s">
        <v>15333</v>
      </c>
      <c r="H328" s="3" t="s">
        <v>2538</v>
      </c>
      <c r="I328" s="3" t="s">
        <v>12654</v>
      </c>
      <c r="J328" s="3">
        <v>245</v>
      </c>
      <c r="K328" s="3" t="s">
        <v>15334</v>
      </c>
      <c r="L328" s="3" t="s">
        <v>15335</v>
      </c>
      <c r="M328" s="6">
        <v>29717</v>
      </c>
      <c r="N328" s="3">
        <v>41</v>
      </c>
      <c r="O328" s="3">
        <v>96028002509</v>
      </c>
      <c r="P328" s="3">
        <v>62173332368</v>
      </c>
      <c r="S328" s="3" t="s">
        <v>3137</v>
      </c>
      <c r="T328" s="3" t="s">
        <v>12656</v>
      </c>
      <c r="U328" s="3" t="s">
        <v>120</v>
      </c>
      <c r="V328" s="3" t="s">
        <v>15336</v>
      </c>
      <c r="X328" s="3" t="s">
        <v>2980</v>
      </c>
      <c r="Y328" s="3" t="s">
        <v>12684</v>
      </c>
      <c r="Z328" s="3" t="s">
        <v>12685</v>
      </c>
      <c r="AA328" s="3"/>
      <c r="AB328" s="3"/>
      <c r="AC328" s="3" t="s">
        <v>15337</v>
      </c>
      <c r="AD328" s="3">
        <v>81</v>
      </c>
      <c r="AE328" s="3" t="s">
        <v>13584</v>
      </c>
      <c r="AF328" s="3" t="s">
        <v>470</v>
      </c>
      <c r="AG328" s="3" t="s">
        <v>15338</v>
      </c>
      <c r="AH328" s="3" t="s">
        <v>15339</v>
      </c>
      <c r="AI328" s="3" t="s">
        <v>468</v>
      </c>
      <c r="AJ328" s="3" t="s">
        <v>2569</v>
      </c>
      <c r="AK328" s="3" t="s">
        <v>12661</v>
      </c>
      <c r="AL328" s="3" t="s">
        <v>2550</v>
      </c>
      <c r="AM328" s="3">
        <v>4</v>
      </c>
      <c r="AN328" s="3" t="s">
        <v>7216</v>
      </c>
      <c r="AQ328" s="3" t="s">
        <v>15340</v>
      </c>
      <c r="AR328" s="3" t="s">
        <v>12664</v>
      </c>
      <c r="AS328" s="7" t="s">
        <v>15341</v>
      </c>
    </row>
    <row r="329" spans="1:45" ht="12.5" hidden="1" x14ac:dyDescent="0.25">
      <c r="A329" s="3" t="s">
        <v>12652</v>
      </c>
      <c r="B329" s="21" t="str">
        <f>HYPERLINK("https://gerandofalcoes.my.salesforce.com/0014P00003YSp7WQAT", "0014P00003YSp7WQAT")</f>
        <v>0014P00003YSp7WQAT</v>
      </c>
      <c r="C329" s="3" t="s">
        <v>9044</v>
      </c>
      <c r="D329" s="3" t="s">
        <v>46</v>
      </c>
      <c r="E329" s="21" t="str">
        <f>HYPERLINK("https://gerandofalcoes.my.salesforce.com/0034P000045kxi7", "0034P000045kxi7")</f>
        <v>0034P000045kxi7</v>
      </c>
      <c r="F329" s="3" t="s">
        <v>15099</v>
      </c>
      <c r="G329" s="3" t="s">
        <v>15342</v>
      </c>
      <c r="H329" s="3" t="s">
        <v>2538</v>
      </c>
      <c r="I329" s="3" t="s">
        <v>12654</v>
      </c>
      <c r="J329" s="3">
        <v>245</v>
      </c>
      <c r="K329" s="3" t="s">
        <v>15343</v>
      </c>
      <c r="L329" s="3" t="s">
        <v>15344</v>
      </c>
      <c r="M329" s="6">
        <v>27774</v>
      </c>
      <c r="N329" s="3">
        <v>46</v>
      </c>
      <c r="O329" s="3">
        <v>4270227</v>
      </c>
      <c r="P329" s="3">
        <v>86848887404</v>
      </c>
      <c r="S329" s="3" t="s">
        <v>12864</v>
      </c>
      <c r="T329" s="3" t="s">
        <v>12656</v>
      </c>
      <c r="U329" s="3" t="s">
        <v>62</v>
      </c>
      <c r="V329" s="3" t="s">
        <v>15345</v>
      </c>
      <c r="X329" s="3" t="s">
        <v>2980</v>
      </c>
      <c r="Y329" s="3" t="s">
        <v>12670</v>
      </c>
      <c r="Z329" s="3" t="s">
        <v>2543</v>
      </c>
      <c r="AA329" s="3" t="s">
        <v>2544</v>
      </c>
      <c r="AB329" s="3" t="s">
        <v>2543</v>
      </c>
      <c r="AC329" s="3" t="s">
        <v>15346</v>
      </c>
      <c r="AD329" s="3">
        <v>10</v>
      </c>
      <c r="AE329" s="3" t="s">
        <v>1539</v>
      </c>
      <c r="AF329" s="3" t="s">
        <v>7226</v>
      </c>
      <c r="AG329" s="3" t="s">
        <v>9050</v>
      </c>
      <c r="AH329" s="3" t="s">
        <v>15347</v>
      </c>
      <c r="AI329" s="3" t="s">
        <v>379</v>
      </c>
      <c r="AJ329" s="3" t="s">
        <v>2569</v>
      </c>
      <c r="AK329" s="3" t="s">
        <v>12661</v>
      </c>
      <c r="AL329" s="3" t="s">
        <v>2588</v>
      </c>
      <c r="AM329" s="3">
        <v>3</v>
      </c>
      <c r="AN329" s="3" t="s">
        <v>7216</v>
      </c>
      <c r="AQ329" s="3" t="s">
        <v>15348</v>
      </c>
      <c r="AR329" s="3" t="s">
        <v>12676</v>
      </c>
      <c r="AS329" s="7" t="s">
        <v>15349</v>
      </c>
    </row>
    <row r="330" spans="1:45" ht="12.5" hidden="1" x14ac:dyDescent="0.25">
      <c r="A330" s="3" t="s">
        <v>12652</v>
      </c>
      <c r="B330" s="21" t="str">
        <f>HYPERLINK("https://gerandofalcoes.my.salesforce.com/0014P00003YSp7XQAT", "0014P00003YSp7XQAT")</f>
        <v>0014P00003YSp7XQAT</v>
      </c>
      <c r="C330" s="3" t="s">
        <v>9063</v>
      </c>
      <c r="D330" s="3" t="s">
        <v>46</v>
      </c>
      <c r="E330" s="21" t="str">
        <f>HYPERLINK("https://gerandofalcoes.my.salesforce.com/0034P000045kxi8", "0034P000045kxi8")</f>
        <v>0034P000045kxi8</v>
      </c>
      <c r="F330" s="3" t="s">
        <v>15350</v>
      </c>
      <c r="G330" s="3" t="s">
        <v>15351</v>
      </c>
      <c r="H330" s="3" t="s">
        <v>2538</v>
      </c>
      <c r="I330" s="3" t="s">
        <v>12654</v>
      </c>
      <c r="J330" s="3">
        <v>245</v>
      </c>
      <c r="K330" s="3" t="s">
        <v>15352</v>
      </c>
      <c r="L330" s="3" t="s">
        <v>9067</v>
      </c>
      <c r="M330" s="6">
        <v>33790</v>
      </c>
      <c r="N330" s="3">
        <v>30</v>
      </c>
      <c r="O330" s="3">
        <v>3211055</v>
      </c>
      <c r="P330" s="3">
        <v>7379526448</v>
      </c>
      <c r="S330" s="3" t="s">
        <v>3269</v>
      </c>
      <c r="T330" s="3" t="s">
        <v>12723</v>
      </c>
      <c r="U330" s="3" t="s">
        <v>62</v>
      </c>
      <c r="V330" s="3" t="s">
        <v>15353</v>
      </c>
      <c r="X330" s="3" t="s">
        <v>2980</v>
      </c>
      <c r="Y330" s="3" t="s">
        <v>12670</v>
      </c>
      <c r="Z330" s="3" t="s">
        <v>2543</v>
      </c>
      <c r="AA330" s="3" t="s">
        <v>2544</v>
      </c>
      <c r="AB330" s="3" t="s">
        <v>2543</v>
      </c>
      <c r="AC330" s="3" t="s">
        <v>15354</v>
      </c>
      <c r="AD330" s="3">
        <v>51</v>
      </c>
      <c r="AE330" s="3" t="s">
        <v>15355</v>
      </c>
      <c r="AF330" s="3" t="s">
        <v>6725</v>
      </c>
      <c r="AG330" s="3" t="s">
        <v>9069</v>
      </c>
      <c r="AH330" s="3" t="s">
        <v>9071</v>
      </c>
      <c r="AI330" s="3" t="s">
        <v>195</v>
      </c>
      <c r="AJ330" s="3" t="s">
        <v>2569</v>
      </c>
      <c r="AK330" s="3" t="s">
        <v>12828</v>
      </c>
      <c r="AL330" s="3" t="s">
        <v>2550</v>
      </c>
      <c r="AM330" s="3">
        <v>3</v>
      </c>
      <c r="AN330" s="3" t="s">
        <v>7216</v>
      </c>
      <c r="AP330" s="3"/>
      <c r="AQ330" s="7" t="s">
        <v>9076</v>
      </c>
      <c r="AR330" s="3" t="s">
        <v>12676</v>
      </c>
      <c r="AS330" s="7" t="s">
        <v>15356</v>
      </c>
    </row>
    <row r="331" spans="1:45" ht="12.5" hidden="1" x14ac:dyDescent="0.25">
      <c r="A331" s="3" t="s">
        <v>12652</v>
      </c>
      <c r="B331" s="21" t="str">
        <f>HYPERLINK("https://gerandofalcoes.my.salesforce.com/0014P00003YSp7ZQAT", "0014P00003YSp7ZQAT")</f>
        <v>0014P00003YSp7ZQAT</v>
      </c>
      <c r="C331" s="3" t="s">
        <v>9078</v>
      </c>
      <c r="D331" s="3" t="s">
        <v>46</v>
      </c>
      <c r="E331" s="21" t="str">
        <f>HYPERLINK("https://gerandofalcoes.my.salesforce.com/0034P000045kxiA", "0034P000045kxiA")</f>
        <v>0034P000045kxiA</v>
      </c>
      <c r="F331" s="3" t="s">
        <v>15357</v>
      </c>
      <c r="G331" s="3" t="s">
        <v>15358</v>
      </c>
      <c r="H331" s="3" t="s">
        <v>2538</v>
      </c>
      <c r="I331" s="3" t="s">
        <v>12654</v>
      </c>
      <c r="J331" s="3">
        <v>245</v>
      </c>
      <c r="K331" s="3" t="s">
        <v>15359</v>
      </c>
      <c r="L331" s="3" t="s">
        <v>15360</v>
      </c>
      <c r="M331" s="6">
        <v>30755</v>
      </c>
      <c r="N331" s="3">
        <v>38</v>
      </c>
      <c r="O331" s="3">
        <v>1112784063</v>
      </c>
      <c r="P331" s="3">
        <v>1084555565</v>
      </c>
      <c r="S331" s="3" t="s">
        <v>3137</v>
      </c>
      <c r="T331" s="3" t="s">
        <v>12656</v>
      </c>
      <c r="U331" s="3" t="s">
        <v>62</v>
      </c>
      <c r="V331" s="3" t="s">
        <v>15361</v>
      </c>
      <c r="X331" s="3" t="s">
        <v>2980</v>
      </c>
      <c r="Y331" s="3" t="s">
        <v>12658</v>
      </c>
      <c r="Z331" s="3" t="s">
        <v>2543</v>
      </c>
      <c r="AA331" s="3" t="s">
        <v>2544</v>
      </c>
      <c r="AB331" s="3" t="s">
        <v>2545</v>
      </c>
      <c r="AC331" s="3" t="s">
        <v>15362</v>
      </c>
      <c r="AD331" s="3">
        <v>24</v>
      </c>
      <c r="AE331" s="3" t="s">
        <v>15363</v>
      </c>
      <c r="AF331" s="3" t="s">
        <v>1848</v>
      </c>
      <c r="AG331" s="3" t="s">
        <v>15364</v>
      </c>
      <c r="AH331" s="3" t="s">
        <v>15365</v>
      </c>
      <c r="AI331" s="3" t="s">
        <v>1002</v>
      </c>
      <c r="AJ331" s="3" t="s">
        <v>2569</v>
      </c>
      <c r="AK331" s="3" t="s">
        <v>12729</v>
      </c>
      <c r="AL331" s="3" t="s">
        <v>2579</v>
      </c>
      <c r="AM331" s="3">
        <v>1</v>
      </c>
      <c r="AN331" s="3" t="s">
        <v>7216</v>
      </c>
      <c r="AP331" s="3" t="s">
        <v>3032</v>
      </c>
      <c r="AQ331" s="3" t="s">
        <v>15366</v>
      </c>
      <c r="AR331" s="3" t="s">
        <v>12676</v>
      </c>
      <c r="AS331" s="7" t="s">
        <v>15367</v>
      </c>
    </row>
    <row r="332" spans="1:45" ht="12.5" hidden="1" x14ac:dyDescent="0.25">
      <c r="A332" s="3" t="s">
        <v>12652</v>
      </c>
      <c r="B332" s="21" t="str">
        <f>HYPERLINK("https://gerandofalcoes.my.salesforce.com/0014P00003YSp7aQAD", "0014P00003YSp7aQAD")</f>
        <v>0014P00003YSp7aQAD</v>
      </c>
      <c r="C332" s="3" t="s">
        <v>9093</v>
      </c>
      <c r="D332" s="3" t="s">
        <v>46</v>
      </c>
      <c r="E332" s="21" t="str">
        <f>HYPERLINK("https://gerandofalcoes.my.salesforce.com/0034P000045kxiB", "0034P000045kxiB")</f>
        <v>0034P000045kxiB</v>
      </c>
      <c r="F332" s="3" t="s">
        <v>2658</v>
      </c>
      <c r="G332" s="3" t="s">
        <v>15368</v>
      </c>
      <c r="H332" s="3" t="s">
        <v>2538</v>
      </c>
      <c r="I332" s="3" t="s">
        <v>12654</v>
      </c>
      <c r="J332" s="3">
        <v>245</v>
      </c>
      <c r="K332" s="3" t="s">
        <v>15369</v>
      </c>
      <c r="L332" s="3" t="s">
        <v>9096</v>
      </c>
      <c r="M332" s="6">
        <v>31173</v>
      </c>
      <c r="N332" s="3">
        <v>37</v>
      </c>
      <c r="O332" s="3">
        <v>879560126</v>
      </c>
      <c r="P332" s="3">
        <v>1914837533</v>
      </c>
      <c r="S332" s="3" t="s">
        <v>2998</v>
      </c>
      <c r="T332" s="3" t="s">
        <v>13608</v>
      </c>
      <c r="U332" s="3" t="s">
        <v>62</v>
      </c>
      <c r="V332" s="3" t="s">
        <v>15370</v>
      </c>
      <c r="X332" s="3" t="s">
        <v>2980</v>
      </c>
      <c r="Y332" s="3" t="s">
        <v>12670</v>
      </c>
      <c r="Z332" s="3" t="s">
        <v>2545</v>
      </c>
      <c r="AA332" s="3" t="s">
        <v>2544</v>
      </c>
      <c r="AB332" s="3" t="s">
        <v>2545</v>
      </c>
      <c r="AC332" s="3" t="s">
        <v>15371</v>
      </c>
      <c r="AD332" s="3">
        <v>1</v>
      </c>
      <c r="AE332" s="3" t="s">
        <v>15372</v>
      </c>
      <c r="AF332" s="3" t="s">
        <v>1848</v>
      </c>
      <c r="AG332" s="3" t="s">
        <v>4762</v>
      </c>
      <c r="AH332" s="3" t="s">
        <v>15373</v>
      </c>
      <c r="AI332" s="3" t="s">
        <v>1002</v>
      </c>
      <c r="AJ332" s="3" t="s">
        <v>2569</v>
      </c>
      <c r="AK332" s="3" t="s">
        <v>15374</v>
      </c>
      <c r="AL332" s="3" t="s">
        <v>2550</v>
      </c>
      <c r="AM332" s="3">
        <v>7</v>
      </c>
      <c r="AN332" s="3" t="s">
        <v>7216</v>
      </c>
      <c r="AP332" s="7" t="s">
        <v>15375</v>
      </c>
      <c r="AQ332" s="7" t="s">
        <v>15376</v>
      </c>
      <c r="AR332" s="3" t="s">
        <v>12664</v>
      </c>
      <c r="AS332" s="7" t="s">
        <v>15377</v>
      </c>
    </row>
    <row r="333" spans="1:45" ht="12.5" hidden="1" x14ac:dyDescent="0.25">
      <c r="A333" s="3" t="s">
        <v>12652</v>
      </c>
      <c r="B333" s="21" t="str">
        <f>HYPERLINK("https://gerandofalcoes.my.salesforce.com/0014P00003YSp7bQAD", "0014P00003YSp7bQAD")</f>
        <v>0014P00003YSp7bQAD</v>
      </c>
      <c r="C333" s="3" t="s">
        <v>9102</v>
      </c>
      <c r="D333" s="3" t="s">
        <v>46</v>
      </c>
      <c r="E333" s="21" t="str">
        <f>HYPERLINK("https://gerandofalcoes.my.salesforce.com/0034P000045kxiC", "0034P000045kxiC")</f>
        <v>0034P000045kxiC</v>
      </c>
      <c r="F333" s="3" t="s">
        <v>3504</v>
      </c>
      <c r="G333" s="3" t="s">
        <v>15378</v>
      </c>
      <c r="H333" s="3" t="s">
        <v>2538</v>
      </c>
      <c r="I333" s="3" t="s">
        <v>12654</v>
      </c>
      <c r="J333" s="3">
        <v>245</v>
      </c>
      <c r="K333" s="3" t="s">
        <v>15379</v>
      </c>
      <c r="L333" s="3" t="s">
        <v>15380</v>
      </c>
      <c r="M333" s="6">
        <v>19925</v>
      </c>
      <c r="N333" s="3">
        <v>68</v>
      </c>
      <c r="O333" s="3">
        <v>98010174100</v>
      </c>
      <c r="P333" s="3">
        <v>7663870468</v>
      </c>
      <c r="S333" s="3" t="s">
        <v>3498</v>
      </c>
      <c r="T333" s="3" t="s">
        <v>12723</v>
      </c>
      <c r="U333" s="3" t="s">
        <v>62</v>
      </c>
      <c r="V333" s="7" t="s">
        <v>15381</v>
      </c>
      <c r="X333" s="3" t="s">
        <v>2980</v>
      </c>
      <c r="Y333" s="3" t="s">
        <v>12713</v>
      </c>
      <c r="Z333" s="3" t="s">
        <v>15327</v>
      </c>
      <c r="AA333" s="3" t="s">
        <v>2544</v>
      </c>
      <c r="AB333" s="3" t="s">
        <v>2545</v>
      </c>
      <c r="AC333" s="3" t="s">
        <v>15382</v>
      </c>
      <c r="AD333" s="3">
        <v>564</v>
      </c>
      <c r="AE333" s="3" t="s">
        <v>1539</v>
      </c>
      <c r="AF333" s="3" t="s">
        <v>470</v>
      </c>
      <c r="AG333" s="3" t="s">
        <v>15383</v>
      </c>
      <c r="AH333" s="3" t="s">
        <v>15384</v>
      </c>
      <c r="AI333" s="3" t="s">
        <v>468</v>
      </c>
      <c r="AJ333" s="3" t="s">
        <v>2741</v>
      </c>
      <c r="AK333" s="3" t="s">
        <v>12661</v>
      </c>
      <c r="AL333" s="3" t="s">
        <v>2550</v>
      </c>
      <c r="AM333" s="3">
        <v>4</v>
      </c>
      <c r="AN333" s="3" t="s">
        <v>7216</v>
      </c>
      <c r="AP333" s="3"/>
      <c r="AQ333" s="3" t="s">
        <v>15385</v>
      </c>
      <c r="AR333" s="3" t="s">
        <v>12664</v>
      </c>
      <c r="AS333" s="7" t="s">
        <v>15386</v>
      </c>
    </row>
    <row r="334" spans="1:45" ht="12.5" hidden="1" x14ac:dyDescent="0.25">
      <c r="A334" s="3" t="s">
        <v>12652</v>
      </c>
      <c r="B334" s="21" t="str">
        <f>HYPERLINK("https://gerandofalcoes.my.salesforce.com/0014P00003YSp7dQAD", "0014P00003YSp7dQAD")</f>
        <v>0014P00003YSp7dQAD</v>
      </c>
      <c r="C334" s="3" t="s">
        <v>9121</v>
      </c>
      <c r="D334" s="3" t="s">
        <v>46</v>
      </c>
      <c r="E334" s="21" t="str">
        <f>HYPERLINK("https://gerandofalcoes.my.salesforce.com/0034P000045kxiE", "0034P000045kxiE")</f>
        <v>0034P000045kxiE</v>
      </c>
      <c r="F334" s="3" t="s">
        <v>15387</v>
      </c>
      <c r="G334" s="3" t="s">
        <v>15388</v>
      </c>
      <c r="H334" s="3" t="s">
        <v>2538</v>
      </c>
      <c r="I334" s="3" t="s">
        <v>12654</v>
      </c>
      <c r="J334" s="3">
        <v>245</v>
      </c>
      <c r="K334" s="3" t="s">
        <v>15389</v>
      </c>
      <c r="L334" s="3" t="s">
        <v>15390</v>
      </c>
      <c r="M334" s="6">
        <v>37245</v>
      </c>
      <c r="N334" s="3">
        <v>21</v>
      </c>
      <c r="O334" s="3">
        <v>2565979</v>
      </c>
      <c r="P334" s="3">
        <v>85409812468</v>
      </c>
      <c r="S334" s="3" t="s">
        <v>3269</v>
      </c>
      <c r="T334" s="3" t="s">
        <v>12682</v>
      </c>
      <c r="U334" s="3" t="s">
        <v>120</v>
      </c>
      <c r="V334" s="3" t="s">
        <v>15391</v>
      </c>
      <c r="X334" s="3" t="s">
        <v>2980</v>
      </c>
      <c r="Y334" s="3" t="s">
        <v>12670</v>
      </c>
      <c r="Z334" s="3" t="s">
        <v>2543</v>
      </c>
      <c r="AA334" s="3" t="s">
        <v>2577</v>
      </c>
      <c r="AB334" s="3" t="s">
        <v>2543</v>
      </c>
      <c r="AC334" s="3" t="s">
        <v>15392</v>
      </c>
      <c r="AD334" s="3">
        <v>381</v>
      </c>
      <c r="AE334" s="3" t="s">
        <v>15393</v>
      </c>
      <c r="AF334" s="3" t="s">
        <v>9128</v>
      </c>
      <c r="AG334" s="3" t="s">
        <v>15394</v>
      </c>
      <c r="AH334" s="3" t="s">
        <v>15395</v>
      </c>
      <c r="AI334" s="3" t="s">
        <v>1171</v>
      </c>
      <c r="AJ334" s="3" t="s">
        <v>2741</v>
      </c>
      <c r="AK334" s="3" t="s">
        <v>15396</v>
      </c>
      <c r="AL334" s="3" t="s">
        <v>2550</v>
      </c>
      <c r="AM334" s="3">
        <v>2</v>
      </c>
      <c r="AN334" s="3" t="s">
        <v>7216</v>
      </c>
      <c r="AP334" s="7" t="s">
        <v>15397</v>
      </c>
      <c r="AQ334" s="7" t="s">
        <v>15398</v>
      </c>
      <c r="AR334" s="3" t="s">
        <v>12676</v>
      </c>
      <c r="AS334" s="7" t="s">
        <v>15399</v>
      </c>
    </row>
    <row r="335" spans="1:45" ht="12.5" hidden="1" x14ac:dyDescent="0.25">
      <c r="A335" s="3" t="s">
        <v>12652</v>
      </c>
      <c r="B335" s="21" t="str">
        <f>HYPERLINK("https://gerandofalcoes.my.salesforce.com/0014P00003YSp7eQAD", "0014P00003YSp7eQAD")</f>
        <v>0014P00003YSp7eQAD</v>
      </c>
      <c r="C335" s="3" t="s">
        <v>9142</v>
      </c>
      <c r="D335" s="3" t="s">
        <v>46</v>
      </c>
      <c r="E335" s="21" t="str">
        <f>HYPERLINK("https://gerandofalcoes.my.salesforce.com/0034P000045kxiF", "0034P000045kxiF")</f>
        <v>0034P000045kxiF</v>
      </c>
      <c r="F335" s="3" t="s">
        <v>15400</v>
      </c>
      <c r="G335" s="3" t="s">
        <v>15401</v>
      </c>
      <c r="H335" s="3" t="s">
        <v>2538</v>
      </c>
      <c r="I335" s="3" t="s">
        <v>12654</v>
      </c>
      <c r="J335" s="3">
        <v>245</v>
      </c>
      <c r="K335" s="3" t="s">
        <v>15402</v>
      </c>
      <c r="L335" s="3" t="s">
        <v>15403</v>
      </c>
      <c r="M335" s="6">
        <v>34057</v>
      </c>
      <c r="N335" s="3">
        <v>29</v>
      </c>
      <c r="O335" s="3">
        <v>2009009151928</v>
      </c>
      <c r="P335" s="3">
        <v>60409528307</v>
      </c>
      <c r="S335" s="3" t="s">
        <v>3137</v>
      </c>
      <c r="T335" s="3" t="s">
        <v>12723</v>
      </c>
      <c r="U335" s="3" t="s">
        <v>62</v>
      </c>
      <c r="V335" s="3" t="s">
        <v>15404</v>
      </c>
      <c r="X335" s="3" t="s">
        <v>2980</v>
      </c>
      <c r="Y335" s="3" t="s">
        <v>12684</v>
      </c>
      <c r="Z335" s="3" t="s">
        <v>12685</v>
      </c>
      <c r="AA335" s="3" t="s">
        <v>2544</v>
      </c>
      <c r="AB335" s="3" t="s">
        <v>2545</v>
      </c>
      <c r="AC335" s="3" t="s">
        <v>15405</v>
      </c>
      <c r="AD335" s="3">
        <v>100</v>
      </c>
      <c r="AE335" s="3" t="s">
        <v>15406</v>
      </c>
      <c r="AF335" s="3" t="s">
        <v>470</v>
      </c>
      <c r="AG335" s="3" t="s">
        <v>15407</v>
      </c>
      <c r="AH335" s="3" t="s">
        <v>15408</v>
      </c>
      <c r="AI335" s="3" t="s">
        <v>468</v>
      </c>
      <c r="AJ335" s="3" t="s">
        <v>2569</v>
      </c>
      <c r="AK335" s="3" t="s">
        <v>3249</v>
      </c>
      <c r="AL335" s="3" t="s">
        <v>2588</v>
      </c>
      <c r="AM335" s="3">
        <v>1</v>
      </c>
      <c r="AN335" s="3" t="s">
        <v>7216</v>
      </c>
      <c r="AP335" s="7" t="s">
        <v>15409</v>
      </c>
      <c r="AQ335" s="7" t="s">
        <v>15410</v>
      </c>
      <c r="AR335" s="3" t="s">
        <v>12664</v>
      </c>
      <c r="AS335" s="7" t="s">
        <v>15411</v>
      </c>
    </row>
    <row r="336" spans="1:45" ht="12.5" hidden="1" x14ac:dyDescent="0.25">
      <c r="A336" s="3" t="s">
        <v>12652</v>
      </c>
      <c r="B336" s="21" t="str">
        <f>HYPERLINK("https://gerandofalcoes.my.salesforce.com/0014P00003YSp7fQAD", "0014P00003YSp7fQAD")</f>
        <v>0014P00003YSp7fQAD</v>
      </c>
      <c r="C336" s="3" t="s">
        <v>9162</v>
      </c>
      <c r="D336" s="3" t="s">
        <v>46</v>
      </c>
      <c r="E336" s="21" t="str">
        <f>HYPERLINK("https://gerandofalcoes.my.salesforce.com/0034P000045kxiG", "0034P000045kxiG")</f>
        <v>0034P000045kxiG</v>
      </c>
      <c r="F336" s="3" t="s">
        <v>15412</v>
      </c>
      <c r="G336" s="3" t="s">
        <v>15413</v>
      </c>
      <c r="H336" s="3" t="s">
        <v>2538</v>
      </c>
      <c r="I336" s="3" t="s">
        <v>12654</v>
      </c>
      <c r="J336" s="3">
        <v>245</v>
      </c>
      <c r="K336" s="3" t="s">
        <v>9164</v>
      </c>
      <c r="L336" s="3" t="s">
        <v>15414</v>
      </c>
      <c r="M336" s="6">
        <v>29644</v>
      </c>
      <c r="N336" s="3">
        <v>41</v>
      </c>
      <c r="O336" s="3">
        <v>664123317</v>
      </c>
      <c r="P336" s="3">
        <v>79233619591</v>
      </c>
      <c r="S336" s="3" t="s">
        <v>3605</v>
      </c>
      <c r="T336" s="3" t="s">
        <v>12656</v>
      </c>
      <c r="U336" s="3" t="s">
        <v>62</v>
      </c>
      <c r="V336" s="3" t="s">
        <v>15415</v>
      </c>
      <c r="X336" s="3" t="s">
        <v>2980</v>
      </c>
      <c r="Y336" s="3" t="s">
        <v>12670</v>
      </c>
      <c r="Z336" s="3" t="s">
        <v>2543</v>
      </c>
      <c r="AA336" s="3" t="s">
        <v>2544</v>
      </c>
      <c r="AB336" s="3" t="s">
        <v>2545</v>
      </c>
      <c r="AC336" s="3" t="s">
        <v>9166</v>
      </c>
      <c r="AD336" s="3">
        <v>225</v>
      </c>
      <c r="AE336" s="3"/>
      <c r="AF336" s="3" t="s">
        <v>1848</v>
      </c>
      <c r="AG336" s="3" t="s">
        <v>15416</v>
      </c>
      <c r="AH336" s="3" t="s">
        <v>9167</v>
      </c>
      <c r="AI336" s="3" t="s">
        <v>1002</v>
      </c>
      <c r="AJ336" s="3" t="s">
        <v>2569</v>
      </c>
      <c r="AK336" s="3" t="s">
        <v>12729</v>
      </c>
      <c r="AL336" s="3" t="s">
        <v>2550</v>
      </c>
      <c r="AM336" s="3">
        <v>5</v>
      </c>
      <c r="AN336" s="3" t="s">
        <v>7216</v>
      </c>
      <c r="AP336" s="3"/>
      <c r="AQ336" s="3" t="s">
        <v>15417</v>
      </c>
      <c r="AR336" s="3" t="s">
        <v>12676</v>
      </c>
      <c r="AS336" s="7" t="s">
        <v>15418</v>
      </c>
    </row>
    <row r="337" spans="1:45" ht="12.5" hidden="1" x14ac:dyDescent="0.25">
      <c r="A337" s="3" t="s">
        <v>12652</v>
      </c>
      <c r="B337" s="21" t="str">
        <f>HYPERLINK("https://gerandofalcoes.my.salesforce.com/0014P00003YSp7hQAD", "0014P00003YSp7hQAD")</f>
        <v>0014P00003YSp7hQAD</v>
      </c>
      <c r="C337" s="3" t="s">
        <v>9171</v>
      </c>
      <c r="D337" s="3" t="s">
        <v>46</v>
      </c>
      <c r="E337" s="21" t="str">
        <f>HYPERLINK("https://gerandofalcoes.my.salesforce.com/0034P000045kxiI", "0034P000045kxiI")</f>
        <v>0034P000045kxiI</v>
      </c>
      <c r="F337" s="3" t="s">
        <v>2678</v>
      </c>
      <c r="G337" s="3" t="s">
        <v>15419</v>
      </c>
      <c r="H337" s="3" t="s">
        <v>2538</v>
      </c>
      <c r="I337" s="3" t="s">
        <v>12654</v>
      </c>
      <c r="J337" s="3">
        <v>245</v>
      </c>
      <c r="K337" s="3" t="s">
        <v>15420</v>
      </c>
      <c r="L337" s="3">
        <v>81998471714</v>
      </c>
      <c r="M337" s="6">
        <v>32146</v>
      </c>
      <c r="N337" s="3">
        <v>34</v>
      </c>
      <c r="O337" s="3">
        <v>7938553</v>
      </c>
      <c r="P337" s="3">
        <v>7973069437</v>
      </c>
      <c r="S337" s="3" t="s">
        <v>3269</v>
      </c>
      <c r="T337" s="3" t="s">
        <v>12723</v>
      </c>
      <c r="U337" s="3" t="s">
        <v>62</v>
      </c>
      <c r="V337" s="3" t="s">
        <v>15421</v>
      </c>
      <c r="X337" s="3"/>
      <c r="Y337" s="3" t="s">
        <v>12736</v>
      </c>
      <c r="Z337" s="3" t="s">
        <v>2543</v>
      </c>
      <c r="AA337" s="3" t="s">
        <v>2544</v>
      </c>
      <c r="AB337" s="3" t="s">
        <v>2545</v>
      </c>
      <c r="AC337" s="3" t="s">
        <v>15422</v>
      </c>
      <c r="AD337" s="3">
        <v>82</v>
      </c>
      <c r="AE337" s="3" t="s">
        <v>673</v>
      </c>
      <c r="AF337" s="3" t="s">
        <v>15423</v>
      </c>
      <c r="AG337" s="3" t="s">
        <v>9176</v>
      </c>
      <c r="AH337" s="3" t="s">
        <v>9178</v>
      </c>
      <c r="AI337" s="3" t="s">
        <v>379</v>
      </c>
      <c r="AJ337" s="3"/>
      <c r="AK337" s="3"/>
      <c r="AL337" s="3"/>
      <c r="AM337" s="3"/>
      <c r="AN337" s="3" t="s">
        <v>7216</v>
      </c>
      <c r="AP337" s="7" t="s">
        <v>15424</v>
      </c>
      <c r="AQ337" s="7" t="s">
        <v>15425</v>
      </c>
      <c r="AR337" s="3"/>
      <c r="AS337" s="7" t="s">
        <v>15426</v>
      </c>
    </row>
    <row r="338" spans="1:45" ht="12.5" hidden="1" x14ac:dyDescent="0.25">
      <c r="A338" s="3" t="s">
        <v>12652</v>
      </c>
      <c r="B338" s="21" t="str">
        <f>HYPERLINK("https://gerandofalcoes.my.salesforce.com/0014P00003YSp7iQAD", "0014P00003YSp7iQAD")</f>
        <v>0014P00003YSp7iQAD</v>
      </c>
      <c r="C338" s="3" t="s">
        <v>9186</v>
      </c>
      <c r="D338" s="3" t="s">
        <v>46</v>
      </c>
      <c r="E338" s="21" t="str">
        <f>HYPERLINK("https://gerandofalcoes.my.salesforce.com/0034P000045kxiJ", "0034P000045kxiJ")</f>
        <v>0034P000045kxiJ</v>
      </c>
      <c r="F338" s="3" t="s">
        <v>15427</v>
      </c>
      <c r="G338" s="3" t="s">
        <v>15428</v>
      </c>
      <c r="H338" s="3" t="s">
        <v>2538</v>
      </c>
      <c r="I338" s="3" t="s">
        <v>12654</v>
      </c>
      <c r="J338" s="3">
        <v>245</v>
      </c>
      <c r="K338" s="3" t="s">
        <v>15429</v>
      </c>
      <c r="L338" s="3" t="s">
        <v>9190</v>
      </c>
      <c r="M338" s="6">
        <v>33472</v>
      </c>
      <c r="N338" s="3">
        <v>31</v>
      </c>
      <c r="O338" s="3">
        <v>21908842</v>
      </c>
      <c r="P338" s="3">
        <v>95763074220</v>
      </c>
      <c r="S338" s="3" t="s">
        <v>3137</v>
      </c>
      <c r="T338" s="3" t="s">
        <v>12656</v>
      </c>
      <c r="U338" s="3" t="s">
        <v>120</v>
      </c>
      <c r="V338" s="3" t="s">
        <v>15430</v>
      </c>
      <c r="X338" s="3" t="s">
        <v>2980</v>
      </c>
      <c r="Y338" s="3" t="s">
        <v>12670</v>
      </c>
      <c r="Z338" s="3" t="s">
        <v>2543</v>
      </c>
      <c r="AA338" s="3" t="s">
        <v>2544</v>
      </c>
      <c r="AB338" s="3" t="s">
        <v>2545</v>
      </c>
      <c r="AC338" s="3" t="s">
        <v>15431</v>
      </c>
      <c r="AD338" s="3" t="s">
        <v>15432</v>
      </c>
      <c r="AE338" s="3" t="s">
        <v>7749</v>
      </c>
      <c r="AF338" s="3" t="s">
        <v>7514</v>
      </c>
      <c r="AG338" s="3" t="s">
        <v>15433</v>
      </c>
      <c r="AH338" s="3" t="s">
        <v>15434</v>
      </c>
      <c r="AI338" s="3" t="s">
        <v>1871</v>
      </c>
      <c r="AJ338" s="3" t="s">
        <v>2741</v>
      </c>
      <c r="AK338" s="3" t="s">
        <v>12661</v>
      </c>
      <c r="AL338" s="3" t="s">
        <v>2550</v>
      </c>
      <c r="AM338" s="3">
        <v>5</v>
      </c>
      <c r="AN338" s="3" t="s">
        <v>14269</v>
      </c>
      <c r="AP338" s="7" t="s">
        <v>15435</v>
      </c>
      <c r="AQ338" s="7" t="s">
        <v>15436</v>
      </c>
      <c r="AR338" s="3" t="s">
        <v>12676</v>
      </c>
      <c r="AS338" s="7" t="s">
        <v>15437</v>
      </c>
    </row>
    <row r="339" spans="1:45" ht="12.5" hidden="1" x14ac:dyDescent="0.25">
      <c r="A339" s="3" t="s">
        <v>12652</v>
      </c>
      <c r="B339" s="21" t="str">
        <f>HYPERLINK("https://gerandofalcoes.my.salesforce.com/0014P00003YSp7kQAD", "0014P00003YSp7kQAD")</f>
        <v>0014P00003YSp7kQAD</v>
      </c>
      <c r="C339" s="3" t="s">
        <v>4725</v>
      </c>
      <c r="D339" s="3" t="s">
        <v>46</v>
      </c>
      <c r="E339" s="21" t="str">
        <f>HYPERLINK("https://gerandofalcoes.my.salesforce.com/0034P000045kxiL", "0034P000045kxiL")</f>
        <v>0034P000045kxiL</v>
      </c>
      <c r="F339" s="3" t="s">
        <v>2678</v>
      </c>
      <c r="G339" s="3" t="s">
        <v>15438</v>
      </c>
      <c r="H339" s="3" t="s">
        <v>2538</v>
      </c>
      <c r="I339" s="3" t="s">
        <v>12654</v>
      </c>
      <c r="J339" s="3">
        <v>245</v>
      </c>
      <c r="K339" s="3" t="s">
        <v>15439</v>
      </c>
      <c r="L339" s="3" t="s">
        <v>9208</v>
      </c>
      <c r="M339" s="6">
        <v>20466</v>
      </c>
      <c r="N339" s="3">
        <v>66</v>
      </c>
      <c r="O339" s="3">
        <v>103786180</v>
      </c>
      <c r="P339" s="3">
        <v>70998400530</v>
      </c>
      <c r="S339" s="3" t="s">
        <v>3417</v>
      </c>
      <c r="T339" s="3" t="s">
        <v>12656</v>
      </c>
      <c r="U339" s="3" t="s">
        <v>120</v>
      </c>
      <c r="V339" s="3" t="s">
        <v>15440</v>
      </c>
      <c r="X339" s="3" t="s">
        <v>2980</v>
      </c>
      <c r="Y339" s="3" t="s">
        <v>12684</v>
      </c>
      <c r="Z339" s="3" t="s">
        <v>12685</v>
      </c>
      <c r="AB339" s="3" t="s">
        <v>2543</v>
      </c>
      <c r="AC339" s="3" t="s">
        <v>15441</v>
      </c>
      <c r="AD339" s="3">
        <v>20</v>
      </c>
      <c r="AE339" s="3" t="s">
        <v>15442</v>
      </c>
      <c r="AF339" s="3" t="s">
        <v>4733</v>
      </c>
      <c r="AG339" s="3" t="s">
        <v>15443</v>
      </c>
      <c r="AH339" s="3" t="s">
        <v>15444</v>
      </c>
      <c r="AI339" s="3" t="s">
        <v>1002</v>
      </c>
      <c r="AJ339" s="3" t="s">
        <v>2569</v>
      </c>
      <c r="AK339" s="3" t="s">
        <v>12729</v>
      </c>
      <c r="AL339" s="3" t="s">
        <v>2550</v>
      </c>
      <c r="AM339" s="3">
        <v>1</v>
      </c>
      <c r="AN339" s="3" t="s">
        <v>7216</v>
      </c>
      <c r="AO339" s="3"/>
      <c r="AQ339" s="3" t="s">
        <v>15445</v>
      </c>
      <c r="AR339" s="3" t="s">
        <v>12676</v>
      </c>
      <c r="AS339" s="7" t="s">
        <v>15446</v>
      </c>
    </row>
    <row r="340" spans="1:45" ht="12.5" hidden="1" x14ac:dyDescent="0.25">
      <c r="A340" s="3" t="s">
        <v>12652</v>
      </c>
      <c r="B340" s="21" t="str">
        <f>HYPERLINK("https://gerandofalcoes.my.salesforce.com/0014P00003YSp7lQAD", "0014P00003YSp7lQAD")</f>
        <v>0014P00003YSp7lQAD</v>
      </c>
      <c r="C340" s="3" t="s">
        <v>9218</v>
      </c>
      <c r="D340" s="3" t="s">
        <v>46</v>
      </c>
      <c r="E340" s="21" t="str">
        <f>HYPERLINK("https://gerandofalcoes.my.salesforce.com/0034P000045kxiM", "0034P000045kxiM")</f>
        <v>0034P000045kxiM</v>
      </c>
      <c r="F340" s="3" t="s">
        <v>15447</v>
      </c>
      <c r="G340" s="3" t="s">
        <v>3242</v>
      </c>
      <c r="H340" s="3" t="s">
        <v>2538</v>
      </c>
      <c r="I340" s="3" t="s">
        <v>12654</v>
      </c>
      <c r="J340" s="3">
        <v>245</v>
      </c>
      <c r="K340" s="3" t="s">
        <v>15448</v>
      </c>
      <c r="L340" s="3" t="s">
        <v>15449</v>
      </c>
      <c r="M340" s="6">
        <v>30718</v>
      </c>
      <c r="N340" s="3">
        <v>38</v>
      </c>
      <c r="O340" s="3">
        <v>879846950</v>
      </c>
      <c r="P340" s="3">
        <v>2137614596</v>
      </c>
      <c r="S340" s="3" t="s">
        <v>3137</v>
      </c>
      <c r="T340" s="3" t="s">
        <v>12656</v>
      </c>
      <c r="U340" s="3" t="s">
        <v>62</v>
      </c>
      <c r="V340" s="3" t="s">
        <v>15450</v>
      </c>
      <c r="X340" s="3" t="s">
        <v>2980</v>
      </c>
      <c r="Y340" s="3" t="s">
        <v>12670</v>
      </c>
      <c r="Z340" s="3" t="s">
        <v>2543</v>
      </c>
      <c r="AA340" s="3" t="s">
        <v>2544</v>
      </c>
      <c r="AB340" s="3" t="s">
        <v>2545</v>
      </c>
      <c r="AC340" s="3" t="s">
        <v>15451</v>
      </c>
      <c r="AD340" s="3">
        <v>281</v>
      </c>
      <c r="AE340" s="3" t="s">
        <v>15452</v>
      </c>
      <c r="AF340" s="3" t="s">
        <v>1848</v>
      </c>
      <c r="AG340" s="3" t="s">
        <v>9224</v>
      </c>
      <c r="AH340" s="3" t="s">
        <v>15453</v>
      </c>
      <c r="AI340" s="3" t="s">
        <v>1002</v>
      </c>
      <c r="AJ340" s="3" t="s">
        <v>2569</v>
      </c>
      <c r="AK340" s="3" t="s">
        <v>12729</v>
      </c>
      <c r="AL340" s="3" t="s">
        <v>2588</v>
      </c>
      <c r="AM340" s="3">
        <v>1</v>
      </c>
      <c r="AN340" s="3" t="s">
        <v>7216</v>
      </c>
      <c r="AO340" s="3"/>
      <c r="AQ340" s="7" t="s">
        <v>15454</v>
      </c>
      <c r="AR340" s="3" t="s">
        <v>12676</v>
      </c>
      <c r="AS340" s="7" t="s">
        <v>15455</v>
      </c>
    </row>
    <row r="341" spans="1:45" ht="12.5" hidden="1" x14ac:dyDescent="0.25">
      <c r="A341" s="3" t="s">
        <v>12652</v>
      </c>
      <c r="B341" s="21" t="str">
        <f>HYPERLINK("https://gerandofalcoes.my.salesforce.com/0014P00003YSp7mQAD", "0014P00003YSp7mQAD")</f>
        <v>0014P00003YSp7mQAD</v>
      </c>
      <c r="C341" s="3" t="s">
        <v>9233</v>
      </c>
      <c r="D341" s="3" t="s">
        <v>46</v>
      </c>
      <c r="E341" s="21" t="str">
        <f>HYPERLINK("https://gerandofalcoes.my.salesforce.com/0034P000045kxiN", "0034P000045kxiN")</f>
        <v>0034P000045kxiN</v>
      </c>
      <c r="F341" s="3" t="s">
        <v>15456</v>
      </c>
      <c r="G341" s="3" t="s">
        <v>15457</v>
      </c>
      <c r="H341" s="3" t="s">
        <v>2538</v>
      </c>
      <c r="I341" s="3" t="s">
        <v>12654</v>
      </c>
      <c r="J341" s="3">
        <v>245</v>
      </c>
      <c r="K341" s="3" t="s">
        <v>15458</v>
      </c>
      <c r="L341" s="3" t="s">
        <v>15459</v>
      </c>
      <c r="M341" s="6">
        <v>29878</v>
      </c>
      <c r="N341" s="3">
        <v>41</v>
      </c>
      <c r="O341" s="3">
        <v>533376890</v>
      </c>
      <c r="P341" s="3">
        <v>590014536</v>
      </c>
      <c r="S341" s="3" t="s">
        <v>3137</v>
      </c>
      <c r="T341" s="3" t="s">
        <v>12656</v>
      </c>
      <c r="U341" s="3" t="s">
        <v>62</v>
      </c>
      <c r="V341" s="3" t="s">
        <v>15460</v>
      </c>
      <c r="X341" s="3" t="s">
        <v>2980</v>
      </c>
      <c r="Y341" s="3" t="s">
        <v>12736</v>
      </c>
      <c r="Z341" s="3" t="s">
        <v>12685</v>
      </c>
      <c r="AA341" s="3"/>
      <c r="AB341" s="3"/>
      <c r="AC341" s="3" t="s">
        <v>15461</v>
      </c>
      <c r="AD341" s="3">
        <v>21</v>
      </c>
      <c r="AE341" s="3" t="s">
        <v>15462</v>
      </c>
      <c r="AF341" s="3" t="s">
        <v>2152</v>
      </c>
      <c r="AG341" s="3" t="s">
        <v>15463</v>
      </c>
      <c r="AH341" s="3" t="s">
        <v>3538</v>
      </c>
      <c r="AI341" s="3" t="s">
        <v>1002</v>
      </c>
      <c r="AJ341" s="3" t="s">
        <v>2569</v>
      </c>
      <c r="AK341" s="3" t="s">
        <v>12661</v>
      </c>
      <c r="AL341" s="3" t="s">
        <v>2550</v>
      </c>
      <c r="AM341" s="3">
        <v>3</v>
      </c>
      <c r="AN341" s="3" t="s">
        <v>7216</v>
      </c>
      <c r="AP341" s="7" t="s">
        <v>15464</v>
      </c>
      <c r="AQ341" s="7" t="s">
        <v>15465</v>
      </c>
      <c r="AR341" s="3" t="s">
        <v>13271</v>
      </c>
      <c r="AS341" s="7" t="s">
        <v>15466</v>
      </c>
    </row>
    <row r="342" spans="1:45" ht="12.5" hidden="1" x14ac:dyDescent="0.25">
      <c r="A342" s="3" t="s">
        <v>12652</v>
      </c>
      <c r="B342" s="21" t="str">
        <f>HYPERLINK("https://gerandofalcoes.my.salesforce.com/0014P00003YSp7nQAD", "0014P00003YSp7nQAD")</f>
        <v>0014P00003YSp7nQAD</v>
      </c>
      <c r="C342" s="3" t="s">
        <v>9249</v>
      </c>
      <c r="D342" s="3" t="s">
        <v>46</v>
      </c>
      <c r="E342" s="21" t="str">
        <f>HYPERLINK("https://gerandofalcoes.my.salesforce.com/0034P000045kxiO", "0034P000045kxiO")</f>
        <v>0034P000045kxiO</v>
      </c>
      <c r="F342" s="3" t="s">
        <v>14309</v>
      </c>
      <c r="G342" s="3" t="s">
        <v>15467</v>
      </c>
      <c r="H342" s="3" t="s">
        <v>2538</v>
      </c>
      <c r="I342" s="3" t="s">
        <v>12654</v>
      </c>
      <c r="J342" s="3">
        <v>245</v>
      </c>
      <c r="K342" s="3" t="s">
        <v>15468</v>
      </c>
      <c r="L342" s="3" t="s">
        <v>15469</v>
      </c>
      <c r="M342" s="8">
        <v>35201</v>
      </c>
      <c r="N342" s="3">
        <v>26</v>
      </c>
      <c r="O342" s="3" t="s">
        <v>15470</v>
      </c>
      <c r="P342" s="3">
        <v>6002949356</v>
      </c>
      <c r="S342" s="3" t="s">
        <v>3417</v>
      </c>
      <c r="T342" s="3" t="s">
        <v>12682</v>
      </c>
      <c r="U342" s="3" t="s">
        <v>62</v>
      </c>
      <c r="V342" s="3" t="s">
        <v>15471</v>
      </c>
      <c r="X342" s="3" t="s">
        <v>2980</v>
      </c>
      <c r="Y342" s="3" t="s">
        <v>12658</v>
      </c>
      <c r="Z342" s="3" t="s">
        <v>2543</v>
      </c>
      <c r="AA342" s="3" t="s">
        <v>2544</v>
      </c>
      <c r="AB342" s="3" t="s">
        <v>2545</v>
      </c>
      <c r="AC342" s="3" t="s">
        <v>15472</v>
      </c>
      <c r="AD342" s="3">
        <v>108</v>
      </c>
      <c r="AE342" s="3"/>
      <c r="AF342" s="3" t="s">
        <v>470</v>
      </c>
      <c r="AG342" s="3" t="s">
        <v>4348</v>
      </c>
      <c r="AH342" s="3" t="s">
        <v>15473</v>
      </c>
      <c r="AI342" s="3" t="s">
        <v>468</v>
      </c>
      <c r="AJ342" s="3" t="s">
        <v>2569</v>
      </c>
      <c r="AK342" s="3" t="s">
        <v>12661</v>
      </c>
      <c r="AL342" s="3" t="s">
        <v>2550</v>
      </c>
      <c r="AM342" s="3">
        <v>3</v>
      </c>
      <c r="AN342" s="3" t="s">
        <v>7216</v>
      </c>
      <c r="AP342" s="3"/>
      <c r="AQ342" s="7" t="s">
        <v>15474</v>
      </c>
      <c r="AR342" s="3" t="s">
        <v>12664</v>
      </c>
      <c r="AS342" s="7" t="s">
        <v>15475</v>
      </c>
    </row>
    <row r="343" spans="1:45" ht="12.5" hidden="1" x14ac:dyDescent="0.25">
      <c r="A343" s="3" t="s">
        <v>12652</v>
      </c>
      <c r="B343" s="21" t="str">
        <f>HYPERLINK("https://gerandofalcoes.my.salesforce.com/0014P00003YSp7oQAD", "0014P00003YSp7oQAD")</f>
        <v>0014P00003YSp7oQAD</v>
      </c>
      <c r="C343" s="3" t="s">
        <v>9260</v>
      </c>
      <c r="D343" s="3" t="s">
        <v>46</v>
      </c>
      <c r="E343" s="21" t="str">
        <f>HYPERLINK("https://gerandofalcoes.my.salesforce.com/0034P000045kxiP", "0034P000045kxiP")</f>
        <v>0034P000045kxiP</v>
      </c>
      <c r="F343" s="3" t="s">
        <v>15476</v>
      </c>
      <c r="G343" s="3" t="s">
        <v>15477</v>
      </c>
      <c r="H343" s="3" t="s">
        <v>2538</v>
      </c>
      <c r="I343" s="3" t="s">
        <v>12654</v>
      </c>
      <c r="J343" s="3">
        <v>245</v>
      </c>
      <c r="K343" s="3" t="s">
        <v>15478</v>
      </c>
      <c r="L343" s="3" t="s">
        <v>9264</v>
      </c>
      <c r="M343" s="8">
        <v>29708</v>
      </c>
      <c r="N343" s="3">
        <v>41</v>
      </c>
      <c r="O343" s="3">
        <v>979378516</v>
      </c>
      <c r="P343" s="3">
        <v>224172573</v>
      </c>
      <c r="S343" s="3" t="s">
        <v>2998</v>
      </c>
      <c r="T343" s="3" t="s">
        <v>12656</v>
      </c>
      <c r="U343" s="3" t="s">
        <v>62</v>
      </c>
      <c r="V343" s="3" t="s">
        <v>15479</v>
      </c>
      <c r="X343" s="3" t="s">
        <v>2980</v>
      </c>
      <c r="Y343" s="3" t="s">
        <v>12670</v>
      </c>
      <c r="Z343" s="3" t="s">
        <v>2545</v>
      </c>
      <c r="AA343" s="3" t="s">
        <v>2577</v>
      </c>
      <c r="AB343" s="3" t="s">
        <v>2545</v>
      </c>
      <c r="AC343" s="3" t="s">
        <v>15480</v>
      </c>
      <c r="AD343" s="3">
        <v>2285</v>
      </c>
      <c r="AE343" s="3" t="s">
        <v>15481</v>
      </c>
      <c r="AF343" s="3" t="s">
        <v>1848</v>
      </c>
      <c r="AG343" s="3" t="s">
        <v>9266</v>
      </c>
      <c r="AH343" s="3" t="s">
        <v>15482</v>
      </c>
      <c r="AI343" s="3" t="s">
        <v>1002</v>
      </c>
      <c r="AJ343" s="3" t="s">
        <v>2569</v>
      </c>
      <c r="AK343" s="3" t="s">
        <v>12828</v>
      </c>
      <c r="AL343" s="3" t="s">
        <v>2550</v>
      </c>
      <c r="AM343" s="3">
        <v>1</v>
      </c>
      <c r="AN343" s="3" t="s">
        <v>7216</v>
      </c>
      <c r="AQ343" s="3" t="s">
        <v>15483</v>
      </c>
      <c r="AR343" s="3" t="s">
        <v>12676</v>
      </c>
      <c r="AS343" s="7" t="s">
        <v>15484</v>
      </c>
    </row>
    <row r="344" spans="1:45" ht="12.5" hidden="1" x14ac:dyDescent="0.25">
      <c r="A344" s="3" t="s">
        <v>12652</v>
      </c>
      <c r="B344" s="21" t="str">
        <f>HYPERLINK("https://gerandofalcoes.my.salesforce.com/0014P00003YSp7pQAD", "0014P00003YSp7pQAD")</f>
        <v>0014P00003YSp7pQAD</v>
      </c>
      <c r="C344" s="3" t="s">
        <v>9279</v>
      </c>
      <c r="D344" s="3" t="s">
        <v>46</v>
      </c>
      <c r="E344" s="21" t="str">
        <f>HYPERLINK("https://gerandofalcoes.my.salesforce.com/0034P000045kxiQ", "0034P000045kxiQ")</f>
        <v>0034P000045kxiQ</v>
      </c>
      <c r="F344" s="3" t="s">
        <v>15485</v>
      </c>
      <c r="G344" s="3" t="s">
        <v>15486</v>
      </c>
      <c r="H344" s="3" t="s">
        <v>2538</v>
      </c>
      <c r="I344" s="3" t="s">
        <v>12654</v>
      </c>
      <c r="J344" s="3">
        <v>245</v>
      </c>
      <c r="K344" s="3" t="s">
        <v>15487</v>
      </c>
      <c r="L344" s="3" t="s">
        <v>15488</v>
      </c>
      <c r="M344" s="6">
        <v>36215</v>
      </c>
      <c r="N344" s="3">
        <v>23</v>
      </c>
      <c r="O344" s="3">
        <v>20140008908</v>
      </c>
      <c r="P344" s="3">
        <v>7360521351</v>
      </c>
      <c r="S344" s="3" t="s">
        <v>3269</v>
      </c>
      <c r="T344" s="3" t="s">
        <v>12682</v>
      </c>
      <c r="U344" s="3" t="s">
        <v>120</v>
      </c>
      <c r="V344" s="3" t="s">
        <v>15489</v>
      </c>
      <c r="X344" s="3" t="s">
        <v>2980</v>
      </c>
      <c r="Y344" s="3" t="s">
        <v>12684</v>
      </c>
      <c r="Z344" s="3" t="s">
        <v>12685</v>
      </c>
      <c r="AA344" s="3"/>
      <c r="AB344" s="3"/>
      <c r="AC344" s="3" t="s">
        <v>15490</v>
      </c>
      <c r="AD344" s="3">
        <v>1090</v>
      </c>
      <c r="AE344" s="3" t="s">
        <v>15491</v>
      </c>
      <c r="AF344" s="3" t="s">
        <v>470</v>
      </c>
      <c r="AG344" s="3" t="s">
        <v>15492</v>
      </c>
      <c r="AH344" s="3" t="s">
        <v>15493</v>
      </c>
      <c r="AI344" s="3" t="s">
        <v>468</v>
      </c>
      <c r="AJ344" s="3" t="s">
        <v>2569</v>
      </c>
      <c r="AK344" s="3" t="s">
        <v>15494</v>
      </c>
      <c r="AL344" s="3" t="s">
        <v>2588</v>
      </c>
      <c r="AM344" s="3">
        <v>5</v>
      </c>
      <c r="AN344" s="3" t="s">
        <v>7216</v>
      </c>
      <c r="AP344" s="7" t="s">
        <v>15495</v>
      </c>
      <c r="AQ344" s="7" t="s">
        <v>15496</v>
      </c>
      <c r="AR344" s="3" t="s">
        <v>12664</v>
      </c>
      <c r="AS344" s="7" t="s">
        <v>15497</v>
      </c>
    </row>
    <row r="345" spans="1:45" ht="12.5" hidden="1" x14ac:dyDescent="0.25">
      <c r="A345" s="3" t="s">
        <v>12652</v>
      </c>
      <c r="B345" s="21" t="str">
        <f>HYPERLINK("https://gerandofalcoes.my.salesforce.com/0014P00003YSp7qQAD", "0014P00003YSp7qQAD")</f>
        <v>0014P00003YSp7qQAD</v>
      </c>
      <c r="C345" s="3" t="s">
        <v>9292</v>
      </c>
      <c r="D345" s="3" t="s">
        <v>46</v>
      </c>
      <c r="E345" s="21" t="str">
        <f>HYPERLINK("https://gerandofalcoes.my.salesforce.com/0034P000045kxiR", "0034P000045kxiR")</f>
        <v>0034P000045kxiR</v>
      </c>
      <c r="F345" s="3" t="s">
        <v>15498</v>
      </c>
      <c r="G345" s="3" t="s">
        <v>15499</v>
      </c>
      <c r="H345" s="3" t="s">
        <v>2538</v>
      </c>
      <c r="I345" s="3" t="s">
        <v>12654</v>
      </c>
      <c r="J345" s="3">
        <v>245</v>
      </c>
      <c r="K345" s="3" t="s">
        <v>15500</v>
      </c>
      <c r="L345" s="3" t="s">
        <v>9295</v>
      </c>
      <c r="M345" s="6">
        <v>31553</v>
      </c>
      <c r="N345" s="3">
        <v>36</v>
      </c>
      <c r="O345" s="3">
        <v>2846144</v>
      </c>
      <c r="P345" s="4" t="s">
        <v>15501</v>
      </c>
      <c r="S345" s="3" t="s">
        <v>3137</v>
      </c>
      <c r="T345" s="3" t="s">
        <v>12656</v>
      </c>
      <c r="U345" s="3" t="s">
        <v>62</v>
      </c>
      <c r="V345" s="3" t="s">
        <v>15502</v>
      </c>
      <c r="X345" s="3" t="s">
        <v>3365</v>
      </c>
      <c r="Y345" s="3" t="s">
        <v>12670</v>
      </c>
      <c r="Z345" s="3" t="s">
        <v>2545</v>
      </c>
      <c r="AA345" s="3" t="s">
        <v>2577</v>
      </c>
      <c r="AB345" s="3" t="s">
        <v>2543</v>
      </c>
      <c r="AC345" s="3" t="s">
        <v>15503</v>
      </c>
      <c r="AD345" s="3">
        <v>47</v>
      </c>
      <c r="AE345" s="3" t="s">
        <v>1539</v>
      </c>
      <c r="AF345" s="3" t="s">
        <v>9298</v>
      </c>
      <c r="AG345" s="3" t="s">
        <v>9297</v>
      </c>
      <c r="AH345" s="3" t="s">
        <v>9299</v>
      </c>
      <c r="AI345" s="3" t="s">
        <v>1171</v>
      </c>
      <c r="AJ345" s="3" t="s">
        <v>2569</v>
      </c>
      <c r="AK345" s="3" t="s">
        <v>12828</v>
      </c>
      <c r="AL345" s="3" t="s">
        <v>2579</v>
      </c>
      <c r="AM345" s="3">
        <v>3</v>
      </c>
      <c r="AN345" s="3" t="s">
        <v>7216</v>
      </c>
      <c r="AP345" s="7" t="s">
        <v>15504</v>
      </c>
      <c r="AQ345" s="7" t="s">
        <v>15505</v>
      </c>
      <c r="AR345" s="3" t="s">
        <v>12676</v>
      </c>
      <c r="AS345" s="7" t="s">
        <v>15506</v>
      </c>
    </row>
    <row r="346" spans="1:45" ht="12.5" hidden="1" x14ac:dyDescent="0.25">
      <c r="A346" s="3" t="s">
        <v>12652</v>
      </c>
      <c r="B346" s="21" t="str">
        <f>HYPERLINK("https://gerandofalcoes.my.salesforce.com/0014P00003YSp7rQAD", "0014P00003YSp7rQAD")</f>
        <v>0014P00003YSp7rQAD</v>
      </c>
      <c r="C346" s="3" t="s">
        <v>9308</v>
      </c>
      <c r="D346" s="3" t="s">
        <v>46</v>
      </c>
      <c r="E346" s="21" t="str">
        <f>HYPERLINK("https://gerandofalcoes.my.salesforce.com/0034P000045kxiS", "0034P000045kxiS")</f>
        <v>0034P000045kxiS</v>
      </c>
      <c r="F346" s="3" t="s">
        <v>15387</v>
      </c>
      <c r="G346" s="3" t="s">
        <v>15507</v>
      </c>
      <c r="H346" s="3" t="s">
        <v>2538</v>
      </c>
      <c r="I346" s="3" t="s">
        <v>12654</v>
      </c>
      <c r="J346" s="3">
        <v>245</v>
      </c>
      <c r="K346" s="3" t="s">
        <v>9310</v>
      </c>
      <c r="L346" s="3" t="s">
        <v>9311</v>
      </c>
      <c r="M346" s="6">
        <v>26971</v>
      </c>
      <c r="N346" s="3">
        <v>49</v>
      </c>
      <c r="O346" s="3">
        <v>3890036</v>
      </c>
      <c r="P346" s="3">
        <v>73393487434</v>
      </c>
      <c r="S346" s="3" t="s">
        <v>2998</v>
      </c>
      <c r="T346" s="3" t="s">
        <v>12656</v>
      </c>
      <c r="U346" s="3" t="s">
        <v>120</v>
      </c>
      <c r="V346" s="3" t="s">
        <v>15508</v>
      </c>
      <c r="X346" s="3" t="s">
        <v>2980</v>
      </c>
      <c r="Y346" s="3" t="s">
        <v>12670</v>
      </c>
      <c r="Z346" s="3" t="s">
        <v>2543</v>
      </c>
      <c r="AA346" s="3" t="s">
        <v>2577</v>
      </c>
      <c r="AB346" s="3" t="s">
        <v>2543</v>
      </c>
      <c r="AC346" s="3" t="s">
        <v>9312</v>
      </c>
      <c r="AD346" s="3">
        <v>76</v>
      </c>
      <c r="AE346" s="3" t="s">
        <v>9314</v>
      </c>
      <c r="AF346" s="3" t="s">
        <v>381</v>
      </c>
      <c r="AG346" s="3" t="s">
        <v>15509</v>
      </c>
      <c r="AH346" s="3" t="s">
        <v>15510</v>
      </c>
      <c r="AI346" s="3" t="s">
        <v>379</v>
      </c>
      <c r="AJ346" s="3" t="s">
        <v>2569</v>
      </c>
      <c r="AK346" s="3" t="s">
        <v>12828</v>
      </c>
      <c r="AL346" s="3" t="s">
        <v>2550</v>
      </c>
      <c r="AM346" s="3">
        <v>2</v>
      </c>
      <c r="AN346" s="3" t="s">
        <v>14269</v>
      </c>
      <c r="AQ346" s="3" t="s">
        <v>15511</v>
      </c>
      <c r="AR346" s="3" t="s">
        <v>12676</v>
      </c>
      <c r="AS346" s="7" t="s">
        <v>15512</v>
      </c>
    </row>
    <row r="347" spans="1:45" ht="12.5" hidden="1" x14ac:dyDescent="0.25">
      <c r="A347" s="3" t="s">
        <v>12652</v>
      </c>
      <c r="B347" s="21" t="str">
        <f>HYPERLINK("https://gerandofalcoes.my.salesforce.com/0014P00003YSp7sQAD", "0014P00003YSp7sQAD")</f>
        <v>0014P00003YSp7sQAD</v>
      </c>
      <c r="C347" s="3" t="s">
        <v>9322</v>
      </c>
      <c r="D347" s="3" t="s">
        <v>152</v>
      </c>
      <c r="E347" s="21" t="str">
        <f>HYPERLINK("https://gerandofalcoes.my.salesforce.com/0034P000045kxiT", "0034P000045kxiT")</f>
        <v>0034P000045kxiT</v>
      </c>
      <c r="F347" s="3" t="s">
        <v>15513</v>
      </c>
      <c r="G347" s="3" t="s">
        <v>15514</v>
      </c>
      <c r="H347" s="3" t="s">
        <v>2538</v>
      </c>
      <c r="I347" s="3" t="s">
        <v>12654</v>
      </c>
      <c r="J347" s="3">
        <v>245</v>
      </c>
      <c r="K347" s="3" t="s">
        <v>9326</v>
      </c>
      <c r="L347" s="3" t="s">
        <v>9327</v>
      </c>
      <c r="M347" s="8">
        <v>24538</v>
      </c>
      <c r="N347" s="3">
        <v>55</v>
      </c>
      <c r="O347" s="3">
        <v>7833768</v>
      </c>
      <c r="P347" s="3">
        <v>28412630297</v>
      </c>
      <c r="S347" s="3" t="s">
        <v>3605</v>
      </c>
      <c r="T347" s="3" t="s">
        <v>12723</v>
      </c>
      <c r="U347" s="3" t="s">
        <v>62</v>
      </c>
      <c r="V347" s="3" t="s">
        <v>15515</v>
      </c>
      <c r="X347" s="3" t="s">
        <v>2980</v>
      </c>
      <c r="Y347" s="3" t="s">
        <v>12670</v>
      </c>
      <c r="Z347" s="3" t="s">
        <v>2543</v>
      </c>
      <c r="AA347" s="3" t="s">
        <v>2577</v>
      </c>
      <c r="AB347" s="3" t="s">
        <v>2543</v>
      </c>
      <c r="AC347" s="3" t="s">
        <v>15516</v>
      </c>
      <c r="AD347" s="3">
        <v>77</v>
      </c>
      <c r="AE347" s="3" t="s">
        <v>15517</v>
      </c>
      <c r="AF347" s="3" t="s">
        <v>7514</v>
      </c>
      <c r="AG347" s="3" t="s">
        <v>15518</v>
      </c>
      <c r="AH347" s="3" t="s">
        <v>9331</v>
      </c>
      <c r="AI347" s="3" t="s">
        <v>1871</v>
      </c>
      <c r="AJ347" s="3" t="s">
        <v>2548</v>
      </c>
      <c r="AK347" s="3" t="s">
        <v>3249</v>
      </c>
      <c r="AL347" s="3" t="s">
        <v>2579</v>
      </c>
      <c r="AM347" s="3">
        <v>4</v>
      </c>
      <c r="AN347" s="3" t="s">
        <v>13118</v>
      </c>
      <c r="AP347" s="7" t="s">
        <v>15519</v>
      </c>
      <c r="AQ347" s="3" t="s">
        <v>15520</v>
      </c>
      <c r="AR347" s="3" t="s">
        <v>12664</v>
      </c>
      <c r="AS347" s="7" t="s">
        <v>15521</v>
      </c>
    </row>
    <row r="348" spans="1:45" ht="12.5" hidden="1" x14ac:dyDescent="0.25">
      <c r="A348" s="3" t="s">
        <v>12652</v>
      </c>
      <c r="B348" s="21" t="str">
        <f>HYPERLINK("https://gerandofalcoes.my.salesforce.com/0014P00003YSp7tQAD", "0014P00003YSp7tQAD")</f>
        <v>0014P00003YSp7tQAD</v>
      </c>
      <c r="C348" s="3" t="s">
        <v>9343</v>
      </c>
      <c r="D348" s="3" t="s">
        <v>46</v>
      </c>
      <c r="E348" s="21" t="str">
        <f>HYPERLINK("https://gerandofalcoes.my.salesforce.com/0034P000045kxiU", "0034P000045kxiU")</f>
        <v>0034P000045kxiU</v>
      </c>
      <c r="F348" s="3" t="s">
        <v>15522</v>
      </c>
      <c r="G348" s="3" t="s">
        <v>15523</v>
      </c>
      <c r="H348" s="3" t="s">
        <v>2538</v>
      </c>
      <c r="I348" s="3" t="s">
        <v>12654</v>
      </c>
      <c r="J348" s="3">
        <v>245</v>
      </c>
      <c r="K348" s="3" t="s">
        <v>9345</v>
      </c>
      <c r="L348" s="3" t="s">
        <v>15524</v>
      </c>
      <c r="M348" s="6">
        <v>27148</v>
      </c>
      <c r="N348" s="3">
        <v>48</v>
      </c>
      <c r="O348" s="3">
        <v>591563924</v>
      </c>
      <c r="P348" s="3">
        <v>63697190563</v>
      </c>
      <c r="S348" s="3" t="s">
        <v>3417</v>
      </c>
      <c r="T348" s="3" t="s">
        <v>12656</v>
      </c>
      <c r="U348" s="3" t="s">
        <v>120</v>
      </c>
      <c r="V348" s="3" t="s">
        <v>15525</v>
      </c>
      <c r="X348" s="3" t="s">
        <v>2980</v>
      </c>
      <c r="Y348" s="3" t="s">
        <v>12670</v>
      </c>
      <c r="Z348" s="3" t="s">
        <v>2543</v>
      </c>
      <c r="AA348" s="3" t="s">
        <v>2544</v>
      </c>
      <c r="AB348" s="3" t="s">
        <v>2545</v>
      </c>
      <c r="AC348" s="3" t="s">
        <v>9347</v>
      </c>
      <c r="AD348" s="3">
        <v>96</v>
      </c>
      <c r="AE348" s="3" t="s">
        <v>673</v>
      </c>
      <c r="AF348" s="3" t="s">
        <v>1848</v>
      </c>
      <c r="AG348" s="3" t="s">
        <v>9348</v>
      </c>
      <c r="AH348" s="3" t="s">
        <v>9350</v>
      </c>
      <c r="AI348" s="3" t="s">
        <v>1002</v>
      </c>
      <c r="AJ348" s="3" t="s">
        <v>2569</v>
      </c>
      <c r="AK348" s="3" t="s">
        <v>12828</v>
      </c>
      <c r="AL348" s="3" t="s">
        <v>2550</v>
      </c>
      <c r="AM348" s="3">
        <v>4</v>
      </c>
      <c r="AN348" s="3" t="s">
        <v>7216</v>
      </c>
      <c r="AP348" s="7" t="s">
        <v>15526</v>
      </c>
      <c r="AQ348" s="7" t="s">
        <v>9355</v>
      </c>
      <c r="AR348" s="3" t="s">
        <v>12676</v>
      </c>
      <c r="AS348" s="7" t="s">
        <v>15527</v>
      </c>
    </row>
    <row r="349" spans="1:45" ht="12.5" hidden="1" x14ac:dyDescent="0.25">
      <c r="A349" s="3" t="s">
        <v>12652</v>
      </c>
      <c r="B349" s="21" t="str">
        <f>HYPERLINK("https://gerandofalcoes.my.salesforce.com/0014P00003YSp7uQAD", "0014P00003YSp7uQAD")</f>
        <v>0014P00003YSp7uQAD</v>
      </c>
      <c r="C349" s="3" t="s">
        <v>9357</v>
      </c>
      <c r="D349" s="3" t="s">
        <v>46</v>
      </c>
      <c r="E349" s="21" t="str">
        <f>HYPERLINK("https://gerandofalcoes.my.salesforce.com/0034P000045kxiV", "0034P000045kxiV")</f>
        <v>0034P000045kxiV</v>
      </c>
      <c r="F349" s="3" t="s">
        <v>13382</v>
      </c>
      <c r="G349" s="3" t="s">
        <v>15528</v>
      </c>
      <c r="H349" s="3" t="s">
        <v>2538</v>
      </c>
      <c r="I349" s="3" t="s">
        <v>12654</v>
      </c>
      <c r="J349" s="3">
        <v>245</v>
      </c>
      <c r="K349" s="3" t="s">
        <v>9360</v>
      </c>
      <c r="L349" s="3" t="s">
        <v>9361</v>
      </c>
      <c r="M349" s="6">
        <v>29715</v>
      </c>
      <c r="N349" s="3">
        <v>41</v>
      </c>
      <c r="O349" s="3" t="s">
        <v>15529</v>
      </c>
      <c r="P349" s="3">
        <v>30052975860</v>
      </c>
      <c r="S349" s="3" t="s">
        <v>3137</v>
      </c>
      <c r="T349" s="3" t="s">
        <v>12682</v>
      </c>
      <c r="U349" s="3" t="s">
        <v>62</v>
      </c>
      <c r="V349" s="3" t="s">
        <v>15530</v>
      </c>
      <c r="X349" s="3" t="s">
        <v>2980</v>
      </c>
      <c r="Y349" s="3" t="s">
        <v>12670</v>
      </c>
      <c r="Z349" s="3" t="s">
        <v>2545</v>
      </c>
      <c r="AA349" s="3" t="s">
        <v>13188</v>
      </c>
      <c r="AB349" s="3" t="s">
        <v>2545</v>
      </c>
      <c r="AC349" s="3" t="s">
        <v>15531</v>
      </c>
      <c r="AD349" s="3">
        <v>934</v>
      </c>
      <c r="AE349" s="3" t="s">
        <v>15532</v>
      </c>
      <c r="AF349" s="3" t="s">
        <v>9364</v>
      </c>
      <c r="AG349" s="3" t="s">
        <v>15533</v>
      </c>
      <c r="AH349" s="3" t="s">
        <v>15534</v>
      </c>
      <c r="AI349" s="3" t="s">
        <v>101</v>
      </c>
      <c r="AJ349" s="3" t="s">
        <v>2741</v>
      </c>
      <c r="AK349" s="3" t="s">
        <v>12828</v>
      </c>
      <c r="AL349" s="3" t="s">
        <v>2550</v>
      </c>
      <c r="AM349" s="3">
        <v>1</v>
      </c>
      <c r="AN349" s="3" t="s">
        <v>7216</v>
      </c>
      <c r="AP349" s="7" t="s">
        <v>15051</v>
      </c>
      <c r="AQ349" s="3" t="s">
        <v>15535</v>
      </c>
      <c r="AR349" s="3" t="s">
        <v>12664</v>
      </c>
      <c r="AS349" s="7" t="s">
        <v>15536</v>
      </c>
    </row>
    <row r="350" spans="1:45" ht="12.5" hidden="1" x14ac:dyDescent="0.25">
      <c r="A350" s="3" t="s">
        <v>12652</v>
      </c>
      <c r="B350" s="21" t="str">
        <f>HYPERLINK("https://gerandofalcoes.my.salesforce.com/0014P00003YSp7vQAD", "0014P00003YSp7vQAD")</f>
        <v>0014P00003YSp7vQAD</v>
      </c>
      <c r="C350" s="3" t="s">
        <v>9376</v>
      </c>
      <c r="D350" s="3" t="s">
        <v>46</v>
      </c>
      <c r="E350" s="21" t="str">
        <f>HYPERLINK("https://gerandofalcoes.my.salesforce.com/0034P000045kxiW", "0034P000045kxiW")</f>
        <v>0034P000045kxiW</v>
      </c>
      <c r="F350" s="3" t="s">
        <v>15537</v>
      </c>
      <c r="G350" s="3" t="s">
        <v>15538</v>
      </c>
      <c r="H350" s="3" t="s">
        <v>2538</v>
      </c>
      <c r="I350" s="3" t="s">
        <v>12654</v>
      </c>
      <c r="J350" s="3">
        <v>245</v>
      </c>
      <c r="K350" s="3" t="s">
        <v>9379</v>
      </c>
      <c r="L350" s="3" t="s">
        <v>9380</v>
      </c>
      <c r="M350" s="6">
        <v>33102</v>
      </c>
      <c r="N350" s="3">
        <v>32</v>
      </c>
      <c r="O350" s="3">
        <v>2004099005267</v>
      </c>
      <c r="P350" s="3">
        <v>4009818310</v>
      </c>
      <c r="S350" s="3" t="s">
        <v>3137</v>
      </c>
      <c r="T350" s="3" t="s">
        <v>12656</v>
      </c>
      <c r="U350" s="3" t="s">
        <v>120</v>
      </c>
      <c r="V350" s="3" t="s">
        <v>15539</v>
      </c>
      <c r="X350" s="3" t="s">
        <v>3365</v>
      </c>
      <c r="Y350" s="3" t="s">
        <v>12670</v>
      </c>
      <c r="Z350" s="3" t="s">
        <v>2543</v>
      </c>
      <c r="AA350" s="3" t="s">
        <v>2544</v>
      </c>
      <c r="AB350" s="3" t="s">
        <v>2543</v>
      </c>
      <c r="AC350" s="3" t="s">
        <v>15540</v>
      </c>
      <c r="AD350" s="3">
        <v>1963</v>
      </c>
      <c r="AE350" s="3" t="s">
        <v>15541</v>
      </c>
      <c r="AF350" s="3" t="s">
        <v>470</v>
      </c>
      <c r="AG350" s="3" t="s">
        <v>15542</v>
      </c>
      <c r="AH350" s="3" t="s">
        <v>15543</v>
      </c>
      <c r="AI350" s="3" t="s">
        <v>468</v>
      </c>
      <c r="AJ350" s="3" t="s">
        <v>2569</v>
      </c>
      <c r="AK350" s="3" t="s">
        <v>12661</v>
      </c>
      <c r="AL350" s="3" t="s">
        <v>2550</v>
      </c>
      <c r="AM350" s="3">
        <v>1</v>
      </c>
      <c r="AN350" s="3" t="s">
        <v>7216</v>
      </c>
      <c r="AP350" s="7" t="s">
        <v>15544</v>
      </c>
      <c r="AQ350" s="7" t="s">
        <v>15545</v>
      </c>
      <c r="AR350" s="3" t="s">
        <v>12676</v>
      </c>
      <c r="AS350" s="7" t="s">
        <v>15546</v>
      </c>
    </row>
    <row r="351" spans="1:45" ht="12.5" hidden="1" x14ac:dyDescent="0.25">
      <c r="A351" s="3" t="s">
        <v>12652</v>
      </c>
      <c r="B351" s="21" t="str">
        <f>HYPERLINK("https://gerandofalcoes.my.salesforce.com/0014P00003YSp7xQAD", "0014P00003YSp7xQAD")</f>
        <v>0014P00003YSp7xQAD</v>
      </c>
      <c r="C351" s="3" t="s">
        <v>9389</v>
      </c>
      <c r="D351" s="3" t="s">
        <v>46</v>
      </c>
      <c r="E351" s="21" t="str">
        <f>HYPERLINK("https://gerandofalcoes.my.salesforce.com/0034P000045kxiY", "0034P000045kxiY")</f>
        <v>0034P000045kxiY</v>
      </c>
      <c r="F351" s="3" t="s">
        <v>2773</v>
      </c>
      <c r="G351" s="3" t="s">
        <v>9390</v>
      </c>
      <c r="H351" s="3" t="s">
        <v>2538</v>
      </c>
      <c r="I351" s="3" t="s">
        <v>12654</v>
      </c>
      <c r="J351" s="3">
        <v>245</v>
      </c>
      <c r="K351" s="3" t="s">
        <v>15547</v>
      </c>
      <c r="L351" s="3" t="s">
        <v>15548</v>
      </c>
      <c r="M351" s="6">
        <v>26901</v>
      </c>
      <c r="N351" s="3">
        <v>49</v>
      </c>
      <c r="O351" s="3">
        <v>504696300</v>
      </c>
      <c r="P351" s="3">
        <v>92208282515</v>
      </c>
      <c r="S351" s="3" t="s">
        <v>2998</v>
      </c>
      <c r="T351" s="3" t="s">
        <v>12656</v>
      </c>
      <c r="U351" s="3" t="s">
        <v>62</v>
      </c>
      <c r="V351" s="3" t="s">
        <v>15549</v>
      </c>
      <c r="X351" s="3" t="s">
        <v>3508</v>
      </c>
      <c r="Y351" s="3" t="s">
        <v>12658</v>
      </c>
      <c r="Z351" s="3" t="s">
        <v>2543</v>
      </c>
      <c r="AA351" s="3" t="s">
        <v>2544</v>
      </c>
      <c r="AB351" s="3" t="s">
        <v>2545</v>
      </c>
      <c r="AC351" s="3" t="s">
        <v>15550</v>
      </c>
      <c r="AD351" s="3">
        <v>33</v>
      </c>
      <c r="AE351" s="3" t="s">
        <v>15551</v>
      </c>
      <c r="AF351" s="3" t="s">
        <v>1848</v>
      </c>
      <c r="AG351" s="3" t="s">
        <v>9393</v>
      </c>
      <c r="AH351" s="3" t="s">
        <v>15552</v>
      </c>
      <c r="AI351" s="3" t="s">
        <v>1002</v>
      </c>
      <c r="AJ351" s="3" t="s">
        <v>2569</v>
      </c>
      <c r="AK351" s="3" t="s">
        <v>12729</v>
      </c>
      <c r="AL351" s="3" t="s">
        <v>2550</v>
      </c>
      <c r="AM351" s="3">
        <v>7</v>
      </c>
      <c r="AN351" s="3" t="s">
        <v>7216</v>
      </c>
      <c r="AQ351" s="3" t="s">
        <v>15553</v>
      </c>
      <c r="AR351" s="3" t="s">
        <v>12676</v>
      </c>
      <c r="AS351" s="7" t="s">
        <v>15554</v>
      </c>
    </row>
    <row r="352" spans="1:45" ht="12.5" hidden="1" x14ac:dyDescent="0.25">
      <c r="A352" s="3" t="s">
        <v>12652</v>
      </c>
      <c r="B352" s="21" t="str">
        <f>HYPERLINK("https://gerandofalcoes.my.salesforce.com/0014P00003YSp7yQAD", "0014P00003YSp7yQAD")</f>
        <v>0014P00003YSp7yQAD</v>
      </c>
      <c r="C352" s="3" t="s">
        <v>9396</v>
      </c>
      <c r="D352" s="3" t="s">
        <v>46</v>
      </c>
      <c r="E352" s="21" t="str">
        <f>HYPERLINK("https://gerandofalcoes.my.salesforce.com/0034P000045kxiZ", "0034P000045kxiZ")</f>
        <v>0034P000045kxiZ</v>
      </c>
      <c r="F352" s="3" t="s">
        <v>15555</v>
      </c>
      <c r="G352" s="3" t="s">
        <v>15556</v>
      </c>
      <c r="H352" s="3" t="s">
        <v>2538</v>
      </c>
      <c r="I352" s="3" t="s">
        <v>12654</v>
      </c>
      <c r="J352" s="3">
        <v>245</v>
      </c>
      <c r="K352" s="3" t="s">
        <v>15557</v>
      </c>
      <c r="L352" s="3" t="s">
        <v>9399</v>
      </c>
      <c r="M352" s="6">
        <v>30115</v>
      </c>
      <c r="N352" s="3">
        <v>40</v>
      </c>
      <c r="O352" s="3">
        <v>5873183</v>
      </c>
      <c r="P352" s="3">
        <v>4707313469</v>
      </c>
      <c r="S352" s="3" t="s">
        <v>3137</v>
      </c>
      <c r="T352" s="3" t="s">
        <v>12656</v>
      </c>
      <c r="U352" s="3" t="s">
        <v>62</v>
      </c>
      <c r="V352" s="3" t="s">
        <v>15558</v>
      </c>
      <c r="X352" s="3" t="s">
        <v>2980</v>
      </c>
      <c r="Y352" s="3" t="s">
        <v>12736</v>
      </c>
      <c r="Z352" s="3" t="s">
        <v>12685</v>
      </c>
      <c r="AA352" s="3"/>
      <c r="AB352" s="3" t="s">
        <v>2543</v>
      </c>
      <c r="AC352" s="3" t="s">
        <v>9400</v>
      </c>
      <c r="AD352" s="3">
        <v>112</v>
      </c>
      <c r="AE352" s="3" t="s">
        <v>1539</v>
      </c>
      <c r="AF352" s="3" t="s">
        <v>381</v>
      </c>
      <c r="AG352" s="3" t="s">
        <v>6182</v>
      </c>
      <c r="AH352" s="3" t="s">
        <v>9402</v>
      </c>
      <c r="AI352" s="3" t="s">
        <v>379</v>
      </c>
      <c r="AJ352" s="3" t="s">
        <v>2569</v>
      </c>
      <c r="AK352" s="3" t="s">
        <v>12661</v>
      </c>
      <c r="AL352" s="3" t="s">
        <v>2550</v>
      </c>
      <c r="AM352" s="3">
        <v>6</v>
      </c>
      <c r="AN352" s="3" t="s">
        <v>7216</v>
      </c>
      <c r="AP352" s="3"/>
      <c r="AQ352" s="7" t="s">
        <v>9404</v>
      </c>
      <c r="AR352" s="3" t="s">
        <v>12676</v>
      </c>
      <c r="AS352" s="7" t="s">
        <v>15559</v>
      </c>
    </row>
    <row r="353" spans="1:45" ht="12.5" hidden="1" x14ac:dyDescent="0.25">
      <c r="A353" s="3" t="s">
        <v>12652</v>
      </c>
      <c r="B353" s="21" t="str">
        <f>HYPERLINK("https://gerandofalcoes.my.salesforce.com/0014P00003YSp7zQAD", "0014P00003YSp7zQAD")</f>
        <v>0014P00003YSp7zQAD</v>
      </c>
      <c r="C353" s="3" t="s">
        <v>9405</v>
      </c>
      <c r="D353" s="3" t="s">
        <v>46</v>
      </c>
      <c r="E353" s="21" t="str">
        <f>HYPERLINK("https://gerandofalcoes.my.salesforce.com/0034P000045kxia", "0034P000045kxia")</f>
        <v>0034P000045kxia</v>
      </c>
      <c r="F353" s="3" t="s">
        <v>15560</v>
      </c>
      <c r="G353" s="3" t="s">
        <v>15561</v>
      </c>
      <c r="H353" s="3" t="s">
        <v>2538</v>
      </c>
      <c r="I353" s="3" t="s">
        <v>12654</v>
      </c>
      <c r="J353" s="3">
        <v>245</v>
      </c>
      <c r="K353" s="3" t="s">
        <v>15562</v>
      </c>
      <c r="L353" s="3" t="s">
        <v>9409</v>
      </c>
      <c r="M353" s="8">
        <v>32466</v>
      </c>
      <c r="N353" s="3">
        <v>34</v>
      </c>
      <c r="O353" s="3">
        <v>4471087</v>
      </c>
      <c r="P353" s="3">
        <v>74003224191</v>
      </c>
      <c r="S353" s="3" t="s">
        <v>12744</v>
      </c>
      <c r="T353" s="3" t="s">
        <v>12682</v>
      </c>
      <c r="U353" s="3" t="s">
        <v>120</v>
      </c>
      <c r="V353" s="3" t="s">
        <v>15563</v>
      </c>
      <c r="X353" s="3" t="s">
        <v>2980</v>
      </c>
      <c r="Y353" s="3" t="s">
        <v>12670</v>
      </c>
      <c r="Z353" s="3" t="s">
        <v>2543</v>
      </c>
      <c r="AA353" s="3" t="s">
        <v>2577</v>
      </c>
      <c r="AB353" s="3" t="s">
        <v>2545</v>
      </c>
      <c r="AC353" s="3" t="s">
        <v>15564</v>
      </c>
      <c r="AD353" s="3">
        <v>12</v>
      </c>
      <c r="AE353" s="3" t="s">
        <v>673</v>
      </c>
      <c r="AF353" s="3" t="s">
        <v>297</v>
      </c>
      <c r="AG353" s="3" t="s">
        <v>15565</v>
      </c>
      <c r="AH353" s="3" t="s">
        <v>15566</v>
      </c>
      <c r="AI353" s="3" t="s">
        <v>295</v>
      </c>
      <c r="AJ353" s="3" t="s">
        <v>2741</v>
      </c>
      <c r="AK353" s="3" t="s">
        <v>3249</v>
      </c>
      <c r="AL353" s="3" t="s">
        <v>2588</v>
      </c>
      <c r="AM353" s="3">
        <v>3</v>
      </c>
      <c r="AN353" s="3" t="s">
        <v>7216</v>
      </c>
      <c r="AQ353" s="7" t="s">
        <v>15567</v>
      </c>
      <c r="AR353" s="3" t="s">
        <v>12664</v>
      </c>
      <c r="AS353" s="7" t="s">
        <v>15568</v>
      </c>
    </row>
    <row r="354" spans="1:45" ht="12.5" hidden="1" x14ac:dyDescent="0.25">
      <c r="A354" s="3" t="s">
        <v>12652</v>
      </c>
      <c r="B354" s="21" t="str">
        <f>HYPERLINK("https://gerandofalcoes.my.salesforce.com/0014P00003YSp80QAD", "0014P00003YSp80QAD")</f>
        <v>0014P00003YSp80QAD</v>
      </c>
      <c r="C354" s="3" t="s">
        <v>9423</v>
      </c>
      <c r="D354" s="3" t="s">
        <v>46</v>
      </c>
      <c r="E354" s="21" t="str">
        <f>HYPERLINK("https://gerandofalcoes.my.salesforce.com/0034P000045kxib", "0034P000045kxib")</f>
        <v>0034P000045kxib</v>
      </c>
      <c r="F354" s="3" t="s">
        <v>9424</v>
      </c>
      <c r="G354" s="3" t="s">
        <v>15569</v>
      </c>
      <c r="H354" s="3" t="s">
        <v>2538</v>
      </c>
      <c r="I354" s="3" t="s">
        <v>12654</v>
      </c>
      <c r="J354" s="3">
        <v>245</v>
      </c>
      <c r="K354" s="3" t="s">
        <v>9425</v>
      </c>
      <c r="L354" s="3" t="s">
        <v>9426</v>
      </c>
      <c r="M354" s="6">
        <v>31907</v>
      </c>
      <c r="N354" s="3">
        <v>35</v>
      </c>
      <c r="O354" s="3">
        <v>224915587</v>
      </c>
      <c r="P354" s="3">
        <v>12655642724</v>
      </c>
      <c r="S354" s="3" t="s">
        <v>2998</v>
      </c>
      <c r="T354" s="3" t="s">
        <v>12723</v>
      </c>
      <c r="U354" s="3" t="s">
        <v>62</v>
      </c>
      <c r="V354" s="3" t="s">
        <v>15570</v>
      </c>
      <c r="X354" s="3" t="s">
        <v>2980</v>
      </c>
      <c r="Y354" s="3" t="s">
        <v>12684</v>
      </c>
      <c r="Z354" s="3" t="s">
        <v>12685</v>
      </c>
      <c r="AA354" s="3"/>
      <c r="AB354" s="3"/>
      <c r="AC354" s="3" t="s">
        <v>15571</v>
      </c>
      <c r="AD354" s="3">
        <v>9</v>
      </c>
      <c r="AE354" s="3" t="s">
        <v>15572</v>
      </c>
      <c r="AF354" s="3" t="s">
        <v>6367</v>
      </c>
      <c r="AG354" s="3" t="s">
        <v>15573</v>
      </c>
      <c r="AH354" s="3" t="s">
        <v>15574</v>
      </c>
      <c r="AI354" s="3" t="s">
        <v>70</v>
      </c>
      <c r="AJ354" s="3" t="s">
        <v>2569</v>
      </c>
      <c r="AK354" s="3" t="s">
        <v>12661</v>
      </c>
      <c r="AL354" s="3" t="s">
        <v>2550</v>
      </c>
      <c r="AM354" s="3">
        <v>4</v>
      </c>
      <c r="AN354" s="3" t="s">
        <v>7216</v>
      </c>
      <c r="AO354" s="3"/>
      <c r="AP354" s="3"/>
      <c r="AQ354" s="7" t="s">
        <v>15575</v>
      </c>
      <c r="AR354" s="3" t="s">
        <v>12664</v>
      </c>
      <c r="AS354" s="7" t="s">
        <v>15576</v>
      </c>
    </row>
    <row r="355" spans="1:45" ht="12.5" hidden="1" x14ac:dyDescent="0.25">
      <c r="A355" s="3" t="s">
        <v>12652</v>
      </c>
      <c r="B355" s="21" t="str">
        <f>HYPERLINK("https://gerandofalcoes.my.salesforce.com/0014P00003YSp81QAD", "0014P00003YSp81QAD")</f>
        <v>0014P00003YSp81QAD</v>
      </c>
      <c r="C355" s="3" t="s">
        <v>9432</v>
      </c>
      <c r="D355" s="3" t="s">
        <v>46</v>
      </c>
      <c r="E355" s="21" t="str">
        <f>HYPERLINK("https://gerandofalcoes.my.salesforce.com/0034P000045kxic", "0034P000045kxic")</f>
        <v>0034P000045kxic</v>
      </c>
      <c r="F355" s="3" t="s">
        <v>15577</v>
      </c>
      <c r="G355" s="3" t="s">
        <v>15578</v>
      </c>
      <c r="H355" s="3" t="s">
        <v>2538</v>
      </c>
      <c r="I355" s="3" t="s">
        <v>12654</v>
      </c>
      <c r="J355" s="3">
        <v>245</v>
      </c>
      <c r="K355" s="3" t="s">
        <v>15579</v>
      </c>
      <c r="L355" s="3" t="s">
        <v>9436</v>
      </c>
      <c r="M355" s="8">
        <v>30297</v>
      </c>
      <c r="N355" s="3">
        <v>40</v>
      </c>
      <c r="O355" s="3">
        <v>123615338</v>
      </c>
      <c r="P355" s="3">
        <v>5446967780</v>
      </c>
      <c r="S355" s="3" t="s">
        <v>3417</v>
      </c>
      <c r="T355" s="3" t="s">
        <v>12723</v>
      </c>
      <c r="U355" s="3" t="s">
        <v>120</v>
      </c>
      <c r="V355" s="3" t="s">
        <v>15580</v>
      </c>
      <c r="X355" s="3" t="s">
        <v>2980</v>
      </c>
      <c r="Y355" s="3" t="s">
        <v>12670</v>
      </c>
      <c r="Z355" s="3" t="s">
        <v>2543</v>
      </c>
      <c r="AA355" s="3" t="s">
        <v>2544</v>
      </c>
      <c r="AB355" s="3" t="s">
        <v>2545</v>
      </c>
      <c r="AC355" s="3" t="s">
        <v>15581</v>
      </c>
      <c r="AD355" s="3">
        <v>1</v>
      </c>
      <c r="AE355" s="3" t="s">
        <v>15582</v>
      </c>
      <c r="AF355" s="3" t="s">
        <v>9439</v>
      </c>
      <c r="AG355" s="3" t="s">
        <v>15583</v>
      </c>
      <c r="AH355" s="3" t="s">
        <v>15584</v>
      </c>
      <c r="AI355" s="3" t="s">
        <v>70</v>
      </c>
      <c r="AJ355" s="3" t="s">
        <v>2741</v>
      </c>
      <c r="AK355" s="3" t="s">
        <v>15585</v>
      </c>
      <c r="AL355" s="3" t="s">
        <v>2550</v>
      </c>
      <c r="AM355" s="3">
        <v>5</v>
      </c>
      <c r="AN355" s="3" t="s">
        <v>7216</v>
      </c>
      <c r="AP355" s="3"/>
      <c r="AQ355" s="7" t="s">
        <v>15586</v>
      </c>
      <c r="AR355" s="3" t="s">
        <v>12676</v>
      </c>
      <c r="AS355" s="7" t="s">
        <v>15587</v>
      </c>
    </row>
    <row r="356" spans="1:45" ht="12.5" hidden="1" x14ac:dyDescent="0.25">
      <c r="A356" s="3" t="s">
        <v>12652</v>
      </c>
      <c r="B356" s="21" t="str">
        <f>HYPERLINK("https://gerandofalcoes.my.salesforce.com/0014P00003YSp82QAD", "0014P00003YSp82QAD")</f>
        <v>0014P00003YSp82QAD</v>
      </c>
      <c r="C356" s="3" t="s">
        <v>9447</v>
      </c>
      <c r="D356" s="3" t="s">
        <v>46</v>
      </c>
      <c r="E356" s="21" t="str">
        <f>HYPERLINK("https://gerandofalcoes.my.salesforce.com/0034P000045kxid", "0034P000045kxid")</f>
        <v>0034P000045kxid</v>
      </c>
      <c r="F356" s="3" t="s">
        <v>2607</v>
      </c>
      <c r="G356" s="3" t="s">
        <v>15588</v>
      </c>
      <c r="H356" s="3" t="s">
        <v>2538</v>
      </c>
      <c r="I356" s="3" t="s">
        <v>12654</v>
      </c>
      <c r="J356" s="3">
        <v>245</v>
      </c>
      <c r="K356" s="3" t="s">
        <v>15589</v>
      </c>
      <c r="L356" s="3" t="s">
        <v>9451</v>
      </c>
      <c r="M356" s="6">
        <v>28935</v>
      </c>
      <c r="N356" s="3">
        <v>43</v>
      </c>
      <c r="O356" s="3" t="s">
        <v>15590</v>
      </c>
      <c r="P356" s="3">
        <v>6862216724</v>
      </c>
      <c r="S356" s="3" t="s">
        <v>2998</v>
      </c>
      <c r="T356" s="3" t="s">
        <v>12723</v>
      </c>
      <c r="U356" s="3" t="s">
        <v>120</v>
      </c>
      <c r="V356" s="3" t="s">
        <v>15591</v>
      </c>
      <c r="X356" s="3" t="s">
        <v>2980</v>
      </c>
      <c r="Y356" s="3" t="s">
        <v>12670</v>
      </c>
      <c r="Z356" s="3" t="s">
        <v>2545</v>
      </c>
      <c r="AA356" s="3" t="s">
        <v>2544</v>
      </c>
      <c r="AB356" s="3" t="s">
        <v>2545</v>
      </c>
      <c r="AC356" s="3" t="s">
        <v>14478</v>
      </c>
      <c r="AD356" s="3">
        <v>89</v>
      </c>
      <c r="AE356" s="3" t="s">
        <v>15592</v>
      </c>
      <c r="AF356" s="3" t="s">
        <v>73</v>
      </c>
      <c r="AG356" s="3" t="s">
        <v>6423</v>
      </c>
      <c r="AH356" s="3" t="s">
        <v>6424</v>
      </c>
      <c r="AI356" s="3" t="s">
        <v>70</v>
      </c>
      <c r="AJ356" s="3" t="s">
        <v>2741</v>
      </c>
      <c r="AK356" s="3" t="s">
        <v>15396</v>
      </c>
      <c r="AL356" s="3" t="s">
        <v>2550</v>
      </c>
      <c r="AM356" s="3">
        <v>3</v>
      </c>
      <c r="AN356" s="3" t="s">
        <v>7216</v>
      </c>
      <c r="AO356" s="3"/>
      <c r="AP356" s="7" t="s">
        <v>15593</v>
      </c>
      <c r="AQ356" s="7" t="s">
        <v>15594</v>
      </c>
      <c r="AR356" s="3" t="s">
        <v>12664</v>
      </c>
      <c r="AS356" s="7" t="s">
        <v>15595</v>
      </c>
    </row>
    <row r="357" spans="1:45" ht="12.5" hidden="1" x14ac:dyDescent="0.25">
      <c r="A357" s="3" t="s">
        <v>12652</v>
      </c>
      <c r="B357" s="21" t="str">
        <f>HYPERLINK("https://gerandofalcoes.my.salesforce.com/0014P00003YSp83QAD", "0014P00003YSp83QAD")</f>
        <v>0014P00003YSp83QAD</v>
      </c>
      <c r="C357" s="3" t="s">
        <v>9460</v>
      </c>
      <c r="D357" s="3" t="s">
        <v>46</v>
      </c>
      <c r="E357" s="21" t="str">
        <f>HYPERLINK("https://gerandofalcoes.my.salesforce.com/0034P000045kxie", "0034P000045kxie")</f>
        <v>0034P000045kxie</v>
      </c>
      <c r="F357" s="3" t="s">
        <v>14776</v>
      </c>
      <c r="G357" s="3" t="s">
        <v>15596</v>
      </c>
      <c r="H357" s="3" t="s">
        <v>2538</v>
      </c>
      <c r="I357" s="3" t="s">
        <v>12654</v>
      </c>
      <c r="J357" s="3">
        <v>245</v>
      </c>
      <c r="K357" s="3" t="s">
        <v>15597</v>
      </c>
      <c r="L357" s="3" t="s">
        <v>9464</v>
      </c>
      <c r="M357" s="6">
        <v>30311</v>
      </c>
      <c r="N357" s="3">
        <v>40</v>
      </c>
      <c r="O357" s="3" t="s">
        <v>15598</v>
      </c>
      <c r="P357" s="3">
        <v>9168799764</v>
      </c>
      <c r="S357" s="3" t="s">
        <v>3137</v>
      </c>
      <c r="T357" s="3" t="s">
        <v>12656</v>
      </c>
      <c r="U357" s="3" t="s">
        <v>62</v>
      </c>
      <c r="V357" s="3" t="s">
        <v>15599</v>
      </c>
      <c r="X357" s="3" t="s">
        <v>2980</v>
      </c>
      <c r="Y357" s="3" t="s">
        <v>12670</v>
      </c>
      <c r="Z357" s="3" t="s">
        <v>2545</v>
      </c>
      <c r="AA357" s="3" t="s">
        <v>2544</v>
      </c>
      <c r="AB357" s="3" t="s">
        <v>2545</v>
      </c>
      <c r="AC357" s="3" t="s">
        <v>15600</v>
      </c>
      <c r="AD357" s="3">
        <v>145</v>
      </c>
      <c r="AE357" s="3"/>
      <c r="AF357" s="3" t="s">
        <v>73</v>
      </c>
      <c r="AG357" s="3" t="s">
        <v>7407</v>
      </c>
      <c r="AH357" s="3" t="s">
        <v>15601</v>
      </c>
      <c r="AI357" s="3" t="s">
        <v>70</v>
      </c>
      <c r="AJ357" s="3" t="s">
        <v>2569</v>
      </c>
      <c r="AK357" s="3" t="s">
        <v>3249</v>
      </c>
      <c r="AL357" s="3" t="s">
        <v>2588</v>
      </c>
      <c r="AM357" s="3">
        <v>5</v>
      </c>
      <c r="AN357" s="3" t="s">
        <v>7216</v>
      </c>
      <c r="AQ357" s="3" t="s">
        <v>15602</v>
      </c>
      <c r="AR357" s="3" t="s">
        <v>12676</v>
      </c>
      <c r="AS357" s="7" t="s">
        <v>15603</v>
      </c>
    </row>
    <row r="358" spans="1:45" ht="12.5" hidden="1" x14ac:dyDescent="0.25">
      <c r="A358" s="3" t="s">
        <v>12652</v>
      </c>
      <c r="B358" s="21" t="str">
        <f>HYPERLINK("https://gerandofalcoes.my.salesforce.com/0014P00003YSp84QAD", "0014P00003YSp84QAD")</f>
        <v>0014P00003YSp84QAD</v>
      </c>
      <c r="C358" s="3" t="s">
        <v>9478</v>
      </c>
      <c r="D358" s="3" t="s">
        <v>46</v>
      </c>
      <c r="E358" s="21" t="str">
        <f>HYPERLINK("https://gerandofalcoes.my.salesforce.com/0034P000045kxif", "0034P000045kxif")</f>
        <v>0034P000045kxif</v>
      </c>
      <c r="F358" s="3" t="s">
        <v>13912</v>
      </c>
      <c r="G358" s="3" t="s">
        <v>15604</v>
      </c>
      <c r="H358" s="3" t="s">
        <v>2538</v>
      </c>
      <c r="I358" s="3" t="s">
        <v>12654</v>
      </c>
      <c r="J358" s="3">
        <v>245</v>
      </c>
      <c r="K358" s="3" t="s">
        <v>15605</v>
      </c>
      <c r="L358" s="3" t="s">
        <v>15606</v>
      </c>
      <c r="M358" s="8">
        <v>27014</v>
      </c>
      <c r="N358" s="3">
        <v>49</v>
      </c>
      <c r="O358" s="3">
        <v>92561786</v>
      </c>
      <c r="P358" s="3">
        <v>1653451793</v>
      </c>
      <c r="S358" s="3" t="s">
        <v>15607</v>
      </c>
      <c r="T358" s="3" t="s">
        <v>12723</v>
      </c>
      <c r="U358" s="3" t="s">
        <v>62</v>
      </c>
      <c r="V358" s="3" t="s">
        <v>15608</v>
      </c>
      <c r="X358" s="3" t="s">
        <v>2980</v>
      </c>
      <c r="Y358" s="3" t="s">
        <v>12658</v>
      </c>
      <c r="Z358" s="3" t="s">
        <v>2545</v>
      </c>
      <c r="AA358" s="3" t="s">
        <v>2544</v>
      </c>
      <c r="AB358" s="3" t="s">
        <v>2545</v>
      </c>
      <c r="AC358" s="3" t="s">
        <v>15609</v>
      </c>
      <c r="AD358" s="3">
        <v>376</v>
      </c>
      <c r="AE358" s="3" t="s">
        <v>15610</v>
      </c>
      <c r="AF358" s="3" t="s">
        <v>73</v>
      </c>
      <c r="AG358" s="3" t="s">
        <v>7883</v>
      </c>
      <c r="AH358" s="3" t="s">
        <v>15611</v>
      </c>
      <c r="AI358" s="3" t="s">
        <v>70</v>
      </c>
      <c r="AJ358" s="3" t="s">
        <v>2569</v>
      </c>
      <c r="AK358" s="3" t="s">
        <v>12729</v>
      </c>
      <c r="AL358" s="3" t="s">
        <v>2579</v>
      </c>
      <c r="AM358" s="3">
        <v>2</v>
      </c>
      <c r="AN358" s="3" t="s">
        <v>7216</v>
      </c>
      <c r="AP358" s="7" t="s">
        <v>15612</v>
      </c>
      <c r="AQ358" s="7" t="s">
        <v>15613</v>
      </c>
      <c r="AR358" s="3" t="s">
        <v>12676</v>
      </c>
      <c r="AS358" s="7" t="s">
        <v>15614</v>
      </c>
    </row>
    <row r="359" spans="1:45" ht="12.5" hidden="1" x14ac:dyDescent="0.25">
      <c r="A359" s="3" t="s">
        <v>12652</v>
      </c>
      <c r="B359" s="21" t="str">
        <f>HYPERLINK("https://gerandofalcoes.my.salesforce.com/0014P00003YSp86QAD", "0014P00003YSp86QAD")</f>
        <v>0014P00003YSp86QAD</v>
      </c>
      <c r="C359" s="3" t="s">
        <v>9493</v>
      </c>
      <c r="D359" s="3" t="s">
        <v>46</v>
      </c>
      <c r="E359" s="21" t="str">
        <f>HYPERLINK("https://gerandofalcoes.my.salesforce.com/0034P000045kxih", "0034P000045kxih")</f>
        <v>0034P000045kxih</v>
      </c>
      <c r="F359" s="3" t="s">
        <v>2715</v>
      </c>
      <c r="G359" s="3" t="s">
        <v>15615</v>
      </c>
      <c r="H359" s="3" t="s">
        <v>2538</v>
      </c>
      <c r="I359" s="3" t="s">
        <v>12654</v>
      </c>
      <c r="J359" s="3">
        <v>245</v>
      </c>
      <c r="K359" s="3" t="s">
        <v>15616</v>
      </c>
      <c r="L359" s="3" t="s">
        <v>9495</v>
      </c>
      <c r="M359" s="6">
        <v>29992</v>
      </c>
      <c r="N359" s="3">
        <v>40</v>
      </c>
      <c r="O359" s="3">
        <v>203313812</v>
      </c>
      <c r="P359" s="3">
        <v>9955560754</v>
      </c>
      <c r="S359" s="3" t="s">
        <v>3498</v>
      </c>
      <c r="T359" s="3" t="s">
        <v>12682</v>
      </c>
      <c r="U359" s="3" t="s">
        <v>120</v>
      </c>
      <c r="V359" s="3" t="s">
        <v>15617</v>
      </c>
      <c r="X359" s="3" t="s">
        <v>2980</v>
      </c>
      <c r="Y359" s="3" t="s">
        <v>12658</v>
      </c>
      <c r="Z359" s="3" t="s">
        <v>2543</v>
      </c>
      <c r="AA359" s="3" t="s">
        <v>2544</v>
      </c>
      <c r="AB359" s="3" t="s">
        <v>2545</v>
      </c>
      <c r="AC359" s="3" t="s">
        <v>15618</v>
      </c>
      <c r="AD359" s="3">
        <v>13</v>
      </c>
      <c r="AE359" s="3">
        <v>201</v>
      </c>
      <c r="AF359" s="3" t="s">
        <v>73</v>
      </c>
      <c r="AG359" s="3" t="s">
        <v>15619</v>
      </c>
      <c r="AH359" s="3" t="s">
        <v>15620</v>
      </c>
      <c r="AI359" s="3" t="s">
        <v>70</v>
      </c>
      <c r="AJ359" s="3" t="s">
        <v>2569</v>
      </c>
      <c r="AK359" s="3" t="s">
        <v>12661</v>
      </c>
      <c r="AL359" s="3" t="s">
        <v>2550</v>
      </c>
      <c r="AM359" s="3">
        <v>3</v>
      </c>
      <c r="AN359" s="3" t="s">
        <v>7216</v>
      </c>
      <c r="AQ359" s="7" t="s">
        <v>15621</v>
      </c>
      <c r="AR359" s="3" t="s">
        <v>12676</v>
      </c>
      <c r="AS359" s="7" t="s">
        <v>15622</v>
      </c>
    </row>
    <row r="360" spans="1:45" ht="12.5" hidden="1" x14ac:dyDescent="0.25">
      <c r="A360" s="3" t="s">
        <v>12652</v>
      </c>
      <c r="B360" s="21" t="str">
        <f>HYPERLINK("https://gerandofalcoes.my.salesforce.com/0014P00003YSp87QAD", "0014P00003YSp87QAD")</f>
        <v>0014P00003YSp87QAD</v>
      </c>
      <c r="C360" s="3" t="s">
        <v>9503</v>
      </c>
      <c r="D360" s="3" t="s">
        <v>46</v>
      </c>
      <c r="E360" s="21" t="str">
        <f>HYPERLINK("https://gerandofalcoes.my.salesforce.com/0034P000045kxii", "0034P000045kxii")</f>
        <v>0034P000045kxii</v>
      </c>
      <c r="F360" s="3" t="s">
        <v>15623</v>
      </c>
      <c r="G360" s="3" t="s">
        <v>15624</v>
      </c>
      <c r="H360" s="3" t="s">
        <v>2538</v>
      </c>
      <c r="I360" s="3" t="s">
        <v>12654</v>
      </c>
      <c r="J360" s="3">
        <v>245</v>
      </c>
      <c r="K360" s="3" t="s">
        <v>15625</v>
      </c>
      <c r="L360" s="3" t="s">
        <v>15626</v>
      </c>
      <c r="M360" s="6">
        <v>31172</v>
      </c>
      <c r="N360" s="3">
        <v>37</v>
      </c>
      <c r="O360" s="3">
        <v>118276120</v>
      </c>
      <c r="P360" s="3">
        <v>10193017750</v>
      </c>
      <c r="S360" s="3" t="s">
        <v>3269</v>
      </c>
      <c r="T360" s="3" t="s">
        <v>12656</v>
      </c>
      <c r="U360" s="3" t="s">
        <v>62</v>
      </c>
      <c r="V360" s="3" t="s">
        <v>15627</v>
      </c>
      <c r="X360" s="3" t="s">
        <v>2980</v>
      </c>
      <c r="Y360" s="3" t="s">
        <v>12670</v>
      </c>
      <c r="Z360" s="3" t="s">
        <v>2545</v>
      </c>
      <c r="AA360" s="3" t="s">
        <v>2577</v>
      </c>
      <c r="AB360" s="3" t="s">
        <v>2543</v>
      </c>
      <c r="AC360" s="3" t="s">
        <v>15628</v>
      </c>
      <c r="AD360" s="3">
        <v>1400</v>
      </c>
      <c r="AE360" s="3" t="s">
        <v>15629</v>
      </c>
      <c r="AF360" s="3" t="s">
        <v>73</v>
      </c>
      <c r="AG360" s="3" t="s">
        <v>15630</v>
      </c>
      <c r="AH360" s="3" t="s">
        <v>15631</v>
      </c>
      <c r="AI360" s="3" t="s">
        <v>70</v>
      </c>
      <c r="AJ360" s="3" t="s">
        <v>2569</v>
      </c>
      <c r="AK360" s="3" t="s">
        <v>12828</v>
      </c>
      <c r="AL360" s="3" t="s">
        <v>2550</v>
      </c>
      <c r="AM360" s="3">
        <v>4</v>
      </c>
      <c r="AN360" s="3" t="s">
        <v>7216</v>
      </c>
      <c r="AP360" s="3"/>
      <c r="AQ360" s="7" t="s">
        <v>15632</v>
      </c>
      <c r="AR360" s="3" t="s">
        <v>12676</v>
      </c>
      <c r="AS360" s="7" t="s">
        <v>15633</v>
      </c>
    </row>
    <row r="361" spans="1:45" ht="12.5" hidden="1" x14ac:dyDescent="0.25">
      <c r="A361" s="3" t="s">
        <v>12652</v>
      </c>
      <c r="B361" s="21" t="str">
        <f>HYPERLINK("https://gerandofalcoes.my.salesforce.com/0014P00003YSp88QAD", "0014P00003YSp88QAD")</f>
        <v>0014P00003YSp88QAD</v>
      </c>
      <c r="C361" s="3" t="s">
        <v>9519</v>
      </c>
      <c r="D361" s="3" t="s">
        <v>46</v>
      </c>
      <c r="E361" s="21" t="str">
        <f>HYPERLINK("https://gerandofalcoes.my.salesforce.com/0034P000045kxij", "0034P000045kxij")</f>
        <v>0034P000045kxij</v>
      </c>
      <c r="F361" s="3" t="s">
        <v>15634</v>
      </c>
      <c r="G361" s="3" t="s">
        <v>15635</v>
      </c>
      <c r="H361" s="3" t="s">
        <v>2538</v>
      </c>
      <c r="I361" s="3" t="s">
        <v>12654</v>
      </c>
      <c r="J361" s="3">
        <v>245</v>
      </c>
      <c r="K361" s="3" t="s">
        <v>15636</v>
      </c>
      <c r="L361" s="3" t="s">
        <v>15637</v>
      </c>
      <c r="M361" s="6">
        <v>28826</v>
      </c>
      <c r="N361" s="3">
        <v>44</v>
      </c>
      <c r="O361" s="3">
        <v>115448615</v>
      </c>
      <c r="P361" s="3">
        <v>2512937771</v>
      </c>
      <c r="S361" s="3" t="s">
        <v>3137</v>
      </c>
      <c r="T361" s="3" t="s">
        <v>12723</v>
      </c>
      <c r="U361" s="3" t="s">
        <v>62</v>
      </c>
      <c r="V361" s="3" t="s">
        <v>15638</v>
      </c>
      <c r="X361" s="3" t="s">
        <v>2980</v>
      </c>
      <c r="Y361" s="3" t="s">
        <v>12658</v>
      </c>
      <c r="Z361" s="3" t="s">
        <v>2543</v>
      </c>
      <c r="AA361" s="3" t="s">
        <v>2544</v>
      </c>
      <c r="AB361" s="3" t="s">
        <v>2545</v>
      </c>
      <c r="AC361" s="3" t="s">
        <v>15639</v>
      </c>
      <c r="AD361" s="3">
        <v>220</v>
      </c>
      <c r="AE361" s="3" t="s">
        <v>7865</v>
      </c>
      <c r="AF361" s="3" t="s">
        <v>73</v>
      </c>
      <c r="AG361" s="3" t="s">
        <v>9428</v>
      </c>
      <c r="AH361" s="3" t="s">
        <v>15640</v>
      </c>
      <c r="AI361" s="3" t="s">
        <v>70</v>
      </c>
      <c r="AJ361" s="3" t="s">
        <v>2569</v>
      </c>
      <c r="AK361" s="3" t="s">
        <v>12828</v>
      </c>
      <c r="AL361" s="3" t="s">
        <v>2550</v>
      </c>
      <c r="AM361" s="3">
        <v>2</v>
      </c>
      <c r="AN361" s="3" t="s">
        <v>7216</v>
      </c>
      <c r="AP361" s="3" t="s">
        <v>15641</v>
      </c>
      <c r="AQ361" s="3" t="s">
        <v>15642</v>
      </c>
      <c r="AR361" s="3" t="s">
        <v>12664</v>
      </c>
      <c r="AS361" s="7" t="s">
        <v>15643</v>
      </c>
    </row>
    <row r="362" spans="1:45" ht="12.5" hidden="1" x14ac:dyDescent="0.25">
      <c r="A362" s="3" t="s">
        <v>12652</v>
      </c>
      <c r="B362" s="21" t="str">
        <f>HYPERLINK("https://gerandofalcoes.my.salesforce.com/0014P00003YSp8AQAT", "0014P00003YSp8AQAT")</f>
        <v>0014P00003YSp8AQAT</v>
      </c>
      <c r="C362" s="3" t="s">
        <v>9533</v>
      </c>
      <c r="D362" s="3" t="s">
        <v>46</v>
      </c>
      <c r="E362" s="21" t="str">
        <f>HYPERLINK("https://gerandofalcoes.my.salesforce.com/0034P000045kxil", "0034P000045kxil")</f>
        <v>0034P000045kxil</v>
      </c>
      <c r="F362" s="3" t="s">
        <v>2678</v>
      </c>
      <c r="G362" s="3" t="s">
        <v>15644</v>
      </c>
      <c r="H362" s="3" t="s">
        <v>2538</v>
      </c>
      <c r="I362" s="3" t="s">
        <v>12654</v>
      </c>
      <c r="J362" s="3">
        <v>245</v>
      </c>
      <c r="K362" s="3" t="s">
        <v>15645</v>
      </c>
      <c r="L362" s="3" t="s">
        <v>15646</v>
      </c>
      <c r="M362" s="6">
        <v>21995</v>
      </c>
      <c r="N362" s="3">
        <v>62</v>
      </c>
      <c r="O362" s="3">
        <v>47260187</v>
      </c>
      <c r="P362" s="3">
        <v>61240796749</v>
      </c>
      <c r="S362" s="3" t="s">
        <v>3137</v>
      </c>
      <c r="T362" s="3" t="s">
        <v>12723</v>
      </c>
      <c r="U362" s="3" t="s">
        <v>62</v>
      </c>
      <c r="V362" s="3" t="s">
        <v>15647</v>
      </c>
      <c r="X362" s="3" t="s">
        <v>2980</v>
      </c>
      <c r="Y362" s="3" t="s">
        <v>12670</v>
      </c>
      <c r="Z362" s="3" t="s">
        <v>2543</v>
      </c>
      <c r="AA362" s="3" t="s">
        <v>2737</v>
      </c>
      <c r="AB362" s="3" t="s">
        <v>2543</v>
      </c>
      <c r="AC362" s="3" t="s">
        <v>15648</v>
      </c>
      <c r="AD362" s="3">
        <v>661</v>
      </c>
      <c r="AE362" s="3" t="s">
        <v>15649</v>
      </c>
      <c r="AF362" s="3" t="s">
        <v>73</v>
      </c>
      <c r="AG362" s="3" t="s">
        <v>7312</v>
      </c>
      <c r="AH362" s="3" t="s">
        <v>15650</v>
      </c>
      <c r="AI362" s="3" t="s">
        <v>70</v>
      </c>
      <c r="AJ362" s="3" t="s">
        <v>2741</v>
      </c>
      <c r="AK362" s="3" t="s">
        <v>12661</v>
      </c>
      <c r="AL362" s="3" t="s">
        <v>2588</v>
      </c>
      <c r="AM362" s="3">
        <v>2</v>
      </c>
      <c r="AN362" s="3" t="s">
        <v>7216</v>
      </c>
      <c r="AP362" s="7" t="s">
        <v>15651</v>
      </c>
      <c r="AQ362" s="7" t="s">
        <v>15652</v>
      </c>
      <c r="AR362" s="3" t="s">
        <v>12676</v>
      </c>
      <c r="AS362" s="7" t="s">
        <v>15653</v>
      </c>
    </row>
    <row r="363" spans="1:45" ht="12.5" hidden="1" x14ac:dyDescent="0.25">
      <c r="A363" s="3" t="s">
        <v>12652</v>
      </c>
      <c r="B363" s="21" t="str">
        <f>HYPERLINK("https://gerandofalcoes.my.salesforce.com/0014P00003YSp8BQAT", "0014P00003YSp8BQAT")</f>
        <v>0014P00003YSp8BQAT</v>
      </c>
      <c r="C363" s="3" t="s">
        <v>9547</v>
      </c>
      <c r="D363" s="3" t="s">
        <v>46</v>
      </c>
      <c r="E363" s="21" t="str">
        <f>HYPERLINK("https://gerandofalcoes.my.salesforce.com/0034P000045kxim", "0034P000045kxim")</f>
        <v>0034P000045kxim</v>
      </c>
      <c r="F363" s="3" t="s">
        <v>15654</v>
      </c>
      <c r="G363" s="3" t="s">
        <v>15655</v>
      </c>
      <c r="H363" s="3" t="s">
        <v>2538</v>
      </c>
      <c r="I363" s="3" t="s">
        <v>12654</v>
      </c>
      <c r="J363" s="3">
        <v>245</v>
      </c>
      <c r="K363" s="3" t="s">
        <v>15656</v>
      </c>
      <c r="L363" s="3" t="s">
        <v>15657</v>
      </c>
      <c r="M363" s="6">
        <v>27399</v>
      </c>
      <c r="N363" s="3">
        <v>47</v>
      </c>
      <c r="O363" s="3">
        <v>1217296</v>
      </c>
      <c r="P363" s="3">
        <v>4594241735</v>
      </c>
      <c r="S363" s="3" t="s">
        <v>2998</v>
      </c>
      <c r="T363" s="3" t="s">
        <v>12656</v>
      </c>
      <c r="U363" s="3" t="s">
        <v>120</v>
      </c>
      <c r="V363" s="3" t="s">
        <v>15658</v>
      </c>
      <c r="X363" s="3" t="s">
        <v>2980</v>
      </c>
      <c r="Y363" s="3" t="s">
        <v>12670</v>
      </c>
      <c r="Z363" s="3" t="s">
        <v>2543</v>
      </c>
      <c r="AA363" s="3" t="s">
        <v>2577</v>
      </c>
      <c r="AB363" s="3" t="s">
        <v>2545</v>
      </c>
      <c r="AC363" s="3" t="s">
        <v>15659</v>
      </c>
      <c r="AD363" s="3">
        <v>106</v>
      </c>
      <c r="AE363" s="3" t="s">
        <v>15660</v>
      </c>
      <c r="AF363" s="3" t="s">
        <v>9553</v>
      </c>
      <c r="AG363" s="3" t="s">
        <v>15661</v>
      </c>
      <c r="AH363" s="3" t="s">
        <v>15662</v>
      </c>
      <c r="AI363" s="3" t="s">
        <v>295</v>
      </c>
      <c r="AJ363" s="3" t="s">
        <v>2548</v>
      </c>
      <c r="AK363" s="3" t="s">
        <v>12674</v>
      </c>
      <c r="AL363" s="3" t="s">
        <v>2550</v>
      </c>
      <c r="AM363" s="3">
        <v>2</v>
      </c>
      <c r="AN363" s="3" t="s">
        <v>3890</v>
      </c>
      <c r="AP363" s="3"/>
      <c r="AQ363" s="3" t="s">
        <v>15663</v>
      </c>
      <c r="AR363" s="3" t="s">
        <v>12676</v>
      </c>
      <c r="AS363" s="7" t="s">
        <v>15664</v>
      </c>
    </row>
    <row r="364" spans="1:45" ht="12.5" hidden="1" x14ac:dyDescent="0.25">
      <c r="A364" s="3" t="s">
        <v>12652</v>
      </c>
      <c r="B364" s="21" t="str">
        <f>HYPERLINK("https://gerandofalcoes.my.salesforce.com/0014P00003YSp8CQAT", "0014P00003YSp8CQAT")</f>
        <v>0014P00003YSp8CQAT</v>
      </c>
      <c r="C364" s="3" t="s">
        <v>9559</v>
      </c>
      <c r="D364" s="3" t="s">
        <v>46</v>
      </c>
      <c r="E364" s="21" t="str">
        <f>HYPERLINK("https://gerandofalcoes.my.salesforce.com/0034P000045kxin", "0034P000045kxin")</f>
        <v>0034P000045kxin</v>
      </c>
      <c r="F364" s="3" t="s">
        <v>15665</v>
      </c>
      <c r="G364" s="3" t="s">
        <v>15666</v>
      </c>
      <c r="H364" s="3" t="s">
        <v>2538</v>
      </c>
      <c r="I364" s="3" t="s">
        <v>12654</v>
      </c>
      <c r="J364" s="3">
        <v>245</v>
      </c>
      <c r="K364" s="3" t="s">
        <v>9562</v>
      </c>
      <c r="L364" s="3" t="s">
        <v>15667</v>
      </c>
      <c r="M364" s="6">
        <v>35215</v>
      </c>
      <c r="N364" s="3">
        <v>26</v>
      </c>
      <c r="O364" s="3">
        <v>3013943344</v>
      </c>
      <c r="P364" s="3">
        <v>17326499799</v>
      </c>
      <c r="S364" s="3" t="s">
        <v>3137</v>
      </c>
      <c r="T364" s="3" t="s">
        <v>12723</v>
      </c>
      <c r="U364" s="3" t="s">
        <v>62</v>
      </c>
      <c r="V364" s="3" t="s">
        <v>15668</v>
      </c>
      <c r="W364" s="3"/>
      <c r="X364" s="3" t="s">
        <v>2980</v>
      </c>
      <c r="Y364" s="3" t="s">
        <v>12670</v>
      </c>
      <c r="Z364" s="3" t="s">
        <v>2543</v>
      </c>
      <c r="AA364" s="3" t="s">
        <v>2544</v>
      </c>
      <c r="AB364" s="3" t="s">
        <v>2543</v>
      </c>
      <c r="AC364" s="3" t="s">
        <v>9564</v>
      </c>
      <c r="AD364" s="3">
        <v>675</v>
      </c>
      <c r="AE364" s="3" t="s">
        <v>15669</v>
      </c>
      <c r="AF364" s="3" t="s">
        <v>73</v>
      </c>
      <c r="AG364" s="3" t="s">
        <v>7583</v>
      </c>
      <c r="AH364" s="3" t="s">
        <v>9566</v>
      </c>
      <c r="AI364" s="3" t="s">
        <v>70</v>
      </c>
      <c r="AJ364" s="3" t="s">
        <v>2741</v>
      </c>
      <c r="AK364" s="3" t="s">
        <v>12828</v>
      </c>
      <c r="AL364" s="3" t="s">
        <v>2550</v>
      </c>
      <c r="AM364" s="3">
        <v>2</v>
      </c>
      <c r="AN364" s="3" t="s">
        <v>7216</v>
      </c>
      <c r="AO364" s="3"/>
      <c r="AP364" s="7" t="s">
        <v>15670</v>
      </c>
      <c r="AR364" s="3" t="s">
        <v>12664</v>
      </c>
      <c r="AS364" s="7" t="s">
        <v>15671</v>
      </c>
    </row>
    <row r="365" spans="1:45" ht="12.5" hidden="1" x14ac:dyDescent="0.25">
      <c r="A365" s="3" t="s">
        <v>12652</v>
      </c>
      <c r="B365" s="21" t="str">
        <f>HYPERLINK("https://gerandofalcoes.my.salesforce.com/0014P00003YSp8EQAT", "0014P00003YSp8EQAT")</f>
        <v>0014P00003YSp8EQAT</v>
      </c>
      <c r="C365" s="3" t="s">
        <v>9578</v>
      </c>
      <c r="D365" s="3" t="s">
        <v>46</v>
      </c>
      <c r="E365" s="21" t="str">
        <f>HYPERLINK("https://gerandofalcoes.my.salesforce.com/0034P000045kxip", "0034P000045kxip")</f>
        <v>0034P000045kxip</v>
      </c>
      <c r="F365" s="3" t="s">
        <v>2715</v>
      </c>
      <c r="G365" s="3" t="s">
        <v>15672</v>
      </c>
      <c r="H365" s="3" t="s">
        <v>2538</v>
      </c>
      <c r="I365" s="3" t="s">
        <v>12654</v>
      </c>
      <c r="J365" s="3">
        <v>245</v>
      </c>
      <c r="K365" s="3" t="s">
        <v>15673</v>
      </c>
      <c r="L365" s="3" t="s">
        <v>9582</v>
      </c>
      <c r="M365" s="6">
        <v>28871</v>
      </c>
      <c r="N365" s="3">
        <v>43</v>
      </c>
      <c r="O365" s="3" t="s">
        <v>15674</v>
      </c>
      <c r="P365" s="3">
        <v>8216913761</v>
      </c>
      <c r="S365" s="3" t="s">
        <v>3137</v>
      </c>
      <c r="T365" s="3" t="s">
        <v>12682</v>
      </c>
      <c r="U365" s="3" t="s">
        <v>62</v>
      </c>
      <c r="V365" s="3" t="s">
        <v>15675</v>
      </c>
      <c r="X365" s="3" t="s">
        <v>2980</v>
      </c>
      <c r="Y365" s="3" t="s">
        <v>12684</v>
      </c>
      <c r="Z365" s="3" t="s">
        <v>12685</v>
      </c>
      <c r="AC365" s="3" t="s">
        <v>15676</v>
      </c>
      <c r="AD365" s="3">
        <v>227</v>
      </c>
      <c r="AE365" s="3" t="s">
        <v>15677</v>
      </c>
      <c r="AF365" s="3" t="s">
        <v>6367</v>
      </c>
      <c r="AG365" s="3" t="s">
        <v>9584</v>
      </c>
      <c r="AH365" s="3" t="s">
        <v>9585</v>
      </c>
      <c r="AI365" s="3" t="s">
        <v>70</v>
      </c>
      <c r="AJ365" s="3" t="s">
        <v>2569</v>
      </c>
      <c r="AK365" s="3" t="s">
        <v>12729</v>
      </c>
      <c r="AL365" s="3" t="s">
        <v>2588</v>
      </c>
      <c r="AM365" s="3">
        <v>1</v>
      </c>
      <c r="AN365" s="3" t="s">
        <v>15678</v>
      </c>
      <c r="AO365" s="3" t="s">
        <v>15679</v>
      </c>
      <c r="AP365" s="3" t="s">
        <v>15680</v>
      </c>
      <c r="AQ365" s="7" t="s">
        <v>15681</v>
      </c>
      <c r="AR365" s="3" t="s">
        <v>12676</v>
      </c>
      <c r="AS365" s="7" t="s">
        <v>15682</v>
      </c>
    </row>
    <row r="366" spans="1:45" ht="12.5" hidden="1" x14ac:dyDescent="0.25">
      <c r="A366" s="3" t="s">
        <v>12652</v>
      </c>
      <c r="B366" s="21" t="str">
        <f>HYPERLINK("https://gerandofalcoes.my.salesforce.com/0014P00003YSp8FQAT", "0014P00003YSp8FQAT")</f>
        <v>0014P00003YSp8FQAT</v>
      </c>
      <c r="C366" s="3" t="s">
        <v>9592</v>
      </c>
      <c r="D366" s="3" t="s">
        <v>46</v>
      </c>
      <c r="E366" s="21" t="str">
        <f>HYPERLINK("https://gerandofalcoes.my.salesforce.com/0034P000045kxiq", "0034P000045kxiq")</f>
        <v>0034P000045kxiq</v>
      </c>
      <c r="F366" s="3" t="s">
        <v>15683</v>
      </c>
      <c r="G366" s="3" t="s">
        <v>15684</v>
      </c>
      <c r="H366" s="3" t="s">
        <v>2538</v>
      </c>
      <c r="I366" s="3" t="s">
        <v>12654</v>
      </c>
      <c r="J366" s="3">
        <v>245</v>
      </c>
      <c r="K366" s="3" t="s">
        <v>9594</v>
      </c>
      <c r="L366" s="3">
        <v>21981466162</v>
      </c>
      <c r="M366" s="6">
        <v>22287</v>
      </c>
      <c r="N366" s="3">
        <v>61</v>
      </c>
      <c r="O366" s="3">
        <v>66453705</v>
      </c>
      <c r="P366" s="3">
        <v>85661031734</v>
      </c>
      <c r="S366" s="3" t="s">
        <v>2998</v>
      </c>
      <c r="T366" s="3" t="s">
        <v>12682</v>
      </c>
      <c r="U366" s="3" t="s">
        <v>120</v>
      </c>
      <c r="V366" s="3" t="s">
        <v>15685</v>
      </c>
      <c r="X366" s="3"/>
      <c r="Y366" s="3" t="s">
        <v>12658</v>
      </c>
      <c r="Z366" s="3" t="s">
        <v>2543</v>
      </c>
      <c r="AA366" s="3" t="s">
        <v>2577</v>
      </c>
      <c r="AB366" s="3" t="s">
        <v>2545</v>
      </c>
      <c r="AC366" s="3" t="s">
        <v>15686</v>
      </c>
      <c r="AD366" s="3">
        <v>183</v>
      </c>
      <c r="AE366" s="3">
        <v>201</v>
      </c>
      <c r="AF366" s="3" t="s">
        <v>70</v>
      </c>
      <c r="AG366" s="3" t="s">
        <v>6441</v>
      </c>
      <c r="AH366" s="3">
        <v>20551100</v>
      </c>
      <c r="AI366" s="3" t="s">
        <v>70</v>
      </c>
      <c r="AJ366" s="3"/>
      <c r="AK366" s="3"/>
      <c r="AL366" s="3"/>
      <c r="AM366" s="3"/>
      <c r="AN366" s="3" t="s">
        <v>7216</v>
      </c>
      <c r="AQ366" s="7" t="s">
        <v>9600</v>
      </c>
      <c r="AR366" s="3"/>
      <c r="AS366" s="7" t="s">
        <v>15687</v>
      </c>
    </row>
    <row r="367" spans="1:45" ht="12.5" hidden="1" x14ac:dyDescent="0.25">
      <c r="A367" s="3" t="s">
        <v>12652</v>
      </c>
      <c r="B367" s="21" t="str">
        <f>HYPERLINK("https://gerandofalcoes.my.salesforce.com/0014P00003YSp8GQAT", "0014P00003YSp8GQAT")</f>
        <v>0014P00003YSp8GQAT</v>
      </c>
      <c r="C367" s="3" t="s">
        <v>9603</v>
      </c>
      <c r="D367" s="3" t="s">
        <v>46</v>
      </c>
      <c r="E367" s="21" t="str">
        <f>HYPERLINK("https://gerandofalcoes.my.salesforce.com/0034P000045kxir", "0034P000045kxir")</f>
        <v>0034P000045kxir</v>
      </c>
      <c r="F367" s="3" t="s">
        <v>3030</v>
      </c>
      <c r="G367" s="3" t="s">
        <v>15688</v>
      </c>
      <c r="H367" s="3" t="s">
        <v>2538</v>
      </c>
      <c r="I367" s="3" t="s">
        <v>12654</v>
      </c>
      <c r="J367" s="3">
        <v>245</v>
      </c>
      <c r="K367" s="3" t="s">
        <v>15689</v>
      </c>
      <c r="L367" s="3" t="s">
        <v>15690</v>
      </c>
      <c r="M367" s="6">
        <v>29613</v>
      </c>
      <c r="N367" s="3">
        <v>41</v>
      </c>
      <c r="O367" s="3">
        <v>129093191</v>
      </c>
      <c r="P367" s="3">
        <v>93979223787</v>
      </c>
      <c r="S367" s="3" t="s">
        <v>3417</v>
      </c>
      <c r="T367" s="3" t="s">
        <v>12656</v>
      </c>
      <c r="U367" s="3" t="s">
        <v>120</v>
      </c>
      <c r="V367" s="3" t="s">
        <v>15691</v>
      </c>
      <c r="X367" s="3" t="s">
        <v>2980</v>
      </c>
      <c r="Y367" s="3" t="s">
        <v>12670</v>
      </c>
      <c r="Z367" s="3" t="s">
        <v>2545</v>
      </c>
      <c r="AA367" s="3" t="s">
        <v>2577</v>
      </c>
      <c r="AB367" s="3" t="s">
        <v>2545</v>
      </c>
      <c r="AC367" s="3" t="s">
        <v>15692</v>
      </c>
      <c r="AD367" s="3">
        <v>28</v>
      </c>
      <c r="AE367" s="3" t="s">
        <v>673</v>
      </c>
      <c r="AF367" s="3" t="s">
        <v>1105</v>
      </c>
      <c r="AG367" s="3" t="s">
        <v>9609</v>
      </c>
      <c r="AH367" s="3" t="s">
        <v>15693</v>
      </c>
      <c r="AI367" s="3" t="s">
        <v>70</v>
      </c>
      <c r="AJ367" s="3" t="s">
        <v>2569</v>
      </c>
      <c r="AK367" s="3" t="s">
        <v>12661</v>
      </c>
      <c r="AL367" s="3" t="s">
        <v>2588</v>
      </c>
      <c r="AM367" s="3">
        <v>3</v>
      </c>
      <c r="AN367" s="3" t="s">
        <v>7216</v>
      </c>
      <c r="AO367" s="3"/>
      <c r="AP367" s="3"/>
      <c r="AQ367" s="7" t="s">
        <v>9615</v>
      </c>
      <c r="AR367" s="3" t="s">
        <v>12676</v>
      </c>
      <c r="AS367" s="7" t="s">
        <v>15694</v>
      </c>
    </row>
    <row r="368" spans="1:45" ht="12.5" hidden="1" x14ac:dyDescent="0.25">
      <c r="A368" s="3" t="s">
        <v>12652</v>
      </c>
      <c r="B368" s="21" t="str">
        <f>HYPERLINK("https://gerandofalcoes.my.salesforce.com/0014P00003YSp8HQAT", "0014P00003YSp8HQAT")</f>
        <v>0014P00003YSp8HQAT</v>
      </c>
      <c r="C368" s="3" t="s">
        <v>9619</v>
      </c>
      <c r="D368" s="3" t="s">
        <v>46</v>
      </c>
      <c r="E368" s="21" t="str">
        <f>HYPERLINK("https://gerandofalcoes.my.salesforce.com/0034P000045kxis", "0034P000045kxis")</f>
        <v>0034P000045kxis</v>
      </c>
      <c r="F368" s="3" t="s">
        <v>2715</v>
      </c>
      <c r="G368" s="3" t="s">
        <v>15695</v>
      </c>
      <c r="H368" s="3" t="s">
        <v>2538</v>
      </c>
      <c r="I368" s="3" t="s">
        <v>12654</v>
      </c>
      <c r="J368" s="3">
        <v>245</v>
      </c>
      <c r="K368" s="3" t="s">
        <v>15696</v>
      </c>
      <c r="L368" s="3" t="s">
        <v>9623</v>
      </c>
      <c r="M368" s="6">
        <v>32589</v>
      </c>
      <c r="N368" s="3">
        <v>33</v>
      </c>
      <c r="O368" s="3" t="s">
        <v>15697</v>
      </c>
      <c r="P368" s="3">
        <v>12619811708</v>
      </c>
      <c r="S368" s="3" t="s">
        <v>3269</v>
      </c>
      <c r="T368" s="3" t="s">
        <v>12656</v>
      </c>
      <c r="U368" s="3" t="s">
        <v>120</v>
      </c>
      <c r="V368" s="3" t="s">
        <v>15698</v>
      </c>
      <c r="X368" s="3" t="s">
        <v>2980</v>
      </c>
      <c r="Y368" s="3" t="s">
        <v>12658</v>
      </c>
      <c r="Z368" s="3" t="s">
        <v>2543</v>
      </c>
      <c r="AA368" s="3"/>
      <c r="AB368" s="3"/>
      <c r="AC368" s="3" t="s">
        <v>9624</v>
      </c>
      <c r="AD368" s="3">
        <v>54</v>
      </c>
      <c r="AE368" s="3" t="s">
        <v>9627</v>
      </c>
      <c r="AF368" s="3" t="s">
        <v>9626</v>
      </c>
      <c r="AG368" s="3" t="s">
        <v>15699</v>
      </c>
      <c r="AH368" s="3" t="s">
        <v>15700</v>
      </c>
      <c r="AI368" s="3" t="s">
        <v>70</v>
      </c>
      <c r="AJ368" s="3" t="s">
        <v>2569</v>
      </c>
      <c r="AK368" s="3" t="s">
        <v>12729</v>
      </c>
      <c r="AL368" s="3" t="s">
        <v>2550</v>
      </c>
      <c r="AM368" s="3">
        <v>4</v>
      </c>
      <c r="AN368" s="3" t="s">
        <v>7216</v>
      </c>
      <c r="AQ368" s="7" t="s">
        <v>15701</v>
      </c>
      <c r="AR368" s="3" t="s">
        <v>12676</v>
      </c>
      <c r="AS368" s="7" t="s">
        <v>15702</v>
      </c>
    </row>
    <row r="369" spans="1:45" ht="12.5" hidden="1" x14ac:dyDescent="0.25">
      <c r="A369" s="3" t="s">
        <v>12652</v>
      </c>
      <c r="B369" s="21" t="str">
        <f>HYPERLINK("https://gerandofalcoes.my.salesforce.com/0014P00003YSp8IQAT", "0014P00003YSp8IQAT")</f>
        <v>0014P00003YSp8IQAT</v>
      </c>
      <c r="C369" s="3" t="s">
        <v>4744</v>
      </c>
      <c r="D369" s="3" t="s">
        <v>46</v>
      </c>
      <c r="E369" s="21" t="str">
        <f>HYPERLINK("https://gerandofalcoes.my.salesforce.com/0034P000045kxit", "0034P000045kxit")</f>
        <v>0034P000045kxit</v>
      </c>
      <c r="F369" s="3" t="s">
        <v>13588</v>
      </c>
      <c r="G369" s="3" t="s">
        <v>15703</v>
      </c>
      <c r="H369" s="3" t="s">
        <v>2538</v>
      </c>
      <c r="I369" s="3" t="s">
        <v>12654</v>
      </c>
      <c r="J369" s="3">
        <v>245</v>
      </c>
      <c r="K369" s="3" t="s">
        <v>15704</v>
      </c>
      <c r="L369" s="3" t="s">
        <v>15705</v>
      </c>
      <c r="M369" s="6">
        <v>28555</v>
      </c>
      <c r="N369" s="3">
        <v>44</v>
      </c>
      <c r="O369" s="3" t="s">
        <v>15706</v>
      </c>
      <c r="P369" s="3">
        <v>8285319784</v>
      </c>
      <c r="S369" s="3" t="s">
        <v>2998</v>
      </c>
      <c r="T369" s="3" t="s">
        <v>12723</v>
      </c>
      <c r="U369" s="3" t="s">
        <v>62</v>
      </c>
      <c r="V369" s="3" t="s">
        <v>15707</v>
      </c>
      <c r="X369" s="3" t="s">
        <v>2980</v>
      </c>
      <c r="Y369" s="3" t="s">
        <v>12670</v>
      </c>
      <c r="Z369" s="3" t="s">
        <v>2545</v>
      </c>
      <c r="AA369" s="3" t="s">
        <v>2544</v>
      </c>
      <c r="AB369" s="3" t="s">
        <v>2545</v>
      </c>
      <c r="AC369" s="3" t="s">
        <v>15708</v>
      </c>
      <c r="AD369" s="3">
        <v>96</v>
      </c>
      <c r="AE369" s="3" t="s">
        <v>15709</v>
      </c>
      <c r="AF369" s="3" t="s">
        <v>760</v>
      </c>
      <c r="AG369" s="3" t="s">
        <v>9638</v>
      </c>
      <c r="AH369" s="3" t="s">
        <v>9640</v>
      </c>
      <c r="AI369" s="3" t="s">
        <v>70</v>
      </c>
      <c r="AJ369" s="3" t="s">
        <v>2569</v>
      </c>
      <c r="AK369" s="3" t="s">
        <v>12729</v>
      </c>
      <c r="AL369" s="3" t="s">
        <v>2579</v>
      </c>
      <c r="AM369" s="3">
        <v>3</v>
      </c>
      <c r="AN369" s="3" t="s">
        <v>7216</v>
      </c>
      <c r="AQ369" s="3" t="s">
        <v>15710</v>
      </c>
      <c r="AR369" s="3" t="s">
        <v>12676</v>
      </c>
      <c r="AS369" s="7" t="s">
        <v>15711</v>
      </c>
    </row>
    <row r="370" spans="1:45" ht="12.5" hidden="1" x14ac:dyDescent="0.25">
      <c r="A370" s="3" t="s">
        <v>12652</v>
      </c>
      <c r="B370" s="21" t="str">
        <f>HYPERLINK("https://gerandofalcoes.my.salesforce.com/0014P00003YSp8JQAT", "0014P00003YSp8JQAT")</f>
        <v>0014P00003YSp8JQAT</v>
      </c>
      <c r="C370" s="3" t="s">
        <v>9649</v>
      </c>
      <c r="D370" s="3" t="s">
        <v>46</v>
      </c>
      <c r="E370" s="21" t="str">
        <f>HYPERLINK("https://gerandofalcoes.my.salesforce.com/0034P000045kxiu", "0034P000045kxiu")</f>
        <v>0034P000045kxiu</v>
      </c>
      <c r="F370" s="3" t="s">
        <v>2773</v>
      </c>
      <c r="G370" s="3" t="s">
        <v>15712</v>
      </c>
      <c r="H370" s="3" t="s">
        <v>2538</v>
      </c>
      <c r="I370" s="3" t="s">
        <v>12654</v>
      </c>
      <c r="J370" s="3">
        <v>245</v>
      </c>
      <c r="K370" s="3" t="s">
        <v>9652</v>
      </c>
      <c r="L370" s="3" t="s">
        <v>15713</v>
      </c>
      <c r="M370" s="6">
        <v>26913</v>
      </c>
      <c r="N370" s="3">
        <v>49</v>
      </c>
      <c r="O370" s="3" t="s">
        <v>15714</v>
      </c>
      <c r="P370" s="3">
        <v>3791259784</v>
      </c>
      <c r="S370" s="3" t="s">
        <v>2998</v>
      </c>
      <c r="T370" s="3" t="s">
        <v>12723</v>
      </c>
      <c r="U370" s="3" t="s">
        <v>120</v>
      </c>
      <c r="V370" s="3" t="s">
        <v>15715</v>
      </c>
      <c r="X370" s="3" t="s">
        <v>2980</v>
      </c>
      <c r="Y370" s="3" t="s">
        <v>12684</v>
      </c>
      <c r="Z370" s="3" t="s">
        <v>12685</v>
      </c>
      <c r="AA370" s="3"/>
      <c r="AB370" s="3"/>
      <c r="AC370" s="3" t="s">
        <v>9654</v>
      </c>
      <c r="AD370" s="3">
        <v>473</v>
      </c>
      <c r="AE370" s="3" t="s">
        <v>8622</v>
      </c>
      <c r="AF370" s="3" t="s">
        <v>73</v>
      </c>
      <c r="AG370" s="3" t="s">
        <v>15716</v>
      </c>
      <c r="AH370" s="3" t="s">
        <v>9657</v>
      </c>
      <c r="AI370" s="3" t="s">
        <v>70</v>
      </c>
      <c r="AJ370" s="3" t="s">
        <v>2569</v>
      </c>
      <c r="AK370" s="3" t="s">
        <v>12661</v>
      </c>
      <c r="AL370" s="3" t="s">
        <v>2550</v>
      </c>
      <c r="AM370" s="3">
        <v>8</v>
      </c>
      <c r="AN370" s="3" t="s">
        <v>14107</v>
      </c>
      <c r="AQ370" s="7" t="s">
        <v>9660</v>
      </c>
      <c r="AR370" s="3" t="s">
        <v>12676</v>
      </c>
      <c r="AS370" s="7" t="s">
        <v>15717</v>
      </c>
    </row>
    <row r="371" spans="1:45" ht="12.5" hidden="1" x14ac:dyDescent="0.25">
      <c r="A371" s="3" t="s">
        <v>12652</v>
      </c>
      <c r="B371" s="21" t="str">
        <f>HYPERLINK("https://gerandofalcoes.my.salesforce.com/0014P00003YSp8KQAT", "0014P00003YSp8KQAT")</f>
        <v>0014P00003YSp8KQAT</v>
      </c>
      <c r="C371" s="3" t="s">
        <v>9664</v>
      </c>
      <c r="D371" s="3" t="s">
        <v>46</v>
      </c>
      <c r="E371" s="21" t="str">
        <f>HYPERLINK("https://gerandofalcoes.my.salesforce.com/0034P000045kxiv", "0034P000045kxiv")</f>
        <v>0034P000045kxiv</v>
      </c>
      <c r="F371" s="3" t="s">
        <v>15718</v>
      </c>
      <c r="G371" s="3" t="s">
        <v>15719</v>
      </c>
      <c r="H371" s="3" t="s">
        <v>2538</v>
      </c>
      <c r="I371" s="3" t="s">
        <v>12654</v>
      </c>
      <c r="J371" s="3">
        <v>245</v>
      </c>
      <c r="K371" s="3" t="s">
        <v>9667</v>
      </c>
      <c r="L371" s="3">
        <v>21975167278</v>
      </c>
      <c r="M371" s="6">
        <v>32497</v>
      </c>
      <c r="N371" s="3">
        <v>34</v>
      </c>
      <c r="O371" s="3">
        <v>202398400</v>
      </c>
      <c r="P371" s="3">
        <v>13700432798</v>
      </c>
      <c r="S371" s="3" t="s">
        <v>12744</v>
      </c>
      <c r="T371" s="3" t="s">
        <v>13608</v>
      </c>
      <c r="U371" s="3" t="s">
        <v>120</v>
      </c>
      <c r="V371" s="3" t="s">
        <v>15720</v>
      </c>
      <c r="X371" s="3"/>
      <c r="Y371" s="3" t="s">
        <v>12736</v>
      </c>
      <c r="Z371" s="3" t="s">
        <v>2545</v>
      </c>
      <c r="AA371" s="3"/>
      <c r="AB371" s="3"/>
      <c r="AC371" s="3" t="s">
        <v>15721</v>
      </c>
      <c r="AD371" s="3">
        <v>651</v>
      </c>
      <c r="AE371" s="3" t="s">
        <v>15722</v>
      </c>
      <c r="AF371" s="3" t="s">
        <v>1105</v>
      </c>
      <c r="AG371" s="3" t="s">
        <v>15723</v>
      </c>
      <c r="AH371" s="3">
        <v>25251090</v>
      </c>
      <c r="AI371" s="3" t="s">
        <v>70</v>
      </c>
      <c r="AJ371" s="3"/>
      <c r="AK371" s="3"/>
      <c r="AL371" s="3"/>
      <c r="AM371" s="3"/>
      <c r="AN371" s="3" t="s">
        <v>15724</v>
      </c>
      <c r="AP371" s="3"/>
      <c r="AQ371" s="7" t="s">
        <v>15725</v>
      </c>
      <c r="AR371" s="3"/>
      <c r="AS371" s="7" t="s">
        <v>15726</v>
      </c>
    </row>
    <row r="372" spans="1:45" ht="12.5" hidden="1" x14ac:dyDescent="0.25">
      <c r="A372" s="3" t="s">
        <v>12652</v>
      </c>
      <c r="B372" s="21" t="str">
        <f>HYPERLINK("https://gerandofalcoes.my.salesforce.com/0014P00003YSp8LQAT", "0014P00003YSp8LQAT")</f>
        <v>0014P00003YSp8LQAT</v>
      </c>
      <c r="C372" s="3" t="s">
        <v>9682</v>
      </c>
      <c r="D372" s="3" t="s">
        <v>46</v>
      </c>
      <c r="E372" s="21" t="str">
        <f>HYPERLINK("https://gerandofalcoes.my.salesforce.com/0034P000045kxiw", "0034P000045kxiw")</f>
        <v>0034P000045kxiw</v>
      </c>
      <c r="F372" s="3" t="s">
        <v>2773</v>
      </c>
      <c r="G372" s="3" t="s">
        <v>15727</v>
      </c>
      <c r="H372" s="3" t="s">
        <v>2538</v>
      </c>
      <c r="I372" s="3" t="s">
        <v>12654</v>
      </c>
      <c r="J372" s="3">
        <v>245</v>
      </c>
      <c r="K372" s="3" t="s">
        <v>9684</v>
      </c>
      <c r="L372" s="3" t="s">
        <v>9685</v>
      </c>
      <c r="M372" s="6">
        <v>28177</v>
      </c>
      <c r="N372" s="3">
        <v>45</v>
      </c>
      <c r="O372" s="3">
        <v>113878482</v>
      </c>
      <c r="P372" s="3">
        <v>7574315779</v>
      </c>
      <c r="S372" s="3" t="s">
        <v>3137</v>
      </c>
      <c r="T372" s="3" t="s">
        <v>12656</v>
      </c>
      <c r="U372" s="3" t="s">
        <v>62</v>
      </c>
      <c r="V372" s="3" t="s">
        <v>15728</v>
      </c>
      <c r="X372" s="3" t="s">
        <v>2980</v>
      </c>
      <c r="Y372" s="3" t="s">
        <v>12670</v>
      </c>
      <c r="Z372" s="3" t="s">
        <v>2545</v>
      </c>
      <c r="AA372" s="3" t="s">
        <v>2577</v>
      </c>
      <c r="AB372" s="3" t="s">
        <v>2543</v>
      </c>
      <c r="AC372" s="3" t="s">
        <v>15729</v>
      </c>
      <c r="AD372" s="3">
        <v>26</v>
      </c>
      <c r="AE372" s="3" t="s">
        <v>15730</v>
      </c>
      <c r="AF372" s="3" t="s">
        <v>1105</v>
      </c>
      <c r="AG372" s="3" t="s">
        <v>15731</v>
      </c>
      <c r="AH372" s="3" t="s">
        <v>15732</v>
      </c>
      <c r="AI372" s="3" t="s">
        <v>70</v>
      </c>
      <c r="AJ372" s="3" t="s">
        <v>2569</v>
      </c>
      <c r="AK372" s="3" t="s">
        <v>15733</v>
      </c>
      <c r="AL372" s="3" t="s">
        <v>2579</v>
      </c>
      <c r="AM372" s="3">
        <v>2</v>
      </c>
      <c r="AN372" s="3" t="s">
        <v>7216</v>
      </c>
      <c r="AP372" s="3"/>
      <c r="AQ372" s="7" t="s">
        <v>15734</v>
      </c>
      <c r="AR372" s="3" t="s">
        <v>12676</v>
      </c>
      <c r="AS372" s="7" t="s">
        <v>15735</v>
      </c>
    </row>
    <row r="373" spans="1:45" ht="12.5" hidden="1" x14ac:dyDescent="0.25">
      <c r="A373" s="3" t="s">
        <v>12652</v>
      </c>
      <c r="B373" s="21" t="str">
        <f>HYPERLINK("https://gerandofalcoes.my.salesforce.com/0014P00003YSp8MQAT", "0014P00003YSp8MQAT")</f>
        <v>0014P00003YSp8MQAT</v>
      </c>
      <c r="C373" s="3" t="s">
        <v>9693</v>
      </c>
      <c r="D373" s="3" t="s">
        <v>46</v>
      </c>
      <c r="E373" s="21" t="str">
        <f>HYPERLINK("https://gerandofalcoes.my.salesforce.com/0034P000045kxix", "0034P000045kxix")</f>
        <v>0034P000045kxix</v>
      </c>
      <c r="F373" s="3" t="s">
        <v>15736</v>
      </c>
      <c r="G373" s="3" t="s">
        <v>15737</v>
      </c>
      <c r="H373" s="3" t="s">
        <v>2538</v>
      </c>
      <c r="I373" s="3" t="s">
        <v>12654</v>
      </c>
      <c r="J373" s="3">
        <v>245</v>
      </c>
      <c r="K373" s="3" t="s">
        <v>15738</v>
      </c>
      <c r="L373" s="3" t="s">
        <v>15739</v>
      </c>
      <c r="M373" s="6">
        <v>31122</v>
      </c>
      <c r="N373" s="3">
        <v>37</v>
      </c>
      <c r="O373" s="3">
        <v>270119274</v>
      </c>
      <c r="P373" s="3">
        <v>705508161</v>
      </c>
      <c r="S373" s="3" t="s">
        <v>3137</v>
      </c>
      <c r="T373" s="3" t="s">
        <v>12682</v>
      </c>
      <c r="U373" s="3" t="s">
        <v>62</v>
      </c>
      <c r="V373" s="3" t="s">
        <v>15740</v>
      </c>
      <c r="X373" s="3" t="s">
        <v>3508</v>
      </c>
      <c r="Y373" s="3" t="s">
        <v>12658</v>
      </c>
      <c r="Z373" s="3" t="s">
        <v>2545</v>
      </c>
      <c r="AA373" s="3" t="s">
        <v>2544</v>
      </c>
      <c r="AB373" s="3" t="s">
        <v>2545</v>
      </c>
      <c r="AC373" s="3" t="s">
        <v>15741</v>
      </c>
      <c r="AD373" s="3">
        <v>672</v>
      </c>
      <c r="AE373" s="3" t="s">
        <v>15742</v>
      </c>
      <c r="AF373" s="3" t="s">
        <v>73</v>
      </c>
      <c r="AG373" s="3" t="s">
        <v>14490</v>
      </c>
      <c r="AH373" s="3" t="s">
        <v>15743</v>
      </c>
      <c r="AI373" s="3" t="s">
        <v>70</v>
      </c>
      <c r="AJ373" s="3" t="s">
        <v>2741</v>
      </c>
      <c r="AK373" s="3" t="s">
        <v>12661</v>
      </c>
      <c r="AL373" s="3" t="s">
        <v>2588</v>
      </c>
      <c r="AM373" s="3">
        <v>2</v>
      </c>
      <c r="AN373" s="3" t="s">
        <v>7216</v>
      </c>
      <c r="AP373" s="7" t="s">
        <v>15744</v>
      </c>
      <c r="AQ373" s="7" t="s">
        <v>15745</v>
      </c>
      <c r="AR373" s="3" t="s">
        <v>4204</v>
      </c>
      <c r="AS373" s="7" t="s">
        <v>15746</v>
      </c>
    </row>
    <row r="374" spans="1:45" ht="12.5" hidden="1" x14ac:dyDescent="0.25">
      <c r="A374" s="3" t="s">
        <v>12652</v>
      </c>
      <c r="B374" s="21" t="str">
        <f>HYPERLINK("https://gerandofalcoes.my.salesforce.com/0014P00003YSp8NQAT", "0014P00003YSp8NQAT")</f>
        <v>0014P00003YSp8NQAT</v>
      </c>
      <c r="C374" s="3" t="s">
        <v>9710</v>
      </c>
      <c r="D374" s="3" t="s">
        <v>46</v>
      </c>
      <c r="E374" s="21" t="str">
        <f>HYPERLINK("https://gerandofalcoes.my.salesforce.com/0034P000045kxiy", "0034P000045kxiy")</f>
        <v>0034P000045kxiy</v>
      </c>
      <c r="F374" s="3" t="s">
        <v>15747</v>
      </c>
      <c r="G374" s="3" t="s">
        <v>15748</v>
      </c>
      <c r="H374" s="3" t="s">
        <v>2538</v>
      </c>
      <c r="I374" s="3" t="s">
        <v>12654</v>
      </c>
      <c r="J374" s="3">
        <v>245</v>
      </c>
      <c r="K374" s="3" t="s">
        <v>15749</v>
      </c>
      <c r="L374" s="3" t="s">
        <v>15750</v>
      </c>
      <c r="M374" s="6">
        <v>34978</v>
      </c>
      <c r="N374" s="3">
        <v>27</v>
      </c>
      <c r="O374" s="3" t="s">
        <v>15751</v>
      </c>
      <c r="P374" s="3">
        <v>17140724792</v>
      </c>
      <c r="S374" s="3" t="s">
        <v>3137</v>
      </c>
      <c r="T374" s="3" t="s">
        <v>12723</v>
      </c>
      <c r="U374" s="3" t="s">
        <v>120</v>
      </c>
      <c r="V374" s="3" t="s">
        <v>15752</v>
      </c>
      <c r="X374" s="3" t="s">
        <v>2980</v>
      </c>
      <c r="Y374" s="3" t="s">
        <v>12658</v>
      </c>
      <c r="Z374" s="3" t="s">
        <v>2543</v>
      </c>
      <c r="AA374" s="3" t="s">
        <v>2544</v>
      </c>
      <c r="AB374" s="3" t="s">
        <v>2545</v>
      </c>
      <c r="AC374" s="3" t="s">
        <v>15753</v>
      </c>
      <c r="AD374" s="3">
        <v>18</v>
      </c>
      <c r="AE374" s="3" t="s">
        <v>673</v>
      </c>
      <c r="AF374" s="3" t="s">
        <v>73</v>
      </c>
      <c r="AG374" s="3" t="s">
        <v>9960</v>
      </c>
      <c r="AH374" s="3" t="s">
        <v>15754</v>
      </c>
      <c r="AI374" s="3" t="s">
        <v>70</v>
      </c>
      <c r="AJ374" s="3" t="s">
        <v>2569</v>
      </c>
      <c r="AK374" s="3" t="s">
        <v>15755</v>
      </c>
      <c r="AL374" s="3" t="s">
        <v>2588</v>
      </c>
      <c r="AM374" s="3">
        <v>4</v>
      </c>
      <c r="AN374" s="3" t="s">
        <v>7216</v>
      </c>
      <c r="AO374" s="3"/>
      <c r="AP374" s="7" t="s">
        <v>15756</v>
      </c>
      <c r="AQ374" s="7" t="s">
        <v>15757</v>
      </c>
      <c r="AR374" s="3" t="s">
        <v>12664</v>
      </c>
      <c r="AS374" s="7" t="s">
        <v>15758</v>
      </c>
    </row>
    <row r="375" spans="1:45" ht="12.5" hidden="1" x14ac:dyDescent="0.25">
      <c r="A375" s="3" t="s">
        <v>12652</v>
      </c>
      <c r="B375" s="21" t="str">
        <f>HYPERLINK("https://gerandofalcoes.my.salesforce.com/0014P00003YSp8OQAT", "0014P00003YSp8OQAT")</f>
        <v>0014P00003YSp8OQAT</v>
      </c>
      <c r="C375" s="3" t="s">
        <v>9727</v>
      </c>
      <c r="D375" s="3" t="s">
        <v>46</v>
      </c>
      <c r="E375" s="21" t="str">
        <f>HYPERLINK("https://gerandofalcoes.my.salesforce.com/0034P000045kxiz", "0034P000045kxiz")</f>
        <v>0034P000045kxiz</v>
      </c>
      <c r="F375" s="3" t="s">
        <v>15759</v>
      </c>
      <c r="G375" s="3" t="s">
        <v>15760</v>
      </c>
      <c r="H375" s="3" t="s">
        <v>2538</v>
      </c>
      <c r="I375" s="3" t="s">
        <v>12654</v>
      </c>
      <c r="J375" s="3">
        <v>245</v>
      </c>
      <c r="K375" s="3" t="s">
        <v>9730</v>
      </c>
      <c r="L375" s="3" t="s">
        <v>9731</v>
      </c>
      <c r="M375" s="6">
        <v>33015</v>
      </c>
      <c r="N375" s="3">
        <v>32</v>
      </c>
      <c r="O375" s="3">
        <v>2279918</v>
      </c>
      <c r="P375" s="3">
        <v>12043918745</v>
      </c>
      <c r="S375" s="3" t="s">
        <v>12864</v>
      </c>
      <c r="T375" s="3" t="s">
        <v>12656</v>
      </c>
      <c r="U375" s="3" t="s">
        <v>62</v>
      </c>
      <c r="V375" s="3" t="s">
        <v>15761</v>
      </c>
      <c r="X375" s="3" t="s">
        <v>2980</v>
      </c>
      <c r="Y375" s="3" t="s">
        <v>12670</v>
      </c>
      <c r="Z375" s="3" t="s">
        <v>2543</v>
      </c>
      <c r="AA375" s="3" t="s">
        <v>2544</v>
      </c>
      <c r="AB375" s="3" t="s">
        <v>2545</v>
      </c>
      <c r="AC375" s="3" t="s">
        <v>15762</v>
      </c>
      <c r="AD375" s="3">
        <v>204</v>
      </c>
      <c r="AE375" s="3" t="s">
        <v>1539</v>
      </c>
      <c r="AF375" s="3" t="s">
        <v>9734</v>
      </c>
      <c r="AG375" s="3" t="s">
        <v>15763</v>
      </c>
      <c r="AH375" s="3" t="s">
        <v>15764</v>
      </c>
      <c r="AI375" s="3" t="s">
        <v>295</v>
      </c>
      <c r="AJ375" s="3" t="s">
        <v>2569</v>
      </c>
      <c r="AK375" s="3" t="s">
        <v>12661</v>
      </c>
      <c r="AL375" s="3" t="s">
        <v>2588</v>
      </c>
      <c r="AM375" s="3">
        <v>2</v>
      </c>
      <c r="AN375" s="3" t="s">
        <v>7216</v>
      </c>
      <c r="AQ375" s="7" t="s">
        <v>15765</v>
      </c>
      <c r="AR375" s="3" t="s">
        <v>12676</v>
      </c>
      <c r="AS375" s="7" t="s">
        <v>15766</v>
      </c>
    </row>
    <row r="376" spans="1:45" ht="12.5" hidden="1" x14ac:dyDescent="0.25">
      <c r="A376" s="3" t="s">
        <v>12652</v>
      </c>
      <c r="B376" s="21" t="str">
        <f>HYPERLINK("https://gerandofalcoes.my.salesforce.com/0014P00003YSp8PQAT", "0014P00003YSp8PQAT")</f>
        <v>0014P00003YSp8PQAT</v>
      </c>
      <c r="C376" s="3" t="s">
        <v>9745</v>
      </c>
      <c r="D376" s="3" t="s">
        <v>46</v>
      </c>
      <c r="E376" s="21" t="str">
        <f>HYPERLINK("https://gerandofalcoes.my.salesforce.com/0034P000045kxj0", "0034P000045kxj0")</f>
        <v>0034P000045kxj0</v>
      </c>
      <c r="F376" s="3" t="s">
        <v>15767</v>
      </c>
      <c r="G376" s="3" t="s">
        <v>15768</v>
      </c>
      <c r="H376" s="3" t="s">
        <v>2538</v>
      </c>
      <c r="I376" s="3" t="s">
        <v>12654</v>
      </c>
      <c r="J376" s="3">
        <v>245</v>
      </c>
      <c r="K376" s="3" t="s">
        <v>15769</v>
      </c>
      <c r="L376" s="3" t="s">
        <v>9749</v>
      </c>
      <c r="M376" s="6">
        <v>31949</v>
      </c>
      <c r="N376" s="3">
        <v>35</v>
      </c>
      <c r="O376" s="3">
        <v>215506296</v>
      </c>
      <c r="P376" s="3">
        <v>12448274797</v>
      </c>
      <c r="S376" s="3" t="s">
        <v>3269</v>
      </c>
      <c r="T376" s="3" t="s">
        <v>12682</v>
      </c>
      <c r="U376" s="3" t="s">
        <v>62</v>
      </c>
      <c r="V376" s="3" t="s">
        <v>15770</v>
      </c>
      <c r="X376" s="3" t="s">
        <v>2980</v>
      </c>
      <c r="Y376" s="3" t="s">
        <v>12670</v>
      </c>
      <c r="Z376" s="3" t="s">
        <v>2545</v>
      </c>
      <c r="AA376" s="3" t="s">
        <v>2544</v>
      </c>
      <c r="AB376" s="3" t="s">
        <v>2545</v>
      </c>
      <c r="AC376" s="3" t="s">
        <v>9750</v>
      </c>
      <c r="AD376" s="3">
        <v>877</v>
      </c>
      <c r="AE376" s="3" t="s">
        <v>1539</v>
      </c>
      <c r="AF376" s="3" t="s">
        <v>6367</v>
      </c>
      <c r="AG376" s="3" t="s">
        <v>9751</v>
      </c>
      <c r="AH376" s="3" t="s">
        <v>9752</v>
      </c>
      <c r="AI376" s="3" t="s">
        <v>70</v>
      </c>
      <c r="AJ376" s="3" t="s">
        <v>2741</v>
      </c>
      <c r="AK376" s="3" t="s">
        <v>15771</v>
      </c>
      <c r="AL376" s="3" t="s">
        <v>2550</v>
      </c>
      <c r="AM376" s="3">
        <v>5</v>
      </c>
      <c r="AN376" s="3" t="s">
        <v>7216</v>
      </c>
      <c r="AQ376" s="7" t="s">
        <v>15772</v>
      </c>
      <c r="AR376" s="3" t="s">
        <v>12676</v>
      </c>
      <c r="AS376" s="7" t="s">
        <v>15773</v>
      </c>
    </row>
    <row r="377" spans="1:45" ht="12.5" hidden="1" x14ac:dyDescent="0.25">
      <c r="A377" s="3" t="s">
        <v>12652</v>
      </c>
      <c r="B377" s="21" t="str">
        <f>HYPERLINK("https://gerandofalcoes.my.salesforce.com/0014P00003YSp8QQAT", "0014P00003YSp8QQAT")</f>
        <v>0014P00003YSp8QQAT</v>
      </c>
      <c r="C377" s="3" t="s">
        <v>9758</v>
      </c>
      <c r="D377" s="3" t="s">
        <v>46</v>
      </c>
      <c r="E377" s="21" t="str">
        <f>HYPERLINK("https://gerandofalcoes.my.salesforce.com/0034P000045kxj1", "0034P000045kxj1")</f>
        <v>0034P000045kxj1</v>
      </c>
      <c r="F377" s="3" t="s">
        <v>14624</v>
      </c>
      <c r="G377" s="3" t="s">
        <v>15774</v>
      </c>
      <c r="H377" s="3" t="s">
        <v>2538</v>
      </c>
      <c r="I377" s="3" t="s">
        <v>12654</v>
      </c>
      <c r="J377" s="3">
        <v>245</v>
      </c>
      <c r="K377" s="3" t="s">
        <v>15775</v>
      </c>
      <c r="L377" s="3" t="s">
        <v>15776</v>
      </c>
      <c r="M377" s="6">
        <v>31195</v>
      </c>
      <c r="N377" s="3">
        <v>37</v>
      </c>
      <c r="O377" s="3">
        <v>127217636</v>
      </c>
      <c r="P377" s="3">
        <v>10815381719</v>
      </c>
      <c r="S377" s="3" t="s">
        <v>2998</v>
      </c>
      <c r="T377" s="3" t="s">
        <v>12682</v>
      </c>
      <c r="U377" s="3" t="s">
        <v>62</v>
      </c>
      <c r="V377" s="3" t="s">
        <v>15777</v>
      </c>
      <c r="X377" s="3" t="s">
        <v>2980</v>
      </c>
      <c r="Y377" s="3" t="s">
        <v>12670</v>
      </c>
      <c r="Z377" s="3" t="s">
        <v>2545</v>
      </c>
      <c r="AA377" s="3" t="s">
        <v>2577</v>
      </c>
      <c r="AB377" s="3" t="s">
        <v>2545</v>
      </c>
      <c r="AC377" s="3" t="s">
        <v>15778</v>
      </c>
      <c r="AD377" s="3">
        <v>50</v>
      </c>
      <c r="AF377" s="3" t="s">
        <v>7277</v>
      </c>
      <c r="AG377" s="3" t="s">
        <v>1917</v>
      </c>
      <c r="AH377" s="3" t="s">
        <v>15779</v>
      </c>
      <c r="AI377" s="3" t="s">
        <v>70</v>
      </c>
      <c r="AJ377" s="3" t="s">
        <v>2548</v>
      </c>
      <c r="AK377" s="3" t="s">
        <v>12828</v>
      </c>
      <c r="AL377" s="3" t="s">
        <v>2550</v>
      </c>
      <c r="AM377" s="3">
        <v>3</v>
      </c>
      <c r="AN377" s="3" t="s">
        <v>7216</v>
      </c>
      <c r="AO377" s="3"/>
      <c r="AP377" s="7" t="s">
        <v>15780</v>
      </c>
      <c r="AQ377" s="7" t="s">
        <v>15781</v>
      </c>
      <c r="AR377" s="3" t="s">
        <v>12664</v>
      </c>
      <c r="AS377" s="7" t="s">
        <v>15782</v>
      </c>
    </row>
    <row r="378" spans="1:45" ht="12.5" hidden="1" x14ac:dyDescent="0.25">
      <c r="A378" s="3" t="s">
        <v>12652</v>
      </c>
      <c r="B378" s="21" t="str">
        <f>HYPERLINK("https://gerandofalcoes.my.salesforce.com/0014P00003YSp8RQAT", "0014P00003YSp8RQAT")</f>
        <v>0014P00003YSp8RQAT</v>
      </c>
      <c r="C378" s="3" t="s">
        <v>9771</v>
      </c>
      <c r="D378" s="3" t="s">
        <v>46</v>
      </c>
      <c r="E378" s="21" t="str">
        <f>HYPERLINK("https://gerandofalcoes.my.salesforce.com/0034P000045kxj2", "0034P000045kxj2")</f>
        <v>0034P000045kxj2</v>
      </c>
      <c r="F378" s="3" t="s">
        <v>15783</v>
      </c>
      <c r="G378" s="3" t="s">
        <v>15784</v>
      </c>
      <c r="H378" s="3" t="s">
        <v>2538</v>
      </c>
      <c r="I378" s="3" t="s">
        <v>12654</v>
      </c>
      <c r="J378" s="3">
        <v>245</v>
      </c>
      <c r="K378" s="3" t="s">
        <v>15785</v>
      </c>
      <c r="L378" s="3" t="s">
        <v>15786</v>
      </c>
      <c r="M378" s="8">
        <v>29677</v>
      </c>
      <c r="N378" s="3">
        <v>41</v>
      </c>
      <c r="O378" s="3">
        <v>552024</v>
      </c>
      <c r="P378" s="3">
        <v>9031923737</v>
      </c>
      <c r="S378" s="3" t="s">
        <v>2998</v>
      </c>
      <c r="T378" s="3" t="s">
        <v>12656</v>
      </c>
      <c r="U378" s="3" t="s">
        <v>62</v>
      </c>
      <c r="V378" s="3" t="s">
        <v>15787</v>
      </c>
      <c r="X378" s="3" t="s">
        <v>2980</v>
      </c>
      <c r="Y378" s="3" t="s">
        <v>12670</v>
      </c>
      <c r="Z378" s="3" t="s">
        <v>2545</v>
      </c>
      <c r="AA378" s="3" t="s">
        <v>2737</v>
      </c>
      <c r="AB378" s="3" t="s">
        <v>2545</v>
      </c>
      <c r="AC378" s="3" t="s">
        <v>15788</v>
      </c>
      <c r="AD378" s="3">
        <v>640</v>
      </c>
      <c r="AE378" s="3" t="s">
        <v>15789</v>
      </c>
      <c r="AF378" s="3" t="s">
        <v>6367</v>
      </c>
      <c r="AG378" s="3" t="s">
        <v>15790</v>
      </c>
      <c r="AH378" s="3" t="s">
        <v>15791</v>
      </c>
      <c r="AI378" s="3" t="s">
        <v>70</v>
      </c>
      <c r="AJ378" s="3" t="s">
        <v>2569</v>
      </c>
      <c r="AK378" s="3" t="s">
        <v>12729</v>
      </c>
      <c r="AL378" s="3" t="s">
        <v>2588</v>
      </c>
      <c r="AM378" s="3">
        <v>4</v>
      </c>
      <c r="AN378" s="3" t="s">
        <v>3890</v>
      </c>
      <c r="AP378" s="7" t="s">
        <v>15792</v>
      </c>
      <c r="AQ378" s="7" t="s">
        <v>15793</v>
      </c>
      <c r="AR378" s="3" t="s">
        <v>12676</v>
      </c>
      <c r="AS378" s="7" t="s">
        <v>15794</v>
      </c>
    </row>
    <row r="379" spans="1:45" ht="12.5" hidden="1" x14ac:dyDescent="0.25">
      <c r="A379" s="3" t="s">
        <v>12652</v>
      </c>
      <c r="B379" s="21" t="str">
        <f>HYPERLINK("https://gerandofalcoes.my.salesforce.com/0014P00003YSp8SQAT", "0014P00003YSp8SQAT")</f>
        <v>0014P00003YSp8SQAT</v>
      </c>
      <c r="C379" s="3" t="s">
        <v>9789</v>
      </c>
      <c r="D379" s="3" t="s">
        <v>46</v>
      </c>
      <c r="E379" s="21" t="str">
        <f>HYPERLINK("https://gerandofalcoes.my.salesforce.com/0034P000045kxj3", "0034P000045kxj3")</f>
        <v>0034P000045kxj3</v>
      </c>
      <c r="F379" s="3" t="s">
        <v>14734</v>
      </c>
      <c r="G379" s="3" t="s">
        <v>15795</v>
      </c>
      <c r="H379" s="3" t="s">
        <v>2538</v>
      </c>
      <c r="I379" s="3" t="s">
        <v>12654</v>
      </c>
      <c r="J379" s="3">
        <v>245</v>
      </c>
      <c r="K379" s="3" t="s">
        <v>9791</v>
      </c>
      <c r="L379" s="3" t="s">
        <v>9792</v>
      </c>
      <c r="M379" s="6">
        <v>28565</v>
      </c>
      <c r="N379" s="3">
        <v>44</v>
      </c>
      <c r="O379" s="3">
        <v>120917455</v>
      </c>
      <c r="P379" s="3">
        <v>5213875742</v>
      </c>
      <c r="S379" s="3" t="s">
        <v>3417</v>
      </c>
      <c r="T379" s="3" t="s">
        <v>12656</v>
      </c>
      <c r="U379" s="3" t="s">
        <v>62</v>
      </c>
      <c r="V379" s="3" t="s">
        <v>15796</v>
      </c>
      <c r="X379" s="3" t="s">
        <v>2980</v>
      </c>
      <c r="Y379" s="3" t="s">
        <v>14275</v>
      </c>
      <c r="Z379" s="3" t="s">
        <v>12685</v>
      </c>
      <c r="AA379" s="3"/>
      <c r="AB379" s="3"/>
      <c r="AC379" s="3" t="s">
        <v>15797</v>
      </c>
      <c r="AD379" s="3">
        <v>65</v>
      </c>
      <c r="AF379" s="3" t="s">
        <v>1105</v>
      </c>
      <c r="AG379" s="3" t="s">
        <v>15798</v>
      </c>
      <c r="AH379" s="3" t="s">
        <v>15799</v>
      </c>
      <c r="AI379" s="3" t="s">
        <v>70</v>
      </c>
      <c r="AJ379" s="3" t="s">
        <v>2569</v>
      </c>
      <c r="AK379" s="3" t="s">
        <v>12729</v>
      </c>
      <c r="AL379" s="3" t="s">
        <v>2550</v>
      </c>
      <c r="AM379" s="3">
        <v>6</v>
      </c>
      <c r="AN379" s="3" t="s">
        <v>7216</v>
      </c>
      <c r="AQ379" s="3"/>
      <c r="AR379" s="3" t="s">
        <v>12676</v>
      </c>
      <c r="AS379" s="7" t="s">
        <v>15800</v>
      </c>
    </row>
    <row r="380" spans="1:45" ht="12.5" hidden="1" x14ac:dyDescent="0.25">
      <c r="A380" s="3" t="s">
        <v>12652</v>
      </c>
      <c r="B380" s="21" t="str">
        <f>HYPERLINK("https://gerandofalcoes.my.salesforce.com/0014P00003YSp8UQAT", "0014P00003YSp8UQAT")</f>
        <v>0014P00003YSp8UQAT</v>
      </c>
      <c r="C380" s="3" t="s">
        <v>9798</v>
      </c>
      <c r="D380" s="3" t="s">
        <v>46</v>
      </c>
      <c r="E380" s="21" t="str">
        <f>HYPERLINK("https://gerandofalcoes.my.salesforce.com/0034P000045kxj5", "0034P000045kxj5")</f>
        <v>0034P000045kxj5</v>
      </c>
      <c r="F380" s="3" t="s">
        <v>15801</v>
      </c>
      <c r="G380" s="3" t="s">
        <v>15802</v>
      </c>
      <c r="H380" s="3" t="s">
        <v>2538</v>
      </c>
      <c r="I380" s="3" t="s">
        <v>12654</v>
      </c>
      <c r="J380" s="3">
        <v>245</v>
      </c>
      <c r="K380" s="3" t="s">
        <v>9801</v>
      </c>
      <c r="L380" s="3" t="s">
        <v>15803</v>
      </c>
      <c r="M380" s="6">
        <v>26492</v>
      </c>
      <c r="N380" s="3">
        <v>50</v>
      </c>
      <c r="O380" s="3">
        <v>105966089</v>
      </c>
      <c r="P380" s="3">
        <v>2740122780</v>
      </c>
      <c r="S380" s="3" t="s">
        <v>3417</v>
      </c>
      <c r="T380" s="3" t="s">
        <v>12656</v>
      </c>
      <c r="U380" s="3" t="s">
        <v>120</v>
      </c>
      <c r="V380" s="3" t="s">
        <v>15804</v>
      </c>
      <c r="X380" s="3" t="s">
        <v>2980</v>
      </c>
      <c r="Y380" s="3" t="s">
        <v>12670</v>
      </c>
      <c r="Z380" s="3" t="s">
        <v>2543</v>
      </c>
      <c r="AA380" s="3" t="s">
        <v>2577</v>
      </c>
      <c r="AB380" s="3" t="s">
        <v>2543</v>
      </c>
      <c r="AC380" s="3" t="s">
        <v>15805</v>
      </c>
      <c r="AD380" s="3">
        <v>153</v>
      </c>
      <c r="AF380" s="3" t="s">
        <v>1015</v>
      </c>
      <c r="AG380" s="3" t="s">
        <v>15806</v>
      </c>
      <c r="AH380" s="3" t="s">
        <v>9805</v>
      </c>
      <c r="AI380" s="3" t="s">
        <v>70</v>
      </c>
      <c r="AJ380" s="3" t="s">
        <v>2741</v>
      </c>
      <c r="AK380" s="3" t="s">
        <v>12674</v>
      </c>
      <c r="AL380" s="3" t="s">
        <v>2550</v>
      </c>
      <c r="AM380" s="3">
        <v>2</v>
      </c>
      <c r="AN380" s="3" t="s">
        <v>7216</v>
      </c>
      <c r="AO380" s="3" t="s">
        <v>15807</v>
      </c>
      <c r="AP380" s="7" t="s">
        <v>15808</v>
      </c>
      <c r="AQ380" s="7" t="s">
        <v>15809</v>
      </c>
      <c r="AR380" s="3" t="s">
        <v>12676</v>
      </c>
      <c r="AS380" s="7" t="s">
        <v>15810</v>
      </c>
    </row>
    <row r="381" spans="1:45" ht="12.5" hidden="1" x14ac:dyDescent="0.25">
      <c r="A381" s="3" t="s">
        <v>12652</v>
      </c>
      <c r="B381" s="21" t="str">
        <f>HYPERLINK("https://gerandofalcoes.my.salesforce.com/0014P00003YSp8VQAT", "0014P00003YSp8VQAT")</f>
        <v>0014P00003YSp8VQAT</v>
      </c>
      <c r="C381" s="3" t="s">
        <v>9817</v>
      </c>
      <c r="D381" s="3" t="s">
        <v>46</v>
      </c>
      <c r="E381" s="21" t="str">
        <f>HYPERLINK("https://gerandofalcoes.my.salesforce.com/0034P000045kxj6", "0034P000045kxj6")</f>
        <v>0034P000045kxj6</v>
      </c>
      <c r="F381" s="3" t="s">
        <v>2975</v>
      </c>
      <c r="G381" s="3" t="s">
        <v>15811</v>
      </c>
      <c r="H381" s="3" t="s">
        <v>12704</v>
      </c>
      <c r="I381" s="3" t="s">
        <v>12654</v>
      </c>
      <c r="J381" s="3">
        <v>245</v>
      </c>
      <c r="K381" s="3" t="s">
        <v>15812</v>
      </c>
      <c r="L381" s="3">
        <v>21990855230</v>
      </c>
      <c r="M381" s="6">
        <v>29472</v>
      </c>
      <c r="N381" s="3">
        <v>42</v>
      </c>
      <c r="O381" s="3">
        <v>117477810</v>
      </c>
      <c r="P381" s="3">
        <v>8419991716</v>
      </c>
      <c r="S381" s="3" t="s">
        <v>3137</v>
      </c>
      <c r="T381" s="3" t="s">
        <v>12723</v>
      </c>
      <c r="U381" s="3" t="s">
        <v>120</v>
      </c>
      <c r="V381" s="3" t="s">
        <v>15813</v>
      </c>
      <c r="X381" s="3"/>
      <c r="Y381" s="3" t="s">
        <v>12658</v>
      </c>
      <c r="Z381" s="3" t="s">
        <v>2543</v>
      </c>
      <c r="AA381" s="3" t="s">
        <v>2544</v>
      </c>
      <c r="AB381" s="3" t="s">
        <v>2543</v>
      </c>
      <c r="AC381" s="3" t="s">
        <v>15814</v>
      </c>
      <c r="AD381" s="3">
        <v>43</v>
      </c>
      <c r="AF381" s="3" t="s">
        <v>1105</v>
      </c>
      <c r="AG381" s="3" t="s">
        <v>15815</v>
      </c>
      <c r="AH381" s="3">
        <v>25046027</v>
      </c>
      <c r="AI381" s="3" t="s">
        <v>70</v>
      </c>
      <c r="AJ381" s="3"/>
      <c r="AK381" s="3"/>
      <c r="AL381" s="3"/>
      <c r="AM381" s="3"/>
      <c r="AN381" s="3" t="s">
        <v>7216</v>
      </c>
      <c r="AP381" s="3"/>
      <c r="AQ381" s="3"/>
      <c r="AR381" s="3"/>
      <c r="AS381" s="7" t="s">
        <v>15816</v>
      </c>
    </row>
    <row r="382" spans="1:45" ht="12.5" hidden="1" x14ac:dyDescent="0.25">
      <c r="A382" s="3" t="s">
        <v>12652</v>
      </c>
      <c r="B382" s="21" t="str">
        <f>HYPERLINK("https://gerandofalcoes.my.salesforce.com/0014P00003YSp8XQAT", "0014P00003YSp8XQAT")</f>
        <v>0014P00003YSp8XQAT</v>
      </c>
      <c r="C382" s="3" t="s">
        <v>9826</v>
      </c>
      <c r="D382" s="3" t="s">
        <v>46</v>
      </c>
      <c r="E382" s="21" t="str">
        <f>HYPERLINK("https://gerandofalcoes.my.salesforce.com/0034P000045kxj8", "0034P000045kxj8")</f>
        <v>0034P000045kxj8</v>
      </c>
      <c r="F382" s="3" t="s">
        <v>15817</v>
      </c>
      <c r="G382" s="3" t="s">
        <v>15818</v>
      </c>
      <c r="H382" s="3" t="s">
        <v>2538</v>
      </c>
      <c r="I382" s="3" t="s">
        <v>12654</v>
      </c>
      <c r="J382" s="3">
        <v>245</v>
      </c>
      <c r="K382" s="3" t="s">
        <v>15819</v>
      </c>
      <c r="L382" s="3" t="s">
        <v>15820</v>
      </c>
      <c r="M382" s="6">
        <v>30597</v>
      </c>
      <c r="N382" s="3">
        <v>39</v>
      </c>
      <c r="O382" s="3">
        <v>1819474</v>
      </c>
      <c r="P382" s="3">
        <v>9567693730</v>
      </c>
      <c r="S382" s="3" t="s">
        <v>3269</v>
      </c>
      <c r="T382" s="3" t="s">
        <v>12656</v>
      </c>
      <c r="U382" s="3" t="s">
        <v>120</v>
      </c>
      <c r="V382" s="3" t="s">
        <v>15821</v>
      </c>
      <c r="X382" s="3" t="s">
        <v>3365</v>
      </c>
      <c r="Y382" s="3" t="s">
        <v>12670</v>
      </c>
      <c r="Z382" s="3" t="s">
        <v>2543</v>
      </c>
      <c r="AA382" s="3" t="s">
        <v>2544</v>
      </c>
      <c r="AB382" s="3" t="s">
        <v>2545</v>
      </c>
      <c r="AC382" s="3" t="s">
        <v>15822</v>
      </c>
      <c r="AD382" s="3">
        <v>39</v>
      </c>
      <c r="AE382" s="3"/>
      <c r="AF382" s="3" t="s">
        <v>9831</v>
      </c>
      <c r="AG382" s="3" t="s">
        <v>15823</v>
      </c>
      <c r="AH382" s="3" t="s">
        <v>9833</v>
      </c>
      <c r="AI382" s="3" t="s">
        <v>295</v>
      </c>
      <c r="AJ382" s="3" t="s">
        <v>2569</v>
      </c>
      <c r="AK382" s="3" t="s">
        <v>12729</v>
      </c>
      <c r="AL382" s="3" t="s">
        <v>2579</v>
      </c>
      <c r="AM382" s="3">
        <v>2</v>
      </c>
      <c r="AN382" s="3" t="s">
        <v>7216</v>
      </c>
      <c r="AQ382" s="7" t="s">
        <v>15824</v>
      </c>
      <c r="AR382" s="3" t="s">
        <v>12676</v>
      </c>
      <c r="AS382" s="7" t="s">
        <v>15825</v>
      </c>
    </row>
    <row r="383" spans="1:45" ht="12.5" hidden="1" x14ac:dyDescent="0.25">
      <c r="A383" s="3" t="s">
        <v>12652</v>
      </c>
      <c r="B383" s="21" t="str">
        <f>HYPERLINK("https://gerandofalcoes.my.salesforce.com/0014P00003YSp8YQAT", "0014P00003YSp8YQAT")</f>
        <v>0014P00003YSp8YQAT</v>
      </c>
      <c r="C383" s="3" t="s">
        <v>9839</v>
      </c>
      <c r="D383" s="3" t="s">
        <v>46</v>
      </c>
      <c r="E383" s="21" t="str">
        <f>HYPERLINK("https://gerandofalcoes.my.salesforce.com/0034P000045kxj9", "0034P000045kxj9")</f>
        <v>0034P000045kxj9</v>
      </c>
      <c r="F383" s="3" t="s">
        <v>2773</v>
      </c>
      <c r="G383" s="3" t="s">
        <v>15826</v>
      </c>
      <c r="H383" s="3" t="s">
        <v>2538</v>
      </c>
      <c r="I383" s="3" t="s">
        <v>12654</v>
      </c>
      <c r="J383" s="3">
        <v>245</v>
      </c>
      <c r="K383" s="3" t="s">
        <v>15827</v>
      </c>
      <c r="L383" s="3" t="s">
        <v>9844</v>
      </c>
      <c r="M383" s="6">
        <v>35752</v>
      </c>
      <c r="N383" s="3">
        <v>25</v>
      </c>
      <c r="O383" s="3">
        <v>2969828483</v>
      </c>
      <c r="P383" s="3">
        <v>16934086783</v>
      </c>
      <c r="S383" s="3" t="s">
        <v>2998</v>
      </c>
      <c r="T383" s="3" t="s">
        <v>12723</v>
      </c>
      <c r="U383" s="3" t="s">
        <v>62</v>
      </c>
      <c r="V383" s="3" t="s">
        <v>15828</v>
      </c>
      <c r="X383" s="3" t="s">
        <v>2980</v>
      </c>
      <c r="Y383" s="3" t="s">
        <v>12670</v>
      </c>
      <c r="Z383" s="3" t="s">
        <v>2543</v>
      </c>
      <c r="AA383" s="3" t="s">
        <v>2544</v>
      </c>
      <c r="AB383" s="3" t="s">
        <v>2545</v>
      </c>
      <c r="AC383" s="3" t="s">
        <v>15829</v>
      </c>
      <c r="AD383" s="3">
        <v>46</v>
      </c>
      <c r="AE383" s="3"/>
      <c r="AF383" s="3" t="s">
        <v>73</v>
      </c>
      <c r="AG383" s="3" t="s">
        <v>9846</v>
      </c>
      <c r="AH383" s="3" t="s">
        <v>15830</v>
      </c>
      <c r="AI383" s="3" t="s">
        <v>70</v>
      </c>
      <c r="AJ383" s="3" t="s">
        <v>2569</v>
      </c>
      <c r="AK383" s="3" t="s">
        <v>12828</v>
      </c>
      <c r="AL383" s="3" t="s">
        <v>2550</v>
      </c>
      <c r="AM383" s="3">
        <v>1</v>
      </c>
      <c r="AN383" s="3" t="s">
        <v>7216</v>
      </c>
      <c r="AP383" s="7" t="s">
        <v>15831</v>
      </c>
      <c r="AQ383" s="7" t="s">
        <v>15832</v>
      </c>
      <c r="AR383" s="3" t="s">
        <v>12676</v>
      </c>
      <c r="AS383" s="7" t="s">
        <v>15833</v>
      </c>
    </row>
    <row r="384" spans="1:45" ht="12.5" hidden="1" x14ac:dyDescent="0.25">
      <c r="A384" s="3" t="s">
        <v>12652</v>
      </c>
      <c r="B384" s="21" t="str">
        <f>HYPERLINK("https://gerandofalcoes.my.salesforce.com/0014P00003YSp8bQAD", "0014P00003YSp8bQAD")</f>
        <v>0014P00003YSp8bQAD</v>
      </c>
      <c r="C384" s="3" t="s">
        <v>9872</v>
      </c>
      <c r="D384" s="3" t="s">
        <v>46</v>
      </c>
      <c r="E384" s="21" t="str">
        <f>HYPERLINK("https://gerandofalcoes.my.salesforce.com/0034P000045kxjC", "0034P000045kxjC")</f>
        <v>0034P000045kxjC</v>
      </c>
      <c r="F384" s="3" t="s">
        <v>15834</v>
      </c>
      <c r="G384" s="3" t="s">
        <v>15835</v>
      </c>
      <c r="H384" s="3" t="s">
        <v>2538</v>
      </c>
      <c r="I384" s="3" t="s">
        <v>12654</v>
      </c>
      <c r="J384" s="3">
        <v>245</v>
      </c>
      <c r="K384" s="3" t="s">
        <v>9874</v>
      </c>
      <c r="L384" s="3">
        <v>21964972053</v>
      </c>
      <c r="M384" s="6">
        <v>29235</v>
      </c>
      <c r="N384" s="3">
        <v>42</v>
      </c>
      <c r="O384" s="3">
        <v>119313740</v>
      </c>
      <c r="P384" s="3">
        <v>8723479744</v>
      </c>
      <c r="S384" s="3" t="s">
        <v>3137</v>
      </c>
      <c r="T384" s="3" t="s">
        <v>12723</v>
      </c>
      <c r="U384" s="3" t="s">
        <v>62</v>
      </c>
      <c r="V384" s="3" t="s">
        <v>15836</v>
      </c>
      <c r="X384" s="3"/>
      <c r="Y384" s="3" t="s">
        <v>12736</v>
      </c>
      <c r="Z384" s="3" t="s">
        <v>2543</v>
      </c>
      <c r="AA384" s="3"/>
      <c r="AB384" s="3"/>
      <c r="AC384" s="3" t="s">
        <v>15837</v>
      </c>
      <c r="AD384" s="3">
        <v>52</v>
      </c>
      <c r="AE384" s="3" t="s">
        <v>15838</v>
      </c>
      <c r="AF384" s="3" t="s">
        <v>73</v>
      </c>
      <c r="AG384" s="3" t="s">
        <v>9876</v>
      </c>
      <c r="AH384" s="3">
        <v>21520360</v>
      </c>
      <c r="AI384" s="3" t="s">
        <v>70</v>
      </c>
      <c r="AJ384" s="3"/>
      <c r="AK384" s="3"/>
      <c r="AL384" s="3"/>
      <c r="AM384" s="3"/>
      <c r="AN384" s="3" t="s">
        <v>7216</v>
      </c>
      <c r="AP384" s="3"/>
      <c r="AQ384" s="7" t="s">
        <v>15839</v>
      </c>
      <c r="AR384" s="3"/>
      <c r="AS384" s="7" t="s">
        <v>15840</v>
      </c>
    </row>
    <row r="385" spans="1:45" ht="12.5" hidden="1" x14ac:dyDescent="0.25">
      <c r="A385" s="3" t="s">
        <v>12652</v>
      </c>
      <c r="B385" s="21" t="str">
        <f>HYPERLINK("https://gerandofalcoes.my.salesforce.com/0014P00003YSp8cQAD", "0014P00003YSp8cQAD")</f>
        <v>0014P00003YSp8cQAD</v>
      </c>
      <c r="C385" s="3" t="s">
        <v>9884</v>
      </c>
      <c r="D385" s="3" t="s">
        <v>46</v>
      </c>
      <c r="E385" s="21" t="str">
        <f>HYPERLINK("https://gerandofalcoes.my.salesforce.com/0034P000045kxjD", "0034P000045kxjD")</f>
        <v>0034P000045kxjD</v>
      </c>
      <c r="F385" s="3" t="s">
        <v>15841</v>
      </c>
      <c r="G385" s="3" t="s">
        <v>15842</v>
      </c>
      <c r="H385" s="3" t="s">
        <v>2538</v>
      </c>
      <c r="I385" s="3" t="s">
        <v>12654</v>
      </c>
      <c r="J385" s="3">
        <v>245</v>
      </c>
      <c r="K385" s="3" t="s">
        <v>9887</v>
      </c>
      <c r="L385" s="3" t="s">
        <v>9888</v>
      </c>
      <c r="M385" s="6">
        <v>33287</v>
      </c>
      <c r="N385" s="3">
        <v>31</v>
      </c>
      <c r="O385" s="3">
        <v>2336971</v>
      </c>
      <c r="P385" s="3">
        <v>12495838707</v>
      </c>
      <c r="S385" s="3" t="s">
        <v>2998</v>
      </c>
      <c r="T385" s="3" t="s">
        <v>12656</v>
      </c>
      <c r="U385" s="3" t="s">
        <v>120</v>
      </c>
      <c r="V385" s="3" t="s">
        <v>15843</v>
      </c>
      <c r="X385" s="3" t="s">
        <v>2980</v>
      </c>
      <c r="Y385" s="3" t="s">
        <v>12670</v>
      </c>
      <c r="Z385" s="3" t="s">
        <v>2543</v>
      </c>
      <c r="AA385" s="3" t="s">
        <v>2737</v>
      </c>
      <c r="AB385" s="3" t="s">
        <v>2543</v>
      </c>
      <c r="AC385" s="3" t="s">
        <v>15844</v>
      </c>
      <c r="AD385" s="3">
        <v>200</v>
      </c>
      <c r="AE385" s="3" t="s">
        <v>15845</v>
      </c>
      <c r="AF385" s="3" t="s">
        <v>9890</v>
      </c>
      <c r="AG385" s="3" t="s">
        <v>1515</v>
      </c>
      <c r="AH385" s="3" t="s">
        <v>15846</v>
      </c>
      <c r="AI385" s="3" t="s">
        <v>295</v>
      </c>
      <c r="AJ385" s="3" t="s">
        <v>2569</v>
      </c>
      <c r="AK385" s="3" t="s">
        <v>12661</v>
      </c>
      <c r="AL385" s="3" t="s">
        <v>2550</v>
      </c>
      <c r="AM385" s="3">
        <v>5</v>
      </c>
      <c r="AN385" s="3" t="s">
        <v>7216</v>
      </c>
      <c r="AQ385" s="7" t="s">
        <v>15847</v>
      </c>
      <c r="AR385" s="3" t="s">
        <v>12664</v>
      </c>
      <c r="AS385" s="7" t="s">
        <v>15848</v>
      </c>
    </row>
    <row r="386" spans="1:45" ht="12.5" hidden="1" x14ac:dyDescent="0.25">
      <c r="A386" s="3" t="s">
        <v>12652</v>
      </c>
      <c r="B386" s="21" t="str">
        <f>HYPERLINK("https://gerandofalcoes.my.salesforce.com/0014P00003YSp8dQAD", "0014P00003YSp8dQAD")</f>
        <v>0014P00003YSp8dQAD</v>
      </c>
      <c r="C386" s="3" t="s">
        <v>9902</v>
      </c>
      <c r="D386" s="3" t="s">
        <v>46</v>
      </c>
      <c r="E386" s="21" t="str">
        <f>HYPERLINK("https://gerandofalcoes.my.salesforce.com/0034P000045kxjE", "0034P000045kxjE")</f>
        <v>0034P000045kxjE</v>
      </c>
      <c r="F386" s="3" t="s">
        <v>2678</v>
      </c>
      <c r="G386" s="3" t="s">
        <v>15849</v>
      </c>
      <c r="H386" s="3" t="s">
        <v>2538</v>
      </c>
      <c r="I386" s="3" t="s">
        <v>12654</v>
      </c>
      <c r="J386" s="3">
        <v>245</v>
      </c>
      <c r="K386" s="3" t="s">
        <v>9904</v>
      </c>
      <c r="L386" s="3" t="s">
        <v>9905</v>
      </c>
      <c r="M386" s="6">
        <v>27760</v>
      </c>
      <c r="N386" s="3">
        <v>46</v>
      </c>
      <c r="O386" s="3" t="s">
        <v>15850</v>
      </c>
      <c r="P386" s="3">
        <v>2313327426</v>
      </c>
      <c r="S386" s="3" t="s">
        <v>3137</v>
      </c>
      <c r="T386" s="3" t="s">
        <v>12723</v>
      </c>
      <c r="U386" s="3" t="s">
        <v>62</v>
      </c>
      <c r="V386" s="3" t="s">
        <v>15851</v>
      </c>
      <c r="X386" s="3" t="s">
        <v>2980</v>
      </c>
      <c r="Y386" s="3" t="s">
        <v>14275</v>
      </c>
      <c r="Z386" s="3" t="s">
        <v>12685</v>
      </c>
      <c r="AA386" s="3"/>
      <c r="AB386" s="3"/>
      <c r="AC386" s="3" t="s">
        <v>9906</v>
      </c>
      <c r="AD386" s="3">
        <v>3245</v>
      </c>
      <c r="AE386" s="3" t="s">
        <v>15852</v>
      </c>
      <c r="AF386" s="3" t="s">
        <v>9907</v>
      </c>
      <c r="AG386" s="3" t="s">
        <v>11113</v>
      </c>
      <c r="AH386" s="3" t="s">
        <v>9908</v>
      </c>
      <c r="AI386" s="3" t="s">
        <v>51</v>
      </c>
      <c r="AJ386" s="3" t="s">
        <v>2569</v>
      </c>
      <c r="AK386" s="3" t="s">
        <v>12729</v>
      </c>
      <c r="AL386" s="3" t="s">
        <v>2588</v>
      </c>
      <c r="AM386" s="3">
        <v>4</v>
      </c>
      <c r="AN386" s="3" t="s">
        <v>7216</v>
      </c>
      <c r="AP386" s="3"/>
      <c r="AQ386" s="3" t="s">
        <v>15853</v>
      </c>
      <c r="AR386" s="3" t="s">
        <v>12676</v>
      </c>
      <c r="AS386" s="7" t="s">
        <v>15854</v>
      </c>
    </row>
    <row r="387" spans="1:45" ht="12.5" hidden="1" x14ac:dyDescent="0.25">
      <c r="A387" s="3" t="s">
        <v>12652</v>
      </c>
      <c r="B387" s="21" t="str">
        <f>HYPERLINK("https://gerandofalcoes.my.salesforce.com/0014P00003YSp8eQAD", "0014P00003YSp8eQAD")</f>
        <v>0014P00003YSp8eQAD</v>
      </c>
      <c r="C387" s="3" t="s">
        <v>9912</v>
      </c>
      <c r="D387" s="3" t="s">
        <v>46</v>
      </c>
      <c r="E387" s="21" t="str">
        <f>HYPERLINK("https://gerandofalcoes.my.salesforce.com/0034P000045kxjF", "0034P000045kxjF")</f>
        <v>0034P000045kxjF</v>
      </c>
      <c r="F387" s="3" t="s">
        <v>10319</v>
      </c>
      <c r="G387" s="3" t="s">
        <v>15855</v>
      </c>
      <c r="H387" s="3" t="s">
        <v>2538</v>
      </c>
      <c r="I387" s="3" t="s">
        <v>12654</v>
      </c>
      <c r="J387" s="3">
        <v>245</v>
      </c>
      <c r="K387" s="3" t="s">
        <v>15856</v>
      </c>
      <c r="L387" s="3" t="s">
        <v>15857</v>
      </c>
      <c r="M387" s="8">
        <v>32222</v>
      </c>
      <c r="N387" s="3">
        <v>34</v>
      </c>
      <c r="O387" s="3">
        <v>212729610</v>
      </c>
      <c r="P387" s="3">
        <v>12412726701</v>
      </c>
      <c r="S387" s="3" t="s">
        <v>2998</v>
      </c>
      <c r="T387" s="3" t="s">
        <v>12682</v>
      </c>
      <c r="U387" s="3" t="s">
        <v>120</v>
      </c>
      <c r="V387" s="3" t="s">
        <v>15858</v>
      </c>
      <c r="X387" s="3" t="s">
        <v>2980</v>
      </c>
      <c r="Y387" s="3" t="s">
        <v>12670</v>
      </c>
      <c r="Z387" s="3" t="s">
        <v>2545</v>
      </c>
      <c r="AA387" s="3" t="s">
        <v>2737</v>
      </c>
      <c r="AB387" s="3" t="s">
        <v>2543</v>
      </c>
      <c r="AC387" s="3" t="s">
        <v>15859</v>
      </c>
      <c r="AD387" s="3">
        <v>241</v>
      </c>
      <c r="AE387" s="3">
        <v>202</v>
      </c>
      <c r="AF387" s="3" t="s">
        <v>7277</v>
      </c>
      <c r="AG387" s="3" t="s">
        <v>13565</v>
      </c>
      <c r="AH387" s="3" t="s">
        <v>15860</v>
      </c>
      <c r="AI387" s="3" t="s">
        <v>70</v>
      </c>
      <c r="AJ387" s="3" t="s">
        <v>2569</v>
      </c>
      <c r="AK387" s="3" t="s">
        <v>12661</v>
      </c>
      <c r="AL387" s="3" t="s">
        <v>2588</v>
      </c>
      <c r="AM387" s="3">
        <v>3</v>
      </c>
      <c r="AN387" s="3" t="s">
        <v>7216</v>
      </c>
      <c r="AP387" s="7" t="s">
        <v>15861</v>
      </c>
      <c r="AQ387" s="7" t="s">
        <v>15862</v>
      </c>
      <c r="AR387" s="3" t="s">
        <v>12676</v>
      </c>
      <c r="AS387" s="7" t="s">
        <v>15863</v>
      </c>
    </row>
    <row r="388" spans="1:45" ht="12.5" hidden="1" x14ac:dyDescent="0.25">
      <c r="A388" s="3" t="s">
        <v>12652</v>
      </c>
      <c r="B388" s="21" t="str">
        <f>HYPERLINK("https://gerandofalcoes.my.salesforce.com/0014P00003YSp8fQAD", "0014P00003YSp8fQAD")</f>
        <v>0014P00003YSp8fQAD</v>
      </c>
      <c r="C388" s="3" t="s">
        <v>9930</v>
      </c>
      <c r="D388" s="3" t="s">
        <v>46</v>
      </c>
      <c r="E388" s="21" t="str">
        <f>HYPERLINK("https://gerandofalcoes.my.salesforce.com/0034P000045kxjG", "0034P000045kxjG")</f>
        <v>0034P000045kxjG</v>
      </c>
      <c r="F388" s="3" t="s">
        <v>15864</v>
      </c>
      <c r="G388" s="3" t="s">
        <v>15865</v>
      </c>
      <c r="H388" s="3" t="s">
        <v>2538</v>
      </c>
      <c r="I388" s="3" t="s">
        <v>12654</v>
      </c>
      <c r="J388" s="3">
        <v>245</v>
      </c>
      <c r="K388" s="3" t="s">
        <v>15866</v>
      </c>
      <c r="L388" s="3" t="s">
        <v>15867</v>
      </c>
      <c r="M388" s="6">
        <v>27888</v>
      </c>
      <c r="N388" s="3">
        <v>46</v>
      </c>
      <c r="O388" s="3">
        <v>134305301</v>
      </c>
      <c r="P388" s="3">
        <v>4592813723</v>
      </c>
      <c r="S388" s="3" t="s">
        <v>3137</v>
      </c>
      <c r="T388" s="3" t="s">
        <v>12682</v>
      </c>
      <c r="U388" s="3" t="s">
        <v>120</v>
      </c>
      <c r="V388" s="3" t="s">
        <v>15868</v>
      </c>
      <c r="X388" s="3" t="s">
        <v>2980</v>
      </c>
      <c r="Y388" s="3" t="s">
        <v>12670</v>
      </c>
      <c r="Z388" s="3" t="s">
        <v>2545</v>
      </c>
      <c r="AA388" s="3" t="s">
        <v>2544</v>
      </c>
      <c r="AB388" s="3" t="s">
        <v>2545</v>
      </c>
      <c r="AC388" s="3" t="s">
        <v>15869</v>
      </c>
      <c r="AD388" s="3" t="s">
        <v>15870</v>
      </c>
      <c r="AE388" s="3" t="s">
        <v>15871</v>
      </c>
      <c r="AF388" s="3" t="s">
        <v>73</v>
      </c>
      <c r="AG388" s="3" t="s">
        <v>15872</v>
      </c>
      <c r="AH388" s="3" t="s">
        <v>15873</v>
      </c>
      <c r="AI388" s="3" t="s">
        <v>70</v>
      </c>
      <c r="AJ388" s="3" t="s">
        <v>2569</v>
      </c>
      <c r="AK388" s="3" t="s">
        <v>12828</v>
      </c>
      <c r="AL388" s="3" t="s">
        <v>2588</v>
      </c>
      <c r="AM388" s="3">
        <v>2</v>
      </c>
      <c r="AN388" s="3" t="s">
        <v>7216</v>
      </c>
      <c r="AP388" s="7" t="s">
        <v>15874</v>
      </c>
      <c r="AQ388" s="7" t="s">
        <v>15875</v>
      </c>
      <c r="AR388" s="3" t="s">
        <v>12676</v>
      </c>
      <c r="AS388" s="7" t="s">
        <v>15876</v>
      </c>
    </row>
    <row r="389" spans="1:45" ht="12.5" hidden="1" x14ac:dyDescent="0.25">
      <c r="A389" s="3" t="s">
        <v>12652</v>
      </c>
      <c r="B389" s="21" t="str">
        <f>HYPERLINK("https://gerandofalcoes.my.salesforce.com/0014P00003YSp8gQAD", "0014P00003YSp8gQAD")</f>
        <v>0014P00003YSp8gQAD</v>
      </c>
      <c r="C389" s="3" t="s">
        <v>9947</v>
      </c>
      <c r="D389" s="3" t="s">
        <v>46</v>
      </c>
      <c r="E389" s="21" t="str">
        <f>HYPERLINK("https://gerandofalcoes.my.salesforce.com/0034P000045kxjH", "0034P000045kxjH")</f>
        <v>0034P000045kxjH</v>
      </c>
      <c r="F389" s="3" t="s">
        <v>2783</v>
      </c>
      <c r="G389" s="3" t="s">
        <v>15877</v>
      </c>
      <c r="H389" s="3" t="s">
        <v>2538</v>
      </c>
      <c r="I389" s="3" t="s">
        <v>12654</v>
      </c>
      <c r="J389" s="3">
        <v>245</v>
      </c>
      <c r="K389" s="3" t="s">
        <v>9949</v>
      </c>
      <c r="L389" s="3" t="s">
        <v>9950</v>
      </c>
      <c r="M389" s="6">
        <v>29799</v>
      </c>
      <c r="N389" s="3">
        <v>41</v>
      </c>
      <c r="O389" s="3" t="s">
        <v>15878</v>
      </c>
      <c r="P389" s="3">
        <v>9408752767</v>
      </c>
      <c r="S389" s="3" t="s">
        <v>3417</v>
      </c>
      <c r="T389" s="3" t="s">
        <v>12723</v>
      </c>
      <c r="U389" s="3" t="s">
        <v>120</v>
      </c>
      <c r="V389" s="3" t="s">
        <v>15879</v>
      </c>
      <c r="X389" s="3" t="s">
        <v>2980</v>
      </c>
      <c r="Y389" s="3" t="s">
        <v>12684</v>
      </c>
      <c r="Z389" s="3" t="s">
        <v>12685</v>
      </c>
      <c r="AA389" s="3"/>
      <c r="AB389" s="3"/>
      <c r="AC389" s="3" t="s">
        <v>15880</v>
      </c>
      <c r="AD389" s="3">
        <v>310</v>
      </c>
      <c r="AE389" s="3" t="s">
        <v>15881</v>
      </c>
      <c r="AF389" s="3" t="s">
        <v>6367</v>
      </c>
      <c r="AG389" s="3" t="s">
        <v>9952</v>
      </c>
      <c r="AH389" s="3" t="s">
        <v>15882</v>
      </c>
      <c r="AI389" s="3" t="s">
        <v>70</v>
      </c>
      <c r="AJ389" s="3" t="s">
        <v>2569</v>
      </c>
      <c r="AK389" s="3" t="s">
        <v>12828</v>
      </c>
      <c r="AL389" s="3" t="s">
        <v>2550</v>
      </c>
      <c r="AM389" s="3">
        <v>1</v>
      </c>
      <c r="AN389" s="3" t="s">
        <v>7216</v>
      </c>
      <c r="AP389" s="3"/>
      <c r="AQ389" s="7" t="s">
        <v>15883</v>
      </c>
      <c r="AR389" s="3" t="s">
        <v>12664</v>
      </c>
      <c r="AS389" s="7" t="s">
        <v>15884</v>
      </c>
    </row>
    <row r="390" spans="1:45" ht="12.5" hidden="1" x14ac:dyDescent="0.25">
      <c r="A390" s="3" t="s">
        <v>12652</v>
      </c>
      <c r="B390" s="21" t="str">
        <f>HYPERLINK("https://gerandofalcoes.my.salesforce.com/0014P00003YSp8hQAD", "0014P00003YSp8hQAD")</f>
        <v>0014P00003YSp8hQAD</v>
      </c>
      <c r="C390" s="3" t="s">
        <v>4970</v>
      </c>
      <c r="D390" s="3" t="s">
        <v>46</v>
      </c>
      <c r="E390" s="21" t="str">
        <f>HYPERLINK("https://gerandofalcoes.my.salesforce.com/0034P000045kxjI", "0034P000045kxjI")</f>
        <v>0034P000045kxjI</v>
      </c>
      <c r="F390" s="3" t="s">
        <v>3314</v>
      </c>
      <c r="G390" s="3" t="s">
        <v>15885</v>
      </c>
      <c r="H390" s="3" t="s">
        <v>2538</v>
      </c>
      <c r="I390" s="3" t="s">
        <v>12654</v>
      </c>
      <c r="J390" s="3">
        <v>245</v>
      </c>
      <c r="K390" s="3" t="s">
        <v>9958</v>
      </c>
      <c r="L390" s="3" t="s">
        <v>15886</v>
      </c>
      <c r="M390" s="6">
        <v>26383</v>
      </c>
      <c r="N390" s="3">
        <v>50</v>
      </c>
      <c r="O390" s="3" t="s">
        <v>15887</v>
      </c>
      <c r="P390" s="3">
        <v>2879860717</v>
      </c>
      <c r="S390" s="3" t="s">
        <v>3269</v>
      </c>
      <c r="T390" s="3" t="s">
        <v>12656</v>
      </c>
      <c r="U390" s="3" t="s">
        <v>62</v>
      </c>
      <c r="V390" s="3" t="s">
        <v>15888</v>
      </c>
      <c r="X390" s="3" t="s">
        <v>2980</v>
      </c>
      <c r="Y390" s="3" t="s">
        <v>12658</v>
      </c>
      <c r="Z390" s="3" t="s">
        <v>2543</v>
      </c>
      <c r="AA390" s="3" t="s">
        <v>2544</v>
      </c>
      <c r="AB390" s="3" t="s">
        <v>2543</v>
      </c>
      <c r="AC390" s="3" t="s">
        <v>15889</v>
      </c>
      <c r="AD390" s="3">
        <v>87</v>
      </c>
      <c r="AE390" s="3" t="s">
        <v>1539</v>
      </c>
      <c r="AF390" s="3" t="s">
        <v>73</v>
      </c>
      <c r="AG390" s="3" t="s">
        <v>15890</v>
      </c>
      <c r="AH390" s="3" t="s">
        <v>15891</v>
      </c>
      <c r="AI390" s="3" t="s">
        <v>70</v>
      </c>
      <c r="AJ390" s="3" t="s">
        <v>2569</v>
      </c>
      <c r="AK390" s="3" t="s">
        <v>15205</v>
      </c>
      <c r="AL390" s="3" t="s">
        <v>2588</v>
      </c>
      <c r="AM390" s="3">
        <v>7</v>
      </c>
      <c r="AN390" s="3" t="s">
        <v>7216</v>
      </c>
      <c r="AP390" s="3" t="s">
        <v>15892</v>
      </c>
      <c r="AQ390" s="3" t="s">
        <v>15893</v>
      </c>
      <c r="AR390" s="3" t="s">
        <v>12676</v>
      </c>
      <c r="AS390" s="7" t="s">
        <v>15894</v>
      </c>
    </row>
    <row r="391" spans="1:45" ht="12.5" hidden="1" x14ac:dyDescent="0.25">
      <c r="A391" s="3" t="s">
        <v>12652</v>
      </c>
      <c r="B391" s="21" t="str">
        <f>HYPERLINK("https://gerandofalcoes.my.salesforce.com/0014P00003YSp8iQAD", "0014P00003YSp8iQAD")</f>
        <v>0014P00003YSp8iQAD</v>
      </c>
      <c r="C391" s="3" t="s">
        <v>9962</v>
      </c>
      <c r="D391" s="3" t="s">
        <v>46</v>
      </c>
      <c r="E391" s="21" t="str">
        <f>HYPERLINK("https://gerandofalcoes.my.salesforce.com/0034P000045kxjJ", "0034P000045kxjJ")</f>
        <v>0034P000045kxjJ</v>
      </c>
      <c r="F391" s="3" t="s">
        <v>15895</v>
      </c>
      <c r="G391" s="3" t="s">
        <v>15896</v>
      </c>
      <c r="H391" s="3" t="s">
        <v>2538</v>
      </c>
      <c r="I391" s="3" t="s">
        <v>12654</v>
      </c>
      <c r="J391" s="3">
        <v>245</v>
      </c>
      <c r="K391" s="3" t="s">
        <v>15897</v>
      </c>
      <c r="L391" s="3" t="s">
        <v>15898</v>
      </c>
      <c r="M391" s="6">
        <v>33462</v>
      </c>
      <c r="N391" s="3">
        <v>31</v>
      </c>
      <c r="O391" s="3">
        <v>99387904</v>
      </c>
      <c r="P391" s="3">
        <v>7294833982</v>
      </c>
      <c r="S391" s="3" t="s">
        <v>3269</v>
      </c>
      <c r="T391" s="3" t="s">
        <v>12682</v>
      </c>
      <c r="U391" s="3" t="s">
        <v>62</v>
      </c>
      <c r="V391" s="3" t="s">
        <v>15899</v>
      </c>
      <c r="X391" s="3" t="s">
        <v>2980</v>
      </c>
      <c r="Y391" s="3" t="s">
        <v>12670</v>
      </c>
      <c r="Z391" s="3" t="s">
        <v>2543</v>
      </c>
      <c r="AA391" s="3" t="s">
        <v>2577</v>
      </c>
      <c r="AB391" s="3" t="s">
        <v>2545</v>
      </c>
      <c r="AC391" s="3" t="s">
        <v>15900</v>
      </c>
      <c r="AD391" s="3">
        <v>1977</v>
      </c>
      <c r="AE391" s="3" t="s">
        <v>15901</v>
      </c>
      <c r="AF391" s="3" t="s">
        <v>338</v>
      </c>
      <c r="AG391" s="3" t="s">
        <v>15902</v>
      </c>
      <c r="AH391" s="3" t="s">
        <v>15903</v>
      </c>
      <c r="AI391" s="3" t="s">
        <v>310</v>
      </c>
      <c r="AJ391" s="3" t="s">
        <v>2741</v>
      </c>
      <c r="AK391" s="3" t="s">
        <v>12661</v>
      </c>
      <c r="AL391" s="3" t="s">
        <v>2550</v>
      </c>
      <c r="AM391" s="3">
        <v>1</v>
      </c>
      <c r="AN391" s="3" t="s">
        <v>7216</v>
      </c>
      <c r="AP391" s="7" t="s">
        <v>15904</v>
      </c>
      <c r="AQ391" s="7" t="s">
        <v>15905</v>
      </c>
      <c r="AR391" s="3" t="s">
        <v>12676</v>
      </c>
      <c r="AS391" s="7" t="s">
        <v>15906</v>
      </c>
    </row>
    <row r="392" spans="1:45" ht="12.5" hidden="1" x14ac:dyDescent="0.25">
      <c r="A392" s="3" t="s">
        <v>12652</v>
      </c>
      <c r="B392" s="21" t="str">
        <f>HYPERLINK("https://gerandofalcoes.my.salesforce.com/0014P00003YSp8kQAD", "0014P00003YSp8kQAD")</f>
        <v>0014P00003YSp8kQAD</v>
      </c>
      <c r="C392" s="3" t="s">
        <v>9979</v>
      </c>
      <c r="D392" s="3" t="s">
        <v>46</v>
      </c>
      <c r="E392" s="21" t="str">
        <f>HYPERLINK("https://gerandofalcoes.my.salesforce.com/0034P000045kxjU", "0034P000045kxjU")</f>
        <v>0034P000045kxjU</v>
      </c>
      <c r="F392" s="3" t="s">
        <v>14441</v>
      </c>
      <c r="G392" s="3" t="s">
        <v>15907</v>
      </c>
      <c r="H392" s="3" t="s">
        <v>2538</v>
      </c>
      <c r="I392" s="3" t="s">
        <v>12654</v>
      </c>
      <c r="J392" s="3">
        <v>245</v>
      </c>
      <c r="K392" s="3" t="s">
        <v>15908</v>
      </c>
      <c r="L392" s="3" t="s">
        <v>15909</v>
      </c>
      <c r="M392" s="6">
        <v>30035</v>
      </c>
      <c r="N392" s="3">
        <v>40</v>
      </c>
      <c r="O392" s="3" t="s">
        <v>15910</v>
      </c>
      <c r="P392" s="3">
        <v>31102205800</v>
      </c>
      <c r="S392" s="3" t="s">
        <v>12744</v>
      </c>
      <c r="T392" s="3" t="s">
        <v>12656</v>
      </c>
      <c r="U392" s="3" t="s">
        <v>120</v>
      </c>
      <c r="V392" s="3" t="s">
        <v>15911</v>
      </c>
      <c r="X392" s="3" t="s">
        <v>2980</v>
      </c>
      <c r="Y392" s="3" t="s">
        <v>12658</v>
      </c>
      <c r="Z392" s="3" t="s">
        <v>2543</v>
      </c>
      <c r="AA392" s="3" t="s">
        <v>2544</v>
      </c>
      <c r="AB392" s="3" t="s">
        <v>2545</v>
      </c>
      <c r="AC392" s="3" t="s">
        <v>15912</v>
      </c>
      <c r="AD392" s="3">
        <v>678</v>
      </c>
      <c r="AE392" s="3" t="s">
        <v>15913</v>
      </c>
      <c r="AF392" s="3" t="s">
        <v>128</v>
      </c>
      <c r="AG392" s="3" t="s">
        <v>9985</v>
      </c>
      <c r="AH392" s="3" t="s">
        <v>9986</v>
      </c>
      <c r="AI392" s="3" t="s">
        <v>101</v>
      </c>
      <c r="AJ392" s="3" t="s">
        <v>2569</v>
      </c>
      <c r="AK392" s="3" t="s">
        <v>12729</v>
      </c>
      <c r="AL392" s="3" t="s">
        <v>2588</v>
      </c>
      <c r="AM392" s="3">
        <v>6</v>
      </c>
      <c r="AN392" s="3" t="s">
        <v>7216</v>
      </c>
      <c r="AP392" s="3" t="s">
        <v>15914</v>
      </c>
      <c r="AQ392" s="7" t="s">
        <v>15915</v>
      </c>
      <c r="AR392" s="3" t="s">
        <v>12664</v>
      </c>
      <c r="AS392" s="7" t="s">
        <v>15916</v>
      </c>
    </row>
    <row r="393" spans="1:45" ht="12.5" hidden="1" x14ac:dyDescent="0.25">
      <c r="A393" s="3" t="s">
        <v>12652</v>
      </c>
      <c r="B393" s="21" t="str">
        <f>HYPERLINK("https://gerandofalcoes.my.salesforce.com/0014P00003YSp8lQAD", "0014P00003YSp8lQAD")</f>
        <v>0014P00003YSp8lQAD</v>
      </c>
      <c r="C393" s="3" t="s">
        <v>9995</v>
      </c>
      <c r="D393" s="3" t="s">
        <v>46</v>
      </c>
      <c r="E393" s="21" t="str">
        <f>HYPERLINK("https://gerandofalcoes.my.salesforce.com/0034P000045kxjN", "0034P000045kxjN")</f>
        <v>0034P000045kxjN</v>
      </c>
      <c r="F393" s="3" t="s">
        <v>15917</v>
      </c>
      <c r="G393" s="3" t="s">
        <v>15918</v>
      </c>
      <c r="H393" s="3" t="s">
        <v>2538</v>
      </c>
      <c r="I393" s="3" t="s">
        <v>12654</v>
      </c>
      <c r="J393" s="3">
        <v>245</v>
      </c>
      <c r="K393" s="3" t="s">
        <v>9999</v>
      </c>
      <c r="L393" s="3" t="s">
        <v>10000</v>
      </c>
      <c r="M393" s="6">
        <v>31429</v>
      </c>
      <c r="N393" s="3">
        <v>36</v>
      </c>
      <c r="O393" s="3">
        <v>22444959</v>
      </c>
      <c r="P393" s="3">
        <v>32647583854</v>
      </c>
      <c r="S393" s="3" t="s">
        <v>3137</v>
      </c>
      <c r="T393" s="3" t="s">
        <v>12723</v>
      </c>
      <c r="U393" s="3" t="s">
        <v>120</v>
      </c>
      <c r="V393" s="3" t="s">
        <v>15919</v>
      </c>
      <c r="X393" s="3" t="s">
        <v>2980</v>
      </c>
      <c r="Y393" s="3" t="s">
        <v>12670</v>
      </c>
      <c r="Z393" s="3" t="s">
        <v>2543</v>
      </c>
      <c r="AA393" s="3" t="s">
        <v>2544</v>
      </c>
      <c r="AB393" s="3" t="s">
        <v>2545</v>
      </c>
      <c r="AC393" s="3" t="s">
        <v>15920</v>
      </c>
      <c r="AD393" s="3">
        <v>31</v>
      </c>
      <c r="AE393" s="3" t="s">
        <v>15921</v>
      </c>
      <c r="AF393" s="3" t="s">
        <v>128</v>
      </c>
      <c r="AG393" s="3" t="s">
        <v>15922</v>
      </c>
      <c r="AH393" s="3" t="s">
        <v>15923</v>
      </c>
      <c r="AI393" s="3" t="s">
        <v>101</v>
      </c>
      <c r="AJ393" s="3" t="s">
        <v>2741</v>
      </c>
      <c r="AK393" s="3" t="s">
        <v>12661</v>
      </c>
      <c r="AL393" s="3" t="s">
        <v>2579</v>
      </c>
      <c r="AM393" s="3">
        <v>3</v>
      </c>
      <c r="AN393" s="3" t="s">
        <v>7216</v>
      </c>
      <c r="AP393" s="7" t="s">
        <v>15924</v>
      </c>
      <c r="AQ393" s="7" t="s">
        <v>15925</v>
      </c>
      <c r="AR393" s="3" t="s">
        <v>12664</v>
      </c>
      <c r="AS393" s="7" t="s">
        <v>15926</v>
      </c>
    </row>
    <row r="394" spans="1:45" ht="12.5" hidden="1" x14ac:dyDescent="0.25">
      <c r="A394" s="3" t="s">
        <v>12652</v>
      </c>
      <c r="B394" s="21" t="str">
        <f>HYPERLINK("https://gerandofalcoes.my.salesforce.com/0014P00003YSp8mQAD", "0014P00003YSp8mQAD")</f>
        <v>0014P00003YSp8mQAD</v>
      </c>
      <c r="C394" s="3" t="s">
        <v>10012</v>
      </c>
      <c r="D394" s="3" t="s">
        <v>46</v>
      </c>
      <c r="E394" s="21" t="str">
        <f>HYPERLINK("https://gerandofalcoes.my.salesforce.com/0034P000045kxjO", "0034P000045kxjO")</f>
        <v>0034P000045kxjO</v>
      </c>
      <c r="F394" s="3" t="s">
        <v>15927</v>
      </c>
      <c r="G394" s="3" t="s">
        <v>15928</v>
      </c>
      <c r="H394" s="3" t="s">
        <v>2538</v>
      </c>
      <c r="I394" s="3" t="s">
        <v>12654</v>
      </c>
      <c r="J394" s="3">
        <v>245</v>
      </c>
      <c r="K394" s="3" t="s">
        <v>15929</v>
      </c>
      <c r="L394" s="3" t="s">
        <v>10014</v>
      </c>
      <c r="M394" s="6">
        <v>24886</v>
      </c>
      <c r="N394" s="3">
        <v>54</v>
      </c>
      <c r="O394" s="3">
        <v>179675631</v>
      </c>
      <c r="P394" s="3">
        <v>12803470829</v>
      </c>
      <c r="S394" s="3" t="s">
        <v>3417</v>
      </c>
      <c r="T394" s="3" t="s">
        <v>12723</v>
      </c>
      <c r="U394" s="3" t="s">
        <v>120</v>
      </c>
      <c r="V394" s="3" t="s">
        <v>15930</v>
      </c>
      <c r="X394" s="3" t="s">
        <v>2980</v>
      </c>
      <c r="Y394" s="3" t="s">
        <v>12684</v>
      </c>
      <c r="Z394" s="3" t="s">
        <v>12685</v>
      </c>
      <c r="AA394" s="3"/>
      <c r="AB394" s="3"/>
      <c r="AC394" s="3" t="s">
        <v>15931</v>
      </c>
      <c r="AD394" s="3">
        <v>106</v>
      </c>
      <c r="AE394" s="3" t="s">
        <v>15932</v>
      </c>
      <c r="AF394" s="3" t="s">
        <v>128</v>
      </c>
      <c r="AG394" s="3" t="s">
        <v>15933</v>
      </c>
      <c r="AH394" s="3" t="s">
        <v>15934</v>
      </c>
      <c r="AI394" s="3" t="s">
        <v>101</v>
      </c>
      <c r="AJ394" s="3" t="s">
        <v>2569</v>
      </c>
      <c r="AK394" s="3" t="s">
        <v>15585</v>
      </c>
      <c r="AL394" s="3" t="s">
        <v>2588</v>
      </c>
      <c r="AM394" s="3">
        <v>3</v>
      </c>
      <c r="AN394" s="3" t="s">
        <v>7216</v>
      </c>
      <c r="AP394" s="3"/>
      <c r="AQ394" s="7" t="s">
        <v>10020</v>
      </c>
      <c r="AR394" s="3" t="s">
        <v>12664</v>
      </c>
      <c r="AS394" s="7" t="s">
        <v>15935</v>
      </c>
    </row>
    <row r="395" spans="1:45" ht="12.5" hidden="1" x14ac:dyDescent="0.25">
      <c r="A395" s="3" t="s">
        <v>12652</v>
      </c>
      <c r="B395" s="21" t="str">
        <f>HYPERLINK("https://gerandofalcoes.my.salesforce.com/0014P00003YSp8nQAD", "0014P00003YSp8nQAD")</f>
        <v>0014P00003YSp8nQAD</v>
      </c>
      <c r="C395" s="3" t="s">
        <v>10022</v>
      </c>
      <c r="D395" s="3" t="s">
        <v>46</v>
      </c>
      <c r="E395" s="21" t="str">
        <f>HYPERLINK("https://gerandofalcoes.my.salesforce.com/0034P000045kxjP", "0034P000045kxjP")</f>
        <v>0034P000045kxjP</v>
      </c>
      <c r="F395" s="3" t="s">
        <v>15936</v>
      </c>
      <c r="G395" s="3" t="s">
        <v>15937</v>
      </c>
      <c r="H395" s="3" t="s">
        <v>2538</v>
      </c>
      <c r="I395" s="3" t="s">
        <v>12654</v>
      </c>
      <c r="J395" s="3">
        <v>245</v>
      </c>
      <c r="K395" s="3" t="s">
        <v>15938</v>
      </c>
      <c r="L395" s="3" t="s">
        <v>15939</v>
      </c>
      <c r="M395" s="6">
        <v>30489</v>
      </c>
      <c r="N395" s="3">
        <v>39</v>
      </c>
      <c r="O395" s="3">
        <v>3082057021</v>
      </c>
      <c r="P395" s="3">
        <v>81185715053</v>
      </c>
      <c r="S395" s="3" t="s">
        <v>2998</v>
      </c>
      <c r="T395" s="3" t="s">
        <v>13599</v>
      </c>
      <c r="U395" s="3" t="s">
        <v>62</v>
      </c>
      <c r="V395" s="3" t="s">
        <v>15940</v>
      </c>
      <c r="X395" s="3" t="s">
        <v>2980</v>
      </c>
      <c r="Y395" s="3" t="s">
        <v>12684</v>
      </c>
      <c r="Z395" s="3" t="s">
        <v>12685</v>
      </c>
      <c r="AA395" s="3"/>
      <c r="AB395" s="3" t="s">
        <v>2543</v>
      </c>
      <c r="AC395" s="3" t="s">
        <v>10027</v>
      </c>
      <c r="AD395" s="3">
        <v>310</v>
      </c>
      <c r="AE395" s="3" t="s">
        <v>15941</v>
      </c>
      <c r="AF395" s="3" t="s">
        <v>10029</v>
      </c>
      <c r="AG395" s="3" t="s">
        <v>15942</v>
      </c>
      <c r="AH395" s="3" t="s">
        <v>10030</v>
      </c>
      <c r="AI395" s="3" t="s">
        <v>407</v>
      </c>
      <c r="AJ395" s="3" t="s">
        <v>2569</v>
      </c>
      <c r="AK395" s="3" t="s">
        <v>12661</v>
      </c>
      <c r="AL395" s="3" t="s">
        <v>2550</v>
      </c>
      <c r="AM395" s="3">
        <v>5</v>
      </c>
      <c r="AN395" s="3" t="s">
        <v>7216</v>
      </c>
      <c r="AP395" s="7" t="s">
        <v>15943</v>
      </c>
      <c r="AQ395" s="7" t="s">
        <v>15944</v>
      </c>
      <c r="AR395" s="3" t="s">
        <v>12676</v>
      </c>
      <c r="AS395" s="7" t="s">
        <v>15945</v>
      </c>
    </row>
    <row r="396" spans="1:45" ht="12.5" hidden="1" x14ac:dyDescent="0.25">
      <c r="A396" s="3" t="s">
        <v>12652</v>
      </c>
      <c r="B396" s="21" t="str">
        <f>HYPERLINK("https://gerandofalcoes.my.salesforce.com/0014P00003YSp8pQAD", "0014P00003YSp8pQAD")</f>
        <v>0014P00003YSp8pQAD</v>
      </c>
      <c r="C396" s="3" t="s">
        <v>10039</v>
      </c>
      <c r="D396" s="3" t="s">
        <v>46</v>
      </c>
      <c r="E396" s="21" t="str">
        <f>HYPERLINK("https://gerandofalcoes.my.salesforce.com/0034P000045kxjR", "0034P000045kxjR")</f>
        <v>0034P000045kxjR</v>
      </c>
      <c r="F396" s="3" t="s">
        <v>2678</v>
      </c>
      <c r="G396" s="3" t="s">
        <v>10041</v>
      </c>
      <c r="H396" s="3" t="s">
        <v>2538</v>
      </c>
      <c r="I396" s="3" t="s">
        <v>12654</v>
      </c>
      <c r="J396" s="3">
        <v>245</v>
      </c>
      <c r="K396" s="3" t="s">
        <v>15946</v>
      </c>
      <c r="L396" s="3" t="s">
        <v>15947</v>
      </c>
      <c r="M396" s="6">
        <v>33486</v>
      </c>
      <c r="N396" s="3">
        <v>31</v>
      </c>
      <c r="O396" s="3">
        <v>493645421</v>
      </c>
      <c r="P396" s="3">
        <v>40715210823</v>
      </c>
      <c r="S396" s="3" t="s">
        <v>2998</v>
      </c>
      <c r="T396" s="3" t="s">
        <v>12723</v>
      </c>
      <c r="U396" s="3" t="s">
        <v>62</v>
      </c>
      <c r="V396" s="3" t="s">
        <v>15948</v>
      </c>
      <c r="X396" s="3" t="s">
        <v>2980</v>
      </c>
      <c r="Y396" s="3" t="s">
        <v>12684</v>
      </c>
      <c r="Z396" s="3" t="s">
        <v>12685</v>
      </c>
      <c r="AB396" s="3"/>
      <c r="AC396" s="3" t="s">
        <v>15949</v>
      </c>
      <c r="AD396" s="3">
        <v>86</v>
      </c>
      <c r="AE396" s="3"/>
      <c r="AF396" s="3" t="s">
        <v>128</v>
      </c>
      <c r="AG396" s="3" t="s">
        <v>15950</v>
      </c>
      <c r="AH396" s="3" t="s">
        <v>1763</v>
      </c>
      <c r="AI396" s="3" t="s">
        <v>101</v>
      </c>
      <c r="AJ396" s="3" t="s">
        <v>2569</v>
      </c>
      <c r="AK396" s="3" t="s">
        <v>3249</v>
      </c>
      <c r="AL396" s="3" t="s">
        <v>2550</v>
      </c>
      <c r="AM396" s="3">
        <v>2</v>
      </c>
      <c r="AN396" s="3" t="s">
        <v>7216</v>
      </c>
      <c r="AO396" s="3" t="s">
        <v>12698</v>
      </c>
      <c r="AP396" s="3"/>
      <c r="AQ396" s="7" t="s">
        <v>15951</v>
      </c>
      <c r="AR396" s="3" t="s">
        <v>12676</v>
      </c>
      <c r="AS396" s="7" t="s">
        <v>15952</v>
      </c>
    </row>
    <row r="397" spans="1:45" ht="12.5" hidden="1" x14ac:dyDescent="0.25">
      <c r="A397" s="3" t="s">
        <v>12652</v>
      </c>
      <c r="B397" s="21" t="str">
        <f>HYPERLINK("https://gerandofalcoes.my.salesforce.com/0014P00003YSp8qQAD", "0014P00003YSp8qQAD")</f>
        <v>0014P00003YSp8qQAD</v>
      </c>
      <c r="C397" s="3" t="s">
        <v>10050</v>
      </c>
      <c r="D397" s="3" t="s">
        <v>46</v>
      </c>
      <c r="E397" s="21" t="str">
        <f>HYPERLINK("https://gerandofalcoes.my.salesforce.com/0034P000045kxjS", "0034P000045kxjS")</f>
        <v>0034P000045kxjS</v>
      </c>
      <c r="F397" s="3" t="s">
        <v>15953</v>
      </c>
      <c r="G397" s="3" t="s">
        <v>15954</v>
      </c>
      <c r="H397" s="3" t="s">
        <v>2538</v>
      </c>
      <c r="I397" s="3" t="s">
        <v>12654</v>
      </c>
      <c r="J397" s="3">
        <v>245</v>
      </c>
      <c r="K397" s="3" t="s">
        <v>15955</v>
      </c>
      <c r="L397" s="3" t="s">
        <v>15956</v>
      </c>
      <c r="M397" s="8">
        <v>34578</v>
      </c>
      <c r="N397" s="3">
        <v>28</v>
      </c>
      <c r="O397" s="3">
        <v>428892061</v>
      </c>
      <c r="P397" s="3">
        <v>41371436843</v>
      </c>
      <c r="S397" s="3" t="s">
        <v>3137</v>
      </c>
      <c r="T397" s="3" t="s">
        <v>12682</v>
      </c>
      <c r="U397" s="3" t="s">
        <v>62</v>
      </c>
      <c r="V397" s="3" t="s">
        <v>15957</v>
      </c>
      <c r="X397" s="3" t="s">
        <v>2980</v>
      </c>
      <c r="Y397" s="3" t="s">
        <v>12684</v>
      </c>
      <c r="Z397" s="3" t="s">
        <v>12685</v>
      </c>
      <c r="AA397" s="3"/>
      <c r="AB397" s="3"/>
      <c r="AC397" s="3" t="s">
        <v>15958</v>
      </c>
      <c r="AD397" s="3">
        <v>882</v>
      </c>
      <c r="AE397" s="3" t="s">
        <v>6368</v>
      </c>
      <c r="AF397" s="3" t="s">
        <v>10057</v>
      </c>
      <c r="AG397" s="3" t="s">
        <v>15959</v>
      </c>
      <c r="AH397" s="3" t="s">
        <v>10058</v>
      </c>
      <c r="AI397" s="3" t="s">
        <v>101</v>
      </c>
      <c r="AJ397" s="3" t="s">
        <v>2569</v>
      </c>
      <c r="AK397" s="3" t="s">
        <v>12729</v>
      </c>
      <c r="AL397" s="3" t="s">
        <v>2550</v>
      </c>
      <c r="AM397" s="3">
        <v>2</v>
      </c>
      <c r="AN397" s="3" t="s">
        <v>7216</v>
      </c>
      <c r="AO397" s="3" t="s">
        <v>15960</v>
      </c>
      <c r="AP397" s="3"/>
      <c r="AQ397" s="3" t="s">
        <v>15961</v>
      </c>
      <c r="AR397" s="3" t="s">
        <v>12664</v>
      </c>
      <c r="AS397" s="7" t="s">
        <v>15962</v>
      </c>
    </row>
    <row r="398" spans="1:45" ht="12.5" hidden="1" x14ac:dyDescent="0.25">
      <c r="A398" s="3" t="s">
        <v>12652</v>
      </c>
      <c r="B398" s="21" t="str">
        <f>HYPERLINK("https://gerandofalcoes.my.salesforce.com/0014P00003YSp8rQAD", "0014P00003YSp8rQAD")</f>
        <v>0014P00003YSp8rQAD</v>
      </c>
      <c r="C398" s="3" t="s">
        <v>10062</v>
      </c>
      <c r="D398" s="3" t="s">
        <v>46</v>
      </c>
      <c r="E398" s="21" t="str">
        <f>HYPERLINK("https://gerandofalcoes.my.salesforce.com/0034P000045kxjT", "0034P000045kxjT")</f>
        <v>0034P000045kxjT</v>
      </c>
      <c r="F398" s="3" t="s">
        <v>3030</v>
      </c>
      <c r="G398" s="3" t="s">
        <v>15963</v>
      </c>
      <c r="H398" s="3" t="s">
        <v>2538</v>
      </c>
      <c r="I398" s="3" t="s">
        <v>12654</v>
      </c>
      <c r="J398" s="3">
        <v>245</v>
      </c>
      <c r="K398" s="3" t="s">
        <v>15964</v>
      </c>
      <c r="L398" s="3" t="s">
        <v>15965</v>
      </c>
      <c r="M398" s="6">
        <v>33862</v>
      </c>
      <c r="N398" s="3">
        <v>30</v>
      </c>
      <c r="O398" s="3" t="s">
        <v>15966</v>
      </c>
      <c r="P398" s="3">
        <v>40530686813</v>
      </c>
      <c r="S398" s="3" t="s">
        <v>3269</v>
      </c>
      <c r="T398" s="3" t="s">
        <v>12723</v>
      </c>
      <c r="U398" s="3" t="s">
        <v>62</v>
      </c>
      <c r="V398" s="3" t="s">
        <v>15967</v>
      </c>
      <c r="X398" s="3" t="s">
        <v>2980</v>
      </c>
      <c r="Y398" s="3" t="s">
        <v>12670</v>
      </c>
      <c r="Z398" s="3" t="s">
        <v>2543</v>
      </c>
      <c r="AA398" s="3" t="s">
        <v>2544</v>
      </c>
      <c r="AB398" s="3" t="s">
        <v>2545</v>
      </c>
      <c r="AC398" s="3" t="s">
        <v>15968</v>
      </c>
      <c r="AD398" s="3">
        <v>98</v>
      </c>
      <c r="AE398" s="3" t="s">
        <v>10938</v>
      </c>
      <c r="AF398" s="3" t="s">
        <v>4861</v>
      </c>
      <c r="AG398" s="3" t="s">
        <v>10069</v>
      </c>
      <c r="AH398" s="3" t="s">
        <v>15969</v>
      </c>
      <c r="AI398" s="3" t="s">
        <v>101</v>
      </c>
      <c r="AJ398" s="3" t="s">
        <v>2741</v>
      </c>
      <c r="AK398" s="3" t="s">
        <v>12828</v>
      </c>
      <c r="AL398" s="3" t="s">
        <v>2588</v>
      </c>
      <c r="AM398" s="3">
        <v>2</v>
      </c>
      <c r="AN398" s="3" t="s">
        <v>7216</v>
      </c>
      <c r="AO398" s="3"/>
      <c r="AP398" s="3" t="s">
        <v>15680</v>
      </c>
      <c r="AQ398" s="7" t="s">
        <v>15970</v>
      </c>
      <c r="AR398" s="3" t="s">
        <v>12676</v>
      </c>
      <c r="AS398" s="7" t="s">
        <v>15971</v>
      </c>
    </row>
    <row r="399" spans="1:45" ht="12.5" hidden="1" x14ac:dyDescent="0.25">
      <c r="A399" s="3" t="s">
        <v>12652</v>
      </c>
      <c r="B399" s="21" t="str">
        <f>HYPERLINK("https://gerandofalcoes.my.salesforce.com/0014P00003YSp8tQAD", "0014P00003YSp8tQAD")</f>
        <v>0014P00003YSp8tQAD</v>
      </c>
      <c r="C399" s="3" t="s">
        <v>10078</v>
      </c>
      <c r="D399" s="3" t="s">
        <v>46</v>
      </c>
      <c r="E399" s="21" t="str">
        <f>HYPERLINK("https://gerandofalcoes.my.salesforce.com/0034P000045kxjV", "0034P000045kxjV")</f>
        <v>0034P000045kxjV</v>
      </c>
      <c r="F399" s="3" t="s">
        <v>10079</v>
      </c>
      <c r="G399" s="3" t="s">
        <v>15972</v>
      </c>
      <c r="H399" s="3" t="s">
        <v>2538</v>
      </c>
      <c r="I399" s="3" t="s">
        <v>12654</v>
      </c>
      <c r="J399" s="3">
        <v>245</v>
      </c>
      <c r="K399" s="3" t="s">
        <v>15973</v>
      </c>
      <c r="L399" s="3" t="s">
        <v>10081</v>
      </c>
      <c r="M399" s="6">
        <v>26995</v>
      </c>
      <c r="N399" s="3">
        <v>49</v>
      </c>
      <c r="O399" s="3">
        <v>218176946</v>
      </c>
      <c r="P399" s="3">
        <v>12951216890</v>
      </c>
      <c r="S399" s="3" t="s">
        <v>3137</v>
      </c>
      <c r="T399" s="3" t="s">
        <v>12682</v>
      </c>
      <c r="U399" s="3" t="s">
        <v>120</v>
      </c>
      <c r="V399" s="3" t="s">
        <v>15974</v>
      </c>
      <c r="X399" s="3" t="s">
        <v>2980</v>
      </c>
      <c r="Y399" s="3" t="s">
        <v>12670</v>
      </c>
      <c r="Z399" s="3" t="s">
        <v>2543</v>
      </c>
      <c r="AA399" s="3" t="s">
        <v>2577</v>
      </c>
      <c r="AB399" s="3" t="s">
        <v>2545</v>
      </c>
      <c r="AC399" s="3" t="s">
        <v>15975</v>
      </c>
      <c r="AD399" s="3">
        <v>136</v>
      </c>
      <c r="AE399" s="3" t="s">
        <v>15976</v>
      </c>
      <c r="AF399" s="3" t="s">
        <v>10084</v>
      </c>
      <c r="AG399" s="3" t="s">
        <v>10083</v>
      </c>
      <c r="AH399" s="3" t="s">
        <v>15977</v>
      </c>
      <c r="AI399" s="3" t="s">
        <v>101</v>
      </c>
      <c r="AJ399" s="3" t="s">
        <v>2548</v>
      </c>
      <c r="AK399" s="3" t="s">
        <v>12661</v>
      </c>
      <c r="AL399" s="3" t="s">
        <v>2550</v>
      </c>
      <c r="AM399" s="3">
        <v>2</v>
      </c>
      <c r="AN399" s="3" t="s">
        <v>7216</v>
      </c>
      <c r="AP399" s="3" t="s">
        <v>15978</v>
      </c>
      <c r="AQ399" s="7" t="s">
        <v>10088</v>
      </c>
      <c r="AR399" s="3" t="s">
        <v>13271</v>
      </c>
      <c r="AS399" s="7" t="s">
        <v>15979</v>
      </c>
    </row>
    <row r="400" spans="1:45" ht="12.5" hidden="1" x14ac:dyDescent="0.25">
      <c r="A400" s="3" t="s">
        <v>12652</v>
      </c>
      <c r="B400" s="21" t="str">
        <f>HYPERLINK("https://gerandofalcoes.my.salesforce.com/0014P00003YSp8uQAD", "0014P00003YSp8uQAD")</f>
        <v>0014P00003YSp8uQAD</v>
      </c>
      <c r="C400" s="3" t="s">
        <v>10092</v>
      </c>
      <c r="D400" s="3" t="s">
        <v>46</v>
      </c>
      <c r="E400" s="21" t="str">
        <f>HYPERLINK("https://gerandofalcoes.my.salesforce.com/0034P000045kxjW", "0034P000045kxjW")</f>
        <v>0034P000045kxjW</v>
      </c>
      <c r="F400" s="3" t="s">
        <v>15980</v>
      </c>
      <c r="G400" s="3" t="s">
        <v>15981</v>
      </c>
      <c r="H400" s="3" t="s">
        <v>2538</v>
      </c>
      <c r="I400" s="3" t="s">
        <v>12654</v>
      </c>
      <c r="J400" s="3">
        <v>245</v>
      </c>
      <c r="K400" s="3" t="s">
        <v>15982</v>
      </c>
      <c r="L400" s="3" t="s">
        <v>15983</v>
      </c>
      <c r="M400" s="6">
        <v>22610</v>
      </c>
      <c r="N400" s="3">
        <v>61</v>
      </c>
      <c r="O400" s="3" t="s">
        <v>15984</v>
      </c>
      <c r="P400" s="3">
        <v>3724675801</v>
      </c>
      <c r="S400" s="3" t="s">
        <v>2998</v>
      </c>
      <c r="T400" s="3" t="s">
        <v>12723</v>
      </c>
      <c r="U400" s="3" t="s">
        <v>62</v>
      </c>
      <c r="V400" s="3" t="s">
        <v>15985</v>
      </c>
      <c r="X400" s="3" t="s">
        <v>2980</v>
      </c>
      <c r="Y400" s="3" t="s">
        <v>12684</v>
      </c>
      <c r="Z400" s="3" t="s">
        <v>15327</v>
      </c>
      <c r="AA400" s="3"/>
      <c r="AB400" s="3"/>
      <c r="AC400" s="3" t="s">
        <v>15986</v>
      </c>
      <c r="AD400" s="3">
        <v>384</v>
      </c>
      <c r="AE400" s="3"/>
      <c r="AF400" s="3" t="s">
        <v>128</v>
      </c>
      <c r="AG400" s="3" t="s">
        <v>10098</v>
      </c>
      <c r="AH400" s="3" t="s">
        <v>15987</v>
      </c>
      <c r="AI400" s="3" t="s">
        <v>101</v>
      </c>
      <c r="AJ400" s="3" t="s">
        <v>2741</v>
      </c>
      <c r="AK400" s="3" t="s">
        <v>12828</v>
      </c>
      <c r="AL400" s="3" t="s">
        <v>2550</v>
      </c>
      <c r="AM400" s="3">
        <v>2</v>
      </c>
      <c r="AN400" s="3" t="s">
        <v>7216</v>
      </c>
      <c r="AP400" s="3"/>
      <c r="AQ400" s="3"/>
      <c r="AR400" s="3" t="s">
        <v>12664</v>
      </c>
      <c r="AS400" s="7" t="s">
        <v>15988</v>
      </c>
    </row>
    <row r="401" spans="1:45" ht="12.5" hidden="1" x14ac:dyDescent="0.25">
      <c r="A401" s="3" t="s">
        <v>12652</v>
      </c>
      <c r="B401" s="21" t="str">
        <f>HYPERLINK("https://gerandofalcoes.my.salesforce.com/0014P00003YSp8vQAD", "0014P00003YSp8vQAD")</f>
        <v>0014P00003YSp8vQAD</v>
      </c>
      <c r="C401" s="3" t="s">
        <v>10113</v>
      </c>
      <c r="D401" s="3" t="s">
        <v>46</v>
      </c>
      <c r="E401" s="21" t="str">
        <f>HYPERLINK("https://gerandofalcoes.my.salesforce.com/0034P000045kxjX", "0034P000045kxjX")</f>
        <v>0034P000045kxjX</v>
      </c>
      <c r="F401" s="3" t="s">
        <v>2616</v>
      </c>
      <c r="G401" s="3" t="s">
        <v>15989</v>
      </c>
      <c r="H401" s="3" t="s">
        <v>2538</v>
      </c>
      <c r="I401" s="3" t="s">
        <v>12654</v>
      </c>
      <c r="J401" s="3">
        <v>245</v>
      </c>
      <c r="K401" s="3" t="s">
        <v>15990</v>
      </c>
      <c r="L401" s="3" t="s">
        <v>15991</v>
      </c>
      <c r="M401" s="6">
        <v>34472</v>
      </c>
      <c r="N401" s="3">
        <v>28</v>
      </c>
      <c r="O401" s="3">
        <v>368944591</v>
      </c>
      <c r="P401" s="3">
        <v>38454429808</v>
      </c>
      <c r="S401" s="3" t="s">
        <v>3137</v>
      </c>
      <c r="T401" s="3" t="s">
        <v>12682</v>
      </c>
      <c r="U401" s="3" t="s">
        <v>120</v>
      </c>
      <c r="V401" s="3" t="s">
        <v>15992</v>
      </c>
      <c r="X401" s="3" t="s">
        <v>3508</v>
      </c>
      <c r="Y401" s="3" t="s">
        <v>12670</v>
      </c>
      <c r="Z401" s="3" t="s">
        <v>2543</v>
      </c>
      <c r="AA401" s="3" t="s">
        <v>2544</v>
      </c>
      <c r="AB401" s="3" t="s">
        <v>2545</v>
      </c>
      <c r="AC401" s="3" t="s">
        <v>15993</v>
      </c>
      <c r="AD401" s="3">
        <v>287</v>
      </c>
      <c r="AE401" s="3" t="s">
        <v>673</v>
      </c>
      <c r="AF401" s="3" t="s">
        <v>10120</v>
      </c>
      <c r="AG401" s="3" t="s">
        <v>10119</v>
      </c>
      <c r="AH401" s="3" t="s">
        <v>15994</v>
      </c>
      <c r="AI401" s="3" t="s">
        <v>101</v>
      </c>
      <c r="AJ401" s="3" t="s">
        <v>2569</v>
      </c>
      <c r="AK401" s="3" t="s">
        <v>12729</v>
      </c>
      <c r="AL401" s="3" t="s">
        <v>2579</v>
      </c>
      <c r="AM401" s="3">
        <v>3</v>
      </c>
      <c r="AN401" s="3" t="s">
        <v>7216</v>
      </c>
      <c r="AQ401" s="7" t="s">
        <v>15995</v>
      </c>
      <c r="AR401" s="3" t="s">
        <v>12676</v>
      </c>
      <c r="AS401" s="7" t="s">
        <v>15996</v>
      </c>
    </row>
    <row r="402" spans="1:45" ht="12.5" hidden="1" x14ac:dyDescent="0.25">
      <c r="A402" s="3" t="s">
        <v>12652</v>
      </c>
      <c r="B402" s="21" t="str">
        <f>HYPERLINK("https://gerandofalcoes.my.salesforce.com/0014P00003YSp8wQAD", "0014P00003YSp8wQAD")</f>
        <v>0014P00003YSp8wQAD</v>
      </c>
      <c r="C402" s="3" t="s">
        <v>10127</v>
      </c>
      <c r="D402" s="3" t="s">
        <v>46</v>
      </c>
      <c r="E402" s="21" t="str">
        <f>HYPERLINK("https://gerandofalcoes.my.salesforce.com/0034P000045kxjY", "0034P000045kxjY")</f>
        <v>0034P000045kxjY</v>
      </c>
      <c r="F402" s="3" t="s">
        <v>15997</v>
      </c>
      <c r="G402" s="3" t="s">
        <v>15998</v>
      </c>
      <c r="H402" s="3" t="s">
        <v>2538</v>
      </c>
      <c r="I402" s="3" t="s">
        <v>12654</v>
      </c>
      <c r="J402" s="3">
        <v>245</v>
      </c>
      <c r="K402" s="3" t="s">
        <v>15999</v>
      </c>
      <c r="L402" s="3" t="s">
        <v>10130</v>
      </c>
      <c r="M402" s="6">
        <v>29632</v>
      </c>
      <c r="N402" s="3">
        <v>41</v>
      </c>
      <c r="O402" s="3">
        <v>5587340</v>
      </c>
      <c r="P402" s="3">
        <v>3234360480</v>
      </c>
      <c r="S402" s="3" t="s">
        <v>3498</v>
      </c>
      <c r="T402" s="3" t="s">
        <v>12656</v>
      </c>
      <c r="U402" s="3" t="s">
        <v>62</v>
      </c>
      <c r="V402" s="3" t="s">
        <v>16000</v>
      </c>
      <c r="X402" s="3" t="s">
        <v>3365</v>
      </c>
      <c r="Y402" s="3" t="s">
        <v>12658</v>
      </c>
      <c r="Z402" s="3" t="s">
        <v>2543</v>
      </c>
      <c r="AA402" s="3"/>
      <c r="AB402" s="3" t="s">
        <v>2545</v>
      </c>
      <c r="AC402" s="3" t="s">
        <v>16001</v>
      </c>
      <c r="AD402" s="3">
        <v>14</v>
      </c>
      <c r="AE402" s="3"/>
      <c r="AF402" s="3" t="s">
        <v>381</v>
      </c>
      <c r="AG402" s="3" t="s">
        <v>10132</v>
      </c>
      <c r="AH402" s="3" t="s">
        <v>10133</v>
      </c>
      <c r="AI402" s="3" t="s">
        <v>379</v>
      </c>
      <c r="AJ402" s="3" t="s">
        <v>2569</v>
      </c>
      <c r="AK402" s="3" t="s">
        <v>12828</v>
      </c>
      <c r="AL402" s="3" t="s">
        <v>3385</v>
      </c>
      <c r="AM402" s="3">
        <v>3</v>
      </c>
      <c r="AN402" s="3" t="s">
        <v>14269</v>
      </c>
      <c r="AQ402" s="3" t="s">
        <v>16002</v>
      </c>
      <c r="AR402" s="3" t="s">
        <v>12676</v>
      </c>
      <c r="AS402" s="7" t="s">
        <v>16003</v>
      </c>
    </row>
    <row r="403" spans="1:45" ht="12.5" hidden="1" x14ac:dyDescent="0.25">
      <c r="A403" s="3" t="s">
        <v>12652</v>
      </c>
      <c r="B403" s="21" t="str">
        <f>HYPERLINK("https://gerandofalcoes.my.salesforce.com/0014P00003YSp8yQAD", "0014P00003YSp8yQAD")</f>
        <v>0014P00003YSp8yQAD</v>
      </c>
      <c r="C403" s="3" t="s">
        <v>10137</v>
      </c>
      <c r="D403" s="3" t="s">
        <v>46</v>
      </c>
      <c r="E403" s="21" t="str">
        <f>HYPERLINK("https://gerandofalcoes.my.salesforce.com/0034P000045kxja", "0034P000045kxja")</f>
        <v>0034P000045kxja</v>
      </c>
      <c r="F403" s="3" t="s">
        <v>13723</v>
      </c>
      <c r="G403" s="3" t="s">
        <v>16004</v>
      </c>
      <c r="H403" s="3" t="s">
        <v>2538</v>
      </c>
      <c r="I403" s="3" t="s">
        <v>12654</v>
      </c>
      <c r="J403" s="3">
        <v>245</v>
      </c>
      <c r="K403" s="3" t="s">
        <v>16005</v>
      </c>
      <c r="L403" s="3" t="s">
        <v>10141</v>
      </c>
      <c r="M403" s="6">
        <v>22090</v>
      </c>
      <c r="N403" s="3">
        <v>62</v>
      </c>
      <c r="O403" s="3">
        <v>99848909</v>
      </c>
      <c r="P403" s="3">
        <v>1320725805</v>
      </c>
      <c r="S403" s="3" t="s">
        <v>3137</v>
      </c>
      <c r="T403" s="3" t="s">
        <v>12682</v>
      </c>
      <c r="U403" s="3" t="s">
        <v>62</v>
      </c>
      <c r="V403" s="3" t="s">
        <v>16006</v>
      </c>
      <c r="X403" s="3" t="s">
        <v>2980</v>
      </c>
      <c r="Y403" s="3" t="s">
        <v>12658</v>
      </c>
      <c r="Z403" s="3" t="s">
        <v>2543</v>
      </c>
      <c r="AA403" s="3" t="s">
        <v>2544</v>
      </c>
      <c r="AB403" s="3" t="s">
        <v>2545</v>
      </c>
      <c r="AC403" s="3" t="s">
        <v>10142</v>
      </c>
      <c r="AD403" s="3">
        <v>5885</v>
      </c>
      <c r="AE403" s="3" t="s">
        <v>16007</v>
      </c>
      <c r="AF403" s="3" t="s">
        <v>128</v>
      </c>
      <c r="AG403" s="3" t="s">
        <v>16008</v>
      </c>
      <c r="AH403" s="3" t="s">
        <v>10145</v>
      </c>
      <c r="AI403" s="3" t="s">
        <v>101</v>
      </c>
      <c r="AJ403" s="3" t="s">
        <v>2741</v>
      </c>
      <c r="AK403" s="3" t="s">
        <v>16009</v>
      </c>
      <c r="AL403" s="3" t="s">
        <v>2550</v>
      </c>
      <c r="AM403" s="3">
        <v>3</v>
      </c>
      <c r="AN403" s="3" t="s">
        <v>12794</v>
      </c>
      <c r="AP403" s="3"/>
      <c r="AQ403" s="7" t="s">
        <v>16010</v>
      </c>
      <c r="AR403" s="3" t="s">
        <v>12664</v>
      </c>
      <c r="AS403" s="7" t="s">
        <v>16011</v>
      </c>
    </row>
    <row r="404" spans="1:45" ht="12.5" hidden="1" x14ac:dyDescent="0.25">
      <c r="A404" s="3" t="s">
        <v>12652</v>
      </c>
      <c r="B404" s="21" t="str">
        <f>HYPERLINK("https://gerandofalcoes.my.salesforce.com/0014P00003YSp8zQAD", "0014P00003YSp8zQAD")</f>
        <v>0014P00003YSp8zQAD</v>
      </c>
      <c r="C404" s="3" t="s">
        <v>10152</v>
      </c>
      <c r="D404" s="3" t="s">
        <v>46</v>
      </c>
      <c r="E404" s="21" t="str">
        <f>HYPERLINK("https://gerandofalcoes.my.salesforce.com/0034P000045kxjb", "0034P000045kxjb")</f>
        <v>0034P000045kxjb</v>
      </c>
      <c r="F404" s="3" t="s">
        <v>16012</v>
      </c>
      <c r="G404" s="3" t="s">
        <v>2799</v>
      </c>
      <c r="H404" s="3" t="s">
        <v>2538</v>
      </c>
      <c r="I404" s="3" t="s">
        <v>12654</v>
      </c>
      <c r="J404" s="3">
        <v>245</v>
      </c>
      <c r="K404" s="3" t="s">
        <v>16013</v>
      </c>
      <c r="L404" s="3" t="s">
        <v>16014</v>
      </c>
      <c r="M404" s="6">
        <v>30296</v>
      </c>
      <c r="N404" s="3">
        <v>40</v>
      </c>
      <c r="O404" s="3" t="s">
        <v>16015</v>
      </c>
      <c r="P404" s="3">
        <v>31108360840</v>
      </c>
      <c r="S404" s="3" t="s">
        <v>2998</v>
      </c>
      <c r="T404" s="3" t="s">
        <v>12656</v>
      </c>
      <c r="U404" s="3" t="s">
        <v>120</v>
      </c>
      <c r="V404" s="3" t="s">
        <v>16016</v>
      </c>
      <c r="X404" s="3" t="s">
        <v>2980</v>
      </c>
      <c r="Y404" s="3" t="s">
        <v>12670</v>
      </c>
      <c r="Z404" s="3"/>
      <c r="AA404" s="3" t="s">
        <v>2544</v>
      </c>
      <c r="AB404" s="3" t="s">
        <v>2545</v>
      </c>
      <c r="AC404" s="3" t="s">
        <v>16017</v>
      </c>
      <c r="AD404" s="3">
        <v>147</v>
      </c>
      <c r="AE404" s="3" t="s">
        <v>1539</v>
      </c>
      <c r="AF404" s="3" t="s">
        <v>7008</v>
      </c>
      <c r="AG404" s="3" t="s">
        <v>16018</v>
      </c>
      <c r="AH404" s="3" t="s">
        <v>16019</v>
      </c>
      <c r="AI404" s="3" t="s">
        <v>101</v>
      </c>
      <c r="AJ404" s="3" t="s">
        <v>2569</v>
      </c>
      <c r="AK404" s="3" t="s">
        <v>15205</v>
      </c>
      <c r="AL404" s="3" t="s">
        <v>2579</v>
      </c>
      <c r="AM404" s="3">
        <v>2</v>
      </c>
      <c r="AN404" s="3" t="s">
        <v>7216</v>
      </c>
      <c r="AQ404" s="3" t="s">
        <v>10163</v>
      </c>
      <c r="AR404" s="3" t="s">
        <v>12676</v>
      </c>
      <c r="AS404" s="7" t="s">
        <v>16020</v>
      </c>
    </row>
    <row r="405" spans="1:45" ht="12.5" hidden="1" x14ac:dyDescent="0.25">
      <c r="A405" s="3" t="s">
        <v>12652</v>
      </c>
      <c r="B405" s="21" t="str">
        <f>HYPERLINK("https://gerandofalcoes.my.salesforce.com/0014P00003YSp90QAD", "0014P00003YSp90QAD")</f>
        <v>0014P00003YSp90QAD</v>
      </c>
      <c r="C405" s="3" t="s">
        <v>10167</v>
      </c>
      <c r="D405" s="3" t="s">
        <v>46</v>
      </c>
      <c r="E405" s="21" t="str">
        <f>HYPERLINK("https://gerandofalcoes.my.salesforce.com/0034P000045kxjc", "0034P000045kxjc")</f>
        <v>0034P000045kxjc</v>
      </c>
      <c r="F405" s="3" t="s">
        <v>13318</v>
      </c>
      <c r="G405" s="3" t="s">
        <v>16021</v>
      </c>
      <c r="H405" s="3" t="s">
        <v>2538</v>
      </c>
      <c r="I405" s="3" t="s">
        <v>12654</v>
      </c>
      <c r="J405" s="3">
        <v>245</v>
      </c>
      <c r="K405" s="3" t="s">
        <v>16022</v>
      </c>
      <c r="L405" s="3" t="s">
        <v>16023</v>
      </c>
      <c r="M405" s="6">
        <v>34173</v>
      </c>
      <c r="N405" s="3">
        <v>29</v>
      </c>
      <c r="O405" s="3" t="s">
        <v>16024</v>
      </c>
      <c r="P405" s="3">
        <v>41982455845</v>
      </c>
      <c r="S405" s="3" t="s">
        <v>15607</v>
      </c>
      <c r="T405" s="3" t="s">
        <v>12682</v>
      </c>
      <c r="U405" s="3" t="s">
        <v>62</v>
      </c>
      <c r="V405" s="3" t="s">
        <v>16025</v>
      </c>
      <c r="X405" s="3" t="s">
        <v>3508</v>
      </c>
      <c r="Y405" s="3" t="s">
        <v>12658</v>
      </c>
      <c r="Z405" s="3" t="s">
        <v>2543</v>
      </c>
      <c r="AA405" s="3" t="s">
        <v>2544</v>
      </c>
      <c r="AB405" s="3" t="s">
        <v>2543</v>
      </c>
      <c r="AC405" s="3" t="s">
        <v>16026</v>
      </c>
      <c r="AD405" s="3">
        <v>1558</v>
      </c>
      <c r="AE405" s="3" t="s">
        <v>1539</v>
      </c>
      <c r="AF405" s="3" t="s">
        <v>128</v>
      </c>
      <c r="AG405" s="3" t="s">
        <v>16027</v>
      </c>
      <c r="AH405" s="3" t="s">
        <v>16028</v>
      </c>
      <c r="AI405" s="3" t="s">
        <v>101</v>
      </c>
      <c r="AJ405" s="3" t="s">
        <v>2569</v>
      </c>
      <c r="AK405" s="3" t="s">
        <v>12661</v>
      </c>
      <c r="AL405" s="3" t="s">
        <v>3385</v>
      </c>
      <c r="AM405" s="3">
        <v>4</v>
      </c>
      <c r="AN405" s="3" t="s">
        <v>7216</v>
      </c>
      <c r="AP405" s="7" t="s">
        <v>16029</v>
      </c>
      <c r="AQ405" s="7" t="s">
        <v>16030</v>
      </c>
      <c r="AR405" s="3" t="s">
        <v>12664</v>
      </c>
      <c r="AS405" s="7" t="s">
        <v>16031</v>
      </c>
    </row>
    <row r="406" spans="1:45" ht="12.5" hidden="1" x14ac:dyDescent="0.25">
      <c r="A406" s="3" t="s">
        <v>12652</v>
      </c>
      <c r="B406" s="21" t="str">
        <f>HYPERLINK("https://gerandofalcoes.my.salesforce.com/0014P00003YSp91QAD", "0014P00003YSp91QAD")</f>
        <v>0014P00003YSp91QAD</v>
      </c>
      <c r="C406" s="3" t="s">
        <v>10186</v>
      </c>
      <c r="D406" s="3" t="s">
        <v>46</v>
      </c>
      <c r="E406" s="21" t="str">
        <f>HYPERLINK("https://gerandofalcoes.my.salesforce.com/0034P000045kxjd", "0034P000045kxjd")</f>
        <v>0034P000045kxjd</v>
      </c>
      <c r="F406" s="3" t="s">
        <v>2636</v>
      </c>
      <c r="G406" s="3" t="s">
        <v>16032</v>
      </c>
      <c r="H406" s="3" t="s">
        <v>2538</v>
      </c>
      <c r="I406" s="3" t="s">
        <v>12654</v>
      </c>
      <c r="J406" s="3">
        <v>245</v>
      </c>
      <c r="K406" s="3" t="s">
        <v>16033</v>
      </c>
      <c r="L406" s="3" t="s">
        <v>10190</v>
      </c>
      <c r="M406" s="8">
        <v>33183</v>
      </c>
      <c r="N406" s="3">
        <v>32</v>
      </c>
      <c r="O406" s="3">
        <v>498011380</v>
      </c>
      <c r="P406" s="3">
        <v>45404667800</v>
      </c>
      <c r="S406" s="3" t="s">
        <v>2998</v>
      </c>
      <c r="T406" s="3" t="s">
        <v>12682</v>
      </c>
      <c r="U406" s="3" t="s">
        <v>62</v>
      </c>
      <c r="V406" s="3" t="s">
        <v>16034</v>
      </c>
      <c r="X406" s="3" t="s">
        <v>2980</v>
      </c>
      <c r="Y406" s="3" t="s">
        <v>12736</v>
      </c>
      <c r="Z406" s="3" t="s">
        <v>12685</v>
      </c>
      <c r="AA406" s="3"/>
      <c r="AB406" s="3"/>
      <c r="AC406" s="3" t="s">
        <v>16035</v>
      </c>
      <c r="AD406" s="3">
        <v>6</v>
      </c>
      <c r="AE406" s="3" t="s">
        <v>16036</v>
      </c>
      <c r="AF406" s="3" t="s">
        <v>128</v>
      </c>
      <c r="AG406" s="3" t="s">
        <v>16037</v>
      </c>
      <c r="AH406" s="3" t="s">
        <v>16038</v>
      </c>
      <c r="AI406" s="3" t="s">
        <v>101</v>
      </c>
      <c r="AJ406" s="3" t="s">
        <v>2569</v>
      </c>
      <c r="AK406" s="3" t="s">
        <v>12661</v>
      </c>
      <c r="AL406" s="3" t="s">
        <v>2550</v>
      </c>
      <c r="AM406" s="3">
        <v>3</v>
      </c>
      <c r="AN406" s="3" t="s">
        <v>7216</v>
      </c>
      <c r="AP406" s="7" t="s">
        <v>10197</v>
      </c>
      <c r="AQ406" s="7" t="s">
        <v>10197</v>
      </c>
      <c r="AR406" s="3" t="s">
        <v>12664</v>
      </c>
      <c r="AS406" s="7" t="s">
        <v>16039</v>
      </c>
    </row>
    <row r="407" spans="1:45" ht="12.5" hidden="1" x14ac:dyDescent="0.25">
      <c r="A407" s="3" t="s">
        <v>12652</v>
      </c>
      <c r="B407" s="21" t="str">
        <f>HYPERLINK("https://gerandofalcoes.my.salesforce.com/0014P00003YSp92QAD", "0014P00003YSp92QAD")</f>
        <v>0014P00003YSp92QAD</v>
      </c>
      <c r="C407" s="3" t="s">
        <v>10199</v>
      </c>
      <c r="D407" s="3" t="s">
        <v>46</v>
      </c>
      <c r="E407" s="21" t="str">
        <f>HYPERLINK("https://gerandofalcoes.my.salesforce.com/0034P000045kxje", "0034P000045kxje")</f>
        <v>0034P000045kxje</v>
      </c>
      <c r="F407" s="3" t="s">
        <v>16040</v>
      </c>
      <c r="G407" s="3" t="s">
        <v>16041</v>
      </c>
      <c r="H407" s="3" t="s">
        <v>2538</v>
      </c>
      <c r="I407" s="3" t="s">
        <v>12654</v>
      </c>
      <c r="J407" s="3">
        <v>245</v>
      </c>
      <c r="K407" s="3" t="s">
        <v>16042</v>
      </c>
      <c r="L407" s="3" t="s">
        <v>10203</v>
      </c>
      <c r="M407" s="8">
        <v>28303</v>
      </c>
      <c r="N407" s="3">
        <v>45</v>
      </c>
      <c r="O407" s="3" t="s">
        <v>16043</v>
      </c>
      <c r="P407" s="3">
        <v>26388793800</v>
      </c>
      <c r="S407" s="3" t="s">
        <v>2998</v>
      </c>
      <c r="T407" s="3" t="s">
        <v>12723</v>
      </c>
      <c r="U407" s="3" t="s">
        <v>62</v>
      </c>
      <c r="V407" s="3" t="s">
        <v>16044</v>
      </c>
      <c r="X407" s="3" t="s">
        <v>2980</v>
      </c>
      <c r="Y407" s="3" t="s">
        <v>12670</v>
      </c>
      <c r="Z407" s="3" t="s">
        <v>2543</v>
      </c>
      <c r="AA407" s="3" t="s">
        <v>2544</v>
      </c>
      <c r="AB407" s="3" t="s">
        <v>2545</v>
      </c>
      <c r="AC407" s="3" t="s">
        <v>16045</v>
      </c>
      <c r="AD407" s="3">
        <v>175</v>
      </c>
      <c r="AE407" s="3" t="s">
        <v>16046</v>
      </c>
      <c r="AF407" s="3" t="s">
        <v>891</v>
      </c>
      <c r="AG407" s="3" t="s">
        <v>16047</v>
      </c>
      <c r="AH407" s="3" t="s">
        <v>16048</v>
      </c>
      <c r="AI407" s="3" t="s">
        <v>101</v>
      </c>
      <c r="AJ407" s="3" t="s">
        <v>2569</v>
      </c>
      <c r="AK407" s="3" t="s">
        <v>12661</v>
      </c>
      <c r="AL407" s="3" t="s">
        <v>2550</v>
      </c>
      <c r="AM407" s="3">
        <v>2</v>
      </c>
      <c r="AN407" s="3" t="s">
        <v>7216</v>
      </c>
      <c r="AP407" s="3" t="s">
        <v>16049</v>
      </c>
      <c r="AQ407" s="7" t="s">
        <v>16050</v>
      </c>
      <c r="AR407" s="3" t="s">
        <v>12676</v>
      </c>
      <c r="AS407" s="7" t="s">
        <v>16051</v>
      </c>
    </row>
    <row r="408" spans="1:45" ht="12.5" hidden="1" x14ac:dyDescent="0.25">
      <c r="A408" s="3" t="s">
        <v>12652</v>
      </c>
      <c r="B408" s="21" t="str">
        <f>HYPERLINK("https://gerandofalcoes.my.salesforce.com/0014P00003YSp94QAD", "0014P00003YSp94QAD")</f>
        <v>0014P00003YSp94QAD</v>
      </c>
      <c r="C408" s="3" t="s">
        <v>10217</v>
      </c>
      <c r="D408" s="3" t="s">
        <v>46</v>
      </c>
      <c r="E408" s="21" t="str">
        <f>HYPERLINK("https://gerandofalcoes.my.salesforce.com/0034P000045kxjg", "0034P000045kxjg")</f>
        <v>0034P000045kxjg</v>
      </c>
      <c r="F408" s="3" t="s">
        <v>14363</v>
      </c>
      <c r="G408" s="3" t="s">
        <v>16052</v>
      </c>
      <c r="H408" s="3" t="s">
        <v>2538</v>
      </c>
      <c r="I408" s="3" t="s">
        <v>12654</v>
      </c>
      <c r="J408" s="3">
        <v>245</v>
      </c>
      <c r="K408" s="3" t="s">
        <v>10220</v>
      </c>
      <c r="L408" s="3" t="s">
        <v>16053</v>
      </c>
      <c r="M408" s="6">
        <v>29119</v>
      </c>
      <c r="N408" s="3">
        <v>43</v>
      </c>
      <c r="O408" s="3">
        <v>292065437</v>
      </c>
      <c r="P408" s="3">
        <v>26865466896</v>
      </c>
      <c r="S408" s="3" t="s">
        <v>3417</v>
      </c>
      <c r="T408" s="3" t="s">
        <v>12723</v>
      </c>
      <c r="U408" s="3" t="s">
        <v>120</v>
      </c>
      <c r="V408" s="3" t="s">
        <v>16054</v>
      </c>
      <c r="X408" s="3" t="s">
        <v>2980</v>
      </c>
      <c r="Y408" s="3" t="s">
        <v>12658</v>
      </c>
      <c r="Z408" s="3" t="s">
        <v>2543</v>
      </c>
      <c r="AA408" s="3"/>
      <c r="AB408" s="3" t="s">
        <v>2545</v>
      </c>
      <c r="AC408" s="3" t="s">
        <v>16055</v>
      </c>
      <c r="AD408" s="3">
        <v>626</v>
      </c>
      <c r="AE408" s="3" t="s">
        <v>16056</v>
      </c>
      <c r="AF408" s="3" t="s">
        <v>128</v>
      </c>
      <c r="AG408" s="3" t="s">
        <v>16057</v>
      </c>
      <c r="AH408" s="3" t="s">
        <v>16058</v>
      </c>
      <c r="AI408" s="3" t="s">
        <v>101</v>
      </c>
      <c r="AJ408" s="3" t="s">
        <v>2569</v>
      </c>
      <c r="AK408" s="3" t="s">
        <v>12661</v>
      </c>
      <c r="AL408" s="3" t="s">
        <v>2588</v>
      </c>
      <c r="AM408" s="3">
        <v>4</v>
      </c>
      <c r="AN408" s="3" t="s">
        <v>7216</v>
      </c>
      <c r="AO408" s="3"/>
      <c r="AP408" s="3"/>
      <c r="AQ408" s="7" t="s">
        <v>16059</v>
      </c>
      <c r="AR408" s="3" t="s">
        <v>12664</v>
      </c>
      <c r="AS408" s="7" t="s">
        <v>16060</v>
      </c>
    </row>
    <row r="409" spans="1:45" ht="12.5" hidden="1" x14ac:dyDescent="0.25">
      <c r="A409" s="3" t="s">
        <v>12652</v>
      </c>
      <c r="B409" s="21" t="str">
        <f>HYPERLINK("https://gerandofalcoes.my.salesforce.com/0014P00003YSp95QAD", "0014P00003YSp95QAD")</f>
        <v>0014P00003YSp95QAD</v>
      </c>
      <c r="C409" s="3" t="s">
        <v>10233</v>
      </c>
      <c r="D409" s="3" t="s">
        <v>46</v>
      </c>
      <c r="E409" s="21" t="str">
        <f>HYPERLINK("https://gerandofalcoes.my.salesforce.com/0034P000045kxjh", "0034P000045kxjh")</f>
        <v>0034P000045kxjh</v>
      </c>
      <c r="F409" s="3" t="s">
        <v>3314</v>
      </c>
      <c r="G409" s="3" t="s">
        <v>16061</v>
      </c>
      <c r="H409" s="3" t="s">
        <v>2538</v>
      </c>
      <c r="I409" s="3" t="s">
        <v>12654</v>
      </c>
      <c r="J409" s="3">
        <v>245</v>
      </c>
      <c r="K409" s="3" t="s">
        <v>16062</v>
      </c>
      <c r="L409" s="3" t="s">
        <v>16063</v>
      </c>
      <c r="M409" s="6">
        <v>30026</v>
      </c>
      <c r="N409" s="3">
        <v>40</v>
      </c>
      <c r="O409" s="3">
        <v>404396483</v>
      </c>
      <c r="P409" s="3">
        <v>31255532882</v>
      </c>
      <c r="S409" s="3" t="s">
        <v>12744</v>
      </c>
      <c r="T409" s="3" t="s">
        <v>12682</v>
      </c>
      <c r="U409" s="3" t="s">
        <v>62</v>
      </c>
      <c r="V409" s="3" t="s">
        <v>16064</v>
      </c>
      <c r="X409" s="3" t="s">
        <v>2980</v>
      </c>
      <c r="Y409" s="3" t="s">
        <v>12670</v>
      </c>
      <c r="Z409" s="3" t="s">
        <v>2543</v>
      </c>
      <c r="AA409" s="3" t="s">
        <v>2577</v>
      </c>
      <c r="AB409" s="3" t="s">
        <v>2543</v>
      </c>
      <c r="AC409" s="3" t="s">
        <v>16065</v>
      </c>
      <c r="AD409" s="3">
        <v>15</v>
      </c>
      <c r="AE409" s="3"/>
      <c r="AF409" s="3" t="s">
        <v>10240</v>
      </c>
      <c r="AG409" s="3" t="s">
        <v>16066</v>
      </c>
      <c r="AH409" s="3" t="s">
        <v>16067</v>
      </c>
      <c r="AI409" s="3" t="s">
        <v>101</v>
      </c>
      <c r="AJ409" s="3" t="s">
        <v>2569</v>
      </c>
      <c r="AK409" s="3" t="s">
        <v>3249</v>
      </c>
      <c r="AL409" s="3" t="s">
        <v>2579</v>
      </c>
      <c r="AM409" s="3">
        <v>4</v>
      </c>
      <c r="AN409" s="3" t="s">
        <v>7216</v>
      </c>
      <c r="AP409" s="7" t="s">
        <v>10245</v>
      </c>
      <c r="AQ409" s="7" t="s">
        <v>10245</v>
      </c>
      <c r="AR409" s="3" t="s">
        <v>12676</v>
      </c>
      <c r="AS409" s="7" t="s">
        <v>16068</v>
      </c>
    </row>
    <row r="410" spans="1:45" ht="12.5" hidden="1" x14ac:dyDescent="0.25">
      <c r="A410" s="3" t="s">
        <v>12652</v>
      </c>
      <c r="B410" s="21" t="str">
        <f>HYPERLINK("https://gerandofalcoes.my.salesforce.com/0014P00003YSp97QAD", "0014P00003YSp97QAD")</f>
        <v>0014P00003YSp97QAD</v>
      </c>
      <c r="C410" s="3" t="s">
        <v>10249</v>
      </c>
      <c r="D410" s="3" t="s">
        <v>46</v>
      </c>
      <c r="E410" s="21" t="str">
        <f>HYPERLINK("https://gerandofalcoes.my.salesforce.com/0034P000045kxjj", "0034P000045kxjj")</f>
        <v>0034P000045kxjj</v>
      </c>
      <c r="F410" s="3" t="s">
        <v>2678</v>
      </c>
      <c r="G410" s="3" t="s">
        <v>16069</v>
      </c>
      <c r="H410" s="3" t="s">
        <v>2538</v>
      </c>
      <c r="I410" s="3" t="s">
        <v>12654</v>
      </c>
      <c r="J410" s="3">
        <v>245</v>
      </c>
      <c r="K410" s="3" t="s">
        <v>16070</v>
      </c>
      <c r="L410" s="3" t="s">
        <v>16071</v>
      </c>
      <c r="M410" s="6">
        <v>23698</v>
      </c>
      <c r="N410" s="3">
        <v>58</v>
      </c>
      <c r="O410" s="3">
        <v>40539460</v>
      </c>
      <c r="P410" s="3">
        <v>53173376900</v>
      </c>
      <c r="S410" s="3" t="s">
        <v>2998</v>
      </c>
      <c r="T410" s="3" t="s">
        <v>12682</v>
      </c>
      <c r="U410" s="3" t="s">
        <v>62</v>
      </c>
      <c r="V410" s="3" t="s">
        <v>16072</v>
      </c>
      <c r="X410" s="3" t="s">
        <v>2980</v>
      </c>
      <c r="Y410" s="3" t="s">
        <v>12670</v>
      </c>
      <c r="Z410" s="3" t="s">
        <v>2543</v>
      </c>
      <c r="AA410" s="3" t="s">
        <v>2577</v>
      </c>
      <c r="AB410" s="3" t="s">
        <v>2545</v>
      </c>
      <c r="AC410" s="3" t="s">
        <v>10254</v>
      </c>
      <c r="AD410" s="3">
        <v>288</v>
      </c>
      <c r="AE410" s="3" t="s">
        <v>16073</v>
      </c>
      <c r="AF410" s="3" t="s">
        <v>338</v>
      </c>
      <c r="AG410" s="3" t="s">
        <v>10255</v>
      </c>
      <c r="AH410" s="3" t="s">
        <v>10256</v>
      </c>
      <c r="AI410" s="3" t="s">
        <v>310</v>
      </c>
      <c r="AJ410" s="3" t="s">
        <v>2741</v>
      </c>
      <c r="AK410" s="3" t="s">
        <v>12661</v>
      </c>
      <c r="AL410" s="3" t="s">
        <v>2550</v>
      </c>
      <c r="AM410" s="3">
        <v>0</v>
      </c>
      <c r="AN410" s="3" t="s">
        <v>7216</v>
      </c>
      <c r="AP410" s="3"/>
      <c r="AQ410" s="3"/>
      <c r="AR410" s="3" t="s">
        <v>12676</v>
      </c>
      <c r="AS410" s="7" t="s">
        <v>16074</v>
      </c>
    </row>
    <row r="411" spans="1:45" ht="12.5" hidden="1" x14ac:dyDescent="0.25">
      <c r="A411" s="3" t="s">
        <v>12652</v>
      </c>
      <c r="B411" s="21" t="str">
        <f>HYPERLINK("https://gerandofalcoes.my.salesforce.com/0014P00003YSp98QAD", "0014P00003YSp98QAD")</f>
        <v>0014P00003YSp98QAD</v>
      </c>
      <c r="C411" s="3" t="s">
        <v>10264</v>
      </c>
      <c r="D411" s="3" t="s">
        <v>46</v>
      </c>
      <c r="E411" s="21" t="str">
        <f>HYPERLINK("https://gerandofalcoes.my.salesforce.com/0034P000045kxjk", "0034P000045kxjk")</f>
        <v>0034P000045kxjk</v>
      </c>
      <c r="F411" s="3" t="s">
        <v>16075</v>
      </c>
      <c r="G411" s="3" t="s">
        <v>16076</v>
      </c>
      <c r="H411" s="3" t="s">
        <v>2538</v>
      </c>
      <c r="I411" s="3" t="s">
        <v>12654</v>
      </c>
      <c r="J411" s="3">
        <v>245</v>
      </c>
      <c r="K411" s="3" t="s">
        <v>16077</v>
      </c>
      <c r="L411" s="3" t="s">
        <v>10268</v>
      </c>
      <c r="M411" s="8">
        <v>29246</v>
      </c>
      <c r="N411" s="3">
        <v>42</v>
      </c>
      <c r="O411" s="3">
        <v>301359349</v>
      </c>
      <c r="P411" s="3">
        <v>30744352835</v>
      </c>
      <c r="S411" s="3" t="s">
        <v>2998</v>
      </c>
      <c r="T411" s="3" t="s">
        <v>12656</v>
      </c>
      <c r="U411" s="3" t="s">
        <v>62</v>
      </c>
      <c r="V411" s="3" t="s">
        <v>16078</v>
      </c>
      <c r="X411" s="3" t="s">
        <v>2980</v>
      </c>
      <c r="Y411" s="3" t="s">
        <v>12670</v>
      </c>
      <c r="Z411" s="3" t="s">
        <v>2543</v>
      </c>
      <c r="AA411" s="3" t="s">
        <v>2544</v>
      </c>
      <c r="AB411" s="3" t="s">
        <v>2545</v>
      </c>
      <c r="AC411" s="3" t="s">
        <v>16079</v>
      </c>
      <c r="AD411" s="3">
        <v>99</v>
      </c>
      <c r="AE411" s="3" t="s">
        <v>16080</v>
      </c>
      <c r="AF411" s="3" t="s">
        <v>8391</v>
      </c>
      <c r="AG411" s="3" t="s">
        <v>16081</v>
      </c>
      <c r="AH411" s="3" t="s">
        <v>10272</v>
      </c>
      <c r="AI411" s="3" t="s">
        <v>101</v>
      </c>
      <c r="AJ411" s="3" t="s">
        <v>2569</v>
      </c>
      <c r="AK411" s="3" t="s">
        <v>12729</v>
      </c>
      <c r="AL411" s="3" t="s">
        <v>2588</v>
      </c>
      <c r="AM411" s="3">
        <v>3</v>
      </c>
      <c r="AN411" s="3" t="s">
        <v>7216</v>
      </c>
      <c r="AO411" s="3" t="s">
        <v>13327</v>
      </c>
      <c r="AP411" s="7" t="s">
        <v>16082</v>
      </c>
      <c r="AQ411" s="7" t="s">
        <v>16083</v>
      </c>
      <c r="AR411" s="3" t="s">
        <v>12664</v>
      </c>
      <c r="AS411" s="7" t="s">
        <v>16084</v>
      </c>
    </row>
    <row r="412" spans="1:45" ht="12.5" hidden="1" x14ac:dyDescent="0.25">
      <c r="A412" s="3" t="s">
        <v>12652</v>
      </c>
      <c r="B412" s="21" t="str">
        <f>HYPERLINK("https://gerandofalcoes.my.salesforce.com/0014P00003YSp99QAD", "0014P00003YSp99QAD")</f>
        <v>0014P00003YSp99QAD</v>
      </c>
      <c r="C412" s="3" t="s">
        <v>10283</v>
      </c>
      <c r="D412" s="3" t="s">
        <v>46</v>
      </c>
      <c r="E412" s="21" t="str">
        <f>HYPERLINK("https://gerandofalcoes.my.salesforce.com/0034P000045kxjl", "0034P000045kxjl")</f>
        <v>0034P000045kxjl</v>
      </c>
      <c r="F412" s="3" t="s">
        <v>16085</v>
      </c>
      <c r="G412" s="3" t="s">
        <v>16086</v>
      </c>
      <c r="H412" s="3" t="s">
        <v>2538</v>
      </c>
      <c r="I412" s="3" t="s">
        <v>12654</v>
      </c>
      <c r="J412" s="3">
        <v>245</v>
      </c>
      <c r="K412" s="3" t="s">
        <v>16087</v>
      </c>
      <c r="L412" s="3" t="s">
        <v>10287</v>
      </c>
      <c r="M412" s="6">
        <v>31369</v>
      </c>
      <c r="N412" s="3">
        <v>37</v>
      </c>
      <c r="O412" s="3">
        <v>41167433</v>
      </c>
      <c r="P412" s="3">
        <v>31657650812</v>
      </c>
      <c r="S412" s="3" t="s">
        <v>3137</v>
      </c>
      <c r="T412" s="3" t="s">
        <v>12656</v>
      </c>
      <c r="U412" s="3" t="s">
        <v>62</v>
      </c>
      <c r="V412" s="3" t="s">
        <v>16088</v>
      </c>
      <c r="X412" s="3" t="s">
        <v>2980</v>
      </c>
      <c r="Y412" s="3" t="s">
        <v>12670</v>
      </c>
      <c r="Z412" s="3" t="s">
        <v>2543</v>
      </c>
      <c r="AA412" s="3" t="s">
        <v>2577</v>
      </c>
      <c r="AB412" s="3" t="s">
        <v>2545</v>
      </c>
      <c r="AC412" s="3" t="s">
        <v>16089</v>
      </c>
      <c r="AD412" s="3">
        <v>33</v>
      </c>
      <c r="AE412" s="3" t="s">
        <v>14277</v>
      </c>
      <c r="AF412" s="3" t="s">
        <v>10084</v>
      </c>
      <c r="AG412" s="3" t="s">
        <v>16090</v>
      </c>
      <c r="AH412" s="3" t="s">
        <v>16091</v>
      </c>
      <c r="AI412" s="3" t="s">
        <v>101</v>
      </c>
      <c r="AJ412" s="3" t="s">
        <v>2741</v>
      </c>
      <c r="AK412" s="3" t="s">
        <v>12661</v>
      </c>
      <c r="AL412" s="3" t="s">
        <v>2588</v>
      </c>
      <c r="AM412" s="3">
        <v>2</v>
      </c>
      <c r="AN412" s="3" t="s">
        <v>7216</v>
      </c>
      <c r="AO412" s="3"/>
      <c r="AP412" s="7" t="s">
        <v>16092</v>
      </c>
      <c r="AQ412" s="7" t="s">
        <v>16093</v>
      </c>
      <c r="AR412" s="3" t="s">
        <v>4204</v>
      </c>
      <c r="AS412" s="7" t="s">
        <v>16094</v>
      </c>
    </row>
    <row r="413" spans="1:45" ht="12.5" hidden="1" x14ac:dyDescent="0.25">
      <c r="A413" s="3" t="s">
        <v>12652</v>
      </c>
      <c r="B413" s="21" t="str">
        <f>HYPERLINK("https://gerandofalcoes.my.salesforce.com/0014P00003YSp9AQAT", "0014P00003YSp9AQAT")</f>
        <v>0014P00003YSp9AQAT</v>
      </c>
      <c r="C413" s="3" t="s">
        <v>10299</v>
      </c>
      <c r="D413" s="3" t="s">
        <v>46</v>
      </c>
      <c r="E413" s="21" t="str">
        <f>HYPERLINK("https://gerandofalcoes.my.salesforce.com/0034P000045kxjm", "0034P000045kxjm")</f>
        <v>0034P000045kxjm</v>
      </c>
      <c r="F413" s="3" t="s">
        <v>12751</v>
      </c>
      <c r="G413" s="3" t="s">
        <v>16095</v>
      </c>
      <c r="H413" s="3" t="s">
        <v>2538</v>
      </c>
      <c r="I413" s="3" t="s">
        <v>12654</v>
      </c>
      <c r="J413" s="3">
        <v>245</v>
      </c>
      <c r="K413" s="3" t="s">
        <v>10302</v>
      </c>
      <c r="L413" s="3" t="s">
        <v>10303</v>
      </c>
      <c r="M413" s="6">
        <v>27513</v>
      </c>
      <c r="N413" s="3">
        <v>47</v>
      </c>
      <c r="O413" s="3" t="s">
        <v>16096</v>
      </c>
      <c r="P413" s="3">
        <v>25034844842</v>
      </c>
      <c r="S413" s="3" t="s">
        <v>3137</v>
      </c>
      <c r="T413" s="3" t="s">
        <v>12723</v>
      </c>
      <c r="U413" s="3" t="s">
        <v>62</v>
      </c>
      <c r="V413" s="3" t="s">
        <v>16097</v>
      </c>
      <c r="X413" s="3" t="s">
        <v>2980</v>
      </c>
      <c r="Y413" s="3" t="s">
        <v>12684</v>
      </c>
      <c r="Z413" s="3" t="s">
        <v>12685</v>
      </c>
      <c r="AA413" s="3"/>
      <c r="AB413" s="3"/>
      <c r="AC413" s="3" t="s">
        <v>16098</v>
      </c>
      <c r="AD413" s="3">
        <v>56</v>
      </c>
      <c r="AE413" s="3" t="s">
        <v>10306</v>
      </c>
      <c r="AF413" s="3" t="s">
        <v>128</v>
      </c>
      <c r="AG413" s="3" t="s">
        <v>16099</v>
      </c>
      <c r="AH413" s="3" t="s">
        <v>10307</v>
      </c>
      <c r="AI413" s="3" t="s">
        <v>101</v>
      </c>
      <c r="AJ413" s="3" t="s">
        <v>2569</v>
      </c>
      <c r="AK413" s="3" t="s">
        <v>12661</v>
      </c>
      <c r="AL413" s="3" t="s">
        <v>2579</v>
      </c>
      <c r="AM413" s="3">
        <v>4</v>
      </c>
      <c r="AN413" s="3" t="s">
        <v>7216</v>
      </c>
      <c r="AO413" s="3" t="s">
        <v>16100</v>
      </c>
      <c r="AP413" s="7" t="s">
        <v>10310</v>
      </c>
      <c r="AQ413" s="7" t="s">
        <v>10311</v>
      </c>
      <c r="AR413" s="3" t="s">
        <v>12676</v>
      </c>
      <c r="AS413" s="7" t="s">
        <v>16101</v>
      </c>
    </row>
    <row r="414" spans="1:45" ht="12.5" hidden="1" x14ac:dyDescent="0.25">
      <c r="A414" s="3" t="s">
        <v>12652</v>
      </c>
      <c r="B414" s="21" t="str">
        <f>HYPERLINK("https://gerandofalcoes.my.salesforce.com/0014P00003YSp9BQAT", "0014P00003YSp9BQAT")</f>
        <v>0014P00003YSp9BQAT</v>
      </c>
      <c r="C414" s="3" t="s">
        <v>10316</v>
      </c>
      <c r="D414" s="3" t="s">
        <v>46</v>
      </c>
      <c r="E414" s="21" t="str">
        <f>HYPERLINK("https://gerandofalcoes.my.salesforce.com/0034P000045kxjn", "0034P000045kxjn")</f>
        <v>0034P000045kxjn</v>
      </c>
      <c r="F414" s="3" t="s">
        <v>13766</v>
      </c>
      <c r="G414" s="3" t="s">
        <v>16102</v>
      </c>
      <c r="H414" s="3" t="s">
        <v>2538</v>
      </c>
      <c r="I414" s="3" t="s">
        <v>12654</v>
      </c>
      <c r="J414" s="3">
        <v>245</v>
      </c>
      <c r="K414" s="3" t="s">
        <v>16103</v>
      </c>
      <c r="L414" s="3" t="s">
        <v>16104</v>
      </c>
      <c r="M414" s="6">
        <v>26802</v>
      </c>
      <c r="N414" s="3">
        <v>49</v>
      </c>
      <c r="O414" s="3">
        <v>242794294</v>
      </c>
      <c r="P414" s="3">
        <v>17056168876</v>
      </c>
      <c r="S414" s="3" t="s">
        <v>2998</v>
      </c>
      <c r="T414" s="3" t="s">
        <v>12723</v>
      </c>
      <c r="U414" s="3" t="s">
        <v>120</v>
      </c>
      <c r="V414" s="3" t="s">
        <v>16105</v>
      </c>
      <c r="X414" s="3" t="s">
        <v>2980</v>
      </c>
      <c r="Y414" s="3" t="s">
        <v>12670</v>
      </c>
      <c r="Z414" s="3" t="s">
        <v>2543</v>
      </c>
      <c r="AA414" s="3" t="s">
        <v>2544</v>
      </c>
      <c r="AB414" s="3" t="s">
        <v>2545</v>
      </c>
      <c r="AC414" s="3" t="s">
        <v>16106</v>
      </c>
      <c r="AD414" s="3">
        <v>167</v>
      </c>
      <c r="AE414" s="3" t="s">
        <v>1539</v>
      </c>
      <c r="AF414" s="3" t="s">
        <v>10321</v>
      </c>
      <c r="AG414" s="3" t="s">
        <v>16107</v>
      </c>
      <c r="AH414" s="3" t="s">
        <v>16108</v>
      </c>
      <c r="AI414" s="3" t="s">
        <v>101</v>
      </c>
      <c r="AJ414" s="3" t="s">
        <v>2741</v>
      </c>
      <c r="AK414" s="3" t="s">
        <v>16109</v>
      </c>
      <c r="AL414" s="3" t="s">
        <v>2550</v>
      </c>
      <c r="AM414" s="3">
        <v>5</v>
      </c>
      <c r="AN414" s="3" t="s">
        <v>7216</v>
      </c>
      <c r="AO414" s="3"/>
      <c r="AP414" s="3"/>
      <c r="AQ414" s="3"/>
      <c r="AR414" s="3" t="s">
        <v>12676</v>
      </c>
      <c r="AS414" s="7" t="s">
        <v>16110</v>
      </c>
    </row>
    <row r="415" spans="1:45" ht="12.5" hidden="1" x14ac:dyDescent="0.25">
      <c r="A415" s="3" t="s">
        <v>12652</v>
      </c>
      <c r="B415" s="21" t="str">
        <f>HYPERLINK("https://gerandofalcoes.my.salesforce.com/0014P00003YSp9CQAT", "0014P00003YSp9CQAT")</f>
        <v>0014P00003YSp9CQAT</v>
      </c>
      <c r="C415" s="3" t="s">
        <v>10327</v>
      </c>
      <c r="D415" s="3" t="s">
        <v>46</v>
      </c>
      <c r="E415" s="21" t="str">
        <f>HYPERLINK("https://gerandofalcoes.my.salesforce.com/0034P000045kxjo", "0034P000045kxjo")</f>
        <v>0034P000045kxjo</v>
      </c>
      <c r="F415" s="3" t="s">
        <v>16111</v>
      </c>
      <c r="G415" s="3" t="s">
        <v>16112</v>
      </c>
      <c r="H415" s="3" t="s">
        <v>2538</v>
      </c>
      <c r="I415" s="3" t="s">
        <v>12654</v>
      </c>
      <c r="J415" s="3">
        <v>245</v>
      </c>
      <c r="K415" s="3" t="s">
        <v>16113</v>
      </c>
      <c r="L415" s="3" t="s">
        <v>16114</v>
      </c>
      <c r="M415" s="6">
        <v>32508</v>
      </c>
      <c r="N415" s="3">
        <v>34</v>
      </c>
      <c r="O415" s="3">
        <v>445460866</v>
      </c>
      <c r="P415" s="3">
        <v>22843261880</v>
      </c>
      <c r="S415" s="3" t="s">
        <v>2998</v>
      </c>
      <c r="T415" s="3" t="s">
        <v>12682</v>
      </c>
      <c r="U415" s="3" t="s">
        <v>120</v>
      </c>
      <c r="V415" s="3" t="s">
        <v>16115</v>
      </c>
      <c r="X415" s="3" t="s">
        <v>2980</v>
      </c>
      <c r="Y415" s="3" t="s">
        <v>12670</v>
      </c>
      <c r="Z415" s="3" t="s">
        <v>2543</v>
      </c>
      <c r="AA415" s="3" t="s">
        <v>2577</v>
      </c>
      <c r="AB415" s="3" t="s">
        <v>2545</v>
      </c>
      <c r="AC415" s="3" t="s">
        <v>16116</v>
      </c>
      <c r="AD415" s="3">
        <v>1268</v>
      </c>
      <c r="AE415" s="3" t="s">
        <v>16117</v>
      </c>
      <c r="AF415" s="3" t="s">
        <v>891</v>
      </c>
      <c r="AG415" s="3" t="s">
        <v>8825</v>
      </c>
      <c r="AH415" s="3" t="s">
        <v>16118</v>
      </c>
      <c r="AI415" s="3" t="s">
        <v>101</v>
      </c>
      <c r="AJ415" s="3" t="s">
        <v>2569</v>
      </c>
      <c r="AK415" s="3" t="s">
        <v>12828</v>
      </c>
      <c r="AL415" s="3" t="s">
        <v>2550</v>
      </c>
      <c r="AM415" s="3">
        <v>2</v>
      </c>
      <c r="AN415" s="3" t="s">
        <v>7216</v>
      </c>
      <c r="AP415" s="3" t="s">
        <v>16119</v>
      </c>
      <c r="AQ415" s="7" t="s">
        <v>16120</v>
      </c>
      <c r="AR415" s="3" t="s">
        <v>12676</v>
      </c>
      <c r="AS415" s="7" t="s">
        <v>16121</v>
      </c>
    </row>
    <row r="416" spans="1:45" ht="12.5" hidden="1" x14ac:dyDescent="0.25">
      <c r="A416" s="3" t="s">
        <v>12652</v>
      </c>
      <c r="B416" s="21" t="str">
        <f>HYPERLINK("https://gerandofalcoes.my.salesforce.com/0014P00003YSp9EQAT", "0014P00003YSp9EQAT")</f>
        <v>0014P00003YSp9EQAT</v>
      </c>
      <c r="C416" s="3" t="s">
        <v>10343</v>
      </c>
      <c r="D416" s="3" t="s">
        <v>46</v>
      </c>
      <c r="E416" s="21" t="str">
        <f>HYPERLINK("https://gerandofalcoes.my.salesforce.com/0034P000045kxjq", "0034P000045kxjq")</f>
        <v>0034P000045kxjq</v>
      </c>
      <c r="F416" s="3" t="s">
        <v>16122</v>
      </c>
      <c r="G416" s="3" t="s">
        <v>16123</v>
      </c>
      <c r="H416" s="3" t="s">
        <v>2538</v>
      </c>
      <c r="I416" s="3" t="s">
        <v>12654</v>
      </c>
      <c r="J416" s="3">
        <v>245</v>
      </c>
      <c r="K416" s="3" t="s">
        <v>16124</v>
      </c>
      <c r="L416" s="3" t="s">
        <v>10347</v>
      </c>
      <c r="M416" s="6">
        <v>30980</v>
      </c>
      <c r="N416" s="3">
        <v>38</v>
      </c>
      <c r="O416" s="3">
        <v>484003987</v>
      </c>
      <c r="P416" s="3">
        <v>31330889800</v>
      </c>
      <c r="Q416" s="3"/>
      <c r="R416" s="3"/>
      <c r="S416" s="3" t="s">
        <v>3417</v>
      </c>
      <c r="T416" s="3" t="s">
        <v>12656</v>
      </c>
      <c r="U416" s="3" t="s">
        <v>62</v>
      </c>
      <c r="V416" s="3" t="s">
        <v>16125</v>
      </c>
      <c r="X416" s="3" t="s">
        <v>2980</v>
      </c>
      <c r="Y416" s="3" t="s">
        <v>12684</v>
      </c>
      <c r="Z416" s="3" t="s">
        <v>12685</v>
      </c>
      <c r="AA416" s="3"/>
      <c r="AB416" s="3"/>
      <c r="AC416" s="3" t="s">
        <v>16126</v>
      </c>
      <c r="AD416" s="3">
        <v>68</v>
      </c>
      <c r="AE416" s="3" t="s">
        <v>10938</v>
      </c>
      <c r="AF416" s="3" t="s">
        <v>128</v>
      </c>
      <c r="AG416" s="3" t="s">
        <v>16127</v>
      </c>
      <c r="AH416" s="3" t="s">
        <v>10350</v>
      </c>
      <c r="AI416" s="3" t="s">
        <v>101</v>
      </c>
      <c r="AJ416" s="3" t="s">
        <v>2569</v>
      </c>
      <c r="AK416" s="3" t="s">
        <v>3249</v>
      </c>
      <c r="AL416" s="3" t="s">
        <v>2550</v>
      </c>
      <c r="AM416" s="3">
        <v>2</v>
      </c>
      <c r="AN416" s="3" t="s">
        <v>7216</v>
      </c>
      <c r="AO416" s="3"/>
      <c r="AP416" s="3"/>
      <c r="AQ416" s="7" t="s">
        <v>10354</v>
      </c>
      <c r="AR416" s="3" t="s">
        <v>12664</v>
      </c>
      <c r="AS416" s="7" t="s">
        <v>16128</v>
      </c>
    </row>
    <row r="417" spans="1:45" ht="12.5" hidden="1" x14ac:dyDescent="0.25">
      <c r="A417" s="3" t="s">
        <v>12652</v>
      </c>
      <c r="B417" s="21" t="str">
        <f>HYPERLINK("https://gerandofalcoes.my.salesforce.com/0014P00003YSp9FQAT", "0014P00003YSp9FQAT")</f>
        <v>0014P00003YSp9FQAT</v>
      </c>
      <c r="C417" s="3" t="s">
        <v>10359</v>
      </c>
      <c r="D417" s="3" t="s">
        <v>46</v>
      </c>
      <c r="E417" s="21" t="str">
        <f>HYPERLINK("https://gerandofalcoes.my.salesforce.com/0034P000045kxjr", "0034P000045kxjr")</f>
        <v>0034P000045kxjr</v>
      </c>
      <c r="F417" s="3" t="s">
        <v>14363</v>
      </c>
      <c r="G417" s="3" t="s">
        <v>16129</v>
      </c>
      <c r="H417" s="3" t="s">
        <v>2538</v>
      </c>
      <c r="I417" s="3" t="s">
        <v>12654</v>
      </c>
      <c r="J417" s="3">
        <v>245</v>
      </c>
      <c r="K417" s="3" t="s">
        <v>16130</v>
      </c>
      <c r="L417" s="3" t="s">
        <v>16131</v>
      </c>
      <c r="M417" s="6">
        <v>27398</v>
      </c>
      <c r="N417" s="3">
        <v>47</v>
      </c>
      <c r="O417" s="3">
        <v>252836261</v>
      </c>
      <c r="P417" s="3">
        <v>16972547806</v>
      </c>
      <c r="Q417" s="3"/>
      <c r="S417" s="3" t="s">
        <v>3417</v>
      </c>
      <c r="T417" s="3" t="s">
        <v>12682</v>
      </c>
      <c r="U417" s="3" t="s">
        <v>120</v>
      </c>
      <c r="V417" s="3" t="s">
        <v>16132</v>
      </c>
      <c r="W417" s="3"/>
      <c r="X417" s="3" t="s">
        <v>2980</v>
      </c>
      <c r="Y417" s="3" t="s">
        <v>12670</v>
      </c>
      <c r="Z417" s="3" t="s">
        <v>2545</v>
      </c>
      <c r="AA417" s="3" t="s">
        <v>2737</v>
      </c>
      <c r="AB417" s="3" t="s">
        <v>2545</v>
      </c>
      <c r="AC417" s="3" t="s">
        <v>16133</v>
      </c>
      <c r="AD417" s="3">
        <v>81</v>
      </c>
      <c r="AE417" s="3"/>
      <c r="AF417" s="3" t="s">
        <v>104</v>
      </c>
      <c r="AG417" s="3" t="s">
        <v>16134</v>
      </c>
      <c r="AH417" s="3" t="s">
        <v>16135</v>
      </c>
      <c r="AI417" s="3" t="s">
        <v>101</v>
      </c>
      <c r="AJ417" s="3" t="s">
        <v>2741</v>
      </c>
      <c r="AK417" s="3" t="s">
        <v>12661</v>
      </c>
      <c r="AL417" s="3" t="s">
        <v>2550</v>
      </c>
      <c r="AM417" s="3">
        <v>6</v>
      </c>
      <c r="AN417" s="3" t="s">
        <v>7216</v>
      </c>
      <c r="AP417" s="7" t="s">
        <v>16136</v>
      </c>
      <c r="AQ417" s="7" t="s">
        <v>16137</v>
      </c>
      <c r="AR417" s="3" t="s">
        <v>4204</v>
      </c>
      <c r="AS417" s="7" t="s">
        <v>16138</v>
      </c>
    </row>
    <row r="418" spans="1:45" ht="12.5" hidden="1" x14ac:dyDescent="0.25">
      <c r="A418" s="3" t="s">
        <v>12652</v>
      </c>
      <c r="B418" s="21" t="str">
        <f>HYPERLINK("https://gerandofalcoes.my.salesforce.com/0014P00003YSp9HQAT", "0014P00003YSp9HQAT")</f>
        <v>0014P00003YSp9HQAT</v>
      </c>
      <c r="C418" s="3" t="s">
        <v>10378</v>
      </c>
      <c r="D418" s="3" t="s">
        <v>46</v>
      </c>
      <c r="E418" s="21" t="str">
        <f>HYPERLINK("https://gerandofalcoes.my.salesforce.com/0034P000045kxjt", "0034P000045kxjt")</f>
        <v>0034P000045kxjt</v>
      </c>
      <c r="F418" s="3" t="s">
        <v>16139</v>
      </c>
      <c r="G418" s="3" t="s">
        <v>16140</v>
      </c>
      <c r="H418" s="3" t="s">
        <v>2538</v>
      </c>
      <c r="I418" s="3" t="s">
        <v>12654</v>
      </c>
      <c r="J418" s="3">
        <v>245</v>
      </c>
      <c r="K418" s="3" t="s">
        <v>16141</v>
      </c>
      <c r="L418" s="3" t="s">
        <v>10381</v>
      </c>
      <c r="M418" s="8">
        <v>29462</v>
      </c>
      <c r="N418" s="3">
        <v>42</v>
      </c>
      <c r="O418" s="3">
        <v>372232486</v>
      </c>
      <c r="P418" s="3">
        <v>32505289867</v>
      </c>
      <c r="Q418" s="3"/>
      <c r="S418" s="3" t="s">
        <v>15607</v>
      </c>
      <c r="T418" s="3" t="s">
        <v>12682</v>
      </c>
      <c r="U418" s="3" t="s">
        <v>62</v>
      </c>
      <c r="V418" s="3" t="s">
        <v>16142</v>
      </c>
      <c r="X418" s="3" t="s">
        <v>2980</v>
      </c>
      <c r="Y418" s="3" t="s">
        <v>12684</v>
      </c>
      <c r="Z418" s="3" t="s">
        <v>12685</v>
      </c>
      <c r="AA418" s="3"/>
      <c r="AB418" s="3"/>
      <c r="AC418" s="3" t="s">
        <v>16143</v>
      </c>
      <c r="AD418" s="3">
        <v>700</v>
      </c>
      <c r="AF418" s="3" t="s">
        <v>128</v>
      </c>
      <c r="AG418" s="3" t="s">
        <v>10383</v>
      </c>
      <c r="AH418" s="3" t="s">
        <v>10384</v>
      </c>
      <c r="AI418" s="3" t="s">
        <v>101</v>
      </c>
      <c r="AJ418" s="3" t="s">
        <v>2569</v>
      </c>
      <c r="AK418" s="3" t="s">
        <v>12729</v>
      </c>
      <c r="AL418" s="3" t="s">
        <v>2588</v>
      </c>
      <c r="AM418" s="3">
        <v>4</v>
      </c>
      <c r="AN418" s="3" t="s">
        <v>7216</v>
      </c>
      <c r="AO418" s="3"/>
      <c r="AP418" s="3"/>
      <c r="AQ418" s="7" t="s">
        <v>10387</v>
      </c>
      <c r="AR418" s="3" t="s">
        <v>12676</v>
      </c>
      <c r="AS418" s="7" t="s">
        <v>16144</v>
      </c>
    </row>
    <row r="419" spans="1:45" ht="12.5" hidden="1" x14ac:dyDescent="0.25">
      <c r="A419" s="3" t="s">
        <v>12652</v>
      </c>
      <c r="B419" s="21" t="str">
        <f>HYPERLINK("https://gerandofalcoes.my.salesforce.com/0014P00003YSp9JQAT", "0014P00003YSp9JQAT")</f>
        <v>0014P00003YSp9JQAT</v>
      </c>
      <c r="C419" s="3" t="s">
        <v>10390</v>
      </c>
      <c r="D419" s="3" t="s">
        <v>46</v>
      </c>
      <c r="E419" s="21" t="str">
        <f>HYPERLINK("https://gerandofalcoes.my.salesforce.com/0034P000045kxjv", "0034P000045kxjv")</f>
        <v>0034P000045kxjv</v>
      </c>
      <c r="F419" s="3" t="s">
        <v>16145</v>
      </c>
      <c r="G419" s="3" t="s">
        <v>16146</v>
      </c>
      <c r="H419" s="3" t="s">
        <v>2538</v>
      </c>
      <c r="I419" s="3" t="s">
        <v>12654</v>
      </c>
      <c r="J419" s="3">
        <v>245</v>
      </c>
      <c r="K419" s="3" t="s">
        <v>16147</v>
      </c>
      <c r="L419" s="3" t="s">
        <v>16148</v>
      </c>
      <c r="M419" s="6">
        <v>21987</v>
      </c>
      <c r="N419" s="3">
        <v>62</v>
      </c>
      <c r="O419" s="3" t="s">
        <v>16149</v>
      </c>
      <c r="P419" s="3">
        <v>1152941801</v>
      </c>
      <c r="Q419" s="3"/>
      <c r="S419" s="3" t="s">
        <v>3137</v>
      </c>
      <c r="T419" s="3" t="s">
        <v>12723</v>
      </c>
      <c r="U419" s="3" t="s">
        <v>120</v>
      </c>
      <c r="V419" s="3" t="s">
        <v>16150</v>
      </c>
      <c r="X419" s="3" t="s">
        <v>2980</v>
      </c>
      <c r="Y419" s="3" t="s">
        <v>12670</v>
      </c>
      <c r="Z419" s="3" t="s">
        <v>2543</v>
      </c>
      <c r="AA419" s="3" t="s">
        <v>2577</v>
      </c>
      <c r="AB419" s="3" t="s">
        <v>2545</v>
      </c>
      <c r="AC419" s="3" t="s">
        <v>16151</v>
      </c>
      <c r="AD419" s="3">
        <v>55</v>
      </c>
      <c r="AE419" s="3" t="s">
        <v>16152</v>
      </c>
      <c r="AF419" s="3" t="s">
        <v>10396</v>
      </c>
      <c r="AG419" s="3" t="s">
        <v>16153</v>
      </c>
      <c r="AH419" s="3" t="s">
        <v>16154</v>
      </c>
      <c r="AI419" s="3" t="s">
        <v>101</v>
      </c>
      <c r="AJ419" s="3" t="s">
        <v>2741</v>
      </c>
      <c r="AK419" s="3" t="s">
        <v>12661</v>
      </c>
      <c r="AL419" s="3" t="s">
        <v>2550</v>
      </c>
      <c r="AM419" s="3">
        <v>1</v>
      </c>
      <c r="AN419" s="3" t="s">
        <v>7216</v>
      </c>
      <c r="AQ419" s="3" t="s">
        <v>16155</v>
      </c>
      <c r="AR419" s="3" t="s">
        <v>12676</v>
      </c>
      <c r="AS419" s="7" t="s">
        <v>16156</v>
      </c>
    </row>
    <row r="420" spans="1:45" ht="12.5" hidden="1" x14ac:dyDescent="0.25">
      <c r="A420" s="3" t="s">
        <v>12652</v>
      </c>
      <c r="B420" s="21" t="str">
        <f>HYPERLINK("https://gerandofalcoes.my.salesforce.com/0014P00003YSp9LQAT", "0014P00003YSp9LQAT")</f>
        <v>0014P00003YSp9LQAT</v>
      </c>
      <c r="C420" s="3" t="s">
        <v>10407</v>
      </c>
      <c r="D420" s="3" t="s">
        <v>46</v>
      </c>
      <c r="E420" s="21" t="str">
        <f>HYPERLINK("https://gerandofalcoes.my.salesforce.com/0034P000045kxjx", "0034P000045kxjx")</f>
        <v>0034P000045kxjx</v>
      </c>
      <c r="F420" s="3" t="s">
        <v>14624</v>
      </c>
      <c r="G420" s="3" t="s">
        <v>16157</v>
      </c>
      <c r="H420" s="3" t="s">
        <v>2538</v>
      </c>
      <c r="I420" s="3" t="s">
        <v>12654</v>
      </c>
      <c r="J420" s="3">
        <v>245</v>
      </c>
      <c r="K420" s="3" t="s">
        <v>10410</v>
      </c>
      <c r="L420" s="3" t="s">
        <v>16158</v>
      </c>
      <c r="M420" s="6">
        <v>29374</v>
      </c>
      <c r="N420" s="3">
        <v>42</v>
      </c>
      <c r="O420" s="3">
        <v>275899901</v>
      </c>
      <c r="P420" s="3">
        <v>32027536817</v>
      </c>
      <c r="Q420" s="3"/>
      <c r="S420" s="3" t="s">
        <v>2998</v>
      </c>
      <c r="T420" s="3" t="s">
        <v>12682</v>
      </c>
      <c r="U420" s="3" t="s">
        <v>62</v>
      </c>
      <c r="V420" s="3" t="s">
        <v>16159</v>
      </c>
      <c r="X420" s="3" t="s">
        <v>2980</v>
      </c>
      <c r="Y420" s="3" t="s">
        <v>12670</v>
      </c>
      <c r="Z420" s="3" t="s">
        <v>2543</v>
      </c>
      <c r="AA420" s="3" t="s">
        <v>2544</v>
      </c>
      <c r="AB420" s="3" t="s">
        <v>2545</v>
      </c>
      <c r="AC420" s="3" t="s">
        <v>16160</v>
      </c>
      <c r="AD420" s="3">
        <v>1167</v>
      </c>
      <c r="AE420" s="3"/>
      <c r="AF420" s="3" t="s">
        <v>10414</v>
      </c>
      <c r="AG420" s="3" t="s">
        <v>10413</v>
      </c>
      <c r="AH420" s="3" t="s">
        <v>10415</v>
      </c>
      <c r="AI420" s="3" t="s">
        <v>101</v>
      </c>
      <c r="AJ420" s="3" t="s">
        <v>2741</v>
      </c>
      <c r="AK420" s="3" t="s">
        <v>16161</v>
      </c>
      <c r="AL420" s="3" t="s">
        <v>2588</v>
      </c>
      <c r="AM420" s="3">
        <v>6</v>
      </c>
      <c r="AN420" s="3" t="s">
        <v>7216</v>
      </c>
      <c r="AP420" s="7" t="s">
        <v>16162</v>
      </c>
      <c r="AQ420" s="3" t="s">
        <v>16163</v>
      </c>
      <c r="AR420" s="3" t="s">
        <v>12664</v>
      </c>
      <c r="AS420" s="7" t="s">
        <v>16164</v>
      </c>
    </row>
    <row r="421" spans="1:45" ht="12.5" hidden="1" x14ac:dyDescent="0.25">
      <c r="A421" s="3" t="s">
        <v>12652</v>
      </c>
      <c r="B421" s="21" t="str">
        <f>HYPERLINK("https://gerandofalcoes.my.salesforce.com/0014P00003YSp9MQAT", "0014P00003YSp9MQAT")</f>
        <v>0014P00003YSp9MQAT</v>
      </c>
      <c r="C421" s="3" t="s">
        <v>10427</v>
      </c>
      <c r="D421" s="3" t="s">
        <v>46</v>
      </c>
      <c r="E421" s="21" t="str">
        <f>HYPERLINK("https://gerandofalcoes.my.salesforce.com/0034X0000390McC", "0034X0000390McC")</f>
        <v>0034X0000390McC</v>
      </c>
      <c r="F421" s="3" t="s">
        <v>16165</v>
      </c>
      <c r="G421" s="3" t="s">
        <v>16166</v>
      </c>
      <c r="H421" s="3" t="s">
        <v>2538</v>
      </c>
      <c r="I421" s="3" t="s">
        <v>12654</v>
      </c>
      <c r="J421" s="3">
        <v>245</v>
      </c>
      <c r="K421" s="3" t="s">
        <v>10429</v>
      </c>
      <c r="L421" s="3" t="s">
        <v>16167</v>
      </c>
      <c r="M421" s="6">
        <v>35975</v>
      </c>
      <c r="N421" s="3">
        <v>24</v>
      </c>
      <c r="O421" s="3">
        <v>395550269</v>
      </c>
      <c r="P421" s="3">
        <v>37318930885</v>
      </c>
      <c r="Q421" s="3"/>
      <c r="S421" s="3" t="s">
        <v>3137</v>
      </c>
      <c r="T421" s="3" t="s">
        <v>12682</v>
      </c>
      <c r="U421" s="3" t="s">
        <v>120</v>
      </c>
      <c r="V421" s="3" t="s">
        <v>16168</v>
      </c>
      <c r="W421" s="3" t="s">
        <v>2541</v>
      </c>
      <c r="X421" s="3"/>
      <c r="Y421" s="3" t="s">
        <v>12684</v>
      </c>
      <c r="Z421" s="3"/>
      <c r="AA421" s="3" t="s">
        <v>2544</v>
      </c>
      <c r="AB421" s="3" t="s">
        <v>2545</v>
      </c>
      <c r="AC421" s="3" t="s">
        <v>16169</v>
      </c>
      <c r="AD421" s="3">
        <v>428</v>
      </c>
      <c r="AE421" s="3"/>
      <c r="AF421" s="3" t="s">
        <v>891</v>
      </c>
      <c r="AG421" s="3" t="s">
        <v>16170</v>
      </c>
      <c r="AH421" s="3" t="s">
        <v>16171</v>
      </c>
      <c r="AI421" s="3" t="s">
        <v>101</v>
      </c>
      <c r="AJ421" s="3" t="s">
        <v>2569</v>
      </c>
      <c r="AK421" s="3"/>
      <c r="AL421" s="3" t="s">
        <v>2550</v>
      </c>
      <c r="AM421" s="3">
        <v>3</v>
      </c>
      <c r="AN421" s="3" t="s">
        <v>7216</v>
      </c>
      <c r="AO421" s="3" t="s">
        <v>16172</v>
      </c>
      <c r="AP421" s="3"/>
      <c r="AQ421" s="3"/>
      <c r="AR421" s="3" t="s">
        <v>12676</v>
      </c>
      <c r="AS421" s="3"/>
    </row>
    <row r="422" spans="1:45" ht="12.5" hidden="1" x14ac:dyDescent="0.25">
      <c r="A422" s="3" t="s">
        <v>12652</v>
      </c>
      <c r="B422" s="21" t="str">
        <f>HYPERLINK("https://gerandofalcoes.my.salesforce.com/0014P00003YSp9NQAT", "0014P00003YSp9NQAT")</f>
        <v>0014P00003YSp9NQAT</v>
      </c>
      <c r="C422" s="3" t="s">
        <v>10438</v>
      </c>
      <c r="D422" s="3" t="s">
        <v>46</v>
      </c>
      <c r="E422" s="21" t="str">
        <f>HYPERLINK("https://gerandofalcoes.my.salesforce.com/0034P000045kxjz", "0034P000045kxjz")</f>
        <v>0034P000045kxjz</v>
      </c>
      <c r="F422" s="3" t="s">
        <v>12901</v>
      </c>
      <c r="G422" s="3" t="s">
        <v>16173</v>
      </c>
      <c r="H422" s="3" t="s">
        <v>2538</v>
      </c>
      <c r="I422" s="3" t="s">
        <v>12654</v>
      </c>
      <c r="J422" s="3">
        <v>245</v>
      </c>
      <c r="K422" s="3" t="s">
        <v>16174</v>
      </c>
      <c r="L422" s="3" t="s">
        <v>16175</v>
      </c>
      <c r="M422" s="6">
        <v>28170</v>
      </c>
      <c r="N422" s="3">
        <v>45</v>
      </c>
      <c r="O422" s="3">
        <v>281654475</v>
      </c>
      <c r="P422" s="3">
        <v>25716825800</v>
      </c>
      <c r="Q422" s="3"/>
      <c r="S422" s="3" t="s">
        <v>3137</v>
      </c>
      <c r="T422" s="3" t="s">
        <v>12723</v>
      </c>
      <c r="U422" s="3" t="s">
        <v>62</v>
      </c>
      <c r="V422" s="3" t="s">
        <v>16176</v>
      </c>
      <c r="W422" s="3"/>
      <c r="X422" s="3" t="s">
        <v>2980</v>
      </c>
      <c r="Y422" s="3" t="s">
        <v>12684</v>
      </c>
      <c r="Z422" s="3" t="s">
        <v>12685</v>
      </c>
      <c r="AA422" s="3"/>
      <c r="AB422" s="3"/>
      <c r="AC422" s="3" t="s">
        <v>16177</v>
      </c>
      <c r="AD422" s="3">
        <v>201</v>
      </c>
      <c r="AE422" s="3"/>
      <c r="AF422" s="3" t="s">
        <v>10445</v>
      </c>
      <c r="AG422" s="3" t="s">
        <v>16178</v>
      </c>
      <c r="AH422" s="3" t="s">
        <v>10446</v>
      </c>
      <c r="AI422" s="3" t="s">
        <v>101</v>
      </c>
      <c r="AJ422" s="3" t="s">
        <v>2569</v>
      </c>
      <c r="AK422" s="3" t="s">
        <v>12661</v>
      </c>
      <c r="AL422" s="3" t="s">
        <v>2550</v>
      </c>
      <c r="AM422" s="3">
        <v>2</v>
      </c>
      <c r="AN422" s="3" t="s">
        <v>7216</v>
      </c>
      <c r="AO422" s="3"/>
      <c r="AP422" s="3"/>
      <c r="AQ422" s="3" t="s">
        <v>16179</v>
      </c>
      <c r="AR422" s="3" t="s">
        <v>12676</v>
      </c>
      <c r="AS422" s="7" t="s">
        <v>16180</v>
      </c>
    </row>
    <row r="423" spans="1:45" ht="12.5" hidden="1" x14ac:dyDescent="0.25">
      <c r="A423" s="3" t="s">
        <v>12652</v>
      </c>
      <c r="B423" s="21" t="str">
        <f>HYPERLINK("https://gerandofalcoes.my.salesforce.com/0014P00003YSp9OQAT", "0014P00003YSp9OQAT")</f>
        <v>0014P00003YSp9OQAT</v>
      </c>
      <c r="C423" s="3" t="s">
        <v>10457</v>
      </c>
      <c r="D423" s="3" t="s">
        <v>46</v>
      </c>
      <c r="E423" s="21" t="str">
        <f>HYPERLINK("https://gerandofalcoes.my.salesforce.com/0034P000045kxk0", "0034P000045kxk0")</f>
        <v>0034P000045kxk0</v>
      </c>
      <c r="F423" s="3" t="s">
        <v>16181</v>
      </c>
      <c r="G423" s="3" t="s">
        <v>16182</v>
      </c>
      <c r="H423" s="3" t="s">
        <v>2538</v>
      </c>
      <c r="I423" s="3" t="s">
        <v>12654</v>
      </c>
      <c r="J423" s="3">
        <v>245</v>
      </c>
      <c r="K423" s="3" t="s">
        <v>16183</v>
      </c>
      <c r="L423" s="3" t="s">
        <v>10460</v>
      </c>
      <c r="M423" s="6">
        <v>34365</v>
      </c>
      <c r="N423" s="3">
        <v>28</v>
      </c>
      <c r="O423" s="3">
        <v>436341980</v>
      </c>
      <c r="P423" s="3">
        <v>42793407810</v>
      </c>
      <c r="Q423" s="3"/>
      <c r="S423" s="3" t="s">
        <v>2998</v>
      </c>
      <c r="T423" s="3" t="s">
        <v>12656</v>
      </c>
      <c r="U423" s="3" t="s">
        <v>120</v>
      </c>
      <c r="V423" s="3" t="s">
        <v>16184</v>
      </c>
      <c r="X423" s="3" t="s">
        <v>2980</v>
      </c>
      <c r="Y423" s="3" t="s">
        <v>12658</v>
      </c>
      <c r="Z423" s="3" t="s">
        <v>2543</v>
      </c>
      <c r="AA423" s="3" t="s">
        <v>2544</v>
      </c>
      <c r="AB423" s="3" t="s">
        <v>2545</v>
      </c>
      <c r="AC423" s="3" t="s">
        <v>16185</v>
      </c>
      <c r="AD423" s="3">
        <v>631</v>
      </c>
      <c r="AE423" s="3" t="s">
        <v>1539</v>
      </c>
      <c r="AF423" s="3" t="s">
        <v>4861</v>
      </c>
      <c r="AG423" s="3" t="s">
        <v>16186</v>
      </c>
      <c r="AH423" s="3" t="s">
        <v>16187</v>
      </c>
      <c r="AI423" s="3" t="s">
        <v>101</v>
      </c>
      <c r="AJ423" s="3" t="s">
        <v>2569</v>
      </c>
      <c r="AK423" s="3" t="s">
        <v>12828</v>
      </c>
      <c r="AL423" s="3" t="s">
        <v>2579</v>
      </c>
      <c r="AM423" s="3">
        <v>5</v>
      </c>
      <c r="AN423" s="3" t="s">
        <v>14269</v>
      </c>
      <c r="AO423" s="3"/>
      <c r="AQ423" s="7" t="s">
        <v>16188</v>
      </c>
      <c r="AR423" s="3" t="s">
        <v>12664</v>
      </c>
      <c r="AS423" s="7" t="s">
        <v>16189</v>
      </c>
    </row>
    <row r="424" spans="1:45" ht="12.5" hidden="1" x14ac:dyDescent="0.25">
      <c r="A424" s="3" t="s">
        <v>12652</v>
      </c>
      <c r="B424" s="21" t="str">
        <f>HYPERLINK("https://gerandofalcoes.my.salesforce.com/0014P00003YSp9PQAT", "0014P00003YSp9PQAT")</f>
        <v>0014P00003YSp9PQAT</v>
      </c>
      <c r="C424" s="3" t="s">
        <v>10470</v>
      </c>
      <c r="D424" s="3" t="s">
        <v>46</v>
      </c>
      <c r="E424" s="21" t="str">
        <f>HYPERLINK("https://gerandofalcoes.my.salesforce.com/0034P000045kxk1", "0034P000045kxk1")</f>
        <v>0034P000045kxk1</v>
      </c>
      <c r="F424" s="3" t="s">
        <v>16190</v>
      </c>
      <c r="G424" s="3" t="s">
        <v>16191</v>
      </c>
      <c r="H424" s="3" t="s">
        <v>2538</v>
      </c>
      <c r="I424" s="3" t="s">
        <v>12654</v>
      </c>
      <c r="J424" s="3">
        <v>245</v>
      </c>
      <c r="K424" s="3" t="s">
        <v>10473</v>
      </c>
      <c r="L424" s="3" t="s">
        <v>16192</v>
      </c>
      <c r="M424" s="8">
        <v>28198</v>
      </c>
      <c r="N424" s="3">
        <v>45</v>
      </c>
      <c r="O424" s="3">
        <v>3121405165</v>
      </c>
      <c r="P424" s="3">
        <v>1936195984</v>
      </c>
      <c r="Q424" s="3"/>
      <c r="R424" s="3"/>
      <c r="S424" s="3" t="s">
        <v>3269</v>
      </c>
      <c r="T424" s="3" t="s">
        <v>12682</v>
      </c>
      <c r="U424" s="3" t="s">
        <v>62</v>
      </c>
      <c r="V424" s="3" t="s">
        <v>16193</v>
      </c>
      <c r="X424" s="3" t="s">
        <v>2980</v>
      </c>
      <c r="Y424" s="3" t="s">
        <v>12658</v>
      </c>
      <c r="Z424" s="3" t="s">
        <v>2543</v>
      </c>
      <c r="AA424" s="3" t="s">
        <v>2544</v>
      </c>
      <c r="AB424" s="3" t="s">
        <v>2543</v>
      </c>
      <c r="AC424" s="3" t="s">
        <v>10475</v>
      </c>
      <c r="AD424" s="3">
        <v>433</v>
      </c>
      <c r="AE424" s="3">
        <v>201</v>
      </c>
      <c r="AF424" s="3" t="s">
        <v>409</v>
      </c>
      <c r="AG424" s="3" t="s">
        <v>10476</v>
      </c>
      <c r="AH424" s="3" t="s">
        <v>16194</v>
      </c>
      <c r="AI424" s="3" t="s">
        <v>407</v>
      </c>
      <c r="AJ424" s="3" t="s">
        <v>2741</v>
      </c>
      <c r="AK424" s="3" t="s">
        <v>3249</v>
      </c>
      <c r="AL424" s="3" t="s">
        <v>2588</v>
      </c>
      <c r="AM424" s="3">
        <v>2</v>
      </c>
      <c r="AN424" s="3" t="s">
        <v>14269</v>
      </c>
      <c r="AO424" s="3" t="s">
        <v>14516</v>
      </c>
      <c r="AP424" s="3" t="s">
        <v>120</v>
      </c>
      <c r="AQ424" s="7" t="s">
        <v>16195</v>
      </c>
      <c r="AR424" s="3" t="s">
        <v>12676</v>
      </c>
      <c r="AS424" s="7" t="s">
        <v>16196</v>
      </c>
    </row>
    <row r="425" spans="1:45" ht="12.5" hidden="1" x14ac:dyDescent="0.25">
      <c r="A425" s="3" t="s">
        <v>12652</v>
      </c>
      <c r="B425" s="21" t="str">
        <f>HYPERLINK("https://gerandofalcoes.my.salesforce.com/0014P00003YSp9RQAT", "0014P00003YSp9RQAT")</f>
        <v>0014P00003YSp9RQAT</v>
      </c>
      <c r="C425" s="3" t="s">
        <v>10486</v>
      </c>
      <c r="D425" s="3" t="s">
        <v>46</v>
      </c>
      <c r="E425" s="21" t="str">
        <f>HYPERLINK("https://gerandofalcoes.my.salesforce.com/0034P000045kxk3", "0034P000045kxk3")</f>
        <v>0034P000045kxk3</v>
      </c>
      <c r="F425" s="3" t="s">
        <v>3401</v>
      </c>
      <c r="G425" s="3" t="s">
        <v>10487</v>
      </c>
      <c r="H425" s="3" t="s">
        <v>2538</v>
      </c>
      <c r="I425" s="3" t="s">
        <v>12654</v>
      </c>
      <c r="J425" s="3">
        <v>245</v>
      </c>
      <c r="K425" s="3" t="s">
        <v>16197</v>
      </c>
      <c r="L425" s="3" t="s">
        <v>16198</v>
      </c>
      <c r="M425" s="6">
        <v>35342</v>
      </c>
      <c r="N425" s="3">
        <v>26</v>
      </c>
      <c r="O425" s="3">
        <v>458820842</v>
      </c>
      <c r="P425" s="3">
        <v>37963323829</v>
      </c>
      <c r="Q425" s="3"/>
      <c r="R425" s="3"/>
      <c r="S425" s="3" t="s">
        <v>3269</v>
      </c>
      <c r="T425" s="3" t="s">
        <v>12682</v>
      </c>
      <c r="U425" s="3" t="s">
        <v>120</v>
      </c>
      <c r="V425" s="3" t="s">
        <v>16199</v>
      </c>
      <c r="X425" s="3" t="s">
        <v>2980</v>
      </c>
      <c r="Y425" s="3" t="s">
        <v>12670</v>
      </c>
      <c r="Z425" s="3" t="s">
        <v>2545</v>
      </c>
      <c r="AA425" s="3" t="s">
        <v>2577</v>
      </c>
      <c r="AB425" s="3" t="s">
        <v>2545</v>
      </c>
      <c r="AC425" s="3" t="s">
        <v>16200</v>
      </c>
      <c r="AD425" s="3">
        <v>224</v>
      </c>
      <c r="AE425" s="3">
        <v>24</v>
      </c>
      <c r="AF425" s="3" t="s">
        <v>393</v>
      </c>
      <c r="AG425" s="3" t="s">
        <v>647</v>
      </c>
      <c r="AH425" s="3" t="s">
        <v>8324</v>
      </c>
      <c r="AI425" s="3" t="s">
        <v>101</v>
      </c>
      <c r="AJ425" s="3" t="s">
        <v>2569</v>
      </c>
      <c r="AK425" s="3" t="s">
        <v>3249</v>
      </c>
      <c r="AL425" s="3" t="s">
        <v>2588</v>
      </c>
      <c r="AM425" s="3">
        <v>1</v>
      </c>
      <c r="AN425" s="3" t="s">
        <v>7216</v>
      </c>
      <c r="AO425" s="3"/>
      <c r="AP425" s="3"/>
      <c r="AQ425" s="7" t="s">
        <v>16201</v>
      </c>
      <c r="AR425" s="3" t="s">
        <v>12676</v>
      </c>
      <c r="AS425" s="7" t="s">
        <v>16202</v>
      </c>
    </row>
    <row r="426" spans="1:45" ht="12.5" hidden="1" x14ac:dyDescent="0.25">
      <c r="A426" s="3" t="s">
        <v>12652</v>
      </c>
      <c r="B426" s="21" t="str">
        <f>HYPERLINK("https://gerandofalcoes.my.salesforce.com/0014P00003YSp9SQAT", "0014P00003YSp9SQAT")</f>
        <v>0014P00003YSp9SQAT</v>
      </c>
      <c r="C426" s="3" t="s">
        <v>10499</v>
      </c>
      <c r="D426" s="3" t="s">
        <v>46</v>
      </c>
      <c r="E426" s="21" t="str">
        <f>HYPERLINK("https://gerandofalcoes.my.salesforce.com/0034P000045kxk4", "0034P000045kxk4")</f>
        <v>0034P000045kxk4</v>
      </c>
      <c r="F426" s="3" t="s">
        <v>2936</v>
      </c>
      <c r="G426" s="3" t="s">
        <v>16203</v>
      </c>
      <c r="H426" s="3" t="s">
        <v>2538</v>
      </c>
      <c r="I426" s="3" t="s">
        <v>12654</v>
      </c>
      <c r="J426" s="3">
        <v>245</v>
      </c>
      <c r="K426" s="3" t="s">
        <v>16204</v>
      </c>
      <c r="L426" s="3" t="s">
        <v>16205</v>
      </c>
      <c r="M426" s="8">
        <v>29164</v>
      </c>
      <c r="N426" s="3">
        <v>43</v>
      </c>
      <c r="O426" s="3" t="s">
        <v>16206</v>
      </c>
      <c r="P426" s="3">
        <v>22731734825</v>
      </c>
      <c r="Q426" s="3"/>
      <c r="S426" s="3" t="s">
        <v>2998</v>
      </c>
      <c r="T426" s="3" t="s">
        <v>12682</v>
      </c>
      <c r="U426" s="3" t="s">
        <v>120</v>
      </c>
      <c r="V426" s="3" t="s">
        <v>16207</v>
      </c>
      <c r="X426" s="3" t="s">
        <v>2980</v>
      </c>
      <c r="Y426" s="3" t="s">
        <v>14275</v>
      </c>
      <c r="Z426" s="3" t="s">
        <v>12685</v>
      </c>
      <c r="AA426" s="3"/>
      <c r="AB426" s="3"/>
      <c r="AC426" s="3" t="s">
        <v>16208</v>
      </c>
      <c r="AD426" s="3" t="s">
        <v>16209</v>
      </c>
      <c r="AE426" s="3"/>
      <c r="AF426" s="3" t="s">
        <v>10506</v>
      </c>
      <c r="AG426" s="3" t="s">
        <v>16210</v>
      </c>
      <c r="AH426" s="3" t="s">
        <v>10507</v>
      </c>
      <c r="AI426" s="3" t="s">
        <v>101</v>
      </c>
      <c r="AJ426" s="3" t="s">
        <v>2569</v>
      </c>
      <c r="AK426" s="3" t="s">
        <v>12828</v>
      </c>
      <c r="AL426" s="3" t="s">
        <v>2550</v>
      </c>
      <c r="AM426" s="3">
        <v>4</v>
      </c>
      <c r="AN426" s="3" t="s">
        <v>7216</v>
      </c>
      <c r="AP426" s="3"/>
      <c r="AQ426" s="7" t="s">
        <v>16211</v>
      </c>
      <c r="AR426" s="3" t="s">
        <v>12664</v>
      </c>
      <c r="AS426" s="7" t="s">
        <v>16212</v>
      </c>
    </row>
    <row r="427" spans="1:45" ht="12.5" hidden="1" x14ac:dyDescent="0.25">
      <c r="A427" s="3" t="s">
        <v>12652</v>
      </c>
      <c r="B427" s="21" t="str">
        <f>HYPERLINK("https://gerandofalcoes.my.salesforce.com/0014P00003YSp9TQAT", "0014P00003YSp9TQAT")</f>
        <v>0014P00003YSp9TQAT</v>
      </c>
      <c r="C427" s="3" t="s">
        <v>10511</v>
      </c>
      <c r="D427" s="3" t="s">
        <v>46</v>
      </c>
      <c r="E427" s="21" t="str">
        <f>HYPERLINK("https://gerandofalcoes.my.salesforce.com/0034P000045kxk5", "0034P000045kxk5")</f>
        <v>0034P000045kxk5</v>
      </c>
      <c r="F427" s="3" t="s">
        <v>16213</v>
      </c>
      <c r="G427" s="3" t="s">
        <v>14879</v>
      </c>
      <c r="H427" s="3" t="s">
        <v>2538</v>
      </c>
      <c r="I427" s="3" t="s">
        <v>12654</v>
      </c>
      <c r="J427" s="3">
        <v>245</v>
      </c>
      <c r="K427" s="3" t="s">
        <v>16214</v>
      </c>
      <c r="L427" s="3" t="s">
        <v>16215</v>
      </c>
      <c r="M427" s="6">
        <v>31183</v>
      </c>
      <c r="N427" s="3">
        <v>37</v>
      </c>
      <c r="O427" s="3">
        <v>324415011</v>
      </c>
      <c r="P427" s="3">
        <v>31906991863</v>
      </c>
      <c r="Q427" s="3"/>
      <c r="R427" s="3"/>
      <c r="S427" s="3" t="s">
        <v>3137</v>
      </c>
      <c r="T427" s="3" t="s">
        <v>12682</v>
      </c>
      <c r="U427" s="3" t="s">
        <v>120</v>
      </c>
      <c r="V427" s="3" t="s">
        <v>16216</v>
      </c>
      <c r="X427" s="3" t="s">
        <v>2980</v>
      </c>
      <c r="Y427" s="3" t="s">
        <v>12670</v>
      </c>
      <c r="Z427" s="3" t="s">
        <v>2543</v>
      </c>
      <c r="AA427" s="3" t="s">
        <v>2544</v>
      </c>
      <c r="AB427" s="3" t="s">
        <v>2545</v>
      </c>
      <c r="AC427" s="3" t="s">
        <v>16217</v>
      </c>
      <c r="AD427" s="3">
        <v>401</v>
      </c>
      <c r="AE427" s="3" t="s">
        <v>1539</v>
      </c>
      <c r="AF427" s="3" t="s">
        <v>10518</v>
      </c>
      <c r="AG427" s="3" t="s">
        <v>16218</v>
      </c>
      <c r="AH427" s="3" t="s">
        <v>10520</v>
      </c>
      <c r="AI427" s="3" t="s">
        <v>101</v>
      </c>
      <c r="AJ427" s="3" t="s">
        <v>2741</v>
      </c>
      <c r="AK427" s="3" t="s">
        <v>12661</v>
      </c>
      <c r="AL427" s="3" t="s">
        <v>2550</v>
      </c>
      <c r="AM427" s="3">
        <v>3</v>
      </c>
      <c r="AN427" s="3" t="s">
        <v>7216</v>
      </c>
      <c r="AP427" s="3"/>
      <c r="AQ427" s="3"/>
      <c r="AR427" s="3" t="s">
        <v>12664</v>
      </c>
      <c r="AS427" s="7" t="s">
        <v>16219</v>
      </c>
    </row>
    <row r="428" spans="1:45" ht="12.5" hidden="1" x14ac:dyDescent="0.25">
      <c r="A428" s="3" t="s">
        <v>12652</v>
      </c>
      <c r="B428" s="21" t="str">
        <f>HYPERLINK("https://gerandofalcoes.my.salesforce.com/0014P00003YSp9UQAT", "0014P00003YSp9UQAT")</f>
        <v>0014P00003YSp9UQAT</v>
      </c>
      <c r="C428" s="3" t="s">
        <v>10528</v>
      </c>
      <c r="D428" s="3" t="s">
        <v>46</v>
      </c>
      <c r="E428" s="21" t="str">
        <f>HYPERLINK("https://gerandofalcoes.my.salesforce.com/0034P000045kxk6", "0034P000045kxk6")</f>
        <v>0034P000045kxk6</v>
      </c>
      <c r="F428" s="3" t="s">
        <v>3219</v>
      </c>
      <c r="G428" s="3" t="s">
        <v>16220</v>
      </c>
      <c r="H428" s="3" t="s">
        <v>2538</v>
      </c>
      <c r="I428" s="3" t="s">
        <v>12654</v>
      </c>
      <c r="J428" s="3">
        <v>245</v>
      </c>
      <c r="K428" s="3" t="s">
        <v>16221</v>
      </c>
      <c r="L428" s="3" t="s">
        <v>10532</v>
      </c>
      <c r="M428" s="6">
        <v>28633</v>
      </c>
      <c r="N428" s="3">
        <v>44</v>
      </c>
      <c r="O428" s="3">
        <v>538263076</v>
      </c>
      <c r="P428" s="3">
        <v>2923001400</v>
      </c>
      <c r="Q428" s="3"/>
      <c r="S428" s="3" t="s">
        <v>3137</v>
      </c>
      <c r="T428" s="3" t="s">
        <v>12682</v>
      </c>
      <c r="U428" s="3" t="s">
        <v>120</v>
      </c>
      <c r="V428" s="3" t="s">
        <v>16222</v>
      </c>
      <c r="X428" s="3" t="s">
        <v>2980</v>
      </c>
      <c r="Y428" s="3" t="s">
        <v>12670</v>
      </c>
      <c r="Z428" s="3" t="s">
        <v>2543</v>
      </c>
      <c r="AA428" s="3" t="s">
        <v>2577</v>
      </c>
      <c r="AB428" s="3" t="s">
        <v>2545</v>
      </c>
      <c r="AC428" s="3" t="s">
        <v>16223</v>
      </c>
      <c r="AD428" s="3">
        <v>651</v>
      </c>
      <c r="AE428" s="3" t="s">
        <v>10535</v>
      </c>
      <c r="AF428" s="3" t="s">
        <v>10445</v>
      </c>
      <c r="AG428" s="3" t="s">
        <v>16224</v>
      </c>
      <c r="AH428" s="3" t="s">
        <v>16225</v>
      </c>
      <c r="AI428" s="3" t="s">
        <v>101</v>
      </c>
      <c r="AJ428" s="3" t="s">
        <v>2569</v>
      </c>
      <c r="AK428" s="3" t="s">
        <v>12661</v>
      </c>
      <c r="AL428" s="3" t="s">
        <v>2550</v>
      </c>
      <c r="AM428" s="3">
        <v>3</v>
      </c>
      <c r="AN428" s="3" t="s">
        <v>7216</v>
      </c>
      <c r="AP428" s="7" t="s">
        <v>16226</v>
      </c>
      <c r="AQ428" s="7" t="s">
        <v>10542</v>
      </c>
      <c r="AR428" s="3" t="s">
        <v>4204</v>
      </c>
      <c r="AS428" s="7" t="s">
        <v>16227</v>
      </c>
    </row>
    <row r="429" spans="1:45" ht="12.5" hidden="1" x14ac:dyDescent="0.25">
      <c r="A429" s="3" t="s">
        <v>12652</v>
      </c>
      <c r="B429" s="21" t="str">
        <f>HYPERLINK("https://gerandofalcoes.my.salesforce.com/0014P00003YSp9WQAT", "0014P00003YSp9WQAT")</f>
        <v>0014P00003YSp9WQAT</v>
      </c>
      <c r="C429" s="3" t="s">
        <v>10547</v>
      </c>
      <c r="D429" s="3" t="s">
        <v>46</v>
      </c>
      <c r="E429" s="21" t="str">
        <f>HYPERLINK("https://gerandofalcoes.my.salesforce.com/0034P000045kxk8", "0034P000045kxk8")</f>
        <v>0034P000045kxk8</v>
      </c>
      <c r="F429" s="3" t="s">
        <v>2936</v>
      </c>
      <c r="G429" s="3" t="s">
        <v>16228</v>
      </c>
      <c r="H429" s="3" t="s">
        <v>2538</v>
      </c>
      <c r="I429" s="3" t="s">
        <v>12654</v>
      </c>
      <c r="J429" s="3">
        <v>245</v>
      </c>
      <c r="K429" s="3" t="s">
        <v>10550</v>
      </c>
      <c r="L429" s="3" t="s">
        <v>16229</v>
      </c>
      <c r="M429" s="6">
        <v>35267</v>
      </c>
      <c r="N429" s="3">
        <v>26</v>
      </c>
      <c r="O429" s="3">
        <v>453787599</v>
      </c>
      <c r="P429" s="3">
        <v>44709525838</v>
      </c>
      <c r="Q429" s="3"/>
      <c r="S429" s="3" t="s">
        <v>2998</v>
      </c>
      <c r="T429" s="3" t="s">
        <v>12656</v>
      </c>
      <c r="U429" s="3" t="s">
        <v>62</v>
      </c>
      <c r="V429" s="3" t="s">
        <v>16230</v>
      </c>
      <c r="X429" s="3" t="s">
        <v>2980</v>
      </c>
      <c r="Y429" s="3" t="s">
        <v>12670</v>
      </c>
      <c r="Z429" s="3" t="s">
        <v>2543</v>
      </c>
      <c r="AA429" s="3" t="s">
        <v>2544</v>
      </c>
      <c r="AB429" s="3" t="s">
        <v>2545</v>
      </c>
      <c r="AC429" s="3" t="s">
        <v>16231</v>
      </c>
      <c r="AD429" s="3">
        <v>11</v>
      </c>
      <c r="AE429" s="3" t="s">
        <v>15913</v>
      </c>
      <c r="AF429" s="3" t="s">
        <v>10554</v>
      </c>
      <c r="AG429" s="3" t="s">
        <v>10553</v>
      </c>
      <c r="AH429" s="3" t="s">
        <v>16232</v>
      </c>
      <c r="AI429" s="3" t="s">
        <v>101</v>
      </c>
      <c r="AJ429" s="3" t="s">
        <v>2569</v>
      </c>
      <c r="AK429" s="3" t="s">
        <v>3249</v>
      </c>
      <c r="AL429" s="3" t="s">
        <v>2588</v>
      </c>
      <c r="AM429" s="3">
        <v>1</v>
      </c>
      <c r="AN429" s="3" t="s">
        <v>7216</v>
      </c>
      <c r="AP429" s="7" t="s">
        <v>16233</v>
      </c>
      <c r="AQ429" s="7" t="s">
        <v>16234</v>
      </c>
      <c r="AR429" s="3" t="s">
        <v>12664</v>
      </c>
      <c r="AS429" s="7" t="s">
        <v>16235</v>
      </c>
    </row>
    <row r="430" spans="1:45" ht="12.5" hidden="1" x14ac:dyDescent="0.25">
      <c r="A430" s="3" t="s">
        <v>12652</v>
      </c>
      <c r="B430" s="21" t="str">
        <f>HYPERLINK("https://gerandofalcoes.my.salesforce.com/0014P00003YSp9XQAT", "0014P00003YSp9XQAT")</f>
        <v>0014P00003YSp9XQAT</v>
      </c>
      <c r="C430" s="3" t="s">
        <v>10563</v>
      </c>
      <c r="D430" s="3" t="s">
        <v>46</v>
      </c>
      <c r="E430" s="21" t="str">
        <f>HYPERLINK("https://gerandofalcoes.my.salesforce.com/0034P000045kxk9", "0034P000045kxk9")</f>
        <v>0034P000045kxk9</v>
      </c>
      <c r="F430" s="3" t="s">
        <v>16236</v>
      </c>
      <c r="G430" s="3" t="s">
        <v>16237</v>
      </c>
      <c r="H430" s="3" t="s">
        <v>16238</v>
      </c>
      <c r="I430" s="3" t="s">
        <v>12654</v>
      </c>
      <c r="J430" s="3">
        <v>245</v>
      </c>
      <c r="K430" s="3" t="s">
        <v>16239</v>
      </c>
      <c r="L430" s="3">
        <v>19998014293</v>
      </c>
      <c r="M430" s="6">
        <v>34773</v>
      </c>
      <c r="N430" s="3">
        <v>27</v>
      </c>
      <c r="O430" s="3">
        <v>459782393</v>
      </c>
      <c r="P430" s="3">
        <v>42283198828</v>
      </c>
      <c r="Q430" s="3"/>
      <c r="R430" s="3"/>
      <c r="S430" s="3" t="s">
        <v>3269</v>
      </c>
      <c r="T430" s="3" t="s">
        <v>12656</v>
      </c>
      <c r="U430" s="3" t="s">
        <v>62</v>
      </c>
      <c r="V430" s="3" t="s">
        <v>16240</v>
      </c>
      <c r="X430" s="3"/>
      <c r="Y430" s="3" t="s">
        <v>12658</v>
      </c>
      <c r="Z430" s="3" t="s">
        <v>2543</v>
      </c>
      <c r="AA430" s="3" t="s">
        <v>2544</v>
      </c>
      <c r="AB430" s="3" t="s">
        <v>2545</v>
      </c>
      <c r="AC430" s="3" t="s">
        <v>16241</v>
      </c>
      <c r="AD430" s="3">
        <v>171</v>
      </c>
      <c r="AE430" s="3"/>
      <c r="AF430" s="3" t="s">
        <v>10570</v>
      </c>
      <c r="AG430" s="3" t="s">
        <v>16242</v>
      </c>
      <c r="AH430" s="3">
        <v>13802294</v>
      </c>
      <c r="AI430" s="3" t="s">
        <v>101</v>
      </c>
      <c r="AJ430" s="3"/>
      <c r="AK430" s="3"/>
      <c r="AL430" s="3"/>
      <c r="AM430" s="3"/>
      <c r="AN430" s="3" t="s">
        <v>7216</v>
      </c>
      <c r="AP430" s="7" t="s">
        <v>16243</v>
      </c>
      <c r="AQ430" s="7" t="s">
        <v>16244</v>
      </c>
      <c r="AR430" s="3"/>
      <c r="AS430" s="7" t="s">
        <v>16245</v>
      </c>
    </row>
    <row r="431" spans="1:45" ht="12.5" hidden="1" x14ac:dyDescent="0.25">
      <c r="A431" s="3" t="s">
        <v>12652</v>
      </c>
      <c r="B431" s="21" t="str">
        <f>HYPERLINK("https://gerandofalcoes.my.salesforce.com/0014P00003YSp9YQAT", "0014P00003YSp9YQAT")</f>
        <v>0014P00003YSp9YQAT</v>
      </c>
      <c r="C431" s="3" t="s">
        <v>10582</v>
      </c>
      <c r="D431" s="3" t="s">
        <v>46</v>
      </c>
      <c r="E431" s="21" t="str">
        <f>HYPERLINK("https://gerandofalcoes.my.salesforce.com/0034P000045kxkA", "0034P000045kxkA")</f>
        <v>0034P000045kxkA</v>
      </c>
      <c r="F431" s="3" t="s">
        <v>16246</v>
      </c>
      <c r="G431" s="3" t="s">
        <v>16247</v>
      </c>
      <c r="H431" s="3" t="s">
        <v>2538</v>
      </c>
      <c r="I431" s="3" t="s">
        <v>12654</v>
      </c>
      <c r="J431" s="3">
        <v>245</v>
      </c>
      <c r="K431" s="3" t="s">
        <v>10585</v>
      </c>
      <c r="L431" s="3" t="s">
        <v>10586</v>
      </c>
      <c r="M431" s="8">
        <v>26795</v>
      </c>
      <c r="N431" s="3">
        <v>49</v>
      </c>
      <c r="O431" s="3">
        <v>243711220</v>
      </c>
      <c r="P431" s="3">
        <v>14500765808</v>
      </c>
      <c r="Q431" s="3"/>
      <c r="S431" s="3" t="s">
        <v>3269</v>
      </c>
      <c r="T431" s="3" t="s">
        <v>12656</v>
      </c>
      <c r="U431" s="3" t="s">
        <v>62</v>
      </c>
      <c r="V431" s="3" t="s">
        <v>16248</v>
      </c>
      <c r="X431" s="3" t="s">
        <v>2980</v>
      </c>
      <c r="Y431" s="3" t="s">
        <v>12670</v>
      </c>
      <c r="Z431" s="3" t="s">
        <v>2543</v>
      </c>
      <c r="AA431" s="3" t="s">
        <v>2577</v>
      </c>
      <c r="AB431" s="3" t="s">
        <v>2545</v>
      </c>
      <c r="AC431" s="3" t="s">
        <v>10587</v>
      </c>
      <c r="AD431" s="3">
        <v>250</v>
      </c>
      <c r="AE431" s="3" t="s">
        <v>16249</v>
      </c>
      <c r="AF431" s="3" t="s">
        <v>10588</v>
      </c>
      <c r="AG431" s="3" t="s">
        <v>5642</v>
      </c>
      <c r="AH431" s="3" t="s">
        <v>16250</v>
      </c>
      <c r="AI431" s="3" t="s">
        <v>101</v>
      </c>
      <c r="AJ431" s="3" t="s">
        <v>2548</v>
      </c>
      <c r="AK431" s="3" t="s">
        <v>12661</v>
      </c>
      <c r="AL431" s="3" t="s">
        <v>2550</v>
      </c>
      <c r="AM431" s="3">
        <v>3</v>
      </c>
      <c r="AN431" s="3" t="s">
        <v>7216</v>
      </c>
      <c r="AO431" s="3" t="s">
        <v>15679</v>
      </c>
      <c r="AP431" s="3" t="s">
        <v>15680</v>
      </c>
      <c r="AQ431" s="3" t="s">
        <v>15680</v>
      </c>
      <c r="AR431" s="3" t="s">
        <v>12676</v>
      </c>
      <c r="AS431" s="7" t="s">
        <v>16251</v>
      </c>
    </row>
    <row r="432" spans="1:45" ht="12.5" hidden="1" x14ac:dyDescent="0.25">
      <c r="A432" s="3" t="s">
        <v>12652</v>
      </c>
      <c r="B432" s="21" t="str">
        <f>HYPERLINK("https://gerandofalcoes.my.salesforce.com/0014P00003YSp9ZQAT", "0014P00003YSp9ZQAT")</f>
        <v>0014P00003YSp9ZQAT</v>
      </c>
      <c r="C432" s="3" t="s">
        <v>10601</v>
      </c>
      <c r="D432" s="3" t="s">
        <v>46</v>
      </c>
      <c r="E432" s="21" t="str">
        <f>HYPERLINK("https://gerandofalcoes.my.salesforce.com/0034P000045kxkB", "0034P000045kxkB")</f>
        <v>0034P000045kxkB</v>
      </c>
      <c r="F432" s="3" t="s">
        <v>3161</v>
      </c>
      <c r="G432" s="3" t="s">
        <v>16252</v>
      </c>
      <c r="H432" s="3" t="s">
        <v>12704</v>
      </c>
      <c r="I432" s="3" t="s">
        <v>12654</v>
      </c>
      <c r="J432" s="3">
        <v>245</v>
      </c>
      <c r="K432" s="3" t="s">
        <v>16253</v>
      </c>
      <c r="L432" s="3">
        <v>11997132649</v>
      </c>
      <c r="M432" s="6">
        <v>25545</v>
      </c>
      <c r="N432" s="3">
        <v>53</v>
      </c>
      <c r="O432" s="3">
        <v>195822745</v>
      </c>
      <c r="P432" s="3">
        <v>8630444870</v>
      </c>
      <c r="Q432" s="3"/>
      <c r="S432" s="3" t="s">
        <v>2998</v>
      </c>
      <c r="T432" s="3" t="s">
        <v>12723</v>
      </c>
      <c r="U432" s="3" t="s">
        <v>62</v>
      </c>
      <c r="V432" s="3" t="s">
        <v>16254</v>
      </c>
      <c r="X432" s="3"/>
      <c r="Y432" s="3" t="s">
        <v>12658</v>
      </c>
      <c r="Z432" s="3" t="s">
        <v>2545</v>
      </c>
      <c r="AA432" s="3" t="s">
        <v>2577</v>
      </c>
      <c r="AB432" s="3" t="s">
        <v>2545</v>
      </c>
      <c r="AC432" s="3" t="s">
        <v>16255</v>
      </c>
      <c r="AD432" s="3">
        <v>18</v>
      </c>
      <c r="AE432" s="3"/>
      <c r="AF432" s="3" t="s">
        <v>10607</v>
      </c>
      <c r="AG432" s="3" t="s">
        <v>16256</v>
      </c>
      <c r="AH432" s="3">
        <v>3386150</v>
      </c>
      <c r="AI432" s="3" t="s">
        <v>101</v>
      </c>
      <c r="AJ432" s="3"/>
      <c r="AK432" s="3"/>
      <c r="AL432" s="3"/>
      <c r="AM432" s="3"/>
      <c r="AN432" s="3" t="s">
        <v>12794</v>
      </c>
      <c r="AO432" s="3"/>
      <c r="AP432" s="3"/>
      <c r="AQ432" s="7" t="s">
        <v>16257</v>
      </c>
      <c r="AR432" s="3"/>
      <c r="AS432" s="7" t="s">
        <v>16258</v>
      </c>
    </row>
    <row r="433" spans="1:45" ht="12.5" hidden="1" x14ac:dyDescent="0.25">
      <c r="A433" s="3" t="s">
        <v>12652</v>
      </c>
      <c r="B433" s="21" t="str">
        <f>HYPERLINK("https://gerandofalcoes.my.salesforce.com/0014P00003YSp9aQAD", "0014P00003YSp9aQAD")</f>
        <v>0014P00003YSp9aQAD</v>
      </c>
      <c r="C433" s="3" t="s">
        <v>10609</v>
      </c>
      <c r="D433" s="3" t="s">
        <v>46</v>
      </c>
      <c r="E433" s="21" t="str">
        <f>HYPERLINK("https://gerandofalcoes.my.salesforce.com/0034P000045kxkC", "0034P000045kxkC")</f>
        <v>0034P000045kxkC</v>
      </c>
      <c r="F433" s="3" t="s">
        <v>14948</v>
      </c>
      <c r="G433" s="3" t="s">
        <v>16259</v>
      </c>
      <c r="H433" s="3" t="s">
        <v>2538</v>
      </c>
      <c r="I433" s="3" t="s">
        <v>12654</v>
      </c>
      <c r="J433" s="3">
        <v>245</v>
      </c>
      <c r="K433" s="3" t="s">
        <v>16260</v>
      </c>
      <c r="L433" s="3" t="s">
        <v>16261</v>
      </c>
      <c r="M433" s="6">
        <v>30381</v>
      </c>
      <c r="N433" s="3">
        <v>39</v>
      </c>
      <c r="O433" s="3">
        <v>420267657</v>
      </c>
      <c r="P433" s="3">
        <v>31307933807</v>
      </c>
      <c r="Q433" s="3"/>
      <c r="R433" s="3"/>
      <c r="S433" s="3" t="s">
        <v>3137</v>
      </c>
      <c r="T433" s="3" t="s">
        <v>12682</v>
      </c>
      <c r="U433" s="3" t="s">
        <v>120</v>
      </c>
      <c r="V433" s="3" t="s">
        <v>16262</v>
      </c>
      <c r="W433" s="3"/>
      <c r="X433" s="3" t="s">
        <v>2980</v>
      </c>
      <c r="Y433" s="3" t="s">
        <v>12670</v>
      </c>
      <c r="Z433" s="3" t="s">
        <v>2545</v>
      </c>
      <c r="AA433" s="3" t="s">
        <v>2544</v>
      </c>
      <c r="AB433" s="3" t="s">
        <v>2545</v>
      </c>
      <c r="AC433" s="3" t="s">
        <v>16263</v>
      </c>
      <c r="AD433" s="3">
        <v>55</v>
      </c>
      <c r="AF433" s="3" t="s">
        <v>10240</v>
      </c>
      <c r="AG433" s="3" t="s">
        <v>16264</v>
      </c>
      <c r="AH433" s="3" t="s">
        <v>16265</v>
      </c>
      <c r="AI433" s="3" t="s">
        <v>101</v>
      </c>
      <c r="AJ433" s="3" t="s">
        <v>2569</v>
      </c>
      <c r="AK433" s="3" t="s">
        <v>3249</v>
      </c>
      <c r="AL433" s="3" t="s">
        <v>2588</v>
      </c>
      <c r="AM433" s="3">
        <v>4</v>
      </c>
      <c r="AN433" s="3" t="s">
        <v>7216</v>
      </c>
      <c r="AQ433" s="7" t="s">
        <v>10620</v>
      </c>
      <c r="AR433" s="3" t="s">
        <v>12676</v>
      </c>
      <c r="AS433" s="7" t="s">
        <v>16266</v>
      </c>
    </row>
    <row r="434" spans="1:45" ht="12.5" hidden="1" x14ac:dyDescent="0.25">
      <c r="A434" s="3" t="s">
        <v>12652</v>
      </c>
      <c r="B434" s="21" t="str">
        <f>HYPERLINK("https://gerandofalcoes.my.salesforce.com/0014P00003YSp9bQAD", "0014P00003YSp9bQAD")</f>
        <v>0014P00003YSp9bQAD</v>
      </c>
      <c r="C434" s="3" t="s">
        <v>10623</v>
      </c>
      <c r="D434" s="3" t="s">
        <v>46</v>
      </c>
      <c r="E434" s="21" t="str">
        <f>HYPERLINK("https://gerandofalcoes.my.salesforce.com/0034P000045kxkD", "0034P000045kxkD")</f>
        <v>0034P000045kxkD</v>
      </c>
      <c r="F434" s="3" t="s">
        <v>16267</v>
      </c>
      <c r="G434" s="3" t="s">
        <v>16268</v>
      </c>
      <c r="H434" s="3" t="s">
        <v>2538</v>
      </c>
      <c r="I434" s="3" t="s">
        <v>12654</v>
      </c>
      <c r="J434" s="3">
        <v>245</v>
      </c>
      <c r="K434" s="3" t="s">
        <v>16269</v>
      </c>
      <c r="L434" s="3" t="s">
        <v>16270</v>
      </c>
      <c r="M434" s="8">
        <v>27494</v>
      </c>
      <c r="N434" s="3">
        <v>47</v>
      </c>
      <c r="O434" s="3">
        <v>255115428</v>
      </c>
      <c r="P434" s="3">
        <v>21304657817</v>
      </c>
      <c r="Q434" s="3"/>
      <c r="R434" s="3"/>
      <c r="S434" s="3" t="s">
        <v>3417</v>
      </c>
      <c r="T434" s="3" t="s">
        <v>12682</v>
      </c>
      <c r="U434" s="3" t="s">
        <v>62</v>
      </c>
      <c r="V434" s="3" t="s">
        <v>16271</v>
      </c>
      <c r="X434" s="3" t="s">
        <v>2980</v>
      </c>
      <c r="Y434" s="3" t="s">
        <v>12670</v>
      </c>
      <c r="Z434" s="3" t="s">
        <v>2543</v>
      </c>
      <c r="AA434" s="3" t="s">
        <v>2577</v>
      </c>
      <c r="AB434" s="3" t="s">
        <v>2545</v>
      </c>
      <c r="AC434" s="3" t="s">
        <v>3597</v>
      </c>
      <c r="AD434" s="3">
        <v>570</v>
      </c>
      <c r="AE434" s="3"/>
      <c r="AF434" s="3" t="s">
        <v>104</v>
      </c>
      <c r="AG434" s="3" t="s">
        <v>16272</v>
      </c>
      <c r="AH434" s="3" t="s">
        <v>16273</v>
      </c>
      <c r="AI434" s="3" t="s">
        <v>101</v>
      </c>
      <c r="AJ434" s="3" t="s">
        <v>2741</v>
      </c>
      <c r="AK434" s="3" t="s">
        <v>12661</v>
      </c>
      <c r="AL434" s="3" t="s">
        <v>2588</v>
      </c>
      <c r="AM434" s="3">
        <v>3</v>
      </c>
      <c r="AN434" s="3" t="s">
        <v>7216</v>
      </c>
      <c r="AO434" s="3" t="s">
        <v>16274</v>
      </c>
      <c r="AP434" s="3"/>
      <c r="AQ434" s="7" t="s">
        <v>16275</v>
      </c>
      <c r="AR434" s="3" t="s">
        <v>12676</v>
      </c>
      <c r="AS434" s="7" t="s">
        <v>16276</v>
      </c>
    </row>
    <row r="435" spans="1:45" ht="12.5" hidden="1" x14ac:dyDescent="0.25">
      <c r="A435" s="3" t="s">
        <v>12652</v>
      </c>
      <c r="B435" s="21" t="str">
        <f>HYPERLINK("https://gerandofalcoes.my.salesforce.com/0014P00003YSp9cQAD", "0014P00003YSp9cQAD")</f>
        <v>0014P00003YSp9cQAD</v>
      </c>
      <c r="C435" s="3" t="s">
        <v>10641</v>
      </c>
      <c r="D435" s="3" t="s">
        <v>46</v>
      </c>
      <c r="E435" s="21" t="str">
        <f>HYPERLINK("https://gerandofalcoes.my.salesforce.com/0034P000045kxkE", "0034P000045kxkE")</f>
        <v>0034P000045kxkE</v>
      </c>
      <c r="F435" s="3" t="s">
        <v>3504</v>
      </c>
      <c r="G435" s="3" t="s">
        <v>16277</v>
      </c>
      <c r="H435" s="3" t="s">
        <v>2538</v>
      </c>
      <c r="I435" s="3" t="s">
        <v>12654</v>
      </c>
      <c r="J435" s="3">
        <v>245</v>
      </c>
      <c r="K435" s="3" t="s">
        <v>16278</v>
      </c>
      <c r="L435" s="3" t="s">
        <v>10644</v>
      </c>
      <c r="M435" s="6">
        <v>33937</v>
      </c>
      <c r="N435" s="3">
        <v>30</v>
      </c>
      <c r="O435" s="3">
        <v>493687294</v>
      </c>
      <c r="P435" s="3">
        <v>41857880889</v>
      </c>
      <c r="Q435" s="3"/>
      <c r="R435" s="3"/>
      <c r="S435" s="3" t="s">
        <v>3137</v>
      </c>
      <c r="T435" s="3" t="s">
        <v>12656</v>
      </c>
      <c r="U435" s="3" t="s">
        <v>120</v>
      </c>
      <c r="V435" s="3" t="s">
        <v>16279</v>
      </c>
      <c r="W435" s="3"/>
      <c r="X435" s="3" t="s">
        <v>14113</v>
      </c>
      <c r="Y435" s="3" t="s">
        <v>12658</v>
      </c>
      <c r="Z435" s="3" t="s">
        <v>2543</v>
      </c>
      <c r="AA435" s="3" t="s">
        <v>2544</v>
      </c>
      <c r="AB435" s="3" t="s">
        <v>2545</v>
      </c>
      <c r="AC435" s="3" t="s">
        <v>16280</v>
      </c>
      <c r="AD435" s="3">
        <v>277</v>
      </c>
      <c r="AE435" s="3" t="s">
        <v>16281</v>
      </c>
      <c r="AF435" s="3" t="s">
        <v>128</v>
      </c>
      <c r="AG435" s="3" t="s">
        <v>16282</v>
      </c>
      <c r="AH435" s="3" t="s">
        <v>16283</v>
      </c>
      <c r="AI435" s="3" t="s">
        <v>101</v>
      </c>
      <c r="AJ435" s="3" t="s">
        <v>2569</v>
      </c>
      <c r="AK435" s="3" t="s">
        <v>15585</v>
      </c>
      <c r="AL435" s="3" t="s">
        <v>2588</v>
      </c>
      <c r="AM435" s="3">
        <v>2</v>
      </c>
      <c r="AN435" s="3" t="s">
        <v>7216</v>
      </c>
      <c r="AO435" s="3"/>
      <c r="AP435" s="3"/>
      <c r="AQ435" s="7" t="s">
        <v>16284</v>
      </c>
      <c r="AR435" s="3" t="s">
        <v>3586</v>
      </c>
      <c r="AS435" s="7" t="s">
        <v>16285</v>
      </c>
    </row>
    <row r="436" spans="1:45" ht="12.5" hidden="1" x14ac:dyDescent="0.25">
      <c r="A436" s="3" t="s">
        <v>12652</v>
      </c>
      <c r="B436" s="21" t="str">
        <f>HYPERLINK("https://gerandofalcoes.my.salesforce.com/0014P00003YSp9dQAD", "0014P00003YSp9dQAD")</f>
        <v>0014P00003YSp9dQAD</v>
      </c>
      <c r="C436" s="3" t="s">
        <v>10653</v>
      </c>
      <c r="D436" s="3" t="s">
        <v>46</v>
      </c>
      <c r="E436" s="21" t="str">
        <f>HYPERLINK("https://gerandofalcoes.my.salesforce.com/0034P000045kxkF", "0034P000045kxkF")</f>
        <v>0034P000045kxkF</v>
      </c>
      <c r="F436" s="3" t="s">
        <v>10654</v>
      </c>
      <c r="G436" s="3" t="s">
        <v>16286</v>
      </c>
      <c r="H436" s="3" t="s">
        <v>2538</v>
      </c>
      <c r="I436" s="3" t="s">
        <v>12654</v>
      </c>
      <c r="J436" s="3">
        <v>245</v>
      </c>
      <c r="K436" s="3" t="s">
        <v>16287</v>
      </c>
      <c r="L436" s="3" t="s">
        <v>10656</v>
      </c>
      <c r="M436" s="6">
        <v>34592</v>
      </c>
      <c r="N436" s="3">
        <v>28</v>
      </c>
      <c r="O436" s="3">
        <v>1684407</v>
      </c>
      <c r="P436" s="3">
        <v>1932433180</v>
      </c>
      <c r="Q436" s="3"/>
      <c r="R436" s="3"/>
      <c r="S436" s="3" t="s">
        <v>2998</v>
      </c>
      <c r="T436" s="3" t="s">
        <v>12682</v>
      </c>
      <c r="U436" s="3" t="s">
        <v>120</v>
      </c>
      <c r="V436" s="3" t="s">
        <v>16288</v>
      </c>
      <c r="X436" s="3" t="s">
        <v>2980</v>
      </c>
      <c r="Y436" s="3" t="s">
        <v>12670</v>
      </c>
      <c r="Z436" s="3" t="s">
        <v>2543</v>
      </c>
      <c r="AA436" s="3" t="s">
        <v>2544</v>
      </c>
      <c r="AB436" s="3" t="s">
        <v>2545</v>
      </c>
      <c r="AC436" s="3" t="s">
        <v>16289</v>
      </c>
      <c r="AD436" s="3">
        <v>633</v>
      </c>
      <c r="AE436" s="3"/>
      <c r="AF436" s="3" t="s">
        <v>7583</v>
      </c>
      <c r="AG436" s="3" t="s">
        <v>16290</v>
      </c>
      <c r="AH436" s="3" t="s">
        <v>16291</v>
      </c>
      <c r="AI436" s="3" t="s">
        <v>6781</v>
      </c>
      <c r="AJ436" s="3" t="s">
        <v>2548</v>
      </c>
      <c r="AK436" s="3" t="s">
        <v>12661</v>
      </c>
      <c r="AL436" s="3" t="s">
        <v>2550</v>
      </c>
      <c r="AM436" s="3">
        <v>2</v>
      </c>
      <c r="AN436" s="3" t="s">
        <v>7216</v>
      </c>
      <c r="AQ436" s="7" t="s">
        <v>16292</v>
      </c>
      <c r="AR436" s="3" t="s">
        <v>4204</v>
      </c>
      <c r="AS436" s="7" t="s">
        <v>16293</v>
      </c>
    </row>
    <row r="437" spans="1:45" ht="12.5" hidden="1" x14ac:dyDescent="0.25">
      <c r="A437" s="3" t="s">
        <v>12652</v>
      </c>
      <c r="B437" s="21" t="str">
        <f>HYPERLINK("https://gerandofalcoes.my.salesforce.com/0014P00003YSp9eQAD", "0014P00003YSp9eQAD")</f>
        <v>0014P00003YSp9eQAD</v>
      </c>
      <c r="C437" s="3" t="s">
        <v>10661</v>
      </c>
      <c r="D437" s="3" t="s">
        <v>46</v>
      </c>
      <c r="E437" s="21" t="str">
        <f>HYPERLINK("https://gerandofalcoes.my.salesforce.com/0034P000045kxkG", "0034P000045kxkG")</f>
        <v>0034P000045kxkG</v>
      </c>
      <c r="F437" s="3" t="s">
        <v>2636</v>
      </c>
      <c r="G437" s="3" t="s">
        <v>16294</v>
      </c>
      <c r="H437" s="3" t="s">
        <v>2538</v>
      </c>
      <c r="I437" s="3" t="s">
        <v>12654</v>
      </c>
      <c r="J437" s="3">
        <v>245</v>
      </c>
      <c r="K437" s="3" t="s">
        <v>16295</v>
      </c>
      <c r="L437" s="3" t="s">
        <v>16296</v>
      </c>
      <c r="M437" s="8">
        <v>34964</v>
      </c>
      <c r="N437" s="3">
        <v>27</v>
      </c>
      <c r="O437" s="3" t="s">
        <v>16297</v>
      </c>
      <c r="P437" s="3">
        <v>44125505837</v>
      </c>
      <c r="Q437" s="3"/>
      <c r="S437" s="3" t="s">
        <v>2998</v>
      </c>
      <c r="T437" s="3" t="s">
        <v>12656</v>
      </c>
      <c r="U437" s="3" t="s">
        <v>62</v>
      </c>
      <c r="V437" s="3" t="s">
        <v>16298</v>
      </c>
      <c r="X437" s="3" t="s">
        <v>2980</v>
      </c>
      <c r="Y437" s="3" t="s">
        <v>12684</v>
      </c>
      <c r="Z437" s="3" t="s">
        <v>12685</v>
      </c>
      <c r="AA437" s="3"/>
      <c r="AB437" s="3"/>
      <c r="AC437" s="3" t="s">
        <v>16299</v>
      </c>
      <c r="AD437" s="3">
        <v>69</v>
      </c>
      <c r="AE437" s="3"/>
      <c r="AF437" s="3" t="s">
        <v>128</v>
      </c>
      <c r="AG437" s="3" t="s">
        <v>16300</v>
      </c>
      <c r="AH437" s="3" t="s">
        <v>16301</v>
      </c>
      <c r="AI437" s="3" t="s">
        <v>101</v>
      </c>
      <c r="AJ437" s="3" t="s">
        <v>2741</v>
      </c>
      <c r="AK437" s="3" t="s">
        <v>12828</v>
      </c>
      <c r="AL437" s="3" t="s">
        <v>2588</v>
      </c>
      <c r="AM437" s="3">
        <v>7</v>
      </c>
      <c r="AN437" s="3" t="s">
        <v>7216</v>
      </c>
      <c r="AP437" s="7" t="s">
        <v>16302</v>
      </c>
      <c r="AQ437" s="3" t="s">
        <v>16303</v>
      </c>
      <c r="AR437" s="3" t="s">
        <v>12664</v>
      </c>
      <c r="AS437" s="7" t="s">
        <v>16304</v>
      </c>
    </row>
    <row r="438" spans="1:45" ht="12.5" hidden="1" x14ac:dyDescent="0.25">
      <c r="A438" s="3" t="s">
        <v>12652</v>
      </c>
      <c r="B438" s="21" t="str">
        <f>HYPERLINK("https://gerandofalcoes.my.salesforce.com/0014P00003YSp9fQAD", "0014P00003YSp9fQAD")</f>
        <v>0014P00003YSp9fQAD</v>
      </c>
      <c r="C438" s="3" t="s">
        <v>10674</v>
      </c>
      <c r="D438" s="3" t="s">
        <v>46</v>
      </c>
      <c r="E438" s="21" t="str">
        <f>HYPERLINK("https://gerandofalcoes.my.salesforce.com/0034P000045kxkH", "0034P000045kxkH")</f>
        <v>0034P000045kxkH</v>
      </c>
      <c r="F438" s="3" t="s">
        <v>16305</v>
      </c>
      <c r="G438" s="3" t="s">
        <v>16306</v>
      </c>
      <c r="H438" s="3" t="s">
        <v>2538</v>
      </c>
      <c r="I438" s="3" t="s">
        <v>12654</v>
      </c>
      <c r="J438" s="3">
        <v>245</v>
      </c>
      <c r="K438" s="3" t="s">
        <v>10677</v>
      </c>
      <c r="L438" s="3" t="s">
        <v>10678</v>
      </c>
      <c r="M438" s="6">
        <v>25976</v>
      </c>
      <c r="N438" s="3">
        <v>51</v>
      </c>
      <c r="O438" s="3">
        <v>233272865</v>
      </c>
      <c r="P438" s="3">
        <v>83425837400</v>
      </c>
      <c r="Q438" s="3"/>
      <c r="S438" s="3" t="s">
        <v>3417</v>
      </c>
      <c r="T438" s="3" t="s">
        <v>12723</v>
      </c>
      <c r="U438" s="3" t="s">
        <v>62</v>
      </c>
      <c r="V438" s="3" t="s">
        <v>16307</v>
      </c>
      <c r="X438" s="3" t="s">
        <v>2980</v>
      </c>
      <c r="Y438" s="3" t="s">
        <v>12670</v>
      </c>
      <c r="Z438" s="3" t="s">
        <v>2543</v>
      </c>
      <c r="AA438" s="3" t="s">
        <v>2544</v>
      </c>
      <c r="AB438" s="3" t="s">
        <v>2545</v>
      </c>
      <c r="AC438" s="3" t="s">
        <v>16308</v>
      </c>
      <c r="AD438" s="3">
        <v>439</v>
      </c>
      <c r="AE438" s="3"/>
      <c r="AF438" s="3" t="s">
        <v>128</v>
      </c>
      <c r="AG438" s="3" t="s">
        <v>10680</v>
      </c>
      <c r="AH438" s="3" t="s">
        <v>16309</v>
      </c>
      <c r="AI438" s="3" t="s">
        <v>101</v>
      </c>
      <c r="AJ438" s="3" t="s">
        <v>2569</v>
      </c>
      <c r="AK438" s="3" t="s">
        <v>12729</v>
      </c>
      <c r="AL438" s="3" t="s">
        <v>2579</v>
      </c>
      <c r="AM438" s="3">
        <v>2</v>
      </c>
      <c r="AN438" s="3" t="s">
        <v>7216</v>
      </c>
      <c r="AP438" s="7" t="s">
        <v>16310</v>
      </c>
      <c r="AQ438" s="7" t="s">
        <v>16311</v>
      </c>
      <c r="AR438" s="3" t="s">
        <v>12676</v>
      </c>
      <c r="AS438" s="7" t="s">
        <v>16312</v>
      </c>
    </row>
    <row r="439" spans="1:45" ht="12.5" hidden="1" x14ac:dyDescent="0.25">
      <c r="A439" s="3" t="s">
        <v>12652</v>
      </c>
      <c r="B439" s="21" t="str">
        <f>HYPERLINK("https://gerandofalcoes.my.salesforce.com/0014P00003YSp9gQAD", "0014P00003YSp9gQAD")</f>
        <v>0014P00003YSp9gQAD</v>
      </c>
      <c r="C439" s="3" t="s">
        <v>10689</v>
      </c>
      <c r="D439" s="3" t="s">
        <v>46</v>
      </c>
      <c r="E439" s="21" t="str">
        <f>HYPERLINK("https://gerandofalcoes.my.salesforce.com/0034P000045kxkI", "0034P000045kxkI")</f>
        <v>0034P000045kxkI</v>
      </c>
      <c r="F439" s="3" t="s">
        <v>16313</v>
      </c>
      <c r="G439" s="3" t="s">
        <v>16314</v>
      </c>
      <c r="H439" s="3" t="s">
        <v>2538</v>
      </c>
      <c r="I439" s="3" t="s">
        <v>12654</v>
      </c>
      <c r="J439" s="3">
        <v>245</v>
      </c>
      <c r="K439" s="3" t="s">
        <v>16315</v>
      </c>
      <c r="L439" s="3" t="s">
        <v>16316</v>
      </c>
      <c r="M439" s="6">
        <v>31814</v>
      </c>
      <c r="N439" s="3">
        <v>35</v>
      </c>
      <c r="O439" s="3">
        <v>4361044</v>
      </c>
      <c r="P439" s="3">
        <v>7115714908</v>
      </c>
      <c r="Q439" s="3"/>
      <c r="S439" s="3" t="s">
        <v>3417</v>
      </c>
      <c r="T439" s="3" t="s">
        <v>12656</v>
      </c>
      <c r="U439" s="3" t="s">
        <v>120</v>
      </c>
      <c r="V439" s="3" t="s">
        <v>16317</v>
      </c>
      <c r="X439" s="3" t="s">
        <v>2980</v>
      </c>
      <c r="Y439" s="3" t="s">
        <v>12658</v>
      </c>
      <c r="Z439" s="3" t="s">
        <v>2545</v>
      </c>
      <c r="AA439" s="3" t="s">
        <v>2544</v>
      </c>
      <c r="AB439" s="3" t="s">
        <v>2545</v>
      </c>
      <c r="AC439" s="3" t="s">
        <v>16318</v>
      </c>
      <c r="AD439" s="3">
        <v>251</v>
      </c>
      <c r="AE439" s="3" t="s">
        <v>16319</v>
      </c>
      <c r="AF439" s="3" t="s">
        <v>1149</v>
      </c>
      <c r="AG439" s="3" t="s">
        <v>16320</v>
      </c>
      <c r="AH439" s="3" t="s">
        <v>16321</v>
      </c>
      <c r="AI439" s="3" t="s">
        <v>557</v>
      </c>
      <c r="AJ439" s="3" t="s">
        <v>2741</v>
      </c>
      <c r="AK439" s="3" t="s">
        <v>12828</v>
      </c>
      <c r="AL439" s="3" t="s">
        <v>2550</v>
      </c>
      <c r="AM439" s="3">
        <v>3</v>
      </c>
      <c r="AN439" s="3" t="s">
        <v>7216</v>
      </c>
      <c r="AP439" s="3"/>
      <c r="AQ439" s="7" t="s">
        <v>16322</v>
      </c>
      <c r="AR439" s="3" t="s">
        <v>12664</v>
      </c>
      <c r="AS439" s="7" t="s">
        <v>16323</v>
      </c>
    </row>
    <row r="440" spans="1:45" ht="12.5" hidden="1" x14ac:dyDescent="0.25">
      <c r="A440" s="3" t="s">
        <v>12652</v>
      </c>
      <c r="B440" s="21" t="str">
        <f>HYPERLINK("https://gerandofalcoes.my.salesforce.com/0014P00003YSp9hQAD", "0014P00003YSp9hQAD")</f>
        <v>0014P00003YSp9hQAD</v>
      </c>
      <c r="C440" s="3" t="s">
        <v>10702</v>
      </c>
      <c r="D440" s="3" t="s">
        <v>46</v>
      </c>
      <c r="E440" s="21" t="str">
        <f>HYPERLINK("https://gerandofalcoes.my.salesforce.com/0034P000045kxkJ", "0034P000045kxkJ")</f>
        <v>0034P000045kxkJ</v>
      </c>
      <c r="F440" s="3" t="s">
        <v>16324</v>
      </c>
      <c r="G440" s="3" t="s">
        <v>16325</v>
      </c>
      <c r="H440" s="3" t="s">
        <v>2538</v>
      </c>
      <c r="I440" s="3" t="s">
        <v>12654</v>
      </c>
      <c r="J440" s="3">
        <v>245</v>
      </c>
      <c r="K440" s="3" t="s">
        <v>16326</v>
      </c>
      <c r="L440" s="3" t="s">
        <v>10705</v>
      </c>
      <c r="M440" s="8">
        <v>34170</v>
      </c>
      <c r="N440" s="3">
        <v>29</v>
      </c>
      <c r="O440" s="3">
        <v>491896359</v>
      </c>
      <c r="P440" s="3">
        <v>40853978859</v>
      </c>
      <c r="Q440" s="3"/>
      <c r="S440" s="3" t="s">
        <v>3137</v>
      </c>
      <c r="T440" s="3" t="s">
        <v>12682</v>
      </c>
      <c r="U440" s="3" t="s">
        <v>62</v>
      </c>
      <c r="V440" s="3" t="s">
        <v>16327</v>
      </c>
      <c r="X440" s="3" t="s">
        <v>2980</v>
      </c>
      <c r="Y440" s="3" t="s">
        <v>12670</v>
      </c>
      <c r="Z440" s="3" t="s">
        <v>2543</v>
      </c>
      <c r="AA440" s="3" t="s">
        <v>2544</v>
      </c>
      <c r="AB440" s="3" t="s">
        <v>2545</v>
      </c>
      <c r="AC440" s="3" t="s">
        <v>16328</v>
      </c>
      <c r="AD440" s="3">
        <v>388</v>
      </c>
      <c r="AE440" s="3" t="s">
        <v>1539</v>
      </c>
      <c r="AF440" s="3" t="s">
        <v>10708</v>
      </c>
      <c r="AG440" s="3" t="s">
        <v>16329</v>
      </c>
      <c r="AH440" s="3" t="s">
        <v>16330</v>
      </c>
      <c r="AI440" s="3" t="s">
        <v>101</v>
      </c>
      <c r="AJ440" s="3" t="s">
        <v>2569</v>
      </c>
      <c r="AK440" s="3" t="s">
        <v>3249</v>
      </c>
      <c r="AL440" s="3" t="s">
        <v>2579</v>
      </c>
      <c r="AM440" s="3">
        <v>4</v>
      </c>
      <c r="AN440" s="3" t="s">
        <v>7216</v>
      </c>
      <c r="AQ440" s="7" t="s">
        <v>16331</v>
      </c>
      <c r="AR440" s="3" t="s">
        <v>12676</v>
      </c>
      <c r="AS440" s="7" t="s">
        <v>16332</v>
      </c>
    </row>
    <row r="441" spans="1:45" ht="12.5" hidden="1" x14ac:dyDescent="0.25">
      <c r="A441" s="3" t="s">
        <v>12652</v>
      </c>
      <c r="B441" s="21" t="str">
        <f>HYPERLINK("https://gerandofalcoes.my.salesforce.com/0014P00003YSp9iQAD", "0014P00003YSp9iQAD")</f>
        <v>0014P00003YSp9iQAD</v>
      </c>
      <c r="C441" s="3" t="s">
        <v>10713</v>
      </c>
      <c r="D441" s="3" t="s">
        <v>46</v>
      </c>
      <c r="E441" s="21" t="str">
        <f>HYPERLINK("https://gerandofalcoes.my.salesforce.com/0034P000045kxkK", "0034P000045kxkK")</f>
        <v>0034P000045kxkK</v>
      </c>
      <c r="F441" s="3" t="s">
        <v>16333</v>
      </c>
      <c r="G441" s="3" t="s">
        <v>16334</v>
      </c>
      <c r="H441" s="3" t="s">
        <v>2538</v>
      </c>
      <c r="I441" s="3" t="s">
        <v>12654</v>
      </c>
      <c r="J441" s="3">
        <v>245</v>
      </c>
      <c r="K441" s="3" t="s">
        <v>16335</v>
      </c>
      <c r="L441" s="3" t="s">
        <v>10717</v>
      </c>
      <c r="M441" s="6">
        <v>35010</v>
      </c>
      <c r="N441" s="3">
        <v>27</v>
      </c>
      <c r="O441" s="3" t="s">
        <v>16336</v>
      </c>
      <c r="P441" s="3">
        <v>4710182957</v>
      </c>
      <c r="Q441" s="3"/>
      <c r="R441" s="3"/>
      <c r="S441" s="3" t="s">
        <v>3137</v>
      </c>
      <c r="T441" s="3" t="s">
        <v>12682</v>
      </c>
      <c r="U441" s="3" t="s">
        <v>120</v>
      </c>
      <c r="V441" s="3" t="s">
        <v>16337</v>
      </c>
      <c r="X441" s="3" t="s">
        <v>2980</v>
      </c>
      <c r="Y441" s="3" t="s">
        <v>12670</v>
      </c>
      <c r="Z441" s="3" t="s">
        <v>2543</v>
      </c>
      <c r="AA441" s="3" t="s">
        <v>2577</v>
      </c>
      <c r="AB441" s="3" t="s">
        <v>2545</v>
      </c>
      <c r="AC441" s="3" t="s">
        <v>16338</v>
      </c>
      <c r="AD441" s="3">
        <v>747</v>
      </c>
      <c r="AE441" s="3"/>
      <c r="AF441" s="3" t="s">
        <v>338</v>
      </c>
      <c r="AG441" s="3" t="s">
        <v>10719</v>
      </c>
      <c r="AH441" s="3" t="s">
        <v>10720</v>
      </c>
      <c r="AI441" s="3" t="s">
        <v>310</v>
      </c>
      <c r="AJ441" s="3" t="s">
        <v>2569</v>
      </c>
      <c r="AK441" s="3" t="s">
        <v>12661</v>
      </c>
      <c r="AL441" s="3" t="s">
        <v>2550</v>
      </c>
      <c r="AM441" s="3">
        <v>2</v>
      </c>
      <c r="AN441" s="3" t="s">
        <v>7216</v>
      </c>
      <c r="AP441" s="7" t="s">
        <v>16339</v>
      </c>
      <c r="AQ441" s="7" t="s">
        <v>16340</v>
      </c>
      <c r="AR441" s="3" t="s">
        <v>12676</v>
      </c>
      <c r="AS441" s="7" t="s">
        <v>16341</v>
      </c>
    </row>
    <row r="442" spans="1:45" ht="12.5" hidden="1" x14ac:dyDescent="0.25">
      <c r="A442" s="3" t="s">
        <v>12652</v>
      </c>
      <c r="B442" s="21" t="str">
        <f>HYPERLINK("https://gerandofalcoes.my.salesforce.com/0014P00003YSp9jQAD", "0014P00003YSp9jQAD")</f>
        <v>0014P00003YSp9jQAD</v>
      </c>
      <c r="C442" s="3" t="s">
        <v>10731</v>
      </c>
      <c r="D442" s="3" t="s">
        <v>46</v>
      </c>
      <c r="E442" s="21" t="str">
        <f>HYPERLINK("https://gerandofalcoes.my.salesforce.com/0034P000045kxkL", "0034P000045kxkL")</f>
        <v>0034P000045kxkL</v>
      </c>
      <c r="F442" s="3" t="s">
        <v>14828</v>
      </c>
      <c r="G442" s="3" t="s">
        <v>16342</v>
      </c>
      <c r="H442" s="3" t="s">
        <v>2538</v>
      </c>
      <c r="I442" s="3" t="s">
        <v>12654</v>
      </c>
      <c r="J442" s="3">
        <v>245</v>
      </c>
      <c r="K442" s="3" t="s">
        <v>10734</v>
      </c>
      <c r="L442" s="3" t="s">
        <v>16343</v>
      </c>
      <c r="M442" s="6">
        <v>30173</v>
      </c>
      <c r="N442" s="3">
        <v>40</v>
      </c>
      <c r="O442" s="3">
        <v>440785340</v>
      </c>
      <c r="P442" s="3">
        <v>21652133801</v>
      </c>
      <c r="Q442" s="3"/>
      <c r="S442" s="3" t="s">
        <v>3269</v>
      </c>
      <c r="T442" s="3" t="s">
        <v>13608</v>
      </c>
      <c r="U442" s="3" t="s">
        <v>120</v>
      </c>
      <c r="V442" s="3" t="s">
        <v>16344</v>
      </c>
      <c r="X442" s="3" t="s">
        <v>2980</v>
      </c>
      <c r="Y442" s="3" t="s">
        <v>12670</v>
      </c>
      <c r="Z442" s="3" t="s">
        <v>2545</v>
      </c>
      <c r="AA442" s="3" t="s">
        <v>2544</v>
      </c>
      <c r="AB442" s="3" t="s">
        <v>2545</v>
      </c>
      <c r="AC442" s="3" t="s">
        <v>16345</v>
      </c>
      <c r="AD442" s="3">
        <v>1619</v>
      </c>
      <c r="AE442" s="3" t="s">
        <v>7865</v>
      </c>
      <c r="AF442" s="3" t="s">
        <v>10738</v>
      </c>
      <c r="AG442" s="3" t="s">
        <v>8301</v>
      </c>
      <c r="AH442" s="3" t="s">
        <v>16346</v>
      </c>
      <c r="AI442" s="3" t="s">
        <v>101</v>
      </c>
      <c r="AJ442" s="3" t="s">
        <v>2741</v>
      </c>
      <c r="AK442" s="3"/>
      <c r="AL442" s="3" t="s">
        <v>2588</v>
      </c>
      <c r="AM442" s="3">
        <v>1</v>
      </c>
      <c r="AN442" s="3" t="s">
        <v>7216</v>
      </c>
      <c r="AO442" s="3"/>
      <c r="AP442" s="3"/>
      <c r="AQ442" s="3" t="s">
        <v>16347</v>
      </c>
      <c r="AR442" s="3" t="s">
        <v>12664</v>
      </c>
      <c r="AS442" s="7" t="s">
        <v>16348</v>
      </c>
    </row>
    <row r="443" spans="1:45" ht="12.5" hidden="1" x14ac:dyDescent="0.25">
      <c r="A443" s="3" t="s">
        <v>12652</v>
      </c>
      <c r="B443" s="21" t="str">
        <f>HYPERLINK("https://gerandofalcoes.my.salesforce.com/0014P00003YSp9kQAD", "0014P00003YSp9kQAD")</f>
        <v>0014P00003YSp9kQAD</v>
      </c>
      <c r="C443" s="3" t="s">
        <v>10744</v>
      </c>
      <c r="D443" s="3" t="s">
        <v>46</v>
      </c>
      <c r="E443" s="21" t="str">
        <f>HYPERLINK("https://gerandofalcoes.my.salesforce.com/0034P000045kxkM", "0034P000045kxkM")</f>
        <v>0034P000045kxkM</v>
      </c>
      <c r="F443" s="3" t="s">
        <v>15522</v>
      </c>
      <c r="G443" s="3" t="s">
        <v>16349</v>
      </c>
      <c r="H443" s="3" t="s">
        <v>2538</v>
      </c>
      <c r="I443" s="3" t="s">
        <v>12654</v>
      </c>
      <c r="J443" s="3">
        <v>245</v>
      </c>
      <c r="K443" s="3" t="s">
        <v>16350</v>
      </c>
      <c r="L443" s="3" t="s">
        <v>16351</v>
      </c>
      <c r="M443" s="6">
        <v>29400</v>
      </c>
      <c r="N443" s="3">
        <v>42</v>
      </c>
      <c r="O443" s="3">
        <v>305288623</v>
      </c>
      <c r="P443" s="3">
        <v>28820144816</v>
      </c>
      <c r="Q443" s="3"/>
      <c r="R443" s="3"/>
      <c r="S443" s="3" t="s">
        <v>3269</v>
      </c>
      <c r="T443" s="3" t="s">
        <v>12682</v>
      </c>
      <c r="U443" s="3" t="s">
        <v>62</v>
      </c>
      <c r="V443" s="3" t="s">
        <v>16352</v>
      </c>
      <c r="X443" s="3" t="s">
        <v>2980</v>
      </c>
      <c r="Y443" s="3" t="s">
        <v>12670</v>
      </c>
      <c r="Z443" s="3" t="s">
        <v>2543</v>
      </c>
      <c r="AA443" s="3" t="s">
        <v>2577</v>
      </c>
      <c r="AB443" s="3" t="s">
        <v>2545</v>
      </c>
      <c r="AC443" s="3" t="s">
        <v>16353</v>
      </c>
      <c r="AD443" s="3">
        <v>627</v>
      </c>
      <c r="AE443" s="3"/>
      <c r="AF443" s="3" t="s">
        <v>128</v>
      </c>
      <c r="AG443" s="3" t="s">
        <v>16354</v>
      </c>
      <c r="AH443" s="3" t="s">
        <v>16355</v>
      </c>
      <c r="AI443" s="3" t="s">
        <v>101</v>
      </c>
      <c r="AJ443" s="3" t="s">
        <v>2741</v>
      </c>
      <c r="AK443" s="3" t="s">
        <v>12661</v>
      </c>
      <c r="AL443" s="3" t="s">
        <v>2588</v>
      </c>
      <c r="AM443" s="3">
        <v>3</v>
      </c>
      <c r="AN443" s="3" t="s">
        <v>7216</v>
      </c>
      <c r="AO443" s="3"/>
      <c r="AP443" s="7" t="s">
        <v>16356</v>
      </c>
      <c r="AQ443" s="3" t="s">
        <v>16357</v>
      </c>
      <c r="AR443" s="3" t="s">
        <v>12676</v>
      </c>
      <c r="AS443" s="7" t="s">
        <v>16358</v>
      </c>
    </row>
    <row r="444" spans="1:45" ht="12.5" hidden="1" x14ac:dyDescent="0.25">
      <c r="A444" s="3" t="s">
        <v>12652</v>
      </c>
      <c r="B444" s="21" t="str">
        <f>HYPERLINK("https://gerandofalcoes.my.salesforce.com/0014P00003YSp9lQAD", "0014P00003YSp9lQAD")</f>
        <v>0014P00003YSp9lQAD</v>
      </c>
      <c r="C444" s="3" t="s">
        <v>10764</v>
      </c>
      <c r="D444" s="3" t="s">
        <v>46</v>
      </c>
      <c r="E444" s="21" t="str">
        <f>HYPERLINK("https://gerandofalcoes.my.salesforce.com/0034P000045kxkN", "0034P000045kxkN")</f>
        <v>0034P000045kxkN</v>
      </c>
      <c r="F444" s="3" t="s">
        <v>16359</v>
      </c>
      <c r="G444" s="3" t="s">
        <v>16360</v>
      </c>
      <c r="H444" s="3" t="s">
        <v>2538</v>
      </c>
      <c r="I444" s="3" t="s">
        <v>12654</v>
      </c>
      <c r="J444" s="3">
        <v>245</v>
      </c>
      <c r="K444" s="3" t="s">
        <v>16361</v>
      </c>
      <c r="L444" s="3" t="s">
        <v>16362</v>
      </c>
      <c r="M444" s="6">
        <v>34300</v>
      </c>
      <c r="N444" s="3">
        <v>29</v>
      </c>
      <c r="O444" s="3">
        <v>494049029</v>
      </c>
      <c r="P444" s="3">
        <v>41307187897</v>
      </c>
      <c r="Q444" s="3"/>
      <c r="R444" s="3"/>
      <c r="S444" s="3" t="s">
        <v>3137</v>
      </c>
      <c r="T444" s="3" t="s">
        <v>12723</v>
      </c>
      <c r="U444" s="3" t="s">
        <v>62</v>
      </c>
      <c r="V444" s="3" t="s">
        <v>16363</v>
      </c>
      <c r="X444" s="3" t="s">
        <v>2980</v>
      </c>
      <c r="Y444" s="3" t="s">
        <v>12670</v>
      </c>
      <c r="Z444" s="3" t="s">
        <v>2543</v>
      </c>
      <c r="AA444" s="3" t="s">
        <v>2577</v>
      </c>
      <c r="AB444" s="3" t="s">
        <v>2545</v>
      </c>
      <c r="AC444" s="3" t="s">
        <v>10768</v>
      </c>
      <c r="AD444" s="3">
        <v>96</v>
      </c>
      <c r="AE444" s="3"/>
      <c r="AF444" s="3" t="s">
        <v>128</v>
      </c>
      <c r="AG444" s="3" t="s">
        <v>10769</v>
      </c>
      <c r="AH444" s="3" t="s">
        <v>16364</v>
      </c>
      <c r="AI444" s="3" t="s">
        <v>101</v>
      </c>
      <c r="AJ444" s="3" t="s">
        <v>2741</v>
      </c>
      <c r="AK444" s="3" t="s">
        <v>3249</v>
      </c>
      <c r="AL444" s="3" t="s">
        <v>2550</v>
      </c>
      <c r="AM444" s="3">
        <v>4</v>
      </c>
      <c r="AN444" s="3" t="s">
        <v>7216</v>
      </c>
      <c r="AP444" s="3"/>
      <c r="AQ444" s="3" t="s">
        <v>16365</v>
      </c>
      <c r="AR444" s="3" t="s">
        <v>12664</v>
      </c>
      <c r="AS444" s="7" t="s">
        <v>16366</v>
      </c>
    </row>
    <row r="445" spans="1:45" ht="12.5" hidden="1" x14ac:dyDescent="0.25">
      <c r="A445" s="3" t="s">
        <v>12652</v>
      </c>
      <c r="B445" s="21" t="str">
        <f>HYPERLINK("https://gerandofalcoes.my.salesforce.com/0014P00003YSp9mQAD", "0014P00003YSp9mQAD")</f>
        <v>0014P00003YSp9mQAD</v>
      </c>
      <c r="C445" s="3" t="s">
        <v>10776</v>
      </c>
      <c r="D445" s="3" t="s">
        <v>152</v>
      </c>
      <c r="E445" s="21" t="str">
        <f>HYPERLINK("https://gerandofalcoes.my.salesforce.com/0034P000045kxkO", "0034P000045kxkO")</f>
        <v>0034P000045kxkO</v>
      </c>
      <c r="F445" s="3" t="s">
        <v>12877</v>
      </c>
      <c r="G445" s="3" t="s">
        <v>3563</v>
      </c>
      <c r="H445" s="3" t="s">
        <v>2538</v>
      </c>
      <c r="I445" s="3" t="s">
        <v>12654</v>
      </c>
      <c r="J445" s="3">
        <v>245</v>
      </c>
      <c r="K445" s="3" t="s">
        <v>16367</v>
      </c>
      <c r="L445" s="3" t="s">
        <v>16368</v>
      </c>
      <c r="M445" s="6">
        <v>30507</v>
      </c>
      <c r="N445" s="3">
        <v>39</v>
      </c>
      <c r="O445" s="3">
        <v>1407019</v>
      </c>
      <c r="P445" s="3">
        <v>1184209170</v>
      </c>
      <c r="Q445" s="3"/>
      <c r="R445" s="3"/>
      <c r="S445" s="3" t="s">
        <v>3417</v>
      </c>
      <c r="T445" s="3" t="s">
        <v>12656</v>
      </c>
      <c r="U445" s="3" t="s">
        <v>62</v>
      </c>
      <c r="V445" s="3" t="s">
        <v>16369</v>
      </c>
      <c r="X445" s="3" t="s">
        <v>2980</v>
      </c>
      <c r="Y445" s="3" t="s">
        <v>12670</v>
      </c>
      <c r="Z445" s="3" t="s">
        <v>2545</v>
      </c>
      <c r="AA445" s="3" t="s">
        <v>2544</v>
      </c>
      <c r="AB445" s="3" t="s">
        <v>2543</v>
      </c>
      <c r="AC445" s="3" t="s">
        <v>16370</v>
      </c>
      <c r="AD445" s="3">
        <v>128</v>
      </c>
      <c r="AE445" s="3"/>
      <c r="AF445" s="3" t="s">
        <v>7583</v>
      </c>
      <c r="AG445" s="3" t="s">
        <v>16371</v>
      </c>
      <c r="AH445" s="3" t="s">
        <v>16372</v>
      </c>
      <c r="AI445" s="3" t="s">
        <v>6781</v>
      </c>
      <c r="AJ445" s="3" t="s">
        <v>2548</v>
      </c>
      <c r="AK445" s="3" t="s">
        <v>12828</v>
      </c>
      <c r="AL445" s="3" t="s">
        <v>2550</v>
      </c>
      <c r="AM445" s="3">
        <v>8</v>
      </c>
      <c r="AN445" s="3" t="s">
        <v>7216</v>
      </c>
      <c r="AO445" s="3"/>
      <c r="AQ445" s="7" t="s">
        <v>16373</v>
      </c>
      <c r="AR445" s="3" t="s">
        <v>12676</v>
      </c>
      <c r="AS445" s="7" t="s">
        <v>16374</v>
      </c>
    </row>
    <row r="446" spans="1:45" ht="12.5" hidden="1" x14ac:dyDescent="0.25">
      <c r="A446" s="3" t="s">
        <v>12652</v>
      </c>
      <c r="B446" s="21" t="str">
        <f>HYPERLINK("https://gerandofalcoes.my.salesforce.com/0014P00003YSp9qQAD", "0014P00003YSp9qQAD")</f>
        <v>0014P00003YSp9qQAD</v>
      </c>
      <c r="C446" s="3" t="s">
        <v>10795</v>
      </c>
      <c r="D446" s="3" t="s">
        <v>46</v>
      </c>
      <c r="E446" s="21" t="str">
        <f>HYPERLINK("https://gerandofalcoes.my.salesforce.com/0034P000045kxkS", "0034P000045kxkS")</f>
        <v>0034P000045kxkS</v>
      </c>
      <c r="F446" s="3" t="s">
        <v>14441</v>
      </c>
      <c r="G446" s="3" t="s">
        <v>16375</v>
      </c>
      <c r="H446" s="3" t="s">
        <v>2538</v>
      </c>
      <c r="I446" s="3" t="s">
        <v>12654</v>
      </c>
      <c r="J446" s="3">
        <v>245</v>
      </c>
      <c r="K446" s="3" t="s">
        <v>16376</v>
      </c>
      <c r="L446" s="3" t="s">
        <v>10798</v>
      </c>
      <c r="M446" s="6">
        <v>33806</v>
      </c>
      <c r="N446" s="3">
        <v>30</v>
      </c>
      <c r="O446" s="3" t="s">
        <v>16377</v>
      </c>
      <c r="P446" s="3">
        <v>40550233830</v>
      </c>
      <c r="Q446" s="3"/>
      <c r="R446" s="3"/>
      <c r="S446" s="3" t="s">
        <v>3269</v>
      </c>
      <c r="T446" s="3" t="s">
        <v>12682</v>
      </c>
      <c r="U446" s="3" t="s">
        <v>120</v>
      </c>
      <c r="V446" s="3" t="s">
        <v>16378</v>
      </c>
      <c r="X446" s="3" t="s">
        <v>2980</v>
      </c>
      <c r="Y446" s="3" t="s">
        <v>12670</v>
      </c>
      <c r="Z446" s="3" t="s">
        <v>2543</v>
      </c>
      <c r="AA446" s="3" t="s">
        <v>2544</v>
      </c>
      <c r="AB446" s="3" t="s">
        <v>2545</v>
      </c>
      <c r="AC446" s="3" t="s">
        <v>16379</v>
      </c>
      <c r="AD446" s="3">
        <v>365</v>
      </c>
      <c r="AE446" s="3"/>
      <c r="AF446" s="3" t="s">
        <v>10801</v>
      </c>
      <c r="AG446" s="3" t="s">
        <v>10800</v>
      </c>
      <c r="AH446" s="3" t="s">
        <v>10802</v>
      </c>
      <c r="AI446" s="3" t="s">
        <v>101</v>
      </c>
      <c r="AJ446" s="3" t="s">
        <v>2569</v>
      </c>
      <c r="AK446" s="3" t="s">
        <v>12729</v>
      </c>
      <c r="AL446" s="3" t="s">
        <v>2550</v>
      </c>
      <c r="AM446" s="3">
        <v>4</v>
      </c>
      <c r="AN446" s="3" t="s">
        <v>7216</v>
      </c>
      <c r="AP446" s="3"/>
      <c r="AQ446" s="7" t="s">
        <v>16380</v>
      </c>
      <c r="AR446" s="3" t="s">
        <v>12664</v>
      </c>
      <c r="AS446" s="7" t="s">
        <v>16381</v>
      </c>
    </row>
    <row r="447" spans="1:45" ht="12.5" hidden="1" x14ac:dyDescent="0.25">
      <c r="A447" s="3" t="s">
        <v>12652</v>
      </c>
      <c r="B447" s="21" t="str">
        <f>HYPERLINK("https://gerandofalcoes.my.salesforce.com/0014P00003YSp9rQAD", "0014P00003YSp9rQAD")</f>
        <v>0014P00003YSp9rQAD</v>
      </c>
      <c r="C447" s="3" t="s">
        <v>10808</v>
      </c>
      <c r="D447" s="3" t="s">
        <v>46</v>
      </c>
      <c r="E447" s="21" t="str">
        <f>HYPERLINK("https://gerandofalcoes.my.salesforce.com/0034P000045kxkT", "0034P000045kxkT")</f>
        <v>0034P000045kxkT</v>
      </c>
      <c r="F447" s="3" t="s">
        <v>13912</v>
      </c>
      <c r="G447" s="3" t="s">
        <v>16382</v>
      </c>
      <c r="H447" s="3" t="s">
        <v>2538</v>
      </c>
      <c r="I447" s="3" t="s">
        <v>12654</v>
      </c>
      <c r="J447" s="3">
        <v>245</v>
      </c>
      <c r="K447" s="3" t="s">
        <v>16383</v>
      </c>
      <c r="L447" s="3" t="s">
        <v>16384</v>
      </c>
      <c r="M447" s="6">
        <v>28504</v>
      </c>
      <c r="N447" s="3">
        <v>44</v>
      </c>
      <c r="O447" s="3">
        <v>282550331</v>
      </c>
      <c r="P447" s="3">
        <v>27081779824</v>
      </c>
      <c r="Q447" s="3"/>
      <c r="S447" s="3" t="s">
        <v>2998</v>
      </c>
      <c r="T447" s="3" t="s">
        <v>12682</v>
      </c>
      <c r="U447" s="3" t="s">
        <v>62</v>
      </c>
      <c r="V447" s="3" t="s">
        <v>16385</v>
      </c>
      <c r="X447" s="3" t="s">
        <v>2980</v>
      </c>
      <c r="Y447" s="3" t="s">
        <v>12670</v>
      </c>
      <c r="Z447" s="3"/>
      <c r="AA447" s="3" t="s">
        <v>2577</v>
      </c>
      <c r="AB447" s="3" t="s">
        <v>2545</v>
      </c>
      <c r="AC447" s="3" t="s">
        <v>16386</v>
      </c>
      <c r="AD447" s="3">
        <v>277</v>
      </c>
      <c r="AE447" s="3"/>
      <c r="AF447" s="3" t="s">
        <v>10815</v>
      </c>
      <c r="AG447" s="3" t="s">
        <v>16387</v>
      </c>
      <c r="AH447" s="3" t="s">
        <v>16388</v>
      </c>
      <c r="AI447" s="3" t="s">
        <v>101</v>
      </c>
      <c r="AJ447" s="3" t="s">
        <v>2569</v>
      </c>
      <c r="AK447" s="3" t="s">
        <v>15771</v>
      </c>
      <c r="AL447" s="3" t="s">
        <v>2550</v>
      </c>
      <c r="AM447" s="3">
        <v>2</v>
      </c>
      <c r="AN447" s="3" t="s">
        <v>7216</v>
      </c>
      <c r="AP447" s="7" t="s">
        <v>16389</v>
      </c>
      <c r="AQ447" s="7" t="s">
        <v>16390</v>
      </c>
      <c r="AR447" s="3" t="s">
        <v>12676</v>
      </c>
      <c r="AS447" s="7" t="s">
        <v>16391</v>
      </c>
    </row>
    <row r="448" spans="1:45" ht="12.5" hidden="1" x14ac:dyDescent="0.25">
      <c r="A448" s="3" t="s">
        <v>12652</v>
      </c>
      <c r="B448" s="21" t="str">
        <f>HYPERLINK("https://gerandofalcoes.my.salesforce.com/0014P00003YSp9vQAD", "0014P00003YSp9vQAD")</f>
        <v>0014P00003YSp9vQAD</v>
      </c>
      <c r="C448" s="3" t="s">
        <v>10827</v>
      </c>
      <c r="D448" s="3" t="s">
        <v>46</v>
      </c>
      <c r="E448" s="21" t="str">
        <f>HYPERLINK("https://gerandofalcoes.my.salesforce.com/0034P000045kxkX", "0034P000045kxkX")</f>
        <v>0034P000045kxkX</v>
      </c>
      <c r="F448" s="3" t="s">
        <v>13466</v>
      </c>
      <c r="G448" s="3" t="s">
        <v>16392</v>
      </c>
      <c r="H448" s="3" t="s">
        <v>2538</v>
      </c>
      <c r="I448" s="3" t="s">
        <v>12654</v>
      </c>
      <c r="J448" s="3">
        <v>245</v>
      </c>
      <c r="K448" s="3" t="s">
        <v>16393</v>
      </c>
      <c r="L448" s="3" t="s">
        <v>10830</v>
      </c>
      <c r="M448" s="6">
        <v>29831</v>
      </c>
      <c r="N448" s="3">
        <v>41</v>
      </c>
      <c r="O448" s="3">
        <v>297672587</v>
      </c>
      <c r="P448" s="3">
        <v>31317852842</v>
      </c>
      <c r="Q448" s="3"/>
      <c r="R448" s="3"/>
      <c r="S448" s="3" t="s">
        <v>3137</v>
      </c>
      <c r="T448" s="3" t="s">
        <v>12656</v>
      </c>
      <c r="U448" s="3" t="s">
        <v>120</v>
      </c>
      <c r="V448" s="3" t="s">
        <v>16394</v>
      </c>
      <c r="X448" s="3" t="s">
        <v>2980</v>
      </c>
      <c r="Y448" s="3" t="s">
        <v>12670</v>
      </c>
      <c r="Z448" s="3" t="s">
        <v>2543</v>
      </c>
      <c r="AA448" s="3" t="s">
        <v>2544</v>
      </c>
      <c r="AB448" s="3" t="s">
        <v>2545</v>
      </c>
      <c r="AC448" s="3" t="s">
        <v>16395</v>
      </c>
      <c r="AD448" s="3">
        <v>5</v>
      </c>
      <c r="AE448" s="3" t="s">
        <v>14277</v>
      </c>
      <c r="AF448" s="3" t="s">
        <v>128</v>
      </c>
      <c r="AG448" s="3" t="s">
        <v>16396</v>
      </c>
      <c r="AH448" s="3" t="s">
        <v>10833</v>
      </c>
      <c r="AI448" s="3" t="s">
        <v>101</v>
      </c>
      <c r="AJ448" s="3" t="s">
        <v>2569</v>
      </c>
      <c r="AK448" s="3" t="s">
        <v>16397</v>
      </c>
      <c r="AL448" s="3" t="s">
        <v>2579</v>
      </c>
      <c r="AM448" s="3">
        <v>6</v>
      </c>
      <c r="AN448" s="3" t="s">
        <v>7216</v>
      </c>
      <c r="AP448" s="3"/>
      <c r="AQ448" s="3" t="s">
        <v>16398</v>
      </c>
      <c r="AR448" s="3" t="s">
        <v>12664</v>
      </c>
      <c r="AS448" s="7" t="s">
        <v>16399</v>
      </c>
    </row>
    <row r="449" spans="1:45" ht="12.5" hidden="1" x14ac:dyDescent="0.25">
      <c r="A449" s="3" t="s">
        <v>12652</v>
      </c>
      <c r="B449" s="21" t="str">
        <f>HYPERLINK("https://gerandofalcoes.my.salesforce.com/0014P00003YSp9wQAD", "0014P00003YSp9wQAD")</f>
        <v>0014P00003YSp9wQAD</v>
      </c>
      <c r="C449" s="3" t="s">
        <v>10838</v>
      </c>
      <c r="D449" s="3" t="s">
        <v>46</v>
      </c>
      <c r="E449" s="21" t="str">
        <f>HYPERLINK("https://gerandofalcoes.my.salesforce.com/0034P000045kxkY", "0034P000045kxkY")</f>
        <v>0034P000045kxkY</v>
      </c>
      <c r="F449" s="3" t="s">
        <v>16400</v>
      </c>
      <c r="G449" s="3" t="s">
        <v>16401</v>
      </c>
      <c r="H449" s="3" t="s">
        <v>2538</v>
      </c>
      <c r="I449" s="3" t="s">
        <v>12654</v>
      </c>
      <c r="J449" s="3">
        <v>245</v>
      </c>
      <c r="K449" s="3" t="s">
        <v>10841</v>
      </c>
      <c r="L449" s="3" t="s">
        <v>10842</v>
      </c>
      <c r="M449" s="6">
        <v>21084</v>
      </c>
      <c r="N449" s="3">
        <v>65</v>
      </c>
      <c r="O449" s="3">
        <v>146253474</v>
      </c>
      <c r="P449" s="3">
        <v>11087701856</v>
      </c>
      <c r="Q449" s="3"/>
      <c r="R449" s="3"/>
      <c r="S449" s="3" t="s">
        <v>15607</v>
      </c>
      <c r="T449" s="3" t="s">
        <v>12656</v>
      </c>
      <c r="U449" s="3" t="s">
        <v>62</v>
      </c>
      <c r="V449" s="3" t="s">
        <v>16402</v>
      </c>
      <c r="X449" s="3" t="s">
        <v>2980</v>
      </c>
      <c r="Y449" s="3" t="s">
        <v>12713</v>
      </c>
      <c r="Z449" s="3" t="s">
        <v>12685</v>
      </c>
      <c r="AA449" s="3"/>
      <c r="AB449" s="3" t="s">
        <v>2543</v>
      </c>
      <c r="AC449" s="3" t="s">
        <v>16403</v>
      </c>
      <c r="AD449" s="3">
        <v>1015</v>
      </c>
      <c r="AE449" s="3" t="s">
        <v>16404</v>
      </c>
      <c r="AF449" s="3" t="s">
        <v>10845</v>
      </c>
      <c r="AG449" s="3" t="s">
        <v>16405</v>
      </c>
      <c r="AH449" s="3" t="s">
        <v>16406</v>
      </c>
      <c r="AI449" s="3" t="s">
        <v>101</v>
      </c>
      <c r="AJ449" s="3" t="s">
        <v>2569</v>
      </c>
      <c r="AK449" s="3" t="s">
        <v>3249</v>
      </c>
      <c r="AL449" s="3" t="s">
        <v>2579</v>
      </c>
      <c r="AM449" s="3">
        <v>2</v>
      </c>
      <c r="AN449" s="3" t="s">
        <v>7216</v>
      </c>
      <c r="AP449" s="3" t="s">
        <v>16407</v>
      </c>
      <c r="AQ449" s="3" t="s">
        <v>16408</v>
      </c>
      <c r="AR449" s="3" t="s">
        <v>12676</v>
      </c>
      <c r="AS449" s="7" t="s">
        <v>16409</v>
      </c>
    </row>
    <row r="450" spans="1:45" ht="12.5" hidden="1" x14ac:dyDescent="0.25">
      <c r="A450" s="3" t="s">
        <v>12652</v>
      </c>
      <c r="B450" s="21" t="str">
        <f>HYPERLINK("https://gerandofalcoes.my.salesforce.com/0014P00003YSp9xQAD", "0014P00003YSp9xQAD")</f>
        <v>0014P00003YSp9xQAD</v>
      </c>
      <c r="C450" s="3" t="s">
        <v>10857</v>
      </c>
      <c r="D450" s="3" t="s">
        <v>46</v>
      </c>
      <c r="E450" s="21" t="str">
        <f>HYPERLINK("https://gerandofalcoes.my.salesforce.com/0034P000045kxkZ", "0034P000045kxkZ")</f>
        <v>0034P000045kxkZ</v>
      </c>
      <c r="F450" s="3" t="s">
        <v>15783</v>
      </c>
      <c r="G450" s="3" t="s">
        <v>16410</v>
      </c>
      <c r="H450" s="3" t="s">
        <v>2538</v>
      </c>
      <c r="I450" s="3" t="s">
        <v>12654</v>
      </c>
      <c r="J450" s="3">
        <v>245</v>
      </c>
      <c r="K450" s="3" t="s">
        <v>16411</v>
      </c>
      <c r="L450" s="3" t="s">
        <v>16412</v>
      </c>
      <c r="M450" s="6">
        <v>30569</v>
      </c>
      <c r="N450" s="3">
        <v>39</v>
      </c>
      <c r="O450" s="3">
        <v>402548164</v>
      </c>
      <c r="P450" s="3">
        <v>30443839867</v>
      </c>
      <c r="Q450" s="3"/>
      <c r="R450" s="3"/>
      <c r="S450" s="3" t="s">
        <v>3269</v>
      </c>
      <c r="T450" s="3" t="s">
        <v>12682</v>
      </c>
      <c r="U450" s="3" t="s">
        <v>120</v>
      </c>
      <c r="V450" s="3" t="s">
        <v>16413</v>
      </c>
      <c r="X450" s="3" t="s">
        <v>2980</v>
      </c>
      <c r="Y450" s="3" t="s">
        <v>12658</v>
      </c>
      <c r="Z450" s="3" t="s">
        <v>2543</v>
      </c>
      <c r="AA450" s="3" t="s">
        <v>2544</v>
      </c>
      <c r="AB450" s="3" t="s">
        <v>2545</v>
      </c>
      <c r="AC450" s="3" t="s">
        <v>16414</v>
      </c>
      <c r="AD450" s="3">
        <v>201</v>
      </c>
      <c r="AE450" s="3" t="s">
        <v>16415</v>
      </c>
      <c r="AF450" s="3" t="s">
        <v>7008</v>
      </c>
      <c r="AG450" s="3" t="s">
        <v>16416</v>
      </c>
      <c r="AH450" s="3" t="s">
        <v>16417</v>
      </c>
      <c r="AI450" s="3" t="s">
        <v>101</v>
      </c>
      <c r="AJ450" s="3" t="s">
        <v>2569</v>
      </c>
      <c r="AK450" s="3" t="s">
        <v>12828</v>
      </c>
      <c r="AL450" s="3" t="s">
        <v>2550</v>
      </c>
      <c r="AM450" s="3">
        <v>3</v>
      </c>
      <c r="AN450" s="3" t="s">
        <v>7216</v>
      </c>
      <c r="AP450" s="3"/>
      <c r="AQ450" s="7" t="s">
        <v>10866</v>
      </c>
      <c r="AR450" s="3" t="s">
        <v>12676</v>
      </c>
      <c r="AS450" s="7" t="s">
        <v>16418</v>
      </c>
    </row>
    <row r="451" spans="1:45" ht="12.5" hidden="1" x14ac:dyDescent="0.25">
      <c r="A451" s="3" t="s">
        <v>12652</v>
      </c>
      <c r="B451" s="21" t="str">
        <f>HYPERLINK("https://gerandofalcoes.my.salesforce.com/0014P00003YSp9yQAD", "0014P00003YSp9yQAD")</f>
        <v>0014P00003YSp9yQAD</v>
      </c>
      <c r="C451" s="3" t="s">
        <v>10867</v>
      </c>
      <c r="D451" s="3" t="s">
        <v>46</v>
      </c>
      <c r="E451" s="21" t="str">
        <f>HYPERLINK("https://gerandofalcoes.my.salesforce.com/0034P000045kxka", "0034P000045kxka")</f>
        <v>0034P000045kxka</v>
      </c>
      <c r="F451" s="3" t="s">
        <v>16419</v>
      </c>
      <c r="G451" s="3" t="s">
        <v>16420</v>
      </c>
      <c r="H451" s="3" t="s">
        <v>2538</v>
      </c>
      <c r="I451" s="3" t="s">
        <v>12654</v>
      </c>
      <c r="J451" s="3">
        <v>245</v>
      </c>
      <c r="K451" s="3" t="s">
        <v>16421</v>
      </c>
      <c r="L451" s="3" t="s">
        <v>16422</v>
      </c>
      <c r="M451" s="8">
        <v>32334</v>
      </c>
      <c r="N451" s="3">
        <v>34</v>
      </c>
      <c r="O451" s="3">
        <v>426612048</v>
      </c>
      <c r="P451" s="3">
        <v>37030849876</v>
      </c>
      <c r="Q451" s="3"/>
      <c r="R451" s="3"/>
      <c r="S451" s="3" t="s">
        <v>3269</v>
      </c>
      <c r="T451" s="3" t="s">
        <v>12723</v>
      </c>
      <c r="U451" s="3" t="s">
        <v>62</v>
      </c>
      <c r="V451" s="3" t="s">
        <v>16423</v>
      </c>
      <c r="X451" s="3" t="s">
        <v>2980</v>
      </c>
      <c r="Y451" s="3" t="s">
        <v>12670</v>
      </c>
      <c r="Z451" s="3" t="s">
        <v>2543</v>
      </c>
      <c r="AA451" s="3" t="s">
        <v>2577</v>
      </c>
      <c r="AB451" s="3" t="s">
        <v>2545</v>
      </c>
      <c r="AC451" s="3" t="s">
        <v>16424</v>
      </c>
      <c r="AD451" s="3">
        <v>451</v>
      </c>
      <c r="AE451" s="3" t="s">
        <v>16425</v>
      </c>
      <c r="AF451" s="3" t="s">
        <v>7083</v>
      </c>
      <c r="AG451" s="3" t="s">
        <v>16426</v>
      </c>
      <c r="AH451" s="3" t="s">
        <v>16427</v>
      </c>
      <c r="AI451" s="3" t="s">
        <v>101</v>
      </c>
      <c r="AJ451" s="3" t="s">
        <v>2569</v>
      </c>
      <c r="AK451" s="3" t="s">
        <v>3249</v>
      </c>
      <c r="AL451" s="3" t="s">
        <v>2550</v>
      </c>
      <c r="AM451" s="3">
        <v>3</v>
      </c>
      <c r="AN451" s="3" t="s">
        <v>7216</v>
      </c>
      <c r="AP451" s="7" t="s">
        <v>16428</v>
      </c>
      <c r="AQ451" s="7" t="s">
        <v>16429</v>
      </c>
      <c r="AR451" s="3" t="s">
        <v>12676</v>
      </c>
      <c r="AS451" s="7" t="s">
        <v>16430</v>
      </c>
    </row>
    <row r="452" spans="1:45" ht="12.5" hidden="1" x14ac:dyDescent="0.25">
      <c r="A452" s="3" t="s">
        <v>12652</v>
      </c>
      <c r="B452" s="21" t="str">
        <f>HYPERLINK("https://gerandofalcoes.my.salesforce.com/0014P00003YSp9zQAD", "0014P00003YSp9zQAD")</f>
        <v>0014P00003YSp9zQAD</v>
      </c>
      <c r="C452" s="3" t="s">
        <v>10882</v>
      </c>
      <c r="D452" s="3" t="s">
        <v>46</v>
      </c>
      <c r="E452" s="21" t="str">
        <f>HYPERLINK("https://gerandofalcoes.my.salesforce.com/0034P000045kxkb", "0034P000045kxkb")</f>
        <v>0034P000045kxkb</v>
      </c>
      <c r="F452" s="3" t="s">
        <v>16431</v>
      </c>
      <c r="G452" s="3" t="s">
        <v>16432</v>
      </c>
      <c r="H452" s="3" t="s">
        <v>2538</v>
      </c>
      <c r="I452" s="3" t="s">
        <v>12654</v>
      </c>
      <c r="J452" s="3">
        <v>245</v>
      </c>
      <c r="K452" s="3" t="s">
        <v>10885</v>
      </c>
      <c r="L452" s="3" t="s">
        <v>10886</v>
      </c>
      <c r="M452" s="6">
        <v>30259</v>
      </c>
      <c r="N452" s="3">
        <v>40</v>
      </c>
      <c r="O452" s="3">
        <v>5905772</v>
      </c>
      <c r="P452" s="3">
        <v>1085465438</v>
      </c>
      <c r="Q452" s="3"/>
      <c r="R452" s="3"/>
      <c r="S452" s="3" t="s">
        <v>3417</v>
      </c>
      <c r="T452" s="3" t="s">
        <v>12723</v>
      </c>
      <c r="U452" s="3" t="s">
        <v>62</v>
      </c>
      <c r="V452" s="3" t="s">
        <v>16433</v>
      </c>
      <c r="X452" s="3" t="s">
        <v>2980</v>
      </c>
      <c r="Y452" s="3" t="s">
        <v>12670</v>
      </c>
      <c r="Z452" s="3" t="s">
        <v>2543</v>
      </c>
      <c r="AA452" s="3" t="s">
        <v>2544</v>
      </c>
      <c r="AB452" s="3" t="s">
        <v>2545</v>
      </c>
      <c r="AC452" s="3" t="s">
        <v>16434</v>
      </c>
      <c r="AD452" s="3">
        <v>71</v>
      </c>
      <c r="AE452" s="3" t="s">
        <v>16435</v>
      </c>
      <c r="AF452" s="3" t="s">
        <v>381</v>
      </c>
      <c r="AG452" s="3" t="s">
        <v>16436</v>
      </c>
      <c r="AH452" s="3" t="s">
        <v>16437</v>
      </c>
      <c r="AI452" s="3" t="s">
        <v>379</v>
      </c>
      <c r="AJ452" s="3" t="s">
        <v>2569</v>
      </c>
      <c r="AK452" s="3" t="s">
        <v>12729</v>
      </c>
      <c r="AL452" s="3" t="s">
        <v>2579</v>
      </c>
      <c r="AM452" s="3">
        <v>3</v>
      </c>
      <c r="AN452" s="3" t="s">
        <v>7216</v>
      </c>
      <c r="AP452" s="3" t="s">
        <v>7216</v>
      </c>
      <c r="AQ452" s="3" t="s">
        <v>16438</v>
      </c>
      <c r="AR452" s="3" t="s">
        <v>12676</v>
      </c>
      <c r="AS452" s="7" t="s">
        <v>16439</v>
      </c>
    </row>
    <row r="453" spans="1:45" ht="12.5" hidden="1" x14ac:dyDescent="0.25">
      <c r="A453" s="3" t="s">
        <v>12652</v>
      </c>
      <c r="B453" s="21" t="str">
        <f>HYPERLINK("https://gerandofalcoes.my.salesforce.com/0014P00003YSpA0QAL", "0014P00003YSpA0QAL")</f>
        <v>0014P00003YSpA0QAL</v>
      </c>
      <c r="C453" s="3" t="s">
        <v>10901</v>
      </c>
      <c r="D453" s="3" t="s">
        <v>46</v>
      </c>
      <c r="E453" s="21" t="str">
        <f>HYPERLINK("https://gerandofalcoes.my.salesforce.com/0034P000045kxkc", "0034P000045kxkc")</f>
        <v>0034P000045kxkc</v>
      </c>
      <c r="F453" s="3" t="s">
        <v>16440</v>
      </c>
      <c r="G453" s="3" t="s">
        <v>16441</v>
      </c>
      <c r="H453" s="3" t="s">
        <v>2538</v>
      </c>
      <c r="I453" s="3" t="s">
        <v>12654</v>
      </c>
      <c r="J453" s="3">
        <v>245</v>
      </c>
      <c r="K453" s="3" t="s">
        <v>16442</v>
      </c>
      <c r="L453" s="3" t="s">
        <v>16443</v>
      </c>
      <c r="M453" s="8">
        <v>25428</v>
      </c>
      <c r="N453" s="3">
        <v>53</v>
      </c>
      <c r="O453" s="3">
        <v>91546739</v>
      </c>
      <c r="P453" s="3">
        <v>1199304719</v>
      </c>
      <c r="Q453" s="3"/>
      <c r="S453" s="3" t="s">
        <v>2998</v>
      </c>
      <c r="T453" s="3" t="s">
        <v>12656</v>
      </c>
      <c r="U453" s="3" t="s">
        <v>62</v>
      </c>
      <c r="V453" s="3" t="s">
        <v>16444</v>
      </c>
      <c r="X453" s="3" t="s">
        <v>2980</v>
      </c>
      <c r="Y453" s="3" t="s">
        <v>12684</v>
      </c>
      <c r="Z453" s="3" t="s">
        <v>12685</v>
      </c>
      <c r="AA453" s="3"/>
      <c r="AB453" s="3"/>
      <c r="AC453" s="3" t="s">
        <v>16445</v>
      </c>
      <c r="AD453" s="3">
        <v>104</v>
      </c>
      <c r="AE453" s="3" t="s">
        <v>16446</v>
      </c>
      <c r="AF453" s="3" t="s">
        <v>7922</v>
      </c>
      <c r="AG453" s="3" t="s">
        <v>16447</v>
      </c>
      <c r="AH453" s="3" t="s">
        <v>16448</v>
      </c>
      <c r="AI453" s="3" t="s">
        <v>70</v>
      </c>
      <c r="AJ453" s="3" t="s">
        <v>2569</v>
      </c>
      <c r="AK453" s="3" t="s">
        <v>3249</v>
      </c>
      <c r="AL453" s="3" t="s">
        <v>2579</v>
      </c>
      <c r="AM453" s="3">
        <v>4</v>
      </c>
      <c r="AN453" s="3" t="s">
        <v>7216</v>
      </c>
      <c r="AP453" s="3" t="s">
        <v>16449</v>
      </c>
      <c r="AQ453" s="3" t="s">
        <v>16450</v>
      </c>
      <c r="AR453" s="3" t="s">
        <v>12676</v>
      </c>
      <c r="AS453" s="7" t="s">
        <v>16451</v>
      </c>
    </row>
    <row r="454" spans="1:45" ht="12.5" hidden="1" x14ac:dyDescent="0.25">
      <c r="A454" s="3" t="s">
        <v>12652</v>
      </c>
      <c r="B454" s="21" t="str">
        <f>HYPERLINK("https://gerandofalcoes.my.salesforce.com/0014P00003YSpA1QAL", "0014P00003YSpA1QAL")</f>
        <v>0014P00003YSpA1QAL</v>
      </c>
      <c r="C454" s="3" t="s">
        <v>10918</v>
      </c>
      <c r="D454" s="3" t="s">
        <v>46</v>
      </c>
      <c r="E454" s="21" t="str">
        <f>HYPERLINK("https://gerandofalcoes.my.salesforce.com/0034P000045kxkd", "0034P000045kxkd")</f>
        <v>0034P000045kxkd</v>
      </c>
      <c r="F454" s="3" t="s">
        <v>16452</v>
      </c>
      <c r="G454" s="3" t="s">
        <v>16453</v>
      </c>
      <c r="H454" s="3" t="s">
        <v>2538</v>
      </c>
      <c r="I454" s="3" t="s">
        <v>12654</v>
      </c>
      <c r="J454" s="3">
        <v>245</v>
      </c>
      <c r="K454" s="3" t="s">
        <v>10921</v>
      </c>
      <c r="L454" s="3" t="s">
        <v>10922</v>
      </c>
      <c r="M454" s="8">
        <v>32102</v>
      </c>
      <c r="N454" s="3">
        <v>35</v>
      </c>
      <c r="O454" s="3">
        <v>4953458</v>
      </c>
      <c r="P454" s="3">
        <v>6166790929</v>
      </c>
      <c r="Q454" s="3"/>
      <c r="R454" s="3"/>
      <c r="S454" s="3" t="s">
        <v>3137</v>
      </c>
      <c r="T454" s="3" t="s">
        <v>12682</v>
      </c>
      <c r="U454" s="3" t="s">
        <v>120</v>
      </c>
      <c r="V454" s="3" t="s">
        <v>16454</v>
      </c>
      <c r="X454" s="3" t="s">
        <v>2980</v>
      </c>
      <c r="Y454" s="3" t="s">
        <v>12670</v>
      </c>
      <c r="Z454" s="3" t="s">
        <v>2543</v>
      </c>
      <c r="AA454" s="3" t="s">
        <v>2544</v>
      </c>
      <c r="AB454" s="3" t="s">
        <v>2545</v>
      </c>
      <c r="AC454" s="3" t="s">
        <v>16455</v>
      </c>
      <c r="AD454" s="3">
        <v>1836</v>
      </c>
      <c r="AE454" s="3"/>
      <c r="AF454" s="3" t="s">
        <v>8154</v>
      </c>
      <c r="AG454" s="3" t="s">
        <v>16456</v>
      </c>
      <c r="AH454" s="3" t="s">
        <v>10925</v>
      </c>
      <c r="AI454" s="3" t="s">
        <v>557</v>
      </c>
      <c r="AJ454" s="3" t="s">
        <v>2548</v>
      </c>
      <c r="AK454" s="3" t="s">
        <v>12828</v>
      </c>
      <c r="AL454" s="3" t="s">
        <v>2550</v>
      </c>
      <c r="AM454" s="3">
        <v>3</v>
      </c>
      <c r="AN454" s="3" t="s">
        <v>7216</v>
      </c>
      <c r="AP454" s="7" t="s">
        <v>16457</v>
      </c>
      <c r="AQ454" s="7" t="s">
        <v>16458</v>
      </c>
      <c r="AR454" s="3" t="s">
        <v>12676</v>
      </c>
      <c r="AS454" s="7" t="s">
        <v>16459</v>
      </c>
    </row>
    <row r="455" spans="1:45" ht="12.5" hidden="1" x14ac:dyDescent="0.25">
      <c r="A455" s="3" t="s">
        <v>12652</v>
      </c>
      <c r="B455" s="21" t="str">
        <f>HYPERLINK("https://gerandofalcoes.my.salesforce.com/0014P00003YSpA2QAL", "0014P00003YSpA2QAL")</f>
        <v>0014P00003YSpA2QAL</v>
      </c>
      <c r="C455" s="3" t="s">
        <v>10931</v>
      </c>
      <c r="D455" s="3" t="s">
        <v>46</v>
      </c>
      <c r="E455" s="21" t="str">
        <f>HYPERLINK("https://gerandofalcoes.my.salesforce.com/0034P000045kxke", "0034P000045kxke")</f>
        <v>0034P000045kxke</v>
      </c>
      <c r="F455" s="3" t="s">
        <v>2678</v>
      </c>
      <c r="G455" s="3" t="s">
        <v>16460</v>
      </c>
      <c r="H455" s="3" t="s">
        <v>2538</v>
      </c>
      <c r="I455" s="3" t="s">
        <v>12654</v>
      </c>
      <c r="J455" s="3">
        <v>245</v>
      </c>
      <c r="K455" s="3" t="s">
        <v>16461</v>
      </c>
      <c r="L455" s="3" t="s">
        <v>10935</v>
      </c>
      <c r="M455" s="6">
        <v>24864</v>
      </c>
      <c r="N455" s="3">
        <v>54</v>
      </c>
      <c r="O455" s="3" t="s">
        <v>16462</v>
      </c>
      <c r="P455" s="3">
        <v>46021647572</v>
      </c>
      <c r="Q455" s="3"/>
      <c r="S455" s="3" t="s">
        <v>2998</v>
      </c>
      <c r="T455" s="3" t="s">
        <v>12682</v>
      </c>
      <c r="U455" s="3" t="s">
        <v>120</v>
      </c>
      <c r="V455" s="3" t="s">
        <v>16463</v>
      </c>
      <c r="X455" s="3" t="s">
        <v>2980</v>
      </c>
      <c r="Y455" s="3" t="s">
        <v>12658</v>
      </c>
      <c r="Z455" s="3" t="s">
        <v>2545</v>
      </c>
      <c r="AA455" s="3" t="s">
        <v>2544</v>
      </c>
      <c r="AB455" s="3" t="s">
        <v>2545</v>
      </c>
      <c r="AC455" s="3" t="s">
        <v>16464</v>
      </c>
      <c r="AD455" s="3">
        <v>101</v>
      </c>
      <c r="AE455" s="3" t="s">
        <v>10938</v>
      </c>
      <c r="AF455" s="3" t="s">
        <v>128</v>
      </c>
      <c r="AG455" s="3" t="s">
        <v>16465</v>
      </c>
      <c r="AH455" s="3" t="s">
        <v>16466</v>
      </c>
      <c r="AI455" s="3" t="s">
        <v>101</v>
      </c>
      <c r="AJ455" s="3" t="s">
        <v>2741</v>
      </c>
      <c r="AK455" s="3" t="s">
        <v>12729</v>
      </c>
      <c r="AL455" s="3" t="s">
        <v>2588</v>
      </c>
      <c r="AM455" s="3">
        <v>5</v>
      </c>
      <c r="AN455" s="3" t="s">
        <v>16467</v>
      </c>
      <c r="AP455" s="3"/>
      <c r="AQ455" s="7" t="s">
        <v>16468</v>
      </c>
      <c r="AR455" s="3" t="s">
        <v>12676</v>
      </c>
      <c r="AS455" s="7" t="s">
        <v>16469</v>
      </c>
    </row>
    <row r="456" spans="1:45" ht="12.5" hidden="1" x14ac:dyDescent="0.25">
      <c r="A456" s="3" t="s">
        <v>12652</v>
      </c>
      <c r="B456" s="21" t="str">
        <f>HYPERLINK("https://gerandofalcoes.my.salesforce.com/0014P00003YSpA3QAL", "0014P00003YSpA3QAL")</f>
        <v>0014P00003YSpA3QAL</v>
      </c>
      <c r="C456" s="3" t="s">
        <v>10946</v>
      </c>
      <c r="D456" s="3" t="s">
        <v>46</v>
      </c>
      <c r="E456" s="21" t="str">
        <f>HYPERLINK("https://gerandofalcoes.my.salesforce.com/0034P000045kxkf", "0034P000045kxkf")</f>
        <v>0034P000045kxkf</v>
      </c>
      <c r="F456" s="3" t="s">
        <v>16470</v>
      </c>
      <c r="G456" s="3" t="s">
        <v>16471</v>
      </c>
      <c r="H456" s="3" t="s">
        <v>2538</v>
      </c>
      <c r="I456" s="3" t="s">
        <v>12654</v>
      </c>
      <c r="J456" s="3">
        <v>245</v>
      </c>
      <c r="K456" s="3" t="s">
        <v>16472</v>
      </c>
      <c r="L456" s="3">
        <v>63981068048</v>
      </c>
      <c r="M456" s="6">
        <v>24227</v>
      </c>
      <c r="N456" s="3">
        <v>56</v>
      </c>
      <c r="O456" s="3">
        <v>157877</v>
      </c>
      <c r="P456" s="3">
        <v>57463670600</v>
      </c>
      <c r="Q456" s="3"/>
      <c r="R456" s="3"/>
      <c r="S456" s="3" t="s">
        <v>2998</v>
      </c>
      <c r="T456" s="3" t="s">
        <v>12682</v>
      </c>
      <c r="U456" s="3" t="s">
        <v>62</v>
      </c>
      <c r="V456" s="3" t="s">
        <v>16473</v>
      </c>
      <c r="X456" s="3"/>
      <c r="Y456" s="3" t="s">
        <v>12658</v>
      </c>
      <c r="Z456" s="3" t="s">
        <v>2543</v>
      </c>
      <c r="AA456" s="3" t="s">
        <v>2577</v>
      </c>
      <c r="AB456" s="3" t="s">
        <v>2545</v>
      </c>
      <c r="AC456" s="3" t="s">
        <v>16474</v>
      </c>
      <c r="AD456" s="3">
        <v>31</v>
      </c>
      <c r="AE456" s="3"/>
      <c r="AF456" s="3" t="s">
        <v>5680</v>
      </c>
      <c r="AG456" s="3" t="s">
        <v>10950</v>
      </c>
      <c r="AH456" s="3">
        <v>77023100</v>
      </c>
      <c r="AI456" s="3" t="s">
        <v>5676</v>
      </c>
      <c r="AJ456" s="3"/>
      <c r="AK456" s="3"/>
      <c r="AL456" s="3"/>
      <c r="AM456" s="3"/>
      <c r="AN456" s="3" t="s">
        <v>7216</v>
      </c>
      <c r="AP456" s="3"/>
      <c r="AQ456" s="7" t="s">
        <v>16475</v>
      </c>
      <c r="AR456" s="3"/>
      <c r="AS456" s="7" t="s">
        <v>16476</v>
      </c>
    </row>
    <row r="457" spans="1:45" ht="12.5" hidden="1" x14ac:dyDescent="0.25">
      <c r="A457" s="3" t="s">
        <v>12652</v>
      </c>
      <c r="B457" s="21" t="str">
        <f>HYPERLINK("https://gerandofalcoes.my.salesforce.com/0014P00003YSpA5QAL", "0014P00003YSpA5QAL")</f>
        <v>0014P00003YSpA5QAL</v>
      </c>
      <c r="C457" s="3" t="s">
        <v>10958</v>
      </c>
      <c r="D457" s="3" t="s">
        <v>46</v>
      </c>
      <c r="E457" s="21" t="str">
        <f>HYPERLINK("https://gerandofalcoes.my.salesforce.com/0034P000045kxkh", "0034P000045kxkh")</f>
        <v>0034P000045kxkh</v>
      </c>
      <c r="F457" s="3" t="s">
        <v>16477</v>
      </c>
      <c r="G457" s="3" t="s">
        <v>16478</v>
      </c>
      <c r="H457" s="3" t="s">
        <v>2538</v>
      </c>
      <c r="I457" s="3" t="s">
        <v>12654</v>
      </c>
      <c r="J457" s="3">
        <v>245</v>
      </c>
      <c r="K457" s="3" t="s">
        <v>16479</v>
      </c>
      <c r="L457" s="3" t="s">
        <v>10962</v>
      </c>
      <c r="M457" s="6">
        <v>32001</v>
      </c>
      <c r="N457" s="3">
        <v>35</v>
      </c>
      <c r="O457" s="3" t="s">
        <v>16480</v>
      </c>
      <c r="P457" s="3">
        <v>1567722644</v>
      </c>
      <c r="Q457" s="3"/>
      <c r="S457" s="3" t="s">
        <v>3605</v>
      </c>
      <c r="T457" s="3" t="s">
        <v>12682</v>
      </c>
      <c r="U457" s="3" t="s">
        <v>62</v>
      </c>
      <c r="V457" s="3" t="s">
        <v>16481</v>
      </c>
      <c r="X457" s="3" t="s">
        <v>2980</v>
      </c>
      <c r="Y457" s="3" t="s">
        <v>12684</v>
      </c>
      <c r="Z457" s="3" t="s">
        <v>12685</v>
      </c>
      <c r="AA457" s="3"/>
      <c r="AB457" s="3"/>
      <c r="AC457" s="3" t="s">
        <v>16482</v>
      </c>
      <c r="AD457" s="3">
        <v>285</v>
      </c>
      <c r="AE457" s="3" t="s">
        <v>16483</v>
      </c>
      <c r="AF457" s="3" t="s">
        <v>10965</v>
      </c>
      <c r="AG457" s="3" t="s">
        <v>647</v>
      </c>
      <c r="AH457" s="3" t="s">
        <v>10966</v>
      </c>
      <c r="AI457" s="3" t="s">
        <v>84</v>
      </c>
      <c r="AJ457" s="3" t="s">
        <v>2741</v>
      </c>
      <c r="AK457" s="3" t="s">
        <v>15396</v>
      </c>
      <c r="AL457" s="3" t="s">
        <v>2550</v>
      </c>
      <c r="AM457" s="3">
        <v>2</v>
      </c>
      <c r="AN457" s="3" t="s">
        <v>7216</v>
      </c>
      <c r="AP457" s="3"/>
      <c r="AQ457" s="7" t="s">
        <v>16484</v>
      </c>
      <c r="AR457" s="3" t="s">
        <v>12664</v>
      </c>
      <c r="AS457" s="7" t="s">
        <v>16485</v>
      </c>
    </row>
    <row r="458" spans="1:45" ht="12.5" hidden="1" x14ac:dyDescent="0.25">
      <c r="A458" s="3" t="s">
        <v>12652</v>
      </c>
      <c r="B458" s="21" t="str">
        <f>HYPERLINK("https://gerandofalcoes.my.salesforce.com/0014P00003YSpA6QAL", "0014P00003YSpA6QAL")</f>
        <v>0014P00003YSpA6QAL</v>
      </c>
      <c r="C458" s="3" t="s">
        <v>10973</v>
      </c>
      <c r="D458" s="3" t="s">
        <v>46</v>
      </c>
      <c r="E458" s="21" t="str">
        <f>HYPERLINK("https://gerandofalcoes.my.salesforce.com/0034P000045kxki", "0034P000045kxki")</f>
        <v>0034P000045kxki</v>
      </c>
      <c r="F458" s="3" t="s">
        <v>2607</v>
      </c>
      <c r="G458" s="3" t="s">
        <v>16486</v>
      </c>
      <c r="H458" s="3" t="s">
        <v>2538</v>
      </c>
      <c r="I458" s="3" t="s">
        <v>12654</v>
      </c>
      <c r="J458" s="3">
        <v>245</v>
      </c>
      <c r="K458" s="3" t="s">
        <v>10975</v>
      </c>
      <c r="L458" s="3" t="s">
        <v>16487</v>
      </c>
      <c r="M458" s="6">
        <v>25590</v>
      </c>
      <c r="N458" s="3">
        <v>52</v>
      </c>
      <c r="O458" s="3">
        <v>4108909</v>
      </c>
      <c r="P458" s="3">
        <v>7850231796914</v>
      </c>
      <c r="Q458" s="3"/>
      <c r="S458" s="3" t="s">
        <v>3417</v>
      </c>
      <c r="T458" s="3" t="s">
        <v>12723</v>
      </c>
      <c r="U458" s="3" t="s">
        <v>62</v>
      </c>
      <c r="V458" s="3" t="s">
        <v>16488</v>
      </c>
      <c r="X458" s="3" t="s">
        <v>2980</v>
      </c>
      <c r="Y458" s="3" t="s">
        <v>12670</v>
      </c>
      <c r="Z458" s="3" t="s">
        <v>2545</v>
      </c>
      <c r="AA458" s="3" t="s">
        <v>2577</v>
      </c>
      <c r="AB458" s="3" t="s">
        <v>2543</v>
      </c>
      <c r="AC458" s="3" t="s">
        <v>16489</v>
      </c>
      <c r="AD458" s="3">
        <v>369</v>
      </c>
      <c r="AE458" s="3" t="s">
        <v>673</v>
      </c>
      <c r="AF458" s="3" t="s">
        <v>177</v>
      </c>
      <c r="AG458" s="3" t="s">
        <v>16490</v>
      </c>
      <c r="AH458" s="3" t="s">
        <v>16491</v>
      </c>
      <c r="AI458" s="3" t="s">
        <v>84</v>
      </c>
      <c r="AJ458" s="3" t="s">
        <v>2569</v>
      </c>
      <c r="AK458" s="3" t="s">
        <v>12828</v>
      </c>
      <c r="AL458" s="3" t="s">
        <v>2579</v>
      </c>
      <c r="AM458" s="3">
        <v>1</v>
      </c>
      <c r="AN458" s="3" t="s">
        <v>7216</v>
      </c>
      <c r="AP458" s="3"/>
      <c r="AQ458" s="7" t="s">
        <v>16492</v>
      </c>
      <c r="AR458" s="3" t="s">
        <v>12664</v>
      </c>
      <c r="AS458" s="7" t="s">
        <v>16493</v>
      </c>
    </row>
    <row r="459" spans="1:45" ht="12.5" hidden="1" x14ac:dyDescent="0.25">
      <c r="A459" s="3" t="s">
        <v>12652</v>
      </c>
      <c r="B459" s="21" t="str">
        <f>HYPERLINK("https://gerandofalcoes.my.salesforce.com/0014P00003YSpA7QAL", "0014P00003YSpA7QAL")</f>
        <v>0014P00003YSpA7QAL</v>
      </c>
      <c r="C459" s="3" t="s">
        <v>10986</v>
      </c>
      <c r="D459" s="3" t="s">
        <v>46</v>
      </c>
      <c r="E459" s="21" t="str">
        <f>HYPERLINK("https://gerandofalcoes.my.salesforce.com/0034P000045kxkj", "0034P000045kxkj")</f>
        <v>0034P000045kxkj</v>
      </c>
      <c r="F459" s="3" t="s">
        <v>16494</v>
      </c>
      <c r="G459" s="3" t="s">
        <v>16495</v>
      </c>
      <c r="H459" s="3" t="s">
        <v>2538</v>
      </c>
      <c r="I459" s="3" t="s">
        <v>12654</v>
      </c>
      <c r="J459" s="3">
        <v>245</v>
      </c>
      <c r="K459" s="3" t="s">
        <v>10989</v>
      </c>
      <c r="L459" s="3" t="s">
        <v>16496</v>
      </c>
      <c r="M459" s="6">
        <v>26099</v>
      </c>
      <c r="N459" s="3">
        <v>51</v>
      </c>
      <c r="O459" s="3">
        <v>4754840</v>
      </c>
      <c r="P459" s="3">
        <v>49646346120</v>
      </c>
      <c r="Q459" s="3"/>
      <c r="S459" s="3" t="s">
        <v>3137</v>
      </c>
      <c r="T459" s="3" t="s">
        <v>12723</v>
      </c>
      <c r="U459" s="3" t="s">
        <v>62</v>
      </c>
      <c r="V459" s="3" t="s">
        <v>16497</v>
      </c>
      <c r="X459" s="3" t="s">
        <v>2980</v>
      </c>
      <c r="Y459" s="3" t="s">
        <v>12684</v>
      </c>
      <c r="Z459" s="3" t="s">
        <v>12685</v>
      </c>
      <c r="AA459" s="3"/>
      <c r="AB459" s="3"/>
      <c r="AC459" s="3" t="s">
        <v>16498</v>
      </c>
      <c r="AD459" s="3">
        <v>11</v>
      </c>
      <c r="AE459" s="3" t="s">
        <v>16499</v>
      </c>
      <c r="AF459" s="3" t="s">
        <v>10994</v>
      </c>
      <c r="AG459" s="3" t="s">
        <v>16500</v>
      </c>
      <c r="AH459" s="3" t="s">
        <v>10995</v>
      </c>
      <c r="AI459" s="3" t="s">
        <v>10991</v>
      </c>
      <c r="AJ459" s="3" t="s">
        <v>2741</v>
      </c>
      <c r="AK459" s="3" t="s">
        <v>3249</v>
      </c>
      <c r="AL459" s="3" t="s">
        <v>2550</v>
      </c>
      <c r="AM459" s="3">
        <v>5</v>
      </c>
      <c r="AN459" s="3" t="s">
        <v>7216</v>
      </c>
      <c r="AP459" s="3"/>
      <c r="AQ459" s="7" t="s">
        <v>16501</v>
      </c>
      <c r="AR459" s="3" t="s">
        <v>12664</v>
      </c>
      <c r="AS459" s="7" t="s">
        <v>16502</v>
      </c>
    </row>
    <row r="460" spans="1:45" ht="12.5" hidden="1" x14ac:dyDescent="0.25">
      <c r="A460" s="3" t="s">
        <v>12652</v>
      </c>
      <c r="B460" s="21" t="str">
        <f>HYPERLINK("https://gerandofalcoes.my.salesforce.com/0014P00003YSpA8QAL", "0014P00003YSpA8QAL")</f>
        <v>0014P00003YSpA8QAL</v>
      </c>
      <c r="C460" s="3" t="s">
        <v>11007</v>
      </c>
      <c r="D460" s="3" t="s">
        <v>46</v>
      </c>
      <c r="E460" s="21" t="str">
        <f>HYPERLINK("https://gerandofalcoes.my.salesforce.com/0034P000045kxkk", "0034P000045kxkk")</f>
        <v>0034P000045kxkk</v>
      </c>
      <c r="F460" s="3" t="s">
        <v>16503</v>
      </c>
      <c r="G460" s="3" t="s">
        <v>16504</v>
      </c>
      <c r="H460" s="3" t="s">
        <v>2538</v>
      </c>
      <c r="I460" s="3" t="s">
        <v>12654</v>
      </c>
      <c r="J460" s="3">
        <v>245</v>
      </c>
      <c r="K460" s="3" t="s">
        <v>11009</v>
      </c>
      <c r="L460" s="3" t="s">
        <v>11010</v>
      </c>
      <c r="M460" s="6">
        <v>32621</v>
      </c>
      <c r="N460" s="3">
        <v>33</v>
      </c>
      <c r="O460" s="3" t="s">
        <v>16505</v>
      </c>
      <c r="P460" s="3">
        <v>8806327631</v>
      </c>
      <c r="Q460" s="3"/>
      <c r="S460" s="3" t="s">
        <v>3417</v>
      </c>
      <c r="T460" s="3" t="s">
        <v>12656</v>
      </c>
      <c r="U460" s="3" t="s">
        <v>120</v>
      </c>
      <c r="V460" s="3" t="s">
        <v>16506</v>
      </c>
      <c r="X460" s="3" t="s">
        <v>2980</v>
      </c>
      <c r="Y460" s="3" t="s">
        <v>12684</v>
      </c>
      <c r="Z460" s="3" t="s">
        <v>12685</v>
      </c>
      <c r="AA460" s="3"/>
      <c r="AB460" s="3"/>
      <c r="AC460" s="3" t="s">
        <v>16507</v>
      </c>
      <c r="AD460" s="3">
        <v>1486</v>
      </c>
      <c r="AE460" s="3"/>
      <c r="AF460" s="3" t="s">
        <v>266</v>
      </c>
      <c r="AG460" s="3" t="s">
        <v>16508</v>
      </c>
      <c r="AH460" s="3" t="s">
        <v>16509</v>
      </c>
      <c r="AI460" s="3" t="s">
        <v>84</v>
      </c>
      <c r="AJ460" s="3" t="s">
        <v>2569</v>
      </c>
      <c r="AK460" s="3" t="s">
        <v>16161</v>
      </c>
      <c r="AL460" s="3" t="s">
        <v>2550</v>
      </c>
      <c r="AM460" s="3">
        <v>4</v>
      </c>
      <c r="AN460" s="3" t="s">
        <v>7216</v>
      </c>
      <c r="AP460" s="3" t="s">
        <v>3032</v>
      </c>
      <c r="AQ460" s="3" t="s">
        <v>16510</v>
      </c>
      <c r="AR460" s="3" t="s">
        <v>12664</v>
      </c>
      <c r="AS460" s="7" t="s">
        <v>16511</v>
      </c>
    </row>
    <row r="461" spans="1:45" ht="12.5" hidden="1" x14ac:dyDescent="0.25">
      <c r="A461" s="3" t="s">
        <v>12652</v>
      </c>
      <c r="B461" s="21" t="str">
        <f>HYPERLINK("https://gerandofalcoes.my.salesforce.com/0014P00003YSpA9QAL", "0014P00003YSpA9QAL")</f>
        <v>0014P00003YSpA9QAL</v>
      </c>
      <c r="C461" s="3" t="s">
        <v>11018</v>
      </c>
      <c r="D461" s="3" t="s">
        <v>46</v>
      </c>
      <c r="E461" s="21" t="str">
        <f>HYPERLINK("https://gerandofalcoes.my.salesforce.com/0034P000045kxkl", "0034P000045kxkl")</f>
        <v>0034P000045kxkl</v>
      </c>
      <c r="F461" s="3" t="s">
        <v>16512</v>
      </c>
      <c r="G461" s="3" t="s">
        <v>16513</v>
      </c>
      <c r="H461" s="3" t="s">
        <v>2538</v>
      </c>
      <c r="I461" s="3" t="s">
        <v>12654</v>
      </c>
      <c r="J461" s="3">
        <v>245</v>
      </c>
      <c r="K461" s="3" t="s">
        <v>16514</v>
      </c>
      <c r="L461" s="3" t="s">
        <v>16515</v>
      </c>
      <c r="M461" s="6">
        <v>31520</v>
      </c>
      <c r="N461" s="3">
        <v>36</v>
      </c>
      <c r="O461" s="3">
        <v>413812753</v>
      </c>
      <c r="P461" s="3">
        <v>34034758830</v>
      </c>
      <c r="Q461" s="3"/>
      <c r="S461" s="3" t="s">
        <v>3269</v>
      </c>
      <c r="T461" s="3" t="s">
        <v>12682</v>
      </c>
      <c r="U461" s="3" t="s">
        <v>62</v>
      </c>
      <c r="V461" s="3" t="s">
        <v>16516</v>
      </c>
      <c r="X461" s="3" t="s">
        <v>2980</v>
      </c>
      <c r="Y461" s="3" t="s">
        <v>12670</v>
      </c>
      <c r="Z461" s="3" t="s">
        <v>2543</v>
      </c>
      <c r="AA461" s="3" t="s">
        <v>2544</v>
      </c>
      <c r="AB461" s="3" t="s">
        <v>2545</v>
      </c>
      <c r="AC461" s="3" t="s">
        <v>16517</v>
      </c>
      <c r="AD461" s="3" t="s">
        <v>16518</v>
      </c>
      <c r="AE461" s="3"/>
      <c r="AF461" s="3" t="s">
        <v>369</v>
      </c>
      <c r="AG461" s="3" t="s">
        <v>16519</v>
      </c>
      <c r="AH461" s="3" t="s">
        <v>16520</v>
      </c>
      <c r="AI461" s="3" t="s">
        <v>84</v>
      </c>
      <c r="AJ461" s="3" t="s">
        <v>2569</v>
      </c>
      <c r="AK461" s="3" t="s">
        <v>12828</v>
      </c>
      <c r="AL461" s="3" t="s">
        <v>2579</v>
      </c>
      <c r="AM461" s="3">
        <v>4</v>
      </c>
      <c r="AN461" s="3" t="s">
        <v>7216</v>
      </c>
      <c r="AP461" s="3"/>
      <c r="AQ461" s="7" t="s">
        <v>16521</v>
      </c>
      <c r="AR461" s="3" t="s">
        <v>12676</v>
      </c>
      <c r="AS461" s="7" t="s">
        <v>16522</v>
      </c>
    </row>
    <row r="462" spans="1:45" ht="12.5" hidden="1" x14ac:dyDescent="0.25">
      <c r="A462" s="3" t="s">
        <v>12652</v>
      </c>
      <c r="B462" s="21" t="str">
        <f>HYPERLINK("https://gerandofalcoes.my.salesforce.com/0014P00003YSpACQA1", "0014P00003YSpACQA1")</f>
        <v>0014P00003YSpACQA1</v>
      </c>
      <c r="C462" s="3" t="s">
        <v>11033</v>
      </c>
      <c r="D462" s="3" t="s">
        <v>46</v>
      </c>
      <c r="E462" s="21" t="str">
        <f>HYPERLINK("https://gerandofalcoes.my.salesforce.com/0034P000045kxko", "0034P000045kxko")</f>
        <v>0034P000045kxko</v>
      </c>
      <c r="F462" s="3" t="s">
        <v>16523</v>
      </c>
      <c r="G462" s="3" t="s">
        <v>16524</v>
      </c>
      <c r="H462" s="3" t="s">
        <v>2538</v>
      </c>
      <c r="I462" s="3" t="s">
        <v>12654</v>
      </c>
      <c r="J462" s="3">
        <v>245</v>
      </c>
      <c r="K462" s="3" t="s">
        <v>11035</v>
      </c>
      <c r="L462" s="3" t="s">
        <v>11036</v>
      </c>
      <c r="M462" s="8">
        <v>28800</v>
      </c>
      <c r="N462" s="3">
        <v>44</v>
      </c>
      <c r="O462" s="3">
        <v>10893469</v>
      </c>
      <c r="P462" s="3">
        <v>4079398654</v>
      </c>
      <c r="Q462" s="3"/>
      <c r="S462" s="3" t="s">
        <v>3269</v>
      </c>
      <c r="T462" s="3" t="s">
        <v>12723</v>
      </c>
      <c r="U462" s="3" t="s">
        <v>120</v>
      </c>
      <c r="V462" s="3" t="s">
        <v>16525</v>
      </c>
      <c r="X462" s="3" t="s">
        <v>2980</v>
      </c>
      <c r="Y462" s="3" t="s">
        <v>12670</v>
      </c>
      <c r="Z462" s="3" t="s">
        <v>2543</v>
      </c>
      <c r="AA462" s="3" t="s">
        <v>2577</v>
      </c>
      <c r="AB462" s="3" t="s">
        <v>2545</v>
      </c>
      <c r="AC462" s="3" t="s">
        <v>16526</v>
      </c>
      <c r="AD462" s="3">
        <v>449</v>
      </c>
      <c r="AE462" s="3" t="s">
        <v>16527</v>
      </c>
      <c r="AF462" s="3" t="s">
        <v>6096</v>
      </c>
      <c r="AG462" s="3" t="s">
        <v>16528</v>
      </c>
      <c r="AH462" s="3" t="s">
        <v>16529</v>
      </c>
      <c r="AI462" s="3" t="s">
        <v>84</v>
      </c>
      <c r="AJ462" s="3" t="s">
        <v>2569</v>
      </c>
      <c r="AK462" s="3" t="s">
        <v>16161</v>
      </c>
      <c r="AL462" s="3" t="s">
        <v>2550</v>
      </c>
      <c r="AM462" s="3">
        <v>3</v>
      </c>
      <c r="AN462" s="3" t="s">
        <v>7216</v>
      </c>
      <c r="AP462" s="3"/>
      <c r="AQ462" s="3" t="s">
        <v>16530</v>
      </c>
      <c r="AR462" s="3" t="s">
        <v>12676</v>
      </c>
      <c r="AS462" s="7" t="s">
        <v>16531</v>
      </c>
    </row>
    <row r="463" spans="1:45" ht="12.5" hidden="1" x14ac:dyDescent="0.25">
      <c r="A463" s="3" t="s">
        <v>12652</v>
      </c>
      <c r="B463" s="21" t="str">
        <f>HYPERLINK("https://gerandofalcoes.my.salesforce.com/0014P00003YSpADQA1", "0014P00003YSpADQA1")</f>
        <v>0014P00003YSpADQA1</v>
      </c>
      <c r="C463" s="3" t="s">
        <v>11044</v>
      </c>
      <c r="D463" s="3" t="s">
        <v>46</v>
      </c>
      <c r="E463" s="21" t="str">
        <f>HYPERLINK("https://gerandofalcoes.my.salesforce.com/0034P000045kxkp", "0034P000045kxkp")</f>
        <v>0034P000045kxkp</v>
      </c>
      <c r="F463" s="3" t="s">
        <v>16532</v>
      </c>
      <c r="G463" s="3" t="s">
        <v>16533</v>
      </c>
      <c r="H463" s="3" t="s">
        <v>2538</v>
      </c>
      <c r="I463" s="3" t="s">
        <v>12654</v>
      </c>
      <c r="J463" s="3">
        <v>245</v>
      </c>
      <c r="K463" s="3" t="s">
        <v>11047</v>
      </c>
      <c r="L463" s="3" t="s">
        <v>11048</v>
      </c>
      <c r="M463" s="6">
        <v>22570</v>
      </c>
      <c r="N463" s="3">
        <v>61</v>
      </c>
      <c r="O463" s="3" t="s">
        <v>16534</v>
      </c>
      <c r="P463" s="3">
        <v>47520248615</v>
      </c>
      <c r="Q463" s="3"/>
      <c r="S463" s="3" t="s">
        <v>2998</v>
      </c>
      <c r="T463" s="3" t="s">
        <v>12682</v>
      </c>
      <c r="U463" s="3" t="s">
        <v>62</v>
      </c>
      <c r="V463" s="3" t="s">
        <v>16535</v>
      </c>
      <c r="X463" s="3" t="s">
        <v>2980</v>
      </c>
      <c r="Y463" s="3" t="s">
        <v>12670</v>
      </c>
      <c r="Z463" s="3" t="s">
        <v>2543</v>
      </c>
      <c r="AA463" s="3" t="s">
        <v>2577</v>
      </c>
      <c r="AB463" s="3" t="s">
        <v>2543</v>
      </c>
      <c r="AC463" s="3" t="s">
        <v>16536</v>
      </c>
      <c r="AD463" s="3">
        <v>2189</v>
      </c>
      <c r="AE463" s="3" t="s">
        <v>673</v>
      </c>
      <c r="AF463" s="3" t="s">
        <v>11051</v>
      </c>
      <c r="AG463" s="3" t="s">
        <v>16537</v>
      </c>
      <c r="AH463" s="3" t="s">
        <v>3548</v>
      </c>
      <c r="AI463" s="3" t="s">
        <v>84</v>
      </c>
      <c r="AJ463" s="3" t="s">
        <v>2548</v>
      </c>
      <c r="AK463" s="3" t="s">
        <v>12828</v>
      </c>
      <c r="AL463" s="3" t="s">
        <v>2550</v>
      </c>
      <c r="AM463" s="3">
        <v>2</v>
      </c>
      <c r="AN463" s="3" t="s">
        <v>7216</v>
      </c>
      <c r="AP463" s="7" t="s">
        <v>16538</v>
      </c>
      <c r="AQ463" s="3" t="s">
        <v>16539</v>
      </c>
      <c r="AR463" s="3" t="s">
        <v>12676</v>
      </c>
      <c r="AS463" s="7" t="s">
        <v>16540</v>
      </c>
    </row>
    <row r="464" spans="1:45" ht="12.5" hidden="1" x14ac:dyDescent="0.25">
      <c r="A464" s="3" t="s">
        <v>12652</v>
      </c>
      <c r="B464" s="21" t="str">
        <f>HYPERLINK("https://gerandofalcoes.my.salesforce.com/0014P00003YSpAEQA1", "0014P00003YSpAEQA1")</f>
        <v>0014P00003YSpAEQA1</v>
      </c>
      <c r="C464" s="3" t="s">
        <v>11064</v>
      </c>
      <c r="D464" s="3" t="s">
        <v>46</v>
      </c>
      <c r="E464" s="21" t="str">
        <f>HYPERLINK("https://gerandofalcoes.my.salesforce.com/0034P000045kxkq", "0034P000045kxkq")</f>
        <v>0034P000045kxkq</v>
      </c>
      <c r="F464" s="3" t="s">
        <v>16541</v>
      </c>
      <c r="G464" s="3" t="s">
        <v>16542</v>
      </c>
      <c r="H464" s="3" t="s">
        <v>2538</v>
      </c>
      <c r="I464" s="3" t="s">
        <v>12654</v>
      </c>
      <c r="J464" s="3">
        <v>245</v>
      </c>
      <c r="K464" s="3" t="s">
        <v>16543</v>
      </c>
      <c r="L464" s="3" t="s">
        <v>16544</v>
      </c>
      <c r="M464" s="6">
        <v>34264</v>
      </c>
      <c r="N464" s="3">
        <v>29</v>
      </c>
      <c r="O464" s="3">
        <v>10556125</v>
      </c>
      <c r="P464" s="3">
        <v>1573345202</v>
      </c>
      <c r="Q464" s="3"/>
      <c r="S464" s="3" t="s">
        <v>3137</v>
      </c>
      <c r="T464" s="3" t="s">
        <v>12723</v>
      </c>
      <c r="U464" s="3" t="s">
        <v>120</v>
      </c>
      <c r="V464" s="3" t="s">
        <v>16545</v>
      </c>
      <c r="X464" s="3" t="s">
        <v>2980</v>
      </c>
      <c r="Y464" s="3" t="s">
        <v>12670</v>
      </c>
      <c r="Z464" s="3" t="s">
        <v>2545</v>
      </c>
      <c r="AA464" s="3" t="s">
        <v>2577</v>
      </c>
      <c r="AB464" s="3" t="s">
        <v>2545</v>
      </c>
      <c r="AC464" s="3" t="s">
        <v>16546</v>
      </c>
      <c r="AD464" s="3">
        <v>373</v>
      </c>
      <c r="AE464" s="3"/>
      <c r="AF464" s="3" t="s">
        <v>5319</v>
      </c>
      <c r="AG464" s="3" t="s">
        <v>16547</v>
      </c>
      <c r="AH464" s="3" t="s">
        <v>16548</v>
      </c>
      <c r="AI464" s="3" t="s">
        <v>5316</v>
      </c>
      <c r="AJ464" s="3" t="s">
        <v>2741</v>
      </c>
      <c r="AK464" s="3" t="s">
        <v>12828</v>
      </c>
      <c r="AL464" s="3" t="s">
        <v>2588</v>
      </c>
      <c r="AM464" s="3">
        <v>3</v>
      </c>
      <c r="AN464" s="3" t="s">
        <v>7216</v>
      </c>
      <c r="AP464" s="3" t="s">
        <v>16549</v>
      </c>
      <c r="AQ464" s="3" t="s">
        <v>16550</v>
      </c>
      <c r="AR464" s="3" t="s">
        <v>12676</v>
      </c>
      <c r="AS464" s="7" t="s">
        <v>16551</v>
      </c>
    </row>
    <row r="465" spans="1:45" ht="12.5" hidden="1" x14ac:dyDescent="0.25">
      <c r="A465" s="3" t="s">
        <v>12652</v>
      </c>
      <c r="B465" s="21" t="str">
        <f>HYPERLINK("https://gerandofalcoes.my.salesforce.com/0014P00003YSpAGQA1", "0014P00003YSpAGQA1")</f>
        <v>0014P00003YSpAGQA1</v>
      </c>
      <c r="C465" s="3" t="s">
        <v>11077</v>
      </c>
      <c r="D465" s="3" t="s">
        <v>46</v>
      </c>
      <c r="E465" s="21" t="str">
        <f>HYPERLINK("https://gerandofalcoes.my.salesforce.com/0034P000045kxks", "0034P000045kxks")</f>
        <v>0034P000045kxks</v>
      </c>
      <c r="F465" s="3" t="s">
        <v>2773</v>
      </c>
      <c r="G465" s="3" t="s">
        <v>16552</v>
      </c>
      <c r="H465" s="3" t="s">
        <v>2538</v>
      </c>
      <c r="I465" s="3" t="s">
        <v>12654</v>
      </c>
      <c r="J465" s="3">
        <v>245</v>
      </c>
      <c r="K465" s="3" t="s">
        <v>16553</v>
      </c>
      <c r="L465" s="3" t="s">
        <v>11081</v>
      </c>
      <c r="M465" s="6">
        <v>33012</v>
      </c>
      <c r="N465" s="3">
        <v>32</v>
      </c>
      <c r="O465" s="3">
        <v>16199563</v>
      </c>
      <c r="P465" s="3">
        <v>10018829627</v>
      </c>
      <c r="Q465" s="3"/>
      <c r="S465" s="3" t="s">
        <v>2998</v>
      </c>
      <c r="T465" s="3" t="s">
        <v>12723</v>
      </c>
      <c r="U465" s="3" t="s">
        <v>120</v>
      </c>
      <c r="V465" s="3" t="s">
        <v>16554</v>
      </c>
      <c r="X465" s="3" t="s">
        <v>2980</v>
      </c>
      <c r="Y465" s="3" t="s">
        <v>12670</v>
      </c>
      <c r="Z465" s="3" t="s">
        <v>2543</v>
      </c>
      <c r="AA465" s="3" t="s">
        <v>2544</v>
      </c>
      <c r="AB465" s="3" t="s">
        <v>2545</v>
      </c>
      <c r="AC465" s="3" t="s">
        <v>16555</v>
      </c>
      <c r="AD465" s="3">
        <v>4</v>
      </c>
      <c r="AE465" s="3" t="s">
        <v>1539</v>
      </c>
      <c r="AF465" s="3" t="s">
        <v>266</v>
      </c>
      <c r="AG465" s="3" t="s">
        <v>16556</v>
      </c>
      <c r="AH465" s="3" t="s">
        <v>16557</v>
      </c>
      <c r="AI465" s="3" t="s">
        <v>84</v>
      </c>
      <c r="AJ465" s="3" t="s">
        <v>2741</v>
      </c>
      <c r="AK465" s="3" t="s">
        <v>12661</v>
      </c>
      <c r="AL465" s="3" t="s">
        <v>2550</v>
      </c>
      <c r="AM465" s="3">
        <v>2</v>
      </c>
      <c r="AN465" s="3" t="s">
        <v>7216</v>
      </c>
      <c r="AO465" s="3" t="s">
        <v>14516</v>
      </c>
      <c r="AP465" s="7" t="s">
        <v>16558</v>
      </c>
      <c r="AQ465" s="7" t="s">
        <v>16559</v>
      </c>
      <c r="AR465" s="3" t="s">
        <v>12676</v>
      </c>
      <c r="AS465" s="7" t="s">
        <v>16560</v>
      </c>
    </row>
    <row r="466" spans="1:45" ht="12.5" hidden="1" x14ac:dyDescent="0.25">
      <c r="A466" s="3" t="s">
        <v>12652</v>
      </c>
      <c r="B466" s="21" t="str">
        <f>HYPERLINK("https://gerandofalcoes.my.salesforce.com/0014P00003YSpAHQA1", "0014P00003YSpAHQA1")</f>
        <v>0014P00003YSpAHQA1</v>
      </c>
      <c r="C466" s="3" t="s">
        <v>11087</v>
      </c>
      <c r="D466" s="3" t="s">
        <v>46</v>
      </c>
      <c r="E466" s="21" t="str">
        <f>HYPERLINK("https://gerandofalcoes.my.salesforce.com/0034P000045kxkt", "0034P000045kxkt")</f>
        <v>0034P000045kxkt</v>
      </c>
      <c r="F466" s="3" t="s">
        <v>2616</v>
      </c>
      <c r="G466" s="3" t="s">
        <v>16561</v>
      </c>
      <c r="H466" s="3" t="s">
        <v>2538</v>
      </c>
      <c r="I466" s="3" t="s">
        <v>12654</v>
      </c>
      <c r="J466" s="3">
        <v>245</v>
      </c>
      <c r="K466" s="3" t="s">
        <v>11090</v>
      </c>
      <c r="L466" s="3" t="s">
        <v>16562</v>
      </c>
      <c r="M466" s="8">
        <v>30451</v>
      </c>
      <c r="N466" s="3">
        <v>39</v>
      </c>
      <c r="O466" s="3" t="s">
        <v>16563</v>
      </c>
      <c r="P466" s="3">
        <v>1278478639</v>
      </c>
      <c r="Q466" s="3"/>
      <c r="S466" s="3" t="s">
        <v>3417</v>
      </c>
      <c r="T466" s="3" t="s">
        <v>12656</v>
      </c>
      <c r="U466" s="3" t="s">
        <v>62</v>
      </c>
      <c r="V466" s="3" t="s">
        <v>16564</v>
      </c>
      <c r="X466" s="3" t="s">
        <v>2980</v>
      </c>
      <c r="Y466" s="3" t="s">
        <v>12670</v>
      </c>
      <c r="Z466" s="3" t="s">
        <v>2543</v>
      </c>
      <c r="AA466" s="3" t="s">
        <v>2544</v>
      </c>
      <c r="AB466" s="3" t="s">
        <v>2545</v>
      </c>
      <c r="AC466" s="3" t="s">
        <v>16565</v>
      </c>
      <c r="AD466" s="3">
        <v>350</v>
      </c>
      <c r="AE466" s="3" t="s">
        <v>673</v>
      </c>
      <c r="AF466" s="3" t="s">
        <v>5457</v>
      </c>
      <c r="AG466" s="3" t="s">
        <v>9734</v>
      </c>
      <c r="AH466" s="3" t="s">
        <v>16566</v>
      </c>
      <c r="AI466" s="3" t="s">
        <v>84</v>
      </c>
      <c r="AJ466" s="3" t="s">
        <v>2741</v>
      </c>
      <c r="AK466" s="3" t="s">
        <v>16567</v>
      </c>
      <c r="AL466" s="3" t="s">
        <v>2579</v>
      </c>
      <c r="AM466" s="3">
        <v>4</v>
      </c>
      <c r="AN466" s="3" t="s">
        <v>7216</v>
      </c>
      <c r="AO466" s="3"/>
      <c r="AP466" s="3"/>
      <c r="AQ466" s="3" t="s">
        <v>16568</v>
      </c>
      <c r="AR466" s="3" t="s">
        <v>12676</v>
      </c>
      <c r="AS466" s="7" t="s">
        <v>16569</v>
      </c>
    </row>
    <row r="467" spans="1:45" ht="12.5" hidden="1" x14ac:dyDescent="0.25">
      <c r="A467" s="3" t="s">
        <v>12652</v>
      </c>
      <c r="B467" s="21" t="str">
        <f>HYPERLINK("https://gerandofalcoes.my.salesforce.com/0014P00003YSpAIQA1", "0014P00003YSpAIQA1")</f>
        <v>0014P00003YSpAIQA1</v>
      </c>
      <c r="C467" s="3" t="s">
        <v>11106</v>
      </c>
      <c r="D467" s="3" t="s">
        <v>46</v>
      </c>
      <c r="E467" s="21" t="str">
        <f>HYPERLINK("https://gerandofalcoes.my.salesforce.com/0034P000045kxku", "0034P000045kxku")</f>
        <v>0034P000045kxku</v>
      </c>
      <c r="F467" s="3" t="s">
        <v>7810</v>
      </c>
      <c r="G467" s="3" t="s">
        <v>16570</v>
      </c>
      <c r="H467" s="3" t="s">
        <v>2538</v>
      </c>
      <c r="I467" s="3" t="s">
        <v>12654</v>
      </c>
      <c r="J467" s="3">
        <v>245</v>
      </c>
      <c r="K467" s="3" t="s">
        <v>16571</v>
      </c>
      <c r="L467" s="3" t="s">
        <v>11111</v>
      </c>
      <c r="M467" s="6">
        <v>28762</v>
      </c>
      <c r="N467" s="3">
        <v>44</v>
      </c>
      <c r="O467" s="3">
        <v>11230165</v>
      </c>
      <c r="P467" s="3">
        <v>3982115663</v>
      </c>
      <c r="Q467" s="3"/>
      <c r="R467" s="3"/>
      <c r="S467" s="3" t="s">
        <v>2998</v>
      </c>
      <c r="T467" s="3" t="s">
        <v>12682</v>
      </c>
      <c r="U467" s="3" t="s">
        <v>120</v>
      </c>
      <c r="V467" s="3" t="s">
        <v>16572</v>
      </c>
      <c r="X467" s="3" t="s">
        <v>2980</v>
      </c>
      <c r="Y467" s="3" t="s">
        <v>12670</v>
      </c>
      <c r="Z467" s="3" t="s">
        <v>2543</v>
      </c>
      <c r="AA467" s="3" t="s">
        <v>2577</v>
      </c>
      <c r="AB467" s="3" t="s">
        <v>2545</v>
      </c>
      <c r="AC467" s="3" t="s">
        <v>16573</v>
      </c>
      <c r="AD467" s="3">
        <v>8</v>
      </c>
      <c r="AE467" s="3" t="s">
        <v>16574</v>
      </c>
      <c r="AF467" s="3" t="s">
        <v>11114</v>
      </c>
      <c r="AG467" s="3" t="s">
        <v>10667</v>
      </c>
      <c r="AH467" s="3" t="s">
        <v>16575</v>
      </c>
      <c r="AI467" s="3" t="s">
        <v>84</v>
      </c>
      <c r="AJ467" s="3" t="s">
        <v>2741</v>
      </c>
      <c r="AK467" s="3" t="s">
        <v>15396</v>
      </c>
      <c r="AL467" s="3" t="s">
        <v>2550</v>
      </c>
      <c r="AM467" s="3">
        <v>4</v>
      </c>
      <c r="AN467" s="3" t="s">
        <v>7216</v>
      </c>
      <c r="AP467" s="7" t="s">
        <v>16576</v>
      </c>
      <c r="AQ467" s="7" t="s">
        <v>16577</v>
      </c>
      <c r="AR467" s="3" t="s">
        <v>12676</v>
      </c>
      <c r="AS467" s="7" t="s">
        <v>16578</v>
      </c>
    </row>
    <row r="468" spans="1:45" ht="12.5" hidden="1" x14ac:dyDescent="0.25">
      <c r="A468" s="3" t="s">
        <v>12652</v>
      </c>
      <c r="B468" s="21" t="str">
        <f>HYPERLINK("https://gerandofalcoes.my.salesforce.com/0014P00003YSpAJQA1", "0014P00003YSpAJQA1")</f>
        <v>0014P00003YSpAJQA1</v>
      </c>
      <c r="C468" s="3" t="s">
        <v>11121</v>
      </c>
      <c r="D468" s="3" t="s">
        <v>46</v>
      </c>
      <c r="E468" s="21" t="str">
        <f>HYPERLINK("https://gerandofalcoes.my.salesforce.com/0034P000045kxkv", "0034P000045kxkv")</f>
        <v>0034P000045kxkv</v>
      </c>
      <c r="F468" s="3" t="s">
        <v>16579</v>
      </c>
      <c r="G468" s="3" t="s">
        <v>16580</v>
      </c>
      <c r="H468" s="3" t="s">
        <v>2538</v>
      </c>
      <c r="I468" s="3" t="s">
        <v>12654</v>
      </c>
      <c r="J468" s="3">
        <v>245</v>
      </c>
      <c r="K468" s="3" t="s">
        <v>11124</v>
      </c>
      <c r="L468" s="3" t="s">
        <v>16581</v>
      </c>
      <c r="M468" s="6">
        <v>24803</v>
      </c>
      <c r="N468" s="3">
        <v>55</v>
      </c>
      <c r="O468" s="3">
        <v>4102501</v>
      </c>
      <c r="P468" s="3">
        <v>58625445691</v>
      </c>
      <c r="Q468" s="3"/>
      <c r="S468" s="3" t="s">
        <v>3137</v>
      </c>
      <c r="T468" s="3" t="s">
        <v>12723</v>
      </c>
      <c r="U468" s="3" t="s">
        <v>120</v>
      </c>
      <c r="V468" s="3" t="s">
        <v>16582</v>
      </c>
      <c r="X468" s="3" t="s">
        <v>2980</v>
      </c>
      <c r="Y468" s="3" t="s">
        <v>12670</v>
      </c>
      <c r="Z468" s="3" t="s">
        <v>2545</v>
      </c>
      <c r="AA468" s="3" t="s">
        <v>2544</v>
      </c>
      <c r="AB468" s="3" t="s">
        <v>2545</v>
      </c>
      <c r="AC468" s="3" t="s">
        <v>16583</v>
      </c>
      <c r="AD468" s="3">
        <v>579</v>
      </c>
      <c r="AE468" s="3"/>
      <c r="AF468" s="3" t="s">
        <v>1339</v>
      </c>
      <c r="AG468" s="3" t="s">
        <v>16584</v>
      </c>
      <c r="AH468" s="3" t="s">
        <v>16585</v>
      </c>
      <c r="AI468" s="3" t="s">
        <v>84</v>
      </c>
      <c r="AJ468" s="3" t="s">
        <v>2569</v>
      </c>
      <c r="AK468" s="3" t="s">
        <v>3249</v>
      </c>
      <c r="AL468" s="3" t="s">
        <v>2550</v>
      </c>
      <c r="AM468" s="3">
        <v>2</v>
      </c>
      <c r="AN468" s="3" t="s">
        <v>7216</v>
      </c>
      <c r="AP468" s="7" t="s">
        <v>16586</v>
      </c>
      <c r="AQ468" s="7" t="s">
        <v>16587</v>
      </c>
      <c r="AR468" s="3" t="s">
        <v>12676</v>
      </c>
      <c r="AS468" s="7" t="s">
        <v>16588</v>
      </c>
    </row>
    <row r="469" spans="1:45" ht="12.5" hidden="1" x14ac:dyDescent="0.25">
      <c r="A469" s="3" t="s">
        <v>12652</v>
      </c>
      <c r="B469" s="21" t="str">
        <f>HYPERLINK("https://gerandofalcoes.my.salesforce.com/0014P00003YSpAKQA1", "0014P00003YSpAKQA1")</f>
        <v>0014P00003YSpAKQA1</v>
      </c>
      <c r="C469" s="3" t="s">
        <v>11140</v>
      </c>
      <c r="D469" s="3" t="s">
        <v>46</v>
      </c>
      <c r="E469" s="21" t="str">
        <f>HYPERLINK("https://gerandofalcoes.my.salesforce.com/0034P000045kxkw", "0034P000045kxkw")</f>
        <v>0034P000045kxkw</v>
      </c>
      <c r="F469" s="3" t="s">
        <v>13723</v>
      </c>
      <c r="G469" s="3" t="s">
        <v>16589</v>
      </c>
      <c r="H469" s="3" t="s">
        <v>2538</v>
      </c>
      <c r="I469" s="3" t="s">
        <v>12654</v>
      </c>
      <c r="J469" s="3">
        <v>245</v>
      </c>
      <c r="K469" s="3" t="s">
        <v>16590</v>
      </c>
      <c r="L469" s="3" t="s">
        <v>16591</v>
      </c>
      <c r="M469" s="6">
        <v>35114</v>
      </c>
      <c r="N469" s="3">
        <v>26</v>
      </c>
      <c r="O469" s="3">
        <v>3284649</v>
      </c>
      <c r="P469" s="3">
        <v>5316810171</v>
      </c>
      <c r="Q469" s="3"/>
      <c r="S469" s="3" t="s">
        <v>3269</v>
      </c>
      <c r="T469" s="3" t="s">
        <v>12682</v>
      </c>
      <c r="U469" s="3" t="s">
        <v>120</v>
      </c>
      <c r="V469" s="3" t="s">
        <v>16592</v>
      </c>
      <c r="X469" s="3" t="s">
        <v>2980</v>
      </c>
      <c r="Y469" s="3" t="s">
        <v>12658</v>
      </c>
      <c r="Z469" s="3" t="s">
        <v>2543</v>
      </c>
      <c r="AA469" s="3" t="s">
        <v>2544</v>
      </c>
      <c r="AB469" s="3" t="s">
        <v>2545</v>
      </c>
      <c r="AC469" s="3" t="s">
        <v>16593</v>
      </c>
      <c r="AD469" s="3">
        <v>708</v>
      </c>
      <c r="AE469" s="3"/>
      <c r="AF469" s="3" t="s">
        <v>11147</v>
      </c>
      <c r="AG469" s="3" t="s">
        <v>16594</v>
      </c>
      <c r="AH469" s="3" t="s">
        <v>11148</v>
      </c>
      <c r="AI469" s="3" t="s">
        <v>280</v>
      </c>
      <c r="AJ469" s="3" t="s">
        <v>2548</v>
      </c>
      <c r="AK469" s="3" t="s">
        <v>3249</v>
      </c>
      <c r="AL469" s="3" t="s">
        <v>2550</v>
      </c>
      <c r="AM469" s="3">
        <v>1</v>
      </c>
      <c r="AN469" s="3" t="s">
        <v>7216</v>
      </c>
      <c r="AP469" s="3"/>
      <c r="AQ469" s="7" t="s">
        <v>16595</v>
      </c>
      <c r="AR469" s="3" t="s">
        <v>12664</v>
      </c>
      <c r="AS469" s="7" t="s">
        <v>16596</v>
      </c>
    </row>
    <row r="470" spans="1:45" ht="12.5" hidden="1" x14ac:dyDescent="0.25">
      <c r="A470" s="3" t="s">
        <v>12652</v>
      </c>
      <c r="B470" s="21" t="str">
        <f>HYPERLINK("https://gerandofalcoes.my.salesforce.com/0014P00003YSpALQA1", "0014P00003YSpALQA1")</f>
        <v>0014P00003YSpALQA1</v>
      </c>
      <c r="C470" s="3" t="s">
        <v>11156</v>
      </c>
      <c r="D470" s="3" t="s">
        <v>46</v>
      </c>
      <c r="E470" s="21" t="str">
        <f>HYPERLINK("https://gerandofalcoes.my.salesforce.com/0034P000045kxkx", "0034P000045kxkx")</f>
        <v>0034P000045kxkx</v>
      </c>
      <c r="F470" s="3" t="s">
        <v>16597</v>
      </c>
      <c r="G470" s="3" t="s">
        <v>16598</v>
      </c>
      <c r="H470" s="3" t="s">
        <v>2538</v>
      </c>
      <c r="I470" s="3" t="s">
        <v>12654</v>
      </c>
      <c r="J470" s="3">
        <v>245</v>
      </c>
      <c r="K470" s="3" t="s">
        <v>16599</v>
      </c>
      <c r="L470" s="3" t="s">
        <v>16600</v>
      </c>
      <c r="M470" s="6">
        <v>31833</v>
      </c>
      <c r="N470" s="3">
        <v>35</v>
      </c>
      <c r="O470" s="3" t="s">
        <v>16601</v>
      </c>
      <c r="P470" s="3">
        <v>8934041609</v>
      </c>
      <c r="Q470" s="3"/>
      <c r="S470" s="3" t="s">
        <v>3269</v>
      </c>
      <c r="T470" s="3" t="s">
        <v>12656</v>
      </c>
      <c r="U470" s="3" t="s">
        <v>120</v>
      </c>
      <c r="V470" s="3" t="s">
        <v>16602</v>
      </c>
      <c r="X470" s="3" t="s">
        <v>2980</v>
      </c>
      <c r="Y470" s="3" t="s">
        <v>12670</v>
      </c>
      <c r="Z470" s="3" t="s">
        <v>2543</v>
      </c>
      <c r="AA470" s="3" t="s">
        <v>2544</v>
      </c>
      <c r="AB470" s="3" t="s">
        <v>2543</v>
      </c>
      <c r="AC470" s="3" t="s">
        <v>16603</v>
      </c>
      <c r="AD470" s="3">
        <v>278</v>
      </c>
      <c r="AF470" s="3" t="s">
        <v>5167</v>
      </c>
      <c r="AG470" s="3" t="s">
        <v>16604</v>
      </c>
      <c r="AH470" s="3" t="s">
        <v>5169</v>
      </c>
      <c r="AI470" s="3" t="s">
        <v>84</v>
      </c>
      <c r="AJ470" s="3" t="s">
        <v>2741</v>
      </c>
      <c r="AK470" s="3" t="s">
        <v>15585</v>
      </c>
      <c r="AL470" s="3" t="s">
        <v>2588</v>
      </c>
      <c r="AM470" s="3">
        <v>3</v>
      </c>
      <c r="AN470" s="3" t="s">
        <v>7216</v>
      </c>
      <c r="AP470" s="3"/>
      <c r="AQ470" s="3"/>
      <c r="AR470" s="3" t="s">
        <v>12676</v>
      </c>
      <c r="AS470" s="7" t="s">
        <v>16605</v>
      </c>
    </row>
    <row r="471" spans="1:45" ht="12.5" hidden="1" x14ac:dyDescent="0.25">
      <c r="A471" s="3" t="s">
        <v>12652</v>
      </c>
      <c r="B471" s="21" t="str">
        <f>HYPERLINK("https://gerandofalcoes.my.salesforce.com/0014P00003YSpAMQA1", "0014P00003YSpAMQA1")</f>
        <v>0014P00003YSpAMQA1</v>
      </c>
      <c r="C471" s="3" t="s">
        <v>11172</v>
      </c>
      <c r="D471" s="3" t="s">
        <v>46</v>
      </c>
      <c r="E471" s="21" t="str">
        <f>HYPERLINK("https://gerandofalcoes.my.salesforce.com/0034P000045kxky", "0034P000045kxky")</f>
        <v>0034P000045kxky</v>
      </c>
      <c r="F471" s="3" t="s">
        <v>16606</v>
      </c>
      <c r="G471" s="3" t="s">
        <v>16607</v>
      </c>
      <c r="H471" s="3" t="s">
        <v>2538</v>
      </c>
      <c r="I471" s="3" t="s">
        <v>12654</v>
      </c>
      <c r="J471" s="3">
        <v>245</v>
      </c>
      <c r="K471" s="3" t="s">
        <v>16608</v>
      </c>
      <c r="L471" s="3" t="s">
        <v>16609</v>
      </c>
      <c r="M471" s="6">
        <v>24575</v>
      </c>
      <c r="N471" s="3">
        <v>55</v>
      </c>
      <c r="O471" s="3" t="s">
        <v>16610</v>
      </c>
      <c r="P471" s="3">
        <v>359563643</v>
      </c>
      <c r="Q471" s="3"/>
      <c r="R471" s="3"/>
      <c r="S471" s="3" t="s">
        <v>3137</v>
      </c>
      <c r="T471" s="3" t="s">
        <v>12723</v>
      </c>
      <c r="U471" s="3" t="s">
        <v>120</v>
      </c>
      <c r="V471" s="3" t="s">
        <v>16611</v>
      </c>
      <c r="X471" s="3" t="s">
        <v>2980</v>
      </c>
      <c r="Y471" s="3" t="s">
        <v>12670</v>
      </c>
      <c r="Z471" s="3" t="s">
        <v>2543</v>
      </c>
      <c r="AA471" s="3" t="s">
        <v>2544</v>
      </c>
      <c r="AB471" s="3" t="s">
        <v>2545</v>
      </c>
      <c r="AC471" s="3" t="s">
        <v>16612</v>
      </c>
      <c r="AD471" s="3">
        <v>98</v>
      </c>
      <c r="AF471" s="3" t="s">
        <v>4516</v>
      </c>
      <c r="AG471" s="3" t="s">
        <v>4515</v>
      </c>
      <c r="AH471" s="3" t="s">
        <v>4517</v>
      </c>
      <c r="AI471" s="3" t="s">
        <v>84</v>
      </c>
      <c r="AJ471" s="3" t="s">
        <v>2569</v>
      </c>
      <c r="AK471" s="3" t="s">
        <v>12674</v>
      </c>
      <c r="AL471" s="3" t="s">
        <v>2550</v>
      </c>
      <c r="AM471" s="3">
        <v>2</v>
      </c>
      <c r="AN471" s="3" t="s">
        <v>7216</v>
      </c>
      <c r="AP471" s="3"/>
      <c r="AQ471" s="3" t="s">
        <v>16613</v>
      </c>
      <c r="AR471" s="3" t="s">
        <v>12676</v>
      </c>
      <c r="AS471" s="7" t="s">
        <v>16614</v>
      </c>
    </row>
    <row r="472" spans="1:45" ht="12.5" hidden="1" x14ac:dyDescent="0.25">
      <c r="A472" s="3" t="s">
        <v>12652</v>
      </c>
      <c r="B472" s="21" t="str">
        <f>HYPERLINK("https://gerandofalcoes.my.salesforce.com/0014P00003YSpP9QAL", "0014P00003YSpP9QAL")</f>
        <v>0014P00003YSpP9QAL</v>
      </c>
      <c r="C472" s="3" t="s">
        <v>11183</v>
      </c>
      <c r="D472" s="3" t="s">
        <v>46</v>
      </c>
      <c r="E472" s="21" t="str">
        <f>HYPERLINK("https://gerandofalcoes.my.salesforce.com/0034P000045kxjL", "0034P000045kxjL")</f>
        <v>0034P000045kxjL</v>
      </c>
      <c r="F472" s="3" t="s">
        <v>2936</v>
      </c>
      <c r="G472" s="3" t="s">
        <v>16615</v>
      </c>
      <c r="H472" s="3" t="s">
        <v>2538</v>
      </c>
      <c r="I472" s="3" t="s">
        <v>12654</v>
      </c>
      <c r="J472" s="3">
        <v>245</v>
      </c>
      <c r="K472" s="3" t="s">
        <v>16616</v>
      </c>
      <c r="L472" s="3" t="s">
        <v>11187</v>
      </c>
      <c r="M472" s="6">
        <v>29343</v>
      </c>
      <c r="N472" s="3">
        <v>42</v>
      </c>
      <c r="O472" s="3">
        <v>453034646</v>
      </c>
      <c r="P472" s="3">
        <v>30195179885</v>
      </c>
      <c r="Q472" s="3"/>
      <c r="S472" s="3" t="s">
        <v>2998</v>
      </c>
      <c r="T472" s="3" t="s">
        <v>12656</v>
      </c>
      <c r="U472" s="3" t="s">
        <v>62</v>
      </c>
      <c r="V472" s="3" t="s">
        <v>16617</v>
      </c>
      <c r="X472" s="3" t="s">
        <v>2980</v>
      </c>
      <c r="Y472" s="3" t="s">
        <v>12713</v>
      </c>
      <c r="Z472" s="3" t="s">
        <v>12685</v>
      </c>
      <c r="AA472" s="3"/>
      <c r="AB472" s="3"/>
      <c r="AC472" s="3" t="s">
        <v>16618</v>
      </c>
      <c r="AD472" s="3">
        <v>1314</v>
      </c>
      <c r="AE472" s="3" t="s">
        <v>4706</v>
      </c>
      <c r="AF472" s="3" t="s">
        <v>7083</v>
      </c>
      <c r="AG472" s="3" t="s">
        <v>11189</v>
      </c>
      <c r="AH472" s="3" t="s">
        <v>16619</v>
      </c>
      <c r="AI472" s="3" t="s">
        <v>101</v>
      </c>
      <c r="AJ472" s="3" t="s">
        <v>2569</v>
      </c>
      <c r="AK472" s="3" t="s">
        <v>12729</v>
      </c>
      <c r="AL472" s="3" t="s">
        <v>2579</v>
      </c>
      <c r="AM472" s="3">
        <v>6</v>
      </c>
      <c r="AN472" s="3" t="s">
        <v>7216</v>
      </c>
      <c r="AP472" s="3" t="s">
        <v>120</v>
      </c>
      <c r="AQ472" s="7" t="s">
        <v>16620</v>
      </c>
      <c r="AR472" s="3" t="s">
        <v>12664</v>
      </c>
      <c r="AS472" s="7" t="s">
        <v>16621</v>
      </c>
    </row>
    <row r="473" spans="1:45" ht="12.5" hidden="1" x14ac:dyDescent="0.25">
      <c r="A473" s="3" t="s">
        <v>12652</v>
      </c>
      <c r="B473" s="21" t="str">
        <f>HYPERLINK("https://gerandofalcoes.my.salesforce.com/0014P00003AN2GIQA1", "0014P00003AN2GIQA1")</f>
        <v>0014P00003AN2GIQA1</v>
      </c>
      <c r="C473" s="3" t="s">
        <v>190</v>
      </c>
      <c r="D473" s="3" t="s">
        <v>152</v>
      </c>
      <c r="E473" s="21" t="str">
        <f>HYPERLINK("https://gerandofalcoes.my.salesforce.com/0034P00003maBVn", "0034P00003maBVn")</f>
        <v>0034P00003maBVn</v>
      </c>
      <c r="F473" s="3" t="s">
        <v>2616</v>
      </c>
      <c r="G473" s="3" t="s">
        <v>16622</v>
      </c>
      <c r="H473" s="3" t="s">
        <v>2538</v>
      </c>
      <c r="I473" s="3" t="s">
        <v>2609</v>
      </c>
      <c r="J473" s="3">
        <v>721</v>
      </c>
      <c r="K473" s="3" t="s">
        <v>16623</v>
      </c>
      <c r="L473" s="3" t="s">
        <v>11202</v>
      </c>
      <c r="M473" s="6">
        <v>29785</v>
      </c>
      <c r="N473" s="3">
        <v>41</v>
      </c>
      <c r="O473" s="3">
        <v>1914429</v>
      </c>
      <c r="P473" s="3">
        <v>853693498</v>
      </c>
      <c r="Q473" s="3" t="s">
        <v>198</v>
      </c>
      <c r="R473" s="3" t="s">
        <v>198</v>
      </c>
      <c r="S473" s="3" t="s">
        <v>3137</v>
      </c>
      <c r="T473" s="3"/>
      <c r="U473" s="3" t="s">
        <v>62</v>
      </c>
      <c r="V473" s="3" t="s">
        <v>16624</v>
      </c>
      <c r="X473" s="3"/>
      <c r="Y473" s="3" t="s">
        <v>12684</v>
      </c>
      <c r="Z473" s="3"/>
      <c r="AC473" s="3" t="s">
        <v>16625</v>
      </c>
      <c r="AD473" s="3">
        <v>34</v>
      </c>
      <c r="AE473" s="3"/>
      <c r="AF473" s="3" t="s">
        <v>6725</v>
      </c>
      <c r="AG473" s="3" t="s">
        <v>16626</v>
      </c>
      <c r="AH473" s="3" t="s">
        <v>16627</v>
      </c>
      <c r="AI473" s="3" t="s">
        <v>195</v>
      </c>
      <c r="AJ473" s="3" t="s">
        <v>2741</v>
      </c>
      <c r="AK473" s="3" t="s">
        <v>15494</v>
      </c>
      <c r="AL473" s="3" t="s">
        <v>2588</v>
      </c>
      <c r="AM473" s="3">
        <v>5</v>
      </c>
      <c r="AN473" s="3"/>
      <c r="AO473" s="3" t="s">
        <v>16274</v>
      </c>
      <c r="AP473" s="7" t="s">
        <v>16628</v>
      </c>
      <c r="AQ473" s="7" t="s">
        <v>16629</v>
      </c>
      <c r="AR473" s="3"/>
      <c r="AS473" s="7" t="s">
        <v>16630</v>
      </c>
    </row>
    <row r="474" spans="1:45" ht="12.5" hidden="1" x14ac:dyDescent="0.25">
      <c r="A474" s="3" t="s">
        <v>12652</v>
      </c>
      <c r="B474" s="21" t="str">
        <f>HYPERLINK("https://gerandofalcoes.my.salesforce.com/0014P00003AN2GJQA1", "0014P00003AN2GJQA1")</f>
        <v>0014P00003AN2GJQA1</v>
      </c>
      <c r="C474" s="3" t="s">
        <v>208</v>
      </c>
      <c r="D474" s="3" t="s">
        <v>152</v>
      </c>
      <c r="E474" s="21" t="str">
        <f>HYPERLINK("https://gerandofalcoes.my.salesforce.com/0034P00003maBVo", "0034P00003maBVo")</f>
        <v>0034P00003maBVo</v>
      </c>
      <c r="F474" s="3" t="s">
        <v>2622</v>
      </c>
      <c r="G474" s="3" t="s">
        <v>2623</v>
      </c>
      <c r="H474" s="3" t="s">
        <v>2538</v>
      </c>
      <c r="I474" s="3" t="s">
        <v>2624</v>
      </c>
      <c r="J474" s="3">
        <v>721</v>
      </c>
      <c r="K474" s="3" t="s">
        <v>16631</v>
      </c>
      <c r="L474" s="3" t="s">
        <v>11214</v>
      </c>
      <c r="M474" s="6">
        <v>32177</v>
      </c>
      <c r="N474" s="3">
        <v>34</v>
      </c>
      <c r="O474" s="3">
        <v>239966807</v>
      </c>
      <c r="P474" s="3">
        <v>13059740771</v>
      </c>
      <c r="Q474" s="3" t="s">
        <v>2625</v>
      </c>
      <c r="R474" s="3"/>
      <c r="S474" s="3" t="s">
        <v>3498</v>
      </c>
      <c r="U474" s="3" t="s">
        <v>62</v>
      </c>
      <c r="V474" s="3" t="s">
        <v>16632</v>
      </c>
      <c r="W474" s="3" t="s">
        <v>2576</v>
      </c>
      <c r="Y474" s="3" t="s">
        <v>12658</v>
      </c>
      <c r="AA474" s="3" t="s">
        <v>2544</v>
      </c>
      <c r="AB474" s="3" t="s">
        <v>2545</v>
      </c>
      <c r="AC474" s="3" t="s">
        <v>16633</v>
      </c>
      <c r="AD474" s="3">
        <v>339</v>
      </c>
      <c r="AE474" s="3" t="s">
        <v>16634</v>
      </c>
      <c r="AF474" s="3" t="s">
        <v>6367</v>
      </c>
      <c r="AG474" s="3" t="s">
        <v>16635</v>
      </c>
      <c r="AH474" s="3" t="s">
        <v>8905</v>
      </c>
      <c r="AI474" s="3" t="s">
        <v>70</v>
      </c>
      <c r="AJ474" s="3" t="s">
        <v>2741</v>
      </c>
      <c r="AK474" s="3" t="s">
        <v>16161</v>
      </c>
      <c r="AL474" s="3" t="s">
        <v>2588</v>
      </c>
      <c r="AM474" s="3">
        <v>3</v>
      </c>
      <c r="AO474" s="3"/>
      <c r="AP474" s="7" t="s">
        <v>16636</v>
      </c>
      <c r="AQ474" s="3" t="s">
        <v>16637</v>
      </c>
      <c r="AS474" s="7" t="s">
        <v>16638</v>
      </c>
    </row>
    <row r="475" spans="1:45" ht="12.5" hidden="1" x14ac:dyDescent="0.25">
      <c r="A475" s="3" t="s">
        <v>12652</v>
      </c>
      <c r="B475" s="21" t="str">
        <f>HYPERLINK("https://gerandofalcoes.my.salesforce.com/0014P00003AN2GKQA1", "0014P00003AN2GKQA1")</f>
        <v>0014P00003AN2GKQA1</v>
      </c>
      <c r="C475" s="3" t="s">
        <v>154</v>
      </c>
      <c r="D475" s="3" t="s">
        <v>152</v>
      </c>
      <c r="E475" s="21" t="str">
        <f>HYPERLINK("https://gerandofalcoes.my.salesforce.com/0034P00003maBVp", "0034P00003maBVp")</f>
        <v>0034P00003maBVp</v>
      </c>
      <c r="F475" s="3" t="s">
        <v>2629</v>
      </c>
      <c r="G475" s="3" t="s">
        <v>2630</v>
      </c>
      <c r="H475" s="3" t="s">
        <v>2538</v>
      </c>
      <c r="I475" s="3" t="s">
        <v>2609</v>
      </c>
      <c r="J475" s="3">
        <v>874</v>
      </c>
      <c r="K475" s="3" t="s">
        <v>157</v>
      </c>
      <c r="L475" s="3" t="s">
        <v>11226</v>
      </c>
      <c r="M475" s="6">
        <v>29911</v>
      </c>
      <c r="N475" s="3">
        <v>41</v>
      </c>
      <c r="O475" s="3">
        <v>298406688</v>
      </c>
      <c r="P475" s="3">
        <v>31126208876</v>
      </c>
      <c r="Q475" s="3" t="s">
        <v>2631</v>
      </c>
      <c r="S475" s="3" t="s">
        <v>2998</v>
      </c>
      <c r="U475" s="3" t="s">
        <v>62</v>
      </c>
      <c r="V475" s="3" t="s">
        <v>16639</v>
      </c>
      <c r="W475" s="3"/>
      <c r="Y475" s="3" t="s">
        <v>12670</v>
      </c>
      <c r="AA475" s="3" t="s">
        <v>2544</v>
      </c>
      <c r="AB475" s="3" t="s">
        <v>2545</v>
      </c>
      <c r="AC475" s="3" t="s">
        <v>16640</v>
      </c>
      <c r="AD475" s="3">
        <v>142</v>
      </c>
      <c r="AE475" s="3"/>
      <c r="AF475" s="3" t="s">
        <v>128</v>
      </c>
      <c r="AG475" s="3" t="s">
        <v>16641</v>
      </c>
      <c r="AH475" s="3" t="s">
        <v>2634</v>
      </c>
      <c r="AI475" s="3" t="s">
        <v>101</v>
      </c>
      <c r="AJ475" s="3" t="s">
        <v>2741</v>
      </c>
      <c r="AK475" s="3" t="s">
        <v>12828</v>
      </c>
      <c r="AL475" s="3" t="s">
        <v>2588</v>
      </c>
      <c r="AM475" s="3">
        <v>6</v>
      </c>
      <c r="AO475" s="3" t="s">
        <v>12698</v>
      </c>
      <c r="AP475" s="3"/>
      <c r="AQ475" s="7" t="s">
        <v>16642</v>
      </c>
      <c r="AS475" s="7" t="s">
        <v>16643</v>
      </c>
    </row>
    <row r="476" spans="1:45" ht="12.5" hidden="1" x14ac:dyDescent="0.25">
      <c r="A476" s="3" t="s">
        <v>12652</v>
      </c>
      <c r="B476" s="21" t="str">
        <f>HYPERLINK("https://gerandofalcoes.my.salesforce.com/0014P00003AN2GLQA1", "0014P00003AN2GLQA1")</f>
        <v>0014P00003AN2GLQA1</v>
      </c>
      <c r="C476" s="3" t="s">
        <v>171</v>
      </c>
      <c r="D476" s="3" t="s">
        <v>152</v>
      </c>
      <c r="E476" s="21" t="str">
        <f>HYPERLINK("https://gerandofalcoes.my.salesforce.com/0034P00003maBVq", "0034P00003maBVq")</f>
        <v>0034P00003maBVq</v>
      </c>
      <c r="F476" s="3" t="s">
        <v>2636</v>
      </c>
      <c r="G476" s="3" t="s">
        <v>15234</v>
      </c>
      <c r="H476" s="3" t="s">
        <v>2538</v>
      </c>
      <c r="I476" s="3" t="s">
        <v>2638</v>
      </c>
      <c r="J476" s="3">
        <v>721</v>
      </c>
      <c r="K476" s="3" t="s">
        <v>174</v>
      </c>
      <c r="L476" s="3" t="s">
        <v>11236</v>
      </c>
      <c r="M476" s="6">
        <v>30420</v>
      </c>
      <c r="N476" s="3">
        <v>39</v>
      </c>
      <c r="O476" s="3" t="s">
        <v>2639</v>
      </c>
      <c r="P476" s="3">
        <v>6219875656</v>
      </c>
      <c r="Q476" s="3" t="s">
        <v>2640</v>
      </c>
      <c r="S476" s="3" t="s">
        <v>3605</v>
      </c>
      <c r="U476" s="3" t="s">
        <v>62</v>
      </c>
      <c r="V476" s="3" t="s">
        <v>16644</v>
      </c>
      <c r="Y476" s="3" t="s">
        <v>12684</v>
      </c>
      <c r="AA476" s="3"/>
      <c r="AB476" s="3" t="s">
        <v>2543</v>
      </c>
      <c r="AC476" s="3" t="s">
        <v>16645</v>
      </c>
      <c r="AD476" s="3">
        <v>177</v>
      </c>
      <c r="AE476" s="3" t="s">
        <v>16646</v>
      </c>
      <c r="AF476" s="3" t="s">
        <v>6077</v>
      </c>
      <c r="AG476" s="3" t="s">
        <v>16647</v>
      </c>
      <c r="AH476" s="3" t="s">
        <v>16648</v>
      </c>
      <c r="AI476" s="3" t="s">
        <v>84</v>
      </c>
      <c r="AJ476" s="3" t="s">
        <v>2741</v>
      </c>
      <c r="AK476" s="3" t="s">
        <v>12661</v>
      </c>
      <c r="AL476" s="3" t="s">
        <v>2588</v>
      </c>
      <c r="AM476" s="3">
        <v>3</v>
      </c>
      <c r="AO476" s="3"/>
      <c r="AQ476" s="7" t="s">
        <v>16649</v>
      </c>
      <c r="AS476" s="7" t="s">
        <v>16650</v>
      </c>
    </row>
    <row r="477" spans="1:45" ht="12.5" hidden="1" x14ac:dyDescent="0.25">
      <c r="A477" s="3" t="s">
        <v>12652</v>
      </c>
      <c r="B477" s="21" t="str">
        <f>HYPERLINK("https://gerandofalcoes.my.salesforce.com/0014P00003AN2GMQA1", "0014P00003AN2GMQA1")</f>
        <v>0014P00003AN2GMQA1</v>
      </c>
      <c r="C477" s="3" t="s">
        <v>241</v>
      </c>
      <c r="D477" s="3" t="s">
        <v>152</v>
      </c>
      <c r="E477" s="21" t="str">
        <f>HYPERLINK("https://gerandofalcoes.my.salesforce.com/0034P00003maBVr", "0034P00003maBVr")</f>
        <v>0034P00003maBVr</v>
      </c>
      <c r="F477" s="3" t="s">
        <v>2645</v>
      </c>
      <c r="G477" s="3" t="s">
        <v>2646</v>
      </c>
      <c r="H477" s="3" t="s">
        <v>2538</v>
      </c>
      <c r="I477" s="3" t="s">
        <v>2624</v>
      </c>
      <c r="J477" s="3">
        <v>638</v>
      </c>
      <c r="K477" s="3" t="s">
        <v>244</v>
      </c>
      <c r="L477" s="3" t="s">
        <v>11246</v>
      </c>
      <c r="M477" s="8">
        <v>32596</v>
      </c>
      <c r="N477" s="3">
        <v>33</v>
      </c>
      <c r="O477" s="3">
        <v>20287420020</v>
      </c>
      <c r="P477" s="3">
        <v>3699743365</v>
      </c>
      <c r="Q477" s="3" t="s">
        <v>2647</v>
      </c>
      <c r="S477" s="3" t="s">
        <v>12864</v>
      </c>
      <c r="U477" s="3" t="s">
        <v>62</v>
      </c>
      <c r="V477" s="3" t="s">
        <v>16651</v>
      </c>
      <c r="Y477" s="3" t="s">
        <v>12670</v>
      </c>
      <c r="AA477" s="3" t="s">
        <v>2544</v>
      </c>
      <c r="AB477" s="3" t="s">
        <v>2545</v>
      </c>
      <c r="AC477" s="3" t="s">
        <v>16652</v>
      </c>
      <c r="AD477" s="3">
        <v>528</v>
      </c>
      <c r="AE477" s="3" t="s">
        <v>16653</v>
      </c>
      <c r="AF477" s="3" t="s">
        <v>248</v>
      </c>
      <c r="AG477" s="3" t="s">
        <v>16654</v>
      </c>
      <c r="AH477" s="3" t="s">
        <v>11247</v>
      </c>
      <c r="AI477" s="3" t="s">
        <v>246</v>
      </c>
      <c r="AJ477" s="3" t="s">
        <v>2548</v>
      </c>
      <c r="AK477" s="3" t="s">
        <v>15396</v>
      </c>
      <c r="AL477" s="3" t="s">
        <v>2550</v>
      </c>
      <c r="AM477" s="3">
        <v>3</v>
      </c>
      <c r="AO477" s="3"/>
      <c r="AP477" s="3"/>
      <c r="AQ477" s="7" t="s">
        <v>16655</v>
      </c>
      <c r="AS477" s="7" t="s">
        <v>16656</v>
      </c>
    </row>
    <row r="478" spans="1:45" ht="12.5" hidden="1" x14ac:dyDescent="0.25">
      <c r="A478" s="3" t="s">
        <v>12652</v>
      </c>
      <c r="B478" s="21" t="str">
        <f>HYPERLINK("https://gerandofalcoes.my.salesforce.com/0014P00003AN2GNQA1", "0014P00003AN2GNQA1")</f>
        <v>0014P00003AN2GNQA1</v>
      </c>
      <c r="C478" s="3" t="s">
        <v>260</v>
      </c>
      <c r="D478" s="3" t="s">
        <v>152</v>
      </c>
      <c r="E478" s="21" t="str">
        <f>HYPERLINK("https://gerandofalcoes.my.salesforce.com/0034P00003maBVs", "0034P00003maBVs")</f>
        <v>0034P00003maBVs</v>
      </c>
      <c r="F478" s="3" t="s">
        <v>2607</v>
      </c>
      <c r="G478" s="3" t="s">
        <v>2608</v>
      </c>
      <c r="H478" s="3" t="s">
        <v>2538</v>
      </c>
      <c r="I478" s="3" t="s">
        <v>2609</v>
      </c>
      <c r="J478" s="3">
        <v>874</v>
      </c>
      <c r="K478" s="3" t="s">
        <v>263</v>
      </c>
      <c r="L478" s="3" t="s">
        <v>11252</v>
      </c>
      <c r="M478" s="8">
        <v>30589</v>
      </c>
      <c r="N478" s="3">
        <v>39</v>
      </c>
      <c r="O478" s="3" t="s">
        <v>2610</v>
      </c>
      <c r="P478" s="3">
        <v>1447066600</v>
      </c>
      <c r="Q478" s="3" t="s">
        <v>2611</v>
      </c>
      <c r="S478" s="3" t="s">
        <v>3137</v>
      </c>
      <c r="U478" s="3" t="s">
        <v>62</v>
      </c>
      <c r="V478" s="3" t="s">
        <v>16657</v>
      </c>
      <c r="Y478" s="3" t="s">
        <v>12684</v>
      </c>
      <c r="AA478" s="3" t="s">
        <v>2577</v>
      </c>
      <c r="AB478" s="3" t="s">
        <v>2545</v>
      </c>
      <c r="AC478" s="3" t="s">
        <v>2613</v>
      </c>
      <c r="AD478" s="3">
        <v>220</v>
      </c>
      <c r="AE478" s="3" t="s">
        <v>16658</v>
      </c>
      <c r="AF478" s="3" t="s">
        <v>11253</v>
      </c>
      <c r="AG478" s="3" t="s">
        <v>9552</v>
      </c>
      <c r="AH478" s="3" t="s">
        <v>16659</v>
      </c>
      <c r="AI478" s="3" t="s">
        <v>84</v>
      </c>
      <c r="AJ478" s="3" t="s">
        <v>2741</v>
      </c>
      <c r="AK478" s="3" t="s">
        <v>12828</v>
      </c>
      <c r="AL478" s="3" t="s">
        <v>2550</v>
      </c>
      <c r="AM478" s="3">
        <v>4</v>
      </c>
      <c r="AP478" s="3" t="s">
        <v>16660</v>
      </c>
      <c r="AQ478" s="7" t="s">
        <v>16661</v>
      </c>
      <c r="AS478" s="3"/>
    </row>
    <row r="479" spans="1:45" ht="12.5" hidden="1" x14ac:dyDescent="0.25">
      <c r="A479" s="3" t="s">
        <v>12652</v>
      </c>
      <c r="B479" s="21" t="str">
        <f>HYPERLINK("https://gerandofalcoes.my.salesforce.com/0014P00003AN2GOQA1", "0014P00003AN2GOQA1")</f>
        <v>0014P00003AN2GOQA1</v>
      </c>
      <c r="C479" s="3" t="s">
        <v>275</v>
      </c>
      <c r="D479" s="3" t="s">
        <v>152</v>
      </c>
      <c r="E479" s="21" t="str">
        <f>HYPERLINK("https://gerandofalcoes.my.salesforce.com/0034P00003maBVt", "0034P00003maBVt")</f>
        <v>0034P00003maBVt</v>
      </c>
      <c r="F479" s="3" t="s">
        <v>2658</v>
      </c>
      <c r="G479" s="3" t="s">
        <v>16662</v>
      </c>
      <c r="H479" s="3" t="s">
        <v>2538</v>
      </c>
      <c r="I479" s="3" t="s">
        <v>2638</v>
      </c>
      <c r="J479" s="3">
        <v>322</v>
      </c>
      <c r="K479" s="3" t="s">
        <v>16663</v>
      </c>
      <c r="L479" s="3" t="s">
        <v>11263</v>
      </c>
      <c r="M479" s="6">
        <v>31957</v>
      </c>
      <c r="N479" s="3">
        <v>35</v>
      </c>
      <c r="O479" s="3">
        <v>4859623</v>
      </c>
      <c r="P479" s="3">
        <v>1425111106</v>
      </c>
      <c r="Q479" s="3" t="s">
        <v>2660</v>
      </c>
      <c r="R479" s="3"/>
      <c r="S479" s="3" t="s">
        <v>2998</v>
      </c>
      <c r="U479" s="3" t="s">
        <v>62</v>
      </c>
      <c r="V479" s="3" t="s">
        <v>16664</v>
      </c>
      <c r="Y479" s="3" t="s">
        <v>12670</v>
      </c>
      <c r="AA479" s="3" t="s">
        <v>2577</v>
      </c>
      <c r="AB479" s="3" t="s">
        <v>2543</v>
      </c>
      <c r="AC479" s="3" t="s">
        <v>16665</v>
      </c>
      <c r="AD479" s="3">
        <v>0</v>
      </c>
      <c r="AE479" s="3" t="s">
        <v>16666</v>
      </c>
      <c r="AF479" s="3" t="s">
        <v>282</v>
      </c>
      <c r="AG479" s="3" t="s">
        <v>16667</v>
      </c>
      <c r="AH479" s="3" t="s">
        <v>16668</v>
      </c>
      <c r="AI479" s="3" t="s">
        <v>280</v>
      </c>
      <c r="AJ479" s="3" t="s">
        <v>2548</v>
      </c>
      <c r="AK479" s="3" t="s">
        <v>16161</v>
      </c>
      <c r="AL479" s="3" t="s">
        <v>2550</v>
      </c>
      <c r="AM479" s="3">
        <v>3</v>
      </c>
      <c r="AP479" s="7" t="s">
        <v>16669</v>
      </c>
      <c r="AQ479" s="7" t="s">
        <v>16670</v>
      </c>
      <c r="AS479" s="7" t="s">
        <v>16671</v>
      </c>
    </row>
    <row r="480" spans="1:45" ht="12.5" hidden="1" x14ac:dyDescent="0.25">
      <c r="A480" s="3" t="s">
        <v>12652</v>
      </c>
      <c r="B480" s="21" t="str">
        <f>HYPERLINK("https://gerandofalcoes.my.salesforce.com/0014P00003AN2GPQA1", "0014P00003AN2GPQA1")</f>
        <v>0014P00003AN2GPQA1</v>
      </c>
      <c r="C480" s="3" t="s">
        <v>225</v>
      </c>
      <c r="D480" s="3" t="s">
        <v>152</v>
      </c>
      <c r="E480" s="21" t="str">
        <f>HYPERLINK("https://gerandofalcoes.my.salesforce.com/0034P00003maBVu", "0034P00003maBVu")</f>
        <v>0034P00003maBVu</v>
      </c>
      <c r="F480" s="3" t="s">
        <v>16672</v>
      </c>
      <c r="G480" s="3" t="s">
        <v>16673</v>
      </c>
      <c r="H480" s="3" t="s">
        <v>2538</v>
      </c>
      <c r="I480" s="3" t="s">
        <v>2609</v>
      </c>
      <c r="J480" s="3">
        <v>874</v>
      </c>
      <c r="K480" s="3" t="s">
        <v>2668</v>
      </c>
      <c r="L480" s="3" t="s">
        <v>11273</v>
      </c>
      <c r="M480" s="6">
        <v>32648</v>
      </c>
      <c r="N480" s="3">
        <v>33</v>
      </c>
      <c r="O480" s="3">
        <v>30112320</v>
      </c>
      <c r="P480" s="3">
        <v>6307912448</v>
      </c>
      <c r="Q480" s="3" t="s">
        <v>2669</v>
      </c>
      <c r="R480" s="3"/>
      <c r="S480" s="3" t="s">
        <v>3269</v>
      </c>
      <c r="U480" s="3" t="s">
        <v>62</v>
      </c>
      <c r="V480" s="3" t="s">
        <v>16674</v>
      </c>
      <c r="Y480" s="3" t="s">
        <v>12670</v>
      </c>
      <c r="AA480" s="3" t="s">
        <v>2577</v>
      </c>
      <c r="AB480" s="3" t="s">
        <v>2545</v>
      </c>
      <c r="AC480" s="3" t="s">
        <v>16675</v>
      </c>
      <c r="AD480" s="3">
        <v>320</v>
      </c>
      <c r="AE480" s="3"/>
      <c r="AF480" s="3" t="s">
        <v>231</v>
      </c>
      <c r="AG480" s="3" t="s">
        <v>16676</v>
      </c>
      <c r="AH480" s="3" t="s">
        <v>16677</v>
      </c>
      <c r="AI480" s="3" t="s">
        <v>51</v>
      </c>
      <c r="AJ480" s="3" t="s">
        <v>2548</v>
      </c>
      <c r="AK480" s="3" t="s">
        <v>16161</v>
      </c>
      <c r="AL480" s="3" t="s">
        <v>2588</v>
      </c>
      <c r="AM480" s="3">
        <v>5</v>
      </c>
      <c r="AO480" s="3" t="s">
        <v>16678</v>
      </c>
      <c r="AP480" s="3"/>
      <c r="AQ480" s="7" t="s">
        <v>16679</v>
      </c>
      <c r="AS480" s="7" t="s">
        <v>16680</v>
      </c>
    </row>
    <row r="481" spans="1:45" ht="12.5" hidden="1" x14ac:dyDescent="0.25">
      <c r="A481" s="3" t="s">
        <v>12652</v>
      </c>
      <c r="B481" s="21" t="str">
        <f>HYPERLINK("https://gerandofalcoes.my.salesforce.com/0014P00003AN2etQAD", "0014P00003AN2etQAD")</f>
        <v>0014P00003AN2etQAD</v>
      </c>
      <c r="C481" s="3" t="s">
        <v>308</v>
      </c>
      <c r="D481" s="3" t="s">
        <v>46</v>
      </c>
      <c r="E481" s="21" t="str">
        <f>HYPERLINK("https://gerandofalcoes.my.salesforce.com/0034P00003maBVI", "0034P00003maBVI")</f>
        <v>0034P00003maBVI</v>
      </c>
      <c r="F481" s="3" t="s">
        <v>2685</v>
      </c>
      <c r="G481" s="3" t="s">
        <v>16681</v>
      </c>
      <c r="H481" s="3" t="s">
        <v>2538</v>
      </c>
      <c r="I481" s="3" t="s">
        <v>2638</v>
      </c>
      <c r="J481" s="3">
        <v>488</v>
      </c>
      <c r="K481" s="3" t="s">
        <v>2687</v>
      </c>
      <c r="L481" s="3" t="s">
        <v>11284</v>
      </c>
      <c r="M481" s="6">
        <v>29876</v>
      </c>
      <c r="N481" s="3">
        <v>41</v>
      </c>
      <c r="O481" s="3">
        <v>80828691</v>
      </c>
      <c r="P481" s="3">
        <v>3861645920</v>
      </c>
      <c r="Q481" s="3" t="s">
        <v>2544</v>
      </c>
      <c r="R481" s="3" t="s">
        <v>2688</v>
      </c>
      <c r="S481" s="3" t="s">
        <v>3417</v>
      </c>
      <c r="U481" s="3" t="s">
        <v>62</v>
      </c>
      <c r="V481" s="3" t="s">
        <v>16682</v>
      </c>
      <c r="Y481" s="3" t="s">
        <v>12670</v>
      </c>
      <c r="AA481" s="3" t="s">
        <v>2544</v>
      </c>
      <c r="AB481" s="3" t="s">
        <v>2545</v>
      </c>
      <c r="AC481" s="3" t="s">
        <v>16683</v>
      </c>
      <c r="AD481" s="3">
        <v>470</v>
      </c>
      <c r="AE481" s="3"/>
      <c r="AF481" s="3" t="s">
        <v>2691</v>
      </c>
      <c r="AG481" s="3" t="s">
        <v>16684</v>
      </c>
      <c r="AH481" s="3" t="s">
        <v>16685</v>
      </c>
      <c r="AI481" s="3" t="s">
        <v>310</v>
      </c>
      <c r="AJ481" s="3" t="s">
        <v>2569</v>
      </c>
      <c r="AK481" s="3" t="s">
        <v>12828</v>
      </c>
      <c r="AL481" s="3" t="s">
        <v>2550</v>
      </c>
      <c r="AM481" s="3">
        <v>3</v>
      </c>
      <c r="AO481" s="3"/>
      <c r="AP481" s="3"/>
      <c r="AQ481" s="7" t="s">
        <v>16686</v>
      </c>
      <c r="AS481" s="7" t="s">
        <v>16687</v>
      </c>
    </row>
    <row r="482" spans="1:45" ht="12.5" hidden="1" x14ac:dyDescent="0.25">
      <c r="A482" s="3" t="s">
        <v>12652</v>
      </c>
      <c r="B482" s="21" t="str">
        <f>HYPERLINK("https://gerandofalcoes.my.salesforce.com/0014P00003AN2h4QAD", "0014P00003AN2h4QAD")</f>
        <v>0014P00003AN2h4QAD</v>
      </c>
      <c r="C482" s="3" t="s">
        <v>320</v>
      </c>
      <c r="D482" s="3" t="s">
        <v>46</v>
      </c>
      <c r="E482" s="21" t="str">
        <f>HYPERLINK("https://gerandofalcoes.my.salesforce.com/0034P00003maBVB", "0034P00003maBVB")</f>
        <v>0034P00003maBVB</v>
      </c>
      <c r="F482" s="3" t="s">
        <v>2708</v>
      </c>
      <c r="G482" s="3" t="s">
        <v>2709</v>
      </c>
      <c r="H482" s="3" t="s">
        <v>2538</v>
      </c>
      <c r="I482" s="3" t="s">
        <v>2638</v>
      </c>
      <c r="J482" s="3">
        <v>566</v>
      </c>
      <c r="K482" s="3" t="s">
        <v>2710</v>
      </c>
      <c r="L482" s="3" t="s">
        <v>11294</v>
      </c>
      <c r="M482" s="6">
        <v>33515</v>
      </c>
      <c r="N482" s="3">
        <v>31</v>
      </c>
      <c r="O482" s="3">
        <v>474263976</v>
      </c>
      <c r="P482" s="3">
        <v>39668565819</v>
      </c>
      <c r="Q482" s="3" t="s">
        <v>2711</v>
      </c>
      <c r="R482" s="3" t="s">
        <v>2712</v>
      </c>
      <c r="S482" s="3" t="s">
        <v>3417</v>
      </c>
      <c r="U482" s="3" t="s">
        <v>62</v>
      </c>
      <c r="V482" s="3" t="s">
        <v>16688</v>
      </c>
      <c r="Y482" s="3" t="s">
        <v>12670</v>
      </c>
      <c r="AA482" s="3" t="s">
        <v>2737</v>
      </c>
      <c r="AB482" s="3" t="s">
        <v>2543</v>
      </c>
      <c r="AC482" s="3" t="s">
        <v>16689</v>
      </c>
      <c r="AD482" s="3">
        <v>88</v>
      </c>
      <c r="AE482" s="3"/>
      <c r="AF482" s="3" t="s">
        <v>323</v>
      </c>
      <c r="AG482" s="3" t="s">
        <v>16690</v>
      </c>
      <c r="AH482" s="3" t="s">
        <v>11295</v>
      </c>
      <c r="AI482" s="3" t="s">
        <v>101</v>
      </c>
      <c r="AJ482" s="3" t="s">
        <v>2569</v>
      </c>
      <c r="AK482" s="3" t="s">
        <v>12661</v>
      </c>
      <c r="AL482" s="3" t="s">
        <v>2579</v>
      </c>
      <c r="AM482" s="3">
        <v>3</v>
      </c>
      <c r="AP482" s="7" t="s">
        <v>16691</v>
      </c>
      <c r="AQ482" s="7" t="s">
        <v>16692</v>
      </c>
      <c r="AS482" s="7" t="s">
        <v>16693</v>
      </c>
    </row>
    <row r="483" spans="1:45" ht="12.5" hidden="1" x14ac:dyDescent="0.25">
      <c r="A483" s="3" t="s">
        <v>12652</v>
      </c>
      <c r="B483" s="21" t="str">
        <f>HYPERLINK("https://gerandofalcoes.my.salesforce.com/0014P00003AN2h5QAD", "0014P00003AN2h5QAD")</f>
        <v>0014P00003AN2h5QAD</v>
      </c>
      <c r="C483" s="3" t="s">
        <v>332</v>
      </c>
      <c r="D483" s="3" t="s">
        <v>152</v>
      </c>
      <c r="E483" s="21" t="str">
        <f>HYPERLINK("https://gerandofalcoes.my.salesforce.com/0034P00003maBVM", "0034P00003maBVM")</f>
        <v>0034P00003maBVM</v>
      </c>
      <c r="F483" s="3" t="s">
        <v>2693</v>
      </c>
      <c r="G483" s="3" t="s">
        <v>2694</v>
      </c>
      <c r="H483" s="3" t="s">
        <v>2538</v>
      </c>
      <c r="I483" s="3" t="s">
        <v>2624</v>
      </c>
      <c r="J483" s="3">
        <v>543</v>
      </c>
      <c r="K483" s="3" t="s">
        <v>335</v>
      </c>
      <c r="L483" s="3" t="s">
        <v>16694</v>
      </c>
      <c r="M483" s="6">
        <v>33938</v>
      </c>
      <c r="N483" s="3">
        <v>30</v>
      </c>
      <c r="O483" s="3">
        <v>109669598</v>
      </c>
      <c r="P483" s="3">
        <v>7806187936</v>
      </c>
      <c r="Q483" s="3" t="s">
        <v>2695</v>
      </c>
      <c r="R483" s="3"/>
      <c r="S483" s="3" t="s">
        <v>3269</v>
      </c>
      <c r="U483" s="3" t="s">
        <v>62</v>
      </c>
      <c r="V483" s="3" t="s">
        <v>16695</v>
      </c>
      <c r="Y483" s="3" t="s">
        <v>12670</v>
      </c>
      <c r="AA483" s="3" t="s">
        <v>2577</v>
      </c>
      <c r="AB483" s="3" t="s">
        <v>2545</v>
      </c>
      <c r="AC483" s="3" t="s">
        <v>16696</v>
      </c>
      <c r="AD483" s="3">
        <v>1135</v>
      </c>
      <c r="AE483" s="3" t="s">
        <v>16697</v>
      </c>
      <c r="AF483" s="3" t="s">
        <v>338</v>
      </c>
      <c r="AG483" s="3" t="s">
        <v>11307</v>
      </c>
      <c r="AH483" s="3" t="s">
        <v>16698</v>
      </c>
      <c r="AI483" s="3" t="s">
        <v>310</v>
      </c>
      <c r="AJ483" s="3" t="s">
        <v>2741</v>
      </c>
      <c r="AK483" s="3" t="s">
        <v>12828</v>
      </c>
      <c r="AL483" s="3" t="s">
        <v>2588</v>
      </c>
      <c r="AM483" s="3">
        <v>1</v>
      </c>
      <c r="AP483" s="7" t="s">
        <v>16699</v>
      </c>
      <c r="AQ483" s="7" t="s">
        <v>16700</v>
      </c>
      <c r="AS483" s="7" t="s">
        <v>16701</v>
      </c>
    </row>
    <row r="484" spans="1:45" ht="12.5" hidden="1" x14ac:dyDescent="0.25">
      <c r="A484" s="3" t="s">
        <v>12652</v>
      </c>
      <c r="B484" s="21" t="str">
        <f>HYPERLINK("https://gerandofalcoes.my.salesforce.com/0014P00003AN2h6QAD", "0014P00003AN2h6QAD")</f>
        <v>0014P00003AN2h6QAD</v>
      </c>
      <c r="C484" s="3" t="s">
        <v>349</v>
      </c>
      <c r="D484" s="3" t="s">
        <v>152</v>
      </c>
      <c r="E484" s="21" t="str">
        <f>HYPERLINK("https://gerandofalcoes.my.salesforce.com/0034P00003maBVS", "0034P00003maBVS")</f>
        <v>0034P00003maBVS</v>
      </c>
      <c r="F484" s="3" t="s">
        <v>2699</v>
      </c>
      <c r="G484" s="3" t="s">
        <v>16702</v>
      </c>
      <c r="H484" s="3" t="s">
        <v>2538</v>
      </c>
      <c r="I484" s="3" t="s">
        <v>2638</v>
      </c>
      <c r="J484" s="3">
        <v>511</v>
      </c>
      <c r="K484" s="3" t="s">
        <v>16703</v>
      </c>
      <c r="L484" s="3" t="s">
        <v>11319</v>
      </c>
      <c r="M484" s="6">
        <v>33971</v>
      </c>
      <c r="N484" s="3">
        <v>29</v>
      </c>
      <c r="O484" s="3" t="s">
        <v>2701</v>
      </c>
      <c r="P484" s="3">
        <v>10935306692</v>
      </c>
      <c r="Q484" s="3" t="s">
        <v>2702</v>
      </c>
      <c r="R484" s="3" t="s">
        <v>2703</v>
      </c>
      <c r="S484" s="3" t="s">
        <v>2998</v>
      </c>
      <c r="U484" s="3" t="s">
        <v>62</v>
      </c>
      <c r="V484" s="3" t="s">
        <v>16704</v>
      </c>
      <c r="Y484" s="3" t="s">
        <v>12670</v>
      </c>
      <c r="AA484" s="3" t="s">
        <v>2577</v>
      </c>
      <c r="AB484" s="3" t="s">
        <v>2545</v>
      </c>
      <c r="AC484" s="3" t="s">
        <v>16705</v>
      </c>
      <c r="AD484" s="3">
        <v>38</v>
      </c>
      <c r="AE484" s="3"/>
      <c r="AF484" s="3" t="s">
        <v>11320</v>
      </c>
      <c r="AG484" s="3" t="s">
        <v>647</v>
      </c>
      <c r="AH484" s="3" t="s">
        <v>2706</v>
      </c>
      <c r="AI484" s="3" t="s">
        <v>84</v>
      </c>
      <c r="AJ484" s="3" t="s">
        <v>2741</v>
      </c>
      <c r="AK484" s="3" t="s">
        <v>12828</v>
      </c>
      <c r="AL484" s="3" t="s">
        <v>2588</v>
      </c>
      <c r="AM484" s="3">
        <v>2</v>
      </c>
      <c r="AP484" s="7" t="s">
        <v>16706</v>
      </c>
      <c r="AQ484" s="7" t="s">
        <v>16707</v>
      </c>
      <c r="AS484" s="7" t="s">
        <v>16708</v>
      </c>
    </row>
    <row r="485" spans="1:45" ht="12.5" hidden="1" x14ac:dyDescent="0.25">
      <c r="A485" s="3" t="s">
        <v>12652</v>
      </c>
      <c r="B485" s="21" t="str">
        <f>HYPERLINK("https://gerandofalcoes.my.salesforce.com/0014P00003AN6yVQAT", "0014P00003AN6yVQAT")</f>
        <v>0014P00003AN6yVQAT</v>
      </c>
      <c r="C485" s="3" t="s">
        <v>377</v>
      </c>
      <c r="D485" s="3" t="s">
        <v>46</v>
      </c>
      <c r="E485" s="21" t="str">
        <f>HYPERLINK("https://gerandofalcoes.my.salesforce.com/0034P00003maBVv", "0034P00003maBVv")</f>
        <v>0034P00003maBVv</v>
      </c>
      <c r="F485" s="3" t="s">
        <v>2673</v>
      </c>
      <c r="G485" s="3" t="s">
        <v>2674</v>
      </c>
      <c r="H485" s="3" t="s">
        <v>2538</v>
      </c>
      <c r="I485" s="3" t="s">
        <v>2638</v>
      </c>
      <c r="J485" s="3">
        <v>421</v>
      </c>
      <c r="K485" s="3" t="s">
        <v>2675</v>
      </c>
      <c r="L485" s="3" t="s">
        <v>11331</v>
      </c>
      <c r="M485" s="8">
        <v>24651</v>
      </c>
      <c r="N485" s="3">
        <v>55</v>
      </c>
      <c r="O485" s="3">
        <v>3741158</v>
      </c>
      <c r="P485" s="3">
        <v>1122065493</v>
      </c>
      <c r="Q485" s="3" t="s">
        <v>2647</v>
      </c>
      <c r="R485" s="3"/>
      <c r="S485" s="3" t="s">
        <v>3417</v>
      </c>
      <c r="U485" s="3" t="s">
        <v>62</v>
      </c>
      <c r="V485" s="3" t="s">
        <v>16709</v>
      </c>
      <c r="Y485" s="3" t="s">
        <v>12684</v>
      </c>
      <c r="AA485" s="3"/>
      <c r="AB485" s="3"/>
      <c r="AC485" s="3" t="s">
        <v>16710</v>
      </c>
      <c r="AD485" s="3">
        <v>4636</v>
      </c>
      <c r="AE485" s="3" t="s">
        <v>16711</v>
      </c>
      <c r="AF485" s="3" t="s">
        <v>381</v>
      </c>
      <c r="AG485" s="3" t="s">
        <v>11330</v>
      </c>
      <c r="AH485" s="3" t="s">
        <v>11332</v>
      </c>
      <c r="AI485" s="3" t="s">
        <v>379</v>
      </c>
      <c r="AJ485" s="3" t="s">
        <v>2569</v>
      </c>
      <c r="AK485" s="3" t="s">
        <v>12729</v>
      </c>
      <c r="AL485" s="3" t="s">
        <v>2579</v>
      </c>
      <c r="AM485" s="3">
        <v>2</v>
      </c>
      <c r="AP485" s="3" t="s">
        <v>3032</v>
      </c>
      <c r="AQ485" s="7" t="s">
        <v>16712</v>
      </c>
      <c r="AS485" s="7" t="s">
        <v>16713</v>
      </c>
    </row>
    <row r="486" spans="1:45" ht="12.5" hidden="1" x14ac:dyDescent="0.25">
      <c r="A486" s="3" t="s">
        <v>12652</v>
      </c>
      <c r="B486" s="21" t="str">
        <f>HYPERLINK("https://gerandofalcoes.my.salesforce.com/0014P00003AN72DQAT", "0014P00003AN72DQAT")</f>
        <v>0014P00003AN72DQAT</v>
      </c>
      <c r="C486" s="3" t="s">
        <v>390</v>
      </c>
      <c r="D486" s="3" t="s">
        <v>46</v>
      </c>
      <c r="E486" s="21" t="str">
        <f>HYPERLINK("https://gerandofalcoes.my.salesforce.com/0034P00003maEuB", "0034P00003maEuB")</f>
        <v>0034P00003maEuB</v>
      </c>
      <c r="F486" s="3" t="s">
        <v>2678</v>
      </c>
      <c r="G486" s="3" t="s">
        <v>2679</v>
      </c>
      <c r="H486" s="3" t="s">
        <v>2538</v>
      </c>
      <c r="I486" s="3" t="s">
        <v>2624</v>
      </c>
      <c r="J486" s="3">
        <v>645</v>
      </c>
      <c r="K486" s="3" t="s">
        <v>2680</v>
      </c>
      <c r="L486" s="3" t="s">
        <v>11342</v>
      </c>
      <c r="M486" s="6">
        <v>26935</v>
      </c>
      <c r="N486" s="3">
        <v>49</v>
      </c>
      <c r="O486" s="3">
        <v>226050919</v>
      </c>
      <c r="P486" s="3">
        <v>9518046859</v>
      </c>
      <c r="Q486" s="3" t="s">
        <v>2681</v>
      </c>
      <c r="R486" s="3"/>
      <c r="S486" s="3" t="s">
        <v>3137</v>
      </c>
      <c r="T486" s="3"/>
      <c r="U486" s="3" t="s">
        <v>62</v>
      </c>
      <c r="V486" s="3" t="s">
        <v>16714</v>
      </c>
      <c r="W486" s="3"/>
      <c r="X486" s="3"/>
      <c r="Y486" s="3" t="s">
        <v>12670</v>
      </c>
      <c r="AA486" s="3" t="s">
        <v>2737</v>
      </c>
      <c r="AB486" s="3" t="s">
        <v>2545</v>
      </c>
      <c r="AC486" s="3" t="s">
        <v>16715</v>
      </c>
      <c r="AD486" s="3">
        <v>176</v>
      </c>
      <c r="AE486" s="3"/>
      <c r="AF486" s="3" t="s">
        <v>393</v>
      </c>
      <c r="AG486" s="3" t="s">
        <v>16716</v>
      </c>
      <c r="AH486" s="3" t="s">
        <v>2683</v>
      </c>
      <c r="AI486" s="3" t="s">
        <v>101</v>
      </c>
      <c r="AJ486" s="3" t="s">
        <v>2569</v>
      </c>
      <c r="AK486" s="3" t="s">
        <v>3249</v>
      </c>
      <c r="AL486" s="3" t="s">
        <v>2550</v>
      </c>
      <c r="AM486" s="3">
        <v>1</v>
      </c>
      <c r="AP486" s="3" t="s">
        <v>3032</v>
      </c>
      <c r="AQ486" s="3" t="s">
        <v>16717</v>
      </c>
      <c r="AS486" s="7" t="s">
        <v>16718</v>
      </c>
    </row>
    <row r="487" spans="1:45" ht="12.5" hidden="1" x14ac:dyDescent="0.25">
      <c r="A487" s="3" t="s">
        <v>12652</v>
      </c>
      <c r="B487" s="21" t="str">
        <f>HYPERLINK("https://gerandofalcoes.my.salesforce.com/0014P00003AN76yQAD", "0014P00003AN76yQAD")</f>
        <v>0014P00003AN76yQAD</v>
      </c>
      <c r="C487" s="3" t="s">
        <v>293</v>
      </c>
      <c r="D487" s="3" t="s">
        <v>152</v>
      </c>
      <c r="E487" s="21" t="str">
        <f>HYPERLINK("https://gerandofalcoes.my.salesforce.com/0034P00003maBVR", "0034P00003maBVR")</f>
        <v>0034P00003maBVR</v>
      </c>
      <c r="F487" s="3" t="s">
        <v>2650</v>
      </c>
      <c r="G487" s="3" t="s">
        <v>2651</v>
      </c>
      <c r="H487" s="3" t="s">
        <v>2538</v>
      </c>
      <c r="I487" s="3" t="s">
        <v>2638</v>
      </c>
      <c r="J487" s="3">
        <v>563</v>
      </c>
      <c r="K487" s="3" t="s">
        <v>2652</v>
      </c>
      <c r="L487" s="3" t="s">
        <v>11351</v>
      </c>
      <c r="M487" s="6">
        <v>32688</v>
      </c>
      <c r="N487" s="3">
        <v>33</v>
      </c>
      <c r="O487" s="3">
        <v>1972800</v>
      </c>
      <c r="P487" s="3">
        <v>11776586743</v>
      </c>
      <c r="Q487" s="3" t="s">
        <v>2653</v>
      </c>
      <c r="R487" s="3" t="s">
        <v>2654</v>
      </c>
      <c r="S487" s="3" t="s">
        <v>2998</v>
      </c>
      <c r="T487" s="3"/>
      <c r="U487" s="3" t="s">
        <v>120</v>
      </c>
      <c r="V487" s="3" t="s">
        <v>16719</v>
      </c>
      <c r="W487" s="3"/>
      <c r="X487" s="3"/>
      <c r="Y487" s="3" t="s">
        <v>12684</v>
      </c>
      <c r="AA487" s="3"/>
      <c r="AB487" s="3"/>
      <c r="AC487" s="3" t="s">
        <v>16720</v>
      </c>
      <c r="AD487" s="3">
        <v>97</v>
      </c>
      <c r="AE487" s="3" t="s">
        <v>15709</v>
      </c>
      <c r="AF487" s="3" t="s">
        <v>297</v>
      </c>
      <c r="AG487" s="3" t="s">
        <v>7583</v>
      </c>
      <c r="AH487" s="3" t="s">
        <v>16721</v>
      </c>
      <c r="AI487" s="3" t="s">
        <v>295</v>
      </c>
      <c r="AJ487" s="3" t="s">
        <v>2569</v>
      </c>
      <c r="AK487" s="3" t="s">
        <v>15494</v>
      </c>
      <c r="AL487" s="3" t="s">
        <v>2588</v>
      </c>
      <c r="AM487" s="3">
        <v>3</v>
      </c>
      <c r="AP487" s="3" t="s">
        <v>16722</v>
      </c>
      <c r="AQ487" s="7" t="s">
        <v>16723</v>
      </c>
      <c r="AS487" s="7" t="s">
        <v>16724</v>
      </c>
    </row>
    <row r="488" spans="1:45" ht="12.5" hidden="1" x14ac:dyDescent="0.25">
      <c r="A488" s="3" t="s">
        <v>12652</v>
      </c>
      <c r="B488" s="21" t="str">
        <f>HYPERLINK("https://gerandofalcoes.my.salesforce.com/0014P00003ERUfsQAH", "0014P00003ERUfsQAH")</f>
        <v>0014P00003ERUfsQAH</v>
      </c>
      <c r="C488" s="3" t="s">
        <v>463</v>
      </c>
      <c r="D488" s="3" t="s">
        <v>152</v>
      </c>
      <c r="E488" s="21" t="str">
        <f>HYPERLINK("https://gerandofalcoes.my.salesforce.com/0034P00003tQ7A1", "0034P00003tQ7A1")</f>
        <v>0034P00003tQ7A1</v>
      </c>
      <c r="F488" s="3" t="s">
        <v>2965</v>
      </c>
      <c r="G488" s="3" t="s">
        <v>2966</v>
      </c>
      <c r="H488" s="3" t="s">
        <v>2538</v>
      </c>
      <c r="I488" s="3" t="s">
        <v>2624</v>
      </c>
      <c r="J488" s="3">
        <v>721</v>
      </c>
      <c r="K488" s="3" t="s">
        <v>466</v>
      </c>
      <c r="L488" s="3" t="s">
        <v>11358</v>
      </c>
      <c r="M488" s="6">
        <v>30305</v>
      </c>
      <c r="N488" s="3">
        <v>40</v>
      </c>
      <c r="O488" s="3">
        <v>98012046966</v>
      </c>
      <c r="P488" s="3">
        <v>94089573415</v>
      </c>
      <c r="Q488" s="3" t="s">
        <v>2967</v>
      </c>
      <c r="R488" s="3"/>
      <c r="S488" s="3" t="s">
        <v>3137</v>
      </c>
      <c r="T488" s="3"/>
      <c r="U488" s="3" t="s">
        <v>62</v>
      </c>
      <c r="V488" s="3" t="s">
        <v>16725</v>
      </c>
      <c r="W488" s="3"/>
      <c r="X488" s="3"/>
      <c r="Y488" s="3" t="s">
        <v>12658</v>
      </c>
      <c r="AA488" s="3" t="s">
        <v>2544</v>
      </c>
      <c r="AB488" s="3" t="s">
        <v>2545</v>
      </c>
      <c r="AC488" s="3" t="s">
        <v>16726</v>
      </c>
      <c r="AD488" s="3">
        <v>3360</v>
      </c>
      <c r="AE488" s="3"/>
      <c r="AF488" s="3" t="s">
        <v>470</v>
      </c>
      <c r="AG488" s="3" t="s">
        <v>13324</v>
      </c>
      <c r="AH488" s="3" t="s">
        <v>16727</v>
      </c>
      <c r="AI488" s="3" t="s">
        <v>468</v>
      </c>
      <c r="AJ488" s="3" t="s">
        <v>2569</v>
      </c>
      <c r="AK488" s="3" t="s">
        <v>12828</v>
      </c>
      <c r="AL488" s="3" t="s">
        <v>2588</v>
      </c>
      <c r="AM488" s="3">
        <v>10</v>
      </c>
      <c r="AP488" s="7" t="s">
        <v>16728</v>
      </c>
      <c r="AQ488" s="7" t="s">
        <v>16729</v>
      </c>
      <c r="AS488" s="7" t="s">
        <v>16730</v>
      </c>
    </row>
    <row r="489" spans="1:45" ht="12.5" hidden="1" x14ac:dyDescent="0.25">
      <c r="A489" s="3" t="s">
        <v>12652</v>
      </c>
      <c r="B489" s="21" t="str">
        <f>HYPERLINK("https://gerandofalcoes.my.salesforce.com/0014P00003ERavoQAD", "0014P00003ERavoQAD")</f>
        <v>0014P00003ERavoQAD</v>
      </c>
      <c r="C489" s="3" t="s">
        <v>481</v>
      </c>
      <c r="D489" s="3" t="s">
        <v>152</v>
      </c>
      <c r="E489" s="21" t="str">
        <f>HYPERLINK("https://gerandofalcoes.my.salesforce.com/0034P00003tZGGo", "0034P00003tZGGo")</f>
        <v>0034P00003tZGGo</v>
      </c>
      <c r="F489" s="3" t="s">
        <v>2636</v>
      </c>
      <c r="G489" s="3" t="s">
        <v>16731</v>
      </c>
      <c r="H489" s="3" t="s">
        <v>2538</v>
      </c>
      <c r="I489" s="3" t="s">
        <v>2638</v>
      </c>
      <c r="J489" s="3">
        <v>543</v>
      </c>
      <c r="K489" s="3" t="s">
        <v>484</v>
      </c>
      <c r="L489" s="3" t="s">
        <v>11370</v>
      </c>
      <c r="M489" s="6">
        <v>29859</v>
      </c>
      <c r="N489" s="3">
        <v>41</v>
      </c>
      <c r="O489" s="3">
        <v>34866090</v>
      </c>
      <c r="P489" s="3">
        <v>22081401843</v>
      </c>
      <c r="Q489" s="3" t="s">
        <v>2625</v>
      </c>
      <c r="S489" s="3" t="s">
        <v>3605</v>
      </c>
      <c r="T489" s="3"/>
      <c r="U489" s="3" t="s">
        <v>62</v>
      </c>
      <c r="V489" s="3" t="s">
        <v>16732</v>
      </c>
      <c r="W489" s="3"/>
      <c r="X489" s="3"/>
      <c r="Y489" s="3" t="s">
        <v>12658</v>
      </c>
      <c r="AA489" s="3" t="s">
        <v>2544</v>
      </c>
      <c r="AB489" s="3" t="s">
        <v>2545</v>
      </c>
      <c r="AC489" s="3" t="s">
        <v>16733</v>
      </c>
      <c r="AD489" s="3">
        <v>266</v>
      </c>
      <c r="AE489" s="3" t="s">
        <v>2864</v>
      </c>
      <c r="AF489" s="3" t="s">
        <v>128</v>
      </c>
      <c r="AG489" s="3" t="s">
        <v>16734</v>
      </c>
      <c r="AH489" s="3" t="s">
        <v>488</v>
      </c>
      <c r="AI489" s="3" t="s">
        <v>101</v>
      </c>
      <c r="AJ489" s="3" t="s">
        <v>2569</v>
      </c>
      <c r="AK489" s="3" t="s">
        <v>12828</v>
      </c>
      <c r="AL489" s="3" t="s">
        <v>2550</v>
      </c>
      <c r="AM489" s="3">
        <v>3</v>
      </c>
      <c r="AP489" s="7" t="s">
        <v>16735</v>
      </c>
      <c r="AQ489" s="7" t="s">
        <v>9242</v>
      </c>
      <c r="AS489" s="7" t="s">
        <v>16736</v>
      </c>
    </row>
    <row r="490" spans="1:45" ht="12.5" hidden="1" x14ac:dyDescent="0.25">
      <c r="A490" s="3" t="s">
        <v>12652</v>
      </c>
      <c r="B490" s="21" t="str">
        <f>HYPERLINK("https://gerandofalcoes.my.salesforce.com/0014P00003MjNTIQA3", "0014P00003MjNTIQA3")</f>
        <v>0014P00003MjNTIQA3</v>
      </c>
      <c r="C490" s="3" t="s">
        <v>11379</v>
      </c>
      <c r="D490" s="3" t="s">
        <v>418</v>
      </c>
      <c r="E490" s="21" t="str">
        <f>HYPERLINK("https://gerandofalcoes.my.salesforce.com/0034P00003xgnQ1", "0034P00003xgnQ1")</f>
        <v>0034P00003xgnQ1</v>
      </c>
      <c r="F490" s="3" t="s">
        <v>2975</v>
      </c>
      <c r="G490" s="3" t="s">
        <v>2976</v>
      </c>
      <c r="H490" s="3" t="s">
        <v>2538</v>
      </c>
      <c r="I490" s="3" t="s">
        <v>2618</v>
      </c>
      <c r="J490" s="3">
        <v>4077</v>
      </c>
      <c r="K490" s="3" t="s">
        <v>2977</v>
      </c>
      <c r="L490" s="3">
        <v>11948701512</v>
      </c>
      <c r="M490" s="6">
        <v>32255</v>
      </c>
      <c r="N490" s="3">
        <v>34</v>
      </c>
      <c r="O490" s="3">
        <v>343002061</v>
      </c>
      <c r="P490" s="3">
        <v>35973851842</v>
      </c>
      <c r="Q490" s="3" t="s">
        <v>2625</v>
      </c>
      <c r="R490" s="3" t="s">
        <v>2978</v>
      </c>
      <c r="S490" s="3"/>
      <c r="T490" s="3" t="s">
        <v>12656</v>
      </c>
      <c r="U490" s="3" t="s">
        <v>62</v>
      </c>
      <c r="V490" s="3"/>
      <c r="W490" s="3" t="s">
        <v>2576</v>
      </c>
      <c r="X490" s="3" t="s">
        <v>2980</v>
      </c>
      <c r="Y490" s="3"/>
      <c r="AA490" s="3"/>
      <c r="AB490" s="3"/>
      <c r="AC490" s="3" t="s">
        <v>2981</v>
      </c>
      <c r="AD490" s="3">
        <v>60</v>
      </c>
      <c r="AE490" s="3"/>
      <c r="AF490" s="3" t="s">
        <v>443</v>
      </c>
      <c r="AG490" s="3"/>
      <c r="AH490" s="3" t="s">
        <v>2982</v>
      </c>
      <c r="AI490" s="3" t="s">
        <v>101</v>
      </c>
      <c r="AJ490" s="3"/>
      <c r="AK490" s="3"/>
      <c r="AL490" s="3"/>
      <c r="AM490" s="3"/>
      <c r="AP490" s="3"/>
      <c r="AQ490" s="3"/>
      <c r="AS490" s="3"/>
    </row>
    <row r="491" spans="1:45" ht="12.5" hidden="1" x14ac:dyDescent="0.25">
      <c r="A491" s="3" t="s">
        <v>12652</v>
      </c>
      <c r="B491" s="21" t="str">
        <f>HYPERLINK("https://gerandofalcoes.my.salesforce.com/0014P00003MjOsqQAF", "0014P00003MjOsqQAF")</f>
        <v>0014P00003MjOsqQAF</v>
      </c>
      <c r="C491" s="3" t="s">
        <v>11384</v>
      </c>
      <c r="D491" s="3" t="s">
        <v>418</v>
      </c>
      <c r="E491" s="21" t="str">
        <f>HYPERLINK("https://gerandofalcoes.my.salesforce.com/0034P00003xgujU", "0034P00003xgujU")</f>
        <v>0034P00003xgujU</v>
      </c>
      <c r="F491" s="3" t="s">
        <v>2650</v>
      </c>
      <c r="G491" s="3" t="s">
        <v>2984</v>
      </c>
      <c r="H491" s="3" t="s">
        <v>2538</v>
      </c>
      <c r="I491" s="3" t="s">
        <v>2618</v>
      </c>
      <c r="J491" s="3">
        <v>4077</v>
      </c>
      <c r="K491" s="3" t="s">
        <v>2985</v>
      </c>
      <c r="L491" s="3" t="s">
        <v>2986</v>
      </c>
      <c r="M491" s="6">
        <v>33926</v>
      </c>
      <c r="N491" s="3">
        <v>30</v>
      </c>
      <c r="O491" s="3">
        <v>490212335</v>
      </c>
      <c r="P491" s="3">
        <v>41187012866</v>
      </c>
      <c r="Q491" s="3" t="s">
        <v>2987</v>
      </c>
      <c r="R491" s="3" t="s">
        <v>2978</v>
      </c>
      <c r="S491" s="3"/>
      <c r="T491" s="3"/>
      <c r="U491" s="3" t="s">
        <v>62</v>
      </c>
      <c r="V491" s="3"/>
      <c r="W491" s="3"/>
      <c r="X491" s="3"/>
      <c r="Y491" s="3"/>
      <c r="AA491" s="3" t="s">
        <v>2544</v>
      </c>
      <c r="AC491" s="3" t="s">
        <v>2988</v>
      </c>
      <c r="AD491" s="3">
        <v>100</v>
      </c>
      <c r="AE491" s="3" t="s">
        <v>2989</v>
      </c>
      <c r="AF491" s="3" t="s">
        <v>393</v>
      </c>
      <c r="AG491" s="3" t="s">
        <v>16737</v>
      </c>
      <c r="AH491" s="3" t="s">
        <v>2990</v>
      </c>
      <c r="AI491" s="3" t="s">
        <v>101</v>
      </c>
      <c r="AJ491" s="3" t="s">
        <v>2569</v>
      </c>
      <c r="AK491" s="3" t="s">
        <v>12661</v>
      </c>
      <c r="AL491" s="3" t="s">
        <v>2550</v>
      </c>
      <c r="AM491" s="3">
        <v>3</v>
      </c>
      <c r="AO491" s="3"/>
      <c r="AP491" s="7" t="s">
        <v>16738</v>
      </c>
      <c r="AQ491" s="7" t="s">
        <v>16739</v>
      </c>
      <c r="AS491" s="3"/>
    </row>
    <row r="492" spans="1:45" ht="12.5" hidden="1" x14ac:dyDescent="0.25">
      <c r="A492" s="3" t="s">
        <v>12652</v>
      </c>
      <c r="B492" s="21" t="str">
        <f>HYPERLINK("https://gerandofalcoes.my.salesforce.com/0014P00003MjR9oQAF", "0014P00003MjR9oQAF")</f>
        <v>0014P00003MjR9oQAF</v>
      </c>
      <c r="C492" s="3" t="s">
        <v>11393</v>
      </c>
      <c r="D492" s="3" t="s">
        <v>418</v>
      </c>
      <c r="E492" s="21" t="str">
        <f>HYPERLINK("https://gerandofalcoes.my.salesforce.com/0034P00003xh63p", "0034P00003xh63p")</f>
        <v>0034P00003xh63p</v>
      </c>
      <c r="F492" s="3" t="s">
        <v>2699</v>
      </c>
      <c r="G492" s="3" t="s">
        <v>2994</v>
      </c>
      <c r="H492" s="3" t="s">
        <v>2538</v>
      </c>
      <c r="I492" s="3" t="s">
        <v>2618</v>
      </c>
      <c r="J492" s="3">
        <v>4077</v>
      </c>
      <c r="K492" s="3" t="s">
        <v>16740</v>
      </c>
      <c r="L492" s="3" t="s">
        <v>2996</v>
      </c>
      <c r="M492" s="8">
        <v>30840</v>
      </c>
      <c r="N492" s="3">
        <v>38</v>
      </c>
      <c r="O492" s="3">
        <v>345660560</v>
      </c>
      <c r="P492" s="3">
        <v>32640916823</v>
      </c>
      <c r="Q492" s="3" t="s">
        <v>2647</v>
      </c>
      <c r="R492" s="3" t="s">
        <v>2997</v>
      </c>
      <c r="S492" s="3" t="s">
        <v>2998</v>
      </c>
      <c r="T492" s="3" t="s">
        <v>12656</v>
      </c>
      <c r="U492" s="3" t="s">
        <v>120</v>
      </c>
      <c r="V492" s="3"/>
      <c r="W492" s="3" t="s">
        <v>2576</v>
      </c>
      <c r="X492" s="3" t="s">
        <v>2980</v>
      </c>
      <c r="Y492" s="3"/>
      <c r="AA492" s="3" t="s">
        <v>2544</v>
      </c>
      <c r="AB492" s="3"/>
      <c r="AC492" s="3" t="s">
        <v>2999</v>
      </c>
      <c r="AD492" s="3">
        <v>253</v>
      </c>
      <c r="AE492" s="3"/>
      <c r="AF492" s="3" t="s">
        <v>128</v>
      </c>
      <c r="AG492" s="3" t="s">
        <v>16741</v>
      </c>
      <c r="AH492" s="3" t="s">
        <v>3000</v>
      </c>
      <c r="AI492" s="3" t="s">
        <v>101</v>
      </c>
      <c r="AJ492" s="3" t="s">
        <v>2569</v>
      </c>
      <c r="AK492" s="3" t="s">
        <v>12661</v>
      </c>
      <c r="AL492" s="3" t="s">
        <v>2550</v>
      </c>
      <c r="AM492" s="3">
        <v>4</v>
      </c>
      <c r="AP492" s="7" t="s">
        <v>16742</v>
      </c>
      <c r="AQ492" s="7" t="s">
        <v>16743</v>
      </c>
      <c r="AS492" s="7" t="s">
        <v>16744</v>
      </c>
    </row>
    <row r="493" spans="1:45" ht="12.5" hidden="1" x14ac:dyDescent="0.25">
      <c r="A493" s="3" t="s">
        <v>12652</v>
      </c>
      <c r="B493" s="21" t="str">
        <f>HYPERLINK("https://gerandofalcoes.my.salesforce.com/0014P00003Ck7X8QAJ", "0014P00003Ck7X8QAJ")</f>
        <v>0014P00003Ck7X8QAJ</v>
      </c>
      <c r="C493" s="3" t="s">
        <v>746</v>
      </c>
      <c r="D493" s="3" t="s">
        <v>46</v>
      </c>
      <c r="E493" s="21" t="str">
        <f>HYPERLINK("https://gerandofalcoes.my.salesforce.com/0034P00003q10qj", "0034P00003q10qj")</f>
        <v>0034P00003q10qj</v>
      </c>
      <c r="F493" s="3" t="s">
        <v>3004</v>
      </c>
      <c r="G493" s="3" t="s">
        <v>16745</v>
      </c>
      <c r="H493" s="3" t="s">
        <v>2538</v>
      </c>
      <c r="I493" s="3" t="s">
        <v>2638</v>
      </c>
      <c r="J493" s="3">
        <v>490</v>
      </c>
      <c r="K493" s="3" t="s">
        <v>3006</v>
      </c>
      <c r="L493" s="3" t="s">
        <v>11402</v>
      </c>
      <c r="M493" s="6">
        <v>33719</v>
      </c>
      <c r="N493" s="3">
        <v>30</v>
      </c>
      <c r="O493" s="3" t="s">
        <v>3007</v>
      </c>
      <c r="P493" s="3">
        <v>39923214877</v>
      </c>
      <c r="Q493" s="3" t="s">
        <v>3008</v>
      </c>
      <c r="R493" s="3" t="s">
        <v>3009</v>
      </c>
      <c r="S493" s="3" t="s">
        <v>2998</v>
      </c>
      <c r="T493" s="3"/>
      <c r="U493" s="3" t="s">
        <v>120</v>
      </c>
      <c r="V493" s="3" t="s">
        <v>16746</v>
      </c>
      <c r="W493" s="3"/>
      <c r="X493" s="3"/>
      <c r="Y493" s="3" t="s">
        <v>12670</v>
      </c>
      <c r="AA493" s="3" t="s">
        <v>2544</v>
      </c>
      <c r="AB493" s="3" t="s">
        <v>2543</v>
      </c>
      <c r="AC493" s="3" t="s">
        <v>16747</v>
      </c>
      <c r="AD493" s="3">
        <v>922</v>
      </c>
      <c r="AE493" s="3"/>
      <c r="AF493" s="3" t="s">
        <v>749</v>
      </c>
      <c r="AG493" s="3" t="s">
        <v>16748</v>
      </c>
      <c r="AH493" s="3" t="s">
        <v>750</v>
      </c>
      <c r="AI493" s="3" t="s">
        <v>101</v>
      </c>
      <c r="AJ493" s="3" t="s">
        <v>2741</v>
      </c>
      <c r="AK493" s="3" t="s">
        <v>16749</v>
      </c>
      <c r="AL493" s="3" t="s">
        <v>2550</v>
      </c>
      <c r="AM493" s="3">
        <v>4</v>
      </c>
      <c r="AO493" s="3"/>
      <c r="AP493" s="3"/>
      <c r="AQ493" s="7" t="s">
        <v>16750</v>
      </c>
      <c r="AS493" s="7" t="s">
        <v>16751</v>
      </c>
    </row>
    <row r="494" spans="1:45" ht="12.5" hidden="1" x14ac:dyDescent="0.25">
      <c r="A494" s="3" t="s">
        <v>12652</v>
      </c>
      <c r="B494" s="21" t="str">
        <f>HYPERLINK("https://gerandofalcoes.my.salesforce.com/0014P00003ESKdlQAH", "0014P00003ESKdlQAH")</f>
        <v>0014P00003ESKdlQAH</v>
      </c>
      <c r="C494" s="3" t="s">
        <v>765</v>
      </c>
      <c r="D494" s="3" t="s">
        <v>46</v>
      </c>
      <c r="E494" s="21" t="str">
        <f>HYPERLINK("https://gerandofalcoes.my.salesforce.com/0034P00003u8pO7", "0034P00003u8pO7")</f>
        <v>0034P00003u8pO7</v>
      </c>
      <c r="F494" s="3" t="s">
        <v>3011</v>
      </c>
      <c r="G494" s="3" t="s">
        <v>16752</v>
      </c>
      <c r="H494" s="3" t="s">
        <v>2538</v>
      </c>
      <c r="I494" s="3" t="s">
        <v>2624</v>
      </c>
      <c r="J494" s="3">
        <v>490</v>
      </c>
      <c r="K494" s="3" t="s">
        <v>3013</v>
      </c>
      <c r="L494" s="3" t="s">
        <v>11409</v>
      </c>
      <c r="M494" s="6">
        <v>32072</v>
      </c>
      <c r="N494" s="3">
        <v>35</v>
      </c>
      <c r="O494" s="3">
        <v>554474177</v>
      </c>
      <c r="P494" s="3">
        <v>4007657564</v>
      </c>
      <c r="Q494" s="3" t="s">
        <v>3015</v>
      </c>
      <c r="R494" s="3"/>
      <c r="S494" s="3" t="s">
        <v>3269</v>
      </c>
      <c r="T494" s="3"/>
      <c r="U494" s="3" t="s">
        <v>62</v>
      </c>
      <c r="V494" s="3" t="s">
        <v>16753</v>
      </c>
      <c r="W494" s="3"/>
      <c r="X494" s="3"/>
      <c r="Y494" s="3" t="s">
        <v>12670</v>
      </c>
      <c r="AA494" s="3" t="s">
        <v>2544</v>
      </c>
      <c r="AB494" s="3" t="s">
        <v>2545</v>
      </c>
      <c r="AC494" s="3" t="s">
        <v>16754</v>
      </c>
      <c r="AD494" s="3">
        <v>830</v>
      </c>
      <c r="AE494" s="3" t="s">
        <v>16755</v>
      </c>
      <c r="AF494" s="3" t="s">
        <v>128</v>
      </c>
      <c r="AG494" s="3" t="s">
        <v>16756</v>
      </c>
      <c r="AH494" s="3" t="s">
        <v>3017</v>
      </c>
      <c r="AI494" s="3" t="s">
        <v>101</v>
      </c>
      <c r="AJ494" s="3" t="s">
        <v>2569</v>
      </c>
      <c r="AK494" s="3" t="s">
        <v>12729</v>
      </c>
      <c r="AL494" s="3" t="s">
        <v>2588</v>
      </c>
      <c r="AM494" s="3">
        <v>2</v>
      </c>
      <c r="AP494" s="3"/>
      <c r="AQ494" s="7" t="s">
        <v>16757</v>
      </c>
      <c r="AS494" s="7" t="s">
        <v>16758</v>
      </c>
    </row>
    <row r="495" spans="1:45" ht="12.5" hidden="1" x14ac:dyDescent="0.25">
      <c r="A495" s="3" t="s">
        <v>12652</v>
      </c>
      <c r="B495" s="21" t="str">
        <f>HYPERLINK("https://gerandofalcoes.my.salesforce.com/0014P00003AN2FVQA1", "0014P00003AN2FVQA1")</f>
        <v>0014P00003AN2FVQA1</v>
      </c>
      <c r="C495" s="3" t="s">
        <v>500</v>
      </c>
      <c r="D495" s="3" t="s">
        <v>46</v>
      </c>
      <c r="E495" s="21" t="str">
        <f>HYPERLINK("https://gerandofalcoes.my.salesforce.com/0034P00003maBUv", "0034P00003maBUv")</f>
        <v>0034P00003maBUv</v>
      </c>
      <c r="F495" s="3" t="s">
        <v>2745</v>
      </c>
      <c r="G495" s="3" t="s">
        <v>16759</v>
      </c>
      <c r="H495" s="3" t="s">
        <v>2538</v>
      </c>
      <c r="I495" s="3" t="s">
        <v>2638</v>
      </c>
      <c r="J495" s="3">
        <v>535</v>
      </c>
      <c r="K495" s="3" t="s">
        <v>2747</v>
      </c>
      <c r="L495" s="3" t="s">
        <v>11418</v>
      </c>
      <c r="M495" s="6">
        <v>29801</v>
      </c>
      <c r="N495" s="3">
        <v>41</v>
      </c>
      <c r="O495" s="3">
        <v>5423728</v>
      </c>
      <c r="P495" s="3">
        <v>872098451</v>
      </c>
      <c r="Q495" s="3" t="s">
        <v>2748</v>
      </c>
      <c r="R495" s="3"/>
      <c r="S495" s="3" t="s">
        <v>2998</v>
      </c>
      <c r="T495" s="3"/>
      <c r="U495" s="3" t="s">
        <v>62</v>
      </c>
      <c r="V495" s="3" t="s">
        <v>16760</v>
      </c>
      <c r="W495" s="3"/>
      <c r="X495" s="3"/>
      <c r="Y495" s="3" t="s">
        <v>12658</v>
      </c>
      <c r="AA495" s="3" t="s">
        <v>2544</v>
      </c>
      <c r="AB495" s="3" t="s">
        <v>2545</v>
      </c>
      <c r="AC495" s="3" t="s">
        <v>16761</v>
      </c>
      <c r="AD495" s="3">
        <v>221</v>
      </c>
      <c r="AE495" s="3">
        <v>103</v>
      </c>
      <c r="AF495" s="3" t="s">
        <v>381</v>
      </c>
      <c r="AG495" s="3" t="s">
        <v>13427</v>
      </c>
      <c r="AH495" s="3" t="s">
        <v>16762</v>
      </c>
      <c r="AI495" s="3" t="s">
        <v>379</v>
      </c>
      <c r="AJ495" s="3" t="s">
        <v>2741</v>
      </c>
      <c r="AK495" s="3" t="s">
        <v>12674</v>
      </c>
      <c r="AL495" s="3" t="s">
        <v>2588</v>
      </c>
      <c r="AM495" s="3">
        <v>4</v>
      </c>
      <c r="AO495" s="3"/>
      <c r="AP495" s="7" t="s">
        <v>16763</v>
      </c>
      <c r="AQ495" s="7" t="s">
        <v>16764</v>
      </c>
      <c r="AS495" s="7" t="s">
        <v>16765</v>
      </c>
    </row>
    <row r="496" spans="1:45" ht="12.5" hidden="1" x14ac:dyDescent="0.25">
      <c r="A496" s="3" t="s">
        <v>12652</v>
      </c>
      <c r="B496" s="21" t="str">
        <f>HYPERLINK("https://gerandofalcoes.my.salesforce.com/0014P00003AN2FWQA1", "0014P00003AN2FWQA1")</f>
        <v>0014P00003AN2FWQA1</v>
      </c>
      <c r="C496" s="3" t="s">
        <v>512</v>
      </c>
      <c r="D496" s="3" t="s">
        <v>46</v>
      </c>
      <c r="E496" s="21" t="str">
        <f>HYPERLINK("https://gerandofalcoes.my.salesforce.com/0034P00003maBUw", "0034P00003maBUw")</f>
        <v>0034P00003maBUw</v>
      </c>
      <c r="F496" s="3" t="s">
        <v>3116</v>
      </c>
      <c r="G496" s="3" t="s">
        <v>16766</v>
      </c>
      <c r="H496" s="3" t="s">
        <v>2538</v>
      </c>
      <c r="I496" s="3" t="s">
        <v>2638</v>
      </c>
      <c r="J496" s="3">
        <v>421</v>
      </c>
      <c r="K496" s="3" t="s">
        <v>16767</v>
      </c>
      <c r="L496" s="3" t="s">
        <v>11429</v>
      </c>
      <c r="M496" s="6">
        <v>22007</v>
      </c>
      <c r="N496" s="3">
        <v>62</v>
      </c>
      <c r="O496" s="3">
        <v>4476690</v>
      </c>
      <c r="P496" s="3">
        <v>735765499</v>
      </c>
      <c r="Q496" s="3" t="s">
        <v>2756</v>
      </c>
      <c r="R496" s="3"/>
      <c r="S496" s="3" t="s">
        <v>2998</v>
      </c>
      <c r="T496" s="3"/>
      <c r="U496" s="3" t="s">
        <v>62</v>
      </c>
      <c r="V496" s="3" t="s">
        <v>16768</v>
      </c>
      <c r="W496" s="3"/>
      <c r="X496" s="3"/>
      <c r="Y496" s="3" t="s">
        <v>12670</v>
      </c>
      <c r="AA496" s="3" t="s">
        <v>2544</v>
      </c>
      <c r="AB496" s="3" t="s">
        <v>2545</v>
      </c>
      <c r="AC496" s="3" t="s">
        <v>16769</v>
      </c>
      <c r="AD496" s="3">
        <v>13</v>
      </c>
      <c r="AE496" s="3">
        <v>101</v>
      </c>
      <c r="AF496" s="3" t="s">
        <v>381</v>
      </c>
      <c r="AG496" s="3" t="s">
        <v>16770</v>
      </c>
      <c r="AH496" s="3" t="s">
        <v>16771</v>
      </c>
      <c r="AI496" s="3" t="s">
        <v>379</v>
      </c>
      <c r="AJ496" s="3" t="s">
        <v>2569</v>
      </c>
      <c r="AK496" s="3" t="s">
        <v>12828</v>
      </c>
      <c r="AL496" s="3" t="s">
        <v>2588</v>
      </c>
      <c r="AM496" s="3">
        <v>1</v>
      </c>
      <c r="AP496" s="3"/>
      <c r="AQ496" s="7" t="s">
        <v>11433</v>
      </c>
      <c r="AS496" s="7" t="s">
        <v>16772</v>
      </c>
    </row>
    <row r="497" spans="1:45" ht="12.5" hidden="1" x14ac:dyDescent="0.25">
      <c r="A497" s="3" t="s">
        <v>12652</v>
      </c>
      <c r="B497" s="21" t="str">
        <f>HYPERLINK("https://gerandofalcoes.my.salesforce.com/0014P00003AN2FXQA1", "0014P00003AN2FXQA1")</f>
        <v>0014P00003AN2FXQA1</v>
      </c>
      <c r="C497" s="3" t="s">
        <v>522</v>
      </c>
      <c r="D497" s="3" t="s">
        <v>46</v>
      </c>
      <c r="E497" s="21" t="str">
        <f>HYPERLINK("https://gerandofalcoes.my.salesforce.com/0034P00003maBUx", "0034P00003maBUx")</f>
        <v>0034P00003maBUx</v>
      </c>
      <c r="F497" s="3" t="s">
        <v>2658</v>
      </c>
      <c r="G497" s="3" t="s">
        <v>16773</v>
      </c>
      <c r="H497" s="3" t="s">
        <v>2538</v>
      </c>
      <c r="I497" s="3" t="s">
        <v>2638</v>
      </c>
      <c r="J497" s="3">
        <v>421</v>
      </c>
      <c r="K497" s="3" t="s">
        <v>2761</v>
      </c>
      <c r="L497" s="3" t="s">
        <v>11440</v>
      </c>
      <c r="M497" s="8">
        <v>33236</v>
      </c>
      <c r="N497" s="3">
        <v>32</v>
      </c>
      <c r="O497" s="3">
        <v>493101986</v>
      </c>
      <c r="P497" s="3">
        <v>39091613831</v>
      </c>
      <c r="Q497" s="3" t="s">
        <v>2762</v>
      </c>
      <c r="S497" s="3" t="s">
        <v>2998</v>
      </c>
      <c r="T497" s="3"/>
      <c r="U497" s="3" t="s">
        <v>62</v>
      </c>
      <c r="V497" s="3" t="s">
        <v>16774</v>
      </c>
      <c r="W497" s="3"/>
      <c r="X497" s="3"/>
      <c r="Y497" s="3" t="s">
        <v>12670</v>
      </c>
      <c r="AA497" s="3" t="s">
        <v>2544</v>
      </c>
      <c r="AB497" s="3" t="s">
        <v>2543</v>
      </c>
      <c r="AC497" s="3" t="s">
        <v>16775</v>
      </c>
      <c r="AD497" s="3">
        <v>194</v>
      </c>
      <c r="AE497" s="3"/>
      <c r="AF497" s="3" t="s">
        <v>128</v>
      </c>
      <c r="AG497" s="3" t="s">
        <v>16776</v>
      </c>
      <c r="AH497" s="3" t="s">
        <v>16777</v>
      </c>
      <c r="AI497" s="3" t="s">
        <v>101</v>
      </c>
      <c r="AJ497" s="3" t="s">
        <v>2569</v>
      </c>
      <c r="AK497" s="3" t="s">
        <v>12828</v>
      </c>
      <c r="AL497" s="3" t="s">
        <v>2579</v>
      </c>
      <c r="AM497" s="3">
        <v>4</v>
      </c>
      <c r="AP497" s="3"/>
      <c r="AQ497" s="3"/>
      <c r="AS497" s="3"/>
    </row>
    <row r="498" spans="1:45" ht="12.5" hidden="1" x14ac:dyDescent="0.25">
      <c r="A498" s="3" t="s">
        <v>12652</v>
      </c>
      <c r="B498" s="21" t="str">
        <f>HYPERLINK("https://gerandofalcoes.my.salesforce.com/0014P00003AN2FYQA1", "0014P00003AN2FYQA1")</f>
        <v>0014P00003AN2FYQA1</v>
      </c>
      <c r="C498" s="3" t="s">
        <v>531</v>
      </c>
      <c r="D498" s="3" t="s">
        <v>46</v>
      </c>
      <c r="E498" s="21" t="str">
        <f>HYPERLINK("https://gerandofalcoes.my.salesforce.com/0034P00003maBVU", "0034P00003maBVU")</f>
        <v>0034P00003maBVU</v>
      </c>
      <c r="F498" s="3" t="s">
        <v>2724</v>
      </c>
      <c r="G498" s="3" t="s">
        <v>16778</v>
      </c>
      <c r="H498" s="3" t="s">
        <v>2538</v>
      </c>
      <c r="I498" s="3" t="s">
        <v>2638</v>
      </c>
      <c r="J498" s="3">
        <v>487</v>
      </c>
      <c r="K498" s="3" t="s">
        <v>2726</v>
      </c>
      <c r="L498" s="3" t="s">
        <v>11449</v>
      </c>
      <c r="M498" s="6">
        <v>32640</v>
      </c>
      <c r="N498" s="3">
        <v>33</v>
      </c>
      <c r="O498" s="3">
        <v>476299378</v>
      </c>
      <c r="P498" s="3">
        <v>38664039844</v>
      </c>
      <c r="Q498" s="3" t="s">
        <v>2727</v>
      </c>
      <c r="R498" s="3" t="s">
        <v>2728</v>
      </c>
      <c r="S498" s="3" t="s">
        <v>2998</v>
      </c>
      <c r="T498" s="3"/>
      <c r="U498" s="3" t="s">
        <v>62</v>
      </c>
      <c r="V498" s="3" t="s">
        <v>16779</v>
      </c>
      <c r="W498" s="3"/>
      <c r="X498" s="3"/>
      <c r="Y498" s="3" t="s">
        <v>12658</v>
      </c>
      <c r="AA498" s="3" t="s">
        <v>2544</v>
      </c>
      <c r="AB498" s="3" t="s">
        <v>2545</v>
      </c>
      <c r="AC498" s="3" t="s">
        <v>16780</v>
      </c>
      <c r="AD498" s="3">
        <v>365</v>
      </c>
      <c r="AE498" s="3" t="s">
        <v>2730</v>
      </c>
      <c r="AF498" s="3" t="s">
        <v>10240</v>
      </c>
      <c r="AG498" s="3" t="s">
        <v>16781</v>
      </c>
      <c r="AH498" s="3" t="s">
        <v>16782</v>
      </c>
      <c r="AI498" s="3" t="s">
        <v>101</v>
      </c>
      <c r="AJ498" s="3" t="s">
        <v>2569</v>
      </c>
      <c r="AK498" s="3" t="s">
        <v>3249</v>
      </c>
      <c r="AL498" s="3" t="s">
        <v>2588</v>
      </c>
      <c r="AM498" s="3">
        <v>3</v>
      </c>
      <c r="AP498" s="3"/>
      <c r="AQ498" s="3" t="s">
        <v>16783</v>
      </c>
      <c r="AS498" s="3"/>
    </row>
    <row r="499" spans="1:45" ht="12.5" hidden="1" x14ac:dyDescent="0.25">
      <c r="A499" s="3" t="s">
        <v>12652</v>
      </c>
      <c r="B499" s="21" t="str">
        <f>HYPERLINK("https://gerandofalcoes.my.salesforce.com/0014P00003AN2FZQA1", "0014P00003AN2FZQA1")</f>
        <v>0014P00003AN2FZQA1</v>
      </c>
      <c r="C499" s="3" t="s">
        <v>541</v>
      </c>
      <c r="D499" s="3" t="s">
        <v>46</v>
      </c>
      <c r="E499" s="21" t="str">
        <f>HYPERLINK("https://gerandofalcoes.my.salesforce.com/0034P00003maBUz", "0034P00003maBUz")</f>
        <v>0034P00003maBUz</v>
      </c>
      <c r="F499" s="3" t="s">
        <v>2765</v>
      </c>
      <c r="G499" s="3" t="s">
        <v>16784</v>
      </c>
      <c r="H499" s="3" t="s">
        <v>2538</v>
      </c>
      <c r="I499" s="3" t="s">
        <v>2638</v>
      </c>
      <c r="J499" s="3">
        <v>566</v>
      </c>
      <c r="K499" s="3" t="s">
        <v>16785</v>
      </c>
      <c r="L499" s="3" t="s">
        <v>11456</v>
      </c>
      <c r="M499" s="6">
        <v>25641</v>
      </c>
      <c r="N499" s="3">
        <v>52</v>
      </c>
      <c r="O499" s="3">
        <v>224341339</v>
      </c>
      <c r="P499" s="3">
        <v>15689631817</v>
      </c>
      <c r="Q499" s="3" t="s">
        <v>2768</v>
      </c>
      <c r="R499" s="3"/>
      <c r="S499" s="3" t="s">
        <v>3137</v>
      </c>
      <c r="T499" s="3"/>
      <c r="U499" s="3" t="s">
        <v>62</v>
      </c>
      <c r="V499" s="3" t="s">
        <v>16786</v>
      </c>
      <c r="W499" s="3"/>
      <c r="X499" s="3"/>
      <c r="Y499" s="3" t="s">
        <v>12670</v>
      </c>
      <c r="AA499" s="3" t="s">
        <v>2577</v>
      </c>
      <c r="AB499" s="3" t="s">
        <v>2545</v>
      </c>
      <c r="AC499" s="3" t="s">
        <v>16787</v>
      </c>
      <c r="AD499" s="3">
        <v>485</v>
      </c>
      <c r="AE499" s="3" t="s">
        <v>16788</v>
      </c>
      <c r="AF499" s="3" t="s">
        <v>128</v>
      </c>
      <c r="AG499" s="3" t="s">
        <v>16789</v>
      </c>
      <c r="AH499" s="3" t="s">
        <v>16790</v>
      </c>
      <c r="AI499" s="3" t="s">
        <v>101</v>
      </c>
      <c r="AJ499" s="3" t="s">
        <v>2548</v>
      </c>
      <c r="AK499" s="3" t="s">
        <v>12661</v>
      </c>
      <c r="AL499" s="3" t="s">
        <v>2550</v>
      </c>
      <c r="AM499" s="3">
        <v>3</v>
      </c>
      <c r="AO499" s="3" t="s">
        <v>12698</v>
      </c>
      <c r="AP499" s="3" t="s">
        <v>16791</v>
      </c>
      <c r="AQ499" s="3" t="s">
        <v>16792</v>
      </c>
      <c r="AS499" s="7" t="s">
        <v>16793</v>
      </c>
    </row>
    <row r="500" spans="1:45" ht="12.5" hidden="1" x14ac:dyDescent="0.25">
      <c r="A500" s="3" t="s">
        <v>12652</v>
      </c>
      <c r="B500" s="21" t="str">
        <f>HYPERLINK("https://gerandofalcoes.my.salesforce.com/0014P00003AN2FaQAL", "0014P00003AN2FaQAL")</f>
        <v>0014P00003AN2FaQAL</v>
      </c>
      <c r="C500" s="3" t="s">
        <v>551</v>
      </c>
      <c r="D500" s="3" t="s">
        <v>46</v>
      </c>
      <c r="E500" s="21" t="str">
        <f>HYPERLINK("https://gerandofalcoes.my.salesforce.com/0034P00003maBV0", "0034P00003maBV0")</f>
        <v>0034P00003maBV0</v>
      </c>
      <c r="F500" s="3" t="s">
        <v>2773</v>
      </c>
      <c r="G500" s="3" t="s">
        <v>2774</v>
      </c>
      <c r="H500" s="3" t="s">
        <v>2538</v>
      </c>
      <c r="I500" s="3" t="s">
        <v>2618</v>
      </c>
      <c r="J500" s="3">
        <v>566</v>
      </c>
      <c r="K500" s="3" t="s">
        <v>2775</v>
      </c>
      <c r="L500" s="3" t="s">
        <v>11466</v>
      </c>
      <c r="M500" s="8">
        <v>32270</v>
      </c>
      <c r="N500" s="3">
        <v>34</v>
      </c>
      <c r="O500" s="3">
        <v>50462932</v>
      </c>
      <c r="P500" s="3">
        <v>7399365903</v>
      </c>
      <c r="Q500" s="3" t="s">
        <v>2776</v>
      </c>
      <c r="R500" s="3" t="s">
        <v>2777</v>
      </c>
      <c r="S500" s="3" t="s">
        <v>3269</v>
      </c>
      <c r="T500" s="3"/>
      <c r="U500" s="3" t="s">
        <v>62</v>
      </c>
      <c r="V500" s="3" t="s">
        <v>16794</v>
      </c>
      <c r="W500" s="3"/>
      <c r="X500" s="3"/>
      <c r="Y500" s="3" t="s">
        <v>12670</v>
      </c>
      <c r="AA500" s="3" t="s">
        <v>2544</v>
      </c>
      <c r="AB500" s="3" t="s">
        <v>2543</v>
      </c>
      <c r="AC500" s="3" t="s">
        <v>16795</v>
      </c>
      <c r="AD500" s="3">
        <v>555</v>
      </c>
      <c r="AE500" s="3" t="s">
        <v>2779</v>
      </c>
      <c r="AF500" s="3" t="s">
        <v>2039</v>
      </c>
      <c r="AG500" s="3" t="s">
        <v>16796</v>
      </c>
      <c r="AH500" s="3" t="s">
        <v>2780</v>
      </c>
      <c r="AI500" s="3" t="s">
        <v>557</v>
      </c>
      <c r="AJ500" s="3" t="s">
        <v>2741</v>
      </c>
      <c r="AK500" s="3" t="s">
        <v>12828</v>
      </c>
      <c r="AL500" s="3" t="s">
        <v>2588</v>
      </c>
      <c r="AM500" s="3">
        <v>2</v>
      </c>
      <c r="AO500" s="3" t="s">
        <v>12698</v>
      </c>
      <c r="AP500" s="3"/>
      <c r="AQ500" s="3" t="s">
        <v>16797</v>
      </c>
      <c r="AS500" s="7" t="s">
        <v>16798</v>
      </c>
    </row>
    <row r="501" spans="1:45" ht="12.5" hidden="1" x14ac:dyDescent="0.25">
      <c r="A501" s="3" t="s">
        <v>12652</v>
      </c>
      <c r="B501" s="21" t="str">
        <f>HYPERLINK("https://gerandofalcoes.my.salesforce.com/0014P00003AN2FbQAL", "0014P00003AN2FbQAL")</f>
        <v>0014P00003AN2FbQAL</v>
      </c>
      <c r="C501" s="3" t="s">
        <v>579</v>
      </c>
      <c r="D501" s="3" t="s">
        <v>46</v>
      </c>
      <c r="E501" s="21" t="str">
        <f>HYPERLINK("https://gerandofalcoes.my.salesforce.com/0034P00003maBV1", "0034P00003maBV1")</f>
        <v>0034P00003maBV1</v>
      </c>
      <c r="F501" s="3" t="s">
        <v>2783</v>
      </c>
      <c r="G501" s="3" t="s">
        <v>2784</v>
      </c>
      <c r="H501" s="3" t="s">
        <v>2538</v>
      </c>
      <c r="I501" s="3" t="s">
        <v>2618</v>
      </c>
      <c r="J501" s="3">
        <v>562</v>
      </c>
      <c r="K501" s="3" t="s">
        <v>583</v>
      </c>
      <c r="L501" s="3" t="s">
        <v>11480</v>
      </c>
      <c r="M501" s="6">
        <v>35645</v>
      </c>
      <c r="N501" s="3">
        <v>25</v>
      </c>
      <c r="O501" s="3">
        <v>20083138662</v>
      </c>
      <c r="P501" s="3">
        <v>61192114388</v>
      </c>
      <c r="Q501" s="3" t="s">
        <v>2584</v>
      </c>
      <c r="R501" s="3" t="s">
        <v>2786</v>
      </c>
      <c r="S501" s="3" t="s">
        <v>3137</v>
      </c>
      <c r="T501" s="3"/>
      <c r="U501" s="3" t="s">
        <v>62</v>
      </c>
      <c r="V501" s="3" t="s">
        <v>16799</v>
      </c>
      <c r="W501" s="3"/>
      <c r="X501" s="3"/>
      <c r="Y501" s="3" t="s">
        <v>12736</v>
      </c>
      <c r="AA501" s="3"/>
      <c r="AB501" s="3" t="s">
        <v>2543</v>
      </c>
      <c r="AC501" s="3" t="s">
        <v>16800</v>
      </c>
      <c r="AD501" s="3">
        <v>165</v>
      </c>
      <c r="AE501" s="3" t="s">
        <v>16801</v>
      </c>
      <c r="AF501" s="3" t="s">
        <v>470</v>
      </c>
      <c r="AG501" s="3" t="s">
        <v>586</v>
      </c>
      <c r="AH501" s="3" t="s">
        <v>11481</v>
      </c>
      <c r="AI501" s="3" t="s">
        <v>468</v>
      </c>
      <c r="AJ501" s="3" t="s">
        <v>2569</v>
      </c>
      <c r="AK501" s="3" t="s">
        <v>12729</v>
      </c>
      <c r="AL501" s="3" t="s">
        <v>2588</v>
      </c>
      <c r="AM501" s="3">
        <v>1</v>
      </c>
      <c r="AO501" s="3"/>
      <c r="AP501" s="7" t="s">
        <v>16802</v>
      </c>
      <c r="AQ501" s="7" t="s">
        <v>16803</v>
      </c>
      <c r="AS501" s="7" t="s">
        <v>16804</v>
      </c>
    </row>
    <row r="502" spans="1:45" ht="12.5" hidden="1" x14ac:dyDescent="0.25">
      <c r="A502" s="3" t="s">
        <v>12652</v>
      </c>
      <c r="B502" s="21" t="str">
        <f>HYPERLINK("https://gerandofalcoes.my.salesforce.com/0014P00003AN2FcQAL", "0014P00003AN2FcQAL")</f>
        <v>0014P00003AN2FcQAL</v>
      </c>
      <c r="C502" s="3" t="s">
        <v>11487</v>
      </c>
      <c r="D502" s="3" t="s">
        <v>152</v>
      </c>
      <c r="E502" s="21" t="str">
        <f>HYPERLINK("https://gerandofalcoes.my.salesforce.com/0034P00003maBV2", "0034P00003maBV2")</f>
        <v>0034P00003maBV2</v>
      </c>
      <c r="F502" s="3" t="s">
        <v>2791</v>
      </c>
      <c r="G502" s="3" t="s">
        <v>2792</v>
      </c>
      <c r="H502" s="3" t="s">
        <v>2538</v>
      </c>
      <c r="I502" s="3" t="s">
        <v>2638</v>
      </c>
      <c r="J502" s="3">
        <v>560</v>
      </c>
      <c r="K502" s="3" t="s">
        <v>603</v>
      </c>
      <c r="L502" s="3" t="s">
        <v>11488</v>
      </c>
      <c r="M502" s="6">
        <v>28020</v>
      </c>
      <c r="N502" s="3">
        <v>46</v>
      </c>
      <c r="O502" s="3">
        <v>1004188307</v>
      </c>
      <c r="P502" s="3">
        <v>85591661572</v>
      </c>
      <c r="Q502" s="3" t="s">
        <v>2793</v>
      </c>
      <c r="R502" s="3" t="s">
        <v>2794</v>
      </c>
      <c r="S502" s="3" t="s">
        <v>3137</v>
      </c>
      <c r="T502" s="3"/>
      <c r="U502" s="3" t="s">
        <v>62</v>
      </c>
      <c r="V502" s="3" t="s">
        <v>16805</v>
      </c>
      <c r="W502" s="3"/>
      <c r="X502" s="3"/>
      <c r="Y502" s="3" t="s">
        <v>12670</v>
      </c>
      <c r="AA502" s="3" t="s">
        <v>2544</v>
      </c>
      <c r="AB502" s="3" t="s">
        <v>2545</v>
      </c>
      <c r="AC502" s="3">
        <v>32</v>
      </c>
      <c r="AD502" s="3">
        <v>122</v>
      </c>
      <c r="AE502" s="3" t="s">
        <v>2796</v>
      </c>
      <c r="AF502" s="3" t="s">
        <v>607</v>
      </c>
      <c r="AG502" s="3" t="s">
        <v>15533</v>
      </c>
      <c r="AH502" s="3" t="s">
        <v>11490</v>
      </c>
      <c r="AI502" s="3" t="s">
        <v>605</v>
      </c>
      <c r="AJ502" s="3" t="s">
        <v>2569</v>
      </c>
      <c r="AK502" s="3"/>
      <c r="AL502" s="3" t="s">
        <v>2579</v>
      </c>
      <c r="AM502" s="3">
        <v>1</v>
      </c>
      <c r="AO502" s="3" t="s">
        <v>16100</v>
      </c>
      <c r="AP502" s="3"/>
      <c r="AQ502" s="3" t="s">
        <v>16806</v>
      </c>
      <c r="AS502" s="7" t="s">
        <v>16807</v>
      </c>
    </row>
    <row r="503" spans="1:45" ht="12.5" hidden="1" x14ac:dyDescent="0.25">
      <c r="A503" s="3" t="s">
        <v>12652</v>
      </c>
      <c r="B503" s="21" t="str">
        <f>HYPERLINK("https://gerandofalcoes.my.salesforce.com/0014P00003AN2FdQAL", "0014P00003AN2FdQAL")</f>
        <v>0014P00003AN2FdQAL</v>
      </c>
      <c r="C503" s="3" t="s">
        <v>618</v>
      </c>
      <c r="D503" s="3" t="s">
        <v>46</v>
      </c>
      <c r="E503" s="21" t="str">
        <f>HYPERLINK("https://gerandofalcoes.my.salesforce.com/0034P00003maBV3", "0034P00003maBV3")</f>
        <v>0034P00003maBV3</v>
      </c>
      <c r="F503" s="3" t="s">
        <v>2798</v>
      </c>
      <c r="G503" s="3" t="s">
        <v>2799</v>
      </c>
      <c r="H503" s="3" t="s">
        <v>2538</v>
      </c>
      <c r="I503" s="3" t="s">
        <v>2618</v>
      </c>
      <c r="J503" s="3">
        <v>421</v>
      </c>
      <c r="K503" s="3" t="s">
        <v>2800</v>
      </c>
      <c r="L503" s="3" t="s">
        <v>11500</v>
      </c>
      <c r="M503" s="6">
        <v>34339</v>
      </c>
      <c r="N503" s="3">
        <v>28</v>
      </c>
      <c r="O503" s="3">
        <v>214921991</v>
      </c>
      <c r="P503" s="3">
        <v>13607868727</v>
      </c>
      <c r="Q503" s="3" t="s">
        <v>2802</v>
      </c>
      <c r="R503" s="3" t="s">
        <v>2566</v>
      </c>
      <c r="S503" s="3" t="s">
        <v>3498</v>
      </c>
      <c r="T503" s="3"/>
      <c r="U503" s="3" t="s">
        <v>120</v>
      </c>
      <c r="V503" s="3" t="s">
        <v>16808</v>
      </c>
      <c r="W503" s="3"/>
      <c r="X503" s="3"/>
      <c r="Y503" s="3" t="s">
        <v>12658</v>
      </c>
      <c r="AA503" s="3" t="s">
        <v>2544</v>
      </c>
      <c r="AB503" s="3" t="s">
        <v>2545</v>
      </c>
      <c r="AC503" s="3" t="s">
        <v>16809</v>
      </c>
      <c r="AD503" s="3">
        <v>57</v>
      </c>
      <c r="AE503" s="3" t="s">
        <v>16810</v>
      </c>
      <c r="AF503" s="3" t="s">
        <v>73</v>
      </c>
      <c r="AG503" s="3" t="s">
        <v>16811</v>
      </c>
      <c r="AH503" s="3" t="s">
        <v>2805</v>
      </c>
      <c r="AI503" s="3" t="s">
        <v>70</v>
      </c>
      <c r="AJ503" s="3" t="s">
        <v>2569</v>
      </c>
      <c r="AK503" s="3" t="s">
        <v>12661</v>
      </c>
      <c r="AL503" s="3" t="s">
        <v>2588</v>
      </c>
      <c r="AM503" s="3">
        <v>4</v>
      </c>
      <c r="AO503" s="3"/>
      <c r="AP503" s="7" t="s">
        <v>16812</v>
      </c>
      <c r="AQ503" s="7" t="s">
        <v>16813</v>
      </c>
      <c r="AS503" s="7" t="s">
        <v>16814</v>
      </c>
    </row>
    <row r="504" spans="1:45" ht="12.5" hidden="1" x14ac:dyDescent="0.25">
      <c r="A504" s="3" t="s">
        <v>12652</v>
      </c>
      <c r="B504" s="21" t="str">
        <f>HYPERLINK("https://gerandofalcoes.my.salesforce.com/0014P00003AN2FeQAL", "0014P00003AN2FeQAL")</f>
        <v>0014P00003AN2FeQAL</v>
      </c>
      <c r="C504" s="3" t="s">
        <v>640</v>
      </c>
      <c r="D504" s="3" t="s">
        <v>46</v>
      </c>
      <c r="E504" s="21" t="str">
        <f>HYPERLINK("https://gerandofalcoes.my.salesforce.com/0034P00003maBV4", "0034P00003maBV4")</f>
        <v>0034P00003maBV4</v>
      </c>
      <c r="F504" s="3" t="s">
        <v>2733</v>
      </c>
      <c r="G504" s="3" t="s">
        <v>2734</v>
      </c>
      <c r="H504" s="3" t="s">
        <v>2538</v>
      </c>
      <c r="I504" s="3" t="s">
        <v>2618</v>
      </c>
      <c r="J504" s="3">
        <v>511</v>
      </c>
      <c r="K504" s="3" t="s">
        <v>16815</v>
      </c>
      <c r="L504" s="3" t="s">
        <v>11507</v>
      </c>
      <c r="M504" s="6">
        <v>30964</v>
      </c>
      <c r="N504" s="3">
        <v>38</v>
      </c>
      <c r="O504" s="3">
        <v>6775147</v>
      </c>
      <c r="P504" s="3">
        <v>4469182966</v>
      </c>
      <c r="Q504" s="3" t="s">
        <v>2736</v>
      </c>
      <c r="R504" s="3"/>
      <c r="S504" s="3" t="s">
        <v>15607</v>
      </c>
      <c r="T504" s="3"/>
      <c r="U504" s="3" t="s">
        <v>62</v>
      </c>
      <c r="V504" s="3" t="s">
        <v>16816</v>
      </c>
      <c r="W504" s="3"/>
      <c r="X504" s="3"/>
      <c r="Y504" s="3" t="s">
        <v>12670</v>
      </c>
      <c r="AA504" s="3" t="s">
        <v>2737</v>
      </c>
      <c r="AB504" s="3" t="s">
        <v>2543</v>
      </c>
      <c r="AC504" s="3" t="s">
        <v>2738</v>
      </c>
      <c r="AD504" s="3">
        <v>286</v>
      </c>
      <c r="AE504" s="3" t="s">
        <v>2739</v>
      </c>
      <c r="AF504" s="3" t="s">
        <v>1149</v>
      </c>
      <c r="AG504" s="3" t="s">
        <v>16817</v>
      </c>
      <c r="AH504" s="3" t="s">
        <v>2740</v>
      </c>
      <c r="AI504" s="3" t="s">
        <v>557</v>
      </c>
      <c r="AJ504" s="3" t="s">
        <v>2569</v>
      </c>
      <c r="AK504" s="3" t="s">
        <v>12828</v>
      </c>
      <c r="AL504" s="3" t="s">
        <v>2588</v>
      </c>
      <c r="AM504" s="3">
        <v>3</v>
      </c>
      <c r="AP504" s="7" t="s">
        <v>16818</v>
      </c>
      <c r="AQ504" s="7" t="s">
        <v>16819</v>
      </c>
      <c r="AS504" s="7" t="s">
        <v>16820</v>
      </c>
    </row>
    <row r="505" spans="1:45" ht="12.5" hidden="1" x14ac:dyDescent="0.25">
      <c r="A505" s="3" t="s">
        <v>12652</v>
      </c>
      <c r="B505" s="21" t="str">
        <f>HYPERLINK("https://gerandofalcoes.my.salesforce.com/0014P00003Ck8NjQAJ", "0014P00003Ck8NjQAJ")</f>
        <v>0014P00003Ck8NjQAJ</v>
      </c>
      <c r="C505" s="3" t="s">
        <v>11520</v>
      </c>
      <c r="D505" s="3" t="s">
        <v>46</v>
      </c>
      <c r="E505" s="21" t="str">
        <f>HYPERLINK("https://gerandofalcoes.my.salesforce.com/0034P00003q1C2W", "0034P00003q1C2W")</f>
        <v>0034P00003q1C2W</v>
      </c>
      <c r="F505" s="3" t="s">
        <v>2581</v>
      </c>
      <c r="G505" s="3" t="s">
        <v>16821</v>
      </c>
      <c r="H505" s="3" t="s">
        <v>2538</v>
      </c>
      <c r="I505" s="3" t="s">
        <v>2638</v>
      </c>
      <c r="J505" s="3">
        <v>561</v>
      </c>
      <c r="K505" s="3" t="s">
        <v>16822</v>
      </c>
      <c r="L505" s="3" t="s">
        <v>11522</v>
      </c>
      <c r="M505" s="6">
        <v>30580</v>
      </c>
      <c r="N505" s="3">
        <v>39</v>
      </c>
      <c r="O505" s="3" t="s">
        <v>3068</v>
      </c>
      <c r="P505" s="3">
        <v>9714638755</v>
      </c>
      <c r="Q505" s="3" t="s">
        <v>3069</v>
      </c>
      <c r="R505" s="3" t="s">
        <v>3070</v>
      </c>
      <c r="S505" s="3" t="s">
        <v>3137</v>
      </c>
      <c r="T505" s="3"/>
      <c r="U505" s="3" t="s">
        <v>62</v>
      </c>
      <c r="V505" s="3" t="s">
        <v>16823</v>
      </c>
      <c r="W505" s="3"/>
      <c r="X505" s="3"/>
      <c r="Y505" s="3" t="s">
        <v>12670</v>
      </c>
      <c r="AA505" s="3" t="s">
        <v>2737</v>
      </c>
      <c r="AB505" s="3" t="s">
        <v>2545</v>
      </c>
      <c r="AC505" s="3" t="s">
        <v>16824</v>
      </c>
      <c r="AD505" s="3">
        <v>625</v>
      </c>
      <c r="AE505" s="3" t="s">
        <v>1539</v>
      </c>
      <c r="AF505" s="3" t="s">
        <v>760</v>
      </c>
      <c r="AG505" s="3" t="s">
        <v>7397</v>
      </c>
      <c r="AH505" s="3" t="s">
        <v>3072</v>
      </c>
      <c r="AI505" s="3" t="s">
        <v>70</v>
      </c>
      <c r="AJ505" s="3" t="s">
        <v>2741</v>
      </c>
      <c r="AK505" s="3" t="s">
        <v>16161</v>
      </c>
      <c r="AL505" s="3" t="s">
        <v>2550</v>
      </c>
      <c r="AM505" s="3">
        <v>4</v>
      </c>
      <c r="AP505" s="3" t="s">
        <v>16825</v>
      </c>
      <c r="AQ505" s="7" t="s">
        <v>16826</v>
      </c>
      <c r="AS505" s="7" t="s">
        <v>16827</v>
      </c>
    </row>
    <row r="506" spans="1:45" ht="12.5" hidden="1" x14ac:dyDescent="0.25">
      <c r="A506" s="3" t="s">
        <v>12652</v>
      </c>
      <c r="B506" s="21" t="str">
        <f>HYPERLINK("https://gerandofalcoes.my.salesforce.com/0014P00003I7WH2QAN", "0014P00003I7WH2QAN")</f>
        <v>0014P00003I7WH2QAN</v>
      </c>
      <c r="C506" s="3" t="s">
        <v>777</v>
      </c>
      <c r="D506" s="3" t="s">
        <v>46</v>
      </c>
      <c r="E506" s="21" t="str">
        <f>HYPERLINK("https://gerandofalcoes.my.salesforce.com/0034P00003uQScg", "0034P00003uQScg")</f>
        <v>0034P00003uQScg</v>
      </c>
      <c r="F506" s="3" t="s">
        <v>3019</v>
      </c>
      <c r="G506" s="3" t="s">
        <v>16828</v>
      </c>
      <c r="H506" s="3" t="s">
        <v>2538</v>
      </c>
      <c r="I506" s="3" t="s">
        <v>2638</v>
      </c>
      <c r="J506" s="3">
        <v>421</v>
      </c>
      <c r="K506" s="3" t="s">
        <v>3021</v>
      </c>
      <c r="L506" s="3" t="s">
        <v>11531</v>
      </c>
      <c r="M506" s="6">
        <v>28750</v>
      </c>
      <c r="N506" s="3">
        <v>44</v>
      </c>
      <c r="O506" s="3">
        <v>1468344</v>
      </c>
      <c r="P506" s="3">
        <v>8491423770</v>
      </c>
      <c r="Q506" s="3" t="s">
        <v>2845</v>
      </c>
      <c r="R506" s="3" t="s">
        <v>3022</v>
      </c>
      <c r="S506" s="3" t="s">
        <v>3417</v>
      </c>
      <c r="T506" s="3"/>
      <c r="U506" s="3" t="s">
        <v>62</v>
      </c>
      <c r="V506" s="3" t="s">
        <v>16829</v>
      </c>
      <c r="W506" s="3"/>
      <c r="X506" s="3"/>
      <c r="Y506" s="3" t="s">
        <v>12670</v>
      </c>
      <c r="AA506" s="3" t="s">
        <v>2544</v>
      </c>
      <c r="AB506" s="3" t="s">
        <v>2545</v>
      </c>
      <c r="AC506" s="3" t="s">
        <v>16830</v>
      </c>
      <c r="AD506" s="3">
        <v>23</v>
      </c>
      <c r="AE506" s="3"/>
      <c r="AF506" s="3" t="s">
        <v>11532</v>
      </c>
      <c r="AG506" s="3" t="s">
        <v>16831</v>
      </c>
      <c r="AH506" s="3" t="s">
        <v>16832</v>
      </c>
      <c r="AI506" s="3" t="s">
        <v>295</v>
      </c>
      <c r="AJ506" s="3" t="s">
        <v>2741</v>
      </c>
      <c r="AK506" s="3" t="s">
        <v>15396</v>
      </c>
      <c r="AL506" s="3" t="s">
        <v>2550</v>
      </c>
      <c r="AM506" s="3">
        <v>3</v>
      </c>
      <c r="AP506" s="3"/>
      <c r="AQ506" s="3" t="s">
        <v>16833</v>
      </c>
      <c r="AS506" s="7" t="s">
        <v>16834</v>
      </c>
    </row>
    <row r="507" spans="1:45" ht="12.5" hidden="1" x14ac:dyDescent="0.25">
      <c r="A507" s="3" t="s">
        <v>12652</v>
      </c>
      <c r="B507" s="21" t="str">
        <f>HYPERLINK("https://gerandofalcoes.my.salesforce.com/0014P00003AN2FfQAL", "0014P00003AN2FfQAL")</f>
        <v>0014P00003AN2FfQAL</v>
      </c>
      <c r="C507" s="3" t="s">
        <v>665</v>
      </c>
      <c r="D507" s="3" t="s">
        <v>46</v>
      </c>
      <c r="E507" s="21" t="str">
        <f>HYPERLINK("https://gerandofalcoes.my.salesforce.com/0034P00003maBV5", "0034P00003maBV5")</f>
        <v>0034P00003maBV5</v>
      </c>
      <c r="F507" s="3" t="s">
        <v>2808</v>
      </c>
      <c r="G507" s="3" t="s">
        <v>2809</v>
      </c>
      <c r="H507" s="3" t="s">
        <v>2538</v>
      </c>
      <c r="I507" s="3" t="s">
        <v>2618</v>
      </c>
      <c r="J507" s="3">
        <v>557</v>
      </c>
      <c r="K507" s="3" t="s">
        <v>16835</v>
      </c>
      <c r="L507" s="3" t="s">
        <v>11543</v>
      </c>
      <c r="M507" s="6">
        <v>29738</v>
      </c>
      <c r="N507" s="3">
        <v>41</v>
      </c>
      <c r="O507" s="3">
        <v>10312267</v>
      </c>
      <c r="P507" s="3">
        <v>4314983698</v>
      </c>
      <c r="Q507" s="3" t="s">
        <v>2812</v>
      </c>
      <c r="R507" s="3" t="s">
        <v>2813</v>
      </c>
      <c r="S507" s="3" t="s">
        <v>3137</v>
      </c>
      <c r="T507" s="3"/>
      <c r="U507" s="3" t="s">
        <v>62</v>
      </c>
      <c r="V507" s="3" t="s">
        <v>16836</v>
      </c>
      <c r="W507" s="3"/>
      <c r="X507" s="3"/>
      <c r="Y507" s="3" t="s">
        <v>12670</v>
      </c>
      <c r="AA507" s="3" t="s">
        <v>2544</v>
      </c>
      <c r="AB507" s="3" t="s">
        <v>2545</v>
      </c>
      <c r="AC507" s="3" t="s">
        <v>16837</v>
      </c>
      <c r="AD507" s="3">
        <v>14</v>
      </c>
      <c r="AE507" s="3" t="s">
        <v>16838</v>
      </c>
      <c r="AF507" s="3" t="s">
        <v>177</v>
      </c>
      <c r="AG507" s="3" t="s">
        <v>16839</v>
      </c>
      <c r="AH507" s="3" t="s">
        <v>2815</v>
      </c>
      <c r="AI507" s="3" t="s">
        <v>84</v>
      </c>
      <c r="AJ507" s="3" t="s">
        <v>2569</v>
      </c>
      <c r="AK507" s="3" t="s">
        <v>12828</v>
      </c>
      <c r="AL507" s="3" t="s">
        <v>2588</v>
      </c>
      <c r="AM507" s="3">
        <v>3</v>
      </c>
      <c r="AP507" s="7" t="s">
        <v>16840</v>
      </c>
      <c r="AQ507" s="7" t="s">
        <v>16841</v>
      </c>
      <c r="AS507" s="7" t="s">
        <v>16842</v>
      </c>
    </row>
    <row r="508" spans="1:45" ht="12.5" hidden="1" x14ac:dyDescent="0.25">
      <c r="A508" s="3" t="s">
        <v>12652</v>
      </c>
      <c r="B508" s="21" t="str">
        <f>HYPERLINK("https://gerandofalcoes.my.salesforce.com/0014P00003AN2FgQAL", "0014P00003AN2FgQAL")</f>
        <v>0014P00003AN2FgQAL</v>
      </c>
      <c r="C508" s="3" t="s">
        <v>686</v>
      </c>
      <c r="D508" s="3" t="s">
        <v>46</v>
      </c>
      <c r="E508" s="21" t="str">
        <f>HYPERLINK("https://gerandofalcoes.my.salesforce.com/0034P00003maBV6", "0034P00003maBV6")</f>
        <v>0034P00003maBV6</v>
      </c>
      <c r="F508" s="3" t="s">
        <v>2819</v>
      </c>
      <c r="G508" s="3" t="s">
        <v>2820</v>
      </c>
      <c r="H508" s="3" t="s">
        <v>2538</v>
      </c>
      <c r="I508" s="3" t="s">
        <v>2618</v>
      </c>
      <c r="J508" s="3">
        <v>284</v>
      </c>
      <c r="K508" s="3" t="s">
        <v>690</v>
      </c>
      <c r="L508" s="3" t="s">
        <v>2821</v>
      </c>
      <c r="M508" s="6">
        <v>26253</v>
      </c>
      <c r="N508" s="3">
        <v>51</v>
      </c>
      <c r="O508" s="3">
        <v>20031168</v>
      </c>
      <c r="P508" s="3">
        <v>56383681168</v>
      </c>
      <c r="Q508" s="3" t="s">
        <v>2822</v>
      </c>
      <c r="R508" s="3" t="s">
        <v>2823</v>
      </c>
      <c r="S508" s="3" t="s">
        <v>3269</v>
      </c>
      <c r="T508" s="3"/>
      <c r="U508" s="3" t="s">
        <v>62</v>
      </c>
      <c r="V508" s="3" t="s">
        <v>16843</v>
      </c>
      <c r="W508" s="3"/>
      <c r="X508" s="3"/>
      <c r="Y508" s="3" t="s">
        <v>12670</v>
      </c>
      <c r="AA508" s="3" t="s">
        <v>2577</v>
      </c>
      <c r="AB508" s="3" t="s">
        <v>2545</v>
      </c>
      <c r="AC508" s="3" t="s">
        <v>16844</v>
      </c>
      <c r="AD508" s="3">
        <v>47</v>
      </c>
      <c r="AE508" s="3"/>
      <c r="AF508" s="3" t="s">
        <v>369</v>
      </c>
      <c r="AG508" s="3" t="s">
        <v>16845</v>
      </c>
      <c r="AH508" s="3" t="s">
        <v>2825</v>
      </c>
      <c r="AI508" s="3" t="s">
        <v>84</v>
      </c>
      <c r="AJ508" s="3" t="s">
        <v>2569</v>
      </c>
      <c r="AK508" s="3" t="s">
        <v>15205</v>
      </c>
      <c r="AL508" s="3" t="s">
        <v>2550</v>
      </c>
      <c r="AM508" s="3">
        <v>4</v>
      </c>
      <c r="AP508" s="3" t="s">
        <v>16846</v>
      </c>
      <c r="AQ508" s="3" t="s">
        <v>16847</v>
      </c>
      <c r="AS508" s="7" t="s">
        <v>16848</v>
      </c>
    </row>
    <row r="509" spans="1:45" ht="12.5" hidden="1" x14ac:dyDescent="0.25">
      <c r="A509" s="3" t="s">
        <v>12652</v>
      </c>
      <c r="B509" s="21" t="str">
        <f>HYPERLINK("https://gerandofalcoes.my.salesforce.com/0014P00003AN2FhQAL", "0014P00003AN2FhQAL")</f>
        <v>0014P00003AN2FhQAL</v>
      </c>
      <c r="C509" s="3" t="s">
        <v>711</v>
      </c>
      <c r="D509" s="3" t="s">
        <v>46</v>
      </c>
      <c r="E509" s="21" t="str">
        <f>HYPERLINK("https://gerandofalcoes.my.salesforce.com/0034P00003maBV7", "0034P00003maBV7")</f>
        <v>0034P00003maBV7</v>
      </c>
      <c r="F509" s="3" t="s">
        <v>2828</v>
      </c>
      <c r="G509" s="3" t="s">
        <v>2829</v>
      </c>
      <c r="H509" s="3" t="s">
        <v>2538</v>
      </c>
      <c r="I509" s="3" t="s">
        <v>2638</v>
      </c>
      <c r="J509" s="3">
        <v>421</v>
      </c>
      <c r="K509" s="3" t="s">
        <v>2830</v>
      </c>
      <c r="L509" s="3">
        <v>21982769202</v>
      </c>
      <c r="M509" s="8">
        <v>27277</v>
      </c>
      <c r="N509" s="3">
        <v>48</v>
      </c>
      <c r="O509" s="3">
        <v>93497659</v>
      </c>
      <c r="P509" s="3">
        <v>7245794782</v>
      </c>
      <c r="Q509" s="3" t="s">
        <v>2831</v>
      </c>
      <c r="R509" s="3" t="s">
        <v>2832</v>
      </c>
      <c r="S509" s="3"/>
      <c r="T509" s="3"/>
      <c r="U509" s="3" t="s">
        <v>120</v>
      </c>
      <c r="V509" s="3"/>
      <c r="W509" s="3"/>
      <c r="X509" s="3"/>
      <c r="Y509" s="3"/>
      <c r="AA509" s="3"/>
      <c r="AB509" s="3"/>
      <c r="AC509" s="3" t="s">
        <v>2833</v>
      </c>
      <c r="AD509" s="3">
        <v>11</v>
      </c>
      <c r="AF509" s="3" t="s">
        <v>714</v>
      </c>
      <c r="AG509" s="3" t="s">
        <v>15872</v>
      </c>
      <c r="AH509" s="3" t="s">
        <v>2834</v>
      </c>
      <c r="AI509" s="3" t="s">
        <v>70</v>
      </c>
      <c r="AJ509" s="3"/>
      <c r="AK509" s="3"/>
      <c r="AL509" s="3"/>
      <c r="AM509" s="3"/>
      <c r="AP509" s="3"/>
      <c r="AQ509" s="3"/>
      <c r="AS509" s="3"/>
    </row>
    <row r="510" spans="1:45" ht="12.5" hidden="1" x14ac:dyDescent="0.25">
      <c r="A510" s="3" t="s">
        <v>12652</v>
      </c>
      <c r="B510" s="21" t="str">
        <f>HYPERLINK("https://gerandofalcoes.my.salesforce.com/0014P00003AN2FiQAL", "0014P00003AN2FiQAL")</f>
        <v>0014P00003AN2FiQAL</v>
      </c>
      <c r="C510" s="3" t="s">
        <v>723</v>
      </c>
      <c r="D510" s="3" t="s">
        <v>46</v>
      </c>
      <c r="E510" s="21" t="str">
        <f>HYPERLINK("https://gerandofalcoes.my.salesforce.com/0034P00003maBV8", "0034P00003maBV8")</f>
        <v>0034P00003maBV8</v>
      </c>
      <c r="F510" s="3" t="s">
        <v>2836</v>
      </c>
      <c r="G510" s="3" t="s">
        <v>2837</v>
      </c>
      <c r="H510" s="3" t="s">
        <v>2538</v>
      </c>
      <c r="I510" s="3" t="s">
        <v>2624</v>
      </c>
      <c r="J510" s="3">
        <v>645</v>
      </c>
      <c r="K510" s="3" t="s">
        <v>16849</v>
      </c>
      <c r="L510" s="3" t="s">
        <v>11571</v>
      </c>
      <c r="M510" s="8">
        <v>30601</v>
      </c>
      <c r="N510" s="3">
        <v>39</v>
      </c>
      <c r="O510" s="3">
        <v>98001093615</v>
      </c>
      <c r="P510" s="3">
        <v>4814680481</v>
      </c>
      <c r="Q510" s="3" t="s">
        <v>2839</v>
      </c>
      <c r="R510" s="3"/>
      <c r="S510" s="3" t="s">
        <v>3137</v>
      </c>
      <c r="U510" s="3" t="s">
        <v>62</v>
      </c>
      <c r="V510" s="3" t="s">
        <v>16850</v>
      </c>
      <c r="Y510" s="3" t="s">
        <v>12658</v>
      </c>
      <c r="AA510" s="3" t="s">
        <v>2544</v>
      </c>
      <c r="AB510" s="3" t="s">
        <v>2545</v>
      </c>
      <c r="AC510" s="3" t="s">
        <v>16851</v>
      </c>
      <c r="AD510" s="3">
        <v>386</v>
      </c>
      <c r="AF510" s="3" t="s">
        <v>231</v>
      </c>
      <c r="AG510" s="3" t="s">
        <v>16852</v>
      </c>
      <c r="AH510" s="3" t="s">
        <v>2834</v>
      </c>
      <c r="AI510" s="3" t="s">
        <v>51</v>
      </c>
      <c r="AJ510" s="3" t="s">
        <v>2569</v>
      </c>
      <c r="AK510" s="3" t="s">
        <v>15494</v>
      </c>
      <c r="AL510" s="3" t="s">
        <v>2550</v>
      </c>
      <c r="AM510" s="3">
        <v>4</v>
      </c>
      <c r="AP510" s="3"/>
      <c r="AQ510" s="3" t="s">
        <v>16853</v>
      </c>
      <c r="AS510" s="7" t="s">
        <v>16854</v>
      </c>
    </row>
    <row r="511" spans="1:45" ht="12.5" hidden="1" x14ac:dyDescent="0.25">
      <c r="A511" s="3" t="s">
        <v>12652</v>
      </c>
      <c r="B511" s="21" t="str">
        <f>HYPERLINK("https://gerandofalcoes.my.salesforce.com/0014P00003AN2FjQAL", "0014P00003AN2FjQAL")</f>
        <v>0014P00003AN2FjQAL</v>
      </c>
      <c r="C511" s="3" t="s">
        <v>11577</v>
      </c>
      <c r="D511" s="3" t="s">
        <v>152</v>
      </c>
      <c r="E511" s="21" t="str">
        <f>HYPERLINK("https://gerandofalcoes.my.salesforce.com/0034P00003maBV9", "0034P00003maBV9")</f>
        <v>0034P00003maBV9</v>
      </c>
      <c r="F511" s="3" t="s">
        <v>2843</v>
      </c>
      <c r="G511" s="3" t="s">
        <v>16123</v>
      </c>
      <c r="H511" s="3" t="s">
        <v>2538</v>
      </c>
      <c r="I511" s="3" t="s">
        <v>2624</v>
      </c>
      <c r="J511" s="3">
        <v>635</v>
      </c>
      <c r="K511" s="3" t="s">
        <v>16855</v>
      </c>
      <c r="L511" s="3" t="s">
        <v>11581</v>
      </c>
      <c r="M511" s="8">
        <v>29299</v>
      </c>
      <c r="N511" s="3">
        <v>42</v>
      </c>
      <c r="O511" s="3">
        <v>1073275453</v>
      </c>
      <c r="P511" s="3">
        <v>80674607015</v>
      </c>
      <c r="Q511" s="3" t="s">
        <v>2845</v>
      </c>
      <c r="R511" s="3" t="s">
        <v>2846</v>
      </c>
      <c r="S511" s="3" t="s">
        <v>2998</v>
      </c>
      <c r="T511" s="3"/>
      <c r="U511" s="3" t="s">
        <v>62</v>
      </c>
      <c r="V511" s="3" t="s">
        <v>16856</v>
      </c>
      <c r="W511" s="3"/>
      <c r="X511" s="3"/>
      <c r="Y511" s="3" t="s">
        <v>12670</v>
      </c>
      <c r="AA511" s="3" t="s">
        <v>2544</v>
      </c>
      <c r="AB511" s="3" t="s">
        <v>2545</v>
      </c>
      <c r="AC511" s="3" t="s">
        <v>16857</v>
      </c>
      <c r="AD511" s="3">
        <v>203</v>
      </c>
      <c r="AE511" s="3" t="s">
        <v>673</v>
      </c>
      <c r="AF511" s="3" t="s">
        <v>409</v>
      </c>
      <c r="AG511" s="3" t="s">
        <v>14906</v>
      </c>
      <c r="AH511" s="3" t="s">
        <v>2841</v>
      </c>
      <c r="AI511" s="3" t="s">
        <v>407</v>
      </c>
      <c r="AJ511" s="3" t="s">
        <v>2569</v>
      </c>
      <c r="AK511" s="3" t="s">
        <v>12828</v>
      </c>
      <c r="AL511" s="3" t="s">
        <v>2588</v>
      </c>
      <c r="AM511" s="3">
        <v>4</v>
      </c>
      <c r="AP511" s="7" t="s">
        <v>16858</v>
      </c>
      <c r="AQ511" s="7" t="s">
        <v>16859</v>
      </c>
      <c r="AS511" s="7" t="s">
        <v>16860</v>
      </c>
    </row>
    <row r="512" spans="1:45" ht="12.5" hidden="1" x14ac:dyDescent="0.25">
      <c r="A512" s="3" t="s">
        <v>12652</v>
      </c>
      <c r="B512" s="21" t="str">
        <f>HYPERLINK("https://gerandofalcoes.my.salesforce.com/0014P00003AN2FkQAL", "0014P00003AN2FkQAL")</f>
        <v>0014P00003AN2FkQAL</v>
      </c>
      <c r="C512" s="3" t="s">
        <v>11590</v>
      </c>
      <c r="D512" s="3" t="s">
        <v>152</v>
      </c>
      <c r="E512" s="21" t="str">
        <f>HYPERLINK("https://gerandofalcoes.my.salesforce.com/0034P00003maBVA", "0034P00003maBVA")</f>
        <v>0034P00003maBVA</v>
      </c>
      <c r="F512" s="3" t="s">
        <v>2851</v>
      </c>
      <c r="G512" s="3" t="s">
        <v>16861</v>
      </c>
      <c r="H512" s="3" t="s">
        <v>2538</v>
      </c>
      <c r="I512" s="3" t="s">
        <v>2624</v>
      </c>
      <c r="J512" s="3">
        <v>645</v>
      </c>
      <c r="K512" s="3" t="s">
        <v>2853</v>
      </c>
      <c r="L512" s="3" t="s">
        <v>11592</v>
      </c>
      <c r="M512" s="6">
        <v>30128</v>
      </c>
      <c r="N512" s="3">
        <v>40</v>
      </c>
      <c r="O512" s="3" t="s">
        <v>2854</v>
      </c>
      <c r="P512" s="3">
        <v>9208962784</v>
      </c>
      <c r="Q512" s="3" t="s">
        <v>2855</v>
      </c>
      <c r="R512" s="3"/>
      <c r="S512" s="3" t="s">
        <v>3269</v>
      </c>
      <c r="T512" s="3"/>
      <c r="U512" s="3" t="s">
        <v>62</v>
      </c>
      <c r="V512" s="3" t="s">
        <v>16862</v>
      </c>
      <c r="W512" s="3"/>
      <c r="X512" s="3"/>
      <c r="Y512" s="3" t="s">
        <v>14275</v>
      </c>
      <c r="AA512" s="3"/>
      <c r="AB512" s="3"/>
      <c r="AC512" s="3" t="s">
        <v>788</v>
      </c>
      <c r="AD512" s="3">
        <v>165</v>
      </c>
      <c r="AE512" s="3" t="s">
        <v>16863</v>
      </c>
      <c r="AF512" s="3" t="s">
        <v>789</v>
      </c>
      <c r="AG512" s="3" t="s">
        <v>16864</v>
      </c>
      <c r="AH512" s="3" t="s">
        <v>2849</v>
      </c>
      <c r="AI512" s="3" t="s">
        <v>295</v>
      </c>
      <c r="AJ512" s="3" t="s">
        <v>2569</v>
      </c>
      <c r="AK512" s="3" t="s">
        <v>12729</v>
      </c>
      <c r="AL512" s="3" t="s">
        <v>2579</v>
      </c>
      <c r="AM512" s="3">
        <v>2</v>
      </c>
      <c r="AP512" s="7" t="s">
        <v>16865</v>
      </c>
      <c r="AQ512" s="7" t="s">
        <v>16866</v>
      </c>
      <c r="AS512" s="7" t="s">
        <v>16867</v>
      </c>
    </row>
    <row r="513" spans="1:45" ht="12.5" hidden="1" x14ac:dyDescent="0.25">
      <c r="A513" s="3" t="s">
        <v>12652</v>
      </c>
      <c r="B513" s="21" t="str">
        <f>HYPERLINK("https://gerandofalcoes.my.salesforce.com/0014P00003AN2FlQAL", "0014P00003AN2FlQAL")</f>
        <v>0014P00003AN2FlQAL</v>
      </c>
      <c r="C513" s="3" t="s">
        <v>797</v>
      </c>
      <c r="D513" s="3" t="s">
        <v>152</v>
      </c>
      <c r="E513" s="21" t="str">
        <f>HYPERLINK("https://gerandofalcoes.my.salesforce.com/0034P00003maBVC", "0034P00003maBVC")</f>
        <v>0034P00003maBVC</v>
      </c>
      <c r="F513" s="3" t="s">
        <v>2858</v>
      </c>
      <c r="G513" s="3" t="s">
        <v>2859</v>
      </c>
      <c r="H513" s="3" t="s">
        <v>2538</v>
      </c>
      <c r="I513" s="3" t="s">
        <v>2638</v>
      </c>
      <c r="J513" s="3">
        <v>511</v>
      </c>
      <c r="K513" s="3" t="s">
        <v>16868</v>
      </c>
      <c r="L513" s="3" t="s">
        <v>11599</v>
      </c>
      <c r="M513" s="6">
        <v>34357</v>
      </c>
      <c r="N513" s="3">
        <v>28</v>
      </c>
      <c r="O513" s="3">
        <v>266282367</v>
      </c>
      <c r="P513" s="3">
        <v>15793840729</v>
      </c>
      <c r="Q513" s="3" t="s">
        <v>2860</v>
      </c>
      <c r="R513" s="3" t="s">
        <v>2861</v>
      </c>
      <c r="S513" s="3" t="s">
        <v>3269</v>
      </c>
      <c r="T513" s="3"/>
      <c r="U513" s="3" t="s">
        <v>62</v>
      </c>
      <c r="V513" s="3" t="s">
        <v>16869</v>
      </c>
      <c r="W513" s="3"/>
      <c r="X513" s="3"/>
      <c r="Y513" s="3" t="s">
        <v>12670</v>
      </c>
      <c r="AA513" s="3" t="s">
        <v>2544</v>
      </c>
      <c r="AB513" s="3" t="s">
        <v>2545</v>
      </c>
      <c r="AC513" s="3" t="s">
        <v>16870</v>
      </c>
      <c r="AD513" s="3">
        <v>1250</v>
      </c>
      <c r="AE513" s="3" t="s">
        <v>16871</v>
      </c>
      <c r="AF513" s="3" t="s">
        <v>73</v>
      </c>
      <c r="AG513" s="3" t="s">
        <v>16872</v>
      </c>
      <c r="AH513" s="3" t="s">
        <v>16873</v>
      </c>
      <c r="AI513" s="3" t="s">
        <v>70</v>
      </c>
      <c r="AJ513" s="3" t="s">
        <v>2741</v>
      </c>
      <c r="AK513" s="3" t="s">
        <v>12828</v>
      </c>
      <c r="AL513" s="3" t="s">
        <v>2588</v>
      </c>
      <c r="AM513" s="3">
        <v>4</v>
      </c>
      <c r="AP513" s="3" t="s">
        <v>3032</v>
      </c>
      <c r="AQ513" s="7" t="s">
        <v>16874</v>
      </c>
      <c r="AS513" s="7" t="s">
        <v>16875</v>
      </c>
    </row>
    <row r="514" spans="1:45" ht="12.5" hidden="1" x14ac:dyDescent="0.25">
      <c r="A514" s="3" t="s">
        <v>12652</v>
      </c>
      <c r="B514" s="21" t="str">
        <f>HYPERLINK("https://gerandofalcoes.my.salesforce.com/0014P00003AN2FmQAL", "0014P00003AN2FmQAL")</f>
        <v>0014P00003AN2FmQAL</v>
      </c>
      <c r="C514" s="3" t="s">
        <v>814</v>
      </c>
      <c r="D514" s="3" t="s">
        <v>152</v>
      </c>
      <c r="E514" s="21" t="str">
        <f>HYPERLINK("https://gerandofalcoes.my.salesforce.com/0034P00003maBVD", "0034P00003maBVD")</f>
        <v>0034P00003maBVD</v>
      </c>
      <c r="F514" s="3" t="s">
        <v>2867</v>
      </c>
      <c r="G514" s="3" t="s">
        <v>2868</v>
      </c>
      <c r="H514" s="3" t="s">
        <v>2538</v>
      </c>
      <c r="I514" s="3" t="s">
        <v>2638</v>
      </c>
      <c r="J514" s="3">
        <v>511</v>
      </c>
      <c r="K514" s="3" t="s">
        <v>817</v>
      </c>
      <c r="L514" s="3" t="s">
        <v>16876</v>
      </c>
      <c r="M514" s="6">
        <v>31165</v>
      </c>
      <c r="N514" s="3">
        <v>37</v>
      </c>
      <c r="O514" s="3">
        <v>200486132</v>
      </c>
      <c r="P514" s="3">
        <v>11370929714</v>
      </c>
      <c r="Q514" s="3" t="s">
        <v>2869</v>
      </c>
      <c r="R514" s="3"/>
      <c r="S514" s="3" t="s">
        <v>3269</v>
      </c>
      <c r="T514" s="3"/>
      <c r="U514" s="3" t="s">
        <v>62</v>
      </c>
      <c r="V514" s="3" t="s">
        <v>16877</v>
      </c>
      <c r="W514" s="3"/>
      <c r="X514" s="3"/>
      <c r="Y514" s="3" t="s">
        <v>12670</v>
      </c>
      <c r="AA514" s="3" t="s">
        <v>2737</v>
      </c>
      <c r="AB514" s="3" t="s">
        <v>2545</v>
      </c>
      <c r="AC514" s="3" t="s">
        <v>2871</v>
      </c>
      <c r="AD514" s="3">
        <v>130</v>
      </c>
      <c r="AE514" s="3" t="s">
        <v>16878</v>
      </c>
      <c r="AF514" s="3" t="s">
        <v>73</v>
      </c>
      <c r="AG514" s="3" t="s">
        <v>9509</v>
      </c>
      <c r="AH514" s="3" t="s">
        <v>16879</v>
      </c>
      <c r="AI514" s="3" t="s">
        <v>70</v>
      </c>
      <c r="AJ514" s="3" t="s">
        <v>2548</v>
      </c>
      <c r="AK514" s="3" t="s">
        <v>12674</v>
      </c>
      <c r="AL514" s="3" t="s">
        <v>2550</v>
      </c>
      <c r="AM514" s="3">
        <v>7</v>
      </c>
      <c r="AP514" s="3" t="s">
        <v>16880</v>
      </c>
      <c r="AQ514" s="3" t="s">
        <v>16880</v>
      </c>
      <c r="AS514" s="7" t="s">
        <v>16881</v>
      </c>
    </row>
    <row r="515" spans="1:45" ht="12.5" hidden="1" x14ac:dyDescent="0.25">
      <c r="A515" s="3" t="s">
        <v>12652</v>
      </c>
      <c r="B515" s="21" t="str">
        <f>HYPERLINK("https://gerandofalcoes.my.salesforce.com/0014P00003AN2FnQAL", "0014P00003AN2FnQAL")</f>
        <v>0014P00003AN2FnQAL</v>
      </c>
      <c r="C515" s="3" t="s">
        <v>830</v>
      </c>
      <c r="D515" s="3" t="s">
        <v>152</v>
      </c>
      <c r="E515" s="21" t="str">
        <f>HYPERLINK("https://gerandofalcoes.my.salesforce.com/0034P00003maBVE", "0034P00003maBVE")</f>
        <v>0034P00003maBVE</v>
      </c>
      <c r="F515" s="3" t="s">
        <v>2874</v>
      </c>
      <c r="G515" s="3" t="s">
        <v>16882</v>
      </c>
      <c r="H515" s="3" t="s">
        <v>2538</v>
      </c>
      <c r="I515" s="3" t="s">
        <v>2609</v>
      </c>
      <c r="J515" s="3">
        <v>932</v>
      </c>
      <c r="K515" s="3" t="s">
        <v>833</v>
      </c>
      <c r="L515" s="3" t="s">
        <v>11623</v>
      </c>
      <c r="M515" s="6">
        <v>33239</v>
      </c>
      <c r="N515" s="3">
        <v>31</v>
      </c>
      <c r="O515" s="3">
        <v>472189402</v>
      </c>
      <c r="P515" s="3">
        <v>32958195805</v>
      </c>
      <c r="Q515" s="3" t="s">
        <v>2876</v>
      </c>
      <c r="R515" s="3"/>
      <c r="S515" s="3" t="s">
        <v>3137</v>
      </c>
      <c r="T515" s="3"/>
      <c r="U515" s="3" t="s">
        <v>62</v>
      </c>
      <c r="V515" s="3" t="s">
        <v>16883</v>
      </c>
      <c r="W515" s="3"/>
      <c r="X515" s="3"/>
      <c r="Y515" s="3" t="s">
        <v>12670</v>
      </c>
      <c r="AA515" s="3" t="s">
        <v>2544</v>
      </c>
      <c r="AB515" s="3" t="s">
        <v>2545</v>
      </c>
      <c r="AC515" s="3" t="s">
        <v>16884</v>
      </c>
      <c r="AD515" s="3">
        <v>900</v>
      </c>
      <c r="AE515" s="3" t="s">
        <v>2879</v>
      </c>
      <c r="AF515" s="3" t="s">
        <v>8391</v>
      </c>
      <c r="AG515" s="3" t="s">
        <v>16885</v>
      </c>
      <c r="AH515" s="3" t="s">
        <v>2880</v>
      </c>
      <c r="AI515" s="3" t="s">
        <v>101</v>
      </c>
      <c r="AJ515" s="3" t="s">
        <v>2569</v>
      </c>
      <c r="AK515" s="3" t="s">
        <v>12828</v>
      </c>
      <c r="AL515" s="3" t="s">
        <v>2588</v>
      </c>
      <c r="AM515" s="3">
        <v>7</v>
      </c>
      <c r="AP515" s="7" t="s">
        <v>16886</v>
      </c>
      <c r="AQ515" s="7" t="s">
        <v>16887</v>
      </c>
      <c r="AS515" s="7" t="s">
        <v>16888</v>
      </c>
    </row>
    <row r="516" spans="1:45" ht="12.5" hidden="1" x14ac:dyDescent="0.25">
      <c r="A516" s="3" t="s">
        <v>12652</v>
      </c>
      <c r="B516" s="21" t="str">
        <f>HYPERLINK("https://gerandofalcoes.my.salesforce.com/0014P00003AN2FoQAL", "0014P00003AN2FoQAL")</f>
        <v>0014P00003AN2FoQAL</v>
      </c>
      <c r="C516" s="3" t="s">
        <v>843</v>
      </c>
      <c r="D516" s="3" t="s">
        <v>46</v>
      </c>
      <c r="E516" s="21" t="str">
        <f>HYPERLINK("https://gerandofalcoes.my.salesforce.com/0034P00003maBVF", "0034P00003maBVF")</f>
        <v>0034P00003maBVF</v>
      </c>
      <c r="F516" s="3" t="s">
        <v>2882</v>
      </c>
      <c r="G516" s="3" t="s">
        <v>2883</v>
      </c>
      <c r="H516" s="3" t="s">
        <v>2538</v>
      </c>
      <c r="I516" s="3" t="s">
        <v>2638</v>
      </c>
      <c r="J516" s="3">
        <v>355</v>
      </c>
      <c r="K516" s="3" t="s">
        <v>16889</v>
      </c>
      <c r="L516" s="3" t="s">
        <v>11636</v>
      </c>
      <c r="M516" s="6">
        <v>28885</v>
      </c>
      <c r="N516" s="3">
        <v>43</v>
      </c>
      <c r="O516" s="3">
        <v>275487970</v>
      </c>
      <c r="P516" s="3">
        <v>28358592841</v>
      </c>
      <c r="Q516" s="3" t="s">
        <v>2884</v>
      </c>
      <c r="S516" s="3" t="s">
        <v>2998</v>
      </c>
      <c r="T516" s="3"/>
      <c r="U516" s="3" t="s">
        <v>62</v>
      </c>
      <c r="V516" s="3" t="s">
        <v>16890</v>
      </c>
      <c r="W516" s="3"/>
      <c r="X516" s="3"/>
      <c r="Y516" s="3" t="s">
        <v>12658</v>
      </c>
      <c r="AA516" s="3" t="s">
        <v>2544</v>
      </c>
      <c r="AB516" s="3" t="s">
        <v>2545</v>
      </c>
      <c r="AC516" s="3" t="s">
        <v>16891</v>
      </c>
      <c r="AD516" s="3">
        <v>44</v>
      </c>
      <c r="AE516" s="3"/>
      <c r="AF516" s="3" t="s">
        <v>10607</v>
      </c>
      <c r="AG516" s="3" t="s">
        <v>16892</v>
      </c>
      <c r="AH516" s="3" t="s">
        <v>16893</v>
      </c>
      <c r="AI516" s="3" t="s">
        <v>101</v>
      </c>
      <c r="AJ516" s="3" t="s">
        <v>2569</v>
      </c>
      <c r="AK516" s="3" t="s">
        <v>12828</v>
      </c>
      <c r="AL516" s="3" t="s">
        <v>2550</v>
      </c>
      <c r="AM516" s="3">
        <v>5</v>
      </c>
      <c r="AP516" s="3" t="s">
        <v>16894</v>
      </c>
      <c r="AQ516" s="3" t="s">
        <v>16894</v>
      </c>
      <c r="AS516" s="7" t="s">
        <v>16895</v>
      </c>
    </row>
    <row r="517" spans="1:45" ht="12.5" hidden="1" x14ac:dyDescent="0.25">
      <c r="A517" s="3" t="s">
        <v>12652</v>
      </c>
      <c r="B517" s="21" t="str">
        <f>HYPERLINK("https://gerandofalcoes.my.salesforce.com/0014P00003AN2FpQAL", "0014P00003AN2FpQAL")</f>
        <v>0014P00003AN2FpQAL</v>
      </c>
      <c r="C517" s="3" t="s">
        <v>856</v>
      </c>
      <c r="D517" s="3" t="s">
        <v>152</v>
      </c>
      <c r="E517" s="21" t="str">
        <f>HYPERLINK("https://gerandofalcoes.my.salesforce.com/0034P00003maBVG", "0034P00003maBVG")</f>
        <v>0034P00003maBVG</v>
      </c>
      <c r="F517" s="3" t="s">
        <v>2887</v>
      </c>
      <c r="G517" s="3" t="s">
        <v>16896</v>
      </c>
      <c r="H517" s="3" t="s">
        <v>2538</v>
      </c>
      <c r="I517" s="3" t="s">
        <v>2624</v>
      </c>
      <c r="J517" s="3">
        <v>655</v>
      </c>
      <c r="K517" s="3" t="s">
        <v>859</v>
      </c>
      <c r="L517" s="3" t="s">
        <v>11646</v>
      </c>
      <c r="M517" s="6">
        <v>32590</v>
      </c>
      <c r="N517" s="3">
        <v>33</v>
      </c>
      <c r="O517" s="3" t="s">
        <v>2889</v>
      </c>
      <c r="P517" s="3">
        <v>9849625651</v>
      </c>
      <c r="Q517" s="3" t="s">
        <v>2719</v>
      </c>
      <c r="S517" s="3" t="s">
        <v>3137</v>
      </c>
      <c r="T517" s="3"/>
      <c r="U517" s="3" t="s">
        <v>62</v>
      </c>
      <c r="V517" s="3" t="s">
        <v>16897</v>
      </c>
      <c r="W517" s="3"/>
      <c r="X517" s="3"/>
      <c r="Y517" s="3" t="s">
        <v>12670</v>
      </c>
      <c r="AA517" s="3" t="s">
        <v>2544</v>
      </c>
      <c r="AB517" s="3" t="s">
        <v>2545</v>
      </c>
      <c r="AC517" s="3" t="s">
        <v>16898</v>
      </c>
      <c r="AD517" s="3">
        <v>197</v>
      </c>
      <c r="AE517" s="3" t="s">
        <v>2892</v>
      </c>
      <c r="AF517" s="3" t="s">
        <v>266</v>
      </c>
      <c r="AG517" s="3" t="s">
        <v>16537</v>
      </c>
      <c r="AH517" s="3" t="s">
        <v>16899</v>
      </c>
      <c r="AI517" s="3" t="s">
        <v>84</v>
      </c>
      <c r="AJ517" s="3" t="s">
        <v>2548</v>
      </c>
      <c r="AK517" s="3" t="s">
        <v>12828</v>
      </c>
      <c r="AL517" s="3" t="s">
        <v>2588</v>
      </c>
      <c r="AM517" s="3">
        <v>2</v>
      </c>
      <c r="AP517" s="7" t="s">
        <v>16900</v>
      </c>
      <c r="AQ517" s="3" t="s">
        <v>16901</v>
      </c>
      <c r="AS517" s="7" t="s">
        <v>16902</v>
      </c>
    </row>
    <row r="518" spans="1:45" ht="12.5" hidden="1" x14ac:dyDescent="0.25">
      <c r="A518" s="3" t="s">
        <v>12652</v>
      </c>
      <c r="B518" s="21" t="str">
        <f>HYPERLINK("https://gerandofalcoes.my.salesforce.com/0014P00003AN2FqQAL", "0014P00003AN2FqQAL")</f>
        <v>0014P00003AN2FqQAL</v>
      </c>
      <c r="C518" s="3" t="s">
        <v>868</v>
      </c>
      <c r="D518" s="3" t="s">
        <v>152</v>
      </c>
      <c r="E518" s="21" t="str">
        <f>HYPERLINK("https://gerandofalcoes.my.salesforce.com/0034P00003maBVH", "0034P00003maBVH")</f>
        <v>0034P00003maBVH</v>
      </c>
      <c r="F518" s="3" t="s">
        <v>2715</v>
      </c>
      <c r="G518" s="3" t="s">
        <v>16903</v>
      </c>
      <c r="H518" s="3" t="s">
        <v>2538</v>
      </c>
      <c r="I518" s="3" t="s">
        <v>2609</v>
      </c>
      <c r="J518" s="3">
        <v>874</v>
      </c>
      <c r="K518" s="3" t="s">
        <v>871</v>
      </c>
      <c r="L518" s="3" t="s">
        <v>11657</v>
      </c>
      <c r="M518" s="6">
        <v>32633</v>
      </c>
      <c r="N518" s="3">
        <v>33</v>
      </c>
      <c r="O518" s="3">
        <v>448376799</v>
      </c>
      <c r="P518" s="3">
        <v>38255078827</v>
      </c>
      <c r="Q518" s="3" t="s">
        <v>2896</v>
      </c>
      <c r="R518" s="3"/>
      <c r="S518" s="3" t="s">
        <v>12864</v>
      </c>
      <c r="T518" s="3"/>
      <c r="U518" s="3" t="s">
        <v>62</v>
      </c>
      <c r="V518" s="3" t="s">
        <v>16904</v>
      </c>
      <c r="W518" s="3"/>
      <c r="X518" s="3"/>
      <c r="Y518" s="3" t="s">
        <v>12684</v>
      </c>
      <c r="AA518" s="3" t="s">
        <v>2544</v>
      </c>
      <c r="AB518" s="3" t="s">
        <v>2543</v>
      </c>
      <c r="AC518" s="3" t="s">
        <v>16905</v>
      </c>
      <c r="AD518" s="3">
        <v>300</v>
      </c>
      <c r="AE518" s="3" t="s">
        <v>16906</v>
      </c>
      <c r="AF518" s="3" t="s">
        <v>874</v>
      </c>
      <c r="AG518" s="3" t="s">
        <v>16907</v>
      </c>
      <c r="AH518" s="3" t="s">
        <v>16908</v>
      </c>
      <c r="AI518" s="3" t="s">
        <v>101</v>
      </c>
      <c r="AJ518" s="3" t="s">
        <v>2548</v>
      </c>
      <c r="AK518" s="3" t="s">
        <v>12828</v>
      </c>
      <c r="AL518" s="3" t="s">
        <v>2588</v>
      </c>
      <c r="AM518" s="3">
        <v>2</v>
      </c>
      <c r="AP518" s="7" t="s">
        <v>16909</v>
      </c>
      <c r="AQ518" s="7" t="s">
        <v>16910</v>
      </c>
      <c r="AS518" s="3"/>
    </row>
    <row r="519" spans="1:45" ht="12.5" hidden="1" x14ac:dyDescent="0.25">
      <c r="A519" s="3" t="s">
        <v>12652</v>
      </c>
      <c r="B519" s="21" t="str">
        <f>HYPERLINK("https://gerandofalcoes.my.salesforce.com/0014P00003AN2FsQAL", "0014P00003AN2FsQAL")</f>
        <v>0014P00003AN2FsQAL</v>
      </c>
      <c r="C519" s="3" t="s">
        <v>885</v>
      </c>
      <c r="D519" s="3" t="s">
        <v>152</v>
      </c>
      <c r="E519" s="21" t="str">
        <f>HYPERLINK("https://gerandofalcoes.my.salesforce.com/0034P00003maBVJ", "0034P00003maBVJ")</f>
        <v>0034P00003maBVJ</v>
      </c>
      <c r="F519" s="3" t="s">
        <v>2900</v>
      </c>
      <c r="G519" s="3" t="s">
        <v>16911</v>
      </c>
      <c r="H519" s="3" t="s">
        <v>2538</v>
      </c>
      <c r="I519" s="3" t="s">
        <v>2624</v>
      </c>
      <c r="J519" s="3">
        <v>655</v>
      </c>
      <c r="K519" s="3" t="s">
        <v>888</v>
      </c>
      <c r="L519" s="3" t="s">
        <v>11665</v>
      </c>
      <c r="M519" s="8">
        <v>31713</v>
      </c>
      <c r="N519" s="3">
        <v>36</v>
      </c>
      <c r="O519" s="3">
        <v>395744076</v>
      </c>
      <c r="P519" s="3">
        <v>6125772950</v>
      </c>
      <c r="Q519" s="3" t="s">
        <v>2902</v>
      </c>
      <c r="S519" s="3" t="s">
        <v>3417</v>
      </c>
      <c r="T519" s="3"/>
      <c r="U519" s="3" t="s">
        <v>62</v>
      </c>
      <c r="V519" s="3" t="s">
        <v>16912</v>
      </c>
      <c r="W519" s="3"/>
      <c r="X519" s="3"/>
      <c r="Y519" s="3" t="s">
        <v>12670</v>
      </c>
      <c r="AA519" s="3" t="s">
        <v>2544</v>
      </c>
      <c r="AB519" s="3" t="s">
        <v>2545</v>
      </c>
      <c r="AC519" s="3" t="s">
        <v>2904</v>
      </c>
      <c r="AD519" s="3">
        <v>2315</v>
      </c>
      <c r="AE519" s="3" t="s">
        <v>16913</v>
      </c>
      <c r="AF519" s="3" t="s">
        <v>891</v>
      </c>
      <c r="AG519" s="3" t="s">
        <v>16914</v>
      </c>
      <c r="AH519" s="3" t="s">
        <v>16915</v>
      </c>
      <c r="AI519" s="3" t="s">
        <v>101</v>
      </c>
      <c r="AJ519" s="3" t="s">
        <v>2569</v>
      </c>
      <c r="AK519" s="3" t="s">
        <v>12828</v>
      </c>
      <c r="AL519" s="3" t="s">
        <v>2550</v>
      </c>
      <c r="AM519" s="3">
        <v>3</v>
      </c>
      <c r="AP519" s="7" t="s">
        <v>16916</v>
      </c>
      <c r="AQ519" s="7" t="s">
        <v>16917</v>
      </c>
      <c r="AS519" s="7" t="s">
        <v>16918</v>
      </c>
    </row>
    <row r="520" spans="1:45" ht="12.5" hidden="1" x14ac:dyDescent="0.25">
      <c r="A520" s="3" t="s">
        <v>12652</v>
      </c>
      <c r="B520" s="21" t="str">
        <f>HYPERLINK("https://gerandofalcoes.my.salesforce.com/0014P00003AN2FtQAL", "0014P00003AN2FtQAL")</f>
        <v>0014P00003AN2FtQAL</v>
      </c>
      <c r="C520" s="3" t="s">
        <v>902</v>
      </c>
      <c r="D520" s="3" t="s">
        <v>152</v>
      </c>
      <c r="E520" s="21" t="str">
        <f>HYPERLINK("https://gerandofalcoes.my.salesforce.com/0034P00003maBVK", "0034P00003maBVK")</f>
        <v>0034P00003maBVK</v>
      </c>
      <c r="F520" s="3" t="s">
        <v>2907</v>
      </c>
      <c r="G520" s="3" t="s">
        <v>2908</v>
      </c>
      <c r="H520" s="3" t="s">
        <v>2538</v>
      </c>
      <c r="I520" s="3" t="s">
        <v>2638</v>
      </c>
      <c r="J520" s="3">
        <v>511</v>
      </c>
      <c r="K520" s="3" t="s">
        <v>16919</v>
      </c>
      <c r="L520" s="3" t="s">
        <v>11675</v>
      </c>
      <c r="M520" s="6">
        <v>36392</v>
      </c>
      <c r="N520" s="3">
        <v>23</v>
      </c>
      <c r="O520" s="3">
        <v>2008010459355</v>
      </c>
      <c r="P520" s="3">
        <v>7929879348</v>
      </c>
      <c r="Q520" s="3" t="s">
        <v>2910</v>
      </c>
      <c r="S520" s="3" t="s">
        <v>2998</v>
      </c>
      <c r="T520" s="3"/>
      <c r="U520" s="3" t="s">
        <v>62</v>
      </c>
      <c r="V520" s="3" t="s">
        <v>16920</v>
      </c>
      <c r="W520" s="3"/>
      <c r="X520" s="3"/>
      <c r="Y520" s="3" t="s">
        <v>12684</v>
      </c>
      <c r="AA520" s="3"/>
      <c r="AB520" s="3"/>
      <c r="AC520" s="3" t="s">
        <v>907</v>
      </c>
      <c r="AD520" s="3">
        <v>2265</v>
      </c>
      <c r="AE520" s="3" t="s">
        <v>2316</v>
      </c>
      <c r="AF520" s="3" t="s">
        <v>470</v>
      </c>
      <c r="AG520" s="3" t="s">
        <v>4348</v>
      </c>
      <c r="AH520" s="3" t="s">
        <v>11677</v>
      </c>
      <c r="AI520" s="3" t="s">
        <v>468</v>
      </c>
      <c r="AJ520" s="3" t="s">
        <v>2569</v>
      </c>
      <c r="AK520" s="3" t="s">
        <v>12661</v>
      </c>
      <c r="AL520" s="3" t="s">
        <v>2550</v>
      </c>
      <c r="AM520" s="3">
        <v>5</v>
      </c>
      <c r="AP520" s="7" t="s">
        <v>16921</v>
      </c>
      <c r="AQ520" s="7" t="s">
        <v>16922</v>
      </c>
      <c r="AS520" s="7" t="s">
        <v>16923</v>
      </c>
    </row>
    <row r="521" spans="1:45" ht="12.5" hidden="1" x14ac:dyDescent="0.25">
      <c r="A521" s="3" t="s">
        <v>12652</v>
      </c>
      <c r="B521" s="21" t="str">
        <f>HYPERLINK("https://gerandofalcoes.my.salesforce.com/0014P00003AN2FuQAL", "0014P00003AN2FuQAL")</f>
        <v>0014P00003AN2FuQAL</v>
      </c>
      <c r="C521" s="3" t="s">
        <v>11688</v>
      </c>
      <c r="D521" s="3" t="s">
        <v>152</v>
      </c>
      <c r="E521" s="21" t="str">
        <f>HYPERLINK("https://gerandofalcoes.my.salesforce.com/0034P00003maBVL", "0034P00003maBVL")</f>
        <v>0034P00003maBVL</v>
      </c>
      <c r="F521" s="3" t="s">
        <v>2913</v>
      </c>
      <c r="G521" s="3" t="s">
        <v>2914</v>
      </c>
      <c r="H521" s="3" t="s">
        <v>2538</v>
      </c>
      <c r="I521" s="3" t="s">
        <v>2624</v>
      </c>
      <c r="J521" s="3">
        <v>655</v>
      </c>
      <c r="K521" s="3" t="s">
        <v>921</v>
      </c>
      <c r="L521" s="3" t="s">
        <v>11689</v>
      </c>
      <c r="M521" s="8">
        <v>31474</v>
      </c>
      <c r="N521" s="3">
        <v>36</v>
      </c>
      <c r="O521" s="3">
        <v>209395748</v>
      </c>
      <c r="P521" s="3">
        <v>10515768731</v>
      </c>
      <c r="Q521" s="3" t="s">
        <v>2915</v>
      </c>
      <c r="S521" s="3" t="s">
        <v>3269</v>
      </c>
      <c r="T521" s="3"/>
      <c r="U521" s="3" t="s">
        <v>62</v>
      </c>
      <c r="V521" s="3" t="s">
        <v>16924</v>
      </c>
      <c r="W521" s="3"/>
      <c r="X521" s="3"/>
      <c r="Y521" s="3" t="s">
        <v>12658</v>
      </c>
      <c r="AA521" s="3" t="s">
        <v>2544</v>
      </c>
      <c r="AB521" s="3" t="s">
        <v>2543</v>
      </c>
      <c r="AC521" s="3" t="s">
        <v>16925</v>
      </c>
      <c r="AD521" s="3">
        <v>46</v>
      </c>
      <c r="AE521" s="3" t="s">
        <v>16926</v>
      </c>
      <c r="AF521" s="3" t="s">
        <v>73</v>
      </c>
      <c r="AG521" s="3" t="s">
        <v>16927</v>
      </c>
      <c r="AH521" s="3" t="s">
        <v>16928</v>
      </c>
      <c r="AI521" s="3" t="s">
        <v>70</v>
      </c>
      <c r="AJ521" s="3" t="s">
        <v>2741</v>
      </c>
      <c r="AK521" s="3" t="s">
        <v>12828</v>
      </c>
      <c r="AL521" s="3" t="s">
        <v>2588</v>
      </c>
      <c r="AM521" s="3">
        <v>3</v>
      </c>
      <c r="AP521" s="7" t="s">
        <v>16929</v>
      </c>
      <c r="AQ521" s="7" t="s">
        <v>16930</v>
      </c>
      <c r="AS521" s="7" t="s">
        <v>16931</v>
      </c>
    </row>
    <row r="522" spans="1:45" ht="12.5" hidden="1" x14ac:dyDescent="0.25">
      <c r="A522" s="3" t="s">
        <v>12652</v>
      </c>
      <c r="B522" s="21" t="str">
        <f>HYPERLINK("https://gerandofalcoes.my.salesforce.com/0014P00003AN2FvQAL", "0014P00003AN2FvQAL")</f>
        <v>0014P00003AN2FvQAL</v>
      </c>
      <c r="C522" s="3" t="s">
        <v>935</v>
      </c>
      <c r="D522" s="3" t="s">
        <v>152</v>
      </c>
      <c r="E522" s="21" t="str">
        <f>HYPERLINK("https://gerandofalcoes.my.salesforce.com/0034P00003maCd8", "0034P00003maCd8")</f>
        <v>0034P00003maCd8</v>
      </c>
      <c r="F522" s="3" t="s">
        <v>16932</v>
      </c>
      <c r="G522" s="3" t="s">
        <v>16933</v>
      </c>
      <c r="H522" s="3" t="s">
        <v>2538</v>
      </c>
      <c r="I522" s="3" t="s">
        <v>2638</v>
      </c>
      <c r="J522" s="3">
        <v>511</v>
      </c>
      <c r="K522" s="3" t="s">
        <v>938</v>
      </c>
      <c r="L522" s="3" t="s">
        <v>11699</v>
      </c>
      <c r="M522" s="6">
        <v>29134</v>
      </c>
      <c r="N522" s="3">
        <v>43</v>
      </c>
      <c r="O522" s="3">
        <v>4093599</v>
      </c>
      <c r="P522" s="3">
        <v>51840782234</v>
      </c>
      <c r="Q522" s="3" t="s">
        <v>2920</v>
      </c>
      <c r="S522" s="3" t="s">
        <v>3269</v>
      </c>
      <c r="T522" s="3"/>
      <c r="U522" s="3" t="s">
        <v>62</v>
      </c>
      <c r="V522" s="3" t="s">
        <v>16934</v>
      </c>
      <c r="W522" s="3"/>
      <c r="X522" s="3"/>
      <c r="Y522" s="3" t="s">
        <v>12684</v>
      </c>
      <c r="AA522" s="3"/>
      <c r="AB522" s="3"/>
      <c r="AC522" s="3" t="s">
        <v>11698</v>
      </c>
      <c r="AD522" s="3">
        <v>104</v>
      </c>
      <c r="AE522" s="3" t="s">
        <v>16935</v>
      </c>
      <c r="AF522" s="3" t="s">
        <v>941</v>
      </c>
      <c r="AG522" s="3" t="s">
        <v>16935</v>
      </c>
      <c r="AH522" s="3" t="s">
        <v>2923</v>
      </c>
      <c r="AI522" s="3" t="s">
        <v>195</v>
      </c>
      <c r="AJ522" s="3" t="s">
        <v>2569</v>
      </c>
      <c r="AK522" s="3" t="s">
        <v>12729</v>
      </c>
      <c r="AL522" s="3" t="s">
        <v>16936</v>
      </c>
      <c r="AM522" s="3">
        <v>5</v>
      </c>
      <c r="AP522" s="7" t="s">
        <v>16937</v>
      </c>
      <c r="AQ522" s="7" t="s">
        <v>16938</v>
      </c>
      <c r="AS522" s="7" t="s">
        <v>16939</v>
      </c>
    </row>
    <row r="523" spans="1:45" ht="12.5" hidden="1" x14ac:dyDescent="0.25">
      <c r="A523" s="3" t="s">
        <v>12652</v>
      </c>
      <c r="B523" s="21" t="str">
        <f>HYPERLINK("https://gerandofalcoes.my.salesforce.com/0014P00003AN2FwQAL", "0014P00003AN2FwQAL")</f>
        <v>0014P00003AN2FwQAL</v>
      </c>
      <c r="C523" s="3" t="s">
        <v>731</v>
      </c>
      <c r="D523" s="3" t="s">
        <v>152</v>
      </c>
      <c r="E523" s="21" t="str">
        <f>HYPERLINK("https://gerandofalcoes.my.salesforce.com/0034P00003maBVN", "0034P00003maBVN")</f>
        <v>0034P00003maBVN</v>
      </c>
      <c r="F523" s="3" t="s">
        <v>2733</v>
      </c>
      <c r="G523" s="3" t="s">
        <v>2925</v>
      </c>
      <c r="H523" s="3" t="s">
        <v>2538</v>
      </c>
      <c r="I523" s="3" t="s">
        <v>2624</v>
      </c>
      <c r="J523" s="3">
        <v>655</v>
      </c>
      <c r="K523" s="3" t="s">
        <v>16940</v>
      </c>
      <c r="L523" s="3" t="s">
        <v>11710</v>
      </c>
      <c r="M523" s="6">
        <v>32065</v>
      </c>
      <c r="N523" s="3">
        <v>35</v>
      </c>
      <c r="O523" s="3">
        <v>213056716</v>
      </c>
      <c r="P523" s="3">
        <v>5904431783</v>
      </c>
      <c r="Q523" s="3" t="s">
        <v>2926</v>
      </c>
      <c r="R523" s="3"/>
      <c r="S523" s="3" t="s">
        <v>3417</v>
      </c>
      <c r="T523" s="3"/>
      <c r="U523" s="3" t="s">
        <v>62</v>
      </c>
      <c r="V523" s="3" t="s">
        <v>16941</v>
      </c>
      <c r="W523" s="3"/>
      <c r="X523" s="3"/>
      <c r="Y523" s="3" t="s">
        <v>12684</v>
      </c>
      <c r="AA523" s="3"/>
      <c r="AC523" s="3" t="s">
        <v>16942</v>
      </c>
      <c r="AD523" s="3">
        <v>117</v>
      </c>
      <c r="AE523" s="3" t="s">
        <v>16943</v>
      </c>
      <c r="AF523" s="3" t="s">
        <v>73</v>
      </c>
      <c r="AG523" s="3" t="s">
        <v>9523</v>
      </c>
      <c r="AH523" s="3" t="s">
        <v>16944</v>
      </c>
      <c r="AI523" s="3" t="s">
        <v>70</v>
      </c>
      <c r="AJ523" s="3" t="s">
        <v>2569</v>
      </c>
      <c r="AK523" s="3" t="s">
        <v>12661</v>
      </c>
      <c r="AL523" s="3" t="s">
        <v>2550</v>
      </c>
      <c r="AM523" s="3">
        <v>5</v>
      </c>
      <c r="AP523" s="7" t="s">
        <v>16945</v>
      </c>
      <c r="AQ523" s="7" t="s">
        <v>16946</v>
      </c>
      <c r="AS523" s="7" t="s">
        <v>16947</v>
      </c>
    </row>
    <row r="524" spans="1:45" ht="12.5" hidden="1" x14ac:dyDescent="0.25">
      <c r="A524" s="3" t="s">
        <v>12652</v>
      </c>
      <c r="B524" s="21" t="str">
        <f>HYPERLINK("https://gerandofalcoes.my.salesforce.com/0014P00003AN2FxQAL", "0014P00003AN2FxQAL")</f>
        <v>0014P00003AN2FxQAL</v>
      </c>
      <c r="C524" s="3" t="s">
        <v>953</v>
      </c>
      <c r="D524" s="3" t="s">
        <v>152</v>
      </c>
      <c r="E524" s="21" t="str">
        <f>HYPERLINK("https://gerandofalcoes.my.salesforce.com/0034P00003maBVO", "0034P00003maBVO")</f>
        <v>0034P00003maBVO</v>
      </c>
      <c r="F524" s="3" t="s">
        <v>2931</v>
      </c>
      <c r="G524" s="3" t="s">
        <v>16948</v>
      </c>
      <c r="H524" s="3" t="s">
        <v>2538</v>
      </c>
      <c r="I524" s="3" t="s">
        <v>2609</v>
      </c>
      <c r="J524" s="3">
        <v>783</v>
      </c>
      <c r="K524" s="3" t="s">
        <v>956</v>
      </c>
      <c r="L524" s="3" t="s">
        <v>11718</v>
      </c>
      <c r="M524" s="8">
        <v>30193</v>
      </c>
      <c r="N524" s="3">
        <v>40</v>
      </c>
      <c r="O524" s="3">
        <v>261480108</v>
      </c>
      <c r="P524" s="3">
        <v>30567961800</v>
      </c>
      <c r="Q524" s="3" t="s">
        <v>2933</v>
      </c>
      <c r="R524" s="3" t="s">
        <v>960</v>
      </c>
      <c r="S524" s="3" t="s">
        <v>3417</v>
      </c>
      <c r="T524" s="3"/>
      <c r="U524" s="3" t="s">
        <v>62</v>
      </c>
      <c r="V524" s="3" t="s">
        <v>16949</v>
      </c>
      <c r="W524" s="3"/>
      <c r="X524" s="3"/>
      <c r="Y524" s="3" t="s">
        <v>12658</v>
      </c>
      <c r="AA524" s="3" t="s">
        <v>2544</v>
      </c>
      <c r="AB524" s="3" t="s">
        <v>2545</v>
      </c>
      <c r="AC524" s="3" t="s">
        <v>16950</v>
      </c>
      <c r="AD524" s="3">
        <v>259</v>
      </c>
      <c r="AE524" s="3"/>
      <c r="AF524" s="3" t="s">
        <v>443</v>
      </c>
      <c r="AG524" s="3" t="s">
        <v>16951</v>
      </c>
      <c r="AH524" s="3" t="s">
        <v>16952</v>
      </c>
      <c r="AI524" s="3" t="s">
        <v>101</v>
      </c>
      <c r="AJ524" s="3" t="s">
        <v>2741</v>
      </c>
      <c r="AK524" s="3" t="s">
        <v>12828</v>
      </c>
      <c r="AL524" s="3" t="s">
        <v>2588</v>
      </c>
      <c r="AM524" s="3">
        <v>3</v>
      </c>
      <c r="AP524" s="7" t="s">
        <v>16953</v>
      </c>
      <c r="AQ524" s="7" t="s">
        <v>16954</v>
      </c>
      <c r="AS524" s="7" t="s">
        <v>16955</v>
      </c>
    </row>
    <row r="525" spans="1:45" ht="12.5" hidden="1" x14ac:dyDescent="0.25">
      <c r="A525" s="3" t="s">
        <v>12652</v>
      </c>
      <c r="B525" s="21" t="str">
        <f>HYPERLINK("https://gerandofalcoes.my.salesforce.com/0014P00003AN2FyQAL", "0014P00003AN2FyQAL")</f>
        <v>0014P00003AN2FyQAL</v>
      </c>
      <c r="C525" s="3" t="s">
        <v>971</v>
      </c>
      <c r="D525" s="3" t="s">
        <v>46</v>
      </c>
      <c r="E525" s="21" t="str">
        <f>HYPERLINK("https://gerandofalcoes.my.salesforce.com/0034P00003maBVP", "0034P00003maBVP")</f>
        <v>0034P00003maBVP</v>
      </c>
      <c r="F525" s="3" t="s">
        <v>2936</v>
      </c>
      <c r="G525" s="3" t="s">
        <v>2937</v>
      </c>
      <c r="H525" s="3" t="s">
        <v>2538</v>
      </c>
      <c r="I525" s="3" t="s">
        <v>2638</v>
      </c>
      <c r="J525" s="3">
        <v>421</v>
      </c>
      <c r="K525" s="3" t="s">
        <v>16956</v>
      </c>
      <c r="L525" s="3" t="s">
        <v>11729</v>
      </c>
      <c r="M525" s="6">
        <v>31106</v>
      </c>
      <c r="N525" s="3">
        <v>37</v>
      </c>
      <c r="O525" s="3">
        <v>1084578581</v>
      </c>
      <c r="P525" s="3">
        <v>377806030</v>
      </c>
      <c r="Q525" s="3" t="s">
        <v>2938</v>
      </c>
      <c r="R525" s="3"/>
      <c r="S525" s="3" t="s">
        <v>2998</v>
      </c>
      <c r="T525" s="3"/>
      <c r="U525" s="3" t="s">
        <v>62</v>
      </c>
      <c r="V525" s="3" t="s">
        <v>16957</v>
      </c>
      <c r="W525" s="3"/>
      <c r="X525" s="3"/>
      <c r="Y525" s="3" t="s">
        <v>12684</v>
      </c>
      <c r="AA525" s="3" t="s">
        <v>2544</v>
      </c>
      <c r="AB525" s="3" t="s">
        <v>2545</v>
      </c>
      <c r="AC525" s="3" t="s">
        <v>16958</v>
      </c>
      <c r="AD525" s="3">
        <v>180</v>
      </c>
      <c r="AE525" s="3"/>
      <c r="AF525" s="3" t="s">
        <v>11730</v>
      </c>
      <c r="AG525" s="3" t="s">
        <v>16959</v>
      </c>
      <c r="AH525" s="3" t="s">
        <v>11731</v>
      </c>
      <c r="AI525" s="3" t="s">
        <v>407</v>
      </c>
      <c r="AJ525" s="3" t="s">
        <v>2569</v>
      </c>
      <c r="AK525" s="3" t="s">
        <v>12729</v>
      </c>
      <c r="AL525" s="3" t="s">
        <v>2588</v>
      </c>
      <c r="AM525" s="3">
        <v>12</v>
      </c>
      <c r="AP525" s="3"/>
      <c r="AQ525" s="3" t="s">
        <v>16960</v>
      </c>
      <c r="AS525" s="7" t="s">
        <v>16961</v>
      </c>
    </row>
    <row r="526" spans="1:45" ht="12.5" hidden="1" x14ac:dyDescent="0.25">
      <c r="A526" s="3" t="s">
        <v>12652</v>
      </c>
      <c r="B526" s="21" t="str">
        <f>HYPERLINK("https://gerandofalcoes.my.salesforce.com/0014P00003AN2FzQAL", "0014P00003AN2FzQAL")</f>
        <v>0014P00003AN2FzQAL</v>
      </c>
      <c r="C526" s="3" t="s">
        <v>983</v>
      </c>
      <c r="D526" s="3" t="s">
        <v>46</v>
      </c>
      <c r="E526" s="21" t="str">
        <f>HYPERLINK("https://gerandofalcoes.my.salesforce.com/0034P00003maBVQ", "0034P00003maBVQ")</f>
        <v>0034P00003maBVQ</v>
      </c>
      <c r="F526" s="3" t="s">
        <v>2941</v>
      </c>
      <c r="G526" s="3" t="s">
        <v>16962</v>
      </c>
      <c r="H526" s="3" t="s">
        <v>2538</v>
      </c>
      <c r="I526" s="3" t="s">
        <v>2638</v>
      </c>
      <c r="J526" s="3">
        <v>490</v>
      </c>
      <c r="K526" s="3" t="s">
        <v>2767</v>
      </c>
      <c r="L526" s="3" t="s">
        <v>11736</v>
      </c>
      <c r="M526" s="6">
        <v>25641</v>
      </c>
      <c r="N526" s="3">
        <v>52</v>
      </c>
      <c r="O526" s="3">
        <v>224341339</v>
      </c>
      <c r="P526" s="3">
        <v>15689631817</v>
      </c>
      <c r="Q526" s="3" t="s">
        <v>2943</v>
      </c>
      <c r="S526" s="3" t="s">
        <v>3417</v>
      </c>
      <c r="T526" s="3"/>
      <c r="U526" s="3" t="s">
        <v>62</v>
      </c>
      <c r="V526" s="3" t="s">
        <v>16963</v>
      </c>
      <c r="W526" s="3"/>
      <c r="X526" s="3"/>
      <c r="Y526" s="3" t="s">
        <v>12658</v>
      </c>
      <c r="AA526" s="3" t="s">
        <v>2544</v>
      </c>
      <c r="AB526" s="3" t="s">
        <v>2545</v>
      </c>
      <c r="AC526" s="3" t="s">
        <v>2769</v>
      </c>
      <c r="AD526" s="3">
        <v>1658</v>
      </c>
      <c r="AE526" s="3" t="s">
        <v>4706</v>
      </c>
      <c r="AF526" s="3" t="s">
        <v>128</v>
      </c>
      <c r="AG526" s="3" t="s">
        <v>16964</v>
      </c>
      <c r="AH526" s="3" t="s">
        <v>2771</v>
      </c>
      <c r="AI526" s="3" t="s">
        <v>101</v>
      </c>
      <c r="AJ526" s="3" t="s">
        <v>2741</v>
      </c>
      <c r="AK526" s="3" t="s">
        <v>15494</v>
      </c>
      <c r="AL526" s="3" t="s">
        <v>2588</v>
      </c>
      <c r="AM526" s="3">
        <v>4</v>
      </c>
      <c r="AP526" s="3"/>
      <c r="AQ526" s="7" t="s">
        <v>16965</v>
      </c>
      <c r="AS526" s="7" t="s">
        <v>16966</v>
      </c>
    </row>
    <row r="527" spans="1:45" ht="12.5" hidden="1" x14ac:dyDescent="0.25">
      <c r="A527" s="3" t="s">
        <v>12652</v>
      </c>
      <c r="B527" s="21" t="str">
        <f>HYPERLINK("https://gerandofalcoes.my.salesforce.com/0014P00003AN2G0QAL", "0014P00003AN2G0QAL")</f>
        <v>0014P00003AN2G0QAL</v>
      </c>
      <c r="C527" s="3" t="s">
        <v>997</v>
      </c>
      <c r="D527" s="3" t="s">
        <v>152</v>
      </c>
      <c r="E527" s="21" t="str">
        <f>HYPERLINK("https://gerandofalcoes.my.salesforce.com/0034P00003maBVT", "0034P00003maBVT")</f>
        <v>0034P00003maBVT</v>
      </c>
      <c r="F527" s="3" t="s">
        <v>2678</v>
      </c>
      <c r="G527" s="3" t="s">
        <v>16967</v>
      </c>
      <c r="H527" s="3" t="s">
        <v>2538</v>
      </c>
      <c r="I527" s="3" t="s">
        <v>2638</v>
      </c>
      <c r="J527" s="3">
        <v>484</v>
      </c>
      <c r="K527" s="3" t="s">
        <v>11744</v>
      </c>
      <c r="L527" s="3" t="s">
        <v>11746</v>
      </c>
      <c r="M527" s="6">
        <v>34006</v>
      </c>
      <c r="N527" s="3">
        <v>29</v>
      </c>
      <c r="O527" s="3">
        <v>1587222213</v>
      </c>
      <c r="P527" s="3">
        <v>5150424552</v>
      </c>
      <c r="Q527" s="3" t="s">
        <v>2948</v>
      </c>
      <c r="S527" s="3" t="s">
        <v>3137</v>
      </c>
      <c r="T527" s="3"/>
      <c r="U527" s="3" t="s">
        <v>62</v>
      </c>
      <c r="V527" s="3" t="s">
        <v>16968</v>
      </c>
      <c r="W527" s="3"/>
      <c r="X527" s="3"/>
      <c r="Y527" s="3" t="s">
        <v>12658</v>
      </c>
      <c r="AA527" s="3" t="s">
        <v>2544</v>
      </c>
      <c r="AB527" s="3" t="s">
        <v>2545</v>
      </c>
      <c r="AC527" s="3" t="s">
        <v>11745</v>
      </c>
      <c r="AD527" s="3">
        <v>0</v>
      </c>
      <c r="AE527" s="3"/>
      <c r="AF527" s="3" t="s">
        <v>11747</v>
      </c>
      <c r="AG527" s="3" t="s">
        <v>9014</v>
      </c>
      <c r="AH527" s="3" t="s">
        <v>2950</v>
      </c>
      <c r="AI527" s="3" t="s">
        <v>1002</v>
      </c>
      <c r="AJ527" s="3" t="s">
        <v>2569</v>
      </c>
      <c r="AK527" s="3" t="s">
        <v>3249</v>
      </c>
      <c r="AL527" s="3" t="s">
        <v>2550</v>
      </c>
      <c r="AM527" s="3">
        <v>4</v>
      </c>
      <c r="AP527" s="7" t="s">
        <v>16969</v>
      </c>
      <c r="AQ527" s="7" t="s">
        <v>16970</v>
      </c>
      <c r="AS527" s="7" t="s">
        <v>16971</v>
      </c>
    </row>
    <row r="528" spans="1:45" ht="12.5" hidden="1" x14ac:dyDescent="0.25">
      <c r="A528" s="3" t="s">
        <v>12652</v>
      </c>
      <c r="B528" s="21" t="str">
        <f>HYPERLINK("https://gerandofalcoes.my.salesforce.com/0014P00003AN2G1QAL", "0014P00003AN2G1QAL")</f>
        <v>0014P00003AN2G1QAL</v>
      </c>
      <c r="C528" s="3" t="s">
        <v>1023</v>
      </c>
      <c r="D528" s="3" t="s">
        <v>46</v>
      </c>
      <c r="E528" s="21" t="str">
        <f>HYPERLINK("https://gerandofalcoes.my.salesforce.com/0034P00003maBVV", "0034P00003maBVV")</f>
        <v>0034P00003maBVV</v>
      </c>
      <c r="F528" s="3" t="s">
        <v>2952</v>
      </c>
      <c r="G528" s="3" t="s">
        <v>2953</v>
      </c>
      <c r="H528" s="3" t="s">
        <v>2538</v>
      </c>
      <c r="I528" s="3" t="s">
        <v>2638</v>
      </c>
      <c r="J528" s="3">
        <v>543</v>
      </c>
      <c r="K528" s="3" t="s">
        <v>2954</v>
      </c>
      <c r="L528" s="3" t="s">
        <v>11756</v>
      </c>
      <c r="M528" s="8">
        <v>33410</v>
      </c>
      <c r="N528" s="3">
        <v>31</v>
      </c>
      <c r="O528" s="3">
        <v>2005007012227</v>
      </c>
      <c r="P528" s="3">
        <v>4265310354</v>
      </c>
      <c r="Q528" s="3" t="s">
        <v>2625</v>
      </c>
      <c r="R528" s="3" t="s">
        <v>2955</v>
      </c>
      <c r="S528" s="3" t="s">
        <v>3137</v>
      </c>
      <c r="T528" s="3"/>
      <c r="U528" s="3" t="s">
        <v>120</v>
      </c>
      <c r="V528" s="3" t="s">
        <v>16972</v>
      </c>
      <c r="W528" s="3"/>
      <c r="X528" s="3"/>
      <c r="Y528" s="3" t="s">
        <v>12670</v>
      </c>
      <c r="AA528" s="3" t="s">
        <v>2544</v>
      </c>
      <c r="AB528" s="3" t="s">
        <v>2543</v>
      </c>
      <c r="AC528" s="3" t="s">
        <v>2956</v>
      </c>
      <c r="AD528" s="3">
        <v>193</v>
      </c>
      <c r="AE528" s="3"/>
      <c r="AF528" s="3" t="s">
        <v>470</v>
      </c>
      <c r="AG528" s="3" t="s">
        <v>4922</v>
      </c>
      <c r="AH528" s="3" t="s">
        <v>2957</v>
      </c>
      <c r="AI528" s="3" t="s">
        <v>468</v>
      </c>
      <c r="AJ528" s="3" t="s">
        <v>2741</v>
      </c>
      <c r="AK528" s="3" t="s">
        <v>12661</v>
      </c>
      <c r="AL528" s="3" t="s">
        <v>2588</v>
      </c>
      <c r="AM528" s="3">
        <v>2</v>
      </c>
      <c r="AP528" s="3" t="s">
        <v>16973</v>
      </c>
      <c r="AQ528" s="3" t="s">
        <v>16973</v>
      </c>
      <c r="AS528" s="7" t="s">
        <v>16974</v>
      </c>
    </row>
    <row r="529" spans="1:45" ht="12.5" hidden="1" x14ac:dyDescent="0.25">
      <c r="A529" s="3" t="s">
        <v>12652</v>
      </c>
      <c r="B529" s="21" t="str">
        <f>HYPERLINK("https://gerandofalcoes.my.salesforce.com/0014P00003AN2G2QAL", "0014P00003AN2G2QAL")</f>
        <v>0014P00003AN2G2QAL</v>
      </c>
      <c r="C529" s="3" t="s">
        <v>1034</v>
      </c>
      <c r="D529" s="3" t="s">
        <v>46</v>
      </c>
      <c r="E529" s="21" t="str">
        <f>HYPERLINK("https://gerandofalcoes.my.salesforce.com/0034P00003maBVW", "0034P00003maBVW")</f>
        <v>0034P00003maBVW</v>
      </c>
      <c r="F529" s="3" t="s">
        <v>2773</v>
      </c>
      <c r="G529" s="3" t="s">
        <v>16975</v>
      </c>
      <c r="H529" s="3" t="s">
        <v>2538</v>
      </c>
      <c r="I529" s="3" t="s">
        <v>2638</v>
      </c>
      <c r="J529" s="3">
        <v>421</v>
      </c>
      <c r="K529" s="3" t="s">
        <v>16976</v>
      </c>
      <c r="L529" s="3" t="s">
        <v>11767</v>
      </c>
      <c r="M529" s="8">
        <v>20958</v>
      </c>
      <c r="N529" s="3">
        <v>65</v>
      </c>
      <c r="O529" s="3">
        <v>95002672606</v>
      </c>
      <c r="P529" s="3">
        <v>9164235300</v>
      </c>
      <c r="Q529" s="3" t="s">
        <v>3027</v>
      </c>
      <c r="R529" s="3"/>
      <c r="S529" s="3" t="s">
        <v>12864</v>
      </c>
      <c r="T529" s="3"/>
      <c r="U529" s="3" t="s">
        <v>62</v>
      </c>
      <c r="V529" s="3" t="s">
        <v>16977</v>
      </c>
      <c r="W529" s="3"/>
      <c r="X529" s="3"/>
      <c r="Y529" s="3" t="s">
        <v>12670</v>
      </c>
      <c r="AA529" s="3" t="s">
        <v>2544</v>
      </c>
      <c r="AB529" s="3" t="s">
        <v>2545</v>
      </c>
      <c r="AC529" s="3" t="s">
        <v>16978</v>
      </c>
      <c r="AD529" s="3">
        <v>640</v>
      </c>
      <c r="AE529" s="3" t="s">
        <v>16979</v>
      </c>
      <c r="AF529" s="3" t="s">
        <v>470</v>
      </c>
      <c r="AG529" s="3" t="s">
        <v>16980</v>
      </c>
      <c r="AH529" s="3" t="s">
        <v>16981</v>
      </c>
      <c r="AI529" s="3" t="s">
        <v>468</v>
      </c>
      <c r="AJ529" s="3" t="s">
        <v>2569</v>
      </c>
      <c r="AK529" s="3" t="s">
        <v>16161</v>
      </c>
      <c r="AL529" s="3" t="s">
        <v>2588</v>
      </c>
      <c r="AM529" s="3">
        <v>2</v>
      </c>
      <c r="AP529" s="3"/>
      <c r="AQ529" s="7" t="s">
        <v>16982</v>
      </c>
      <c r="AS529" s="7" t="s">
        <v>16983</v>
      </c>
    </row>
    <row r="530" spans="1:45" ht="12.5" hidden="1" x14ac:dyDescent="0.25">
      <c r="A530" s="3" t="s">
        <v>12652</v>
      </c>
      <c r="B530" s="21" t="str">
        <f>HYPERLINK("https://gerandofalcoes.my.salesforce.com/0014P00003AN2G3QAL", "0014P00003AN2G3QAL")</f>
        <v>0014P00003AN2G3QAL</v>
      </c>
      <c r="C530" s="3" t="s">
        <v>1043</v>
      </c>
      <c r="D530" s="3" t="s">
        <v>152</v>
      </c>
      <c r="E530" s="21" t="str">
        <f>HYPERLINK("https://gerandofalcoes.my.salesforce.com/0034P00003maBVX", "0034P00003maBVX")</f>
        <v>0034P00003maBVX</v>
      </c>
      <c r="F530" s="3" t="s">
        <v>3030</v>
      </c>
      <c r="G530" s="3" t="s">
        <v>16984</v>
      </c>
      <c r="H530" s="3" t="s">
        <v>2538</v>
      </c>
      <c r="I530" s="3" t="s">
        <v>2624</v>
      </c>
      <c r="J530" s="3">
        <v>651</v>
      </c>
      <c r="K530" s="3" t="s">
        <v>1046</v>
      </c>
      <c r="L530" s="3" t="s">
        <v>11775</v>
      </c>
      <c r="M530" s="6">
        <v>30808</v>
      </c>
      <c r="N530" s="3">
        <v>38</v>
      </c>
      <c r="O530" s="3">
        <v>405981041</v>
      </c>
      <c r="P530" s="3">
        <v>33155032812</v>
      </c>
      <c r="Q530" s="3" t="s">
        <v>3032</v>
      </c>
      <c r="R530" s="3"/>
      <c r="S530" s="3" t="s">
        <v>3137</v>
      </c>
      <c r="T530" s="3"/>
      <c r="U530" s="3" t="s">
        <v>62</v>
      </c>
      <c r="V530" s="3" t="s">
        <v>16985</v>
      </c>
      <c r="W530" s="3"/>
      <c r="X530" s="3"/>
      <c r="Y530" s="3" t="s">
        <v>12684</v>
      </c>
      <c r="AA530" s="3"/>
      <c r="AB530" s="3"/>
      <c r="AC530" s="3" t="s">
        <v>16986</v>
      </c>
      <c r="AD530" s="3">
        <v>398</v>
      </c>
      <c r="AE530" s="3" t="s">
        <v>16987</v>
      </c>
      <c r="AF530" s="3" t="s">
        <v>128</v>
      </c>
      <c r="AG530" s="3" t="s">
        <v>16988</v>
      </c>
      <c r="AH530" s="3" t="s">
        <v>3036</v>
      </c>
      <c r="AI530" s="3" t="s">
        <v>101</v>
      </c>
      <c r="AJ530" s="3" t="s">
        <v>2569</v>
      </c>
      <c r="AK530" s="3" t="s">
        <v>12828</v>
      </c>
      <c r="AL530" s="3" t="s">
        <v>2588</v>
      </c>
      <c r="AM530" s="3">
        <v>3</v>
      </c>
      <c r="AP530" s="3"/>
      <c r="AQ530" s="7" t="s">
        <v>16989</v>
      </c>
      <c r="AS530" s="7" t="s">
        <v>16990</v>
      </c>
    </row>
    <row r="531" spans="1:45" ht="12.5" hidden="1" x14ac:dyDescent="0.25">
      <c r="A531" s="3" t="s">
        <v>12652</v>
      </c>
      <c r="B531" s="21" t="str">
        <f>HYPERLINK("https://gerandofalcoes.my.salesforce.com/0014P00003AN2G4QAL", "0014P00003AN2G4QAL")</f>
        <v>0014P00003AN2G4QAL</v>
      </c>
      <c r="C531" s="3" t="s">
        <v>1059</v>
      </c>
      <c r="D531" s="3" t="s">
        <v>152</v>
      </c>
      <c r="E531" s="21" t="str">
        <f>HYPERLINK("https://gerandofalcoes.my.salesforce.com/0034P00003maBVY", "0034P00003maBVY")</f>
        <v>0034P00003maBVY</v>
      </c>
      <c r="F531" s="3" t="s">
        <v>3038</v>
      </c>
      <c r="G531" s="3" t="s">
        <v>16991</v>
      </c>
      <c r="H531" s="3" t="s">
        <v>2538</v>
      </c>
      <c r="I531" s="3" t="s">
        <v>2624</v>
      </c>
      <c r="J531" s="3">
        <v>286</v>
      </c>
      <c r="K531" s="3" t="s">
        <v>3040</v>
      </c>
      <c r="L531" s="3" t="s">
        <v>11787</v>
      </c>
      <c r="M531" s="6">
        <v>34907</v>
      </c>
      <c r="N531" s="3">
        <v>27</v>
      </c>
      <c r="O531" s="3">
        <v>475470308</v>
      </c>
      <c r="P531" s="3">
        <v>43181241857</v>
      </c>
      <c r="Q531" s="3" t="s">
        <v>3041</v>
      </c>
      <c r="S531" s="3" t="s">
        <v>3605</v>
      </c>
      <c r="T531" s="3"/>
      <c r="U531" s="3" t="s">
        <v>62</v>
      </c>
      <c r="V531" s="3" t="s">
        <v>16992</v>
      </c>
      <c r="W531" s="3"/>
      <c r="X531" s="3"/>
      <c r="Y531" s="3" t="s">
        <v>12670</v>
      </c>
      <c r="AA531" s="3" t="s">
        <v>2544</v>
      </c>
      <c r="AB531" s="3" t="s">
        <v>2545</v>
      </c>
      <c r="AC531" s="3" t="s">
        <v>16993</v>
      </c>
      <c r="AD531" s="3">
        <v>1324</v>
      </c>
      <c r="AE531" s="3"/>
      <c r="AF531" s="3" t="s">
        <v>128</v>
      </c>
      <c r="AG531" s="3" t="s">
        <v>16994</v>
      </c>
      <c r="AH531" s="3" t="s">
        <v>3042</v>
      </c>
      <c r="AI531" s="3" t="s">
        <v>101</v>
      </c>
      <c r="AJ531" s="3" t="s">
        <v>2569</v>
      </c>
      <c r="AK531" s="3" t="s">
        <v>12729</v>
      </c>
      <c r="AL531" s="3" t="s">
        <v>3385</v>
      </c>
      <c r="AM531" s="3">
        <v>8</v>
      </c>
      <c r="AP531" s="7" t="s">
        <v>16995</v>
      </c>
      <c r="AQ531" s="7" t="s">
        <v>16996</v>
      </c>
      <c r="AS531" s="7" t="s">
        <v>16997</v>
      </c>
    </row>
    <row r="532" spans="1:45" ht="12.5" hidden="1" x14ac:dyDescent="0.25">
      <c r="A532" s="3" t="s">
        <v>12652</v>
      </c>
      <c r="B532" s="21" t="str">
        <f>HYPERLINK("https://gerandofalcoes.my.salesforce.com/0014P00003AN2G5QAL", "0014P00003AN2G5QAL")</f>
        <v>0014P00003AN2G5QAL</v>
      </c>
      <c r="C532" s="3" t="s">
        <v>1069</v>
      </c>
      <c r="D532" s="3" t="s">
        <v>152</v>
      </c>
      <c r="E532" s="21" t="str">
        <f>HYPERLINK("https://gerandofalcoes.my.salesforce.com/0034P00003maBVZ", "0034P00003maBVZ")</f>
        <v>0034P00003maBVZ</v>
      </c>
      <c r="F532" s="3" t="s">
        <v>3044</v>
      </c>
      <c r="G532" s="3" t="s">
        <v>3045</v>
      </c>
      <c r="H532" s="3" t="s">
        <v>2538</v>
      </c>
      <c r="I532" s="3" t="s">
        <v>2624</v>
      </c>
      <c r="J532" s="3">
        <v>597</v>
      </c>
      <c r="K532" s="3" t="s">
        <v>1072</v>
      </c>
      <c r="L532" s="3" t="s">
        <v>11795</v>
      </c>
      <c r="M532" s="6">
        <v>28217</v>
      </c>
      <c r="N532" s="3">
        <v>45</v>
      </c>
      <c r="O532" s="3">
        <v>117023863</v>
      </c>
      <c r="P532" s="3">
        <v>25480870858</v>
      </c>
      <c r="Q532" s="3" t="s">
        <v>3046</v>
      </c>
      <c r="S532" s="3" t="s">
        <v>2998</v>
      </c>
      <c r="T532" s="3"/>
      <c r="U532" s="3" t="s">
        <v>62</v>
      </c>
      <c r="V532" s="3" t="s">
        <v>16998</v>
      </c>
      <c r="W532" s="3"/>
      <c r="X532" s="3"/>
      <c r="Y532" s="3" t="s">
        <v>12658</v>
      </c>
      <c r="AA532" s="3" t="s">
        <v>2544</v>
      </c>
      <c r="AB532" s="3" t="s">
        <v>2545</v>
      </c>
      <c r="AC532" s="3" t="s">
        <v>16999</v>
      </c>
      <c r="AD532" s="3">
        <v>376</v>
      </c>
      <c r="AE532" s="3"/>
      <c r="AF532" s="3" t="s">
        <v>128</v>
      </c>
      <c r="AG532" s="3" t="s">
        <v>17000</v>
      </c>
      <c r="AH532" s="3" t="s">
        <v>17001</v>
      </c>
      <c r="AI532" s="3" t="s">
        <v>101</v>
      </c>
      <c r="AJ532" s="3" t="s">
        <v>2548</v>
      </c>
      <c r="AK532" s="3" t="s">
        <v>17002</v>
      </c>
      <c r="AL532" s="3" t="s">
        <v>2579</v>
      </c>
      <c r="AM532" s="3">
        <v>5</v>
      </c>
      <c r="AP532" s="7" t="s">
        <v>17003</v>
      </c>
      <c r="AQ532" s="3" t="s">
        <v>17004</v>
      </c>
      <c r="AS532" s="7" t="s">
        <v>17005</v>
      </c>
    </row>
    <row r="533" spans="1:45" ht="12.5" hidden="1" x14ac:dyDescent="0.25">
      <c r="A533" s="3" t="s">
        <v>12652</v>
      </c>
      <c r="B533" s="21" t="str">
        <f>HYPERLINK("https://gerandofalcoes.my.salesforce.com/0014P00003AN2G6QAL", "0014P00003AN2G6QAL")</f>
        <v>0014P00003AN2G6QAL</v>
      </c>
      <c r="C533" s="3" t="s">
        <v>1086</v>
      </c>
      <c r="D533" s="3" t="s">
        <v>152</v>
      </c>
      <c r="E533" s="21" t="str">
        <f>HYPERLINK("https://gerandofalcoes.my.salesforce.com/0034P00003maBVa", "0034P00003maBVa")</f>
        <v>0034P00003maBVa</v>
      </c>
      <c r="F533" s="3" t="s">
        <v>3051</v>
      </c>
      <c r="G533" s="3" t="s">
        <v>17006</v>
      </c>
      <c r="H533" s="3" t="s">
        <v>2538</v>
      </c>
      <c r="I533" s="3" t="s">
        <v>2624</v>
      </c>
      <c r="J533" s="3">
        <v>651</v>
      </c>
      <c r="K533" s="3" t="s">
        <v>1089</v>
      </c>
      <c r="L533" s="3" t="s">
        <v>11806</v>
      </c>
      <c r="M533" s="6">
        <v>22007</v>
      </c>
      <c r="N533" s="3">
        <v>62</v>
      </c>
      <c r="O533" s="3" t="s">
        <v>3053</v>
      </c>
      <c r="P533" s="3">
        <v>3664345860</v>
      </c>
      <c r="Q533" s="3" t="s">
        <v>3054</v>
      </c>
      <c r="R533" s="3"/>
      <c r="S533" s="3" t="s">
        <v>3269</v>
      </c>
      <c r="T533" s="3"/>
      <c r="U533" s="3" t="s">
        <v>62</v>
      </c>
      <c r="V533" s="3" t="s">
        <v>17007</v>
      </c>
      <c r="W533" s="3"/>
      <c r="X533" s="3"/>
      <c r="Y533" s="3" t="s">
        <v>12684</v>
      </c>
      <c r="AA533" s="3"/>
      <c r="AB533" s="3"/>
      <c r="AC533" s="3" t="s">
        <v>2757</v>
      </c>
      <c r="AD533" s="3">
        <v>980</v>
      </c>
      <c r="AE533" s="3" t="s">
        <v>673</v>
      </c>
      <c r="AF533" s="3" t="s">
        <v>1092</v>
      </c>
      <c r="AG533" s="3" t="s">
        <v>17008</v>
      </c>
      <c r="AH533" s="3" t="s">
        <v>17009</v>
      </c>
      <c r="AI533" s="3" t="s">
        <v>84</v>
      </c>
      <c r="AJ533" s="3" t="s">
        <v>2548</v>
      </c>
      <c r="AK533" s="3" t="s">
        <v>16009</v>
      </c>
      <c r="AL533" s="3" t="s">
        <v>2550</v>
      </c>
      <c r="AM533" s="3">
        <v>2</v>
      </c>
      <c r="AP533" s="3"/>
      <c r="AQ533" s="7" t="s">
        <v>17010</v>
      </c>
      <c r="AS533" s="7" t="s">
        <v>17011</v>
      </c>
    </row>
    <row r="534" spans="1:45" ht="12.5" hidden="1" x14ac:dyDescent="0.25">
      <c r="A534" s="3" t="s">
        <v>12652</v>
      </c>
      <c r="B534" s="21" t="str">
        <f>HYPERLINK("https://gerandofalcoes.my.salesforce.com/0014P00003AN2G7QAL", "0014P00003AN2G7QAL")</f>
        <v>0014P00003AN2G7QAL</v>
      </c>
      <c r="C534" s="3" t="s">
        <v>1102</v>
      </c>
      <c r="D534" s="3" t="s">
        <v>46</v>
      </c>
      <c r="E534" s="21" t="str">
        <f>HYPERLINK("https://gerandofalcoes.my.salesforce.com/0034P00003maBVb", "0034P00003maBVb")</f>
        <v>0034P00003maBVb</v>
      </c>
      <c r="F534" s="3" t="s">
        <v>3058</v>
      </c>
      <c r="G534" s="3" t="s">
        <v>17012</v>
      </c>
      <c r="H534" s="3" t="s">
        <v>2538</v>
      </c>
      <c r="I534" s="3" t="s">
        <v>2638</v>
      </c>
      <c r="J534" s="3">
        <v>560</v>
      </c>
      <c r="K534" s="3" t="s">
        <v>3060</v>
      </c>
      <c r="L534" s="3" t="s">
        <v>11818</v>
      </c>
      <c r="M534" s="6">
        <v>25916</v>
      </c>
      <c r="N534" s="3">
        <v>52</v>
      </c>
      <c r="O534" s="3">
        <v>82982901</v>
      </c>
      <c r="P534" s="3">
        <v>98204467753</v>
      </c>
      <c r="Q534" s="3" t="s">
        <v>3061</v>
      </c>
      <c r="R534" s="3"/>
      <c r="S534" s="3" t="s">
        <v>3137</v>
      </c>
      <c r="T534" s="3"/>
      <c r="U534" s="3" t="s">
        <v>62</v>
      </c>
      <c r="V534" s="3" t="s">
        <v>17013</v>
      </c>
      <c r="W534" s="3"/>
      <c r="X534" s="3"/>
      <c r="Y534" s="3" t="s">
        <v>12684</v>
      </c>
      <c r="AA534" s="3"/>
      <c r="AB534" s="3"/>
      <c r="AC534" s="3" t="s">
        <v>3062</v>
      </c>
      <c r="AD534" s="3">
        <v>52</v>
      </c>
      <c r="AE534" s="3"/>
      <c r="AF534" s="3" t="s">
        <v>1105</v>
      </c>
      <c r="AG534" s="3" t="s">
        <v>17014</v>
      </c>
      <c r="AH534" s="3" t="s">
        <v>3063</v>
      </c>
      <c r="AI534" s="3" t="s">
        <v>70</v>
      </c>
      <c r="AJ534" s="3" t="s">
        <v>2569</v>
      </c>
      <c r="AK534" s="3" t="s">
        <v>12674</v>
      </c>
      <c r="AL534" s="3" t="s">
        <v>2550</v>
      </c>
      <c r="AM534" s="3">
        <v>3</v>
      </c>
      <c r="AO534" s="3" t="s">
        <v>13327</v>
      </c>
      <c r="AP534" s="7" t="s">
        <v>17015</v>
      </c>
      <c r="AQ534" s="3" t="s">
        <v>17016</v>
      </c>
      <c r="AS534" s="7" t="s">
        <v>17017</v>
      </c>
    </row>
    <row r="535" spans="1:45" ht="12.5" hidden="1" x14ac:dyDescent="0.25">
      <c r="A535" s="3" t="s">
        <v>12652</v>
      </c>
      <c r="B535" s="21" t="str">
        <f>HYPERLINK("https://gerandofalcoes.my.salesforce.com/0014P00003AN2G8QAL", "0014P00003AN2G8QAL")</f>
        <v>0014P00003AN2G8QAL</v>
      </c>
      <c r="C535" s="3" t="s">
        <v>1012</v>
      </c>
      <c r="D535" s="3" t="s">
        <v>46</v>
      </c>
      <c r="E535" s="21" t="str">
        <f>HYPERLINK("https://gerandofalcoes.my.salesforce.com/0034P00003maBVc", "0034P00003maBVc")</f>
        <v>0034P00003maBVc</v>
      </c>
      <c r="F535" s="3" t="s">
        <v>2959</v>
      </c>
      <c r="G535" s="3" t="s">
        <v>17018</v>
      </c>
      <c r="H535" s="3" t="s">
        <v>2538</v>
      </c>
      <c r="I535" s="3" t="s">
        <v>2638</v>
      </c>
      <c r="J535" s="3">
        <v>550</v>
      </c>
      <c r="K535" s="3" t="s">
        <v>17019</v>
      </c>
      <c r="L535" s="3" t="s">
        <v>11825</v>
      </c>
      <c r="M535" s="6">
        <v>31029</v>
      </c>
      <c r="N535" s="3">
        <v>38</v>
      </c>
      <c r="O535" s="3">
        <v>206081564</v>
      </c>
      <c r="P535" s="3">
        <v>10239957784</v>
      </c>
      <c r="Q535" s="3" t="s">
        <v>2647</v>
      </c>
      <c r="R535" s="3"/>
      <c r="S535" s="3" t="s">
        <v>3417</v>
      </c>
      <c r="T535" s="3"/>
      <c r="U535" s="3" t="s">
        <v>62</v>
      </c>
      <c r="V535" s="3" t="s">
        <v>17020</v>
      </c>
      <c r="W535" s="3"/>
      <c r="X535" s="3"/>
      <c r="Y535" s="3" t="s">
        <v>12658</v>
      </c>
      <c r="AA535" s="3" t="s">
        <v>2544</v>
      </c>
      <c r="AB535" s="3" t="s">
        <v>2543</v>
      </c>
      <c r="AC535" s="3" t="s">
        <v>2962</v>
      </c>
      <c r="AD535" s="3">
        <v>130</v>
      </c>
      <c r="AE535" s="3"/>
      <c r="AF535" s="3" t="s">
        <v>1015</v>
      </c>
      <c r="AG535" s="3" t="s">
        <v>17021</v>
      </c>
      <c r="AH535" s="3" t="s">
        <v>17022</v>
      </c>
      <c r="AI535" s="3" t="s">
        <v>70</v>
      </c>
      <c r="AJ535" s="3" t="s">
        <v>2569</v>
      </c>
      <c r="AK535" s="3" t="s">
        <v>12729</v>
      </c>
      <c r="AL535" s="3" t="s">
        <v>2579</v>
      </c>
      <c r="AM535" s="3">
        <v>3</v>
      </c>
      <c r="AO535" s="3"/>
      <c r="AP535" s="3"/>
      <c r="AQ535" s="7" t="s">
        <v>17023</v>
      </c>
      <c r="AS535" s="7" t="s">
        <v>17024</v>
      </c>
    </row>
    <row r="536" spans="1:45" ht="12.5" hidden="1" x14ac:dyDescent="0.25">
      <c r="A536" s="3" t="s">
        <v>12652</v>
      </c>
      <c r="B536" s="21" t="str">
        <f>HYPERLINK("https://gerandofalcoes.my.salesforce.com/0014P00003AN2G9QAL", "0014P00003AN2G9QAL")</f>
        <v>0014P00003AN2G9QAL</v>
      </c>
      <c r="C536" s="3" t="s">
        <v>1146</v>
      </c>
      <c r="D536" s="3" t="s">
        <v>152</v>
      </c>
      <c r="E536" s="21" t="str">
        <f>HYPERLINK("https://gerandofalcoes.my.salesforce.com/0034P00003maBVd", "0034P00003maBVd")</f>
        <v>0034P00003maBVd</v>
      </c>
      <c r="F536" s="3" t="s">
        <v>3074</v>
      </c>
      <c r="G536" s="3" t="s">
        <v>17025</v>
      </c>
      <c r="H536" s="3" t="s">
        <v>2538</v>
      </c>
      <c r="I536" s="3" t="s">
        <v>2624</v>
      </c>
      <c r="J536" s="3">
        <v>645</v>
      </c>
      <c r="K536" s="3" t="s">
        <v>3076</v>
      </c>
      <c r="L536" s="3" t="s">
        <v>11836</v>
      </c>
      <c r="M536" s="6">
        <v>30502</v>
      </c>
      <c r="N536" s="3">
        <v>39</v>
      </c>
      <c r="O536" s="3">
        <v>44161093</v>
      </c>
      <c r="P536" s="3">
        <v>827184905</v>
      </c>
      <c r="Q536" s="3" t="s">
        <v>3077</v>
      </c>
      <c r="R536" s="3" t="s">
        <v>3078</v>
      </c>
      <c r="S536" s="3" t="s">
        <v>2998</v>
      </c>
      <c r="T536" s="3"/>
      <c r="U536" s="3" t="s">
        <v>120</v>
      </c>
      <c r="V536" s="3" t="s">
        <v>17026</v>
      </c>
      <c r="W536" s="3"/>
      <c r="X536" s="3"/>
      <c r="Y536" s="3" t="s">
        <v>12670</v>
      </c>
      <c r="AA536" s="3" t="s">
        <v>2737</v>
      </c>
      <c r="AB536" s="3" t="s">
        <v>2543</v>
      </c>
      <c r="AC536" s="3" t="s">
        <v>17027</v>
      </c>
      <c r="AD536" s="3">
        <v>209</v>
      </c>
      <c r="AE536" s="3" t="s">
        <v>1539</v>
      </c>
      <c r="AF536" s="3" t="s">
        <v>1149</v>
      </c>
      <c r="AG536" s="3" t="s">
        <v>647</v>
      </c>
      <c r="AH536" s="3" t="s">
        <v>11837</v>
      </c>
      <c r="AI536" s="3" t="s">
        <v>557</v>
      </c>
      <c r="AJ536" s="3" t="s">
        <v>2569</v>
      </c>
      <c r="AK536" s="3" t="s">
        <v>12828</v>
      </c>
      <c r="AL536" s="3" t="s">
        <v>2550</v>
      </c>
      <c r="AM536" s="3">
        <v>1</v>
      </c>
      <c r="AP536" s="7" t="s">
        <v>17028</v>
      </c>
      <c r="AQ536" s="3" t="s">
        <v>17029</v>
      </c>
      <c r="AS536" s="7" t="s">
        <v>17030</v>
      </c>
    </row>
    <row r="537" spans="1:45" ht="12.5" hidden="1" x14ac:dyDescent="0.25">
      <c r="A537" s="3" t="s">
        <v>12652</v>
      </c>
      <c r="B537" s="21" t="str">
        <f>HYPERLINK("https://gerandofalcoes.my.salesforce.com/0014P00003AN2GBQA1", "0014P00003AN2GBQA1")</f>
        <v>0014P00003AN2GBQA1</v>
      </c>
      <c r="C537" s="3" t="s">
        <v>1157</v>
      </c>
      <c r="D537" s="3" t="s">
        <v>46</v>
      </c>
      <c r="E537" s="21" t="str">
        <f>HYPERLINK("https://gerandofalcoes.my.salesforce.com/0034P00003maBVf", "0034P00003maBVf")</f>
        <v>0034P00003maBVf</v>
      </c>
      <c r="F537" s="3" t="s">
        <v>3080</v>
      </c>
      <c r="G537" s="3" t="s">
        <v>17031</v>
      </c>
      <c r="H537" s="3" t="s">
        <v>2538</v>
      </c>
      <c r="I537" s="3" t="s">
        <v>2638</v>
      </c>
      <c r="J537" s="3">
        <v>490</v>
      </c>
      <c r="K537" s="3" t="s">
        <v>17032</v>
      </c>
      <c r="L537" s="3" t="s">
        <v>11846</v>
      </c>
      <c r="M537" s="6">
        <v>21400</v>
      </c>
      <c r="N537" s="3">
        <v>64</v>
      </c>
      <c r="O537" s="3" t="s">
        <v>17033</v>
      </c>
      <c r="P537" s="3">
        <v>45719466572</v>
      </c>
      <c r="Q537" s="3" t="s">
        <v>3084</v>
      </c>
      <c r="R537" s="3" t="s">
        <v>3085</v>
      </c>
      <c r="S537" s="3" t="s">
        <v>3417</v>
      </c>
      <c r="T537" s="3"/>
      <c r="U537" s="3" t="s">
        <v>62</v>
      </c>
      <c r="V537" s="3" t="s">
        <v>17034</v>
      </c>
      <c r="W537" s="3"/>
      <c r="X537" s="3"/>
      <c r="Y537" s="3" t="s">
        <v>12713</v>
      </c>
      <c r="AA537" s="3"/>
      <c r="AB537" s="3"/>
      <c r="AC537" s="3" t="s">
        <v>17035</v>
      </c>
      <c r="AD537" s="3">
        <v>633</v>
      </c>
      <c r="AE537" s="3"/>
      <c r="AF537" s="3" t="s">
        <v>1160</v>
      </c>
      <c r="AG537" s="3" t="s">
        <v>17036</v>
      </c>
      <c r="AH537" s="3" t="s">
        <v>17037</v>
      </c>
      <c r="AI537" s="3" t="s">
        <v>101</v>
      </c>
      <c r="AJ537" s="3" t="s">
        <v>2741</v>
      </c>
      <c r="AK537" s="3" t="s">
        <v>12661</v>
      </c>
      <c r="AL537" s="3" t="s">
        <v>2550</v>
      </c>
      <c r="AM537" s="3">
        <v>3</v>
      </c>
      <c r="AP537" s="3"/>
      <c r="AQ537" s="3" t="s">
        <v>17038</v>
      </c>
      <c r="AS537" s="7" t="s">
        <v>17039</v>
      </c>
    </row>
    <row r="538" spans="1:45" ht="12.5" hidden="1" x14ac:dyDescent="0.25">
      <c r="A538" s="3" t="s">
        <v>12652</v>
      </c>
      <c r="B538" s="21" t="str">
        <f>HYPERLINK("https://gerandofalcoes.my.salesforce.com/0014P00003AN2GCQA1", "0014P00003AN2GCQA1")</f>
        <v>0014P00003AN2GCQA1</v>
      </c>
      <c r="C538" s="3" t="s">
        <v>1169</v>
      </c>
      <c r="D538" s="3" t="s">
        <v>46</v>
      </c>
      <c r="E538" s="21" t="str">
        <f>HYPERLINK("https://gerandofalcoes.my.salesforce.com/0034P00003maBVg", "0034P00003maBVg")</f>
        <v>0034P00003maBVg</v>
      </c>
      <c r="F538" s="3" t="s">
        <v>3091</v>
      </c>
      <c r="G538" s="3" t="s">
        <v>17040</v>
      </c>
      <c r="H538" s="3" t="s">
        <v>2538</v>
      </c>
      <c r="I538" s="3" t="s">
        <v>2638</v>
      </c>
      <c r="J538" s="3">
        <v>311</v>
      </c>
      <c r="K538" s="3" t="s">
        <v>3093</v>
      </c>
      <c r="L538" s="3" t="s">
        <v>11855</v>
      </c>
      <c r="M538" s="6">
        <v>27469</v>
      </c>
      <c r="N538" s="3">
        <v>47</v>
      </c>
      <c r="O538" s="3" t="s">
        <v>3094</v>
      </c>
      <c r="P538" s="3">
        <v>2570252433</v>
      </c>
      <c r="Q538" s="3" t="s">
        <v>3095</v>
      </c>
      <c r="R538" s="3" t="s">
        <v>3096</v>
      </c>
      <c r="S538" s="3" t="s">
        <v>2998</v>
      </c>
      <c r="T538" s="3"/>
      <c r="U538" s="3" t="s">
        <v>62</v>
      </c>
      <c r="V538" s="3" t="s">
        <v>17041</v>
      </c>
      <c r="W538" s="3"/>
      <c r="X538" s="3"/>
      <c r="Y538" s="3" t="s">
        <v>12670</v>
      </c>
      <c r="AA538" s="3" t="s">
        <v>2544</v>
      </c>
      <c r="AB538" s="3" t="s">
        <v>2545</v>
      </c>
      <c r="AC538" s="3" t="s">
        <v>17042</v>
      </c>
      <c r="AD538" s="3">
        <v>81</v>
      </c>
      <c r="AE538" s="3" t="s">
        <v>1539</v>
      </c>
      <c r="AF538" s="3" t="s">
        <v>1173</v>
      </c>
      <c r="AG538" s="3" t="s">
        <v>647</v>
      </c>
      <c r="AH538" s="3" t="s">
        <v>3099</v>
      </c>
      <c r="AI538" s="3" t="s">
        <v>1171</v>
      </c>
      <c r="AJ538" s="3" t="s">
        <v>2569</v>
      </c>
      <c r="AK538" s="3" t="s">
        <v>3249</v>
      </c>
      <c r="AL538" s="3" t="s">
        <v>2550</v>
      </c>
      <c r="AM538" s="3">
        <v>3</v>
      </c>
      <c r="AP538" s="7" t="s">
        <v>17043</v>
      </c>
      <c r="AQ538" s="7" t="s">
        <v>17044</v>
      </c>
      <c r="AS538" s="7" t="s">
        <v>17045</v>
      </c>
    </row>
    <row r="539" spans="1:45" ht="12.5" hidden="1" x14ac:dyDescent="0.25">
      <c r="A539" s="3" t="s">
        <v>12652</v>
      </c>
      <c r="B539" s="21" t="str">
        <f>HYPERLINK("https://gerandofalcoes.my.salesforce.com/0014P00003AN2GDQA1", "0014P00003AN2GDQA1")</f>
        <v>0014P00003AN2GDQA1</v>
      </c>
      <c r="C539" s="3" t="s">
        <v>1184</v>
      </c>
      <c r="D539" s="3" t="s">
        <v>152</v>
      </c>
      <c r="E539" s="21" t="str">
        <f>HYPERLINK("https://gerandofalcoes.my.salesforce.com/0034P00003maBVh", "0034P00003maBVh")</f>
        <v>0034P00003maBVh</v>
      </c>
      <c r="F539" s="3" t="s">
        <v>2636</v>
      </c>
      <c r="G539" s="3" t="s">
        <v>17046</v>
      </c>
      <c r="H539" s="3" t="s">
        <v>2538</v>
      </c>
      <c r="I539" s="3" t="s">
        <v>2638</v>
      </c>
      <c r="J539" s="3">
        <v>421</v>
      </c>
      <c r="K539" s="3" t="s">
        <v>3102</v>
      </c>
      <c r="L539" s="3" t="s">
        <v>11863</v>
      </c>
      <c r="M539" s="6">
        <v>28130</v>
      </c>
      <c r="N539" s="3">
        <v>45</v>
      </c>
      <c r="O539" s="3" t="s">
        <v>3103</v>
      </c>
      <c r="P539" s="3">
        <v>7601852717</v>
      </c>
      <c r="Q539" s="3" t="s">
        <v>2845</v>
      </c>
      <c r="R539" s="3" t="s">
        <v>3104</v>
      </c>
      <c r="S539" s="3" t="s">
        <v>2998</v>
      </c>
      <c r="T539" s="3"/>
      <c r="U539" s="3" t="s">
        <v>62</v>
      </c>
      <c r="V539" s="3" t="s">
        <v>17047</v>
      </c>
      <c r="W539" s="3"/>
      <c r="X539" s="3"/>
      <c r="Y539" s="3" t="s">
        <v>12658</v>
      </c>
      <c r="AA539" s="3" t="s">
        <v>2544</v>
      </c>
      <c r="AB539" s="3" t="s">
        <v>2543</v>
      </c>
      <c r="AC539" s="3" t="s">
        <v>17048</v>
      </c>
      <c r="AD539" s="3" t="s">
        <v>3106</v>
      </c>
      <c r="AE539" s="3" t="s">
        <v>15709</v>
      </c>
      <c r="AF539" s="3" t="s">
        <v>11864</v>
      </c>
      <c r="AG539" s="3" t="s">
        <v>17049</v>
      </c>
      <c r="AH539" s="3" t="s">
        <v>3107</v>
      </c>
      <c r="AI539" s="3" t="s">
        <v>70</v>
      </c>
      <c r="AJ539" s="3" t="s">
        <v>2741</v>
      </c>
      <c r="AK539" s="3" t="s">
        <v>15494</v>
      </c>
      <c r="AL539" s="3" t="s">
        <v>2579</v>
      </c>
      <c r="AM539" s="3">
        <v>5</v>
      </c>
      <c r="AP539" s="3"/>
      <c r="AQ539" s="7" t="s">
        <v>17050</v>
      </c>
      <c r="AS539" s="7" t="s">
        <v>17051</v>
      </c>
    </row>
    <row r="540" spans="1:45" ht="12.5" hidden="1" x14ac:dyDescent="0.25">
      <c r="A540" s="3" t="s">
        <v>12652</v>
      </c>
      <c r="B540" s="21" t="str">
        <f>HYPERLINK("https://gerandofalcoes.my.salesforce.com/0014P00003AN2GFQA1", "0014P00003AN2GFQA1")</f>
        <v>0014P00003AN2GFQA1</v>
      </c>
      <c r="C540" s="3" t="s">
        <v>1199</v>
      </c>
      <c r="D540" s="3" t="s">
        <v>46</v>
      </c>
      <c r="E540" s="21" t="str">
        <f>HYPERLINK("https://gerandofalcoes.my.salesforce.com/0034P00003maBVj", "0034P00003maBVj")</f>
        <v>0034P00003maBVj</v>
      </c>
      <c r="F540" s="3" t="s">
        <v>2708</v>
      </c>
      <c r="G540" s="3" t="s">
        <v>17052</v>
      </c>
      <c r="H540" s="3" t="s">
        <v>2538</v>
      </c>
      <c r="I540" s="3" t="s">
        <v>2638</v>
      </c>
      <c r="J540" s="3">
        <v>490</v>
      </c>
      <c r="K540" s="3" t="s">
        <v>3110</v>
      </c>
      <c r="L540" s="3">
        <v>31999403487</v>
      </c>
      <c r="M540" s="6">
        <v>27954</v>
      </c>
      <c r="N540" s="3">
        <v>46</v>
      </c>
      <c r="O540" s="3" t="s">
        <v>3111</v>
      </c>
      <c r="P540" s="3">
        <v>2881724698</v>
      </c>
      <c r="Q540" s="3" t="s">
        <v>3112</v>
      </c>
      <c r="R540" s="3" t="s">
        <v>3113</v>
      </c>
      <c r="S540" s="3"/>
      <c r="T540" s="3"/>
      <c r="U540" s="3" t="s">
        <v>120</v>
      </c>
      <c r="V540" s="3"/>
      <c r="W540" s="3"/>
      <c r="X540" s="3"/>
      <c r="Y540" s="3"/>
      <c r="AA540" s="3"/>
      <c r="AB540" s="3"/>
      <c r="AC540" s="3" t="s">
        <v>3114</v>
      </c>
      <c r="AD540" s="3">
        <v>101</v>
      </c>
      <c r="AE540" s="3"/>
      <c r="AF540" s="3" t="s">
        <v>177</v>
      </c>
      <c r="AG540" s="3" t="s">
        <v>17053</v>
      </c>
      <c r="AH540" s="3">
        <v>30335030</v>
      </c>
      <c r="AI540" s="3" t="s">
        <v>84</v>
      </c>
      <c r="AJ540" s="3"/>
      <c r="AK540" s="3"/>
      <c r="AL540" s="3"/>
      <c r="AM540" s="3"/>
      <c r="AP540" s="3"/>
      <c r="AQ540" s="3"/>
      <c r="AS540" s="3"/>
    </row>
    <row r="541" spans="1:45" ht="12.5" hidden="1" x14ac:dyDescent="0.25">
      <c r="A541" s="3" t="s">
        <v>12652</v>
      </c>
      <c r="B541" s="21" t="str">
        <f>HYPERLINK("https://gerandofalcoes.my.salesforce.com/0014P00003AN2GGQA1", "0014P00003AN2GGQA1")</f>
        <v>0014P00003AN2GGQA1</v>
      </c>
      <c r="C541" s="3" t="s">
        <v>1211</v>
      </c>
      <c r="D541" s="3" t="s">
        <v>46</v>
      </c>
      <c r="E541" s="21" t="str">
        <f>HYPERLINK("https://gerandofalcoes.my.salesforce.com/0034P00003maBVk", "0034P00003maBVk")</f>
        <v>0034P00003maBVk</v>
      </c>
      <c r="F541" s="3" t="s">
        <v>3116</v>
      </c>
      <c r="G541" s="3" t="s">
        <v>15294</v>
      </c>
      <c r="H541" s="3" t="s">
        <v>2538</v>
      </c>
      <c r="I541" s="3" t="s">
        <v>2638</v>
      </c>
      <c r="J541" s="3">
        <v>559</v>
      </c>
      <c r="K541" s="3" t="s">
        <v>17054</v>
      </c>
      <c r="L541" s="3" t="s">
        <v>11888</v>
      </c>
      <c r="M541" s="6">
        <v>30001</v>
      </c>
      <c r="N541" s="3">
        <v>40</v>
      </c>
      <c r="O541" s="3">
        <v>329719555</v>
      </c>
      <c r="P541" s="3">
        <v>31935694880</v>
      </c>
      <c r="Q541" s="3" t="s">
        <v>3119</v>
      </c>
      <c r="R541" s="3"/>
      <c r="S541" s="3" t="s">
        <v>2998</v>
      </c>
      <c r="T541" s="3"/>
      <c r="U541" s="3" t="s">
        <v>62</v>
      </c>
      <c r="V541" s="3" t="s">
        <v>17055</v>
      </c>
      <c r="W541" s="3"/>
      <c r="X541" s="3"/>
      <c r="Y541" s="3" t="s">
        <v>12684</v>
      </c>
      <c r="AA541" s="3"/>
      <c r="AB541" s="3"/>
      <c r="AC541" s="3" t="s">
        <v>17056</v>
      </c>
      <c r="AD541" s="3">
        <v>5</v>
      </c>
      <c r="AE541" s="3" t="s">
        <v>3121</v>
      </c>
      <c r="AF541" s="3" t="s">
        <v>128</v>
      </c>
      <c r="AG541" s="3" t="s">
        <v>11887</v>
      </c>
      <c r="AH541" s="3" t="s">
        <v>17057</v>
      </c>
      <c r="AI541" s="3" t="s">
        <v>101</v>
      </c>
      <c r="AJ541" s="3" t="s">
        <v>2569</v>
      </c>
      <c r="AK541" s="3"/>
      <c r="AL541" s="3" t="s">
        <v>3385</v>
      </c>
      <c r="AM541" s="3">
        <v>2</v>
      </c>
      <c r="AP541" s="3"/>
      <c r="AQ541" s="3"/>
      <c r="AS541" s="7" t="s">
        <v>17058</v>
      </c>
    </row>
    <row r="542" spans="1:45" ht="12.5" hidden="1" x14ac:dyDescent="0.25">
      <c r="A542" s="3" t="s">
        <v>12652</v>
      </c>
      <c r="B542" s="21" t="str">
        <f>HYPERLINK("https://gerandofalcoes.my.salesforce.com/0014P00003AN2GHQA1", "0014P00003AN2GHQA1")</f>
        <v>0014P00003AN2GHQA1</v>
      </c>
      <c r="C542" s="3" t="s">
        <v>1114</v>
      </c>
      <c r="D542" s="3" t="s">
        <v>46</v>
      </c>
      <c r="E542" s="21" t="str">
        <f>HYPERLINK("https://gerandofalcoes.my.salesforce.com/0034P00003maBVm", "0034P00003maBVm")</f>
        <v>0034P00003maBVm</v>
      </c>
      <c r="F542" s="3" t="s">
        <v>3640</v>
      </c>
      <c r="G542" s="3" t="s">
        <v>17059</v>
      </c>
      <c r="H542" s="3" t="s">
        <v>2538</v>
      </c>
      <c r="I542" s="3" t="s">
        <v>2638</v>
      </c>
      <c r="J542" s="3">
        <v>421</v>
      </c>
      <c r="K542" s="3" t="s">
        <v>3125</v>
      </c>
      <c r="L542" s="3" t="s">
        <v>11896</v>
      </c>
      <c r="M542" s="6">
        <v>27717</v>
      </c>
      <c r="N542" s="3">
        <v>47</v>
      </c>
      <c r="O542" s="3" t="s">
        <v>3126</v>
      </c>
      <c r="P542" s="3">
        <v>2126717402</v>
      </c>
      <c r="Q542" s="3" t="s">
        <v>3127</v>
      </c>
      <c r="R542" s="3" t="s">
        <v>3128</v>
      </c>
      <c r="S542" s="3" t="s">
        <v>3417</v>
      </c>
      <c r="T542" s="3"/>
      <c r="U542" s="3" t="s">
        <v>120</v>
      </c>
      <c r="V542" s="3" t="s">
        <v>17060</v>
      </c>
      <c r="W542" s="3"/>
      <c r="X542" s="3"/>
      <c r="Y542" s="3" t="s">
        <v>12670</v>
      </c>
      <c r="AA542" s="3" t="s">
        <v>2577</v>
      </c>
      <c r="AB542" s="3" t="s">
        <v>2543</v>
      </c>
      <c r="AC542" s="3" t="s">
        <v>17061</v>
      </c>
      <c r="AD542" s="3">
        <v>292</v>
      </c>
      <c r="AE542" s="3"/>
      <c r="AF542" s="3" t="s">
        <v>6725</v>
      </c>
      <c r="AG542" s="3" t="s">
        <v>17062</v>
      </c>
      <c r="AH542" s="3" t="s">
        <v>3130</v>
      </c>
      <c r="AI542" s="3" t="s">
        <v>195</v>
      </c>
      <c r="AJ542" s="3" t="s">
        <v>2569</v>
      </c>
      <c r="AK542" s="3" t="s">
        <v>12729</v>
      </c>
      <c r="AL542" s="3" t="s">
        <v>2550</v>
      </c>
      <c r="AM542" s="3">
        <v>4</v>
      </c>
      <c r="AP542" s="3"/>
      <c r="AQ542" s="3" t="s">
        <v>17063</v>
      </c>
      <c r="AS542" s="7" t="s">
        <v>17064</v>
      </c>
    </row>
    <row r="543" spans="1:45" ht="12.5" hidden="1" x14ac:dyDescent="0.25">
      <c r="A543" s="3" t="s">
        <v>12652</v>
      </c>
      <c r="B543" s="21" t="str">
        <f>HYPERLINK("https://gerandofalcoes.my.salesforce.com/0014P00003SGWPWQA5", "0014P00003SGWPWQA5")</f>
        <v>0014P00003SGWPWQA5</v>
      </c>
      <c r="C543" s="3" t="s">
        <v>1220</v>
      </c>
      <c r="D543" s="3" t="s">
        <v>152</v>
      </c>
      <c r="E543" s="21" t="str">
        <f>HYPERLINK("https://gerandofalcoes.my.salesforce.com/0034P000043fOnd", "0034P000043fOnd")</f>
        <v>0034P000043fOnd</v>
      </c>
      <c r="F543" s="3" t="s">
        <v>2959</v>
      </c>
      <c r="G543" s="3" t="s">
        <v>17065</v>
      </c>
      <c r="H543" s="3" t="s">
        <v>2538</v>
      </c>
      <c r="I543" s="3" t="s">
        <v>2618</v>
      </c>
      <c r="J543" s="3">
        <v>364</v>
      </c>
      <c r="K543" s="3" t="s">
        <v>1224</v>
      </c>
      <c r="L543" s="3" t="s">
        <v>11907</v>
      </c>
      <c r="M543" s="8">
        <v>31360</v>
      </c>
      <c r="N543" s="3">
        <v>37</v>
      </c>
      <c r="O543" s="3">
        <v>13283449</v>
      </c>
      <c r="P543" s="3">
        <v>7696157671</v>
      </c>
      <c r="Q543" s="3" t="s">
        <v>3154</v>
      </c>
      <c r="R543" s="3" t="s">
        <v>2978</v>
      </c>
      <c r="S543" s="3" t="s">
        <v>3269</v>
      </c>
      <c r="T543" s="3" t="s">
        <v>12723</v>
      </c>
      <c r="U543" s="3" t="s">
        <v>62</v>
      </c>
      <c r="V543" s="3" t="s">
        <v>17066</v>
      </c>
      <c r="W543" s="3" t="s">
        <v>2541</v>
      </c>
      <c r="X543" s="3" t="s">
        <v>2980</v>
      </c>
      <c r="Y543" s="3" t="s">
        <v>12658</v>
      </c>
      <c r="AA543" s="3" t="s">
        <v>2544</v>
      </c>
      <c r="AB543" s="3" t="s">
        <v>2545</v>
      </c>
      <c r="AC543" s="3" t="s">
        <v>17067</v>
      </c>
      <c r="AD543" s="3">
        <v>50</v>
      </c>
      <c r="AE543" s="3" t="s">
        <v>17068</v>
      </c>
      <c r="AF543" s="3" t="s">
        <v>266</v>
      </c>
      <c r="AG543" s="3" t="s">
        <v>17069</v>
      </c>
      <c r="AH543" s="3" t="s">
        <v>3157</v>
      </c>
      <c r="AI543" s="3" t="s">
        <v>84</v>
      </c>
      <c r="AJ543" s="3" t="s">
        <v>2569</v>
      </c>
      <c r="AK543" s="3" t="s">
        <v>12661</v>
      </c>
      <c r="AL543" s="3" t="s">
        <v>2550</v>
      </c>
      <c r="AM543" s="3">
        <v>5</v>
      </c>
      <c r="AP543" s="7" t="s">
        <v>17070</v>
      </c>
      <c r="AQ543" s="7" t="s">
        <v>17071</v>
      </c>
      <c r="AS543" s="7" t="s">
        <v>17072</v>
      </c>
    </row>
    <row r="544" spans="1:45" ht="12.5" hidden="1" x14ac:dyDescent="0.25">
      <c r="A544" s="3" t="s">
        <v>12652</v>
      </c>
      <c r="B544" s="21" t="str">
        <f>HYPERLINK("https://gerandofalcoes.my.salesforce.com/0014P00003SGWPYQA5", "0014P00003SGWPYQA5")</f>
        <v>0014P00003SGWPYQA5</v>
      </c>
      <c r="C544" s="3" t="s">
        <v>1247</v>
      </c>
      <c r="D544" s="3" t="s">
        <v>46</v>
      </c>
      <c r="E544" s="21" t="str">
        <f>HYPERLINK("https://gerandofalcoes.my.salesforce.com/0034P000043fOnf", "0034P000043fOnf")</f>
        <v>0034P000043fOnf</v>
      </c>
      <c r="F544" s="3" t="s">
        <v>3161</v>
      </c>
      <c r="G544" s="3" t="s">
        <v>3162</v>
      </c>
      <c r="H544" s="3" t="s">
        <v>2538</v>
      </c>
      <c r="I544" s="3" t="s">
        <v>2618</v>
      </c>
      <c r="J544" s="3">
        <v>364</v>
      </c>
      <c r="K544" s="3" t="s">
        <v>1251</v>
      </c>
      <c r="L544" s="3" t="s">
        <v>11920</v>
      </c>
      <c r="M544" s="6">
        <v>29080</v>
      </c>
      <c r="N544" s="3">
        <v>43</v>
      </c>
      <c r="O544" s="3">
        <v>334201226</v>
      </c>
      <c r="P544" s="3">
        <v>29955824859</v>
      </c>
      <c r="Q544" s="3" t="s">
        <v>3164</v>
      </c>
      <c r="R544" s="3" t="s">
        <v>3165</v>
      </c>
      <c r="S544" s="3" t="s">
        <v>3137</v>
      </c>
      <c r="T544" s="3" t="s">
        <v>12656</v>
      </c>
      <c r="U544" s="3" t="s">
        <v>120</v>
      </c>
      <c r="V544" s="3" t="s">
        <v>17073</v>
      </c>
      <c r="W544" s="3" t="s">
        <v>2576</v>
      </c>
      <c r="X544" s="3" t="s">
        <v>2980</v>
      </c>
      <c r="Y544" s="3" t="s">
        <v>12658</v>
      </c>
      <c r="AA544" s="3" t="s">
        <v>2544</v>
      </c>
      <c r="AB544" s="3" t="s">
        <v>2545</v>
      </c>
      <c r="AC544" s="3" t="s">
        <v>17074</v>
      </c>
      <c r="AD544" s="3">
        <v>180</v>
      </c>
      <c r="AE544" s="3" t="s">
        <v>17075</v>
      </c>
      <c r="AF544" s="3" t="s">
        <v>128</v>
      </c>
      <c r="AG544" s="3" t="s">
        <v>17076</v>
      </c>
      <c r="AH544" s="3" t="s">
        <v>3168</v>
      </c>
      <c r="AI544" s="3" t="s">
        <v>101</v>
      </c>
      <c r="AJ544" s="3" t="s">
        <v>2569</v>
      </c>
      <c r="AK544" s="3" t="s">
        <v>12729</v>
      </c>
      <c r="AL544" s="3" t="s">
        <v>2550</v>
      </c>
      <c r="AM544" s="3">
        <v>4</v>
      </c>
      <c r="AP544" s="7" t="s">
        <v>17077</v>
      </c>
      <c r="AQ544" s="7" t="s">
        <v>17078</v>
      </c>
      <c r="AS544" s="7" t="s">
        <v>17079</v>
      </c>
    </row>
    <row r="545" spans="1:45" ht="12.5" hidden="1" x14ac:dyDescent="0.25">
      <c r="A545" s="3" t="s">
        <v>12652</v>
      </c>
      <c r="B545" s="21" t="str">
        <f>HYPERLINK("https://gerandofalcoes.my.salesforce.com/0014P00003SGWPZQA5", "0014P00003SGWPZQA5")</f>
        <v>0014P00003SGWPZQA5</v>
      </c>
      <c r="C545" s="3" t="s">
        <v>1124</v>
      </c>
      <c r="D545" s="3" t="s">
        <v>46</v>
      </c>
      <c r="E545" s="21" t="str">
        <f>HYPERLINK("https://gerandofalcoes.my.salesforce.com/0034P000043fOng", "0034P000043fOng")</f>
        <v>0034P000043fOng</v>
      </c>
      <c r="F545" s="3" t="s">
        <v>3132</v>
      </c>
      <c r="G545" s="3" t="s">
        <v>3133</v>
      </c>
      <c r="H545" s="3" t="s">
        <v>2538</v>
      </c>
      <c r="I545" s="3" t="s">
        <v>2618</v>
      </c>
      <c r="J545" s="3">
        <v>364</v>
      </c>
      <c r="K545" s="3" t="s">
        <v>17080</v>
      </c>
      <c r="L545" s="3" t="s">
        <v>3135</v>
      </c>
      <c r="M545" s="6">
        <v>28498</v>
      </c>
      <c r="N545" s="3">
        <v>44</v>
      </c>
      <c r="O545" s="3">
        <v>8700054</v>
      </c>
      <c r="P545" s="3">
        <v>3956777697</v>
      </c>
      <c r="Q545" s="3" t="s">
        <v>3136</v>
      </c>
      <c r="R545" s="3"/>
      <c r="S545" s="3" t="s">
        <v>3137</v>
      </c>
      <c r="T545" s="3" t="s">
        <v>12723</v>
      </c>
      <c r="U545" s="3" t="s">
        <v>62</v>
      </c>
      <c r="V545" s="3" t="s">
        <v>17081</v>
      </c>
      <c r="W545" s="3" t="s">
        <v>2541</v>
      </c>
      <c r="X545" s="3" t="s">
        <v>2980</v>
      </c>
      <c r="Y545" s="3" t="s">
        <v>12670</v>
      </c>
      <c r="AA545" s="3" t="s">
        <v>2577</v>
      </c>
      <c r="AB545" s="3" t="s">
        <v>2545</v>
      </c>
      <c r="AC545" s="3" t="s">
        <v>3139</v>
      </c>
      <c r="AD545" s="3">
        <v>56</v>
      </c>
      <c r="AE545" s="3" t="s">
        <v>1539</v>
      </c>
      <c r="AF545" s="3" t="s">
        <v>87</v>
      </c>
      <c r="AG545" s="3" t="s">
        <v>17082</v>
      </c>
      <c r="AH545" s="3" t="s">
        <v>3140</v>
      </c>
      <c r="AI545" s="3" t="s">
        <v>84</v>
      </c>
      <c r="AJ545" s="3" t="s">
        <v>2569</v>
      </c>
      <c r="AK545" s="3" t="s">
        <v>12828</v>
      </c>
      <c r="AL545" s="3" t="s">
        <v>2550</v>
      </c>
      <c r="AM545" s="3">
        <v>3</v>
      </c>
      <c r="AP545" s="7" t="s">
        <v>17083</v>
      </c>
      <c r="AQ545" s="3" t="s">
        <v>17084</v>
      </c>
      <c r="AS545" s="7" t="s">
        <v>17085</v>
      </c>
    </row>
    <row r="546" spans="1:45" ht="12.5" hidden="1" x14ac:dyDescent="0.25">
      <c r="A546" s="3" t="s">
        <v>12652</v>
      </c>
      <c r="B546" s="21" t="str">
        <f>HYPERLINK("https://gerandofalcoes.my.salesforce.com/0014P00003SGWPaQAP", "0014P00003SGWPaQAP")</f>
        <v>0014P00003SGWPaQAP</v>
      </c>
      <c r="C546" s="3" t="s">
        <v>1270</v>
      </c>
      <c r="D546" s="3" t="s">
        <v>46</v>
      </c>
      <c r="E546" s="21" t="str">
        <f>HYPERLINK("https://gerandofalcoes.my.salesforce.com/0034P000043fOnh", "0034P000043fOnh")</f>
        <v>0034P000043fOnh</v>
      </c>
      <c r="F546" s="3" t="s">
        <v>3144</v>
      </c>
      <c r="G546" s="3" t="s">
        <v>3145</v>
      </c>
      <c r="H546" s="3" t="s">
        <v>2538</v>
      </c>
      <c r="I546" s="3" t="s">
        <v>2618</v>
      </c>
      <c r="J546" s="3">
        <v>364</v>
      </c>
      <c r="K546" s="3" t="s">
        <v>17086</v>
      </c>
      <c r="L546" s="3" t="s">
        <v>11947</v>
      </c>
      <c r="M546" s="6">
        <v>32407</v>
      </c>
      <c r="N546" s="3">
        <v>34</v>
      </c>
      <c r="O546" s="3">
        <v>3075979884</v>
      </c>
      <c r="P546" s="3">
        <v>2467392074</v>
      </c>
      <c r="Q546" s="3" t="s">
        <v>2647</v>
      </c>
      <c r="S546" s="3" t="s">
        <v>3417</v>
      </c>
      <c r="T546" s="3" t="s">
        <v>12656</v>
      </c>
      <c r="U546" s="3" t="s">
        <v>62</v>
      </c>
      <c r="V546" s="3" t="s">
        <v>17087</v>
      </c>
      <c r="W546" s="3" t="s">
        <v>2576</v>
      </c>
      <c r="X546" s="3" t="s">
        <v>2980</v>
      </c>
      <c r="Y546" s="3" t="s">
        <v>12658</v>
      </c>
      <c r="AA546" s="3" t="s">
        <v>2544</v>
      </c>
      <c r="AB546" s="3" t="s">
        <v>2545</v>
      </c>
      <c r="AC546" s="3" t="s">
        <v>17088</v>
      </c>
      <c r="AD546" s="3">
        <v>619</v>
      </c>
      <c r="AE546" s="3"/>
      <c r="AF546" s="3" t="s">
        <v>11948</v>
      </c>
      <c r="AG546" s="3" t="s">
        <v>17089</v>
      </c>
      <c r="AH546" s="3" t="s">
        <v>3149</v>
      </c>
      <c r="AI546" s="3" t="s">
        <v>407</v>
      </c>
      <c r="AJ546" s="3" t="s">
        <v>2569</v>
      </c>
      <c r="AK546" s="3" t="s">
        <v>12661</v>
      </c>
      <c r="AL546" s="3" t="s">
        <v>2550</v>
      </c>
      <c r="AM546" s="3">
        <v>5</v>
      </c>
      <c r="AP546" s="7" t="s">
        <v>17090</v>
      </c>
      <c r="AQ546" s="7" t="s">
        <v>17090</v>
      </c>
      <c r="AS546" s="7" t="s">
        <v>17091</v>
      </c>
    </row>
    <row r="547" spans="1:45" ht="12.5" hidden="1" x14ac:dyDescent="0.25">
      <c r="A547" s="3" t="s">
        <v>12652</v>
      </c>
      <c r="B547" s="21" t="str">
        <f>HYPERLINK("https://gerandofalcoes.my.salesforce.com/0014P00003SGWPuQAP", "0014P00003SGWPuQAP")</f>
        <v>0014P00003SGWPuQAP</v>
      </c>
      <c r="C547" s="3" t="s">
        <v>1315</v>
      </c>
      <c r="D547" s="3" t="s">
        <v>152</v>
      </c>
      <c r="E547" s="21" t="str">
        <f>HYPERLINK("https://gerandofalcoes.my.salesforce.com/0034P000043fPDm", "0034P000043fPDm")</f>
        <v>0034P000043fPDm</v>
      </c>
      <c r="F547" s="3" t="s">
        <v>2678</v>
      </c>
      <c r="G547" s="3" t="s">
        <v>3183</v>
      </c>
      <c r="H547" s="3" t="s">
        <v>2538</v>
      </c>
      <c r="I547" s="3" t="s">
        <v>2618</v>
      </c>
      <c r="J547" s="3">
        <v>364</v>
      </c>
      <c r="K547" s="3" t="s">
        <v>17092</v>
      </c>
      <c r="L547" s="3" t="s">
        <v>11959</v>
      </c>
      <c r="M547" s="6">
        <v>34529</v>
      </c>
      <c r="N547" s="3">
        <v>28</v>
      </c>
      <c r="O547" s="3">
        <v>2008010290229</v>
      </c>
      <c r="P547" s="3">
        <v>5651872361</v>
      </c>
      <c r="Q547" s="3"/>
      <c r="R547" s="3" t="s">
        <v>3185</v>
      </c>
      <c r="S547" s="3" t="s">
        <v>2998</v>
      </c>
      <c r="T547" s="3" t="s">
        <v>12723</v>
      </c>
      <c r="U547" s="3" t="s">
        <v>120</v>
      </c>
      <c r="V547" s="3" t="s">
        <v>17093</v>
      </c>
      <c r="W547" s="3" t="s">
        <v>2541</v>
      </c>
      <c r="X547" s="3" t="s">
        <v>2980</v>
      </c>
      <c r="Y547" s="3" t="s">
        <v>12684</v>
      </c>
      <c r="AA547" s="3" t="s">
        <v>2544</v>
      </c>
      <c r="AB547" s="3" t="s">
        <v>2545</v>
      </c>
      <c r="AC547" s="3" t="s">
        <v>1320</v>
      </c>
      <c r="AD547" s="3">
        <v>17</v>
      </c>
      <c r="AF547" s="3" t="s">
        <v>4285</v>
      </c>
      <c r="AG547" s="3" t="s">
        <v>1321</v>
      </c>
      <c r="AH547" s="3" t="s">
        <v>3186</v>
      </c>
      <c r="AI547" s="3" t="s">
        <v>468</v>
      </c>
      <c r="AJ547" s="3" t="s">
        <v>2569</v>
      </c>
      <c r="AK547" s="3" t="s">
        <v>12661</v>
      </c>
      <c r="AL547" s="3" t="s">
        <v>2550</v>
      </c>
      <c r="AM547" s="3">
        <v>2</v>
      </c>
      <c r="AP547" s="7" t="s">
        <v>17094</v>
      </c>
      <c r="AQ547" s="7" t="s">
        <v>17095</v>
      </c>
      <c r="AS547" s="7" t="s">
        <v>17096</v>
      </c>
    </row>
    <row r="548" spans="1:45" ht="12.5" hidden="1" x14ac:dyDescent="0.25">
      <c r="A548" s="3" t="s">
        <v>12652</v>
      </c>
      <c r="B548" s="21" t="str">
        <f>HYPERLINK("https://gerandofalcoes.my.salesforce.com/0014P00003SGWPvQAP", "0014P00003SGWPvQAP")</f>
        <v>0014P00003SGWPvQAP</v>
      </c>
      <c r="C548" s="3" t="s">
        <v>1331</v>
      </c>
      <c r="D548" s="3" t="s">
        <v>46</v>
      </c>
      <c r="E548" s="21" t="str">
        <f>HYPERLINK("https://gerandofalcoes.my.salesforce.com/0034P000043fOny", "0034P000043fOny")</f>
        <v>0034P000043fOny</v>
      </c>
      <c r="F548" s="3" t="s">
        <v>3201</v>
      </c>
      <c r="G548" s="3" t="s">
        <v>3202</v>
      </c>
      <c r="H548" s="3" t="s">
        <v>2538</v>
      </c>
      <c r="I548" s="3" t="s">
        <v>2618</v>
      </c>
      <c r="J548" s="3">
        <v>364</v>
      </c>
      <c r="K548" s="3" t="s">
        <v>3203</v>
      </c>
      <c r="L548" s="3" t="s">
        <v>1336</v>
      </c>
      <c r="M548" s="6">
        <v>24169</v>
      </c>
      <c r="N548" s="3">
        <v>56</v>
      </c>
      <c r="O548" s="3">
        <v>12844307</v>
      </c>
      <c r="P548" s="3">
        <v>82305455615</v>
      </c>
      <c r="R548" s="3"/>
      <c r="S548" s="3" t="s">
        <v>3417</v>
      </c>
      <c r="T548" s="3" t="s">
        <v>12723</v>
      </c>
      <c r="U548" s="3" t="s">
        <v>62</v>
      </c>
      <c r="V548" s="3" t="s">
        <v>17097</v>
      </c>
      <c r="W548" s="3" t="s">
        <v>2541</v>
      </c>
      <c r="X548" s="3" t="s">
        <v>2980</v>
      </c>
      <c r="Y548" s="3" t="s">
        <v>12684</v>
      </c>
      <c r="AA548" s="3"/>
      <c r="AB548" s="3"/>
      <c r="AC548" s="3" t="s">
        <v>11970</v>
      </c>
      <c r="AD548" s="3">
        <v>208</v>
      </c>
      <c r="AF548" s="3" t="s">
        <v>1339</v>
      </c>
      <c r="AG548" s="3" t="s">
        <v>17098</v>
      </c>
      <c r="AH548" s="3" t="s">
        <v>3205</v>
      </c>
      <c r="AI548" s="3" t="s">
        <v>84</v>
      </c>
      <c r="AJ548" s="3" t="s">
        <v>2569</v>
      </c>
      <c r="AK548" s="3" t="s">
        <v>3249</v>
      </c>
      <c r="AL548" s="3" t="s">
        <v>2550</v>
      </c>
      <c r="AM548" s="3">
        <v>2</v>
      </c>
      <c r="AO548" s="3" t="s">
        <v>16274</v>
      </c>
      <c r="AP548" s="7" t="s">
        <v>17099</v>
      </c>
      <c r="AQ548" s="7" t="s">
        <v>17099</v>
      </c>
      <c r="AS548" s="7" t="s">
        <v>17100</v>
      </c>
    </row>
    <row r="549" spans="1:45" ht="12.5" hidden="1" x14ac:dyDescent="0.25">
      <c r="A549" s="3" t="s">
        <v>12652</v>
      </c>
      <c r="B549" s="21" t="str">
        <f>HYPERLINK("https://gerandofalcoes.my.salesforce.com/0014P00003SGWPxQAP", "0014P00003SGWPxQAP")</f>
        <v>0014P00003SGWPxQAP</v>
      </c>
      <c r="C549" s="3" t="s">
        <v>1293</v>
      </c>
      <c r="D549" s="3" t="s">
        <v>46</v>
      </c>
      <c r="E549" s="21" t="str">
        <f>HYPERLINK("https://gerandofalcoes.my.salesforce.com/0034P000043fOo0", "0034P000043fOo0")</f>
        <v>0034P000043fOo0</v>
      </c>
      <c r="F549" s="3" t="s">
        <v>3219</v>
      </c>
      <c r="G549" s="3" t="s">
        <v>17101</v>
      </c>
      <c r="H549" s="3" t="s">
        <v>2538</v>
      </c>
      <c r="I549" s="3" t="s">
        <v>2618</v>
      </c>
      <c r="J549" s="3">
        <v>364</v>
      </c>
      <c r="K549" s="3" t="s">
        <v>3221</v>
      </c>
      <c r="L549" s="3" t="s">
        <v>11983</v>
      </c>
      <c r="M549" s="6">
        <v>31338</v>
      </c>
      <c r="N549" s="3">
        <v>37</v>
      </c>
      <c r="O549" s="3">
        <v>442847117</v>
      </c>
      <c r="P549" s="3">
        <v>33387682816</v>
      </c>
      <c r="Q549" s="3" t="s">
        <v>3223</v>
      </c>
      <c r="S549" s="3" t="s">
        <v>3269</v>
      </c>
      <c r="T549" s="3" t="s">
        <v>12656</v>
      </c>
      <c r="U549" s="3" t="s">
        <v>62</v>
      </c>
      <c r="V549" s="3" t="s">
        <v>17102</v>
      </c>
      <c r="W549" s="3" t="s">
        <v>2541</v>
      </c>
      <c r="X549" s="3" t="s">
        <v>2980</v>
      </c>
      <c r="Y549" s="3" t="s">
        <v>12670</v>
      </c>
      <c r="AA549" s="3" t="s">
        <v>2577</v>
      </c>
      <c r="AB549" s="3" t="s">
        <v>2545</v>
      </c>
      <c r="AC549" s="3" t="s">
        <v>17103</v>
      </c>
      <c r="AD549" s="3">
        <v>61</v>
      </c>
      <c r="AE549" s="3" t="s">
        <v>17104</v>
      </c>
      <c r="AF549" s="3" t="s">
        <v>128</v>
      </c>
      <c r="AG549" s="3" t="s">
        <v>11225</v>
      </c>
      <c r="AH549" s="3" t="s">
        <v>3226</v>
      </c>
      <c r="AI549" s="3" t="s">
        <v>101</v>
      </c>
      <c r="AJ549" s="3" t="s">
        <v>2741</v>
      </c>
      <c r="AK549" s="3" t="s">
        <v>12729</v>
      </c>
      <c r="AL549" s="3" t="s">
        <v>2550</v>
      </c>
      <c r="AM549" s="3">
        <v>1</v>
      </c>
      <c r="AO549" s="3"/>
      <c r="AP549" s="7" t="s">
        <v>17105</v>
      </c>
      <c r="AQ549" s="7" t="s">
        <v>17106</v>
      </c>
      <c r="AS549" s="7" t="s">
        <v>17107</v>
      </c>
    </row>
    <row r="550" spans="1:45" ht="12.5" hidden="1" x14ac:dyDescent="0.25">
      <c r="A550" s="3" t="s">
        <v>12652</v>
      </c>
      <c r="B550" s="21" t="str">
        <f>HYPERLINK("https://gerandofalcoes.my.salesforce.com/0014P00003SGWPzQAP", "0014P00003SGWPzQAP")</f>
        <v>0014P00003SGWPzQAP</v>
      </c>
      <c r="C550" s="3" t="s">
        <v>1400</v>
      </c>
      <c r="D550" s="3" t="s">
        <v>46</v>
      </c>
      <c r="E550" s="21" t="str">
        <f>HYPERLINK("https://gerandofalcoes.my.salesforce.com/0034P000043fOo2", "0034P000043fOo2")</f>
        <v>0034P000043fOo2</v>
      </c>
      <c r="F550" s="3" t="s">
        <v>3230</v>
      </c>
      <c r="G550" s="3" t="s">
        <v>3231</v>
      </c>
      <c r="H550" s="3" t="s">
        <v>12704</v>
      </c>
      <c r="I550" s="3" t="s">
        <v>2618</v>
      </c>
      <c r="J550" s="3">
        <v>364</v>
      </c>
      <c r="K550" s="3" t="s">
        <v>1404</v>
      </c>
      <c r="L550" s="3" t="s">
        <v>11994</v>
      </c>
      <c r="M550" s="8">
        <v>31497</v>
      </c>
      <c r="N550" s="3">
        <v>36</v>
      </c>
      <c r="O550" s="3">
        <v>11426302</v>
      </c>
      <c r="P550" s="3">
        <v>6866416639</v>
      </c>
      <c r="Q550" s="3" t="s">
        <v>3233</v>
      </c>
      <c r="R550" s="3" t="s">
        <v>2910</v>
      </c>
      <c r="S550" s="3" t="s">
        <v>12864</v>
      </c>
      <c r="T550" s="3" t="s">
        <v>12682</v>
      </c>
      <c r="U550" s="3" t="s">
        <v>62</v>
      </c>
      <c r="V550" s="3" t="s">
        <v>17108</v>
      </c>
      <c r="W550" s="3" t="s">
        <v>2541</v>
      </c>
      <c r="X550" s="3" t="s">
        <v>2980</v>
      </c>
      <c r="Y550" s="3" t="s">
        <v>12670</v>
      </c>
      <c r="AA550" s="3" t="s">
        <v>2577</v>
      </c>
      <c r="AB550" s="3" t="s">
        <v>2545</v>
      </c>
      <c r="AC550" s="3" t="s">
        <v>1406</v>
      </c>
      <c r="AD550" s="3">
        <v>33</v>
      </c>
      <c r="AE550" s="3" t="s">
        <v>3236</v>
      </c>
      <c r="AF550" s="3" t="s">
        <v>11995</v>
      </c>
      <c r="AG550" s="3" t="s">
        <v>1407</v>
      </c>
      <c r="AH550" s="3" t="s">
        <v>11996</v>
      </c>
      <c r="AI550" s="3" t="s">
        <v>84</v>
      </c>
      <c r="AJ550" s="3" t="s">
        <v>2569</v>
      </c>
      <c r="AK550" s="3" t="s">
        <v>12729</v>
      </c>
      <c r="AL550" s="3" t="s">
        <v>2550</v>
      </c>
      <c r="AM550" s="3">
        <v>1</v>
      </c>
      <c r="AO550" s="3" t="s">
        <v>12698</v>
      </c>
      <c r="AP550" s="7" t="s">
        <v>17109</v>
      </c>
      <c r="AQ550" s="3" t="s">
        <v>17110</v>
      </c>
      <c r="AS550" s="7" t="s">
        <v>17111</v>
      </c>
    </row>
    <row r="551" spans="1:45" ht="12.5" hidden="1" x14ac:dyDescent="0.25">
      <c r="A551" s="3" t="s">
        <v>12652</v>
      </c>
      <c r="B551" s="21" t="str">
        <f>HYPERLINK("https://gerandofalcoes.my.salesforce.com/0014P00003SGWQ0QAP", "0014P00003SGWQ0QAP")</f>
        <v>0014P00003SGWQ0QAP</v>
      </c>
      <c r="C551" s="3" t="s">
        <v>1425</v>
      </c>
      <c r="D551" s="3" t="s">
        <v>46</v>
      </c>
      <c r="E551" s="21" t="str">
        <f>HYPERLINK("https://gerandofalcoes.my.salesforce.com/0034P000043fPDn", "0034P000043fPDn")</f>
        <v>0034P000043fPDn</v>
      </c>
      <c r="F551" s="3" t="s">
        <v>3190</v>
      </c>
      <c r="G551" s="3" t="s">
        <v>3191</v>
      </c>
      <c r="H551" s="3" t="s">
        <v>2538</v>
      </c>
      <c r="I551" s="3" t="s">
        <v>2618</v>
      </c>
      <c r="J551" s="3">
        <v>364</v>
      </c>
      <c r="K551" s="3" t="s">
        <v>3192</v>
      </c>
      <c r="L551" s="3" t="s">
        <v>12010</v>
      </c>
      <c r="M551" s="6">
        <v>23767</v>
      </c>
      <c r="N551" s="3">
        <v>57</v>
      </c>
      <c r="O551" s="3">
        <v>3994120</v>
      </c>
      <c r="P551" s="3">
        <v>57707464672</v>
      </c>
      <c r="Q551" s="3" t="s">
        <v>3194</v>
      </c>
      <c r="R551" s="3" t="s">
        <v>3195</v>
      </c>
      <c r="S551" s="3" t="s">
        <v>2998</v>
      </c>
      <c r="T551" s="3" t="s">
        <v>12656</v>
      </c>
      <c r="U551" s="3" t="s">
        <v>62</v>
      </c>
      <c r="V551" s="3" t="s">
        <v>17112</v>
      </c>
      <c r="W551" s="3" t="s">
        <v>2541</v>
      </c>
      <c r="X551" s="3" t="s">
        <v>2980</v>
      </c>
      <c r="Y551" s="3" t="s">
        <v>12670</v>
      </c>
      <c r="AA551" s="3" t="s">
        <v>2577</v>
      </c>
      <c r="AB551" s="3" t="s">
        <v>2543</v>
      </c>
      <c r="AC551" s="3" t="s">
        <v>17113</v>
      </c>
      <c r="AD551" s="3">
        <v>448</v>
      </c>
      <c r="AE551" s="3" t="s">
        <v>10938</v>
      </c>
      <c r="AF551" s="3" t="s">
        <v>266</v>
      </c>
      <c r="AG551" s="3" t="s">
        <v>17114</v>
      </c>
      <c r="AH551" s="3" t="s">
        <v>3197</v>
      </c>
      <c r="AI551" s="3" t="s">
        <v>84</v>
      </c>
      <c r="AJ551" s="3" t="s">
        <v>2741</v>
      </c>
      <c r="AK551" s="3" t="s">
        <v>12661</v>
      </c>
      <c r="AL551" s="3" t="s">
        <v>2588</v>
      </c>
      <c r="AM551" s="3">
        <v>5</v>
      </c>
      <c r="AO551" s="3"/>
      <c r="AP551" s="7" t="s">
        <v>17115</v>
      </c>
      <c r="AQ551" s="7" t="s">
        <v>17116</v>
      </c>
      <c r="AS551" s="7" t="s">
        <v>17117</v>
      </c>
    </row>
    <row r="552" spans="1:45" ht="12.5" hidden="1" x14ac:dyDescent="0.25">
      <c r="A552" s="3" t="s">
        <v>12652</v>
      </c>
      <c r="B552" s="21" t="str">
        <f>HYPERLINK("https://gerandofalcoes.my.salesforce.com/0014P00003SGWQ1QAP", "0014P00003SGWQ1QAP")</f>
        <v>0014P00003SGWQ1QAP</v>
      </c>
      <c r="C552" s="3" t="s">
        <v>1451</v>
      </c>
      <c r="D552" s="3" t="s">
        <v>46</v>
      </c>
      <c r="E552" s="21" t="str">
        <f>HYPERLINK("https://gerandofalcoes.my.salesforce.com/0034P000043fOo3", "0034P000043fOo3")</f>
        <v>0034P000043fOo3</v>
      </c>
      <c r="F552" s="3" t="s">
        <v>3172</v>
      </c>
      <c r="G552" s="3" t="s">
        <v>3173</v>
      </c>
      <c r="H552" s="3" t="s">
        <v>2538</v>
      </c>
      <c r="I552" s="3" t="s">
        <v>2618</v>
      </c>
      <c r="J552" s="3">
        <v>364</v>
      </c>
      <c r="K552" s="3" t="s">
        <v>17118</v>
      </c>
      <c r="L552" s="3" t="s">
        <v>12025</v>
      </c>
      <c r="M552" s="6">
        <v>34220</v>
      </c>
      <c r="N552" s="3">
        <v>29</v>
      </c>
      <c r="O552" s="3">
        <v>17303714</v>
      </c>
      <c r="P552" s="3">
        <v>10771877692</v>
      </c>
      <c r="Q552" s="3" t="s">
        <v>3176</v>
      </c>
      <c r="R552" s="3" t="s">
        <v>3177</v>
      </c>
      <c r="S552" s="3" t="s">
        <v>3269</v>
      </c>
      <c r="T552" s="3" t="s">
        <v>12656</v>
      </c>
      <c r="U552" s="3" t="s">
        <v>62</v>
      </c>
      <c r="V552" s="3" t="s">
        <v>17119</v>
      </c>
      <c r="W552" s="3" t="s">
        <v>2541</v>
      </c>
      <c r="X552" s="3" t="s">
        <v>2980</v>
      </c>
      <c r="Y552" s="3" t="s">
        <v>12670</v>
      </c>
      <c r="AA552" s="3" t="s">
        <v>2544</v>
      </c>
      <c r="AB552" s="3" t="s">
        <v>2545</v>
      </c>
      <c r="AC552" s="3" t="s">
        <v>17120</v>
      </c>
      <c r="AD552" s="3" t="s">
        <v>1460</v>
      </c>
      <c r="AE552" s="3" t="s">
        <v>17121</v>
      </c>
      <c r="AF552" s="3" t="s">
        <v>1459</v>
      </c>
      <c r="AG552" s="3" t="s">
        <v>1458</v>
      </c>
      <c r="AH552" s="3" t="s">
        <v>17122</v>
      </c>
      <c r="AI552" s="3" t="s">
        <v>84</v>
      </c>
      <c r="AJ552" s="3" t="s">
        <v>2741</v>
      </c>
      <c r="AK552" s="3" t="s">
        <v>3249</v>
      </c>
      <c r="AL552" s="3" t="s">
        <v>2550</v>
      </c>
      <c r="AM552" s="3">
        <v>3</v>
      </c>
      <c r="AO552" s="3" t="s">
        <v>12698</v>
      </c>
      <c r="AP552" s="7" t="s">
        <v>17123</v>
      </c>
      <c r="AQ552" s="7" t="s">
        <v>17124</v>
      </c>
      <c r="AS552" s="7" t="s">
        <v>17125</v>
      </c>
    </row>
    <row r="553" spans="1:45" ht="12.5" hidden="1" x14ac:dyDescent="0.25">
      <c r="A553" s="3" t="s">
        <v>12652</v>
      </c>
      <c r="B553" s="21" t="str">
        <f>HYPERLINK("https://gerandofalcoes.my.salesforce.com/0014P00003SGWQ2QAP", "0014P00003SGWQ2QAP")</f>
        <v>0014P00003SGWQ2QAP</v>
      </c>
      <c r="C553" s="3" t="s">
        <v>1376</v>
      </c>
      <c r="D553" s="3" t="s">
        <v>46</v>
      </c>
      <c r="E553" s="21" t="str">
        <f>HYPERLINK("https://gerandofalcoes.my.salesforce.com/0034P000043fOo4", "0034P000043fOo4")</f>
        <v>0034P000043fOo4</v>
      </c>
      <c r="F553" s="3" t="s">
        <v>3241</v>
      </c>
      <c r="G553" s="3" t="s">
        <v>17126</v>
      </c>
      <c r="H553" s="3" t="s">
        <v>2538</v>
      </c>
      <c r="I553" s="3" t="s">
        <v>2618</v>
      </c>
      <c r="J553" s="3">
        <v>364</v>
      </c>
      <c r="K553" s="3" t="s">
        <v>3243</v>
      </c>
      <c r="L553" s="3" t="s">
        <v>12039</v>
      </c>
      <c r="M553" s="6">
        <v>28664</v>
      </c>
      <c r="N553" s="3">
        <v>44</v>
      </c>
      <c r="O553" s="3">
        <v>1732436</v>
      </c>
      <c r="P553" s="3">
        <v>69866490106</v>
      </c>
      <c r="Q553" s="3" t="s">
        <v>3245</v>
      </c>
      <c r="R553" s="3" t="s">
        <v>3246</v>
      </c>
      <c r="S553" s="3" t="s">
        <v>2998</v>
      </c>
      <c r="T553" s="3" t="s">
        <v>12682</v>
      </c>
      <c r="U553" s="3" t="s">
        <v>120</v>
      </c>
      <c r="V553" s="3" t="s">
        <v>17127</v>
      </c>
      <c r="W553" s="3" t="s">
        <v>2541</v>
      </c>
      <c r="X553" s="3" t="s">
        <v>2980</v>
      </c>
      <c r="Y553" s="3" t="s">
        <v>12658</v>
      </c>
      <c r="AA553" s="3" t="s">
        <v>2544</v>
      </c>
      <c r="AB553" s="3" t="s">
        <v>2545</v>
      </c>
      <c r="AC553" s="3" t="s">
        <v>17128</v>
      </c>
      <c r="AD553" s="3">
        <v>8</v>
      </c>
      <c r="AE553" s="3"/>
      <c r="AF553" s="3" t="s">
        <v>12040</v>
      </c>
      <c r="AG553" s="3" t="s">
        <v>1384</v>
      </c>
      <c r="AH553" s="3" t="s">
        <v>3248</v>
      </c>
      <c r="AI553" s="3" t="s">
        <v>1381</v>
      </c>
      <c r="AJ553" s="3" t="s">
        <v>2569</v>
      </c>
      <c r="AK553" s="3" t="s">
        <v>3249</v>
      </c>
      <c r="AL553" s="3" t="s">
        <v>2579</v>
      </c>
      <c r="AM553" s="3">
        <v>3</v>
      </c>
      <c r="AO553" s="3"/>
      <c r="AP553" s="3" t="s">
        <v>2588</v>
      </c>
      <c r="AQ553" s="7" t="s">
        <v>17129</v>
      </c>
      <c r="AS553" s="7" t="s">
        <v>17130</v>
      </c>
    </row>
    <row r="554" spans="1:45" ht="12.5" hidden="1" x14ac:dyDescent="0.25">
      <c r="A554" s="3" t="s">
        <v>12652</v>
      </c>
      <c r="B554" s="21" t="str">
        <f>HYPERLINK("https://gerandofalcoes.my.salesforce.com/0014P00003SGWQ3QAP", "0014P00003SGWQ3QAP")</f>
        <v>0014P00003SGWQ3QAP</v>
      </c>
      <c r="C554" s="3" t="s">
        <v>1475</v>
      </c>
      <c r="D554" s="3" t="s">
        <v>46</v>
      </c>
      <c r="E554" s="21" t="str">
        <f>HYPERLINK("https://gerandofalcoes.my.salesforce.com/0034P000043fPDo", "0034P000043fPDo")</f>
        <v>0034P000043fPDo</v>
      </c>
      <c r="F554" s="3" t="s">
        <v>2658</v>
      </c>
      <c r="G554" s="3" t="s">
        <v>17131</v>
      </c>
      <c r="H554" s="3" t="s">
        <v>2538</v>
      </c>
      <c r="I554" s="3" t="s">
        <v>2618</v>
      </c>
      <c r="J554" s="3">
        <v>364</v>
      </c>
      <c r="K554" s="3" t="s">
        <v>3574</v>
      </c>
      <c r="L554" s="3" t="s">
        <v>12057</v>
      </c>
      <c r="M554" s="6">
        <v>29171</v>
      </c>
      <c r="N554" s="3">
        <v>43</v>
      </c>
      <c r="O554" s="3">
        <v>367279198</v>
      </c>
      <c r="P554" s="3">
        <v>29000712831</v>
      </c>
      <c r="Q554" s="3"/>
      <c r="R554" s="3"/>
      <c r="S554" s="3" t="s">
        <v>3417</v>
      </c>
      <c r="T554" s="3" t="s">
        <v>12723</v>
      </c>
      <c r="U554" s="3" t="s">
        <v>62</v>
      </c>
      <c r="V554" s="3" t="s">
        <v>17132</v>
      </c>
      <c r="W554" s="3" t="s">
        <v>2541</v>
      </c>
      <c r="X554" s="3" t="s">
        <v>2980</v>
      </c>
      <c r="Y554" s="3" t="s">
        <v>12684</v>
      </c>
      <c r="AA554" s="3"/>
      <c r="AB554" s="3"/>
      <c r="AC554" s="3" t="s">
        <v>17133</v>
      </c>
      <c r="AD554" s="3">
        <v>45</v>
      </c>
      <c r="AE554" s="3" t="s">
        <v>17134</v>
      </c>
      <c r="AF554" s="3" t="s">
        <v>128</v>
      </c>
      <c r="AG554" s="3" t="s">
        <v>17135</v>
      </c>
      <c r="AH554" s="3" t="s">
        <v>3578</v>
      </c>
      <c r="AI554" s="3" t="s">
        <v>101</v>
      </c>
      <c r="AJ554" s="3" t="s">
        <v>2569</v>
      </c>
      <c r="AK554" s="3" t="s">
        <v>12729</v>
      </c>
      <c r="AL554" s="3" t="s">
        <v>2588</v>
      </c>
      <c r="AM554" s="3">
        <v>4</v>
      </c>
      <c r="AP554" s="7" t="s">
        <v>17136</v>
      </c>
      <c r="AQ554" s="7" t="s">
        <v>17137</v>
      </c>
      <c r="AS554" s="7" t="s">
        <v>17138</v>
      </c>
    </row>
    <row r="555" spans="1:45" ht="12.5" hidden="1" x14ac:dyDescent="0.25">
      <c r="A555" s="3" t="s">
        <v>12652</v>
      </c>
      <c r="B555" s="21" t="str">
        <f>HYPERLINK("https://gerandofalcoes.my.salesforce.com/0014P00003SGWQ4QAP", "0014P00003SGWQ4QAP")</f>
        <v>0014P00003SGWQ4QAP</v>
      </c>
      <c r="C555" s="3" t="s">
        <v>1508</v>
      </c>
      <c r="D555" s="3" t="s">
        <v>46</v>
      </c>
      <c r="E555" s="21" t="str">
        <f>HYPERLINK("https://gerandofalcoes.my.salesforce.com/0034P000043fOo5", "0034P000043fOo5")</f>
        <v>0034P000043fOo5</v>
      </c>
      <c r="F555" s="3" t="s">
        <v>3253</v>
      </c>
      <c r="G555" s="3" t="s">
        <v>3254</v>
      </c>
      <c r="H555" s="3" t="s">
        <v>2538</v>
      </c>
      <c r="I555" s="3" t="s">
        <v>2618</v>
      </c>
      <c r="J555" s="3">
        <v>364</v>
      </c>
      <c r="K555" s="3" t="s">
        <v>3255</v>
      </c>
      <c r="L555" s="3" t="s">
        <v>3256</v>
      </c>
      <c r="M555" s="8">
        <v>32655</v>
      </c>
      <c r="N555" s="3">
        <v>33</v>
      </c>
      <c r="O555" s="3">
        <v>13477160</v>
      </c>
      <c r="P555" s="3">
        <v>7977813661</v>
      </c>
      <c r="Q555" s="3" t="s">
        <v>3257</v>
      </c>
      <c r="R555" s="3" t="s">
        <v>3258</v>
      </c>
      <c r="S555" s="3" t="s">
        <v>3137</v>
      </c>
      <c r="T555" s="3" t="s">
        <v>12656</v>
      </c>
      <c r="U555" s="3" t="s">
        <v>120</v>
      </c>
      <c r="V555" s="3" t="s">
        <v>17139</v>
      </c>
      <c r="W555" s="3" t="s">
        <v>2576</v>
      </c>
      <c r="X555" s="3" t="s">
        <v>2980</v>
      </c>
      <c r="Y555" s="3" t="s">
        <v>12670</v>
      </c>
      <c r="AA555" s="3" t="s">
        <v>2577</v>
      </c>
      <c r="AB555" s="3" t="s">
        <v>2543</v>
      </c>
      <c r="AC555" s="3" t="s">
        <v>17140</v>
      </c>
      <c r="AD555" s="3">
        <v>80</v>
      </c>
      <c r="AE555" s="3"/>
      <c r="AF555" s="3" t="s">
        <v>12074</v>
      </c>
      <c r="AG555" s="3" t="s">
        <v>1515</v>
      </c>
      <c r="AH555" s="3" t="s">
        <v>3260</v>
      </c>
      <c r="AI555" s="3" t="s">
        <v>84</v>
      </c>
      <c r="AJ555" s="3" t="s">
        <v>2569</v>
      </c>
      <c r="AK555" s="3" t="s">
        <v>3249</v>
      </c>
      <c r="AL555" s="3" t="s">
        <v>2588</v>
      </c>
      <c r="AM555" s="3">
        <v>3</v>
      </c>
      <c r="AP555" s="7" t="s">
        <v>17141</v>
      </c>
      <c r="AQ555" s="3" t="s">
        <v>17142</v>
      </c>
      <c r="AS555" s="7" t="s">
        <v>17143</v>
      </c>
    </row>
    <row r="556" spans="1:45" ht="12.5" hidden="1" x14ac:dyDescent="0.25">
      <c r="A556" s="3" t="s">
        <v>12652</v>
      </c>
      <c r="B556" s="21" t="str">
        <f>HYPERLINK("https://gerandofalcoes.my.salesforce.com/0014P00003SGWQ7QAP", "0014P00003SGWQ7QAP")</f>
        <v>0014P00003SGWQ7QAP</v>
      </c>
      <c r="C556" s="3" t="s">
        <v>1555</v>
      </c>
      <c r="D556" s="3" t="s">
        <v>152</v>
      </c>
      <c r="E556" s="21" t="str">
        <f>HYPERLINK("https://gerandofalcoes.my.salesforce.com/0034P000043fOo8", "0034P000043fOo8")</f>
        <v>0034P000043fOo8</v>
      </c>
      <c r="F556" s="3" t="s">
        <v>3272</v>
      </c>
      <c r="G556" s="3" t="s">
        <v>17144</v>
      </c>
      <c r="H556" s="3" t="s">
        <v>2538</v>
      </c>
      <c r="I556" s="3" t="s">
        <v>2618</v>
      </c>
      <c r="J556" s="3">
        <v>364</v>
      </c>
      <c r="K556" s="3" t="s">
        <v>3274</v>
      </c>
      <c r="L556" s="3" t="s">
        <v>3275</v>
      </c>
      <c r="M556" s="6">
        <v>28614</v>
      </c>
      <c r="N556" s="3">
        <v>44</v>
      </c>
      <c r="O556" s="3">
        <v>4727447</v>
      </c>
      <c r="P556" s="3">
        <v>3204870405</v>
      </c>
      <c r="Q556" s="3" t="s">
        <v>3276</v>
      </c>
      <c r="R556" s="3" t="s">
        <v>2978</v>
      </c>
      <c r="S556" s="3" t="s">
        <v>2998</v>
      </c>
      <c r="T556" s="3" t="s">
        <v>12682</v>
      </c>
      <c r="U556" s="3" t="s">
        <v>62</v>
      </c>
      <c r="V556" s="3" t="s">
        <v>17145</v>
      </c>
      <c r="W556" s="3" t="s">
        <v>2541</v>
      </c>
      <c r="X556" s="3" t="s">
        <v>2980</v>
      </c>
      <c r="Y556" s="3" t="s">
        <v>12670</v>
      </c>
      <c r="AA556" s="3" t="s">
        <v>2577</v>
      </c>
      <c r="AB556" s="3" t="s">
        <v>2543</v>
      </c>
      <c r="AC556" s="3" t="s">
        <v>1560</v>
      </c>
      <c r="AD556" s="3">
        <v>83</v>
      </c>
      <c r="AE556" s="3" t="s">
        <v>17146</v>
      </c>
      <c r="AF556" s="3" t="s">
        <v>1562</v>
      </c>
      <c r="AG556" s="3" t="s">
        <v>1561</v>
      </c>
      <c r="AH556" s="3" t="s">
        <v>3279</v>
      </c>
      <c r="AI556" s="3" t="s">
        <v>379</v>
      </c>
      <c r="AJ556" s="3" t="s">
        <v>2569</v>
      </c>
      <c r="AK556" s="3" t="s">
        <v>12674</v>
      </c>
      <c r="AL556" s="3" t="s">
        <v>2588</v>
      </c>
      <c r="AM556" s="3">
        <v>2</v>
      </c>
      <c r="AP556" s="7" t="s">
        <v>17147</v>
      </c>
      <c r="AQ556" s="3" t="s">
        <v>17148</v>
      </c>
      <c r="AS556" s="7" t="s">
        <v>17149</v>
      </c>
    </row>
    <row r="557" spans="1:45" ht="12.5" hidden="1" x14ac:dyDescent="0.25">
      <c r="A557" s="3" t="s">
        <v>12652</v>
      </c>
      <c r="B557" s="21" t="str">
        <f>HYPERLINK("https://gerandofalcoes.my.salesforce.com/0014P00003SGWQ8QAP", "0014P00003SGWQ8QAP")</f>
        <v>0014P00003SGWQ8QAP</v>
      </c>
      <c r="C557" s="3" t="s">
        <v>1497</v>
      </c>
      <c r="D557" s="3" t="s">
        <v>46</v>
      </c>
      <c r="E557" s="21" t="str">
        <f>HYPERLINK("https://gerandofalcoes.my.salesforce.com/0034P000043fOo9", "0034P000043fOo9")</f>
        <v>0034P000043fOo9</v>
      </c>
      <c r="F557" s="3" t="s">
        <v>3283</v>
      </c>
      <c r="G557" s="3" t="s">
        <v>17150</v>
      </c>
      <c r="H557" s="3" t="s">
        <v>2538</v>
      </c>
      <c r="I557" s="3" t="s">
        <v>2618</v>
      </c>
      <c r="J557" s="3">
        <v>364</v>
      </c>
      <c r="K557" s="3" t="s">
        <v>3285</v>
      </c>
      <c r="L557" s="3" t="s">
        <v>12095</v>
      </c>
      <c r="M557" s="6">
        <v>30314</v>
      </c>
      <c r="N557" s="3">
        <v>40</v>
      </c>
      <c r="O557" s="3">
        <v>8092080</v>
      </c>
      <c r="P557" s="3">
        <v>5349952684</v>
      </c>
      <c r="Q557" s="3" t="s">
        <v>3287</v>
      </c>
      <c r="R557" s="3" t="s">
        <v>3288</v>
      </c>
      <c r="S557" s="3" t="s">
        <v>2998</v>
      </c>
      <c r="T557" s="3" t="s">
        <v>12656</v>
      </c>
      <c r="U557" s="3" t="s">
        <v>120</v>
      </c>
      <c r="V557" s="3" t="s">
        <v>17151</v>
      </c>
      <c r="W557" s="3" t="s">
        <v>2576</v>
      </c>
      <c r="X557" s="3" t="s">
        <v>2980</v>
      </c>
      <c r="Y557" s="3" t="s">
        <v>12670</v>
      </c>
      <c r="AA557" s="3" t="s">
        <v>2577</v>
      </c>
      <c r="AB557" s="3" t="s">
        <v>2545</v>
      </c>
      <c r="AC557" s="3" t="s">
        <v>17152</v>
      </c>
      <c r="AD557" s="3">
        <v>117</v>
      </c>
      <c r="AE557" s="3" t="s">
        <v>17153</v>
      </c>
      <c r="AF557" s="3" t="s">
        <v>12096</v>
      </c>
      <c r="AG557" s="3" t="s">
        <v>17154</v>
      </c>
      <c r="AH557" s="3" t="s">
        <v>3290</v>
      </c>
      <c r="AI557" s="3" t="s">
        <v>84</v>
      </c>
      <c r="AJ557" s="3" t="s">
        <v>2741</v>
      </c>
      <c r="AK557" s="3" t="s">
        <v>17155</v>
      </c>
      <c r="AL557" s="3" t="s">
        <v>2579</v>
      </c>
      <c r="AM557" s="3">
        <v>4</v>
      </c>
      <c r="AP557" s="7" t="s">
        <v>17156</v>
      </c>
      <c r="AQ557" s="7" t="s">
        <v>17157</v>
      </c>
      <c r="AS557" s="7" t="s">
        <v>17158</v>
      </c>
    </row>
    <row r="558" spans="1:45" ht="12.5" hidden="1" x14ac:dyDescent="0.25">
      <c r="A558" s="3" t="s">
        <v>12652</v>
      </c>
      <c r="B558" s="21" t="str">
        <f>HYPERLINK("https://gerandofalcoes.my.salesforce.com/0014P00003SGWQ9QAP", "0014P00003SGWQ9QAP")</f>
        <v>0014P00003SGWQ9QAP</v>
      </c>
      <c r="C558" s="3" t="s">
        <v>1572</v>
      </c>
      <c r="D558" s="3" t="s">
        <v>46</v>
      </c>
      <c r="E558" s="21" t="str">
        <f>HYPERLINK("https://gerandofalcoes.my.salesforce.com/0034P000043fOoA", "0034P000043fOoA")</f>
        <v>0034P000043fOoA</v>
      </c>
      <c r="F558" s="3" t="s">
        <v>3294</v>
      </c>
      <c r="G558" s="3" t="s">
        <v>3295</v>
      </c>
      <c r="H558" s="3" t="s">
        <v>2538</v>
      </c>
      <c r="I558" s="3" t="s">
        <v>2618</v>
      </c>
      <c r="J558" s="3">
        <v>364</v>
      </c>
      <c r="K558" s="3" t="s">
        <v>17159</v>
      </c>
      <c r="L558" s="3" t="s">
        <v>3297</v>
      </c>
      <c r="M558" s="8">
        <v>30168</v>
      </c>
      <c r="N558" s="3">
        <v>40</v>
      </c>
      <c r="O558" s="3">
        <v>589540415</v>
      </c>
      <c r="P558" s="3">
        <v>5228039627</v>
      </c>
      <c r="Q558" s="3" t="s">
        <v>3298</v>
      </c>
      <c r="R558" s="3" t="s">
        <v>3299</v>
      </c>
      <c r="S558" s="3" t="s">
        <v>2998</v>
      </c>
      <c r="T558" s="3" t="s">
        <v>12656</v>
      </c>
      <c r="U558" s="3" t="s">
        <v>120</v>
      </c>
      <c r="V558" s="3" t="s">
        <v>17160</v>
      </c>
      <c r="W558" s="3" t="s">
        <v>2576</v>
      </c>
      <c r="X558" s="3" t="s">
        <v>2980</v>
      </c>
      <c r="Y558" s="3" t="s">
        <v>12670</v>
      </c>
      <c r="AA558" s="3" t="s">
        <v>2577</v>
      </c>
      <c r="AB558" s="3" t="s">
        <v>2545</v>
      </c>
      <c r="AC558" s="3" t="s">
        <v>17161</v>
      </c>
      <c r="AD558" s="3">
        <v>225</v>
      </c>
      <c r="AE558" s="3"/>
      <c r="AF558" s="3" t="s">
        <v>7083</v>
      </c>
      <c r="AG558" s="3" t="s">
        <v>17162</v>
      </c>
      <c r="AH558" s="3" t="s">
        <v>3301</v>
      </c>
      <c r="AI558" s="3" t="s">
        <v>101</v>
      </c>
      <c r="AJ558" s="3" t="s">
        <v>2741</v>
      </c>
      <c r="AK558" s="3" t="s">
        <v>15396</v>
      </c>
      <c r="AL558" s="3" t="s">
        <v>2550</v>
      </c>
      <c r="AM558" s="3">
        <v>4</v>
      </c>
      <c r="AP558" s="7" t="s">
        <v>17163</v>
      </c>
      <c r="AQ558" s="7" t="s">
        <v>17164</v>
      </c>
      <c r="AS558" s="7" t="s">
        <v>17165</v>
      </c>
    </row>
    <row r="559" spans="1:45" ht="12.5" hidden="1" x14ac:dyDescent="0.25">
      <c r="A559" s="3" t="s">
        <v>12652</v>
      </c>
      <c r="B559" s="21" t="str">
        <f>HYPERLINK("https://gerandofalcoes.my.salesforce.com/0014P00003SGWQAQA5", "0014P00003SGWQAQA5")</f>
        <v>0014P00003SGWQAQA5</v>
      </c>
      <c r="C559" s="3" t="s">
        <v>1600</v>
      </c>
      <c r="D559" s="3" t="s">
        <v>46</v>
      </c>
      <c r="E559" s="21" t="str">
        <f>HYPERLINK("https://gerandofalcoes.my.salesforce.com/0034P000043fOoB", "0034P000043fOoB")</f>
        <v>0034P000043fOoB</v>
      </c>
      <c r="F559" s="3" t="s">
        <v>3304</v>
      </c>
      <c r="G559" s="3" t="s">
        <v>3305</v>
      </c>
      <c r="H559" s="3" t="s">
        <v>2538</v>
      </c>
      <c r="I559" s="3" t="s">
        <v>2618</v>
      </c>
      <c r="J559" s="3">
        <v>364</v>
      </c>
      <c r="K559" s="3" t="s">
        <v>3306</v>
      </c>
      <c r="L559" s="3" t="s">
        <v>12121</v>
      </c>
      <c r="M559" s="6">
        <v>28073</v>
      </c>
      <c r="N559" s="3">
        <v>46</v>
      </c>
      <c r="O559" s="3">
        <v>101619989</v>
      </c>
      <c r="P559" s="3">
        <v>3864241790</v>
      </c>
      <c r="Q559" s="3" t="s">
        <v>3136</v>
      </c>
      <c r="R559" s="3"/>
      <c r="S559" s="3" t="s">
        <v>2998</v>
      </c>
      <c r="T559" s="3" t="s">
        <v>12656</v>
      </c>
      <c r="U559" s="3" t="s">
        <v>62</v>
      </c>
      <c r="V559" s="3" t="s">
        <v>17166</v>
      </c>
      <c r="W559" s="3" t="s">
        <v>2576</v>
      </c>
      <c r="X559" s="3" t="s">
        <v>2980</v>
      </c>
      <c r="Y559" s="3" t="s">
        <v>12670</v>
      </c>
      <c r="AA559" s="3" t="s">
        <v>2577</v>
      </c>
      <c r="AB559" s="3" t="s">
        <v>2545</v>
      </c>
      <c r="AC559" s="3" t="s">
        <v>17167</v>
      </c>
      <c r="AD559" s="3">
        <v>181</v>
      </c>
      <c r="AF559" s="3" t="s">
        <v>12122</v>
      </c>
      <c r="AG559" s="3" t="s">
        <v>17168</v>
      </c>
      <c r="AH559" s="3" t="s">
        <v>17169</v>
      </c>
      <c r="AI559" s="3" t="s">
        <v>70</v>
      </c>
      <c r="AJ559" s="3" t="s">
        <v>2741</v>
      </c>
      <c r="AK559" s="3" t="s">
        <v>12729</v>
      </c>
      <c r="AL559" s="3" t="s">
        <v>2550</v>
      </c>
      <c r="AM559" s="3">
        <v>3</v>
      </c>
      <c r="AP559" s="7" t="s">
        <v>17170</v>
      </c>
      <c r="AQ559" s="7" t="s">
        <v>17171</v>
      </c>
      <c r="AS559" s="7" t="s">
        <v>17172</v>
      </c>
    </row>
    <row r="560" spans="1:45" ht="12.5" hidden="1" x14ac:dyDescent="0.25">
      <c r="A560" s="3" t="s">
        <v>12652</v>
      </c>
      <c r="B560" s="21" t="str">
        <f>HYPERLINK("https://gerandofalcoes.my.salesforce.com/0014P00003SGWQBQA5", "0014P00003SGWQBQA5")</f>
        <v>0014P00003SGWQBQA5</v>
      </c>
      <c r="C560" s="3" t="s">
        <v>1623</v>
      </c>
      <c r="D560" s="3" t="s">
        <v>46</v>
      </c>
      <c r="E560" s="21" t="str">
        <f>HYPERLINK("https://gerandofalcoes.my.salesforce.com/0034P000043fOoC", "0034P000043fOoC")</f>
        <v>0034P000043fOoC</v>
      </c>
      <c r="F560" s="3" t="s">
        <v>3314</v>
      </c>
      <c r="G560" s="3" t="s">
        <v>3315</v>
      </c>
      <c r="H560" s="3" t="s">
        <v>2538</v>
      </c>
      <c r="I560" s="3" t="s">
        <v>2618</v>
      </c>
      <c r="J560" s="3">
        <v>364</v>
      </c>
      <c r="K560" s="3" t="s">
        <v>3316</v>
      </c>
      <c r="L560" s="3" t="s">
        <v>3317</v>
      </c>
      <c r="M560" s="6">
        <v>27899</v>
      </c>
      <c r="N560" s="3">
        <v>46</v>
      </c>
      <c r="O560" s="3">
        <v>198427948</v>
      </c>
      <c r="P560" s="3">
        <v>63945541387</v>
      </c>
      <c r="Q560" s="3" t="s">
        <v>3318</v>
      </c>
      <c r="R560" s="3" t="s">
        <v>3319</v>
      </c>
      <c r="S560" s="3" t="s">
        <v>3137</v>
      </c>
      <c r="T560" s="3" t="s">
        <v>13599</v>
      </c>
      <c r="U560" s="3" t="s">
        <v>62</v>
      </c>
      <c r="V560" s="3" t="s">
        <v>17173</v>
      </c>
      <c r="W560" s="3" t="s">
        <v>2576</v>
      </c>
      <c r="X560" s="3" t="s">
        <v>2980</v>
      </c>
      <c r="Y560" s="3" t="s">
        <v>12670</v>
      </c>
      <c r="AA560" s="3" t="s">
        <v>2577</v>
      </c>
      <c r="AB560" s="3" t="s">
        <v>2545</v>
      </c>
      <c r="AC560" s="3" t="s">
        <v>17174</v>
      </c>
      <c r="AD560" s="3">
        <v>14</v>
      </c>
      <c r="AF560" s="3" t="s">
        <v>3780</v>
      </c>
      <c r="AG560" s="3" t="s">
        <v>17175</v>
      </c>
      <c r="AH560" s="3" t="s">
        <v>3322</v>
      </c>
      <c r="AI560" s="3" t="s">
        <v>246</v>
      </c>
      <c r="AJ560" s="3" t="s">
        <v>2569</v>
      </c>
      <c r="AK560" s="3" t="s">
        <v>16567</v>
      </c>
      <c r="AL560" s="3" t="s">
        <v>2550</v>
      </c>
      <c r="AM560" s="3">
        <v>3</v>
      </c>
      <c r="AP560" s="7" t="s">
        <v>12139</v>
      </c>
      <c r="AQ560" s="3" t="s">
        <v>17176</v>
      </c>
      <c r="AS560" s="7" t="s">
        <v>17177</v>
      </c>
    </row>
    <row r="561" spans="1:45" ht="12.5" hidden="1" x14ac:dyDescent="0.25">
      <c r="A561" s="3" t="s">
        <v>12652</v>
      </c>
      <c r="B561" s="21" t="str">
        <f>HYPERLINK("https://gerandofalcoes.my.salesforce.com/0014P00003SGWQCQA5", "0014P00003SGWQCQA5")</f>
        <v>0014P00003SGWQCQA5</v>
      </c>
      <c r="C561" s="3" t="s">
        <v>1647</v>
      </c>
      <c r="D561" s="3" t="s">
        <v>46</v>
      </c>
      <c r="E561" s="21" t="str">
        <f>HYPERLINK("https://gerandofalcoes.my.salesforce.com/0034P000043fOoD", "0034P000043fOoD")</f>
        <v>0034P000043fOoD</v>
      </c>
      <c r="F561" s="3" t="s">
        <v>3324</v>
      </c>
      <c r="G561" s="3" t="s">
        <v>3325</v>
      </c>
      <c r="H561" s="3" t="s">
        <v>16238</v>
      </c>
      <c r="I561" s="3" t="s">
        <v>2618</v>
      </c>
      <c r="J561" s="3">
        <v>364</v>
      </c>
      <c r="K561" s="3" t="s">
        <v>3326</v>
      </c>
      <c r="L561" s="3" t="s">
        <v>3327</v>
      </c>
      <c r="M561" s="6">
        <v>27160</v>
      </c>
      <c r="N561" s="3">
        <v>48</v>
      </c>
      <c r="O561" s="3">
        <v>6459894</v>
      </c>
      <c r="P561" s="3">
        <v>28930736890</v>
      </c>
      <c r="Q561" s="3" t="s">
        <v>3328</v>
      </c>
      <c r="R561" s="3"/>
      <c r="S561" s="3" t="s">
        <v>3137</v>
      </c>
      <c r="T561" s="3" t="s">
        <v>12723</v>
      </c>
      <c r="U561" s="3" t="s">
        <v>62</v>
      </c>
      <c r="V561" s="3"/>
      <c r="W561" s="3" t="s">
        <v>2541</v>
      </c>
      <c r="X561" s="3" t="s">
        <v>2980</v>
      </c>
      <c r="Y561" s="3"/>
      <c r="AA561" s="3" t="s">
        <v>2544</v>
      </c>
      <c r="AB561" s="3"/>
      <c r="AC561" s="3" t="s">
        <v>3329</v>
      </c>
      <c r="AD561" s="3">
        <v>77</v>
      </c>
      <c r="AF561" s="3" t="s">
        <v>1655</v>
      </c>
      <c r="AG561" s="3" t="s">
        <v>17178</v>
      </c>
      <c r="AH561" s="3" t="s">
        <v>3330</v>
      </c>
      <c r="AI561" s="3" t="s">
        <v>84</v>
      </c>
      <c r="AJ561" s="3" t="s">
        <v>2548</v>
      </c>
      <c r="AK561" s="3" t="s">
        <v>3249</v>
      </c>
      <c r="AL561" s="3" t="s">
        <v>2550</v>
      </c>
      <c r="AM561" s="3">
        <v>4</v>
      </c>
      <c r="AP561" s="7" t="s">
        <v>17179</v>
      </c>
      <c r="AQ561" s="7" t="s">
        <v>17180</v>
      </c>
      <c r="AS561" s="7" t="s">
        <v>17181</v>
      </c>
    </row>
    <row r="562" spans="1:45" ht="12.5" hidden="1" x14ac:dyDescent="0.25">
      <c r="A562" s="3" t="s">
        <v>12652</v>
      </c>
      <c r="B562" s="21" t="str">
        <f>HYPERLINK("https://gerandofalcoes.my.salesforce.com/0014P00003SGWQDQA5", "0014P00003SGWQDQA5")</f>
        <v>0014P00003SGWQDQA5</v>
      </c>
      <c r="C562" s="3" t="s">
        <v>1670</v>
      </c>
      <c r="D562" s="3" t="s">
        <v>152</v>
      </c>
      <c r="E562" s="21" t="str">
        <f>HYPERLINK("https://gerandofalcoes.my.salesforce.com/0034P000043fPDp", "0034P000043fPDp")</f>
        <v>0034P000043fPDp</v>
      </c>
      <c r="F562" s="3" t="s">
        <v>3314</v>
      </c>
      <c r="G562" s="3" t="s">
        <v>3582</v>
      </c>
      <c r="H562" s="3" t="s">
        <v>2538</v>
      </c>
      <c r="I562" s="3" t="s">
        <v>2618</v>
      </c>
      <c r="J562" s="3">
        <v>364</v>
      </c>
      <c r="K562" s="3" t="s">
        <v>1674</v>
      </c>
      <c r="L562" s="3" t="s">
        <v>12161</v>
      </c>
      <c r="M562" s="6">
        <v>25033</v>
      </c>
      <c r="N562" s="3">
        <v>54</v>
      </c>
      <c r="O562" s="3">
        <v>158162</v>
      </c>
      <c r="P562" s="3">
        <v>23240695200</v>
      </c>
      <c r="Q562" s="3" t="s">
        <v>3584</v>
      </c>
      <c r="R562" s="3" t="s">
        <v>2978</v>
      </c>
      <c r="S562" s="3" t="s">
        <v>3137</v>
      </c>
      <c r="T562" s="3" t="s">
        <v>12682</v>
      </c>
      <c r="U562" s="3" t="s">
        <v>62</v>
      </c>
      <c r="V562" s="3" t="s">
        <v>17182</v>
      </c>
      <c r="W562" s="3" t="s">
        <v>3586</v>
      </c>
      <c r="X562" s="3" t="s">
        <v>2980</v>
      </c>
      <c r="Y562" s="3" t="s">
        <v>12670</v>
      </c>
      <c r="AA562" s="3" t="s">
        <v>2577</v>
      </c>
      <c r="AB562" s="3" t="s">
        <v>2543</v>
      </c>
      <c r="AC562" s="3" t="s">
        <v>17183</v>
      </c>
      <c r="AD562" s="3">
        <v>546</v>
      </c>
      <c r="AE562" s="3" t="s">
        <v>5157</v>
      </c>
      <c r="AF562" s="3" t="s">
        <v>1679</v>
      </c>
      <c r="AG562" s="3" t="s">
        <v>1678</v>
      </c>
      <c r="AH562" s="3" t="s">
        <v>3588</v>
      </c>
      <c r="AI562" s="3" t="s">
        <v>1676</v>
      </c>
      <c r="AJ562" s="3" t="s">
        <v>2741</v>
      </c>
      <c r="AK562" s="3" t="s">
        <v>12674</v>
      </c>
      <c r="AL562" s="3" t="s">
        <v>2550</v>
      </c>
      <c r="AM562" s="3">
        <v>5</v>
      </c>
      <c r="AP562" s="3" t="s">
        <v>5157</v>
      </c>
      <c r="AQ562" s="7" t="s">
        <v>17184</v>
      </c>
      <c r="AS562" s="7" t="s">
        <v>17185</v>
      </c>
    </row>
    <row r="563" spans="1:45" ht="12.5" hidden="1" x14ac:dyDescent="0.25">
      <c r="A563" s="3" t="s">
        <v>12652</v>
      </c>
      <c r="B563" s="21" t="str">
        <f>HYPERLINK("https://gerandofalcoes.my.salesforce.com/0014P00003SGWQFQA5", "0014P00003SGWQFQA5")</f>
        <v>0014P00003SGWQFQA5</v>
      </c>
      <c r="C563" s="3" t="s">
        <v>12178</v>
      </c>
      <c r="D563" s="3" t="s">
        <v>46</v>
      </c>
      <c r="E563" s="21" t="str">
        <f>HYPERLINK("https://gerandofalcoes.my.salesforce.com/0034P000043fOoF", "0034P000043fOoF")</f>
        <v>0034P000043fOoF</v>
      </c>
      <c r="F563" s="3" t="s">
        <v>3334</v>
      </c>
      <c r="G563" s="3" t="s">
        <v>3335</v>
      </c>
      <c r="H563" s="3" t="s">
        <v>2538</v>
      </c>
      <c r="I563" s="3" t="s">
        <v>2618</v>
      </c>
      <c r="J563" s="3">
        <v>364</v>
      </c>
      <c r="K563" s="3" t="s">
        <v>3336</v>
      </c>
      <c r="L563" s="3" t="s">
        <v>3337</v>
      </c>
      <c r="M563" s="6">
        <v>31623</v>
      </c>
      <c r="N563" s="3">
        <v>36</v>
      </c>
      <c r="O563" s="3">
        <v>116085930</v>
      </c>
      <c r="P563" s="3">
        <v>7753823612</v>
      </c>
      <c r="Q563" s="3" t="s">
        <v>3338</v>
      </c>
      <c r="R563" s="3" t="s">
        <v>3339</v>
      </c>
      <c r="S563" s="3"/>
      <c r="T563" s="3" t="s">
        <v>12723</v>
      </c>
      <c r="U563" s="3" t="s">
        <v>120</v>
      </c>
      <c r="V563" s="3"/>
      <c r="W563" s="3" t="s">
        <v>2576</v>
      </c>
      <c r="X563" s="3" t="s">
        <v>2980</v>
      </c>
      <c r="Y563" s="3"/>
      <c r="AA563" s="3" t="s">
        <v>2544</v>
      </c>
      <c r="AB563" s="3"/>
      <c r="AC563" s="3" t="s">
        <v>3340</v>
      </c>
      <c r="AD563" s="3">
        <v>163</v>
      </c>
      <c r="AE563" s="3" t="s">
        <v>1539</v>
      </c>
      <c r="AF563" s="3" t="s">
        <v>177</v>
      </c>
      <c r="AG563" s="3" t="s">
        <v>17186</v>
      </c>
      <c r="AH563" s="3" t="s">
        <v>3341</v>
      </c>
      <c r="AI563" s="3" t="s">
        <v>84</v>
      </c>
      <c r="AJ563" s="3" t="s">
        <v>2741</v>
      </c>
      <c r="AK563" s="3" t="s">
        <v>12661</v>
      </c>
      <c r="AL563" s="3" t="s">
        <v>2550</v>
      </c>
      <c r="AM563" s="3">
        <v>2</v>
      </c>
      <c r="AP563" s="7" t="s">
        <v>17187</v>
      </c>
      <c r="AQ563" s="7" t="s">
        <v>17188</v>
      </c>
      <c r="AS563" s="3"/>
    </row>
    <row r="564" spans="1:45" ht="12.5" hidden="1" x14ac:dyDescent="0.25">
      <c r="A564" s="3" t="s">
        <v>12652</v>
      </c>
      <c r="B564" s="21" t="str">
        <f>HYPERLINK("https://gerandofalcoes.my.salesforce.com/0014P00003SGWQGQA5", "0014P00003SGWQGQA5")</f>
        <v>0014P00003SGWQGQA5</v>
      </c>
      <c r="C564" s="3" t="s">
        <v>1716</v>
      </c>
      <c r="D564" s="3" t="s">
        <v>46</v>
      </c>
      <c r="E564" s="21" t="str">
        <f>HYPERLINK("https://gerandofalcoes.my.salesforce.com/0034P000043fOoG", "0034P000043fOoG")</f>
        <v>0034P000043fOoG</v>
      </c>
      <c r="F564" s="3" t="s">
        <v>3345</v>
      </c>
      <c r="G564" s="3" t="s">
        <v>3346</v>
      </c>
      <c r="H564" s="3" t="s">
        <v>2538</v>
      </c>
      <c r="I564" s="3" t="s">
        <v>2618</v>
      </c>
      <c r="J564" s="3">
        <v>364</v>
      </c>
      <c r="K564" s="3" t="s">
        <v>3347</v>
      </c>
      <c r="L564" s="3" t="s">
        <v>12190</v>
      </c>
      <c r="M564" s="6">
        <v>30883</v>
      </c>
      <c r="N564" s="3">
        <v>38</v>
      </c>
      <c r="O564" s="3">
        <v>402188779</v>
      </c>
      <c r="P564" s="3">
        <v>32938562845</v>
      </c>
      <c r="Q564" s="3" t="s">
        <v>2845</v>
      </c>
      <c r="R564" s="3"/>
      <c r="S564" s="3" t="s">
        <v>2998</v>
      </c>
      <c r="T564" s="3" t="s">
        <v>12656</v>
      </c>
      <c r="U564" s="3" t="s">
        <v>120</v>
      </c>
      <c r="V564" s="3" t="s">
        <v>17189</v>
      </c>
      <c r="W564" s="3" t="s">
        <v>2541</v>
      </c>
      <c r="X564" s="3" t="s">
        <v>2980</v>
      </c>
      <c r="Y564" s="3" t="s">
        <v>12670</v>
      </c>
      <c r="AA564" s="3" t="s">
        <v>2544</v>
      </c>
      <c r="AB564" s="3" t="s">
        <v>2545</v>
      </c>
      <c r="AC564" s="3" t="s">
        <v>3349</v>
      </c>
      <c r="AD564" s="3">
        <v>1778</v>
      </c>
      <c r="AE564" s="3" t="s">
        <v>1539</v>
      </c>
      <c r="AF564" s="3" t="s">
        <v>128</v>
      </c>
      <c r="AG564" s="3" t="s">
        <v>17190</v>
      </c>
      <c r="AH564" s="3" t="s">
        <v>3350</v>
      </c>
      <c r="AI564" s="3" t="s">
        <v>101</v>
      </c>
      <c r="AJ564" s="3" t="s">
        <v>2569</v>
      </c>
      <c r="AK564" s="3" t="s">
        <v>12729</v>
      </c>
      <c r="AL564" s="3" t="s">
        <v>2579</v>
      </c>
      <c r="AM564" s="3">
        <v>5</v>
      </c>
      <c r="AP564" s="7" t="s">
        <v>17191</v>
      </c>
      <c r="AQ564" s="7" t="s">
        <v>12194</v>
      </c>
      <c r="AS564" s="7" t="s">
        <v>17192</v>
      </c>
    </row>
    <row r="565" spans="1:45" ht="12.5" hidden="1" x14ac:dyDescent="0.25">
      <c r="A565" s="3" t="s">
        <v>12652</v>
      </c>
      <c r="B565" s="21" t="str">
        <f>HYPERLINK("https://gerandofalcoes.my.salesforce.com/0014P00003SGWQHQA5", "0014P00003SGWQHQA5")</f>
        <v>0014P00003SGWQHQA5</v>
      </c>
      <c r="C565" s="3" t="s">
        <v>1738</v>
      </c>
      <c r="D565" s="3" t="s">
        <v>46</v>
      </c>
      <c r="E565" s="21" t="str">
        <f>HYPERLINK("https://gerandofalcoes.my.salesforce.com/0034P000043fOoH", "0034P000043fOoH")</f>
        <v>0034P000043fOoH</v>
      </c>
      <c r="F565" s="3" t="s">
        <v>3353</v>
      </c>
      <c r="G565" s="3" t="s">
        <v>3354</v>
      </c>
      <c r="H565" s="3" t="s">
        <v>2538</v>
      </c>
      <c r="I565" s="3" t="s">
        <v>2618</v>
      </c>
      <c r="J565" s="3">
        <v>364</v>
      </c>
      <c r="K565" s="3" t="s">
        <v>1741</v>
      </c>
      <c r="L565" s="3" t="s">
        <v>12203</v>
      </c>
      <c r="M565" s="6">
        <v>33085</v>
      </c>
      <c r="N565" s="3">
        <v>32</v>
      </c>
      <c r="O565" s="3">
        <v>16627411</v>
      </c>
      <c r="P565" s="3">
        <v>10058194673</v>
      </c>
      <c r="Q565" s="3" t="s">
        <v>2647</v>
      </c>
      <c r="S565" s="3" t="s">
        <v>3137</v>
      </c>
      <c r="T565" s="3" t="s">
        <v>12723</v>
      </c>
      <c r="U565" s="3" t="s">
        <v>62</v>
      </c>
      <c r="V565" s="3" t="s">
        <v>17193</v>
      </c>
      <c r="W565" s="3" t="s">
        <v>2541</v>
      </c>
      <c r="X565" s="3" t="s">
        <v>2980</v>
      </c>
      <c r="Y565" s="3" t="s">
        <v>12658</v>
      </c>
      <c r="AA565" s="3" t="s">
        <v>2544</v>
      </c>
      <c r="AB565" s="3" t="s">
        <v>2545</v>
      </c>
      <c r="AC565" s="3" t="s">
        <v>3356</v>
      </c>
      <c r="AD565" s="3">
        <v>77</v>
      </c>
      <c r="AE565" s="3" t="s">
        <v>1539</v>
      </c>
      <c r="AF565" s="3" t="s">
        <v>177</v>
      </c>
      <c r="AG565" s="3" t="s">
        <v>17194</v>
      </c>
      <c r="AH565" s="3" t="s">
        <v>3357</v>
      </c>
      <c r="AI565" s="3" t="s">
        <v>84</v>
      </c>
      <c r="AJ565" s="3" t="s">
        <v>2569</v>
      </c>
      <c r="AK565" s="3" t="s">
        <v>12661</v>
      </c>
      <c r="AL565" s="3" t="s">
        <v>2550</v>
      </c>
      <c r="AM565" s="3">
        <v>6</v>
      </c>
      <c r="AP565" s="7" t="s">
        <v>17163</v>
      </c>
      <c r="AQ565" s="7" t="s">
        <v>17195</v>
      </c>
      <c r="AS565" s="7" t="s">
        <v>17196</v>
      </c>
    </row>
    <row r="566" spans="1:45" ht="12.5" hidden="1" x14ac:dyDescent="0.25">
      <c r="A566" s="3" t="s">
        <v>12652</v>
      </c>
      <c r="B566" s="21" t="str">
        <f>HYPERLINK("https://gerandofalcoes.my.salesforce.com/0014P00003SGWQJQA5", "0014P00003SGWQJQA5")</f>
        <v>0014P00003SGWQJQA5</v>
      </c>
      <c r="C566" s="3" t="s">
        <v>1755</v>
      </c>
      <c r="D566" s="3" t="s">
        <v>46</v>
      </c>
      <c r="E566" s="21" t="str">
        <f>HYPERLINK("https://gerandofalcoes.my.salesforce.com/0034P000043fOoJ", "0034P000043fOoJ")</f>
        <v>0034P000043fOoJ</v>
      </c>
      <c r="F566" s="3" t="s">
        <v>3361</v>
      </c>
      <c r="G566" s="3" t="s">
        <v>3362</v>
      </c>
      <c r="H566" s="3" t="s">
        <v>2538</v>
      </c>
      <c r="I566" s="3" t="s">
        <v>2618</v>
      </c>
      <c r="J566" s="3">
        <v>364</v>
      </c>
      <c r="K566" s="3" t="s">
        <v>3363</v>
      </c>
      <c r="L566" s="3" t="s">
        <v>12212</v>
      </c>
      <c r="M566" s="6">
        <v>31332</v>
      </c>
      <c r="N566" s="3">
        <v>37</v>
      </c>
      <c r="O566" s="3">
        <v>443804366</v>
      </c>
      <c r="P566" s="3">
        <v>33010096895</v>
      </c>
      <c r="Q566" s="3" t="s">
        <v>2776</v>
      </c>
      <c r="S566" s="3" t="s">
        <v>2998</v>
      </c>
      <c r="T566" s="3" t="s">
        <v>12656</v>
      </c>
      <c r="U566" s="3" t="s">
        <v>62</v>
      </c>
      <c r="V566" s="3" t="s">
        <v>17197</v>
      </c>
      <c r="W566" s="3" t="s">
        <v>2541</v>
      </c>
      <c r="X566" s="3" t="s">
        <v>3365</v>
      </c>
      <c r="Y566" s="3" t="s">
        <v>12670</v>
      </c>
      <c r="AA566" s="3" t="s">
        <v>2544</v>
      </c>
      <c r="AB566" s="3" t="s">
        <v>2545</v>
      </c>
      <c r="AC566" s="3" t="s">
        <v>17198</v>
      </c>
      <c r="AD566" s="3">
        <v>85</v>
      </c>
      <c r="AE566" s="3"/>
      <c r="AF566" s="3" t="s">
        <v>128</v>
      </c>
      <c r="AG566" s="3" t="s">
        <v>1762</v>
      </c>
      <c r="AH566" s="3" t="s">
        <v>3366</v>
      </c>
      <c r="AI566" s="3" t="s">
        <v>101</v>
      </c>
      <c r="AJ566" s="3" t="s">
        <v>2569</v>
      </c>
      <c r="AK566" s="3" t="s">
        <v>15771</v>
      </c>
      <c r="AL566" s="3" t="s">
        <v>2588</v>
      </c>
      <c r="AM566" s="3">
        <v>4</v>
      </c>
      <c r="AP566" s="7" t="s">
        <v>17199</v>
      </c>
      <c r="AQ566" s="7" t="s">
        <v>17200</v>
      </c>
      <c r="AS566" s="7" t="s">
        <v>17201</v>
      </c>
    </row>
    <row r="567" spans="1:45" ht="12.5" hidden="1" x14ac:dyDescent="0.25">
      <c r="A567" s="3" t="s">
        <v>12652</v>
      </c>
      <c r="B567" s="21" t="str">
        <f>HYPERLINK("https://gerandofalcoes.my.salesforce.com/0014P00003YSm8CQAT", "0014P00003YSm8CQAT")</f>
        <v>0014P00003YSm8CQAT</v>
      </c>
      <c r="C567" s="3" t="s">
        <v>1777</v>
      </c>
      <c r="D567" s="3" t="s">
        <v>46</v>
      </c>
      <c r="E567" s="21" t="str">
        <f>HYPERLINK("https://gerandofalcoes.my.salesforce.com/0034P000045knPD", "0034P000045knPD")</f>
        <v>0034P000045knPD</v>
      </c>
      <c r="F567" s="3" t="s">
        <v>3631</v>
      </c>
      <c r="G567" s="3" t="s">
        <v>3632</v>
      </c>
      <c r="H567" s="3" t="s">
        <v>2538</v>
      </c>
      <c r="I567" s="3" t="s">
        <v>2618</v>
      </c>
      <c r="J567" s="3">
        <v>364</v>
      </c>
      <c r="K567" s="3" t="s">
        <v>3633</v>
      </c>
      <c r="L567" s="3" t="s">
        <v>3634</v>
      </c>
      <c r="M567" s="8">
        <v>27710</v>
      </c>
      <c r="N567" s="3">
        <v>47</v>
      </c>
      <c r="O567" s="3">
        <v>4694518</v>
      </c>
      <c r="P567" s="3">
        <v>2174142490</v>
      </c>
      <c r="Q567" s="3" t="s">
        <v>2647</v>
      </c>
      <c r="S567" s="3" t="s">
        <v>3137</v>
      </c>
      <c r="T567" s="3"/>
      <c r="U567" s="3" t="s">
        <v>62</v>
      </c>
      <c r="V567" s="3" t="s">
        <v>17202</v>
      </c>
      <c r="W567" s="3"/>
      <c r="X567" s="3"/>
      <c r="Y567" s="3" t="s">
        <v>12670</v>
      </c>
      <c r="AA567" s="3" t="s">
        <v>2544</v>
      </c>
      <c r="AB567" s="3" t="s">
        <v>2545</v>
      </c>
      <c r="AC567" s="3" t="s">
        <v>17203</v>
      </c>
      <c r="AD567" s="3">
        <v>65</v>
      </c>
      <c r="AF567" s="3" t="s">
        <v>381</v>
      </c>
      <c r="AG567" s="3" t="s">
        <v>17204</v>
      </c>
      <c r="AH567" s="3" t="s">
        <v>3636</v>
      </c>
      <c r="AI567" s="3" t="s">
        <v>379</v>
      </c>
      <c r="AJ567" s="3" t="s">
        <v>2569</v>
      </c>
      <c r="AK567" s="3" t="s">
        <v>3249</v>
      </c>
      <c r="AL567" s="3" t="s">
        <v>3385</v>
      </c>
      <c r="AM567" s="3">
        <v>5</v>
      </c>
      <c r="AP567" s="3" t="s">
        <v>17205</v>
      </c>
      <c r="AQ567" s="7" t="s">
        <v>17206</v>
      </c>
      <c r="AS567" s="7" t="s">
        <v>17207</v>
      </c>
    </row>
    <row r="568" spans="1:45" ht="12.5" hidden="1" x14ac:dyDescent="0.25">
      <c r="A568" s="3" t="s">
        <v>12652</v>
      </c>
      <c r="B568" s="21" t="str">
        <f>HYPERLINK("https://gerandofalcoes.my.salesforce.com/0014P00003SGWPbQAP", "0014P00003SGWPbQAP")</f>
        <v>0014P00003SGWPbQAP</v>
      </c>
      <c r="C568" s="3" t="s">
        <v>1800</v>
      </c>
      <c r="D568" s="3" t="s">
        <v>46</v>
      </c>
      <c r="E568" s="21" t="str">
        <f>HYPERLINK("https://gerandofalcoes.my.salesforce.com/0034P000043fOni", "0034P000043fOni")</f>
        <v>0034P000043fOni</v>
      </c>
      <c r="F568" s="3" t="s">
        <v>3370</v>
      </c>
      <c r="G568" s="3" t="s">
        <v>3371</v>
      </c>
      <c r="H568" s="3" t="s">
        <v>2538</v>
      </c>
      <c r="I568" s="3" t="s">
        <v>2618</v>
      </c>
      <c r="J568" s="3">
        <v>364</v>
      </c>
      <c r="K568" s="3" t="s">
        <v>3372</v>
      </c>
      <c r="L568" s="3" t="s">
        <v>3373</v>
      </c>
      <c r="M568" s="8">
        <v>29121</v>
      </c>
      <c r="N568" s="3">
        <v>43</v>
      </c>
      <c r="O568" s="3">
        <v>4136453</v>
      </c>
      <c r="P568" s="3">
        <v>89943104104</v>
      </c>
      <c r="Q568" s="3" t="s">
        <v>2647</v>
      </c>
      <c r="S568" s="3" t="s">
        <v>3269</v>
      </c>
      <c r="T568" s="3" t="s">
        <v>12656</v>
      </c>
      <c r="U568" s="3" t="s">
        <v>62</v>
      </c>
      <c r="V568" s="3" t="s">
        <v>17208</v>
      </c>
      <c r="W568" s="3" t="s">
        <v>2576</v>
      </c>
      <c r="X568" s="3" t="s">
        <v>2980</v>
      </c>
      <c r="Y568" s="3" t="s">
        <v>12670</v>
      </c>
      <c r="AA568" s="3" t="s">
        <v>2544</v>
      </c>
      <c r="AB568" s="3" t="s">
        <v>2545</v>
      </c>
      <c r="AC568" s="3" t="s">
        <v>3374</v>
      </c>
      <c r="AD568" s="3">
        <v>215</v>
      </c>
      <c r="AE568" s="3" t="s">
        <v>1539</v>
      </c>
      <c r="AF568" s="3" t="s">
        <v>1808</v>
      </c>
      <c r="AG568" s="3" t="s">
        <v>1807</v>
      </c>
      <c r="AH568" s="3" t="s">
        <v>3375</v>
      </c>
      <c r="AI568" s="3" t="s">
        <v>280</v>
      </c>
      <c r="AJ568" s="3" t="s">
        <v>2548</v>
      </c>
      <c r="AK568" s="3" t="s">
        <v>12661</v>
      </c>
      <c r="AL568" s="3" t="s">
        <v>2550</v>
      </c>
      <c r="AM568" s="3">
        <v>2</v>
      </c>
      <c r="AP568" s="7" t="s">
        <v>17209</v>
      </c>
      <c r="AQ568" s="7" t="s">
        <v>12239</v>
      </c>
      <c r="AS568" s="7" t="s">
        <v>17210</v>
      </c>
    </row>
    <row r="569" spans="1:45" ht="12.5" hidden="1" x14ac:dyDescent="0.25">
      <c r="A569" s="3" t="s">
        <v>12652</v>
      </c>
      <c r="B569" s="21" t="str">
        <f>HYPERLINK("https://gerandofalcoes.my.salesforce.com/0014P00003SGWPcQAP", "0014P00003SGWPcQAP")</f>
        <v>0014P00003SGWPcQAP</v>
      </c>
      <c r="C569" s="3" t="s">
        <v>12246</v>
      </c>
      <c r="D569" s="3" t="s">
        <v>46</v>
      </c>
      <c r="E569" s="21" t="str">
        <f>HYPERLINK("https://gerandofalcoes.my.salesforce.com/0034P000043fOnj", "0034P000043fOnj")</f>
        <v>0034P000043fOnj</v>
      </c>
      <c r="F569" s="3" t="s">
        <v>3378</v>
      </c>
      <c r="G569" s="3" t="s">
        <v>17211</v>
      </c>
      <c r="H569" s="3" t="s">
        <v>2538</v>
      </c>
      <c r="I569" s="3" t="s">
        <v>2618</v>
      </c>
      <c r="J569" s="3">
        <v>364</v>
      </c>
      <c r="K569" s="3" t="s">
        <v>17212</v>
      </c>
      <c r="L569" s="3" t="s">
        <v>3381</v>
      </c>
      <c r="M569" s="6">
        <v>28147</v>
      </c>
      <c r="N569" s="3">
        <v>45</v>
      </c>
      <c r="O569" s="3">
        <v>376110636</v>
      </c>
      <c r="P569" s="3">
        <v>26091876880</v>
      </c>
      <c r="Q569" s="3" t="s">
        <v>3382</v>
      </c>
      <c r="S569" s="3" t="s">
        <v>3269</v>
      </c>
      <c r="T569" s="3" t="s">
        <v>12682</v>
      </c>
      <c r="U569" s="3" t="s">
        <v>62</v>
      </c>
      <c r="V569" s="3" t="s">
        <v>17213</v>
      </c>
      <c r="W569" s="3" t="s">
        <v>2541</v>
      </c>
      <c r="X569" s="3" t="s">
        <v>2980</v>
      </c>
      <c r="Y569" s="3" t="s">
        <v>12670</v>
      </c>
      <c r="AA569" s="3" t="s">
        <v>2577</v>
      </c>
      <c r="AB569" s="3" t="s">
        <v>2545</v>
      </c>
      <c r="AC569" s="3" t="s">
        <v>14234</v>
      </c>
      <c r="AD569" s="3">
        <v>137</v>
      </c>
      <c r="AE569" s="3" t="s">
        <v>647</v>
      </c>
      <c r="AF569" s="3" t="s">
        <v>128</v>
      </c>
      <c r="AG569" s="3" t="s">
        <v>17214</v>
      </c>
      <c r="AH569" s="3" t="s">
        <v>17215</v>
      </c>
      <c r="AI569" s="3" t="s">
        <v>101</v>
      </c>
      <c r="AJ569" s="3" t="s">
        <v>2569</v>
      </c>
      <c r="AK569" s="3" t="s">
        <v>12729</v>
      </c>
      <c r="AL569" s="3" t="s">
        <v>3385</v>
      </c>
      <c r="AM569" s="3">
        <v>0</v>
      </c>
      <c r="AP569" s="7" t="s">
        <v>15051</v>
      </c>
      <c r="AQ569" s="7" t="s">
        <v>17216</v>
      </c>
      <c r="AS569" s="7" t="s">
        <v>17217</v>
      </c>
    </row>
    <row r="570" spans="1:45" ht="12.5" hidden="1" x14ac:dyDescent="0.25">
      <c r="A570" s="3" t="s">
        <v>12652</v>
      </c>
      <c r="B570" s="21" t="str">
        <f>HYPERLINK("https://gerandofalcoes.my.salesforce.com/0014P00003SGWPdQAP", "0014P00003SGWPdQAP")</f>
        <v>0014P00003SGWPdQAP</v>
      </c>
      <c r="C570" s="3" t="s">
        <v>1841</v>
      </c>
      <c r="D570" s="3" t="s">
        <v>46</v>
      </c>
      <c r="E570" s="21" t="str">
        <f>HYPERLINK("https://gerandofalcoes.my.salesforce.com/0034P000043fOnk", "0034P000043fOnk")</f>
        <v>0034P000043fOnk</v>
      </c>
      <c r="F570" s="3" t="s">
        <v>3389</v>
      </c>
      <c r="G570" s="3" t="s">
        <v>3390</v>
      </c>
      <c r="H570" s="3" t="s">
        <v>2538</v>
      </c>
      <c r="I570" s="3" t="s">
        <v>2618</v>
      </c>
      <c r="J570" s="3">
        <v>364</v>
      </c>
      <c r="K570" s="3" t="s">
        <v>17218</v>
      </c>
      <c r="L570" s="3" t="s">
        <v>12259</v>
      </c>
      <c r="M570" s="6">
        <v>30509</v>
      </c>
      <c r="N570" s="3">
        <v>39</v>
      </c>
      <c r="O570" s="3">
        <v>836844416</v>
      </c>
      <c r="P570" s="3">
        <v>2240643552</v>
      </c>
      <c r="Q570" s="3" t="s">
        <v>3393</v>
      </c>
      <c r="R570" s="3" t="s">
        <v>3394</v>
      </c>
      <c r="S570" s="3" t="s">
        <v>3137</v>
      </c>
      <c r="T570" s="3" t="s">
        <v>12656</v>
      </c>
      <c r="U570" s="3" t="s">
        <v>62</v>
      </c>
      <c r="V570" s="3" t="s">
        <v>17219</v>
      </c>
      <c r="W570" s="3" t="s">
        <v>2541</v>
      </c>
      <c r="X570" s="3" t="s">
        <v>2980</v>
      </c>
      <c r="Y570" s="3" t="s">
        <v>12670</v>
      </c>
      <c r="AA570" s="3" t="s">
        <v>2577</v>
      </c>
      <c r="AB570" s="3" t="s">
        <v>2545</v>
      </c>
      <c r="AC570" s="3" t="s">
        <v>17220</v>
      </c>
      <c r="AD570" s="3" t="s">
        <v>17221</v>
      </c>
      <c r="AE570" s="3" t="s">
        <v>1539</v>
      </c>
      <c r="AF570" s="3" t="s">
        <v>12260</v>
      </c>
      <c r="AG570" s="3" t="s">
        <v>17222</v>
      </c>
      <c r="AH570" s="3" t="s">
        <v>3396</v>
      </c>
      <c r="AI570" s="3" t="s">
        <v>1002</v>
      </c>
      <c r="AJ570" s="3" t="s">
        <v>2569</v>
      </c>
      <c r="AK570" s="3" t="s">
        <v>15585</v>
      </c>
      <c r="AL570" s="3" t="s">
        <v>2579</v>
      </c>
      <c r="AM570" s="3">
        <v>7</v>
      </c>
      <c r="AP570" s="7" t="s">
        <v>17223</v>
      </c>
      <c r="AQ570" s="7" t="s">
        <v>17224</v>
      </c>
      <c r="AS570" s="7" t="s">
        <v>17225</v>
      </c>
    </row>
    <row r="571" spans="1:45" ht="12.5" hidden="1" x14ac:dyDescent="0.25">
      <c r="A571" s="3" t="s">
        <v>12652</v>
      </c>
      <c r="B571" s="21" t="str">
        <f>HYPERLINK("https://gerandofalcoes.my.salesforce.com/0014P00003SGWPeQAP", "0014P00003SGWPeQAP")</f>
        <v>0014P00003SGWPeQAP</v>
      </c>
      <c r="C571" s="3" t="s">
        <v>1893</v>
      </c>
      <c r="D571" s="3" t="s">
        <v>46</v>
      </c>
      <c r="E571" s="21" t="str">
        <f>HYPERLINK("https://gerandofalcoes.my.salesforce.com/0034P000043fOnl", "0034P000043fOnl")</f>
        <v>0034P000043fOnl</v>
      </c>
      <c r="F571" s="3" t="s">
        <v>3401</v>
      </c>
      <c r="G571" s="3" t="s">
        <v>3402</v>
      </c>
      <c r="H571" s="3" t="s">
        <v>2538</v>
      </c>
      <c r="I571" s="3" t="s">
        <v>2618</v>
      </c>
      <c r="J571" s="3">
        <v>364</v>
      </c>
      <c r="K571" s="3" t="s">
        <v>3403</v>
      </c>
      <c r="L571" s="3" t="s">
        <v>3404</v>
      </c>
      <c r="M571" s="6">
        <v>28969</v>
      </c>
      <c r="N571" s="3">
        <v>43</v>
      </c>
      <c r="O571" s="3">
        <v>286213400</v>
      </c>
      <c r="P571" s="3">
        <v>27643928851</v>
      </c>
      <c r="Q571" s="3" t="s">
        <v>3405</v>
      </c>
      <c r="R571" s="3"/>
      <c r="S571" s="3" t="s">
        <v>3417</v>
      </c>
      <c r="T571" s="3" t="s">
        <v>12656</v>
      </c>
      <c r="U571" s="3" t="s">
        <v>62</v>
      </c>
      <c r="V571" s="3" t="s">
        <v>17226</v>
      </c>
      <c r="W571" s="3" t="s">
        <v>2576</v>
      </c>
      <c r="X571" s="3" t="s">
        <v>2980</v>
      </c>
      <c r="Y571" s="3" t="s">
        <v>12670</v>
      </c>
      <c r="AA571" s="3" t="s">
        <v>2544</v>
      </c>
      <c r="AB571" s="3" t="s">
        <v>2545</v>
      </c>
      <c r="AC571" s="3" t="s">
        <v>17227</v>
      </c>
      <c r="AD571" s="3">
        <v>698</v>
      </c>
      <c r="AE571" s="3" t="s">
        <v>17228</v>
      </c>
      <c r="AF571" s="3" t="s">
        <v>128</v>
      </c>
      <c r="AG571" s="3" t="s">
        <v>10680</v>
      </c>
      <c r="AH571" s="3" t="s">
        <v>17229</v>
      </c>
      <c r="AI571" s="3" t="s">
        <v>101</v>
      </c>
      <c r="AJ571" s="3" t="s">
        <v>2569</v>
      </c>
      <c r="AK571" s="3" t="s">
        <v>15205</v>
      </c>
      <c r="AL571" s="3" t="s">
        <v>3385</v>
      </c>
      <c r="AM571" s="3">
        <v>7</v>
      </c>
      <c r="AP571" s="7" t="s">
        <v>17230</v>
      </c>
      <c r="AQ571" s="3" t="s">
        <v>17231</v>
      </c>
      <c r="AS571" s="7" t="s">
        <v>17232</v>
      </c>
    </row>
    <row r="572" spans="1:45" ht="12.5" hidden="1" x14ac:dyDescent="0.25">
      <c r="A572" s="3" t="s">
        <v>12652</v>
      </c>
      <c r="B572" s="21" t="str">
        <f>HYPERLINK("https://gerandofalcoes.my.salesforce.com/0014P00003SGWPfQAP", "0014P00003SGWPfQAP")</f>
        <v>0014P00003SGWPfQAP</v>
      </c>
      <c r="C572" s="3" t="s">
        <v>1910</v>
      </c>
      <c r="D572" s="3" t="s">
        <v>46</v>
      </c>
      <c r="E572" s="21" t="str">
        <f>HYPERLINK("https://gerandofalcoes.my.salesforce.com/0034P000043fOnm", "0034P000043fOnm")</f>
        <v>0034P000043fOnm</v>
      </c>
      <c r="F572" s="3" t="s">
        <v>3411</v>
      </c>
      <c r="G572" s="3" t="s">
        <v>17233</v>
      </c>
      <c r="H572" s="3" t="s">
        <v>2538</v>
      </c>
      <c r="I572" s="3" t="s">
        <v>2618</v>
      </c>
      <c r="J572" s="3">
        <v>364</v>
      </c>
      <c r="K572" s="3" t="s">
        <v>3413</v>
      </c>
      <c r="L572" s="3" t="s">
        <v>12285</v>
      </c>
      <c r="M572" s="6">
        <v>28038</v>
      </c>
      <c r="N572" s="3">
        <v>46</v>
      </c>
      <c r="O572" s="3">
        <v>385871582</v>
      </c>
      <c r="P572" s="3">
        <v>3020000629</v>
      </c>
      <c r="Q572" s="3" t="s">
        <v>3415</v>
      </c>
      <c r="R572" s="3" t="s">
        <v>3416</v>
      </c>
      <c r="S572" s="3" t="s">
        <v>3269</v>
      </c>
      <c r="T572" s="3" t="s">
        <v>12656</v>
      </c>
      <c r="U572" s="3" t="s">
        <v>120</v>
      </c>
      <c r="V572" s="3" t="s">
        <v>17234</v>
      </c>
      <c r="W572" s="3" t="s">
        <v>2541</v>
      </c>
      <c r="X572" s="3" t="s">
        <v>2980</v>
      </c>
      <c r="Y572" s="3" t="s">
        <v>12670</v>
      </c>
      <c r="AA572" s="3" t="s">
        <v>2577</v>
      </c>
      <c r="AB572" s="3" t="s">
        <v>2545</v>
      </c>
      <c r="AC572" s="3" t="s">
        <v>17235</v>
      </c>
      <c r="AD572" s="3">
        <v>79</v>
      </c>
      <c r="AE572" s="3">
        <v>301</v>
      </c>
      <c r="AF572" s="3" t="s">
        <v>12286</v>
      </c>
      <c r="AG572" s="3" t="s">
        <v>14461</v>
      </c>
      <c r="AH572" s="3" t="s">
        <v>17236</v>
      </c>
      <c r="AI572" s="3" t="s">
        <v>84</v>
      </c>
      <c r="AJ572" s="3" t="s">
        <v>2548</v>
      </c>
      <c r="AK572" s="3" t="s">
        <v>16109</v>
      </c>
      <c r="AL572" s="3" t="s">
        <v>2588</v>
      </c>
      <c r="AM572" s="3">
        <v>4</v>
      </c>
      <c r="AP572" s="7" t="s">
        <v>17237</v>
      </c>
      <c r="AQ572" s="3" t="s">
        <v>17238</v>
      </c>
      <c r="AS572" s="7" t="s">
        <v>17239</v>
      </c>
    </row>
    <row r="573" spans="1:45" ht="12.5" hidden="1" x14ac:dyDescent="0.25">
      <c r="A573" s="3" t="s">
        <v>12652</v>
      </c>
      <c r="B573" s="21" t="str">
        <f>HYPERLINK("https://gerandofalcoes.my.salesforce.com/0014P00003SGWPgQAP", "0014P00003SGWPgQAP")</f>
        <v>0014P00003SGWPgQAP</v>
      </c>
      <c r="C573" s="3" t="s">
        <v>1935</v>
      </c>
      <c r="D573" s="3" t="s">
        <v>46</v>
      </c>
      <c r="E573" s="21" t="str">
        <f>HYPERLINK("https://gerandofalcoes.my.salesforce.com/0034P000043fOnn", "0034P000043fOnn")</f>
        <v>0034P000043fOnn</v>
      </c>
      <c r="F573" s="3" t="s">
        <v>2773</v>
      </c>
      <c r="G573" s="3" t="s">
        <v>3424</v>
      </c>
      <c r="H573" s="3" t="s">
        <v>2538</v>
      </c>
      <c r="I573" s="3" t="s">
        <v>2618</v>
      </c>
      <c r="J573" s="3">
        <v>364</v>
      </c>
      <c r="K573" s="3" t="s">
        <v>3425</v>
      </c>
      <c r="L573" s="3" t="s">
        <v>12301</v>
      </c>
      <c r="M573" s="6">
        <v>30202</v>
      </c>
      <c r="N573" s="3">
        <v>40</v>
      </c>
      <c r="O573" s="3">
        <v>9022050</v>
      </c>
      <c r="P573" s="3">
        <v>1446910601</v>
      </c>
      <c r="Q573" s="3" t="s">
        <v>3427</v>
      </c>
      <c r="R573" s="3"/>
      <c r="S573" s="3" t="s">
        <v>2998</v>
      </c>
      <c r="T573" s="3" t="s">
        <v>12723</v>
      </c>
      <c r="U573" s="3" t="s">
        <v>62</v>
      </c>
      <c r="V573" s="3" t="s">
        <v>17240</v>
      </c>
      <c r="W573" s="3" t="s">
        <v>2541</v>
      </c>
      <c r="X573" s="3" t="s">
        <v>2980</v>
      </c>
      <c r="Y573" s="3" t="s">
        <v>12670</v>
      </c>
      <c r="AA573" s="3" t="s">
        <v>2544</v>
      </c>
      <c r="AB573" s="3" t="s">
        <v>2545</v>
      </c>
      <c r="AC573" s="3" t="s">
        <v>17241</v>
      </c>
      <c r="AD573" s="3">
        <v>47</v>
      </c>
      <c r="AE573" s="3" t="s">
        <v>17242</v>
      </c>
      <c r="AF573" s="3" t="s">
        <v>12302</v>
      </c>
      <c r="AG573" s="3" t="s">
        <v>6423</v>
      </c>
      <c r="AH573" s="3" t="s">
        <v>17243</v>
      </c>
      <c r="AI573" s="3" t="s">
        <v>84</v>
      </c>
      <c r="AJ573" s="3" t="s">
        <v>2569</v>
      </c>
      <c r="AK573" s="3" t="s">
        <v>12661</v>
      </c>
      <c r="AL573" s="3" t="s">
        <v>2588</v>
      </c>
      <c r="AM573" s="3">
        <v>6</v>
      </c>
      <c r="AP573" s="3" t="s">
        <v>17244</v>
      </c>
      <c r="AQ573" s="3" t="s">
        <v>17245</v>
      </c>
      <c r="AS573" s="7" t="s">
        <v>17246</v>
      </c>
    </row>
    <row r="574" spans="1:45" ht="12.5" hidden="1" x14ac:dyDescent="0.25">
      <c r="A574" s="3" t="s">
        <v>12652</v>
      </c>
      <c r="B574" s="21" t="str">
        <f>HYPERLINK("https://gerandofalcoes.my.salesforce.com/0014P00003SGWPhQAP", "0014P00003SGWPhQAP")</f>
        <v>0014P00003SGWPhQAP</v>
      </c>
      <c r="C574" s="3" t="s">
        <v>1865</v>
      </c>
      <c r="D574" s="3" t="s">
        <v>152</v>
      </c>
      <c r="E574" s="21" t="str">
        <f>HYPERLINK("https://gerandofalcoes.my.salesforce.com/0034P000043fOno", "0034P000043fOno")</f>
        <v>0034P000043fOno</v>
      </c>
      <c r="F574" s="3" t="s">
        <v>3434</v>
      </c>
      <c r="G574" s="3" t="s">
        <v>3435</v>
      </c>
      <c r="H574" s="3" t="s">
        <v>2538</v>
      </c>
      <c r="I574" s="3" t="s">
        <v>2618</v>
      </c>
      <c r="J574" s="3">
        <v>364</v>
      </c>
      <c r="K574" s="3" t="s">
        <v>3436</v>
      </c>
      <c r="L574" s="3" t="s">
        <v>3437</v>
      </c>
      <c r="M574" s="6">
        <v>24785</v>
      </c>
      <c r="N574" s="3">
        <v>55</v>
      </c>
      <c r="O574" s="3">
        <v>761364</v>
      </c>
      <c r="P574" s="3">
        <v>20066821215</v>
      </c>
      <c r="Q574" s="3" t="s">
        <v>3438</v>
      </c>
      <c r="S574" s="3" t="s">
        <v>3137</v>
      </c>
      <c r="T574" s="3" t="s">
        <v>12656</v>
      </c>
      <c r="U574" s="3" t="s">
        <v>120</v>
      </c>
      <c r="V574" s="3" t="s">
        <v>17247</v>
      </c>
      <c r="W574" s="3" t="s">
        <v>2541</v>
      </c>
      <c r="X574" s="3" t="s">
        <v>2980</v>
      </c>
      <c r="Y574" s="3" t="s">
        <v>12670</v>
      </c>
      <c r="AA574" s="3" t="s">
        <v>2577</v>
      </c>
      <c r="AB574" s="3" t="s">
        <v>2543</v>
      </c>
      <c r="AC574" s="3" t="s">
        <v>3439</v>
      </c>
      <c r="AD574" s="3">
        <v>1828</v>
      </c>
      <c r="AE574" s="3" t="s">
        <v>647</v>
      </c>
      <c r="AF574" s="3" t="s">
        <v>1874</v>
      </c>
      <c r="AG574" s="3" t="s">
        <v>647</v>
      </c>
      <c r="AH574" s="3" t="s">
        <v>3440</v>
      </c>
      <c r="AI574" s="3" t="s">
        <v>1871</v>
      </c>
      <c r="AJ574" s="3" t="s">
        <v>2741</v>
      </c>
      <c r="AK574" s="3" t="s">
        <v>12687</v>
      </c>
      <c r="AL574" s="3" t="s">
        <v>2550</v>
      </c>
      <c r="AM574" s="3">
        <v>5</v>
      </c>
      <c r="AP574" s="7" t="s">
        <v>12314</v>
      </c>
      <c r="AQ574" s="7" t="s">
        <v>12314</v>
      </c>
      <c r="AS574" s="7" t="s">
        <v>17248</v>
      </c>
    </row>
    <row r="575" spans="1:45" ht="12.5" hidden="1" x14ac:dyDescent="0.25">
      <c r="A575" s="3" t="s">
        <v>12652</v>
      </c>
      <c r="B575" s="21" t="str">
        <f>HYPERLINK("https://gerandofalcoes.my.salesforce.com/0014P00003SGWPiQAP", "0014P00003SGWPiQAP")</f>
        <v>0014P00003SGWPiQAP</v>
      </c>
      <c r="C575" s="3" t="s">
        <v>1951</v>
      </c>
      <c r="D575" s="3" t="s">
        <v>152</v>
      </c>
      <c r="E575" s="21" t="str">
        <f>HYPERLINK("https://gerandofalcoes.my.salesforce.com/0034P000043fOnp", "0034P000043fOnp")</f>
        <v>0034P000043fOnp</v>
      </c>
      <c r="F575" s="3" t="s">
        <v>3443</v>
      </c>
      <c r="G575" s="3" t="s">
        <v>3444</v>
      </c>
      <c r="H575" s="3" t="s">
        <v>2538</v>
      </c>
      <c r="I575" s="3" t="s">
        <v>2618</v>
      </c>
      <c r="J575" s="3">
        <v>364</v>
      </c>
      <c r="K575" s="3" t="s">
        <v>17249</v>
      </c>
      <c r="L575" s="3" t="s">
        <v>12322</v>
      </c>
      <c r="M575" s="6">
        <v>27401</v>
      </c>
      <c r="N575" s="3">
        <v>47</v>
      </c>
      <c r="O575" s="3">
        <v>1277112</v>
      </c>
      <c r="P575" s="3">
        <v>50572059191</v>
      </c>
      <c r="Q575" s="3" t="s">
        <v>3446</v>
      </c>
      <c r="R575" s="3" t="s">
        <v>3447</v>
      </c>
      <c r="S575" s="3" t="s">
        <v>3137</v>
      </c>
      <c r="T575" s="3" t="s">
        <v>12723</v>
      </c>
      <c r="U575" s="3" t="s">
        <v>62</v>
      </c>
      <c r="V575" s="3" t="s">
        <v>17250</v>
      </c>
      <c r="W575" s="3" t="s">
        <v>2576</v>
      </c>
      <c r="X575" s="3" t="s">
        <v>2980</v>
      </c>
      <c r="Y575" s="3" t="s">
        <v>12670</v>
      </c>
      <c r="AA575" s="3" t="s">
        <v>2544</v>
      </c>
      <c r="AB575" s="3" t="s">
        <v>2545</v>
      </c>
      <c r="AC575" s="3" t="s">
        <v>17251</v>
      </c>
      <c r="AD575" s="24">
        <v>44622</v>
      </c>
      <c r="AE575" s="3"/>
      <c r="AF575" s="3" t="s">
        <v>12323</v>
      </c>
      <c r="AG575" s="3" t="s">
        <v>1958</v>
      </c>
      <c r="AH575" s="3" t="s">
        <v>3450</v>
      </c>
      <c r="AI575" s="3" t="s">
        <v>1381</v>
      </c>
      <c r="AJ575" s="3" t="s">
        <v>2741</v>
      </c>
      <c r="AK575" s="3" t="s">
        <v>3249</v>
      </c>
      <c r="AL575" s="3" t="s">
        <v>2550</v>
      </c>
      <c r="AM575" s="3">
        <v>4</v>
      </c>
      <c r="AP575" s="7" t="s">
        <v>17252</v>
      </c>
      <c r="AQ575" s="7" t="s">
        <v>17253</v>
      </c>
      <c r="AS575" s="7" t="s">
        <v>17254</v>
      </c>
    </row>
    <row r="576" spans="1:45" ht="12.5" hidden="1" x14ac:dyDescent="0.25">
      <c r="A576" s="3" t="s">
        <v>12652</v>
      </c>
      <c r="B576" s="21" t="str">
        <f>HYPERLINK("https://gerandofalcoes.my.salesforce.com/0014P00003SGWPjQAP", "0014P00003SGWPjQAP")</f>
        <v>0014P00003SGWPjQAP</v>
      </c>
      <c r="C576" s="3" t="s">
        <v>1977</v>
      </c>
      <c r="D576" s="3" t="s">
        <v>46</v>
      </c>
      <c r="E576" s="21" t="str">
        <f>HYPERLINK("https://gerandofalcoes.my.salesforce.com/0034P000043fOnq", "0034P000043fOnq")</f>
        <v>0034P000043fOnq</v>
      </c>
      <c r="F576" s="3" t="s">
        <v>13912</v>
      </c>
      <c r="G576" s="3" t="s">
        <v>17255</v>
      </c>
      <c r="H576" s="3" t="s">
        <v>2538</v>
      </c>
      <c r="I576" s="3" t="s">
        <v>2618</v>
      </c>
      <c r="J576" s="3">
        <v>364</v>
      </c>
      <c r="K576" s="3" t="s">
        <v>17256</v>
      </c>
      <c r="L576" s="3" t="s">
        <v>12336</v>
      </c>
      <c r="M576" s="6">
        <v>25867</v>
      </c>
      <c r="N576" s="3">
        <v>52</v>
      </c>
      <c r="O576" s="3">
        <v>530302659</v>
      </c>
      <c r="P576" s="3">
        <v>59806486587</v>
      </c>
      <c r="Q576" s="3" t="s">
        <v>3458</v>
      </c>
      <c r="R576" s="3"/>
      <c r="S576" s="3" t="s">
        <v>3498</v>
      </c>
      <c r="T576" s="3" t="s">
        <v>12723</v>
      </c>
      <c r="U576" s="3" t="s">
        <v>120</v>
      </c>
      <c r="V576" s="3" t="s">
        <v>17257</v>
      </c>
      <c r="W576" s="3" t="s">
        <v>2541</v>
      </c>
      <c r="X576" s="3" t="s">
        <v>2980</v>
      </c>
      <c r="Y576" s="3" t="s">
        <v>12670</v>
      </c>
      <c r="AA576" s="3" t="s">
        <v>2544</v>
      </c>
      <c r="AB576" s="3" t="s">
        <v>2543</v>
      </c>
      <c r="AC576" s="3" t="s">
        <v>17258</v>
      </c>
      <c r="AD576" s="3">
        <v>42</v>
      </c>
      <c r="AE576" s="3" t="s">
        <v>3461</v>
      </c>
      <c r="AF576" s="3" t="s">
        <v>1848</v>
      </c>
      <c r="AG576" s="3" t="s">
        <v>1984</v>
      </c>
      <c r="AH576" s="3" t="s">
        <v>17259</v>
      </c>
      <c r="AI576" s="3" t="s">
        <v>1002</v>
      </c>
      <c r="AJ576" s="3" t="s">
        <v>2569</v>
      </c>
      <c r="AK576" s="3" t="s">
        <v>16109</v>
      </c>
      <c r="AL576" s="3" t="s">
        <v>2550</v>
      </c>
      <c r="AM576" s="3">
        <v>5</v>
      </c>
      <c r="AP576" s="3" t="s">
        <v>17260</v>
      </c>
      <c r="AQ576" s="3" t="s">
        <v>17261</v>
      </c>
      <c r="AS576" s="7" t="s">
        <v>17262</v>
      </c>
    </row>
    <row r="577" spans="1:45" ht="12.5" hidden="1" x14ac:dyDescent="0.25">
      <c r="A577" s="3" t="s">
        <v>12652</v>
      </c>
      <c r="B577" s="21" t="str">
        <f>HYPERLINK("https://gerandofalcoes.my.salesforce.com/0014P00003SGWPkQAP", "0014P00003SGWPkQAP")</f>
        <v>0014P00003SGWPkQAP</v>
      </c>
      <c r="C577" s="3" t="s">
        <v>1996</v>
      </c>
      <c r="D577" s="3" t="s">
        <v>46</v>
      </c>
      <c r="E577" s="21" t="str">
        <f>HYPERLINK("https://gerandofalcoes.my.salesforce.com/0034P000043fOnr", "0034P000043fOnr")</f>
        <v>0034P000043fOnr</v>
      </c>
      <c r="F577" s="3" t="s">
        <v>3466</v>
      </c>
      <c r="G577" s="3" t="s">
        <v>3467</v>
      </c>
      <c r="H577" s="3" t="s">
        <v>2538</v>
      </c>
      <c r="I577" s="3" t="s">
        <v>2618</v>
      </c>
      <c r="J577" s="3">
        <v>364</v>
      </c>
      <c r="K577" s="3" t="s">
        <v>17263</v>
      </c>
      <c r="L577" s="3" t="s">
        <v>12345</v>
      </c>
      <c r="M577" s="8">
        <v>28873</v>
      </c>
      <c r="N577" s="3">
        <v>43</v>
      </c>
      <c r="O577" s="3">
        <v>1121169</v>
      </c>
      <c r="P577" s="3">
        <v>27462527839</v>
      </c>
      <c r="Q577" s="3" t="s">
        <v>2845</v>
      </c>
      <c r="S577" s="3" t="s">
        <v>2998</v>
      </c>
      <c r="T577" s="3" t="s">
        <v>12656</v>
      </c>
      <c r="U577" s="3" t="s">
        <v>62</v>
      </c>
      <c r="V577" s="3" t="s">
        <v>17264</v>
      </c>
      <c r="W577" s="3" t="s">
        <v>2576</v>
      </c>
      <c r="X577" s="3" t="s">
        <v>2980</v>
      </c>
      <c r="Y577" s="3" t="s">
        <v>12670</v>
      </c>
      <c r="AA577" s="3" t="s">
        <v>2544</v>
      </c>
      <c r="AB577" s="3" t="s">
        <v>2545</v>
      </c>
      <c r="AC577" s="3" t="s">
        <v>297</v>
      </c>
      <c r="AD577" s="3">
        <v>59</v>
      </c>
      <c r="AE577" s="3"/>
      <c r="AF577" s="3" t="s">
        <v>128</v>
      </c>
      <c r="AG577" s="3" t="s">
        <v>17265</v>
      </c>
      <c r="AH577" s="3" t="s">
        <v>3469</v>
      </c>
      <c r="AI577" s="3" t="s">
        <v>101</v>
      </c>
      <c r="AJ577" s="3" t="s">
        <v>2741</v>
      </c>
      <c r="AK577" s="3" t="s">
        <v>12828</v>
      </c>
      <c r="AL577" s="3" t="s">
        <v>2550</v>
      </c>
      <c r="AM577" s="3">
        <v>4</v>
      </c>
      <c r="AP577" s="7" t="s">
        <v>17266</v>
      </c>
      <c r="AQ577" s="7" t="s">
        <v>17267</v>
      </c>
      <c r="AS577" s="7" t="s">
        <v>17268</v>
      </c>
    </row>
    <row r="578" spans="1:45" ht="12.5" hidden="1" x14ac:dyDescent="0.25">
      <c r="A578" s="3" t="s">
        <v>12652</v>
      </c>
      <c r="B578" s="21" t="str">
        <f>HYPERLINK("https://gerandofalcoes.my.salesforce.com/0014P00003SGWPlQAP", "0014P00003SGWPlQAP")</f>
        <v>0014P00003SGWPlQAP</v>
      </c>
      <c r="C578" s="3" t="s">
        <v>2015</v>
      </c>
      <c r="D578" s="3" t="s">
        <v>46</v>
      </c>
      <c r="E578" s="21" t="str">
        <f>HYPERLINK("https://gerandofalcoes.my.salesforce.com/0034P000043fOns", "0034P000043fOns")</f>
        <v>0034P000043fOns</v>
      </c>
      <c r="F578" s="3" t="s">
        <v>3473</v>
      </c>
      <c r="G578" s="3" t="s">
        <v>17269</v>
      </c>
      <c r="H578" s="3" t="s">
        <v>2538</v>
      </c>
      <c r="I578" s="3" t="s">
        <v>2618</v>
      </c>
      <c r="J578" s="3">
        <v>364</v>
      </c>
      <c r="K578" s="3" t="s">
        <v>2019</v>
      </c>
      <c r="L578" s="3" t="s">
        <v>17270</v>
      </c>
      <c r="M578" s="6">
        <v>29546</v>
      </c>
      <c r="N578" s="3">
        <v>42</v>
      </c>
      <c r="O578" s="3">
        <v>292876221</v>
      </c>
      <c r="P578" s="3">
        <v>29736308863</v>
      </c>
      <c r="Q578" s="3" t="s">
        <v>3477</v>
      </c>
      <c r="S578" s="3" t="s">
        <v>3137</v>
      </c>
      <c r="T578" s="3" t="s">
        <v>12723</v>
      </c>
      <c r="U578" s="3" t="s">
        <v>62</v>
      </c>
      <c r="V578" s="3" t="s">
        <v>17271</v>
      </c>
      <c r="W578" s="3" t="s">
        <v>2541</v>
      </c>
      <c r="X578" s="3" t="s">
        <v>2980</v>
      </c>
      <c r="Y578" s="3" t="s">
        <v>12670</v>
      </c>
      <c r="AA578" s="3" t="s">
        <v>2544</v>
      </c>
      <c r="AB578" s="3" t="s">
        <v>2545</v>
      </c>
      <c r="AC578" s="3" t="s">
        <v>3478</v>
      </c>
      <c r="AD578" s="3">
        <v>751</v>
      </c>
      <c r="AF578" s="3" t="s">
        <v>393</v>
      </c>
      <c r="AG578" s="3" t="s">
        <v>17272</v>
      </c>
      <c r="AH578" s="3" t="s">
        <v>3479</v>
      </c>
      <c r="AI578" s="3" t="s">
        <v>101</v>
      </c>
      <c r="AJ578" s="3" t="s">
        <v>2569</v>
      </c>
      <c r="AK578" s="3" t="s">
        <v>12729</v>
      </c>
      <c r="AL578" s="3" t="s">
        <v>2550</v>
      </c>
      <c r="AM578" s="3">
        <v>2</v>
      </c>
      <c r="AP578" s="7" t="s">
        <v>17273</v>
      </c>
      <c r="AQ578" s="7" t="s">
        <v>17274</v>
      </c>
      <c r="AS578" s="7" t="s">
        <v>17275</v>
      </c>
    </row>
    <row r="579" spans="1:45" ht="12.5" hidden="1" x14ac:dyDescent="0.25">
      <c r="A579" s="3" t="s">
        <v>12652</v>
      </c>
      <c r="B579" s="21" t="str">
        <f>HYPERLINK("https://gerandofalcoes.my.salesforce.com/0014P00003SGWPmQAP", "0014P00003SGWPmQAP")</f>
        <v>0014P00003SGWPmQAP</v>
      </c>
      <c r="C579" s="3" t="s">
        <v>2031</v>
      </c>
      <c r="D579" s="3" t="s">
        <v>46</v>
      </c>
      <c r="E579" s="21" t="str">
        <f>HYPERLINK("https://gerandofalcoes.my.salesforce.com/0034P000043fOnt", "0034P000043fOnt")</f>
        <v>0034P000043fOnt</v>
      </c>
      <c r="F579" s="3" t="s">
        <v>3483</v>
      </c>
      <c r="G579" s="3" t="s">
        <v>3484</v>
      </c>
      <c r="H579" s="3" t="s">
        <v>2538</v>
      </c>
      <c r="I579" s="3" t="s">
        <v>2618</v>
      </c>
      <c r="J579" s="3">
        <v>364</v>
      </c>
      <c r="K579" s="3" t="s">
        <v>3485</v>
      </c>
      <c r="L579" s="3" t="s">
        <v>2036</v>
      </c>
      <c r="M579" s="8">
        <v>32536</v>
      </c>
      <c r="N579" s="3">
        <v>33</v>
      </c>
      <c r="O579" s="3">
        <v>7545646</v>
      </c>
      <c r="P579" s="3">
        <v>99848422234</v>
      </c>
      <c r="Q579" s="3"/>
      <c r="S579" s="3" t="s">
        <v>15607</v>
      </c>
      <c r="T579" s="3" t="s">
        <v>12682</v>
      </c>
      <c r="U579" s="3" t="s">
        <v>62</v>
      </c>
      <c r="V579" s="3" t="s">
        <v>17276</v>
      </c>
      <c r="W579" s="3" t="s">
        <v>2541</v>
      </c>
      <c r="X579" s="3" t="s">
        <v>2980</v>
      </c>
      <c r="Y579" s="3" t="s">
        <v>12684</v>
      </c>
      <c r="AA579" s="3"/>
      <c r="AB579" s="3"/>
      <c r="AC579" s="3" t="s">
        <v>17277</v>
      </c>
      <c r="AD579" s="3">
        <v>89</v>
      </c>
      <c r="AE579" s="3" t="s">
        <v>1539</v>
      </c>
      <c r="AF579" s="3" t="s">
        <v>1149</v>
      </c>
      <c r="AG579" s="3" t="s">
        <v>17278</v>
      </c>
      <c r="AH579" s="3" t="s">
        <v>3488</v>
      </c>
      <c r="AI579" s="3" t="s">
        <v>557</v>
      </c>
      <c r="AJ579" s="3" t="s">
        <v>2569</v>
      </c>
      <c r="AK579" s="3" t="s">
        <v>12661</v>
      </c>
      <c r="AL579" s="3" t="s">
        <v>2550</v>
      </c>
      <c r="AM579" s="3">
        <v>7</v>
      </c>
      <c r="AP579" s="7" t="s">
        <v>17279</v>
      </c>
      <c r="AQ579" s="3" t="s">
        <v>17280</v>
      </c>
      <c r="AS579" s="7" t="s">
        <v>17281</v>
      </c>
    </row>
    <row r="580" spans="1:45" ht="12.5" hidden="1" x14ac:dyDescent="0.25">
      <c r="A580" s="3" t="s">
        <v>12652</v>
      </c>
      <c r="B580" s="21" t="str">
        <f>HYPERLINK("https://gerandofalcoes.my.salesforce.com/0014P00003SGWPnQAP", "0014P00003SGWPnQAP")</f>
        <v>0014P00003SGWPnQAP</v>
      </c>
      <c r="C580" s="3" t="s">
        <v>2055</v>
      </c>
      <c r="D580" s="3" t="s">
        <v>46</v>
      </c>
      <c r="E580" s="21" t="str">
        <f>HYPERLINK("https://gerandofalcoes.my.salesforce.com/0034P000043fPDj", "0034P000043fPDj")</f>
        <v>0034P000043fPDj</v>
      </c>
      <c r="F580" s="3" t="s">
        <v>3492</v>
      </c>
      <c r="G580" s="3" t="s">
        <v>3493</v>
      </c>
      <c r="H580" s="3" t="s">
        <v>2538</v>
      </c>
      <c r="I580" s="3" t="s">
        <v>2618</v>
      </c>
      <c r="J580" s="3">
        <v>364</v>
      </c>
      <c r="K580" s="3" t="s">
        <v>3494</v>
      </c>
      <c r="L580" s="3" t="s">
        <v>3495</v>
      </c>
      <c r="M580" s="6">
        <v>27583</v>
      </c>
      <c r="N580" s="3">
        <v>47</v>
      </c>
      <c r="O580" s="3">
        <v>109220079</v>
      </c>
      <c r="P580" s="3">
        <v>4786934780</v>
      </c>
      <c r="Q580" s="3" t="s">
        <v>3496</v>
      </c>
      <c r="R580" s="3" t="s">
        <v>3497</v>
      </c>
      <c r="S580" s="3" t="s">
        <v>3498</v>
      </c>
      <c r="T580" s="3" t="s">
        <v>12723</v>
      </c>
      <c r="U580" s="3" t="s">
        <v>120</v>
      </c>
      <c r="V580" s="3"/>
      <c r="W580" s="3" t="s">
        <v>2541</v>
      </c>
      <c r="X580" s="3" t="s">
        <v>2980</v>
      </c>
      <c r="Y580" s="3"/>
      <c r="AA580" s="3" t="s">
        <v>2544</v>
      </c>
      <c r="AC580" s="3" t="s">
        <v>3499</v>
      </c>
      <c r="AD580" s="3">
        <v>53</v>
      </c>
      <c r="AE580" s="3" t="s">
        <v>3500</v>
      </c>
      <c r="AF580" s="3" t="s">
        <v>626</v>
      </c>
      <c r="AG580" s="3" t="s">
        <v>15619</v>
      </c>
      <c r="AH580" s="3" t="s">
        <v>3501</v>
      </c>
      <c r="AI580" s="3" t="s">
        <v>70</v>
      </c>
      <c r="AJ580" s="3" t="s">
        <v>2741</v>
      </c>
      <c r="AK580" s="3" t="s">
        <v>12661</v>
      </c>
      <c r="AL580" s="3" t="s">
        <v>2550</v>
      </c>
      <c r="AM580" s="3">
        <v>3</v>
      </c>
      <c r="AP580" s="7" t="s">
        <v>15051</v>
      </c>
      <c r="AQ580" s="7" t="s">
        <v>17282</v>
      </c>
      <c r="AS580" s="7" t="s">
        <v>17283</v>
      </c>
    </row>
    <row r="581" spans="1:45" ht="12.5" hidden="1" x14ac:dyDescent="0.25">
      <c r="A581" s="3" t="s">
        <v>12652</v>
      </c>
      <c r="B581" s="21" t="str">
        <f>HYPERLINK("https://gerandofalcoes.my.salesforce.com/0014P00003SGWPoQAP", "0014P00003SGWPoQAP")</f>
        <v>0014P00003SGWPoQAP</v>
      </c>
      <c r="C581" s="3" t="s">
        <v>2082</v>
      </c>
      <c r="D581" s="3" t="s">
        <v>152</v>
      </c>
      <c r="E581" s="21" t="str">
        <f>HYPERLINK("https://gerandofalcoes.my.salesforce.com/0034P000043fPDk", "0034P000043fPDk")</f>
        <v>0034P000043fPDk</v>
      </c>
      <c r="F581" s="3" t="s">
        <v>3504</v>
      </c>
      <c r="G581" s="3" t="s">
        <v>3505</v>
      </c>
      <c r="H581" s="3" t="s">
        <v>2538</v>
      </c>
      <c r="I581" s="3" t="s">
        <v>2618</v>
      </c>
      <c r="J581" s="3">
        <v>364</v>
      </c>
      <c r="K581" s="3" t="s">
        <v>17284</v>
      </c>
      <c r="L581" s="3" t="s">
        <v>12397</v>
      </c>
      <c r="M581" s="6">
        <v>32066</v>
      </c>
      <c r="N581" s="3">
        <v>35</v>
      </c>
      <c r="O581" s="3">
        <v>2003021012119</v>
      </c>
      <c r="P581" s="3">
        <v>2057633322</v>
      </c>
      <c r="Q581" s="3" t="s">
        <v>2625</v>
      </c>
      <c r="R581" s="3" t="s">
        <v>3507</v>
      </c>
      <c r="S581" s="3" t="s">
        <v>3417</v>
      </c>
      <c r="T581" s="3" t="s">
        <v>12656</v>
      </c>
      <c r="U581" s="3" t="s">
        <v>120</v>
      </c>
      <c r="V581" s="3" t="s">
        <v>17285</v>
      </c>
      <c r="W581" s="3" t="s">
        <v>2576</v>
      </c>
      <c r="X581" s="3" t="s">
        <v>3508</v>
      </c>
      <c r="Y581" s="3" t="s">
        <v>12670</v>
      </c>
      <c r="AA581" s="3" t="s">
        <v>2577</v>
      </c>
      <c r="AB581" s="3" t="s">
        <v>2545</v>
      </c>
      <c r="AC581" s="3" t="s">
        <v>2088</v>
      </c>
      <c r="AD581" s="3">
        <v>295</v>
      </c>
      <c r="AE581" s="3" t="s">
        <v>3510</v>
      </c>
      <c r="AF581" s="3" t="s">
        <v>2089</v>
      </c>
      <c r="AG581" s="3" t="s">
        <v>647</v>
      </c>
      <c r="AH581" s="3" t="s">
        <v>3511</v>
      </c>
      <c r="AI581" s="3" t="s">
        <v>468</v>
      </c>
      <c r="AJ581" s="3" t="s">
        <v>2741</v>
      </c>
      <c r="AK581" s="3" t="s">
        <v>12674</v>
      </c>
      <c r="AL581" s="3" t="s">
        <v>2550</v>
      </c>
      <c r="AM581" s="3">
        <v>3</v>
      </c>
      <c r="AP581" s="7" t="s">
        <v>17286</v>
      </c>
      <c r="AQ581" s="7" t="s">
        <v>17287</v>
      </c>
      <c r="AS581" s="7" t="s">
        <v>17288</v>
      </c>
    </row>
    <row r="582" spans="1:45" ht="12.5" hidden="1" x14ac:dyDescent="0.25">
      <c r="A582" s="3" t="s">
        <v>12652</v>
      </c>
      <c r="B582" s="21" t="str">
        <f>HYPERLINK("https://gerandofalcoes.my.salesforce.com/0014P00003SGWPpQAP", "0014P00003SGWPpQAP")</f>
        <v>0014P00003SGWPpQAP</v>
      </c>
      <c r="C582" s="3" t="s">
        <v>2099</v>
      </c>
      <c r="D582" s="3" t="s">
        <v>152</v>
      </c>
      <c r="E582" s="21" t="str">
        <f>HYPERLINK("https://gerandofalcoes.my.salesforce.com/0034P000043fOnu", "0034P000043fOnu")</f>
        <v>0034P000043fOnu</v>
      </c>
      <c r="F582" s="3" t="s">
        <v>3515</v>
      </c>
      <c r="G582" s="3" t="s">
        <v>3516</v>
      </c>
      <c r="H582" s="3" t="s">
        <v>2538</v>
      </c>
      <c r="I582" s="3" t="s">
        <v>2618</v>
      </c>
      <c r="J582" s="3">
        <v>364</v>
      </c>
      <c r="K582" s="3" t="s">
        <v>3517</v>
      </c>
      <c r="L582" s="3" t="s">
        <v>12407</v>
      </c>
      <c r="M582" s="8">
        <v>35217</v>
      </c>
      <c r="N582" s="3">
        <v>26</v>
      </c>
      <c r="O582" s="3">
        <v>18694251</v>
      </c>
      <c r="P582" s="3">
        <v>12884455639</v>
      </c>
      <c r="Q582" s="3" t="s">
        <v>3136</v>
      </c>
      <c r="R582" s="3"/>
      <c r="S582" s="3" t="s">
        <v>3269</v>
      </c>
      <c r="T582" s="3" t="s">
        <v>12723</v>
      </c>
      <c r="U582" s="3" t="s">
        <v>62</v>
      </c>
      <c r="V582" s="3" t="s">
        <v>17289</v>
      </c>
      <c r="W582" s="3" t="s">
        <v>2576</v>
      </c>
      <c r="X582" s="3" t="s">
        <v>2980</v>
      </c>
      <c r="Y582" s="3" t="s">
        <v>12670</v>
      </c>
      <c r="AA582" s="3" t="s">
        <v>2544</v>
      </c>
      <c r="AB582" s="3" t="s">
        <v>2545</v>
      </c>
      <c r="AC582" s="3" t="s">
        <v>17290</v>
      </c>
      <c r="AD582" s="3">
        <v>34</v>
      </c>
      <c r="AE582" s="3" t="s">
        <v>2864</v>
      </c>
      <c r="AF582" s="3" t="s">
        <v>12408</v>
      </c>
      <c r="AG582" s="3" t="s">
        <v>17291</v>
      </c>
      <c r="AH582" s="3" t="s">
        <v>3520</v>
      </c>
      <c r="AI582" s="3" t="s">
        <v>84</v>
      </c>
      <c r="AJ582" s="3" t="s">
        <v>2569</v>
      </c>
      <c r="AK582" s="3" t="s">
        <v>12674</v>
      </c>
      <c r="AL582" s="3" t="s">
        <v>2579</v>
      </c>
      <c r="AM582" s="3">
        <v>3</v>
      </c>
      <c r="AP582" s="7" t="s">
        <v>17292</v>
      </c>
      <c r="AQ582" s="7" t="s">
        <v>17293</v>
      </c>
      <c r="AS582" s="7" t="s">
        <v>17294</v>
      </c>
    </row>
    <row r="583" spans="1:45" ht="12.5" hidden="1" x14ac:dyDescent="0.25">
      <c r="A583" s="3" t="s">
        <v>12652</v>
      </c>
      <c r="B583" s="21" t="str">
        <f>HYPERLINK("https://gerandofalcoes.my.salesforce.com/0014P00003SGWPqQAP", "0014P00003SGWPqQAP")</f>
        <v>0014P00003SGWPqQAP</v>
      </c>
      <c r="C583" s="3" t="s">
        <v>2122</v>
      </c>
      <c r="D583" s="3" t="s">
        <v>46</v>
      </c>
      <c r="E583" s="21" t="str">
        <f>HYPERLINK("https://gerandofalcoes.my.salesforce.com/0034P000043fOnv", "0034P000043fOnv")</f>
        <v>0034P000043fOnv</v>
      </c>
      <c r="F583" s="3" t="s">
        <v>3294</v>
      </c>
      <c r="G583" s="3" t="s">
        <v>3523</v>
      </c>
      <c r="H583" s="3" t="s">
        <v>2538</v>
      </c>
      <c r="I583" s="3" t="s">
        <v>2618</v>
      </c>
      <c r="J583" s="3">
        <v>364</v>
      </c>
      <c r="K583" s="3" t="s">
        <v>3524</v>
      </c>
      <c r="L583" s="3" t="s">
        <v>12423</v>
      </c>
      <c r="M583" s="6">
        <v>31615</v>
      </c>
      <c r="N583" s="3">
        <v>36</v>
      </c>
      <c r="O583" s="3">
        <v>14231133</v>
      </c>
      <c r="P583" s="3">
        <v>7221656681</v>
      </c>
      <c r="Q583" s="3" t="s">
        <v>3526</v>
      </c>
      <c r="S583" s="3" t="s">
        <v>3605</v>
      </c>
      <c r="T583" s="3" t="s">
        <v>12682</v>
      </c>
      <c r="U583" s="3" t="s">
        <v>62</v>
      </c>
      <c r="V583" s="3" t="s">
        <v>17295</v>
      </c>
      <c r="W583" s="3" t="s">
        <v>2541</v>
      </c>
      <c r="X583" s="3" t="s">
        <v>2980</v>
      </c>
      <c r="Y583" s="3" t="s">
        <v>12658</v>
      </c>
      <c r="AA583" s="3" t="s">
        <v>2544</v>
      </c>
      <c r="AB583" s="3" t="s">
        <v>2545</v>
      </c>
      <c r="AC583" s="3" t="s">
        <v>17296</v>
      </c>
      <c r="AD583" s="3">
        <v>162</v>
      </c>
      <c r="AE583" s="3"/>
      <c r="AF583" s="3" t="s">
        <v>6077</v>
      </c>
      <c r="AG583" s="3" t="s">
        <v>17297</v>
      </c>
      <c r="AH583" s="3" t="s">
        <v>3528</v>
      </c>
      <c r="AI583" s="3" t="s">
        <v>84</v>
      </c>
      <c r="AJ583" s="3" t="s">
        <v>2569</v>
      </c>
      <c r="AK583" s="3" t="s">
        <v>12661</v>
      </c>
      <c r="AL583" s="3" t="s">
        <v>2550</v>
      </c>
      <c r="AM583" s="3">
        <v>1</v>
      </c>
      <c r="AP583" s="7" t="s">
        <v>17298</v>
      </c>
      <c r="AQ583" s="7" t="s">
        <v>17299</v>
      </c>
      <c r="AS583" s="7" t="s">
        <v>17300</v>
      </c>
    </row>
    <row r="584" spans="1:45" ht="12.5" hidden="1" x14ac:dyDescent="0.25">
      <c r="A584" s="3" t="s">
        <v>12652</v>
      </c>
      <c r="B584" s="21" t="str">
        <f>HYPERLINK("https://gerandofalcoes.my.salesforce.com/0014P00003SGWPrQAP", "0014P00003SGWPrQAP")</f>
        <v>0014P00003SGWPrQAP</v>
      </c>
      <c r="C584" s="3" t="s">
        <v>2144</v>
      </c>
      <c r="D584" s="3" t="s">
        <v>46</v>
      </c>
      <c r="E584" s="21" t="str">
        <f>HYPERLINK("https://gerandofalcoes.my.salesforce.com/0034P000043fOnw", "0034P000043fOnw")</f>
        <v>0034P000043fOnw</v>
      </c>
      <c r="F584" s="3" t="s">
        <v>3532</v>
      </c>
      <c r="G584" s="3" t="s">
        <v>3533</v>
      </c>
      <c r="H584" s="3" t="s">
        <v>2538</v>
      </c>
      <c r="I584" s="3" t="s">
        <v>2618</v>
      </c>
      <c r="J584" s="3">
        <v>364</v>
      </c>
      <c r="K584" s="3" t="s">
        <v>3534</v>
      </c>
      <c r="L584" s="3" t="s">
        <v>12440</v>
      </c>
      <c r="M584" s="6">
        <v>29634</v>
      </c>
      <c r="N584" s="3">
        <v>41</v>
      </c>
      <c r="O584" s="3">
        <v>755230949</v>
      </c>
      <c r="P584" s="4" t="s">
        <v>17301</v>
      </c>
      <c r="Q584" s="3" t="s">
        <v>3536</v>
      </c>
      <c r="S584" s="3" t="s">
        <v>2998</v>
      </c>
      <c r="T584" s="3" t="s">
        <v>12723</v>
      </c>
      <c r="U584" s="3" t="s">
        <v>120</v>
      </c>
      <c r="V584" s="3" t="s">
        <v>17302</v>
      </c>
      <c r="W584" s="3" t="s">
        <v>2576</v>
      </c>
      <c r="X584" s="3" t="s">
        <v>2980</v>
      </c>
      <c r="Y584" s="3" t="s">
        <v>12670</v>
      </c>
      <c r="AA584" s="3" t="s">
        <v>2737</v>
      </c>
      <c r="AB584" s="3" t="s">
        <v>2543</v>
      </c>
      <c r="AC584" s="3" t="s">
        <v>17303</v>
      </c>
      <c r="AD584" s="3" t="s">
        <v>17304</v>
      </c>
      <c r="AE584" s="3" t="s">
        <v>17305</v>
      </c>
      <c r="AF584" s="3" t="s">
        <v>12441</v>
      </c>
      <c r="AG584" s="3" t="s">
        <v>17306</v>
      </c>
      <c r="AH584" s="3" t="s">
        <v>12442</v>
      </c>
      <c r="AI584" s="3" t="s">
        <v>1002</v>
      </c>
      <c r="AJ584" s="3" t="s">
        <v>2569</v>
      </c>
      <c r="AK584" s="3" t="s">
        <v>12729</v>
      </c>
      <c r="AL584" s="3" t="s">
        <v>2588</v>
      </c>
      <c r="AM584" s="3">
        <v>4</v>
      </c>
      <c r="AP584" s="7" t="s">
        <v>17307</v>
      </c>
      <c r="AQ584" s="7" t="s">
        <v>17308</v>
      </c>
      <c r="AS584" s="7" t="s">
        <v>17309</v>
      </c>
    </row>
    <row r="585" spans="1:45" ht="12.5" hidden="1" x14ac:dyDescent="0.25">
      <c r="A585" s="3" t="s">
        <v>12652</v>
      </c>
      <c r="B585" s="21" t="str">
        <f>HYPERLINK("https://gerandofalcoes.my.salesforce.com/0014P00003SGWPsQAP", "0014P00003SGWPsQAP")</f>
        <v>0014P00003SGWPsQAP</v>
      </c>
      <c r="C585" s="3" t="s">
        <v>2167</v>
      </c>
      <c r="D585" s="3" t="s">
        <v>152</v>
      </c>
      <c r="E585" s="21" t="str">
        <f>HYPERLINK("https://gerandofalcoes.my.salesforce.com/0034P000043fOnx", "0034P000043fOnx")</f>
        <v>0034P000043fOnx</v>
      </c>
      <c r="F585" s="3" t="s">
        <v>3542</v>
      </c>
      <c r="G585" s="3" t="s">
        <v>3543</v>
      </c>
      <c r="H585" s="3" t="s">
        <v>2538</v>
      </c>
      <c r="I585" s="3" t="s">
        <v>2618</v>
      </c>
      <c r="J585" s="3">
        <v>364</v>
      </c>
      <c r="K585" s="3" t="s">
        <v>3544</v>
      </c>
      <c r="L585" s="3" t="s">
        <v>12458</v>
      </c>
      <c r="M585" s="6">
        <v>24031</v>
      </c>
      <c r="N585" s="3">
        <v>57</v>
      </c>
      <c r="O585" s="3">
        <v>3631829</v>
      </c>
      <c r="P585" s="3">
        <v>52308480653</v>
      </c>
      <c r="Q585" s="3" t="s">
        <v>3545</v>
      </c>
      <c r="S585" s="3" t="s">
        <v>3137</v>
      </c>
      <c r="T585" s="3" t="s">
        <v>12723</v>
      </c>
      <c r="U585" s="3" t="s">
        <v>62</v>
      </c>
      <c r="V585" s="3" t="s">
        <v>17310</v>
      </c>
      <c r="W585" s="3" t="s">
        <v>2541</v>
      </c>
      <c r="X585" s="3" t="s">
        <v>2980</v>
      </c>
      <c r="Y585" s="3" t="s">
        <v>12670</v>
      </c>
      <c r="AA585" s="3" t="s">
        <v>2577</v>
      </c>
      <c r="AB585" s="3" t="s">
        <v>2545</v>
      </c>
      <c r="AC585" s="3" t="s">
        <v>17311</v>
      </c>
      <c r="AD585" s="3">
        <v>19</v>
      </c>
      <c r="AE585" s="3" t="s">
        <v>673</v>
      </c>
      <c r="AF585" s="3" t="s">
        <v>2174</v>
      </c>
      <c r="AG585" s="3" t="s">
        <v>647</v>
      </c>
      <c r="AH585" s="3" t="s">
        <v>17312</v>
      </c>
      <c r="AI585" s="3" t="s">
        <v>84</v>
      </c>
      <c r="AJ585" s="3" t="s">
        <v>2741</v>
      </c>
      <c r="AK585" s="3" t="s">
        <v>12729</v>
      </c>
      <c r="AL585" s="3" t="s">
        <v>2550</v>
      </c>
      <c r="AM585" s="3">
        <v>3</v>
      </c>
      <c r="AP585" s="7" t="s">
        <v>17313</v>
      </c>
      <c r="AQ585" s="3" t="s">
        <v>17314</v>
      </c>
      <c r="AS585" s="7" t="s">
        <v>17315</v>
      </c>
    </row>
    <row r="586" spans="1:45" ht="12.5" hidden="1" x14ac:dyDescent="0.25">
      <c r="A586" s="3" t="s">
        <v>12652</v>
      </c>
      <c r="B586" s="21" t="str">
        <f>HYPERLINK("https://gerandofalcoes.my.salesforce.com/0014P00003SGWPtQAP", "0014P00003SGWPtQAP")</f>
        <v>0014P00003SGWPtQAP</v>
      </c>
      <c r="C586" s="3" t="s">
        <v>2188</v>
      </c>
      <c r="D586" s="3" t="s">
        <v>46</v>
      </c>
      <c r="E586" s="21" t="str">
        <f>HYPERLINK("https://gerandofalcoes.my.salesforce.com/0034P000043fPDl", "0034P000043fPDl")</f>
        <v>0034P000043fPDl</v>
      </c>
      <c r="F586" s="3" t="s">
        <v>3552</v>
      </c>
      <c r="G586" s="3" t="s">
        <v>3553</v>
      </c>
      <c r="H586" s="3" t="s">
        <v>2538</v>
      </c>
      <c r="I586" s="3" t="s">
        <v>2618</v>
      </c>
      <c r="J586" s="3">
        <v>364</v>
      </c>
      <c r="K586" s="3" t="s">
        <v>2192</v>
      </c>
      <c r="L586" s="3" t="s">
        <v>12470</v>
      </c>
      <c r="M586" s="8">
        <v>26595</v>
      </c>
      <c r="N586" s="3">
        <v>50</v>
      </c>
      <c r="O586" s="3">
        <v>2167447</v>
      </c>
      <c r="P586" s="3">
        <v>49008650363</v>
      </c>
      <c r="Q586" s="3" t="s">
        <v>3555</v>
      </c>
      <c r="S586" s="3" t="s">
        <v>2998</v>
      </c>
      <c r="T586" s="3" t="s">
        <v>12656</v>
      </c>
      <c r="U586" s="3" t="s">
        <v>62</v>
      </c>
      <c r="V586" s="3" t="s">
        <v>17316</v>
      </c>
      <c r="W586" s="3" t="s">
        <v>2541</v>
      </c>
      <c r="X586" s="3" t="s">
        <v>2980</v>
      </c>
      <c r="Y586" s="3" t="s">
        <v>12670</v>
      </c>
      <c r="AA586" s="3" t="s">
        <v>2544</v>
      </c>
      <c r="AB586" s="3" t="s">
        <v>2545</v>
      </c>
      <c r="AC586" s="3" t="s">
        <v>17317</v>
      </c>
      <c r="AD586" s="3">
        <v>12</v>
      </c>
      <c r="AE586" s="3" t="s">
        <v>17318</v>
      </c>
      <c r="AF586" s="3" t="s">
        <v>2195</v>
      </c>
      <c r="AG586" s="3" t="s">
        <v>17319</v>
      </c>
      <c r="AH586" s="3" t="s">
        <v>3557</v>
      </c>
      <c r="AI586" s="3" t="s">
        <v>1381</v>
      </c>
      <c r="AJ586" s="3" t="s">
        <v>2569</v>
      </c>
      <c r="AK586" s="3" t="s">
        <v>16749</v>
      </c>
      <c r="AL586" s="3" t="s">
        <v>2550</v>
      </c>
      <c r="AM586" s="3">
        <v>4</v>
      </c>
      <c r="AP586" s="7" t="s">
        <v>17320</v>
      </c>
      <c r="AQ586" s="7" t="s">
        <v>17321</v>
      </c>
      <c r="AS586" s="7" t="s">
        <v>17322</v>
      </c>
    </row>
    <row r="587" spans="1:45" ht="12.5" hidden="1" x14ac:dyDescent="0.25">
      <c r="A587" s="3" t="s">
        <v>12652</v>
      </c>
      <c r="B587" s="21" t="str">
        <f>HYPERLINK("https://gerandofalcoes.my.salesforce.com/0014P00003SGWFqQAP", "0014P00003SGWFqQAP")</f>
        <v>0014P00003SGWFqQAP</v>
      </c>
      <c r="C587" s="3" t="s">
        <v>2227</v>
      </c>
      <c r="D587" s="3" t="s">
        <v>46</v>
      </c>
      <c r="E587" s="21" t="str">
        <f>HYPERLINK("https://gerandofalcoes.my.salesforce.com/0034P000043fOnQ", "0034P000043fOnQ")</f>
        <v>0034P000043fOnQ</v>
      </c>
      <c r="F587" s="3" t="s">
        <v>3592</v>
      </c>
      <c r="G587" s="3" t="s">
        <v>3593</v>
      </c>
      <c r="H587" s="3" t="s">
        <v>2538</v>
      </c>
      <c r="I587" s="3" t="s">
        <v>2618</v>
      </c>
      <c r="J587" s="3">
        <v>364</v>
      </c>
      <c r="K587" s="3" t="s">
        <v>3594</v>
      </c>
      <c r="L587" s="3" t="s">
        <v>12480</v>
      </c>
      <c r="M587" s="8">
        <v>28694</v>
      </c>
      <c r="N587" s="3">
        <v>44</v>
      </c>
      <c r="O587" s="3">
        <v>11090748</v>
      </c>
      <c r="P587" s="3">
        <v>4131828600</v>
      </c>
      <c r="Q587" s="3" t="s">
        <v>2647</v>
      </c>
      <c r="R587" s="3" t="s">
        <v>3596</v>
      </c>
      <c r="S587" s="3" t="s">
        <v>3137</v>
      </c>
      <c r="T587" s="3" t="s">
        <v>12656</v>
      </c>
      <c r="U587" s="3" t="s">
        <v>120</v>
      </c>
      <c r="V587" s="3" t="s">
        <v>17323</v>
      </c>
      <c r="W587" s="3" t="s">
        <v>2541</v>
      </c>
      <c r="X587" s="3" t="s">
        <v>2980</v>
      </c>
      <c r="Y587" s="3" t="s">
        <v>12670</v>
      </c>
      <c r="AA587" s="3" t="s">
        <v>2544</v>
      </c>
      <c r="AB587" s="3" t="s">
        <v>2545</v>
      </c>
      <c r="AC587" s="3" t="s">
        <v>17324</v>
      </c>
      <c r="AD587" s="3">
        <v>76</v>
      </c>
      <c r="AE587" s="3"/>
      <c r="AF587" s="3" t="s">
        <v>12481</v>
      </c>
      <c r="AG587" s="3" t="s">
        <v>17325</v>
      </c>
      <c r="AH587" s="3" t="s">
        <v>3598</v>
      </c>
      <c r="AI587" s="3" t="s">
        <v>84</v>
      </c>
      <c r="AJ587" s="3" t="s">
        <v>2741</v>
      </c>
      <c r="AK587" s="3" t="s">
        <v>17326</v>
      </c>
      <c r="AL587" s="3" t="s">
        <v>2550</v>
      </c>
      <c r="AM587" s="3">
        <v>6</v>
      </c>
      <c r="AP587" s="7" t="s">
        <v>17327</v>
      </c>
      <c r="AQ587" s="7" t="s">
        <v>17328</v>
      </c>
      <c r="AS587" s="7" t="s">
        <v>17329</v>
      </c>
    </row>
    <row r="588" spans="1:45" ht="12.5" hidden="1" x14ac:dyDescent="0.25">
      <c r="A588" s="3" t="s">
        <v>12652</v>
      </c>
      <c r="B588" s="21" t="str">
        <f>HYPERLINK("https://gerandofalcoes.my.salesforce.com/0014P00003SGWPMQA5", "0014P00003SGWPMQA5")</f>
        <v>0014P00003SGWPMQA5</v>
      </c>
      <c r="C588" s="3" t="s">
        <v>2254</v>
      </c>
      <c r="D588" s="3" t="s">
        <v>46</v>
      </c>
      <c r="E588" s="21" t="str">
        <f>HYPERLINK("https://gerandofalcoes.my.salesforce.com/0034P000043fOnU", "0034P000043fOnU")</f>
        <v>0034P000043fOnU</v>
      </c>
      <c r="F588" s="3" t="s">
        <v>2783</v>
      </c>
      <c r="G588" s="3" t="s">
        <v>3602</v>
      </c>
      <c r="H588" s="3" t="s">
        <v>2538</v>
      </c>
      <c r="I588" s="3" t="s">
        <v>2618</v>
      </c>
      <c r="J588" s="3">
        <v>364</v>
      </c>
      <c r="K588" s="3" t="s">
        <v>3603</v>
      </c>
      <c r="L588" s="3" t="s">
        <v>12497</v>
      </c>
      <c r="M588" s="6">
        <v>27178</v>
      </c>
      <c r="N588" s="3">
        <v>48</v>
      </c>
      <c r="O588" s="3">
        <v>7051290</v>
      </c>
      <c r="P588" s="3">
        <v>3055790618</v>
      </c>
      <c r="Q588" s="3"/>
      <c r="R588" s="3"/>
      <c r="S588" s="3" t="s">
        <v>2998</v>
      </c>
      <c r="T588" s="3" t="s">
        <v>12723</v>
      </c>
      <c r="U588" s="3" t="s">
        <v>62</v>
      </c>
      <c r="V588" s="3" t="s">
        <v>17330</v>
      </c>
      <c r="W588" s="3" t="s">
        <v>2576</v>
      </c>
      <c r="X588" s="3" t="s">
        <v>2980</v>
      </c>
      <c r="Y588" s="3" t="s">
        <v>12736</v>
      </c>
      <c r="AA588" s="3"/>
      <c r="AB588" s="3"/>
      <c r="AC588" s="3" t="s">
        <v>3606</v>
      </c>
      <c r="AD588" s="3">
        <v>79</v>
      </c>
      <c r="AE588" s="3" t="s">
        <v>1539</v>
      </c>
      <c r="AF588" s="3" t="s">
        <v>177</v>
      </c>
      <c r="AG588" s="3" t="s">
        <v>17331</v>
      </c>
      <c r="AH588" s="3" t="s">
        <v>3608</v>
      </c>
      <c r="AI588" s="3" t="s">
        <v>84</v>
      </c>
      <c r="AJ588" s="3" t="s">
        <v>2741</v>
      </c>
      <c r="AK588" s="3" t="s">
        <v>12661</v>
      </c>
      <c r="AL588" s="3" t="s">
        <v>2588</v>
      </c>
      <c r="AM588" s="3">
        <v>5</v>
      </c>
      <c r="AP588" s="3" t="s">
        <v>17332</v>
      </c>
      <c r="AQ588" s="7" t="s">
        <v>17333</v>
      </c>
      <c r="AS588" s="7" t="s">
        <v>17334</v>
      </c>
    </row>
    <row r="589" spans="1:45" ht="12.5" hidden="1" x14ac:dyDescent="0.25">
      <c r="A589" s="3" t="s">
        <v>12652</v>
      </c>
      <c r="B589" s="21" t="str">
        <f>HYPERLINK("https://gerandofalcoes.my.salesforce.com/0014P00003SGWFrQAP", "0014P00003SGWFrQAP")</f>
        <v>0014P00003SGWFrQAP</v>
      </c>
      <c r="C589" s="3" t="s">
        <v>2270</v>
      </c>
      <c r="D589" s="3" t="s">
        <v>46</v>
      </c>
      <c r="E589" s="21" t="str">
        <f>HYPERLINK("https://gerandofalcoes.my.salesforce.com/0034P000043fOnR", "0034P000043fOnR")</f>
        <v>0034P000043fOnR</v>
      </c>
      <c r="F589" s="3" t="s">
        <v>3612</v>
      </c>
      <c r="G589" s="3" t="s">
        <v>3613</v>
      </c>
      <c r="H589" s="3" t="s">
        <v>2538</v>
      </c>
      <c r="I589" s="3" t="s">
        <v>2618</v>
      </c>
      <c r="J589" s="3">
        <v>364</v>
      </c>
      <c r="K589" s="3" t="s">
        <v>3614</v>
      </c>
      <c r="L589" s="3" t="s">
        <v>12506</v>
      </c>
      <c r="M589" s="6">
        <v>31508</v>
      </c>
      <c r="N589" s="3">
        <v>36</v>
      </c>
      <c r="O589" s="3">
        <v>208684654</v>
      </c>
      <c r="P589" s="3">
        <v>10786739770</v>
      </c>
      <c r="Q589" s="3" t="s">
        <v>3616</v>
      </c>
      <c r="S589" s="3" t="s">
        <v>3137</v>
      </c>
      <c r="T589" s="3" t="s">
        <v>12723</v>
      </c>
      <c r="U589" s="3" t="s">
        <v>62</v>
      </c>
      <c r="V589" s="3" t="s">
        <v>17335</v>
      </c>
      <c r="W589" s="3" t="s">
        <v>2541</v>
      </c>
      <c r="X589" s="3" t="s">
        <v>2980</v>
      </c>
      <c r="Y589" s="3" t="s">
        <v>12670</v>
      </c>
      <c r="AA589" s="3" t="s">
        <v>2544</v>
      </c>
      <c r="AB589" s="3" t="s">
        <v>2545</v>
      </c>
      <c r="AC589" s="3" t="s">
        <v>3617</v>
      </c>
      <c r="AD589" s="3">
        <v>383</v>
      </c>
      <c r="AE589" s="3">
        <v>203</v>
      </c>
      <c r="AF589" s="3" t="s">
        <v>12507</v>
      </c>
      <c r="AG589" s="3" t="s">
        <v>17336</v>
      </c>
      <c r="AH589" s="3" t="s">
        <v>3619</v>
      </c>
      <c r="AI589" s="3" t="s">
        <v>70</v>
      </c>
      <c r="AJ589" s="3" t="s">
        <v>2741</v>
      </c>
      <c r="AK589" s="3" t="s">
        <v>12828</v>
      </c>
      <c r="AL589" s="3" t="s">
        <v>2550</v>
      </c>
      <c r="AM589" s="3">
        <v>2</v>
      </c>
      <c r="AP589" s="7" t="s">
        <v>17337</v>
      </c>
      <c r="AQ589" s="7" t="s">
        <v>17338</v>
      </c>
      <c r="AS589" s="7" t="s">
        <v>17339</v>
      </c>
    </row>
    <row r="590" spans="1:45" ht="12.5" hidden="1" x14ac:dyDescent="0.25">
      <c r="A590" s="3" t="s">
        <v>12652</v>
      </c>
      <c r="B590" s="21" t="str">
        <f>HYPERLINK("https://gerandofalcoes.my.salesforce.com/0014P00003SGWFsQAP", "0014P00003SGWFsQAP")</f>
        <v>0014P00003SGWFsQAP</v>
      </c>
      <c r="C590" s="3" t="s">
        <v>2210</v>
      </c>
      <c r="D590" s="3" t="s">
        <v>46</v>
      </c>
      <c r="E590" s="21" t="str">
        <f>HYPERLINK("https://gerandofalcoes.my.salesforce.com/0034P000043fOnS", "0034P000043fOnS")</f>
        <v>0034P000043fOnS</v>
      </c>
      <c r="F590" s="3" t="s">
        <v>3622</v>
      </c>
      <c r="G590" s="3" t="s">
        <v>17340</v>
      </c>
      <c r="H590" s="3" t="s">
        <v>2538</v>
      </c>
      <c r="I590" s="3" t="s">
        <v>2618</v>
      </c>
      <c r="J590" s="3">
        <v>364</v>
      </c>
      <c r="K590" s="3" t="s">
        <v>2213</v>
      </c>
      <c r="L590" s="3" t="s">
        <v>3624</v>
      </c>
      <c r="M590" s="6">
        <v>29772</v>
      </c>
      <c r="N590" s="3">
        <v>41</v>
      </c>
      <c r="O590" s="3">
        <v>3501882</v>
      </c>
      <c r="P590" s="3">
        <v>67547060234</v>
      </c>
      <c r="Q590" s="3" t="s">
        <v>2625</v>
      </c>
      <c r="R590" s="3" t="s">
        <v>3625</v>
      </c>
      <c r="S590" s="3" t="s">
        <v>12864</v>
      </c>
      <c r="T590" s="3" t="s">
        <v>12656</v>
      </c>
      <c r="U590" s="3" t="s">
        <v>62</v>
      </c>
      <c r="V590" s="3" t="s">
        <v>17341</v>
      </c>
      <c r="W590" s="3" t="s">
        <v>2541</v>
      </c>
      <c r="X590" s="3" t="s">
        <v>3508</v>
      </c>
      <c r="Y590" s="3" t="s">
        <v>12658</v>
      </c>
      <c r="AA590" s="3" t="s">
        <v>2544</v>
      </c>
      <c r="AB590" s="3" t="s">
        <v>2543</v>
      </c>
      <c r="AC590" s="3" t="s">
        <v>17342</v>
      </c>
      <c r="AD590" s="3">
        <v>2</v>
      </c>
      <c r="AE590" s="3" t="s">
        <v>3627</v>
      </c>
      <c r="AF590" s="3" t="s">
        <v>12520</v>
      </c>
      <c r="AG590" s="3" t="s">
        <v>2216</v>
      </c>
      <c r="AH590" s="3" t="s">
        <v>3628</v>
      </c>
      <c r="AI590" s="3" t="s">
        <v>1676</v>
      </c>
      <c r="AJ590" s="3" t="s">
        <v>2569</v>
      </c>
      <c r="AK590" s="3" t="s">
        <v>3249</v>
      </c>
      <c r="AL590" s="3" t="s">
        <v>2550</v>
      </c>
      <c r="AM590" s="3">
        <v>5</v>
      </c>
      <c r="AP590" s="7" t="s">
        <v>17343</v>
      </c>
      <c r="AQ590" s="7" t="s">
        <v>17344</v>
      </c>
      <c r="AS590" s="7" t="s">
        <v>17345</v>
      </c>
    </row>
    <row r="591" spans="1:45" ht="12.5" hidden="1" x14ac:dyDescent="0.25">
      <c r="A591" s="3" t="s">
        <v>12652</v>
      </c>
      <c r="B591" s="21" t="str">
        <f>HYPERLINK("https://gerandofalcoes.my.salesforce.com/0014P00003SGWFtQAP", "0014P00003SGWFtQAP")</f>
        <v>0014P00003SGWFtQAP</v>
      </c>
      <c r="C591" s="3" t="s">
        <v>2290</v>
      </c>
      <c r="D591" s="3" t="s">
        <v>152</v>
      </c>
      <c r="E591" s="21" t="str">
        <f>HYPERLINK("https://gerandofalcoes.my.salesforce.com/0034P000043fOnT", "0034P000043fOnT")</f>
        <v>0034P000043fOnT</v>
      </c>
      <c r="F591" s="3" t="s">
        <v>3562</v>
      </c>
      <c r="G591" s="3" t="s">
        <v>3563</v>
      </c>
      <c r="H591" s="3" t="s">
        <v>2538</v>
      </c>
      <c r="I591" s="3" t="s">
        <v>2618</v>
      </c>
      <c r="J591" s="3">
        <v>364</v>
      </c>
      <c r="K591" s="3" t="s">
        <v>3564</v>
      </c>
      <c r="L591" s="3" t="s">
        <v>12530</v>
      </c>
      <c r="M591" s="6">
        <v>31503</v>
      </c>
      <c r="N591" s="3">
        <v>36</v>
      </c>
      <c r="O591" s="3">
        <v>410149871</v>
      </c>
      <c r="P591" s="3">
        <v>33604433819</v>
      </c>
      <c r="Q591" s="3" t="s">
        <v>3566</v>
      </c>
      <c r="R591" s="3" t="s">
        <v>12800</v>
      </c>
      <c r="S591" s="3" t="s">
        <v>3269</v>
      </c>
      <c r="T591" s="3" t="s">
        <v>12723</v>
      </c>
      <c r="U591" s="3" t="s">
        <v>62</v>
      </c>
      <c r="V591" s="3" t="s">
        <v>17346</v>
      </c>
      <c r="W591" s="3" t="s">
        <v>2541</v>
      </c>
      <c r="X591" s="3" t="s">
        <v>2980</v>
      </c>
      <c r="Y591" s="3" t="s">
        <v>12670</v>
      </c>
      <c r="AA591" s="3" t="s">
        <v>2544</v>
      </c>
      <c r="AB591" s="3" t="s">
        <v>2545</v>
      </c>
      <c r="AC591" s="3" t="s">
        <v>17347</v>
      </c>
      <c r="AD591" s="3">
        <v>1591</v>
      </c>
      <c r="AE591" s="3"/>
      <c r="AF591" s="3" t="s">
        <v>128</v>
      </c>
      <c r="AG591" s="3" t="s">
        <v>17348</v>
      </c>
      <c r="AH591" s="3" t="s">
        <v>17349</v>
      </c>
      <c r="AI591" s="3" t="s">
        <v>101</v>
      </c>
      <c r="AJ591" s="3" t="s">
        <v>2741</v>
      </c>
      <c r="AK591" s="3" t="s">
        <v>12828</v>
      </c>
      <c r="AL591" s="3" t="s">
        <v>2588</v>
      </c>
      <c r="AM591" s="3">
        <v>2</v>
      </c>
      <c r="AP591" s="7" t="s">
        <v>17350</v>
      </c>
      <c r="AQ591" s="7" t="s">
        <v>17351</v>
      </c>
      <c r="AS591" s="7" t="s">
        <v>17352</v>
      </c>
    </row>
    <row r="592" spans="1:45" ht="12.5" hidden="1" x14ac:dyDescent="0.25">
      <c r="A592" s="3" t="s">
        <v>12652</v>
      </c>
      <c r="B592" s="21" t="str">
        <f>HYPERLINK("https://gerandofalcoes.my.salesforce.com/0014P00003SGWPLQA5", "0014P00003SGWPLQA5")</f>
        <v>0014P00003SGWPLQA5</v>
      </c>
      <c r="C592" s="3" t="s">
        <v>2308</v>
      </c>
      <c r="D592" s="3" t="s">
        <v>46</v>
      </c>
      <c r="E592" s="21" t="str">
        <f>HYPERLINK("https://gerandofalcoes.my.salesforce.com/0034P000043fPDh", "0034P000043fPDh")</f>
        <v>0034P000043fPDh</v>
      </c>
      <c r="F592" s="3" t="s">
        <v>3640</v>
      </c>
      <c r="G592" s="3" t="s">
        <v>3641</v>
      </c>
      <c r="H592" s="3" t="s">
        <v>2538</v>
      </c>
      <c r="I592" s="3" t="s">
        <v>2618</v>
      </c>
      <c r="J592" s="3">
        <v>364</v>
      </c>
      <c r="K592" s="3" t="s">
        <v>17353</v>
      </c>
      <c r="L592" s="3" t="s">
        <v>3643</v>
      </c>
      <c r="M592" s="6">
        <v>33211</v>
      </c>
      <c r="N592" s="3">
        <v>32</v>
      </c>
      <c r="O592" s="3">
        <v>18538087</v>
      </c>
      <c r="P592" s="3">
        <v>9256638673</v>
      </c>
      <c r="Q592" s="3" t="s">
        <v>3644</v>
      </c>
      <c r="R592" s="3" t="s">
        <v>3645</v>
      </c>
      <c r="S592" s="3" t="s">
        <v>3498</v>
      </c>
      <c r="T592" s="3" t="s">
        <v>12723</v>
      </c>
      <c r="U592" s="3" t="s">
        <v>120</v>
      </c>
      <c r="V592" s="3" t="s">
        <v>17354</v>
      </c>
      <c r="W592" s="3" t="s">
        <v>2541</v>
      </c>
      <c r="X592" s="3" t="s">
        <v>2980</v>
      </c>
      <c r="Y592" s="3" t="s">
        <v>12670</v>
      </c>
      <c r="AA592" s="3" t="s">
        <v>2577</v>
      </c>
      <c r="AB592" s="3" t="s">
        <v>2543</v>
      </c>
      <c r="AC592" s="3" t="s">
        <v>17355</v>
      </c>
      <c r="AD592" s="3" t="s">
        <v>3098</v>
      </c>
      <c r="AE592" s="3" t="s">
        <v>17356</v>
      </c>
      <c r="AF592" s="3" t="s">
        <v>231</v>
      </c>
      <c r="AG592" s="3" t="s">
        <v>4775</v>
      </c>
      <c r="AH592" s="3" t="s">
        <v>17357</v>
      </c>
      <c r="AI592" s="3" t="s">
        <v>51</v>
      </c>
      <c r="AJ592" s="3" t="s">
        <v>2741</v>
      </c>
      <c r="AK592" s="3" t="s">
        <v>12674</v>
      </c>
      <c r="AL592" s="3" t="s">
        <v>2588</v>
      </c>
      <c r="AM592" s="3">
        <v>2</v>
      </c>
      <c r="AP592" s="7" t="s">
        <v>17358</v>
      </c>
      <c r="AQ592" s="7" t="s">
        <v>17359</v>
      </c>
      <c r="AS592" s="7" t="s">
        <v>17360</v>
      </c>
    </row>
    <row r="593" spans="1:45" ht="12.5" hidden="1" x14ac:dyDescent="0.25">
      <c r="A593" s="3" t="s">
        <v>12652</v>
      </c>
      <c r="B593" s="21" t="str">
        <f>HYPERLINK("https://gerandofalcoes.my.salesforce.com/0014P00003SGWPQQA5", "0014P00003SGWPQQA5")</f>
        <v>0014P00003SGWPQQA5</v>
      </c>
      <c r="C593" s="3" t="s">
        <v>2351</v>
      </c>
      <c r="D593" s="3" t="s">
        <v>152</v>
      </c>
      <c r="E593" s="21" t="str">
        <f>HYPERLINK("https://gerandofalcoes.my.salesforce.com/0034P000043fOnY", "0034P000043fOnY")</f>
        <v>0034P000043fOnY</v>
      </c>
      <c r="F593" s="3" t="s">
        <v>2773</v>
      </c>
      <c r="G593" s="3" t="s">
        <v>3659</v>
      </c>
      <c r="H593" s="3" t="s">
        <v>2538</v>
      </c>
      <c r="I593" s="3" t="s">
        <v>2618</v>
      </c>
      <c r="J593" s="3">
        <v>364</v>
      </c>
      <c r="K593" s="3" t="s">
        <v>3660</v>
      </c>
      <c r="L593" s="3" t="s">
        <v>3661</v>
      </c>
      <c r="M593" s="6">
        <v>29469</v>
      </c>
      <c r="N593" s="3">
        <v>42</v>
      </c>
      <c r="O593" s="3">
        <v>2187640</v>
      </c>
      <c r="P593" s="3">
        <v>3536228429</v>
      </c>
      <c r="Q593" s="3" t="s">
        <v>3662</v>
      </c>
      <c r="R593" s="3" t="s">
        <v>3663</v>
      </c>
      <c r="S593" s="3" t="s">
        <v>3269</v>
      </c>
      <c r="T593" s="3" t="s">
        <v>12723</v>
      </c>
      <c r="U593" s="3" t="s">
        <v>62</v>
      </c>
      <c r="V593" s="3" t="s">
        <v>17361</v>
      </c>
      <c r="W593" s="3" t="s">
        <v>2541</v>
      </c>
      <c r="X593" s="3" t="s">
        <v>2980</v>
      </c>
      <c r="Y593" s="3" t="s">
        <v>12670</v>
      </c>
      <c r="AA593" s="3" t="s">
        <v>2577</v>
      </c>
      <c r="AB593" s="3" t="s">
        <v>2543</v>
      </c>
      <c r="AC593" s="3" t="s">
        <v>3665</v>
      </c>
      <c r="AD593" s="3">
        <v>103</v>
      </c>
      <c r="AE593" s="3" t="s">
        <v>4026</v>
      </c>
      <c r="AF593" s="3" t="s">
        <v>12558</v>
      </c>
      <c r="AG593" s="3" t="s">
        <v>647</v>
      </c>
      <c r="AH593" s="3" t="s">
        <v>3666</v>
      </c>
      <c r="AI593" s="3" t="s">
        <v>1171</v>
      </c>
      <c r="AJ593" s="3" t="s">
        <v>2741</v>
      </c>
      <c r="AK593" s="3" t="s">
        <v>12674</v>
      </c>
      <c r="AL593" s="3" t="s">
        <v>2550</v>
      </c>
      <c r="AM593" s="3">
        <v>3</v>
      </c>
      <c r="AP593" s="3" t="s">
        <v>17362</v>
      </c>
      <c r="AQ593" s="7" t="s">
        <v>17363</v>
      </c>
      <c r="AS593" s="7" t="s">
        <v>17364</v>
      </c>
    </row>
    <row r="594" spans="1:45" ht="12.5" hidden="1" x14ac:dyDescent="0.25">
      <c r="A594" s="3" t="s">
        <v>12652</v>
      </c>
      <c r="B594" s="21" t="str">
        <f>HYPERLINK("https://gerandofalcoes.my.salesforce.com/0014P00003SGWPPQA5", "0014P00003SGWPPQA5")</f>
        <v>0014P00003SGWPPQA5</v>
      </c>
      <c r="C594" s="3" t="s">
        <v>12573</v>
      </c>
      <c r="D594" s="3" t="s">
        <v>152</v>
      </c>
      <c r="E594" s="21" t="str">
        <f>HYPERLINK("https://gerandofalcoes.my.salesforce.com/0034P000043fOnX", "0034P000043fOnX")</f>
        <v>0034P000043fOnX</v>
      </c>
      <c r="F594" s="3" t="s">
        <v>3670</v>
      </c>
      <c r="G594" s="3" t="s">
        <v>3671</v>
      </c>
      <c r="H594" s="3" t="s">
        <v>2538</v>
      </c>
      <c r="I594" s="3" t="s">
        <v>2618</v>
      </c>
      <c r="J594" s="3">
        <v>364</v>
      </c>
      <c r="K594" s="3" t="s">
        <v>3672</v>
      </c>
      <c r="L594" s="3" t="s">
        <v>12576</v>
      </c>
      <c r="M594" s="6">
        <v>33119</v>
      </c>
      <c r="N594" s="3">
        <v>32</v>
      </c>
      <c r="O594" s="3">
        <v>2002010013137</v>
      </c>
      <c r="P594" s="3">
        <v>2767634324</v>
      </c>
      <c r="Q594" s="3" t="s">
        <v>3674</v>
      </c>
      <c r="R594" s="3"/>
      <c r="S594" s="3" t="s">
        <v>2998</v>
      </c>
      <c r="T594" s="3" t="s">
        <v>12682</v>
      </c>
      <c r="U594" s="3" t="s">
        <v>62</v>
      </c>
      <c r="V594" s="3" t="s">
        <v>17365</v>
      </c>
      <c r="W594" s="3" t="s">
        <v>2576</v>
      </c>
      <c r="X594" s="3" t="s">
        <v>2980</v>
      </c>
      <c r="Y594" s="3" t="s">
        <v>12670</v>
      </c>
      <c r="AA594" s="3" t="s">
        <v>2577</v>
      </c>
      <c r="AB594" s="3" t="s">
        <v>2545</v>
      </c>
      <c r="AC594" s="3" t="s">
        <v>3675</v>
      </c>
      <c r="AD594" s="3">
        <v>54</v>
      </c>
      <c r="AE594" s="3" t="s">
        <v>3676</v>
      </c>
      <c r="AF594" s="3" t="s">
        <v>470</v>
      </c>
      <c r="AG594" s="3" t="s">
        <v>17366</v>
      </c>
      <c r="AH594" s="3" t="s">
        <v>3677</v>
      </c>
      <c r="AI594" s="3" t="s">
        <v>468</v>
      </c>
      <c r="AJ594" s="3" t="s">
        <v>2569</v>
      </c>
      <c r="AK594" s="3" t="s">
        <v>12729</v>
      </c>
      <c r="AL594" s="3" t="s">
        <v>2579</v>
      </c>
      <c r="AM594" s="3">
        <v>2</v>
      </c>
      <c r="AP594" s="7" t="s">
        <v>17367</v>
      </c>
      <c r="AQ594" s="7" t="s">
        <v>17368</v>
      </c>
      <c r="AS594" s="7" t="s">
        <v>17369</v>
      </c>
    </row>
    <row r="595" spans="1:45" ht="12.5" hidden="1" x14ac:dyDescent="0.25">
      <c r="A595" s="3" t="s">
        <v>12652</v>
      </c>
      <c r="B595" s="21" t="str">
        <f>HYPERLINK("https://gerandofalcoes.my.salesforce.com/0014P00003SGWPRQA5", "0014P00003SGWPRQA5")</f>
        <v>0014P00003SGWPRQA5</v>
      </c>
      <c r="C595" s="3" t="s">
        <v>2394</v>
      </c>
      <c r="D595" s="3" t="s">
        <v>46</v>
      </c>
      <c r="E595" s="21" t="str">
        <f>HYPERLINK("https://gerandofalcoes.my.salesforce.com/0034P000043fOnZ", "0034P000043fOnZ")</f>
        <v>0034P000043fOnZ</v>
      </c>
      <c r="F595" s="3" t="s">
        <v>3680</v>
      </c>
      <c r="G595" s="3" t="s">
        <v>3681</v>
      </c>
      <c r="H595" s="3" t="s">
        <v>2538</v>
      </c>
      <c r="I595" s="3" t="s">
        <v>2618</v>
      </c>
      <c r="J595" s="3">
        <v>364</v>
      </c>
      <c r="K595" s="3" t="s">
        <v>17370</v>
      </c>
      <c r="L595" s="3" t="s">
        <v>12588</v>
      </c>
      <c r="M595" s="6">
        <v>28797</v>
      </c>
      <c r="N595" s="3">
        <v>44</v>
      </c>
      <c r="O595" s="3">
        <v>4827880</v>
      </c>
      <c r="P595" s="3">
        <v>3205923405</v>
      </c>
      <c r="Q595" s="3" t="s">
        <v>3684</v>
      </c>
      <c r="R595" s="3" t="s">
        <v>2395</v>
      </c>
      <c r="S595" s="3" t="s">
        <v>2998</v>
      </c>
      <c r="T595" s="3" t="s">
        <v>12723</v>
      </c>
      <c r="U595" s="3" t="s">
        <v>62</v>
      </c>
      <c r="V595" s="3" t="s">
        <v>17371</v>
      </c>
      <c r="W595" s="3" t="s">
        <v>2576</v>
      </c>
      <c r="X595" s="3" t="s">
        <v>2980</v>
      </c>
      <c r="Y595" s="3" t="s">
        <v>12670</v>
      </c>
      <c r="AA595" s="3" t="s">
        <v>2577</v>
      </c>
      <c r="AB595" s="3" t="s">
        <v>2545</v>
      </c>
      <c r="AC595" s="3" t="s">
        <v>17372</v>
      </c>
      <c r="AD595" s="3">
        <v>36</v>
      </c>
      <c r="AE595" s="3" t="s">
        <v>17373</v>
      </c>
      <c r="AF595" s="3" t="s">
        <v>8954</v>
      </c>
      <c r="AG595" s="3" t="s">
        <v>17374</v>
      </c>
      <c r="AH595" s="3" t="s">
        <v>17375</v>
      </c>
      <c r="AI595" s="3" t="s">
        <v>379</v>
      </c>
      <c r="AJ595" s="3" t="s">
        <v>2548</v>
      </c>
      <c r="AK595" s="3" t="s">
        <v>12674</v>
      </c>
      <c r="AL595" s="3" t="s">
        <v>2588</v>
      </c>
      <c r="AM595" s="3">
        <v>6</v>
      </c>
      <c r="AP595" s="7" t="s">
        <v>17376</v>
      </c>
      <c r="AQ595" s="3" t="s">
        <v>17377</v>
      </c>
      <c r="AS595" s="7" t="s">
        <v>17378</v>
      </c>
    </row>
    <row r="596" spans="1:45" ht="12.5" hidden="1" x14ac:dyDescent="0.25">
      <c r="A596" s="3" t="s">
        <v>12652</v>
      </c>
      <c r="B596" s="21" t="str">
        <f>HYPERLINK("https://gerandofalcoes.my.salesforce.com/0014P00003SGWPSQA5", "0014P00003SGWPSQA5")</f>
        <v>0014P00003SGWPSQA5</v>
      </c>
      <c r="C596" s="3" t="s">
        <v>2418</v>
      </c>
      <c r="D596" s="3" t="s">
        <v>46</v>
      </c>
      <c r="E596" s="21" t="str">
        <f>HYPERLINK("https://gerandofalcoes.my.salesforce.com/0034P000043fPDi", "0034P000043fPDi")</f>
        <v>0034P000043fPDi</v>
      </c>
      <c r="F596" s="3" t="s">
        <v>3689</v>
      </c>
      <c r="G596" s="3" t="s">
        <v>3690</v>
      </c>
      <c r="H596" s="3" t="s">
        <v>2538</v>
      </c>
      <c r="I596" s="3" t="s">
        <v>2618</v>
      </c>
      <c r="J596" s="3">
        <v>364</v>
      </c>
      <c r="K596" s="3" t="s">
        <v>2422</v>
      </c>
      <c r="L596" s="3" t="s">
        <v>3691</v>
      </c>
      <c r="M596" s="6">
        <v>30947</v>
      </c>
      <c r="N596" s="3">
        <v>38</v>
      </c>
      <c r="O596" s="3">
        <v>207111212</v>
      </c>
      <c r="P596" s="3">
        <v>11335668713</v>
      </c>
      <c r="Q596" s="3" t="s">
        <v>3692</v>
      </c>
      <c r="R596" s="3" t="s">
        <v>3693</v>
      </c>
      <c r="S596" s="3" t="s">
        <v>3137</v>
      </c>
      <c r="T596" s="3" t="s">
        <v>12656</v>
      </c>
      <c r="U596" s="3" t="s">
        <v>120</v>
      </c>
      <c r="V596" s="3" t="s">
        <v>17379</v>
      </c>
      <c r="W596" s="3" t="s">
        <v>2576</v>
      </c>
      <c r="X596" s="3" t="s">
        <v>2980</v>
      </c>
      <c r="Y596" s="3" t="s">
        <v>12670</v>
      </c>
      <c r="AA596" s="3" t="s">
        <v>2577</v>
      </c>
      <c r="AB596" s="3" t="s">
        <v>2545</v>
      </c>
      <c r="AC596" s="3" t="s">
        <v>3694</v>
      </c>
      <c r="AD596" s="3">
        <v>80</v>
      </c>
      <c r="AE596" s="3" t="s">
        <v>1539</v>
      </c>
      <c r="AF596" s="3" t="s">
        <v>2425</v>
      </c>
      <c r="AG596" s="3" t="s">
        <v>647</v>
      </c>
      <c r="AH596" s="3" t="s">
        <v>3695</v>
      </c>
      <c r="AI596" s="3" t="s">
        <v>195</v>
      </c>
      <c r="AJ596" s="3" t="s">
        <v>2741</v>
      </c>
      <c r="AK596" s="3" t="s">
        <v>12661</v>
      </c>
      <c r="AL596" s="3" t="s">
        <v>2588</v>
      </c>
      <c r="AM596" s="3">
        <v>5</v>
      </c>
      <c r="AP596" s="7" t="s">
        <v>17380</v>
      </c>
      <c r="AQ596" s="7" t="s">
        <v>17381</v>
      </c>
      <c r="AS596" s="7" t="s">
        <v>17382</v>
      </c>
    </row>
    <row r="597" spans="1:45" ht="12.5" hidden="1" x14ac:dyDescent="0.25">
      <c r="A597" s="3" t="s">
        <v>12652</v>
      </c>
      <c r="B597" s="21" t="str">
        <f>HYPERLINK("https://gerandofalcoes.my.salesforce.com/0014P00003SGWPTQA5", "0014P00003SGWPTQA5")</f>
        <v>0014P00003SGWPTQA5</v>
      </c>
      <c r="C597" s="3" t="s">
        <v>2439</v>
      </c>
      <c r="D597" s="3" t="s">
        <v>46</v>
      </c>
      <c r="E597" s="21" t="str">
        <f>HYPERLINK("https://gerandofalcoes.my.salesforce.com/0034P000043fOna", "0034P000043fOna")</f>
        <v>0034P000043fOna</v>
      </c>
      <c r="F597" s="3" t="s">
        <v>3699</v>
      </c>
      <c r="G597" s="3" t="s">
        <v>3700</v>
      </c>
      <c r="H597" s="3" t="s">
        <v>2538</v>
      </c>
      <c r="I597" s="3" t="s">
        <v>2618</v>
      </c>
      <c r="J597" s="3">
        <v>364</v>
      </c>
      <c r="K597" s="3" t="s">
        <v>3701</v>
      </c>
      <c r="L597" s="3" t="s">
        <v>12615</v>
      </c>
      <c r="M597" s="6">
        <v>26171</v>
      </c>
      <c r="N597" s="3">
        <v>51</v>
      </c>
      <c r="O597" s="3">
        <v>103827135</v>
      </c>
      <c r="P597" s="3">
        <v>2096782759</v>
      </c>
      <c r="Q597" s="3" t="s">
        <v>2776</v>
      </c>
      <c r="R597" s="3"/>
      <c r="S597" s="3" t="s">
        <v>3137</v>
      </c>
      <c r="T597" s="3" t="s">
        <v>12723</v>
      </c>
      <c r="U597" s="3" t="s">
        <v>62</v>
      </c>
      <c r="V597" s="3" t="s">
        <v>17383</v>
      </c>
      <c r="W597" s="3" t="s">
        <v>2541</v>
      </c>
      <c r="X597" s="3" t="s">
        <v>2980</v>
      </c>
      <c r="Y597" s="3" t="s">
        <v>12670</v>
      </c>
      <c r="AA597" s="3" t="s">
        <v>2544</v>
      </c>
      <c r="AB597" s="3" t="s">
        <v>2545</v>
      </c>
      <c r="AC597" s="3" t="s">
        <v>12614</v>
      </c>
      <c r="AD597" s="3" t="s">
        <v>17384</v>
      </c>
      <c r="AE597" s="3" t="s">
        <v>17385</v>
      </c>
      <c r="AF597" s="3" t="s">
        <v>73</v>
      </c>
      <c r="AG597" s="3" t="s">
        <v>2062</v>
      </c>
      <c r="AH597" s="3" t="s">
        <v>3704</v>
      </c>
      <c r="AI597" s="3" t="s">
        <v>70</v>
      </c>
      <c r="AJ597" s="3" t="s">
        <v>2569</v>
      </c>
      <c r="AK597" s="3" t="s">
        <v>3249</v>
      </c>
      <c r="AL597" s="3" t="s">
        <v>2550</v>
      </c>
      <c r="AM597" s="3">
        <v>3</v>
      </c>
      <c r="AP597" s="7" t="s">
        <v>17386</v>
      </c>
      <c r="AQ597" s="7" t="s">
        <v>17387</v>
      </c>
      <c r="AS597" s="7" t="s">
        <v>17388</v>
      </c>
    </row>
    <row r="598" spans="1:45" ht="12.5" hidden="1" x14ac:dyDescent="0.25">
      <c r="A598" s="3" t="s">
        <v>12652</v>
      </c>
      <c r="B598" s="21" t="str">
        <f>HYPERLINK("https://gerandofalcoes.my.salesforce.com/0014P00003SGWPUQA5", "0014P00003SGWPUQA5")</f>
        <v>0014P00003SGWPUQA5</v>
      </c>
      <c r="C598" s="3" t="s">
        <v>2456</v>
      </c>
      <c r="D598" s="3" t="s">
        <v>46</v>
      </c>
      <c r="E598" s="21" t="str">
        <f>HYPERLINK("https://gerandofalcoes.my.salesforce.com/0034P000043fOnb", "0034P000043fOnb")</f>
        <v>0034P000043fOnb</v>
      </c>
      <c r="F598" s="3" t="s">
        <v>3708</v>
      </c>
      <c r="G598" s="3" t="s">
        <v>3709</v>
      </c>
      <c r="H598" s="3" t="s">
        <v>2538</v>
      </c>
      <c r="I598" s="3" t="s">
        <v>2618</v>
      </c>
      <c r="J598" s="3">
        <v>364</v>
      </c>
      <c r="K598" s="3" t="s">
        <v>3710</v>
      </c>
      <c r="L598" s="3" t="s">
        <v>3711</v>
      </c>
      <c r="M598" s="6">
        <v>26268</v>
      </c>
      <c r="N598" s="3">
        <v>51</v>
      </c>
      <c r="O598" s="3">
        <v>4198456</v>
      </c>
      <c r="P598" s="3">
        <v>78120187687</v>
      </c>
      <c r="Q598" s="3" t="s">
        <v>3712</v>
      </c>
      <c r="S598" s="3" t="s">
        <v>2998</v>
      </c>
      <c r="T598" s="3" t="s">
        <v>12656</v>
      </c>
      <c r="U598" s="3" t="s">
        <v>62</v>
      </c>
      <c r="V598" s="3" t="s">
        <v>17389</v>
      </c>
      <c r="W598" s="3" t="s">
        <v>2541</v>
      </c>
      <c r="X598" s="3" t="s">
        <v>2980</v>
      </c>
      <c r="Y598" s="3" t="s">
        <v>12670</v>
      </c>
      <c r="AA598" s="3" t="s">
        <v>2577</v>
      </c>
      <c r="AB598" s="3" t="s">
        <v>2545</v>
      </c>
      <c r="AC598" s="3" t="s">
        <v>17390</v>
      </c>
      <c r="AD598" s="3">
        <v>118</v>
      </c>
      <c r="AE598" s="3" t="s">
        <v>3714</v>
      </c>
      <c r="AF598" s="3" t="s">
        <v>177</v>
      </c>
      <c r="AG598" s="3" t="s">
        <v>17391</v>
      </c>
      <c r="AH598" s="3" t="s">
        <v>3715</v>
      </c>
      <c r="AI598" s="3" t="s">
        <v>84</v>
      </c>
      <c r="AJ598" s="3" t="s">
        <v>2741</v>
      </c>
      <c r="AK598" s="3" t="s">
        <v>12828</v>
      </c>
      <c r="AL598" s="3" t="s">
        <v>2550</v>
      </c>
      <c r="AM598" s="3">
        <v>4</v>
      </c>
      <c r="AP598" s="7" t="s">
        <v>17392</v>
      </c>
      <c r="AQ598" s="7" t="s">
        <v>17393</v>
      </c>
      <c r="AS598" s="7" t="s">
        <v>17394</v>
      </c>
    </row>
    <row r="599" spans="1:45" ht="12.5" hidden="1" x14ac:dyDescent="0.25">
      <c r="A599" s="3" t="s">
        <v>12652</v>
      </c>
      <c r="B599" s="21" t="str">
        <f>HYPERLINK("https://gerandofalcoes.my.salesforce.com/0014P00003SGWPVQA5", "0014P00003SGWPVQA5")</f>
        <v>0014P00003SGWPVQA5</v>
      </c>
      <c r="C599" s="3" t="s">
        <v>2480</v>
      </c>
      <c r="D599" s="3" t="s">
        <v>46</v>
      </c>
      <c r="E599" s="21" t="str">
        <f>HYPERLINK("https://gerandofalcoes.my.salesforce.com/0034P000043fOnc", "0034P000043fOnc")</f>
        <v>0034P000043fOnc</v>
      </c>
      <c r="F599" s="3" t="s">
        <v>3719</v>
      </c>
      <c r="G599" s="3" t="s">
        <v>3720</v>
      </c>
      <c r="H599" s="3" t="s">
        <v>2538</v>
      </c>
      <c r="I599" s="3" t="s">
        <v>2618</v>
      </c>
      <c r="J599" s="3">
        <v>364</v>
      </c>
      <c r="K599" s="3" t="s">
        <v>17395</v>
      </c>
      <c r="L599" s="3" t="s">
        <v>2485</v>
      </c>
      <c r="M599" s="6">
        <v>32766</v>
      </c>
      <c r="N599" s="3">
        <v>33</v>
      </c>
      <c r="O599" s="3">
        <v>15891455</v>
      </c>
      <c r="P599" s="3">
        <v>9229708666</v>
      </c>
      <c r="Q599" s="3" t="s">
        <v>3723</v>
      </c>
      <c r="S599" s="3" t="s">
        <v>3137</v>
      </c>
      <c r="T599" s="3" t="s">
        <v>12682</v>
      </c>
      <c r="U599" s="3" t="s">
        <v>120</v>
      </c>
      <c r="V599" s="3" t="s">
        <v>17396</v>
      </c>
      <c r="W599" s="3" t="s">
        <v>2541</v>
      </c>
      <c r="X599" s="3" t="s">
        <v>2980</v>
      </c>
      <c r="Y599" s="3" t="s">
        <v>12670</v>
      </c>
      <c r="AA599" s="3" t="s">
        <v>2544</v>
      </c>
      <c r="AB599" s="3" t="s">
        <v>2543</v>
      </c>
      <c r="AC599" s="3" t="s">
        <v>17397</v>
      </c>
      <c r="AD599" s="3">
        <v>425</v>
      </c>
      <c r="AE599" s="3" t="s">
        <v>1539</v>
      </c>
      <c r="AF599" s="3" t="s">
        <v>12635</v>
      </c>
      <c r="AG599" s="3" t="s">
        <v>17398</v>
      </c>
      <c r="AH599" s="3" t="s">
        <v>3726</v>
      </c>
      <c r="AI599" s="3" t="s">
        <v>84</v>
      </c>
      <c r="AJ599" s="3" t="s">
        <v>2569</v>
      </c>
      <c r="AK599" s="3" t="s">
        <v>12729</v>
      </c>
      <c r="AL599" s="3" t="s">
        <v>2550</v>
      </c>
      <c r="AM599" s="3">
        <v>2</v>
      </c>
      <c r="AP599" s="3" t="s">
        <v>17399</v>
      </c>
      <c r="AQ599" s="3" t="s">
        <v>17400</v>
      </c>
      <c r="AS599" s="7" t="s">
        <v>17401</v>
      </c>
    </row>
    <row r="600" spans="1:45" ht="12.5" x14ac:dyDescent="0.25">
      <c r="A600" s="3"/>
      <c r="C600" s="3"/>
      <c r="D600" s="3"/>
      <c r="F600" s="3"/>
      <c r="G600" s="3"/>
      <c r="H600" s="3"/>
      <c r="I600" s="3"/>
      <c r="J600" s="3"/>
      <c r="K600" s="3"/>
      <c r="L600" s="3"/>
      <c r="M600" s="6"/>
      <c r="N600" s="3"/>
      <c r="O600" s="3"/>
      <c r="P600" s="3"/>
      <c r="Q600" s="3"/>
      <c r="S600" s="3"/>
      <c r="T600" s="3"/>
      <c r="U600" s="3"/>
      <c r="V600" s="3"/>
      <c r="W600" s="3"/>
      <c r="X600" s="3"/>
      <c r="Y600" s="3"/>
      <c r="AA600" s="3"/>
      <c r="AB600" s="3"/>
      <c r="AC600" s="3"/>
      <c r="AD600" s="3"/>
      <c r="AE600" s="3"/>
      <c r="AF600" s="3"/>
      <c r="AG600" s="3"/>
      <c r="AH600" s="3"/>
      <c r="AI600" s="3"/>
      <c r="AJ600" s="3"/>
      <c r="AK600" s="3"/>
      <c r="AL600" s="3"/>
      <c r="AM600" s="3"/>
      <c r="AP600" s="3"/>
      <c r="AQ600" s="3"/>
      <c r="AS600" s="3"/>
    </row>
  </sheetData>
  <autoFilter ref="A2:AV1000" xr:uid="{00000000-0009-0000-0000-000004000000}">
    <filterColumn colId="31">
      <filters blank="1">
        <filter val="BELÉM"/>
        <filter val="Belo Horizonte"/>
        <filter val="BETIM"/>
        <filter val="Campo Grande"/>
        <filter val="FORTALEZA"/>
        <filter val="João Pessoa"/>
        <filter val="Juiz de fora"/>
        <filter val="Ouro Branco"/>
        <filter val="poá"/>
        <filter val="porto alegre"/>
        <filter val="recife"/>
        <filter val="RIO DE JANEIRO"/>
        <filter val="SALVADOR"/>
        <filter val="SÃO LUIS"/>
        <filter val="Sao paulo"/>
        <filter val="são Paulo"/>
        <filter val="VITORIA"/>
        <filter val="Vitória"/>
      </filters>
    </filterColumn>
  </autoFilter>
  <customSheetViews>
    <customSheetView guid="{C8FD7328-6386-4FFC-9579-294D625294BF}" filter="1" showAutoFilter="1">
      <pageMargins left="0.511811024" right="0.511811024" top="0.78740157499999996" bottom="0.78740157499999996" header="0.31496062000000002" footer="0.31496062000000002"/>
      <autoFilter ref="D2:AQ134" xr:uid="{00A5F707-355D-486F-9910-17A5D2279A97}"/>
    </customSheetView>
  </customSheetViews>
  <hyperlinks>
    <hyperlink ref="AP3" r:id="rId1" xr:uid="{00000000-0004-0000-0400-000000000000}"/>
    <hyperlink ref="AQ3" r:id="rId2" xr:uid="{00000000-0004-0000-0400-000001000000}"/>
    <hyperlink ref="AS3" r:id="rId3" xr:uid="{00000000-0004-0000-0400-000002000000}"/>
    <hyperlink ref="AS4" r:id="rId4" xr:uid="{00000000-0004-0000-0400-000003000000}"/>
    <hyperlink ref="AQ5" r:id="rId5" xr:uid="{00000000-0004-0000-0400-000004000000}"/>
    <hyperlink ref="AS5" r:id="rId6" xr:uid="{00000000-0004-0000-0400-000005000000}"/>
    <hyperlink ref="AP6" r:id="rId7" xr:uid="{00000000-0004-0000-0400-000006000000}"/>
    <hyperlink ref="AQ6" r:id="rId8" xr:uid="{00000000-0004-0000-0400-000007000000}"/>
    <hyperlink ref="AS6" r:id="rId9" xr:uid="{00000000-0004-0000-0400-000008000000}"/>
    <hyperlink ref="AS8" r:id="rId10" xr:uid="{00000000-0004-0000-0400-000009000000}"/>
    <hyperlink ref="AP9" r:id="rId11" xr:uid="{00000000-0004-0000-0400-00000A000000}"/>
    <hyperlink ref="AQ9" r:id="rId12" xr:uid="{00000000-0004-0000-0400-00000B000000}"/>
    <hyperlink ref="AS9" r:id="rId13" xr:uid="{00000000-0004-0000-0400-00000C000000}"/>
    <hyperlink ref="AS11" r:id="rId14" xr:uid="{00000000-0004-0000-0400-00000D000000}"/>
    <hyperlink ref="AP12" r:id="rId15" xr:uid="{00000000-0004-0000-0400-00000E000000}"/>
    <hyperlink ref="AQ12" r:id="rId16" xr:uid="{00000000-0004-0000-0400-00000F000000}"/>
    <hyperlink ref="AS12" r:id="rId17" xr:uid="{00000000-0004-0000-0400-000010000000}"/>
    <hyperlink ref="AS13" r:id="rId18" xr:uid="{00000000-0004-0000-0400-000011000000}"/>
    <hyperlink ref="AQ14" r:id="rId19" xr:uid="{00000000-0004-0000-0400-000012000000}"/>
    <hyperlink ref="AS14" r:id="rId20" xr:uid="{00000000-0004-0000-0400-000013000000}"/>
    <hyperlink ref="AQ15" r:id="rId21" xr:uid="{00000000-0004-0000-0400-000014000000}"/>
    <hyperlink ref="AS15" r:id="rId22" xr:uid="{00000000-0004-0000-0400-000015000000}"/>
    <hyperlink ref="AS16" r:id="rId23" xr:uid="{00000000-0004-0000-0400-000016000000}"/>
    <hyperlink ref="AP17" r:id="rId24" xr:uid="{00000000-0004-0000-0400-000017000000}"/>
    <hyperlink ref="AQ17" r:id="rId25" xr:uid="{00000000-0004-0000-0400-000018000000}"/>
    <hyperlink ref="AS17" r:id="rId26" xr:uid="{00000000-0004-0000-0400-000019000000}"/>
    <hyperlink ref="AS18" r:id="rId27" xr:uid="{00000000-0004-0000-0400-00001A000000}"/>
    <hyperlink ref="AQ19" r:id="rId28" xr:uid="{00000000-0004-0000-0400-00001B000000}"/>
    <hyperlink ref="AS19" r:id="rId29" xr:uid="{00000000-0004-0000-0400-00001C000000}"/>
    <hyperlink ref="AS20" r:id="rId30" xr:uid="{00000000-0004-0000-0400-00001D000000}"/>
    <hyperlink ref="AS21" r:id="rId31" xr:uid="{00000000-0004-0000-0400-00001E000000}"/>
    <hyperlink ref="AP22" r:id="rId32" xr:uid="{00000000-0004-0000-0400-00001F000000}"/>
    <hyperlink ref="AQ22" r:id="rId33" xr:uid="{00000000-0004-0000-0400-000020000000}"/>
    <hyperlink ref="AS22" r:id="rId34" xr:uid="{00000000-0004-0000-0400-000021000000}"/>
    <hyperlink ref="AQ23" r:id="rId35" xr:uid="{00000000-0004-0000-0400-000022000000}"/>
    <hyperlink ref="AS23" r:id="rId36" xr:uid="{00000000-0004-0000-0400-000023000000}"/>
    <hyperlink ref="AQ24" r:id="rId37" xr:uid="{00000000-0004-0000-0400-000024000000}"/>
    <hyperlink ref="AS24" r:id="rId38" xr:uid="{00000000-0004-0000-0400-000025000000}"/>
    <hyperlink ref="AS25" r:id="rId39" xr:uid="{00000000-0004-0000-0400-000026000000}"/>
    <hyperlink ref="AQ26" r:id="rId40" xr:uid="{00000000-0004-0000-0400-000027000000}"/>
    <hyperlink ref="AS26" r:id="rId41" xr:uid="{00000000-0004-0000-0400-000028000000}"/>
    <hyperlink ref="AQ27" r:id="rId42" xr:uid="{00000000-0004-0000-0400-000029000000}"/>
    <hyperlink ref="AS27" r:id="rId43" xr:uid="{00000000-0004-0000-0400-00002A000000}"/>
    <hyperlink ref="AQ28" r:id="rId44" xr:uid="{00000000-0004-0000-0400-00002B000000}"/>
    <hyperlink ref="AS28" r:id="rId45" xr:uid="{00000000-0004-0000-0400-00002C000000}"/>
    <hyperlink ref="AQ29" r:id="rId46" xr:uid="{00000000-0004-0000-0400-00002D000000}"/>
    <hyperlink ref="AS29" r:id="rId47" xr:uid="{00000000-0004-0000-0400-00002E000000}"/>
    <hyperlink ref="AQ30" r:id="rId48" xr:uid="{00000000-0004-0000-0400-00002F000000}"/>
    <hyperlink ref="AS30" r:id="rId49" xr:uid="{00000000-0004-0000-0400-000030000000}"/>
    <hyperlink ref="AP31" r:id="rId50" xr:uid="{00000000-0004-0000-0400-000031000000}"/>
    <hyperlink ref="AQ31" r:id="rId51" xr:uid="{00000000-0004-0000-0400-000032000000}"/>
    <hyperlink ref="AS31" r:id="rId52" xr:uid="{00000000-0004-0000-0400-000033000000}"/>
    <hyperlink ref="AQ32" r:id="rId53" xr:uid="{00000000-0004-0000-0400-000034000000}"/>
    <hyperlink ref="AS32" r:id="rId54" xr:uid="{00000000-0004-0000-0400-000035000000}"/>
    <hyperlink ref="AQ33" r:id="rId55" xr:uid="{00000000-0004-0000-0400-000036000000}"/>
    <hyperlink ref="AS33" r:id="rId56" xr:uid="{00000000-0004-0000-0400-000037000000}"/>
    <hyperlink ref="AS34" r:id="rId57" xr:uid="{00000000-0004-0000-0400-000038000000}"/>
    <hyperlink ref="AS35" r:id="rId58" xr:uid="{00000000-0004-0000-0400-000039000000}"/>
    <hyperlink ref="AQ36" r:id="rId59" xr:uid="{00000000-0004-0000-0400-00003A000000}"/>
    <hyperlink ref="AS36" r:id="rId60" xr:uid="{00000000-0004-0000-0400-00003B000000}"/>
    <hyperlink ref="AP37" r:id="rId61" xr:uid="{00000000-0004-0000-0400-00003C000000}"/>
    <hyperlink ref="AQ37" r:id="rId62" xr:uid="{00000000-0004-0000-0400-00003D000000}"/>
    <hyperlink ref="AS37" r:id="rId63" xr:uid="{00000000-0004-0000-0400-00003E000000}"/>
    <hyperlink ref="AQ38" r:id="rId64" xr:uid="{00000000-0004-0000-0400-00003F000000}"/>
    <hyperlink ref="AS38" r:id="rId65" xr:uid="{00000000-0004-0000-0400-000040000000}"/>
    <hyperlink ref="AS39" r:id="rId66" xr:uid="{00000000-0004-0000-0400-000041000000}"/>
    <hyperlink ref="AQ40" r:id="rId67" xr:uid="{00000000-0004-0000-0400-000042000000}"/>
    <hyperlink ref="AS40" r:id="rId68" xr:uid="{00000000-0004-0000-0400-000043000000}"/>
    <hyperlink ref="AQ41" r:id="rId69" xr:uid="{00000000-0004-0000-0400-000044000000}"/>
    <hyperlink ref="AS41" r:id="rId70" xr:uid="{00000000-0004-0000-0400-000045000000}"/>
    <hyperlink ref="AQ42" r:id="rId71" xr:uid="{00000000-0004-0000-0400-000046000000}"/>
    <hyperlink ref="AS42" r:id="rId72" xr:uid="{00000000-0004-0000-0400-000047000000}"/>
    <hyperlink ref="AQ43" r:id="rId73" xr:uid="{00000000-0004-0000-0400-000048000000}"/>
    <hyperlink ref="AS43" r:id="rId74" xr:uid="{00000000-0004-0000-0400-000049000000}"/>
    <hyperlink ref="AS44" r:id="rId75" xr:uid="{00000000-0004-0000-0400-00004A000000}"/>
    <hyperlink ref="AQ45" r:id="rId76" xr:uid="{00000000-0004-0000-0400-00004B000000}"/>
    <hyperlink ref="AS45" r:id="rId77" xr:uid="{00000000-0004-0000-0400-00004C000000}"/>
    <hyperlink ref="AQ46" r:id="rId78" xr:uid="{00000000-0004-0000-0400-00004D000000}"/>
    <hyperlink ref="AS46" r:id="rId79" xr:uid="{00000000-0004-0000-0400-00004E000000}"/>
    <hyperlink ref="AQ47" r:id="rId80" xr:uid="{00000000-0004-0000-0400-00004F000000}"/>
    <hyperlink ref="AS47" r:id="rId81" xr:uid="{00000000-0004-0000-0400-000050000000}"/>
    <hyperlink ref="AQ48" r:id="rId82" xr:uid="{00000000-0004-0000-0400-000051000000}"/>
    <hyperlink ref="AS48" r:id="rId83" xr:uid="{00000000-0004-0000-0400-000052000000}"/>
    <hyperlink ref="AS49" r:id="rId84" xr:uid="{00000000-0004-0000-0400-000053000000}"/>
    <hyperlink ref="AQ50" r:id="rId85" xr:uid="{00000000-0004-0000-0400-000054000000}"/>
    <hyperlink ref="AS50" r:id="rId86" xr:uid="{00000000-0004-0000-0400-000055000000}"/>
    <hyperlink ref="AQ51" r:id="rId87" xr:uid="{00000000-0004-0000-0400-000056000000}"/>
    <hyperlink ref="AS51" r:id="rId88" xr:uid="{00000000-0004-0000-0400-000057000000}"/>
    <hyperlink ref="AS52" r:id="rId89" xr:uid="{00000000-0004-0000-0400-000058000000}"/>
    <hyperlink ref="AS53" r:id="rId90" xr:uid="{00000000-0004-0000-0400-000059000000}"/>
    <hyperlink ref="AQ54" r:id="rId91" xr:uid="{00000000-0004-0000-0400-00005A000000}"/>
    <hyperlink ref="AS54" r:id="rId92" xr:uid="{00000000-0004-0000-0400-00005B000000}"/>
    <hyperlink ref="AP55" r:id="rId93" xr:uid="{00000000-0004-0000-0400-00005C000000}"/>
    <hyperlink ref="AQ55" r:id="rId94" xr:uid="{00000000-0004-0000-0400-00005D000000}"/>
    <hyperlink ref="AS55" r:id="rId95" xr:uid="{00000000-0004-0000-0400-00005E000000}"/>
    <hyperlink ref="AQ56" r:id="rId96" xr:uid="{00000000-0004-0000-0400-00005F000000}"/>
    <hyperlink ref="AS56" r:id="rId97" xr:uid="{00000000-0004-0000-0400-000060000000}"/>
    <hyperlink ref="AP57" r:id="rId98" xr:uid="{00000000-0004-0000-0400-000061000000}"/>
    <hyperlink ref="AQ57" r:id="rId99" xr:uid="{00000000-0004-0000-0400-000062000000}"/>
    <hyperlink ref="AS57" r:id="rId100" xr:uid="{00000000-0004-0000-0400-000063000000}"/>
    <hyperlink ref="AQ58" r:id="rId101" xr:uid="{00000000-0004-0000-0400-000064000000}"/>
    <hyperlink ref="AS58" r:id="rId102" xr:uid="{00000000-0004-0000-0400-000065000000}"/>
    <hyperlink ref="AS59" r:id="rId103" xr:uid="{00000000-0004-0000-0400-000066000000}"/>
    <hyperlink ref="AS60" r:id="rId104" xr:uid="{00000000-0004-0000-0400-000067000000}"/>
    <hyperlink ref="AQ61" r:id="rId105" xr:uid="{00000000-0004-0000-0400-000068000000}"/>
    <hyperlink ref="AS61" r:id="rId106" xr:uid="{00000000-0004-0000-0400-000069000000}"/>
    <hyperlink ref="AP63" r:id="rId107" xr:uid="{00000000-0004-0000-0400-00006A000000}"/>
    <hyperlink ref="AS63" r:id="rId108" xr:uid="{00000000-0004-0000-0400-00006B000000}"/>
    <hyperlink ref="AQ64" r:id="rId109" xr:uid="{00000000-0004-0000-0400-00006C000000}"/>
    <hyperlink ref="AS64" r:id="rId110" xr:uid="{00000000-0004-0000-0400-00006D000000}"/>
    <hyperlink ref="AQ65" r:id="rId111" xr:uid="{00000000-0004-0000-0400-00006E000000}"/>
    <hyperlink ref="AS65" r:id="rId112" xr:uid="{00000000-0004-0000-0400-00006F000000}"/>
    <hyperlink ref="AQ66" r:id="rId113" xr:uid="{00000000-0004-0000-0400-000070000000}"/>
    <hyperlink ref="AS66" r:id="rId114" xr:uid="{00000000-0004-0000-0400-000071000000}"/>
    <hyperlink ref="AQ67" r:id="rId115" xr:uid="{00000000-0004-0000-0400-000072000000}"/>
    <hyperlink ref="AS67" r:id="rId116" xr:uid="{00000000-0004-0000-0400-000073000000}"/>
    <hyperlink ref="AQ68" r:id="rId117" xr:uid="{00000000-0004-0000-0400-000074000000}"/>
    <hyperlink ref="AS68" r:id="rId118" xr:uid="{00000000-0004-0000-0400-000075000000}"/>
    <hyperlink ref="AQ69" r:id="rId119" xr:uid="{00000000-0004-0000-0400-000076000000}"/>
    <hyperlink ref="AS69" r:id="rId120" xr:uid="{00000000-0004-0000-0400-000077000000}"/>
    <hyperlink ref="AQ70" r:id="rId121" xr:uid="{00000000-0004-0000-0400-000078000000}"/>
    <hyperlink ref="AS70" r:id="rId122" xr:uid="{00000000-0004-0000-0400-000079000000}"/>
    <hyperlink ref="AQ71" r:id="rId123" xr:uid="{00000000-0004-0000-0400-00007A000000}"/>
    <hyperlink ref="AQ72" r:id="rId124" xr:uid="{00000000-0004-0000-0400-00007B000000}"/>
    <hyperlink ref="AS72" r:id="rId125" xr:uid="{00000000-0004-0000-0400-00007C000000}"/>
    <hyperlink ref="AQ73" r:id="rId126" xr:uid="{00000000-0004-0000-0400-00007D000000}"/>
    <hyperlink ref="AS73" r:id="rId127" xr:uid="{00000000-0004-0000-0400-00007E000000}"/>
    <hyperlink ref="AP74" r:id="rId128" xr:uid="{00000000-0004-0000-0400-00007F000000}"/>
    <hyperlink ref="AQ74" r:id="rId129" xr:uid="{00000000-0004-0000-0400-000080000000}"/>
    <hyperlink ref="AS74" r:id="rId130" xr:uid="{00000000-0004-0000-0400-000081000000}"/>
    <hyperlink ref="AQ75" r:id="rId131" xr:uid="{00000000-0004-0000-0400-000082000000}"/>
    <hyperlink ref="AS75" r:id="rId132" xr:uid="{00000000-0004-0000-0400-000083000000}"/>
    <hyperlink ref="AQ76" r:id="rId133" xr:uid="{00000000-0004-0000-0400-000084000000}"/>
    <hyperlink ref="AS76" r:id="rId134" xr:uid="{00000000-0004-0000-0400-000085000000}"/>
    <hyperlink ref="AQ77" r:id="rId135" xr:uid="{00000000-0004-0000-0400-000086000000}"/>
    <hyperlink ref="AS77" r:id="rId136" xr:uid="{00000000-0004-0000-0400-000087000000}"/>
    <hyperlink ref="AQ78" r:id="rId137" xr:uid="{00000000-0004-0000-0400-000088000000}"/>
    <hyperlink ref="AS78" r:id="rId138" xr:uid="{00000000-0004-0000-0400-000089000000}"/>
    <hyperlink ref="AQ79" r:id="rId139" xr:uid="{00000000-0004-0000-0400-00008A000000}"/>
    <hyperlink ref="AS79" r:id="rId140" xr:uid="{00000000-0004-0000-0400-00008B000000}"/>
    <hyperlink ref="AP80" r:id="rId141" xr:uid="{00000000-0004-0000-0400-00008C000000}"/>
    <hyperlink ref="AQ80" r:id="rId142" xr:uid="{00000000-0004-0000-0400-00008D000000}"/>
    <hyperlink ref="AS80" r:id="rId143" xr:uid="{00000000-0004-0000-0400-00008E000000}"/>
    <hyperlink ref="AS81" r:id="rId144" xr:uid="{00000000-0004-0000-0400-00008F000000}"/>
    <hyperlink ref="AQ82" r:id="rId145" xr:uid="{00000000-0004-0000-0400-000090000000}"/>
    <hyperlink ref="AS82" r:id="rId146" xr:uid="{00000000-0004-0000-0400-000091000000}"/>
    <hyperlink ref="AP83" r:id="rId147" xr:uid="{00000000-0004-0000-0400-000092000000}"/>
    <hyperlink ref="AS83" r:id="rId148" xr:uid="{00000000-0004-0000-0400-000093000000}"/>
    <hyperlink ref="AP84" r:id="rId149" xr:uid="{00000000-0004-0000-0400-000094000000}"/>
    <hyperlink ref="AQ84" r:id="rId150" xr:uid="{00000000-0004-0000-0400-000095000000}"/>
    <hyperlink ref="AS84" r:id="rId151" xr:uid="{00000000-0004-0000-0400-000096000000}"/>
    <hyperlink ref="AP85" r:id="rId152" xr:uid="{00000000-0004-0000-0400-000097000000}"/>
    <hyperlink ref="AQ85" r:id="rId153" xr:uid="{00000000-0004-0000-0400-000098000000}"/>
    <hyperlink ref="AS85" r:id="rId154" xr:uid="{00000000-0004-0000-0400-000099000000}"/>
    <hyperlink ref="AP86" r:id="rId155" xr:uid="{00000000-0004-0000-0400-00009A000000}"/>
    <hyperlink ref="AS86" r:id="rId156" xr:uid="{00000000-0004-0000-0400-00009B000000}"/>
    <hyperlink ref="AP87" r:id="rId157" xr:uid="{00000000-0004-0000-0400-00009C000000}"/>
    <hyperlink ref="AQ87" r:id="rId158" xr:uid="{00000000-0004-0000-0400-00009D000000}"/>
    <hyperlink ref="AS87" r:id="rId159" xr:uid="{00000000-0004-0000-0400-00009E000000}"/>
    <hyperlink ref="AP88" r:id="rId160" xr:uid="{00000000-0004-0000-0400-00009F000000}"/>
    <hyperlink ref="AQ88" r:id="rId161" xr:uid="{00000000-0004-0000-0400-0000A0000000}"/>
    <hyperlink ref="AS88" r:id="rId162" xr:uid="{00000000-0004-0000-0400-0000A1000000}"/>
    <hyperlink ref="AQ89" r:id="rId163" xr:uid="{00000000-0004-0000-0400-0000A2000000}"/>
    <hyperlink ref="AS89" r:id="rId164" xr:uid="{00000000-0004-0000-0400-0000A3000000}"/>
    <hyperlink ref="AP90" r:id="rId165" xr:uid="{00000000-0004-0000-0400-0000A4000000}"/>
    <hyperlink ref="AQ90" r:id="rId166" xr:uid="{00000000-0004-0000-0400-0000A5000000}"/>
    <hyperlink ref="AS91" r:id="rId167" xr:uid="{00000000-0004-0000-0400-0000A6000000}"/>
    <hyperlink ref="AS92" r:id="rId168" xr:uid="{00000000-0004-0000-0400-0000A7000000}"/>
    <hyperlink ref="AP93" r:id="rId169" xr:uid="{00000000-0004-0000-0400-0000A8000000}"/>
    <hyperlink ref="AQ93" r:id="rId170" xr:uid="{00000000-0004-0000-0400-0000A9000000}"/>
    <hyperlink ref="AS93" r:id="rId171" xr:uid="{00000000-0004-0000-0400-0000AA000000}"/>
    <hyperlink ref="AS94" r:id="rId172" xr:uid="{00000000-0004-0000-0400-0000AB000000}"/>
    <hyperlink ref="AP95" r:id="rId173" xr:uid="{00000000-0004-0000-0400-0000AC000000}"/>
    <hyperlink ref="AQ95" r:id="rId174" xr:uid="{00000000-0004-0000-0400-0000AD000000}"/>
    <hyperlink ref="AS95" r:id="rId175" xr:uid="{00000000-0004-0000-0400-0000AE000000}"/>
    <hyperlink ref="AP96" r:id="rId176" xr:uid="{00000000-0004-0000-0400-0000AF000000}"/>
    <hyperlink ref="AQ96" r:id="rId177" xr:uid="{00000000-0004-0000-0400-0000B0000000}"/>
    <hyperlink ref="AS96" r:id="rId178" xr:uid="{00000000-0004-0000-0400-0000B1000000}"/>
    <hyperlink ref="AS97" r:id="rId179" xr:uid="{00000000-0004-0000-0400-0000B2000000}"/>
    <hyperlink ref="AS98" r:id="rId180" xr:uid="{00000000-0004-0000-0400-0000B3000000}"/>
    <hyperlink ref="AS100" r:id="rId181" xr:uid="{00000000-0004-0000-0400-0000B4000000}"/>
    <hyperlink ref="AS101" r:id="rId182" xr:uid="{00000000-0004-0000-0400-0000B5000000}"/>
    <hyperlink ref="AP102" r:id="rId183" xr:uid="{00000000-0004-0000-0400-0000B6000000}"/>
    <hyperlink ref="AQ102" r:id="rId184" xr:uid="{00000000-0004-0000-0400-0000B7000000}"/>
    <hyperlink ref="AS102" r:id="rId185" xr:uid="{00000000-0004-0000-0400-0000B8000000}"/>
    <hyperlink ref="AQ103" r:id="rId186" xr:uid="{00000000-0004-0000-0400-0000B9000000}"/>
    <hyperlink ref="AS103" r:id="rId187" xr:uid="{00000000-0004-0000-0400-0000BA000000}"/>
    <hyperlink ref="AQ104" r:id="rId188" xr:uid="{00000000-0004-0000-0400-0000BB000000}"/>
    <hyperlink ref="AS104" r:id="rId189" xr:uid="{00000000-0004-0000-0400-0000BC000000}"/>
    <hyperlink ref="AP105" r:id="rId190" xr:uid="{00000000-0004-0000-0400-0000BD000000}"/>
    <hyperlink ref="AQ105" r:id="rId191" xr:uid="{00000000-0004-0000-0400-0000BE000000}"/>
    <hyperlink ref="AS105" r:id="rId192" xr:uid="{00000000-0004-0000-0400-0000BF000000}"/>
    <hyperlink ref="AP106" r:id="rId193" xr:uid="{00000000-0004-0000-0400-0000C0000000}"/>
    <hyperlink ref="AQ106" r:id="rId194" xr:uid="{00000000-0004-0000-0400-0000C1000000}"/>
    <hyperlink ref="AS106" r:id="rId195" xr:uid="{00000000-0004-0000-0400-0000C2000000}"/>
    <hyperlink ref="AS107" r:id="rId196" xr:uid="{00000000-0004-0000-0400-0000C3000000}"/>
    <hyperlink ref="AP108" r:id="rId197" xr:uid="{00000000-0004-0000-0400-0000C4000000}"/>
    <hyperlink ref="AQ108" r:id="rId198" xr:uid="{00000000-0004-0000-0400-0000C5000000}"/>
    <hyperlink ref="AS108" r:id="rId199" xr:uid="{00000000-0004-0000-0400-0000C6000000}"/>
    <hyperlink ref="AQ109" r:id="rId200" xr:uid="{00000000-0004-0000-0400-0000C7000000}"/>
    <hyperlink ref="AS109" r:id="rId201" xr:uid="{00000000-0004-0000-0400-0000C8000000}"/>
    <hyperlink ref="AS110" r:id="rId202" xr:uid="{00000000-0004-0000-0400-0000C9000000}"/>
    <hyperlink ref="AQ111" r:id="rId203" xr:uid="{00000000-0004-0000-0400-0000CA000000}"/>
    <hyperlink ref="AS111" r:id="rId204" xr:uid="{00000000-0004-0000-0400-0000CB000000}"/>
    <hyperlink ref="AQ112" r:id="rId205" xr:uid="{00000000-0004-0000-0400-0000CC000000}"/>
    <hyperlink ref="AS112" r:id="rId206" xr:uid="{00000000-0004-0000-0400-0000CD000000}"/>
    <hyperlink ref="AQ113" r:id="rId207" xr:uid="{00000000-0004-0000-0400-0000CE000000}"/>
    <hyperlink ref="AS113" r:id="rId208" xr:uid="{00000000-0004-0000-0400-0000CF000000}"/>
    <hyperlink ref="AQ114" r:id="rId209" xr:uid="{00000000-0004-0000-0400-0000D0000000}"/>
    <hyperlink ref="AS114" r:id="rId210" xr:uid="{00000000-0004-0000-0400-0000D1000000}"/>
    <hyperlink ref="AQ115" r:id="rId211" xr:uid="{00000000-0004-0000-0400-0000D2000000}"/>
    <hyperlink ref="AS115" r:id="rId212" xr:uid="{00000000-0004-0000-0400-0000D3000000}"/>
    <hyperlink ref="AS116" r:id="rId213" xr:uid="{00000000-0004-0000-0400-0000D4000000}"/>
    <hyperlink ref="AQ117" r:id="rId214" xr:uid="{00000000-0004-0000-0400-0000D5000000}"/>
    <hyperlink ref="AS117" r:id="rId215" xr:uid="{00000000-0004-0000-0400-0000D6000000}"/>
    <hyperlink ref="AQ118" r:id="rId216" xr:uid="{00000000-0004-0000-0400-0000D7000000}"/>
    <hyperlink ref="AS118" r:id="rId217" xr:uid="{00000000-0004-0000-0400-0000D8000000}"/>
    <hyperlink ref="AP119" r:id="rId218" xr:uid="{00000000-0004-0000-0400-0000D9000000}"/>
    <hyperlink ref="AS119" r:id="rId219" xr:uid="{00000000-0004-0000-0400-0000DA000000}"/>
    <hyperlink ref="AQ120" r:id="rId220" xr:uid="{00000000-0004-0000-0400-0000DB000000}"/>
    <hyperlink ref="AS120" r:id="rId221" xr:uid="{00000000-0004-0000-0400-0000DC000000}"/>
    <hyperlink ref="AS121" r:id="rId222" xr:uid="{00000000-0004-0000-0400-0000DD000000}"/>
    <hyperlink ref="AS122" r:id="rId223" xr:uid="{00000000-0004-0000-0400-0000DE000000}"/>
    <hyperlink ref="AP123" r:id="rId224" xr:uid="{00000000-0004-0000-0400-0000DF000000}"/>
    <hyperlink ref="AS123" r:id="rId225" xr:uid="{00000000-0004-0000-0400-0000E0000000}"/>
    <hyperlink ref="AP124" r:id="rId226" xr:uid="{00000000-0004-0000-0400-0000E1000000}"/>
    <hyperlink ref="AQ124" r:id="rId227" xr:uid="{00000000-0004-0000-0400-0000E2000000}"/>
    <hyperlink ref="AS124" r:id="rId228" xr:uid="{00000000-0004-0000-0400-0000E3000000}"/>
    <hyperlink ref="AS125" r:id="rId229" xr:uid="{00000000-0004-0000-0400-0000E4000000}"/>
    <hyperlink ref="AP126" r:id="rId230" xr:uid="{00000000-0004-0000-0400-0000E5000000}"/>
    <hyperlink ref="AQ126" r:id="rId231" xr:uid="{00000000-0004-0000-0400-0000E6000000}"/>
    <hyperlink ref="AS126" r:id="rId232" xr:uid="{00000000-0004-0000-0400-0000E7000000}"/>
    <hyperlink ref="AS127" r:id="rId233" xr:uid="{00000000-0004-0000-0400-0000E8000000}"/>
    <hyperlink ref="AQ128" r:id="rId234" xr:uid="{00000000-0004-0000-0400-0000E9000000}"/>
    <hyperlink ref="AS128" r:id="rId235" xr:uid="{00000000-0004-0000-0400-0000EA000000}"/>
    <hyperlink ref="AS129" r:id="rId236" xr:uid="{00000000-0004-0000-0400-0000EB000000}"/>
    <hyperlink ref="AQ130" r:id="rId237" xr:uid="{00000000-0004-0000-0400-0000EC000000}"/>
    <hyperlink ref="AS130" r:id="rId238" xr:uid="{00000000-0004-0000-0400-0000ED000000}"/>
    <hyperlink ref="AQ131" r:id="rId239" xr:uid="{00000000-0004-0000-0400-0000EE000000}"/>
    <hyperlink ref="AS131" r:id="rId240" xr:uid="{00000000-0004-0000-0400-0000EF000000}"/>
    <hyperlink ref="AS132" r:id="rId241" xr:uid="{00000000-0004-0000-0400-0000F0000000}"/>
    <hyperlink ref="AS133" r:id="rId242" xr:uid="{00000000-0004-0000-0400-0000F1000000}"/>
    <hyperlink ref="AS134" r:id="rId243" xr:uid="{00000000-0004-0000-0400-0000F2000000}"/>
    <hyperlink ref="AS135" r:id="rId244" xr:uid="{00000000-0004-0000-0400-0000F3000000}"/>
    <hyperlink ref="AS136" r:id="rId245" xr:uid="{00000000-0004-0000-0400-0000F4000000}"/>
    <hyperlink ref="AP137" r:id="rId246" xr:uid="{00000000-0004-0000-0400-0000F5000000}"/>
    <hyperlink ref="AQ137" r:id="rId247" xr:uid="{00000000-0004-0000-0400-0000F6000000}"/>
    <hyperlink ref="AS137" r:id="rId248" xr:uid="{00000000-0004-0000-0400-0000F7000000}"/>
    <hyperlink ref="AS139" r:id="rId249" xr:uid="{00000000-0004-0000-0400-0000F8000000}"/>
    <hyperlink ref="AQ140" r:id="rId250" xr:uid="{00000000-0004-0000-0400-0000F9000000}"/>
    <hyperlink ref="AS140" r:id="rId251" xr:uid="{00000000-0004-0000-0400-0000FA000000}"/>
    <hyperlink ref="AS141" r:id="rId252" xr:uid="{00000000-0004-0000-0400-0000FB000000}"/>
    <hyperlink ref="AS142" r:id="rId253" xr:uid="{00000000-0004-0000-0400-0000FC000000}"/>
    <hyperlink ref="AS143" r:id="rId254" xr:uid="{00000000-0004-0000-0400-0000FD000000}"/>
    <hyperlink ref="AS144" r:id="rId255" xr:uid="{00000000-0004-0000-0400-0000FE000000}"/>
    <hyperlink ref="AP145" r:id="rId256" xr:uid="{00000000-0004-0000-0400-0000FF000000}"/>
    <hyperlink ref="AQ145" r:id="rId257" xr:uid="{00000000-0004-0000-0400-000000010000}"/>
    <hyperlink ref="AS145" r:id="rId258" xr:uid="{00000000-0004-0000-0400-000001010000}"/>
    <hyperlink ref="AP146" r:id="rId259" xr:uid="{00000000-0004-0000-0400-000002010000}"/>
    <hyperlink ref="AQ146" r:id="rId260" xr:uid="{00000000-0004-0000-0400-000003010000}"/>
    <hyperlink ref="AS146" r:id="rId261" xr:uid="{00000000-0004-0000-0400-000004010000}"/>
    <hyperlink ref="AP147" r:id="rId262" xr:uid="{00000000-0004-0000-0400-000005010000}"/>
    <hyperlink ref="AQ147" r:id="rId263" xr:uid="{00000000-0004-0000-0400-000006010000}"/>
    <hyperlink ref="AS147" r:id="rId264" xr:uid="{00000000-0004-0000-0400-000007010000}"/>
    <hyperlink ref="AQ148" r:id="rId265" xr:uid="{00000000-0004-0000-0400-000008010000}"/>
    <hyperlink ref="AS148" r:id="rId266" xr:uid="{00000000-0004-0000-0400-000009010000}"/>
    <hyperlink ref="AQ149" r:id="rId267" xr:uid="{00000000-0004-0000-0400-00000A010000}"/>
    <hyperlink ref="AS149" r:id="rId268" xr:uid="{00000000-0004-0000-0400-00000B010000}"/>
    <hyperlink ref="AQ151" r:id="rId269" xr:uid="{00000000-0004-0000-0400-00000C010000}"/>
    <hyperlink ref="AS151" r:id="rId270" xr:uid="{00000000-0004-0000-0400-00000D010000}"/>
    <hyperlink ref="AQ152" r:id="rId271" xr:uid="{00000000-0004-0000-0400-00000E010000}"/>
    <hyperlink ref="AS152" r:id="rId272" xr:uid="{00000000-0004-0000-0400-00000F010000}"/>
    <hyperlink ref="AQ153" r:id="rId273" xr:uid="{00000000-0004-0000-0400-000010010000}"/>
    <hyperlink ref="AS153" r:id="rId274" xr:uid="{00000000-0004-0000-0400-000011010000}"/>
    <hyperlink ref="AS155" r:id="rId275" xr:uid="{00000000-0004-0000-0400-000012010000}"/>
    <hyperlink ref="AQ156" r:id="rId276" xr:uid="{00000000-0004-0000-0400-000013010000}"/>
    <hyperlink ref="AS156" r:id="rId277" xr:uid="{00000000-0004-0000-0400-000014010000}"/>
    <hyperlink ref="AQ157" r:id="rId278" xr:uid="{00000000-0004-0000-0400-000015010000}"/>
    <hyperlink ref="AS157" r:id="rId279" xr:uid="{00000000-0004-0000-0400-000016010000}"/>
    <hyperlink ref="AP158" r:id="rId280" xr:uid="{00000000-0004-0000-0400-000017010000}"/>
    <hyperlink ref="AS158" r:id="rId281" xr:uid="{00000000-0004-0000-0400-000018010000}"/>
    <hyperlink ref="AQ159" r:id="rId282" xr:uid="{00000000-0004-0000-0400-000019010000}"/>
    <hyperlink ref="AS159" r:id="rId283" xr:uid="{00000000-0004-0000-0400-00001A010000}"/>
    <hyperlink ref="AQ160" r:id="rId284" xr:uid="{00000000-0004-0000-0400-00001B010000}"/>
    <hyperlink ref="AS160" r:id="rId285" xr:uid="{00000000-0004-0000-0400-00001C010000}"/>
    <hyperlink ref="AP161" r:id="rId286" xr:uid="{00000000-0004-0000-0400-00001D010000}"/>
    <hyperlink ref="AQ161" r:id="rId287" xr:uid="{00000000-0004-0000-0400-00001E010000}"/>
    <hyperlink ref="AS161" r:id="rId288" xr:uid="{00000000-0004-0000-0400-00001F010000}"/>
    <hyperlink ref="AP162" r:id="rId289" xr:uid="{00000000-0004-0000-0400-000020010000}"/>
    <hyperlink ref="AQ162" r:id="rId290" xr:uid="{00000000-0004-0000-0400-000021010000}"/>
    <hyperlink ref="AS162" r:id="rId291" xr:uid="{00000000-0004-0000-0400-000022010000}"/>
    <hyperlink ref="AP163" r:id="rId292" xr:uid="{00000000-0004-0000-0400-000023010000}"/>
    <hyperlink ref="AQ163" r:id="rId293" xr:uid="{00000000-0004-0000-0400-000024010000}"/>
    <hyperlink ref="AS163" r:id="rId294" xr:uid="{00000000-0004-0000-0400-000025010000}"/>
    <hyperlink ref="AP164" r:id="rId295" xr:uid="{00000000-0004-0000-0400-000026010000}"/>
    <hyperlink ref="AQ164" r:id="rId296" xr:uid="{00000000-0004-0000-0400-000027010000}"/>
    <hyperlink ref="AS164" r:id="rId297" xr:uid="{00000000-0004-0000-0400-000028010000}"/>
    <hyperlink ref="AS165" r:id="rId298" xr:uid="{00000000-0004-0000-0400-000029010000}"/>
    <hyperlink ref="AQ166" r:id="rId299" xr:uid="{00000000-0004-0000-0400-00002A010000}"/>
    <hyperlink ref="AS166" r:id="rId300" xr:uid="{00000000-0004-0000-0400-00002B010000}"/>
    <hyperlink ref="AQ167" r:id="rId301" xr:uid="{00000000-0004-0000-0400-00002C010000}"/>
    <hyperlink ref="AS167" r:id="rId302" xr:uid="{00000000-0004-0000-0400-00002D010000}"/>
    <hyperlink ref="AQ168" r:id="rId303" xr:uid="{00000000-0004-0000-0400-00002E010000}"/>
    <hyperlink ref="AS168" r:id="rId304" xr:uid="{00000000-0004-0000-0400-00002F010000}"/>
    <hyperlink ref="AS169" r:id="rId305" xr:uid="{00000000-0004-0000-0400-000030010000}"/>
    <hyperlink ref="AQ170" r:id="rId306" xr:uid="{00000000-0004-0000-0400-000031010000}"/>
    <hyperlink ref="AS170" r:id="rId307" xr:uid="{00000000-0004-0000-0400-000032010000}"/>
    <hyperlink ref="AQ171" r:id="rId308" xr:uid="{00000000-0004-0000-0400-000033010000}"/>
    <hyperlink ref="AS171" r:id="rId309" xr:uid="{00000000-0004-0000-0400-000034010000}"/>
    <hyperlink ref="AS172" r:id="rId310" xr:uid="{00000000-0004-0000-0400-000035010000}"/>
    <hyperlink ref="AQ173" r:id="rId311" xr:uid="{00000000-0004-0000-0400-000036010000}"/>
    <hyperlink ref="AS173" r:id="rId312" xr:uid="{00000000-0004-0000-0400-000037010000}"/>
    <hyperlink ref="AQ174" r:id="rId313" xr:uid="{00000000-0004-0000-0400-000038010000}"/>
    <hyperlink ref="AS174" r:id="rId314" xr:uid="{00000000-0004-0000-0400-000039010000}"/>
    <hyperlink ref="AP175" r:id="rId315" xr:uid="{00000000-0004-0000-0400-00003A010000}"/>
    <hyperlink ref="AS175" r:id="rId316" xr:uid="{00000000-0004-0000-0400-00003B010000}"/>
    <hyperlink ref="AP176" r:id="rId317" xr:uid="{00000000-0004-0000-0400-00003C010000}"/>
    <hyperlink ref="AQ176" r:id="rId318" xr:uid="{00000000-0004-0000-0400-00003D010000}"/>
    <hyperlink ref="AS176" r:id="rId319" xr:uid="{00000000-0004-0000-0400-00003E010000}"/>
    <hyperlink ref="AS177" r:id="rId320" xr:uid="{00000000-0004-0000-0400-00003F010000}"/>
    <hyperlink ref="AQ178" r:id="rId321" xr:uid="{00000000-0004-0000-0400-000040010000}"/>
    <hyperlink ref="AS178" r:id="rId322" xr:uid="{00000000-0004-0000-0400-000041010000}"/>
    <hyperlink ref="AQ179" r:id="rId323" xr:uid="{00000000-0004-0000-0400-000042010000}"/>
    <hyperlink ref="AS179" r:id="rId324" xr:uid="{00000000-0004-0000-0400-000043010000}"/>
    <hyperlink ref="AS180" r:id="rId325" xr:uid="{00000000-0004-0000-0400-000044010000}"/>
    <hyperlink ref="AS181" r:id="rId326" xr:uid="{00000000-0004-0000-0400-000045010000}"/>
    <hyperlink ref="AQ182" r:id="rId327" xr:uid="{00000000-0004-0000-0400-000046010000}"/>
    <hyperlink ref="AS182" r:id="rId328" xr:uid="{00000000-0004-0000-0400-000047010000}"/>
    <hyperlink ref="AS183" r:id="rId329" xr:uid="{00000000-0004-0000-0400-000048010000}"/>
    <hyperlink ref="AP184" r:id="rId330" xr:uid="{00000000-0004-0000-0400-000049010000}"/>
    <hyperlink ref="AQ184" r:id="rId331" xr:uid="{00000000-0004-0000-0400-00004A010000}"/>
    <hyperlink ref="AS184" r:id="rId332" xr:uid="{00000000-0004-0000-0400-00004B010000}"/>
    <hyperlink ref="AP185" r:id="rId333" xr:uid="{00000000-0004-0000-0400-00004C010000}"/>
    <hyperlink ref="AQ185" r:id="rId334" xr:uid="{00000000-0004-0000-0400-00004D010000}"/>
    <hyperlink ref="AS185" r:id="rId335" xr:uid="{00000000-0004-0000-0400-00004E010000}"/>
    <hyperlink ref="AS186" r:id="rId336" xr:uid="{00000000-0004-0000-0400-00004F010000}"/>
    <hyperlink ref="AS187" r:id="rId337" xr:uid="{00000000-0004-0000-0400-000050010000}"/>
    <hyperlink ref="AP188" r:id="rId338" xr:uid="{00000000-0004-0000-0400-000051010000}"/>
    <hyperlink ref="AQ188" r:id="rId339" xr:uid="{00000000-0004-0000-0400-000052010000}"/>
    <hyperlink ref="AQ189" r:id="rId340" xr:uid="{00000000-0004-0000-0400-000053010000}"/>
    <hyperlink ref="AS190" r:id="rId341" xr:uid="{00000000-0004-0000-0400-000054010000}"/>
    <hyperlink ref="AS191" r:id="rId342" xr:uid="{00000000-0004-0000-0400-000055010000}"/>
    <hyperlink ref="AQ192" r:id="rId343" xr:uid="{00000000-0004-0000-0400-000056010000}"/>
    <hyperlink ref="AS192" r:id="rId344" xr:uid="{00000000-0004-0000-0400-000057010000}"/>
    <hyperlink ref="AP193" r:id="rId345" xr:uid="{00000000-0004-0000-0400-000058010000}"/>
    <hyperlink ref="AQ193" r:id="rId346" xr:uid="{00000000-0004-0000-0400-000059010000}"/>
    <hyperlink ref="AS193" r:id="rId347" xr:uid="{00000000-0004-0000-0400-00005A010000}"/>
    <hyperlink ref="AQ194" r:id="rId348" xr:uid="{00000000-0004-0000-0400-00005B010000}"/>
    <hyperlink ref="AQ195" r:id="rId349" xr:uid="{00000000-0004-0000-0400-00005C010000}"/>
    <hyperlink ref="AS195" r:id="rId350" xr:uid="{00000000-0004-0000-0400-00005D010000}"/>
    <hyperlink ref="AP196" r:id="rId351" xr:uid="{00000000-0004-0000-0400-00005E010000}"/>
    <hyperlink ref="AQ196" r:id="rId352" xr:uid="{00000000-0004-0000-0400-00005F010000}"/>
    <hyperlink ref="AS196" r:id="rId353" xr:uid="{00000000-0004-0000-0400-000060010000}"/>
    <hyperlink ref="AP197" r:id="rId354" xr:uid="{00000000-0004-0000-0400-000061010000}"/>
    <hyperlink ref="AQ197" r:id="rId355" xr:uid="{00000000-0004-0000-0400-000062010000}"/>
    <hyperlink ref="AS197" r:id="rId356" xr:uid="{00000000-0004-0000-0400-000063010000}"/>
    <hyperlink ref="AP198" r:id="rId357" xr:uid="{00000000-0004-0000-0400-000064010000}"/>
    <hyperlink ref="AQ198" r:id="rId358" xr:uid="{00000000-0004-0000-0400-000065010000}"/>
    <hyperlink ref="AS198" r:id="rId359" xr:uid="{00000000-0004-0000-0400-000066010000}"/>
    <hyperlink ref="AP199" r:id="rId360" xr:uid="{00000000-0004-0000-0400-000067010000}"/>
    <hyperlink ref="AQ199" r:id="rId361" xr:uid="{00000000-0004-0000-0400-000068010000}"/>
    <hyperlink ref="AS199" r:id="rId362" xr:uid="{00000000-0004-0000-0400-000069010000}"/>
    <hyperlink ref="AS200" r:id="rId363" xr:uid="{00000000-0004-0000-0400-00006A010000}"/>
    <hyperlink ref="AP201" r:id="rId364" xr:uid="{00000000-0004-0000-0400-00006B010000}"/>
    <hyperlink ref="AQ201" r:id="rId365" xr:uid="{00000000-0004-0000-0400-00006C010000}"/>
    <hyperlink ref="AS201" r:id="rId366" xr:uid="{00000000-0004-0000-0400-00006D010000}"/>
    <hyperlink ref="AS202" r:id="rId367" xr:uid="{00000000-0004-0000-0400-00006E010000}"/>
    <hyperlink ref="AP203" r:id="rId368" xr:uid="{00000000-0004-0000-0400-00006F010000}"/>
    <hyperlink ref="AP204" r:id="rId369" xr:uid="{00000000-0004-0000-0400-000070010000}"/>
    <hyperlink ref="AQ204" r:id="rId370" xr:uid="{00000000-0004-0000-0400-000071010000}"/>
    <hyperlink ref="AS204" r:id="rId371" xr:uid="{00000000-0004-0000-0400-000072010000}"/>
    <hyperlink ref="AS205" r:id="rId372" xr:uid="{00000000-0004-0000-0400-000073010000}"/>
    <hyperlink ref="AP206" r:id="rId373" xr:uid="{00000000-0004-0000-0400-000074010000}"/>
    <hyperlink ref="AQ206" r:id="rId374" xr:uid="{00000000-0004-0000-0400-000075010000}"/>
    <hyperlink ref="AS206" r:id="rId375" xr:uid="{00000000-0004-0000-0400-000076010000}"/>
    <hyperlink ref="AP207" r:id="rId376" xr:uid="{00000000-0004-0000-0400-000077010000}"/>
    <hyperlink ref="AS207" r:id="rId377" xr:uid="{00000000-0004-0000-0400-000078010000}"/>
    <hyperlink ref="AQ208" r:id="rId378" xr:uid="{00000000-0004-0000-0400-000079010000}"/>
    <hyperlink ref="AS208" r:id="rId379" xr:uid="{00000000-0004-0000-0400-00007A010000}"/>
    <hyperlink ref="AS209" r:id="rId380" xr:uid="{00000000-0004-0000-0400-00007B010000}"/>
    <hyperlink ref="AS210" r:id="rId381" xr:uid="{00000000-0004-0000-0400-00007C010000}"/>
    <hyperlink ref="AP211" r:id="rId382" xr:uid="{00000000-0004-0000-0400-00007D010000}"/>
    <hyperlink ref="AQ211" r:id="rId383" xr:uid="{00000000-0004-0000-0400-00007E010000}"/>
    <hyperlink ref="AS211" r:id="rId384" xr:uid="{00000000-0004-0000-0400-00007F010000}"/>
    <hyperlink ref="AQ212" r:id="rId385" xr:uid="{00000000-0004-0000-0400-000080010000}"/>
    <hyperlink ref="AS212" r:id="rId386" xr:uid="{00000000-0004-0000-0400-000081010000}"/>
    <hyperlink ref="AS214" r:id="rId387" xr:uid="{00000000-0004-0000-0400-000082010000}"/>
    <hyperlink ref="AP215" r:id="rId388" xr:uid="{00000000-0004-0000-0400-000083010000}"/>
    <hyperlink ref="AQ215" r:id="rId389" xr:uid="{00000000-0004-0000-0400-000084010000}"/>
    <hyperlink ref="AS215" r:id="rId390" xr:uid="{00000000-0004-0000-0400-000085010000}"/>
    <hyperlink ref="AS216" r:id="rId391" xr:uid="{00000000-0004-0000-0400-000086010000}"/>
    <hyperlink ref="AP217" r:id="rId392" xr:uid="{00000000-0004-0000-0400-000087010000}"/>
    <hyperlink ref="AQ217" r:id="rId393" xr:uid="{00000000-0004-0000-0400-000088010000}"/>
    <hyperlink ref="AS217" r:id="rId394" xr:uid="{00000000-0004-0000-0400-000089010000}"/>
    <hyperlink ref="AS219" r:id="rId395" xr:uid="{00000000-0004-0000-0400-00008A010000}"/>
    <hyperlink ref="AQ220" r:id="rId396" xr:uid="{00000000-0004-0000-0400-00008B010000}"/>
    <hyperlink ref="AS221" r:id="rId397" xr:uid="{00000000-0004-0000-0400-00008C010000}"/>
    <hyperlink ref="AQ222" r:id="rId398" xr:uid="{00000000-0004-0000-0400-00008D010000}"/>
    <hyperlink ref="AS222" r:id="rId399" xr:uid="{00000000-0004-0000-0400-00008E010000}"/>
    <hyperlink ref="AQ223" r:id="rId400" xr:uid="{00000000-0004-0000-0400-00008F010000}"/>
    <hyperlink ref="AS223" r:id="rId401" xr:uid="{00000000-0004-0000-0400-000090010000}"/>
    <hyperlink ref="AS224" r:id="rId402" xr:uid="{00000000-0004-0000-0400-000091010000}"/>
    <hyperlink ref="AQ225" r:id="rId403" xr:uid="{00000000-0004-0000-0400-000092010000}"/>
    <hyperlink ref="AS225" r:id="rId404" xr:uid="{00000000-0004-0000-0400-000093010000}"/>
    <hyperlink ref="AS226" r:id="rId405" xr:uid="{00000000-0004-0000-0400-000094010000}"/>
    <hyperlink ref="AS227" r:id="rId406" xr:uid="{00000000-0004-0000-0400-000095010000}"/>
    <hyperlink ref="AS228" r:id="rId407" xr:uid="{00000000-0004-0000-0400-000096010000}"/>
    <hyperlink ref="AQ229" r:id="rId408" xr:uid="{00000000-0004-0000-0400-000097010000}"/>
    <hyperlink ref="AS229" r:id="rId409" xr:uid="{00000000-0004-0000-0400-000098010000}"/>
    <hyperlink ref="AP230" r:id="rId410" xr:uid="{00000000-0004-0000-0400-000099010000}"/>
    <hyperlink ref="AQ230" r:id="rId411" xr:uid="{00000000-0004-0000-0400-00009A010000}"/>
    <hyperlink ref="AS230" r:id="rId412" xr:uid="{00000000-0004-0000-0400-00009B010000}"/>
    <hyperlink ref="AQ231" r:id="rId413" xr:uid="{00000000-0004-0000-0400-00009C010000}"/>
    <hyperlink ref="AS231" r:id="rId414" xr:uid="{00000000-0004-0000-0400-00009D010000}"/>
    <hyperlink ref="AQ232" r:id="rId415" xr:uid="{00000000-0004-0000-0400-00009E010000}"/>
    <hyperlink ref="AS232" r:id="rId416" xr:uid="{00000000-0004-0000-0400-00009F010000}"/>
    <hyperlink ref="AQ233" r:id="rId417" xr:uid="{00000000-0004-0000-0400-0000A0010000}"/>
    <hyperlink ref="AS233" r:id="rId418" xr:uid="{00000000-0004-0000-0400-0000A1010000}"/>
    <hyperlink ref="AQ234" r:id="rId419" xr:uid="{00000000-0004-0000-0400-0000A2010000}"/>
    <hyperlink ref="AS234" r:id="rId420" xr:uid="{00000000-0004-0000-0400-0000A3010000}"/>
    <hyperlink ref="AS235" r:id="rId421" xr:uid="{00000000-0004-0000-0400-0000A4010000}"/>
    <hyperlink ref="AS237" r:id="rId422" xr:uid="{00000000-0004-0000-0400-0000A5010000}"/>
    <hyperlink ref="AP238" r:id="rId423" xr:uid="{00000000-0004-0000-0400-0000A6010000}"/>
    <hyperlink ref="AQ238" r:id="rId424" xr:uid="{00000000-0004-0000-0400-0000A7010000}"/>
    <hyperlink ref="AS238" r:id="rId425" xr:uid="{00000000-0004-0000-0400-0000A8010000}"/>
    <hyperlink ref="AP239" r:id="rId426" xr:uid="{00000000-0004-0000-0400-0000A9010000}"/>
    <hyperlink ref="AQ239" r:id="rId427" xr:uid="{00000000-0004-0000-0400-0000AA010000}"/>
    <hyperlink ref="AS239" r:id="rId428" xr:uid="{00000000-0004-0000-0400-0000AB010000}"/>
    <hyperlink ref="AS240" r:id="rId429" xr:uid="{00000000-0004-0000-0400-0000AC010000}"/>
    <hyperlink ref="AQ241" r:id="rId430" xr:uid="{00000000-0004-0000-0400-0000AD010000}"/>
    <hyperlink ref="AS241" r:id="rId431" xr:uid="{00000000-0004-0000-0400-0000AE010000}"/>
    <hyperlink ref="AP242" r:id="rId432" xr:uid="{00000000-0004-0000-0400-0000AF010000}"/>
    <hyperlink ref="AQ242" r:id="rId433" xr:uid="{00000000-0004-0000-0400-0000B0010000}"/>
    <hyperlink ref="AP243" r:id="rId434" xr:uid="{00000000-0004-0000-0400-0000B1010000}"/>
    <hyperlink ref="AQ243" r:id="rId435" xr:uid="{00000000-0004-0000-0400-0000B2010000}"/>
    <hyperlink ref="AS243" r:id="rId436" xr:uid="{00000000-0004-0000-0400-0000B3010000}"/>
    <hyperlink ref="AQ244" r:id="rId437" xr:uid="{00000000-0004-0000-0400-0000B4010000}"/>
    <hyperlink ref="AS244" r:id="rId438" xr:uid="{00000000-0004-0000-0400-0000B5010000}"/>
    <hyperlink ref="AP245" r:id="rId439" xr:uid="{00000000-0004-0000-0400-0000B6010000}"/>
    <hyperlink ref="AQ245" r:id="rId440" xr:uid="{00000000-0004-0000-0400-0000B7010000}"/>
    <hyperlink ref="AS245" r:id="rId441" xr:uid="{00000000-0004-0000-0400-0000B8010000}"/>
    <hyperlink ref="AQ246" r:id="rId442" xr:uid="{00000000-0004-0000-0400-0000B9010000}"/>
    <hyperlink ref="AS246" r:id="rId443" xr:uid="{00000000-0004-0000-0400-0000BA010000}"/>
    <hyperlink ref="AP247" r:id="rId444" xr:uid="{00000000-0004-0000-0400-0000BB010000}"/>
    <hyperlink ref="AQ247" r:id="rId445" xr:uid="{00000000-0004-0000-0400-0000BC010000}"/>
    <hyperlink ref="AS247" r:id="rId446" xr:uid="{00000000-0004-0000-0400-0000BD010000}"/>
    <hyperlink ref="AP248" r:id="rId447" xr:uid="{00000000-0004-0000-0400-0000BE010000}"/>
    <hyperlink ref="AQ248" r:id="rId448" xr:uid="{00000000-0004-0000-0400-0000BF010000}"/>
    <hyperlink ref="AS248" r:id="rId449" xr:uid="{00000000-0004-0000-0400-0000C0010000}"/>
    <hyperlink ref="AQ249" r:id="rId450" xr:uid="{00000000-0004-0000-0400-0000C1010000}"/>
    <hyperlink ref="AS249" r:id="rId451" xr:uid="{00000000-0004-0000-0400-0000C2010000}"/>
    <hyperlink ref="AS250" r:id="rId452" xr:uid="{00000000-0004-0000-0400-0000C3010000}"/>
    <hyperlink ref="AP251" r:id="rId453" xr:uid="{00000000-0004-0000-0400-0000C4010000}"/>
    <hyperlink ref="AS251" r:id="rId454" xr:uid="{00000000-0004-0000-0400-0000C5010000}"/>
    <hyperlink ref="AS252" r:id="rId455" xr:uid="{00000000-0004-0000-0400-0000C6010000}"/>
    <hyperlink ref="AQ254" r:id="rId456" xr:uid="{00000000-0004-0000-0400-0000C7010000}"/>
    <hyperlink ref="AS254" r:id="rId457" xr:uid="{00000000-0004-0000-0400-0000C8010000}"/>
    <hyperlink ref="AQ255" r:id="rId458" xr:uid="{00000000-0004-0000-0400-0000C9010000}"/>
    <hyperlink ref="AS255" r:id="rId459" xr:uid="{00000000-0004-0000-0400-0000CA010000}"/>
    <hyperlink ref="AP256" r:id="rId460" xr:uid="{00000000-0004-0000-0400-0000CB010000}"/>
    <hyperlink ref="AQ256" r:id="rId461" xr:uid="{00000000-0004-0000-0400-0000CC010000}"/>
    <hyperlink ref="AS256" r:id="rId462" xr:uid="{00000000-0004-0000-0400-0000CD010000}"/>
    <hyperlink ref="AQ257" r:id="rId463" xr:uid="{00000000-0004-0000-0400-0000CE010000}"/>
    <hyperlink ref="AS257" r:id="rId464" xr:uid="{00000000-0004-0000-0400-0000CF010000}"/>
    <hyperlink ref="AS258" r:id="rId465" xr:uid="{00000000-0004-0000-0400-0000D0010000}"/>
    <hyperlink ref="AP259" r:id="rId466" xr:uid="{00000000-0004-0000-0400-0000D1010000}"/>
    <hyperlink ref="AQ259" r:id="rId467" xr:uid="{00000000-0004-0000-0400-0000D2010000}"/>
    <hyperlink ref="AS259" r:id="rId468" xr:uid="{00000000-0004-0000-0400-0000D3010000}"/>
    <hyperlink ref="AQ260" r:id="rId469" xr:uid="{00000000-0004-0000-0400-0000D4010000}"/>
    <hyperlink ref="AS260" r:id="rId470" xr:uid="{00000000-0004-0000-0400-0000D5010000}"/>
    <hyperlink ref="AP261" r:id="rId471" xr:uid="{00000000-0004-0000-0400-0000D6010000}"/>
    <hyperlink ref="AQ261" r:id="rId472" xr:uid="{00000000-0004-0000-0400-0000D7010000}"/>
    <hyperlink ref="AS261" r:id="rId473" xr:uid="{00000000-0004-0000-0400-0000D8010000}"/>
    <hyperlink ref="AQ262" r:id="rId474" xr:uid="{00000000-0004-0000-0400-0000D9010000}"/>
    <hyperlink ref="AS262" r:id="rId475" xr:uid="{00000000-0004-0000-0400-0000DA010000}"/>
    <hyperlink ref="AP263" r:id="rId476" xr:uid="{00000000-0004-0000-0400-0000DB010000}"/>
    <hyperlink ref="AQ263" r:id="rId477" xr:uid="{00000000-0004-0000-0400-0000DC010000}"/>
    <hyperlink ref="AS263" r:id="rId478" xr:uid="{00000000-0004-0000-0400-0000DD010000}"/>
    <hyperlink ref="AP264" r:id="rId479" xr:uid="{00000000-0004-0000-0400-0000DE010000}"/>
    <hyperlink ref="AQ264" r:id="rId480" xr:uid="{00000000-0004-0000-0400-0000DF010000}"/>
    <hyperlink ref="AS264" r:id="rId481" xr:uid="{00000000-0004-0000-0400-0000E0010000}"/>
    <hyperlink ref="AQ265" r:id="rId482" xr:uid="{00000000-0004-0000-0400-0000E1010000}"/>
    <hyperlink ref="AS265" r:id="rId483" xr:uid="{00000000-0004-0000-0400-0000E2010000}"/>
    <hyperlink ref="AQ266" r:id="rId484" xr:uid="{00000000-0004-0000-0400-0000E3010000}"/>
    <hyperlink ref="AS266" r:id="rId485" xr:uid="{00000000-0004-0000-0400-0000E4010000}"/>
    <hyperlink ref="AQ267" r:id="rId486" xr:uid="{00000000-0004-0000-0400-0000E5010000}"/>
    <hyperlink ref="AS267" r:id="rId487" xr:uid="{00000000-0004-0000-0400-0000E6010000}"/>
    <hyperlink ref="AP268" r:id="rId488" xr:uid="{00000000-0004-0000-0400-0000E7010000}"/>
    <hyperlink ref="AQ268" r:id="rId489" xr:uid="{00000000-0004-0000-0400-0000E8010000}"/>
    <hyperlink ref="AS268" r:id="rId490" xr:uid="{00000000-0004-0000-0400-0000E9010000}"/>
    <hyperlink ref="AS269" r:id="rId491" xr:uid="{00000000-0004-0000-0400-0000EA010000}"/>
    <hyperlink ref="AP270" r:id="rId492" xr:uid="{00000000-0004-0000-0400-0000EB010000}"/>
    <hyperlink ref="AQ270" r:id="rId493" xr:uid="{00000000-0004-0000-0400-0000EC010000}"/>
    <hyperlink ref="AS270" r:id="rId494" xr:uid="{00000000-0004-0000-0400-0000ED010000}"/>
    <hyperlink ref="AS271" r:id="rId495" xr:uid="{00000000-0004-0000-0400-0000EE010000}"/>
    <hyperlink ref="AQ272" r:id="rId496" xr:uid="{00000000-0004-0000-0400-0000EF010000}"/>
    <hyperlink ref="AS272" r:id="rId497" xr:uid="{00000000-0004-0000-0400-0000F0010000}"/>
    <hyperlink ref="AP273" r:id="rId498" xr:uid="{00000000-0004-0000-0400-0000F1010000}"/>
    <hyperlink ref="AQ273" r:id="rId499" xr:uid="{00000000-0004-0000-0400-0000F2010000}"/>
    <hyperlink ref="AS273" r:id="rId500" xr:uid="{00000000-0004-0000-0400-0000F3010000}"/>
    <hyperlink ref="AS274" r:id="rId501" xr:uid="{00000000-0004-0000-0400-0000F4010000}"/>
    <hyperlink ref="AP275" r:id="rId502" xr:uid="{00000000-0004-0000-0400-0000F5010000}"/>
    <hyperlink ref="AQ275" r:id="rId503" xr:uid="{00000000-0004-0000-0400-0000F6010000}"/>
    <hyperlink ref="AS275" r:id="rId504" xr:uid="{00000000-0004-0000-0400-0000F7010000}"/>
    <hyperlink ref="AQ276" r:id="rId505" xr:uid="{00000000-0004-0000-0400-0000F8010000}"/>
    <hyperlink ref="AS276" r:id="rId506" xr:uid="{00000000-0004-0000-0400-0000F9010000}"/>
    <hyperlink ref="AQ277" r:id="rId507" xr:uid="{00000000-0004-0000-0400-0000FA010000}"/>
    <hyperlink ref="AS277" r:id="rId508" xr:uid="{00000000-0004-0000-0400-0000FB010000}"/>
    <hyperlink ref="AS278" r:id="rId509" xr:uid="{00000000-0004-0000-0400-0000FC010000}"/>
    <hyperlink ref="AP279" r:id="rId510" xr:uid="{00000000-0004-0000-0400-0000FD010000}"/>
    <hyperlink ref="AQ279" r:id="rId511" xr:uid="{00000000-0004-0000-0400-0000FE010000}"/>
    <hyperlink ref="AS279" r:id="rId512" xr:uid="{00000000-0004-0000-0400-0000FF010000}"/>
    <hyperlink ref="AQ280" r:id="rId513" xr:uid="{00000000-0004-0000-0400-000000020000}"/>
    <hyperlink ref="AS280" r:id="rId514" xr:uid="{00000000-0004-0000-0400-000001020000}"/>
    <hyperlink ref="AP281" r:id="rId515" xr:uid="{00000000-0004-0000-0400-000002020000}"/>
    <hyperlink ref="AQ281" r:id="rId516" xr:uid="{00000000-0004-0000-0400-000003020000}"/>
    <hyperlink ref="AS281" r:id="rId517" xr:uid="{00000000-0004-0000-0400-000004020000}"/>
    <hyperlink ref="AS282" r:id="rId518" xr:uid="{00000000-0004-0000-0400-000005020000}"/>
    <hyperlink ref="AS283" r:id="rId519" xr:uid="{00000000-0004-0000-0400-000006020000}"/>
    <hyperlink ref="AS284" r:id="rId520" xr:uid="{00000000-0004-0000-0400-000007020000}"/>
    <hyperlink ref="AQ285" r:id="rId521" xr:uid="{00000000-0004-0000-0400-000008020000}"/>
    <hyperlink ref="AS285" r:id="rId522" xr:uid="{00000000-0004-0000-0400-000009020000}"/>
    <hyperlink ref="AP286" r:id="rId523" xr:uid="{00000000-0004-0000-0400-00000A020000}"/>
    <hyperlink ref="AQ286" r:id="rId524" xr:uid="{00000000-0004-0000-0400-00000B020000}"/>
    <hyperlink ref="AS286" r:id="rId525" xr:uid="{00000000-0004-0000-0400-00000C020000}"/>
    <hyperlink ref="AQ287" r:id="rId526" xr:uid="{00000000-0004-0000-0400-00000D020000}"/>
    <hyperlink ref="AS287" r:id="rId527" xr:uid="{00000000-0004-0000-0400-00000E020000}"/>
    <hyperlink ref="AP288" r:id="rId528" xr:uid="{00000000-0004-0000-0400-00000F020000}"/>
    <hyperlink ref="AQ288" r:id="rId529" xr:uid="{00000000-0004-0000-0400-000010020000}"/>
    <hyperlink ref="AS288" r:id="rId530" xr:uid="{00000000-0004-0000-0400-000011020000}"/>
    <hyperlink ref="AQ289" r:id="rId531" xr:uid="{00000000-0004-0000-0400-000012020000}"/>
    <hyperlink ref="AS289" r:id="rId532" xr:uid="{00000000-0004-0000-0400-000013020000}"/>
    <hyperlink ref="AP290" r:id="rId533" xr:uid="{00000000-0004-0000-0400-000014020000}"/>
    <hyperlink ref="AQ290" r:id="rId534" xr:uid="{00000000-0004-0000-0400-000015020000}"/>
    <hyperlink ref="AS290" r:id="rId535" xr:uid="{00000000-0004-0000-0400-000016020000}"/>
    <hyperlink ref="AP291" r:id="rId536" xr:uid="{00000000-0004-0000-0400-000017020000}"/>
    <hyperlink ref="AQ291" r:id="rId537" xr:uid="{00000000-0004-0000-0400-000018020000}"/>
    <hyperlink ref="AS291" r:id="rId538" xr:uid="{00000000-0004-0000-0400-000019020000}"/>
    <hyperlink ref="AP292" r:id="rId539" xr:uid="{00000000-0004-0000-0400-00001A020000}"/>
    <hyperlink ref="AQ292" r:id="rId540" xr:uid="{00000000-0004-0000-0400-00001B020000}"/>
    <hyperlink ref="AS292" r:id="rId541" xr:uid="{00000000-0004-0000-0400-00001C020000}"/>
    <hyperlink ref="AQ293" r:id="rId542" xr:uid="{00000000-0004-0000-0400-00001D020000}"/>
    <hyperlink ref="AS293" r:id="rId543" xr:uid="{00000000-0004-0000-0400-00001E020000}"/>
    <hyperlink ref="AQ294" r:id="rId544" xr:uid="{00000000-0004-0000-0400-00001F020000}"/>
    <hyperlink ref="AS294" r:id="rId545" xr:uid="{00000000-0004-0000-0400-000020020000}"/>
    <hyperlink ref="AP295" r:id="rId546" xr:uid="{00000000-0004-0000-0400-000021020000}"/>
    <hyperlink ref="AQ295" r:id="rId547" xr:uid="{00000000-0004-0000-0400-000022020000}"/>
    <hyperlink ref="AS295" r:id="rId548" xr:uid="{00000000-0004-0000-0400-000023020000}"/>
    <hyperlink ref="AP296" r:id="rId549" xr:uid="{00000000-0004-0000-0400-000024020000}"/>
    <hyperlink ref="AQ296" r:id="rId550" xr:uid="{00000000-0004-0000-0400-000025020000}"/>
    <hyperlink ref="AS296" r:id="rId551" xr:uid="{00000000-0004-0000-0400-000026020000}"/>
    <hyperlink ref="AS297" r:id="rId552" xr:uid="{00000000-0004-0000-0400-000027020000}"/>
    <hyperlink ref="AQ298" r:id="rId553" xr:uid="{00000000-0004-0000-0400-000028020000}"/>
    <hyperlink ref="AS298" r:id="rId554" xr:uid="{00000000-0004-0000-0400-000029020000}"/>
    <hyperlink ref="AP300" r:id="rId555" xr:uid="{00000000-0004-0000-0400-00002A020000}"/>
    <hyperlink ref="AQ300" r:id="rId556" xr:uid="{00000000-0004-0000-0400-00002B020000}"/>
    <hyperlink ref="AS300" r:id="rId557" xr:uid="{00000000-0004-0000-0400-00002C020000}"/>
    <hyperlink ref="AQ301" r:id="rId558" xr:uid="{00000000-0004-0000-0400-00002D020000}"/>
    <hyperlink ref="AS302" r:id="rId559" xr:uid="{00000000-0004-0000-0400-00002E020000}"/>
    <hyperlink ref="AP303" r:id="rId560" xr:uid="{00000000-0004-0000-0400-00002F020000}"/>
    <hyperlink ref="AQ303" r:id="rId561" xr:uid="{00000000-0004-0000-0400-000030020000}"/>
    <hyperlink ref="AS303" r:id="rId562" xr:uid="{00000000-0004-0000-0400-000031020000}"/>
    <hyperlink ref="AQ304" r:id="rId563" xr:uid="{00000000-0004-0000-0400-000032020000}"/>
    <hyperlink ref="AS304" r:id="rId564" xr:uid="{00000000-0004-0000-0400-000033020000}"/>
    <hyperlink ref="AP305" r:id="rId565" xr:uid="{00000000-0004-0000-0400-000034020000}"/>
    <hyperlink ref="AQ305" r:id="rId566" xr:uid="{00000000-0004-0000-0400-000035020000}"/>
    <hyperlink ref="AS305" r:id="rId567" xr:uid="{00000000-0004-0000-0400-000036020000}"/>
    <hyperlink ref="AQ306" r:id="rId568" xr:uid="{00000000-0004-0000-0400-000037020000}"/>
    <hyperlink ref="AS306" r:id="rId569" xr:uid="{00000000-0004-0000-0400-000038020000}"/>
    <hyperlink ref="AQ307" r:id="rId570" xr:uid="{00000000-0004-0000-0400-000039020000}"/>
    <hyperlink ref="AS307" r:id="rId571" xr:uid="{00000000-0004-0000-0400-00003A020000}"/>
    <hyperlink ref="AQ308" r:id="rId572" xr:uid="{00000000-0004-0000-0400-00003B020000}"/>
    <hyperlink ref="AS308" r:id="rId573" xr:uid="{00000000-0004-0000-0400-00003C020000}"/>
    <hyperlink ref="AP309" r:id="rId574" xr:uid="{00000000-0004-0000-0400-00003D020000}"/>
    <hyperlink ref="AQ309" r:id="rId575" xr:uid="{00000000-0004-0000-0400-00003E020000}"/>
    <hyperlink ref="AS309" r:id="rId576" xr:uid="{00000000-0004-0000-0400-00003F020000}"/>
    <hyperlink ref="AS310" r:id="rId577" xr:uid="{00000000-0004-0000-0400-000040020000}"/>
    <hyperlink ref="AS311" r:id="rId578" xr:uid="{00000000-0004-0000-0400-000041020000}"/>
    <hyperlink ref="AP312" r:id="rId579" xr:uid="{00000000-0004-0000-0400-000042020000}"/>
    <hyperlink ref="AQ312" r:id="rId580" xr:uid="{00000000-0004-0000-0400-000043020000}"/>
    <hyperlink ref="AS312" r:id="rId581" xr:uid="{00000000-0004-0000-0400-000044020000}"/>
    <hyperlink ref="AP313" r:id="rId582" xr:uid="{00000000-0004-0000-0400-000045020000}"/>
    <hyperlink ref="AQ313" r:id="rId583" xr:uid="{00000000-0004-0000-0400-000046020000}"/>
    <hyperlink ref="AS313" r:id="rId584" xr:uid="{00000000-0004-0000-0400-000047020000}"/>
    <hyperlink ref="AQ314" r:id="rId585" xr:uid="{00000000-0004-0000-0400-000048020000}"/>
    <hyperlink ref="AS314" r:id="rId586" xr:uid="{00000000-0004-0000-0400-000049020000}"/>
    <hyperlink ref="AP316" r:id="rId587" xr:uid="{00000000-0004-0000-0400-00004A020000}"/>
    <hyperlink ref="AQ316" r:id="rId588" xr:uid="{00000000-0004-0000-0400-00004B020000}"/>
    <hyperlink ref="AS316" r:id="rId589" xr:uid="{00000000-0004-0000-0400-00004C020000}"/>
    <hyperlink ref="AS317" r:id="rId590" xr:uid="{00000000-0004-0000-0400-00004D020000}"/>
    <hyperlink ref="AP318" r:id="rId591" xr:uid="{00000000-0004-0000-0400-00004E020000}"/>
    <hyperlink ref="AQ318" r:id="rId592" xr:uid="{00000000-0004-0000-0400-00004F020000}"/>
    <hyperlink ref="AS318" r:id="rId593" xr:uid="{00000000-0004-0000-0400-000050020000}"/>
    <hyperlink ref="AQ319" r:id="rId594" xr:uid="{00000000-0004-0000-0400-000051020000}"/>
    <hyperlink ref="AS319" r:id="rId595" xr:uid="{00000000-0004-0000-0400-000052020000}"/>
    <hyperlink ref="AQ320" r:id="rId596" xr:uid="{00000000-0004-0000-0400-000053020000}"/>
    <hyperlink ref="AS320" r:id="rId597" xr:uid="{00000000-0004-0000-0400-000054020000}"/>
    <hyperlink ref="AP321" r:id="rId598" xr:uid="{00000000-0004-0000-0400-000055020000}"/>
    <hyperlink ref="AQ321" r:id="rId599" xr:uid="{00000000-0004-0000-0400-000056020000}"/>
    <hyperlink ref="AP322" r:id="rId600" xr:uid="{00000000-0004-0000-0400-000057020000}"/>
    <hyperlink ref="AQ322" r:id="rId601" xr:uid="{00000000-0004-0000-0400-000058020000}"/>
    <hyperlink ref="AS322" r:id="rId602" xr:uid="{00000000-0004-0000-0400-000059020000}"/>
    <hyperlink ref="AP323" r:id="rId603" xr:uid="{00000000-0004-0000-0400-00005A020000}"/>
    <hyperlink ref="AS323" r:id="rId604" xr:uid="{00000000-0004-0000-0400-00005B020000}"/>
    <hyperlink ref="AQ324" r:id="rId605" xr:uid="{00000000-0004-0000-0400-00005C020000}"/>
    <hyperlink ref="AS324" r:id="rId606" xr:uid="{00000000-0004-0000-0400-00005D020000}"/>
    <hyperlink ref="AP325" r:id="rId607" xr:uid="{00000000-0004-0000-0400-00005E020000}"/>
    <hyperlink ref="AQ325" r:id="rId608" xr:uid="{00000000-0004-0000-0400-00005F020000}"/>
    <hyperlink ref="AS325" r:id="rId609" xr:uid="{00000000-0004-0000-0400-000060020000}"/>
    <hyperlink ref="AQ326" r:id="rId610" xr:uid="{00000000-0004-0000-0400-000061020000}"/>
    <hyperlink ref="AS326" r:id="rId611" xr:uid="{00000000-0004-0000-0400-000062020000}"/>
    <hyperlink ref="AQ327" r:id="rId612" xr:uid="{00000000-0004-0000-0400-000063020000}"/>
    <hyperlink ref="AS327" r:id="rId613" xr:uid="{00000000-0004-0000-0400-000064020000}"/>
    <hyperlink ref="AS328" r:id="rId614" xr:uid="{00000000-0004-0000-0400-000065020000}"/>
    <hyperlink ref="AS329" r:id="rId615" xr:uid="{00000000-0004-0000-0400-000066020000}"/>
    <hyperlink ref="AQ330" r:id="rId616" xr:uid="{00000000-0004-0000-0400-000067020000}"/>
    <hyperlink ref="AS330" r:id="rId617" xr:uid="{00000000-0004-0000-0400-000068020000}"/>
    <hyperlink ref="AS331" r:id="rId618" xr:uid="{00000000-0004-0000-0400-000069020000}"/>
    <hyperlink ref="AP332" r:id="rId619" xr:uid="{00000000-0004-0000-0400-00006A020000}"/>
    <hyperlink ref="AQ332" r:id="rId620" xr:uid="{00000000-0004-0000-0400-00006B020000}"/>
    <hyperlink ref="AS332" r:id="rId621" xr:uid="{00000000-0004-0000-0400-00006C020000}"/>
    <hyperlink ref="V333" r:id="rId622" xr:uid="{00000000-0004-0000-0400-00006D020000}"/>
    <hyperlink ref="AS333" r:id="rId623" xr:uid="{00000000-0004-0000-0400-00006E020000}"/>
    <hyperlink ref="AP334" r:id="rId624" xr:uid="{00000000-0004-0000-0400-00006F020000}"/>
    <hyperlink ref="AQ334" r:id="rId625" xr:uid="{00000000-0004-0000-0400-000070020000}"/>
    <hyperlink ref="AS334" r:id="rId626" xr:uid="{00000000-0004-0000-0400-000071020000}"/>
    <hyperlink ref="AP335" r:id="rId627" xr:uid="{00000000-0004-0000-0400-000072020000}"/>
    <hyperlink ref="AQ335" r:id="rId628" xr:uid="{00000000-0004-0000-0400-000073020000}"/>
    <hyperlink ref="AS335" r:id="rId629" xr:uid="{00000000-0004-0000-0400-000074020000}"/>
    <hyperlink ref="AS336" r:id="rId630" xr:uid="{00000000-0004-0000-0400-000075020000}"/>
    <hyperlink ref="AP337" r:id="rId631" xr:uid="{00000000-0004-0000-0400-000076020000}"/>
    <hyperlink ref="AQ337" r:id="rId632" xr:uid="{00000000-0004-0000-0400-000077020000}"/>
    <hyperlink ref="AS337" r:id="rId633" xr:uid="{00000000-0004-0000-0400-000078020000}"/>
    <hyperlink ref="AP338" r:id="rId634" xr:uid="{00000000-0004-0000-0400-000079020000}"/>
    <hyperlink ref="AQ338" r:id="rId635" xr:uid="{00000000-0004-0000-0400-00007A020000}"/>
    <hyperlink ref="AS338" r:id="rId636" xr:uid="{00000000-0004-0000-0400-00007B020000}"/>
    <hyperlink ref="AS339" r:id="rId637" xr:uid="{00000000-0004-0000-0400-00007C020000}"/>
    <hyperlink ref="AQ340" r:id="rId638" xr:uid="{00000000-0004-0000-0400-00007D020000}"/>
    <hyperlink ref="AS340" r:id="rId639" xr:uid="{00000000-0004-0000-0400-00007E020000}"/>
    <hyperlink ref="AP341" r:id="rId640" xr:uid="{00000000-0004-0000-0400-00007F020000}"/>
    <hyperlink ref="AQ341" r:id="rId641" xr:uid="{00000000-0004-0000-0400-000080020000}"/>
    <hyperlink ref="AS341" r:id="rId642" xr:uid="{00000000-0004-0000-0400-000081020000}"/>
    <hyperlink ref="AQ342" r:id="rId643" xr:uid="{00000000-0004-0000-0400-000082020000}"/>
    <hyperlink ref="AS342" r:id="rId644" xr:uid="{00000000-0004-0000-0400-000083020000}"/>
    <hyperlink ref="AS343" r:id="rId645" xr:uid="{00000000-0004-0000-0400-000084020000}"/>
    <hyperlink ref="AP344" r:id="rId646" xr:uid="{00000000-0004-0000-0400-000085020000}"/>
    <hyperlink ref="AQ344" r:id="rId647" xr:uid="{00000000-0004-0000-0400-000086020000}"/>
    <hyperlink ref="AS344" r:id="rId648" xr:uid="{00000000-0004-0000-0400-000087020000}"/>
    <hyperlink ref="AP345" r:id="rId649" xr:uid="{00000000-0004-0000-0400-000088020000}"/>
    <hyperlink ref="AQ345" r:id="rId650" xr:uid="{00000000-0004-0000-0400-000089020000}"/>
    <hyperlink ref="AS345" r:id="rId651" xr:uid="{00000000-0004-0000-0400-00008A020000}"/>
    <hyperlink ref="AS346" r:id="rId652" xr:uid="{00000000-0004-0000-0400-00008B020000}"/>
    <hyperlink ref="AP347" r:id="rId653" xr:uid="{00000000-0004-0000-0400-00008C020000}"/>
    <hyperlink ref="AS347" r:id="rId654" xr:uid="{00000000-0004-0000-0400-00008D020000}"/>
    <hyperlink ref="AP348" r:id="rId655" xr:uid="{00000000-0004-0000-0400-00008E020000}"/>
    <hyperlink ref="AQ348" r:id="rId656" xr:uid="{00000000-0004-0000-0400-00008F020000}"/>
    <hyperlink ref="AS348" r:id="rId657" xr:uid="{00000000-0004-0000-0400-000090020000}"/>
    <hyperlink ref="AP349" r:id="rId658" xr:uid="{00000000-0004-0000-0400-000091020000}"/>
    <hyperlink ref="AS349" r:id="rId659" xr:uid="{00000000-0004-0000-0400-000092020000}"/>
    <hyperlink ref="AP350" r:id="rId660" xr:uid="{00000000-0004-0000-0400-000093020000}"/>
    <hyperlink ref="AQ350" r:id="rId661" xr:uid="{00000000-0004-0000-0400-000094020000}"/>
    <hyperlink ref="AS350" r:id="rId662" xr:uid="{00000000-0004-0000-0400-000095020000}"/>
    <hyperlink ref="AS351" r:id="rId663" xr:uid="{00000000-0004-0000-0400-000096020000}"/>
    <hyperlink ref="AQ352" r:id="rId664" xr:uid="{00000000-0004-0000-0400-000097020000}"/>
    <hyperlink ref="AS352" r:id="rId665" xr:uid="{00000000-0004-0000-0400-000098020000}"/>
    <hyperlink ref="AQ353" r:id="rId666" xr:uid="{00000000-0004-0000-0400-000099020000}"/>
    <hyperlink ref="AS353" r:id="rId667" xr:uid="{00000000-0004-0000-0400-00009A020000}"/>
    <hyperlink ref="AQ354" r:id="rId668" xr:uid="{00000000-0004-0000-0400-00009B020000}"/>
    <hyperlink ref="AS354" r:id="rId669" xr:uid="{00000000-0004-0000-0400-00009C020000}"/>
    <hyperlink ref="AQ355" r:id="rId670" xr:uid="{00000000-0004-0000-0400-00009D020000}"/>
    <hyperlink ref="AS355" r:id="rId671" xr:uid="{00000000-0004-0000-0400-00009E020000}"/>
    <hyperlink ref="AP356" r:id="rId672" xr:uid="{00000000-0004-0000-0400-00009F020000}"/>
    <hyperlink ref="AQ356" r:id="rId673" xr:uid="{00000000-0004-0000-0400-0000A0020000}"/>
    <hyperlink ref="AS356" r:id="rId674" xr:uid="{00000000-0004-0000-0400-0000A1020000}"/>
    <hyperlink ref="AS357" r:id="rId675" xr:uid="{00000000-0004-0000-0400-0000A2020000}"/>
    <hyperlink ref="AP358" r:id="rId676" xr:uid="{00000000-0004-0000-0400-0000A3020000}"/>
    <hyperlink ref="AQ358" r:id="rId677" xr:uid="{00000000-0004-0000-0400-0000A4020000}"/>
    <hyperlink ref="AS358" r:id="rId678" xr:uid="{00000000-0004-0000-0400-0000A5020000}"/>
    <hyperlink ref="AQ359" r:id="rId679" xr:uid="{00000000-0004-0000-0400-0000A6020000}"/>
    <hyperlink ref="AS359" r:id="rId680" xr:uid="{00000000-0004-0000-0400-0000A7020000}"/>
    <hyperlink ref="AQ360" r:id="rId681" xr:uid="{00000000-0004-0000-0400-0000A8020000}"/>
    <hyperlink ref="AS360" r:id="rId682" xr:uid="{00000000-0004-0000-0400-0000A9020000}"/>
    <hyperlink ref="AS361" r:id="rId683" xr:uid="{00000000-0004-0000-0400-0000AA020000}"/>
    <hyperlink ref="AP362" r:id="rId684" xr:uid="{00000000-0004-0000-0400-0000AB020000}"/>
    <hyperlink ref="AQ362" r:id="rId685" xr:uid="{00000000-0004-0000-0400-0000AC020000}"/>
    <hyperlink ref="AS362" r:id="rId686" xr:uid="{00000000-0004-0000-0400-0000AD020000}"/>
    <hyperlink ref="AS363" r:id="rId687" xr:uid="{00000000-0004-0000-0400-0000AE020000}"/>
    <hyperlink ref="AP364" r:id="rId688" xr:uid="{00000000-0004-0000-0400-0000AF020000}"/>
    <hyperlink ref="AS364" r:id="rId689" xr:uid="{00000000-0004-0000-0400-0000B0020000}"/>
    <hyperlink ref="AQ365" r:id="rId690" xr:uid="{00000000-0004-0000-0400-0000B1020000}"/>
    <hyperlink ref="AS365" r:id="rId691" xr:uid="{00000000-0004-0000-0400-0000B2020000}"/>
    <hyperlink ref="AQ366" r:id="rId692" xr:uid="{00000000-0004-0000-0400-0000B3020000}"/>
    <hyperlink ref="AS366" r:id="rId693" xr:uid="{00000000-0004-0000-0400-0000B4020000}"/>
    <hyperlink ref="AQ367" r:id="rId694" xr:uid="{00000000-0004-0000-0400-0000B5020000}"/>
    <hyperlink ref="AS367" r:id="rId695" xr:uid="{00000000-0004-0000-0400-0000B6020000}"/>
    <hyperlink ref="AQ368" r:id="rId696" xr:uid="{00000000-0004-0000-0400-0000B7020000}"/>
    <hyperlink ref="AS368" r:id="rId697" xr:uid="{00000000-0004-0000-0400-0000B8020000}"/>
    <hyperlink ref="AS369" r:id="rId698" xr:uid="{00000000-0004-0000-0400-0000B9020000}"/>
    <hyperlink ref="AQ370" r:id="rId699" xr:uid="{00000000-0004-0000-0400-0000BA020000}"/>
    <hyperlink ref="AS370" r:id="rId700" xr:uid="{00000000-0004-0000-0400-0000BB020000}"/>
    <hyperlink ref="AQ371" r:id="rId701" xr:uid="{00000000-0004-0000-0400-0000BC020000}"/>
    <hyperlink ref="AS371" r:id="rId702" xr:uid="{00000000-0004-0000-0400-0000BD020000}"/>
    <hyperlink ref="AQ372" r:id="rId703" xr:uid="{00000000-0004-0000-0400-0000BE020000}"/>
    <hyperlink ref="AS372" r:id="rId704" xr:uid="{00000000-0004-0000-0400-0000BF020000}"/>
    <hyperlink ref="AP373" r:id="rId705" xr:uid="{00000000-0004-0000-0400-0000C0020000}"/>
    <hyperlink ref="AQ373" r:id="rId706" xr:uid="{00000000-0004-0000-0400-0000C1020000}"/>
    <hyperlink ref="AS373" r:id="rId707" xr:uid="{00000000-0004-0000-0400-0000C2020000}"/>
    <hyperlink ref="AP374" r:id="rId708" xr:uid="{00000000-0004-0000-0400-0000C3020000}"/>
    <hyperlink ref="AQ374" r:id="rId709" xr:uid="{00000000-0004-0000-0400-0000C4020000}"/>
    <hyperlink ref="AS374" r:id="rId710" xr:uid="{00000000-0004-0000-0400-0000C5020000}"/>
    <hyperlink ref="AQ375" r:id="rId711" xr:uid="{00000000-0004-0000-0400-0000C6020000}"/>
    <hyperlink ref="AS375" r:id="rId712" xr:uid="{00000000-0004-0000-0400-0000C7020000}"/>
    <hyperlink ref="AQ376" r:id="rId713" xr:uid="{00000000-0004-0000-0400-0000C8020000}"/>
    <hyperlink ref="AS376" r:id="rId714" xr:uid="{00000000-0004-0000-0400-0000C9020000}"/>
    <hyperlink ref="AP377" r:id="rId715" xr:uid="{00000000-0004-0000-0400-0000CA020000}"/>
    <hyperlink ref="AQ377" r:id="rId716" xr:uid="{00000000-0004-0000-0400-0000CB020000}"/>
    <hyperlink ref="AS377" r:id="rId717" xr:uid="{00000000-0004-0000-0400-0000CC020000}"/>
    <hyperlink ref="AP378" r:id="rId718" xr:uid="{00000000-0004-0000-0400-0000CD020000}"/>
    <hyperlink ref="AQ378" r:id="rId719" xr:uid="{00000000-0004-0000-0400-0000CE020000}"/>
    <hyperlink ref="AS378" r:id="rId720" xr:uid="{00000000-0004-0000-0400-0000CF020000}"/>
    <hyperlink ref="AS379" r:id="rId721" xr:uid="{00000000-0004-0000-0400-0000D0020000}"/>
    <hyperlink ref="AP380" r:id="rId722" xr:uid="{00000000-0004-0000-0400-0000D1020000}"/>
    <hyperlink ref="AQ380" r:id="rId723" xr:uid="{00000000-0004-0000-0400-0000D2020000}"/>
    <hyperlink ref="AS380" r:id="rId724" xr:uid="{00000000-0004-0000-0400-0000D3020000}"/>
    <hyperlink ref="AS381" r:id="rId725" xr:uid="{00000000-0004-0000-0400-0000D4020000}"/>
    <hyperlink ref="AQ382" r:id="rId726" xr:uid="{00000000-0004-0000-0400-0000D5020000}"/>
    <hyperlink ref="AS382" r:id="rId727" xr:uid="{00000000-0004-0000-0400-0000D6020000}"/>
    <hyperlink ref="AP383" r:id="rId728" xr:uid="{00000000-0004-0000-0400-0000D7020000}"/>
    <hyperlink ref="AQ383" r:id="rId729" xr:uid="{00000000-0004-0000-0400-0000D8020000}"/>
    <hyperlink ref="AS383" r:id="rId730" xr:uid="{00000000-0004-0000-0400-0000D9020000}"/>
    <hyperlink ref="AQ384" r:id="rId731" xr:uid="{00000000-0004-0000-0400-0000DA020000}"/>
    <hyperlink ref="AS384" r:id="rId732" xr:uid="{00000000-0004-0000-0400-0000DB020000}"/>
    <hyperlink ref="AQ385" r:id="rId733" xr:uid="{00000000-0004-0000-0400-0000DC020000}"/>
    <hyperlink ref="AS385" r:id="rId734" xr:uid="{00000000-0004-0000-0400-0000DD020000}"/>
    <hyperlink ref="AS386" r:id="rId735" xr:uid="{00000000-0004-0000-0400-0000DE020000}"/>
    <hyperlink ref="AP387" r:id="rId736" xr:uid="{00000000-0004-0000-0400-0000DF020000}"/>
    <hyperlink ref="AQ387" r:id="rId737" xr:uid="{00000000-0004-0000-0400-0000E0020000}"/>
    <hyperlink ref="AS387" r:id="rId738" xr:uid="{00000000-0004-0000-0400-0000E1020000}"/>
    <hyperlink ref="AP388" r:id="rId739" xr:uid="{00000000-0004-0000-0400-0000E2020000}"/>
    <hyperlink ref="AQ388" r:id="rId740" xr:uid="{00000000-0004-0000-0400-0000E3020000}"/>
    <hyperlink ref="AS388" r:id="rId741" xr:uid="{00000000-0004-0000-0400-0000E4020000}"/>
    <hyperlink ref="AQ389" r:id="rId742" xr:uid="{00000000-0004-0000-0400-0000E5020000}"/>
    <hyperlink ref="AS389" r:id="rId743" xr:uid="{00000000-0004-0000-0400-0000E6020000}"/>
    <hyperlink ref="AS390" r:id="rId744" xr:uid="{00000000-0004-0000-0400-0000E7020000}"/>
    <hyperlink ref="AP391" r:id="rId745" xr:uid="{00000000-0004-0000-0400-0000E8020000}"/>
    <hyperlink ref="AQ391" r:id="rId746" xr:uid="{00000000-0004-0000-0400-0000E9020000}"/>
    <hyperlink ref="AS391" r:id="rId747" xr:uid="{00000000-0004-0000-0400-0000EA020000}"/>
    <hyperlink ref="AQ392" r:id="rId748" xr:uid="{00000000-0004-0000-0400-0000EB020000}"/>
    <hyperlink ref="AS392" r:id="rId749" xr:uid="{00000000-0004-0000-0400-0000EC020000}"/>
    <hyperlink ref="AP393" r:id="rId750" xr:uid="{00000000-0004-0000-0400-0000ED020000}"/>
    <hyperlink ref="AQ393" r:id="rId751" xr:uid="{00000000-0004-0000-0400-0000EE020000}"/>
    <hyperlink ref="AS393" r:id="rId752" xr:uid="{00000000-0004-0000-0400-0000EF020000}"/>
    <hyperlink ref="AQ394" r:id="rId753" xr:uid="{00000000-0004-0000-0400-0000F0020000}"/>
    <hyperlink ref="AS394" r:id="rId754" xr:uid="{00000000-0004-0000-0400-0000F1020000}"/>
    <hyperlink ref="AP395" r:id="rId755" xr:uid="{00000000-0004-0000-0400-0000F2020000}"/>
    <hyperlink ref="AQ395" r:id="rId756" xr:uid="{00000000-0004-0000-0400-0000F3020000}"/>
    <hyperlink ref="AS395" r:id="rId757" xr:uid="{00000000-0004-0000-0400-0000F4020000}"/>
    <hyperlink ref="AQ396" r:id="rId758" xr:uid="{00000000-0004-0000-0400-0000F5020000}"/>
    <hyperlink ref="AS396" r:id="rId759" xr:uid="{00000000-0004-0000-0400-0000F6020000}"/>
    <hyperlink ref="AS397" r:id="rId760" xr:uid="{00000000-0004-0000-0400-0000F7020000}"/>
    <hyperlink ref="AQ398" r:id="rId761" xr:uid="{00000000-0004-0000-0400-0000F8020000}"/>
    <hyperlink ref="AS398" r:id="rId762" xr:uid="{00000000-0004-0000-0400-0000F9020000}"/>
    <hyperlink ref="AQ399" r:id="rId763" xr:uid="{00000000-0004-0000-0400-0000FA020000}"/>
    <hyperlink ref="AS399" r:id="rId764" xr:uid="{00000000-0004-0000-0400-0000FB020000}"/>
    <hyperlink ref="AS400" r:id="rId765" xr:uid="{00000000-0004-0000-0400-0000FC020000}"/>
    <hyperlink ref="AQ401" r:id="rId766" xr:uid="{00000000-0004-0000-0400-0000FD020000}"/>
    <hyperlink ref="AS401" r:id="rId767" xr:uid="{00000000-0004-0000-0400-0000FE020000}"/>
    <hyperlink ref="AS402" r:id="rId768" xr:uid="{00000000-0004-0000-0400-0000FF020000}"/>
    <hyperlink ref="AQ403" r:id="rId769" xr:uid="{00000000-0004-0000-0400-000000030000}"/>
    <hyperlink ref="AS403" r:id="rId770" xr:uid="{00000000-0004-0000-0400-000001030000}"/>
    <hyperlink ref="AS404" r:id="rId771" xr:uid="{00000000-0004-0000-0400-000002030000}"/>
    <hyperlink ref="AP405" r:id="rId772" xr:uid="{00000000-0004-0000-0400-000003030000}"/>
    <hyperlink ref="AQ405" r:id="rId773" xr:uid="{00000000-0004-0000-0400-000004030000}"/>
    <hyperlink ref="AS405" r:id="rId774" xr:uid="{00000000-0004-0000-0400-000005030000}"/>
    <hyperlink ref="AP406" r:id="rId775" xr:uid="{00000000-0004-0000-0400-000006030000}"/>
    <hyperlink ref="AQ406" r:id="rId776" xr:uid="{00000000-0004-0000-0400-000007030000}"/>
    <hyperlink ref="AS406" r:id="rId777" xr:uid="{00000000-0004-0000-0400-000008030000}"/>
    <hyperlink ref="AQ407" r:id="rId778" xr:uid="{00000000-0004-0000-0400-000009030000}"/>
    <hyperlink ref="AS407" r:id="rId779" xr:uid="{00000000-0004-0000-0400-00000A030000}"/>
    <hyperlink ref="AQ408" r:id="rId780" xr:uid="{00000000-0004-0000-0400-00000B030000}"/>
    <hyperlink ref="AS408" r:id="rId781" xr:uid="{00000000-0004-0000-0400-00000C030000}"/>
    <hyperlink ref="AP409" r:id="rId782" xr:uid="{00000000-0004-0000-0400-00000D030000}"/>
    <hyperlink ref="AQ409" r:id="rId783" xr:uid="{00000000-0004-0000-0400-00000E030000}"/>
    <hyperlink ref="AS409" r:id="rId784" xr:uid="{00000000-0004-0000-0400-00000F030000}"/>
    <hyperlink ref="AS410" r:id="rId785" xr:uid="{00000000-0004-0000-0400-000010030000}"/>
    <hyperlink ref="AP411" r:id="rId786" xr:uid="{00000000-0004-0000-0400-000011030000}"/>
    <hyperlink ref="AQ411" r:id="rId787" xr:uid="{00000000-0004-0000-0400-000012030000}"/>
    <hyperlink ref="AS411" r:id="rId788" xr:uid="{00000000-0004-0000-0400-000013030000}"/>
    <hyperlink ref="AP412" r:id="rId789" xr:uid="{00000000-0004-0000-0400-000014030000}"/>
    <hyperlink ref="AQ412" r:id="rId790" xr:uid="{00000000-0004-0000-0400-000015030000}"/>
    <hyperlink ref="AS412" r:id="rId791" xr:uid="{00000000-0004-0000-0400-000016030000}"/>
    <hyperlink ref="AP413" r:id="rId792" xr:uid="{00000000-0004-0000-0400-000017030000}"/>
    <hyperlink ref="AQ413" r:id="rId793" xr:uid="{00000000-0004-0000-0400-000018030000}"/>
    <hyperlink ref="AS413" r:id="rId794" xr:uid="{00000000-0004-0000-0400-000019030000}"/>
    <hyperlink ref="AS414" r:id="rId795" xr:uid="{00000000-0004-0000-0400-00001A030000}"/>
    <hyperlink ref="AQ415" r:id="rId796" xr:uid="{00000000-0004-0000-0400-00001B030000}"/>
    <hyperlink ref="AS415" r:id="rId797" xr:uid="{00000000-0004-0000-0400-00001C030000}"/>
    <hyperlink ref="AQ416" r:id="rId798" xr:uid="{00000000-0004-0000-0400-00001D030000}"/>
    <hyperlink ref="AS416" r:id="rId799" xr:uid="{00000000-0004-0000-0400-00001E030000}"/>
    <hyperlink ref="AP417" r:id="rId800" xr:uid="{00000000-0004-0000-0400-00001F030000}"/>
    <hyperlink ref="AQ417" r:id="rId801" xr:uid="{00000000-0004-0000-0400-000020030000}"/>
    <hyperlink ref="AS417" r:id="rId802" xr:uid="{00000000-0004-0000-0400-000021030000}"/>
    <hyperlink ref="AQ418" r:id="rId803" xr:uid="{00000000-0004-0000-0400-000022030000}"/>
    <hyperlink ref="AS418" r:id="rId804" xr:uid="{00000000-0004-0000-0400-000023030000}"/>
    <hyperlink ref="AS419" r:id="rId805" xr:uid="{00000000-0004-0000-0400-000024030000}"/>
    <hyperlink ref="AP420" r:id="rId806" xr:uid="{00000000-0004-0000-0400-000025030000}"/>
    <hyperlink ref="AS420" r:id="rId807" xr:uid="{00000000-0004-0000-0400-000026030000}"/>
    <hyperlink ref="AS422" r:id="rId808" xr:uid="{00000000-0004-0000-0400-000027030000}"/>
    <hyperlink ref="AQ423" r:id="rId809" xr:uid="{00000000-0004-0000-0400-000028030000}"/>
    <hyperlink ref="AS423" r:id="rId810" xr:uid="{00000000-0004-0000-0400-000029030000}"/>
    <hyperlink ref="AQ424" r:id="rId811" xr:uid="{00000000-0004-0000-0400-00002A030000}"/>
    <hyperlink ref="AS424" r:id="rId812" xr:uid="{00000000-0004-0000-0400-00002B030000}"/>
    <hyperlink ref="AQ425" r:id="rId813" xr:uid="{00000000-0004-0000-0400-00002C030000}"/>
    <hyperlink ref="AS425" r:id="rId814" xr:uid="{00000000-0004-0000-0400-00002D030000}"/>
    <hyperlink ref="AQ426" r:id="rId815" xr:uid="{00000000-0004-0000-0400-00002E030000}"/>
    <hyperlink ref="AS426" r:id="rId816" xr:uid="{00000000-0004-0000-0400-00002F030000}"/>
    <hyperlink ref="AS427" r:id="rId817" xr:uid="{00000000-0004-0000-0400-000030030000}"/>
    <hyperlink ref="AP428" r:id="rId818" xr:uid="{00000000-0004-0000-0400-000031030000}"/>
    <hyperlink ref="AQ428" r:id="rId819" xr:uid="{00000000-0004-0000-0400-000032030000}"/>
    <hyperlink ref="AS428" r:id="rId820" xr:uid="{00000000-0004-0000-0400-000033030000}"/>
    <hyperlink ref="AP429" r:id="rId821" xr:uid="{00000000-0004-0000-0400-000034030000}"/>
    <hyperlink ref="AQ429" r:id="rId822" xr:uid="{00000000-0004-0000-0400-000035030000}"/>
    <hyperlink ref="AS429" r:id="rId823" xr:uid="{00000000-0004-0000-0400-000036030000}"/>
    <hyperlink ref="AP430" r:id="rId824" xr:uid="{00000000-0004-0000-0400-000037030000}"/>
    <hyperlink ref="AQ430" r:id="rId825" xr:uid="{00000000-0004-0000-0400-000038030000}"/>
    <hyperlink ref="AS430" r:id="rId826" xr:uid="{00000000-0004-0000-0400-000039030000}"/>
    <hyperlink ref="AS431" r:id="rId827" xr:uid="{00000000-0004-0000-0400-00003A030000}"/>
    <hyperlink ref="AQ432" r:id="rId828" xr:uid="{00000000-0004-0000-0400-00003B030000}"/>
    <hyperlink ref="AS432" r:id="rId829" xr:uid="{00000000-0004-0000-0400-00003C030000}"/>
    <hyperlink ref="AQ433" r:id="rId830" xr:uid="{00000000-0004-0000-0400-00003D030000}"/>
    <hyperlink ref="AS433" r:id="rId831" xr:uid="{00000000-0004-0000-0400-00003E030000}"/>
    <hyperlink ref="AQ434" r:id="rId832" xr:uid="{00000000-0004-0000-0400-00003F030000}"/>
    <hyperlink ref="AS434" r:id="rId833" xr:uid="{00000000-0004-0000-0400-000040030000}"/>
    <hyperlink ref="AQ435" r:id="rId834" xr:uid="{00000000-0004-0000-0400-000041030000}"/>
    <hyperlink ref="AS435" r:id="rId835" xr:uid="{00000000-0004-0000-0400-000042030000}"/>
    <hyperlink ref="AQ436" r:id="rId836" xr:uid="{00000000-0004-0000-0400-000043030000}"/>
    <hyperlink ref="AS436" r:id="rId837" xr:uid="{00000000-0004-0000-0400-000044030000}"/>
    <hyperlink ref="AP437" r:id="rId838" xr:uid="{00000000-0004-0000-0400-000045030000}"/>
    <hyperlink ref="AS437" r:id="rId839" xr:uid="{00000000-0004-0000-0400-000046030000}"/>
    <hyperlink ref="AP438" r:id="rId840" xr:uid="{00000000-0004-0000-0400-000047030000}"/>
    <hyperlink ref="AQ438" r:id="rId841" xr:uid="{00000000-0004-0000-0400-000048030000}"/>
    <hyperlink ref="AS438" r:id="rId842" xr:uid="{00000000-0004-0000-0400-000049030000}"/>
    <hyperlink ref="AQ439" r:id="rId843" xr:uid="{00000000-0004-0000-0400-00004A030000}"/>
    <hyperlink ref="AS439" r:id="rId844" xr:uid="{00000000-0004-0000-0400-00004B030000}"/>
    <hyperlink ref="AQ440" r:id="rId845" xr:uid="{00000000-0004-0000-0400-00004C030000}"/>
    <hyperlink ref="AS440" r:id="rId846" xr:uid="{00000000-0004-0000-0400-00004D030000}"/>
    <hyperlink ref="AP441" r:id="rId847" xr:uid="{00000000-0004-0000-0400-00004E030000}"/>
    <hyperlink ref="AQ441" r:id="rId848" xr:uid="{00000000-0004-0000-0400-00004F030000}"/>
    <hyperlink ref="AS441" r:id="rId849" xr:uid="{00000000-0004-0000-0400-000050030000}"/>
    <hyperlink ref="AS442" r:id="rId850" xr:uid="{00000000-0004-0000-0400-000051030000}"/>
    <hyperlink ref="AP443" r:id="rId851" xr:uid="{00000000-0004-0000-0400-000052030000}"/>
    <hyperlink ref="AS443" r:id="rId852" xr:uid="{00000000-0004-0000-0400-000053030000}"/>
    <hyperlink ref="AS444" r:id="rId853" xr:uid="{00000000-0004-0000-0400-000054030000}"/>
    <hyperlink ref="AQ445" r:id="rId854" xr:uid="{00000000-0004-0000-0400-000055030000}"/>
    <hyperlink ref="AS445" r:id="rId855" xr:uid="{00000000-0004-0000-0400-000056030000}"/>
    <hyperlink ref="AQ446" r:id="rId856" xr:uid="{00000000-0004-0000-0400-000057030000}"/>
    <hyperlink ref="AS446" r:id="rId857" xr:uid="{00000000-0004-0000-0400-000058030000}"/>
    <hyperlink ref="AP447" r:id="rId858" xr:uid="{00000000-0004-0000-0400-000059030000}"/>
    <hyperlink ref="AQ447" r:id="rId859" xr:uid="{00000000-0004-0000-0400-00005A030000}"/>
    <hyperlink ref="AS447" r:id="rId860" xr:uid="{00000000-0004-0000-0400-00005B030000}"/>
    <hyperlink ref="AS448" r:id="rId861" xr:uid="{00000000-0004-0000-0400-00005C030000}"/>
    <hyperlink ref="AS449" r:id="rId862" xr:uid="{00000000-0004-0000-0400-00005D030000}"/>
    <hyperlink ref="AQ450" r:id="rId863" xr:uid="{00000000-0004-0000-0400-00005E030000}"/>
    <hyperlink ref="AS450" r:id="rId864" xr:uid="{00000000-0004-0000-0400-00005F030000}"/>
    <hyperlink ref="AP451" r:id="rId865" xr:uid="{00000000-0004-0000-0400-000060030000}"/>
    <hyperlink ref="AQ451" r:id="rId866" xr:uid="{00000000-0004-0000-0400-000061030000}"/>
    <hyperlink ref="AS451" r:id="rId867" xr:uid="{00000000-0004-0000-0400-000062030000}"/>
    <hyperlink ref="AS452" r:id="rId868" xr:uid="{00000000-0004-0000-0400-000063030000}"/>
    <hyperlink ref="AS453" r:id="rId869" xr:uid="{00000000-0004-0000-0400-000064030000}"/>
    <hyperlink ref="AP454" r:id="rId870" xr:uid="{00000000-0004-0000-0400-000065030000}"/>
    <hyperlink ref="AQ454" r:id="rId871" xr:uid="{00000000-0004-0000-0400-000066030000}"/>
    <hyperlink ref="AS454" r:id="rId872" xr:uid="{00000000-0004-0000-0400-000067030000}"/>
    <hyperlink ref="AQ455" r:id="rId873" xr:uid="{00000000-0004-0000-0400-000068030000}"/>
    <hyperlink ref="AS455" r:id="rId874" xr:uid="{00000000-0004-0000-0400-000069030000}"/>
    <hyperlink ref="AQ456" r:id="rId875" xr:uid="{00000000-0004-0000-0400-00006A030000}"/>
    <hyperlink ref="AS456" r:id="rId876" xr:uid="{00000000-0004-0000-0400-00006B030000}"/>
    <hyperlink ref="AQ457" r:id="rId877" xr:uid="{00000000-0004-0000-0400-00006C030000}"/>
    <hyperlink ref="AS457" r:id="rId878" xr:uid="{00000000-0004-0000-0400-00006D030000}"/>
    <hyperlink ref="AQ458" r:id="rId879" xr:uid="{00000000-0004-0000-0400-00006E030000}"/>
    <hyperlink ref="AS458" r:id="rId880" xr:uid="{00000000-0004-0000-0400-00006F030000}"/>
    <hyperlink ref="AQ459" r:id="rId881" xr:uid="{00000000-0004-0000-0400-000070030000}"/>
    <hyperlink ref="AS459" r:id="rId882" xr:uid="{00000000-0004-0000-0400-000071030000}"/>
    <hyperlink ref="AS460" r:id="rId883" xr:uid="{00000000-0004-0000-0400-000072030000}"/>
    <hyperlink ref="AQ461" r:id="rId884" xr:uid="{00000000-0004-0000-0400-000073030000}"/>
    <hyperlink ref="AS461" r:id="rId885" xr:uid="{00000000-0004-0000-0400-000074030000}"/>
    <hyperlink ref="AS462" r:id="rId886" xr:uid="{00000000-0004-0000-0400-000075030000}"/>
    <hyperlink ref="AP463" r:id="rId887" xr:uid="{00000000-0004-0000-0400-000076030000}"/>
    <hyperlink ref="AS463" r:id="rId888" xr:uid="{00000000-0004-0000-0400-000077030000}"/>
    <hyperlink ref="AS464" r:id="rId889" xr:uid="{00000000-0004-0000-0400-000078030000}"/>
    <hyperlink ref="AP465" r:id="rId890" xr:uid="{00000000-0004-0000-0400-000079030000}"/>
    <hyperlink ref="AQ465" r:id="rId891" xr:uid="{00000000-0004-0000-0400-00007A030000}"/>
    <hyperlink ref="AS465" r:id="rId892" xr:uid="{00000000-0004-0000-0400-00007B030000}"/>
    <hyperlink ref="AS466" r:id="rId893" xr:uid="{00000000-0004-0000-0400-00007C030000}"/>
    <hyperlink ref="AP467" r:id="rId894" xr:uid="{00000000-0004-0000-0400-00007D030000}"/>
    <hyperlink ref="AQ467" r:id="rId895" xr:uid="{00000000-0004-0000-0400-00007E030000}"/>
    <hyperlink ref="AS467" r:id="rId896" xr:uid="{00000000-0004-0000-0400-00007F030000}"/>
    <hyperlink ref="AP468" r:id="rId897" xr:uid="{00000000-0004-0000-0400-000080030000}"/>
    <hyperlink ref="AQ468" r:id="rId898" xr:uid="{00000000-0004-0000-0400-000081030000}"/>
    <hyperlink ref="AS468" r:id="rId899" xr:uid="{00000000-0004-0000-0400-000082030000}"/>
    <hyperlink ref="AQ469" r:id="rId900" xr:uid="{00000000-0004-0000-0400-000083030000}"/>
    <hyperlink ref="AS469" r:id="rId901" xr:uid="{00000000-0004-0000-0400-000084030000}"/>
    <hyperlink ref="AS470" r:id="rId902" xr:uid="{00000000-0004-0000-0400-000085030000}"/>
    <hyperlink ref="AS471" r:id="rId903" xr:uid="{00000000-0004-0000-0400-000086030000}"/>
    <hyperlink ref="AQ472" r:id="rId904" xr:uid="{00000000-0004-0000-0400-000087030000}"/>
    <hyperlink ref="AS472" r:id="rId905" xr:uid="{00000000-0004-0000-0400-000088030000}"/>
    <hyperlink ref="AP473" r:id="rId906" xr:uid="{00000000-0004-0000-0400-000089030000}"/>
    <hyperlink ref="AQ473" r:id="rId907" xr:uid="{00000000-0004-0000-0400-00008A030000}"/>
    <hyperlink ref="AS473" r:id="rId908" xr:uid="{00000000-0004-0000-0400-00008B030000}"/>
    <hyperlink ref="AP474" r:id="rId909" xr:uid="{00000000-0004-0000-0400-00008C030000}"/>
    <hyperlink ref="AS474" r:id="rId910" xr:uid="{00000000-0004-0000-0400-00008D030000}"/>
    <hyperlink ref="AQ475" r:id="rId911" xr:uid="{00000000-0004-0000-0400-00008E030000}"/>
    <hyperlink ref="AS475" r:id="rId912" xr:uid="{00000000-0004-0000-0400-00008F030000}"/>
    <hyperlink ref="AQ476" r:id="rId913" xr:uid="{00000000-0004-0000-0400-000090030000}"/>
    <hyperlink ref="AS476" r:id="rId914" xr:uid="{00000000-0004-0000-0400-000091030000}"/>
    <hyperlink ref="AQ477" r:id="rId915" xr:uid="{00000000-0004-0000-0400-000092030000}"/>
    <hyperlink ref="AS477" r:id="rId916" xr:uid="{00000000-0004-0000-0400-000093030000}"/>
    <hyperlink ref="AQ478" r:id="rId917" xr:uid="{00000000-0004-0000-0400-000094030000}"/>
    <hyperlink ref="AP479" r:id="rId918" xr:uid="{00000000-0004-0000-0400-000095030000}"/>
    <hyperlink ref="AQ479" r:id="rId919" xr:uid="{00000000-0004-0000-0400-000096030000}"/>
    <hyperlink ref="AS479" r:id="rId920" xr:uid="{00000000-0004-0000-0400-000097030000}"/>
    <hyperlink ref="AQ480" r:id="rId921" xr:uid="{00000000-0004-0000-0400-000098030000}"/>
    <hyperlink ref="AS480" r:id="rId922" xr:uid="{00000000-0004-0000-0400-000099030000}"/>
    <hyperlink ref="AQ481" r:id="rId923" xr:uid="{00000000-0004-0000-0400-00009A030000}"/>
    <hyperlink ref="AS481" r:id="rId924" xr:uid="{00000000-0004-0000-0400-00009B030000}"/>
    <hyperlink ref="AP482" r:id="rId925" xr:uid="{00000000-0004-0000-0400-00009C030000}"/>
    <hyperlink ref="AQ482" r:id="rId926" xr:uid="{00000000-0004-0000-0400-00009D030000}"/>
    <hyperlink ref="AS482" r:id="rId927" xr:uid="{00000000-0004-0000-0400-00009E030000}"/>
    <hyperlink ref="AP483" r:id="rId928" xr:uid="{00000000-0004-0000-0400-00009F030000}"/>
    <hyperlink ref="AQ483" r:id="rId929" xr:uid="{00000000-0004-0000-0400-0000A0030000}"/>
    <hyperlink ref="AS483" r:id="rId930" xr:uid="{00000000-0004-0000-0400-0000A1030000}"/>
    <hyperlink ref="AP484" r:id="rId931" xr:uid="{00000000-0004-0000-0400-0000A2030000}"/>
    <hyperlink ref="AQ484" r:id="rId932" xr:uid="{00000000-0004-0000-0400-0000A3030000}"/>
    <hyperlink ref="AS484" r:id="rId933" xr:uid="{00000000-0004-0000-0400-0000A4030000}"/>
    <hyperlink ref="AQ485" r:id="rId934" xr:uid="{00000000-0004-0000-0400-0000A5030000}"/>
    <hyperlink ref="AS485" r:id="rId935" xr:uid="{00000000-0004-0000-0400-0000A6030000}"/>
    <hyperlink ref="AS486" r:id="rId936" xr:uid="{00000000-0004-0000-0400-0000A7030000}"/>
    <hyperlink ref="AQ487" r:id="rId937" xr:uid="{00000000-0004-0000-0400-0000A8030000}"/>
    <hyperlink ref="AS487" r:id="rId938" xr:uid="{00000000-0004-0000-0400-0000A9030000}"/>
    <hyperlink ref="AP488" r:id="rId939" xr:uid="{00000000-0004-0000-0400-0000AA030000}"/>
    <hyperlink ref="AQ488" r:id="rId940" xr:uid="{00000000-0004-0000-0400-0000AB030000}"/>
    <hyperlink ref="AS488" r:id="rId941" xr:uid="{00000000-0004-0000-0400-0000AC030000}"/>
    <hyperlink ref="AP489" r:id="rId942" xr:uid="{00000000-0004-0000-0400-0000AD030000}"/>
    <hyperlink ref="AQ489" r:id="rId943" xr:uid="{00000000-0004-0000-0400-0000AE030000}"/>
    <hyperlink ref="AS489" r:id="rId944" xr:uid="{00000000-0004-0000-0400-0000AF030000}"/>
    <hyperlink ref="AP491" r:id="rId945" xr:uid="{00000000-0004-0000-0400-0000B0030000}"/>
    <hyperlink ref="AQ491" r:id="rId946" xr:uid="{00000000-0004-0000-0400-0000B1030000}"/>
    <hyperlink ref="AP492" r:id="rId947" xr:uid="{00000000-0004-0000-0400-0000B2030000}"/>
    <hyperlink ref="AQ492" r:id="rId948" xr:uid="{00000000-0004-0000-0400-0000B3030000}"/>
    <hyperlink ref="AS492" r:id="rId949" xr:uid="{00000000-0004-0000-0400-0000B4030000}"/>
    <hyperlink ref="AQ493" r:id="rId950" xr:uid="{00000000-0004-0000-0400-0000B5030000}"/>
    <hyperlink ref="AS493" r:id="rId951" xr:uid="{00000000-0004-0000-0400-0000B6030000}"/>
    <hyperlink ref="AQ494" r:id="rId952" xr:uid="{00000000-0004-0000-0400-0000B7030000}"/>
    <hyperlink ref="AS494" r:id="rId953" xr:uid="{00000000-0004-0000-0400-0000B8030000}"/>
    <hyperlink ref="AP495" r:id="rId954" xr:uid="{00000000-0004-0000-0400-0000B9030000}"/>
    <hyperlink ref="AQ495" r:id="rId955" xr:uid="{00000000-0004-0000-0400-0000BA030000}"/>
    <hyperlink ref="AS495" r:id="rId956" xr:uid="{00000000-0004-0000-0400-0000BB030000}"/>
    <hyperlink ref="AQ496" r:id="rId957" xr:uid="{00000000-0004-0000-0400-0000BC030000}"/>
    <hyperlink ref="AS496" r:id="rId958" xr:uid="{00000000-0004-0000-0400-0000BD030000}"/>
    <hyperlink ref="AS499" r:id="rId959" xr:uid="{00000000-0004-0000-0400-0000BE030000}"/>
    <hyperlink ref="AS500" r:id="rId960" xr:uid="{00000000-0004-0000-0400-0000BF030000}"/>
    <hyperlink ref="AP501" r:id="rId961" xr:uid="{00000000-0004-0000-0400-0000C0030000}"/>
    <hyperlink ref="AQ501" r:id="rId962" xr:uid="{00000000-0004-0000-0400-0000C1030000}"/>
    <hyperlink ref="AS501" r:id="rId963" xr:uid="{00000000-0004-0000-0400-0000C2030000}"/>
    <hyperlink ref="AS502" r:id="rId964" xr:uid="{00000000-0004-0000-0400-0000C3030000}"/>
    <hyperlink ref="AP503" r:id="rId965" xr:uid="{00000000-0004-0000-0400-0000C4030000}"/>
    <hyperlink ref="AQ503" r:id="rId966" xr:uid="{00000000-0004-0000-0400-0000C5030000}"/>
    <hyperlink ref="AS503" r:id="rId967" xr:uid="{00000000-0004-0000-0400-0000C6030000}"/>
    <hyperlink ref="AP504" r:id="rId968" xr:uid="{00000000-0004-0000-0400-0000C7030000}"/>
    <hyperlink ref="AQ504" r:id="rId969" xr:uid="{00000000-0004-0000-0400-0000C8030000}"/>
    <hyperlink ref="AS504" r:id="rId970" xr:uid="{00000000-0004-0000-0400-0000C9030000}"/>
    <hyperlink ref="AQ505" r:id="rId971" xr:uid="{00000000-0004-0000-0400-0000CA030000}"/>
    <hyperlink ref="AS505" r:id="rId972" xr:uid="{00000000-0004-0000-0400-0000CB030000}"/>
    <hyperlink ref="AS506" r:id="rId973" xr:uid="{00000000-0004-0000-0400-0000CC030000}"/>
    <hyperlink ref="AP507" r:id="rId974" xr:uid="{00000000-0004-0000-0400-0000CD030000}"/>
    <hyperlink ref="AQ507" r:id="rId975" xr:uid="{00000000-0004-0000-0400-0000CE030000}"/>
    <hyperlink ref="AS507" r:id="rId976" xr:uid="{00000000-0004-0000-0400-0000CF030000}"/>
    <hyperlink ref="AS508" r:id="rId977" xr:uid="{00000000-0004-0000-0400-0000D0030000}"/>
    <hyperlink ref="AS510" r:id="rId978" xr:uid="{00000000-0004-0000-0400-0000D1030000}"/>
    <hyperlink ref="AP511" r:id="rId979" xr:uid="{00000000-0004-0000-0400-0000D2030000}"/>
    <hyperlink ref="AQ511" r:id="rId980" xr:uid="{00000000-0004-0000-0400-0000D3030000}"/>
    <hyperlink ref="AS511" r:id="rId981" xr:uid="{00000000-0004-0000-0400-0000D4030000}"/>
    <hyperlink ref="AP512" r:id="rId982" xr:uid="{00000000-0004-0000-0400-0000D5030000}"/>
    <hyperlink ref="AQ512" r:id="rId983" xr:uid="{00000000-0004-0000-0400-0000D6030000}"/>
    <hyperlink ref="AS512" r:id="rId984" xr:uid="{00000000-0004-0000-0400-0000D7030000}"/>
    <hyperlink ref="AQ513" r:id="rId985" xr:uid="{00000000-0004-0000-0400-0000D8030000}"/>
    <hyperlink ref="AS513" r:id="rId986" xr:uid="{00000000-0004-0000-0400-0000D9030000}"/>
    <hyperlink ref="AS514" r:id="rId987" xr:uid="{00000000-0004-0000-0400-0000DA030000}"/>
    <hyperlink ref="AP515" r:id="rId988" xr:uid="{00000000-0004-0000-0400-0000DB030000}"/>
    <hyperlink ref="AQ515" r:id="rId989" xr:uid="{00000000-0004-0000-0400-0000DC030000}"/>
    <hyperlink ref="AS515" r:id="rId990" xr:uid="{00000000-0004-0000-0400-0000DD030000}"/>
    <hyperlink ref="AS516" r:id="rId991" xr:uid="{00000000-0004-0000-0400-0000DE030000}"/>
    <hyperlink ref="AP517" r:id="rId992" xr:uid="{00000000-0004-0000-0400-0000DF030000}"/>
    <hyperlink ref="AS517" r:id="rId993" xr:uid="{00000000-0004-0000-0400-0000E0030000}"/>
    <hyperlink ref="AP518" r:id="rId994" xr:uid="{00000000-0004-0000-0400-0000E1030000}"/>
    <hyperlink ref="AQ518" r:id="rId995" xr:uid="{00000000-0004-0000-0400-0000E2030000}"/>
    <hyperlink ref="AP519" r:id="rId996" xr:uid="{00000000-0004-0000-0400-0000E3030000}"/>
    <hyperlink ref="AQ519" r:id="rId997" xr:uid="{00000000-0004-0000-0400-0000E4030000}"/>
    <hyperlink ref="AS519" r:id="rId998" xr:uid="{00000000-0004-0000-0400-0000E5030000}"/>
    <hyperlink ref="AP520" r:id="rId999" xr:uid="{00000000-0004-0000-0400-0000E6030000}"/>
    <hyperlink ref="AQ520" r:id="rId1000" xr:uid="{00000000-0004-0000-0400-0000E7030000}"/>
    <hyperlink ref="AS520" r:id="rId1001" xr:uid="{00000000-0004-0000-0400-0000E8030000}"/>
    <hyperlink ref="AP521" r:id="rId1002" xr:uid="{00000000-0004-0000-0400-0000E9030000}"/>
    <hyperlink ref="AQ521" r:id="rId1003" xr:uid="{00000000-0004-0000-0400-0000EA030000}"/>
    <hyperlink ref="AS521" r:id="rId1004" xr:uid="{00000000-0004-0000-0400-0000EB030000}"/>
    <hyperlink ref="AP522" r:id="rId1005" xr:uid="{00000000-0004-0000-0400-0000EC030000}"/>
    <hyperlink ref="AQ522" r:id="rId1006" xr:uid="{00000000-0004-0000-0400-0000ED030000}"/>
    <hyperlink ref="AS522" r:id="rId1007" xr:uid="{00000000-0004-0000-0400-0000EE030000}"/>
    <hyperlink ref="AP523" r:id="rId1008" xr:uid="{00000000-0004-0000-0400-0000EF030000}"/>
    <hyperlink ref="AQ523" r:id="rId1009" xr:uid="{00000000-0004-0000-0400-0000F0030000}"/>
    <hyperlink ref="AS523" r:id="rId1010" xr:uid="{00000000-0004-0000-0400-0000F1030000}"/>
    <hyperlink ref="AP524" r:id="rId1011" xr:uid="{00000000-0004-0000-0400-0000F2030000}"/>
    <hyperlink ref="AQ524" r:id="rId1012" xr:uid="{00000000-0004-0000-0400-0000F3030000}"/>
    <hyperlink ref="AS524" r:id="rId1013" xr:uid="{00000000-0004-0000-0400-0000F4030000}"/>
    <hyperlink ref="AS525" r:id="rId1014" xr:uid="{00000000-0004-0000-0400-0000F5030000}"/>
    <hyperlink ref="AQ526" r:id="rId1015" xr:uid="{00000000-0004-0000-0400-0000F6030000}"/>
    <hyperlink ref="AS526" r:id="rId1016" xr:uid="{00000000-0004-0000-0400-0000F7030000}"/>
    <hyperlink ref="AP527" r:id="rId1017" xr:uid="{00000000-0004-0000-0400-0000F8030000}"/>
    <hyperlink ref="AQ527" r:id="rId1018" xr:uid="{00000000-0004-0000-0400-0000F9030000}"/>
    <hyperlink ref="AS527" r:id="rId1019" xr:uid="{00000000-0004-0000-0400-0000FA030000}"/>
    <hyperlink ref="AS528" r:id="rId1020" xr:uid="{00000000-0004-0000-0400-0000FB030000}"/>
    <hyperlink ref="AQ529" r:id="rId1021" xr:uid="{00000000-0004-0000-0400-0000FC030000}"/>
    <hyperlink ref="AS529" r:id="rId1022" xr:uid="{00000000-0004-0000-0400-0000FD030000}"/>
    <hyperlink ref="AQ530" r:id="rId1023" xr:uid="{00000000-0004-0000-0400-0000FE030000}"/>
    <hyperlink ref="AS530" r:id="rId1024" xr:uid="{00000000-0004-0000-0400-0000FF030000}"/>
    <hyperlink ref="AP531" r:id="rId1025" xr:uid="{00000000-0004-0000-0400-000000040000}"/>
    <hyperlink ref="AQ531" r:id="rId1026" xr:uid="{00000000-0004-0000-0400-000001040000}"/>
    <hyperlink ref="AS531" r:id="rId1027" xr:uid="{00000000-0004-0000-0400-000002040000}"/>
    <hyperlink ref="AP532" r:id="rId1028" xr:uid="{00000000-0004-0000-0400-000003040000}"/>
    <hyperlink ref="AS532" r:id="rId1029" xr:uid="{00000000-0004-0000-0400-000004040000}"/>
    <hyperlink ref="AQ533" r:id="rId1030" xr:uid="{00000000-0004-0000-0400-000005040000}"/>
    <hyperlink ref="AS533" r:id="rId1031" xr:uid="{00000000-0004-0000-0400-000006040000}"/>
    <hyperlink ref="AP534" r:id="rId1032" xr:uid="{00000000-0004-0000-0400-000007040000}"/>
    <hyperlink ref="AS534" r:id="rId1033" xr:uid="{00000000-0004-0000-0400-000008040000}"/>
    <hyperlink ref="AQ535" r:id="rId1034" xr:uid="{00000000-0004-0000-0400-000009040000}"/>
    <hyperlink ref="AS535" r:id="rId1035" xr:uid="{00000000-0004-0000-0400-00000A040000}"/>
    <hyperlink ref="AP536" r:id="rId1036" xr:uid="{00000000-0004-0000-0400-00000B040000}"/>
    <hyperlink ref="AS536" r:id="rId1037" xr:uid="{00000000-0004-0000-0400-00000C040000}"/>
    <hyperlink ref="AS537" r:id="rId1038" xr:uid="{00000000-0004-0000-0400-00000D040000}"/>
    <hyperlink ref="AP538" r:id="rId1039" xr:uid="{00000000-0004-0000-0400-00000E040000}"/>
    <hyperlink ref="AQ538" r:id="rId1040" xr:uid="{00000000-0004-0000-0400-00000F040000}"/>
    <hyperlink ref="AS538" r:id="rId1041" xr:uid="{00000000-0004-0000-0400-000010040000}"/>
    <hyperlink ref="AQ539" r:id="rId1042" xr:uid="{00000000-0004-0000-0400-000011040000}"/>
    <hyperlink ref="AS539" r:id="rId1043" xr:uid="{00000000-0004-0000-0400-000012040000}"/>
    <hyperlink ref="AS541" r:id="rId1044" xr:uid="{00000000-0004-0000-0400-000013040000}"/>
    <hyperlink ref="AS542" r:id="rId1045" xr:uid="{00000000-0004-0000-0400-000014040000}"/>
    <hyperlink ref="AP543" r:id="rId1046" xr:uid="{00000000-0004-0000-0400-000015040000}"/>
    <hyperlink ref="AQ543" r:id="rId1047" xr:uid="{00000000-0004-0000-0400-000016040000}"/>
    <hyperlink ref="AS543" r:id="rId1048" xr:uid="{00000000-0004-0000-0400-000017040000}"/>
    <hyperlink ref="AP544" r:id="rId1049" xr:uid="{00000000-0004-0000-0400-000018040000}"/>
    <hyperlink ref="AQ544" r:id="rId1050" xr:uid="{00000000-0004-0000-0400-000019040000}"/>
    <hyperlink ref="AS544" r:id="rId1051" xr:uid="{00000000-0004-0000-0400-00001A040000}"/>
    <hyperlink ref="AP545" r:id="rId1052" xr:uid="{00000000-0004-0000-0400-00001B040000}"/>
    <hyperlink ref="AS545" r:id="rId1053" xr:uid="{00000000-0004-0000-0400-00001C040000}"/>
    <hyperlink ref="AP546" r:id="rId1054" xr:uid="{00000000-0004-0000-0400-00001D040000}"/>
    <hyperlink ref="AQ546" r:id="rId1055" xr:uid="{00000000-0004-0000-0400-00001E040000}"/>
    <hyperlink ref="AS546" r:id="rId1056" xr:uid="{00000000-0004-0000-0400-00001F040000}"/>
    <hyperlink ref="AP547" r:id="rId1057" xr:uid="{00000000-0004-0000-0400-000020040000}"/>
    <hyperlink ref="AQ547" r:id="rId1058" xr:uid="{00000000-0004-0000-0400-000021040000}"/>
    <hyperlink ref="AS547" r:id="rId1059" xr:uid="{00000000-0004-0000-0400-000022040000}"/>
    <hyperlink ref="AP548" r:id="rId1060" xr:uid="{00000000-0004-0000-0400-000023040000}"/>
    <hyperlink ref="AQ548" r:id="rId1061" xr:uid="{00000000-0004-0000-0400-000024040000}"/>
    <hyperlink ref="AS548" r:id="rId1062" xr:uid="{00000000-0004-0000-0400-000025040000}"/>
    <hyperlink ref="AP549" r:id="rId1063" xr:uid="{00000000-0004-0000-0400-000026040000}"/>
    <hyperlink ref="AQ549" r:id="rId1064" xr:uid="{00000000-0004-0000-0400-000027040000}"/>
    <hyperlink ref="AS549" r:id="rId1065" xr:uid="{00000000-0004-0000-0400-000028040000}"/>
    <hyperlink ref="AP550" r:id="rId1066" xr:uid="{00000000-0004-0000-0400-000029040000}"/>
    <hyperlink ref="AS550" r:id="rId1067" xr:uid="{00000000-0004-0000-0400-00002A040000}"/>
    <hyperlink ref="AP551" r:id="rId1068" xr:uid="{00000000-0004-0000-0400-00002B040000}"/>
    <hyperlink ref="AQ551" r:id="rId1069" xr:uid="{00000000-0004-0000-0400-00002C040000}"/>
    <hyperlink ref="AS551" r:id="rId1070" xr:uid="{00000000-0004-0000-0400-00002D040000}"/>
    <hyperlink ref="AP552" r:id="rId1071" xr:uid="{00000000-0004-0000-0400-00002E040000}"/>
    <hyperlink ref="AQ552" r:id="rId1072" xr:uid="{00000000-0004-0000-0400-00002F040000}"/>
    <hyperlink ref="AS552" r:id="rId1073" xr:uid="{00000000-0004-0000-0400-000030040000}"/>
    <hyperlink ref="AQ553" r:id="rId1074" xr:uid="{00000000-0004-0000-0400-000031040000}"/>
    <hyperlink ref="AS553" r:id="rId1075" xr:uid="{00000000-0004-0000-0400-000032040000}"/>
    <hyperlink ref="AP554" r:id="rId1076" xr:uid="{00000000-0004-0000-0400-000033040000}"/>
    <hyperlink ref="AQ554" r:id="rId1077" xr:uid="{00000000-0004-0000-0400-000034040000}"/>
    <hyperlink ref="AS554" r:id="rId1078" xr:uid="{00000000-0004-0000-0400-000035040000}"/>
    <hyperlink ref="AP555" r:id="rId1079" xr:uid="{00000000-0004-0000-0400-000036040000}"/>
    <hyperlink ref="AS555" r:id="rId1080" xr:uid="{00000000-0004-0000-0400-000037040000}"/>
    <hyperlink ref="AP556" r:id="rId1081" xr:uid="{00000000-0004-0000-0400-000038040000}"/>
    <hyperlink ref="AS556" r:id="rId1082" xr:uid="{00000000-0004-0000-0400-000039040000}"/>
    <hyperlink ref="AP557" r:id="rId1083" xr:uid="{00000000-0004-0000-0400-00003A040000}"/>
    <hyperlink ref="AQ557" r:id="rId1084" xr:uid="{00000000-0004-0000-0400-00003B040000}"/>
    <hyperlink ref="AS557" r:id="rId1085" xr:uid="{00000000-0004-0000-0400-00003C040000}"/>
    <hyperlink ref="AP558" r:id="rId1086" xr:uid="{00000000-0004-0000-0400-00003D040000}"/>
    <hyperlink ref="AQ558" r:id="rId1087" xr:uid="{00000000-0004-0000-0400-00003E040000}"/>
    <hyperlink ref="AS558" r:id="rId1088" xr:uid="{00000000-0004-0000-0400-00003F040000}"/>
    <hyperlink ref="AP559" r:id="rId1089" xr:uid="{00000000-0004-0000-0400-000040040000}"/>
    <hyperlink ref="AQ559" r:id="rId1090" xr:uid="{00000000-0004-0000-0400-000041040000}"/>
    <hyperlink ref="AS559" r:id="rId1091" xr:uid="{00000000-0004-0000-0400-000042040000}"/>
    <hyperlink ref="AP560" r:id="rId1092" xr:uid="{00000000-0004-0000-0400-000043040000}"/>
    <hyperlink ref="AS560" r:id="rId1093" xr:uid="{00000000-0004-0000-0400-000044040000}"/>
    <hyperlink ref="AP561" r:id="rId1094" xr:uid="{00000000-0004-0000-0400-000045040000}"/>
    <hyperlink ref="AQ561" r:id="rId1095" xr:uid="{00000000-0004-0000-0400-000046040000}"/>
    <hyperlink ref="AS561" r:id="rId1096" xr:uid="{00000000-0004-0000-0400-000047040000}"/>
    <hyperlink ref="AQ562" r:id="rId1097" xr:uid="{00000000-0004-0000-0400-000048040000}"/>
    <hyperlink ref="AS562" r:id="rId1098" xr:uid="{00000000-0004-0000-0400-000049040000}"/>
    <hyperlink ref="AP563" r:id="rId1099" xr:uid="{00000000-0004-0000-0400-00004A040000}"/>
    <hyperlink ref="AQ563" r:id="rId1100" xr:uid="{00000000-0004-0000-0400-00004B040000}"/>
    <hyperlink ref="AP564" r:id="rId1101" xr:uid="{00000000-0004-0000-0400-00004C040000}"/>
    <hyperlink ref="AQ564" r:id="rId1102" xr:uid="{00000000-0004-0000-0400-00004D040000}"/>
    <hyperlink ref="AS564" r:id="rId1103" xr:uid="{00000000-0004-0000-0400-00004E040000}"/>
    <hyperlink ref="AP565" r:id="rId1104" xr:uid="{00000000-0004-0000-0400-00004F040000}"/>
    <hyperlink ref="AQ565" r:id="rId1105" xr:uid="{00000000-0004-0000-0400-000050040000}"/>
    <hyperlink ref="AS565" r:id="rId1106" xr:uid="{00000000-0004-0000-0400-000051040000}"/>
    <hyperlink ref="AP566" r:id="rId1107" xr:uid="{00000000-0004-0000-0400-000052040000}"/>
    <hyperlink ref="AQ566" r:id="rId1108" xr:uid="{00000000-0004-0000-0400-000053040000}"/>
    <hyperlink ref="AS566" r:id="rId1109" xr:uid="{00000000-0004-0000-0400-000054040000}"/>
    <hyperlink ref="AQ567" r:id="rId1110" xr:uid="{00000000-0004-0000-0400-000055040000}"/>
    <hyperlink ref="AS567" r:id="rId1111" xr:uid="{00000000-0004-0000-0400-000056040000}"/>
    <hyperlink ref="AP568" r:id="rId1112" xr:uid="{00000000-0004-0000-0400-000057040000}"/>
    <hyperlink ref="AQ568" r:id="rId1113" xr:uid="{00000000-0004-0000-0400-000058040000}"/>
    <hyperlink ref="AS568" r:id="rId1114" xr:uid="{00000000-0004-0000-0400-000059040000}"/>
    <hyperlink ref="AP569" r:id="rId1115" xr:uid="{00000000-0004-0000-0400-00005A040000}"/>
    <hyperlink ref="AQ569" r:id="rId1116" xr:uid="{00000000-0004-0000-0400-00005B040000}"/>
    <hyperlink ref="AS569" r:id="rId1117" xr:uid="{00000000-0004-0000-0400-00005C040000}"/>
    <hyperlink ref="AP570" r:id="rId1118" xr:uid="{00000000-0004-0000-0400-00005D040000}"/>
    <hyperlink ref="AQ570" r:id="rId1119" xr:uid="{00000000-0004-0000-0400-00005E040000}"/>
    <hyperlink ref="AS570" r:id="rId1120" xr:uid="{00000000-0004-0000-0400-00005F040000}"/>
    <hyperlink ref="AP571" r:id="rId1121" xr:uid="{00000000-0004-0000-0400-000060040000}"/>
    <hyperlink ref="AS571" r:id="rId1122" xr:uid="{00000000-0004-0000-0400-000061040000}"/>
    <hyperlink ref="AP572" r:id="rId1123" xr:uid="{00000000-0004-0000-0400-000062040000}"/>
    <hyperlink ref="AS572" r:id="rId1124" xr:uid="{00000000-0004-0000-0400-000063040000}"/>
    <hyperlink ref="AS573" r:id="rId1125" xr:uid="{00000000-0004-0000-0400-000064040000}"/>
    <hyperlink ref="AP574" r:id="rId1126" xr:uid="{00000000-0004-0000-0400-000065040000}"/>
    <hyperlink ref="AQ574" r:id="rId1127" xr:uid="{00000000-0004-0000-0400-000066040000}"/>
    <hyperlink ref="AS574" r:id="rId1128" xr:uid="{00000000-0004-0000-0400-000067040000}"/>
    <hyperlink ref="AP575" r:id="rId1129" xr:uid="{00000000-0004-0000-0400-000068040000}"/>
    <hyperlink ref="AQ575" r:id="rId1130" xr:uid="{00000000-0004-0000-0400-000069040000}"/>
    <hyperlink ref="AS575" r:id="rId1131" xr:uid="{00000000-0004-0000-0400-00006A040000}"/>
    <hyperlink ref="AS576" r:id="rId1132" xr:uid="{00000000-0004-0000-0400-00006B040000}"/>
    <hyperlink ref="AP577" r:id="rId1133" xr:uid="{00000000-0004-0000-0400-00006C040000}"/>
    <hyperlink ref="AQ577" r:id="rId1134" xr:uid="{00000000-0004-0000-0400-00006D040000}"/>
    <hyperlink ref="AS577" r:id="rId1135" xr:uid="{00000000-0004-0000-0400-00006E040000}"/>
    <hyperlink ref="AP578" r:id="rId1136" xr:uid="{00000000-0004-0000-0400-00006F040000}"/>
    <hyperlink ref="AQ578" r:id="rId1137" xr:uid="{00000000-0004-0000-0400-000070040000}"/>
    <hyperlink ref="AS578" r:id="rId1138" xr:uid="{00000000-0004-0000-0400-000071040000}"/>
    <hyperlink ref="AP579" r:id="rId1139" xr:uid="{00000000-0004-0000-0400-000072040000}"/>
    <hyperlink ref="AS579" r:id="rId1140" xr:uid="{00000000-0004-0000-0400-000073040000}"/>
    <hyperlink ref="AP580" r:id="rId1141" xr:uid="{00000000-0004-0000-0400-000074040000}"/>
    <hyperlink ref="AQ580" r:id="rId1142" xr:uid="{00000000-0004-0000-0400-000075040000}"/>
    <hyperlink ref="AS580" r:id="rId1143" xr:uid="{00000000-0004-0000-0400-000076040000}"/>
    <hyperlink ref="AP581" r:id="rId1144" xr:uid="{00000000-0004-0000-0400-000077040000}"/>
    <hyperlink ref="AQ581" r:id="rId1145" xr:uid="{00000000-0004-0000-0400-000078040000}"/>
    <hyperlink ref="AS581" r:id="rId1146" xr:uid="{00000000-0004-0000-0400-000079040000}"/>
    <hyperlink ref="AP582" r:id="rId1147" xr:uid="{00000000-0004-0000-0400-00007A040000}"/>
    <hyperlink ref="AQ582" r:id="rId1148" xr:uid="{00000000-0004-0000-0400-00007B040000}"/>
    <hyperlink ref="AS582" r:id="rId1149" xr:uid="{00000000-0004-0000-0400-00007C040000}"/>
    <hyperlink ref="AP583" r:id="rId1150" xr:uid="{00000000-0004-0000-0400-00007D040000}"/>
    <hyperlink ref="AQ583" r:id="rId1151" xr:uid="{00000000-0004-0000-0400-00007E040000}"/>
    <hyperlink ref="AS583" r:id="rId1152" xr:uid="{00000000-0004-0000-0400-00007F040000}"/>
    <hyperlink ref="AP584" r:id="rId1153" xr:uid="{00000000-0004-0000-0400-000080040000}"/>
    <hyperlink ref="AQ584" r:id="rId1154" xr:uid="{00000000-0004-0000-0400-000081040000}"/>
    <hyperlink ref="AS584" r:id="rId1155" xr:uid="{00000000-0004-0000-0400-000082040000}"/>
    <hyperlink ref="AP585" r:id="rId1156" xr:uid="{00000000-0004-0000-0400-000083040000}"/>
    <hyperlink ref="AS585" r:id="rId1157" xr:uid="{00000000-0004-0000-0400-000084040000}"/>
    <hyperlink ref="AP586" r:id="rId1158" xr:uid="{00000000-0004-0000-0400-000085040000}"/>
    <hyperlink ref="AQ586" r:id="rId1159" xr:uid="{00000000-0004-0000-0400-000086040000}"/>
    <hyperlink ref="AS586" r:id="rId1160" xr:uid="{00000000-0004-0000-0400-000087040000}"/>
    <hyperlink ref="AP587" r:id="rId1161" xr:uid="{00000000-0004-0000-0400-000088040000}"/>
    <hyperlink ref="AQ587" r:id="rId1162" xr:uid="{00000000-0004-0000-0400-000089040000}"/>
    <hyperlink ref="AS587" r:id="rId1163" xr:uid="{00000000-0004-0000-0400-00008A040000}"/>
    <hyperlink ref="AQ588" r:id="rId1164" xr:uid="{00000000-0004-0000-0400-00008B040000}"/>
    <hyperlink ref="AS588" r:id="rId1165" xr:uid="{00000000-0004-0000-0400-00008C040000}"/>
    <hyperlink ref="AP589" r:id="rId1166" xr:uid="{00000000-0004-0000-0400-00008D040000}"/>
    <hyperlink ref="AQ589" r:id="rId1167" xr:uid="{00000000-0004-0000-0400-00008E040000}"/>
    <hyperlink ref="AS589" r:id="rId1168" xr:uid="{00000000-0004-0000-0400-00008F040000}"/>
    <hyperlink ref="AP590" r:id="rId1169" xr:uid="{00000000-0004-0000-0400-000090040000}"/>
    <hyperlink ref="AQ590" r:id="rId1170" xr:uid="{00000000-0004-0000-0400-000091040000}"/>
    <hyperlink ref="AS590" r:id="rId1171" xr:uid="{00000000-0004-0000-0400-000092040000}"/>
    <hyperlink ref="AP591" r:id="rId1172" xr:uid="{00000000-0004-0000-0400-000093040000}"/>
    <hyperlink ref="AQ591" r:id="rId1173" xr:uid="{00000000-0004-0000-0400-000094040000}"/>
    <hyperlink ref="AS591" r:id="rId1174" xr:uid="{00000000-0004-0000-0400-000095040000}"/>
    <hyperlink ref="AP592" r:id="rId1175" xr:uid="{00000000-0004-0000-0400-000096040000}"/>
    <hyperlink ref="AQ592" r:id="rId1176" xr:uid="{00000000-0004-0000-0400-000097040000}"/>
    <hyperlink ref="AS592" r:id="rId1177" xr:uid="{00000000-0004-0000-0400-000098040000}"/>
    <hyperlink ref="AQ593" r:id="rId1178" xr:uid="{00000000-0004-0000-0400-000099040000}"/>
    <hyperlink ref="AS593" r:id="rId1179" xr:uid="{00000000-0004-0000-0400-00009A040000}"/>
    <hyperlink ref="AP594" r:id="rId1180" xr:uid="{00000000-0004-0000-0400-00009B040000}"/>
    <hyperlink ref="AQ594" r:id="rId1181" xr:uid="{00000000-0004-0000-0400-00009C040000}"/>
    <hyperlink ref="AS594" r:id="rId1182" xr:uid="{00000000-0004-0000-0400-00009D040000}"/>
    <hyperlink ref="AP595" r:id="rId1183" xr:uid="{00000000-0004-0000-0400-00009E040000}"/>
    <hyperlink ref="AS595" r:id="rId1184" xr:uid="{00000000-0004-0000-0400-00009F040000}"/>
    <hyperlink ref="AP596" r:id="rId1185" xr:uid="{00000000-0004-0000-0400-0000A0040000}"/>
    <hyperlink ref="AQ596" r:id="rId1186" xr:uid="{00000000-0004-0000-0400-0000A1040000}"/>
    <hyperlink ref="AS596" r:id="rId1187" xr:uid="{00000000-0004-0000-0400-0000A2040000}"/>
    <hyperlink ref="AP597" r:id="rId1188" xr:uid="{00000000-0004-0000-0400-0000A3040000}"/>
    <hyperlink ref="AQ597" r:id="rId1189" xr:uid="{00000000-0004-0000-0400-0000A4040000}"/>
    <hyperlink ref="AS597" r:id="rId1190" xr:uid="{00000000-0004-0000-0400-0000A5040000}"/>
    <hyperlink ref="AP598" r:id="rId1191" xr:uid="{00000000-0004-0000-0400-0000A6040000}"/>
    <hyperlink ref="AQ598" r:id="rId1192" xr:uid="{00000000-0004-0000-0400-0000A7040000}"/>
    <hyperlink ref="AS598" r:id="rId1193" xr:uid="{00000000-0004-0000-0400-0000A8040000}"/>
    <hyperlink ref="AS599" r:id="rId1194" xr:uid="{00000000-0004-0000-0400-0000A9040000}"/>
  </hyperlinks>
  <pageMargins left="0.511811024" right="0.511811024" top="0.78740157499999996" bottom="0.78740157499999996" header="0.31496062000000002" footer="0.31496062000000002"/>
  <pageSetup paperSize="9" orientation="portrait" verticalDpi="597" r:id="rId1195"/>
  <drawing r:id="rId1196"/>
  <legacyDrawing r:id="rId119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677F1"/>
    <outlinePr summaryBelow="0" summaryRight="0"/>
  </sheetPr>
  <dimension ref="A1:H600"/>
  <sheetViews>
    <sheetView tabSelected="1" zoomScale="80" zoomScaleNormal="80" workbookViewId="0"/>
  </sheetViews>
  <sheetFormatPr defaultColWidth="12.6328125" defaultRowHeight="15.75" customHeight="1" x14ac:dyDescent="0.3"/>
  <cols>
    <col min="1" max="3" width="37.6328125" style="51" customWidth="1"/>
    <col min="4" max="4" width="17.6328125" style="52" customWidth="1"/>
    <col min="5" max="5" width="37.6328125" style="51" customWidth="1"/>
    <col min="6" max="6" width="23.90625" style="51" customWidth="1"/>
    <col min="7" max="7" width="21.6328125" style="53" bestFit="1" customWidth="1"/>
    <col min="8" max="8" width="8.6328125" style="52" customWidth="1"/>
  </cols>
  <sheetData>
    <row r="1" spans="1:8" s="39" customFormat="1" ht="14.5" x14ac:dyDescent="0.3">
      <c r="A1" s="56" t="s">
        <v>17888</v>
      </c>
      <c r="B1" s="57" t="s">
        <v>17885</v>
      </c>
      <c r="C1" s="57" t="s">
        <v>17884</v>
      </c>
      <c r="D1" s="57" t="s">
        <v>7</v>
      </c>
      <c r="E1" s="57" t="s">
        <v>17886</v>
      </c>
      <c r="F1" s="57" t="s">
        <v>7516</v>
      </c>
      <c r="G1" s="57" t="s">
        <v>17887</v>
      </c>
      <c r="H1" s="58" t="s">
        <v>17883</v>
      </c>
    </row>
    <row r="2" spans="1:8" ht="13" x14ac:dyDescent="0.3">
      <c r="A2" s="40" t="s">
        <v>17624</v>
      </c>
      <c r="B2" s="41" t="s">
        <v>17995</v>
      </c>
      <c r="C2" s="41" t="s">
        <v>10236</v>
      </c>
      <c r="D2" s="42" t="s">
        <v>16063</v>
      </c>
      <c r="E2" s="41" t="s">
        <v>18429</v>
      </c>
      <c r="F2" s="41" t="s">
        <v>18314</v>
      </c>
      <c r="G2" s="43" t="s">
        <v>128</v>
      </c>
      <c r="H2" s="54" t="s">
        <v>101</v>
      </c>
    </row>
    <row r="3" spans="1:8" ht="13" x14ac:dyDescent="0.3">
      <c r="A3" s="40" t="s">
        <v>7576</v>
      </c>
      <c r="B3" s="41" t="s">
        <v>17996</v>
      </c>
      <c r="C3" s="41" t="s">
        <v>7579</v>
      </c>
      <c r="D3" s="42" t="s">
        <v>7580</v>
      </c>
      <c r="E3" s="41" t="s">
        <v>18430</v>
      </c>
      <c r="F3" s="41" t="s">
        <v>7582</v>
      </c>
      <c r="G3" s="43" t="s">
        <v>7583</v>
      </c>
      <c r="H3" s="54" t="s">
        <v>6781</v>
      </c>
    </row>
    <row r="4" spans="1:8" ht="13" x14ac:dyDescent="0.3">
      <c r="A4" s="40" t="s">
        <v>17674</v>
      </c>
      <c r="B4" s="41" t="s">
        <v>11066</v>
      </c>
      <c r="C4" s="41" t="s">
        <v>11067</v>
      </c>
      <c r="D4" s="42" t="s">
        <v>11068</v>
      </c>
      <c r="E4" s="41" t="s">
        <v>5275</v>
      </c>
      <c r="F4" s="41" t="s">
        <v>11069</v>
      </c>
      <c r="G4" s="43" t="s">
        <v>5319</v>
      </c>
      <c r="H4" s="54" t="s">
        <v>5316</v>
      </c>
    </row>
    <row r="5" spans="1:8" ht="13" x14ac:dyDescent="0.3">
      <c r="A5" s="40" t="s">
        <v>551</v>
      </c>
      <c r="B5" s="41" t="s">
        <v>554</v>
      </c>
      <c r="C5" s="41" t="s">
        <v>555</v>
      </c>
      <c r="D5" s="42" t="s">
        <v>556</v>
      </c>
      <c r="E5" s="41" t="s">
        <v>18431</v>
      </c>
      <c r="F5" s="41" t="s">
        <v>18315</v>
      </c>
      <c r="G5" s="43" t="s">
        <v>1149</v>
      </c>
      <c r="H5" s="54" t="s">
        <v>557</v>
      </c>
    </row>
    <row r="6" spans="1:8" ht="13" x14ac:dyDescent="0.3">
      <c r="A6" s="40" t="s">
        <v>17743</v>
      </c>
      <c r="B6" s="41" t="s">
        <v>17997</v>
      </c>
      <c r="C6" s="41" t="s">
        <v>7138</v>
      </c>
      <c r="D6" s="42" t="s">
        <v>7139</v>
      </c>
      <c r="E6" s="41" t="s">
        <v>7140</v>
      </c>
      <c r="F6" s="41" t="s">
        <v>7141</v>
      </c>
      <c r="G6" s="43" t="s">
        <v>128</v>
      </c>
      <c r="H6" s="54" t="s">
        <v>101</v>
      </c>
    </row>
    <row r="7" spans="1:8" ht="13" x14ac:dyDescent="0.3">
      <c r="A7" s="40" t="s">
        <v>17592</v>
      </c>
      <c r="B7" s="41" t="s">
        <v>9747</v>
      </c>
      <c r="C7" s="41" t="s">
        <v>9748</v>
      </c>
      <c r="D7" s="42" t="s">
        <v>9749</v>
      </c>
      <c r="E7" s="41" t="s">
        <v>9750</v>
      </c>
      <c r="F7" s="41" t="s">
        <v>18316</v>
      </c>
      <c r="G7" s="43" t="s">
        <v>626</v>
      </c>
      <c r="H7" s="54" t="s">
        <v>70</v>
      </c>
    </row>
    <row r="8" spans="1:8" ht="13" x14ac:dyDescent="0.3">
      <c r="A8" s="40" t="s">
        <v>17723</v>
      </c>
      <c r="B8" s="41" t="s">
        <v>17998</v>
      </c>
      <c r="C8" s="41" t="s">
        <v>4281</v>
      </c>
      <c r="D8" s="42" t="s">
        <v>4282</v>
      </c>
      <c r="E8" s="41" t="s">
        <v>12960</v>
      </c>
      <c r="F8" s="41" t="s">
        <v>18317</v>
      </c>
      <c r="G8" s="43" t="s">
        <v>470</v>
      </c>
      <c r="H8" s="54" t="s">
        <v>468</v>
      </c>
    </row>
    <row r="9" spans="1:8" ht="13" x14ac:dyDescent="0.3">
      <c r="A9" s="40" t="s">
        <v>14225</v>
      </c>
      <c r="B9" s="41" t="s">
        <v>17999</v>
      </c>
      <c r="C9" s="41" t="s">
        <v>6873</v>
      </c>
      <c r="D9" s="42" t="s">
        <v>18719</v>
      </c>
      <c r="E9" s="41" t="s">
        <v>18432</v>
      </c>
      <c r="F9" s="41" t="s">
        <v>6875</v>
      </c>
      <c r="G9" s="43" t="s">
        <v>128</v>
      </c>
      <c r="H9" s="54" t="s">
        <v>101</v>
      </c>
    </row>
    <row r="10" spans="1:8" ht="13" x14ac:dyDescent="0.3">
      <c r="A10" s="40" t="s">
        <v>17566</v>
      </c>
      <c r="B10" s="41" t="s">
        <v>18000</v>
      </c>
      <c r="C10" s="41" t="s">
        <v>9310</v>
      </c>
      <c r="D10" s="42" t="s">
        <v>9311</v>
      </c>
      <c r="E10" s="41" t="s">
        <v>9312</v>
      </c>
      <c r="F10" s="41" t="s">
        <v>9313</v>
      </c>
      <c r="G10" s="43" t="s">
        <v>381</v>
      </c>
      <c r="H10" s="54" t="s">
        <v>379</v>
      </c>
    </row>
    <row r="11" spans="1:8" ht="13" x14ac:dyDescent="0.3">
      <c r="A11" s="40" t="s">
        <v>7393</v>
      </c>
      <c r="B11" s="41" t="s">
        <v>18001</v>
      </c>
      <c r="C11" s="41" t="s">
        <v>7395</v>
      </c>
      <c r="D11" s="42">
        <v>21968974594</v>
      </c>
      <c r="E11" s="41" t="s">
        <v>7396</v>
      </c>
      <c r="F11" s="41" t="s">
        <v>7397</v>
      </c>
      <c r="G11" s="43" t="s">
        <v>760</v>
      </c>
      <c r="H11" s="54" t="s">
        <v>70</v>
      </c>
    </row>
    <row r="12" spans="1:8" ht="13" x14ac:dyDescent="0.3">
      <c r="A12" s="40" t="s">
        <v>17673</v>
      </c>
      <c r="B12" s="41" t="s">
        <v>18002</v>
      </c>
      <c r="C12" s="41" t="s">
        <v>11047</v>
      </c>
      <c r="D12" s="42" t="s">
        <v>11048</v>
      </c>
      <c r="E12" s="41" t="s">
        <v>18433</v>
      </c>
      <c r="F12" s="41" t="s">
        <v>16537</v>
      </c>
      <c r="G12" s="43" t="s">
        <v>2174</v>
      </c>
      <c r="H12" s="54" t="s">
        <v>84</v>
      </c>
    </row>
    <row r="13" spans="1:8" ht="13" x14ac:dyDescent="0.3">
      <c r="A13" s="40" t="s">
        <v>17840</v>
      </c>
      <c r="B13" s="41" t="s">
        <v>18003</v>
      </c>
      <c r="C13" s="41" t="s">
        <v>4074</v>
      </c>
      <c r="D13" s="42" t="s">
        <v>4075</v>
      </c>
      <c r="E13" s="41" t="s">
        <v>4076</v>
      </c>
      <c r="F13" s="41" t="s">
        <v>4077</v>
      </c>
      <c r="G13" s="43" t="s">
        <v>4078</v>
      </c>
      <c r="H13" s="54" t="s">
        <v>468</v>
      </c>
    </row>
    <row r="14" spans="1:8" ht="13" x14ac:dyDescent="0.3">
      <c r="A14" s="40" t="s">
        <v>17555</v>
      </c>
      <c r="B14" s="41" t="s">
        <v>18004</v>
      </c>
      <c r="C14" s="41" t="s">
        <v>9124</v>
      </c>
      <c r="D14" s="42" t="s">
        <v>17404</v>
      </c>
      <c r="E14" s="41" t="s">
        <v>9126</v>
      </c>
      <c r="F14" s="41" t="s">
        <v>18318</v>
      </c>
      <c r="G14" s="43" t="s">
        <v>9298</v>
      </c>
      <c r="H14" s="54" t="s">
        <v>1171</v>
      </c>
    </row>
    <row r="15" spans="1:8" ht="13" x14ac:dyDescent="0.3">
      <c r="A15" s="40" t="s">
        <v>17661</v>
      </c>
      <c r="B15" s="41" t="s">
        <v>18005</v>
      </c>
      <c r="C15" s="41" t="s">
        <v>10841</v>
      </c>
      <c r="D15" s="42" t="s">
        <v>10842</v>
      </c>
      <c r="E15" s="41" t="s">
        <v>18434</v>
      </c>
      <c r="F15" s="41" t="s">
        <v>16405</v>
      </c>
      <c r="G15" s="43" t="s">
        <v>128</v>
      </c>
      <c r="H15" s="54" t="s">
        <v>101</v>
      </c>
    </row>
    <row r="16" spans="1:8" ht="13" x14ac:dyDescent="0.3">
      <c r="A16" s="40" t="s">
        <v>17537</v>
      </c>
      <c r="B16" s="41" t="s">
        <v>3823</v>
      </c>
      <c r="C16" s="41" t="s">
        <v>3824</v>
      </c>
      <c r="D16" s="42" t="s">
        <v>12721</v>
      </c>
      <c r="E16" s="41" t="s">
        <v>18435</v>
      </c>
      <c r="F16" s="41" t="s">
        <v>18319</v>
      </c>
      <c r="G16" s="43" t="s">
        <v>128</v>
      </c>
      <c r="H16" s="54" t="s">
        <v>101</v>
      </c>
    </row>
    <row r="17" spans="1:8" ht="13" x14ac:dyDescent="0.3">
      <c r="A17" s="40" t="s">
        <v>17570</v>
      </c>
      <c r="B17" s="41" t="s">
        <v>18006</v>
      </c>
      <c r="C17" s="41" t="s">
        <v>9391</v>
      </c>
      <c r="D17" s="42" t="s">
        <v>15548</v>
      </c>
      <c r="E17" s="41" t="s">
        <v>9392</v>
      </c>
      <c r="F17" s="41" t="s">
        <v>18320</v>
      </c>
      <c r="G17" s="43" t="s">
        <v>1848</v>
      </c>
      <c r="H17" s="54" t="s">
        <v>1002</v>
      </c>
    </row>
    <row r="18" spans="1:8" ht="13" x14ac:dyDescent="0.3">
      <c r="A18" s="40" t="s">
        <v>17578</v>
      </c>
      <c r="B18" s="41" t="s">
        <v>18007</v>
      </c>
      <c r="C18" s="41" t="s">
        <v>9536</v>
      </c>
      <c r="D18" s="42" t="s">
        <v>15646</v>
      </c>
      <c r="E18" s="41" t="s">
        <v>18436</v>
      </c>
      <c r="F18" s="41" t="s">
        <v>1984</v>
      </c>
      <c r="G18" s="43" t="s">
        <v>626</v>
      </c>
      <c r="H18" s="54" t="s">
        <v>70</v>
      </c>
    </row>
    <row r="19" spans="1:8" ht="13" x14ac:dyDescent="0.3">
      <c r="A19" s="40" t="s">
        <v>17889</v>
      </c>
      <c r="B19" s="41" t="s">
        <v>7490</v>
      </c>
      <c r="C19" s="41" t="s">
        <v>7491</v>
      </c>
      <c r="D19" s="42" t="s">
        <v>18718</v>
      </c>
      <c r="E19" s="41" t="s">
        <v>7492</v>
      </c>
      <c r="F19" s="41" t="s">
        <v>7493</v>
      </c>
      <c r="G19" s="43" t="s">
        <v>7494</v>
      </c>
      <c r="H19" s="54" t="s">
        <v>1171</v>
      </c>
    </row>
    <row r="20" spans="1:8" ht="13" x14ac:dyDescent="0.3">
      <c r="A20" s="40" t="s">
        <v>293</v>
      </c>
      <c r="B20" s="44" t="s">
        <v>3740</v>
      </c>
      <c r="C20" s="44"/>
      <c r="D20" s="42" t="s">
        <v>11351</v>
      </c>
      <c r="E20" s="41" t="s">
        <v>18437</v>
      </c>
      <c r="F20" s="44" t="s">
        <v>3740</v>
      </c>
      <c r="G20" s="43" t="s">
        <v>297</v>
      </c>
      <c r="H20" s="54" t="s">
        <v>295</v>
      </c>
    </row>
    <row r="21" spans="1:8" ht="13" x14ac:dyDescent="0.3">
      <c r="A21" s="40" t="s">
        <v>17613</v>
      </c>
      <c r="B21" s="41" t="s">
        <v>10065</v>
      </c>
      <c r="C21" s="41" t="s">
        <v>10066</v>
      </c>
      <c r="D21" s="42" t="s">
        <v>15965</v>
      </c>
      <c r="E21" s="41" t="s">
        <v>10068</v>
      </c>
      <c r="F21" s="41" t="s">
        <v>10069</v>
      </c>
      <c r="G21" s="43" t="s">
        <v>4861</v>
      </c>
      <c r="H21" s="54" t="s">
        <v>101</v>
      </c>
    </row>
    <row r="22" spans="1:8" ht="13" x14ac:dyDescent="0.3">
      <c r="A22" s="40" t="s">
        <v>10609</v>
      </c>
      <c r="B22" s="41" t="s">
        <v>18008</v>
      </c>
      <c r="C22" s="41" t="s">
        <v>10612</v>
      </c>
      <c r="D22" s="42" t="s">
        <v>16261</v>
      </c>
      <c r="E22" s="41" t="s">
        <v>18438</v>
      </c>
      <c r="F22" s="41" t="s">
        <v>10615</v>
      </c>
      <c r="G22" s="43" t="s">
        <v>128</v>
      </c>
      <c r="H22" s="54" t="s">
        <v>101</v>
      </c>
    </row>
    <row r="23" spans="1:8" ht="13" x14ac:dyDescent="0.3">
      <c r="A23" s="40" t="s">
        <v>8282</v>
      </c>
      <c r="B23" s="41" t="s">
        <v>18009</v>
      </c>
      <c r="C23" s="41" t="s">
        <v>8286</v>
      </c>
      <c r="D23" s="42" t="s">
        <v>8287</v>
      </c>
      <c r="E23" s="41" t="s">
        <v>8288</v>
      </c>
      <c r="F23" s="41" t="s">
        <v>7795</v>
      </c>
      <c r="G23" s="43" t="s">
        <v>128</v>
      </c>
      <c r="H23" s="54" t="s">
        <v>101</v>
      </c>
    </row>
    <row r="24" spans="1:8" ht="13" x14ac:dyDescent="0.3">
      <c r="A24" s="40" t="s">
        <v>1716</v>
      </c>
      <c r="B24" s="41" t="s">
        <v>1719</v>
      </c>
      <c r="C24" s="41" t="s">
        <v>1720</v>
      </c>
      <c r="D24" s="42" t="s">
        <v>12190</v>
      </c>
      <c r="E24" s="41" t="s">
        <v>1722</v>
      </c>
      <c r="F24" s="41" t="s">
        <v>18321</v>
      </c>
      <c r="G24" s="43" t="s">
        <v>128</v>
      </c>
      <c r="H24" s="54" t="s">
        <v>101</v>
      </c>
    </row>
    <row r="25" spans="1:8" ht="13" x14ac:dyDescent="0.3">
      <c r="A25" s="40" t="s">
        <v>2270</v>
      </c>
      <c r="B25" s="41" t="s">
        <v>2273</v>
      </c>
      <c r="C25" s="41" t="s">
        <v>2274</v>
      </c>
      <c r="D25" s="42" t="s">
        <v>12506</v>
      </c>
      <c r="E25" s="41" t="s">
        <v>12505</v>
      </c>
      <c r="F25" s="41" t="s">
        <v>2277</v>
      </c>
      <c r="G25" s="43" t="s">
        <v>626</v>
      </c>
      <c r="H25" s="54" t="s">
        <v>70</v>
      </c>
    </row>
    <row r="26" spans="1:8" ht="13" x14ac:dyDescent="0.3">
      <c r="A26" s="40" t="s">
        <v>17865</v>
      </c>
      <c r="B26" s="41" t="s">
        <v>7597</v>
      </c>
      <c r="C26" s="41" t="s">
        <v>7598</v>
      </c>
      <c r="D26" s="42" t="s">
        <v>7599</v>
      </c>
      <c r="E26" s="41" t="s">
        <v>7600</v>
      </c>
      <c r="F26" s="41" t="s">
        <v>7601</v>
      </c>
      <c r="G26" s="43" t="s">
        <v>18272</v>
      </c>
      <c r="H26" s="54" t="s">
        <v>101</v>
      </c>
    </row>
    <row r="27" spans="1:8" ht="13" x14ac:dyDescent="0.3">
      <c r="A27" s="40" t="s">
        <v>10528</v>
      </c>
      <c r="B27" s="41" t="s">
        <v>10530</v>
      </c>
      <c r="C27" s="41" t="s">
        <v>10531</v>
      </c>
      <c r="D27" s="42" t="s">
        <v>10532</v>
      </c>
      <c r="E27" s="41" t="s">
        <v>18439</v>
      </c>
      <c r="F27" s="41" t="s">
        <v>16224</v>
      </c>
      <c r="G27" s="43" t="s">
        <v>128</v>
      </c>
      <c r="H27" s="54" t="s">
        <v>101</v>
      </c>
    </row>
    <row r="28" spans="1:8" ht="13" x14ac:dyDescent="0.3">
      <c r="A28" s="40" t="s">
        <v>17650</v>
      </c>
      <c r="B28" s="41" t="s">
        <v>10676</v>
      </c>
      <c r="C28" s="41" t="s">
        <v>10677</v>
      </c>
      <c r="D28" s="42" t="s">
        <v>10678</v>
      </c>
      <c r="E28" s="41" t="s">
        <v>10679</v>
      </c>
      <c r="F28" s="41" t="s">
        <v>10680</v>
      </c>
      <c r="G28" s="43" t="s">
        <v>128</v>
      </c>
      <c r="H28" s="54" t="s">
        <v>101</v>
      </c>
    </row>
    <row r="29" spans="1:8" ht="13" x14ac:dyDescent="0.3">
      <c r="A29" s="40" t="s">
        <v>17890</v>
      </c>
      <c r="B29" s="41" t="s">
        <v>8168</v>
      </c>
      <c r="C29" s="41" t="s">
        <v>8169</v>
      </c>
      <c r="D29" s="45"/>
      <c r="E29" s="41" t="s">
        <v>18440</v>
      </c>
      <c r="F29" s="41" t="s">
        <v>8171</v>
      </c>
      <c r="G29" s="43" t="s">
        <v>8172</v>
      </c>
      <c r="H29" s="54" t="s">
        <v>407</v>
      </c>
    </row>
    <row r="30" spans="1:8" ht="13" x14ac:dyDescent="0.3">
      <c r="A30" s="40" t="s">
        <v>17864</v>
      </c>
      <c r="B30" s="41" t="s">
        <v>6700</v>
      </c>
      <c r="C30" s="41" t="s">
        <v>6701</v>
      </c>
      <c r="D30" s="42" t="s">
        <v>6702</v>
      </c>
      <c r="E30" s="41" t="s">
        <v>6703</v>
      </c>
      <c r="F30" s="41" t="s">
        <v>6704</v>
      </c>
      <c r="G30" s="43" t="s">
        <v>1848</v>
      </c>
      <c r="H30" s="54" t="s">
        <v>1002</v>
      </c>
    </row>
    <row r="31" spans="1:8" ht="13" x14ac:dyDescent="0.3">
      <c r="A31" s="40" t="s">
        <v>6828</v>
      </c>
      <c r="B31" s="41" t="s">
        <v>18010</v>
      </c>
      <c r="C31" s="41" t="s">
        <v>6831</v>
      </c>
      <c r="D31" s="42" t="s">
        <v>6832</v>
      </c>
      <c r="E31" s="41" t="s">
        <v>18441</v>
      </c>
      <c r="F31" s="41" t="s">
        <v>18322</v>
      </c>
      <c r="G31" s="43" t="s">
        <v>128</v>
      </c>
      <c r="H31" s="54" t="s">
        <v>101</v>
      </c>
    </row>
    <row r="32" spans="1:8" ht="13" x14ac:dyDescent="0.3">
      <c r="A32" s="40" t="s">
        <v>17504</v>
      </c>
      <c r="B32" s="44" t="s">
        <v>3740</v>
      </c>
      <c r="C32" s="44"/>
      <c r="D32" s="42" t="s">
        <v>11456</v>
      </c>
      <c r="E32" s="41" t="s">
        <v>11455</v>
      </c>
      <c r="F32" s="44" t="s">
        <v>3740</v>
      </c>
      <c r="G32" s="43" t="s">
        <v>128</v>
      </c>
      <c r="H32" s="54" t="s">
        <v>101</v>
      </c>
    </row>
    <row r="33" spans="1:8" ht="13" x14ac:dyDescent="0.3">
      <c r="A33" s="40" t="s">
        <v>17683</v>
      </c>
      <c r="B33" s="44" t="s">
        <v>3740</v>
      </c>
      <c r="C33" s="41" t="s">
        <v>193</v>
      </c>
      <c r="D33" s="42" t="s">
        <v>11202</v>
      </c>
      <c r="E33" s="41" t="s">
        <v>18442</v>
      </c>
      <c r="F33" s="41" t="s">
        <v>18323</v>
      </c>
      <c r="G33" s="43" t="s">
        <v>6725</v>
      </c>
      <c r="H33" s="54" t="s">
        <v>195</v>
      </c>
    </row>
    <row r="34" spans="1:8" ht="13" x14ac:dyDescent="0.3">
      <c r="A34" s="40" t="s">
        <v>17637</v>
      </c>
      <c r="B34" s="41" t="s">
        <v>18011</v>
      </c>
      <c r="C34" s="41" t="s">
        <v>10441</v>
      </c>
      <c r="D34" s="42" t="s">
        <v>16175</v>
      </c>
      <c r="E34" s="41" t="s">
        <v>18443</v>
      </c>
      <c r="F34" s="41" t="s">
        <v>10444</v>
      </c>
      <c r="G34" s="43" t="s">
        <v>128</v>
      </c>
      <c r="H34" s="54" t="s">
        <v>101</v>
      </c>
    </row>
    <row r="35" spans="1:8" ht="13" x14ac:dyDescent="0.3">
      <c r="A35" s="40" t="s">
        <v>17679</v>
      </c>
      <c r="B35" s="41" t="s">
        <v>11158</v>
      </c>
      <c r="C35" s="41" t="s">
        <v>11159</v>
      </c>
      <c r="D35" s="42" t="s">
        <v>16600</v>
      </c>
      <c r="E35" s="41" t="s">
        <v>11161</v>
      </c>
      <c r="F35" s="41" t="s">
        <v>18324</v>
      </c>
      <c r="G35" s="43" t="s">
        <v>5167</v>
      </c>
      <c r="H35" s="54" t="s">
        <v>84</v>
      </c>
    </row>
    <row r="36" spans="1:8" ht="13" x14ac:dyDescent="0.3">
      <c r="A36" s="40" t="s">
        <v>17708</v>
      </c>
      <c r="B36" s="41" t="s">
        <v>18012</v>
      </c>
      <c r="C36" s="41" t="s">
        <v>7661</v>
      </c>
      <c r="D36" s="42" t="s">
        <v>7662</v>
      </c>
      <c r="E36" s="41" t="s">
        <v>18444</v>
      </c>
      <c r="F36" s="41" t="s">
        <v>4775</v>
      </c>
      <c r="G36" s="43" t="s">
        <v>4861</v>
      </c>
      <c r="H36" s="54" t="s">
        <v>101</v>
      </c>
    </row>
    <row r="37" spans="1:8" ht="13" x14ac:dyDescent="0.3">
      <c r="A37" s="40" t="s">
        <v>17668</v>
      </c>
      <c r="B37" s="41" t="s">
        <v>18013</v>
      </c>
      <c r="C37" s="41" t="s">
        <v>10961</v>
      </c>
      <c r="D37" s="42" t="s">
        <v>17407</v>
      </c>
      <c r="E37" s="41" t="s">
        <v>18445</v>
      </c>
      <c r="F37" s="41" t="s">
        <v>10964</v>
      </c>
      <c r="G37" s="43" t="s">
        <v>18273</v>
      </c>
      <c r="H37" s="54" t="s">
        <v>84</v>
      </c>
    </row>
    <row r="38" spans="1:8" ht="13" x14ac:dyDescent="0.3">
      <c r="A38" s="40" t="s">
        <v>17706</v>
      </c>
      <c r="B38" s="41" t="s">
        <v>18014</v>
      </c>
      <c r="C38" s="41" t="s">
        <v>6092</v>
      </c>
      <c r="D38" s="42" t="s">
        <v>6093</v>
      </c>
      <c r="E38" s="41" t="s">
        <v>6094</v>
      </c>
      <c r="F38" s="41" t="s">
        <v>18325</v>
      </c>
      <c r="G38" s="43" t="s">
        <v>177</v>
      </c>
      <c r="H38" s="54" t="s">
        <v>84</v>
      </c>
    </row>
    <row r="39" spans="1:8" ht="13" x14ac:dyDescent="0.3">
      <c r="A39" s="40" t="s">
        <v>17781</v>
      </c>
      <c r="B39" s="41" t="s">
        <v>18015</v>
      </c>
      <c r="C39" s="41" t="s">
        <v>4358</v>
      </c>
      <c r="D39" s="42" t="s">
        <v>4359</v>
      </c>
      <c r="E39" s="41" t="s">
        <v>18446</v>
      </c>
      <c r="F39" s="41" t="s">
        <v>15542</v>
      </c>
      <c r="G39" s="43" t="s">
        <v>470</v>
      </c>
      <c r="H39" s="54" t="s">
        <v>468</v>
      </c>
    </row>
    <row r="40" spans="1:8" ht="13" x14ac:dyDescent="0.3">
      <c r="A40" s="40" t="s">
        <v>17522</v>
      </c>
      <c r="B40" s="41" t="s">
        <v>1868</v>
      </c>
      <c r="C40" s="41" t="s">
        <v>1869</v>
      </c>
      <c r="D40" s="42" t="s">
        <v>3437</v>
      </c>
      <c r="E40" s="41" t="s">
        <v>18447</v>
      </c>
      <c r="F40" s="41" t="s">
        <v>18326</v>
      </c>
      <c r="G40" s="43" t="s">
        <v>1874</v>
      </c>
      <c r="H40" s="54" t="s">
        <v>1871</v>
      </c>
    </row>
    <row r="41" spans="1:8" ht="13" x14ac:dyDescent="0.3">
      <c r="A41" s="40" t="s">
        <v>1220</v>
      </c>
      <c r="B41" s="41" t="s">
        <v>1223</v>
      </c>
      <c r="C41" s="41" t="s">
        <v>1224</v>
      </c>
      <c r="D41" s="42" t="s">
        <v>11907</v>
      </c>
      <c r="E41" s="41" t="s">
        <v>18448</v>
      </c>
      <c r="F41" s="41" t="s">
        <v>18327</v>
      </c>
      <c r="G41" s="43" t="s">
        <v>266</v>
      </c>
      <c r="H41" s="54" t="s">
        <v>84</v>
      </c>
    </row>
    <row r="42" spans="1:8" ht="13" x14ac:dyDescent="0.3">
      <c r="A42" s="40" t="s">
        <v>17709</v>
      </c>
      <c r="B42" s="41" t="s">
        <v>18016</v>
      </c>
      <c r="C42" s="41" t="s">
        <v>7640</v>
      </c>
      <c r="D42" s="42" t="s">
        <v>7641</v>
      </c>
      <c r="E42" s="41" t="s">
        <v>7642</v>
      </c>
      <c r="F42" s="41" t="s">
        <v>7643</v>
      </c>
      <c r="G42" s="43" t="s">
        <v>7644</v>
      </c>
      <c r="H42" s="54" t="s">
        <v>101</v>
      </c>
    </row>
    <row r="43" spans="1:8" ht="13" x14ac:dyDescent="0.3">
      <c r="A43" s="40" t="s">
        <v>1951</v>
      </c>
      <c r="B43" s="41" t="s">
        <v>1954</v>
      </c>
      <c r="C43" s="41" t="s">
        <v>1955</v>
      </c>
      <c r="D43" s="42" t="s">
        <v>12322</v>
      </c>
      <c r="E43" s="41" t="s">
        <v>18449</v>
      </c>
      <c r="F43" s="41" t="s">
        <v>1958</v>
      </c>
      <c r="G43" s="43" t="s">
        <v>1959</v>
      </c>
      <c r="H43" s="54" t="s">
        <v>1381</v>
      </c>
    </row>
    <row r="44" spans="1:8" ht="13" x14ac:dyDescent="0.3">
      <c r="A44" s="40" t="s">
        <v>17608</v>
      </c>
      <c r="B44" s="41" t="s">
        <v>9981</v>
      </c>
      <c r="C44" s="41" t="s">
        <v>9982</v>
      </c>
      <c r="D44" s="42" t="s">
        <v>9983</v>
      </c>
      <c r="E44" s="41" t="s">
        <v>9984</v>
      </c>
      <c r="F44" s="41" t="s">
        <v>9985</v>
      </c>
      <c r="G44" s="43" t="s">
        <v>128</v>
      </c>
      <c r="H44" s="54" t="s">
        <v>101</v>
      </c>
    </row>
    <row r="45" spans="1:8" ht="13" x14ac:dyDescent="0.3">
      <c r="A45" s="40" t="s">
        <v>17548</v>
      </c>
      <c r="B45" s="41" t="s">
        <v>15324</v>
      </c>
      <c r="C45" s="41" t="s">
        <v>9021</v>
      </c>
      <c r="D45" s="42" t="s">
        <v>15325</v>
      </c>
      <c r="E45" s="41" t="s">
        <v>18450</v>
      </c>
      <c r="F45" s="41" t="s">
        <v>18328</v>
      </c>
      <c r="G45" s="43" t="s">
        <v>9025</v>
      </c>
      <c r="H45" s="54" t="s">
        <v>468</v>
      </c>
    </row>
    <row r="46" spans="1:8" ht="13" x14ac:dyDescent="0.3">
      <c r="A46" s="40" t="s">
        <v>17804</v>
      </c>
      <c r="B46" s="41" t="s">
        <v>18017</v>
      </c>
      <c r="C46" s="41" t="s">
        <v>8403</v>
      </c>
      <c r="D46" s="42" t="s">
        <v>8404</v>
      </c>
      <c r="E46" s="41" t="s">
        <v>8405</v>
      </c>
      <c r="F46" s="41" t="s">
        <v>7632</v>
      </c>
      <c r="G46" s="43" t="s">
        <v>128</v>
      </c>
      <c r="H46" s="54" t="s">
        <v>101</v>
      </c>
    </row>
    <row r="47" spans="1:8" ht="13" x14ac:dyDescent="0.3">
      <c r="A47" s="40" t="s">
        <v>17632</v>
      </c>
      <c r="B47" s="41" t="s">
        <v>10361</v>
      </c>
      <c r="C47" s="41" t="s">
        <v>10362</v>
      </c>
      <c r="D47" s="42" t="s">
        <v>16131</v>
      </c>
      <c r="E47" s="41" t="s">
        <v>10364</v>
      </c>
      <c r="F47" s="41" t="s">
        <v>10365</v>
      </c>
      <c r="G47" s="43" t="s">
        <v>104</v>
      </c>
      <c r="H47" s="54" t="s">
        <v>101</v>
      </c>
    </row>
    <row r="48" spans="1:8" ht="13" x14ac:dyDescent="0.3">
      <c r="A48" s="40" t="s">
        <v>5087</v>
      </c>
      <c r="B48" s="41" t="s">
        <v>18018</v>
      </c>
      <c r="C48" s="41" t="s">
        <v>5091</v>
      </c>
      <c r="D48" s="42" t="s">
        <v>5092</v>
      </c>
      <c r="E48" s="41" t="s">
        <v>18451</v>
      </c>
      <c r="F48" s="41" t="s">
        <v>4348</v>
      </c>
      <c r="G48" s="43" t="s">
        <v>470</v>
      </c>
      <c r="H48" s="54" t="s">
        <v>468</v>
      </c>
    </row>
    <row r="49" spans="1:8" ht="13" x14ac:dyDescent="0.3">
      <c r="A49" s="40" t="s">
        <v>17759</v>
      </c>
      <c r="B49" s="41" t="s">
        <v>5102</v>
      </c>
      <c r="C49" s="44"/>
      <c r="D49" s="42" t="s">
        <v>5103</v>
      </c>
      <c r="E49" s="41" t="s">
        <v>5104</v>
      </c>
      <c r="F49" s="41" t="s">
        <v>18329</v>
      </c>
      <c r="G49" s="43" t="s">
        <v>87</v>
      </c>
      <c r="H49" s="54" t="s">
        <v>84</v>
      </c>
    </row>
    <row r="50" spans="1:8" ht="13" x14ac:dyDescent="0.3">
      <c r="A50" s="40" t="s">
        <v>17868</v>
      </c>
      <c r="B50" s="41" t="s">
        <v>18019</v>
      </c>
      <c r="C50" s="41" t="s">
        <v>6900</v>
      </c>
      <c r="D50" s="42" t="s">
        <v>6901</v>
      </c>
      <c r="E50" s="41" t="s">
        <v>18452</v>
      </c>
      <c r="F50" s="41" t="s">
        <v>647</v>
      </c>
      <c r="G50" s="43" t="s">
        <v>18274</v>
      </c>
      <c r="H50" s="54" t="s">
        <v>195</v>
      </c>
    </row>
    <row r="51" spans="1:8" ht="13" x14ac:dyDescent="0.3">
      <c r="A51" s="40" t="s">
        <v>17659</v>
      </c>
      <c r="B51" s="41" t="s">
        <v>18020</v>
      </c>
      <c r="C51" s="41" t="s">
        <v>10811</v>
      </c>
      <c r="D51" s="42" t="s">
        <v>16384</v>
      </c>
      <c r="E51" s="41" t="s">
        <v>18453</v>
      </c>
      <c r="F51" s="41" t="s">
        <v>10814</v>
      </c>
      <c r="G51" s="43" t="s">
        <v>10815</v>
      </c>
      <c r="H51" s="54" t="s">
        <v>101</v>
      </c>
    </row>
    <row r="52" spans="1:8" ht="13" x14ac:dyDescent="0.3">
      <c r="A52" s="40" t="s">
        <v>11590</v>
      </c>
      <c r="B52" s="44" t="s">
        <v>3740</v>
      </c>
      <c r="C52" s="44"/>
      <c r="D52" s="42" t="s">
        <v>17408</v>
      </c>
      <c r="E52" s="41" t="s">
        <v>788</v>
      </c>
      <c r="F52" s="44" t="s">
        <v>3740</v>
      </c>
      <c r="G52" s="43" t="s">
        <v>789</v>
      </c>
      <c r="H52" s="54" t="s">
        <v>295</v>
      </c>
    </row>
    <row r="53" spans="1:8" ht="13" x14ac:dyDescent="0.3">
      <c r="A53" s="40" t="s">
        <v>17686</v>
      </c>
      <c r="B53" s="44" t="s">
        <v>3740</v>
      </c>
      <c r="C53" s="41" t="s">
        <v>174</v>
      </c>
      <c r="D53" s="42" t="s">
        <v>11236</v>
      </c>
      <c r="E53" s="41" t="s">
        <v>176</v>
      </c>
      <c r="F53" s="44" t="s">
        <v>3740</v>
      </c>
      <c r="G53" s="43" t="s">
        <v>177</v>
      </c>
      <c r="H53" s="54" t="s">
        <v>84</v>
      </c>
    </row>
    <row r="54" spans="1:8" ht="13" x14ac:dyDescent="0.3">
      <c r="A54" s="40" t="s">
        <v>5555</v>
      </c>
      <c r="B54" s="41" t="s">
        <v>5558</v>
      </c>
      <c r="C54" s="41" t="s">
        <v>5559</v>
      </c>
      <c r="D54" s="42" t="s">
        <v>5560</v>
      </c>
      <c r="E54" s="41" t="s">
        <v>5561</v>
      </c>
      <c r="F54" s="41" t="s">
        <v>18330</v>
      </c>
      <c r="G54" s="43" t="s">
        <v>5563</v>
      </c>
      <c r="H54" s="54" t="s">
        <v>468</v>
      </c>
    </row>
    <row r="55" spans="1:8" ht="13" x14ac:dyDescent="0.3">
      <c r="A55" s="40" t="s">
        <v>17492</v>
      </c>
      <c r="B55" s="44" t="s">
        <v>3740</v>
      </c>
      <c r="C55" s="44"/>
      <c r="D55" s="45"/>
      <c r="E55" s="41" t="s">
        <v>1201</v>
      </c>
      <c r="F55" s="44" t="s">
        <v>3740</v>
      </c>
      <c r="G55" s="43" t="s">
        <v>177</v>
      </c>
      <c r="H55" s="54" t="s">
        <v>84</v>
      </c>
    </row>
    <row r="56" spans="1:8" ht="13" x14ac:dyDescent="0.3">
      <c r="A56" s="40" t="s">
        <v>17485</v>
      </c>
      <c r="B56" s="44" t="s">
        <v>3740</v>
      </c>
      <c r="C56" s="41" t="s">
        <v>1089</v>
      </c>
      <c r="D56" s="42" t="s">
        <v>17409</v>
      </c>
      <c r="E56" s="41" t="s">
        <v>11805</v>
      </c>
      <c r="F56" s="44" t="s">
        <v>3740</v>
      </c>
      <c r="G56" s="43" t="s">
        <v>1092</v>
      </c>
      <c r="H56" s="54" t="s">
        <v>84</v>
      </c>
    </row>
    <row r="57" spans="1:8" ht="13" x14ac:dyDescent="0.3">
      <c r="A57" s="40" t="s">
        <v>1270</v>
      </c>
      <c r="B57" s="41" t="s">
        <v>1273</v>
      </c>
      <c r="C57" s="41" t="s">
        <v>1274</v>
      </c>
      <c r="D57" s="42" t="s">
        <v>17410</v>
      </c>
      <c r="E57" s="41" t="s">
        <v>18454</v>
      </c>
      <c r="F57" s="41" t="s">
        <v>18331</v>
      </c>
      <c r="G57" s="43" t="s">
        <v>1278</v>
      </c>
      <c r="H57" s="54" t="s">
        <v>407</v>
      </c>
    </row>
    <row r="58" spans="1:8" ht="13" x14ac:dyDescent="0.3">
      <c r="A58" s="40" t="s">
        <v>17512</v>
      </c>
      <c r="B58" s="44" t="s">
        <v>3740</v>
      </c>
      <c r="C58" s="41" t="s">
        <v>800</v>
      </c>
      <c r="D58" s="42" t="s">
        <v>11599</v>
      </c>
      <c r="E58" s="41" t="s">
        <v>11598</v>
      </c>
      <c r="F58" s="44" t="s">
        <v>3740</v>
      </c>
      <c r="G58" s="43" t="s">
        <v>626</v>
      </c>
      <c r="H58" s="54" t="s">
        <v>70</v>
      </c>
    </row>
    <row r="59" spans="1:8" ht="13" x14ac:dyDescent="0.3">
      <c r="A59" s="40" t="s">
        <v>12246</v>
      </c>
      <c r="B59" s="41" t="s">
        <v>1826</v>
      </c>
      <c r="C59" s="41" t="s">
        <v>1827</v>
      </c>
      <c r="D59" s="42" t="s">
        <v>1805</v>
      </c>
      <c r="E59" s="41" t="s">
        <v>18455</v>
      </c>
      <c r="F59" s="41" t="s">
        <v>1830</v>
      </c>
      <c r="G59" s="43" t="s">
        <v>128</v>
      </c>
      <c r="H59" s="54" t="s">
        <v>101</v>
      </c>
    </row>
    <row r="60" spans="1:8" ht="13" x14ac:dyDescent="0.3">
      <c r="A60" s="40" t="s">
        <v>17720</v>
      </c>
      <c r="B60" s="41" t="s">
        <v>8537</v>
      </c>
      <c r="C60" s="41" t="s">
        <v>8538</v>
      </c>
      <c r="D60" s="42" t="s">
        <v>8539</v>
      </c>
      <c r="E60" s="41" t="s">
        <v>8540</v>
      </c>
      <c r="F60" s="41" t="s">
        <v>8084</v>
      </c>
      <c r="G60" s="43" t="s">
        <v>409</v>
      </c>
      <c r="H60" s="54" t="s">
        <v>407</v>
      </c>
    </row>
    <row r="61" spans="1:8" ht="13" x14ac:dyDescent="0.3">
      <c r="A61" s="40" t="s">
        <v>17501</v>
      </c>
      <c r="B61" s="44" t="s">
        <v>3740</v>
      </c>
      <c r="C61" s="44"/>
      <c r="D61" s="42" t="s">
        <v>11429</v>
      </c>
      <c r="E61" s="41" t="s">
        <v>18456</v>
      </c>
      <c r="F61" s="44" t="s">
        <v>3740</v>
      </c>
      <c r="G61" s="43" t="s">
        <v>381</v>
      </c>
      <c r="H61" s="54" t="s">
        <v>379</v>
      </c>
    </row>
    <row r="62" spans="1:8" ht="13" x14ac:dyDescent="0.3">
      <c r="A62" s="40" t="s">
        <v>2351</v>
      </c>
      <c r="B62" s="41" t="s">
        <v>2354</v>
      </c>
      <c r="C62" s="41" t="s">
        <v>2355</v>
      </c>
      <c r="D62" s="42" t="s">
        <v>3661</v>
      </c>
      <c r="E62" s="41" t="s">
        <v>18457</v>
      </c>
      <c r="F62" s="41" t="s">
        <v>647</v>
      </c>
      <c r="G62" s="43" t="s">
        <v>2358</v>
      </c>
      <c r="H62" s="54" t="s">
        <v>1171</v>
      </c>
    </row>
    <row r="63" spans="1:8" ht="13" x14ac:dyDescent="0.3">
      <c r="A63" s="40" t="s">
        <v>17805</v>
      </c>
      <c r="B63" s="41" t="s">
        <v>18021</v>
      </c>
      <c r="C63" s="41" t="s">
        <v>5914</v>
      </c>
      <c r="D63" s="42" t="s">
        <v>5915</v>
      </c>
      <c r="E63" s="41" t="s">
        <v>5916</v>
      </c>
      <c r="F63" s="41" t="s">
        <v>647</v>
      </c>
      <c r="G63" s="43" t="s">
        <v>18275</v>
      </c>
      <c r="H63" s="54" t="s">
        <v>379</v>
      </c>
    </row>
    <row r="64" spans="1:8" ht="13" x14ac:dyDescent="0.3">
      <c r="A64" s="40" t="s">
        <v>17891</v>
      </c>
      <c r="B64" s="41" t="s">
        <v>18022</v>
      </c>
      <c r="C64" s="41" t="s">
        <v>10585</v>
      </c>
      <c r="D64" s="42" t="s">
        <v>10586</v>
      </c>
      <c r="E64" s="41" t="s">
        <v>18458</v>
      </c>
      <c r="F64" s="41" t="s">
        <v>5642</v>
      </c>
      <c r="G64" s="43" t="s">
        <v>18276</v>
      </c>
      <c r="H64" s="54" t="s">
        <v>101</v>
      </c>
    </row>
    <row r="65" spans="1:8" ht="13" x14ac:dyDescent="0.3">
      <c r="A65" s="40" t="s">
        <v>17633</v>
      </c>
      <c r="B65" s="41" t="s">
        <v>18023</v>
      </c>
      <c r="C65" s="41" t="s">
        <v>10380</v>
      </c>
      <c r="D65" s="42" t="s">
        <v>10381</v>
      </c>
      <c r="E65" s="41" t="s">
        <v>18459</v>
      </c>
      <c r="F65" s="41" t="s">
        <v>18332</v>
      </c>
      <c r="G65" s="43" t="s">
        <v>128</v>
      </c>
      <c r="H65" s="54" t="s">
        <v>101</v>
      </c>
    </row>
    <row r="66" spans="1:8" ht="13" x14ac:dyDescent="0.3">
      <c r="A66" s="40" t="s">
        <v>3901</v>
      </c>
      <c r="B66" s="41" t="s">
        <v>18024</v>
      </c>
      <c r="C66" s="41" t="s">
        <v>3905</v>
      </c>
      <c r="D66" s="42" t="s">
        <v>3906</v>
      </c>
      <c r="E66" s="41" t="s">
        <v>3907</v>
      </c>
      <c r="F66" s="41" t="s">
        <v>3908</v>
      </c>
      <c r="G66" s="43" t="s">
        <v>12775</v>
      </c>
      <c r="H66" s="54" t="s">
        <v>605</v>
      </c>
    </row>
    <row r="67" spans="1:8" ht="13" x14ac:dyDescent="0.3">
      <c r="A67" s="40" t="s">
        <v>17561</v>
      </c>
      <c r="B67" s="41" t="s">
        <v>9235</v>
      </c>
      <c r="C67" s="41" t="s">
        <v>9236</v>
      </c>
      <c r="D67" s="42" t="s">
        <v>15459</v>
      </c>
      <c r="E67" s="41" t="s">
        <v>18460</v>
      </c>
      <c r="F67" s="41" t="s">
        <v>18333</v>
      </c>
      <c r="G67" s="43" t="s">
        <v>2152</v>
      </c>
      <c r="H67" s="54" t="s">
        <v>1002</v>
      </c>
    </row>
    <row r="68" spans="1:8" ht="13" x14ac:dyDescent="0.3">
      <c r="A68" s="40" t="s">
        <v>17574</v>
      </c>
      <c r="B68" s="41" t="s">
        <v>18025</v>
      </c>
      <c r="C68" s="41" t="s">
        <v>9463</v>
      </c>
      <c r="D68" s="42" t="s">
        <v>9464</v>
      </c>
      <c r="E68" s="41" t="s">
        <v>9465</v>
      </c>
      <c r="F68" s="41" t="s">
        <v>7407</v>
      </c>
      <c r="G68" s="43" t="s">
        <v>626</v>
      </c>
      <c r="H68" s="54" t="s">
        <v>70</v>
      </c>
    </row>
    <row r="69" spans="1:8" ht="13" x14ac:dyDescent="0.3">
      <c r="A69" s="40" t="s">
        <v>1623</v>
      </c>
      <c r="B69" s="41" t="s">
        <v>1626</v>
      </c>
      <c r="C69" s="41" t="s">
        <v>1627</v>
      </c>
      <c r="D69" s="42" t="s">
        <v>1628</v>
      </c>
      <c r="E69" s="41" t="s">
        <v>12136</v>
      </c>
      <c r="F69" s="41" t="s">
        <v>1630</v>
      </c>
      <c r="G69" s="43" t="s">
        <v>1631</v>
      </c>
      <c r="H69" s="54" t="s">
        <v>246</v>
      </c>
    </row>
    <row r="70" spans="1:8" ht="13" x14ac:dyDescent="0.3">
      <c r="A70" s="40" t="s">
        <v>17749</v>
      </c>
      <c r="B70" s="41" t="s">
        <v>4111</v>
      </c>
      <c r="C70" s="41" t="s">
        <v>4112</v>
      </c>
      <c r="D70" s="42" t="s">
        <v>4113</v>
      </c>
      <c r="E70" s="41" t="s">
        <v>4114</v>
      </c>
      <c r="F70" s="41" t="s">
        <v>4115</v>
      </c>
      <c r="G70" s="43" t="s">
        <v>4116</v>
      </c>
      <c r="H70" s="54" t="s">
        <v>468</v>
      </c>
    </row>
    <row r="71" spans="1:8" ht="13" x14ac:dyDescent="0.3">
      <c r="A71" s="40" t="s">
        <v>17534</v>
      </c>
      <c r="B71" s="41" t="s">
        <v>3790</v>
      </c>
      <c r="C71" s="41" t="s">
        <v>3791</v>
      </c>
      <c r="D71" s="42" t="s">
        <v>12693</v>
      </c>
      <c r="E71" s="41" t="s">
        <v>3793</v>
      </c>
      <c r="F71" s="41" t="s">
        <v>3794</v>
      </c>
      <c r="G71" s="43" t="s">
        <v>3795</v>
      </c>
      <c r="H71" s="54" t="s">
        <v>101</v>
      </c>
    </row>
    <row r="72" spans="1:8" ht="13" x14ac:dyDescent="0.3">
      <c r="A72" s="40" t="s">
        <v>17726</v>
      </c>
      <c r="B72" s="41" t="s">
        <v>18026</v>
      </c>
      <c r="C72" s="41" t="s">
        <v>7291</v>
      </c>
      <c r="D72" s="42" t="s">
        <v>7292</v>
      </c>
      <c r="E72" s="41" t="s">
        <v>7293</v>
      </c>
      <c r="F72" s="41" t="s">
        <v>7294</v>
      </c>
      <c r="G72" s="43" t="s">
        <v>626</v>
      </c>
      <c r="H72" s="54" t="s">
        <v>70</v>
      </c>
    </row>
    <row r="73" spans="1:8" ht="13" x14ac:dyDescent="0.3">
      <c r="A73" s="40" t="s">
        <v>17834</v>
      </c>
      <c r="B73" s="41" t="s">
        <v>18027</v>
      </c>
      <c r="C73" s="41" t="s">
        <v>8387</v>
      </c>
      <c r="D73" s="42" t="s">
        <v>8388</v>
      </c>
      <c r="E73" s="41" t="s">
        <v>18461</v>
      </c>
      <c r="F73" s="41" t="s">
        <v>18334</v>
      </c>
      <c r="G73" s="43" t="s">
        <v>128</v>
      </c>
      <c r="H73" s="54" t="s">
        <v>101</v>
      </c>
    </row>
    <row r="74" spans="1:8" ht="13" x14ac:dyDescent="0.3">
      <c r="A74" s="40" t="s">
        <v>5727</v>
      </c>
      <c r="B74" s="41" t="s">
        <v>18028</v>
      </c>
      <c r="C74" s="41" t="s">
        <v>5730</v>
      </c>
      <c r="D74" s="42" t="s">
        <v>5731</v>
      </c>
      <c r="E74" s="41" t="s">
        <v>18462</v>
      </c>
      <c r="F74" s="41" t="s">
        <v>5733</v>
      </c>
      <c r="G74" s="43" t="s">
        <v>369</v>
      </c>
      <c r="H74" s="54" t="s">
        <v>84</v>
      </c>
    </row>
    <row r="75" spans="1:8" ht="13" x14ac:dyDescent="0.3">
      <c r="A75" s="40" t="s">
        <v>17892</v>
      </c>
      <c r="B75" s="41" t="s">
        <v>8140</v>
      </c>
      <c r="C75" s="44"/>
      <c r="D75" s="45"/>
      <c r="E75" s="41" t="s">
        <v>18463</v>
      </c>
      <c r="F75" s="41" t="s">
        <v>18335</v>
      </c>
      <c r="G75" s="43" t="s">
        <v>18277</v>
      </c>
      <c r="H75" s="54" t="s">
        <v>310</v>
      </c>
    </row>
    <row r="76" spans="1:8" ht="13" x14ac:dyDescent="0.3">
      <c r="A76" s="40" t="s">
        <v>17486</v>
      </c>
      <c r="B76" s="44" t="s">
        <v>3740</v>
      </c>
      <c r="C76" s="44"/>
      <c r="D76" s="42" t="s">
        <v>17411</v>
      </c>
      <c r="E76" s="41" t="s">
        <v>11817</v>
      </c>
      <c r="F76" s="44" t="s">
        <v>3740</v>
      </c>
      <c r="G76" s="43" t="s">
        <v>18278</v>
      </c>
      <c r="H76" s="54" t="s">
        <v>70</v>
      </c>
    </row>
    <row r="77" spans="1:8" ht="13" x14ac:dyDescent="0.3">
      <c r="A77" s="40" t="s">
        <v>2031</v>
      </c>
      <c r="B77" s="41" t="s">
        <v>2034</v>
      </c>
      <c r="C77" s="41" t="s">
        <v>2035</v>
      </c>
      <c r="D77" s="42" t="s">
        <v>3486</v>
      </c>
      <c r="E77" s="41" t="s">
        <v>2037</v>
      </c>
      <c r="F77" s="41" t="s">
        <v>3885</v>
      </c>
      <c r="G77" s="43" t="s">
        <v>1149</v>
      </c>
      <c r="H77" s="54" t="s">
        <v>557</v>
      </c>
    </row>
    <row r="78" spans="1:8" ht="13" x14ac:dyDescent="0.3">
      <c r="A78" s="40" t="s">
        <v>17707</v>
      </c>
      <c r="B78" s="41" t="s">
        <v>18029</v>
      </c>
      <c r="C78" s="41" t="s">
        <v>5314</v>
      </c>
      <c r="D78" s="42" t="s">
        <v>5315</v>
      </c>
      <c r="E78" s="41" t="s">
        <v>5317</v>
      </c>
      <c r="F78" s="41" t="s">
        <v>5318</v>
      </c>
      <c r="G78" s="43" t="s">
        <v>5319</v>
      </c>
      <c r="H78" s="54" t="s">
        <v>5316</v>
      </c>
    </row>
    <row r="79" spans="1:8" ht="13" x14ac:dyDescent="0.3">
      <c r="A79" s="40" t="s">
        <v>17625</v>
      </c>
      <c r="B79" s="41" t="s">
        <v>10251</v>
      </c>
      <c r="C79" s="41" t="s">
        <v>10252</v>
      </c>
      <c r="D79" s="42" t="s">
        <v>16071</v>
      </c>
      <c r="E79" s="41" t="s">
        <v>18464</v>
      </c>
      <c r="F79" s="41" t="s">
        <v>10255</v>
      </c>
      <c r="G79" s="43" t="s">
        <v>338</v>
      </c>
      <c r="H79" s="54" t="s">
        <v>310</v>
      </c>
    </row>
    <row r="80" spans="1:8" ht="13" x14ac:dyDescent="0.3">
      <c r="A80" s="40" t="s">
        <v>2188</v>
      </c>
      <c r="B80" s="41" t="s">
        <v>2191</v>
      </c>
      <c r="C80" s="41" t="s">
        <v>2192</v>
      </c>
      <c r="D80" s="42" t="s">
        <v>12470</v>
      </c>
      <c r="E80" s="41" t="s">
        <v>17317</v>
      </c>
      <c r="F80" s="41" t="s">
        <v>2195</v>
      </c>
      <c r="G80" s="43" t="s">
        <v>2195</v>
      </c>
      <c r="H80" s="54" t="s">
        <v>1381</v>
      </c>
    </row>
    <row r="81" spans="1:8" ht="13" x14ac:dyDescent="0.3">
      <c r="A81" s="40" t="s">
        <v>1777</v>
      </c>
      <c r="B81" s="41" t="s">
        <v>1780</v>
      </c>
      <c r="C81" s="41" t="s">
        <v>1781</v>
      </c>
      <c r="D81" s="42" t="s">
        <v>1782</v>
      </c>
      <c r="E81" s="41" t="s">
        <v>18465</v>
      </c>
      <c r="F81" s="41" t="s">
        <v>17204</v>
      </c>
      <c r="G81" s="43" t="s">
        <v>381</v>
      </c>
      <c r="H81" s="54" t="s">
        <v>379</v>
      </c>
    </row>
    <row r="82" spans="1:8" ht="13" x14ac:dyDescent="0.3">
      <c r="A82" s="40" t="s">
        <v>17893</v>
      </c>
      <c r="B82" s="41" t="s">
        <v>18030</v>
      </c>
      <c r="C82" s="41" t="s">
        <v>6959</v>
      </c>
      <c r="D82" s="42">
        <v>84991515376</v>
      </c>
      <c r="E82" s="41" t="s">
        <v>6960</v>
      </c>
      <c r="F82" s="41" t="s">
        <v>6724</v>
      </c>
      <c r="G82" s="43" t="s">
        <v>6725</v>
      </c>
      <c r="H82" s="54" t="s">
        <v>195</v>
      </c>
    </row>
    <row r="83" spans="1:8" ht="13" x14ac:dyDescent="0.3">
      <c r="A83" s="40" t="s">
        <v>7429</v>
      </c>
      <c r="B83" s="41" t="s">
        <v>18031</v>
      </c>
      <c r="C83" s="41" t="s">
        <v>7433</v>
      </c>
      <c r="D83" s="42" t="s">
        <v>7434</v>
      </c>
      <c r="E83" s="41" t="s">
        <v>18466</v>
      </c>
      <c r="F83" s="41" t="s">
        <v>18336</v>
      </c>
      <c r="G83" s="43" t="s">
        <v>9298</v>
      </c>
      <c r="H83" s="54" t="s">
        <v>1171</v>
      </c>
    </row>
    <row r="84" spans="1:8" ht="13" x14ac:dyDescent="0.3">
      <c r="A84" s="40" t="s">
        <v>8056</v>
      </c>
      <c r="B84" s="41" t="s">
        <v>18032</v>
      </c>
      <c r="C84" s="41" t="s">
        <v>8060</v>
      </c>
      <c r="D84" s="42" t="s">
        <v>8061</v>
      </c>
      <c r="E84" s="41" t="s">
        <v>18467</v>
      </c>
      <c r="F84" s="41" t="s">
        <v>8063</v>
      </c>
      <c r="G84" s="43" t="s">
        <v>626</v>
      </c>
      <c r="H84" s="54" t="s">
        <v>70</v>
      </c>
    </row>
    <row r="85" spans="1:8" ht="13" x14ac:dyDescent="0.3">
      <c r="A85" s="40" t="s">
        <v>17412</v>
      </c>
      <c r="B85" s="41" t="s">
        <v>7467</v>
      </c>
      <c r="C85" s="41" t="s">
        <v>7468</v>
      </c>
      <c r="D85" s="42" t="s">
        <v>7469</v>
      </c>
      <c r="E85" s="41" t="s">
        <v>7470</v>
      </c>
      <c r="F85" s="41" t="s">
        <v>647</v>
      </c>
      <c r="G85" s="43" t="s">
        <v>7471</v>
      </c>
      <c r="H85" s="54" t="s">
        <v>195</v>
      </c>
    </row>
    <row r="86" spans="1:8" ht="13" x14ac:dyDescent="0.3">
      <c r="A86" s="40" t="s">
        <v>67</v>
      </c>
      <c r="B86" s="44" t="s">
        <v>3740</v>
      </c>
      <c r="C86" s="44"/>
      <c r="D86" s="42" t="s">
        <v>8923</v>
      </c>
      <c r="E86" s="41" t="s">
        <v>18468</v>
      </c>
      <c r="F86" s="41" t="s">
        <v>72</v>
      </c>
      <c r="G86" s="43" t="s">
        <v>626</v>
      </c>
      <c r="H86" s="54" t="s">
        <v>70</v>
      </c>
    </row>
    <row r="87" spans="1:8" ht="13" x14ac:dyDescent="0.3">
      <c r="A87" s="40" t="s">
        <v>17703</v>
      </c>
      <c r="B87" s="41" t="s">
        <v>18033</v>
      </c>
      <c r="C87" s="41" t="s">
        <v>8780</v>
      </c>
      <c r="D87" s="42" t="s">
        <v>8781</v>
      </c>
      <c r="E87" s="41" t="s">
        <v>18469</v>
      </c>
      <c r="F87" s="41" t="s">
        <v>18337</v>
      </c>
      <c r="G87" s="43" t="s">
        <v>1848</v>
      </c>
      <c r="H87" s="54" t="s">
        <v>1002</v>
      </c>
    </row>
    <row r="88" spans="1:8" ht="13" x14ac:dyDescent="0.3">
      <c r="A88" s="40" t="s">
        <v>17796</v>
      </c>
      <c r="B88" s="41" t="s">
        <v>18034</v>
      </c>
      <c r="C88" s="41" t="s">
        <v>6683</v>
      </c>
      <c r="D88" s="42" t="s">
        <v>623</v>
      </c>
      <c r="E88" s="41" t="s">
        <v>6684</v>
      </c>
      <c r="F88" s="41" t="s">
        <v>6685</v>
      </c>
      <c r="G88" s="43" t="s">
        <v>6686</v>
      </c>
      <c r="H88" s="54" t="s">
        <v>1676</v>
      </c>
    </row>
    <row r="89" spans="1:8" ht="13" x14ac:dyDescent="0.3">
      <c r="A89" s="40" t="s">
        <v>17789</v>
      </c>
      <c r="B89" s="41" t="s">
        <v>18035</v>
      </c>
      <c r="C89" s="41" t="s">
        <v>4650</v>
      </c>
      <c r="D89" s="42" t="s">
        <v>4651</v>
      </c>
      <c r="E89" s="41" t="s">
        <v>4652</v>
      </c>
      <c r="F89" s="41" t="s">
        <v>4653</v>
      </c>
      <c r="G89" s="43" t="s">
        <v>369</v>
      </c>
      <c r="H89" s="54" t="s">
        <v>84</v>
      </c>
    </row>
    <row r="90" spans="1:8" ht="13" x14ac:dyDescent="0.3">
      <c r="A90" s="40" t="s">
        <v>17757</v>
      </c>
      <c r="B90" s="41" t="s">
        <v>7820</v>
      </c>
      <c r="C90" s="41" t="s">
        <v>7821</v>
      </c>
      <c r="D90" s="42" t="s">
        <v>7822</v>
      </c>
      <c r="E90" s="41" t="s">
        <v>7823</v>
      </c>
      <c r="F90" s="41" t="s">
        <v>7824</v>
      </c>
      <c r="G90" s="43" t="s">
        <v>7825</v>
      </c>
      <c r="H90" s="54" t="s">
        <v>101</v>
      </c>
    </row>
    <row r="91" spans="1:8" ht="13" x14ac:dyDescent="0.3">
      <c r="A91" s="40" t="s">
        <v>17567</v>
      </c>
      <c r="B91" s="41" t="s">
        <v>9325</v>
      </c>
      <c r="C91" s="41" t="s">
        <v>9326</v>
      </c>
      <c r="D91" s="42" t="s">
        <v>9327</v>
      </c>
      <c r="E91" s="41" t="s">
        <v>9328</v>
      </c>
      <c r="F91" s="41" t="s">
        <v>9329</v>
      </c>
      <c r="G91" s="43" t="s">
        <v>4978</v>
      </c>
      <c r="H91" s="54" t="s">
        <v>1871</v>
      </c>
    </row>
    <row r="92" spans="1:8" ht="13" x14ac:dyDescent="0.3">
      <c r="A92" s="40" t="s">
        <v>17873</v>
      </c>
      <c r="B92" s="41" t="s">
        <v>18036</v>
      </c>
      <c r="C92" s="41" t="s">
        <v>7536</v>
      </c>
      <c r="D92" s="42" t="s">
        <v>7537</v>
      </c>
      <c r="E92" s="41" t="s">
        <v>7538</v>
      </c>
      <c r="F92" s="41" t="s">
        <v>7539</v>
      </c>
      <c r="G92" s="43" t="s">
        <v>18279</v>
      </c>
      <c r="H92" s="54" t="s">
        <v>195</v>
      </c>
    </row>
    <row r="93" spans="1:8" ht="13" x14ac:dyDescent="0.3">
      <c r="A93" s="40" t="s">
        <v>17636</v>
      </c>
      <c r="B93" s="41" t="s">
        <v>10428</v>
      </c>
      <c r="C93" s="41" t="s">
        <v>10429</v>
      </c>
      <c r="D93" s="42" t="s">
        <v>16167</v>
      </c>
      <c r="E93" s="41" t="s">
        <v>10430</v>
      </c>
      <c r="F93" s="41" t="s">
        <v>10431</v>
      </c>
      <c r="G93" s="43" t="s">
        <v>891</v>
      </c>
      <c r="H93" s="54" t="s">
        <v>101</v>
      </c>
    </row>
    <row r="94" spans="1:8" ht="13" x14ac:dyDescent="0.3">
      <c r="A94" s="40" t="s">
        <v>17696</v>
      </c>
      <c r="B94" s="44" t="s">
        <v>3740</v>
      </c>
      <c r="C94" s="44"/>
      <c r="D94" s="42" t="s">
        <v>11342</v>
      </c>
      <c r="E94" s="41" t="s">
        <v>18470</v>
      </c>
      <c r="F94" s="44" t="s">
        <v>3740</v>
      </c>
      <c r="G94" s="43" t="s">
        <v>393</v>
      </c>
      <c r="H94" s="54" t="s">
        <v>101</v>
      </c>
    </row>
    <row r="95" spans="1:8" ht="13" x14ac:dyDescent="0.3">
      <c r="A95" s="40" t="s">
        <v>17894</v>
      </c>
      <c r="B95" s="41" t="s">
        <v>18037</v>
      </c>
      <c r="C95" s="41" t="s">
        <v>8655</v>
      </c>
      <c r="D95" s="45"/>
      <c r="E95" s="41" t="s">
        <v>8656</v>
      </c>
      <c r="F95" s="41" t="s">
        <v>8657</v>
      </c>
      <c r="G95" s="43" t="s">
        <v>128</v>
      </c>
      <c r="H95" s="54" t="s">
        <v>101</v>
      </c>
    </row>
    <row r="96" spans="1:8" ht="13" x14ac:dyDescent="0.3">
      <c r="A96" s="40" t="s">
        <v>2015</v>
      </c>
      <c r="B96" s="41" t="s">
        <v>2018</v>
      </c>
      <c r="C96" s="41" t="s">
        <v>2019</v>
      </c>
      <c r="D96" s="42" t="s">
        <v>17270</v>
      </c>
      <c r="E96" s="41" t="s">
        <v>2021</v>
      </c>
      <c r="F96" s="41" t="s">
        <v>2022</v>
      </c>
      <c r="G96" s="43" t="s">
        <v>393</v>
      </c>
      <c r="H96" s="54" t="s">
        <v>101</v>
      </c>
    </row>
    <row r="97" spans="1:8" ht="13" x14ac:dyDescent="0.3">
      <c r="A97" s="40" t="s">
        <v>4609</v>
      </c>
      <c r="B97" s="41" t="s">
        <v>4611</v>
      </c>
      <c r="C97" s="41" t="s">
        <v>4612</v>
      </c>
      <c r="D97" s="42" t="s">
        <v>4613</v>
      </c>
      <c r="E97" s="41" t="s">
        <v>18471</v>
      </c>
      <c r="F97" s="41" t="s">
        <v>4615</v>
      </c>
      <c r="G97" s="43" t="s">
        <v>1959</v>
      </c>
      <c r="H97" s="54" t="s">
        <v>1381</v>
      </c>
    </row>
    <row r="98" spans="1:8" ht="13" x14ac:dyDescent="0.3">
      <c r="A98" s="40" t="s">
        <v>17895</v>
      </c>
      <c r="B98" s="41" t="s">
        <v>18038</v>
      </c>
      <c r="C98" s="41" t="s">
        <v>7936</v>
      </c>
      <c r="D98" s="42" t="s">
        <v>7937</v>
      </c>
      <c r="E98" s="41" t="s">
        <v>7938</v>
      </c>
      <c r="F98" s="41" t="s">
        <v>7939</v>
      </c>
      <c r="G98" s="43" t="s">
        <v>17426</v>
      </c>
      <c r="H98" s="54" t="s">
        <v>195</v>
      </c>
    </row>
    <row r="99" spans="1:8" ht="13" x14ac:dyDescent="0.3">
      <c r="A99" s="40" t="s">
        <v>17684</v>
      </c>
      <c r="B99" s="44" t="s">
        <v>3740</v>
      </c>
      <c r="C99" s="41" t="s">
        <v>211</v>
      </c>
      <c r="D99" s="42" t="s">
        <v>17413</v>
      </c>
      <c r="E99" s="41" t="s">
        <v>18472</v>
      </c>
      <c r="F99" s="44" t="s">
        <v>3740</v>
      </c>
      <c r="G99" s="43" t="s">
        <v>626</v>
      </c>
      <c r="H99" s="54" t="s">
        <v>70</v>
      </c>
    </row>
    <row r="100" spans="1:8" ht="13" x14ac:dyDescent="0.3">
      <c r="A100" s="40" t="s">
        <v>665</v>
      </c>
      <c r="B100" s="41" t="s">
        <v>668</v>
      </c>
      <c r="C100" s="41" t="s">
        <v>669</v>
      </c>
      <c r="D100" s="42" t="s">
        <v>11543</v>
      </c>
      <c r="E100" s="41" t="s">
        <v>18473</v>
      </c>
      <c r="F100" s="41" t="s">
        <v>780</v>
      </c>
      <c r="G100" s="43" t="s">
        <v>177</v>
      </c>
      <c r="H100" s="54" t="s">
        <v>84</v>
      </c>
    </row>
    <row r="101" spans="1:8" ht="13" x14ac:dyDescent="0.3">
      <c r="A101" s="40" t="s">
        <v>17843</v>
      </c>
      <c r="B101" s="41" t="s">
        <v>18039</v>
      </c>
      <c r="C101" s="41" t="s">
        <v>8081</v>
      </c>
      <c r="D101" s="42" t="s">
        <v>8082</v>
      </c>
      <c r="E101" s="41" t="s">
        <v>18474</v>
      </c>
      <c r="F101" s="41" t="s">
        <v>72</v>
      </c>
      <c r="G101" s="43" t="s">
        <v>626</v>
      </c>
      <c r="H101" s="54" t="s">
        <v>70</v>
      </c>
    </row>
    <row r="102" spans="1:8" ht="13" x14ac:dyDescent="0.3">
      <c r="A102" s="40" t="s">
        <v>17626</v>
      </c>
      <c r="B102" s="41" t="s">
        <v>18040</v>
      </c>
      <c r="C102" s="41" t="s">
        <v>10267</v>
      </c>
      <c r="D102" s="42" t="s">
        <v>10268</v>
      </c>
      <c r="E102" s="41" t="s">
        <v>18475</v>
      </c>
      <c r="F102" s="41" t="s">
        <v>10270</v>
      </c>
      <c r="G102" s="43" t="s">
        <v>128</v>
      </c>
      <c r="H102" s="54" t="s">
        <v>101</v>
      </c>
    </row>
    <row r="103" spans="1:8" ht="13" x14ac:dyDescent="0.3">
      <c r="A103" s="40" t="s">
        <v>17494</v>
      </c>
      <c r="B103" s="44" t="s">
        <v>3740</v>
      </c>
      <c r="C103" s="44"/>
      <c r="D103" s="42" t="s">
        <v>11896</v>
      </c>
      <c r="E103" s="41" t="s">
        <v>11895</v>
      </c>
      <c r="F103" s="44" t="s">
        <v>3740</v>
      </c>
      <c r="G103" s="43" t="s">
        <v>6725</v>
      </c>
      <c r="H103" s="54" t="s">
        <v>195</v>
      </c>
    </row>
    <row r="104" spans="1:8" ht="13" x14ac:dyDescent="0.3">
      <c r="A104" s="40" t="s">
        <v>10547</v>
      </c>
      <c r="B104" s="41" t="s">
        <v>18041</v>
      </c>
      <c r="C104" s="41" t="s">
        <v>10550</v>
      </c>
      <c r="D104" s="42" t="s">
        <v>10551</v>
      </c>
      <c r="E104" s="41" t="s">
        <v>18476</v>
      </c>
      <c r="F104" s="41" t="s">
        <v>10553</v>
      </c>
      <c r="G104" s="43" t="s">
        <v>18280</v>
      </c>
      <c r="H104" s="54" t="s">
        <v>101</v>
      </c>
    </row>
    <row r="105" spans="1:8" ht="13" x14ac:dyDescent="0.3">
      <c r="A105" s="40" t="s">
        <v>1910</v>
      </c>
      <c r="B105" s="41" t="s">
        <v>1913</v>
      </c>
      <c r="C105" s="41" t="s">
        <v>1914</v>
      </c>
      <c r="D105" s="42" t="s">
        <v>17414</v>
      </c>
      <c r="E105" s="41" t="s">
        <v>12284</v>
      </c>
      <c r="F105" s="41" t="s">
        <v>1917</v>
      </c>
      <c r="G105" s="43" t="s">
        <v>12286</v>
      </c>
      <c r="H105" s="54" t="s">
        <v>84</v>
      </c>
    </row>
    <row r="106" spans="1:8" ht="13" x14ac:dyDescent="0.3">
      <c r="A106" s="40" t="s">
        <v>17619</v>
      </c>
      <c r="B106" s="41" t="s">
        <v>10154</v>
      </c>
      <c r="C106" s="41" t="s">
        <v>10155</v>
      </c>
      <c r="D106" s="42" t="s">
        <v>16014</v>
      </c>
      <c r="E106" s="41" t="s">
        <v>10157</v>
      </c>
      <c r="F106" s="41" t="s">
        <v>16018</v>
      </c>
      <c r="G106" s="43" t="s">
        <v>128</v>
      </c>
      <c r="H106" s="54" t="s">
        <v>101</v>
      </c>
    </row>
    <row r="107" spans="1:8" ht="13" x14ac:dyDescent="0.3">
      <c r="A107" s="40" t="s">
        <v>17896</v>
      </c>
      <c r="B107" s="41" t="s">
        <v>9800</v>
      </c>
      <c r="C107" s="41" t="s">
        <v>9801</v>
      </c>
      <c r="D107" s="42" t="s">
        <v>15803</v>
      </c>
      <c r="E107" s="41" t="s">
        <v>9803</v>
      </c>
      <c r="F107" s="41" t="s">
        <v>9804</v>
      </c>
      <c r="G107" s="43" t="s">
        <v>1015</v>
      </c>
      <c r="H107" s="54" t="s">
        <v>70</v>
      </c>
    </row>
    <row r="108" spans="1:8" ht="13" x14ac:dyDescent="0.3">
      <c r="A108" s="40" t="s">
        <v>17807</v>
      </c>
      <c r="B108" s="41" t="s">
        <v>4384</v>
      </c>
      <c r="C108" s="41" t="s">
        <v>4385</v>
      </c>
      <c r="D108" s="42" t="s">
        <v>4386</v>
      </c>
      <c r="E108" s="41" t="s">
        <v>18477</v>
      </c>
      <c r="F108" s="41" t="s">
        <v>4388</v>
      </c>
      <c r="G108" s="43" t="s">
        <v>4390</v>
      </c>
      <c r="H108" s="54" t="s">
        <v>468</v>
      </c>
    </row>
    <row r="109" spans="1:8" ht="13" x14ac:dyDescent="0.3">
      <c r="A109" s="40" t="s">
        <v>8984</v>
      </c>
      <c r="B109" s="41" t="s">
        <v>18042</v>
      </c>
      <c r="C109" s="41" t="s">
        <v>8986</v>
      </c>
      <c r="D109" s="42">
        <v>7132123656</v>
      </c>
      <c r="E109" s="41" t="s">
        <v>18478</v>
      </c>
      <c r="F109" s="41" t="s">
        <v>9224</v>
      </c>
      <c r="G109" s="43" t="s">
        <v>1848</v>
      </c>
      <c r="H109" s="54" t="s">
        <v>1002</v>
      </c>
    </row>
    <row r="110" spans="1:8" ht="13" x14ac:dyDescent="0.3">
      <c r="A110" s="40" t="s">
        <v>6070</v>
      </c>
      <c r="B110" s="41" t="s">
        <v>18043</v>
      </c>
      <c r="C110" s="41" t="s">
        <v>6074</v>
      </c>
      <c r="D110" s="42" t="s">
        <v>6075</v>
      </c>
      <c r="E110" s="41" t="s">
        <v>18479</v>
      </c>
      <c r="F110" s="41" t="s">
        <v>780</v>
      </c>
      <c r="G110" s="43" t="s">
        <v>177</v>
      </c>
      <c r="H110" s="54" t="s">
        <v>84</v>
      </c>
    </row>
    <row r="111" spans="1:8" ht="13" x14ac:dyDescent="0.3">
      <c r="A111" s="40" t="s">
        <v>8516</v>
      </c>
      <c r="B111" s="41" t="s">
        <v>18044</v>
      </c>
      <c r="C111" s="41" t="s">
        <v>8520</v>
      </c>
      <c r="D111" s="42" t="s">
        <v>8521</v>
      </c>
      <c r="E111" s="41" t="s">
        <v>3740</v>
      </c>
      <c r="F111" s="41" t="s">
        <v>18338</v>
      </c>
      <c r="G111" s="43" t="s">
        <v>15533</v>
      </c>
      <c r="H111" s="54" t="s">
        <v>407</v>
      </c>
    </row>
    <row r="112" spans="1:8" ht="13" x14ac:dyDescent="0.3">
      <c r="A112" s="40" t="s">
        <v>17678</v>
      </c>
      <c r="B112" s="41" t="s">
        <v>18045</v>
      </c>
      <c r="C112" s="41" t="s">
        <v>11143</v>
      </c>
      <c r="D112" s="42" t="s">
        <v>11144</v>
      </c>
      <c r="E112" s="41" t="s">
        <v>18480</v>
      </c>
      <c r="F112" s="41" t="s">
        <v>18339</v>
      </c>
      <c r="G112" s="43" t="s">
        <v>18281</v>
      </c>
      <c r="H112" s="54" t="s">
        <v>280</v>
      </c>
    </row>
    <row r="113" spans="1:8" ht="13" x14ac:dyDescent="0.3">
      <c r="A113" s="40" t="s">
        <v>2456</v>
      </c>
      <c r="B113" s="41" t="s">
        <v>2459</v>
      </c>
      <c r="C113" s="41" t="s">
        <v>2460</v>
      </c>
      <c r="D113" s="42" t="s">
        <v>3711</v>
      </c>
      <c r="E113" s="41" t="s">
        <v>18481</v>
      </c>
      <c r="F113" s="41" t="s">
        <v>2463</v>
      </c>
      <c r="G113" s="43" t="s">
        <v>177</v>
      </c>
      <c r="H113" s="54" t="s">
        <v>84</v>
      </c>
    </row>
    <row r="114" spans="1:8" ht="13" x14ac:dyDescent="0.3">
      <c r="A114" s="40" t="s">
        <v>17793</v>
      </c>
      <c r="B114" s="41" t="s">
        <v>18046</v>
      </c>
      <c r="C114" s="41" t="s">
        <v>6585</v>
      </c>
      <c r="D114" s="42" t="s">
        <v>6586</v>
      </c>
      <c r="E114" s="41" t="s">
        <v>6587</v>
      </c>
      <c r="F114" s="41" t="s">
        <v>6588</v>
      </c>
      <c r="G114" s="43" t="s">
        <v>626</v>
      </c>
      <c r="H114" s="54" t="s">
        <v>70</v>
      </c>
    </row>
    <row r="115" spans="1:8" ht="13" x14ac:dyDescent="0.3">
      <c r="A115" s="40" t="s">
        <v>17851</v>
      </c>
      <c r="B115" s="41" t="s">
        <v>18047</v>
      </c>
      <c r="C115" s="41" t="s">
        <v>7861</v>
      </c>
      <c r="D115" s="42" t="s">
        <v>7862</v>
      </c>
      <c r="E115" s="41" t="s">
        <v>7863</v>
      </c>
      <c r="F115" s="41" t="s">
        <v>7864</v>
      </c>
      <c r="G115" s="43" t="s">
        <v>626</v>
      </c>
      <c r="H115" s="54" t="s">
        <v>70</v>
      </c>
    </row>
    <row r="116" spans="1:8" ht="13" x14ac:dyDescent="0.3">
      <c r="A116" s="40" t="s">
        <v>8295</v>
      </c>
      <c r="B116" s="41" t="s">
        <v>18048</v>
      </c>
      <c r="C116" s="41" t="s">
        <v>8298</v>
      </c>
      <c r="D116" s="42" t="s">
        <v>8299</v>
      </c>
      <c r="E116" s="41" t="s">
        <v>8300</v>
      </c>
      <c r="F116" s="41" t="s">
        <v>8301</v>
      </c>
      <c r="G116" s="43" t="s">
        <v>128</v>
      </c>
      <c r="H116" s="54" t="s">
        <v>101</v>
      </c>
    </row>
    <row r="117" spans="1:8" ht="13" x14ac:dyDescent="0.3">
      <c r="A117" s="40" t="s">
        <v>7613</v>
      </c>
      <c r="B117" s="41" t="s">
        <v>18049</v>
      </c>
      <c r="C117" s="41" t="s">
        <v>7616</v>
      </c>
      <c r="D117" s="42" t="s">
        <v>7617</v>
      </c>
      <c r="E117" s="41" t="s">
        <v>18482</v>
      </c>
      <c r="F117" s="41" t="s">
        <v>18340</v>
      </c>
      <c r="G117" s="43" t="s">
        <v>393</v>
      </c>
      <c r="H117" s="54" t="s">
        <v>101</v>
      </c>
    </row>
    <row r="118" spans="1:8" ht="13" x14ac:dyDescent="0.3">
      <c r="A118" s="40" t="s">
        <v>5576</v>
      </c>
      <c r="B118" s="41" t="s">
        <v>18050</v>
      </c>
      <c r="C118" s="41" t="s">
        <v>5580</v>
      </c>
      <c r="D118" s="42" t="s">
        <v>5581</v>
      </c>
      <c r="E118" s="41" t="s">
        <v>5582</v>
      </c>
      <c r="F118" s="41" t="s">
        <v>5583</v>
      </c>
      <c r="G118" s="43" t="s">
        <v>470</v>
      </c>
      <c r="H118" s="54" t="s">
        <v>468</v>
      </c>
    </row>
    <row r="119" spans="1:8" ht="13" x14ac:dyDescent="0.3">
      <c r="A119" s="40" t="s">
        <v>17746</v>
      </c>
      <c r="B119" s="41" t="s">
        <v>18051</v>
      </c>
      <c r="C119" s="41" t="s">
        <v>6886</v>
      </c>
      <c r="D119" s="42" t="s">
        <v>6887</v>
      </c>
      <c r="E119" s="41" t="s">
        <v>18483</v>
      </c>
      <c r="F119" s="41" t="s">
        <v>18341</v>
      </c>
      <c r="G119" s="43" t="s">
        <v>128</v>
      </c>
      <c r="H119" s="54" t="s">
        <v>101</v>
      </c>
    </row>
    <row r="120" spans="1:8" ht="13" x14ac:dyDescent="0.3">
      <c r="A120" s="40" t="s">
        <v>17692</v>
      </c>
      <c r="B120" s="44" t="s">
        <v>3740</v>
      </c>
      <c r="C120" s="44"/>
      <c r="D120" s="42" t="s">
        <v>11294</v>
      </c>
      <c r="E120" s="41" t="s">
        <v>11293</v>
      </c>
      <c r="F120" s="44" t="s">
        <v>3740</v>
      </c>
      <c r="G120" s="43" t="s">
        <v>323</v>
      </c>
      <c r="H120" s="54" t="s">
        <v>101</v>
      </c>
    </row>
    <row r="121" spans="1:8" ht="13" x14ac:dyDescent="0.3">
      <c r="A121" s="40" t="s">
        <v>17628</v>
      </c>
      <c r="B121" s="41" t="s">
        <v>16095</v>
      </c>
      <c r="C121" s="41" t="s">
        <v>10302</v>
      </c>
      <c r="D121" s="42" t="s">
        <v>10303</v>
      </c>
      <c r="E121" s="41" t="s">
        <v>10304</v>
      </c>
      <c r="F121" s="41" t="s">
        <v>10305</v>
      </c>
      <c r="G121" s="43" t="s">
        <v>128</v>
      </c>
      <c r="H121" s="54" t="s">
        <v>101</v>
      </c>
    </row>
    <row r="122" spans="1:8" ht="13" x14ac:dyDescent="0.3">
      <c r="A122" s="40" t="s">
        <v>1572</v>
      </c>
      <c r="B122" s="41" t="s">
        <v>1575</v>
      </c>
      <c r="C122" s="41" t="s">
        <v>1576</v>
      </c>
      <c r="D122" s="42" t="s">
        <v>1577</v>
      </c>
      <c r="E122" s="41" t="s">
        <v>12104</v>
      </c>
      <c r="F122" s="41" t="s">
        <v>1579</v>
      </c>
      <c r="G122" s="43" t="s">
        <v>1580</v>
      </c>
      <c r="H122" s="54" t="s">
        <v>101</v>
      </c>
    </row>
    <row r="123" spans="1:8" ht="13" x14ac:dyDescent="0.3">
      <c r="A123" s="40" t="s">
        <v>5895</v>
      </c>
      <c r="B123" s="41" t="s">
        <v>18052</v>
      </c>
      <c r="C123" s="41" t="s">
        <v>5898</v>
      </c>
      <c r="D123" s="42" t="s">
        <v>5899</v>
      </c>
      <c r="E123" s="41" t="s">
        <v>5900</v>
      </c>
      <c r="F123" s="41" t="s">
        <v>5901</v>
      </c>
      <c r="G123" s="43" t="s">
        <v>5319</v>
      </c>
      <c r="H123" s="54" t="s">
        <v>5316</v>
      </c>
    </row>
    <row r="124" spans="1:8" ht="13" x14ac:dyDescent="0.3">
      <c r="A124" s="40" t="s">
        <v>17502</v>
      </c>
      <c r="B124" s="44" t="s">
        <v>3740</v>
      </c>
      <c r="C124" s="44"/>
      <c r="D124" s="45"/>
      <c r="E124" s="41" t="s">
        <v>18484</v>
      </c>
      <c r="F124" s="41" t="s">
        <v>11439</v>
      </c>
      <c r="G124" s="43" t="s">
        <v>128</v>
      </c>
      <c r="H124" s="54" t="s">
        <v>101</v>
      </c>
    </row>
    <row r="125" spans="1:8" ht="13" x14ac:dyDescent="0.3">
      <c r="A125" s="40" t="s">
        <v>17554</v>
      </c>
      <c r="B125" s="41" t="s">
        <v>18053</v>
      </c>
      <c r="C125" s="41" t="s">
        <v>9105</v>
      </c>
      <c r="D125" s="42" t="s">
        <v>15380</v>
      </c>
      <c r="E125" s="41" t="s">
        <v>9107</v>
      </c>
      <c r="F125" s="41" t="s">
        <v>3764</v>
      </c>
      <c r="G125" s="43" t="s">
        <v>470</v>
      </c>
      <c r="H125" s="54" t="s">
        <v>468</v>
      </c>
    </row>
    <row r="126" spans="1:8" ht="13" x14ac:dyDescent="0.3">
      <c r="A126" s="40" t="s">
        <v>17729</v>
      </c>
      <c r="B126" s="41" t="s">
        <v>4993</v>
      </c>
      <c r="C126" s="44"/>
      <c r="D126" s="42" t="s">
        <v>4994</v>
      </c>
      <c r="E126" s="41" t="s">
        <v>4995</v>
      </c>
      <c r="F126" s="41" t="s">
        <v>4996</v>
      </c>
      <c r="G126" s="43" t="s">
        <v>248</v>
      </c>
      <c r="H126" s="54" t="s">
        <v>246</v>
      </c>
    </row>
    <row r="127" spans="1:8" ht="13" x14ac:dyDescent="0.3">
      <c r="A127" s="40" t="s">
        <v>8872</v>
      </c>
      <c r="B127" s="41" t="s">
        <v>18054</v>
      </c>
      <c r="C127" s="41" t="s">
        <v>8875</v>
      </c>
      <c r="D127" s="42" t="s">
        <v>8876</v>
      </c>
      <c r="E127" s="41" t="s">
        <v>8877</v>
      </c>
      <c r="F127" s="44" t="s">
        <v>3740</v>
      </c>
      <c r="G127" s="43" t="s">
        <v>7345</v>
      </c>
      <c r="H127" s="54" t="s">
        <v>70</v>
      </c>
    </row>
    <row r="128" spans="1:8" ht="13" x14ac:dyDescent="0.3">
      <c r="A128" s="40" t="s">
        <v>1508</v>
      </c>
      <c r="B128" s="41" t="s">
        <v>1511</v>
      </c>
      <c r="C128" s="41" t="s">
        <v>1512</v>
      </c>
      <c r="D128" s="42" t="s">
        <v>17415</v>
      </c>
      <c r="E128" s="41" t="s">
        <v>18485</v>
      </c>
      <c r="F128" s="41" t="s">
        <v>647</v>
      </c>
      <c r="G128" s="43" t="s">
        <v>1516</v>
      </c>
      <c r="H128" s="54" t="s">
        <v>84</v>
      </c>
    </row>
    <row r="129" spans="1:8" ht="13" x14ac:dyDescent="0.3">
      <c r="A129" s="40" t="s">
        <v>17791</v>
      </c>
      <c r="B129" s="41" t="s">
        <v>18055</v>
      </c>
      <c r="C129" s="41" t="s">
        <v>7843</v>
      </c>
      <c r="D129" s="42" t="s">
        <v>7844</v>
      </c>
      <c r="E129" s="41" t="s">
        <v>7845</v>
      </c>
      <c r="F129" s="41" t="s">
        <v>18342</v>
      </c>
      <c r="G129" s="43" t="s">
        <v>128</v>
      </c>
      <c r="H129" s="54" t="s">
        <v>101</v>
      </c>
    </row>
    <row r="130" spans="1:8" ht="13" x14ac:dyDescent="0.3">
      <c r="A130" s="40" t="s">
        <v>3878</v>
      </c>
      <c r="B130" s="41" t="s">
        <v>3881</v>
      </c>
      <c r="C130" s="41" t="s">
        <v>3882</v>
      </c>
      <c r="D130" s="42" t="s">
        <v>3883</v>
      </c>
      <c r="E130" s="41" t="s">
        <v>3884</v>
      </c>
      <c r="F130" s="41" t="s">
        <v>3885</v>
      </c>
      <c r="G130" s="43" t="s">
        <v>3886</v>
      </c>
      <c r="H130" s="54" t="s">
        <v>1002</v>
      </c>
    </row>
    <row r="131" spans="1:8" ht="13" x14ac:dyDescent="0.3">
      <c r="A131" s="40" t="s">
        <v>17831</v>
      </c>
      <c r="B131" s="41" t="s">
        <v>18056</v>
      </c>
      <c r="C131" s="41" t="s">
        <v>5340</v>
      </c>
      <c r="D131" s="42" t="s">
        <v>5341</v>
      </c>
      <c r="E131" s="41" t="s">
        <v>18486</v>
      </c>
      <c r="F131" s="41" t="s">
        <v>3999</v>
      </c>
      <c r="G131" s="43" t="s">
        <v>1848</v>
      </c>
      <c r="H131" s="54" t="s">
        <v>1002</v>
      </c>
    </row>
    <row r="132" spans="1:8" ht="13" x14ac:dyDescent="0.3">
      <c r="A132" s="40" t="s">
        <v>17897</v>
      </c>
      <c r="B132" s="41" t="s">
        <v>18057</v>
      </c>
      <c r="C132" s="41" t="s">
        <v>3997</v>
      </c>
      <c r="D132" s="45"/>
      <c r="E132" s="41" t="s">
        <v>18487</v>
      </c>
      <c r="F132" s="41" t="s">
        <v>3999</v>
      </c>
      <c r="G132" s="43" t="s">
        <v>1848</v>
      </c>
      <c r="H132" s="54" t="s">
        <v>1002</v>
      </c>
    </row>
    <row r="133" spans="1:8" ht="13" x14ac:dyDescent="0.3">
      <c r="A133" s="40" t="s">
        <v>6056</v>
      </c>
      <c r="B133" s="41" t="s">
        <v>18058</v>
      </c>
      <c r="C133" s="41" t="s">
        <v>6060</v>
      </c>
      <c r="D133" s="42" t="s">
        <v>6061</v>
      </c>
      <c r="E133" s="41" t="s">
        <v>18488</v>
      </c>
      <c r="F133" s="41" t="s">
        <v>647</v>
      </c>
      <c r="G133" s="43" t="s">
        <v>18282</v>
      </c>
      <c r="H133" s="54" t="s">
        <v>84</v>
      </c>
    </row>
    <row r="134" spans="1:8" ht="13" x14ac:dyDescent="0.3">
      <c r="A134" s="40" t="s">
        <v>1531</v>
      </c>
      <c r="B134" s="41" t="s">
        <v>1534</v>
      </c>
      <c r="C134" s="41" t="s">
        <v>1535</v>
      </c>
      <c r="D134" s="42" t="s">
        <v>3267</v>
      </c>
      <c r="E134" s="41" t="s">
        <v>1537</v>
      </c>
      <c r="F134" s="41" t="s">
        <v>1538</v>
      </c>
      <c r="G134" s="43" t="s">
        <v>266</v>
      </c>
      <c r="H134" s="54" t="s">
        <v>84</v>
      </c>
    </row>
    <row r="135" spans="1:8" ht="13" x14ac:dyDescent="0.3">
      <c r="A135" s="40" t="s">
        <v>17654</v>
      </c>
      <c r="B135" s="41" t="s">
        <v>10733</v>
      </c>
      <c r="C135" s="41" t="s">
        <v>10734</v>
      </c>
      <c r="D135" s="42" t="s">
        <v>16343</v>
      </c>
      <c r="E135" s="41" t="s">
        <v>18489</v>
      </c>
      <c r="F135" s="41" t="s">
        <v>10737</v>
      </c>
      <c r="G135" s="43" t="s">
        <v>10738</v>
      </c>
      <c r="H135" s="54" t="s">
        <v>101</v>
      </c>
    </row>
    <row r="136" spans="1:8" ht="13" x14ac:dyDescent="0.3">
      <c r="A136" s="40" t="s">
        <v>17478</v>
      </c>
      <c r="B136" s="44" t="s">
        <v>3740</v>
      </c>
      <c r="C136" s="44"/>
      <c r="D136" s="42" t="s">
        <v>11729</v>
      </c>
      <c r="E136" s="41" t="s">
        <v>18490</v>
      </c>
      <c r="F136" s="44" t="s">
        <v>3740</v>
      </c>
      <c r="G136" s="43" t="s">
        <v>409</v>
      </c>
      <c r="H136" s="54" t="s">
        <v>407</v>
      </c>
    </row>
    <row r="137" spans="1:8" ht="13" x14ac:dyDescent="0.3">
      <c r="A137" s="40" t="s">
        <v>17572</v>
      </c>
      <c r="B137" s="41" t="s">
        <v>9407</v>
      </c>
      <c r="C137" s="41" t="s">
        <v>9408</v>
      </c>
      <c r="D137" s="42" t="s">
        <v>17416</v>
      </c>
      <c r="E137" s="41" t="s">
        <v>18491</v>
      </c>
      <c r="F137" s="41" t="s">
        <v>18343</v>
      </c>
      <c r="G137" s="43" t="s">
        <v>297</v>
      </c>
      <c r="H137" s="54" t="s">
        <v>295</v>
      </c>
    </row>
    <row r="138" spans="1:8" ht="13" x14ac:dyDescent="0.3">
      <c r="A138" s="40" t="s">
        <v>1247</v>
      </c>
      <c r="B138" s="41" t="s">
        <v>1250</v>
      </c>
      <c r="C138" s="41" t="s">
        <v>1251</v>
      </c>
      <c r="D138" s="42" t="s">
        <v>11920</v>
      </c>
      <c r="E138" s="41" t="s">
        <v>18492</v>
      </c>
      <c r="F138" s="41" t="s">
        <v>18344</v>
      </c>
      <c r="G138" s="43" t="s">
        <v>128</v>
      </c>
      <c r="H138" s="54" t="s">
        <v>101</v>
      </c>
    </row>
    <row r="139" spans="1:8" ht="13" x14ac:dyDescent="0.3">
      <c r="A139" s="40" t="s">
        <v>17682</v>
      </c>
      <c r="B139" s="41" t="s">
        <v>11185</v>
      </c>
      <c r="C139" s="41" t="s">
        <v>11186</v>
      </c>
      <c r="D139" s="42" t="s">
        <v>11187</v>
      </c>
      <c r="E139" s="41" t="s">
        <v>18493</v>
      </c>
      <c r="F139" s="41" t="s">
        <v>11189</v>
      </c>
      <c r="G139" s="43" t="s">
        <v>1580</v>
      </c>
      <c r="H139" s="54" t="s">
        <v>101</v>
      </c>
    </row>
    <row r="140" spans="1:8" ht="13" x14ac:dyDescent="0.3">
      <c r="A140" s="40" t="s">
        <v>17774</v>
      </c>
      <c r="B140" s="41" t="s">
        <v>18059</v>
      </c>
      <c r="C140" s="41" t="s">
        <v>8214</v>
      </c>
      <c r="D140" s="42" t="s">
        <v>8215</v>
      </c>
      <c r="E140" s="41" t="s">
        <v>18494</v>
      </c>
      <c r="F140" s="41" t="s">
        <v>8217</v>
      </c>
      <c r="G140" s="43" t="s">
        <v>409</v>
      </c>
      <c r="H140" s="54" t="s">
        <v>407</v>
      </c>
    </row>
    <row r="141" spans="1:8" ht="13" x14ac:dyDescent="0.3">
      <c r="A141" s="40" t="s">
        <v>640</v>
      </c>
      <c r="B141" s="41" t="s">
        <v>643</v>
      </c>
      <c r="C141" s="41" t="s">
        <v>644</v>
      </c>
      <c r="D141" s="42" t="s">
        <v>645</v>
      </c>
      <c r="E141" s="41" t="s">
        <v>18495</v>
      </c>
      <c r="F141" s="41" t="s">
        <v>647</v>
      </c>
      <c r="G141" s="43" t="s">
        <v>1149</v>
      </c>
      <c r="H141" s="54" t="s">
        <v>557</v>
      </c>
    </row>
    <row r="142" spans="1:8" ht="13" x14ac:dyDescent="0.3">
      <c r="A142" s="40" t="s">
        <v>17604</v>
      </c>
      <c r="B142" s="41" t="s">
        <v>18060</v>
      </c>
      <c r="C142" s="41" t="s">
        <v>9933</v>
      </c>
      <c r="D142" s="42" t="s">
        <v>15867</v>
      </c>
      <c r="E142" s="41" t="s">
        <v>18496</v>
      </c>
      <c r="F142" s="41" t="s">
        <v>1704</v>
      </c>
      <c r="G142" s="43" t="s">
        <v>626</v>
      </c>
      <c r="H142" s="54" t="s">
        <v>70</v>
      </c>
    </row>
    <row r="143" spans="1:8" ht="13" x14ac:dyDescent="0.3">
      <c r="A143" s="40" t="s">
        <v>17599</v>
      </c>
      <c r="B143" s="41" t="s">
        <v>18061</v>
      </c>
      <c r="C143" s="41" t="s">
        <v>9860</v>
      </c>
      <c r="D143" s="42" t="s">
        <v>17417</v>
      </c>
      <c r="E143" s="41" t="s">
        <v>18497</v>
      </c>
      <c r="F143" s="41" t="s">
        <v>7883</v>
      </c>
      <c r="G143" s="43" t="s">
        <v>626</v>
      </c>
      <c r="H143" s="54" t="s">
        <v>70</v>
      </c>
    </row>
    <row r="144" spans="1:8" ht="13" x14ac:dyDescent="0.3">
      <c r="A144" s="40" t="s">
        <v>17833</v>
      </c>
      <c r="B144" s="41" t="s">
        <v>18062</v>
      </c>
      <c r="C144" s="41" t="s">
        <v>3867</v>
      </c>
      <c r="D144" s="42" t="s">
        <v>3868</v>
      </c>
      <c r="E144" s="41" t="s">
        <v>18498</v>
      </c>
      <c r="F144" s="41" t="s">
        <v>3870</v>
      </c>
      <c r="G144" s="43" t="s">
        <v>177</v>
      </c>
      <c r="H144" s="54" t="s">
        <v>84</v>
      </c>
    </row>
    <row r="145" spans="1:8" ht="13" x14ac:dyDescent="0.3">
      <c r="A145" s="40" t="s">
        <v>7233</v>
      </c>
      <c r="B145" s="41" t="s">
        <v>18063</v>
      </c>
      <c r="C145" s="41" t="s">
        <v>7237</v>
      </c>
      <c r="D145" s="42" t="s">
        <v>7238</v>
      </c>
      <c r="E145" s="41" t="s">
        <v>18499</v>
      </c>
      <c r="F145" s="41" t="s">
        <v>18345</v>
      </c>
      <c r="G145" s="43" t="s">
        <v>9298</v>
      </c>
      <c r="H145" s="54" t="s">
        <v>1171</v>
      </c>
    </row>
    <row r="146" spans="1:8" ht="13" x14ac:dyDescent="0.3">
      <c r="A146" s="40" t="s">
        <v>17536</v>
      </c>
      <c r="B146" s="41" t="s">
        <v>3809</v>
      </c>
      <c r="C146" s="41" t="s">
        <v>3810</v>
      </c>
      <c r="D146" s="42" t="s">
        <v>3811</v>
      </c>
      <c r="E146" s="41" t="s">
        <v>18500</v>
      </c>
      <c r="F146" s="41" t="s">
        <v>18346</v>
      </c>
      <c r="G146" s="43" t="s">
        <v>18283</v>
      </c>
      <c r="H146" s="54" t="s">
        <v>101</v>
      </c>
    </row>
    <row r="147" spans="1:8" ht="13" x14ac:dyDescent="0.3">
      <c r="A147" s="40" t="s">
        <v>17653</v>
      </c>
      <c r="B147" s="41" t="s">
        <v>10715</v>
      </c>
      <c r="C147" s="41" t="s">
        <v>10716</v>
      </c>
      <c r="D147" s="42" t="s">
        <v>10717</v>
      </c>
      <c r="E147" s="41" t="s">
        <v>18501</v>
      </c>
      <c r="F147" s="41" t="s">
        <v>10719</v>
      </c>
      <c r="G147" s="43" t="s">
        <v>338</v>
      </c>
      <c r="H147" s="54" t="s">
        <v>310</v>
      </c>
    </row>
    <row r="148" spans="1:8" ht="13" x14ac:dyDescent="0.3">
      <c r="A148" s="40" t="s">
        <v>17694</v>
      </c>
      <c r="B148" s="44" t="s">
        <v>3740</v>
      </c>
      <c r="C148" s="41" t="s">
        <v>11318</v>
      </c>
      <c r="D148" s="42" t="s">
        <v>11319</v>
      </c>
      <c r="E148" s="41" t="s">
        <v>354</v>
      </c>
      <c r="F148" s="44" t="s">
        <v>3740</v>
      </c>
      <c r="G148" s="43" t="s">
        <v>11320</v>
      </c>
      <c r="H148" s="54" t="s">
        <v>84</v>
      </c>
    </row>
    <row r="149" spans="1:8" ht="13" x14ac:dyDescent="0.3">
      <c r="A149" s="40" t="s">
        <v>17631</v>
      </c>
      <c r="B149" s="41" t="s">
        <v>18064</v>
      </c>
      <c r="C149" s="41" t="s">
        <v>10346</v>
      </c>
      <c r="D149" s="42" t="s">
        <v>17418</v>
      </c>
      <c r="E149" s="41" t="s">
        <v>18502</v>
      </c>
      <c r="F149" s="41" t="s">
        <v>10349</v>
      </c>
      <c r="G149" s="43" t="s">
        <v>128</v>
      </c>
      <c r="H149" s="54" t="s">
        <v>101</v>
      </c>
    </row>
    <row r="150" spans="1:8" ht="13" x14ac:dyDescent="0.3">
      <c r="A150" s="40" t="s">
        <v>17802</v>
      </c>
      <c r="B150" s="41" t="s">
        <v>6237</v>
      </c>
      <c r="C150" s="44"/>
      <c r="D150" s="45"/>
      <c r="E150" s="41" t="s">
        <v>6238</v>
      </c>
      <c r="F150" s="41" t="s">
        <v>4077</v>
      </c>
      <c r="G150" s="43" t="s">
        <v>381</v>
      </c>
      <c r="H150" s="54" t="s">
        <v>379</v>
      </c>
    </row>
    <row r="151" spans="1:8" ht="13" x14ac:dyDescent="0.3">
      <c r="A151" s="40" t="s">
        <v>17483</v>
      </c>
      <c r="B151" s="41" t="s">
        <v>18065</v>
      </c>
      <c r="C151" s="44"/>
      <c r="D151" s="42" t="s">
        <v>11787</v>
      </c>
      <c r="E151" s="41" t="s">
        <v>11786</v>
      </c>
      <c r="F151" s="44" t="s">
        <v>3740</v>
      </c>
      <c r="G151" s="43" t="s">
        <v>128</v>
      </c>
      <c r="H151" s="54" t="s">
        <v>101</v>
      </c>
    </row>
    <row r="152" spans="1:8" ht="13" x14ac:dyDescent="0.3">
      <c r="A152" s="40" t="s">
        <v>6454</v>
      </c>
      <c r="B152" s="41" t="s">
        <v>18066</v>
      </c>
      <c r="C152" s="41" t="s">
        <v>6458</v>
      </c>
      <c r="D152" s="42" t="s">
        <v>6459</v>
      </c>
      <c r="E152" s="41" t="s">
        <v>6460</v>
      </c>
      <c r="F152" s="41" t="s">
        <v>647</v>
      </c>
      <c r="G152" s="43" t="s">
        <v>18278</v>
      </c>
      <c r="H152" s="54" t="s">
        <v>70</v>
      </c>
    </row>
    <row r="153" spans="1:8" ht="13" x14ac:dyDescent="0.3">
      <c r="A153" s="40" t="s">
        <v>17714</v>
      </c>
      <c r="B153" s="41" t="s">
        <v>18067</v>
      </c>
      <c r="C153" s="41" t="s">
        <v>8703</v>
      </c>
      <c r="D153" s="42" t="s">
        <v>8704</v>
      </c>
      <c r="E153" s="41" t="s">
        <v>8705</v>
      </c>
      <c r="F153" s="41" t="s">
        <v>647</v>
      </c>
      <c r="G153" s="43" t="s">
        <v>18284</v>
      </c>
      <c r="H153" s="54" t="s">
        <v>1002</v>
      </c>
    </row>
    <row r="154" spans="1:8" ht="13" x14ac:dyDescent="0.3">
      <c r="A154" s="40" t="s">
        <v>4425</v>
      </c>
      <c r="B154" s="41" t="s">
        <v>18068</v>
      </c>
      <c r="C154" s="41" t="s">
        <v>17419</v>
      </c>
      <c r="D154" s="42" t="s">
        <v>4430</v>
      </c>
      <c r="E154" s="41" t="s">
        <v>4431</v>
      </c>
      <c r="F154" s="41" t="s">
        <v>4432</v>
      </c>
      <c r="G154" s="43" t="s">
        <v>4433</v>
      </c>
      <c r="H154" s="54" t="s">
        <v>407</v>
      </c>
    </row>
    <row r="155" spans="1:8" ht="13" x14ac:dyDescent="0.3">
      <c r="A155" s="40" t="s">
        <v>17787</v>
      </c>
      <c r="B155" s="41" t="s">
        <v>4295</v>
      </c>
      <c r="C155" s="41" t="s">
        <v>4296</v>
      </c>
      <c r="D155" s="42" t="s">
        <v>4297</v>
      </c>
      <c r="E155" s="41" t="s">
        <v>18503</v>
      </c>
      <c r="F155" s="41" t="s">
        <v>3764</v>
      </c>
      <c r="G155" s="43" t="s">
        <v>470</v>
      </c>
      <c r="H155" s="54" t="s">
        <v>468</v>
      </c>
    </row>
    <row r="156" spans="1:8" ht="13" x14ac:dyDescent="0.3">
      <c r="A156" s="40" t="s">
        <v>2418</v>
      </c>
      <c r="B156" s="41" t="s">
        <v>2421</v>
      </c>
      <c r="C156" s="41" t="s">
        <v>2422</v>
      </c>
      <c r="D156" s="42" t="s">
        <v>3691</v>
      </c>
      <c r="E156" s="41" t="s">
        <v>18504</v>
      </c>
      <c r="F156" s="41" t="s">
        <v>647</v>
      </c>
      <c r="G156" s="43" t="s">
        <v>2425</v>
      </c>
      <c r="H156" s="54" t="s">
        <v>195</v>
      </c>
    </row>
    <row r="157" spans="1:8" ht="13" x14ac:dyDescent="0.3">
      <c r="A157" s="40" t="s">
        <v>2227</v>
      </c>
      <c r="B157" s="41" t="s">
        <v>2230</v>
      </c>
      <c r="C157" s="41" t="s">
        <v>2231</v>
      </c>
      <c r="D157" s="42">
        <v>81986528072</v>
      </c>
      <c r="E157" s="41" t="s">
        <v>2233</v>
      </c>
      <c r="F157" s="41" t="s">
        <v>647</v>
      </c>
      <c r="G157" s="43" t="s">
        <v>2234</v>
      </c>
      <c r="H157" s="54" t="s">
        <v>84</v>
      </c>
    </row>
    <row r="158" spans="1:8" ht="13" x14ac:dyDescent="0.3">
      <c r="A158" s="40" t="s">
        <v>17874</v>
      </c>
      <c r="B158" s="41" t="s">
        <v>18069</v>
      </c>
      <c r="C158" s="41" t="s">
        <v>7721</v>
      </c>
      <c r="D158" s="45"/>
      <c r="E158" s="41" t="s">
        <v>7722</v>
      </c>
      <c r="F158" s="41" t="s">
        <v>7723</v>
      </c>
      <c r="G158" s="43" t="s">
        <v>128</v>
      </c>
      <c r="H158" s="54" t="s">
        <v>101</v>
      </c>
    </row>
    <row r="159" spans="1:8" ht="13" x14ac:dyDescent="0.3">
      <c r="A159" s="40" t="s">
        <v>17691</v>
      </c>
      <c r="B159" s="44" t="s">
        <v>3740</v>
      </c>
      <c r="C159" s="44"/>
      <c r="D159" s="42" t="s">
        <v>17420</v>
      </c>
      <c r="E159" s="41" t="s">
        <v>11283</v>
      </c>
      <c r="F159" s="44" t="s">
        <v>3740</v>
      </c>
      <c r="G159" s="43" t="s">
        <v>18285</v>
      </c>
      <c r="H159" s="54" t="s">
        <v>310</v>
      </c>
    </row>
    <row r="160" spans="1:8" ht="13" x14ac:dyDescent="0.3">
      <c r="A160" s="40" t="s">
        <v>4569</v>
      </c>
      <c r="B160" s="41" t="s">
        <v>18070</v>
      </c>
      <c r="C160" s="41" t="s">
        <v>4573</v>
      </c>
      <c r="D160" s="42" t="s">
        <v>4574</v>
      </c>
      <c r="E160" s="41" t="s">
        <v>18505</v>
      </c>
      <c r="F160" s="41" t="s">
        <v>18347</v>
      </c>
      <c r="G160" s="43" t="s">
        <v>18286</v>
      </c>
      <c r="H160" s="54" t="s">
        <v>84</v>
      </c>
    </row>
    <row r="161" spans="1:8" ht="13" x14ac:dyDescent="0.3">
      <c r="A161" s="40" t="s">
        <v>17481</v>
      </c>
      <c r="B161" s="44" t="s">
        <v>3740</v>
      </c>
      <c r="C161" s="44"/>
      <c r="D161" s="42" t="s">
        <v>17421</v>
      </c>
      <c r="E161" s="41" t="s">
        <v>11766</v>
      </c>
      <c r="F161" s="44" t="s">
        <v>3740</v>
      </c>
      <c r="G161" s="43" t="s">
        <v>470</v>
      </c>
      <c r="H161" s="54" t="s">
        <v>468</v>
      </c>
    </row>
    <row r="162" spans="1:8" ht="13" x14ac:dyDescent="0.3">
      <c r="A162" s="40" t="s">
        <v>17651</v>
      </c>
      <c r="B162" s="41" t="s">
        <v>18071</v>
      </c>
      <c r="C162" s="41" t="s">
        <v>10691</v>
      </c>
      <c r="D162" s="42" t="s">
        <v>16316</v>
      </c>
      <c r="E162" s="41" t="s">
        <v>18506</v>
      </c>
      <c r="F162" s="41" t="s">
        <v>18348</v>
      </c>
      <c r="G162" s="43" t="s">
        <v>1149</v>
      </c>
      <c r="H162" s="54" t="s">
        <v>557</v>
      </c>
    </row>
    <row r="163" spans="1:8" ht="13" x14ac:dyDescent="0.3">
      <c r="A163" s="40" t="s">
        <v>17556</v>
      </c>
      <c r="B163" s="41" t="s">
        <v>9144</v>
      </c>
      <c r="C163" s="41" t="s">
        <v>9145</v>
      </c>
      <c r="D163" s="42" t="s">
        <v>15403</v>
      </c>
      <c r="E163" s="41" t="s">
        <v>9147</v>
      </c>
      <c r="F163" s="41" t="s">
        <v>9148</v>
      </c>
      <c r="G163" s="43" t="s">
        <v>470</v>
      </c>
      <c r="H163" s="54" t="s">
        <v>468</v>
      </c>
    </row>
    <row r="164" spans="1:8" ht="13" x14ac:dyDescent="0.3">
      <c r="A164" s="40" t="s">
        <v>17630</v>
      </c>
      <c r="B164" s="41" t="s">
        <v>10329</v>
      </c>
      <c r="C164" s="41" t="s">
        <v>10330</v>
      </c>
      <c r="D164" s="42" t="s">
        <v>10331</v>
      </c>
      <c r="E164" s="41" t="s">
        <v>18507</v>
      </c>
      <c r="F164" s="41" t="s">
        <v>10333</v>
      </c>
      <c r="G164" s="43" t="s">
        <v>891</v>
      </c>
      <c r="H164" s="54" t="s">
        <v>101</v>
      </c>
    </row>
    <row r="165" spans="1:8" ht="13" x14ac:dyDescent="0.3">
      <c r="A165" s="40" t="s">
        <v>686</v>
      </c>
      <c r="B165" s="41" t="s">
        <v>689</v>
      </c>
      <c r="C165" s="41" t="s">
        <v>690</v>
      </c>
      <c r="D165" s="42" t="s">
        <v>2821</v>
      </c>
      <c r="E165" s="41" t="s">
        <v>11554</v>
      </c>
      <c r="F165" s="41" t="s">
        <v>16845</v>
      </c>
      <c r="G165" s="43" t="s">
        <v>369</v>
      </c>
      <c r="H165" s="54" t="s">
        <v>84</v>
      </c>
    </row>
    <row r="166" spans="1:8" ht="13" x14ac:dyDescent="0.3">
      <c r="A166" s="40" t="s">
        <v>17828</v>
      </c>
      <c r="B166" s="41" t="s">
        <v>18072</v>
      </c>
      <c r="C166" s="41" t="s">
        <v>4409</v>
      </c>
      <c r="D166" s="42" t="s">
        <v>4410</v>
      </c>
      <c r="E166" s="41" t="s">
        <v>4411</v>
      </c>
      <c r="F166" s="41" t="s">
        <v>12858</v>
      </c>
      <c r="G166" s="43" t="s">
        <v>177</v>
      </c>
      <c r="H166" s="54" t="s">
        <v>84</v>
      </c>
    </row>
    <row r="167" spans="1:8" ht="13" x14ac:dyDescent="0.3">
      <c r="A167" s="40" t="s">
        <v>7549</v>
      </c>
      <c r="B167" s="41" t="s">
        <v>18073</v>
      </c>
      <c r="C167" s="44"/>
      <c r="D167" s="45"/>
      <c r="E167" s="41" t="s">
        <v>7551</v>
      </c>
      <c r="F167" s="41" t="s">
        <v>7552</v>
      </c>
      <c r="G167" s="43" t="s">
        <v>409</v>
      </c>
      <c r="H167" s="54" t="s">
        <v>407</v>
      </c>
    </row>
    <row r="168" spans="1:8" ht="13" x14ac:dyDescent="0.3">
      <c r="A168" s="40" t="s">
        <v>17898</v>
      </c>
      <c r="B168" s="41" t="s">
        <v>7735</v>
      </c>
      <c r="C168" s="44"/>
      <c r="D168" s="45"/>
      <c r="E168" s="41" t="s">
        <v>7736</v>
      </c>
      <c r="F168" s="41" t="s">
        <v>7737</v>
      </c>
      <c r="G168" s="43" t="s">
        <v>749</v>
      </c>
      <c r="H168" s="54" t="s">
        <v>101</v>
      </c>
    </row>
    <row r="169" spans="1:8" ht="13" x14ac:dyDescent="0.3">
      <c r="A169" s="40" t="s">
        <v>17551</v>
      </c>
      <c r="B169" s="41" t="s">
        <v>18074</v>
      </c>
      <c r="C169" s="41" t="s">
        <v>9066</v>
      </c>
      <c r="D169" s="42" t="s">
        <v>9067</v>
      </c>
      <c r="E169" s="41" t="s">
        <v>18508</v>
      </c>
      <c r="F169" s="41" t="s">
        <v>9069</v>
      </c>
      <c r="G169" s="43" t="s">
        <v>6725</v>
      </c>
      <c r="H169" s="54" t="s">
        <v>195</v>
      </c>
    </row>
    <row r="170" spans="1:8" ht="13" x14ac:dyDescent="0.3">
      <c r="A170" s="40" t="s">
        <v>17670</v>
      </c>
      <c r="B170" s="41" t="s">
        <v>18075</v>
      </c>
      <c r="C170" s="41" t="s">
        <v>11009</v>
      </c>
      <c r="D170" s="42" t="s">
        <v>17422</v>
      </c>
      <c r="E170" s="41" t="s">
        <v>18509</v>
      </c>
      <c r="F170" s="41" t="s">
        <v>11012</v>
      </c>
      <c r="G170" s="43" t="s">
        <v>266</v>
      </c>
      <c r="H170" s="54" t="s">
        <v>84</v>
      </c>
    </row>
    <row r="171" spans="1:8" ht="13" x14ac:dyDescent="0.3">
      <c r="A171" s="40" t="s">
        <v>17797</v>
      </c>
      <c r="B171" s="41" t="s">
        <v>18076</v>
      </c>
      <c r="C171" s="41" t="s">
        <v>7453</v>
      </c>
      <c r="D171" s="42" t="s">
        <v>7454</v>
      </c>
      <c r="E171" s="41" t="s">
        <v>7455</v>
      </c>
      <c r="F171" s="41" t="s">
        <v>8438</v>
      </c>
      <c r="G171" s="43" t="s">
        <v>128</v>
      </c>
      <c r="H171" s="54" t="s">
        <v>101</v>
      </c>
    </row>
    <row r="172" spans="1:8" ht="13" x14ac:dyDescent="0.3">
      <c r="A172" s="40" t="s">
        <v>17702</v>
      </c>
      <c r="B172" s="41" t="s">
        <v>5453</v>
      </c>
      <c r="C172" s="41" t="s">
        <v>5454</v>
      </c>
      <c r="D172" s="42" t="s">
        <v>5455</v>
      </c>
      <c r="E172" s="41" t="s">
        <v>5456</v>
      </c>
      <c r="F172" s="41" t="s">
        <v>5457</v>
      </c>
      <c r="G172" s="43" t="s">
        <v>5458</v>
      </c>
      <c r="H172" s="54" t="s">
        <v>468</v>
      </c>
    </row>
    <row r="173" spans="1:8" ht="13" x14ac:dyDescent="0.3">
      <c r="A173" s="40" t="s">
        <v>17585</v>
      </c>
      <c r="B173" s="41" t="s">
        <v>9424</v>
      </c>
      <c r="C173" s="41" t="s">
        <v>9425</v>
      </c>
      <c r="D173" s="42" t="s">
        <v>9426</v>
      </c>
      <c r="E173" s="41" t="s">
        <v>18510</v>
      </c>
      <c r="F173" s="41" t="s">
        <v>9523</v>
      </c>
      <c r="G173" s="43" t="s">
        <v>626</v>
      </c>
      <c r="H173" s="54" t="s">
        <v>70</v>
      </c>
    </row>
    <row r="174" spans="1:8" ht="13" x14ac:dyDescent="0.3">
      <c r="A174" s="40" t="s">
        <v>7677</v>
      </c>
      <c r="B174" s="41" t="s">
        <v>18077</v>
      </c>
      <c r="C174" s="41" t="s">
        <v>7680</v>
      </c>
      <c r="D174" s="42" t="s">
        <v>7681</v>
      </c>
      <c r="E174" s="41" t="s">
        <v>18511</v>
      </c>
      <c r="F174" s="41" t="s">
        <v>18349</v>
      </c>
      <c r="G174" s="43" t="s">
        <v>128</v>
      </c>
      <c r="H174" s="54" t="s">
        <v>101</v>
      </c>
    </row>
    <row r="175" spans="1:8" ht="13" x14ac:dyDescent="0.3">
      <c r="A175" s="40" t="s">
        <v>17553</v>
      </c>
      <c r="B175" s="41" t="s">
        <v>9094</v>
      </c>
      <c r="C175" s="41" t="s">
        <v>9095</v>
      </c>
      <c r="D175" s="42" t="s">
        <v>9096</v>
      </c>
      <c r="E175" s="41" t="s">
        <v>18512</v>
      </c>
      <c r="F175" s="41" t="s">
        <v>18350</v>
      </c>
      <c r="G175" s="43" t="s">
        <v>1848</v>
      </c>
      <c r="H175" s="54" t="s">
        <v>1002</v>
      </c>
    </row>
    <row r="176" spans="1:8" ht="13" x14ac:dyDescent="0.3">
      <c r="A176" s="40" t="s">
        <v>17705</v>
      </c>
      <c r="B176" s="41" t="s">
        <v>18078</v>
      </c>
      <c r="C176" s="44"/>
      <c r="D176" s="45"/>
      <c r="E176" s="41" t="s">
        <v>5627</v>
      </c>
      <c r="F176" s="41" t="s">
        <v>5628</v>
      </c>
      <c r="G176" s="43" t="s">
        <v>177</v>
      </c>
      <c r="H176" s="54" t="s">
        <v>84</v>
      </c>
    </row>
    <row r="177" spans="1:8" ht="13" x14ac:dyDescent="0.3">
      <c r="A177" s="40" t="s">
        <v>17644</v>
      </c>
      <c r="B177" s="41" t="s">
        <v>18079</v>
      </c>
      <c r="C177" s="41" t="s">
        <v>10626</v>
      </c>
      <c r="D177" s="42" t="s">
        <v>16270</v>
      </c>
      <c r="E177" s="41" t="s">
        <v>18513</v>
      </c>
      <c r="F177" s="41" t="s">
        <v>10629</v>
      </c>
      <c r="G177" s="43" t="s">
        <v>104</v>
      </c>
      <c r="H177" s="54" t="s">
        <v>101</v>
      </c>
    </row>
    <row r="178" spans="1:8" ht="13" x14ac:dyDescent="0.3">
      <c r="A178" s="40" t="s">
        <v>17605</v>
      </c>
      <c r="B178" s="41" t="s">
        <v>18080</v>
      </c>
      <c r="C178" s="41" t="s">
        <v>9949</v>
      </c>
      <c r="D178" s="42" t="s">
        <v>9950</v>
      </c>
      <c r="E178" s="41" t="s">
        <v>18514</v>
      </c>
      <c r="F178" s="41" t="s">
        <v>9952</v>
      </c>
      <c r="G178" s="43" t="s">
        <v>626</v>
      </c>
      <c r="H178" s="54" t="s">
        <v>70</v>
      </c>
    </row>
    <row r="179" spans="1:8" ht="13" x14ac:dyDescent="0.3">
      <c r="A179" s="40" t="s">
        <v>17848</v>
      </c>
      <c r="B179" s="41" t="s">
        <v>18081</v>
      </c>
      <c r="C179" s="41" t="s">
        <v>6604</v>
      </c>
      <c r="D179" s="42" t="s">
        <v>6605</v>
      </c>
      <c r="E179" s="41" t="s">
        <v>6606</v>
      </c>
      <c r="F179" s="41" t="s">
        <v>647</v>
      </c>
      <c r="G179" s="43" t="s">
        <v>18287</v>
      </c>
      <c r="H179" s="54" t="s">
        <v>1171</v>
      </c>
    </row>
    <row r="180" spans="1:8" ht="13" x14ac:dyDescent="0.3">
      <c r="A180" s="40" t="s">
        <v>17560</v>
      </c>
      <c r="B180" s="41" t="s">
        <v>18082</v>
      </c>
      <c r="C180" s="41" t="s">
        <v>9221</v>
      </c>
      <c r="D180" s="42" t="s">
        <v>17423</v>
      </c>
      <c r="E180" s="41" t="s">
        <v>18515</v>
      </c>
      <c r="F180" s="41" t="s">
        <v>9224</v>
      </c>
      <c r="G180" s="43" t="s">
        <v>1848</v>
      </c>
      <c r="H180" s="54" t="s">
        <v>1002</v>
      </c>
    </row>
    <row r="181" spans="1:8" ht="13" x14ac:dyDescent="0.3">
      <c r="A181" s="40" t="s">
        <v>17596</v>
      </c>
      <c r="B181" s="41" t="s">
        <v>18083</v>
      </c>
      <c r="C181" s="41" t="s">
        <v>9819</v>
      </c>
      <c r="D181" s="42">
        <v>2133395860</v>
      </c>
      <c r="E181" s="41" t="s">
        <v>18516</v>
      </c>
      <c r="F181" s="41" t="s">
        <v>18351</v>
      </c>
      <c r="G181" s="43" t="s">
        <v>18278</v>
      </c>
      <c r="H181" s="54" t="s">
        <v>70</v>
      </c>
    </row>
    <row r="182" spans="1:8" ht="13" x14ac:dyDescent="0.3">
      <c r="A182" s="40" t="s">
        <v>7767</v>
      </c>
      <c r="B182" s="41" t="s">
        <v>18084</v>
      </c>
      <c r="C182" s="41" t="s">
        <v>7770</v>
      </c>
      <c r="D182" s="42" t="s">
        <v>7771</v>
      </c>
      <c r="E182" s="41" t="s">
        <v>7772</v>
      </c>
      <c r="F182" s="41" t="s">
        <v>7773</v>
      </c>
      <c r="G182" s="43" t="s">
        <v>749</v>
      </c>
      <c r="H182" s="54" t="s">
        <v>101</v>
      </c>
    </row>
    <row r="183" spans="1:8" ht="13" x14ac:dyDescent="0.3">
      <c r="A183" s="40" t="s">
        <v>2394</v>
      </c>
      <c r="B183" s="41" t="s">
        <v>2397</v>
      </c>
      <c r="C183" s="41" t="s">
        <v>2398</v>
      </c>
      <c r="D183" s="42" t="s">
        <v>17424</v>
      </c>
      <c r="E183" s="41" t="s">
        <v>18517</v>
      </c>
      <c r="F183" s="41" t="s">
        <v>17374</v>
      </c>
      <c r="G183" s="43" t="s">
        <v>381</v>
      </c>
      <c r="H183" s="54" t="s">
        <v>379</v>
      </c>
    </row>
    <row r="184" spans="1:8" ht="13" x14ac:dyDescent="0.3">
      <c r="A184" s="40" t="s">
        <v>17658</v>
      </c>
      <c r="B184" s="41" t="s">
        <v>18085</v>
      </c>
      <c r="C184" s="41" t="s">
        <v>10797</v>
      </c>
      <c r="D184" s="42" t="s">
        <v>10798</v>
      </c>
      <c r="E184" s="41" t="s">
        <v>18518</v>
      </c>
      <c r="F184" s="41" t="s">
        <v>10800</v>
      </c>
      <c r="G184" s="43" t="s">
        <v>10801</v>
      </c>
      <c r="H184" s="54" t="s">
        <v>101</v>
      </c>
    </row>
    <row r="185" spans="1:8" ht="13" x14ac:dyDescent="0.3">
      <c r="A185" s="40" t="s">
        <v>17557</v>
      </c>
      <c r="B185" s="41" t="s">
        <v>18086</v>
      </c>
      <c r="C185" s="41" t="s">
        <v>9173</v>
      </c>
      <c r="D185" s="42" t="s">
        <v>9174</v>
      </c>
      <c r="E185" s="41" t="s">
        <v>9175</v>
      </c>
      <c r="F185" s="41" t="s">
        <v>9014</v>
      </c>
      <c r="G185" s="43" t="s">
        <v>15423</v>
      </c>
      <c r="H185" s="54" t="s">
        <v>379</v>
      </c>
    </row>
    <row r="186" spans="1:8" ht="13" x14ac:dyDescent="0.3">
      <c r="A186" s="40" t="s">
        <v>17620</v>
      </c>
      <c r="B186" s="41" t="s">
        <v>18087</v>
      </c>
      <c r="C186" s="41" t="s">
        <v>10170</v>
      </c>
      <c r="D186" s="42" t="s">
        <v>17425</v>
      </c>
      <c r="E186" s="41" t="s">
        <v>18519</v>
      </c>
      <c r="F186" s="41" t="s">
        <v>10173</v>
      </c>
      <c r="G186" s="43" t="s">
        <v>128</v>
      </c>
      <c r="H186" s="54" t="s">
        <v>101</v>
      </c>
    </row>
    <row r="187" spans="1:8" ht="13" x14ac:dyDescent="0.3">
      <c r="A187" s="40" t="s">
        <v>8762</v>
      </c>
      <c r="B187" s="41" t="s">
        <v>8763</v>
      </c>
      <c r="C187" s="41" t="s">
        <v>8764</v>
      </c>
      <c r="D187" s="42" t="s">
        <v>8765</v>
      </c>
      <c r="E187" s="41" t="s">
        <v>2173</v>
      </c>
      <c r="F187" s="41" t="s">
        <v>8766</v>
      </c>
      <c r="G187" s="43" t="s">
        <v>8767</v>
      </c>
      <c r="H187" s="54" t="s">
        <v>1002</v>
      </c>
    </row>
    <row r="188" spans="1:8" ht="13" x14ac:dyDescent="0.3">
      <c r="A188" s="40" t="s">
        <v>4680</v>
      </c>
      <c r="B188" s="41" t="s">
        <v>4682</v>
      </c>
      <c r="C188" s="41" t="s">
        <v>4683</v>
      </c>
      <c r="D188" s="42" t="s">
        <v>4684</v>
      </c>
      <c r="E188" s="41" t="s">
        <v>4685</v>
      </c>
      <c r="F188" s="41" t="s">
        <v>4686</v>
      </c>
      <c r="G188" s="43" t="s">
        <v>18288</v>
      </c>
      <c r="H188" s="54" t="s">
        <v>84</v>
      </c>
    </row>
    <row r="189" spans="1:8" ht="13" x14ac:dyDescent="0.3">
      <c r="A189" s="40" t="s">
        <v>6665</v>
      </c>
      <c r="B189" s="41" t="s">
        <v>18088</v>
      </c>
      <c r="C189" s="41" t="s">
        <v>6667</v>
      </c>
      <c r="D189" s="42" t="s">
        <v>6668</v>
      </c>
      <c r="E189" s="41" t="s">
        <v>18520</v>
      </c>
      <c r="F189" s="41" t="s">
        <v>4077</v>
      </c>
      <c r="G189" s="43" t="s">
        <v>17426</v>
      </c>
      <c r="H189" s="54" t="s">
        <v>195</v>
      </c>
    </row>
    <row r="190" spans="1:8" ht="13" x14ac:dyDescent="0.3">
      <c r="A190" s="40" t="s">
        <v>17821</v>
      </c>
      <c r="B190" s="41" t="s">
        <v>18089</v>
      </c>
      <c r="C190" s="41" t="s">
        <v>4871</v>
      </c>
      <c r="D190" s="42" t="s">
        <v>4872</v>
      </c>
      <c r="E190" s="41" t="s">
        <v>4873</v>
      </c>
      <c r="F190" s="41" t="s">
        <v>18352</v>
      </c>
      <c r="G190" s="43" t="s">
        <v>1848</v>
      </c>
      <c r="H190" s="54" t="s">
        <v>1002</v>
      </c>
    </row>
    <row r="191" spans="1:8" ht="13" x14ac:dyDescent="0.3">
      <c r="A191" s="40" t="s">
        <v>17813</v>
      </c>
      <c r="B191" s="41" t="s">
        <v>18090</v>
      </c>
      <c r="C191" s="41" t="s">
        <v>6280</v>
      </c>
      <c r="D191" s="42" t="s">
        <v>18717</v>
      </c>
      <c r="E191" s="41" t="s">
        <v>18521</v>
      </c>
      <c r="F191" s="41" t="s">
        <v>18353</v>
      </c>
      <c r="G191" s="43" t="s">
        <v>381</v>
      </c>
      <c r="H191" s="54" t="s">
        <v>379</v>
      </c>
    </row>
    <row r="192" spans="1:8" ht="13" x14ac:dyDescent="0.3">
      <c r="A192" s="40" t="s">
        <v>4591</v>
      </c>
      <c r="B192" s="41" t="s">
        <v>18091</v>
      </c>
      <c r="C192" s="41" t="s">
        <v>4594</v>
      </c>
      <c r="D192" s="42" t="s">
        <v>4595</v>
      </c>
      <c r="E192" s="41" t="s">
        <v>18522</v>
      </c>
      <c r="F192" s="41" t="s">
        <v>647</v>
      </c>
      <c r="G192" s="43" t="s">
        <v>4597</v>
      </c>
      <c r="H192" s="54" t="s">
        <v>84</v>
      </c>
    </row>
    <row r="193" spans="1:8" ht="13" x14ac:dyDescent="0.3">
      <c r="A193" s="40" t="s">
        <v>9343</v>
      </c>
      <c r="B193" s="41" t="s">
        <v>18092</v>
      </c>
      <c r="C193" s="41" t="s">
        <v>9345</v>
      </c>
      <c r="D193" s="42" t="s">
        <v>15524</v>
      </c>
      <c r="E193" s="41" t="s">
        <v>18523</v>
      </c>
      <c r="F193" s="41" t="s">
        <v>9348</v>
      </c>
      <c r="G193" s="43" t="s">
        <v>1848</v>
      </c>
      <c r="H193" s="54" t="s">
        <v>1002</v>
      </c>
    </row>
    <row r="194" spans="1:8" ht="13" x14ac:dyDescent="0.3">
      <c r="A194" s="40" t="s">
        <v>17490</v>
      </c>
      <c r="B194" s="44" t="s">
        <v>3740</v>
      </c>
      <c r="C194" s="44"/>
      <c r="D194" s="42" t="s">
        <v>17427</v>
      </c>
      <c r="E194" s="41" t="s">
        <v>3097</v>
      </c>
      <c r="F194" s="44" t="s">
        <v>3740</v>
      </c>
      <c r="G194" s="43" t="s">
        <v>1173</v>
      </c>
      <c r="H194" s="54" t="s">
        <v>1171</v>
      </c>
    </row>
    <row r="195" spans="1:8" ht="13" x14ac:dyDescent="0.3">
      <c r="A195" s="40" t="s">
        <v>17899</v>
      </c>
      <c r="B195" s="41" t="s">
        <v>18093</v>
      </c>
      <c r="C195" s="41" t="s">
        <v>6207</v>
      </c>
      <c r="D195" s="42" t="s">
        <v>18716</v>
      </c>
      <c r="E195" s="41" t="s">
        <v>6208</v>
      </c>
      <c r="F195" s="41" t="s">
        <v>6209</v>
      </c>
      <c r="G195" s="43" t="s">
        <v>381</v>
      </c>
      <c r="H195" s="54" t="s">
        <v>379</v>
      </c>
    </row>
    <row r="196" spans="1:8" ht="13" x14ac:dyDescent="0.3">
      <c r="A196" s="40" t="s">
        <v>17803</v>
      </c>
      <c r="B196" s="41" t="s">
        <v>18094</v>
      </c>
      <c r="C196" s="41" t="s">
        <v>6291</v>
      </c>
      <c r="D196" s="42" t="s">
        <v>6292</v>
      </c>
      <c r="E196" s="41" t="s">
        <v>18524</v>
      </c>
      <c r="F196" s="41" t="s">
        <v>18354</v>
      </c>
      <c r="G196" s="43" t="s">
        <v>248</v>
      </c>
      <c r="H196" s="54" t="s">
        <v>246</v>
      </c>
    </row>
    <row r="197" spans="1:8" ht="13" x14ac:dyDescent="0.3">
      <c r="A197" s="40" t="s">
        <v>17824</v>
      </c>
      <c r="B197" s="41" t="s">
        <v>18095</v>
      </c>
      <c r="C197" s="41" t="s">
        <v>4842</v>
      </c>
      <c r="D197" s="42" t="s">
        <v>4843</v>
      </c>
      <c r="E197" s="41" t="s">
        <v>18525</v>
      </c>
      <c r="F197" s="41" t="s">
        <v>4845</v>
      </c>
      <c r="G197" s="43" t="s">
        <v>2152</v>
      </c>
      <c r="H197" s="54" t="s">
        <v>1002</v>
      </c>
    </row>
    <row r="198" spans="1:8" ht="13" x14ac:dyDescent="0.3">
      <c r="A198" s="40" t="s">
        <v>17577</v>
      </c>
      <c r="B198" s="41" t="s">
        <v>18096</v>
      </c>
      <c r="C198" s="41" t="s">
        <v>9521</v>
      </c>
      <c r="D198" s="42" t="s">
        <v>15637</v>
      </c>
      <c r="E198" s="41" t="s">
        <v>18526</v>
      </c>
      <c r="F198" s="41" t="s">
        <v>9523</v>
      </c>
      <c r="G198" s="43" t="s">
        <v>626</v>
      </c>
      <c r="H198" s="54" t="s">
        <v>70</v>
      </c>
    </row>
    <row r="199" spans="1:8" ht="13" x14ac:dyDescent="0.3">
      <c r="A199" s="40" t="s">
        <v>17571</v>
      </c>
      <c r="B199" s="41" t="s">
        <v>18097</v>
      </c>
      <c r="C199" s="41" t="s">
        <v>9398</v>
      </c>
      <c r="D199" s="42" t="s">
        <v>9399</v>
      </c>
      <c r="E199" s="41" t="s">
        <v>18527</v>
      </c>
      <c r="F199" s="41" t="s">
        <v>6182</v>
      </c>
      <c r="G199" s="43" t="s">
        <v>381</v>
      </c>
      <c r="H199" s="54" t="s">
        <v>379</v>
      </c>
    </row>
    <row r="200" spans="1:8" ht="13" x14ac:dyDescent="0.3">
      <c r="A200" s="40" t="s">
        <v>1124</v>
      </c>
      <c r="B200" s="41" t="s">
        <v>1127</v>
      </c>
      <c r="C200" s="41" t="s">
        <v>1128</v>
      </c>
      <c r="D200" s="42" t="s">
        <v>17428</v>
      </c>
      <c r="E200" s="41" t="s">
        <v>18528</v>
      </c>
      <c r="F200" s="41" t="s">
        <v>1131</v>
      </c>
      <c r="G200" s="43" t="s">
        <v>87</v>
      </c>
      <c r="H200" s="54" t="s">
        <v>84</v>
      </c>
    </row>
    <row r="201" spans="1:8" ht="13" x14ac:dyDescent="0.3">
      <c r="A201" s="40" t="s">
        <v>17598</v>
      </c>
      <c r="B201" s="41" t="s">
        <v>18098</v>
      </c>
      <c r="C201" s="41" t="s">
        <v>9843</v>
      </c>
      <c r="D201" s="42" t="s">
        <v>9844</v>
      </c>
      <c r="E201" s="41" t="s">
        <v>18529</v>
      </c>
      <c r="F201" s="41" t="s">
        <v>9846</v>
      </c>
      <c r="G201" s="43" t="s">
        <v>626</v>
      </c>
      <c r="H201" s="54" t="s">
        <v>70</v>
      </c>
    </row>
    <row r="202" spans="1:8" ht="13" x14ac:dyDescent="0.3">
      <c r="A202" s="40" t="s">
        <v>5027</v>
      </c>
      <c r="B202" s="41" t="s">
        <v>5029</v>
      </c>
      <c r="C202" s="41" t="s">
        <v>5030</v>
      </c>
      <c r="D202" s="42" t="s">
        <v>5031</v>
      </c>
      <c r="E202" s="41" t="s">
        <v>5032</v>
      </c>
      <c r="F202" s="41" t="s">
        <v>5033</v>
      </c>
      <c r="G202" s="43" t="s">
        <v>1631</v>
      </c>
      <c r="H202" s="54" t="s">
        <v>246</v>
      </c>
    </row>
    <row r="203" spans="1:8" ht="13" x14ac:dyDescent="0.3">
      <c r="A203" s="40" t="s">
        <v>17717</v>
      </c>
      <c r="B203" s="41" t="s">
        <v>18099</v>
      </c>
      <c r="C203" s="41" t="s">
        <v>6515</v>
      </c>
      <c r="D203" s="42" t="s">
        <v>6516</v>
      </c>
      <c r="E203" s="41" t="s">
        <v>6517</v>
      </c>
      <c r="F203" s="41" t="s">
        <v>6518</v>
      </c>
      <c r="G203" s="43" t="s">
        <v>1015</v>
      </c>
      <c r="H203" s="54" t="s">
        <v>70</v>
      </c>
    </row>
    <row r="204" spans="1:8" ht="13" x14ac:dyDescent="0.3">
      <c r="A204" s="40" t="s">
        <v>1647</v>
      </c>
      <c r="B204" s="41" t="s">
        <v>1650</v>
      </c>
      <c r="C204" s="41" t="s">
        <v>1651</v>
      </c>
      <c r="D204" s="42" t="s">
        <v>18715</v>
      </c>
      <c r="E204" s="41" t="s">
        <v>12148</v>
      </c>
      <c r="F204" s="41" t="s">
        <v>1654</v>
      </c>
      <c r="G204" s="43" t="s">
        <v>177</v>
      </c>
      <c r="H204" s="54" t="s">
        <v>84</v>
      </c>
    </row>
    <row r="205" spans="1:8" ht="13" x14ac:dyDescent="0.3">
      <c r="A205" s="40" t="s">
        <v>7914</v>
      </c>
      <c r="B205" s="41" t="s">
        <v>18100</v>
      </c>
      <c r="C205" s="41" t="s">
        <v>7918</v>
      </c>
      <c r="D205" s="42" t="s">
        <v>7919</v>
      </c>
      <c r="E205" s="41" t="s">
        <v>18530</v>
      </c>
      <c r="F205" s="41" t="s">
        <v>18355</v>
      </c>
      <c r="G205" s="43" t="s">
        <v>626</v>
      </c>
      <c r="H205" s="54" t="s">
        <v>70</v>
      </c>
    </row>
    <row r="206" spans="1:8" ht="13" x14ac:dyDescent="0.3">
      <c r="A206" s="40" t="s">
        <v>17767</v>
      </c>
      <c r="B206" s="41" t="s">
        <v>7879</v>
      </c>
      <c r="C206" s="41" t="s">
        <v>7880</v>
      </c>
      <c r="D206" s="42" t="s">
        <v>7881</v>
      </c>
      <c r="E206" s="41" t="s">
        <v>18531</v>
      </c>
      <c r="F206" s="41" t="s">
        <v>7883</v>
      </c>
      <c r="G206" s="43" t="s">
        <v>626</v>
      </c>
      <c r="H206" s="54" t="s">
        <v>70</v>
      </c>
    </row>
    <row r="207" spans="1:8" ht="13" x14ac:dyDescent="0.3">
      <c r="A207" s="40" t="s">
        <v>1996</v>
      </c>
      <c r="B207" s="41" t="s">
        <v>1999</v>
      </c>
      <c r="C207" s="41" t="s">
        <v>2000</v>
      </c>
      <c r="D207" s="42" t="s">
        <v>2001</v>
      </c>
      <c r="E207" s="41" t="s">
        <v>297</v>
      </c>
      <c r="F207" s="41" t="s">
        <v>17265</v>
      </c>
      <c r="G207" s="43" t="s">
        <v>128</v>
      </c>
      <c r="H207" s="54" t="s">
        <v>101</v>
      </c>
    </row>
    <row r="208" spans="1:8" ht="13" x14ac:dyDescent="0.3">
      <c r="A208" s="40" t="s">
        <v>17778</v>
      </c>
      <c r="B208" s="41" t="s">
        <v>7063</v>
      </c>
      <c r="C208" s="41" t="s">
        <v>7064</v>
      </c>
      <c r="D208" s="42" t="s">
        <v>7065</v>
      </c>
      <c r="E208" s="41" t="s">
        <v>18532</v>
      </c>
      <c r="F208" s="41" t="s">
        <v>7067</v>
      </c>
      <c r="G208" s="43" t="s">
        <v>128</v>
      </c>
      <c r="H208" s="54" t="s">
        <v>101</v>
      </c>
    </row>
    <row r="209" spans="1:8" ht="13" x14ac:dyDescent="0.3">
      <c r="A209" s="40" t="s">
        <v>17837</v>
      </c>
      <c r="B209" s="41" t="s">
        <v>7254</v>
      </c>
      <c r="C209" s="41" t="s">
        <v>7255</v>
      </c>
      <c r="D209" s="42" t="s">
        <v>7256</v>
      </c>
      <c r="E209" s="41" t="s">
        <v>7257</v>
      </c>
      <c r="F209" s="41" t="s">
        <v>7258</v>
      </c>
      <c r="G209" s="43" t="s">
        <v>7226</v>
      </c>
      <c r="H209" s="54" t="s">
        <v>379</v>
      </c>
    </row>
    <row r="210" spans="1:8" ht="13" x14ac:dyDescent="0.3">
      <c r="A210" s="40" t="s">
        <v>17876</v>
      </c>
      <c r="B210" s="41" t="s">
        <v>18101</v>
      </c>
      <c r="C210" s="41" t="s">
        <v>6219</v>
      </c>
      <c r="D210" s="42" t="s">
        <v>6220</v>
      </c>
      <c r="E210" s="41" t="s">
        <v>6221</v>
      </c>
      <c r="F210" s="41" t="s">
        <v>6222</v>
      </c>
      <c r="G210" s="43" t="s">
        <v>381</v>
      </c>
      <c r="H210" s="54" t="s">
        <v>379</v>
      </c>
    </row>
    <row r="211" spans="1:8" ht="13" x14ac:dyDescent="0.3">
      <c r="A211" s="40" t="s">
        <v>5117</v>
      </c>
      <c r="B211" s="41" t="s">
        <v>18102</v>
      </c>
      <c r="C211" s="41" t="s">
        <v>5121</v>
      </c>
      <c r="D211" s="42" t="s">
        <v>5122</v>
      </c>
      <c r="E211" s="41" t="s">
        <v>18533</v>
      </c>
      <c r="F211" s="41" t="s">
        <v>5124</v>
      </c>
      <c r="G211" s="43" t="s">
        <v>87</v>
      </c>
      <c r="H211" s="54" t="s">
        <v>84</v>
      </c>
    </row>
    <row r="212" spans="1:8" ht="13" x14ac:dyDescent="0.3">
      <c r="A212" s="40" t="s">
        <v>17590</v>
      </c>
      <c r="B212" s="41" t="s">
        <v>9712</v>
      </c>
      <c r="C212" s="41" t="s">
        <v>9713</v>
      </c>
      <c r="D212" s="42" t="s">
        <v>9714</v>
      </c>
      <c r="E212" s="41" t="s">
        <v>9715</v>
      </c>
      <c r="F212" s="41" t="s">
        <v>18356</v>
      </c>
      <c r="G212" s="43" t="s">
        <v>626</v>
      </c>
      <c r="H212" s="54" t="s">
        <v>70</v>
      </c>
    </row>
    <row r="213" spans="1:8" ht="13" x14ac:dyDescent="0.3">
      <c r="A213" s="40" t="s">
        <v>2308</v>
      </c>
      <c r="B213" s="41" t="s">
        <v>2311</v>
      </c>
      <c r="C213" s="41" t="s">
        <v>2312</v>
      </c>
      <c r="D213" s="42">
        <v>91982396686</v>
      </c>
      <c r="E213" s="41" t="s">
        <v>12541</v>
      </c>
      <c r="F213" s="41" t="s">
        <v>18357</v>
      </c>
      <c r="G213" s="43" t="s">
        <v>231</v>
      </c>
      <c r="H213" s="54" t="s">
        <v>51</v>
      </c>
    </row>
    <row r="214" spans="1:8" ht="13" x14ac:dyDescent="0.3">
      <c r="A214" s="40" t="s">
        <v>4699</v>
      </c>
      <c r="B214" s="41" t="s">
        <v>4700</v>
      </c>
      <c r="C214" s="41" t="s">
        <v>4701</v>
      </c>
      <c r="D214" s="42" t="s">
        <v>4702</v>
      </c>
      <c r="E214" s="41" t="s">
        <v>18534</v>
      </c>
      <c r="F214" s="41" t="s">
        <v>18358</v>
      </c>
      <c r="G214" s="43" t="s">
        <v>1959</v>
      </c>
      <c r="H214" s="54" t="s">
        <v>1381</v>
      </c>
    </row>
    <row r="215" spans="1:8" ht="13" x14ac:dyDescent="0.3">
      <c r="A215" s="40" t="s">
        <v>17829</v>
      </c>
      <c r="B215" s="41" t="s">
        <v>18103</v>
      </c>
      <c r="C215" s="44"/>
      <c r="D215" s="42" t="s">
        <v>5247</v>
      </c>
      <c r="E215" s="41" t="s">
        <v>18535</v>
      </c>
      <c r="F215" s="41" t="s">
        <v>18359</v>
      </c>
      <c r="G215" s="43" t="s">
        <v>381</v>
      </c>
      <c r="H215" s="54" t="s">
        <v>379</v>
      </c>
    </row>
    <row r="216" spans="1:8" ht="13" x14ac:dyDescent="0.3">
      <c r="A216" s="40" t="s">
        <v>17671</v>
      </c>
      <c r="B216" s="41" t="s">
        <v>11020</v>
      </c>
      <c r="C216" s="41" t="s">
        <v>11021</v>
      </c>
      <c r="D216" s="42" t="s">
        <v>11022</v>
      </c>
      <c r="E216" s="41" t="s">
        <v>11023</v>
      </c>
      <c r="F216" s="41" t="s">
        <v>9014</v>
      </c>
      <c r="G216" s="43" t="s">
        <v>369</v>
      </c>
      <c r="H216" s="54" t="s">
        <v>84</v>
      </c>
    </row>
    <row r="217" spans="1:8" ht="13" x14ac:dyDescent="0.3">
      <c r="A217" s="40" t="s">
        <v>17779</v>
      </c>
      <c r="B217" s="41" t="s">
        <v>4771</v>
      </c>
      <c r="C217" s="41" t="s">
        <v>4772</v>
      </c>
      <c r="D217" s="42" t="s">
        <v>4773</v>
      </c>
      <c r="E217" s="41" t="s">
        <v>4774</v>
      </c>
      <c r="F217" s="41" t="s">
        <v>4775</v>
      </c>
      <c r="G217" s="43" t="s">
        <v>231</v>
      </c>
      <c r="H217" s="54" t="s">
        <v>51</v>
      </c>
    </row>
    <row r="218" spans="1:8" ht="13" x14ac:dyDescent="0.3">
      <c r="A218" s="40" t="s">
        <v>7402</v>
      </c>
      <c r="B218" s="41" t="s">
        <v>18104</v>
      </c>
      <c r="C218" s="41" t="s">
        <v>7404</v>
      </c>
      <c r="D218" s="42" t="s">
        <v>7405</v>
      </c>
      <c r="E218" s="41" t="s">
        <v>7406</v>
      </c>
      <c r="F218" s="41" t="s">
        <v>7407</v>
      </c>
      <c r="G218" s="43" t="s">
        <v>626</v>
      </c>
      <c r="H218" s="54" t="s">
        <v>70</v>
      </c>
    </row>
    <row r="219" spans="1:8" ht="13" x14ac:dyDescent="0.3">
      <c r="A219" s="40" t="s">
        <v>6435</v>
      </c>
      <c r="B219" s="41" t="s">
        <v>18105</v>
      </c>
      <c r="C219" s="41" t="s">
        <v>6438</v>
      </c>
      <c r="D219" s="42" t="s">
        <v>6439</v>
      </c>
      <c r="E219" s="41" t="s">
        <v>18536</v>
      </c>
      <c r="F219" s="41" t="s">
        <v>6441</v>
      </c>
      <c r="G219" s="43" t="s">
        <v>626</v>
      </c>
      <c r="H219" s="54" t="s">
        <v>70</v>
      </c>
    </row>
    <row r="220" spans="1:8" ht="13" x14ac:dyDescent="0.3">
      <c r="A220" s="40" t="s">
        <v>4669</v>
      </c>
      <c r="B220" s="41" t="s">
        <v>4670</v>
      </c>
      <c r="C220" s="44"/>
      <c r="D220" s="42" t="s">
        <v>13125</v>
      </c>
      <c r="E220" s="41" t="s">
        <v>18537</v>
      </c>
      <c r="F220" s="41" t="s">
        <v>4672</v>
      </c>
      <c r="G220" s="43" t="s">
        <v>4597</v>
      </c>
      <c r="H220" s="54" t="s">
        <v>84</v>
      </c>
    </row>
    <row r="221" spans="1:8" ht="13" x14ac:dyDescent="0.3">
      <c r="A221" s="40" t="s">
        <v>17788</v>
      </c>
      <c r="B221" s="41" t="s">
        <v>8194</v>
      </c>
      <c r="C221" s="41" t="s">
        <v>8195</v>
      </c>
      <c r="D221" s="42" t="s">
        <v>8196</v>
      </c>
      <c r="E221" s="41" t="s">
        <v>8197</v>
      </c>
      <c r="F221" s="41" t="s">
        <v>8198</v>
      </c>
      <c r="G221" s="43" t="s">
        <v>409</v>
      </c>
      <c r="H221" s="54" t="s">
        <v>407</v>
      </c>
    </row>
    <row r="222" spans="1:8" ht="13" x14ac:dyDescent="0.3">
      <c r="A222" s="40" t="s">
        <v>1376</v>
      </c>
      <c r="B222" s="41" t="s">
        <v>18106</v>
      </c>
      <c r="C222" s="41" t="s">
        <v>1379</v>
      </c>
      <c r="D222" s="42" t="s">
        <v>12039</v>
      </c>
      <c r="E222" s="41" t="s">
        <v>12038</v>
      </c>
      <c r="F222" s="41" t="s">
        <v>18360</v>
      </c>
      <c r="G222" s="43" t="s">
        <v>12040</v>
      </c>
      <c r="H222" s="54" t="s">
        <v>1381</v>
      </c>
    </row>
    <row r="223" spans="1:8" ht="13" x14ac:dyDescent="0.3">
      <c r="A223" s="40" t="s">
        <v>17680</v>
      </c>
      <c r="B223" s="41" t="s">
        <v>18107</v>
      </c>
      <c r="C223" s="41" t="s">
        <v>11176</v>
      </c>
      <c r="D223" s="42" t="s">
        <v>11177</v>
      </c>
      <c r="E223" s="41" t="s">
        <v>18538</v>
      </c>
      <c r="F223" s="41" t="s">
        <v>4515</v>
      </c>
      <c r="G223" s="43" t="s">
        <v>4516</v>
      </c>
      <c r="H223" s="54" t="s">
        <v>84</v>
      </c>
    </row>
    <row r="224" spans="1:8" ht="13" x14ac:dyDescent="0.3">
      <c r="A224" s="40" t="s">
        <v>17538</v>
      </c>
      <c r="B224" s="41" t="s">
        <v>3838</v>
      </c>
      <c r="C224" s="41" t="s">
        <v>3839</v>
      </c>
      <c r="D224" s="45"/>
      <c r="E224" s="41" t="s">
        <v>18539</v>
      </c>
      <c r="F224" s="41" t="s">
        <v>3841</v>
      </c>
      <c r="G224" s="43" t="s">
        <v>409</v>
      </c>
      <c r="H224" s="54" t="s">
        <v>407</v>
      </c>
    </row>
    <row r="225" spans="1:8" ht="13" x14ac:dyDescent="0.3">
      <c r="A225" s="40" t="s">
        <v>17532</v>
      </c>
      <c r="B225" s="41" t="s">
        <v>18108</v>
      </c>
      <c r="C225" s="41" t="s">
        <v>3761</v>
      </c>
      <c r="D225" s="42" t="s">
        <v>3762</v>
      </c>
      <c r="E225" s="41" t="s">
        <v>18503</v>
      </c>
      <c r="F225" s="41" t="s">
        <v>3764</v>
      </c>
      <c r="G225" s="43" t="s">
        <v>470</v>
      </c>
      <c r="H225" s="54" t="s">
        <v>468</v>
      </c>
    </row>
    <row r="226" spans="1:8" ht="13" x14ac:dyDescent="0.3">
      <c r="A226" s="40" t="s">
        <v>17617</v>
      </c>
      <c r="B226" s="41" t="s">
        <v>10128</v>
      </c>
      <c r="C226" s="41" t="s">
        <v>10129</v>
      </c>
      <c r="D226" s="42" t="s">
        <v>10130</v>
      </c>
      <c r="E226" s="41" t="s">
        <v>18540</v>
      </c>
      <c r="F226" s="41" t="s">
        <v>18361</v>
      </c>
      <c r="G226" s="43" t="s">
        <v>381</v>
      </c>
      <c r="H226" s="54" t="s">
        <v>379</v>
      </c>
    </row>
    <row r="227" spans="1:8" ht="13" x14ac:dyDescent="0.3">
      <c r="A227" s="40" t="s">
        <v>17869</v>
      </c>
      <c r="B227" s="41" t="s">
        <v>18109</v>
      </c>
      <c r="C227" s="41" t="s">
        <v>5657</v>
      </c>
      <c r="D227" s="42" t="s">
        <v>5658</v>
      </c>
      <c r="E227" s="41" t="s">
        <v>18541</v>
      </c>
      <c r="F227" s="41" t="s">
        <v>2195</v>
      </c>
      <c r="G227" s="43" t="s">
        <v>18289</v>
      </c>
      <c r="H227" s="54" t="s">
        <v>1381</v>
      </c>
    </row>
    <row r="228" spans="1:8" ht="13" x14ac:dyDescent="0.3">
      <c r="A228" s="40" t="s">
        <v>17760</v>
      </c>
      <c r="B228" s="41" t="s">
        <v>18110</v>
      </c>
      <c r="C228" s="41" t="s">
        <v>8617</v>
      </c>
      <c r="D228" s="42" t="s">
        <v>8618</v>
      </c>
      <c r="E228" s="41" t="s">
        <v>18542</v>
      </c>
      <c r="F228" s="41" t="s">
        <v>8620</v>
      </c>
      <c r="G228" s="43" t="s">
        <v>8621</v>
      </c>
      <c r="H228" s="54" t="s">
        <v>557</v>
      </c>
    </row>
    <row r="229" spans="1:8" ht="13" x14ac:dyDescent="0.3">
      <c r="A229" s="40" t="s">
        <v>5469</v>
      </c>
      <c r="B229" s="41" t="s">
        <v>5470</v>
      </c>
      <c r="C229" s="41" t="s">
        <v>5471</v>
      </c>
      <c r="D229" s="42" t="s">
        <v>5472</v>
      </c>
      <c r="E229" s="41" t="s">
        <v>18543</v>
      </c>
      <c r="F229" s="41" t="s">
        <v>5474</v>
      </c>
      <c r="G229" s="43" t="s">
        <v>248</v>
      </c>
      <c r="H229" s="54" t="s">
        <v>246</v>
      </c>
    </row>
    <row r="230" spans="1:8" ht="13" x14ac:dyDescent="0.3">
      <c r="A230" s="40" t="s">
        <v>17750</v>
      </c>
      <c r="B230" s="41" t="s">
        <v>18111</v>
      </c>
      <c r="C230" s="41" t="s">
        <v>4919</v>
      </c>
      <c r="D230" s="42" t="s">
        <v>4920</v>
      </c>
      <c r="E230" s="41" t="s">
        <v>4921</v>
      </c>
      <c r="F230" s="41" t="s">
        <v>4922</v>
      </c>
      <c r="G230" s="43" t="s">
        <v>470</v>
      </c>
      <c r="H230" s="54" t="s">
        <v>468</v>
      </c>
    </row>
    <row r="231" spans="1:8" ht="13" x14ac:dyDescent="0.3">
      <c r="A231" s="40" t="s">
        <v>17638</v>
      </c>
      <c r="B231" s="41" t="s">
        <v>10458</v>
      </c>
      <c r="C231" s="41" t="s">
        <v>10459</v>
      </c>
      <c r="D231" s="42" t="s">
        <v>10460</v>
      </c>
      <c r="E231" s="41" t="s">
        <v>10461</v>
      </c>
      <c r="F231" s="41" t="s">
        <v>10462</v>
      </c>
      <c r="G231" s="43" t="s">
        <v>4861</v>
      </c>
      <c r="H231" s="54" t="s">
        <v>101</v>
      </c>
    </row>
    <row r="232" spans="1:8" ht="13" x14ac:dyDescent="0.3">
      <c r="A232" s="40" t="s">
        <v>9432</v>
      </c>
      <c r="B232" s="41" t="s">
        <v>18112</v>
      </c>
      <c r="C232" s="41" t="s">
        <v>9435</v>
      </c>
      <c r="D232" s="42" t="s">
        <v>17429</v>
      </c>
      <c r="E232" s="41" t="s">
        <v>18544</v>
      </c>
      <c r="F232" s="41" t="s">
        <v>9438</v>
      </c>
      <c r="G232" s="43" t="s">
        <v>9439</v>
      </c>
      <c r="H232" s="54" t="s">
        <v>70</v>
      </c>
    </row>
    <row r="233" spans="1:8" ht="13" x14ac:dyDescent="0.3">
      <c r="A233" s="40" t="s">
        <v>17841</v>
      </c>
      <c r="B233" s="41" t="s">
        <v>6761</v>
      </c>
      <c r="C233" s="41" t="s">
        <v>6762</v>
      </c>
      <c r="D233" s="42" t="s">
        <v>6763</v>
      </c>
      <c r="E233" s="41" t="s">
        <v>6764</v>
      </c>
      <c r="F233" s="41" t="s">
        <v>6765</v>
      </c>
      <c r="G233" s="43" t="s">
        <v>2217</v>
      </c>
      <c r="H233" s="54" t="s">
        <v>1676</v>
      </c>
    </row>
    <row r="234" spans="1:8" ht="13" x14ac:dyDescent="0.3">
      <c r="A234" s="40" t="s">
        <v>17546</v>
      </c>
      <c r="B234" s="41" t="s">
        <v>18113</v>
      </c>
      <c r="C234" s="41" t="s">
        <v>8999</v>
      </c>
      <c r="D234" s="42" t="s">
        <v>9000</v>
      </c>
      <c r="E234" s="41" t="s">
        <v>9001</v>
      </c>
      <c r="F234" s="41" t="s">
        <v>1959</v>
      </c>
      <c r="G234" s="43" t="s">
        <v>2217</v>
      </c>
      <c r="H234" s="54" t="s">
        <v>1676</v>
      </c>
    </row>
    <row r="235" spans="1:8" ht="13" x14ac:dyDescent="0.3">
      <c r="A235" s="40" t="s">
        <v>17735</v>
      </c>
      <c r="B235" s="41" t="s">
        <v>18114</v>
      </c>
      <c r="C235" s="41" t="s">
        <v>5615</v>
      </c>
      <c r="D235" s="42" t="s">
        <v>5616</v>
      </c>
      <c r="E235" s="41" t="s">
        <v>5617</v>
      </c>
      <c r="F235" s="41" t="s">
        <v>5318</v>
      </c>
      <c r="G235" s="43" t="s">
        <v>470</v>
      </c>
      <c r="H235" s="54" t="s">
        <v>468</v>
      </c>
    </row>
    <row r="236" spans="1:8" ht="13" x14ac:dyDescent="0.3">
      <c r="A236" s="40" t="s">
        <v>17806</v>
      </c>
      <c r="B236" s="41" t="s">
        <v>3850</v>
      </c>
      <c r="C236" s="41" t="s">
        <v>3851</v>
      </c>
      <c r="D236" s="42" t="s">
        <v>3852</v>
      </c>
      <c r="E236" s="41" t="s">
        <v>3853</v>
      </c>
      <c r="F236" s="41" t="s">
        <v>18362</v>
      </c>
      <c r="G236" s="43" t="s">
        <v>1848</v>
      </c>
      <c r="H236" s="54" t="s">
        <v>1002</v>
      </c>
    </row>
    <row r="237" spans="1:8" ht="13" x14ac:dyDescent="0.3">
      <c r="A237" s="40" t="s">
        <v>17810</v>
      </c>
      <c r="B237" s="41" t="s">
        <v>18115</v>
      </c>
      <c r="C237" s="41" t="s">
        <v>4250</v>
      </c>
      <c r="D237" s="42" t="s">
        <v>4251</v>
      </c>
      <c r="E237" s="41" t="s">
        <v>4252</v>
      </c>
      <c r="F237" s="41" t="s">
        <v>18363</v>
      </c>
      <c r="G237" s="43" t="s">
        <v>470</v>
      </c>
      <c r="H237" s="54" t="s">
        <v>468</v>
      </c>
    </row>
    <row r="238" spans="1:8" ht="13" x14ac:dyDescent="0.3">
      <c r="A238" s="40" t="s">
        <v>17849</v>
      </c>
      <c r="B238" s="41" t="s">
        <v>18116</v>
      </c>
      <c r="C238" s="41" t="s">
        <v>4340</v>
      </c>
      <c r="D238" s="42" t="s">
        <v>4341</v>
      </c>
      <c r="E238" s="41" t="s">
        <v>4342</v>
      </c>
      <c r="F238" s="41" t="s">
        <v>18364</v>
      </c>
      <c r="G238" s="43" t="s">
        <v>470</v>
      </c>
      <c r="H238" s="54" t="s">
        <v>468</v>
      </c>
    </row>
    <row r="239" spans="1:8" ht="13" x14ac:dyDescent="0.3">
      <c r="A239" s="40" t="s">
        <v>4531</v>
      </c>
      <c r="B239" s="41" t="s">
        <v>4534</v>
      </c>
      <c r="C239" s="41" t="s">
        <v>17430</v>
      </c>
      <c r="D239" s="42" t="s">
        <v>4536</v>
      </c>
      <c r="E239" s="41" t="s">
        <v>18545</v>
      </c>
      <c r="F239" s="41" t="s">
        <v>4538</v>
      </c>
      <c r="G239" s="43" t="s">
        <v>4539</v>
      </c>
      <c r="H239" s="54" t="s">
        <v>84</v>
      </c>
    </row>
    <row r="240" spans="1:8" ht="13" x14ac:dyDescent="0.3">
      <c r="A240" s="40" t="s">
        <v>17773</v>
      </c>
      <c r="B240" s="41" t="s">
        <v>18117</v>
      </c>
      <c r="C240" s="41" t="s">
        <v>4800</v>
      </c>
      <c r="D240" s="42" t="s">
        <v>4801</v>
      </c>
      <c r="E240" s="41" t="s">
        <v>18546</v>
      </c>
      <c r="F240" s="41" t="s">
        <v>13208</v>
      </c>
      <c r="G240" s="43" t="s">
        <v>18290</v>
      </c>
      <c r="H240" s="54" t="s">
        <v>1002</v>
      </c>
    </row>
    <row r="241" spans="1:8" ht="13" x14ac:dyDescent="0.3">
      <c r="A241" s="40" t="s">
        <v>17550</v>
      </c>
      <c r="B241" s="41" t="s">
        <v>18118</v>
      </c>
      <c r="C241" s="41" t="s">
        <v>9047</v>
      </c>
      <c r="D241" s="42" t="s">
        <v>15344</v>
      </c>
      <c r="E241" s="41" t="s">
        <v>18547</v>
      </c>
      <c r="F241" s="41" t="s">
        <v>9050</v>
      </c>
      <c r="G241" s="43" t="s">
        <v>7226</v>
      </c>
      <c r="H241" s="54" t="s">
        <v>379</v>
      </c>
    </row>
    <row r="242" spans="1:8" ht="13" x14ac:dyDescent="0.3">
      <c r="A242" s="40" t="s">
        <v>17800</v>
      </c>
      <c r="B242" s="41" t="s">
        <v>18119</v>
      </c>
      <c r="C242" s="41" t="s">
        <v>5526</v>
      </c>
      <c r="D242" s="42" t="s">
        <v>5527</v>
      </c>
      <c r="E242" s="41" t="s">
        <v>5528</v>
      </c>
      <c r="F242" s="41" t="s">
        <v>5529</v>
      </c>
      <c r="G242" s="43" t="s">
        <v>470</v>
      </c>
      <c r="H242" s="54" t="s">
        <v>468</v>
      </c>
    </row>
    <row r="243" spans="1:8" ht="13" x14ac:dyDescent="0.3">
      <c r="A243" s="40" t="s">
        <v>6120</v>
      </c>
      <c r="B243" s="41" t="s">
        <v>18120</v>
      </c>
      <c r="C243" s="41" t="s">
        <v>6124</v>
      </c>
      <c r="D243" s="42" t="s">
        <v>6125</v>
      </c>
      <c r="E243" s="41" t="s">
        <v>13863</v>
      </c>
      <c r="F243" s="41" t="s">
        <v>13864</v>
      </c>
      <c r="G243" s="43" t="s">
        <v>177</v>
      </c>
      <c r="H243" s="54" t="s">
        <v>84</v>
      </c>
    </row>
    <row r="244" spans="1:8" ht="13" x14ac:dyDescent="0.3">
      <c r="A244" s="40" t="s">
        <v>4855</v>
      </c>
      <c r="B244" s="41" t="s">
        <v>18121</v>
      </c>
      <c r="C244" s="41" t="s">
        <v>4858</v>
      </c>
      <c r="D244" s="42" t="s">
        <v>4859</v>
      </c>
      <c r="E244" s="41" t="s">
        <v>18548</v>
      </c>
      <c r="F244" s="41" t="s">
        <v>4861</v>
      </c>
      <c r="G244" s="43" t="s">
        <v>1848</v>
      </c>
      <c r="H244" s="54" t="s">
        <v>1002</v>
      </c>
    </row>
    <row r="245" spans="1:8" ht="13" x14ac:dyDescent="0.3">
      <c r="A245" s="40" t="s">
        <v>5980</v>
      </c>
      <c r="B245" s="41" t="s">
        <v>5982</v>
      </c>
      <c r="C245" s="41" t="s">
        <v>5983</v>
      </c>
      <c r="D245" s="42" t="s">
        <v>5984</v>
      </c>
      <c r="E245" s="41" t="s">
        <v>5985</v>
      </c>
      <c r="F245" s="41" t="s">
        <v>5986</v>
      </c>
      <c r="G245" s="43" t="s">
        <v>18291</v>
      </c>
      <c r="H245" s="54" t="s">
        <v>379</v>
      </c>
    </row>
    <row r="246" spans="1:8" ht="13" x14ac:dyDescent="0.3">
      <c r="A246" s="40" t="s">
        <v>17765</v>
      </c>
      <c r="B246" s="41" t="s">
        <v>18122</v>
      </c>
      <c r="C246" s="41" t="s">
        <v>4149</v>
      </c>
      <c r="D246" s="42" t="s">
        <v>4150</v>
      </c>
      <c r="E246" s="41" t="s">
        <v>4151</v>
      </c>
      <c r="F246" s="41" t="s">
        <v>12898</v>
      </c>
      <c r="G246" s="43" t="s">
        <v>470</v>
      </c>
      <c r="H246" s="54" t="s">
        <v>468</v>
      </c>
    </row>
    <row r="247" spans="1:8" ht="13" x14ac:dyDescent="0.3">
      <c r="A247" s="40" t="s">
        <v>17652</v>
      </c>
      <c r="B247" s="41" t="s">
        <v>10703</v>
      </c>
      <c r="C247" s="41" t="s">
        <v>10704</v>
      </c>
      <c r="D247" s="42" t="s">
        <v>10705</v>
      </c>
      <c r="E247" s="41" t="s">
        <v>10706</v>
      </c>
      <c r="F247" s="41" t="s">
        <v>16329</v>
      </c>
      <c r="G247" s="43" t="s">
        <v>10708</v>
      </c>
      <c r="H247" s="54" t="s">
        <v>101</v>
      </c>
    </row>
    <row r="248" spans="1:8" ht="13" x14ac:dyDescent="0.3">
      <c r="A248" s="40" t="s">
        <v>7560</v>
      </c>
      <c r="B248" s="41" t="s">
        <v>7562</v>
      </c>
      <c r="C248" s="41" t="s">
        <v>7563</v>
      </c>
      <c r="D248" s="42" t="s">
        <v>623</v>
      </c>
      <c r="E248" s="41" t="s">
        <v>18549</v>
      </c>
      <c r="F248" s="41" t="s">
        <v>18365</v>
      </c>
      <c r="G248" s="43" t="s">
        <v>409</v>
      </c>
      <c r="H248" s="54" t="s">
        <v>407</v>
      </c>
    </row>
    <row r="249" spans="1:8" ht="13" x14ac:dyDescent="0.3">
      <c r="A249" s="40" t="s">
        <v>9493</v>
      </c>
      <c r="B249" s="41" t="s">
        <v>18123</v>
      </c>
      <c r="C249" s="41"/>
      <c r="D249" s="42" t="s">
        <v>9495</v>
      </c>
      <c r="E249" s="41" t="s">
        <v>9496</v>
      </c>
      <c r="F249" s="41" t="s">
        <v>9497</v>
      </c>
      <c r="G249" s="43" t="s">
        <v>626</v>
      </c>
      <c r="H249" s="54" t="s">
        <v>70</v>
      </c>
    </row>
    <row r="250" spans="1:8" ht="13" x14ac:dyDescent="0.3">
      <c r="A250" s="40" t="s">
        <v>17646</v>
      </c>
      <c r="B250" s="41" t="s">
        <v>10654</v>
      </c>
      <c r="C250" s="41" t="s">
        <v>10655</v>
      </c>
      <c r="D250" s="42" t="s">
        <v>10656</v>
      </c>
      <c r="E250" s="41" t="s">
        <v>10657</v>
      </c>
      <c r="F250" s="41" t="s">
        <v>10658</v>
      </c>
      <c r="G250" s="43" t="s">
        <v>7583</v>
      </c>
      <c r="H250" s="54" t="s">
        <v>6781</v>
      </c>
    </row>
    <row r="251" spans="1:8" ht="13" x14ac:dyDescent="0.3">
      <c r="A251" s="40" t="s">
        <v>5826</v>
      </c>
      <c r="B251" s="41" t="s">
        <v>5828</v>
      </c>
      <c r="C251" s="41" t="s">
        <v>5829</v>
      </c>
      <c r="D251" s="42" t="s">
        <v>5830</v>
      </c>
      <c r="E251" s="41" t="s">
        <v>18550</v>
      </c>
      <c r="F251" s="41" t="s">
        <v>5831</v>
      </c>
      <c r="G251" s="43" t="s">
        <v>789</v>
      </c>
      <c r="H251" s="54" t="s">
        <v>295</v>
      </c>
    </row>
    <row r="252" spans="1:8" ht="13" x14ac:dyDescent="0.3">
      <c r="A252" s="40" t="s">
        <v>17819</v>
      </c>
      <c r="B252" s="41" t="s">
        <v>5948</v>
      </c>
      <c r="C252" s="41" t="s">
        <v>5950</v>
      </c>
      <c r="D252" s="42" t="s">
        <v>5951</v>
      </c>
      <c r="E252" s="41" t="s">
        <v>5952</v>
      </c>
      <c r="F252" s="41" t="s">
        <v>5290</v>
      </c>
      <c r="G252" s="43" t="s">
        <v>381</v>
      </c>
      <c r="H252" s="54" t="s">
        <v>379</v>
      </c>
    </row>
    <row r="253" spans="1:8" ht="13" x14ac:dyDescent="0.3">
      <c r="A253" s="40" t="s">
        <v>17545</v>
      </c>
      <c r="B253" s="41" t="s">
        <v>8966</v>
      </c>
      <c r="C253" s="41" t="s">
        <v>8967</v>
      </c>
      <c r="D253" s="42" t="s">
        <v>15296</v>
      </c>
      <c r="E253" s="41" t="s">
        <v>8969</v>
      </c>
      <c r="F253" s="41" t="s">
        <v>8970</v>
      </c>
      <c r="G253" s="43" t="s">
        <v>381</v>
      </c>
      <c r="H253" s="54" t="s">
        <v>379</v>
      </c>
    </row>
    <row r="254" spans="1:8" ht="13" x14ac:dyDescent="0.3">
      <c r="A254" s="40" t="s">
        <v>7109</v>
      </c>
      <c r="B254" s="41" t="s">
        <v>7110</v>
      </c>
      <c r="C254" s="41"/>
      <c r="D254" s="42"/>
      <c r="E254" s="41" t="s">
        <v>18551</v>
      </c>
      <c r="F254" s="41" t="s">
        <v>7112</v>
      </c>
      <c r="G254" s="43" t="s">
        <v>128</v>
      </c>
      <c r="H254" s="54" t="s">
        <v>101</v>
      </c>
    </row>
    <row r="255" spans="1:8" ht="13" x14ac:dyDescent="0.3">
      <c r="A255" s="40" t="s">
        <v>7271</v>
      </c>
      <c r="B255" s="41" t="s">
        <v>18124</v>
      </c>
      <c r="C255" s="41" t="s">
        <v>7273</v>
      </c>
      <c r="D255" s="42" t="s">
        <v>7274</v>
      </c>
      <c r="E255" s="41" t="s">
        <v>7275</v>
      </c>
      <c r="F255" s="41" t="s">
        <v>7276</v>
      </c>
      <c r="G255" s="43" t="s">
        <v>7277</v>
      </c>
      <c r="H255" s="54" t="s">
        <v>70</v>
      </c>
    </row>
    <row r="256" spans="1:8" ht="13" x14ac:dyDescent="0.3">
      <c r="A256" s="40" t="s">
        <v>8464</v>
      </c>
      <c r="B256" s="41" t="s">
        <v>18125</v>
      </c>
      <c r="C256" s="41" t="s">
        <v>8467</v>
      </c>
      <c r="D256" s="42" t="s">
        <v>8468</v>
      </c>
      <c r="E256" s="41" t="s">
        <v>8469</v>
      </c>
      <c r="F256" s="41" t="s">
        <v>647</v>
      </c>
      <c r="G256" s="43" t="s">
        <v>8470</v>
      </c>
      <c r="H256" s="54" t="s">
        <v>407</v>
      </c>
    </row>
    <row r="257" spans="1:8" ht="13" x14ac:dyDescent="0.3">
      <c r="A257" s="40" t="s">
        <v>7788</v>
      </c>
      <c r="B257" s="41" t="s">
        <v>18126</v>
      </c>
      <c r="C257" s="41" t="s">
        <v>7792</v>
      </c>
      <c r="D257" s="42" t="s">
        <v>7793</v>
      </c>
      <c r="E257" s="41" t="s">
        <v>7794</v>
      </c>
      <c r="F257" s="41" t="s">
        <v>7795</v>
      </c>
      <c r="G257" s="43" t="s">
        <v>128</v>
      </c>
      <c r="H257" s="54" t="s">
        <v>101</v>
      </c>
    </row>
    <row r="258" spans="1:8" ht="13" x14ac:dyDescent="0.3">
      <c r="A258" s="40" t="s">
        <v>17764</v>
      </c>
      <c r="B258" s="41" t="s">
        <v>7890</v>
      </c>
      <c r="C258" s="41" t="s">
        <v>6438</v>
      </c>
      <c r="D258" s="42"/>
      <c r="E258" s="41" t="s">
        <v>18536</v>
      </c>
      <c r="F258" s="41" t="s">
        <v>6441</v>
      </c>
      <c r="G258" s="43" t="s">
        <v>626</v>
      </c>
      <c r="H258" s="54" t="s">
        <v>70</v>
      </c>
    </row>
    <row r="259" spans="1:8" ht="13" x14ac:dyDescent="0.3">
      <c r="A259" s="40" t="s">
        <v>17611</v>
      </c>
      <c r="B259" s="41" t="s">
        <v>10041</v>
      </c>
      <c r="C259" s="41" t="s">
        <v>10042</v>
      </c>
      <c r="D259" s="42" t="s">
        <v>10043</v>
      </c>
      <c r="E259" s="41" t="s">
        <v>10044</v>
      </c>
      <c r="F259" s="41" t="s">
        <v>18366</v>
      </c>
      <c r="G259" s="43" t="s">
        <v>128</v>
      </c>
      <c r="H259" s="54" t="s">
        <v>101</v>
      </c>
    </row>
    <row r="260" spans="1:8" ht="13" x14ac:dyDescent="0.3">
      <c r="A260" s="40" t="s">
        <v>8125</v>
      </c>
      <c r="B260" s="41" t="s">
        <v>8126</v>
      </c>
      <c r="C260" s="41" t="s">
        <v>8127</v>
      </c>
      <c r="D260" s="42" t="s">
        <v>8128</v>
      </c>
      <c r="E260" s="41" t="s">
        <v>8129</v>
      </c>
      <c r="F260" s="41" t="s">
        <v>8130</v>
      </c>
      <c r="G260" s="43" t="s">
        <v>8131</v>
      </c>
      <c r="H260" s="54" t="s">
        <v>557</v>
      </c>
    </row>
    <row r="261" spans="1:8" ht="13" x14ac:dyDescent="0.3">
      <c r="A261" s="40" t="s">
        <v>5134</v>
      </c>
      <c r="B261" s="41" t="s">
        <v>18127</v>
      </c>
      <c r="C261" s="41" t="s">
        <v>5137</v>
      </c>
      <c r="D261" s="42" t="s">
        <v>5138</v>
      </c>
      <c r="E261" s="41" t="s">
        <v>18552</v>
      </c>
      <c r="F261" s="41" t="s">
        <v>5140</v>
      </c>
      <c r="G261" s="43" t="s">
        <v>5141</v>
      </c>
      <c r="H261" s="54" t="s">
        <v>1002</v>
      </c>
    </row>
    <row r="262" spans="1:8" ht="13" x14ac:dyDescent="0.3">
      <c r="A262" s="40" t="s">
        <v>17622</v>
      </c>
      <c r="B262" s="41" t="s">
        <v>18128</v>
      </c>
      <c r="C262" s="41" t="s">
        <v>10202</v>
      </c>
      <c r="D262" s="42" t="s">
        <v>10203</v>
      </c>
      <c r="E262" s="41" t="s">
        <v>10204</v>
      </c>
      <c r="F262" s="41" t="s">
        <v>10205</v>
      </c>
      <c r="G262" s="43" t="s">
        <v>891</v>
      </c>
      <c r="H262" s="54" t="s">
        <v>101</v>
      </c>
    </row>
    <row r="263" spans="1:8" ht="13" x14ac:dyDescent="0.3">
      <c r="A263" s="40" t="s">
        <v>2439</v>
      </c>
      <c r="B263" s="41" t="s">
        <v>2442</v>
      </c>
      <c r="C263" s="41" t="s">
        <v>2443</v>
      </c>
      <c r="D263" s="42" t="s">
        <v>3702</v>
      </c>
      <c r="E263" s="41" t="s">
        <v>18553</v>
      </c>
      <c r="F263" s="41" t="s">
        <v>2062</v>
      </c>
      <c r="G263" s="43" t="s">
        <v>626</v>
      </c>
      <c r="H263" s="54" t="s">
        <v>70</v>
      </c>
    </row>
    <row r="264" spans="1:8" ht="13" x14ac:dyDescent="0.3">
      <c r="A264" s="40" t="s">
        <v>1935</v>
      </c>
      <c r="B264" s="41" t="s">
        <v>1938</v>
      </c>
      <c r="C264" s="41" t="s">
        <v>1939</v>
      </c>
      <c r="D264" s="42" t="s">
        <v>12301</v>
      </c>
      <c r="E264" s="41" t="s">
        <v>18554</v>
      </c>
      <c r="F264" s="41" t="s">
        <v>18367</v>
      </c>
      <c r="G264" s="43" t="s">
        <v>177</v>
      </c>
      <c r="H264" s="54" t="s">
        <v>84</v>
      </c>
    </row>
    <row r="265" spans="1:8" ht="13" x14ac:dyDescent="0.3">
      <c r="A265" s="40" t="s">
        <v>17672</v>
      </c>
      <c r="B265" s="41" t="s">
        <v>18129</v>
      </c>
      <c r="C265" s="41" t="s">
        <v>11035</v>
      </c>
      <c r="D265" s="42" t="s">
        <v>11036</v>
      </c>
      <c r="E265" s="41" t="s">
        <v>18555</v>
      </c>
      <c r="F265" s="41" t="s">
        <v>18368</v>
      </c>
      <c r="G265" s="43" t="s">
        <v>177</v>
      </c>
      <c r="H265" s="54" t="s">
        <v>84</v>
      </c>
    </row>
    <row r="266" spans="1:8" ht="13" x14ac:dyDescent="0.3">
      <c r="A266" s="40" t="s">
        <v>17900</v>
      </c>
      <c r="B266" s="41" t="s">
        <v>7309</v>
      </c>
      <c r="C266" s="41" t="s">
        <v>7310</v>
      </c>
      <c r="D266" s="42" t="s">
        <v>18714</v>
      </c>
      <c r="E266" s="41" t="s">
        <v>7311</v>
      </c>
      <c r="F266" s="41" t="s">
        <v>7312</v>
      </c>
      <c r="G266" s="43" t="s">
        <v>626</v>
      </c>
      <c r="H266" s="54" t="s">
        <v>70</v>
      </c>
    </row>
    <row r="267" spans="1:8" ht="13" x14ac:dyDescent="0.3">
      <c r="A267" s="40" t="s">
        <v>17715</v>
      </c>
      <c r="B267" s="41" t="s">
        <v>18130</v>
      </c>
      <c r="C267" s="41" t="s">
        <v>5302</v>
      </c>
      <c r="D267" s="42"/>
      <c r="E267" s="41" t="s">
        <v>18556</v>
      </c>
      <c r="F267" s="41" t="s">
        <v>5304</v>
      </c>
      <c r="G267" s="43" t="s">
        <v>5305</v>
      </c>
      <c r="H267" s="54" t="s">
        <v>379</v>
      </c>
    </row>
    <row r="268" spans="1:8" ht="13" x14ac:dyDescent="0.3">
      <c r="A268" s="40" t="s">
        <v>17741</v>
      </c>
      <c r="B268" s="41" t="s">
        <v>18131</v>
      </c>
      <c r="C268" s="41" t="s">
        <v>8004</v>
      </c>
      <c r="D268" s="42" t="s">
        <v>8005</v>
      </c>
      <c r="E268" s="41" t="s">
        <v>8006</v>
      </c>
      <c r="F268" s="41" t="s">
        <v>8007</v>
      </c>
      <c r="G268" s="43" t="s">
        <v>18278</v>
      </c>
      <c r="H268" s="54" t="s">
        <v>70</v>
      </c>
    </row>
    <row r="269" spans="1:8" ht="13" x14ac:dyDescent="0.3">
      <c r="A269" s="40" t="s">
        <v>732</v>
      </c>
      <c r="B269" s="41" t="s">
        <v>3740</v>
      </c>
      <c r="C269" s="41" t="s">
        <v>734</v>
      </c>
      <c r="D269" s="42" t="s">
        <v>11710</v>
      </c>
      <c r="E269" s="41" t="s">
        <v>18557</v>
      </c>
      <c r="F269" s="41" t="s">
        <v>3740</v>
      </c>
      <c r="G269" s="43" t="s">
        <v>626</v>
      </c>
      <c r="H269" s="54" t="s">
        <v>70</v>
      </c>
    </row>
    <row r="270" spans="1:8" ht="13" x14ac:dyDescent="0.3">
      <c r="A270" s="40" t="s">
        <v>17901</v>
      </c>
      <c r="B270" s="41" t="s">
        <v>62</v>
      </c>
      <c r="C270" s="41" t="s">
        <v>7355</v>
      </c>
      <c r="D270" s="42"/>
      <c r="E270" s="41" t="s">
        <v>18558</v>
      </c>
      <c r="F270" s="41" t="s">
        <v>7357</v>
      </c>
      <c r="G270" s="43" t="s">
        <v>626</v>
      </c>
      <c r="H270" s="54" t="s">
        <v>70</v>
      </c>
    </row>
    <row r="271" spans="1:8" ht="13" x14ac:dyDescent="0.3">
      <c r="A271" s="40" t="s">
        <v>17902</v>
      </c>
      <c r="B271" s="41" t="s">
        <v>18132</v>
      </c>
      <c r="C271" s="41" t="s">
        <v>4009</v>
      </c>
      <c r="D271" s="42">
        <v>84981202686</v>
      </c>
      <c r="E271" s="41" t="s">
        <v>18559</v>
      </c>
      <c r="F271" s="41" t="s">
        <v>4012</v>
      </c>
      <c r="G271" s="43" t="s">
        <v>7485</v>
      </c>
      <c r="H271" s="54" t="s">
        <v>195</v>
      </c>
    </row>
    <row r="272" spans="1:8" ht="13" x14ac:dyDescent="0.3">
      <c r="A272" s="40" t="s">
        <v>6307</v>
      </c>
      <c r="B272" s="41" t="s">
        <v>6309</v>
      </c>
      <c r="C272" s="41" t="s">
        <v>6310</v>
      </c>
      <c r="D272" s="42" t="s">
        <v>6311</v>
      </c>
      <c r="E272" s="41" t="s">
        <v>6312</v>
      </c>
      <c r="F272" s="41" t="s">
        <v>6313</v>
      </c>
      <c r="G272" s="43" t="s">
        <v>177</v>
      </c>
      <c r="H272" s="54" t="s">
        <v>84</v>
      </c>
    </row>
    <row r="273" spans="1:8" ht="13" x14ac:dyDescent="0.3">
      <c r="A273" s="40" t="s">
        <v>17472</v>
      </c>
      <c r="B273" s="41" t="s">
        <v>3740</v>
      </c>
      <c r="C273" s="41" t="s">
        <v>859</v>
      </c>
      <c r="D273" s="42" t="s">
        <v>11646</v>
      </c>
      <c r="E273" s="41" t="s">
        <v>11644</v>
      </c>
      <c r="F273" s="41" t="s">
        <v>18369</v>
      </c>
      <c r="G273" s="43" t="s">
        <v>266</v>
      </c>
      <c r="H273" s="54" t="s">
        <v>84</v>
      </c>
    </row>
    <row r="274" spans="1:8" ht="13" x14ac:dyDescent="0.3">
      <c r="A274" s="40" t="s">
        <v>17597</v>
      </c>
      <c r="B274" s="41" t="s">
        <v>9827</v>
      </c>
      <c r="C274" s="41" t="s">
        <v>9828</v>
      </c>
      <c r="D274" s="42" t="s">
        <v>15820</v>
      </c>
      <c r="E274" s="41" t="s">
        <v>18560</v>
      </c>
      <c r="F274" s="41" t="s">
        <v>18370</v>
      </c>
      <c r="G274" s="43" t="s">
        <v>789</v>
      </c>
      <c r="H274" s="54" t="s">
        <v>295</v>
      </c>
    </row>
    <row r="275" spans="1:8" ht="13" x14ac:dyDescent="0.3">
      <c r="A275" s="40" t="s">
        <v>17587</v>
      </c>
      <c r="B275" s="41" t="s">
        <v>18133</v>
      </c>
      <c r="C275" s="41" t="s">
        <v>9667</v>
      </c>
      <c r="D275" s="42" t="s">
        <v>9668</v>
      </c>
      <c r="E275" s="41" t="s">
        <v>18561</v>
      </c>
      <c r="F275" s="41" t="s">
        <v>9669</v>
      </c>
      <c r="G275" s="43" t="s">
        <v>18278</v>
      </c>
      <c r="H275" s="54" t="s">
        <v>70</v>
      </c>
    </row>
    <row r="276" spans="1:8" ht="13" x14ac:dyDescent="0.3">
      <c r="A276" s="40" t="s">
        <v>17643</v>
      </c>
      <c r="B276" s="41" t="s">
        <v>10603</v>
      </c>
      <c r="C276" s="41" t="s">
        <v>10604</v>
      </c>
      <c r="D276" s="42" t="s">
        <v>18713</v>
      </c>
      <c r="E276" s="41" t="s">
        <v>10605</v>
      </c>
      <c r="F276" s="41" t="s">
        <v>18371</v>
      </c>
      <c r="G276" s="43" t="s">
        <v>128</v>
      </c>
      <c r="H276" s="54" t="s">
        <v>101</v>
      </c>
    </row>
    <row r="277" spans="1:8" ht="13" x14ac:dyDescent="0.3">
      <c r="A277" s="40" t="s">
        <v>17847</v>
      </c>
      <c r="B277" s="41" t="s">
        <v>4631</v>
      </c>
      <c r="C277" s="41" t="s">
        <v>4632</v>
      </c>
      <c r="D277" s="42" t="s">
        <v>4633</v>
      </c>
      <c r="E277" s="41" t="s">
        <v>18562</v>
      </c>
      <c r="F277" s="41" t="s">
        <v>13110</v>
      </c>
      <c r="G277" s="43" t="s">
        <v>266</v>
      </c>
      <c r="H277" s="54" t="s">
        <v>84</v>
      </c>
    </row>
    <row r="278" spans="1:8" ht="13" x14ac:dyDescent="0.3">
      <c r="A278" s="40" t="s">
        <v>17744</v>
      </c>
      <c r="B278" s="41" t="s">
        <v>18134</v>
      </c>
      <c r="C278" s="41" t="s">
        <v>4819</v>
      </c>
      <c r="D278" s="42" t="s">
        <v>4820</v>
      </c>
      <c r="E278" s="41" t="s">
        <v>5275</v>
      </c>
      <c r="F278" s="41" t="s">
        <v>4822</v>
      </c>
      <c r="G278" s="43" t="s">
        <v>18292</v>
      </c>
      <c r="H278" s="54" t="s">
        <v>1002</v>
      </c>
    </row>
    <row r="279" spans="1:8" ht="13" x14ac:dyDescent="0.3">
      <c r="A279" s="40" t="s">
        <v>6530</v>
      </c>
      <c r="B279" s="41" t="s">
        <v>6531</v>
      </c>
      <c r="C279" s="41" t="s">
        <v>6532</v>
      </c>
      <c r="D279" s="42" t="s">
        <v>6533</v>
      </c>
      <c r="E279" s="41" t="s">
        <v>18563</v>
      </c>
      <c r="F279" s="41" t="s">
        <v>18372</v>
      </c>
      <c r="G279" s="43" t="s">
        <v>626</v>
      </c>
      <c r="H279" s="54" t="s">
        <v>70</v>
      </c>
    </row>
    <row r="280" spans="1:8" ht="13" x14ac:dyDescent="0.3">
      <c r="A280" s="40" t="s">
        <v>17513</v>
      </c>
      <c r="B280" s="41" t="s">
        <v>3740</v>
      </c>
      <c r="C280" s="41" t="s">
        <v>817</v>
      </c>
      <c r="D280" s="42" t="s">
        <v>16876</v>
      </c>
      <c r="E280" s="41" t="s">
        <v>11609</v>
      </c>
      <c r="F280" s="41" t="s">
        <v>3740</v>
      </c>
      <c r="G280" s="43" t="s">
        <v>626</v>
      </c>
      <c r="H280" s="54" t="s">
        <v>70</v>
      </c>
    </row>
    <row r="281" spans="1:8" ht="13" x14ac:dyDescent="0.3">
      <c r="A281" s="40" t="s">
        <v>17589</v>
      </c>
      <c r="B281" s="41" t="s">
        <v>18135</v>
      </c>
      <c r="C281" s="41" t="s">
        <v>9696</v>
      </c>
      <c r="D281" s="42" t="s">
        <v>15739</v>
      </c>
      <c r="E281" s="41" t="s">
        <v>9698</v>
      </c>
      <c r="F281" s="41" t="s">
        <v>8172</v>
      </c>
      <c r="G281" s="43" t="s">
        <v>626</v>
      </c>
      <c r="H281" s="54" t="s">
        <v>70</v>
      </c>
    </row>
    <row r="282" spans="1:8" ht="13" x14ac:dyDescent="0.3">
      <c r="A282" s="40" t="s">
        <v>17822</v>
      </c>
      <c r="B282" s="41" t="s">
        <v>18136</v>
      </c>
      <c r="C282" s="41" t="s">
        <v>5509</v>
      </c>
      <c r="D282" s="42" t="s">
        <v>5510</v>
      </c>
      <c r="E282" s="41" t="s">
        <v>5511</v>
      </c>
      <c r="F282" s="41" t="s">
        <v>4996</v>
      </c>
      <c r="G282" s="43" t="s">
        <v>248</v>
      </c>
      <c r="H282" s="54" t="s">
        <v>246</v>
      </c>
    </row>
    <row r="283" spans="1:8" ht="13" x14ac:dyDescent="0.3">
      <c r="A283" s="40" t="s">
        <v>7417</v>
      </c>
      <c r="B283" s="41" t="s">
        <v>7418</v>
      </c>
      <c r="C283" s="41"/>
      <c r="D283" s="42" t="s">
        <v>7419</v>
      </c>
      <c r="E283" s="41" t="s">
        <v>18564</v>
      </c>
      <c r="F283" s="41" t="s">
        <v>14515</v>
      </c>
      <c r="G283" s="43" t="s">
        <v>6725</v>
      </c>
      <c r="H283" s="54" t="s">
        <v>195</v>
      </c>
    </row>
    <row r="284" spans="1:8" ht="13" x14ac:dyDescent="0.3">
      <c r="A284" s="40" t="s">
        <v>5863</v>
      </c>
      <c r="B284" s="41" t="s">
        <v>5866</v>
      </c>
      <c r="C284" s="44"/>
      <c r="D284" s="42" t="s">
        <v>5867</v>
      </c>
      <c r="E284" s="41" t="s">
        <v>13747</v>
      </c>
      <c r="F284" s="41" t="s">
        <v>5869</v>
      </c>
      <c r="G284" s="43" t="s">
        <v>381</v>
      </c>
      <c r="H284" s="54" t="s">
        <v>379</v>
      </c>
    </row>
    <row r="285" spans="1:8" ht="13" x14ac:dyDescent="0.3">
      <c r="A285" s="40" t="s">
        <v>5349</v>
      </c>
      <c r="B285" s="41" t="s">
        <v>18137</v>
      </c>
      <c r="C285" s="41" t="s">
        <v>5353</v>
      </c>
      <c r="D285" s="42" t="s">
        <v>5354</v>
      </c>
      <c r="E285" s="41" t="s">
        <v>18565</v>
      </c>
      <c r="F285" s="41" t="s">
        <v>8722</v>
      </c>
      <c r="G285" s="43" t="s">
        <v>231</v>
      </c>
      <c r="H285" s="54" t="s">
        <v>51</v>
      </c>
    </row>
    <row r="286" spans="1:8" ht="13" x14ac:dyDescent="0.3">
      <c r="A286" s="40" t="s">
        <v>2480</v>
      </c>
      <c r="B286" s="41" t="s">
        <v>2483</v>
      </c>
      <c r="C286" s="41" t="s">
        <v>2484</v>
      </c>
      <c r="D286" s="42" t="s">
        <v>2485</v>
      </c>
      <c r="E286" s="41" t="s">
        <v>18566</v>
      </c>
      <c r="F286" s="41" t="s">
        <v>2106</v>
      </c>
      <c r="G286" s="43" t="s">
        <v>2107</v>
      </c>
      <c r="H286" s="54" t="s">
        <v>84</v>
      </c>
    </row>
    <row r="287" spans="1:8" ht="13" x14ac:dyDescent="0.3">
      <c r="A287" s="40" t="s">
        <v>17724</v>
      </c>
      <c r="B287" s="41" t="s">
        <v>6110</v>
      </c>
      <c r="C287" s="41" t="s">
        <v>6111</v>
      </c>
      <c r="D287" s="42" t="s">
        <v>6112</v>
      </c>
      <c r="E287" s="41" t="s">
        <v>18567</v>
      </c>
      <c r="F287" s="41" t="s">
        <v>647</v>
      </c>
      <c r="G287" s="43" t="s">
        <v>5167</v>
      </c>
      <c r="H287" s="54" t="s">
        <v>84</v>
      </c>
    </row>
    <row r="288" spans="1:8" ht="13" x14ac:dyDescent="0.3">
      <c r="A288" s="40" t="s">
        <v>17614</v>
      </c>
      <c r="B288" s="41" t="s">
        <v>10079</v>
      </c>
      <c r="C288" s="41" t="s">
        <v>10080</v>
      </c>
      <c r="D288" s="42" t="s">
        <v>10081</v>
      </c>
      <c r="E288" s="41" t="s">
        <v>18568</v>
      </c>
      <c r="F288" s="41" t="s">
        <v>10083</v>
      </c>
      <c r="G288" s="43" t="s">
        <v>10084</v>
      </c>
      <c r="H288" s="54" t="s">
        <v>101</v>
      </c>
    </row>
    <row r="289" spans="1:8" ht="13" x14ac:dyDescent="0.3">
      <c r="A289" s="40" t="s">
        <v>17903</v>
      </c>
      <c r="B289" s="41" t="s">
        <v>3740</v>
      </c>
      <c r="C289" s="41" t="s">
        <v>335</v>
      </c>
      <c r="D289" s="42" t="s">
        <v>16694</v>
      </c>
      <c r="E289" s="41" t="s">
        <v>18569</v>
      </c>
      <c r="F289" s="41" t="s">
        <v>11307</v>
      </c>
      <c r="G289" s="43" t="s">
        <v>338</v>
      </c>
      <c r="H289" s="54" t="s">
        <v>310</v>
      </c>
    </row>
    <row r="290" spans="1:8" ht="13" x14ac:dyDescent="0.3">
      <c r="A290" s="40" t="s">
        <v>17649</v>
      </c>
      <c r="B290" s="41" t="s">
        <v>10501</v>
      </c>
      <c r="C290" s="41" t="s">
        <v>10502</v>
      </c>
      <c r="D290" s="42" t="s">
        <v>17431</v>
      </c>
      <c r="E290" s="41" t="s">
        <v>10504</v>
      </c>
      <c r="F290" s="41" t="s">
        <v>10505</v>
      </c>
      <c r="G290" s="43" t="s">
        <v>10506</v>
      </c>
      <c r="H290" s="54" t="s">
        <v>101</v>
      </c>
    </row>
    <row r="291" spans="1:8" ht="13" x14ac:dyDescent="0.3">
      <c r="A291" s="40" t="s">
        <v>17904</v>
      </c>
      <c r="B291" s="41" t="s">
        <v>18076</v>
      </c>
      <c r="C291" s="41" t="s">
        <v>7453</v>
      </c>
      <c r="D291" s="42" t="s">
        <v>7454</v>
      </c>
      <c r="E291" s="41" t="s">
        <v>8437</v>
      </c>
      <c r="F291" s="41" t="s">
        <v>8438</v>
      </c>
      <c r="G291" s="43" t="s">
        <v>128</v>
      </c>
      <c r="H291" s="54" t="s">
        <v>101</v>
      </c>
    </row>
    <row r="292" spans="1:8" ht="13" x14ac:dyDescent="0.3">
      <c r="A292" s="40" t="s">
        <v>17641</v>
      </c>
      <c r="B292" s="41" t="s">
        <v>10565</v>
      </c>
      <c r="C292" s="41" t="s">
        <v>10566</v>
      </c>
      <c r="D292" s="42" t="s">
        <v>10567</v>
      </c>
      <c r="E292" s="41" t="s">
        <v>10568</v>
      </c>
      <c r="F292" s="41" t="s">
        <v>10569</v>
      </c>
      <c r="G292" s="43" t="s">
        <v>10570</v>
      </c>
      <c r="H292" s="54" t="s">
        <v>101</v>
      </c>
    </row>
    <row r="293" spans="1:8" ht="13" x14ac:dyDescent="0.3">
      <c r="A293" s="40" t="s">
        <v>11121</v>
      </c>
      <c r="B293" s="41" t="s">
        <v>18138</v>
      </c>
      <c r="C293" s="41" t="s">
        <v>11124</v>
      </c>
      <c r="D293" s="42" t="s">
        <v>16581</v>
      </c>
      <c r="E293" s="41" t="s">
        <v>11126</v>
      </c>
      <c r="F293" s="41" t="s">
        <v>18373</v>
      </c>
      <c r="G293" s="43" t="s">
        <v>1339</v>
      </c>
      <c r="H293" s="54" t="s">
        <v>84</v>
      </c>
    </row>
    <row r="294" spans="1:8" ht="13" x14ac:dyDescent="0.3">
      <c r="A294" s="40" t="s">
        <v>17728</v>
      </c>
      <c r="B294" s="41" t="s">
        <v>6381</v>
      </c>
      <c r="C294" s="41" t="s">
        <v>6382</v>
      </c>
      <c r="D294" s="42" t="s">
        <v>6383</v>
      </c>
      <c r="E294" s="41" t="s">
        <v>6384</v>
      </c>
      <c r="F294" s="41" t="s">
        <v>647</v>
      </c>
      <c r="G294" s="43" t="s">
        <v>18278</v>
      </c>
      <c r="H294" s="54" t="s">
        <v>70</v>
      </c>
    </row>
    <row r="295" spans="1:8" ht="13" x14ac:dyDescent="0.3">
      <c r="A295" s="40" t="s">
        <v>17905</v>
      </c>
      <c r="B295" s="41" t="s">
        <v>8833</v>
      </c>
      <c r="C295" s="41" t="s">
        <v>8834</v>
      </c>
      <c r="D295" s="42" t="s">
        <v>8835</v>
      </c>
      <c r="E295" s="41" t="s">
        <v>18570</v>
      </c>
      <c r="F295" s="41" t="s">
        <v>18374</v>
      </c>
      <c r="G295" s="43" t="s">
        <v>177</v>
      </c>
      <c r="H295" s="54" t="s">
        <v>84</v>
      </c>
    </row>
    <row r="296" spans="1:8" ht="13" x14ac:dyDescent="0.3">
      <c r="A296" s="40" t="s">
        <v>17906</v>
      </c>
      <c r="B296" s="41" t="s">
        <v>5762</v>
      </c>
      <c r="C296" s="41" t="s">
        <v>5763</v>
      </c>
      <c r="D296" s="42" t="s">
        <v>5764</v>
      </c>
      <c r="E296" s="41" t="s">
        <v>5765</v>
      </c>
      <c r="F296" s="41" t="s">
        <v>5766</v>
      </c>
      <c r="G296" s="43" t="s">
        <v>5767</v>
      </c>
      <c r="H296" s="54" t="s">
        <v>84</v>
      </c>
    </row>
    <row r="297" spans="1:8" ht="13" x14ac:dyDescent="0.3">
      <c r="A297" s="40" t="s">
        <v>17907</v>
      </c>
      <c r="B297" s="41" t="s">
        <v>18139</v>
      </c>
      <c r="C297" s="41" t="s">
        <v>4974</v>
      </c>
      <c r="D297" s="42" t="s">
        <v>4975</v>
      </c>
      <c r="E297" s="41" t="s">
        <v>4976</v>
      </c>
      <c r="F297" s="41" t="s">
        <v>18375</v>
      </c>
      <c r="G297" s="43" t="s">
        <v>4978</v>
      </c>
      <c r="H297" s="54" t="s">
        <v>1871</v>
      </c>
    </row>
    <row r="298" spans="1:8" ht="13" x14ac:dyDescent="0.3">
      <c r="A298" s="40" t="s">
        <v>17907</v>
      </c>
      <c r="B298" s="41" t="s">
        <v>9957</v>
      </c>
      <c r="C298" s="41" t="s">
        <v>9958</v>
      </c>
      <c r="D298" s="42" t="s">
        <v>15886</v>
      </c>
      <c r="E298" s="41" t="s">
        <v>18571</v>
      </c>
      <c r="F298" s="41" t="s">
        <v>9960</v>
      </c>
      <c r="G298" s="43" t="s">
        <v>626</v>
      </c>
      <c r="H298" s="54" t="s">
        <v>70</v>
      </c>
    </row>
    <row r="299" spans="1:8" ht="13" x14ac:dyDescent="0.3">
      <c r="A299" s="40" t="s">
        <v>7523</v>
      </c>
      <c r="B299" s="41" t="s">
        <v>18139</v>
      </c>
      <c r="C299" s="41" t="s">
        <v>4974</v>
      </c>
      <c r="D299" s="42" t="s">
        <v>18712</v>
      </c>
      <c r="E299" s="41" t="s">
        <v>7524</v>
      </c>
      <c r="F299" s="41" t="s">
        <v>18375</v>
      </c>
      <c r="G299" s="43" t="s">
        <v>4978</v>
      </c>
      <c r="H299" s="54" t="s">
        <v>1871</v>
      </c>
    </row>
    <row r="300" spans="1:8" ht="13" x14ac:dyDescent="0.3">
      <c r="A300" s="40" t="s">
        <v>17908</v>
      </c>
      <c r="B300" s="41" t="s">
        <v>8821</v>
      </c>
      <c r="C300" s="41" t="s">
        <v>8822</v>
      </c>
      <c r="D300" s="42" t="s">
        <v>17432</v>
      </c>
      <c r="E300" s="41" t="s">
        <v>18572</v>
      </c>
      <c r="F300" s="41" t="s">
        <v>8825</v>
      </c>
      <c r="G300" s="43" t="s">
        <v>8826</v>
      </c>
      <c r="H300" s="54" t="s">
        <v>101</v>
      </c>
    </row>
    <row r="301" spans="1:8" ht="13" x14ac:dyDescent="0.3">
      <c r="A301" s="40" t="s">
        <v>5210</v>
      </c>
      <c r="B301" s="41" t="s">
        <v>5211</v>
      </c>
      <c r="C301" s="41" t="s">
        <v>5212</v>
      </c>
      <c r="D301" s="42" t="s">
        <v>5213</v>
      </c>
      <c r="E301" s="41" t="s">
        <v>5214</v>
      </c>
      <c r="F301" s="41" t="s">
        <v>5202</v>
      </c>
      <c r="G301" s="43" t="s">
        <v>381</v>
      </c>
      <c r="H301" s="54" t="s">
        <v>379</v>
      </c>
    </row>
    <row r="302" spans="1:8" ht="13" x14ac:dyDescent="0.3">
      <c r="A302" s="40" t="s">
        <v>2099</v>
      </c>
      <c r="B302" s="41" t="s">
        <v>2102</v>
      </c>
      <c r="C302" s="41" t="s">
        <v>2103</v>
      </c>
      <c r="D302" s="42" t="s">
        <v>2104</v>
      </c>
      <c r="E302" s="41" t="s">
        <v>18573</v>
      </c>
      <c r="F302" s="41" t="s">
        <v>2106</v>
      </c>
      <c r="G302" s="43" t="s">
        <v>2107</v>
      </c>
      <c r="H302" s="54" t="s">
        <v>84</v>
      </c>
    </row>
    <row r="303" spans="1:8" ht="13" x14ac:dyDescent="0.3">
      <c r="A303" s="40" t="s">
        <v>17909</v>
      </c>
      <c r="B303" s="41" t="s">
        <v>18140</v>
      </c>
      <c r="C303" s="41" t="s">
        <v>9730</v>
      </c>
      <c r="D303" s="42" t="s">
        <v>9731</v>
      </c>
      <c r="E303" s="41" t="s">
        <v>9732</v>
      </c>
      <c r="F303" s="41" t="s">
        <v>9733</v>
      </c>
      <c r="G303" s="43" t="s">
        <v>789</v>
      </c>
      <c r="H303" s="54" t="s">
        <v>295</v>
      </c>
    </row>
    <row r="304" spans="1:8" ht="13" x14ac:dyDescent="0.3">
      <c r="A304" s="40" t="s">
        <v>6492</v>
      </c>
      <c r="B304" s="41" t="s">
        <v>6494</v>
      </c>
      <c r="C304" s="41" t="s">
        <v>6495</v>
      </c>
      <c r="D304" s="42" t="s">
        <v>6496</v>
      </c>
      <c r="E304" s="41" t="s">
        <v>18574</v>
      </c>
      <c r="F304" s="41" t="s">
        <v>18376</v>
      </c>
      <c r="G304" s="43" t="s">
        <v>1608</v>
      </c>
      <c r="H304" s="54" t="s">
        <v>70</v>
      </c>
    </row>
    <row r="305" spans="1:8" ht="13" x14ac:dyDescent="0.3">
      <c r="A305" s="40" t="s">
        <v>17910</v>
      </c>
      <c r="B305" s="41" t="s">
        <v>18141</v>
      </c>
      <c r="C305" s="41" t="s">
        <v>5674</v>
      </c>
      <c r="D305" s="42" t="s">
        <v>5675</v>
      </c>
      <c r="E305" s="41" t="s">
        <v>5677</v>
      </c>
      <c r="F305" s="41" t="s">
        <v>10950</v>
      </c>
      <c r="G305" s="43" t="s">
        <v>5680</v>
      </c>
      <c r="H305" s="54" t="s">
        <v>5676</v>
      </c>
    </row>
    <row r="306" spans="1:8" ht="13" x14ac:dyDescent="0.3">
      <c r="A306" s="40" t="s">
        <v>17911</v>
      </c>
      <c r="B306" s="41" t="s">
        <v>83</v>
      </c>
      <c r="C306" s="41" t="s">
        <v>8884</v>
      </c>
      <c r="D306" s="42" t="s">
        <v>18711</v>
      </c>
      <c r="E306" s="41" t="s">
        <v>18575</v>
      </c>
      <c r="F306" s="41" t="s">
        <v>86</v>
      </c>
      <c r="G306" s="43" t="s">
        <v>87</v>
      </c>
      <c r="H306" s="54" t="s">
        <v>84</v>
      </c>
    </row>
    <row r="307" spans="1:8" ht="13" x14ac:dyDescent="0.3">
      <c r="A307" s="40" t="s">
        <v>11577</v>
      </c>
      <c r="B307" s="41" t="s">
        <v>11578</v>
      </c>
      <c r="C307" s="41" t="s">
        <v>405</v>
      </c>
      <c r="D307" s="42" t="s">
        <v>11579</v>
      </c>
      <c r="E307" s="41" t="s">
        <v>11580</v>
      </c>
      <c r="F307" s="41" t="s">
        <v>3740</v>
      </c>
      <c r="G307" s="43" t="s">
        <v>409</v>
      </c>
      <c r="H307" s="54" t="s">
        <v>407</v>
      </c>
    </row>
    <row r="308" spans="1:8" ht="13" x14ac:dyDescent="0.3">
      <c r="A308" s="40" t="s">
        <v>17912</v>
      </c>
      <c r="B308" s="41" t="s">
        <v>3740</v>
      </c>
      <c r="C308" s="41" t="s">
        <v>871</v>
      </c>
      <c r="D308" s="42" t="s">
        <v>11657</v>
      </c>
      <c r="E308" s="41" t="s">
        <v>11655</v>
      </c>
      <c r="F308" s="41" t="s">
        <v>11656</v>
      </c>
      <c r="G308" s="43" t="s">
        <v>18293</v>
      </c>
      <c r="H308" s="54" t="s">
        <v>101</v>
      </c>
    </row>
    <row r="309" spans="1:8" ht="13" x14ac:dyDescent="0.3">
      <c r="A309" s="40" t="s">
        <v>6815</v>
      </c>
      <c r="B309" s="41" t="s">
        <v>6816</v>
      </c>
      <c r="C309" s="41" t="s">
        <v>6817</v>
      </c>
      <c r="D309" s="42" t="s">
        <v>6818</v>
      </c>
      <c r="E309" s="41" t="s">
        <v>18576</v>
      </c>
      <c r="F309" s="41" t="s">
        <v>6820</v>
      </c>
      <c r="G309" s="43" t="s">
        <v>891</v>
      </c>
      <c r="H309" s="54" t="s">
        <v>101</v>
      </c>
    </row>
    <row r="310" spans="1:8" ht="13" x14ac:dyDescent="0.3">
      <c r="A310" s="40" t="s">
        <v>3939</v>
      </c>
      <c r="B310" s="41" t="s">
        <v>18142</v>
      </c>
      <c r="C310" s="41" t="s">
        <v>3942</v>
      </c>
      <c r="D310" s="42" t="s">
        <v>3943</v>
      </c>
      <c r="E310" s="41" t="s">
        <v>18577</v>
      </c>
      <c r="F310" s="41" t="s">
        <v>3945</v>
      </c>
      <c r="G310" s="43" t="s">
        <v>3946</v>
      </c>
      <c r="H310" s="54" t="s">
        <v>51</v>
      </c>
    </row>
    <row r="311" spans="1:8" ht="13" x14ac:dyDescent="0.3">
      <c r="A311" s="40" t="s">
        <v>17913</v>
      </c>
      <c r="B311" s="41" t="s">
        <v>7093</v>
      </c>
      <c r="C311" s="41" t="s">
        <v>7094</v>
      </c>
      <c r="D311" s="42" t="s">
        <v>7095</v>
      </c>
      <c r="E311" s="41" t="s">
        <v>7096</v>
      </c>
      <c r="F311" s="41" t="s">
        <v>7097</v>
      </c>
      <c r="G311" s="43" t="s">
        <v>128</v>
      </c>
      <c r="H311" s="54" t="s">
        <v>101</v>
      </c>
    </row>
    <row r="312" spans="1:8" ht="13" x14ac:dyDescent="0.3">
      <c r="A312" s="40" t="s">
        <v>17914</v>
      </c>
      <c r="B312" s="41" t="s">
        <v>5063</v>
      </c>
      <c r="C312" s="41" t="s">
        <v>5064</v>
      </c>
      <c r="D312" s="42" t="s">
        <v>5065</v>
      </c>
      <c r="E312" s="41" t="s">
        <v>18578</v>
      </c>
      <c r="F312" s="41" t="s">
        <v>5067</v>
      </c>
      <c r="G312" s="43" t="s">
        <v>248</v>
      </c>
      <c r="H312" s="54" t="s">
        <v>246</v>
      </c>
    </row>
    <row r="313" spans="1:8" ht="13" x14ac:dyDescent="0.3">
      <c r="A313" s="40" t="s">
        <v>17915</v>
      </c>
      <c r="B313" s="41" t="s">
        <v>8231</v>
      </c>
      <c r="C313" s="41" t="s">
        <v>8232</v>
      </c>
      <c r="D313" s="42" t="s">
        <v>8233</v>
      </c>
      <c r="E313" s="41" t="s">
        <v>18579</v>
      </c>
      <c r="F313" s="41" t="s">
        <v>647</v>
      </c>
      <c r="G313" s="43" t="s">
        <v>338</v>
      </c>
      <c r="H313" s="54" t="s">
        <v>310</v>
      </c>
    </row>
    <row r="314" spans="1:8" ht="13" x14ac:dyDescent="0.3">
      <c r="A314" s="40" t="s">
        <v>9357</v>
      </c>
      <c r="B314" s="41" t="s">
        <v>18143</v>
      </c>
      <c r="C314" s="41" t="s">
        <v>9360</v>
      </c>
      <c r="D314" s="42" t="s">
        <v>9361</v>
      </c>
      <c r="E314" s="41" t="s">
        <v>9362</v>
      </c>
      <c r="F314" s="41" t="s">
        <v>18377</v>
      </c>
      <c r="G314" s="43" t="s">
        <v>18294</v>
      </c>
      <c r="H314" s="54" t="s">
        <v>1002</v>
      </c>
    </row>
    <row r="315" spans="1:8" ht="13" x14ac:dyDescent="0.3">
      <c r="A315" s="40" t="s">
        <v>17916</v>
      </c>
      <c r="B315" s="41" t="s">
        <v>18144</v>
      </c>
      <c r="C315" s="41" t="s">
        <v>8803</v>
      </c>
      <c r="D315" s="42" t="s">
        <v>8804</v>
      </c>
      <c r="E315" s="41" t="s">
        <v>16106</v>
      </c>
      <c r="F315" s="41" t="s">
        <v>18378</v>
      </c>
      <c r="G315" s="43" t="s">
        <v>18290</v>
      </c>
      <c r="H315" s="54" t="s">
        <v>1002</v>
      </c>
    </row>
    <row r="316" spans="1:8" ht="13" x14ac:dyDescent="0.3">
      <c r="A316" s="40" t="s">
        <v>2144</v>
      </c>
      <c r="B316" s="41" t="s">
        <v>2147</v>
      </c>
      <c r="C316" s="41" t="s">
        <v>2148</v>
      </c>
      <c r="D316" s="42" t="s">
        <v>12440</v>
      </c>
      <c r="E316" s="41" t="s">
        <v>12439</v>
      </c>
      <c r="F316" s="41" t="s">
        <v>18379</v>
      </c>
      <c r="G316" s="43" t="s">
        <v>12441</v>
      </c>
      <c r="H316" s="54" t="s">
        <v>1002</v>
      </c>
    </row>
    <row r="317" spans="1:8" ht="13" x14ac:dyDescent="0.3">
      <c r="A317" s="40" t="s">
        <v>8175</v>
      </c>
      <c r="B317" s="41" t="s">
        <v>18145</v>
      </c>
      <c r="C317" s="41" t="s">
        <v>8177</v>
      </c>
      <c r="D317" s="42" t="s">
        <v>18710</v>
      </c>
      <c r="E317" s="41" t="s">
        <v>8178</v>
      </c>
      <c r="F317" s="41" t="s">
        <v>8179</v>
      </c>
      <c r="G317" s="43" t="s">
        <v>7583</v>
      </c>
      <c r="H317" s="54" t="s">
        <v>6781</v>
      </c>
    </row>
    <row r="318" spans="1:8" ht="13" x14ac:dyDescent="0.3">
      <c r="A318" s="40" t="s">
        <v>17917</v>
      </c>
      <c r="B318" s="41" t="s">
        <v>18146</v>
      </c>
      <c r="C318" s="41" t="s">
        <v>5375</v>
      </c>
      <c r="D318" s="42" t="s">
        <v>5376</v>
      </c>
      <c r="E318" s="41" t="s">
        <v>5377</v>
      </c>
      <c r="F318" s="41" t="s">
        <v>5378</v>
      </c>
      <c r="G318" s="43" t="s">
        <v>231</v>
      </c>
      <c r="H318" s="54" t="s">
        <v>51</v>
      </c>
    </row>
    <row r="319" spans="1:8" ht="13" x14ac:dyDescent="0.3">
      <c r="A319" s="40" t="s">
        <v>8629</v>
      </c>
      <c r="B319" s="41" t="s">
        <v>18147</v>
      </c>
      <c r="C319" s="41" t="s">
        <v>8633</v>
      </c>
      <c r="D319" s="42" t="s">
        <v>8634</v>
      </c>
      <c r="E319" s="41" t="s">
        <v>18580</v>
      </c>
      <c r="F319" s="41" t="s">
        <v>18380</v>
      </c>
      <c r="G319" s="43" t="s">
        <v>8154</v>
      </c>
      <c r="H319" s="54" t="s">
        <v>557</v>
      </c>
    </row>
    <row r="320" spans="1:8" ht="13" x14ac:dyDescent="0.3">
      <c r="A320" s="40" t="s">
        <v>17918</v>
      </c>
      <c r="B320" s="41" t="s">
        <v>8150</v>
      </c>
      <c r="C320" s="41" t="s">
        <v>8151</v>
      </c>
      <c r="D320" s="42" t="s">
        <v>8152</v>
      </c>
      <c r="E320" s="41" t="s">
        <v>18581</v>
      </c>
      <c r="F320" s="41" t="s">
        <v>647</v>
      </c>
      <c r="G320" s="43" t="s">
        <v>8154</v>
      </c>
      <c r="H320" s="54" t="s">
        <v>557</v>
      </c>
    </row>
    <row r="321" spans="1:8" ht="13" x14ac:dyDescent="0.3">
      <c r="A321" s="40" t="s">
        <v>17919</v>
      </c>
      <c r="B321" s="41" t="s">
        <v>3740</v>
      </c>
      <c r="C321" s="41" t="s">
        <v>244</v>
      </c>
      <c r="D321" s="42" t="s">
        <v>11246</v>
      </c>
      <c r="E321" s="41" t="s">
        <v>18582</v>
      </c>
      <c r="F321" s="41" t="s">
        <v>3740</v>
      </c>
      <c r="G321" s="43" t="s">
        <v>248</v>
      </c>
      <c r="H321" s="54" t="s">
        <v>246</v>
      </c>
    </row>
    <row r="322" spans="1:8" ht="13" x14ac:dyDescent="0.3">
      <c r="A322" s="40" t="s">
        <v>4486</v>
      </c>
      <c r="B322" s="41" t="s">
        <v>18148</v>
      </c>
      <c r="C322" s="41" t="s">
        <v>4490</v>
      </c>
      <c r="D322" s="42" t="s">
        <v>4491</v>
      </c>
      <c r="E322" s="41" t="s">
        <v>18583</v>
      </c>
      <c r="F322" s="41" t="s">
        <v>18381</v>
      </c>
      <c r="G322" s="43" t="s">
        <v>18295</v>
      </c>
      <c r="H322" s="54" t="s">
        <v>84</v>
      </c>
    </row>
    <row r="323" spans="1:8" ht="13" x14ac:dyDescent="0.3">
      <c r="A323" s="40" t="s">
        <v>17920</v>
      </c>
      <c r="B323" s="41" t="s">
        <v>10472</v>
      </c>
      <c r="C323" s="41" t="s">
        <v>10473</v>
      </c>
      <c r="D323" s="42" t="s">
        <v>16192</v>
      </c>
      <c r="E323" s="41" t="s">
        <v>10475</v>
      </c>
      <c r="F323" s="41" t="s">
        <v>10476</v>
      </c>
      <c r="G323" s="43" t="s">
        <v>409</v>
      </c>
      <c r="H323" s="54" t="s">
        <v>407</v>
      </c>
    </row>
    <row r="324" spans="1:8" ht="13" x14ac:dyDescent="0.3">
      <c r="A324" s="40" t="s">
        <v>17921</v>
      </c>
      <c r="B324" s="41" t="s">
        <v>3740</v>
      </c>
      <c r="C324" s="41"/>
      <c r="D324" s="42" t="s">
        <v>11449</v>
      </c>
      <c r="E324" s="41" t="s">
        <v>11448</v>
      </c>
      <c r="F324" s="41" t="s">
        <v>3740</v>
      </c>
      <c r="G324" s="43" t="s">
        <v>128</v>
      </c>
      <c r="H324" s="54" t="s">
        <v>101</v>
      </c>
    </row>
    <row r="325" spans="1:8" ht="13" x14ac:dyDescent="0.3">
      <c r="A325" s="40" t="s">
        <v>17922</v>
      </c>
      <c r="B325" s="41" t="s">
        <v>4511</v>
      </c>
      <c r="C325" s="41" t="s">
        <v>4512</v>
      </c>
      <c r="D325" s="42" t="s">
        <v>4513</v>
      </c>
      <c r="E325" s="41" t="s">
        <v>4514</v>
      </c>
      <c r="F325" s="41" t="s">
        <v>4515</v>
      </c>
      <c r="G325" s="43" t="s">
        <v>4516</v>
      </c>
      <c r="H325" s="54" t="s">
        <v>84</v>
      </c>
    </row>
    <row r="326" spans="1:8" ht="13" x14ac:dyDescent="0.3">
      <c r="A326" s="40" t="s">
        <v>17923</v>
      </c>
      <c r="B326" s="41" t="s">
        <v>10933</v>
      </c>
      <c r="C326" s="41" t="s">
        <v>10934</v>
      </c>
      <c r="D326" s="42" t="s">
        <v>17433</v>
      </c>
      <c r="E326" s="41" t="s">
        <v>10936</v>
      </c>
      <c r="F326" s="41" t="s">
        <v>10937</v>
      </c>
      <c r="G326" s="43" t="s">
        <v>128</v>
      </c>
      <c r="H326" s="54" t="s">
        <v>101</v>
      </c>
    </row>
    <row r="327" spans="1:8" ht="13" x14ac:dyDescent="0.3">
      <c r="A327" s="40" t="s">
        <v>579</v>
      </c>
      <c r="B327" s="41" t="s">
        <v>582</v>
      </c>
      <c r="C327" s="41" t="s">
        <v>583</v>
      </c>
      <c r="D327" s="42" t="s">
        <v>11480</v>
      </c>
      <c r="E327" s="41" t="s">
        <v>585</v>
      </c>
      <c r="F327" s="41" t="s">
        <v>586</v>
      </c>
      <c r="G327" s="43" t="s">
        <v>470</v>
      </c>
      <c r="H327" s="54" t="s">
        <v>468</v>
      </c>
    </row>
    <row r="328" spans="1:8" ht="13" x14ac:dyDescent="0.3">
      <c r="A328" s="40" t="s">
        <v>17994</v>
      </c>
      <c r="B328" s="41" t="s">
        <v>8736</v>
      </c>
      <c r="C328" s="41"/>
      <c r="D328" s="42" t="s">
        <v>8737</v>
      </c>
      <c r="E328" s="41" t="s">
        <v>8738</v>
      </c>
      <c r="F328" s="41" t="s">
        <v>18382</v>
      </c>
      <c r="G328" s="43" t="s">
        <v>1848</v>
      </c>
      <c r="H328" s="54" t="s">
        <v>1002</v>
      </c>
    </row>
    <row r="329" spans="1:8" ht="13" x14ac:dyDescent="0.3">
      <c r="A329" s="40" t="s">
        <v>17924</v>
      </c>
      <c r="B329" s="41" t="s">
        <v>5488</v>
      </c>
      <c r="C329" s="41" t="s">
        <v>5489</v>
      </c>
      <c r="D329" s="42" t="s">
        <v>5490</v>
      </c>
      <c r="E329" s="41" t="s">
        <v>5491</v>
      </c>
      <c r="F329" s="41" t="s">
        <v>5492</v>
      </c>
      <c r="G329" s="43" t="s">
        <v>470</v>
      </c>
      <c r="H329" s="54" t="s">
        <v>468</v>
      </c>
    </row>
    <row r="330" spans="1:8" ht="13" x14ac:dyDescent="0.3">
      <c r="A330" s="40" t="s">
        <v>17925</v>
      </c>
      <c r="B330" s="41" t="s">
        <v>9262</v>
      </c>
      <c r="C330" s="41" t="s">
        <v>9263</v>
      </c>
      <c r="D330" s="42" t="s">
        <v>17434</v>
      </c>
      <c r="E330" s="41" t="s">
        <v>9265</v>
      </c>
      <c r="F330" s="41" t="s">
        <v>9266</v>
      </c>
      <c r="G330" s="43" t="s">
        <v>1848</v>
      </c>
      <c r="H330" s="54" t="s">
        <v>1002</v>
      </c>
    </row>
    <row r="331" spans="1:8" ht="13" x14ac:dyDescent="0.3">
      <c r="A331" s="40" t="s">
        <v>17926</v>
      </c>
      <c r="B331" s="41" t="s">
        <v>3740</v>
      </c>
      <c r="C331" s="41" t="s">
        <v>263</v>
      </c>
      <c r="D331" s="42" t="s">
        <v>11252</v>
      </c>
      <c r="E331" s="41" t="s">
        <v>265</v>
      </c>
      <c r="F331" s="41" t="s">
        <v>3740</v>
      </c>
      <c r="G331" s="43" t="s">
        <v>18296</v>
      </c>
      <c r="H331" s="54" t="s">
        <v>84</v>
      </c>
    </row>
    <row r="332" spans="1:8" ht="13" x14ac:dyDescent="0.3">
      <c r="A332" s="40" t="s">
        <v>17927</v>
      </c>
      <c r="B332" s="41" t="s">
        <v>9251</v>
      </c>
      <c r="C332" s="41" t="s">
        <v>9252</v>
      </c>
      <c r="D332" s="42" t="s">
        <v>15469</v>
      </c>
      <c r="E332" s="41" t="s">
        <v>9254</v>
      </c>
      <c r="F332" s="41" t="s">
        <v>4348</v>
      </c>
      <c r="G332" s="43" t="s">
        <v>470</v>
      </c>
      <c r="H332" s="54" t="s">
        <v>468</v>
      </c>
    </row>
    <row r="333" spans="1:8" ht="13" x14ac:dyDescent="0.3">
      <c r="A333" s="40" t="s">
        <v>1755</v>
      </c>
      <c r="B333" s="41" t="s">
        <v>1758</v>
      </c>
      <c r="C333" s="41" t="s">
        <v>1759</v>
      </c>
      <c r="D333" s="42" t="s">
        <v>18709</v>
      </c>
      <c r="E333" s="41" t="s">
        <v>12211</v>
      </c>
      <c r="F333" s="41" t="s">
        <v>1762</v>
      </c>
      <c r="G333" s="43" t="s">
        <v>128</v>
      </c>
      <c r="H333" s="54" t="s">
        <v>101</v>
      </c>
    </row>
    <row r="334" spans="1:8" ht="13" x14ac:dyDescent="0.3">
      <c r="A334" s="40" t="s">
        <v>4312</v>
      </c>
      <c r="B334" s="41" t="s">
        <v>18149</v>
      </c>
      <c r="C334" s="41" t="s">
        <v>4316</v>
      </c>
      <c r="D334" s="42" t="s">
        <v>4317</v>
      </c>
      <c r="E334" s="41" t="s">
        <v>18584</v>
      </c>
      <c r="F334" s="41" t="s">
        <v>18383</v>
      </c>
      <c r="G334" s="43" t="s">
        <v>4320</v>
      </c>
      <c r="H334" s="54" t="s">
        <v>468</v>
      </c>
    </row>
    <row r="335" spans="1:8" ht="13" x14ac:dyDescent="0.3">
      <c r="A335" s="40" t="s">
        <v>17928</v>
      </c>
      <c r="B335" s="41" t="s">
        <v>18150</v>
      </c>
      <c r="C335" s="41" t="s">
        <v>3974</v>
      </c>
      <c r="D335" s="42" t="s">
        <v>3975</v>
      </c>
      <c r="E335" s="41" t="s">
        <v>3976</v>
      </c>
      <c r="F335" s="41" t="s">
        <v>18384</v>
      </c>
      <c r="G335" s="43" t="s">
        <v>231</v>
      </c>
      <c r="H335" s="54" t="s">
        <v>51</v>
      </c>
    </row>
    <row r="336" spans="1:8" ht="13" x14ac:dyDescent="0.3">
      <c r="A336" s="40" t="s">
        <v>17929</v>
      </c>
      <c r="B336" s="41" t="s">
        <v>6968</v>
      </c>
      <c r="C336" s="41" t="s">
        <v>6969</v>
      </c>
      <c r="D336" s="42" t="s">
        <v>6970</v>
      </c>
      <c r="E336" s="41" t="s">
        <v>6971</v>
      </c>
      <c r="F336" s="41" t="s">
        <v>6972</v>
      </c>
      <c r="G336" s="43" t="s">
        <v>128</v>
      </c>
      <c r="H336" s="54" t="s">
        <v>101</v>
      </c>
    </row>
    <row r="337" spans="1:8" ht="13" x14ac:dyDescent="0.3">
      <c r="A337" s="40" t="s">
        <v>10776</v>
      </c>
      <c r="B337" s="41" t="s">
        <v>10779</v>
      </c>
      <c r="C337" s="41" t="s">
        <v>10780</v>
      </c>
      <c r="D337" s="42" t="s">
        <v>16368</v>
      </c>
      <c r="E337" s="41" t="s">
        <v>10782</v>
      </c>
      <c r="F337" s="41" t="s">
        <v>10783</v>
      </c>
      <c r="G337" s="43" t="s">
        <v>7583</v>
      </c>
      <c r="H337" s="54" t="s">
        <v>6781</v>
      </c>
    </row>
    <row r="338" spans="1:8" ht="13" x14ac:dyDescent="0.3">
      <c r="A338" s="40" t="s">
        <v>17930</v>
      </c>
      <c r="B338" s="41" t="s">
        <v>3740</v>
      </c>
      <c r="C338" s="41"/>
      <c r="D338" s="42"/>
      <c r="E338" s="41" t="s">
        <v>11755</v>
      </c>
      <c r="F338" s="41" t="s">
        <v>3740</v>
      </c>
      <c r="G338" s="43" t="s">
        <v>470</v>
      </c>
      <c r="H338" s="54" t="s">
        <v>468</v>
      </c>
    </row>
    <row r="339" spans="1:8" ht="13" x14ac:dyDescent="0.3">
      <c r="A339" s="40" t="s">
        <v>17931</v>
      </c>
      <c r="B339" s="44" t="s">
        <v>3740</v>
      </c>
      <c r="C339" s="44"/>
      <c r="D339" s="42" t="s">
        <v>17435</v>
      </c>
      <c r="E339" s="41" t="s">
        <v>8891</v>
      </c>
      <c r="F339" s="41" t="s">
        <v>103</v>
      </c>
      <c r="G339" s="43" t="s">
        <v>104</v>
      </c>
      <c r="H339" s="54" t="s">
        <v>101</v>
      </c>
    </row>
    <row r="340" spans="1:8" ht="13" x14ac:dyDescent="0.3">
      <c r="A340" s="40" t="s">
        <v>1600</v>
      </c>
      <c r="B340" s="41" t="s">
        <v>1603</v>
      </c>
      <c r="C340" s="41" t="s">
        <v>1604</v>
      </c>
      <c r="D340" s="42" t="s">
        <v>1605</v>
      </c>
      <c r="E340" s="41" t="s">
        <v>18585</v>
      </c>
      <c r="F340" s="41" t="s">
        <v>18385</v>
      </c>
      <c r="G340" s="43" t="s">
        <v>1608</v>
      </c>
      <c r="H340" s="54" t="s">
        <v>70</v>
      </c>
    </row>
    <row r="341" spans="1:8" ht="13" x14ac:dyDescent="0.3">
      <c r="A341" s="40" t="s">
        <v>17932</v>
      </c>
      <c r="B341" s="41" t="s">
        <v>7177</v>
      </c>
      <c r="C341" s="41" t="s">
        <v>7178</v>
      </c>
      <c r="D341" s="42" t="s">
        <v>7179</v>
      </c>
      <c r="E341" s="41" t="s">
        <v>18586</v>
      </c>
      <c r="F341" s="41" t="s">
        <v>7181</v>
      </c>
      <c r="G341" s="43" t="s">
        <v>128</v>
      </c>
      <c r="H341" s="54" t="s">
        <v>101</v>
      </c>
    </row>
    <row r="342" spans="1:8" ht="13" x14ac:dyDescent="0.3">
      <c r="A342" s="40" t="s">
        <v>17933</v>
      </c>
      <c r="B342" s="41" t="s">
        <v>18151</v>
      </c>
      <c r="C342" s="41" t="s">
        <v>7951</v>
      </c>
      <c r="D342" s="42" t="s">
        <v>7952</v>
      </c>
      <c r="E342" s="41" t="s">
        <v>18587</v>
      </c>
      <c r="F342" s="41" t="s">
        <v>7407</v>
      </c>
      <c r="G342" s="43" t="s">
        <v>626</v>
      </c>
      <c r="H342" s="54" t="s">
        <v>70</v>
      </c>
    </row>
    <row r="343" spans="1:8" ht="13" x14ac:dyDescent="0.3">
      <c r="A343" s="40" t="s">
        <v>5410</v>
      </c>
      <c r="B343" s="41" t="s">
        <v>18152</v>
      </c>
      <c r="C343" s="41" t="s">
        <v>5413</v>
      </c>
      <c r="D343" s="42" t="s">
        <v>5414</v>
      </c>
      <c r="E343" s="41" t="s">
        <v>18588</v>
      </c>
      <c r="F343" s="41" t="s">
        <v>5416</v>
      </c>
      <c r="G343" s="43" t="s">
        <v>248</v>
      </c>
      <c r="H343" s="54" t="s">
        <v>246</v>
      </c>
    </row>
    <row r="344" spans="1:8" ht="13" x14ac:dyDescent="0.3">
      <c r="A344" s="40" t="s">
        <v>4161</v>
      </c>
      <c r="B344" s="41" t="s">
        <v>18153</v>
      </c>
      <c r="C344" s="41" t="s">
        <v>4164</v>
      </c>
      <c r="D344" s="42" t="s">
        <v>4165</v>
      </c>
      <c r="E344" s="41" t="s">
        <v>4166</v>
      </c>
      <c r="F344" s="41" t="s">
        <v>4167</v>
      </c>
      <c r="G344" s="43" t="s">
        <v>470</v>
      </c>
      <c r="H344" s="54" t="s">
        <v>468</v>
      </c>
    </row>
    <row r="345" spans="1:8" ht="13" x14ac:dyDescent="0.3">
      <c r="A345" s="40" t="s">
        <v>5391</v>
      </c>
      <c r="B345" s="41" t="s">
        <v>18154</v>
      </c>
      <c r="C345" s="41" t="s">
        <v>5394</v>
      </c>
      <c r="D345" s="42" t="s">
        <v>5395</v>
      </c>
      <c r="E345" s="41" t="s">
        <v>18589</v>
      </c>
      <c r="F345" s="41" t="s">
        <v>647</v>
      </c>
      <c r="G345" s="43" t="s">
        <v>5397</v>
      </c>
      <c r="H345" s="54" t="s">
        <v>51</v>
      </c>
    </row>
    <row r="346" spans="1:8" ht="13" x14ac:dyDescent="0.3">
      <c r="A346" s="40" t="s">
        <v>17934</v>
      </c>
      <c r="B346" s="41" t="s">
        <v>18155</v>
      </c>
      <c r="C346" s="41" t="s">
        <v>10286</v>
      </c>
      <c r="D346" s="42" t="s">
        <v>10287</v>
      </c>
      <c r="E346" s="41" t="s">
        <v>10288</v>
      </c>
      <c r="F346" s="41" t="s">
        <v>10289</v>
      </c>
      <c r="G346" s="43" t="s">
        <v>10084</v>
      </c>
      <c r="H346" s="54" t="s">
        <v>101</v>
      </c>
    </row>
    <row r="347" spans="1:8" ht="13" x14ac:dyDescent="0.3">
      <c r="A347" s="40" t="s">
        <v>1670</v>
      </c>
      <c r="B347" s="41" t="s">
        <v>1673</v>
      </c>
      <c r="C347" s="41" t="s">
        <v>1674</v>
      </c>
      <c r="D347" s="42" t="s">
        <v>12161</v>
      </c>
      <c r="E347" s="41" t="s">
        <v>1677</v>
      </c>
      <c r="F347" s="41" t="s">
        <v>1678</v>
      </c>
      <c r="G347" s="43" t="s">
        <v>1679</v>
      </c>
      <c r="H347" s="54" t="s">
        <v>1676</v>
      </c>
    </row>
    <row r="348" spans="1:8" ht="13" x14ac:dyDescent="0.3">
      <c r="A348" s="40" t="s">
        <v>1315</v>
      </c>
      <c r="B348" s="41" t="s">
        <v>1318</v>
      </c>
      <c r="C348" s="41" t="s">
        <v>1319</v>
      </c>
      <c r="D348" s="42">
        <v>61986352313</v>
      </c>
      <c r="E348" s="41" t="s">
        <v>18590</v>
      </c>
      <c r="F348" s="41" t="s">
        <v>1321</v>
      </c>
      <c r="G348" s="43" t="s">
        <v>470</v>
      </c>
      <c r="H348" s="54" t="s">
        <v>468</v>
      </c>
    </row>
    <row r="349" spans="1:8" ht="13" x14ac:dyDescent="0.3">
      <c r="A349" s="40" t="s">
        <v>6647</v>
      </c>
      <c r="B349" s="41" t="s">
        <v>18156</v>
      </c>
      <c r="C349" s="41" t="s">
        <v>6650</v>
      </c>
      <c r="D349" s="42" t="s">
        <v>6651</v>
      </c>
      <c r="E349" s="41" t="s">
        <v>6652</v>
      </c>
      <c r="F349" s="41" t="s">
        <v>6653</v>
      </c>
      <c r="G349" s="43" t="s">
        <v>18297</v>
      </c>
      <c r="H349" s="54" t="s">
        <v>195</v>
      </c>
    </row>
    <row r="350" spans="1:8" ht="13" x14ac:dyDescent="0.3">
      <c r="A350" s="40" t="s">
        <v>17935</v>
      </c>
      <c r="B350" s="41" t="s">
        <v>18157</v>
      </c>
      <c r="C350" s="41" t="s">
        <v>8860</v>
      </c>
      <c r="D350" s="42" t="s">
        <v>8861</v>
      </c>
      <c r="E350" s="41" t="s">
        <v>18591</v>
      </c>
      <c r="F350" s="41" t="s">
        <v>12756</v>
      </c>
      <c r="G350" s="43" t="s">
        <v>18298</v>
      </c>
      <c r="H350" s="54" t="s">
        <v>1002</v>
      </c>
    </row>
    <row r="351" spans="1:8" ht="13" x14ac:dyDescent="0.3">
      <c r="A351" s="40" t="s">
        <v>17936</v>
      </c>
      <c r="B351" s="41" t="s">
        <v>18158</v>
      </c>
      <c r="C351" s="41" t="s">
        <v>9594</v>
      </c>
      <c r="D351" s="42">
        <v>21981466162</v>
      </c>
      <c r="E351" s="41" t="s">
        <v>18592</v>
      </c>
      <c r="F351" s="41" t="s">
        <v>18386</v>
      </c>
      <c r="G351" s="43" t="s">
        <v>626</v>
      </c>
      <c r="H351" s="54" t="s">
        <v>70</v>
      </c>
    </row>
    <row r="352" spans="1:8" ht="13" x14ac:dyDescent="0.3">
      <c r="A352" s="40" t="s">
        <v>17937</v>
      </c>
      <c r="B352" s="41" t="s">
        <v>18159</v>
      </c>
      <c r="C352" s="41" t="s">
        <v>9379</v>
      </c>
      <c r="D352" s="42" t="s">
        <v>9380</v>
      </c>
      <c r="E352" s="41" t="s">
        <v>18593</v>
      </c>
      <c r="F352" s="41" t="s">
        <v>9381</v>
      </c>
      <c r="G352" s="43" t="s">
        <v>470</v>
      </c>
      <c r="H352" s="54" t="s">
        <v>468</v>
      </c>
    </row>
    <row r="353" spans="1:8" ht="13" x14ac:dyDescent="0.3">
      <c r="A353" s="40" t="s">
        <v>1977</v>
      </c>
      <c r="B353" s="41" t="s">
        <v>12335</v>
      </c>
      <c r="C353" s="41" t="s">
        <v>1981</v>
      </c>
      <c r="D353" s="42" t="s">
        <v>12336</v>
      </c>
      <c r="E353" s="41" t="s">
        <v>18594</v>
      </c>
      <c r="F353" s="41" t="s">
        <v>1984</v>
      </c>
      <c r="G353" s="43" t="s">
        <v>1848</v>
      </c>
      <c r="H353" s="54" t="s">
        <v>1002</v>
      </c>
    </row>
    <row r="354" spans="1:8" ht="13" x14ac:dyDescent="0.3">
      <c r="A354" s="40" t="s">
        <v>17938</v>
      </c>
      <c r="B354" s="41" t="s">
        <v>3740</v>
      </c>
      <c r="C354" s="41" t="s">
        <v>921</v>
      </c>
      <c r="D354" s="42" t="s">
        <v>11689</v>
      </c>
      <c r="E354" s="41" t="s">
        <v>18595</v>
      </c>
      <c r="F354" s="41" t="s">
        <v>3740</v>
      </c>
      <c r="G354" s="43" t="s">
        <v>626</v>
      </c>
      <c r="H354" s="54" t="s">
        <v>70</v>
      </c>
    </row>
    <row r="355" spans="1:8" ht="13" x14ac:dyDescent="0.3">
      <c r="A355" s="40" t="s">
        <v>9771</v>
      </c>
      <c r="B355" s="41" t="s">
        <v>18160</v>
      </c>
      <c r="C355" s="41" t="s">
        <v>9774</v>
      </c>
      <c r="D355" s="42" t="s">
        <v>15786</v>
      </c>
      <c r="E355" s="41" t="s">
        <v>9776</v>
      </c>
      <c r="F355" s="41" t="s">
        <v>9960</v>
      </c>
      <c r="G355" s="43" t="s">
        <v>626</v>
      </c>
      <c r="H355" s="54" t="s">
        <v>70</v>
      </c>
    </row>
    <row r="356" spans="1:8" ht="13" x14ac:dyDescent="0.3">
      <c r="A356" s="40" t="s">
        <v>17939</v>
      </c>
      <c r="B356" s="41" t="s">
        <v>18161</v>
      </c>
      <c r="C356" s="41" t="s">
        <v>11090</v>
      </c>
      <c r="D356" s="42" t="s">
        <v>16562</v>
      </c>
      <c r="E356" s="41" t="s">
        <v>18596</v>
      </c>
      <c r="F356" s="41" t="s">
        <v>11093</v>
      </c>
      <c r="G356" s="43" t="s">
        <v>5457</v>
      </c>
      <c r="H356" s="54" t="s">
        <v>84</v>
      </c>
    </row>
    <row r="357" spans="1:8" ht="13" x14ac:dyDescent="0.3">
      <c r="A357" s="40" t="s">
        <v>10986</v>
      </c>
      <c r="B357" s="41" t="s">
        <v>18162</v>
      </c>
      <c r="C357" s="41" t="s">
        <v>10989</v>
      </c>
      <c r="D357" s="42" t="s">
        <v>16496</v>
      </c>
      <c r="E357" s="41" t="s">
        <v>10992</v>
      </c>
      <c r="F357" s="41" t="s">
        <v>16500</v>
      </c>
      <c r="G357" s="43" t="s">
        <v>10994</v>
      </c>
      <c r="H357" s="54" t="s">
        <v>10991</v>
      </c>
    </row>
    <row r="358" spans="1:8" ht="13" x14ac:dyDescent="0.3">
      <c r="A358" s="40" t="s">
        <v>17940</v>
      </c>
      <c r="B358" s="41" t="s">
        <v>18163</v>
      </c>
      <c r="C358" s="41" t="s">
        <v>10410</v>
      </c>
      <c r="D358" s="42" t="s">
        <v>16158</v>
      </c>
      <c r="E358" s="41" t="s">
        <v>10412</v>
      </c>
      <c r="F358" s="41" t="s">
        <v>10413</v>
      </c>
      <c r="G358" s="43" t="s">
        <v>10414</v>
      </c>
      <c r="H358" s="54" t="s">
        <v>101</v>
      </c>
    </row>
    <row r="359" spans="1:8" ht="13" x14ac:dyDescent="0.3">
      <c r="A359" s="40" t="s">
        <v>17941</v>
      </c>
      <c r="B359" s="41" t="s">
        <v>3740</v>
      </c>
      <c r="C359" s="41"/>
      <c r="D359" s="42" t="s">
        <v>11402</v>
      </c>
      <c r="E359" s="41" t="s">
        <v>18597</v>
      </c>
      <c r="F359" s="41" t="s">
        <v>3740</v>
      </c>
      <c r="G359" s="43" t="s">
        <v>749</v>
      </c>
      <c r="H359" s="54" t="s">
        <v>101</v>
      </c>
    </row>
    <row r="360" spans="1:8" ht="13" x14ac:dyDescent="0.3">
      <c r="A360" s="40" t="s">
        <v>17942</v>
      </c>
      <c r="B360" s="44" t="s">
        <v>3740</v>
      </c>
      <c r="C360" s="41" t="s">
        <v>938</v>
      </c>
      <c r="D360" s="42" t="s">
        <v>11699</v>
      </c>
      <c r="E360" s="41" t="s">
        <v>11698</v>
      </c>
      <c r="F360" s="44" t="s">
        <v>3740</v>
      </c>
      <c r="G360" s="43" t="s">
        <v>18299</v>
      </c>
      <c r="H360" s="54" t="s">
        <v>195</v>
      </c>
    </row>
    <row r="361" spans="1:8" ht="13" x14ac:dyDescent="0.3">
      <c r="A361" s="40" t="s">
        <v>17943</v>
      </c>
      <c r="B361" s="41" t="s">
        <v>10513</v>
      </c>
      <c r="C361" s="41" t="s">
        <v>10514</v>
      </c>
      <c r="D361" s="42" t="s">
        <v>16215</v>
      </c>
      <c r="E361" s="41" t="s">
        <v>10516</v>
      </c>
      <c r="F361" s="41" t="s">
        <v>18387</v>
      </c>
      <c r="G361" s="43" t="s">
        <v>10518</v>
      </c>
      <c r="H361" s="54" t="s">
        <v>101</v>
      </c>
    </row>
    <row r="362" spans="1:8" ht="13" x14ac:dyDescent="0.3">
      <c r="A362" s="40" t="s">
        <v>17944</v>
      </c>
      <c r="B362" s="41" t="s">
        <v>18164</v>
      </c>
      <c r="C362" s="41" t="s">
        <v>9506</v>
      </c>
      <c r="D362" s="42" t="s">
        <v>15626</v>
      </c>
      <c r="E362" s="41" t="s">
        <v>18598</v>
      </c>
      <c r="F362" s="41" t="s">
        <v>647</v>
      </c>
      <c r="G362" s="43" t="s">
        <v>626</v>
      </c>
      <c r="H362" s="54" t="s">
        <v>70</v>
      </c>
    </row>
    <row r="363" spans="1:8" ht="13" x14ac:dyDescent="0.3">
      <c r="A363" s="40" t="s">
        <v>17945</v>
      </c>
      <c r="B363" s="41" t="s">
        <v>3740</v>
      </c>
      <c r="C363" s="41"/>
      <c r="D363" s="42" t="s">
        <v>11418</v>
      </c>
      <c r="E363" s="41" t="s">
        <v>11417</v>
      </c>
      <c r="F363" s="41" t="s">
        <v>3740</v>
      </c>
      <c r="G363" s="43" t="s">
        <v>381</v>
      </c>
      <c r="H363" s="54" t="s">
        <v>379</v>
      </c>
    </row>
    <row r="364" spans="1:8" ht="13" x14ac:dyDescent="0.3">
      <c r="A364" s="40" t="s">
        <v>17946</v>
      </c>
      <c r="B364" s="41" t="s">
        <v>5745</v>
      </c>
      <c r="C364" s="41" t="s">
        <v>5746</v>
      </c>
      <c r="D364" s="42" t="s">
        <v>5747</v>
      </c>
      <c r="E364" s="41" t="s">
        <v>18599</v>
      </c>
      <c r="F364" s="41" t="s">
        <v>5748</v>
      </c>
      <c r="G364" s="43" t="s">
        <v>5749</v>
      </c>
      <c r="H364" s="54" t="s">
        <v>84</v>
      </c>
    </row>
    <row r="365" spans="1:8" ht="13" x14ac:dyDescent="0.3">
      <c r="A365" s="40" t="s">
        <v>11393</v>
      </c>
      <c r="B365" s="41" t="s">
        <v>423</v>
      </c>
      <c r="C365" s="41" t="s">
        <v>424</v>
      </c>
      <c r="D365" s="42" t="s">
        <v>425</v>
      </c>
      <c r="E365" s="41" t="s">
        <v>18600</v>
      </c>
      <c r="F365" s="41" t="s">
        <v>11396</v>
      </c>
      <c r="G365" s="43" t="s">
        <v>1255</v>
      </c>
      <c r="H365" s="54" t="s">
        <v>101</v>
      </c>
    </row>
    <row r="366" spans="1:8" ht="13" x14ac:dyDescent="0.3">
      <c r="A366" s="40" t="s">
        <v>11379</v>
      </c>
      <c r="B366" s="41" t="s">
        <v>3740</v>
      </c>
      <c r="C366" s="41"/>
      <c r="D366" s="42" t="s">
        <v>17436</v>
      </c>
      <c r="E366" s="41" t="s">
        <v>442</v>
      </c>
      <c r="F366" s="41" t="s">
        <v>11381</v>
      </c>
      <c r="G366" s="43" t="s">
        <v>443</v>
      </c>
      <c r="H366" s="54" t="s">
        <v>101</v>
      </c>
    </row>
    <row r="367" spans="1:8" ht="13" x14ac:dyDescent="0.3">
      <c r="A367" s="40" t="s">
        <v>11384</v>
      </c>
      <c r="B367" s="41" t="s">
        <v>423</v>
      </c>
      <c r="C367" s="41" t="s">
        <v>453</v>
      </c>
      <c r="D367" s="42" t="s">
        <v>454</v>
      </c>
      <c r="E367" s="41" t="s">
        <v>3740</v>
      </c>
      <c r="F367" s="41" t="s">
        <v>3740</v>
      </c>
      <c r="G367" s="43" t="s">
        <v>393</v>
      </c>
      <c r="H367" s="54" t="s">
        <v>101</v>
      </c>
    </row>
    <row r="368" spans="1:8" ht="13" x14ac:dyDescent="0.3">
      <c r="A368" s="40" t="s">
        <v>17947</v>
      </c>
      <c r="B368" s="41" t="s">
        <v>9480</v>
      </c>
      <c r="C368" s="41" t="s">
        <v>9481</v>
      </c>
      <c r="D368" s="42" t="s">
        <v>15606</v>
      </c>
      <c r="E368" s="41" t="s">
        <v>9483</v>
      </c>
      <c r="F368" s="41" t="s">
        <v>9484</v>
      </c>
      <c r="G368" s="43" t="s">
        <v>626</v>
      </c>
      <c r="H368" s="54" t="s">
        <v>70</v>
      </c>
    </row>
    <row r="369" spans="1:8" ht="13" x14ac:dyDescent="0.3">
      <c r="A369" s="40" t="s">
        <v>17948</v>
      </c>
      <c r="B369" s="41" t="s">
        <v>3740</v>
      </c>
      <c r="C369" s="41"/>
      <c r="D369" s="42" t="s">
        <v>8912</v>
      </c>
      <c r="E369" s="41" t="s">
        <v>18601</v>
      </c>
      <c r="F369" s="41" t="s">
        <v>53</v>
      </c>
      <c r="G369" s="43" t="s">
        <v>18300</v>
      </c>
      <c r="H369" s="54" t="s">
        <v>51</v>
      </c>
    </row>
    <row r="370" spans="1:8" ht="13" x14ac:dyDescent="0.3">
      <c r="A370" s="40" t="s">
        <v>1400</v>
      </c>
      <c r="B370" s="41" t="s">
        <v>3740</v>
      </c>
      <c r="C370" s="41" t="s">
        <v>1404</v>
      </c>
      <c r="D370" s="42" t="s">
        <v>11994</v>
      </c>
      <c r="E370" s="41" t="s">
        <v>11993</v>
      </c>
      <c r="F370" s="41" t="s">
        <v>1407</v>
      </c>
      <c r="G370" s="43" t="s">
        <v>177</v>
      </c>
      <c r="H370" s="54" t="s">
        <v>84</v>
      </c>
    </row>
    <row r="371" spans="1:8" ht="13" x14ac:dyDescent="0.3">
      <c r="A371" s="40" t="s">
        <v>17949</v>
      </c>
      <c r="B371" s="41" t="s">
        <v>3740</v>
      </c>
      <c r="C371" s="41"/>
      <c r="D371" s="42" t="s">
        <v>17437</v>
      </c>
      <c r="E371" s="41" t="s">
        <v>11735</v>
      </c>
      <c r="F371" s="41" t="s">
        <v>3740</v>
      </c>
      <c r="G371" s="43" t="s">
        <v>128</v>
      </c>
      <c r="H371" s="54" t="s">
        <v>101</v>
      </c>
    </row>
    <row r="372" spans="1:8" ht="13" x14ac:dyDescent="0.3">
      <c r="A372" s="40" t="s">
        <v>4936</v>
      </c>
      <c r="B372" s="41" t="s">
        <v>4939</v>
      </c>
      <c r="C372" s="41" t="s">
        <v>17438</v>
      </c>
      <c r="D372" s="42" t="s">
        <v>4941</v>
      </c>
      <c r="E372" s="41" t="s">
        <v>4942</v>
      </c>
      <c r="F372" s="41" t="s">
        <v>4943</v>
      </c>
      <c r="G372" s="43" t="s">
        <v>470</v>
      </c>
      <c r="H372" s="54" t="s">
        <v>468</v>
      </c>
    </row>
    <row r="373" spans="1:8" ht="13" x14ac:dyDescent="0.3">
      <c r="A373" s="40" t="s">
        <v>7808</v>
      </c>
      <c r="B373" s="41" t="s">
        <v>7810</v>
      </c>
      <c r="C373" s="41"/>
      <c r="D373" s="42"/>
      <c r="E373" s="41" t="s">
        <v>18602</v>
      </c>
      <c r="F373" s="41" t="s">
        <v>7812</v>
      </c>
      <c r="G373" s="43" t="s">
        <v>128</v>
      </c>
      <c r="H373" s="54" t="s">
        <v>101</v>
      </c>
    </row>
    <row r="374" spans="1:8" ht="13" x14ac:dyDescent="0.3">
      <c r="A374" s="40" t="s">
        <v>7205</v>
      </c>
      <c r="B374" s="41" t="s">
        <v>18165</v>
      </c>
      <c r="C374" s="41" t="s">
        <v>7208</v>
      </c>
      <c r="D374" s="42" t="s">
        <v>7209</v>
      </c>
      <c r="E374" s="41" t="s">
        <v>18603</v>
      </c>
      <c r="F374" s="41" t="s">
        <v>7211</v>
      </c>
      <c r="G374" s="43" t="s">
        <v>7212</v>
      </c>
      <c r="H374" s="54" t="s">
        <v>379</v>
      </c>
    </row>
    <row r="375" spans="1:8" ht="13" x14ac:dyDescent="0.3">
      <c r="A375" s="40" t="s">
        <v>17950</v>
      </c>
      <c r="B375" s="41" t="s">
        <v>4469</v>
      </c>
      <c r="C375" s="41" t="s">
        <v>4470</v>
      </c>
      <c r="D375" s="42" t="s">
        <v>4471</v>
      </c>
      <c r="E375" s="41" t="s">
        <v>18604</v>
      </c>
      <c r="F375" s="41" t="s">
        <v>4473</v>
      </c>
      <c r="G375" s="43" t="s">
        <v>1959</v>
      </c>
      <c r="H375" s="54" t="s">
        <v>1381</v>
      </c>
    </row>
    <row r="376" spans="1:8" ht="13" x14ac:dyDescent="0.3">
      <c r="A376" s="40" t="s">
        <v>5688</v>
      </c>
      <c r="B376" s="41" t="s">
        <v>18166</v>
      </c>
      <c r="C376" s="41" t="s">
        <v>5691</v>
      </c>
      <c r="D376" s="42" t="s">
        <v>5692</v>
      </c>
      <c r="E376" s="41" t="s">
        <v>18577</v>
      </c>
      <c r="F376" s="41" t="s">
        <v>5766</v>
      </c>
      <c r="G376" s="43" t="s">
        <v>5695</v>
      </c>
      <c r="H376" s="54" t="s">
        <v>5693</v>
      </c>
    </row>
    <row r="377" spans="1:8" ht="13" x14ac:dyDescent="0.3">
      <c r="A377" s="40" t="s">
        <v>17951</v>
      </c>
      <c r="B377" s="41" t="s">
        <v>3740</v>
      </c>
      <c r="C377" s="41" t="s">
        <v>466</v>
      </c>
      <c r="D377" s="42" t="s">
        <v>17439</v>
      </c>
      <c r="E377" s="41" t="s">
        <v>18605</v>
      </c>
      <c r="F377" s="41" t="s">
        <v>3740</v>
      </c>
      <c r="G377" s="43" t="s">
        <v>470</v>
      </c>
      <c r="H377" s="54" t="s">
        <v>468</v>
      </c>
    </row>
    <row r="378" spans="1:8" ht="13" x14ac:dyDescent="0.3">
      <c r="A378" s="40" t="s">
        <v>17952</v>
      </c>
      <c r="B378" s="41" t="s">
        <v>8845</v>
      </c>
      <c r="C378" s="41" t="s">
        <v>8846</v>
      </c>
      <c r="D378" s="42" t="s">
        <v>15211</v>
      </c>
      <c r="E378" s="41" t="s">
        <v>8848</v>
      </c>
      <c r="F378" s="44" t="s">
        <v>3740</v>
      </c>
      <c r="G378" s="43" t="s">
        <v>8849</v>
      </c>
      <c r="H378" s="54" t="s">
        <v>101</v>
      </c>
    </row>
    <row r="379" spans="1:8" ht="13" x14ac:dyDescent="0.3">
      <c r="A379" s="40" t="s">
        <v>4448</v>
      </c>
      <c r="B379" s="41" t="s">
        <v>18167</v>
      </c>
      <c r="C379" s="41" t="s">
        <v>4451</v>
      </c>
      <c r="D379" s="42" t="s">
        <v>4452</v>
      </c>
      <c r="E379" s="41" t="s">
        <v>4453</v>
      </c>
      <c r="F379" s="41" t="s">
        <v>4454</v>
      </c>
      <c r="G379" s="43" t="s">
        <v>266</v>
      </c>
      <c r="H379" s="54" t="s">
        <v>84</v>
      </c>
    </row>
    <row r="380" spans="1:8" ht="13" x14ac:dyDescent="0.3">
      <c r="A380" s="40" t="s">
        <v>2122</v>
      </c>
      <c r="B380" s="41" t="s">
        <v>2125</v>
      </c>
      <c r="C380" s="41" t="s">
        <v>2126</v>
      </c>
      <c r="D380" s="42" t="s">
        <v>12423</v>
      </c>
      <c r="E380" s="41" t="s">
        <v>2127</v>
      </c>
      <c r="F380" s="41" t="s">
        <v>2128</v>
      </c>
      <c r="G380" s="43" t="s">
        <v>177</v>
      </c>
      <c r="H380" s="54" t="s">
        <v>84</v>
      </c>
    </row>
    <row r="381" spans="1:8" ht="13" x14ac:dyDescent="0.3">
      <c r="A381" s="40" t="s">
        <v>6720</v>
      </c>
      <c r="B381" s="41" t="s">
        <v>18168</v>
      </c>
      <c r="C381" s="41" t="s">
        <v>6722</v>
      </c>
      <c r="D381" s="42"/>
      <c r="E381" s="41" t="s">
        <v>18606</v>
      </c>
      <c r="F381" s="41" t="s">
        <v>6724</v>
      </c>
      <c r="G381" s="43" t="s">
        <v>6725</v>
      </c>
      <c r="H381" s="54" t="s">
        <v>195</v>
      </c>
    </row>
    <row r="382" spans="1:8" ht="13" x14ac:dyDescent="0.3">
      <c r="A382" s="40" t="s">
        <v>8716</v>
      </c>
      <c r="B382" s="41" t="s">
        <v>18169</v>
      </c>
      <c r="C382" s="41" t="s">
        <v>8719</v>
      </c>
      <c r="D382" s="42" t="s">
        <v>8720</v>
      </c>
      <c r="E382" s="41" t="s">
        <v>8721</v>
      </c>
      <c r="F382" s="41" t="s">
        <v>8722</v>
      </c>
      <c r="G382" s="43" t="s">
        <v>231</v>
      </c>
      <c r="H382" s="54" t="s">
        <v>51</v>
      </c>
    </row>
    <row r="383" spans="1:8" ht="13" x14ac:dyDescent="0.3">
      <c r="A383" s="40" t="s">
        <v>17953</v>
      </c>
      <c r="B383" s="41" t="s">
        <v>3740</v>
      </c>
      <c r="C383" s="41" t="s">
        <v>228</v>
      </c>
      <c r="D383" s="42" t="s">
        <v>229</v>
      </c>
      <c r="E383" s="41" t="s">
        <v>11272</v>
      </c>
      <c r="F383" s="41" t="s">
        <v>3740</v>
      </c>
      <c r="G383" s="43" t="s">
        <v>231</v>
      </c>
      <c r="H383" s="54" t="s">
        <v>51</v>
      </c>
    </row>
    <row r="384" spans="1:8" ht="13" x14ac:dyDescent="0.3">
      <c r="A384" s="40" t="s">
        <v>5432</v>
      </c>
      <c r="B384" s="41" t="s">
        <v>5435</v>
      </c>
      <c r="C384" s="41" t="s">
        <v>5436</v>
      </c>
      <c r="D384" s="42" t="s">
        <v>5437</v>
      </c>
      <c r="E384" s="41" t="s">
        <v>18607</v>
      </c>
      <c r="F384" s="41" t="s">
        <v>5438</v>
      </c>
      <c r="G384" s="43" t="s">
        <v>248</v>
      </c>
      <c r="H384" s="54" t="s">
        <v>246</v>
      </c>
    </row>
    <row r="385" spans="1:8" ht="13" x14ac:dyDescent="0.3">
      <c r="A385" s="40" t="s">
        <v>17954</v>
      </c>
      <c r="B385" s="41" t="s">
        <v>9009</v>
      </c>
      <c r="C385" s="41" t="s">
        <v>9010</v>
      </c>
      <c r="D385" s="42" t="s">
        <v>18708</v>
      </c>
      <c r="E385" s="41" t="s">
        <v>18608</v>
      </c>
      <c r="F385" s="41" t="s">
        <v>9012</v>
      </c>
      <c r="G385" s="43" t="s">
        <v>9013</v>
      </c>
      <c r="H385" s="54" t="s">
        <v>195</v>
      </c>
    </row>
    <row r="386" spans="1:8" ht="13" x14ac:dyDescent="0.3">
      <c r="A386" s="40" t="s">
        <v>2167</v>
      </c>
      <c r="B386" s="41" t="s">
        <v>2170</v>
      </c>
      <c r="C386" s="41" t="s">
        <v>2171</v>
      </c>
      <c r="D386" s="42" t="s">
        <v>12458</v>
      </c>
      <c r="E386" s="41" t="s">
        <v>12457</v>
      </c>
      <c r="F386" s="41" t="s">
        <v>647</v>
      </c>
      <c r="G386" s="43" t="s">
        <v>2174</v>
      </c>
      <c r="H386" s="54" t="s">
        <v>84</v>
      </c>
    </row>
    <row r="387" spans="1:8" ht="13" x14ac:dyDescent="0.3">
      <c r="A387" s="40" t="s">
        <v>12573</v>
      </c>
      <c r="B387" s="41" t="s">
        <v>2376</v>
      </c>
      <c r="C387" s="41" t="s">
        <v>2377</v>
      </c>
      <c r="D387" s="42" t="s">
        <v>12576</v>
      </c>
      <c r="E387" s="41" t="s">
        <v>18609</v>
      </c>
      <c r="F387" s="41" t="s">
        <v>647</v>
      </c>
      <c r="G387" s="43" t="s">
        <v>470</v>
      </c>
      <c r="H387" s="54" t="s">
        <v>468</v>
      </c>
    </row>
    <row r="388" spans="1:8" ht="13" x14ac:dyDescent="0.3">
      <c r="A388" s="40" t="s">
        <v>17955</v>
      </c>
      <c r="B388" s="41" t="s">
        <v>6329</v>
      </c>
      <c r="C388" s="41" t="s">
        <v>6330</v>
      </c>
      <c r="D388" s="42" t="s">
        <v>6331</v>
      </c>
      <c r="E388" s="41" t="s">
        <v>6332</v>
      </c>
      <c r="F388" s="41" t="s">
        <v>3254</v>
      </c>
      <c r="G388" s="43" t="s">
        <v>409</v>
      </c>
      <c r="H388" s="54" t="s">
        <v>407</v>
      </c>
    </row>
    <row r="389" spans="1:8" ht="13" x14ac:dyDescent="0.3">
      <c r="A389" s="40" t="s">
        <v>17956</v>
      </c>
      <c r="B389" s="41" t="s">
        <v>9621</v>
      </c>
      <c r="C389" s="41" t="s">
        <v>9622</v>
      </c>
      <c r="D389" s="42" t="s">
        <v>17440</v>
      </c>
      <c r="E389" s="41" t="s">
        <v>18610</v>
      </c>
      <c r="F389" s="41" t="s">
        <v>9625</v>
      </c>
      <c r="G389" s="43" t="s">
        <v>9626</v>
      </c>
      <c r="H389" s="54" t="s">
        <v>70</v>
      </c>
    </row>
    <row r="390" spans="1:8" ht="13" x14ac:dyDescent="0.3">
      <c r="A390" s="40" t="s">
        <v>17957</v>
      </c>
      <c r="B390" s="41" t="s">
        <v>18170</v>
      </c>
      <c r="C390" s="41" t="s">
        <v>10116</v>
      </c>
      <c r="D390" s="42" t="s">
        <v>15991</v>
      </c>
      <c r="E390" s="41" t="s">
        <v>10118</v>
      </c>
      <c r="F390" s="41" t="s">
        <v>10119</v>
      </c>
      <c r="G390" s="43" t="s">
        <v>128</v>
      </c>
      <c r="H390" s="54" t="s">
        <v>101</v>
      </c>
    </row>
    <row r="391" spans="1:8" ht="13" x14ac:dyDescent="0.3">
      <c r="A391" s="40" t="s">
        <v>17441</v>
      </c>
      <c r="B391" s="41" t="s">
        <v>6041</v>
      </c>
      <c r="C391" s="41" t="s">
        <v>6042</v>
      </c>
      <c r="D391" s="42" t="s">
        <v>6043</v>
      </c>
      <c r="E391" s="41" t="s">
        <v>6044</v>
      </c>
      <c r="F391" s="41" t="s">
        <v>5628</v>
      </c>
      <c r="G391" s="43" t="s">
        <v>1562</v>
      </c>
      <c r="H391" s="54" t="s">
        <v>379</v>
      </c>
    </row>
    <row r="392" spans="1:8" ht="13" x14ac:dyDescent="0.3">
      <c r="A392" s="40" t="s">
        <v>7507</v>
      </c>
      <c r="B392" s="41" t="s">
        <v>18171</v>
      </c>
      <c r="C392" s="41" t="s">
        <v>7510</v>
      </c>
      <c r="D392" s="42" t="s">
        <v>7511</v>
      </c>
      <c r="E392" s="41" t="s">
        <v>18611</v>
      </c>
      <c r="F392" s="41" t="s">
        <v>14557</v>
      </c>
      <c r="G392" s="43" t="s">
        <v>4978</v>
      </c>
      <c r="H392" s="54" t="s">
        <v>1871</v>
      </c>
    </row>
    <row r="393" spans="1:8" ht="13" x14ac:dyDescent="0.3">
      <c r="A393" s="40" t="s">
        <v>17958</v>
      </c>
      <c r="B393" s="44" t="s">
        <v>3740</v>
      </c>
      <c r="C393" s="44"/>
      <c r="D393" s="42" t="s">
        <v>11522</v>
      </c>
      <c r="E393" s="41" t="s">
        <v>18612</v>
      </c>
      <c r="F393" s="44" t="s">
        <v>3740</v>
      </c>
      <c r="G393" s="43" t="s">
        <v>760</v>
      </c>
      <c r="H393" s="54" t="s">
        <v>70</v>
      </c>
    </row>
    <row r="394" spans="1:8" ht="13" x14ac:dyDescent="0.3">
      <c r="A394" s="40" t="s">
        <v>4176</v>
      </c>
      <c r="B394" s="41" t="s">
        <v>18172</v>
      </c>
      <c r="C394" s="41" t="s">
        <v>4180</v>
      </c>
      <c r="D394" s="42" t="s">
        <v>4181</v>
      </c>
      <c r="E394" s="41" t="s">
        <v>4182</v>
      </c>
      <c r="F394" s="41" t="s">
        <v>4183</v>
      </c>
      <c r="G394" s="43" t="s">
        <v>470</v>
      </c>
      <c r="H394" s="54" t="s">
        <v>468</v>
      </c>
    </row>
    <row r="395" spans="1:8" ht="13" x14ac:dyDescent="0.3">
      <c r="A395" s="40" t="s">
        <v>10901</v>
      </c>
      <c r="B395" s="41" t="s">
        <v>18173</v>
      </c>
      <c r="C395" s="41" t="s">
        <v>10904</v>
      </c>
      <c r="D395" s="42" t="s">
        <v>16443</v>
      </c>
      <c r="E395" s="41" t="s">
        <v>18613</v>
      </c>
      <c r="F395" s="41" t="s">
        <v>9952</v>
      </c>
      <c r="G395" s="43" t="s">
        <v>626</v>
      </c>
      <c r="H395" s="54" t="s">
        <v>70</v>
      </c>
    </row>
    <row r="396" spans="1:8" ht="13" x14ac:dyDescent="0.3">
      <c r="A396" s="40" t="s">
        <v>17959</v>
      </c>
      <c r="B396" s="41" t="s">
        <v>10188</v>
      </c>
      <c r="C396" s="41" t="s">
        <v>10189</v>
      </c>
      <c r="D396" s="42" t="s">
        <v>10190</v>
      </c>
      <c r="E396" s="41" t="s">
        <v>18614</v>
      </c>
      <c r="F396" s="41" t="s">
        <v>10192</v>
      </c>
      <c r="G396" s="43" t="s">
        <v>128</v>
      </c>
      <c r="H396" s="54" t="s">
        <v>101</v>
      </c>
    </row>
    <row r="397" spans="1:8" ht="13" x14ac:dyDescent="0.3">
      <c r="A397" s="40" t="s">
        <v>17960</v>
      </c>
      <c r="B397" s="41" t="s">
        <v>18174</v>
      </c>
      <c r="C397" s="41" t="s">
        <v>10095</v>
      </c>
      <c r="D397" s="42" t="s">
        <v>15983</v>
      </c>
      <c r="E397" s="41" t="s">
        <v>10097</v>
      </c>
      <c r="F397" s="41" t="s">
        <v>10098</v>
      </c>
      <c r="G397" s="43" t="s">
        <v>128</v>
      </c>
      <c r="H397" s="54" t="s">
        <v>101</v>
      </c>
    </row>
    <row r="398" spans="1:8" ht="13" x14ac:dyDescent="0.3">
      <c r="A398" s="40" t="s">
        <v>10661</v>
      </c>
      <c r="B398" s="41" t="s">
        <v>10663</v>
      </c>
      <c r="C398" s="41" t="s">
        <v>10664</v>
      </c>
      <c r="D398" s="42" t="s">
        <v>10665</v>
      </c>
      <c r="E398" s="41" t="s">
        <v>10666</v>
      </c>
      <c r="F398" s="41" t="s">
        <v>3254</v>
      </c>
      <c r="G398" s="43" t="s">
        <v>128</v>
      </c>
      <c r="H398" s="54" t="s">
        <v>101</v>
      </c>
    </row>
    <row r="399" spans="1:8" ht="13" x14ac:dyDescent="0.3">
      <c r="A399" s="40" t="s">
        <v>5223</v>
      </c>
      <c r="B399" s="41" t="s">
        <v>18175</v>
      </c>
      <c r="C399" s="41" t="s">
        <v>5227</v>
      </c>
      <c r="D399" s="42" t="s">
        <v>5228</v>
      </c>
      <c r="E399" s="41" t="s">
        <v>5229</v>
      </c>
      <c r="F399" s="41" t="s">
        <v>5230</v>
      </c>
      <c r="G399" s="43" t="s">
        <v>18301</v>
      </c>
      <c r="H399" s="54" t="s">
        <v>379</v>
      </c>
    </row>
    <row r="400" spans="1:8" ht="13" x14ac:dyDescent="0.3">
      <c r="A400" s="40" t="s">
        <v>5843</v>
      </c>
      <c r="B400" s="41" t="s">
        <v>18176</v>
      </c>
      <c r="C400" s="41" t="s">
        <v>5847</v>
      </c>
      <c r="D400" s="42" t="s">
        <v>5848</v>
      </c>
      <c r="E400" s="41" t="s">
        <v>5849</v>
      </c>
      <c r="F400" s="41" t="s">
        <v>5318</v>
      </c>
      <c r="G400" s="43" t="s">
        <v>470</v>
      </c>
      <c r="H400" s="54" t="s">
        <v>468</v>
      </c>
    </row>
    <row r="401" spans="1:8" ht="13" x14ac:dyDescent="0.3">
      <c r="A401" s="40" t="s">
        <v>17961</v>
      </c>
      <c r="B401" s="44" t="s">
        <v>3740</v>
      </c>
      <c r="C401" s="41" t="s">
        <v>11529</v>
      </c>
      <c r="D401" s="42" t="s">
        <v>17442</v>
      </c>
      <c r="E401" s="41" t="s">
        <v>18615</v>
      </c>
      <c r="F401" s="44" t="s">
        <v>3740</v>
      </c>
      <c r="G401" s="43" t="s">
        <v>780</v>
      </c>
      <c r="H401" s="54" t="s">
        <v>295</v>
      </c>
    </row>
    <row r="402" spans="1:8" ht="13" x14ac:dyDescent="0.3">
      <c r="A402" s="40" t="s">
        <v>17962</v>
      </c>
      <c r="B402" s="41" t="s">
        <v>7697</v>
      </c>
      <c r="C402" s="41" t="s">
        <v>7698</v>
      </c>
      <c r="D402" s="42" t="s">
        <v>18707</v>
      </c>
      <c r="E402" s="41" t="s">
        <v>18616</v>
      </c>
      <c r="F402" s="41" t="s">
        <v>7700</v>
      </c>
      <c r="G402" s="43" t="s">
        <v>128</v>
      </c>
      <c r="H402" s="54" t="s">
        <v>101</v>
      </c>
    </row>
    <row r="403" spans="1:8" ht="13" x14ac:dyDescent="0.3">
      <c r="A403" s="40" t="s">
        <v>6616</v>
      </c>
      <c r="B403" s="41" t="s">
        <v>18177</v>
      </c>
      <c r="C403" s="41" t="s">
        <v>6619</v>
      </c>
      <c r="D403" s="42" t="s">
        <v>6620</v>
      </c>
      <c r="E403" s="41" t="s">
        <v>6621</v>
      </c>
      <c r="F403" s="41" t="s">
        <v>6622</v>
      </c>
      <c r="G403" s="43" t="s">
        <v>2217</v>
      </c>
      <c r="H403" s="54" t="s">
        <v>1171</v>
      </c>
    </row>
    <row r="404" spans="1:8" ht="13" x14ac:dyDescent="0.3">
      <c r="A404" s="40" t="s">
        <v>17963</v>
      </c>
      <c r="B404" s="41" t="s">
        <v>6027</v>
      </c>
      <c r="C404" s="41" t="s">
        <v>6028</v>
      </c>
      <c r="D404" s="42" t="s">
        <v>6029</v>
      </c>
      <c r="E404" s="41" t="s">
        <v>18617</v>
      </c>
      <c r="F404" s="41" t="s">
        <v>6031</v>
      </c>
      <c r="G404" s="43" t="s">
        <v>381</v>
      </c>
      <c r="H404" s="54" t="s">
        <v>379</v>
      </c>
    </row>
    <row r="405" spans="1:8" ht="13" x14ac:dyDescent="0.3">
      <c r="A405" s="40" t="s">
        <v>17964</v>
      </c>
      <c r="B405" s="44" t="s">
        <v>3740</v>
      </c>
      <c r="C405" s="41" t="s">
        <v>8932</v>
      </c>
      <c r="D405" s="42">
        <v>11996124457</v>
      </c>
      <c r="E405" s="41" t="s">
        <v>18618</v>
      </c>
      <c r="F405" s="41" t="s">
        <v>8933</v>
      </c>
      <c r="G405" s="43" t="s">
        <v>2594</v>
      </c>
      <c r="H405" s="54" t="s">
        <v>84</v>
      </c>
    </row>
    <row r="406" spans="1:8" ht="13" x14ac:dyDescent="0.3">
      <c r="A406" s="40" t="s">
        <v>2082</v>
      </c>
      <c r="B406" s="41" t="s">
        <v>18178</v>
      </c>
      <c r="C406" s="41" t="s">
        <v>2086</v>
      </c>
      <c r="D406" s="42" t="s">
        <v>12397</v>
      </c>
      <c r="E406" s="41" t="s">
        <v>18619</v>
      </c>
      <c r="F406" s="41" t="s">
        <v>647</v>
      </c>
      <c r="G406" s="43" t="s">
        <v>2089</v>
      </c>
      <c r="H406" s="54" t="s">
        <v>468</v>
      </c>
    </row>
    <row r="407" spans="1:8" ht="13" x14ac:dyDescent="0.3">
      <c r="A407" s="40" t="s">
        <v>17965</v>
      </c>
      <c r="B407" s="41" t="s">
        <v>8038</v>
      </c>
      <c r="C407" s="41" t="s">
        <v>8039</v>
      </c>
      <c r="D407" s="42" t="s">
        <v>8040</v>
      </c>
      <c r="E407" s="41" t="s">
        <v>8041</v>
      </c>
      <c r="F407" s="41" t="s">
        <v>8042</v>
      </c>
      <c r="G407" s="43" t="s">
        <v>626</v>
      </c>
      <c r="H407" s="54" t="s">
        <v>70</v>
      </c>
    </row>
    <row r="408" spans="1:8" ht="13" x14ac:dyDescent="0.3">
      <c r="A408" s="40" t="s">
        <v>17966</v>
      </c>
      <c r="B408" s="41" t="s">
        <v>18179</v>
      </c>
      <c r="C408" s="41" t="s">
        <v>10766</v>
      </c>
      <c r="D408" s="42" t="s">
        <v>10767</v>
      </c>
      <c r="E408" s="41" t="s">
        <v>10768</v>
      </c>
      <c r="F408" s="41" t="s">
        <v>10769</v>
      </c>
      <c r="G408" s="43" t="s">
        <v>128</v>
      </c>
      <c r="H408" s="54" t="s">
        <v>101</v>
      </c>
    </row>
    <row r="409" spans="1:8" ht="13" x14ac:dyDescent="0.3">
      <c r="A409" s="40" t="s">
        <v>17967</v>
      </c>
      <c r="B409" s="41" t="s">
        <v>18180</v>
      </c>
      <c r="C409" s="41" t="s">
        <v>9549</v>
      </c>
      <c r="D409" s="42" t="s">
        <v>15657</v>
      </c>
      <c r="E409" s="41" t="s">
        <v>18620</v>
      </c>
      <c r="F409" s="41" t="s">
        <v>9552</v>
      </c>
      <c r="G409" s="43" t="s">
        <v>789</v>
      </c>
      <c r="H409" s="54" t="s">
        <v>295</v>
      </c>
    </row>
    <row r="410" spans="1:8" ht="13" x14ac:dyDescent="0.3">
      <c r="A410" s="40" t="s">
        <v>8484</v>
      </c>
      <c r="B410" s="41" t="s">
        <v>18181</v>
      </c>
      <c r="C410" s="41" t="s">
        <v>8487</v>
      </c>
      <c r="D410" s="42" t="s">
        <v>8488</v>
      </c>
      <c r="E410" s="41" t="s">
        <v>15040</v>
      </c>
      <c r="F410" s="41" t="s">
        <v>18388</v>
      </c>
      <c r="G410" s="43" t="s">
        <v>7583</v>
      </c>
      <c r="H410" s="54" t="s">
        <v>6781</v>
      </c>
    </row>
    <row r="411" spans="1:8" ht="13" x14ac:dyDescent="0.3">
      <c r="A411" s="40" t="s">
        <v>11487</v>
      </c>
      <c r="B411" s="44" t="s">
        <v>3740</v>
      </c>
      <c r="C411" s="41" t="s">
        <v>603</v>
      </c>
      <c r="D411" s="42" t="s">
        <v>11489</v>
      </c>
      <c r="E411" s="41" t="s">
        <v>18621</v>
      </c>
      <c r="F411" s="44" t="s">
        <v>3740</v>
      </c>
      <c r="G411" s="43" t="s">
        <v>607</v>
      </c>
      <c r="H411" s="54" t="s">
        <v>605</v>
      </c>
    </row>
    <row r="412" spans="1:8" ht="13" x14ac:dyDescent="0.3">
      <c r="A412" s="40" t="s">
        <v>9884</v>
      </c>
      <c r="B412" s="41" t="s">
        <v>18182</v>
      </c>
      <c r="C412" s="41" t="s">
        <v>9887</v>
      </c>
      <c r="D412" s="42" t="s">
        <v>9888</v>
      </c>
      <c r="E412" s="41" t="s">
        <v>18622</v>
      </c>
      <c r="F412" s="41" t="s">
        <v>647</v>
      </c>
      <c r="G412" s="43" t="s">
        <v>789</v>
      </c>
      <c r="H412" s="54" t="s">
        <v>295</v>
      </c>
    </row>
    <row r="413" spans="1:8" ht="13" x14ac:dyDescent="0.3">
      <c r="A413" s="40" t="s">
        <v>4212</v>
      </c>
      <c r="B413" s="41" t="s">
        <v>4214</v>
      </c>
      <c r="C413" s="41" t="s">
        <v>4215</v>
      </c>
      <c r="D413" s="42" t="s">
        <v>4216</v>
      </c>
      <c r="E413" s="41" t="s">
        <v>4217</v>
      </c>
      <c r="F413" s="41" t="s">
        <v>4218</v>
      </c>
      <c r="G413" s="43" t="s">
        <v>4219</v>
      </c>
      <c r="H413" s="54" t="s">
        <v>468</v>
      </c>
    </row>
    <row r="414" spans="1:8" ht="13" x14ac:dyDescent="0.3">
      <c r="A414" s="40" t="s">
        <v>17968</v>
      </c>
      <c r="B414" s="44" t="s">
        <v>3740</v>
      </c>
      <c r="C414" s="41" t="s">
        <v>956</v>
      </c>
      <c r="D414" s="42" t="s">
        <v>11718</v>
      </c>
      <c r="E414" s="41" t="s">
        <v>11717</v>
      </c>
      <c r="F414" s="44" t="s">
        <v>3740</v>
      </c>
      <c r="G414" s="43" t="s">
        <v>443</v>
      </c>
      <c r="H414" s="54" t="s">
        <v>101</v>
      </c>
    </row>
    <row r="415" spans="1:8" ht="13" x14ac:dyDescent="0.3">
      <c r="A415" s="40" t="s">
        <v>17969</v>
      </c>
      <c r="B415" s="41" t="s">
        <v>18183</v>
      </c>
      <c r="C415" s="41" t="s">
        <v>8247</v>
      </c>
      <c r="D415" s="42" t="s">
        <v>8248</v>
      </c>
      <c r="E415" s="41" t="s">
        <v>8249</v>
      </c>
      <c r="F415" s="41" t="s">
        <v>8250</v>
      </c>
      <c r="G415" s="43" t="s">
        <v>128</v>
      </c>
      <c r="H415" s="54" t="s">
        <v>101</v>
      </c>
    </row>
    <row r="416" spans="1:8" ht="13" x14ac:dyDescent="0.3">
      <c r="A416" s="40" t="s">
        <v>1841</v>
      </c>
      <c r="B416" s="41" t="s">
        <v>1843</v>
      </c>
      <c r="C416" s="41" t="s">
        <v>1844</v>
      </c>
      <c r="D416" s="42" t="s">
        <v>12259</v>
      </c>
      <c r="E416" s="41" t="s">
        <v>12258</v>
      </c>
      <c r="F416" s="41" t="s">
        <v>1847</v>
      </c>
      <c r="G416" s="43" t="s">
        <v>12260</v>
      </c>
      <c r="H416" s="54" t="s">
        <v>1002</v>
      </c>
    </row>
    <row r="417" spans="1:8" ht="13" x14ac:dyDescent="0.3">
      <c r="A417" s="40" t="s">
        <v>17970</v>
      </c>
      <c r="B417" s="44" t="s">
        <v>3740</v>
      </c>
      <c r="C417" s="41" t="s">
        <v>157</v>
      </c>
      <c r="D417" s="42" t="s">
        <v>11226</v>
      </c>
      <c r="E417" s="41" t="s">
        <v>11224</v>
      </c>
      <c r="F417" s="41" t="s">
        <v>11225</v>
      </c>
      <c r="G417" s="43" t="s">
        <v>128</v>
      </c>
      <c r="H417" s="54" t="s">
        <v>101</v>
      </c>
    </row>
    <row r="418" spans="1:8" ht="13" x14ac:dyDescent="0.3">
      <c r="A418" s="40" t="s">
        <v>17971</v>
      </c>
      <c r="B418" s="41" t="s">
        <v>18184</v>
      </c>
      <c r="C418" s="44"/>
      <c r="D418" s="42" t="s">
        <v>11836</v>
      </c>
      <c r="E418" s="41" t="s">
        <v>1148</v>
      </c>
      <c r="F418" s="44" t="s">
        <v>3740</v>
      </c>
      <c r="G418" s="43" t="s">
        <v>1149</v>
      </c>
      <c r="H418" s="54" t="s">
        <v>557</v>
      </c>
    </row>
    <row r="419" spans="1:8" ht="13" x14ac:dyDescent="0.3">
      <c r="A419" s="40" t="s">
        <v>17972</v>
      </c>
      <c r="B419" s="41" t="s">
        <v>10947</v>
      </c>
      <c r="C419" s="41" t="s">
        <v>10948</v>
      </c>
      <c r="D419" s="42" t="s">
        <v>18706</v>
      </c>
      <c r="E419" s="41" t="s">
        <v>10949</v>
      </c>
      <c r="F419" s="41" t="s">
        <v>10950</v>
      </c>
      <c r="G419" s="43" t="s">
        <v>5680</v>
      </c>
      <c r="H419" s="54" t="s">
        <v>5676</v>
      </c>
    </row>
    <row r="420" spans="1:8" ht="13" x14ac:dyDescent="0.3">
      <c r="A420" s="40" t="s">
        <v>17973</v>
      </c>
      <c r="B420" s="41" t="s">
        <v>9605</v>
      </c>
      <c r="C420" s="41" t="s">
        <v>9606</v>
      </c>
      <c r="D420" s="42" t="s">
        <v>15690</v>
      </c>
      <c r="E420" s="41" t="s">
        <v>18623</v>
      </c>
      <c r="F420" s="41" t="s">
        <v>9609</v>
      </c>
      <c r="G420" s="43" t="s">
        <v>18278</v>
      </c>
      <c r="H420" s="54" t="s">
        <v>70</v>
      </c>
    </row>
    <row r="421" spans="1:8" ht="13" x14ac:dyDescent="0.3">
      <c r="A421" s="40" t="s">
        <v>17974</v>
      </c>
      <c r="B421" s="44" t="s">
        <v>3740</v>
      </c>
      <c r="C421" s="41" t="s">
        <v>1072</v>
      </c>
      <c r="D421" s="42" t="s">
        <v>11795</v>
      </c>
      <c r="E421" s="41" t="s">
        <v>11794</v>
      </c>
      <c r="F421" s="44" t="s">
        <v>3740</v>
      </c>
      <c r="G421" s="43" t="s">
        <v>128</v>
      </c>
      <c r="H421" s="54" t="s">
        <v>101</v>
      </c>
    </row>
    <row r="422" spans="1:8" ht="13" x14ac:dyDescent="0.3">
      <c r="A422" s="40" t="s">
        <v>17975</v>
      </c>
      <c r="B422" s="41" t="s">
        <v>5049</v>
      </c>
      <c r="C422" s="41" t="s">
        <v>5050</v>
      </c>
      <c r="D422" s="42" t="s">
        <v>5051</v>
      </c>
      <c r="E422" s="41" t="s">
        <v>18624</v>
      </c>
      <c r="F422" s="41" t="s">
        <v>5053</v>
      </c>
      <c r="G422" s="43" t="s">
        <v>470</v>
      </c>
      <c r="H422" s="54" t="s">
        <v>468</v>
      </c>
    </row>
    <row r="423" spans="1:8" ht="13" x14ac:dyDescent="0.3">
      <c r="A423" s="40" t="s">
        <v>8317</v>
      </c>
      <c r="B423" s="41" t="s">
        <v>8319</v>
      </c>
      <c r="C423" s="41" t="s">
        <v>8320</v>
      </c>
      <c r="D423" s="42" t="s">
        <v>8321</v>
      </c>
      <c r="E423" s="41" t="s">
        <v>18625</v>
      </c>
      <c r="F423" s="41" t="s">
        <v>8323</v>
      </c>
      <c r="G423" s="43" t="s">
        <v>393</v>
      </c>
      <c r="H423" s="54" t="s">
        <v>101</v>
      </c>
    </row>
    <row r="424" spans="1:8" ht="13" x14ac:dyDescent="0.3">
      <c r="A424" s="40" t="s">
        <v>17976</v>
      </c>
      <c r="B424" s="41" t="s">
        <v>18185</v>
      </c>
      <c r="C424" s="41" t="s">
        <v>6844</v>
      </c>
      <c r="D424" s="42" t="s">
        <v>6845</v>
      </c>
      <c r="E424" s="41" t="s">
        <v>231</v>
      </c>
      <c r="F424" s="41" t="s">
        <v>6846</v>
      </c>
      <c r="G424" s="43" t="s">
        <v>128</v>
      </c>
      <c r="H424" s="54" t="s">
        <v>101</v>
      </c>
    </row>
    <row r="425" spans="1:8" ht="13" x14ac:dyDescent="0.3">
      <c r="A425" s="40" t="s">
        <v>10867</v>
      </c>
      <c r="B425" s="41" t="s">
        <v>18186</v>
      </c>
      <c r="C425" s="41" t="s">
        <v>10870</v>
      </c>
      <c r="D425" s="42" t="s">
        <v>16422</v>
      </c>
      <c r="E425" s="41" t="s">
        <v>10872</v>
      </c>
      <c r="F425" s="41" t="s">
        <v>7082</v>
      </c>
      <c r="G425" s="43" t="s">
        <v>1580</v>
      </c>
      <c r="H425" s="54" t="s">
        <v>101</v>
      </c>
    </row>
    <row r="426" spans="1:8" ht="13" x14ac:dyDescent="0.3">
      <c r="A426" s="40" t="s">
        <v>6985</v>
      </c>
      <c r="B426" s="41" t="s">
        <v>6987</v>
      </c>
      <c r="C426" s="41" t="s">
        <v>6988</v>
      </c>
      <c r="D426" s="42" t="s">
        <v>6989</v>
      </c>
      <c r="E426" s="41" t="s">
        <v>6990</v>
      </c>
      <c r="F426" s="41" t="s">
        <v>6991</v>
      </c>
      <c r="G426" s="43" t="s">
        <v>128</v>
      </c>
      <c r="H426" s="54" t="s">
        <v>101</v>
      </c>
    </row>
    <row r="427" spans="1:8" ht="13" x14ac:dyDescent="0.3">
      <c r="A427" s="40" t="s">
        <v>4021</v>
      </c>
      <c r="B427" s="41" t="s">
        <v>4022</v>
      </c>
      <c r="C427" s="41" t="s">
        <v>4023</v>
      </c>
      <c r="D427" s="42" t="s">
        <v>4024</v>
      </c>
      <c r="E427" s="41" t="s">
        <v>18626</v>
      </c>
      <c r="F427" s="41" t="s">
        <v>647</v>
      </c>
      <c r="G427" s="43" t="s">
        <v>4027</v>
      </c>
      <c r="H427" s="54" t="s">
        <v>51</v>
      </c>
    </row>
    <row r="428" spans="1:8" ht="13" x14ac:dyDescent="0.3">
      <c r="A428" s="40" t="s">
        <v>1331</v>
      </c>
      <c r="B428" s="41" t="s">
        <v>1334</v>
      </c>
      <c r="C428" s="41" t="s">
        <v>1335</v>
      </c>
      <c r="D428" s="42" t="s">
        <v>1336</v>
      </c>
      <c r="E428" s="41" t="s">
        <v>11970</v>
      </c>
      <c r="F428" s="41" t="s">
        <v>17098</v>
      </c>
      <c r="G428" s="43" t="s">
        <v>1339</v>
      </c>
      <c r="H428" s="54" t="s">
        <v>84</v>
      </c>
    </row>
    <row r="429" spans="1:8" ht="13" x14ac:dyDescent="0.3">
      <c r="A429" s="40" t="s">
        <v>17977</v>
      </c>
      <c r="B429" s="41" t="s">
        <v>18187</v>
      </c>
      <c r="C429" s="41" t="s">
        <v>4955</v>
      </c>
      <c r="D429" s="42" t="s">
        <v>4956</v>
      </c>
      <c r="E429" s="41" t="s">
        <v>18627</v>
      </c>
      <c r="F429" s="41" t="s">
        <v>647</v>
      </c>
      <c r="G429" s="43" t="s">
        <v>4958</v>
      </c>
      <c r="H429" s="54" t="s">
        <v>468</v>
      </c>
    </row>
    <row r="430" spans="1:8" ht="13" x14ac:dyDescent="0.3">
      <c r="A430" s="40" t="s">
        <v>5711</v>
      </c>
      <c r="B430" s="41" t="s">
        <v>18188</v>
      </c>
      <c r="C430" s="41" t="s">
        <v>5715</v>
      </c>
      <c r="D430" s="42" t="s">
        <v>18705</v>
      </c>
      <c r="E430" s="41" t="s">
        <v>18628</v>
      </c>
      <c r="F430" s="41" t="s">
        <v>9014</v>
      </c>
      <c r="G430" s="43" t="s">
        <v>5717</v>
      </c>
      <c r="H430" s="54" t="s">
        <v>1002</v>
      </c>
    </row>
    <row r="431" spans="1:8" ht="13" x14ac:dyDescent="0.3">
      <c r="A431" s="40" t="s">
        <v>17978</v>
      </c>
      <c r="B431" s="41" t="s">
        <v>4195</v>
      </c>
      <c r="C431" s="41" t="s">
        <v>4196</v>
      </c>
      <c r="D431" s="42" t="s">
        <v>4197</v>
      </c>
      <c r="E431" s="41" t="s">
        <v>4198</v>
      </c>
      <c r="F431" s="41" t="s">
        <v>4199</v>
      </c>
      <c r="G431" s="43" t="s">
        <v>248</v>
      </c>
      <c r="H431" s="54" t="s">
        <v>246</v>
      </c>
    </row>
    <row r="432" spans="1:8" ht="13" x14ac:dyDescent="0.3">
      <c r="A432" s="40" t="s">
        <v>17979</v>
      </c>
      <c r="B432" s="41" t="s">
        <v>18189</v>
      </c>
      <c r="C432" s="41" t="s">
        <v>8332</v>
      </c>
      <c r="D432" s="42" t="s">
        <v>8333</v>
      </c>
      <c r="E432" s="41" t="s">
        <v>8334</v>
      </c>
      <c r="F432" s="41" t="s">
        <v>647</v>
      </c>
      <c r="G432" s="43" t="s">
        <v>128</v>
      </c>
      <c r="H432" s="54" t="s">
        <v>101</v>
      </c>
    </row>
    <row r="433" spans="1:8" ht="13" x14ac:dyDescent="0.3">
      <c r="A433" s="40" t="s">
        <v>17980</v>
      </c>
      <c r="B433" s="41" t="s">
        <v>18190</v>
      </c>
      <c r="C433" s="41" t="s">
        <v>5638</v>
      </c>
      <c r="D433" s="42" t="s">
        <v>5639</v>
      </c>
      <c r="E433" s="41" t="s">
        <v>5640</v>
      </c>
      <c r="F433" s="41" t="s">
        <v>5641</v>
      </c>
      <c r="G433" s="43" t="s">
        <v>5642</v>
      </c>
      <c r="H433" s="54" t="s">
        <v>84</v>
      </c>
    </row>
    <row r="434" spans="1:8" ht="13" x14ac:dyDescent="0.3">
      <c r="A434" s="40" t="s">
        <v>17981</v>
      </c>
      <c r="B434" s="41" t="s">
        <v>18191</v>
      </c>
      <c r="C434" s="41" t="s">
        <v>8598</v>
      </c>
      <c r="D434" s="42" t="s">
        <v>8599</v>
      </c>
      <c r="E434" s="41" t="s">
        <v>8600</v>
      </c>
      <c r="F434" s="41" t="s">
        <v>18389</v>
      </c>
      <c r="G434" s="43" t="s">
        <v>8154</v>
      </c>
      <c r="H434" s="54" t="s">
        <v>557</v>
      </c>
    </row>
    <row r="435" spans="1:8" ht="13" x14ac:dyDescent="0.3">
      <c r="A435" s="40" t="s">
        <v>17982</v>
      </c>
      <c r="B435" s="44" t="s">
        <v>3740</v>
      </c>
      <c r="C435" s="41" t="s">
        <v>888</v>
      </c>
      <c r="D435" s="42" t="s">
        <v>11665</v>
      </c>
      <c r="E435" s="41" t="s">
        <v>890</v>
      </c>
      <c r="F435" s="44" t="s">
        <v>3740</v>
      </c>
      <c r="G435" s="43" t="s">
        <v>891</v>
      </c>
      <c r="H435" s="54" t="s">
        <v>101</v>
      </c>
    </row>
    <row r="436" spans="1:8" ht="13" x14ac:dyDescent="0.3">
      <c r="A436" s="40" t="s">
        <v>17983</v>
      </c>
      <c r="B436" s="44" t="s">
        <v>3740</v>
      </c>
      <c r="C436" s="44"/>
      <c r="D436" s="42" t="s">
        <v>11409</v>
      </c>
      <c r="E436" s="41" t="s">
        <v>768</v>
      </c>
      <c r="F436" s="44" t="s">
        <v>3740</v>
      </c>
      <c r="G436" s="43" t="s">
        <v>128</v>
      </c>
      <c r="H436" s="54" t="s">
        <v>101</v>
      </c>
    </row>
    <row r="437" spans="1:8" ht="13" x14ac:dyDescent="0.3">
      <c r="A437" s="40" t="s">
        <v>17984</v>
      </c>
      <c r="B437" s="44" t="s">
        <v>3740</v>
      </c>
      <c r="C437" s="44"/>
      <c r="D437" s="42" t="s">
        <v>11863</v>
      </c>
      <c r="E437" s="41" t="s">
        <v>1187</v>
      </c>
      <c r="F437" s="44" t="s">
        <v>3740</v>
      </c>
      <c r="G437" s="43" t="s">
        <v>11864</v>
      </c>
      <c r="H437" s="54" t="s">
        <v>70</v>
      </c>
    </row>
    <row r="438" spans="1:8" ht="13" x14ac:dyDescent="0.3">
      <c r="A438" s="40" t="s">
        <v>6859</v>
      </c>
      <c r="B438" s="41" t="s">
        <v>18192</v>
      </c>
      <c r="C438" s="41" t="s">
        <v>6861</v>
      </c>
      <c r="D438" s="42" t="s">
        <v>18704</v>
      </c>
      <c r="E438" s="41" t="s">
        <v>6862</v>
      </c>
      <c r="F438" s="41" t="s">
        <v>6863</v>
      </c>
      <c r="G438" s="43" t="s">
        <v>128</v>
      </c>
      <c r="H438" s="54" t="s">
        <v>101</v>
      </c>
    </row>
    <row r="439" spans="1:8" ht="13" x14ac:dyDescent="0.3">
      <c r="A439" s="40" t="s">
        <v>9186</v>
      </c>
      <c r="B439" s="41" t="s">
        <v>9188</v>
      </c>
      <c r="C439" s="41" t="s">
        <v>9189</v>
      </c>
      <c r="D439" s="42" t="s">
        <v>9190</v>
      </c>
      <c r="E439" s="41" t="s">
        <v>18629</v>
      </c>
      <c r="F439" s="41" t="s">
        <v>18390</v>
      </c>
      <c r="G439" s="43" t="s">
        <v>4978</v>
      </c>
      <c r="H439" s="54" t="s">
        <v>1871</v>
      </c>
    </row>
    <row r="440" spans="1:8" ht="13" x14ac:dyDescent="0.3">
      <c r="A440" s="40" t="s">
        <v>7626</v>
      </c>
      <c r="B440" s="41" t="s">
        <v>7628</v>
      </c>
      <c r="C440" s="41" t="s">
        <v>7629</v>
      </c>
      <c r="D440" s="42" t="s">
        <v>7630</v>
      </c>
      <c r="E440" s="41" t="s">
        <v>18630</v>
      </c>
      <c r="F440" s="41" t="s">
        <v>7632</v>
      </c>
      <c r="G440" s="43" t="s">
        <v>128</v>
      </c>
      <c r="H440" s="54" t="s">
        <v>101</v>
      </c>
    </row>
    <row r="441" spans="1:8" ht="13" x14ac:dyDescent="0.3">
      <c r="A441" s="40" t="s">
        <v>17985</v>
      </c>
      <c r="B441" s="41" t="s">
        <v>4728</v>
      </c>
      <c r="C441" s="41" t="s">
        <v>4729</v>
      </c>
      <c r="D441" s="42" t="s">
        <v>4730</v>
      </c>
      <c r="E441" s="41" t="s">
        <v>4731</v>
      </c>
      <c r="F441" s="41" t="s">
        <v>4732</v>
      </c>
      <c r="G441" s="43" t="s">
        <v>4733</v>
      </c>
      <c r="H441" s="54" t="s">
        <v>1002</v>
      </c>
    </row>
    <row r="442" spans="1:8" ht="13" x14ac:dyDescent="0.3">
      <c r="A442" s="40" t="s">
        <v>17985</v>
      </c>
      <c r="B442" s="41" t="s">
        <v>9206</v>
      </c>
      <c r="C442" s="41" t="s">
        <v>9207</v>
      </c>
      <c r="D442" s="42" t="s">
        <v>9208</v>
      </c>
      <c r="E442" s="41" t="s">
        <v>18631</v>
      </c>
      <c r="F442" s="41" t="s">
        <v>18391</v>
      </c>
      <c r="G442" s="43" t="s">
        <v>4733</v>
      </c>
      <c r="H442" s="54" t="s">
        <v>1002</v>
      </c>
    </row>
    <row r="443" spans="1:8" ht="13" x14ac:dyDescent="0.3">
      <c r="A443" s="40" t="s">
        <v>17986</v>
      </c>
      <c r="B443" s="41" t="s">
        <v>7045</v>
      </c>
      <c r="C443" s="41" t="s">
        <v>7046</v>
      </c>
      <c r="D443" s="42" t="s">
        <v>7047</v>
      </c>
      <c r="E443" s="41" t="s">
        <v>7048</v>
      </c>
      <c r="F443" s="41" t="s">
        <v>7049</v>
      </c>
      <c r="G443" s="43" t="s">
        <v>128</v>
      </c>
      <c r="H443" s="54" t="s">
        <v>101</v>
      </c>
    </row>
    <row r="444" spans="1:8" ht="13" x14ac:dyDescent="0.3">
      <c r="A444" s="40" t="s">
        <v>17987</v>
      </c>
      <c r="B444" s="41" t="s">
        <v>18193</v>
      </c>
      <c r="C444" s="41" t="s">
        <v>9581</v>
      </c>
      <c r="D444" s="42" t="s">
        <v>9582</v>
      </c>
      <c r="E444" s="41" t="s">
        <v>18632</v>
      </c>
      <c r="F444" s="41" t="s">
        <v>18392</v>
      </c>
      <c r="G444" s="43" t="s">
        <v>626</v>
      </c>
      <c r="H444" s="54" t="s">
        <v>70</v>
      </c>
    </row>
    <row r="445" spans="1:8" ht="13" x14ac:dyDescent="0.3">
      <c r="A445" s="40" t="s">
        <v>1293</v>
      </c>
      <c r="B445" s="41" t="s">
        <v>1296</v>
      </c>
      <c r="C445" s="41" t="s">
        <v>1297</v>
      </c>
      <c r="D445" s="42" t="s">
        <v>1298</v>
      </c>
      <c r="E445" s="41" t="s">
        <v>1299</v>
      </c>
      <c r="F445" s="41" t="s">
        <v>1300</v>
      </c>
      <c r="G445" s="43" t="s">
        <v>128</v>
      </c>
      <c r="H445" s="54" t="s">
        <v>101</v>
      </c>
    </row>
    <row r="446" spans="1:8" ht="13" x14ac:dyDescent="0.3">
      <c r="A446" s="40" t="s">
        <v>2055</v>
      </c>
      <c r="B446" s="41" t="s">
        <v>2058</v>
      </c>
      <c r="C446" s="41" t="s">
        <v>2059</v>
      </c>
      <c r="D446" s="42" t="s">
        <v>17443</v>
      </c>
      <c r="E446" s="41" t="s">
        <v>12377</v>
      </c>
      <c r="F446" s="41" t="s">
        <v>2062</v>
      </c>
      <c r="G446" s="43" t="s">
        <v>626</v>
      </c>
      <c r="H446" s="54" t="s">
        <v>70</v>
      </c>
    </row>
    <row r="447" spans="1:8" ht="13" x14ac:dyDescent="0.3">
      <c r="A447" s="40" t="s">
        <v>1893</v>
      </c>
      <c r="B447" s="41" t="s">
        <v>1896</v>
      </c>
      <c r="C447" s="41" t="s">
        <v>1897</v>
      </c>
      <c r="D447" s="42" t="s">
        <v>3404</v>
      </c>
      <c r="E447" s="41" t="s">
        <v>1899</v>
      </c>
      <c r="F447" s="41" t="s">
        <v>18393</v>
      </c>
      <c r="G447" s="43" t="s">
        <v>128</v>
      </c>
      <c r="H447" s="54" t="s">
        <v>101</v>
      </c>
    </row>
    <row r="448" spans="1:8" ht="13" x14ac:dyDescent="0.3">
      <c r="A448" s="40" t="s">
        <v>17988</v>
      </c>
      <c r="B448" s="41" t="s">
        <v>18194</v>
      </c>
      <c r="C448" s="41" t="s">
        <v>11110</v>
      </c>
      <c r="D448" s="42" t="s">
        <v>11111</v>
      </c>
      <c r="E448" s="41" t="s">
        <v>11112</v>
      </c>
      <c r="F448" s="41" t="s">
        <v>11113</v>
      </c>
      <c r="G448" s="43" t="s">
        <v>18302</v>
      </c>
      <c r="H448" s="54" t="s">
        <v>84</v>
      </c>
    </row>
    <row r="449" spans="1:8" ht="13" x14ac:dyDescent="0.3">
      <c r="A449" s="40" t="s">
        <v>17602</v>
      </c>
      <c r="B449" s="41" t="s">
        <v>9903</v>
      </c>
      <c r="C449" s="41" t="s">
        <v>9904</v>
      </c>
      <c r="D449" s="42" t="s">
        <v>9905</v>
      </c>
      <c r="E449" s="41" t="s">
        <v>18633</v>
      </c>
      <c r="F449" s="41" t="s">
        <v>18303</v>
      </c>
      <c r="G449" s="43" t="s">
        <v>18303</v>
      </c>
      <c r="H449" s="54" t="s">
        <v>51</v>
      </c>
    </row>
    <row r="450" spans="1:8" ht="13" x14ac:dyDescent="0.3">
      <c r="A450" s="40" t="s">
        <v>6561</v>
      </c>
      <c r="B450" s="41" t="s">
        <v>18195</v>
      </c>
      <c r="C450" s="41" t="s">
        <v>6565</v>
      </c>
      <c r="D450" s="42" t="s">
        <v>6566</v>
      </c>
      <c r="E450" s="41" t="s">
        <v>18634</v>
      </c>
      <c r="F450" s="41" t="s">
        <v>18394</v>
      </c>
      <c r="G450" s="43" t="s">
        <v>18304</v>
      </c>
      <c r="H450" s="54" t="s">
        <v>70</v>
      </c>
    </row>
    <row r="451" spans="1:8" ht="13" x14ac:dyDescent="0.3">
      <c r="A451" s="40" t="s">
        <v>3956</v>
      </c>
      <c r="B451" s="41" t="s">
        <v>18196</v>
      </c>
      <c r="C451" s="41" t="s">
        <v>3958</v>
      </c>
      <c r="D451" s="42" t="s">
        <v>3959</v>
      </c>
      <c r="E451" s="41" t="s">
        <v>18635</v>
      </c>
      <c r="F451" s="41" t="s">
        <v>3961</v>
      </c>
      <c r="G451" s="43" t="s">
        <v>1848</v>
      </c>
      <c r="H451" s="54" t="s">
        <v>1002</v>
      </c>
    </row>
    <row r="452" spans="1:8" ht="13" x14ac:dyDescent="0.3">
      <c r="A452" s="40" t="s">
        <v>17565</v>
      </c>
      <c r="B452" s="41" t="s">
        <v>18197</v>
      </c>
      <c r="C452" s="41" t="s">
        <v>9294</v>
      </c>
      <c r="D452" s="42" t="s">
        <v>9295</v>
      </c>
      <c r="E452" s="41" t="s">
        <v>9296</v>
      </c>
      <c r="F452" s="41" t="s">
        <v>9297</v>
      </c>
      <c r="G452" s="43" t="s">
        <v>9298</v>
      </c>
      <c r="H452" s="54" t="s">
        <v>1171</v>
      </c>
    </row>
    <row r="453" spans="1:8" ht="13" x14ac:dyDescent="0.3">
      <c r="A453" s="40" t="s">
        <v>17842</v>
      </c>
      <c r="B453" s="41" t="s">
        <v>8504</v>
      </c>
      <c r="C453" s="41" t="s">
        <v>8507</v>
      </c>
      <c r="D453" s="42" t="s">
        <v>8508</v>
      </c>
      <c r="E453" s="41" t="s">
        <v>18636</v>
      </c>
      <c r="F453" s="41" t="s">
        <v>128</v>
      </c>
      <c r="G453" s="43" t="s">
        <v>8510</v>
      </c>
      <c r="H453" s="54" t="s">
        <v>557</v>
      </c>
    </row>
    <row r="454" spans="1:8" ht="13" x14ac:dyDescent="0.3">
      <c r="A454" s="40" t="s">
        <v>17609</v>
      </c>
      <c r="B454" s="41" t="s">
        <v>18198</v>
      </c>
      <c r="C454" s="44"/>
      <c r="D454" s="42" t="s">
        <v>10014</v>
      </c>
      <c r="E454" s="41" t="s">
        <v>10015</v>
      </c>
      <c r="F454" s="41" t="s">
        <v>16988</v>
      </c>
      <c r="G454" s="43" t="s">
        <v>128</v>
      </c>
      <c r="H454" s="54" t="s">
        <v>101</v>
      </c>
    </row>
    <row r="455" spans="1:8" ht="13" x14ac:dyDescent="0.3">
      <c r="A455" s="40" t="s">
        <v>17648</v>
      </c>
      <c r="B455" s="41" t="s">
        <v>10487</v>
      </c>
      <c r="C455" s="41" t="s">
        <v>10488</v>
      </c>
      <c r="D455" s="42" t="s">
        <v>16198</v>
      </c>
      <c r="E455" s="41" t="s">
        <v>18637</v>
      </c>
      <c r="F455" s="41" t="s">
        <v>647</v>
      </c>
      <c r="G455" s="43" t="s">
        <v>443</v>
      </c>
      <c r="H455" s="54" t="s">
        <v>101</v>
      </c>
    </row>
    <row r="456" spans="1:8" ht="13" x14ac:dyDescent="0.3">
      <c r="A456" s="40" t="s">
        <v>1425</v>
      </c>
      <c r="B456" s="41" t="s">
        <v>1428</v>
      </c>
      <c r="C456" s="41" t="s">
        <v>1429</v>
      </c>
      <c r="D456" s="42" t="s">
        <v>12010</v>
      </c>
      <c r="E456" s="41" t="s">
        <v>1431</v>
      </c>
      <c r="F456" s="41" t="s">
        <v>1432</v>
      </c>
      <c r="G456" s="43" t="s">
        <v>266</v>
      </c>
      <c r="H456" s="54" t="s">
        <v>84</v>
      </c>
    </row>
    <row r="457" spans="1:8" ht="13" x14ac:dyDescent="0.3">
      <c r="A457" s="40" t="s">
        <v>17618</v>
      </c>
      <c r="B457" s="41" t="s">
        <v>10139</v>
      </c>
      <c r="C457" s="41" t="s">
        <v>10140</v>
      </c>
      <c r="D457" s="42" t="s">
        <v>10141</v>
      </c>
      <c r="E457" s="41" t="s">
        <v>18638</v>
      </c>
      <c r="F457" s="41" t="s">
        <v>10143</v>
      </c>
      <c r="G457" s="43" t="s">
        <v>128</v>
      </c>
      <c r="H457" s="54" t="s">
        <v>101</v>
      </c>
    </row>
    <row r="458" spans="1:8" ht="13" x14ac:dyDescent="0.3">
      <c r="A458" s="40" t="s">
        <v>5878</v>
      </c>
      <c r="B458" s="41" t="s">
        <v>18199</v>
      </c>
      <c r="C458" s="41" t="s">
        <v>5882</v>
      </c>
      <c r="D458" s="42" t="s">
        <v>5883</v>
      </c>
      <c r="E458" s="41" t="s">
        <v>5884</v>
      </c>
      <c r="F458" s="41" t="s">
        <v>18395</v>
      </c>
      <c r="G458" s="43" t="s">
        <v>381</v>
      </c>
      <c r="H458" s="54" t="s">
        <v>379</v>
      </c>
    </row>
    <row r="459" spans="1:8" ht="13" x14ac:dyDescent="0.3">
      <c r="A459" s="40" t="s">
        <v>17588</v>
      </c>
      <c r="B459" s="41" t="s">
        <v>18200</v>
      </c>
      <c r="C459" s="41" t="s">
        <v>9684</v>
      </c>
      <c r="D459" s="42" t="s">
        <v>9685</v>
      </c>
      <c r="E459" s="41" t="s">
        <v>9686</v>
      </c>
      <c r="F459" s="41" t="s">
        <v>9687</v>
      </c>
      <c r="G459" s="43" t="s">
        <v>18278</v>
      </c>
      <c r="H459" s="54" t="s">
        <v>70</v>
      </c>
    </row>
    <row r="460" spans="1:8" ht="13" x14ac:dyDescent="0.3">
      <c r="A460" s="40" t="s">
        <v>17825</v>
      </c>
      <c r="B460" s="41" t="s">
        <v>18201</v>
      </c>
      <c r="C460" s="41" t="s">
        <v>5968</v>
      </c>
      <c r="D460" s="42" t="s">
        <v>5969</v>
      </c>
      <c r="E460" s="41" t="s">
        <v>18639</v>
      </c>
      <c r="F460" s="41" t="s">
        <v>18396</v>
      </c>
      <c r="G460" s="43" t="s">
        <v>381</v>
      </c>
      <c r="H460" s="54" t="s">
        <v>379</v>
      </c>
    </row>
    <row r="461" spans="1:8" ht="13" x14ac:dyDescent="0.3">
      <c r="A461" s="40" t="s">
        <v>7078</v>
      </c>
      <c r="B461" s="41" t="s">
        <v>7079</v>
      </c>
      <c r="C461" s="44"/>
      <c r="D461" s="42" t="s">
        <v>7080</v>
      </c>
      <c r="E461" s="41" t="s">
        <v>18640</v>
      </c>
      <c r="F461" s="41" t="s">
        <v>7082</v>
      </c>
      <c r="G461" s="43" t="s">
        <v>1580</v>
      </c>
      <c r="H461" s="54" t="s">
        <v>101</v>
      </c>
    </row>
    <row r="462" spans="1:8" ht="13" x14ac:dyDescent="0.3">
      <c r="A462" s="40" t="s">
        <v>17989</v>
      </c>
      <c r="B462" s="41" t="s">
        <v>5081</v>
      </c>
      <c r="C462" s="44"/>
      <c r="D462" s="45"/>
      <c r="E462" s="41" t="s">
        <v>5082</v>
      </c>
      <c r="F462" s="41" t="s">
        <v>5083</v>
      </c>
      <c r="G462" s="43" t="s">
        <v>4239</v>
      </c>
      <c r="H462" s="54" t="s">
        <v>468</v>
      </c>
    </row>
    <row r="463" spans="1:8" ht="13" x14ac:dyDescent="0.3">
      <c r="A463" s="40" t="s">
        <v>1451</v>
      </c>
      <c r="B463" s="41" t="s">
        <v>1454</v>
      </c>
      <c r="C463" s="41" t="s">
        <v>1455</v>
      </c>
      <c r="D463" s="42" t="s">
        <v>12025</v>
      </c>
      <c r="E463" s="41" t="s">
        <v>18641</v>
      </c>
      <c r="F463" s="41" t="s">
        <v>1458</v>
      </c>
      <c r="G463" s="43" t="s">
        <v>1459</v>
      </c>
      <c r="H463" s="54" t="s">
        <v>84</v>
      </c>
    </row>
    <row r="464" spans="1:8" ht="13" x14ac:dyDescent="0.3">
      <c r="A464" s="40" t="s">
        <v>8092</v>
      </c>
      <c r="B464" s="41" t="s">
        <v>18202</v>
      </c>
      <c r="C464" s="41" t="s">
        <v>8095</v>
      </c>
      <c r="D464" s="42" t="s">
        <v>8096</v>
      </c>
      <c r="E464" s="41" t="s">
        <v>18642</v>
      </c>
      <c r="F464" s="41" t="s">
        <v>18397</v>
      </c>
      <c r="G464" s="43" t="s">
        <v>1015</v>
      </c>
      <c r="H464" s="54" t="s">
        <v>70</v>
      </c>
    </row>
    <row r="465" spans="1:8" ht="13" x14ac:dyDescent="0.3">
      <c r="A465" s="40" t="s">
        <v>8021</v>
      </c>
      <c r="B465" s="41" t="s">
        <v>8022</v>
      </c>
      <c r="C465" s="41" t="s">
        <v>8023</v>
      </c>
      <c r="D465" s="42" t="s">
        <v>8024</v>
      </c>
      <c r="E465" s="41" t="s">
        <v>8025</v>
      </c>
      <c r="F465" s="41" t="s">
        <v>8026</v>
      </c>
      <c r="G465" s="43" t="s">
        <v>7989</v>
      </c>
      <c r="H465" s="54" t="s">
        <v>70</v>
      </c>
    </row>
    <row r="466" spans="1:8" ht="13" x14ac:dyDescent="0.3">
      <c r="A466" s="40" t="s">
        <v>8266</v>
      </c>
      <c r="B466" s="41" t="s">
        <v>8268</v>
      </c>
      <c r="C466" s="41" t="s">
        <v>8269</v>
      </c>
      <c r="D466" s="42" t="s">
        <v>8270</v>
      </c>
      <c r="E466" s="41" t="s">
        <v>18643</v>
      </c>
      <c r="F466" s="41" t="s">
        <v>8272</v>
      </c>
      <c r="G466" s="43" t="s">
        <v>1255</v>
      </c>
      <c r="H466" s="54" t="s">
        <v>101</v>
      </c>
    </row>
    <row r="467" spans="1:8" ht="13" x14ac:dyDescent="0.3">
      <c r="A467" s="40" t="s">
        <v>5199</v>
      </c>
      <c r="B467" s="41" t="s">
        <v>18203</v>
      </c>
      <c r="C467" s="44"/>
      <c r="D467" s="42">
        <v>81991459515</v>
      </c>
      <c r="E467" s="41" t="s">
        <v>5201</v>
      </c>
      <c r="F467" s="41" t="s">
        <v>5202</v>
      </c>
      <c r="G467" s="43" t="s">
        <v>381</v>
      </c>
      <c r="H467" s="54" t="s">
        <v>379</v>
      </c>
    </row>
    <row r="468" spans="1:8" ht="13" x14ac:dyDescent="0.3">
      <c r="A468" s="40" t="s">
        <v>17816</v>
      </c>
      <c r="B468" s="41" t="s">
        <v>7757</v>
      </c>
      <c r="C468" s="41" t="s">
        <v>7758</v>
      </c>
      <c r="D468" s="42" t="s">
        <v>7759</v>
      </c>
      <c r="E468" s="41" t="s">
        <v>18398</v>
      </c>
      <c r="F468" s="41" t="s">
        <v>18398</v>
      </c>
      <c r="G468" s="43" t="s">
        <v>393</v>
      </c>
      <c r="H468" s="54" t="s">
        <v>101</v>
      </c>
    </row>
    <row r="469" spans="1:8" ht="13" x14ac:dyDescent="0.3">
      <c r="A469" s="40" t="s">
        <v>1555</v>
      </c>
      <c r="B469" s="41" t="s">
        <v>1557</v>
      </c>
      <c r="C469" s="41" t="s">
        <v>1558</v>
      </c>
      <c r="D469" s="42" t="s">
        <v>3275</v>
      </c>
      <c r="E469" s="41" t="s">
        <v>12086</v>
      </c>
      <c r="F469" s="41" t="s">
        <v>1561</v>
      </c>
      <c r="G469" s="43" t="s">
        <v>1562</v>
      </c>
      <c r="H469" s="54" t="s">
        <v>379</v>
      </c>
    </row>
    <row r="470" spans="1:8" ht="13" x14ac:dyDescent="0.3">
      <c r="A470" s="40" t="s">
        <v>10882</v>
      </c>
      <c r="B470" s="41" t="s">
        <v>18204</v>
      </c>
      <c r="C470" s="41" t="s">
        <v>10885</v>
      </c>
      <c r="D470" s="42" t="s">
        <v>10886</v>
      </c>
      <c r="E470" s="41" t="s">
        <v>18644</v>
      </c>
      <c r="F470" s="41" t="s">
        <v>16436</v>
      </c>
      <c r="G470" s="43" t="s">
        <v>381</v>
      </c>
      <c r="H470" s="54" t="s">
        <v>379</v>
      </c>
    </row>
    <row r="471" spans="1:8" ht="13" x14ac:dyDescent="0.3">
      <c r="A471" s="40" t="s">
        <v>17716</v>
      </c>
      <c r="B471" s="41" t="s">
        <v>18205</v>
      </c>
      <c r="C471" s="41" t="s">
        <v>5184</v>
      </c>
      <c r="D471" s="42" t="s">
        <v>5185</v>
      </c>
      <c r="E471" s="41" t="s">
        <v>18645</v>
      </c>
      <c r="F471" s="41" t="s">
        <v>5187</v>
      </c>
      <c r="G471" s="43" t="s">
        <v>789</v>
      </c>
      <c r="H471" s="54" t="s">
        <v>295</v>
      </c>
    </row>
    <row r="472" spans="1:8" ht="13" x14ac:dyDescent="0.3">
      <c r="A472" s="40" t="s">
        <v>3923</v>
      </c>
      <c r="B472" s="41" t="s">
        <v>3924</v>
      </c>
      <c r="C472" s="41" t="s">
        <v>3925</v>
      </c>
      <c r="D472" s="42" t="s">
        <v>3926</v>
      </c>
      <c r="E472" s="41" t="s">
        <v>3927</v>
      </c>
      <c r="F472" s="41" t="s">
        <v>18399</v>
      </c>
      <c r="G472" s="43" t="s">
        <v>1848</v>
      </c>
      <c r="H472" s="54" t="s">
        <v>1002</v>
      </c>
    </row>
    <row r="473" spans="1:8" ht="13" x14ac:dyDescent="0.3">
      <c r="A473" s="40" t="s">
        <v>17610</v>
      </c>
      <c r="B473" s="41" t="s">
        <v>10024</v>
      </c>
      <c r="C473" s="41" t="s">
        <v>10025</v>
      </c>
      <c r="D473" s="42" t="s">
        <v>10026</v>
      </c>
      <c r="E473" s="41" t="s">
        <v>10027</v>
      </c>
      <c r="F473" s="41" t="s">
        <v>10028</v>
      </c>
      <c r="G473" s="43" t="s">
        <v>409</v>
      </c>
      <c r="H473" s="54" t="s">
        <v>407</v>
      </c>
    </row>
    <row r="474" spans="1:8" ht="13" x14ac:dyDescent="0.3">
      <c r="A474" s="40" t="s">
        <v>6633</v>
      </c>
      <c r="B474" s="41" t="s">
        <v>6634</v>
      </c>
      <c r="C474" s="41" t="s">
        <v>6635</v>
      </c>
      <c r="D474" s="42" t="s">
        <v>2423</v>
      </c>
      <c r="E474" s="41" t="s">
        <v>6636</v>
      </c>
      <c r="F474" s="41" t="s">
        <v>6637</v>
      </c>
      <c r="G474" s="43" t="s">
        <v>6638</v>
      </c>
      <c r="H474" s="54" t="s">
        <v>195</v>
      </c>
    </row>
    <row r="475" spans="1:8" ht="13" x14ac:dyDescent="0.3">
      <c r="A475" s="40" t="s">
        <v>17811</v>
      </c>
      <c r="B475" s="41" t="s">
        <v>6548</v>
      </c>
      <c r="C475" s="41" t="s">
        <v>6549</v>
      </c>
      <c r="D475" s="42" t="s">
        <v>6550</v>
      </c>
      <c r="E475" s="41" t="s">
        <v>6551</v>
      </c>
      <c r="F475" s="41" t="s">
        <v>6552</v>
      </c>
      <c r="G475" s="43" t="s">
        <v>470</v>
      </c>
      <c r="H475" s="54" t="s">
        <v>468</v>
      </c>
    </row>
    <row r="476" spans="1:8" ht="13" x14ac:dyDescent="0.3">
      <c r="A476" s="40" t="s">
        <v>17580</v>
      </c>
      <c r="B476" s="41" t="s">
        <v>18206</v>
      </c>
      <c r="C476" s="41" t="s">
        <v>9562</v>
      </c>
      <c r="D476" s="42" t="s">
        <v>15667</v>
      </c>
      <c r="E476" s="41" t="s">
        <v>9564</v>
      </c>
      <c r="F476" s="41" t="s">
        <v>7583</v>
      </c>
      <c r="G476" s="43" t="s">
        <v>626</v>
      </c>
      <c r="H476" s="54" t="s">
        <v>70</v>
      </c>
    </row>
    <row r="477" spans="1:8" ht="13" x14ac:dyDescent="0.3">
      <c r="A477" s="40" t="s">
        <v>17853</v>
      </c>
      <c r="B477" s="41" t="s">
        <v>18207</v>
      </c>
      <c r="C477" s="41" t="s">
        <v>4235</v>
      </c>
      <c r="D477" s="42" t="s">
        <v>4236</v>
      </c>
      <c r="E477" s="41" t="s">
        <v>4237</v>
      </c>
      <c r="F477" s="41" t="s">
        <v>5083</v>
      </c>
      <c r="G477" s="43" t="s">
        <v>4239</v>
      </c>
      <c r="H477" s="54" t="s">
        <v>468</v>
      </c>
    </row>
    <row r="478" spans="1:8" ht="13" x14ac:dyDescent="0.3">
      <c r="A478" s="40" t="s">
        <v>2290</v>
      </c>
      <c r="B478" s="41" t="s">
        <v>12526</v>
      </c>
      <c r="C478" s="41" t="s">
        <v>12527</v>
      </c>
      <c r="D478" s="42" t="s">
        <v>12530</v>
      </c>
      <c r="E478" s="41" t="s">
        <v>12529</v>
      </c>
      <c r="F478" s="41" t="s">
        <v>18400</v>
      </c>
      <c r="G478" s="43" t="s">
        <v>128</v>
      </c>
      <c r="H478" s="54" t="s">
        <v>101</v>
      </c>
    </row>
    <row r="479" spans="1:8" ht="13" x14ac:dyDescent="0.3">
      <c r="A479" s="40" t="s">
        <v>17790</v>
      </c>
      <c r="B479" s="41" t="s">
        <v>4900</v>
      </c>
      <c r="C479" s="41" t="s">
        <v>4901</v>
      </c>
      <c r="D479" s="42" t="s">
        <v>4902</v>
      </c>
      <c r="E479" s="41" t="s">
        <v>4903</v>
      </c>
      <c r="F479" s="41" t="s">
        <v>4904</v>
      </c>
      <c r="G479" s="43" t="s">
        <v>18305</v>
      </c>
      <c r="H479" s="54" t="s">
        <v>1002</v>
      </c>
    </row>
    <row r="480" spans="1:8" ht="13" x14ac:dyDescent="0.3">
      <c r="A480" s="40" t="s">
        <v>17634</v>
      </c>
      <c r="B480" s="41" t="s">
        <v>10392</v>
      </c>
      <c r="C480" s="41" t="s">
        <v>10393</v>
      </c>
      <c r="D480" s="42" t="s">
        <v>16148</v>
      </c>
      <c r="E480" s="41" t="s">
        <v>10394</v>
      </c>
      <c r="F480" s="41" t="s">
        <v>10395</v>
      </c>
      <c r="G480" s="43" t="s">
        <v>18306</v>
      </c>
      <c r="H480" s="54" t="s">
        <v>101</v>
      </c>
    </row>
    <row r="481" spans="1:8" ht="13" x14ac:dyDescent="0.3">
      <c r="A481" s="40" t="s">
        <v>8660</v>
      </c>
      <c r="B481" s="41" t="s">
        <v>8663</v>
      </c>
      <c r="C481" s="41" t="s">
        <v>8664</v>
      </c>
      <c r="D481" s="42" t="s">
        <v>8665</v>
      </c>
      <c r="E481" s="41" t="s">
        <v>18646</v>
      </c>
      <c r="F481" s="41" t="s">
        <v>18401</v>
      </c>
      <c r="G481" s="43" t="s">
        <v>1848</v>
      </c>
      <c r="H481" s="54" t="s">
        <v>1002</v>
      </c>
    </row>
    <row r="482" spans="1:8" ht="13" x14ac:dyDescent="0.3">
      <c r="A482" s="40" t="s">
        <v>17675</v>
      </c>
      <c r="B482" s="41" t="s">
        <v>11079</v>
      </c>
      <c r="C482" s="41" t="s">
        <v>11080</v>
      </c>
      <c r="D482" s="42" t="s">
        <v>11081</v>
      </c>
      <c r="E482" s="41" t="s">
        <v>18647</v>
      </c>
      <c r="F482" s="41" t="s">
        <v>1679</v>
      </c>
      <c r="G482" s="43" t="s">
        <v>266</v>
      </c>
      <c r="H482" s="54" t="s">
        <v>84</v>
      </c>
    </row>
    <row r="483" spans="1:8" ht="13" x14ac:dyDescent="0.3">
      <c r="A483" s="40" t="s">
        <v>1800</v>
      </c>
      <c r="B483" s="41" t="s">
        <v>1803</v>
      </c>
      <c r="C483" s="41" t="s">
        <v>1804</v>
      </c>
      <c r="D483" s="42" t="s">
        <v>3373</v>
      </c>
      <c r="E483" s="41" t="s">
        <v>18648</v>
      </c>
      <c r="F483" s="41" t="s">
        <v>1807</v>
      </c>
      <c r="G483" s="43" t="s">
        <v>1808</v>
      </c>
      <c r="H483" s="54" t="s">
        <v>280</v>
      </c>
    </row>
    <row r="484" spans="1:8" ht="13" x14ac:dyDescent="0.3">
      <c r="A484" s="40" t="s">
        <v>4552</v>
      </c>
      <c r="B484" s="41" t="s">
        <v>18208</v>
      </c>
      <c r="C484" s="41" t="s">
        <v>4556</v>
      </c>
      <c r="D484" s="42" t="s">
        <v>4557</v>
      </c>
      <c r="E484" s="41" t="s">
        <v>18649</v>
      </c>
      <c r="F484" s="41" t="s">
        <v>13072</v>
      </c>
      <c r="G484" s="43" t="s">
        <v>266</v>
      </c>
      <c r="H484" s="54" t="s">
        <v>84</v>
      </c>
    </row>
    <row r="485" spans="1:8" ht="13" x14ac:dyDescent="0.3">
      <c r="A485" s="40" t="s">
        <v>17763</v>
      </c>
      <c r="B485" s="41" t="s">
        <v>18209</v>
      </c>
      <c r="C485" s="44"/>
      <c r="D485" s="45"/>
      <c r="E485" s="41" t="s">
        <v>8675</v>
      </c>
      <c r="F485" s="41" t="s">
        <v>647</v>
      </c>
      <c r="G485" s="43" t="s">
        <v>8676</v>
      </c>
      <c r="H485" s="54" t="s">
        <v>379</v>
      </c>
    </row>
    <row r="486" spans="1:8" ht="13" x14ac:dyDescent="0.3">
      <c r="A486" s="40" t="s">
        <v>5995</v>
      </c>
      <c r="B486" s="41" t="s">
        <v>18210</v>
      </c>
      <c r="C486" s="41" t="s">
        <v>5997</v>
      </c>
      <c r="D486" s="42" t="s">
        <v>5998</v>
      </c>
      <c r="E486" s="41" t="s">
        <v>18650</v>
      </c>
      <c r="F486" s="41" t="s">
        <v>13802</v>
      </c>
      <c r="G486" s="43" t="s">
        <v>7226</v>
      </c>
      <c r="H486" s="54" t="s">
        <v>379</v>
      </c>
    </row>
    <row r="487" spans="1:8" ht="13" x14ac:dyDescent="0.3">
      <c r="A487" s="40" t="s">
        <v>17665</v>
      </c>
      <c r="B487" s="41" t="s">
        <v>18211</v>
      </c>
      <c r="C487" s="41" t="s">
        <v>10921</v>
      </c>
      <c r="D487" s="42" t="s">
        <v>10922</v>
      </c>
      <c r="E487" s="41" t="s">
        <v>10923</v>
      </c>
      <c r="F487" s="41" t="s">
        <v>10924</v>
      </c>
      <c r="G487" s="43" t="s">
        <v>8154</v>
      </c>
      <c r="H487" s="54" t="s">
        <v>557</v>
      </c>
    </row>
    <row r="488" spans="1:8" ht="13" x14ac:dyDescent="0.3">
      <c r="A488" s="40" t="s">
        <v>17736</v>
      </c>
      <c r="B488" s="41" t="s">
        <v>7117</v>
      </c>
      <c r="C488" s="41" t="s">
        <v>7118</v>
      </c>
      <c r="D488" s="42" t="s">
        <v>7119</v>
      </c>
      <c r="E488" s="41" t="s">
        <v>7120</v>
      </c>
      <c r="F488" s="41" t="s">
        <v>7121</v>
      </c>
      <c r="G488" s="43" t="s">
        <v>128</v>
      </c>
      <c r="H488" s="54" t="s">
        <v>101</v>
      </c>
    </row>
    <row r="489" spans="1:8" ht="13" x14ac:dyDescent="0.3">
      <c r="A489" s="40" t="s">
        <v>17990</v>
      </c>
      <c r="B489" s="41" t="s">
        <v>8370</v>
      </c>
      <c r="C489" s="41" t="s">
        <v>8371</v>
      </c>
      <c r="D489" s="42" t="s">
        <v>8372</v>
      </c>
      <c r="E489" s="41" t="s">
        <v>8373</v>
      </c>
      <c r="F489" s="41" t="s">
        <v>8374</v>
      </c>
      <c r="G489" s="43" t="s">
        <v>891</v>
      </c>
      <c r="H489" s="54" t="s">
        <v>101</v>
      </c>
    </row>
    <row r="490" spans="1:8" ht="13" x14ac:dyDescent="0.3">
      <c r="A490" s="40" t="s">
        <v>17801</v>
      </c>
      <c r="B490" s="41" t="s">
        <v>18212</v>
      </c>
      <c r="C490" s="41" t="s">
        <v>6922</v>
      </c>
      <c r="D490" s="42" t="s">
        <v>6923</v>
      </c>
      <c r="E490" s="41" t="s">
        <v>18651</v>
      </c>
      <c r="F490" s="41" t="s">
        <v>6925</v>
      </c>
      <c r="G490" s="43" t="s">
        <v>6725</v>
      </c>
      <c r="H490" s="54" t="s">
        <v>195</v>
      </c>
    </row>
    <row r="491" spans="1:8" ht="13" x14ac:dyDescent="0.3">
      <c r="A491" s="40" t="s">
        <v>17820</v>
      </c>
      <c r="B491" s="41" t="s">
        <v>18213</v>
      </c>
      <c r="C491" s="41" t="s">
        <v>6364</v>
      </c>
      <c r="D491" s="42" t="s">
        <v>6365</v>
      </c>
      <c r="E491" s="41" t="s">
        <v>18652</v>
      </c>
      <c r="F491" s="41" t="s">
        <v>1321</v>
      </c>
      <c r="G491" s="43" t="s">
        <v>626</v>
      </c>
      <c r="H491" s="54" t="s">
        <v>70</v>
      </c>
    </row>
    <row r="492" spans="1:8" ht="13" x14ac:dyDescent="0.3">
      <c r="A492" s="40" t="s">
        <v>17482</v>
      </c>
      <c r="B492" s="44" t="s">
        <v>3740</v>
      </c>
      <c r="C492" s="41" t="s">
        <v>1046</v>
      </c>
      <c r="D492" s="42" t="s">
        <v>11775</v>
      </c>
      <c r="E492" s="41" t="s">
        <v>1048</v>
      </c>
      <c r="F492" s="44" t="s">
        <v>3740</v>
      </c>
      <c r="G492" s="43" t="s">
        <v>128</v>
      </c>
      <c r="H492" s="54" t="s">
        <v>101</v>
      </c>
    </row>
    <row r="493" spans="1:8" ht="13" x14ac:dyDescent="0.3">
      <c r="A493" s="40" t="s">
        <v>17607</v>
      </c>
      <c r="B493" s="41" t="s">
        <v>9964</v>
      </c>
      <c r="C493" s="41" t="s">
        <v>9965</v>
      </c>
      <c r="D493" s="42" t="s">
        <v>15898</v>
      </c>
      <c r="E493" s="41" t="s">
        <v>18653</v>
      </c>
      <c r="F493" s="41" t="s">
        <v>9968</v>
      </c>
      <c r="G493" s="43" t="s">
        <v>338</v>
      </c>
      <c r="H493" s="54" t="s">
        <v>310</v>
      </c>
    </row>
    <row r="494" spans="1:8" ht="13" x14ac:dyDescent="0.3">
      <c r="A494" s="40" t="s">
        <v>1475</v>
      </c>
      <c r="B494" s="41" t="s">
        <v>1478</v>
      </c>
      <c r="C494" s="41" t="s">
        <v>1479</v>
      </c>
      <c r="D494" s="42" t="s">
        <v>17444</v>
      </c>
      <c r="E494" s="41" t="s">
        <v>12056</v>
      </c>
      <c r="F494" s="41" t="s">
        <v>18402</v>
      </c>
      <c r="G494" s="43" t="s">
        <v>128</v>
      </c>
      <c r="H494" s="54" t="s">
        <v>101</v>
      </c>
    </row>
    <row r="495" spans="1:8" ht="13" x14ac:dyDescent="0.3">
      <c r="A495" s="40" t="s">
        <v>17471</v>
      </c>
      <c r="B495" s="44" t="s">
        <v>3740</v>
      </c>
      <c r="C495" s="41" t="s">
        <v>846</v>
      </c>
      <c r="D495" s="42" t="s">
        <v>11636</v>
      </c>
      <c r="E495" s="41" t="s">
        <v>18654</v>
      </c>
      <c r="F495" s="44" t="s">
        <v>3740</v>
      </c>
      <c r="G495" s="43" t="s">
        <v>128</v>
      </c>
      <c r="H495" s="54" t="s">
        <v>101</v>
      </c>
    </row>
    <row r="496" spans="1:8" ht="13" x14ac:dyDescent="0.3">
      <c r="A496" s="40" t="s">
        <v>9995</v>
      </c>
      <c r="B496" s="41" t="s">
        <v>18214</v>
      </c>
      <c r="C496" s="41" t="s">
        <v>9999</v>
      </c>
      <c r="D496" s="42" t="s">
        <v>10000</v>
      </c>
      <c r="E496" s="41" t="s">
        <v>10001</v>
      </c>
      <c r="F496" s="41" t="s">
        <v>9382</v>
      </c>
      <c r="G496" s="43" t="s">
        <v>128</v>
      </c>
      <c r="H496" s="54" t="s">
        <v>101</v>
      </c>
    </row>
    <row r="497" spans="1:8" ht="13" x14ac:dyDescent="0.3">
      <c r="A497" s="40" t="s">
        <v>7379</v>
      </c>
      <c r="B497" s="41" t="s">
        <v>18215</v>
      </c>
      <c r="C497" s="41" t="s">
        <v>7383</v>
      </c>
      <c r="D497" s="45"/>
      <c r="E497" s="41" t="s">
        <v>7384</v>
      </c>
      <c r="F497" s="41" t="s">
        <v>2062</v>
      </c>
      <c r="G497" s="43" t="s">
        <v>626</v>
      </c>
      <c r="H497" s="54" t="s">
        <v>70</v>
      </c>
    </row>
    <row r="498" spans="1:8" ht="13" x14ac:dyDescent="0.3">
      <c r="A498" s="40" t="s">
        <v>17850</v>
      </c>
      <c r="B498" s="41" t="s">
        <v>8685</v>
      </c>
      <c r="C498" s="41" t="s">
        <v>8686</v>
      </c>
      <c r="D498" s="42">
        <v>8738610620</v>
      </c>
      <c r="E498" s="41" t="s">
        <v>18655</v>
      </c>
      <c r="F498" s="41" t="s">
        <v>647</v>
      </c>
      <c r="G498" s="43" t="s">
        <v>8688</v>
      </c>
      <c r="H498" s="54" t="s">
        <v>379</v>
      </c>
    </row>
    <row r="499" spans="1:8" ht="13" x14ac:dyDescent="0.3">
      <c r="A499" s="40" t="s">
        <v>9162</v>
      </c>
      <c r="B499" s="41" t="s">
        <v>9163</v>
      </c>
      <c r="C499" s="41" t="s">
        <v>9164</v>
      </c>
      <c r="D499" s="42" t="s">
        <v>9165</v>
      </c>
      <c r="E499" s="41" t="s">
        <v>18656</v>
      </c>
      <c r="F499" s="41" t="s">
        <v>3961</v>
      </c>
      <c r="G499" s="43" t="s">
        <v>1848</v>
      </c>
      <c r="H499" s="54" t="s">
        <v>1002</v>
      </c>
    </row>
    <row r="500" spans="1:8" ht="13" x14ac:dyDescent="0.3">
      <c r="A500" s="40" t="s">
        <v>138</v>
      </c>
      <c r="B500" s="41" t="s">
        <v>18216</v>
      </c>
      <c r="C500" s="44"/>
      <c r="D500" s="42" t="s">
        <v>141</v>
      </c>
      <c r="E500" s="41" t="s">
        <v>8942</v>
      </c>
      <c r="F500" s="41" t="s">
        <v>18403</v>
      </c>
      <c r="G500" s="43" t="s">
        <v>144</v>
      </c>
      <c r="H500" s="54" t="s">
        <v>84</v>
      </c>
    </row>
    <row r="501" spans="1:8" ht="13" x14ac:dyDescent="0.3">
      <c r="A501" s="40" t="s">
        <v>17629</v>
      </c>
      <c r="B501" s="41" t="s">
        <v>10317</v>
      </c>
      <c r="C501" s="41" t="s">
        <v>10318</v>
      </c>
      <c r="D501" s="42" t="s">
        <v>17445</v>
      </c>
      <c r="E501" s="41" t="s">
        <v>10319</v>
      </c>
      <c r="F501" s="41" t="s">
        <v>10320</v>
      </c>
      <c r="G501" s="43" t="s">
        <v>10321</v>
      </c>
      <c r="H501" s="54" t="s">
        <v>101</v>
      </c>
    </row>
    <row r="502" spans="1:8" ht="13" x14ac:dyDescent="0.3">
      <c r="A502" s="40" t="s">
        <v>17719</v>
      </c>
      <c r="B502" s="41" t="s">
        <v>18217</v>
      </c>
      <c r="C502" s="41" t="s">
        <v>5014</v>
      </c>
      <c r="D502" s="42" t="s">
        <v>5015</v>
      </c>
      <c r="E502" s="41" t="s">
        <v>5016</v>
      </c>
      <c r="F502" s="41" t="s">
        <v>5017</v>
      </c>
      <c r="G502" s="43" t="s">
        <v>4320</v>
      </c>
      <c r="H502" s="54" t="s">
        <v>468</v>
      </c>
    </row>
    <row r="503" spans="1:8" ht="13" x14ac:dyDescent="0.3">
      <c r="A503" s="40" t="s">
        <v>903</v>
      </c>
      <c r="B503" s="41" t="s">
        <v>11673</v>
      </c>
      <c r="C503" s="41" t="s">
        <v>905</v>
      </c>
      <c r="D503" s="42" t="s">
        <v>11675</v>
      </c>
      <c r="E503" s="41" t="s">
        <v>18657</v>
      </c>
      <c r="F503" s="44" t="s">
        <v>3740</v>
      </c>
      <c r="G503" s="43" t="s">
        <v>470</v>
      </c>
      <c r="H503" s="54" t="s">
        <v>468</v>
      </c>
    </row>
    <row r="504" spans="1:8" ht="13" x14ac:dyDescent="0.3">
      <c r="A504" s="40" t="s">
        <v>17645</v>
      </c>
      <c r="B504" s="41" t="s">
        <v>18218</v>
      </c>
      <c r="C504" s="41" t="s">
        <v>10643</v>
      </c>
      <c r="D504" s="42" t="s">
        <v>10644</v>
      </c>
      <c r="E504" s="41" t="s">
        <v>10645</v>
      </c>
      <c r="F504" s="41" t="s">
        <v>10646</v>
      </c>
      <c r="G504" s="43" t="s">
        <v>128</v>
      </c>
      <c r="H504" s="54" t="s">
        <v>101</v>
      </c>
    </row>
    <row r="505" spans="1:8" ht="13" x14ac:dyDescent="0.3">
      <c r="A505" s="40" t="s">
        <v>5934</v>
      </c>
      <c r="B505" s="41" t="s">
        <v>18219</v>
      </c>
      <c r="C505" s="41" t="s">
        <v>5937</v>
      </c>
      <c r="D505" s="42" t="s">
        <v>5938</v>
      </c>
      <c r="E505" s="41" t="s">
        <v>5939</v>
      </c>
      <c r="F505" s="41" t="s">
        <v>5940</v>
      </c>
      <c r="G505" s="43" t="s">
        <v>381</v>
      </c>
      <c r="H505" s="54" t="s">
        <v>379</v>
      </c>
    </row>
    <row r="506" spans="1:8" ht="13" x14ac:dyDescent="0.3">
      <c r="A506" s="40" t="s">
        <v>1497</v>
      </c>
      <c r="B506" s="41" t="s">
        <v>1498</v>
      </c>
      <c r="C506" s="41" t="s">
        <v>1499</v>
      </c>
      <c r="D506" s="42" t="s">
        <v>12095</v>
      </c>
      <c r="E506" s="41" t="s">
        <v>12094</v>
      </c>
      <c r="F506" s="41" t="s">
        <v>18404</v>
      </c>
      <c r="G506" s="43" t="s">
        <v>87</v>
      </c>
      <c r="H506" s="54" t="s">
        <v>84</v>
      </c>
    </row>
    <row r="507" spans="1:8" ht="13" x14ac:dyDescent="0.3">
      <c r="A507" s="40" t="s">
        <v>6396</v>
      </c>
      <c r="B507" s="41" t="s">
        <v>18220</v>
      </c>
      <c r="C507" s="41" t="s">
        <v>6399</v>
      </c>
      <c r="D507" s="42" t="s">
        <v>6400</v>
      </c>
      <c r="E507" s="41" t="s">
        <v>18658</v>
      </c>
      <c r="F507" s="41" t="s">
        <v>18405</v>
      </c>
      <c r="G507" s="43" t="s">
        <v>626</v>
      </c>
      <c r="H507" s="54" t="s">
        <v>70</v>
      </c>
    </row>
    <row r="508" spans="1:8" ht="13" x14ac:dyDescent="0.3">
      <c r="A508" s="40" t="s">
        <v>12178</v>
      </c>
      <c r="B508" s="41" t="s">
        <v>1700</v>
      </c>
      <c r="C508" s="41" t="s">
        <v>1701</v>
      </c>
      <c r="D508" s="42" t="s">
        <v>1702</v>
      </c>
      <c r="E508" s="41" t="s">
        <v>12181</v>
      </c>
      <c r="F508" s="41" t="s">
        <v>1704</v>
      </c>
      <c r="G508" s="43" t="s">
        <v>177</v>
      </c>
      <c r="H508" s="54" t="s">
        <v>84</v>
      </c>
    </row>
    <row r="509" spans="1:8" ht="13" x14ac:dyDescent="0.3">
      <c r="A509" s="40" t="s">
        <v>17859</v>
      </c>
      <c r="B509" s="41" t="s">
        <v>18221</v>
      </c>
      <c r="C509" s="41" t="s">
        <v>4263</v>
      </c>
      <c r="D509" s="42" t="s">
        <v>4264</v>
      </c>
      <c r="E509" s="41" t="s">
        <v>4265</v>
      </c>
      <c r="F509" s="41" t="s">
        <v>3764</v>
      </c>
      <c r="G509" s="43" t="s">
        <v>470</v>
      </c>
      <c r="H509" s="54" t="s">
        <v>468</v>
      </c>
    </row>
    <row r="510" spans="1:8" ht="13" x14ac:dyDescent="0.3">
      <c r="A510" s="40" t="s">
        <v>17662</v>
      </c>
      <c r="B510" s="41" t="s">
        <v>10859</v>
      </c>
      <c r="C510" s="44"/>
      <c r="D510" s="42" t="s">
        <v>16412</v>
      </c>
      <c r="E510" s="41" t="s">
        <v>10861</v>
      </c>
      <c r="F510" s="41" t="s">
        <v>10862</v>
      </c>
      <c r="G510" s="43" t="s">
        <v>128</v>
      </c>
      <c r="H510" s="54" t="s">
        <v>101</v>
      </c>
    </row>
    <row r="511" spans="1:8" ht="13" x14ac:dyDescent="0.3">
      <c r="A511" s="40" t="s">
        <v>17487</v>
      </c>
      <c r="B511" s="44" t="s">
        <v>3740</v>
      </c>
      <c r="C511" s="44"/>
      <c r="D511" s="42" t="s">
        <v>11825</v>
      </c>
      <c r="E511" s="41" t="s">
        <v>1014</v>
      </c>
      <c r="F511" s="44" t="s">
        <v>3740</v>
      </c>
      <c r="G511" s="43" t="s">
        <v>1015</v>
      </c>
      <c r="H511" s="54" t="s">
        <v>70</v>
      </c>
    </row>
    <row r="512" spans="1:8" ht="13" x14ac:dyDescent="0.3">
      <c r="A512" s="40" t="s">
        <v>17695</v>
      </c>
      <c r="B512" s="44" t="s">
        <v>3740</v>
      </c>
      <c r="C512" s="44"/>
      <c r="D512" s="42" t="s">
        <v>11331</v>
      </c>
      <c r="E512" s="41" t="s">
        <v>2676</v>
      </c>
      <c r="F512" s="41" t="s">
        <v>18406</v>
      </c>
      <c r="G512" s="43" t="s">
        <v>381</v>
      </c>
      <c r="H512" s="54" t="s">
        <v>379</v>
      </c>
    </row>
    <row r="513" spans="1:8" ht="13" x14ac:dyDescent="0.3">
      <c r="A513" s="40" t="s">
        <v>17846</v>
      </c>
      <c r="B513" s="41" t="s">
        <v>5807</v>
      </c>
      <c r="C513" s="41" t="s">
        <v>5808</v>
      </c>
      <c r="D513" s="42" t="s">
        <v>5809</v>
      </c>
      <c r="E513" s="41" t="s">
        <v>18659</v>
      </c>
      <c r="F513" s="41" t="s">
        <v>18407</v>
      </c>
      <c r="G513" s="43" t="s">
        <v>5812</v>
      </c>
      <c r="H513" s="54" t="s">
        <v>1381</v>
      </c>
    </row>
    <row r="514" spans="1:8" ht="13" x14ac:dyDescent="0.3">
      <c r="A514" s="40" t="s">
        <v>6156</v>
      </c>
      <c r="B514" s="41" t="s">
        <v>18222</v>
      </c>
      <c r="C514" s="41" t="s">
        <v>6159</v>
      </c>
      <c r="D514" s="42" t="s">
        <v>6160</v>
      </c>
      <c r="E514" s="41" t="s">
        <v>6161</v>
      </c>
      <c r="F514" s="41" t="s">
        <v>18408</v>
      </c>
      <c r="G514" s="43" t="s">
        <v>381</v>
      </c>
      <c r="H514" s="54" t="s">
        <v>379</v>
      </c>
    </row>
    <row r="515" spans="1:8" ht="13" x14ac:dyDescent="0.3">
      <c r="A515" s="40" t="s">
        <v>17593</v>
      </c>
      <c r="B515" s="41" t="s">
        <v>18223</v>
      </c>
      <c r="C515" s="41" t="s">
        <v>9760</v>
      </c>
      <c r="D515" s="42" t="s">
        <v>15776</v>
      </c>
      <c r="E515" s="41" t="s">
        <v>9762</v>
      </c>
      <c r="F515" s="41" t="s">
        <v>1917</v>
      </c>
      <c r="G515" s="43" t="s">
        <v>7277</v>
      </c>
      <c r="H515" s="54" t="s">
        <v>70</v>
      </c>
    </row>
    <row r="516" spans="1:8" ht="13" x14ac:dyDescent="0.3">
      <c r="A516" s="40" t="s">
        <v>6937</v>
      </c>
      <c r="B516" s="41" t="s">
        <v>18224</v>
      </c>
      <c r="C516" s="41" t="s">
        <v>6940</v>
      </c>
      <c r="D516" s="42" t="s">
        <v>6941</v>
      </c>
      <c r="E516" s="41" t="s">
        <v>6942</v>
      </c>
      <c r="F516" s="41" t="s">
        <v>6943</v>
      </c>
      <c r="G516" s="43" t="s">
        <v>6725</v>
      </c>
      <c r="H516" s="54" t="s">
        <v>195</v>
      </c>
    </row>
    <row r="517" spans="1:8" ht="13" x14ac:dyDescent="0.3">
      <c r="A517" s="40" t="s">
        <v>2210</v>
      </c>
      <c r="B517" s="41" t="s">
        <v>2212</v>
      </c>
      <c r="C517" s="41" t="s">
        <v>2213</v>
      </c>
      <c r="D517" s="42" t="s">
        <v>3624</v>
      </c>
      <c r="E517" s="41" t="s">
        <v>18660</v>
      </c>
      <c r="F517" s="41" t="s">
        <v>2216</v>
      </c>
      <c r="G517" s="43" t="s">
        <v>2217</v>
      </c>
      <c r="H517" s="54" t="s">
        <v>1676</v>
      </c>
    </row>
    <row r="518" spans="1:8" ht="13" x14ac:dyDescent="0.3">
      <c r="A518" s="40" t="s">
        <v>17510</v>
      </c>
      <c r="B518" s="44" t="s">
        <v>3740</v>
      </c>
      <c r="C518" s="44"/>
      <c r="D518" s="42" t="s">
        <v>11571</v>
      </c>
      <c r="E518" s="41" t="s">
        <v>725</v>
      </c>
      <c r="F518" s="44" t="s">
        <v>3740</v>
      </c>
      <c r="G518" s="43" t="s">
        <v>231</v>
      </c>
      <c r="H518" s="54" t="s">
        <v>51</v>
      </c>
    </row>
    <row r="519" spans="1:8" ht="13" x14ac:dyDescent="0.3">
      <c r="A519" s="40" t="s">
        <v>17795</v>
      </c>
      <c r="B519" s="41" t="s">
        <v>7026</v>
      </c>
      <c r="C519" s="41" t="s">
        <v>7027</v>
      </c>
      <c r="D519" s="42" t="s">
        <v>7028</v>
      </c>
      <c r="E519" s="41" t="s">
        <v>18661</v>
      </c>
      <c r="F519" s="41" t="s">
        <v>7030</v>
      </c>
      <c r="G519" s="43" t="s">
        <v>128</v>
      </c>
      <c r="H519" s="54" t="s">
        <v>101</v>
      </c>
    </row>
    <row r="520" spans="1:8" ht="13" x14ac:dyDescent="0.3">
      <c r="A520" s="40" t="s">
        <v>17544</v>
      </c>
      <c r="B520" s="41" t="s">
        <v>18225</v>
      </c>
      <c r="C520" s="41" t="s">
        <v>8951</v>
      </c>
      <c r="D520" s="42" t="s">
        <v>8952</v>
      </c>
      <c r="E520" s="41" t="s">
        <v>18662</v>
      </c>
      <c r="F520" s="41" t="s">
        <v>5290</v>
      </c>
      <c r="G520" s="43" t="s">
        <v>381</v>
      </c>
      <c r="H520" s="54" t="s">
        <v>379</v>
      </c>
    </row>
    <row r="521" spans="1:8" ht="13" x14ac:dyDescent="0.3">
      <c r="A521" s="40" t="s">
        <v>4007</v>
      </c>
      <c r="B521" s="41" t="s">
        <v>18226</v>
      </c>
      <c r="C521" s="41" t="s">
        <v>4009</v>
      </c>
      <c r="D521" s="42" t="s">
        <v>4010</v>
      </c>
      <c r="E521" s="41" t="s">
        <v>18559</v>
      </c>
      <c r="F521" s="41" t="s">
        <v>4012</v>
      </c>
      <c r="G521" s="43" t="s">
        <v>7485</v>
      </c>
      <c r="H521" s="54" t="s">
        <v>195</v>
      </c>
    </row>
    <row r="522" spans="1:8" ht="13" x14ac:dyDescent="0.3">
      <c r="A522" s="40" t="s">
        <v>4087</v>
      </c>
      <c r="B522" s="41" t="s">
        <v>18227</v>
      </c>
      <c r="C522" s="41" t="s">
        <v>4090</v>
      </c>
      <c r="D522" s="42" t="s">
        <v>4091</v>
      </c>
      <c r="E522" s="41" t="s">
        <v>4092</v>
      </c>
      <c r="F522" s="41" t="s">
        <v>4093</v>
      </c>
      <c r="G522" s="43" t="s">
        <v>470</v>
      </c>
      <c r="H522" s="54" t="s">
        <v>468</v>
      </c>
    </row>
    <row r="523" spans="1:8" ht="13" x14ac:dyDescent="0.3">
      <c r="A523" s="40" t="s">
        <v>17660</v>
      </c>
      <c r="B523" s="41" t="s">
        <v>18228</v>
      </c>
      <c r="C523" s="41" t="s">
        <v>10829</v>
      </c>
      <c r="D523" s="42" t="s">
        <v>10830</v>
      </c>
      <c r="E523" s="41" t="s">
        <v>18663</v>
      </c>
      <c r="F523" s="41" t="s">
        <v>18409</v>
      </c>
      <c r="G523" s="43" t="s">
        <v>128</v>
      </c>
      <c r="H523" s="54" t="s">
        <v>101</v>
      </c>
    </row>
    <row r="524" spans="1:8" ht="13" x14ac:dyDescent="0.3">
      <c r="A524" s="40" t="s">
        <v>17991</v>
      </c>
      <c r="B524" s="41" t="s">
        <v>18229</v>
      </c>
      <c r="C524" s="41" t="s">
        <v>4373</v>
      </c>
      <c r="D524" s="42" t="s">
        <v>4374</v>
      </c>
      <c r="E524" s="41" t="s">
        <v>4375</v>
      </c>
      <c r="F524" s="41" t="s">
        <v>18410</v>
      </c>
      <c r="G524" s="43" t="s">
        <v>470</v>
      </c>
      <c r="H524" s="54" t="s">
        <v>468</v>
      </c>
    </row>
    <row r="525" spans="1:8" ht="13" x14ac:dyDescent="0.3">
      <c r="A525" s="40" t="s">
        <v>4744</v>
      </c>
      <c r="B525" s="41" t="s">
        <v>18230</v>
      </c>
      <c r="C525" s="41" t="s">
        <v>4746</v>
      </c>
      <c r="D525" s="42" t="s">
        <v>4747</v>
      </c>
      <c r="E525" s="41" t="s">
        <v>18664</v>
      </c>
      <c r="F525" s="41" t="s">
        <v>18411</v>
      </c>
      <c r="G525" s="43" t="s">
        <v>1848</v>
      </c>
      <c r="H525" s="54" t="s">
        <v>1002</v>
      </c>
    </row>
    <row r="526" spans="1:8" ht="13" x14ac:dyDescent="0.3">
      <c r="A526" s="40" t="s">
        <v>4744</v>
      </c>
      <c r="B526" s="41" t="s">
        <v>18231</v>
      </c>
      <c r="C526" s="41" t="s">
        <v>9635</v>
      </c>
      <c r="D526" s="42" t="s">
        <v>15705</v>
      </c>
      <c r="E526" s="41" t="s">
        <v>18665</v>
      </c>
      <c r="F526" s="41" t="s">
        <v>9638</v>
      </c>
      <c r="G526" s="43" t="s">
        <v>760</v>
      </c>
      <c r="H526" s="54" t="s">
        <v>70</v>
      </c>
    </row>
    <row r="527" spans="1:8" ht="13" x14ac:dyDescent="0.3">
      <c r="A527" s="40" t="s">
        <v>17772</v>
      </c>
      <c r="B527" s="41" t="s">
        <v>18232</v>
      </c>
      <c r="C527" s="41" t="s">
        <v>4887</v>
      </c>
      <c r="D527" s="42" t="s">
        <v>4888</v>
      </c>
      <c r="E527" s="41" t="s">
        <v>18666</v>
      </c>
      <c r="F527" s="41" t="s">
        <v>4890</v>
      </c>
      <c r="G527" s="43" t="s">
        <v>18300</v>
      </c>
      <c r="H527" s="54" t="s">
        <v>51</v>
      </c>
    </row>
    <row r="528" spans="1:8" ht="13" x14ac:dyDescent="0.3">
      <c r="A528" s="40" t="s">
        <v>7896</v>
      </c>
      <c r="B528" s="41" t="s">
        <v>18233</v>
      </c>
      <c r="C528" s="41" t="s">
        <v>7898</v>
      </c>
      <c r="D528" s="42" t="s">
        <v>7899</v>
      </c>
      <c r="E528" s="41" t="s">
        <v>18667</v>
      </c>
      <c r="F528" s="41" t="s">
        <v>18412</v>
      </c>
      <c r="G528" s="43" t="s">
        <v>1015</v>
      </c>
      <c r="H528" s="54" t="s">
        <v>70</v>
      </c>
    </row>
    <row r="529" spans="1:8" ht="13" x14ac:dyDescent="0.3">
      <c r="A529" s="40" t="s">
        <v>6250</v>
      </c>
      <c r="B529" s="41" t="s">
        <v>6251</v>
      </c>
      <c r="C529" s="41" t="s">
        <v>6252</v>
      </c>
      <c r="D529" s="42" t="s">
        <v>6253</v>
      </c>
      <c r="E529" s="41" t="s">
        <v>6254</v>
      </c>
      <c r="F529" s="41" t="s">
        <v>6255</v>
      </c>
      <c r="G529" s="43" t="s">
        <v>381</v>
      </c>
      <c r="H529" s="54" t="s">
        <v>379</v>
      </c>
    </row>
    <row r="530" spans="1:8" ht="13" x14ac:dyDescent="0.3">
      <c r="A530" s="40" t="s">
        <v>17839</v>
      </c>
      <c r="B530" s="41" t="s">
        <v>18234</v>
      </c>
      <c r="C530" s="41" t="s">
        <v>5164</v>
      </c>
      <c r="D530" s="42" t="s">
        <v>5165</v>
      </c>
      <c r="E530" s="41" t="s">
        <v>5166</v>
      </c>
      <c r="F530" s="41" t="s">
        <v>647</v>
      </c>
      <c r="G530" s="43" t="s">
        <v>5167</v>
      </c>
      <c r="H530" s="54" t="s">
        <v>84</v>
      </c>
    </row>
    <row r="531" spans="1:8" ht="13" x14ac:dyDescent="0.3">
      <c r="A531" s="40" t="s">
        <v>8110</v>
      </c>
      <c r="B531" s="41" t="s">
        <v>8111</v>
      </c>
      <c r="C531" s="41" t="s">
        <v>8112</v>
      </c>
      <c r="D531" s="42" t="s">
        <v>8113</v>
      </c>
      <c r="E531" s="41" t="s">
        <v>8114</v>
      </c>
      <c r="F531" s="41" t="s">
        <v>18413</v>
      </c>
      <c r="G531" s="43" t="s">
        <v>409</v>
      </c>
      <c r="H531" s="54" t="s">
        <v>407</v>
      </c>
    </row>
    <row r="532" spans="1:8" ht="13" x14ac:dyDescent="0.3">
      <c r="A532" s="40" t="s">
        <v>17861</v>
      </c>
      <c r="B532" s="41" t="s">
        <v>18235</v>
      </c>
      <c r="C532" s="44"/>
      <c r="D532" s="42" t="s">
        <v>4134</v>
      </c>
      <c r="E532" s="41" t="s">
        <v>18668</v>
      </c>
      <c r="F532" s="41" t="s">
        <v>18414</v>
      </c>
      <c r="G532" s="43" t="s">
        <v>18307</v>
      </c>
      <c r="H532" s="54" t="s">
        <v>468</v>
      </c>
    </row>
    <row r="533" spans="1:8" ht="13" x14ac:dyDescent="0.3">
      <c r="A533" s="40" t="s">
        <v>7360</v>
      </c>
      <c r="B533" s="41" t="s">
        <v>18236</v>
      </c>
      <c r="C533" s="41" t="s">
        <v>7364</v>
      </c>
      <c r="D533" s="42" t="s">
        <v>7365</v>
      </c>
      <c r="E533" s="41" t="s">
        <v>7366</v>
      </c>
      <c r="F533" s="41" t="s">
        <v>2062</v>
      </c>
      <c r="G533" s="43" t="s">
        <v>626</v>
      </c>
      <c r="H533" s="54" t="s">
        <v>70</v>
      </c>
    </row>
    <row r="534" spans="1:8" ht="13" x14ac:dyDescent="0.3">
      <c r="A534" s="40" t="s">
        <v>9789</v>
      </c>
      <c r="B534" s="41" t="s">
        <v>18237</v>
      </c>
      <c r="C534" s="41" t="s">
        <v>9791</v>
      </c>
      <c r="D534" s="42" t="s">
        <v>9792</v>
      </c>
      <c r="E534" s="41" t="s">
        <v>9793</v>
      </c>
      <c r="F534" s="41" t="s">
        <v>9794</v>
      </c>
      <c r="G534" s="43" t="s">
        <v>18278</v>
      </c>
      <c r="H534" s="54" t="s">
        <v>70</v>
      </c>
    </row>
    <row r="535" spans="1:8" ht="13" x14ac:dyDescent="0.3">
      <c r="A535" s="40" t="s">
        <v>17489</v>
      </c>
      <c r="B535" s="44" t="s">
        <v>3740</v>
      </c>
      <c r="C535" s="44"/>
      <c r="D535" s="42" t="s">
        <v>17446</v>
      </c>
      <c r="E535" s="41" t="s">
        <v>11845</v>
      </c>
      <c r="F535" s="44" t="s">
        <v>3740</v>
      </c>
      <c r="G535" s="43" t="s">
        <v>1160</v>
      </c>
      <c r="H535" s="54" t="s">
        <v>101</v>
      </c>
    </row>
    <row r="536" spans="1:8" ht="13" x14ac:dyDescent="0.3">
      <c r="A536" s="40" t="s">
        <v>17623</v>
      </c>
      <c r="B536" s="41" t="s">
        <v>10219</v>
      </c>
      <c r="C536" s="41" t="s">
        <v>10220</v>
      </c>
      <c r="D536" s="42" t="s">
        <v>16053</v>
      </c>
      <c r="E536" s="41" t="s">
        <v>18669</v>
      </c>
      <c r="F536" s="41" t="s">
        <v>10223</v>
      </c>
      <c r="G536" s="43" t="s">
        <v>128</v>
      </c>
      <c r="H536" s="54" t="s">
        <v>101</v>
      </c>
    </row>
    <row r="537" spans="1:8" ht="13" x14ac:dyDescent="0.3">
      <c r="A537" s="40" t="s">
        <v>17549</v>
      </c>
      <c r="B537" s="41" t="s">
        <v>18238</v>
      </c>
      <c r="C537" s="41" t="s">
        <v>9038</v>
      </c>
      <c r="D537" s="42" t="s">
        <v>9039</v>
      </c>
      <c r="E537" s="41" t="s">
        <v>18670</v>
      </c>
      <c r="F537" s="41" t="s">
        <v>9041</v>
      </c>
      <c r="G537" s="43" t="s">
        <v>470</v>
      </c>
      <c r="H537" s="54" t="s">
        <v>468</v>
      </c>
    </row>
    <row r="538" spans="1:8" ht="13" x14ac:dyDescent="0.3">
      <c r="A538" s="40" t="s">
        <v>17818</v>
      </c>
      <c r="B538" s="41" t="s">
        <v>18239</v>
      </c>
      <c r="C538" s="41" t="s">
        <v>8354</v>
      </c>
      <c r="D538" s="42" t="s">
        <v>8355</v>
      </c>
      <c r="E538" s="41" t="s">
        <v>8356</v>
      </c>
      <c r="F538" s="41" t="s">
        <v>18415</v>
      </c>
      <c r="G538" s="43" t="s">
        <v>128</v>
      </c>
      <c r="H538" s="54" t="s">
        <v>101</v>
      </c>
    </row>
    <row r="539" spans="1:8" ht="13" x14ac:dyDescent="0.3">
      <c r="A539" s="40" t="s">
        <v>17780</v>
      </c>
      <c r="B539" s="41" t="s">
        <v>18240</v>
      </c>
      <c r="C539" s="41" t="s">
        <v>17447</v>
      </c>
      <c r="D539" s="42" t="s">
        <v>17448</v>
      </c>
      <c r="E539" s="41" t="s">
        <v>18671</v>
      </c>
      <c r="F539" s="41" t="s">
        <v>16741</v>
      </c>
      <c r="G539" s="43" t="s">
        <v>128</v>
      </c>
      <c r="H539" s="54" t="s">
        <v>101</v>
      </c>
    </row>
    <row r="540" spans="1:8" ht="13" x14ac:dyDescent="0.3">
      <c r="A540" s="40" t="s">
        <v>2254</v>
      </c>
      <c r="B540" s="41" t="s">
        <v>2256</v>
      </c>
      <c r="C540" s="41" t="s">
        <v>2257</v>
      </c>
      <c r="D540" s="42" t="s">
        <v>12497</v>
      </c>
      <c r="E540" s="41" t="s">
        <v>18672</v>
      </c>
      <c r="F540" s="41" t="s">
        <v>2260</v>
      </c>
      <c r="G540" s="43" t="s">
        <v>177</v>
      </c>
      <c r="H540" s="54" t="s">
        <v>84</v>
      </c>
    </row>
    <row r="541" spans="1:8" ht="13" x14ac:dyDescent="0.3">
      <c r="A541" s="40" t="s">
        <v>17752</v>
      </c>
      <c r="B541" s="41" t="s">
        <v>18241</v>
      </c>
      <c r="C541" s="41" t="s">
        <v>6735</v>
      </c>
      <c r="D541" s="42" t="s">
        <v>6736</v>
      </c>
      <c r="E541" s="41" t="s">
        <v>6737</v>
      </c>
      <c r="F541" s="41" t="s">
        <v>1131</v>
      </c>
      <c r="G541" s="43" t="s">
        <v>6725</v>
      </c>
      <c r="H541" s="54" t="s">
        <v>195</v>
      </c>
    </row>
    <row r="542" spans="1:8" ht="13" x14ac:dyDescent="0.3">
      <c r="A542" s="40" t="s">
        <v>17740</v>
      </c>
      <c r="B542" s="41" t="s">
        <v>18242</v>
      </c>
      <c r="C542" s="41" t="s">
        <v>7193</v>
      </c>
      <c r="D542" s="42" t="s">
        <v>7194</v>
      </c>
      <c r="E542" s="41" t="s">
        <v>18673</v>
      </c>
      <c r="F542" s="41" t="s">
        <v>18416</v>
      </c>
      <c r="G542" s="43" t="s">
        <v>5305</v>
      </c>
      <c r="H542" s="54" t="s">
        <v>379</v>
      </c>
    </row>
    <row r="543" spans="1:8" ht="13" x14ac:dyDescent="0.3">
      <c r="A543" s="40" t="s">
        <v>17799</v>
      </c>
      <c r="B543" s="41" t="s">
        <v>18243</v>
      </c>
      <c r="C543" s="41" t="s">
        <v>6747</v>
      </c>
      <c r="D543" s="42" t="s">
        <v>6748</v>
      </c>
      <c r="E543" s="41" t="s">
        <v>6749</v>
      </c>
      <c r="F543" s="41" t="s">
        <v>6750</v>
      </c>
      <c r="G543" s="43" t="s">
        <v>470</v>
      </c>
      <c r="H543" s="54" t="s">
        <v>468</v>
      </c>
    </row>
    <row r="544" spans="1:8" ht="13" x14ac:dyDescent="0.3">
      <c r="A544" s="40" t="s">
        <v>17725</v>
      </c>
      <c r="B544" s="41" t="s">
        <v>18244</v>
      </c>
      <c r="C544" s="41" t="s">
        <v>8746</v>
      </c>
      <c r="D544" s="42" t="s">
        <v>8747</v>
      </c>
      <c r="E544" s="41" t="s">
        <v>18674</v>
      </c>
      <c r="F544" s="41" t="s">
        <v>8749</v>
      </c>
      <c r="G544" s="43" t="s">
        <v>1848</v>
      </c>
      <c r="H544" s="54" t="s">
        <v>1002</v>
      </c>
    </row>
    <row r="545" spans="1:8" ht="13" x14ac:dyDescent="0.3">
      <c r="A545" s="40" t="s">
        <v>7981</v>
      </c>
      <c r="B545" s="41" t="s">
        <v>18245</v>
      </c>
      <c r="C545" s="41" t="s">
        <v>7984</v>
      </c>
      <c r="D545" s="42" t="s">
        <v>7985</v>
      </c>
      <c r="E545" s="41" t="s">
        <v>7986</v>
      </c>
      <c r="F545" s="41" t="s">
        <v>18417</v>
      </c>
      <c r="G545" s="43" t="s">
        <v>7989</v>
      </c>
      <c r="H545" s="54" t="s">
        <v>70</v>
      </c>
    </row>
    <row r="546" spans="1:8" ht="13" x14ac:dyDescent="0.3">
      <c r="A546" s="40" t="s">
        <v>17775</v>
      </c>
      <c r="B546" s="41" t="s">
        <v>18246</v>
      </c>
      <c r="C546" s="44"/>
      <c r="D546" s="42" t="s">
        <v>18703</v>
      </c>
      <c r="E546" s="41" t="s">
        <v>4761</v>
      </c>
      <c r="F546" s="41" t="s">
        <v>18350</v>
      </c>
      <c r="G546" s="43" t="s">
        <v>1848</v>
      </c>
      <c r="H546" s="54" t="s">
        <v>1002</v>
      </c>
    </row>
    <row r="547" spans="1:8" ht="13" x14ac:dyDescent="0.3">
      <c r="A547" s="40" t="s">
        <v>17552</v>
      </c>
      <c r="B547" s="41" t="s">
        <v>9080</v>
      </c>
      <c r="C547" s="41" t="s">
        <v>9081</v>
      </c>
      <c r="D547" s="42" t="s">
        <v>9082</v>
      </c>
      <c r="E547" s="41" t="s">
        <v>18675</v>
      </c>
      <c r="F547" s="41" t="s">
        <v>17449</v>
      </c>
      <c r="G547" s="43" t="s">
        <v>1848</v>
      </c>
      <c r="H547" s="54" t="s">
        <v>1002</v>
      </c>
    </row>
    <row r="548" spans="1:8" ht="13" x14ac:dyDescent="0.3">
      <c r="A548" s="40" t="s">
        <v>17771</v>
      </c>
      <c r="B548" s="41" t="s">
        <v>18247</v>
      </c>
      <c r="C548" s="41" t="s">
        <v>6478</v>
      </c>
      <c r="D548" s="42" t="s">
        <v>6479</v>
      </c>
      <c r="E548" s="41" t="s">
        <v>6480</v>
      </c>
      <c r="F548" s="41" t="s">
        <v>6481</v>
      </c>
      <c r="G548" s="43" t="s">
        <v>1015</v>
      </c>
      <c r="H548" s="54" t="s">
        <v>70</v>
      </c>
    </row>
    <row r="549" spans="1:8" ht="13" x14ac:dyDescent="0.3">
      <c r="A549" s="40" t="s">
        <v>6263</v>
      </c>
      <c r="B549" s="41" t="s">
        <v>18248</v>
      </c>
      <c r="C549" s="41" t="s">
        <v>6265</v>
      </c>
      <c r="D549" s="42" t="s">
        <v>6266</v>
      </c>
      <c r="E549" s="41" t="s">
        <v>18676</v>
      </c>
      <c r="F549" s="41" t="s">
        <v>18418</v>
      </c>
      <c r="G549" s="43" t="s">
        <v>18308</v>
      </c>
      <c r="H549" s="54" t="s">
        <v>379</v>
      </c>
    </row>
    <row r="550" spans="1:8" ht="13" x14ac:dyDescent="0.3">
      <c r="A550" s="40" t="s">
        <v>17533</v>
      </c>
      <c r="B550" s="41" t="s">
        <v>18249</v>
      </c>
      <c r="C550" s="44"/>
      <c r="D550" s="42" t="s">
        <v>3779</v>
      </c>
      <c r="E550" s="46">
        <v>110</v>
      </c>
      <c r="F550" s="44" t="s">
        <v>3740</v>
      </c>
      <c r="G550" s="43" t="s">
        <v>1631</v>
      </c>
      <c r="H550" s="54" t="s">
        <v>246</v>
      </c>
    </row>
    <row r="551" spans="1:8" ht="13" x14ac:dyDescent="0.3">
      <c r="A551" s="40" t="s">
        <v>17710</v>
      </c>
      <c r="B551" s="41" t="s">
        <v>18250</v>
      </c>
      <c r="C551" s="41" t="s">
        <v>5273</v>
      </c>
      <c r="D551" s="42" t="s">
        <v>5274</v>
      </c>
      <c r="E551" s="41" t="s">
        <v>5275</v>
      </c>
      <c r="F551" s="41" t="s">
        <v>18419</v>
      </c>
      <c r="G551" s="43" t="s">
        <v>381</v>
      </c>
      <c r="H551" s="54" t="s">
        <v>379</v>
      </c>
    </row>
    <row r="552" spans="1:8" ht="13" x14ac:dyDescent="0.3">
      <c r="A552" s="40" t="s">
        <v>618</v>
      </c>
      <c r="B552" s="41" t="s">
        <v>621</v>
      </c>
      <c r="C552" s="41" t="s">
        <v>622</v>
      </c>
      <c r="D552" s="42" t="s">
        <v>623</v>
      </c>
      <c r="E552" s="41" t="s">
        <v>624</v>
      </c>
      <c r="F552" s="41" t="s">
        <v>625</v>
      </c>
      <c r="G552" s="43" t="s">
        <v>626</v>
      </c>
      <c r="H552" s="54" t="s">
        <v>70</v>
      </c>
    </row>
    <row r="553" spans="1:8" ht="13" x14ac:dyDescent="0.3">
      <c r="A553" s="40" t="s">
        <v>7743</v>
      </c>
      <c r="B553" s="41" t="s">
        <v>7744</v>
      </c>
      <c r="C553" s="41" t="s">
        <v>7745</v>
      </c>
      <c r="D553" s="42" t="s">
        <v>7746</v>
      </c>
      <c r="E553" s="41" t="s">
        <v>7747</v>
      </c>
      <c r="F553" s="41" t="s">
        <v>7748</v>
      </c>
      <c r="G553" s="43" t="s">
        <v>128</v>
      </c>
      <c r="H553" s="54" t="s">
        <v>101</v>
      </c>
    </row>
    <row r="554" spans="1:8" ht="13" x14ac:dyDescent="0.3">
      <c r="A554" s="40" t="s">
        <v>17838</v>
      </c>
      <c r="B554" s="41" t="s">
        <v>18251</v>
      </c>
      <c r="C554" s="41" t="s">
        <v>7341</v>
      </c>
      <c r="D554" s="42" t="s">
        <v>7342</v>
      </c>
      <c r="E554" s="41" t="s">
        <v>7343</v>
      </c>
      <c r="F554" s="41" t="s">
        <v>18420</v>
      </c>
      <c r="G554" s="43" t="s">
        <v>7345</v>
      </c>
      <c r="H554" s="54" t="s">
        <v>70</v>
      </c>
    </row>
    <row r="555" spans="1:8" ht="13" x14ac:dyDescent="0.3">
      <c r="A555" s="40" t="s">
        <v>6176</v>
      </c>
      <c r="B555" s="41" t="s">
        <v>6178</v>
      </c>
      <c r="C555" s="41" t="s">
        <v>6179</v>
      </c>
      <c r="D555" s="42" t="s">
        <v>6180</v>
      </c>
      <c r="E555" s="41" t="s">
        <v>18677</v>
      </c>
      <c r="F555" s="41" t="s">
        <v>6182</v>
      </c>
      <c r="G555" s="43" t="s">
        <v>381</v>
      </c>
      <c r="H555" s="54" t="s">
        <v>379</v>
      </c>
    </row>
    <row r="556" spans="1:8" ht="13" x14ac:dyDescent="0.3">
      <c r="A556" s="40" t="s">
        <v>17497</v>
      </c>
      <c r="B556" s="44" t="s">
        <v>3740</v>
      </c>
      <c r="C556" s="44"/>
      <c r="D556" s="42" t="s">
        <v>8904</v>
      </c>
      <c r="E556" s="41" t="s">
        <v>8903</v>
      </c>
      <c r="F556" s="41" t="s">
        <v>18421</v>
      </c>
      <c r="G556" s="43" t="s">
        <v>626</v>
      </c>
      <c r="H556" s="54" t="s">
        <v>70</v>
      </c>
    </row>
    <row r="557" spans="1:8" ht="13" x14ac:dyDescent="0.3">
      <c r="A557" s="40" t="s">
        <v>482</v>
      </c>
      <c r="B557" s="44" t="s">
        <v>3740</v>
      </c>
      <c r="C557" s="41" t="s">
        <v>484</v>
      </c>
      <c r="D557" s="42" t="s">
        <v>11370</v>
      </c>
      <c r="E557" s="41" t="s">
        <v>18678</v>
      </c>
      <c r="F557" s="44" t="s">
        <v>3740</v>
      </c>
      <c r="G557" s="43" t="s">
        <v>128</v>
      </c>
      <c r="H557" s="54" t="s">
        <v>101</v>
      </c>
    </row>
    <row r="558" spans="1:8" ht="13" x14ac:dyDescent="0.3">
      <c r="A558" s="40" t="s">
        <v>5544</v>
      </c>
      <c r="B558" s="41" t="s">
        <v>18252</v>
      </c>
      <c r="C558" s="41" t="s">
        <v>5546</v>
      </c>
      <c r="D558" s="42" t="s">
        <v>5547</v>
      </c>
      <c r="E558" s="41" t="s">
        <v>18679</v>
      </c>
      <c r="F558" s="41" t="s">
        <v>5549</v>
      </c>
      <c r="G558" s="43" t="s">
        <v>470</v>
      </c>
      <c r="H558" s="54" t="s">
        <v>468</v>
      </c>
    </row>
    <row r="559" spans="1:8" ht="13" x14ac:dyDescent="0.3">
      <c r="A559" s="40" t="s">
        <v>4714</v>
      </c>
      <c r="B559" s="41" t="s">
        <v>18253</v>
      </c>
      <c r="C559" s="44"/>
      <c r="D559" s="45"/>
      <c r="E559" s="41" t="s">
        <v>4717</v>
      </c>
      <c r="F559" s="41" t="s">
        <v>4718</v>
      </c>
      <c r="G559" s="43" t="s">
        <v>177</v>
      </c>
      <c r="H559" s="54" t="s">
        <v>84</v>
      </c>
    </row>
    <row r="560" spans="1:8" ht="13" x14ac:dyDescent="0.3">
      <c r="A560" s="40" t="s">
        <v>17531</v>
      </c>
      <c r="B560" s="41" t="s">
        <v>18254</v>
      </c>
      <c r="C560" s="41" t="s">
        <v>3746</v>
      </c>
      <c r="D560" s="42" t="s">
        <v>3747</v>
      </c>
      <c r="E560" s="41" t="s">
        <v>18680</v>
      </c>
      <c r="F560" s="41" t="s">
        <v>3749</v>
      </c>
      <c r="G560" s="43" t="s">
        <v>409</v>
      </c>
      <c r="H560" s="54" t="s">
        <v>407</v>
      </c>
    </row>
    <row r="561" spans="1:8" ht="13" x14ac:dyDescent="0.3">
      <c r="A561" s="40" t="s">
        <v>7321</v>
      </c>
      <c r="B561" s="41" t="s">
        <v>18255</v>
      </c>
      <c r="C561" s="41" t="s">
        <v>7323</v>
      </c>
      <c r="D561" s="42" t="s">
        <v>7324</v>
      </c>
      <c r="E561" s="41" t="s">
        <v>18681</v>
      </c>
      <c r="F561" s="41" t="s">
        <v>7326</v>
      </c>
      <c r="G561" s="43" t="s">
        <v>7327</v>
      </c>
      <c r="H561" s="54" t="s">
        <v>70</v>
      </c>
    </row>
    <row r="562" spans="1:8" ht="13" x14ac:dyDescent="0.3">
      <c r="A562" s="40" t="s">
        <v>17785</v>
      </c>
      <c r="B562" s="41" t="s">
        <v>6419</v>
      </c>
      <c r="C562" s="41" t="s">
        <v>6420</v>
      </c>
      <c r="D562" s="42" t="s">
        <v>6421</v>
      </c>
      <c r="E562" s="41" t="s">
        <v>18682</v>
      </c>
      <c r="F562" s="41" t="s">
        <v>6423</v>
      </c>
      <c r="G562" s="43" t="s">
        <v>626</v>
      </c>
      <c r="H562" s="54" t="s">
        <v>70</v>
      </c>
    </row>
    <row r="563" spans="1:8" ht="13" x14ac:dyDescent="0.3">
      <c r="A563" s="40" t="s">
        <v>5259</v>
      </c>
      <c r="B563" s="41" t="s">
        <v>18256</v>
      </c>
      <c r="C563" s="41" t="s">
        <v>5261</v>
      </c>
      <c r="D563" s="42" t="s">
        <v>5262</v>
      </c>
      <c r="E563" s="41" t="s">
        <v>13446</v>
      </c>
      <c r="F563" s="41" t="s">
        <v>18422</v>
      </c>
      <c r="G563" s="43" t="s">
        <v>381</v>
      </c>
      <c r="H563" s="54" t="s">
        <v>379</v>
      </c>
    </row>
    <row r="564" spans="1:8" ht="13" x14ac:dyDescent="0.3">
      <c r="A564" s="40" t="s">
        <v>1738</v>
      </c>
      <c r="B564" s="41" t="s">
        <v>1740</v>
      </c>
      <c r="C564" s="41" t="s">
        <v>1741</v>
      </c>
      <c r="D564" s="42" t="s">
        <v>12203</v>
      </c>
      <c r="E564" s="41" t="s">
        <v>18683</v>
      </c>
      <c r="F564" s="41" t="s">
        <v>1744</v>
      </c>
      <c r="G564" s="43" t="s">
        <v>177</v>
      </c>
      <c r="H564" s="54" t="s">
        <v>84</v>
      </c>
    </row>
    <row r="565" spans="1:8" ht="13" x14ac:dyDescent="0.3">
      <c r="A565" s="40" t="s">
        <v>8579</v>
      </c>
      <c r="B565" s="41" t="s">
        <v>8581</v>
      </c>
      <c r="C565" s="41" t="s">
        <v>8582</v>
      </c>
      <c r="D565" s="42" t="s">
        <v>8583</v>
      </c>
      <c r="E565" s="41" t="s">
        <v>8584</v>
      </c>
      <c r="F565" s="41" t="s">
        <v>8585</v>
      </c>
      <c r="G565" s="43" t="s">
        <v>1149</v>
      </c>
      <c r="H565" s="54" t="s">
        <v>557</v>
      </c>
    </row>
    <row r="566" spans="1:8" ht="13" x14ac:dyDescent="0.3">
      <c r="A566" s="40" t="s">
        <v>17600</v>
      </c>
      <c r="B566" s="41" t="s">
        <v>18257</v>
      </c>
      <c r="C566" s="41" t="s">
        <v>9874</v>
      </c>
      <c r="D566" s="42" t="s">
        <v>18702</v>
      </c>
      <c r="E566" s="41" t="s">
        <v>9875</v>
      </c>
      <c r="F566" s="41" t="s">
        <v>9876</v>
      </c>
      <c r="G566" s="43" t="s">
        <v>626</v>
      </c>
      <c r="H566" s="54" t="s">
        <v>70</v>
      </c>
    </row>
    <row r="567" spans="1:8" ht="13" x14ac:dyDescent="0.3">
      <c r="A567" s="40" t="s">
        <v>998</v>
      </c>
      <c r="B567" s="44" t="s">
        <v>3740</v>
      </c>
      <c r="C567" s="41" t="s">
        <v>11744</v>
      </c>
      <c r="D567" s="42" t="s">
        <v>17450</v>
      </c>
      <c r="E567" s="41" t="s">
        <v>18684</v>
      </c>
      <c r="F567" s="44" t="s">
        <v>3740</v>
      </c>
      <c r="G567" s="43" t="s">
        <v>11747</v>
      </c>
      <c r="H567" s="54" t="s">
        <v>1002</v>
      </c>
    </row>
    <row r="568" spans="1:8" ht="13" x14ac:dyDescent="0.3">
      <c r="A568" s="40" t="s">
        <v>17871</v>
      </c>
      <c r="B568" s="41" t="s">
        <v>6778</v>
      </c>
      <c r="C568" s="41" t="s">
        <v>6779</v>
      </c>
      <c r="D568" s="42" t="s">
        <v>6780</v>
      </c>
      <c r="E568" s="41" t="s">
        <v>18685</v>
      </c>
      <c r="F568" s="41" t="s">
        <v>6783</v>
      </c>
      <c r="G568" s="43" t="s">
        <v>6784</v>
      </c>
      <c r="H568" s="54" t="s">
        <v>6781</v>
      </c>
    </row>
    <row r="569" spans="1:8" ht="13" x14ac:dyDescent="0.3">
      <c r="A569" s="40" t="s">
        <v>6348</v>
      </c>
      <c r="B569" s="41" t="s">
        <v>18258</v>
      </c>
      <c r="C569" s="41" t="s">
        <v>6350</v>
      </c>
      <c r="D569" s="42" t="s">
        <v>6351</v>
      </c>
      <c r="E569" s="41" t="s">
        <v>6352</v>
      </c>
      <c r="F569" s="41" t="s">
        <v>18423</v>
      </c>
      <c r="G569" s="43" t="s">
        <v>626</v>
      </c>
      <c r="H569" s="54" t="s">
        <v>70</v>
      </c>
    </row>
    <row r="570" spans="1:8" ht="13" x14ac:dyDescent="0.3">
      <c r="A570" s="40" t="s">
        <v>17603</v>
      </c>
      <c r="B570" s="41" t="s">
        <v>18259</v>
      </c>
      <c r="C570" s="41" t="s">
        <v>9915</v>
      </c>
      <c r="D570" s="42" t="s">
        <v>17451</v>
      </c>
      <c r="E570" s="41" t="s">
        <v>18686</v>
      </c>
      <c r="F570" s="41" t="s">
        <v>9918</v>
      </c>
      <c r="G570" s="43" t="s">
        <v>7277</v>
      </c>
      <c r="H570" s="54" t="s">
        <v>70</v>
      </c>
    </row>
    <row r="571" spans="1:8" ht="13" x14ac:dyDescent="0.3">
      <c r="A571" s="40" t="s">
        <v>17655</v>
      </c>
      <c r="B571" s="41" t="s">
        <v>10747</v>
      </c>
      <c r="C571" s="41" t="s">
        <v>10748</v>
      </c>
      <c r="D571" s="42" t="s">
        <v>16351</v>
      </c>
      <c r="E571" s="41" t="s">
        <v>10750</v>
      </c>
      <c r="F571" s="41" t="s">
        <v>10751</v>
      </c>
      <c r="G571" s="43" t="s">
        <v>128</v>
      </c>
      <c r="H571" s="54" t="s">
        <v>101</v>
      </c>
    </row>
    <row r="572" spans="1:8" ht="13" x14ac:dyDescent="0.3">
      <c r="A572" s="40" t="s">
        <v>17509</v>
      </c>
      <c r="B572" s="44" t="s">
        <v>3740</v>
      </c>
      <c r="C572" s="44"/>
      <c r="D572" s="45"/>
      <c r="E572" s="41" t="s">
        <v>18687</v>
      </c>
      <c r="F572" s="44" t="s">
        <v>3740</v>
      </c>
      <c r="G572" s="43" t="s">
        <v>18309</v>
      </c>
      <c r="H572" s="54" t="s">
        <v>1171</v>
      </c>
    </row>
    <row r="573" spans="1:8" ht="13" x14ac:dyDescent="0.3">
      <c r="A573" s="40" t="s">
        <v>17689</v>
      </c>
      <c r="B573" s="44" t="s">
        <v>3740</v>
      </c>
      <c r="C573" s="41" t="s">
        <v>278</v>
      </c>
      <c r="D573" s="42" t="s">
        <v>11263</v>
      </c>
      <c r="E573" s="41" t="s">
        <v>18688</v>
      </c>
      <c r="F573" s="41" t="s">
        <v>18424</v>
      </c>
      <c r="G573" s="43" t="s">
        <v>282</v>
      </c>
      <c r="H573" s="54" t="s">
        <v>280</v>
      </c>
    </row>
    <row r="574" spans="1:8" ht="13" x14ac:dyDescent="0.3">
      <c r="A574" s="40" t="s">
        <v>17826</v>
      </c>
      <c r="B574" s="41" t="s">
        <v>8560</v>
      </c>
      <c r="C574" s="41" t="s">
        <v>8561</v>
      </c>
      <c r="D574" s="42" t="s">
        <v>8562</v>
      </c>
      <c r="E574" s="41" t="s">
        <v>8563</v>
      </c>
      <c r="F574" s="41" t="s">
        <v>8564</v>
      </c>
      <c r="G574" s="43" t="s">
        <v>409</v>
      </c>
      <c r="H574" s="54" t="s">
        <v>407</v>
      </c>
    </row>
    <row r="575" spans="1:8" ht="13" x14ac:dyDescent="0.3">
      <c r="A575" s="40" t="s">
        <v>17835</v>
      </c>
      <c r="B575" s="41" t="s">
        <v>5151</v>
      </c>
      <c r="C575" s="44"/>
      <c r="D575" s="42" t="s">
        <v>5152</v>
      </c>
      <c r="E575" s="41" t="s">
        <v>5153</v>
      </c>
      <c r="F575" s="41" t="s">
        <v>5154</v>
      </c>
      <c r="G575" s="43" t="s">
        <v>282</v>
      </c>
      <c r="H575" s="54" t="s">
        <v>280</v>
      </c>
    </row>
    <row r="576" spans="1:8" ht="13" x14ac:dyDescent="0.3">
      <c r="A576" s="40" t="s">
        <v>17739</v>
      </c>
      <c r="B576" s="41" t="s">
        <v>6138</v>
      </c>
      <c r="C576" s="41" t="s">
        <v>6139</v>
      </c>
      <c r="D576" s="42" t="s">
        <v>6140</v>
      </c>
      <c r="E576" s="41" t="s">
        <v>6141</v>
      </c>
      <c r="F576" s="41" t="s">
        <v>6142</v>
      </c>
      <c r="G576" s="43" t="s">
        <v>18310</v>
      </c>
      <c r="H576" s="54" t="s">
        <v>379</v>
      </c>
    </row>
    <row r="577" spans="1:8" ht="13" x14ac:dyDescent="0.3">
      <c r="A577" s="40" t="s">
        <v>5327</v>
      </c>
      <c r="B577" s="41" t="s">
        <v>18260</v>
      </c>
      <c r="C577" s="44"/>
      <c r="D577" s="42" t="s">
        <v>5329</v>
      </c>
      <c r="E577" s="41" t="s">
        <v>18689</v>
      </c>
      <c r="F577" s="41" t="s">
        <v>647</v>
      </c>
      <c r="G577" s="43" t="s">
        <v>5331</v>
      </c>
      <c r="H577" s="54" t="s">
        <v>1002</v>
      </c>
    </row>
    <row r="578" spans="1:8" ht="13" x14ac:dyDescent="0.3">
      <c r="A578" s="40" t="s">
        <v>8444</v>
      </c>
      <c r="B578" s="41" t="s">
        <v>8446</v>
      </c>
      <c r="C578" s="41" t="s">
        <v>8447</v>
      </c>
      <c r="D578" s="42" t="s">
        <v>8448</v>
      </c>
      <c r="E578" s="41" t="s">
        <v>8449</v>
      </c>
      <c r="F578" s="41" t="s">
        <v>647</v>
      </c>
      <c r="G578" s="43" t="s">
        <v>338</v>
      </c>
      <c r="H578" s="54" t="s">
        <v>310</v>
      </c>
    </row>
    <row r="579" spans="1:8" ht="13" x14ac:dyDescent="0.3">
      <c r="A579" s="40" t="s">
        <v>17573</v>
      </c>
      <c r="B579" s="41" t="s">
        <v>18261</v>
      </c>
      <c r="C579" s="41" t="s">
        <v>9450</v>
      </c>
      <c r="D579" s="42" t="s">
        <v>9451</v>
      </c>
      <c r="E579" s="41" t="s">
        <v>18690</v>
      </c>
      <c r="F579" s="41" t="s">
        <v>7357</v>
      </c>
      <c r="G579" s="43" t="s">
        <v>626</v>
      </c>
      <c r="H579" s="54" t="s">
        <v>70</v>
      </c>
    </row>
    <row r="580" spans="1:8" ht="13" x14ac:dyDescent="0.3">
      <c r="A580" s="40" t="s">
        <v>17727</v>
      </c>
      <c r="B580" s="41" t="s">
        <v>6791</v>
      </c>
      <c r="C580" s="41" t="s">
        <v>6794</v>
      </c>
      <c r="D580" s="42" t="s">
        <v>6795</v>
      </c>
      <c r="E580" s="41" t="s">
        <v>6796</v>
      </c>
      <c r="F580" s="41" t="s">
        <v>6797</v>
      </c>
      <c r="G580" s="43" t="s">
        <v>18311</v>
      </c>
      <c r="H580" s="54" t="s">
        <v>557</v>
      </c>
    </row>
    <row r="581" spans="1:8" ht="13" x14ac:dyDescent="0.3">
      <c r="A581" s="40" t="s">
        <v>5783</v>
      </c>
      <c r="B581" s="41" t="s">
        <v>5785</v>
      </c>
      <c r="C581" s="41" t="s">
        <v>5786</v>
      </c>
      <c r="D581" s="42" t="s">
        <v>5787</v>
      </c>
      <c r="E581" s="41" t="s">
        <v>5788</v>
      </c>
      <c r="F581" s="41" t="s">
        <v>5789</v>
      </c>
      <c r="G581" s="43" t="s">
        <v>369</v>
      </c>
      <c r="H581" s="54" t="s">
        <v>84</v>
      </c>
    </row>
    <row r="582" spans="1:8" ht="13" x14ac:dyDescent="0.3">
      <c r="A582" s="40" t="s">
        <v>17798</v>
      </c>
      <c r="B582" s="41" t="s">
        <v>18262</v>
      </c>
      <c r="C582" s="41" t="s">
        <v>7222</v>
      </c>
      <c r="D582" s="42" t="s">
        <v>7223</v>
      </c>
      <c r="E582" s="41" t="s">
        <v>18691</v>
      </c>
      <c r="F582" s="41" t="s">
        <v>7225</v>
      </c>
      <c r="G582" s="43" t="s">
        <v>7226</v>
      </c>
      <c r="H582" s="54" t="s">
        <v>379</v>
      </c>
    </row>
    <row r="583" spans="1:8" ht="13" x14ac:dyDescent="0.3">
      <c r="A583" s="40" t="s">
        <v>7961</v>
      </c>
      <c r="B583" s="41" t="s">
        <v>18263</v>
      </c>
      <c r="C583" s="41" t="s">
        <v>7964</v>
      </c>
      <c r="D583" s="42" t="s">
        <v>7965</v>
      </c>
      <c r="E583" s="41" t="s">
        <v>18692</v>
      </c>
      <c r="F583" s="41" t="s">
        <v>7967</v>
      </c>
      <c r="G583" s="43" t="s">
        <v>1608</v>
      </c>
      <c r="H583" s="54" t="s">
        <v>70</v>
      </c>
    </row>
    <row r="584" spans="1:8" ht="13" x14ac:dyDescent="0.3">
      <c r="A584" s="40" t="s">
        <v>17875</v>
      </c>
      <c r="B584" s="41" t="s">
        <v>4788</v>
      </c>
      <c r="C584" s="44"/>
      <c r="D584" s="42" t="s">
        <v>18701</v>
      </c>
      <c r="E584" s="41" t="s">
        <v>18693</v>
      </c>
      <c r="F584" s="41" t="s">
        <v>4790</v>
      </c>
      <c r="G584" s="43" t="s">
        <v>4792</v>
      </c>
      <c r="H584" s="54" t="s">
        <v>51</v>
      </c>
    </row>
    <row r="585" spans="1:8" ht="13" x14ac:dyDescent="0.3">
      <c r="A585" s="40" t="s">
        <v>5285</v>
      </c>
      <c r="B585" s="41" t="s">
        <v>5286</v>
      </c>
      <c r="C585" s="41" t="s">
        <v>5287</v>
      </c>
      <c r="D585" s="42" t="s">
        <v>5288</v>
      </c>
      <c r="E585" s="41" t="s">
        <v>5289</v>
      </c>
      <c r="F585" s="41" t="s">
        <v>5290</v>
      </c>
      <c r="G585" s="43" t="s">
        <v>381</v>
      </c>
      <c r="H585" s="54" t="s">
        <v>379</v>
      </c>
    </row>
    <row r="586" spans="1:8" ht="13" x14ac:dyDescent="0.3">
      <c r="A586" s="40" t="s">
        <v>17992</v>
      </c>
      <c r="B586" s="41" t="s">
        <v>18264</v>
      </c>
      <c r="C586" s="41" t="s">
        <v>4038</v>
      </c>
      <c r="D586" s="42" t="s">
        <v>4039</v>
      </c>
      <c r="E586" s="41" t="s">
        <v>4040</v>
      </c>
      <c r="F586" s="41" t="s">
        <v>18382</v>
      </c>
      <c r="G586" s="43" t="s">
        <v>1848</v>
      </c>
      <c r="H586" s="54" t="s">
        <v>1002</v>
      </c>
    </row>
    <row r="587" spans="1:8" ht="13" x14ac:dyDescent="0.3">
      <c r="A587" s="40" t="s">
        <v>7706</v>
      </c>
      <c r="B587" s="41" t="s">
        <v>18265</v>
      </c>
      <c r="C587" s="44"/>
      <c r="D587" s="45"/>
      <c r="E587" s="41" t="s">
        <v>18694</v>
      </c>
      <c r="F587" s="41" t="s">
        <v>7711</v>
      </c>
      <c r="G587" s="43" t="s">
        <v>891</v>
      </c>
      <c r="H587" s="54" t="s">
        <v>101</v>
      </c>
    </row>
    <row r="588" spans="1:8" ht="13" x14ac:dyDescent="0.3">
      <c r="A588" s="40" t="s">
        <v>17612</v>
      </c>
      <c r="B588" s="41" t="s">
        <v>18266</v>
      </c>
      <c r="C588" s="41" t="s">
        <v>10053</v>
      </c>
      <c r="D588" s="42" t="s">
        <v>15956</v>
      </c>
      <c r="E588" s="41" t="s">
        <v>10055</v>
      </c>
      <c r="F588" s="41" t="s">
        <v>15872</v>
      </c>
      <c r="G588" s="43" t="s">
        <v>10057</v>
      </c>
      <c r="H588" s="54" t="s">
        <v>101</v>
      </c>
    </row>
    <row r="589" spans="1:8" ht="13" x14ac:dyDescent="0.3">
      <c r="A589" s="40" t="s">
        <v>5590</v>
      </c>
      <c r="B589" s="41" t="s">
        <v>18267</v>
      </c>
      <c r="C589" s="41" t="s">
        <v>5594</v>
      </c>
      <c r="D589" s="42" t="s">
        <v>5595</v>
      </c>
      <c r="E589" s="41" t="s">
        <v>18695</v>
      </c>
      <c r="F589" s="41" t="s">
        <v>18425</v>
      </c>
      <c r="G589" s="43" t="s">
        <v>18312</v>
      </c>
      <c r="H589" s="54" t="s">
        <v>468</v>
      </c>
    </row>
    <row r="590" spans="1:8" ht="13" x14ac:dyDescent="0.3">
      <c r="A590" s="40" t="s">
        <v>8418</v>
      </c>
      <c r="B590" s="41" t="s">
        <v>8420</v>
      </c>
      <c r="C590" s="41" t="s">
        <v>8421</v>
      </c>
      <c r="D590" s="42" t="s">
        <v>8422</v>
      </c>
      <c r="E590" s="41" t="s">
        <v>18696</v>
      </c>
      <c r="F590" s="41" t="s">
        <v>18426</v>
      </c>
      <c r="G590" s="43" t="s">
        <v>3795</v>
      </c>
      <c r="H590" s="54" t="s">
        <v>101</v>
      </c>
    </row>
    <row r="591" spans="1:8" ht="13" x14ac:dyDescent="0.3">
      <c r="A591" s="40" t="s">
        <v>17993</v>
      </c>
      <c r="B591" s="41" t="s">
        <v>18268</v>
      </c>
      <c r="C591" s="41" t="s">
        <v>6012</v>
      </c>
      <c r="D591" s="45"/>
      <c r="E591" s="41" t="s">
        <v>6013</v>
      </c>
      <c r="F591" s="41" t="s">
        <v>6014</v>
      </c>
      <c r="G591" s="43" t="s">
        <v>381</v>
      </c>
      <c r="H591" s="54" t="s">
        <v>379</v>
      </c>
    </row>
    <row r="592" spans="1:8" ht="13" x14ac:dyDescent="0.3">
      <c r="A592" s="40" t="s">
        <v>4052</v>
      </c>
      <c r="B592" s="41" t="s">
        <v>18269</v>
      </c>
      <c r="C592" s="41" t="s">
        <v>4054</v>
      </c>
      <c r="D592" s="42" t="s">
        <v>4055</v>
      </c>
      <c r="E592" s="41" t="s">
        <v>18697</v>
      </c>
      <c r="F592" s="41" t="s">
        <v>18427</v>
      </c>
      <c r="G592" s="43" t="s">
        <v>18313</v>
      </c>
      <c r="H592" s="54" t="s">
        <v>605</v>
      </c>
    </row>
    <row r="593" spans="1:8" ht="13" x14ac:dyDescent="0.3">
      <c r="A593" s="40" t="s">
        <v>17681</v>
      </c>
      <c r="B593" s="41" t="s">
        <v>10974</v>
      </c>
      <c r="C593" s="41" t="s">
        <v>10975</v>
      </c>
      <c r="D593" s="42" t="s">
        <v>16487</v>
      </c>
      <c r="E593" s="41" t="s">
        <v>10976</v>
      </c>
      <c r="F593" s="41" t="s">
        <v>10977</v>
      </c>
      <c r="G593" s="43" t="s">
        <v>177</v>
      </c>
      <c r="H593" s="54" t="s">
        <v>84</v>
      </c>
    </row>
    <row r="594" spans="1:8" ht="13" x14ac:dyDescent="0.3">
      <c r="A594" s="40" t="s">
        <v>17535</v>
      </c>
      <c r="B594" s="44" t="s">
        <v>3740</v>
      </c>
      <c r="C594" s="44"/>
      <c r="D594" s="45"/>
      <c r="E594" s="41" t="s">
        <v>18698</v>
      </c>
      <c r="F594" s="44" t="s">
        <v>3740</v>
      </c>
      <c r="G594" s="43" t="s">
        <v>128</v>
      </c>
      <c r="H594" s="54" t="s">
        <v>101</v>
      </c>
    </row>
    <row r="595" spans="1:8" ht="13" x14ac:dyDescent="0.3">
      <c r="A595" s="40" t="s">
        <v>17493</v>
      </c>
      <c r="B595" s="44" t="s">
        <v>3740</v>
      </c>
      <c r="C595" s="44"/>
      <c r="D595" s="42" t="s">
        <v>11888</v>
      </c>
      <c r="E595" s="41" t="s">
        <v>11886</v>
      </c>
      <c r="F595" s="41" t="s">
        <v>11887</v>
      </c>
      <c r="G595" s="43" t="s">
        <v>128</v>
      </c>
      <c r="H595" s="54" t="s">
        <v>101</v>
      </c>
    </row>
    <row r="596" spans="1:8" ht="13" x14ac:dyDescent="0.3">
      <c r="A596" s="40" t="s">
        <v>17586</v>
      </c>
      <c r="B596" s="41" t="s">
        <v>18270</v>
      </c>
      <c r="C596" s="41" t="s">
        <v>9652</v>
      </c>
      <c r="D596" s="42" t="s">
        <v>15713</v>
      </c>
      <c r="E596" s="41" t="s">
        <v>9654</v>
      </c>
      <c r="F596" s="41" t="s">
        <v>18428</v>
      </c>
      <c r="G596" s="43" t="s">
        <v>626</v>
      </c>
      <c r="H596" s="54" t="s">
        <v>70</v>
      </c>
    </row>
    <row r="597" spans="1:8" ht="13" x14ac:dyDescent="0.3">
      <c r="A597" s="40" t="s">
        <v>831</v>
      </c>
      <c r="B597" s="44" t="s">
        <v>3740</v>
      </c>
      <c r="C597" s="41" t="s">
        <v>833</v>
      </c>
      <c r="D597" s="42" t="s">
        <v>11623</v>
      </c>
      <c r="E597" s="41" t="s">
        <v>835</v>
      </c>
      <c r="F597" s="41" t="s">
        <v>11622</v>
      </c>
      <c r="G597" s="43" t="s">
        <v>128</v>
      </c>
      <c r="H597" s="54" t="s">
        <v>101</v>
      </c>
    </row>
    <row r="598" spans="1:8" ht="13" x14ac:dyDescent="0.3">
      <c r="A598" s="40" t="s">
        <v>17564</v>
      </c>
      <c r="B598" s="41" t="s">
        <v>9281</v>
      </c>
      <c r="C598" s="41" t="s">
        <v>9282</v>
      </c>
      <c r="D598" s="42" t="s">
        <v>15488</v>
      </c>
      <c r="E598" s="41" t="s">
        <v>18699</v>
      </c>
      <c r="F598" s="41" t="s">
        <v>9285</v>
      </c>
      <c r="G598" s="43" t="s">
        <v>470</v>
      </c>
      <c r="H598" s="54" t="s">
        <v>468</v>
      </c>
    </row>
    <row r="599" spans="1:8" ht="13" x14ac:dyDescent="0.3">
      <c r="A599" s="40" t="s">
        <v>7001</v>
      </c>
      <c r="B599" s="41" t="s">
        <v>7003</v>
      </c>
      <c r="C599" s="41" t="s">
        <v>7004</v>
      </c>
      <c r="D599" s="42" t="s">
        <v>7005</v>
      </c>
      <c r="E599" s="41" t="s">
        <v>18700</v>
      </c>
      <c r="F599" s="41" t="s">
        <v>7007</v>
      </c>
      <c r="G599" s="43" t="s">
        <v>128</v>
      </c>
      <c r="H599" s="54" t="s">
        <v>101</v>
      </c>
    </row>
    <row r="600" spans="1:8" ht="13" x14ac:dyDescent="0.3">
      <c r="A600" s="47" t="s">
        <v>6190</v>
      </c>
      <c r="B600" s="48" t="s">
        <v>18271</v>
      </c>
      <c r="C600" s="48" t="s">
        <v>6192</v>
      </c>
      <c r="D600" s="49" t="s">
        <v>6193</v>
      </c>
      <c r="E600" s="48" t="s">
        <v>6194</v>
      </c>
      <c r="F600" s="48" t="s">
        <v>6195</v>
      </c>
      <c r="G600" s="50" t="s">
        <v>18291</v>
      </c>
      <c r="H600" s="55" t="s">
        <v>379</v>
      </c>
    </row>
  </sheetData>
  <customSheetViews>
    <customSheetView guid="{C8FD7328-6386-4FFC-9579-294D625294BF}" filter="1" showAutoFilter="1">
      <pageMargins left="0.511811024" right="0.511811024" top="0.78740157499999996" bottom="0.78740157499999996" header="0.31496062000000002" footer="0.31496062000000002"/>
      <autoFilter ref="A2:CR601" xr:uid="{AA2179D2-55CD-4F39-8A39-BFF9EE12A729}">
        <filterColumn colId="1">
          <filters>
            <filter val="Fase Inicial"/>
          </filters>
        </filterColumn>
      </autoFilter>
    </customSheetView>
  </customSheetViews>
  <phoneticPr fontId="13" type="noConversion"/>
  <pageMargins left="0.511811024" right="0.511811024" top="0.78740157499999996" bottom="0.78740157499999996" header="0.31496062000000002" footer="0.31496062000000002"/>
  <pageSetup paperSize="9" orientation="portrait" verticalDpi="597"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677F1"/>
    <outlinePr summaryBelow="0" summaryRight="0"/>
  </sheetPr>
  <dimension ref="A1:AG576"/>
  <sheetViews>
    <sheetView workbookViewId="0">
      <pane ySplit="2" topLeftCell="A3" activePane="bottomLeft" state="frozen"/>
      <selection pane="bottomLeft" activeCell="B4" sqref="B4"/>
    </sheetView>
  </sheetViews>
  <sheetFormatPr defaultColWidth="12.6328125" defaultRowHeight="15.75" customHeight="1" x14ac:dyDescent="0.25"/>
  <cols>
    <col min="1" max="1" width="20.08984375" customWidth="1"/>
    <col min="2" max="2" width="51.90625" customWidth="1"/>
    <col min="3" max="3" width="13.08984375" customWidth="1"/>
    <col min="4" max="4" width="23.08984375" customWidth="1"/>
    <col min="5" max="5" width="14.08984375" customWidth="1"/>
    <col min="6" max="6" width="17.08984375" customWidth="1"/>
    <col min="7" max="8" width="19.08984375" customWidth="1"/>
    <col min="9" max="9" width="14.08984375" customWidth="1"/>
    <col min="10" max="10" width="17.08984375" customWidth="1"/>
    <col min="11" max="11" width="11.08984375" customWidth="1"/>
    <col min="12" max="12" width="18.08984375" customWidth="1"/>
    <col min="13" max="13" width="21.08984375" customWidth="1"/>
    <col min="14" max="15" width="23.08984375" customWidth="1"/>
    <col min="16" max="16" width="18.08984375" customWidth="1"/>
    <col min="17" max="17" width="37.6328125" customWidth="1"/>
    <col min="18" max="18" width="30.08984375" customWidth="1"/>
  </cols>
  <sheetData>
    <row r="1" spans="1:33" ht="33.75" customHeight="1" x14ac:dyDescent="0.25">
      <c r="A1" s="18" t="e">
        <f ca="1">CONCATENATE(
            "              ", "Salesforce Import", CHAR(10),
            "              ", "",
            _xludf.IFS(
                (NOW()-"2022/09/29 17:56") &lt;= 0,
                    "",
                AND((NOW()-"2022/09/29 17:56") * 1440 &gt;= 0, (NOW()-"2022/09/29 17:56") * 1440 &lt;= 5),
                    "Last updated just now",
                (NOW()-"2022/09/29 17:56") * 1440 &lt;= 60,
                    "Last updated "&amp;FLOOR((NOW()-"2022/09/29 17:56")*1440,1)&amp;" minutes ago",
                (NOW()-"2022/09/29 17:56") * 24 &lt;= 24,
                    "Last updated "&amp;FLOOR((NOW()-"2022/09/29 17:56")*24,1) &amp;
                        IF(FLOOR((NOW()-"2022/09/29 17:56")*24,1) &lt;= 1, " hour ago", " hours ago"),
                (NOW()-"2022/09/29 17:56") &lt;= 30,
                    "Last updated "&amp;FLOOR((NOW()-"2022/09/29 17:56"),1) &amp;
                        IF(FLOOR((NOW()-"2022/09/29 17:56"),1) &lt;= 1, " day ago", " days ago"),
                (NOW()-"2022/09/29 17:56") &gt; 30,
                    "Last updated " &amp;
                        FLOOR((NOW()-"2022/09/29 17:56")/7,1) &amp;
                        IF(FLOOR((NOW()-"2022/09/29 17:56"),1) &lt;= 1, " week ago", " weeks ago")
            )
        )</f>
        <v>#NAME?</v>
      </c>
      <c r="B1" s="18" t="s">
        <v>3740</v>
      </c>
      <c r="C1" s="18" t="s">
        <v>3740</v>
      </c>
      <c r="D1" s="18" t="s">
        <v>3740</v>
      </c>
      <c r="E1" s="18" t="s">
        <v>3740</v>
      </c>
      <c r="F1" s="18" t="s">
        <v>3740</v>
      </c>
      <c r="G1" s="18" t="s">
        <v>3740</v>
      </c>
      <c r="H1" s="18" t="s">
        <v>3740</v>
      </c>
      <c r="I1" s="18" t="s">
        <v>3740</v>
      </c>
      <c r="J1" s="18" t="s">
        <v>3740</v>
      </c>
      <c r="K1" s="18" t="s">
        <v>3740</v>
      </c>
      <c r="L1" s="18" t="s">
        <v>3740</v>
      </c>
      <c r="M1" s="18" t="s">
        <v>3740</v>
      </c>
      <c r="N1" s="18" t="s">
        <v>3740</v>
      </c>
      <c r="O1" s="18" t="s">
        <v>3740</v>
      </c>
      <c r="P1" s="18" t="s">
        <v>3740</v>
      </c>
      <c r="Q1" s="18" t="s">
        <v>3740</v>
      </c>
      <c r="R1" s="18" t="s">
        <v>3740</v>
      </c>
      <c r="S1" s="25"/>
      <c r="T1" s="25"/>
      <c r="U1" s="25"/>
      <c r="V1" s="25"/>
      <c r="W1" s="25"/>
      <c r="X1" s="25"/>
      <c r="Y1" s="25"/>
      <c r="Z1" s="25"/>
      <c r="AA1" s="25"/>
      <c r="AB1" s="25"/>
      <c r="AC1" s="25"/>
      <c r="AD1" s="25"/>
      <c r="AE1" s="25"/>
      <c r="AF1" s="25"/>
      <c r="AG1" s="25"/>
    </row>
    <row r="2" spans="1:33" ht="22.5" customHeight="1" x14ac:dyDescent="0.25">
      <c r="A2" s="20" t="s">
        <v>17452</v>
      </c>
      <c r="B2" s="20" t="s">
        <v>17453</v>
      </c>
      <c r="C2" s="20" t="s">
        <v>17454</v>
      </c>
      <c r="D2" s="20" t="s">
        <v>17455</v>
      </c>
      <c r="E2" s="20" t="s">
        <v>17456</v>
      </c>
      <c r="F2" s="20" t="s">
        <v>17457</v>
      </c>
      <c r="G2" s="20" t="s">
        <v>17458</v>
      </c>
      <c r="H2" s="20" t="s">
        <v>17459</v>
      </c>
      <c r="I2" s="20" t="s">
        <v>17460</v>
      </c>
      <c r="J2" s="20" t="s">
        <v>17402</v>
      </c>
      <c r="K2" s="20" t="s">
        <v>17461</v>
      </c>
      <c r="L2" s="20" t="s">
        <v>17462</v>
      </c>
      <c r="M2" s="20" t="s">
        <v>17463</v>
      </c>
      <c r="N2" s="20" t="s">
        <v>17464</v>
      </c>
      <c r="O2" s="20" t="s">
        <v>17465</v>
      </c>
      <c r="P2" s="20" t="s">
        <v>17466</v>
      </c>
      <c r="Q2" s="20" t="s">
        <v>17467</v>
      </c>
      <c r="R2" s="20" t="s">
        <v>17468</v>
      </c>
      <c r="S2" s="26"/>
      <c r="T2" s="26"/>
      <c r="U2" s="26"/>
      <c r="V2" s="26"/>
      <c r="W2" s="26"/>
      <c r="X2" s="26"/>
      <c r="Y2" s="26"/>
      <c r="Z2" s="26"/>
      <c r="AA2" s="26"/>
      <c r="AB2" s="26"/>
      <c r="AC2" s="26"/>
      <c r="AD2" s="26"/>
      <c r="AE2" s="26"/>
      <c r="AF2" s="26"/>
      <c r="AG2" s="26"/>
    </row>
    <row r="3" spans="1:33" ht="12.5" x14ac:dyDescent="0.25">
      <c r="A3" s="21" t="str">
        <f>HYPERLINK("https://gerandofalcoes.my.salesforce.com/0014X00002UGqWjQAL", "0014X00002UGqWjQAL")</f>
        <v>0014X00002UGqWjQAL</v>
      </c>
      <c r="B3" s="3" t="s">
        <v>17469</v>
      </c>
      <c r="C3" s="3" t="s">
        <v>2538</v>
      </c>
      <c r="D3" s="3" t="s">
        <v>46</v>
      </c>
      <c r="E3" s="3">
        <v>17</v>
      </c>
      <c r="F3" s="3">
        <v>0</v>
      </c>
      <c r="G3" s="3">
        <v>2</v>
      </c>
      <c r="H3" s="3">
        <v>2000</v>
      </c>
      <c r="I3" s="3">
        <v>128</v>
      </c>
      <c r="J3" s="3" t="s">
        <v>17403</v>
      </c>
      <c r="K3" s="3">
        <v>31</v>
      </c>
      <c r="L3" s="3">
        <v>10</v>
      </c>
      <c r="M3" s="3">
        <v>0</v>
      </c>
      <c r="N3" s="3">
        <v>6</v>
      </c>
      <c r="O3" s="3">
        <v>5</v>
      </c>
      <c r="P3" s="3">
        <v>10</v>
      </c>
      <c r="Q3" s="3" t="s">
        <v>8834</v>
      </c>
      <c r="R3" s="6">
        <v>44761</v>
      </c>
    </row>
    <row r="4" spans="1:33" ht="12.5" x14ac:dyDescent="0.25">
      <c r="A4" s="21" t="str">
        <f>HYPERLINK("https://gerandofalcoes.my.salesforce.com/0014X00002UGscXQAT", "0014X00002UGscXQAT")</f>
        <v>0014X00002UGscXQAT</v>
      </c>
      <c r="B4" s="3" t="s">
        <v>17470</v>
      </c>
      <c r="C4" s="3" t="s">
        <v>2538</v>
      </c>
      <c r="D4" s="3" t="s">
        <v>46</v>
      </c>
      <c r="E4" s="3">
        <v>25</v>
      </c>
      <c r="F4" s="3">
        <v>2</v>
      </c>
      <c r="G4" s="3">
        <v>2</v>
      </c>
      <c r="H4" s="3">
        <v>1000</v>
      </c>
      <c r="I4" s="3">
        <v>60</v>
      </c>
      <c r="J4" s="3" t="s">
        <v>17403</v>
      </c>
      <c r="K4" s="3">
        <v>36</v>
      </c>
      <c r="L4" s="3">
        <v>15</v>
      </c>
      <c r="M4" s="3">
        <v>5</v>
      </c>
      <c r="N4" s="3">
        <v>6</v>
      </c>
      <c r="O4" s="3">
        <v>5</v>
      </c>
      <c r="P4" s="3">
        <v>5</v>
      </c>
      <c r="Q4" s="3" t="s">
        <v>8822</v>
      </c>
      <c r="R4" s="6">
        <v>44761</v>
      </c>
    </row>
    <row r="5" spans="1:33" ht="12.5" x14ac:dyDescent="0.25">
      <c r="A5" s="21" t="str">
        <f>HYPERLINK("https://gerandofalcoes.my.salesforce.com/0014P00003AN2FoQAL", "0014P00003AN2FoQAL")</f>
        <v>0014P00003AN2FoQAL</v>
      </c>
      <c r="B5" s="3" t="s">
        <v>17471</v>
      </c>
      <c r="C5" s="3" t="s">
        <v>2538</v>
      </c>
      <c r="D5" s="3" t="s">
        <v>46</v>
      </c>
      <c r="E5" s="3">
        <v>0</v>
      </c>
      <c r="F5" s="3">
        <v>5</v>
      </c>
      <c r="G5" s="3">
        <v>2</v>
      </c>
      <c r="H5" s="3">
        <v>150000</v>
      </c>
      <c r="I5" s="3">
        <v>160</v>
      </c>
      <c r="J5" s="3" t="s">
        <v>17403</v>
      </c>
      <c r="K5" s="3">
        <v>38</v>
      </c>
      <c r="L5" s="3">
        <v>0</v>
      </c>
      <c r="M5" s="3">
        <v>5</v>
      </c>
      <c r="N5" s="3">
        <v>6</v>
      </c>
      <c r="O5" s="3">
        <v>15</v>
      </c>
      <c r="P5" s="3">
        <v>12</v>
      </c>
      <c r="Q5" s="3" t="s">
        <v>846</v>
      </c>
      <c r="R5" s="6">
        <v>44623</v>
      </c>
    </row>
    <row r="6" spans="1:33" ht="12.5" x14ac:dyDescent="0.25">
      <c r="A6" s="21" t="str">
        <f>HYPERLINK("https://gerandofalcoes.my.salesforce.com/0014P00003AN2FpQAL", "0014P00003AN2FpQAL")</f>
        <v>0014P00003AN2FpQAL</v>
      </c>
      <c r="B6" s="3" t="s">
        <v>17472</v>
      </c>
      <c r="C6" s="3" t="s">
        <v>2538</v>
      </c>
      <c r="D6" s="3" t="s">
        <v>152</v>
      </c>
      <c r="E6" s="3">
        <v>89</v>
      </c>
      <c r="F6" s="3">
        <v>16</v>
      </c>
      <c r="G6" s="3">
        <v>2</v>
      </c>
      <c r="H6" s="3">
        <v>76727.45</v>
      </c>
      <c r="I6" s="3">
        <v>401</v>
      </c>
      <c r="J6" s="3" t="s">
        <v>17406</v>
      </c>
      <c r="K6" s="3">
        <v>68</v>
      </c>
      <c r="L6" s="3">
        <v>25</v>
      </c>
      <c r="M6" s="3">
        <v>12</v>
      </c>
      <c r="N6" s="3">
        <v>6</v>
      </c>
      <c r="O6" s="3">
        <v>10</v>
      </c>
      <c r="P6" s="3">
        <v>15</v>
      </c>
      <c r="Q6" s="3" t="s">
        <v>859</v>
      </c>
      <c r="R6" s="6">
        <v>44623</v>
      </c>
    </row>
    <row r="7" spans="1:33" ht="12.5" x14ac:dyDescent="0.25">
      <c r="A7" s="21" t="str">
        <f>HYPERLINK("https://gerandofalcoes.my.salesforce.com/0014P00003AN2FqQAL", "0014P00003AN2FqQAL")</f>
        <v>0014P00003AN2FqQAL</v>
      </c>
      <c r="B7" s="3" t="s">
        <v>17473</v>
      </c>
      <c r="C7" s="3" t="s">
        <v>2538</v>
      </c>
      <c r="D7" s="3" t="s">
        <v>152</v>
      </c>
      <c r="E7" s="3">
        <v>95</v>
      </c>
      <c r="F7" s="3">
        <v>46</v>
      </c>
      <c r="G7" s="3">
        <v>4</v>
      </c>
      <c r="H7" s="3">
        <v>1272655.06</v>
      </c>
      <c r="I7" s="3">
        <v>368</v>
      </c>
      <c r="J7" s="3" t="s">
        <v>17405</v>
      </c>
      <c r="K7" s="3">
        <v>95</v>
      </c>
      <c r="L7" s="3">
        <v>30</v>
      </c>
      <c r="M7" s="3">
        <v>15</v>
      </c>
      <c r="N7" s="3">
        <v>10</v>
      </c>
      <c r="O7" s="3">
        <v>25</v>
      </c>
      <c r="P7" s="3">
        <v>15</v>
      </c>
      <c r="Q7" s="3" t="s">
        <v>871</v>
      </c>
      <c r="R7" s="6">
        <v>44623</v>
      </c>
    </row>
    <row r="8" spans="1:33" ht="12.5" x14ac:dyDescent="0.25">
      <c r="A8" s="21" t="str">
        <f>HYPERLINK("https://gerandofalcoes.my.salesforce.com/0014P00003AN2FsQAL", "0014P00003AN2FsQAL")</f>
        <v>0014P00003AN2FsQAL</v>
      </c>
      <c r="B8" s="3" t="s">
        <v>17474</v>
      </c>
      <c r="C8" s="3" t="s">
        <v>2538</v>
      </c>
      <c r="D8" s="3" t="s">
        <v>152</v>
      </c>
      <c r="E8" s="3">
        <v>85</v>
      </c>
      <c r="F8" s="3">
        <v>6</v>
      </c>
      <c r="G8" s="3">
        <v>3</v>
      </c>
      <c r="H8" s="3">
        <v>93122.27</v>
      </c>
      <c r="I8" s="3">
        <v>292</v>
      </c>
      <c r="J8" s="3" t="s">
        <v>17406</v>
      </c>
      <c r="K8" s="3">
        <v>65</v>
      </c>
      <c r="L8" s="3">
        <v>25</v>
      </c>
      <c r="M8" s="3">
        <v>10</v>
      </c>
      <c r="N8" s="3">
        <v>8</v>
      </c>
      <c r="O8" s="3">
        <v>10</v>
      </c>
      <c r="P8" s="3">
        <v>12</v>
      </c>
      <c r="Q8" s="3" t="s">
        <v>888</v>
      </c>
      <c r="R8" s="6">
        <v>44623</v>
      </c>
    </row>
    <row r="9" spans="1:33" ht="12.5" x14ac:dyDescent="0.25">
      <c r="A9" s="21" t="str">
        <f>HYPERLINK("https://gerandofalcoes.my.salesforce.com/0014P00003AN2FtQAL", "0014P00003AN2FtQAL")</f>
        <v>0014P00003AN2FtQAL</v>
      </c>
      <c r="B9" s="3" t="s">
        <v>903</v>
      </c>
      <c r="C9" s="3" t="s">
        <v>2538</v>
      </c>
      <c r="D9" s="3" t="s">
        <v>152</v>
      </c>
      <c r="E9" s="3">
        <v>86</v>
      </c>
      <c r="F9" s="3">
        <v>7</v>
      </c>
      <c r="G9" s="3">
        <v>4</v>
      </c>
      <c r="H9" s="3">
        <v>67399.429999999993</v>
      </c>
      <c r="I9" s="3">
        <v>162</v>
      </c>
      <c r="J9" s="3" t="s">
        <v>17406</v>
      </c>
      <c r="K9" s="3">
        <v>67</v>
      </c>
      <c r="L9" s="3">
        <v>25</v>
      </c>
      <c r="M9" s="3">
        <v>10</v>
      </c>
      <c r="N9" s="3">
        <v>10</v>
      </c>
      <c r="O9" s="3">
        <v>10</v>
      </c>
      <c r="P9" s="3">
        <v>12</v>
      </c>
      <c r="Q9" s="3" t="s">
        <v>905</v>
      </c>
      <c r="R9" s="6">
        <v>44623</v>
      </c>
    </row>
    <row r="10" spans="1:33" ht="12.5" x14ac:dyDescent="0.25">
      <c r="A10" s="21" t="str">
        <f>HYPERLINK("https://gerandofalcoes.my.salesforce.com/0014P00003AN2FuQAL", "0014P00003AN2FuQAL")</f>
        <v>0014P00003AN2FuQAL</v>
      </c>
      <c r="B10" s="3" t="s">
        <v>17475</v>
      </c>
      <c r="C10" s="3" t="s">
        <v>2538</v>
      </c>
      <c r="D10" s="3" t="s">
        <v>152</v>
      </c>
      <c r="E10" s="3">
        <v>95</v>
      </c>
      <c r="F10" s="3">
        <v>23</v>
      </c>
      <c r="G10" s="3">
        <v>3</v>
      </c>
      <c r="H10" s="3">
        <v>243360.63</v>
      </c>
      <c r="I10" s="3">
        <v>164</v>
      </c>
      <c r="J10" s="3" t="s">
        <v>17406</v>
      </c>
      <c r="K10" s="3">
        <v>77</v>
      </c>
      <c r="L10" s="3">
        <v>30</v>
      </c>
      <c r="M10" s="3">
        <v>12</v>
      </c>
      <c r="N10" s="3">
        <v>8</v>
      </c>
      <c r="O10" s="3">
        <v>15</v>
      </c>
      <c r="P10" s="3">
        <v>12</v>
      </c>
      <c r="Q10" s="3" t="s">
        <v>921</v>
      </c>
      <c r="R10" s="6">
        <v>44623</v>
      </c>
    </row>
    <row r="11" spans="1:33" ht="12.5" x14ac:dyDescent="0.25">
      <c r="A11" s="21" t="str">
        <f>HYPERLINK("https://gerandofalcoes.my.salesforce.com/0014P00003AN2FvQAL", "0014P00003AN2FvQAL")</f>
        <v>0014P00003AN2FvQAL</v>
      </c>
      <c r="B11" s="3" t="s">
        <v>17476</v>
      </c>
      <c r="C11" s="3" t="s">
        <v>2538</v>
      </c>
      <c r="D11" s="3" t="s">
        <v>152</v>
      </c>
      <c r="E11" s="3">
        <v>64</v>
      </c>
      <c r="F11" s="3">
        <v>7</v>
      </c>
      <c r="G11" s="3">
        <v>2</v>
      </c>
      <c r="H11" s="3">
        <v>109514.68</v>
      </c>
      <c r="I11" s="3">
        <v>137</v>
      </c>
      <c r="J11" s="3" t="s">
        <v>17403</v>
      </c>
      <c r="K11" s="3">
        <v>61</v>
      </c>
      <c r="L11" s="3">
        <v>20</v>
      </c>
      <c r="M11" s="3">
        <v>10</v>
      </c>
      <c r="N11" s="3">
        <v>6</v>
      </c>
      <c r="O11" s="3">
        <v>15</v>
      </c>
      <c r="P11" s="3">
        <v>10</v>
      </c>
      <c r="Q11" s="3" t="s">
        <v>938</v>
      </c>
      <c r="R11" s="6">
        <v>44623</v>
      </c>
    </row>
    <row r="12" spans="1:33" ht="12.5" x14ac:dyDescent="0.25">
      <c r="A12" s="21" t="str">
        <f>HYPERLINK("https://gerandofalcoes.my.salesforce.com/0014P00003AN2FwQAL", "0014P00003AN2FwQAL")</f>
        <v>0014P00003AN2FwQAL</v>
      </c>
      <c r="B12" s="3" t="s">
        <v>732</v>
      </c>
      <c r="C12" s="3" t="s">
        <v>2538</v>
      </c>
      <c r="D12" s="3" t="s">
        <v>152</v>
      </c>
      <c r="E12" s="3">
        <v>73</v>
      </c>
      <c r="F12" s="3">
        <v>15</v>
      </c>
      <c r="G12" s="3">
        <v>1</v>
      </c>
      <c r="H12" s="3">
        <v>65923</v>
      </c>
      <c r="I12" s="3">
        <v>77</v>
      </c>
      <c r="J12" s="3" t="s">
        <v>17403</v>
      </c>
      <c r="K12" s="3">
        <v>51</v>
      </c>
      <c r="L12" s="3">
        <v>20</v>
      </c>
      <c r="M12" s="3">
        <v>12</v>
      </c>
      <c r="N12" s="3">
        <v>4</v>
      </c>
      <c r="O12" s="3">
        <v>10</v>
      </c>
      <c r="P12" s="3">
        <v>5</v>
      </c>
      <c r="Q12" s="3" t="s">
        <v>734</v>
      </c>
      <c r="R12" s="6">
        <v>44623</v>
      </c>
    </row>
    <row r="13" spans="1:33" ht="12.5" x14ac:dyDescent="0.25">
      <c r="A13" s="21" t="str">
        <f>HYPERLINK("https://gerandofalcoes.my.salesforce.com/0014P00003AN2FxQAL", "0014P00003AN2FxQAL")</f>
        <v>0014P00003AN2FxQAL</v>
      </c>
      <c r="B13" s="3" t="s">
        <v>17477</v>
      </c>
      <c r="C13" s="3" t="s">
        <v>2538</v>
      </c>
      <c r="D13" s="3" t="s">
        <v>152</v>
      </c>
      <c r="E13" s="3">
        <v>93</v>
      </c>
      <c r="F13" s="3">
        <v>29</v>
      </c>
      <c r="G13" s="3">
        <v>1</v>
      </c>
      <c r="H13" s="3">
        <v>621309.18999999994</v>
      </c>
      <c r="I13" s="3">
        <v>80</v>
      </c>
      <c r="J13" s="3" t="s">
        <v>17406</v>
      </c>
      <c r="K13" s="3">
        <v>76</v>
      </c>
      <c r="L13" s="3">
        <v>30</v>
      </c>
      <c r="M13" s="3">
        <v>12</v>
      </c>
      <c r="N13" s="3">
        <v>4</v>
      </c>
      <c r="O13" s="3">
        <v>20</v>
      </c>
      <c r="P13" s="3">
        <v>10</v>
      </c>
      <c r="Q13" s="3" t="s">
        <v>956</v>
      </c>
      <c r="R13" s="6">
        <v>44623</v>
      </c>
    </row>
    <row r="14" spans="1:33" ht="12.5" x14ac:dyDescent="0.25">
      <c r="A14" s="21" t="str">
        <f>HYPERLINK("https://gerandofalcoes.my.salesforce.com/0014P00003AN2FyQAL", "0014P00003AN2FyQAL")</f>
        <v>0014P00003AN2FyQAL</v>
      </c>
      <c r="B14" s="3" t="s">
        <v>17478</v>
      </c>
      <c r="C14" s="3" t="s">
        <v>2538</v>
      </c>
      <c r="D14" s="3" t="s">
        <v>46</v>
      </c>
      <c r="E14" s="3">
        <v>6</v>
      </c>
      <c r="F14" s="3">
        <v>0</v>
      </c>
      <c r="G14" s="3">
        <v>1</v>
      </c>
      <c r="H14" s="3">
        <v>5000000</v>
      </c>
      <c r="I14" s="3">
        <v>100</v>
      </c>
      <c r="J14" s="3" t="s">
        <v>17403</v>
      </c>
      <c r="K14" s="3">
        <v>49</v>
      </c>
      <c r="L14" s="3">
        <v>10</v>
      </c>
      <c r="M14" s="3">
        <v>0</v>
      </c>
      <c r="N14" s="3">
        <v>4</v>
      </c>
      <c r="O14" s="3">
        <v>25</v>
      </c>
      <c r="P14" s="3">
        <v>10</v>
      </c>
      <c r="Q14" s="3"/>
      <c r="R14" s="6">
        <v>44623</v>
      </c>
    </row>
    <row r="15" spans="1:33" ht="12.5" x14ac:dyDescent="0.25">
      <c r="A15" s="21" t="str">
        <f>HYPERLINK("https://gerandofalcoes.my.salesforce.com/0014P00003AN2FzQAL", "0014P00003AN2FzQAL")</f>
        <v>0014P00003AN2FzQAL</v>
      </c>
      <c r="B15" s="3" t="s">
        <v>17479</v>
      </c>
      <c r="C15" s="3" t="s">
        <v>2538</v>
      </c>
      <c r="D15" s="3" t="s">
        <v>46</v>
      </c>
      <c r="E15" s="3">
        <v>87</v>
      </c>
      <c r="F15" s="3">
        <v>5</v>
      </c>
      <c r="G15" s="3">
        <v>4</v>
      </c>
      <c r="H15" s="3">
        <v>540000</v>
      </c>
      <c r="I15" s="3">
        <v>90</v>
      </c>
      <c r="J15" s="3" t="s">
        <v>17406</v>
      </c>
      <c r="K15" s="3">
        <v>70</v>
      </c>
      <c r="L15" s="3">
        <v>25</v>
      </c>
      <c r="M15" s="3">
        <v>5</v>
      </c>
      <c r="N15" s="3">
        <v>10</v>
      </c>
      <c r="O15" s="3">
        <v>20</v>
      </c>
      <c r="P15" s="3">
        <v>10</v>
      </c>
      <c r="Q15" s="3"/>
      <c r="R15" s="6">
        <v>44623</v>
      </c>
    </row>
    <row r="16" spans="1:33" ht="12.5" x14ac:dyDescent="0.25">
      <c r="A16" s="21" t="str">
        <f>HYPERLINK("https://gerandofalcoes.my.salesforce.com/0014P00003AN2G0QAL", "0014P00003AN2G0QAL")</f>
        <v>0014P00003AN2G0QAL</v>
      </c>
      <c r="B16" s="3" t="s">
        <v>998</v>
      </c>
      <c r="C16" s="3" t="s">
        <v>2538</v>
      </c>
      <c r="D16" s="3" t="s">
        <v>152</v>
      </c>
      <c r="E16" s="3">
        <v>83</v>
      </c>
      <c r="F16" s="3">
        <v>7</v>
      </c>
      <c r="G16" s="3">
        <v>3</v>
      </c>
      <c r="H16" s="3">
        <v>31263.49</v>
      </c>
      <c r="I16" s="3">
        <v>159</v>
      </c>
      <c r="J16" s="3" t="s">
        <v>17406</v>
      </c>
      <c r="K16" s="3">
        <v>65</v>
      </c>
      <c r="L16" s="3">
        <v>25</v>
      </c>
      <c r="M16" s="3">
        <v>10</v>
      </c>
      <c r="N16" s="3">
        <v>8</v>
      </c>
      <c r="O16" s="3">
        <v>10</v>
      </c>
      <c r="P16" s="3">
        <v>12</v>
      </c>
      <c r="Q16" s="3" t="s">
        <v>11744</v>
      </c>
      <c r="R16" s="6">
        <v>44623</v>
      </c>
    </row>
    <row r="17" spans="1:18" ht="12.5" x14ac:dyDescent="0.25">
      <c r="A17" s="21" t="str">
        <f>HYPERLINK("https://gerandofalcoes.my.salesforce.com/0014P00003AN2G1QAL", "0014P00003AN2G1QAL")</f>
        <v>0014P00003AN2G1QAL</v>
      </c>
      <c r="B17" s="3" t="s">
        <v>17480</v>
      </c>
      <c r="C17" s="3" t="s">
        <v>2538</v>
      </c>
      <c r="D17" s="3" t="s">
        <v>46</v>
      </c>
      <c r="E17" s="3">
        <v>86</v>
      </c>
      <c r="F17" s="3">
        <v>10</v>
      </c>
      <c r="G17" s="3">
        <v>3</v>
      </c>
      <c r="H17" s="3">
        <v>367281</v>
      </c>
      <c r="I17" s="3">
        <v>100</v>
      </c>
      <c r="J17" s="3" t="s">
        <v>17406</v>
      </c>
      <c r="K17" s="3">
        <v>73</v>
      </c>
      <c r="L17" s="3">
        <v>25</v>
      </c>
      <c r="M17" s="3">
        <v>10</v>
      </c>
      <c r="N17" s="3">
        <v>8</v>
      </c>
      <c r="O17" s="3">
        <v>20</v>
      </c>
      <c r="P17" s="3">
        <v>10</v>
      </c>
      <c r="Q17" s="3"/>
      <c r="R17" s="6">
        <v>44623</v>
      </c>
    </row>
    <row r="18" spans="1:18" ht="12.5" x14ac:dyDescent="0.25">
      <c r="A18" s="21" t="str">
        <f>HYPERLINK("https://gerandofalcoes.my.salesforce.com/0014P00003AN2G2QAL", "0014P00003AN2G2QAL")</f>
        <v>0014P00003AN2G2QAL</v>
      </c>
      <c r="B18" s="3" t="s">
        <v>17481</v>
      </c>
      <c r="C18" s="3" t="s">
        <v>2538</v>
      </c>
      <c r="D18" s="3" t="s">
        <v>46</v>
      </c>
      <c r="E18" s="3">
        <v>0</v>
      </c>
      <c r="F18" s="3">
        <v>10</v>
      </c>
      <c r="G18" s="3">
        <v>2</v>
      </c>
      <c r="H18" s="3">
        <v>97663</v>
      </c>
      <c r="I18" s="3">
        <v>200</v>
      </c>
      <c r="J18" s="3" t="s">
        <v>17403</v>
      </c>
      <c r="K18" s="3">
        <v>38</v>
      </c>
      <c r="L18" s="3">
        <v>0</v>
      </c>
      <c r="M18" s="3">
        <v>10</v>
      </c>
      <c r="N18" s="3">
        <v>6</v>
      </c>
      <c r="O18" s="3">
        <v>10</v>
      </c>
      <c r="P18" s="3">
        <v>12</v>
      </c>
      <c r="Q18" s="3"/>
      <c r="R18" s="6">
        <v>44623</v>
      </c>
    </row>
    <row r="19" spans="1:18" ht="12.5" x14ac:dyDescent="0.25">
      <c r="A19" s="21" t="str">
        <f>HYPERLINK("https://gerandofalcoes.my.salesforce.com/0014P00003AN2G3QAL", "0014P00003AN2G3QAL")</f>
        <v>0014P00003AN2G3QAL</v>
      </c>
      <c r="B19" s="3" t="s">
        <v>17482</v>
      </c>
      <c r="C19" s="3" t="s">
        <v>2538</v>
      </c>
      <c r="D19" s="3" t="s">
        <v>152</v>
      </c>
      <c r="E19" s="3">
        <v>89</v>
      </c>
      <c r="F19" s="3">
        <v>9</v>
      </c>
      <c r="G19" s="3">
        <v>3</v>
      </c>
      <c r="H19" s="3">
        <v>46396.77</v>
      </c>
      <c r="I19" s="3">
        <v>220</v>
      </c>
      <c r="J19" s="3" t="s">
        <v>17406</v>
      </c>
      <c r="K19" s="3">
        <v>65</v>
      </c>
      <c r="L19" s="3">
        <v>25</v>
      </c>
      <c r="M19" s="3">
        <v>10</v>
      </c>
      <c r="N19" s="3">
        <v>8</v>
      </c>
      <c r="O19" s="3">
        <v>10</v>
      </c>
      <c r="P19" s="3">
        <v>12</v>
      </c>
      <c r="Q19" s="3" t="s">
        <v>1046</v>
      </c>
      <c r="R19" s="6">
        <v>44623</v>
      </c>
    </row>
    <row r="20" spans="1:18" ht="12.5" x14ac:dyDescent="0.25">
      <c r="A20" s="21" t="str">
        <f>HYPERLINK("https://gerandofalcoes.my.salesforce.com/0014P00003AN2G4QAL", "0014P00003AN2G4QAL")</f>
        <v>0014P00003AN2G4QAL</v>
      </c>
      <c r="B20" s="3" t="s">
        <v>17483</v>
      </c>
      <c r="C20" s="3" t="s">
        <v>2538</v>
      </c>
      <c r="D20" s="3" t="s">
        <v>152</v>
      </c>
      <c r="E20" s="3">
        <v>56</v>
      </c>
      <c r="F20" s="3">
        <v>0</v>
      </c>
      <c r="G20" s="3">
        <v>2</v>
      </c>
      <c r="H20" s="3">
        <v>37000</v>
      </c>
      <c r="I20" s="3">
        <v>180</v>
      </c>
      <c r="J20" s="3" t="s">
        <v>17403</v>
      </c>
      <c r="K20" s="3">
        <v>48</v>
      </c>
      <c r="L20" s="3">
        <v>20</v>
      </c>
      <c r="M20" s="3">
        <v>0</v>
      </c>
      <c r="N20" s="3">
        <v>6</v>
      </c>
      <c r="O20" s="3">
        <v>10</v>
      </c>
      <c r="P20" s="3">
        <v>12</v>
      </c>
      <c r="Q20" s="3"/>
      <c r="R20" s="6">
        <v>44623</v>
      </c>
    </row>
    <row r="21" spans="1:18" ht="12.5" x14ac:dyDescent="0.25">
      <c r="A21" s="21" t="str">
        <f>HYPERLINK("https://gerandofalcoes.my.salesforce.com/0014P00003AN2G5QAL", "0014P00003AN2G5QAL")</f>
        <v>0014P00003AN2G5QAL</v>
      </c>
      <c r="B21" s="3" t="s">
        <v>17484</v>
      </c>
      <c r="C21" s="3" t="s">
        <v>2538</v>
      </c>
      <c r="D21" s="3" t="s">
        <v>152</v>
      </c>
      <c r="E21" s="3">
        <v>78</v>
      </c>
      <c r="F21" s="3">
        <v>19</v>
      </c>
      <c r="G21" s="3">
        <v>3</v>
      </c>
      <c r="H21" s="3">
        <v>1912288.57</v>
      </c>
      <c r="I21" s="3">
        <v>156</v>
      </c>
      <c r="J21" s="3" t="s">
        <v>17405</v>
      </c>
      <c r="K21" s="3">
        <v>82</v>
      </c>
      <c r="L21" s="3">
        <v>25</v>
      </c>
      <c r="M21" s="3">
        <v>12</v>
      </c>
      <c r="N21" s="3">
        <v>8</v>
      </c>
      <c r="O21" s="3">
        <v>25</v>
      </c>
      <c r="P21" s="3">
        <v>12</v>
      </c>
      <c r="Q21" s="3" t="s">
        <v>1072</v>
      </c>
      <c r="R21" s="6">
        <v>44623</v>
      </c>
    </row>
    <row r="22" spans="1:18" ht="12.5" x14ac:dyDescent="0.25">
      <c r="A22" s="21" t="str">
        <f>HYPERLINK("https://gerandofalcoes.my.salesforce.com/0014P00003AN2G6QAL", "0014P00003AN2G6QAL")</f>
        <v>0014P00003AN2G6QAL</v>
      </c>
      <c r="B22" s="3" t="s">
        <v>17485</v>
      </c>
      <c r="C22" s="3" t="s">
        <v>2538</v>
      </c>
      <c r="D22" s="3" t="s">
        <v>152</v>
      </c>
      <c r="E22" s="3">
        <v>82</v>
      </c>
      <c r="F22" s="3">
        <v>11</v>
      </c>
      <c r="G22" s="3">
        <v>3</v>
      </c>
      <c r="H22" s="3">
        <v>62859.59</v>
      </c>
      <c r="I22" s="3">
        <v>257</v>
      </c>
      <c r="J22" s="3" t="s">
        <v>17406</v>
      </c>
      <c r="K22" s="3">
        <v>67</v>
      </c>
      <c r="L22" s="3">
        <v>25</v>
      </c>
      <c r="M22" s="3">
        <v>12</v>
      </c>
      <c r="N22" s="3">
        <v>8</v>
      </c>
      <c r="O22" s="3">
        <v>10</v>
      </c>
      <c r="P22" s="3">
        <v>12</v>
      </c>
      <c r="Q22" s="3" t="s">
        <v>1089</v>
      </c>
      <c r="R22" s="6">
        <v>44623</v>
      </c>
    </row>
    <row r="23" spans="1:18" ht="12.5" x14ac:dyDescent="0.25">
      <c r="A23" s="21" t="str">
        <f>HYPERLINK("https://gerandofalcoes.my.salesforce.com/0014P00003AN2G7QAL", "0014P00003AN2G7QAL")</f>
        <v>0014P00003AN2G7QAL</v>
      </c>
      <c r="B23" s="3" t="s">
        <v>17486</v>
      </c>
      <c r="C23" s="3" t="s">
        <v>2538</v>
      </c>
      <c r="D23" s="3" t="s">
        <v>46</v>
      </c>
      <c r="E23" s="3">
        <v>78</v>
      </c>
      <c r="F23" s="3">
        <v>3</v>
      </c>
      <c r="G23" s="3">
        <v>1</v>
      </c>
      <c r="H23" s="3">
        <v>48000</v>
      </c>
      <c r="I23" s="3">
        <v>122</v>
      </c>
      <c r="J23" s="3" t="s">
        <v>17403</v>
      </c>
      <c r="K23" s="3">
        <v>54</v>
      </c>
      <c r="L23" s="3">
        <v>25</v>
      </c>
      <c r="M23" s="3">
        <v>5</v>
      </c>
      <c r="N23" s="3">
        <v>4</v>
      </c>
      <c r="O23" s="3">
        <v>10</v>
      </c>
      <c r="P23" s="3">
        <v>10</v>
      </c>
      <c r="Q23" s="3"/>
      <c r="R23" s="6">
        <v>44623</v>
      </c>
    </row>
    <row r="24" spans="1:18" ht="12.5" x14ac:dyDescent="0.25">
      <c r="A24" s="21" t="str">
        <f>HYPERLINK("https://gerandofalcoes.my.salesforce.com/0014P00003AN2G8QAL", "0014P00003AN2G8QAL")</f>
        <v>0014P00003AN2G8QAL</v>
      </c>
      <c r="B24" s="3" t="s">
        <v>17487</v>
      </c>
      <c r="C24" s="3" t="s">
        <v>2538</v>
      </c>
      <c r="D24" s="3" t="s">
        <v>46</v>
      </c>
      <c r="E24" s="3">
        <v>68</v>
      </c>
      <c r="F24" s="3">
        <v>2</v>
      </c>
      <c r="G24" s="3">
        <v>5</v>
      </c>
      <c r="H24" s="3">
        <v>108000</v>
      </c>
      <c r="I24" s="3">
        <v>160</v>
      </c>
      <c r="J24" s="3" t="s">
        <v>17403</v>
      </c>
      <c r="K24" s="3">
        <v>62</v>
      </c>
      <c r="L24" s="3">
        <v>20</v>
      </c>
      <c r="M24" s="3">
        <v>5</v>
      </c>
      <c r="N24" s="3">
        <v>10</v>
      </c>
      <c r="O24" s="3">
        <v>15</v>
      </c>
      <c r="P24" s="3">
        <v>12</v>
      </c>
      <c r="Q24" s="3"/>
      <c r="R24" s="6">
        <v>44623</v>
      </c>
    </row>
    <row r="25" spans="1:18" ht="12.5" x14ac:dyDescent="0.25">
      <c r="A25" s="21" t="str">
        <f>HYPERLINK("https://gerandofalcoes.my.salesforce.com/0014P00003AN2G9QAL", "0014P00003AN2G9QAL")</f>
        <v>0014P00003AN2G9QAL</v>
      </c>
      <c r="B25" s="3" t="s">
        <v>17488</v>
      </c>
      <c r="C25" s="3" t="s">
        <v>2538</v>
      </c>
      <c r="D25" s="3" t="s">
        <v>152</v>
      </c>
      <c r="E25" s="3">
        <v>66</v>
      </c>
      <c r="F25" s="3">
        <v>7</v>
      </c>
      <c r="G25" s="3">
        <v>2</v>
      </c>
      <c r="H25" s="3">
        <v>5950</v>
      </c>
      <c r="I25" s="3">
        <v>210</v>
      </c>
      <c r="J25" s="3" t="s">
        <v>17403</v>
      </c>
      <c r="K25" s="3">
        <v>53</v>
      </c>
      <c r="L25" s="3">
        <v>20</v>
      </c>
      <c r="M25" s="3">
        <v>10</v>
      </c>
      <c r="N25" s="3">
        <v>6</v>
      </c>
      <c r="O25" s="3">
        <v>5</v>
      </c>
      <c r="P25" s="3">
        <v>12</v>
      </c>
      <c r="Q25" s="3"/>
      <c r="R25" s="6">
        <v>44623</v>
      </c>
    </row>
    <row r="26" spans="1:18" ht="12.5" x14ac:dyDescent="0.25">
      <c r="A26" s="21" t="str">
        <f>HYPERLINK("https://gerandofalcoes.my.salesforce.com/0014P00003AN2GBQA1", "0014P00003AN2GBQA1")</f>
        <v>0014P00003AN2GBQA1</v>
      </c>
      <c r="B26" s="3" t="s">
        <v>17489</v>
      </c>
      <c r="C26" s="3" t="s">
        <v>2538</v>
      </c>
      <c r="D26" s="3" t="s">
        <v>46</v>
      </c>
      <c r="E26" s="3">
        <v>48</v>
      </c>
      <c r="F26" s="3">
        <v>20</v>
      </c>
      <c r="G26" s="3">
        <v>5</v>
      </c>
      <c r="H26" s="3">
        <v>1200000</v>
      </c>
      <c r="I26" s="3">
        <v>80</v>
      </c>
      <c r="J26" s="3" t="s">
        <v>17406</v>
      </c>
      <c r="K26" s="3">
        <v>72</v>
      </c>
      <c r="L26" s="3">
        <v>15</v>
      </c>
      <c r="M26" s="3">
        <v>12</v>
      </c>
      <c r="N26" s="3">
        <v>10</v>
      </c>
      <c r="O26" s="3">
        <v>25</v>
      </c>
      <c r="P26" s="3">
        <v>10</v>
      </c>
      <c r="Q26" s="3"/>
      <c r="R26" s="6">
        <v>44623</v>
      </c>
    </row>
    <row r="27" spans="1:18" ht="12.5" x14ac:dyDescent="0.25">
      <c r="A27" s="21" t="str">
        <f>HYPERLINK("https://gerandofalcoes.my.salesforce.com/0014P00003AN2GCQA1", "0014P00003AN2GCQA1")</f>
        <v>0014P00003AN2GCQA1</v>
      </c>
      <c r="B27" s="3" t="s">
        <v>17490</v>
      </c>
      <c r="C27" s="3" t="s">
        <v>2538</v>
      </c>
      <c r="D27" s="3" t="s">
        <v>46</v>
      </c>
      <c r="E27" s="3">
        <v>65</v>
      </c>
      <c r="F27" s="3">
        <v>2</v>
      </c>
      <c r="G27" s="3">
        <v>5</v>
      </c>
      <c r="H27" s="3">
        <v>153260</v>
      </c>
      <c r="I27" s="3">
        <v>167</v>
      </c>
      <c r="J27" s="3" t="s">
        <v>17403</v>
      </c>
      <c r="K27" s="3">
        <v>62</v>
      </c>
      <c r="L27" s="3">
        <v>20</v>
      </c>
      <c r="M27" s="3">
        <v>5</v>
      </c>
      <c r="N27" s="3">
        <v>10</v>
      </c>
      <c r="O27" s="3">
        <v>15</v>
      </c>
      <c r="P27" s="3">
        <v>12</v>
      </c>
      <c r="Q27" s="3"/>
      <c r="R27" s="6">
        <v>44623</v>
      </c>
    </row>
    <row r="28" spans="1:18" ht="12.5" x14ac:dyDescent="0.25">
      <c r="A28" s="21" t="str">
        <f>HYPERLINK("https://gerandofalcoes.my.salesforce.com/0014P00003AN2GDQA1", "0014P00003AN2GDQA1")</f>
        <v>0014P00003AN2GDQA1</v>
      </c>
      <c r="B28" s="3" t="s">
        <v>17491</v>
      </c>
      <c r="C28" s="3" t="s">
        <v>2538</v>
      </c>
      <c r="D28" s="3" t="s">
        <v>152</v>
      </c>
      <c r="E28" s="3">
        <v>74</v>
      </c>
      <c r="F28" s="3">
        <v>5</v>
      </c>
      <c r="G28" s="3">
        <v>2</v>
      </c>
      <c r="H28" s="3">
        <v>77000</v>
      </c>
      <c r="I28" s="3">
        <v>157</v>
      </c>
      <c r="J28" s="3" t="s">
        <v>17403</v>
      </c>
      <c r="K28" s="3">
        <v>53</v>
      </c>
      <c r="L28" s="3">
        <v>20</v>
      </c>
      <c r="M28" s="3">
        <v>5</v>
      </c>
      <c r="N28" s="3">
        <v>6</v>
      </c>
      <c r="O28" s="3">
        <v>10</v>
      </c>
      <c r="P28" s="3">
        <v>12</v>
      </c>
      <c r="Q28" s="3"/>
      <c r="R28" s="6">
        <v>44623</v>
      </c>
    </row>
    <row r="29" spans="1:18" ht="12.5" x14ac:dyDescent="0.25">
      <c r="A29" s="21" t="str">
        <f>HYPERLINK("https://gerandofalcoes.my.salesforce.com/0014P00003AN2GFQA1", "0014P00003AN2GFQA1")</f>
        <v>0014P00003AN2GFQA1</v>
      </c>
      <c r="B29" s="3" t="s">
        <v>17492</v>
      </c>
      <c r="C29" s="3" t="s">
        <v>2538</v>
      </c>
      <c r="D29" s="3" t="s">
        <v>46</v>
      </c>
      <c r="E29" s="3">
        <v>0</v>
      </c>
      <c r="F29" s="3">
        <v>23</v>
      </c>
      <c r="G29" s="3">
        <v>4</v>
      </c>
      <c r="H29" s="3">
        <v>531000</v>
      </c>
      <c r="I29" s="3">
        <v>15185</v>
      </c>
      <c r="J29" s="3" t="s">
        <v>17403</v>
      </c>
      <c r="K29" s="3">
        <v>62</v>
      </c>
      <c r="L29" s="3">
        <v>0</v>
      </c>
      <c r="M29" s="3">
        <v>12</v>
      </c>
      <c r="N29" s="3">
        <v>10</v>
      </c>
      <c r="O29" s="3">
        <v>20</v>
      </c>
      <c r="P29" s="3">
        <v>20</v>
      </c>
      <c r="Q29" s="3"/>
      <c r="R29" s="6">
        <v>44623</v>
      </c>
    </row>
    <row r="30" spans="1:18" ht="12.5" x14ac:dyDescent="0.25">
      <c r="A30" s="21" t="str">
        <f>HYPERLINK("https://gerandofalcoes.my.salesforce.com/0014P00003AN2GGQA1", "0014P00003AN2GGQA1")</f>
        <v>0014P00003AN2GGQA1</v>
      </c>
      <c r="B30" s="3" t="s">
        <v>17493</v>
      </c>
      <c r="C30" s="3" t="s">
        <v>2538</v>
      </c>
      <c r="D30" s="3" t="s">
        <v>46</v>
      </c>
      <c r="E30" s="3">
        <v>39</v>
      </c>
      <c r="F30" s="3">
        <v>5</v>
      </c>
      <c r="G30" s="3">
        <v>1</v>
      </c>
      <c r="H30" s="3">
        <v>50000</v>
      </c>
      <c r="I30" s="3">
        <v>60</v>
      </c>
      <c r="J30" s="3" t="s">
        <v>17403</v>
      </c>
      <c r="K30" s="3">
        <v>39</v>
      </c>
      <c r="L30" s="3">
        <v>15</v>
      </c>
      <c r="M30" s="3">
        <v>5</v>
      </c>
      <c r="N30" s="3">
        <v>4</v>
      </c>
      <c r="O30" s="3">
        <v>10</v>
      </c>
      <c r="P30" s="3">
        <v>5</v>
      </c>
      <c r="Q30" s="3"/>
      <c r="R30" s="6">
        <v>44623</v>
      </c>
    </row>
    <row r="31" spans="1:18" ht="12.5" x14ac:dyDescent="0.25">
      <c r="A31" s="21" t="str">
        <f>HYPERLINK("https://gerandofalcoes.my.salesforce.com/0014P00003AN2GHQA1", "0014P00003AN2GHQA1")</f>
        <v>0014P00003AN2GHQA1</v>
      </c>
      <c r="B31" s="3" t="s">
        <v>17494</v>
      </c>
      <c r="C31" s="3" t="s">
        <v>2538</v>
      </c>
      <c r="D31" s="3" t="s">
        <v>46</v>
      </c>
      <c r="E31" s="3">
        <v>63</v>
      </c>
      <c r="F31" s="3">
        <v>2</v>
      </c>
      <c r="G31" s="3">
        <v>2</v>
      </c>
      <c r="H31" s="3">
        <v>50000</v>
      </c>
      <c r="I31" s="3">
        <v>120</v>
      </c>
      <c r="J31" s="3" t="s">
        <v>17403</v>
      </c>
      <c r="K31" s="3">
        <v>51</v>
      </c>
      <c r="L31" s="3">
        <v>20</v>
      </c>
      <c r="M31" s="3">
        <v>5</v>
      </c>
      <c r="N31" s="3">
        <v>6</v>
      </c>
      <c r="O31" s="3">
        <v>10</v>
      </c>
      <c r="P31" s="3">
        <v>10</v>
      </c>
      <c r="Q31" s="3"/>
      <c r="R31" s="6">
        <v>44623</v>
      </c>
    </row>
    <row r="32" spans="1:18" ht="12.5" x14ac:dyDescent="0.25">
      <c r="A32" s="21" t="str">
        <f>HYPERLINK("https://gerandofalcoes.my.salesforce.com/0014P00003SGWPWQA5", "0014P00003SGWPWQA5")</f>
        <v>0014P00003SGWPWQA5</v>
      </c>
      <c r="B32" s="3" t="s">
        <v>1220</v>
      </c>
      <c r="C32" s="3" t="s">
        <v>2538</v>
      </c>
      <c r="D32" s="3" t="s">
        <v>152</v>
      </c>
      <c r="E32" s="3">
        <v>89</v>
      </c>
      <c r="F32" s="3">
        <v>7</v>
      </c>
      <c r="G32" s="3">
        <v>4</v>
      </c>
      <c r="H32" s="3">
        <v>30000</v>
      </c>
      <c r="I32" s="3">
        <v>165</v>
      </c>
      <c r="J32" s="3" t="s">
        <v>17406</v>
      </c>
      <c r="K32" s="3">
        <v>67</v>
      </c>
      <c r="L32" s="3">
        <v>25</v>
      </c>
      <c r="M32" s="3">
        <v>10</v>
      </c>
      <c r="N32" s="3">
        <v>10</v>
      </c>
      <c r="O32" s="3">
        <v>10</v>
      </c>
      <c r="P32" s="3">
        <v>12</v>
      </c>
      <c r="Q32" s="3" t="s">
        <v>1224</v>
      </c>
      <c r="R32" s="6">
        <v>44623</v>
      </c>
    </row>
    <row r="33" spans="1:18" ht="12.5" x14ac:dyDescent="0.25">
      <c r="A33" s="21" t="str">
        <f>HYPERLINK("https://gerandofalcoes.my.salesforce.com/0014P00003SGWPYQA5", "0014P00003SGWPYQA5")</f>
        <v>0014P00003SGWPYQA5</v>
      </c>
      <c r="B33" s="3" t="s">
        <v>1247</v>
      </c>
      <c r="C33" s="3" t="s">
        <v>2538</v>
      </c>
      <c r="D33" s="3" t="s">
        <v>46</v>
      </c>
      <c r="E33" s="3">
        <v>40</v>
      </c>
      <c r="F33" s="3">
        <v>0</v>
      </c>
      <c r="G33" s="3">
        <v>6</v>
      </c>
      <c r="H33" s="3">
        <v>21600</v>
      </c>
      <c r="I33" s="3">
        <v>150</v>
      </c>
      <c r="J33" s="3" t="s">
        <v>17403</v>
      </c>
      <c r="K33" s="3">
        <v>42</v>
      </c>
      <c r="L33" s="3">
        <v>15</v>
      </c>
      <c r="M33" s="3">
        <v>0</v>
      </c>
      <c r="N33" s="3">
        <v>10</v>
      </c>
      <c r="O33" s="3">
        <v>5</v>
      </c>
      <c r="P33" s="3">
        <v>12</v>
      </c>
      <c r="Q33" s="3" t="s">
        <v>1251</v>
      </c>
      <c r="R33" s="6">
        <v>44623</v>
      </c>
    </row>
    <row r="34" spans="1:18" ht="12.5" x14ac:dyDescent="0.25">
      <c r="A34" s="21" t="str">
        <f>HYPERLINK("https://gerandofalcoes.my.salesforce.com/0014P00003SGWPZQA5", "0014P00003SGWPZQA5")</f>
        <v>0014P00003SGWPZQA5</v>
      </c>
      <c r="B34" s="3" t="s">
        <v>1124</v>
      </c>
      <c r="C34" s="3" t="s">
        <v>2538</v>
      </c>
      <c r="D34" s="3" t="s">
        <v>46</v>
      </c>
      <c r="E34" s="3">
        <v>44</v>
      </c>
      <c r="F34" s="3">
        <v>2</v>
      </c>
      <c r="G34" s="3">
        <v>1</v>
      </c>
      <c r="H34" s="3">
        <v>347000</v>
      </c>
      <c r="I34" s="3">
        <v>64</v>
      </c>
      <c r="J34" s="3" t="s">
        <v>17403</v>
      </c>
      <c r="K34" s="3">
        <v>49</v>
      </c>
      <c r="L34" s="3">
        <v>15</v>
      </c>
      <c r="M34" s="3">
        <v>5</v>
      </c>
      <c r="N34" s="3">
        <v>4</v>
      </c>
      <c r="O34" s="3">
        <v>20</v>
      </c>
      <c r="P34" s="3">
        <v>5</v>
      </c>
      <c r="Q34" s="3" t="s">
        <v>1128</v>
      </c>
      <c r="R34" s="6">
        <v>44623</v>
      </c>
    </row>
    <row r="35" spans="1:18" ht="12.5" x14ac:dyDescent="0.25">
      <c r="A35" s="21" t="str">
        <f>HYPERLINK("https://gerandofalcoes.my.salesforce.com/0014P00003SGWPaQAP", "0014P00003SGWPaQAP")</f>
        <v>0014P00003SGWPaQAP</v>
      </c>
      <c r="B35" s="3" t="s">
        <v>1270</v>
      </c>
      <c r="C35" s="3" t="s">
        <v>2538</v>
      </c>
      <c r="D35" s="3" t="s">
        <v>46</v>
      </c>
      <c r="E35" s="3">
        <v>37</v>
      </c>
      <c r="F35" s="3">
        <v>4</v>
      </c>
      <c r="G35" s="3">
        <v>3</v>
      </c>
      <c r="H35" s="3">
        <v>50000</v>
      </c>
      <c r="I35" s="3">
        <v>110</v>
      </c>
      <c r="J35" s="3" t="s">
        <v>17403</v>
      </c>
      <c r="K35" s="3">
        <v>48</v>
      </c>
      <c r="L35" s="3">
        <v>15</v>
      </c>
      <c r="M35" s="3">
        <v>5</v>
      </c>
      <c r="N35" s="3">
        <v>8</v>
      </c>
      <c r="O35" s="3">
        <v>10</v>
      </c>
      <c r="P35" s="3">
        <v>10</v>
      </c>
      <c r="Q35" s="3" t="s">
        <v>1274</v>
      </c>
      <c r="R35" s="6">
        <v>44623</v>
      </c>
    </row>
    <row r="36" spans="1:18" ht="12.5" x14ac:dyDescent="0.25">
      <c r="A36" s="21" t="str">
        <f>HYPERLINK("https://gerandofalcoes.my.salesforce.com/0014P00003SGWPuQAP", "0014P00003SGWPuQAP")</f>
        <v>0014P00003SGWPuQAP</v>
      </c>
      <c r="B36" s="3" t="s">
        <v>17495</v>
      </c>
      <c r="C36" s="3" t="s">
        <v>2538</v>
      </c>
      <c r="D36" s="3" t="s">
        <v>152</v>
      </c>
      <c r="E36" s="3">
        <v>43</v>
      </c>
      <c r="F36" s="3">
        <v>0</v>
      </c>
      <c r="G36" s="3">
        <v>4</v>
      </c>
      <c r="H36" s="3">
        <v>3000</v>
      </c>
      <c r="I36" s="3">
        <v>268</v>
      </c>
      <c r="J36" s="3" t="s">
        <v>17403</v>
      </c>
      <c r="K36" s="3">
        <v>42</v>
      </c>
      <c r="L36" s="3">
        <v>15</v>
      </c>
      <c r="M36" s="3">
        <v>0</v>
      </c>
      <c r="N36" s="3">
        <v>10</v>
      </c>
      <c r="O36" s="3">
        <v>5</v>
      </c>
      <c r="P36" s="3">
        <v>12</v>
      </c>
      <c r="Q36" s="3" t="s">
        <v>1319</v>
      </c>
      <c r="R36" s="6">
        <v>44623</v>
      </c>
    </row>
    <row r="37" spans="1:18" ht="12.5" x14ac:dyDescent="0.25">
      <c r="A37" s="21" t="str">
        <f>HYPERLINK("https://gerandofalcoes.my.salesforce.com/0014P00003SGWPTQA5", "0014P00003SGWPTQA5")</f>
        <v>0014P00003SGWPTQA5</v>
      </c>
      <c r="B37" s="3" t="s">
        <v>2439</v>
      </c>
      <c r="C37" s="3" t="s">
        <v>2538</v>
      </c>
      <c r="D37" s="3" t="s">
        <v>46</v>
      </c>
      <c r="E37" s="3">
        <v>12</v>
      </c>
      <c r="F37" s="3">
        <v>0</v>
      </c>
      <c r="G37" s="3">
        <v>1</v>
      </c>
      <c r="H37" s="3">
        <v>12000</v>
      </c>
      <c r="I37" s="3">
        <v>25</v>
      </c>
      <c r="J37" s="3" t="s">
        <v>17403</v>
      </c>
      <c r="K37" s="3">
        <v>24</v>
      </c>
      <c r="L37" s="3">
        <v>10</v>
      </c>
      <c r="M37" s="3">
        <v>0</v>
      </c>
      <c r="N37" s="3">
        <v>4</v>
      </c>
      <c r="O37" s="3">
        <v>5</v>
      </c>
      <c r="P37" s="3">
        <v>5</v>
      </c>
      <c r="Q37" s="3" t="s">
        <v>2443</v>
      </c>
      <c r="R37" s="6">
        <v>44623</v>
      </c>
    </row>
    <row r="38" spans="1:18" ht="12.5" x14ac:dyDescent="0.25">
      <c r="A38" s="21" t="str">
        <f>HYPERLINK("https://gerandofalcoes.my.salesforce.com/0014P00003SGWPUQA5", "0014P00003SGWPUQA5")</f>
        <v>0014P00003SGWPUQA5</v>
      </c>
      <c r="B38" s="3" t="s">
        <v>2456</v>
      </c>
      <c r="C38" s="3" t="s">
        <v>2538</v>
      </c>
      <c r="D38" s="3" t="s">
        <v>46</v>
      </c>
      <c r="E38" s="3">
        <v>58</v>
      </c>
      <c r="F38" s="3">
        <v>0</v>
      </c>
      <c r="G38" s="3">
        <v>5</v>
      </c>
      <c r="H38" s="3">
        <v>78820</v>
      </c>
      <c r="I38" s="3">
        <v>520</v>
      </c>
      <c r="J38" s="3" t="s">
        <v>17403</v>
      </c>
      <c r="K38" s="3">
        <v>60</v>
      </c>
      <c r="L38" s="3">
        <v>20</v>
      </c>
      <c r="M38" s="3">
        <v>0</v>
      </c>
      <c r="N38" s="3">
        <v>10</v>
      </c>
      <c r="O38" s="3">
        <v>10</v>
      </c>
      <c r="P38" s="3">
        <v>20</v>
      </c>
      <c r="Q38" s="3" t="s">
        <v>2460</v>
      </c>
      <c r="R38" s="6">
        <v>44623</v>
      </c>
    </row>
    <row r="39" spans="1:18" ht="12.5" x14ac:dyDescent="0.25">
      <c r="A39" s="21" t="str">
        <f>HYPERLINK("https://gerandofalcoes.my.salesforce.com/0014P00003SGWPVQA5", "0014P00003SGWPVQA5")</f>
        <v>0014P00003SGWPVQA5</v>
      </c>
      <c r="B39" s="3" t="s">
        <v>17496</v>
      </c>
      <c r="C39" s="3" t="s">
        <v>2538</v>
      </c>
      <c r="D39" s="3" t="s">
        <v>46</v>
      </c>
      <c r="E39" s="3">
        <v>27</v>
      </c>
      <c r="F39" s="3">
        <v>0</v>
      </c>
      <c r="G39" s="3">
        <v>1</v>
      </c>
      <c r="H39" s="3">
        <v>2000</v>
      </c>
      <c r="I39" s="3">
        <v>70</v>
      </c>
      <c r="J39" s="3" t="s">
        <v>17403</v>
      </c>
      <c r="K39" s="3">
        <v>29</v>
      </c>
      <c r="L39" s="3">
        <v>15</v>
      </c>
      <c r="M39" s="3">
        <v>0</v>
      </c>
      <c r="N39" s="3">
        <v>4</v>
      </c>
      <c r="O39" s="3">
        <v>5</v>
      </c>
      <c r="P39" s="3">
        <v>5</v>
      </c>
      <c r="Q39" s="3" t="s">
        <v>2484</v>
      </c>
      <c r="R39" s="6">
        <v>44623</v>
      </c>
    </row>
    <row r="40" spans="1:18" ht="12.5" x14ac:dyDescent="0.25">
      <c r="A40" s="21" t="str">
        <f>HYPERLINK("https://gerandofalcoes.my.salesforce.com/0014X00002QTry4QAD", "0014X00002QTry4QAD")</f>
        <v>0014X00002QTry4QAD</v>
      </c>
      <c r="B40" s="3" t="s">
        <v>8872</v>
      </c>
      <c r="C40" s="3" t="s">
        <v>2538</v>
      </c>
      <c r="D40" s="3" t="s">
        <v>152</v>
      </c>
      <c r="E40" s="3">
        <v>18</v>
      </c>
      <c r="F40" s="3">
        <v>0</v>
      </c>
      <c r="G40" s="3">
        <v>3</v>
      </c>
      <c r="H40" s="3">
        <v>350</v>
      </c>
      <c r="I40" s="3">
        <v>40</v>
      </c>
      <c r="J40" s="3" t="s">
        <v>17403</v>
      </c>
      <c r="K40" s="3">
        <v>28</v>
      </c>
      <c r="L40" s="3">
        <v>10</v>
      </c>
      <c r="M40" s="3">
        <v>0</v>
      </c>
      <c r="N40" s="3">
        <v>8</v>
      </c>
      <c r="O40" s="3">
        <v>5</v>
      </c>
      <c r="P40" s="3">
        <v>5</v>
      </c>
      <c r="Q40" s="3" t="s">
        <v>8875</v>
      </c>
      <c r="R40" s="6">
        <v>44623</v>
      </c>
    </row>
    <row r="41" spans="1:18" ht="12.5" x14ac:dyDescent="0.25">
      <c r="A41" s="21" t="str">
        <f>HYPERLINK("https://gerandofalcoes.my.salesforce.com/0014X00002PUOY7QAP", "0014X00002PUOY7QAP")</f>
        <v>0014X00002PUOY7QAP</v>
      </c>
      <c r="B41" s="3" t="s">
        <v>17497</v>
      </c>
      <c r="C41" s="3" t="s">
        <v>2538</v>
      </c>
      <c r="D41" s="3" t="s">
        <v>46</v>
      </c>
      <c r="E41" s="3">
        <v>28</v>
      </c>
      <c r="F41" s="3">
        <v>28</v>
      </c>
      <c r="G41" s="3">
        <v>3</v>
      </c>
      <c r="H41" s="3">
        <v>200000</v>
      </c>
      <c r="I41" s="3">
        <v>300</v>
      </c>
      <c r="J41" s="3" t="s">
        <v>17406</v>
      </c>
      <c r="K41" s="3">
        <v>65</v>
      </c>
      <c r="L41" s="3">
        <v>15</v>
      </c>
      <c r="M41" s="3">
        <v>12</v>
      </c>
      <c r="N41" s="3">
        <v>8</v>
      </c>
      <c r="O41" s="3">
        <v>15</v>
      </c>
      <c r="P41" s="3">
        <v>15</v>
      </c>
      <c r="Q41" s="3"/>
      <c r="R41" s="6">
        <v>44623</v>
      </c>
    </row>
    <row r="42" spans="1:18" ht="12.5" x14ac:dyDescent="0.25">
      <c r="A42" s="21" t="str">
        <f>HYPERLINK("https://gerandofalcoes.my.salesforce.com/0014X00002PUOZAQA5", "0014X00002PUOZAQA5")</f>
        <v>0014X00002PUOZAQA5</v>
      </c>
      <c r="B42" s="3" t="s">
        <v>17498</v>
      </c>
      <c r="C42" s="3" t="s">
        <v>2538</v>
      </c>
      <c r="D42" s="3" t="s">
        <v>46</v>
      </c>
      <c r="E42" s="3">
        <v>99</v>
      </c>
      <c r="F42" s="3">
        <v>0</v>
      </c>
      <c r="G42" s="3">
        <v>3</v>
      </c>
      <c r="H42" s="3">
        <v>250000</v>
      </c>
      <c r="I42" s="3">
        <v>220</v>
      </c>
      <c r="J42" s="3" t="s">
        <v>17406</v>
      </c>
      <c r="K42" s="3">
        <v>65</v>
      </c>
      <c r="L42" s="3">
        <v>30</v>
      </c>
      <c r="M42" s="3">
        <v>0</v>
      </c>
      <c r="N42" s="3">
        <v>8</v>
      </c>
      <c r="O42" s="3">
        <v>15</v>
      </c>
      <c r="P42" s="3">
        <v>12</v>
      </c>
      <c r="Q42" s="3"/>
      <c r="R42" s="6">
        <v>44623</v>
      </c>
    </row>
    <row r="43" spans="1:18" ht="12.5" x14ac:dyDescent="0.25">
      <c r="A43" s="21" t="str">
        <f>HYPERLINK("https://gerandofalcoes.my.salesforce.com/0014P00003ESKdlQAH", "0014P00003ESKdlQAH")</f>
        <v>0014P00003ESKdlQAH</v>
      </c>
      <c r="B43" s="3" t="s">
        <v>17499</v>
      </c>
      <c r="C43" s="3" t="s">
        <v>2538</v>
      </c>
      <c r="D43" s="3" t="s">
        <v>46</v>
      </c>
      <c r="E43" s="3">
        <v>76</v>
      </c>
      <c r="F43" s="3">
        <v>0</v>
      </c>
      <c r="G43" s="3">
        <v>4</v>
      </c>
      <c r="H43" s="3">
        <v>780838</v>
      </c>
      <c r="I43" s="3">
        <v>949</v>
      </c>
      <c r="J43" s="3" t="s">
        <v>17406</v>
      </c>
      <c r="K43" s="3">
        <v>75</v>
      </c>
      <c r="L43" s="3">
        <v>25</v>
      </c>
      <c r="M43" s="3">
        <v>0</v>
      </c>
      <c r="N43" s="3">
        <v>10</v>
      </c>
      <c r="O43" s="3">
        <v>20</v>
      </c>
      <c r="P43" s="3">
        <v>20</v>
      </c>
      <c r="Q43" s="3"/>
      <c r="R43" s="6">
        <v>44623</v>
      </c>
    </row>
    <row r="44" spans="1:18" ht="12.5" x14ac:dyDescent="0.25">
      <c r="A44" s="21" t="str">
        <f>HYPERLINK("https://gerandofalcoes.my.salesforce.com/0014P00003AN2FVQA1", "0014P00003AN2FVQA1")</f>
        <v>0014P00003AN2FVQA1</v>
      </c>
      <c r="B44" s="3" t="s">
        <v>17500</v>
      </c>
      <c r="C44" s="3" t="s">
        <v>2538</v>
      </c>
      <c r="D44" s="3" t="s">
        <v>46</v>
      </c>
      <c r="E44" s="3">
        <v>70</v>
      </c>
      <c r="F44" s="3">
        <v>22</v>
      </c>
      <c r="G44" s="3">
        <v>3</v>
      </c>
      <c r="H44" s="3">
        <v>1385871</v>
      </c>
      <c r="I44" s="3">
        <v>600</v>
      </c>
      <c r="J44" s="3" t="s">
        <v>17405</v>
      </c>
      <c r="K44" s="3">
        <v>85</v>
      </c>
      <c r="L44" s="3">
        <v>20</v>
      </c>
      <c r="M44" s="3">
        <v>12</v>
      </c>
      <c r="N44" s="3">
        <v>8</v>
      </c>
      <c r="O44" s="3">
        <v>25</v>
      </c>
      <c r="P44" s="3">
        <v>20</v>
      </c>
      <c r="Q44" s="3"/>
      <c r="R44" s="6">
        <v>44623</v>
      </c>
    </row>
    <row r="45" spans="1:18" ht="12.5" x14ac:dyDescent="0.25">
      <c r="A45" s="21" t="str">
        <f>HYPERLINK("https://gerandofalcoes.my.salesforce.com/0014P00003AN2FWQA1", "0014P00003AN2FWQA1")</f>
        <v>0014P00003AN2FWQA1</v>
      </c>
      <c r="B45" s="3" t="s">
        <v>17501</v>
      </c>
      <c r="C45" s="3" t="s">
        <v>2538</v>
      </c>
      <c r="D45" s="3" t="s">
        <v>46</v>
      </c>
      <c r="E45" s="3">
        <v>43</v>
      </c>
      <c r="F45" s="3">
        <v>2</v>
      </c>
      <c r="G45" s="3">
        <v>2</v>
      </c>
      <c r="H45" s="3">
        <v>350000</v>
      </c>
      <c r="I45" s="3">
        <v>380</v>
      </c>
      <c r="J45" s="3" t="s">
        <v>17403</v>
      </c>
      <c r="K45" s="3">
        <v>61</v>
      </c>
      <c r="L45" s="3">
        <v>15</v>
      </c>
      <c r="M45" s="3">
        <v>5</v>
      </c>
      <c r="N45" s="3">
        <v>6</v>
      </c>
      <c r="O45" s="3">
        <v>20</v>
      </c>
      <c r="P45" s="3">
        <v>15</v>
      </c>
      <c r="Q45" s="3"/>
      <c r="R45" s="6">
        <v>44623</v>
      </c>
    </row>
    <row r="46" spans="1:18" ht="12.5" x14ac:dyDescent="0.25">
      <c r="A46" s="21" t="str">
        <f>HYPERLINK("https://gerandofalcoes.my.salesforce.com/0014P00003AN2FXQA1", "0014P00003AN2FXQA1")</f>
        <v>0014P00003AN2FXQA1</v>
      </c>
      <c r="B46" s="3" t="s">
        <v>17502</v>
      </c>
      <c r="C46" s="3" t="s">
        <v>2538</v>
      </c>
      <c r="D46" s="3" t="s">
        <v>46</v>
      </c>
      <c r="E46" s="3">
        <v>53</v>
      </c>
      <c r="F46" s="3">
        <v>8</v>
      </c>
      <c r="G46" s="3">
        <v>3</v>
      </c>
      <c r="H46" s="3">
        <v>250000</v>
      </c>
      <c r="I46" s="3">
        <v>238</v>
      </c>
      <c r="J46" s="3" t="s">
        <v>17406</v>
      </c>
      <c r="K46" s="3">
        <v>65</v>
      </c>
      <c r="L46" s="3">
        <v>20</v>
      </c>
      <c r="M46" s="3">
        <v>10</v>
      </c>
      <c r="N46" s="3">
        <v>8</v>
      </c>
      <c r="O46" s="3">
        <v>15</v>
      </c>
      <c r="P46" s="3">
        <v>12</v>
      </c>
      <c r="Q46" s="3"/>
      <c r="R46" s="6">
        <v>44623</v>
      </c>
    </row>
    <row r="47" spans="1:18" ht="12.5" x14ac:dyDescent="0.25">
      <c r="A47" s="21" t="str">
        <f>HYPERLINK("https://gerandofalcoes.my.salesforce.com/0014P00003AN2FYQA1", "0014P00003AN2FYQA1")</f>
        <v>0014P00003AN2FYQA1</v>
      </c>
      <c r="B47" s="3" t="s">
        <v>17503</v>
      </c>
      <c r="C47" s="3" t="s">
        <v>2538</v>
      </c>
      <c r="D47" s="3" t="s">
        <v>46</v>
      </c>
      <c r="E47" s="3">
        <v>45</v>
      </c>
      <c r="F47" s="3">
        <v>4</v>
      </c>
      <c r="G47" s="3">
        <v>5</v>
      </c>
      <c r="H47" s="3">
        <v>100000</v>
      </c>
      <c r="I47" s="3">
        <v>500</v>
      </c>
      <c r="J47" s="3" t="s">
        <v>17406</v>
      </c>
      <c r="K47" s="3">
        <v>65</v>
      </c>
      <c r="L47" s="3">
        <v>15</v>
      </c>
      <c r="M47" s="3">
        <v>5</v>
      </c>
      <c r="N47" s="3">
        <v>10</v>
      </c>
      <c r="O47" s="3">
        <v>15</v>
      </c>
      <c r="P47" s="3">
        <v>20</v>
      </c>
      <c r="Q47" s="3"/>
      <c r="R47" s="6">
        <v>44623</v>
      </c>
    </row>
    <row r="48" spans="1:18" ht="12.5" x14ac:dyDescent="0.25">
      <c r="A48" s="21" t="str">
        <f>HYPERLINK("https://gerandofalcoes.my.salesforce.com/0014P00003AN2FZQA1", "0014P00003AN2FZQA1")</f>
        <v>0014P00003AN2FZQA1</v>
      </c>
      <c r="B48" s="3" t="s">
        <v>17504</v>
      </c>
      <c r="C48" s="3" t="s">
        <v>2538</v>
      </c>
      <c r="D48" s="3" t="s">
        <v>46</v>
      </c>
      <c r="E48" s="3">
        <v>94</v>
      </c>
      <c r="F48" s="3">
        <v>51</v>
      </c>
      <c r="G48" s="3">
        <v>5</v>
      </c>
      <c r="H48" s="3">
        <v>4439647</v>
      </c>
      <c r="I48" s="3">
        <v>397</v>
      </c>
      <c r="J48" s="3" t="s">
        <v>17405</v>
      </c>
      <c r="K48" s="3">
        <v>95</v>
      </c>
      <c r="L48" s="3">
        <v>30</v>
      </c>
      <c r="M48" s="3">
        <v>15</v>
      </c>
      <c r="N48" s="3">
        <v>10</v>
      </c>
      <c r="O48" s="3">
        <v>25</v>
      </c>
      <c r="P48" s="3">
        <v>15</v>
      </c>
      <c r="Q48" s="3"/>
      <c r="R48" s="6">
        <v>44623</v>
      </c>
    </row>
    <row r="49" spans="1:18" ht="12.5" x14ac:dyDescent="0.25">
      <c r="A49" s="21" t="str">
        <f>HYPERLINK("https://gerandofalcoes.my.salesforce.com/0014P00003AN2FaQAL", "0014P00003AN2FaQAL")</f>
        <v>0014P00003AN2FaQAL</v>
      </c>
      <c r="B49" s="3" t="s">
        <v>551</v>
      </c>
      <c r="C49" s="3" t="s">
        <v>2538</v>
      </c>
      <c r="D49" s="3" t="s">
        <v>46</v>
      </c>
      <c r="E49" s="3">
        <v>47</v>
      </c>
      <c r="F49" s="3">
        <v>7</v>
      </c>
      <c r="G49" s="3">
        <v>2</v>
      </c>
      <c r="H49" s="3">
        <v>30000</v>
      </c>
      <c r="I49" s="3">
        <v>40</v>
      </c>
      <c r="J49" s="3" t="s">
        <v>17403</v>
      </c>
      <c r="K49" s="3">
        <v>46</v>
      </c>
      <c r="L49" s="3">
        <v>15</v>
      </c>
      <c r="M49" s="3">
        <v>10</v>
      </c>
      <c r="N49" s="3">
        <v>6</v>
      </c>
      <c r="O49" s="3">
        <v>10</v>
      </c>
      <c r="P49" s="3">
        <v>5</v>
      </c>
      <c r="Q49" s="3" t="s">
        <v>555</v>
      </c>
      <c r="R49" s="6">
        <v>44623</v>
      </c>
    </row>
    <row r="50" spans="1:18" ht="12.5" x14ac:dyDescent="0.25">
      <c r="A50" s="21" t="str">
        <f>HYPERLINK("https://gerandofalcoes.my.salesforce.com/0014P00003AN2FbQAL", "0014P00003AN2FbQAL")</f>
        <v>0014P00003AN2FbQAL</v>
      </c>
      <c r="B50" s="3" t="s">
        <v>17505</v>
      </c>
      <c r="C50" s="3" t="s">
        <v>2538</v>
      </c>
      <c r="D50" s="3" t="s">
        <v>46</v>
      </c>
      <c r="E50" s="3">
        <v>28</v>
      </c>
      <c r="F50" s="3">
        <v>0</v>
      </c>
      <c r="G50" s="3">
        <v>0</v>
      </c>
      <c r="H50" s="3">
        <v>20000</v>
      </c>
      <c r="I50" s="3">
        <v>80</v>
      </c>
      <c r="J50" s="3" t="s">
        <v>17403</v>
      </c>
      <c r="K50" s="3">
        <v>30</v>
      </c>
      <c r="L50" s="3">
        <v>15</v>
      </c>
      <c r="M50" s="3">
        <v>0</v>
      </c>
      <c r="N50" s="3">
        <v>0</v>
      </c>
      <c r="O50" s="3">
        <v>5</v>
      </c>
      <c r="P50" s="3">
        <v>10</v>
      </c>
      <c r="Q50" s="3" t="s">
        <v>583</v>
      </c>
      <c r="R50" s="6">
        <v>44623</v>
      </c>
    </row>
    <row r="51" spans="1:18" ht="12.5" x14ac:dyDescent="0.25">
      <c r="A51" s="21" t="str">
        <f>HYPERLINK("https://gerandofalcoes.my.salesforce.com/0014P00003AN2FcQAL", "0014P00003AN2FcQAL")</f>
        <v>0014P00003AN2FcQAL</v>
      </c>
      <c r="B51" s="3" t="s">
        <v>17506</v>
      </c>
      <c r="C51" s="3" t="s">
        <v>2538</v>
      </c>
      <c r="D51" s="3" t="s">
        <v>152</v>
      </c>
      <c r="E51" s="3">
        <v>87</v>
      </c>
      <c r="F51" s="3">
        <v>10</v>
      </c>
      <c r="G51" s="3">
        <v>3</v>
      </c>
      <c r="H51" s="3">
        <v>501150</v>
      </c>
      <c r="I51" s="3">
        <v>171</v>
      </c>
      <c r="J51" s="3" t="s">
        <v>17406</v>
      </c>
      <c r="K51" s="3">
        <v>75</v>
      </c>
      <c r="L51" s="3">
        <v>25</v>
      </c>
      <c r="M51" s="3">
        <v>10</v>
      </c>
      <c r="N51" s="3">
        <v>8</v>
      </c>
      <c r="O51" s="3">
        <v>20</v>
      </c>
      <c r="P51" s="3">
        <v>12</v>
      </c>
      <c r="Q51" s="3" t="s">
        <v>603</v>
      </c>
      <c r="R51" s="6">
        <v>44623</v>
      </c>
    </row>
    <row r="52" spans="1:18" ht="12.5" x14ac:dyDescent="0.25">
      <c r="A52" s="21" t="str">
        <f>HYPERLINK("https://gerandofalcoes.my.salesforce.com/0014P00003AN2FdQAL", "0014P00003AN2FdQAL")</f>
        <v>0014P00003AN2FdQAL</v>
      </c>
      <c r="B52" s="3" t="s">
        <v>618</v>
      </c>
      <c r="C52" s="3" t="s">
        <v>2538</v>
      </c>
      <c r="D52" s="3" t="s">
        <v>46</v>
      </c>
      <c r="E52" s="3">
        <v>7</v>
      </c>
      <c r="F52" s="3">
        <v>0</v>
      </c>
      <c r="G52" s="3">
        <v>0</v>
      </c>
      <c r="H52" s="3">
        <v>0</v>
      </c>
      <c r="I52" s="3">
        <v>300</v>
      </c>
      <c r="J52" s="3" t="s">
        <v>17403</v>
      </c>
      <c r="K52" s="3">
        <v>25</v>
      </c>
      <c r="L52" s="3">
        <v>10</v>
      </c>
      <c r="M52" s="3">
        <v>0</v>
      </c>
      <c r="N52" s="3">
        <v>0</v>
      </c>
      <c r="O52" s="3">
        <v>0</v>
      </c>
      <c r="P52" s="3">
        <v>15</v>
      </c>
      <c r="Q52" s="3" t="s">
        <v>622</v>
      </c>
      <c r="R52" s="6">
        <v>44623</v>
      </c>
    </row>
    <row r="53" spans="1:18" ht="12.5" x14ac:dyDescent="0.25">
      <c r="A53" s="21" t="str">
        <f>HYPERLINK("https://gerandofalcoes.my.salesforce.com/0014P00003AN2FeQAL", "0014P00003AN2FeQAL")</f>
        <v>0014P00003AN2FeQAL</v>
      </c>
      <c r="B53" s="3" t="s">
        <v>640</v>
      </c>
      <c r="C53" s="3" t="s">
        <v>2538</v>
      </c>
      <c r="D53" s="3" t="s">
        <v>46</v>
      </c>
      <c r="E53" s="3">
        <v>25</v>
      </c>
      <c r="F53" s="3">
        <v>10</v>
      </c>
      <c r="G53" s="3">
        <v>3</v>
      </c>
      <c r="H53" s="3">
        <v>17500000</v>
      </c>
      <c r="I53" s="3">
        <v>50</v>
      </c>
      <c r="J53" s="3" t="s">
        <v>17403</v>
      </c>
      <c r="K53" s="3">
        <v>63</v>
      </c>
      <c r="L53" s="3">
        <v>15</v>
      </c>
      <c r="M53" s="3">
        <v>10</v>
      </c>
      <c r="N53" s="3">
        <v>8</v>
      </c>
      <c r="O53" s="3">
        <v>25</v>
      </c>
      <c r="P53" s="3">
        <v>5</v>
      </c>
      <c r="Q53" s="3" t="s">
        <v>644</v>
      </c>
      <c r="R53" s="6">
        <v>44623</v>
      </c>
    </row>
    <row r="54" spans="1:18" ht="12.5" x14ac:dyDescent="0.25">
      <c r="A54" s="21" t="str">
        <f>HYPERLINK("https://gerandofalcoes.my.salesforce.com/0014P00003Ck8NjQAJ", "0014P00003Ck8NjQAJ")</f>
        <v>0014P00003Ck8NjQAJ</v>
      </c>
      <c r="B54" s="3" t="s">
        <v>17507</v>
      </c>
      <c r="C54" s="3" t="s">
        <v>2538</v>
      </c>
      <c r="D54" s="3" t="s">
        <v>46</v>
      </c>
      <c r="E54" s="3">
        <v>32</v>
      </c>
      <c r="F54" s="3">
        <v>30</v>
      </c>
      <c r="G54" s="3">
        <v>8</v>
      </c>
      <c r="H54" s="3">
        <v>0</v>
      </c>
      <c r="I54" s="3">
        <v>200</v>
      </c>
      <c r="J54" s="3" t="s">
        <v>17403</v>
      </c>
      <c r="K54" s="3">
        <v>49</v>
      </c>
      <c r="L54" s="3">
        <v>15</v>
      </c>
      <c r="M54" s="3">
        <v>12</v>
      </c>
      <c r="N54" s="3">
        <v>10</v>
      </c>
      <c r="O54" s="3">
        <v>0</v>
      </c>
      <c r="P54" s="3">
        <v>12</v>
      </c>
      <c r="Q54" s="3"/>
      <c r="R54" s="6">
        <v>44623</v>
      </c>
    </row>
    <row r="55" spans="1:18" ht="12.5" x14ac:dyDescent="0.25">
      <c r="A55" s="21" t="str">
        <f>HYPERLINK("https://gerandofalcoes.my.salesforce.com/0014P00003I7WH2QAN", "0014P00003I7WH2QAN")</f>
        <v>0014P00003I7WH2QAN</v>
      </c>
      <c r="B55" s="3" t="s">
        <v>17508</v>
      </c>
      <c r="C55" s="3" t="s">
        <v>2538</v>
      </c>
      <c r="D55" s="3" t="s">
        <v>46</v>
      </c>
      <c r="E55" s="3">
        <v>75</v>
      </c>
      <c r="F55" s="3">
        <v>5</v>
      </c>
      <c r="G55" s="3">
        <v>3</v>
      </c>
      <c r="H55" s="3">
        <v>300000</v>
      </c>
      <c r="I55" s="3">
        <v>85</v>
      </c>
      <c r="J55" s="3" t="s">
        <v>17406</v>
      </c>
      <c r="K55" s="3">
        <v>68</v>
      </c>
      <c r="L55" s="3">
        <v>25</v>
      </c>
      <c r="M55" s="3">
        <v>5</v>
      </c>
      <c r="N55" s="3">
        <v>8</v>
      </c>
      <c r="O55" s="3">
        <v>20</v>
      </c>
      <c r="P55" s="3">
        <v>10</v>
      </c>
      <c r="Q55" s="3" t="s">
        <v>11529</v>
      </c>
      <c r="R55" s="6">
        <v>44623</v>
      </c>
    </row>
    <row r="56" spans="1:18" ht="12.5" x14ac:dyDescent="0.25">
      <c r="A56" s="21" t="str">
        <f>HYPERLINK("https://gerandofalcoes.my.salesforce.com/0014P00003AN2FfQAL", "0014P00003AN2FfQAL")</f>
        <v>0014P00003AN2FfQAL</v>
      </c>
      <c r="B56" s="3" t="s">
        <v>665</v>
      </c>
      <c r="C56" s="3" t="s">
        <v>2538</v>
      </c>
      <c r="D56" s="3" t="s">
        <v>46</v>
      </c>
      <c r="E56" s="3">
        <v>20</v>
      </c>
      <c r="F56" s="3">
        <v>0</v>
      </c>
      <c r="G56" s="3">
        <v>1</v>
      </c>
      <c r="H56" s="3">
        <v>10000</v>
      </c>
      <c r="I56" s="3">
        <v>190</v>
      </c>
      <c r="J56" s="3" t="s">
        <v>17403</v>
      </c>
      <c r="K56" s="3">
        <v>31</v>
      </c>
      <c r="L56" s="3">
        <v>10</v>
      </c>
      <c r="M56" s="3">
        <v>0</v>
      </c>
      <c r="N56" s="3">
        <v>4</v>
      </c>
      <c r="O56" s="3">
        <v>5</v>
      </c>
      <c r="P56" s="3">
        <v>12</v>
      </c>
      <c r="Q56" s="3" t="s">
        <v>669</v>
      </c>
      <c r="R56" s="6">
        <v>44623</v>
      </c>
    </row>
    <row r="57" spans="1:18" ht="12.5" x14ac:dyDescent="0.25">
      <c r="A57" s="21" t="str">
        <f>HYPERLINK("https://gerandofalcoes.my.salesforce.com/0014P00003AN2FgQAL", "0014P00003AN2FgQAL")</f>
        <v>0014P00003AN2FgQAL</v>
      </c>
      <c r="B57" s="3" t="s">
        <v>686</v>
      </c>
      <c r="C57" s="3" t="s">
        <v>12704</v>
      </c>
      <c r="D57" s="3" t="s">
        <v>46</v>
      </c>
      <c r="E57" s="3">
        <v>36</v>
      </c>
      <c r="F57" s="3">
        <v>2</v>
      </c>
      <c r="G57" s="3">
        <v>4</v>
      </c>
      <c r="H57" s="3">
        <v>200000</v>
      </c>
      <c r="I57" s="3">
        <v>328</v>
      </c>
      <c r="J57" s="3" t="s">
        <v>17403</v>
      </c>
      <c r="K57" s="3">
        <v>60</v>
      </c>
      <c r="L57" s="3">
        <v>15</v>
      </c>
      <c r="M57" s="3">
        <v>5</v>
      </c>
      <c r="N57" s="3">
        <v>10</v>
      </c>
      <c r="O57" s="3">
        <v>15</v>
      </c>
      <c r="P57" s="3">
        <v>15</v>
      </c>
      <c r="Q57" s="3" t="s">
        <v>690</v>
      </c>
      <c r="R57" s="6">
        <v>44623</v>
      </c>
    </row>
    <row r="58" spans="1:18" ht="12.5" x14ac:dyDescent="0.25">
      <c r="A58" s="21" t="str">
        <f>HYPERLINK("https://gerandofalcoes.my.salesforce.com/0014P00003AN2FhQAL", "0014P00003AN2FhQAL")</f>
        <v>0014P00003AN2FhQAL</v>
      </c>
      <c r="B58" s="3" t="s">
        <v>17509</v>
      </c>
      <c r="C58" s="3" t="s">
        <v>2538</v>
      </c>
      <c r="D58" s="3" t="s">
        <v>46</v>
      </c>
      <c r="E58" s="3">
        <v>55</v>
      </c>
      <c r="F58" s="3">
        <v>3</v>
      </c>
      <c r="G58" s="3">
        <v>3</v>
      </c>
      <c r="H58" s="3">
        <v>22000</v>
      </c>
      <c r="I58" s="3">
        <v>200</v>
      </c>
      <c r="J58" s="3" t="s">
        <v>17403</v>
      </c>
      <c r="K58" s="3">
        <v>50</v>
      </c>
      <c r="L58" s="3">
        <v>20</v>
      </c>
      <c r="M58" s="3">
        <v>5</v>
      </c>
      <c r="N58" s="3">
        <v>8</v>
      </c>
      <c r="O58" s="3">
        <v>5</v>
      </c>
      <c r="P58" s="3">
        <v>12</v>
      </c>
      <c r="Q58" s="3"/>
      <c r="R58" s="6">
        <v>44623</v>
      </c>
    </row>
    <row r="59" spans="1:18" ht="12.5" x14ac:dyDescent="0.25">
      <c r="A59" s="21" t="str">
        <f>HYPERLINK("https://gerandofalcoes.my.salesforce.com/0014P00003AN2FiQAL", "0014P00003AN2FiQAL")</f>
        <v>0014P00003AN2FiQAL</v>
      </c>
      <c r="B59" s="3" t="s">
        <v>17510</v>
      </c>
      <c r="C59" s="3" t="s">
        <v>2538</v>
      </c>
      <c r="D59" s="3" t="s">
        <v>46</v>
      </c>
      <c r="E59" s="3">
        <v>40</v>
      </c>
      <c r="F59" s="3">
        <v>2</v>
      </c>
      <c r="G59" s="3">
        <v>2</v>
      </c>
      <c r="H59" s="3">
        <v>270000</v>
      </c>
      <c r="I59" s="3">
        <v>230</v>
      </c>
      <c r="J59" s="3" t="s">
        <v>17403</v>
      </c>
      <c r="K59" s="3">
        <v>53</v>
      </c>
      <c r="L59" s="3">
        <v>15</v>
      </c>
      <c r="M59" s="3">
        <v>5</v>
      </c>
      <c r="N59" s="3">
        <v>6</v>
      </c>
      <c r="O59" s="3">
        <v>15</v>
      </c>
      <c r="P59" s="3">
        <v>12</v>
      </c>
      <c r="Q59" s="3"/>
      <c r="R59" s="6">
        <v>44623</v>
      </c>
    </row>
    <row r="60" spans="1:18" ht="12.5" x14ac:dyDescent="0.25">
      <c r="A60" s="21" t="str">
        <f>HYPERLINK("https://gerandofalcoes.my.salesforce.com/0014P00003AN2FjQAL", "0014P00003AN2FjQAL")</f>
        <v>0014P00003AN2FjQAL</v>
      </c>
      <c r="B60" s="3" t="s">
        <v>17511</v>
      </c>
      <c r="C60" s="3" t="s">
        <v>2538</v>
      </c>
      <c r="D60" s="3" t="s">
        <v>152</v>
      </c>
      <c r="E60" s="3">
        <v>89</v>
      </c>
      <c r="F60" s="3">
        <v>5</v>
      </c>
      <c r="G60" s="3">
        <v>4</v>
      </c>
      <c r="H60" s="3">
        <v>49628.39</v>
      </c>
      <c r="I60" s="3">
        <v>79</v>
      </c>
      <c r="J60" s="3" t="s">
        <v>17403</v>
      </c>
      <c r="K60" s="3">
        <v>55</v>
      </c>
      <c r="L60" s="3">
        <v>25</v>
      </c>
      <c r="M60" s="3">
        <v>5</v>
      </c>
      <c r="N60" s="3">
        <v>10</v>
      </c>
      <c r="O60" s="3">
        <v>10</v>
      </c>
      <c r="P60" s="3">
        <v>5</v>
      </c>
      <c r="Q60" s="3" t="s">
        <v>405</v>
      </c>
      <c r="R60" s="6">
        <v>44623</v>
      </c>
    </row>
    <row r="61" spans="1:18" ht="12.5" x14ac:dyDescent="0.25">
      <c r="A61" s="21" t="str">
        <f>HYPERLINK("https://gerandofalcoes.my.salesforce.com/0014P00003AN2FkQAL", "0014P00003AN2FkQAL")</f>
        <v>0014P00003AN2FkQAL</v>
      </c>
      <c r="B61" s="3" t="s">
        <v>11590</v>
      </c>
      <c r="C61" s="3" t="s">
        <v>2538</v>
      </c>
      <c r="D61" s="3" t="s">
        <v>152</v>
      </c>
      <c r="E61" s="3">
        <v>51</v>
      </c>
      <c r="F61" s="3">
        <v>0</v>
      </c>
      <c r="G61" s="3">
        <v>4</v>
      </c>
      <c r="H61" s="3">
        <v>45000</v>
      </c>
      <c r="I61" s="3">
        <v>700</v>
      </c>
      <c r="J61" s="3" t="s">
        <v>17403</v>
      </c>
      <c r="K61" s="3">
        <v>60</v>
      </c>
      <c r="L61" s="3">
        <v>20</v>
      </c>
      <c r="M61" s="3">
        <v>0</v>
      </c>
      <c r="N61" s="3">
        <v>10</v>
      </c>
      <c r="O61" s="3">
        <v>10</v>
      </c>
      <c r="P61" s="3">
        <v>20</v>
      </c>
      <c r="Q61" s="3"/>
      <c r="R61" s="6">
        <v>44623</v>
      </c>
    </row>
    <row r="62" spans="1:18" ht="12.5" x14ac:dyDescent="0.25">
      <c r="A62" s="21" t="str">
        <f>HYPERLINK("https://gerandofalcoes.my.salesforce.com/0014P00003AN2FlQAL", "0014P00003AN2FlQAL")</f>
        <v>0014P00003AN2FlQAL</v>
      </c>
      <c r="B62" s="3" t="s">
        <v>17512</v>
      </c>
      <c r="C62" s="3" t="s">
        <v>2538</v>
      </c>
      <c r="D62" s="3" t="s">
        <v>152</v>
      </c>
      <c r="E62" s="3">
        <v>85</v>
      </c>
      <c r="F62" s="3">
        <v>9</v>
      </c>
      <c r="G62" s="3">
        <v>5</v>
      </c>
      <c r="H62" s="3">
        <v>128126.51</v>
      </c>
      <c r="I62" s="3">
        <v>188</v>
      </c>
      <c r="J62" s="3" t="s">
        <v>17406</v>
      </c>
      <c r="K62" s="3">
        <v>72</v>
      </c>
      <c r="L62" s="3">
        <v>25</v>
      </c>
      <c r="M62" s="3">
        <v>10</v>
      </c>
      <c r="N62" s="3">
        <v>10</v>
      </c>
      <c r="O62" s="3">
        <v>15</v>
      </c>
      <c r="P62" s="3">
        <v>12</v>
      </c>
      <c r="Q62" s="3" t="s">
        <v>800</v>
      </c>
      <c r="R62" s="6">
        <v>44623</v>
      </c>
    </row>
    <row r="63" spans="1:18" ht="12.5" x14ac:dyDescent="0.25">
      <c r="A63" s="21" t="str">
        <f>HYPERLINK("https://gerandofalcoes.my.salesforce.com/0014P00003AN2FmQAL", "0014P00003AN2FmQAL")</f>
        <v>0014P00003AN2FmQAL</v>
      </c>
      <c r="B63" s="3" t="s">
        <v>17513</v>
      </c>
      <c r="C63" s="3" t="s">
        <v>2538</v>
      </c>
      <c r="D63" s="3" t="s">
        <v>152</v>
      </c>
      <c r="E63" s="3">
        <v>86</v>
      </c>
      <c r="F63" s="3">
        <v>30</v>
      </c>
      <c r="G63" s="3">
        <v>5</v>
      </c>
      <c r="H63" s="3">
        <v>969799.69</v>
      </c>
      <c r="I63" s="3">
        <v>89</v>
      </c>
      <c r="J63" s="3" t="s">
        <v>17405</v>
      </c>
      <c r="K63" s="3">
        <v>82</v>
      </c>
      <c r="L63" s="3">
        <v>25</v>
      </c>
      <c r="M63" s="3">
        <v>12</v>
      </c>
      <c r="N63" s="3">
        <v>10</v>
      </c>
      <c r="O63" s="3">
        <v>25</v>
      </c>
      <c r="P63" s="3">
        <v>10</v>
      </c>
      <c r="Q63" s="3" t="s">
        <v>817</v>
      </c>
      <c r="R63" s="6">
        <v>44623</v>
      </c>
    </row>
    <row r="64" spans="1:18" ht="12.5" x14ac:dyDescent="0.25">
      <c r="A64" s="21" t="str">
        <f>HYPERLINK("https://gerandofalcoes.my.salesforce.com/0014P00003AN2FnQAL", "0014P00003AN2FnQAL")</f>
        <v>0014P00003AN2FnQAL</v>
      </c>
      <c r="B64" s="3" t="s">
        <v>831</v>
      </c>
      <c r="C64" s="3" t="s">
        <v>2538</v>
      </c>
      <c r="D64" s="3" t="s">
        <v>152</v>
      </c>
      <c r="E64" s="3">
        <v>90</v>
      </c>
      <c r="F64" s="3">
        <v>22</v>
      </c>
      <c r="G64" s="3">
        <v>3</v>
      </c>
      <c r="H64" s="3">
        <v>850231.83</v>
      </c>
      <c r="I64" s="3">
        <v>395</v>
      </c>
      <c r="J64" s="3" t="s">
        <v>17405</v>
      </c>
      <c r="K64" s="3">
        <v>90</v>
      </c>
      <c r="L64" s="3">
        <v>30</v>
      </c>
      <c r="M64" s="3">
        <v>12</v>
      </c>
      <c r="N64" s="3">
        <v>8</v>
      </c>
      <c r="O64" s="3">
        <v>25</v>
      </c>
      <c r="P64" s="3">
        <v>15</v>
      </c>
      <c r="Q64" s="3" t="s">
        <v>833</v>
      </c>
      <c r="R64" s="6">
        <v>44623</v>
      </c>
    </row>
    <row r="65" spans="1:18" ht="12.5" x14ac:dyDescent="0.25">
      <c r="A65" s="21" t="str">
        <f>HYPERLINK("https://gerandofalcoes.my.salesforce.com/0014P00003SGWPvQAP", "0014P00003SGWPvQAP")</f>
        <v>0014P00003SGWPvQAP</v>
      </c>
      <c r="B65" s="3" t="s">
        <v>17514</v>
      </c>
      <c r="C65" s="3" t="s">
        <v>2538</v>
      </c>
      <c r="D65" s="3" t="s">
        <v>46</v>
      </c>
      <c r="E65" s="3">
        <v>25</v>
      </c>
      <c r="F65" s="3">
        <v>0</v>
      </c>
      <c r="G65" s="3">
        <v>2</v>
      </c>
      <c r="H65" s="3">
        <v>10000</v>
      </c>
      <c r="I65" s="3">
        <v>300</v>
      </c>
      <c r="J65" s="3" t="s">
        <v>17403</v>
      </c>
      <c r="K65" s="3">
        <v>41</v>
      </c>
      <c r="L65" s="3">
        <v>15</v>
      </c>
      <c r="M65" s="3">
        <v>0</v>
      </c>
      <c r="N65" s="3">
        <v>6</v>
      </c>
      <c r="O65" s="3">
        <v>5</v>
      </c>
      <c r="P65" s="3">
        <v>15</v>
      </c>
      <c r="Q65" s="3" t="s">
        <v>1335</v>
      </c>
      <c r="R65" s="6">
        <v>44623</v>
      </c>
    </row>
    <row r="66" spans="1:18" ht="12.5" x14ac:dyDescent="0.25">
      <c r="A66" s="21" t="str">
        <f>HYPERLINK("https://gerandofalcoes.my.salesforce.com/0014P00003SGWPxQAP", "0014P00003SGWPxQAP")</f>
        <v>0014P00003SGWPxQAP</v>
      </c>
      <c r="B66" s="3" t="s">
        <v>17515</v>
      </c>
      <c r="C66" s="3" t="s">
        <v>2538</v>
      </c>
      <c r="D66" s="3" t="s">
        <v>46</v>
      </c>
      <c r="E66" s="3">
        <v>41</v>
      </c>
      <c r="F66" s="3">
        <v>4</v>
      </c>
      <c r="G66" s="3">
        <v>4</v>
      </c>
      <c r="H66" s="3">
        <v>120000</v>
      </c>
      <c r="I66" s="3">
        <v>74</v>
      </c>
      <c r="J66" s="3" t="s">
        <v>17403</v>
      </c>
      <c r="K66" s="3">
        <v>50</v>
      </c>
      <c r="L66" s="3">
        <v>15</v>
      </c>
      <c r="M66" s="3">
        <v>5</v>
      </c>
      <c r="N66" s="3">
        <v>10</v>
      </c>
      <c r="O66" s="3">
        <v>15</v>
      </c>
      <c r="P66" s="3">
        <v>5</v>
      </c>
      <c r="Q66" s="3" t="s">
        <v>1297</v>
      </c>
      <c r="R66" s="6">
        <v>44623</v>
      </c>
    </row>
    <row r="67" spans="1:18" ht="12.5" x14ac:dyDescent="0.25">
      <c r="A67" s="21" t="str">
        <f>HYPERLINK("https://gerandofalcoes.my.salesforce.com/0014P00003SGWPzQAP", "0014P00003SGWPzQAP")</f>
        <v>0014P00003SGWPzQAP</v>
      </c>
      <c r="B67" s="3" t="s">
        <v>17516</v>
      </c>
      <c r="C67" s="3" t="s">
        <v>2538</v>
      </c>
      <c r="D67" s="3" t="s">
        <v>46</v>
      </c>
      <c r="E67" s="3">
        <v>94</v>
      </c>
      <c r="F67" s="3">
        <v>10</v>
      </c>
      <c r="G67" s="3">
        <v>3</v>
      </c>
      <c r="H67" s="3">
        <v>627195</v>
      </c>
      <c r="I67" s="3">
        <v>726</v>
      </c>
      <c r="J67" s="3" t="s">
        <v>17405</v>
      </c>
      <c r="K67" s="3">
        <v>88</v>
      </c>
      <c r="L67" s="3">
        <v>30</v>
      </c>
      <c r="M67" s="3">
        <v>10</v>
      </c>
      <c r="N67" s="3">
        <v>8</v>
      </c>
      <c r="O67" s="3">
        <v>20</v>
      </c>
      <c r="P67" s="3">
        <v>20</v>
      </c>
      <c r="Q67" s="3" t="s">
        <v>1404</v>
      </c>
      <c r="R67" s="6">
        <v>44623</v>
      </c>
    </row>
    <row r="68" spans="1:18" ht="12.5" x14ac:dyDescent="0.25">
      <c r="A68" s="21" t="str">
        <f>HYPERLINK("https://gerandofalcoes.my.salesforce.com/0014P00003SGWQ0QAP", "0014P00003SGWQ0QAP")</f>
        <v>0014P00003SGWQ0QAP</v>
      </c>
      <c r="B68" s="3" t="s">
        <v>1425</v>
      </c>
      <c r="C68" s="3" t="s">
        <v>2538</v>
      </c>
      <c r="D68" s="3" t="s">
        <v>46</v>
      </c>
      <c r="E68" s="3">
        <v>39</v>
      </c>
      <c r="F68" s="3">
        <v>6</v>
      </c>
      <c r="G68" s="3">
        <v>2</v>
      </c>
      <c r="H68" s="3">
        <v>79000</v>
      </c>
      <c r="I68" s="3">
        <v>100</v>
      </c>
      <c r="J68" s="3" t="s">
        <v>17403</v>
      </c>
      <c r="K68" s="3">
        <v>51</v>
      </c>
      <c r="L68" s="3">
        <v>15</v>
      </c>
      <c r="M68" s="3">
        <v>10</v>
      </c>
      <c r="N68" s="3">
        <v>6</v>
      </c>
      <c r="O68" s="3">
        <v>10</v>
      </c>
      <c r="P68" s="3">
        <v>10</v>
      </c>
      <c r="Q68" s="3" t="s">
        <v>1429</v>
      </c>
      <c r="R68" s="6">
        <v>44623</v>
      </c>
    </row>
    <row r="69" spans="1:18" ht="12.5" x14ac:dyDescent="0.25">
      <c r="A69" s="21" t="str">
        <f>HYPERLINK("https://gerandofalcoes.my.salesforce.com/0014P00003SGWQ1QAP", "0014P00003SGWQ1QAP")</f>
        <v>0014P00003SGWQ1QAP</v>
      </c>
      <c r="B69" s="3" t="s">
        <v>1451</v>
      </c>
      <c r="C69" s="3" t="s">
        <v>2538</v>
      </c>
      <c r="D69" s="3" t="s">
        <v>46</v>
      </c>
      <c r="E69" s="3">
        <v>30</v>
      </c>
      <c r="F69" s="3">
        <v>6</v>
      </c>
      <c r="G69" s="3">
        <v>2</v>
      </c>
      <c r="H69" s="3">
        <v>270000</v>
      </c>
      <c r="I69" s="3">
        <v>145</v>
      </c>
      <c r="J69" s="3" t="s">
        <v>17403</v>
      </c>
      <c r="K69" s="3">
        <v>56</v>
      </c>
      <c r="L69" s="3">
        <v>15</v>
      </c>
      <c r="M69" s="3">
        <v>10</v>
      </c>
      <c r="N69" s="3">
        <v>6</v>
      </c>
      <c r="O69" s="3">
        <v>15</v>
      </c>
      <c r="P69" s="3">
        <v>10</v>
      </c>
      <c r="Q69" s="3" t="s">
        <v>1455</v>
      </c>
      <c r="R69" s="6">
        <v>44623</v>
      </c>
    </row>
    <row r="70" spans="1:18" ht="12.5" x14ac:dyDescent="0.25">
      <c r="A70" s="21" t="str">
        <f>HYPERLINK("https://gerandofalcoes.my.salesforce.com/0014P00003SGWQ2QAP", "0014P00003SGWQ2QAP")</f>
        <v>0014P00003SGWQ2QAP</v>
      </c>
      <c r="B70" s="3" t="s">
        <v>1376</v>
      </c>
      <c r="C70" s="3" t="s">
        <v>2538</v>
      </c>
      <c r="D70" s="3" t="s">
        <v>46</v>
      </c>
      <c r="E70" s="3">
        <v>0</v>
      </c>
      <c r="F70" s="3">
        <v>0</v>
      </c>
      <c r="G70" s="3">
        <v>3</v>
      </c>
      <c r="H70" s="3">
        <v>500</v>
      </c>
      <c r="I70" s="3">
        <v>45</v>
      </c>
      <c r="J70" s="3" t="s">
        <v>17403</v>
      </c>
      <c r="K70" s="3">
        <v>18</v>
      </c>
      <c r="L70" s="3">
        <v>0</v>
      </c>
      <c r="M70" s="3">
        <v>0</v>
      </c>
      <c r="N70" s="3">
        <v>8</v>
      </c>
      <c r="O70" s="3">
        <v>5</v>
      </c>
      <c r="P70" s="3">
        <v>5</v>
      </c>
      <c r="Q70" s="3" t="s">
        <v>1379</v>
      </c>
      <c r="R70" s="6">
        <v>44623</v>
      </c>
    </row>
    <row r="71" spans="1:18" ht="12.5" x14ac:dyDescent="0.25">
      <c r="A71" s="21" t="str">
        <f>HYPERLINK("https://gerandofalcoes.my.salesforce.com/0014P00003SGWQ3QAP", "0014P00003SGWQ3QAP")</f>
        <v>0014P00003SGWQ3QAP</v>
      </c>
      <c r="B71" s="3" t="s">
        <v>1475</v>
      </c>
      <c r="C71" s="3" t="s">
        <v>2538</v>
      </c>
      <c r="D71" s="3" t="s">
        <v>46</v>
      </c>
      <c r="E71" s="3">
        <v>51</v>
      </c>
      <c r="F71" s="3">
        <v>34</v>
      </c>
      <c r="G71" s="3">
        <v>4</v>
      </c>
      <c r="H71" s="3">
        <v>140000</v>
      </c>
      <c r="I71" s="3">
        <v>0</v>
      </c>
      <c r="J71" s="3" t="s">
        <v>17403</v>
      </c>
      <c r="K71" s="3">
        <v>60</v>
      </c>
      <c r="L71" s="3">
        <v>20</v>
      </c>
      <c r="M71" s="3">
        <v>15</v>
      </c>
      <c r="N71" s="3">
        <v>10</v>
      </c>
      <c r="O71" s="3">
        <v>15</v>
      </c>
      <c r="P71" s="3">
        <v>0</v>
      </c>
      <c r="Q71" s="3" t="s">
        <v>1479</v>
      </c>
      <c r="R71" s="6">
        <v>44623</v>
      </c>
    </row>
    <row r="72" spans="1:18" ht="12.5" x14ac:dyDescent="0.25">
      <c r="A72" s="21" t="str">
        <f>HYPERLINK("https://gerandofalcoes.my.salesforce.com/0014P00003SGWQ4QAP", "0014P00003SGWQ4QAP")</f>
        <v>0014P00003SGWQ4QAP</v>
      </c>
      <c r="B72" s="3" t="s">
        <v>1508</v>
      </c>
      <c r="C72" s="3" t="s">
        <v>2538</v>
      </c>
      <c r="D72" s="3" t="s">
        <v>46</v>
      </c>
      <c r="E72" s="3">
        <v>33</v>
      </c>
      <c r="F72" s="3">
        <v>0</v>
      </c>
      <c r="G72" s="3">
        <v>4</v>
      </c>
      <c r="H72" s="3">
        <v>16786</v>
      </c>
      <c r="I72" s="3">
        <v>75</v>
      </c>
      <c r="J72" s="3" t="s">
        <v>17403</v>
      </c>
      <c r="K72" s="3">
        <v>35</v>
      </c>
      <c r="L72" s="3">
        <v>15</v>
      </c>
      <c r="M72" s="3">
        <v>0</v>
      </c>
      <c r="N72" s="3">
        <v>10</v>
      </c>
      <c r="O72" s="3">
        <v>5</v>
      </c>
      <c r="P72" s="3">
        <v>5</v>
      </c>
      <c r="Q72" s="3" t="s">
        <v>1512</v>
      </c>
      <c r="R72" s="6">
        <v>44623</v>
      </c>
    </row>
    <row r="73" spans="1:18" ht="12.5" x14ac:dyDescent="0.25">
      <c r="A73" s="21" t="str">
        <f>HYPERLINK("https://gerandofalcoes.my.salesforce.com/0014P00003SGWQ6QAP", "0014P00003SGWQ6QAP")</f>
        <v>0014P00003SGWQ6QAP</v>
      </c>
      <c r="B73" s="3" t="s">
        <v>1531</v>
      </c>
      <c r="C73" s="3" t="s">
        <v>2538</v>
      </c>
      <c r="D73" s="3" t="s">
        <v>46</v>
      </c>
      <c r="E73" s="3">
        <v>0</v>
      </c>
      <c r="F73" s="3">
        <v>20</v>
      </c>
      <c r="G73" s="3">
        <v>5</v>
      </c>
      <c r="H73" s="3">
        <v>60000</v>
      </c>
      <c r="I73" s="3">
        <v>0</v>
      </c>
      <c r="J73" s="3" t="s">
        <v>17403</v>
      </c>
      <c r="K73" s="3">
        <v>32</v>
      </c>
      <c r="L73" s="3">
        <v>0</v>
      </c>
      <c r="M73" s="3">
        <v>12</v>
      </c>
      <c r="N73" s="3">
        <v>10</v>
      </c>
      <c r="O73" s="3">
        <v>10</v>
      </c>
      <c r="P73" s="3">
        <v>0</v>
      </c>
      <c r="Q73" s="3" t="s">
        <v>1535</v>
      </c>
      <c r="R73" s="6">
        <v>44623</v>
      </c>
    </row>
    <row r="74" spans="1:18" ht="12.5" x14ac:dyDescent="0.25">
      <c r="A74" s="21" t="str">
        <f>HYPERLINK("https://gerandofalcoes.my.salesforce.com/0014P00003SGWQ7QAP", "0014P00003SGWQ7QAP")</f>
        <v>0014P00003SGWQ7QAP</v>
      </c>
      <c r="B74" s="3" t="s">
        <v>1555</v>
      </c>
      <c r="C74" s="3" t="s">
        <v>2538</v>
      </c>
      <c r="D74" s="3" t="s">
        <v>152</v>
      </c>
      <c r="E74" s="3">
        <v>39</v>
      </c>
      <c r="F74" s="3">
        <v>6</v>
      </c>
      <c r="G74" s="3">
        <v>2</v>
      </c>
      <c r="H74" s="3">
        <v>9291.52</v>
      </c>
      <c r="I74" s="3">
        <v>65</v>
      </c>
      <c r="J74" s="3" t="s">
        <v>17403</v>
      </c>
      <c r="K74" s="3">
        <v>41</v>
      </c>
      <c r="L74" s="3">
        <v>15</v>
      </c>
      <c r="M74" s="3">
        <v>10</v>
      </c>
      <c r="N74" s="3">
        <v>6</v>
      </c>
      <c r="O74" s="3">
        <v>5</v>
      </c>
      <c r="P74" s="3">
        <v>5</v>
      </c>
      <c r="Q74" s="3" t="s">
        <v>1558</v>
      </c>
      <c r="R74" s="6">
        <v>44623</v>
      </c>
    </row>
    <row r="75" spans="1:18" ht="12.5" x14ac:dyDescent="0.25">
      <c r="A75" s="21" t="str">
        <f>HYPERLINK("https://gerandofalcoes.my.salesforce.com/0014P00003SGWQ8QAP", "0014P00003SGWQ8QAP")</f>
        <v>0014P00003SGWQ8QAP</v>
      </c>
      <c r="B75" s="3" t="s">
        <v>1497</v>
      </c>
      <c r="C75" s="3" t="s">
        <v>2538</v>
      </c>
      <c r="D75" s="3" t="s">
        <v>46</v>
      </c>
      <c r="E75" s="3">
        <v>14</v>
      </c>
      <c r="F75" s="3">
        <v>0</v>
      </c>
      <c r="G75" s="3">
        <v>2</v>
      </c>
      <c r="H75" s="3">
        <v>138400</v>
      </c>
      <c r="I75" s="3">
        <v>10</v>
      </c>
      <c r="J75" s="3" t="s">
        <v>17403</v>
      </c>
      <c r="K75" s="3">
        <v>36</v>
      </c>
      <c r="L75" s="3">
        <v>10</v>
      </c>
      <c r="M75" s="3">
        <v>0</v>
      </c>
      <c r="N75" s="3">
        <v>6</v>
      </c>
      <c r="O75" s="3">
        <v>15</v>
      </c>
      <c r="P75" s="3">
        <v>5</v>
      </c>
      <c r="Q75" s="3" t="s">
        <v>1499</v>
      </c>
      <c r="R75" s="6">
        <v>44623</v>
      </c>
    </row>
    <row r="76" spans="1:18" ht="12.5" x14ac:dyDescent="0.25">
      <c r="A76" s="21" t="str">
        <f>HYPERLINK("https://gerandofalcoes.my.salesforce.com/0014P00003SGWQ9QAP", "0014P00003SGWQ9QAP")</f>
        <v>0014P00003SGWQ9QAP</v>
      </c>
      <c r="B76" s="3" t="s">
        <v>1572</v>
      </c>
      <c r="C76" s="3" t="s">
        <v>2538</v>
      </c>
      <c r="D76" s="3" t="s">
        <v>46</v>
      </c>
      <c r="E76" s="3">
        <v>51</v>
      </c>
      <c r="F76" s="3">
        <v>5</v>
      </c>
      <c r="G76" s="3">
        <v>3</v>
      </c>
      <c r="H76" s="3">
        <v>15035192</v>
      </c>
      <c r="I76" s="3">
        <v>160</v>
      </c>
      <c r="J76" s="3" t="s">
        <v>17406</v>
      </c>
      <c r="K76" s="3">
        <v>70</v>
      </c>
      <c r="L76" s="3">
        <v>20</v>
      </c>
      <c r="M76" s="3">
        <v>5</v>
      </c>
      <c r="N76" s="3">
        <v>8</v>
      </c>
      <c r="O76" s="3">
        <v>25</v>
      </c>
      <c r="P76" s="3">
        <v>12</v>
      </c>
      <c r="Q76" s="3" t="s">
        <v>1576</v>
      </c>
      <c r="R76" s="6">
        <v>44623</v>
      </c>
    </row>
    <row r="77" spans="1:18" ht="12.5" x14ac:dyDescent="0.25">
      <c r="A77" s="21" t="str">
        <f>HYPERLINK("https://gerandofalcoes.my.salesforce.com/0014P00003SGWQAQA5", "0014P00003SGWQAQA5")</f>
        <v>0014P00003SGWQAQA5</v>
      </c>
      <c r="B77" s="3" t="s">
        <v>17517</v>
      </c>
      <c r="C77" s="3" t="s">
        <v>2538</v>
      </c>
      <c r="D77" s="3" t="s">
        <v>46</v>
      </c>
      <c r="E77" s="3">
        <v>4</v>
      </c>
      <c r="F77" s="3">
        <v>0</v>
      </c>
      <c r="G77" s="3">
        <v>1</v>
      </c>
      <c r="H77" s="3">
        <v>16000</v>
      </c>
      <c r="I77" s="3">
        <v>200</v>
      </c>
      <c r="J77" s="3" t="s">
        <v>17403</v>
      </c>
      <c r="K77" s="3">
        <v>31</v>
      </c>
      <c r="L77" s="3">
        <v>10</v>
      </c>
      <c r="M77" s="3">
        <v>0</v>
      </c>
      <c r="N77" s="3">
        <v>4</v>
      </c>
      <c r="O77" s="3">
        <v>5</v>
      </c>
      <c r="P77" s="3">
        <v>12</v>
      </c>
      <c r="Q77" s="3" t="s">
        <v>1604</v>
      </c>
      <c r="R77" s="6">
        <v>44623</v>
      </c>
    </row>
    <row r="78" spans="1:18" ht="12.5" x14ac:dyDescent="0.25">
      <c r="A78" s="21" t="str">
        <f>HYPERLINK("https://gerandofalcoes.my.salesforce.com/0014P00003SGWQBQA5", "0014P00003SGWQBQA5")</f>
        <v>0014P00003SGWQBQA5</v>
      </c>
      <c r="B78" s="3" t="s">
        <v>1623</v>
      </c>
      <c r="C78" s="3" t="s">
        <v>2538</v>
      </c>
      <c r="D78" s="3" t="s">
        <v>46</v>
      </c>
      <c r="E78" s="3">
        <v>50</v>
      </c>
      <c r="F78" s="3">
        <v>12</v>
      </c>
      <c r="G78" s="3">
        <v>0</v>
      </c>
      <c r="H78" s="3">
        <v>0</v>
      </c>
      <c r="I78" s="3">
        <v>12</v>
      </c>
      <c r="J78" s="3" t="s">
        <v>17403</v>
      </c>
      <c r="K78" s="3">
        <v>37</v>
      </c>
      <c r="L78" s="3">
        <v>20</v>
      </c>
      <c r="M78" s="3">
        <v>12</v>
      </c>
      <c r="N78" s="3">
        <v>0</v>
      </c>
      <c r="O78" s="3">
        <v>0</v>
      </c>
      <c r="P78" s="3">
        <v>5</v>
      </c>
      <c r="Q78" s="3" t="s">
        <v>1627</v>
      </c>
      <c r="R78" s="6">
        <v>44623</v>
      </c>
    </row>
    <row r="79" spans="1:18" ht="12.5" x14ac:dyDescent="0.25">
      <c r="A79" s="21" t="str">
        <f>HYPERLINK("https://gerandofalcoes.my.salesforce.com/0014P00003SGWQCQA5", "0014P00003SGWQCQA5")</f>
        <v>0014P00003SGWQCQA5</v>
      </c>
      <c r="B79" s="3" t="s">
        <v>1647</v>
      </c>
      <c r="C79" s="3" t="s">
        <v>2538</v>
      </c>
      <c r="D79" s="3" t="s">
        <v>46</v>
      </c>
      <c r="E79" s="3">
        <v>47</v>
      </c>
      <c r="F79" s="3">
        <v>5</v>
      </c>
      <c r="G79" s="3">
        <v>3</v>
      </c>
      <c r="H79" s="3">
        <v>181000</v>
      </c>
      <c r="I79" s="3">
        <v>72</v>
      </c>
      <c r="J79" s="3" t="s">
        <v>17403</v>
      </c>
      <c r="K79" s="3">
        <v>48</v>
      </c>
      <c r="L79" s="3">
        <v>15</v>
      </c>
      <c r="M79" s="3">
        <v>5</v>
      </c>
      <c r="N79" s="3">
        <v>8</v>
      </c>
      <c r="O79" s="3">
        <v>15</v>
      </c>
      <c r="P79" s="3">
        <v>5</v>
      </c>
      <c r="Q79" s="3" t="s">
        <v>1651</v>
      </c>
      <c r="R79" s="6">
        <v>44623</v>
      </c>
    </row>
    <row r="80" spans="1:18" ht="12.5" x14ac:dyDescent="0.25">
      <c r="A80" s="21" t="str">
        <f>HYPERLINK("https://gerandofalcoes.my.salesforce.com/0014P00003SGWQDQA5", "0014P00003SGWQDQA5")</f>
        <v>0014P00003SGWQDQA5</v>
      </c>
      <c r="B80" s="3" t="s">
        <v>17518</v>
      </c>
      <c r="C80" s="3" t="s">
        <v>2538</v>
      </c>
      <c r="D80" s="3" t="s">
        <v>152</v>
      </c>
      <c r="E80" s="3">
        <v>91</v>
      </c>
      <c r="F80" s="3">
        <v>10</v>
      </c>
      <c r="G80" s="3">
        <v>3</v>
      </c>
      <c r="H80" s="3">
        <v>707090.8</v>
      </c>
      <c r="I80" s="3">
        <v>178</v>
      </c>
      <c r="J80" s="3" t="s">
        <v>17405</v>
      </c>
      <c r="K80" s="3">
        <v>80</v>
      </c>
      <c r="L80" s="3">
        <v>30</v>
      </c>
      <c r="M80" s="3">
        <v>10</v>
      </c>
      <c r="N80" s="3">
        <v>8</v>
      </c>
      <c r="O80" s="3">
        <v>20</v>
      </c>
      <c r="P80" s="3">
        <v>12</v>
      </c>
      <c r="Q80" s="3" t="s">
        <v>1674</v>
      </c>
      <c r="R80" s="6">
        <v>44623</v>
      </c>
    </row>
    <row r="81" spans="1:18" ht="12.5" x14ac:dyDescent="0.25">
      <c r="A81" s="21" t="str">
        <f>HYPERLINK("https://gerandofalcoes.my.salesforce.com/0014P00003SGWQFQA5", "0014P00003SGWQFQA5")</f>
        <v>0014P00003SGWQFQA5</v>
      </c>
      <c r="B81" s="3" t="s">
        <v>12178</v>
      </c>
      <c r="C81" s="3" t="s">
        <v>2538</v>
      </c>
      <c r="D81" s="3" t="s">
        <v>46</v>
      </c>
      <c r="E81" s="3">
        <v>10</v>
      </c>
      <c r="F81" s="3">
        <v>2</v>
      </c>
      <c r="G81" s="3">
        <v>2</v>
      </c>
      <c r="H81" s="3">
        <v>0</v>
      </c>
      <c r="I81" s="3">
        <v>100</v>
      </c>
      <c r="J81" s="3" t="s">
        <v>17403</v>
      </c>
      <c r="K81" s="3">
        <v>31</v>
      </c>
      <c r="L81" s="3">
        <v>10</v>
      </c>
      <c r="M81" s="3">
        <v>5</v>
      </c>
      <c r="N81" s="3">
        <v>6</v>
      </c>
      <c r="O81" s="3">
        <v>0</v>
      </c>
      <c r="P81" s="3">
        <v>10</v>
      </c>
      <c r="Q81" s="3" t="s">
        <v>1701</v>
      </c>
      <c r="R81" s="6">
        <v>44623</v>
      </c>
    </row>
    <row r="82" spans="1:18" ht="12.5" x14ac:dyDescent="0.25">
      <c r="A82" s="21" t="str">
        <f>HYPERLINK("https://gerandofalcoes.my.salesforce.com/0014P00003SGWQGQA5", "0014P00003SGWQGQA5")</f>
        <v>0014P00003SGWQGQA5</v>
      </c>
      <c r="B82" s="3" t="s">
        <v>1716</v>
      </c>
      <c r="C82" s="3" t="s">
        <v>2538</v>
      </c>
      <c r="D82" s="3" t="s">
        <v>46</v>
      </c>
      <c r="E82" s="3">
        <v>11</v>
      </c>
      <c r="F82" s="3">
        <v>7</v>
      </c>
      <c r="G82" s="3">
        <v>2</v>
      </c>
      <c r="H82" s="3">
        <v>500</v>
      </c>
      <c r="I82" s="3">
        <v>420</v>
      </c>
      <c r="J82" s="3" t="s">
        <v>17403</v>
      </c>
      <c r="K82" s="3">
        <v>46</v>
      </c>
      <c r="L82" s="3">
        <v>10</v>
      </c>
      <c r="M82" s="3">
        <v>10</v>
      </c>
      <c r="N82" s="3">
        <v>6</v>
      </c>
      <c r="O82" s="3">
        <v>5</v>
      </c>
      <c r="P82" s="3">
        <v>15</v>
      </c>
      <c r="Q82" s="3" t="s">
        <v>1720</v>
      </c>
      <c r="R82" s="6">
        <v>44623</v>
      </c>
    </row>
    <row r="83" spans="1:18" ht="12.5" x14ac:dyDescent="0.25">
      <c r="A83" s="21" t="str">
        <f>HYPERLINK("https://gerandofalcoes.my.salesforce.com/0014P00003SGWQHQA5", "0014P00003SGWQHQA5")</f>
        <v>0014P00003SGWQHQA5</v>
      </c>
      <c r="B83" s="3" t="s">
        <v>1738</v>
      </c>
      <c r="C83" s="3" t="s">
        <v>2538</v>
      </c>
      <c r="D83" s="3" t="s">
        <v>46</v>
      </c>
      <c r="E83" s="3">
        <v>5</v>
      </c>
      <c r="F83" s="3">
        <v>0</v>
      </c>
      <c r="G83" s="3">
        <v>0</v>
      </c>
      <c r="H83" s="3">
        <v>800000</v>
      </c>
      <c r="I83" s="3">
        <v>144</v>
      </c>
      <c r="J83" s="3" t="s">
        <v>17403</v>
      </c>
      <c r="K83" s="3">
        <v>45</v>
      </c>
      <c r="L83" s="3">
        <v>10</v>
      </c>
      <c r="M83" s="3">
        <v>0</v>
      </c>
      <c r="N83" s="3">
        <v>0</v>
      </c>
      <c r="O83" s="3">
        <v>25</v>
      </c>
      <c r="P83" s="3">
        <v>10</v>
      </c>
      <c r="Q83" s="3" t="s">
        <v>1741</v>
      </c>
      <c r="R83" s="6">
        <v>44623</v>
      </c>
    </row>
    <row r="84" spans="1:18" ht="12.5" x14ac:dyDescent="0.25">
      <c r="A84" s="21" t="str">
        <f>HYPERLINK("https://gerandofalcoes.my.salesforce.com/0014P00003SGWQJQA5", "0014P00003SGWQJQA5")</f>
        <v>0014P00003SGWQJQA5</v>
      </c>
      <c r="B84" s="3" t="s">
        <v>17519</v>
      </c>
      <c r="C84" s="3" t="s">
        <v>2538</v>
      </c>
      <c r="D84" s="3" t="s">
        <v>46</v>
      </c>
      <c r="E84" s="3">
        <v>22</v>
      </c>
      <c r="F84" s="3">
        <v>2</v>
      </c>
      <c r="G84" s="3">
        <v>2</v>
      </c>
      <c r="H84" s="3">
        <v>11000</v>
      </c>
      <c r="I84" s="3">
        <v>44</v>
      </c>
      <c r="J84" s="3" t="s">
        <v>17403</v>
      </c>
      <c r="K84" s="3">
        <v>31</v>
      </c>
      <c r="L84" s="3">
        <v>10</v>
      </c>
      <c r="M84" s="3">
        <v>5</v>
      </c>
      <c r="N84" s="3">
        <v>6</v>
      </c>
      <c r="O84" s="3">
        <v>5</v>
      </c>
      <c r="P84" s="3">
        <v>5</v>
      </c>
      <c r="Q84" s="3" t="s">
        <v>1759</v>
      </c>
      <c r="R84" s="6">
        <v>44623</v>
      </c>
    </row>
    <row r="85" spans="1:18" ht="12.5" x14ac:dyDescent="0.25">
      <c r="A85" s="21" t="str">
        <f>HYPERLINK("https://gerandofalcoes.my.salesforce.com/0014P00003YSm8CQAT", "0014P00003YSm8CQAT")</f>
        <v>0014P00003YSm8CQAT</v>
      </c>
      <c r="B85" s="3" t="s">
        <v>1777</v>
      </c>
      <c r="C85" s="3" t="s">
        <v>2538</v>
      </c>
      <c r="D85" s="3" t="s">
        <v>46</v>
      </c>
      <c r="E85" s="3">
        <v>33</v>
      </c>
      <c r="F85" s="3">
        <v>8</v>
      </c>
      <c r="G85" s="3">
        <v>2</v>
      </c>
      <c r="H85" s="3">
        <v>15000</v>
      </c>
      <c r="I85" s="3">
        <v>67</v>
      </c>
      <c r="J85" s="3" t="s">
        <v>17403</v>
      </c>
      <c r="K85" s="3">
        <v>41</v>
      </c>
      <c r="L85" s="3">
        <v>15</v>
      </c>
      <c r="M85" s="3">
        <v>10</v>
      </c>
      <c r="N85" s="3">
        <v>6</v>
      </c>
      <c r="O85" s="3">
        <v>5</v>
      </c>
      <c r="P85" s="3">
        <v>5</v>
      </c>
      <c r="Q85" s="3" t="s">
        <v>1781</v>
      </c>
      <c r="R85" s="6">
        <v>44623</v>
      </c>
    </row>
    <row r="86" spans="1:18" ht="12.5" x14ac:dyDescent="0.25">
      <c r="A86" s="21" t="str">
        <f>HYPERLINK("https://gerandofalcoes.my.salesforce.com/0014P00003SGWPbQAP", "0014P00003SGWPbQAP")</f>
        <v>0014P00003SGWPbQAP</v>
      </c>
      <c r="B86" s="3" t="s">
        <v>1800</v>
      </c>
      <c r="C86" s="3" t="s">
        <v>2538</v>
      </c>
      <c r="D86" s="3" t="s">
        <v>46</v>
      </c>
      <c r="E86" s="3">
        <v>25</v>
      </c>
      <c r="F86" s="3">
        <v>21</v>
      </c>
      <c r="G86" s="3">
        <v>5</v>
      </c>
      <c r="H86" s="3">
        <v>374211</v>
      </c>
      <c r="I86" s="3">
        <v>76</v>
      </c>
      <c r="J86" s="3" t="s">
        <v>17403</v>
      </c>
      <c r="K86" s="3">
        <v>62</v>
      </c>
      <c r="L86" s="3">
        <v>15</v>
      </c>
      <c r="M86" s="3">
        <v>12</v>
      </c>
      <c r="N86" s="3">
        <v>10</v>
      </c>
      <c r="O86" s="3">
        <v>20</v>
      </c>
      <c r="P86" s="3">
        <v>5</v>
      </c>
      <c r="Q86" s="3" t="s">
        <v>1804</v>
      </c>
      <c r="R86" s="6">
        <v>44623</v>
      </c>
    </row>
    <row r="87" spans="1:18" ht="12.5" x14ac:dyDescent="0.25">
      <c r="A87" s="21" t="str">
        <f>HYPERLINK("https://gerandofalcoes.my.salesforce.com/0014P00003SGWPcQAP", "0014P00003SGWPcQAP")</f>
        <v>0014P00003SGWPcQAP</v>
      </c>
      <c r="B87" s="3" t="s">
        <v>12246</v>
      </c>
      <c r="C87" s="3" t="s">
        <v>2538</v>
      </c>
      <c r="D87" s="3" t="s">
        <v>46</v>
      </c>
      <c r="E87" s="3">
        <v>25</v>
      </c>
      <c r="F87" s="3">
        <v>0</v>
      </c>
      <c r="G87" s="3">
        <v>0</v>
      </c>
      <c r="H87" s="3">
        <v>1</v>
      </c>
      <c r="I87" s="3">
        <v>63</v>
      </c>
      <c r="J87" s="3" t="s">
        <v>17403</v>
      </c>
      <c r="K87" s="3">
        <v>25</v>
      </c>
      <c r="L87" s="3">
        <v>15</v>
      </c>
      <c r="M87" s="3">
        <v>0</v>
      </c>
      <c r="N87" s="3">
        <v>0</v>
      </c>
      <c r="O87" s="3">
        <v>5</v>
      </c>
      <c r="P87" s="3">
        <v>5</v>
      </c>
      <c r="Q87" s="3" t="s">
        <v>1827</v>
      </c>
      <c r="R87" s="6">
        <v>44623</v>
      </c>
    </row>
    <row r="88" spans="1:18" ht="12.5" x14ac:dyDescent="0.25">
      <c r="A88" s="21" t="str">
        <f>HYPERLINK("https://gerandofalcoes.my.salesforce.com/0014P00003SGWPdQAP", "0014P00003SGWPdQAP")</f>
        <v>0014P00003SGWPdQAP</v>
      </c>
      <c r="B88" s="3" t="s">
        <v>17520</v>
      </c>
      <c r="C88" s="3" t="s">
        <v>2538</v>
      </c>
      <c r="D88" s="3" t="s">
        <v>46</v>
      </c>
      <c r="E88" s="3">
        <v>25</v>
      </c>
      <c r="F88" s="3">
        <v>1</v>
      </c>
      <c r="G88" s="3">
        <v>2</v>
      </c>
      <c r="H88" s="3">
        <v>200000</v>
      </c>
      <c r="I88" s="3">
        <v>500</v>
      </c>
      <c r="J88" s="3" t="s">
        <v>17403</v>
      </c>
      <c r="K88" s="3">
        <v>61</v>
      </c>
      <c r="L88" s="3">
        <v>15</v>
      </c>
      <c r="M88" s="3">
        <v>5</v>
      </c>
      <c r="N88" s="3">
        <v>6</v>
      </c>
      <c r="O88" s="3">
        <v>15</v>
      </c>
      <c r="P88" s="3">
        <v>20</v>
      </c>
      <c r="Q88" s="3" t="s">
        <v>1844</v>
      </c>
      <c r="R88" s="6">
        <v>44623</v>
      </c>
    </row>
    <row r="89" spans="1:18" ht="12.5" x14ac:dyDescent="0.25">
      <c r="A89" s="21" t="str">
        <f>HYPERLINK("https://gerandofalcoes.my.salesforce.com/0014P00003SGWPeQAP", "0014P00003SGWPeQAP")</f>
        <v>0014P00003SGWPeQAP</v>
      </c>
      <c r="B89" s="3" t="s">
        <v>17521</v>
      </c>
      <c r="C89" s="3" t="s">
        <v>2538</v>
      </c>
      <c r="D89" s="3" t="s">
        <v>46</v>
      </c>
      <c r="E89" s="3">
        <v>15</v>
      </c>
      <c r="F89" s="3">
        <v>0</v>
      </c>
      <c r="G89" s="3">
        <v>1</v>
      </c>
      <c r="H89" s="3">
        <v>12000</v>
      </c>
      <c r="I89" s="3">
        <v>120</v>
      </c>
      <c r="J89" s="3" t="s">
        <v>17403</v>
      </c>
      <c r="K89" s="3">
        <v>29</v>
      </c>
      <c r="L89" s="3">
        <v>10</v>
      </c>
      <c r="M89" s="3">
        <v>0</v>
      </c>
      <c r="N89" s="3">
        <v>4</v>
      </c>
      <c r="O89" s="3">
        <v>5</v>
      </c>
      <c r="P89" s="3">
        <v>10</v>
      </c>
      <c r="Q89" s="3" t="s">
        <v>1897</v>
      </c>
      <c r="R89" s="6">
        <v>44623</v>
      </c>
    </row>
    <row r="90" spans="1:18" ht="12.5" x14ac:dyDescent="0.25">
      <c r="A90" s="21" t="str">
        <f>HYPERLINK("https://gerandofalcoes.my.salesforce.com/0014P00003SGWPfQAP", "0014P00003SGWPfQAP")</f>
        <v>0014P00003SGWPfQAP</v>
      </c>
      <c r="B90" s="3" t="s">
        <v>1910</v>
      </c>
      <c r="C90" s="3" t="s">
        <v>2538</v>
      </c>
      <c r="D90" s="3" t="s">
        <v>46</v>
      </c>
      <c r="E90" s="3">
        <v>46</v>
      </c>
      <c r="F90" s="3">
        <v>0</v>
      </c>
      <c r="G90" s="3">
        <v>3</v>
      </c>
      <c r="H90" s="3">
        <v>6605</v>
      </c>
      <c r="I90" s="3">
        <v>100</v>
      </c>
      <c r="J90" s="3" t="s">
        <v>17403</v>
      </c>
      <c r="K90" s="3">
        <v>38</v>
      </c>
      <c r="L90" s="3">
        <v>15</v>
      </c>
      <c r="M90" s="3">
        <v>0</v>
      </c>
      <c r="N90" s="3">
        <v>8</v>
      </c>
      <c r="O90" s="3">
        <v>5</v>
      </c>
      <c r="P90" s="3">
        <v>10</v>
      </c>
      <c r="Q90" s="3" t="s">
        <v>1914</v>
      </c>
      <c r="R90" s="6">
        <v>44623</v>
      </c>
    </row>
    <row r="91" spans="1:18" ht="12.5" x14ac:dyDescent="0.25">
      <c r="A91" s="21" t="str">
        <f>HYPERLINK("https://gerandofalcoes.my.salesforce.com/0014P00003SGWPgQAP", "0014P00003SGWPgQAP")</f>
        <v>0014P00003SGWPgQAP</v>
      </c>
      <c r="B91" s="3" t="s">
        <v>1935</v>
      </c>
      <c r="C91" s="3" t="s">
        <v>2538</v>
      </c>
      <c r="D91" s="3" t="s">
        <v>46</v>
      </c>
      <c r="E91" s="3">
        <v>20</v>
      </c>
      <c r="F91" s="3">
        <v>4</v>
      </c>
      <c r="G91" s="3">
        <v>0</v>
      </c>
      <c r="H91" s="3">
        <v>11000</v>
      </c>
      <c r="I91" s="3">
        <v>20</v>
      </c>
      <c r="J91" s="3" t="s">
        <v>17403</v>
      </c>
      <c r="K91" s="3">
        <v>25</v>
      </c>
      <c r="L91" s="3">
        <v>10</v>
      </c>
      <c r="M91" s="3">
        <v>5</v>
      </c>
      <c r="N91" s="3">
        <v>0</v>
      </c>
      <c r="O91" s="3">
        <v>5</v>
      </c>
      <c r="P91" s="3">
        <v>5</v>
      </c>
      <c r="Q91" s="3" t="s">
        <v>1939</v>
      </c>
      <c r="R91" s="6">
        <v>44623</v>
      </c>
    </row>
    <row r="92" spans="1:18" ht="12.5" x14ac:dyDescent="0.25">
      <c r="A92" s="21" t="str">
        <f>HYPERLINK("https://gerandofalcoes.my.salesforce.com/0014P00003SGWPhQAP", "0014P00003SGWPhQAP")</f>
        <v>0014P00003SGWPhQAP</v>
      </c>
      <c r="B92" s="3" t="s">
        <v>17522</v>
      </c>
      <c r="C92" s="3" t="s">
        <v>2538</v>
      </c>
      <c r="D92" s="3" t="s">
        <v>152</v>
      </c>
      <c r="E92" s="3">
        <v>29</v>
      </c>
      <c r="F92" s="3">
        <v>14</v>
      </c>
      <c r="G92" s="3">
        <v>3</v>
      </c>
      <c r="H92" s="3">
        <v>173994</v>
      </c>
      <c r="I92" s="3">
        <v>310</v>
      </c>
      <c r="J92" s="3" t="s">
        <v>17406</v>
      </c>
      <c r="K92" s="3">
        <v>65</v>
      </c>
      <c r="L92" s="3">
        <v>15</v>
      </c>
      <c r="M92" s="3">
        <v>12</v>
      </c>
      <c r="N92" s="3">
        <v>8</v>
      </c>
      <c r="O92" s="3">
        <v>15</v>
      </c>
      <c r="P92" s="3">
        <v>15</v>
      </c>
      <c r="Q92" s="3" t="s">
        <v>1869</v>
      </c>
      <c r="R92" s="6">
        <v>44623</v>
      </c>
    </row>
    <row r="93" spans="1:18" ht="12.5" x14ac:dyDescent="0.25">
      <c r="A93" s="21" t="str">
        <f>HYPERLINK("https://gerandofalcoes.my.salesforce.com/0014P00003SGWPiQAP", "0014P00003SGWPiQAP")</f>
        <v>0014P00003SGWPiQAP</v>
      </c>
      <c r="B93" s="3" t="s">
        <v>1951</v>
      </c>
      <c r="C93" s="3" t="s">
        <v>2538</v>
      </c>
      <c r="D93" s="3" t="s">
        <v>152</v>
      </c>
      <c r="E93" s="3">
        <v>96</v>
      </c>
      <c r="F93" s="3">
        <v>8</v>
      </c>
      <c r="G93" s="3">
        <v>4</v>
      </c>
      <c r="H93" s="3">
        <v>587278.81999999995</v>
      </c>
      <c r="I93" s="3">
        <v>115</v>
      </c>
      <c r="J93" s="3" t="s">
        <v>17405</v>
      </c>
      <c r="K93" s="3">
        <v>80</v>
      </c>
      <c r="L93" s="3">
        <v>30</v>
      </c>
      <c r="M93" s="3">
        <v>10</v>
      </c>
      <c r="N93" s="3">
        <v>10</v>
      </c>
      <c r="O93" s="3">
        <v>20</v>
      </c>
      <c r="P93" s="3">
        <v>10</v>
      </c>
      <c r="Q93" s="3" t="s">
        <v>1955</v>
      </c>
      <c r="R93" s="6">
        <v>44623</v>
      </c>
    </row>
    <row r="94" spans="1:18" ht="12.5" x14ac:dyDescent="0.25">
      <c r="A94" s="21" t="str">
        <f>HYPERLINK("https://gerandofalcoes.my.salesforce.com/0014P00003SGWPjQAP", "0014P00003SGWPjQAP")</f>
        <v>0014P00003SGWPjQAP</v>
      </c>
      <c r="B94" s="3" t="s">
        <v>17523</v>
      </c>
      <c r="C94" s="3" t="s">
        <v>2538</v>
      </c>
      <c r="D94" s="3" t="s">
        <v>46</v>
      </c>
      <c r="E94" s="3">
        <v>0</v>
      </c>
      <c r="F94" s="3">
        <v>0</v>
      </c>
      <c r="G94" s="3">
        <v>0</v>
      </c>
      <c r="H94" s="3">
        <v>0</v>
      </c>
      <c r="I94" s="3">
        <v>180</v>
      </c>
      <c r="J94" s="3" t="s">
        <v>17403</v>
      </c>
      <c r="K94" s="3">
        <v>12</v>
      </c>
      <c r="L94" s="3">
        <v>0</v>
      </c>
      <c r="M94" s="3">
        <v>0</v>
      </c>
      <c r="N94" s="3">
        <v>0</v>
      </c>
      <c r="O94" s="3">
        <v>0</v>
      </c>
      <c r="P94" s="3">
        <v>12</v>
      </c>
      <c r="Q94" s="3" t="s">
        <v>1981</v>
      </c>
      <c r="R94" s="6">
        <v>44623</v>
      </c>
    </row>
    <row r="95" spans="1:18" ht="12.5" x14ac:dyDescent="0.25">
      <c r="A95" s="21" t="str">
        <f>HYPERLINK("https://gerandofalcoes.my.salesforce.com/0014P00003SGWPkQAP", "0014P00003SGWPkQAP")</f>
        <v>0014P00003SGWPkQAP</v>
      </c>
      <c r="B95" s="3" t="s">
        <v>1996</v>
      </c>
      <c r="C95" s="3" t="s">
        <v>2538</v>
      </c>
      <c r="D95" s="3" t="s">
        <v>46</v>
      </c>
      <c r="E95" s="3">
        <v>49</v>
      </c>
      <c r="F95" s="3">
        <v>7</v>
      </c>
      <c r="G95" s="3">
        <v>5</v>
      </c>
      <c r="H95" s="3">
        <v>42828210</v>
      </c>
      <c r="I95" s="3">
        <v>150</v>
      </c>
      <c r="J95" s="3" t="s">
        <v>17403</v>
      </c>
      <c r="K95" s="3">
        <v>57</v>
      </c>
      <c r="L95" s="3">
        <v>0</v>
      </c>
      <c r="M95" s="3">
        <v>10</v>
      </c>
      <c r="N95" s="3">
        <v>10</v>
      </c>
      <c r="O95" s="3">
        <v>25</v>
      </c>
      <c r="P95" s="3">
        <v>12</v>
      </c>
      <c r="Q95" s="3" t="s">
        <v>2000</v>
      </c>
      <c r="R95" s="6">
        <v>44623</v>
      </c>
    </row>
    <row r="96" spans="1:18" ht="12.5" x14ac:dyDescent="0.25">
      <c r="A96" s="21" t="str">
        <f>HYPERLINK("https://gerandofalcoes.my.salesforce.com/0014P00003SGWPlQAP", "0014P00003SGWPlQAP")</f>
        <v>0014P00003SGWPlQAP</v>
      </c>
      <c r="B96" s="3" t="s">
        <v>2015</v>
      </c>
      <c r="C96" s="3" t="s">
        <v>2538</v>
      </c>
      <c r="D96" s="3" t="s">
        <v>46</v>
      </c>
      <c r="E96" s="3">
        <v>30</v>
      </c>
      <c r="F96" s="3">
        <v>0</v>
      </c>
      <c r="G96" s="3">
        <v>1</v>
      </c>
      <c r="H96" s="3">
        <v>20000</v>
      </c>
      <c r="I96" s="3">
        <v>180</v>
      </c>
      <c r="J96" s="3" t="s">
        <v>17403</v>
      </c>
      <c r="K96" s="3">
        <v>36</v>
      </c>
      <c r="L96" s="3">
        <v>15</v>
      </c>
      <c r="M96" s="3">
        <v>0</v>
      </c>
      <c r="N96" s="3">
        <v>4</v>
      </c>
      <c r="O96" s="3">
        <v>5</v>
      </c>
      <c r="P96" s="3">
        <v>12</v>
      </c>
      <c r="Q96" s="3" t="s">
        <v>2019</v>
      </c>
      <c r="R96" s="6">
        <v>44623</v>
      </c>
    </row>
    <row r="97" spans="1:18" ht="12.5" x14ac:dyDescent="0.25">
      <c r="A97" s="21" t="str">
        <f>HYPERLINK("https://gerandofalcoes.my.salesforce.com/0014P00003SGWPmQAP", "0014P00003SGWPmQAP")</f>
        <v>0014P00003SGWPmQAP</v>
      </c>
      <c r="B97" s="3" t="s">
        <v>2031</v>
      </c>
      <c r="C97" s="3" t="s">
        <v>2538</v>
      </c>
      <c r="D97" s="3" t="s">
        <v>46</v>
      </c>
      <c r="E97" s="3">
        <v>49</v>
      </c>
      <c r="F97" s="3">
        <v>2</v>
      </c>
      <c r="G97" s="3">
        <v>4</v>
      </c>
      <c r="H97" s="3">
        <v>20000</v>
      </c>
      <c r="I97" s="3">
        <v>37</v>
      </c>
      <c r="J97" s="3" t="s">
        <v>17403</v>
      </c>
      <c r="K97" s="3">
        <v>25</v>
      </c>
      <c r="L97" s="3">
        <v>0</v>
      </c>
      <c r="M97" s="3">
        <v>5</v>
      </c>
      <c r="N97" s="3">
        <v>10</v>
      </c>
      <c r="O97" s="3">
        <v>5</v>
      </c>
      <c r="P97" s="3">
        <v>5</v>
      </c>
      <c r="Q97" s="3" t="s">
        <v>2035</v>
      </c>
      <c r="R97" s="6">
        <v>44623</v>
      </c>
    </row>
    <row r="98" spans="1:18" ht="12.5" x14ac:dyDescent="0.25">
      <c r="A98" s="21" t="str">
        <f>HYPERLINK("https://gerandofalcoes.my.salesforce.com/0014P00003SGWPnQAP", "0014P00003SGWPnQAP")</f>
        <v>0014P00003SGWPnQAP</v>
      </c>
      <c r="B98" s="3" t="s">
        <v>17524</v>
      </c>
      <c r="C98" s="3" t="s">
        <v>2538</v>
      </c>
      <c r="D98" s="3" t="s">
        <v>46</v>
      </c>
      <c r="E98" s="3">
        <v>64</v>
      </c>
      <c r="F98" s="3">
        <v>20</v>
      </c>
      <c r="G98" s="3">
        <v>1</v>
      </c>
      <c r="H98" s="3">
        <v>400000</v>
      </c>
      <c r="I98" s="3">
        <v>180</v>
      </c>
      <c r="J98" s="3" t="s">
        <v>17406</v>
      </c>
      <c r="K98" s="3">
        <v>68</v>
      </c>
      <c r="L98" s="3">
        <v>20</v>
      </c>
      <c r="M98" s="3">
        <v>12</v>
      </c>
      <c r="N98" s="3">
        <v>4</v>
      </c>
      <c r="O98" s="3">
        <v>20</v>
      </c>
      <c r="P98" s="3">
        <v>12</v>
      </c>
      <c r="Q98" s="3" t="s">
        <v>2059</v>
      </c>
      <c r="R98" s="6">
        <v>44623</v>
      </c>
    </row>
    <row r="99" spans="1:18" ht="12.5" x14ac:dyDescent="0.25">
      <c r="A99" s="21" t="str">
        <f>HYPERLINK("https://gerandofalcoes.my.salesforce.com/0014P00003SGWPoQAP", "0014P00003SGWPoQAP")</f>
        <v>0014P00003SGWPoQAP</v>
      </c>
      <c r="B99" s="3" t="s">
        <v>17525</v>
      </c>
      <c r="C99" s="3" t="s">
        <v>2538</v>
      </c>
      <c r="D99" s="3" t="s">
        <v>152</v>
      </c>
      <c r="E99" s="3">
        <v>39</v>
      </c>
      <c r="F99" s="3">
        <v>0</v>
      </c>
      <c r="G99" s="3">
        <v>2</v>
      </c>
      <c r="H99" s="3">
        <v>1000</v>
      </c>
      <c r="I99" s="3">
        <v>120</v>
      </c>
      <c r="J99" s="3" t="s">
        <v>17403</v>
      </c>
      <c r="K99" s="3">
        <v>36</v>
      </c>
      <c r="L99" s="3">
        <v>15</v>
      </c>
      <c r="M99" s="3">
        <v>0</v>
      </c>
      <c r="N99" s="3">
        <v>6</v>
      </c>
      <c r="O99" s="3">
        <v>5</v>
      </c>
      <c r="P99" s="3">
        <v>10</v>
      </c>
      <c r="Q99" s="3" t="s">
        <v>2086</v>
      </c>
      <c r="R99" s="6">
        <v>44623</v>
      </c>
    </row>
    <row r="100" spans="1:18" ht="12.5" x14ac:dyDescent="0.25">
      <c r="A100" s="21" t="str">
        <f>HYPERLINK("https://gerandofalcoes.my.salesforce.com/0014P00003SGWPpQAP", "0014P00003SGWPpQAP")</f>
        <v>0014P00003SGWPpQAP</v>
      </c>
      <c r="B100" s="3" t="s">
        <v>17526</v>
      </c>
      <c r="C100" s="3" t="s">
        <v>2538</v>
      </c>
      <c r="D100" s="3" t="s">
        <v>152</v>
      </c>
      <c r="E100" s="3">
        <v>33</v>
      </c>
      <c r="F100" s="3">
        <v>1</v>
      </c>
      <c r="G100" s="3">
        <v>5</v>
      </c>
      <c r="H100" s="3">
        <v>36000</v>
      </c>
      <c r="I100" s="3">
        <v>80</v>
      </c>
      <c r="J100" s="3" t="s">
        <v>17403</v>
      </c>
      <c r="K100" s="3">
        <v>50</v>
      </c>
      <c r="L100" s="3">
        <v>15</v>
      </c>
      <c r="M100" s="3">
        <v>5</v>
      </c>
      <c r="N100" s="3">
        <v>10</v>
      </c>
      <c r="O100" s="3">
        <v>10</v>
      </c>
      <c r="P100" s="3">
        <v>10</v>
      </c>
      <c r="Q100" s="3" t="s">
        <v>2103</v>
      </c>
      <c r="R100" s="6">
        <v>44623</v>
      </c>
    </row>
    <row r="101" spans="1:18" ht="12.5" x14ac:dyDescent="0.25">
      <c r="A101" s="21" t="str">
        <f>HYPERLINK("https://gerandofalcoes.my.salesforce.com/0014P00003SGWPqQAP", "0014P00003SGWPqQAP")</f>
        <v>0014P00003SGWPqQAP</v>
      </c>
      <c r="B101" s="3" t="s">
        <v>17527</v>
      </c>
      <c r="C101" s="3" t="s">
        <v>2538</v>
      </c>
      <c r="D101" s="3" t="s">
        <v>46</v>
      </c>
      <c r="E101" s="3">
        <v>11</v>
      </c>
      <c r="F101" s="3">
        <v>2</v>
      </c>
      <c r="G101" s="3">
        <v>0</v>
      </c>
      <c r="H101" s="3">
        <v>140000</v>
      </c>
      <c r="I101" s="3">
        <v>200</v>
      </c>
      <c r="J101" s="3" t="s">
        <v>17403</v>
      </c>
      <c r="K101" s="3">
        <v>42</v>
      </c>
      <c r="L101" s="3">
        <v>10</v>
      </c>
      <c r="M101" s="3">
        <v>5</v>
      </c>
      <c r="N101" s="3">
        <v>0</v>
      </c>
      <c r="O101" s="3">
        <v>15</v>
      </c>
      <c r="P101" s="3">
        <v>12</v>
      </c>
      <c r="Q101" s="3" t="s">
        <v>2126</v>
      </c>
      <c r="R101" s="6">
        <v>44623</v>
      </c>
    </row>
    <row r="102" spans="1:18" ht="12.5" x14ac:dyDescent="0.25">
      <c r="A102" s="21" t="str">
        <f>HYPERLINK("https://gerandofalcoes.my.salesforce.com/0014P00003SGWPrQAP", "0014P00003SGWPrQAP")</f>
        <v>0014P00003SGWPrQAP</v>
      </c>
      <c r="B102" s="3" t="s">
        <v>17528</v>
      </c>
      <c r="C102" s="3" t="s">
        <v>2538</v>
      </c>
      <c r="D102" s="3" t="s">
        <v>46</v>
      </c>
      <c r="E102" s="3">
        <v>31</v>
      </c>
      <c r="F102" s="3">
        <v>0</v>
      </c>
      <c r="G102" s="3">
        <v>0</v>
      </c>
      <c r="H102" s="3">
        <v>50000</v>
      </c>
      <c r="I102" s="3">
        <v>130</v>
      </c>
      <c r="J102" s="3" t="s">
        <v>17403</v>
      </c>
      <c r="K102" s="3">
        <v>35</v>
      </c>
      <c r="L102" s="3">
        <v>15</v>
      </c>
      <c r="M102" s="3">
        <v>0</v>
      </c>
      <c r="N102" s="3">
        <v>0</v>
      </c>
      <c r="O102" s="3">
        <v>10</v>
      </c>
      <c r="P102" s="3">
        <v>10</v>
      </c>
      <c r="Q102" s="3" t="s">
        <v>2148</v>
      </c>
      <c r="R102" s="6">
        <v>44623</v>
      </c>
    </row>
    <row r="103" spans="1:18" ht="12.5" x14ac:dyDescent="0.25">
      <c r="A103" s="21" t="str">
        <f>HYPERLINK("https://gerandofalcoes.my.salesforce.com/0014P00003SGWPsQAP", "0014P00003SGWPsQAP")</f>
        <v>0014P00003SGWPsQAP</v>
      </c>
      <c r="B103" s="3" t="s">
        <v>17529</v>
      </c>
      <c r="C103" s="3" t="s">
        <v>2538</v>
      </c>
      <c r="D103" s="3" t="s">
        <v>152</v>
      </c>
      <c r="E103" s="3">
        <v>93</v>
      </c>
      <c r="F103" s="3">
        <v>49</v>
      </c>
      <c r="G103" s="3">
        <v>3</v>
      </c>
      <c r="H103" s="3">
        <v>1126099.1000000001</v>
      </c>
      <c r="I103" s="3">
        <v>390</v>
      </c>
      <c r="J103" s="3" t="s">
        <v>17405</v>
      </c>
      <c r="K103" s="3">
        <v>93</v>
      </c>
      <c r="L103" s="3">
        <v>30</v>
      </c>
      <c r="M103" s="3">
        <v>15</v>
      </c>
      <c r="N103" s="3">
        <v>8</v>
      </c>
      <c r="O103" s="3">
        <v>25</v>
      </c>
      <c r="P103" s="3">
        <v>15</v>
      </c>
      <c r="Q103" s="3" t="s">
        <v>2171</v>
      </c>
      <c r="R103" s="6">
        <v>44623</v>
      </c>
    </row>
    <row r="104" spans="1:18" ht="12.5" x14ac:dyDescent="0.25">
      <c r="A104" s="21" t="str">
        <f>HYPERLINK("https://gerandofalcoes.my.salesforce.com/0014P00003SGWPtQAP", "0014P00003SGWPtQAP")</f>
        <v>0014P00003SGWPtQAP</v>
      </c>
      <c r="B104" s="3" t="s">
        <v>2188</v>
      </c>
      <c r="C104" s="3" t="s">
        <v>2538</v>
      </c>
      <c r="D104" s="3" t="s">
        <v>46</v>
      </c>
      <c r="E104" s="3">
        <v>24</v>
      </c>
      <c r="F104" s="3">
        <v>3</v>
      </c>
      <c r="G104" s="3">
        <v>0</v>
      </c>
      <c r="H104" s="3">
        <v>400000</v>
      </c>
      <c r="I104" s="3">
        <v>149</v>
      </c>
      <c r="J104" s="3" t="s">
        <v>17403</v>
      </c>
      <c r="K104" s="3">
        <v>45</v>
      </c>
      <c r="L104" s="3">
        <v>10</v>
      </c>
      <c r="M104" s="3">
        <v>5</v>
      </c>
      <c r="N104" s="3">
        <v>0</v>
      </c>
      <c r="O104" s="3">
        <v>20</v>
      </c>
      <c r="P104" s="3">
        <v>10</v>
      </c>
      <c r="Q104" s="3" t="s">
        <v>2192</v>
      </c>
      <c r="R104" s="6">
        <v>44623</v>
      </c>
    </row>
    <row r="105" spans="1:18" ht="12.5" x14ac:dyDescent="0.25">
      <c r="A105" s="21" t="str">
        <f>HYPERLINK("https://gerandofalcoes.my.salesforce.com/0014P00003SGWFqQAP", "0014P00003SGWFqQAP")</f>
        <v>0014P00003SGWFqQAP</v>
      </c>
      <c r="B105" s="3" t="s">
        <v>2227</v>
      </c>
      <c r="C105" s="3" t="s">
        <v>2538</v>
      </c>
      <c r="D105" s="3" t="s">
        <v>46</v>
      </c>
      <c r="E105" s="3">
        <v>67</v>
      </c>
      <c r="F105" s="3">
        <v>10</v>
      </c>
      <c r="G105" s="3">
        <v>4</v>
      </c>
      <c r="H105" s="3">
        <v>320000</v>
      </c>
      <c r="I105" s="3">
        <v>150</v>
      </c>
      <c r="J105" s="3" t="s">
        <v>17406</v>
      </c>
      <c r="K105" s="3">
        <v>72</v>
      </c>
      <c r="L105" s="3">
        <v>20</v>
      </c>
      <c r="M105" s="3">
        <v>10</v>
      </c>
      <c r="N105" s="3">
        <v>10</v>
      </c>
      <c r="O105" s="3">
        <v>20</v>
      </c>
      <c r="P105" s="3">
        <v>12</v>
      </c>
      <c r="Q105" s="3" t="s">
        <v>2231</v>
      </c>
      <c r="R105" s="6">
        <v>44623</v>
      </c>
    </row>
    <row r="106" spans="1:18" ht="12.5" x14ac:dyDescent="0.25">
      <c r="A106" s="21" t="str">
        <f>HYPERLINK("https://gerandofalcoes.my.salesforce.com/0014P00003SGWPMQA5", "0014P00003SGWPMQA5")</f>
        <v>0014P00003SGWPMQA5</v>
      </c>
      <c r="B106" s="3" t="s">
        <v>2254</v>
      </c>
      <c r="C106" s="3" t="s">
        <v>2538</v>
      </c>
      <c r="D106" s="3" t="s">
        <v>46</v>
      </c>
      <c r="E106" s="3">
        <v>17</v>
      </c>
      <c r="F106" s="3">
        <v>0</v>
      </c>
      <c r="G106" s="3">
        <v>4</v>
      </c>
      <c r="H106" s="3">
        <v>0</v>
      </c>
      <c r="I106" s="3">
        <v>150</v>
      </c>
      <c r="J106" s="3" t="s">
        <v>17403</v>
      </c>
      <c r="K106" s="3">
        <v>32</v>
      </c>
      <c r="L106" s="3">
        <v>10</v>
      </c>
      <c r="M106" s="3">
        <v>0</v>
      </c>
      <c r="N106" s="3">
        <v>10</v>
      </c>
      <c r="O106" s="3">
        <v>0</v>
      </c>
      <c r="P106" s="3">
        <v>12</v>
      </c>
      <c r="Q106" s="3" t="s">
        <v>2257</v>
      </c>
      <c r="R106" s="6">
        <v>44623</v>
      </c>
    </row>
    <row r="107" spans="1:18" ht="12.5" x14ac:dyDescent="0.25">
      <c r="A107" s="21" t="str">
        <f>HYPERLINK("https://gerandofalcoes.my.salesforce.com/0014P00003SGWFrQAP", "0014P00003SGWFrQAP")</f>
        <v>0014P00003SGWFrQAP</v>
      </c>
      <c r="B107" s="3" t="s">
        <v>2270</v>
      </c>
      <c r="C107" s="3" t="s">
        <v>2538</v>
      </c>
      <c r="D107" s="3" t="s">
        <v>46</v>
      </c>
      <c r="E107" s="3">
        <v>43</v>
      </c>
      <c r="F107" s="3">
        <v>7</v>
      </c>
      <c r="G107" s="3">
        <v>0</v>
      </c>
      <c r="H107" s="3">
        <v>290000</v>
      </c>
      <c r="I107" s="3">
        <v>123</v>
      </c>
      <c r="J107" s="3" t="s">
        <v>17403</v>
      </c>
      <c r="K107" s="3">
        <v>50</v>
      </c>
      <c r="L107" s="3">
        <v>15</v>
      </c>
      <c r="M107" s="3">
        <v>10</v>
      </c>
      <c r="N107" s="3">
        <v>0</v>
      </c>
      <c r="O107" s="3">
        <v>15</v>
      </c>
      <c r="P107" s="3">
        <v>10</v>
      </c>
      <c r="Q107" s="3" t="s">
        <v>2274</v>
      </c>
      <c r="R107" s="6">
        <v>44623</v>
      </c>
    </row>
    <row r="108" spans="1:18" ht="12.5" x14ac:dyDescent="0.25">
      <c r="A108" s="21" t="str">
        <f>HYPERLINK("https://gerandofalcoes.my.salesforce.com/0014P00003SGWFsQAP", "0014P00003SGWFsQAP")</f>
        <v>0014P00003SGWFsQAP</v>
      </c>
      <c r="B108" s="3" t="s">
        <v>2210</v>
      </c>
      <c r="C108" s="3" t="s">
        <v>2538</v>
      </c>
      <c r="D108" s="3" t="s">
        <v>46</v>
      </c>
      <c r="E108" s="3">
        <v>33</v>
      </c>
      <c r="F108" s="3">
        <v>0</v>
      </c>
      <c r="G108" s="3">
        <v>0</v>
      </c>
      <c r="H108" s="3">
        <v>8000</v>
      </c>
      <c r="I108" s="3">
        <v>20</v>
      </c>
      <c r="J108" s="3" t="s">
        <v>17403</v>
      </c>
      <c r="K108" s="3">
        <v>25</v>
      </c>
      <c r="L108" s="3">
        <v>15</v>
      </c>
      <c r="M108" s="3">
        <v>0</v>
      </c>
      <c r="N108" s="3">
        <v>0</v>
      </c>
      <c r="O108" s="3">
        <v>5</v>
      </c>
      <c r="P108" s="3">
        <v>5</v>
      </c>
      <c r="Q108" s="3" t="s">
        <v>2213</v>
      </c>
      <c r="R108" s="6">
        <v>44623</v>
      </c>
    </row>
    <row r="109" spans="1:18" ht="12.5" x14ac:dyDescent="0.25">
      <c r="A109" s="21" t="str">
        <f>HYPERLINK("https://gerandofalcoes.my.salesforce.com/0014P00003SGWFtQAP", "0014P00003SGWFtQAP")</f>
        <v>0014P00003SGWFtQAP</v>
      </c>
      <c r="B109" s="3" t="s">
        <v>2290</v>
      </c>
      <c r="C109" s="3" t="s">
        <v>2538</v>
      </c>
      <c r="D109" s="3" t="s">
        <v>152</v>
      </c>
      <c r="E109" s="3">
        <v>85</v>
      </c>
      <c r="F109" s="3">
        <v>4</v>
      </c>
      <c r="G109" s="3">
        <v>1</v>
      </c>
      <c r="H109" s="3">
        <v>11500</v>
      </c>
      <c r="I109" s="3">
        <v>78</v>
      </c>
      <c r="J109" s="3" t="s">
        <v>17403</v>
      </c>
      <c r="K109" s="3">
        <v>44</v>
      </c>
      <c r="L109" s="3">
        <v>25</v>
      </c>
      <c r="M109" s="3">
        <v>5</v>
      </c>
      <c r="N109" s="3">
        <v>4</v>
      </c>
      <c r="O109" s="3">
        <v>5</v>
      </c>
      <c r="P109" s="3">
        <v>5</v>
      </c>
      <c r="Q109" s="3" t="s">
        <v>12527</v>
      </c>
      <c r="R109" s="6">
        <v>44623</v>
      </c>
    </row>
    <row r="110" spans="1:18" ht="12.5" x14ac:dyDescent="0.25">
      <c r="A110" s="21" t="str">
        <f>HYPERLINK("https://gerandofalcoes.my.salesforce.com/0014P00003SGWPLQA5", "0014P00003SGWPLQA5")</f>
        <v>0014P00003SGWPLQA5</v>
      </c>
      <c r="B110" s="3" t="s">
        <v>2308</v>
      </c>
      <c r="C110" s="3" t="s">
        <v>2538</v>
      </c>
      <c r="D110" s="3" t="s">
        <v>46</v>
      </c>
      <c r="E110" s="3">
        <v>63</v>
      </c>
      <c r="F110" s="3">
        <v>0</v>
      </c>
      <c r="G110" s="3">
        <v>2</v>
      </c>
      <c r="H110" s="3">
        <v>21250</v>
      </c>
      <c r="I110" s="3">
        <v>15</v>
      </c>
      <c r="J110" s="3" t="s">
        <v>17403</v>
      </c>
      <c r="K110" s="3">
        <v>36</v>
      </c>
      <c r="L110" s="3">
        <v>20</v>
      </c>
      <c r="M110" s="3">
        <v>0</v>
      </c>
      <c r="N110" s="3">
        <v>6</v>
      </c>
      <c r="O110" s="3">
        <v>5</v>
      </c>
      <c r="P110" s="3">
        <v>5</v>
      </c>
      <c r="Q110" s="3" t="s">
        <v>2312</v>
      </c>
      <c r="R110" s="6">
        <v>44623</v>
      </c>
    </row>
    <row r="111" spans="1:18" ht="12.5" x14ac:dyDescent="0.25">
      <c r="A111" s="21" t="str">
        <f>HYPERLINK("https://gerandofalcoes.my.salesforce.com/0014P00003SGWPQQA5", "0014P00003SGWPQQA5")</f>
        <v>0014P00003SGWPQQA5</v>
      </c>
      <c r="B111" s="3" t="s">
        <v>2351</v>
      </c>
      <c r="C111" s="3" t="s">
        <v>2538</v>
      </c>
      <c r="D111" s="3" t="s">
        <v>152</v>
      </c>
      <c r="E111" s="3">
        <v>93</v>
      </c>
      <c r="F111" s="3">
        <v>32</v>
      </c>
      <c r="G111" s="3">
        <v>4</v>
      </c>
      <c r="H111" s="3">
        <v>1010730.87</v>
      </c>
      <c r="I111" s="3">
        <v>192</v>
      </c>
      <c r="J111" s="3" t="s">
        <v>17405</v>
      </c>
      <c r="K111" s="3">
        <v>92</v>
      </c>
      <c r="L111" s="3">
        <v>30</v>
      </c>
      <c r="M111" s="3">
        <v>15</v>
      </c>
      <c r="N111" s="3">
        <v>10</v>
      </c>
      <c r="O111" s="3">
        <v>25</v>
      </c>
      <c r="P111" s="3">
        <v>12</v>
      </c>
      <c r="Q111" s="3" t="s">
        <v>2355</v>
      </c>
      <c r="R111" s="6">
        <v>44623</v>
      </c>
    </row>
    <row r="112" spans="1:18" ht="12.5" x14ac:dyDescent="0.25">
      <c r="A112" s="21" t="str">
        <f>HYPERLINK("https://gerandofalcoes.my.salesforce.com/0014P00003SGWPPQA5", "0014P00003SGWPPQA5")</f>
        <v>0014P00003SGWPPQA5</v>
      </c>
      <c r="B112" s="3" t="s">
        <v>17530</v>
      </c>
      <c r="C112" s="3" t="s">
        <v>2538</v>
      </c>
      <c r="D112" s="3" t="s">
        <v>152</v>
      </c>
      <c r="E112" s="3">
        <v>60</v>
      </c>
      <c r="F112" s="3">
        <v>10</v>
      </c>
      <c r="G112" s="3">
        <v>2</v>
      </c>
      <c r="H112" s="3">
        <v>60000</v>
      </c>
      <c r="I112" s="3">
        <v>120</v>
      </c>
      <c r="J112" s="3" t="s">
        <v>17403</v>
      </c>
      <c r="K112" s="3">
        <v>56</v>
      </c>
      <c r="L112" s="3">
        <v>20</v>
      </c>
      <c r="M112" s="3">
        <v>10</v>
      </c>
      <c r="N112" s="3">
        <v>6</v>
      </c>
      <c r="O112" s="3">
        <v>10</v>
      </c>
      <c r="P112" s="3">
        <v>10</v>
      </c>
      <c r="Q112" s="3" t="s">
        <v>2377</v>
      </c>
      <c r="R112" s="6">
        <v>44623</v>
      </c>
    </row>
    <row r="113" spans="1:18" ht="12.5" x14ac:dyDescent="0.25">
      <c r="A113" s="21" t="str">
        <f>HYPERLINK("https://gerandofalcoes.my.salesforce.com/0014P00003SGWPRQA5", "0014P00003SGWPRQA5")</f>
        <v>0014P00003SGWPRQA5</v>
      </c>
      <c r="B113" s="3" t="s">
        <v>2394</v>
      </c>
      <c r="C113" s="3" t="s">
        <v>2538</v>
      </c>
      <c r="D113" s="3" t="s">
        <v>46</v>
      </c>
      <c r="E113" s="3">
        <v>33</v>
      </c>
      <c r="F113" s="3">
        <v>4</v>
      </c>
      <c r="G113" s="3">
        <v>4</v>
      </c>
      <c r="H113" s="3">
        <v>70000</v>
      </c>
      <c r="I113" s="3">
        <v>150</v>
      </c>
      <c r="J113" s="3" t="s">
        <v>17403</v>
      </c>
      <c r="K113" s="3">
        <v>52</v>
      </c>
      <c r="L113" s="3">
        <v>15</v>
      </c>
      <c r="M113" s="3">
        <v>5</v>
      </c>
      <c r="N113" s="3">
        <v>10</v>
      </c>
      <c r="O113" s="3">
        <v>10</v>
      </c>
      <c r="P113" s="3">
        <v>12</v>
      </c>
      <c r="Q113" s="3" t="s">
        <v>2398</v>
      </c>
      <c r="R113" s="6">
        <v>44623</v>
      </c>
    </row>
    <row r="114" spans="1:18" ht="12.5" x14ac:dyDescent="0.25">
      <c r="A114" s="21" t="str">
        <f>HYPERLINK("https://gerandofalcoes.my.salesforce.com/0014P00003SGWPSQA5", "0014P00003SGWPSQA5")</f>
        <v>0014P00003SGWPSQA5</v>
      </c>
      <c r="B114" s="3" t="s">
        <v>2418</v>
      </c>
      <c r="C114" s="3" t="s">
        <v>2538</v>
      </c>
      <c r="D114" s="3" t="s">
        <v>46</v>
      </c>
      <c r="E114" s="3">
        <v>57</v>
      </c>
      <c r="F114" s="3">
        <v>10</v>
      </c>
      <c r="G114" s="3">
        <v>5</v>
      </c>
      <c r="H114" s="3">
        <v>561000</v>
      </c>
      <c r="I114" s="3">
        <v>96</v>
      </c>
      <c r="J114" s="3" t="s">
        <v>17406</v>
      </c>
      <c r="K114" s="3">
        <v>70</v>
      </c>
      <c r="L114" s="3">
        <v>20</v>
      </c>
      <c r="M114" s="3">
        <v>10</v>
      </c>
      <c r="N114" s="3">
        <v>10</v>
      </c>
      <c r="O114" s="3">
        <v>20</v>
      </c>
      <c r="P114" s="3">
        <v>10</v>
      </c>
      <c r="Q114" s="3" t="s">
        <v>2422</v>
      </c>
      <c r="R114" s="6">
        <v>44623</v>
      </c>
    </row>
    <row r="115" spans="1:18" ht="12.5" x14ac:dyDescent="0.25">
      <c r="A115" s="21" t="str">
        <f>HYPERLINK("https://gerandofalcoes.my.salesforce.com/0014X00002OEuauQAD", "0014X00002OEuauQAD")</f>
        <v>0014X00002OEuauQAD</v>
      </c>
      <c r="B115" s="3" t="s">
        <v>17531</v>
      </c>
      <c r="C115" s="3" t="s">
        <v>2538</v>
      </c>
      <c r="D115" s="3" t="s">
        <v>46</v>
      </c>
      <c r="E115" s="3">
        <v>18</v>
      </c>
      <c r="F115" s="3">
        <v>2</v>
      </c>
      <c r="G115" s="3">
        <v>2</v>
      </c>
      <c r="H115" s="3">
        <v>5000</v>
      </c>
      <c r="I115" s="3">
        <v>507</v>
      </c>
      <c r="J115" s="3" t="s">
        <v>17403</v>
      </c>
      <c r="K115" s="3">
        <v>46</v>
      </c>
      <c r="L115" s="3">
        <v>10</v>
      </c>
      <c r="M115" s="3">
        <v>5</v>
      </c>
      <c r="N115" s="3">
        <v>6</v>
      </c>
      <c r="O115" s="3">
        <v>5</v>
      </c>
      <c r="P115" s="3">
        <v>20</v>
      </c>
      <c r="Q115" s="3" t="s">
        <v>3746</v>
      </c>
      <c r="R115" s="6">
        <v>44623</v>
      </c>
    </row>
    <row r="116" spans="1:18" ht="12.5" x14ac:dyDescent="0.25">
      <c r="A116" s="21" t="str">
        <f>HYPERLINK("https://gerandofalcoes.my.salesforce.com/0014X00002OEualQAD", "0014X00002OEualQAD")</f>
        <v>0014X00002OEualQAD</v>
      </c>
      <c r="B116" s="3" t="s">
        <v>17532</v>
      </c>
      <c r="C116" s="3" t="s">
        <v>2538</v>
      </c>
      <c r="D116" s="3" t="s">
        <v>46</v>
      </c>
      <c r="E116" s="3">
        <v>32</v>
      </c>
      <c r="F116" s="3">
        <v>2</v>
      </c>
      <c r="G116" s="3">
        <v>3</v>
      </c>
      <c r="H116" s="3">
        <v>40000</v>
      </c>
      <c r="I116" s="3">
        <v>80</v>
      </c>
      <c r="J116" s="3" t="s">
        <v>17403</v>
      </c>
      <c r="K116" s="3">
        <v>48</v>
      </c>
      <c r="L116" s="3">
        <v>15</v>
      </c>
      <c r="M116" s="3">
        <v>5</v>
      </c>
      <c r="N116" s="3">
        <v>8</v>
      </c>
      <c r="O116" s="3">
        <v>10</v>
      </c>
      <c r="P116" s="3">
        <v>10</v>
      </c>
      <c r="Q116" s="3" t="s">
        <v>3761</v>
      </c>
      <c r="R116" s="6">
        <v>44623</v>
      </c>
    </row>
    <row r="117" spans="1:18" ht="12.5" x14ac:dyDescent="0.25">
      <c r="A117" s="21" t="str">
        <f>HYPERLINK("https://gerandofalcoes.my.salesforce.com/0014X00002OEuamQAD", "0014X00002OEuamQAD")</f>
        <v>0014X00002OEuamQAD</v>
      </c>
      <c r="B117" s="3" t="s">
        <v>17533</v>
      </c>
      <c r="C117" s="3" t="s">
        <v>2538</v>
      </c>
      <c r="D117" s="3" t="s">
        <v>46</v>
      </c>
      <c r="E117" s="3">
        <v>19</v>
      </c>
      <c r="F117" s="3">
        <v>0</v>
      </c>
      <c r="G117" s="3">
        <v>4</v>
      </c>
      <c r="H117" s="3">
        <v>7000</v>
      </c>
      <c r="I117" s="3">
        <v>0</v>
      </c>
      <c r="J117" s="3" t="s">
        <v>17403</v>
      </c>
      <c r="K117" s="3">
        <v>25</v>
      </c>
      <c r="L117" s="3">
        <v>10</v>
      </c>
      <c r="M117" s="3">
        <v>0</v>
      </c>
      <c r="N117" s="3">
        <v>10</v>
      </c>
      <c r="O117" s="3">
        <v>5</v>
      </c>
      <c r="P117" s="3">
        <v>0</v>
      </c>
      <c r="Q117" s="3"/>
      <c r="R117" s="6">
        <v>44623</v>
      </c>
    </row>
    <row r="118" spans="1:18" ht="12.5" x14ac:dyDescent="0.25">
      <c r="A118" s="21" t="str">
        <f>HYPERLINK("https://gerandofalcoes.my.salesforce.com/0014X00002OEuaoQAD", "0014X00002OEuaoQAD")</f>
        <v>0014X00002OEuaoQAD</v>
      </c>
      <c r="B118" s="3" t="s">
        <v>17534</v>
      </c>
      <c r="C118" s="3" t="s">
        <v>2538</v>
      </c>
      <c r="D118" s="3" t="s">
        <v>46</v>
      </c>
      <c r="E118" s="3">
        <v>14</v>
      </c>
      <c r="F118" s="3">
        <v>0</v>
      </c>
      <c r="G118" s="3">
        <v>2</v>
      </c>
      <c r="H118" s="3">
        <v>0</v>
      </c>
      <c r="I118" s="3">
        <v>230</v>
      </c>
      <c r="J118" s="3" t="s">
        <v>17403</v>
      </c>
      <c r="K118" s="3">
        <v>28</v>
      </c>
      <c r="L118" s="3">
        <v>10</v>
      </c>
      <c r="M118" s="3">
        <v>0</v>
      </c>
      <c r="N118" s="3">
        <v>6</v>
      </c>
      <c r="O118" s="3">
        <v>0</v>
      </c>
      <c r="P118" s="3">
        <v>12</v>
      </c>
      <c r="Q118" s="3" t="s">
        <v>3791</v>
      </c>
      <c r="R118" s="6">
        <v>44623</v>
      </c>
    </row>
    <row r="119" spans="1:18" ht="12.5" x14ac:dyDescent="0.25">
      <c r="A119" s="21" t="str">
        <f>HYPERLINK("https://gerandofalcoes.my.salesforce.com/0014X00002OEuapQAD", "0014X00002OEuapQAD")</f>
        <v>0014X00002OEuapQAD</v>
      </c>
      <c r="B119" s="3" t="s">
        <v>17535</v>
      </c>
      <c r="C119" s="3" t="s">
        <v>12704</v>
      </c>
      <c r="D119" s="3" t="s">
        <v>46</v>
      </c>
      <c r="E119" s="3">
        <v>15</v>
      </c>
      <c r="F119" s="3">
        <v>0</v>
      </c>
      <c r="G119" s="3">
        <v>0</v>
      </c>
      <c r="H119" s="3">
        <v>0</v>
      </c>
      <c r="I119" s="3">
        <v>0</v>
      </c>
      <c r="J119" s="3" t="s">
        <v>17403</v>
      </c>
      <c r="K119" s="3">
        <v>10</v>
      </c>
      <c r="L119" s="3">
        <v>10</v>
      </c>
      <c r="M119" s="3">
        <v>0</v>
      </c>
      <c r="N119" s="3">
        <v>0</v>
      </c>
      <c r="O119" s="3">
        <v>0</v>
      </c>
      <c r="P119" s="3">
        <v>0</v>
      </c>
      <c r="Q119" s="3"/>
      <c r="R119" s="6">
        <v>44623</v>
      </c>
    </row>
    <row r="120" spans="1:18" ht="12.5" x14ac:dyDescent="0.25">
      <c r="A120" s="21" t="str">
        <f>HYPERLINK("https://gerandofalcoes.my.salesforce.com/0014X00002OEuaqQAD", "0014X00002OEuaqQAD")</f>
        <v>0014X00002OEuaqQAD</v>
      </c>
      <c r="B120" s="3" t="s">
        <v>17536</v>
      </c>
      <c r="C120" s="3" t="s">
        <v>2538</v>
      </c>
      <c r="D120" s="3" t="s">
        <v>46</v>
      </c>
      <c r="E120" s="3">
        <v>18</v>
      </c>
      <c r="F120" s="3">
        <v>20</v>
      </c>
      <c r="G120" s="3">
        <v>2</v>
      </c>
      <c r="H120" s="3">
        <v>3000</v>
      </c>
      <c r="I120" s="3">
        <v>70</v>
      </c>
      <c r="J120" s="3" t="s">
        <v>17403</v>
      </c>
      <c r="K120" s="3">
        <v>38</v>
      </c>
      <c r="L120" s="3">
        <v>10</v>
      </c>
      <c r="M120" s="3">
        <v>12</v>
      </c>
      <c r="N120" s="3">
        <v>6</v>
      </c>
      <c r="O120" s="3">
        <v>5</v>
      </c>
      <c r="P120" s="3">
        <v>5</v>
      </c>
      <c r="Q120" s="3" t="s">
        <v>3810</v>
      </c>
      <c r="R120" s="6">
        <v>44623</v>
      </c>
    </row>
    <row r="121" spans="1:18" ht="12.5" x14ac:dyDescent="0.25">
      <c r="A121" s="21" t="str">
        <f>HYPERLINK("https://gerandofalcoes.my.salesforce.com/0014X00002OEuasQAD", "0014X00002OEuasQAD")</f>
        <v>0014X00002OEuasQAD</v>
      </c>
      <c r="B121" s="3" t="s">
        <v>17537</v>
      </c>
      <c r="C121" s="3" t="s">
        <v>2538</v>
      </c>
      <c r="D121" s="3" t="s">
        <v>46</v>
      </c>
      <c r="E121" s="3">
        <v>25</v>
      </c>
      <c r="F121" s="3">
        <v>0</v>
      </c>
      <c r="G121" s="3">
        <v>4</v>
      </c>
      <c r="H121" s="3">
        <v>20000</v>
      </c>
      <c r="I121" s="3">
        <v>300</v>
      </c>
      <c r="J121" s="3" t="s">
        <v>17403</v>
      </c>
      <c r="K121" s="3">
        <v>45</v>
      </c>
      <c r="L121" s="3">
        <v>15</v>
      </c>
      <c r="M121" s="3">
        <v>0</v>
      </c>
      <c r="N121" s="3">
        <v>10</v>
      </c>
      <c r="O121" s="3">
        <v>5</v>
      </c>
      <c r="P121" s="3">
        <v>15</v>
      </c>
      <c r="Q121" s="3" t="s">
        <v>3824</v>
      </c>
      <c r="R121" s="6">
        <v>44623</v>
      </c>
    </row>
    <row r="122" spans="1:18" ht="12.5" x14ac:dyDescent="0.25">
      <c r="A122" s="21" t="str">
        <f>HYPERLINK("https://gerandofalcoes.my.salesforce.com/0014X00002OEuawQAD", "0014X00002OEuawQAD")</f>
        <v>0014X00002OEuawQAD</v>
      </c>
      <c r="B122" s="3" t="s">
        <v>17538</v>
      </c>
      <c r="C122" s="3" t="s">
        <v>2538</v>
      </c>
      <c r="D122" s="3" t="s">
        <v>46</v>
      </c>
      <c r="E122" s="3">
        <v>39</v>
      </c>
      <c r="F122" s="3">
        <v>13</v>
      </c>
      <c r="G122" s="3">
        <v>3</v>
      </c>
      <c r="H122" s="3">
        <v>120000</v>
      </c>
      <c r="I122" s="3">
        <v>130</v>
      </c>
      <c r="J122" s="3" t="s">
        <v>17403</v>
      </c>
      <c r="K122" s="3">
        <v>60</v>
      </c>
      <c r="L122" s="3">
        <v>15</v>
      </c>
      <c r="M122" s="3">
        <v>12</v>
      </c>
      <c r="N122" s="3">
        <v>8</v>
      </c>
      <c r="O122" s="3">
        <v>15</v>
      </c>
      <c r="P122" s="3">
        <v>10</v>
      </c>
      <c r="Q122" s="3" t="s">
        <v>3839</v>
      </c>
      <c r="R122" s="6">
        <v>44623</v>
      </c>
    </row>
    <row r="123" spans="1:18" ht="12.5" x14ac:dyDescent="0.25">
      <c r="A123" s="21" t="str">
        <f>HYPERLINK("https://gerandofalcoes.my.salesforce.com/0014X00002QTWXtQAP", "0014X00002QTWXtQAP")</f>
        <v>0014X00002QTWXtQAP</v>
      </c>
      <c r="B123" s="3" t="s">
        <v>17539</v>
      </c>
      <c r="C123" s="3" t="s">
        <v>2538</v>
      </c>
      <c r="D123" s="3" t="s">
        <v>46</v>
      </c>
      <c r="E123" s="3">
        <v>35</v>
      </c>
      <c r="F123" s="3">
        <v>0</v>
      </c>
      <c r="G123" s="3">
        <v>6</v>
      </c>
      <c r="H123" s="3">
        <v>148600</v>
      </c>
      <c r="I123" s="3">
        <v>526</v>
      </c>
      <c r="J123" s="3" t="s">
        <v>17403</v>
      </c>
      <c r="K123" s="3">
        <v>60</v>
      </c>
      <c r="L123" s="3">
        <v>15</v>
      </c>
      <c r="M123" s="3">
        <v>0</v>
      </c>
      <c r="N123" s="3">
        <v>10</v>
      </c>
      <c r="O123" s="3">
        <v>15</v>
      </c>
      <c r="P123" s="3">
        <v>20</v>
      </c>
      <c r="Q123" s="3" t="s">
        <v>8846</v>
      </c>
      <c r="R123" s="6">
        <v>44623</v>
      </c>
    </row>
    <row r="124" spans="1:18" ht="12.5" x14ac:dyDescent="0.25">
      <c r="A124" s="21" t="str">
        <f>HYPERLINK("https://gerandofalcoes.my.salesforce.com/0014X00002QTWZVQA5", "0014X00002QTWZVQA5")</f>
        <v>0014X00002QTWZVQA5</v>
      </c>
      <c r="B124" s="3" t="s">
        <v>17540</v>
      </c>
      <c r="C124" s="3" t="s">
        <v>2538</v>
      </c>
      <c r="D124" s="3" t="s">
        <v>46</v>
      </c>
      <c r="E124" s="3">
        <v>17</v>
      </c>
      <c r="F124" s="3">
        <v>4</v>
      </c>
      <c r="G124" s="3">
        <v>3</v>
      </c>
      <c r="H124" s="3">
        <v>69000</v>
      </c>
      <c r="I124" s="3">
        <v>35</v>
      </c>
      <c r="J124" s="3" t="s">
        <v>17403</v>
      </c>
      <c r="K124" s="3">
        <v>38</v>
      </c>
      <c r="L124" s="3">
        <v>10</v>
      </c>
      <c r="M124" s="3">
        <v>5</v>
      </c>
      <c r="N124" s="3">
        <v>8</v>
      </c>
      <c r="O124" s="3">
        <v>10</v>
      </c>
      <c r="P124" s="3">
        <v>5</v>
      </c>
      <c r="Q124" s="3" t="s">
        <v>8860</v>
      </c>
      <c r="R124" s="6">
        <v>44623</v>
      </c>
    </row>
    <row r="125" spans="1:18" ht="12.5" x14ac:dyDescent="0.25">
      <c r="A125" s="21" t="str">
        <f>HYPERLINK("https://gerandofalcoes.my.salesforce.com/0014X00002PUOTvQAP", "0014X00002PUOTvQAP")</f>
        <v>0014X00002PUOTvQAP</v>
      </c>
      <c r="B125" s="3" t="s">
        <v>17541</v>
      </c>
      <c r="C125" s="3" t="s">
        <v>2538</v>
      </c>
      <c r="D125" s="3" t="s">
        <v>46</v>
      </c>
      <c r="E125" s="3">
        <v>44</v>
      </c>
      <c r="F125" s="3">
        <v>3</v>
      </c>
      <c r="G125" s="3">
        <v>1</v>
      </c>
      <c r="H125" s="3">
        <v>150000</v>
      </c>
      <c r="I125" s="3">
        <v>800</v>
      </c>
      <c r="J125" s="3" t="s">
        <v>17403</v>
      </c>
      <c r="K125" s="3">
        <v>59</v>
      </c>
      <c r="L125" s="3">
        <v>15</v>
      </c>
      <c r="M125" s="3">
        <v>5</v>
      </c>
      <c r="N125" s="3">
        <v>4</v>
      </c>
      <c r="O125" s="3">
        <v>15</v>
      </c>
      <c r="P125" s="3">
        <v>20</v>
      </c>
      <c r="Q125" s="3" t="s">
        <v>8884</v>
      </c>
      <c r="R125" s="6">
        <v>44623</v>
      </c>
    </row>
    <row r="126" spans="1:18" ht="12.5" x14ac:dyDescent="0.25">
      <c r="A126" s="21" t="str">
        <f>HYPERLINK("https://gerandofalcoes.my.salesforce.com/0014X00002PUOaDQAX", "0014X00002PUOaDQAX")</f>
        <v>0014X00002PUOaDQAX</v>
      </c>
      <c r="B126" s="3" t="s">
        <v>17542</v>
      </c>
      <c r="C126" s="3" t="s">
        <v>2538</v>
      </c>
      <c r="D126" s="3" t="s">
        <v>46</v>
      </c>
      <c r="E126" s="3">
        <v>80</v>
      </c>
      <c r="F126" s="3">
        <v>11</v>
      </c>
      <c r="G126" s="3">
        <v>5</v>
      </c>
      <c r="H126" s="3">
        <v>354463</v>
      </c>
      <c r="I126" s="3">
        <v>52</v>
      </c>
      <c r="J126" s="3" t="s">
        <v>17406</v>
      </c>
      <c r="K126" s="3">
        <v>72</v>
      </c>
      <c r="L126" s="3">
        <v>25</v>
      </c>
      <c r="M126" s="3">
        <v>12</v>
      </c>
      <c r="N126" s="3">
        <v>10</v>
      </c>
      <c r="O126" s="3">
        <v>20</v>
      </c>
      <c r="P126" s="3">
        <v>5</v>
      </c>
      <c r="Q126" s="3"/>
      <c r="R126" s="6">
        <v>44623</v>
      </c>
    </row>
    <row r="127" spans="1:18" ht="12.5" x14ac:dyDescent="0.25">
      <c r="A127" s="21" t="str">
        <f>HYPERLINK("https://gerandofalcoes.my.salesforce.com/0014X00002PUOUaQAP", "0014X00002PUOUaQAP")</f>
        <v>0014X00002PUOUaQAP</v>
      </c>
      <c r="B127" s="3" t="s">
        <v>67</v>
      </c>
      <c r="C127" s="3" t="s">
        <v>2538</v>
      </c>
      <c r="D127" s="3" t="s">
        <v>46</v>
      </c>
      <c r="E127" s="3">
        <v>29</v>
      </c>
      <c r="F127" s="3">
        <v>2</v>
      </c>
      <c r="G127" s="3">
        <v>2</v>
      </c>
      <c r="H127" s="3">
        <v>20000</v>
      </c>
      <c r="I127" s="3">
        <v>102</v>
      </c>
      <c r="J127" s="3" t="s">
        <v>17403</v>
      </c>
      <c r="K127" s="3">
        <v>41</v>
      </c>
      <c r="L127" s="3">
        <v>15</v>
      </c>
      <c r="M127" s="3">
        <v>5</v>
      </c>
      <c r="N127" s="3">
        <v>6</v>
      </c>
      <c r="O127" s="3">
        <v>5</v>
      </c>
      <c r="P127" s="3">
        <v>10</v>
      </c>
      <c r="Q127" s="3"/>
      <c r="R127" s="6">
        <v>44623</v>
      </c>
    </row>
    <row r="128" spans="1:18" ht="12.5" x14ac:dyDescent="0.25">
      <c r="A128" s="21" t="str">
        <f>HYPERLINK("https://gerandofalcoes.my.salesforce.com/0014X00002PUObkQAH", "0014X00002PUObkQAH")</f>
        <v>0014X00002PUObkQAH</v>
      </c>
      <c r="B128" s="3" t="s">
        <v>17543</v>
      </c>
      <c r="C128" s="3" t="s">
        <v>2538</v>
      </c>
      <c r="D128" s="3" t="s">
        <v>46</v>
      </c>
      <c r="E128" s="3">
        <v>39</v>
      </c>
      <c r="F128" s="3">
        <v>0</v>
      </c>
      <c r="G128" s="3">
        <v>6</v>
      </c>
      <c r="H128" s="3">
        <v>10000</v>
      </c>
      <c r="I128" s="3">
        <v>237</v>
      </c>
      <c r="J128" s="3" t="s">
        <v>17403</v>
      </c>
      <c r="K128" s="3">
        <v>42</v>
      </c>
      <c r="L128" s="3">
        <v>15</v>
      </c>
      <c r="M128" s="3">
        <v>0</v>
      </c>
      <c r="N128" s="3">
        <v>10</v>
      </c>
      <c r="O128" s="3">
        <v>5</v>
      </c>
      <c r="P128" s="3">
        <v>12</v>
      </c>
      <c r="Q128" s="3" t="s">
        <v>8932</v>
      </c>
      <c r="R128" s="6">
        <v>44623</v>
      </c>
    </row>
    <row r="129" spans="1:18" ht="12.5" x14ac:dyDescent="0.25">
      <c r="A129" s="21" t="str">
        <f>HYPERLINK("https://gerandofalcoes.my.salesforce.com/0014X00002PUOdWQAX", "0014X00002PUOdWQAX")</f>
        <v>0014X00002PUOdWQAX</v>
      </c>
      <c r="B129" s="3" t="s">
        <v>138</v>
      </c>
      <c r="C129" s="3" t="s">
        <v>2538</v>
      </c>
      <c r="D129" s="3" t="s">
        <v>46</v>
      </c>
      <c r="E129" s="3">
        <v>29</v>
      </c>
      <c r="F129" s="3">
        <v>10</v>
      </c>
      <c r="G129" s="3">
        <v>0</v>
      </c>
      <c r="H129" s="3">
        <v>1000</v>
      </c>
      <c r="I129" s="3">
        <v>95</v>
      </c>
      <c r="J129" s="3" t="s">
        <v>17403</v>
      </c>
      <c r="K129" s="3">
        <v>40</v>
      </c>
      <c r="L129" s="3">
        <v>15</v>
      </c>
      <c r="M129" s="3">
        <v>10</v>
      </c>
      <c r="N129" s="3">
        <v>0</v>
      </c>
      <c r="O129" s="3">
        <v>5</v>
      </c>
      <c r="P129" s="3">
        <v>10</v>
      </c>
      <c r="Q129" s="3"/>
      <c r="R129" s="6">
        <v>44623</v>
      </c>
    </row>
    <row r="130" spans="1:18" ht="12.5" x14ac:dyDescent="0.25">
      <c r="A130" s="21" t="str">
        <f>HYPERLINK("https://gerandofalcoes.my.salesforce.com/0014P00003YSp7OQAT", "0014P00003YSp7OQAT")</f>
        <v>0014P00003YSp7OQAT</v>
      </c>
      <c r="B130" s="3" t="s">
        <v>17544</v>
      </c>
      <c r="C130" s="3" t="s">
        <v>2538</v>
      </c>
      <c r="D130" s="3" t="s">
        <v>46</v>
      </c>
      <c r="E130" s="3">
        <v>22</v>
      </c>
      <c r="F130" s="3">
        <v>5</v>
      </c>
      <c r="G130" s="3">
        <v>3</v>
      </c>
      <c r="H130" s="3">
        <v>20000</v>
      </c>
      <c r="I130" s="3">
        <v>200</v>
      </c>
      <c r="J130" s="3" t="s">
        <v>17403</v>
      </c>
      <c r="K130" s="3">
        <v>40</v>
      </c>
      <c r="L130" s="3">
        <v>10</v>
      </c>
      <c r="M130" s="3">
        <v>5</v>
      </c>
      <c r="N130" s="3">
        <v>8</v>
      </c>
      <c r="O130" s="3">
        <v>5</v>
      </c>
      <c r="P130" s="3">
        <v>12</v>
      </c>
      <c r="Q130" s="3" t="s">
        <v>8951</v>
      </c>
      <c r="R130" s="6">
        <v>44623</v>
      </c>
    </row>
    <row r="131" spans="1:18" ht="12.5" x14ac:dyDescent="0.25">
      <c r="A131" s="21" t="str">
        <f>HYPERLINK("https://gerandofalcoes.my.salesforce.com/0014P00003YSp7PQAT", "0014P00003YSp7PQAT")</f>
        <v>0014P00003YSp7PQAT</v>
      </c>
      <c r="B131" s="3" t="s">
        <v>17545</v>
      </c>
      <c r="C131" s="3" t="s">
        <v>2538</v>
      </c>
      <c r="D131" s="3" t="s">
        <v>46</v>
      </c>
      <c r="E131" s="3">
        <v>41</v>
      </c>
      <c r="F131" s="3">
        <v>5</v>
      </c>
      <c r="G131" s="3">
        <v>3</v>
      </c>
      <c r="H131" s="3">
        <v>326724</v>
      </c>
      <c r="I131" s="3">
        <v>56</v>
      </c>
      <c r="J131" s="3" t="s">
        <v>17403</v>
      </c>
      <c r="K131" s="3">
        <v>53</v>
      </c>
      <c r="L131" s="3">
        <v>15</v>
      </c>
      <c r="M131" s="3">
        <v>5</v>
      </c>
      <c r="N131" s="3">
        <v>8</v>
      </c>
      <c r="O131" s="3">
        <v>20</v>
      </c>
      <c r="P131" s="3">
        <v>5</v>
      </c>
      <c r="Q131" s="3" t="s">
        <v>8967</v>
      </c>
      <c r="R131" s="6">
        <v>44623</v>
      </c>
    </row>
    <row r="132" spans="1:18" ht="12.5" x14ac:dyDescent="0.25">
      <c r="A132" s="21" t="str">
        <f>HYPERLINK("https://gerandofalcoes.my.salesforce.com/0014P00003YSp7RQAT", "0014P00003YSp7RQAT")</f>
        <v>0014P00003YSp7RQAT</v>
      </c>
      <c r="B132" s="3" t="s">
        <v>8984</v>
      </c>
      <c r="C132" s="3" t="s">
        <v>2538</v>
      </c>
      <c r="D132" s="3" t="s">
        <v>46</v>
      </c>
      <c r="E132" s="3">
        <v>30</v>
      </c>
      <c r="F132" s="3">
        <v>1</v>
      </c>
      <c r="G132" s="3">
        <v>2</v>
      </c>
      <c r="H132" s="3">
        <v>25000</v>
      </c>
      <c r="I132" s="3">
        <v>110</v>
      </c>
      <c r="J132" s="3" t="s">
        <v>17403</v>
      </c>
      <c r="K132" s="3">
        <v>46</v>
      </c>
      <c r="L132" s="3">
        <v>15</v>
      </c>
      <c r="M132" s="3">
        <v>5</v>
      </c>
      <c r="N132" s="3">
        <v>6</v>
      </c>
      <c r="O132" s="3">
        <v>10</v>
      </c>
      <c r="P132" s="3">
        <v>10</v>
      </c>
      <c r="Q132" s="3" t="s">
        <v>8986</v>
      </c>
      <c r="R132" s="6">
        <v>44623</v>
      </c>
    </row>
    <row r="133" spans="1:18" ht="12.5" x14ac:dyDescent="0.25">
      <c r="A133" s="21" t="str">
        <f>HYPERLINK("https://gerandofalcoes.my.salesforce.com/0014P00003YSp7SQAT", "0014P00003YSp7SQAT")</f>
        <v>0014P00003YSp7SQAT</v>
      </c>
      <c r="B133" s="3" t="s">
        <v>17546</v>
      </c>
      <c r="C133" s="3" t="s">
        <v>2538</v>
      </c>
      <c r="D133" s="3" t="s">
        <v>46</v>
      </c>
      <c r="E133" s="3">
        <v>25</v>
      </c>
      <c r="F133" s="3">
        <v>0</v>
      </c>
      <c r="G133" s="3">
        <v>2</v>
      </c>
      <c r="H133" s="3">
        <v>40000</v>
      </c>
      <c r="I133" s="3">
        <v>600</v>
      </c>
      <c r="J133" s="3" t="s">
        <v>17403</v>
      </c>
      <c r="K133" s="3">
        <v>51</v>
      </c>
      <c r="L133" s="3">
        <v>15</v>
      </c>
      <c r="M133" s="3">
        <v>0</v>
      </c>
      <c r="N133" s="3">
        <v>6</v>
      </c>
      <c r="O133" s="3">
        <v>10</v>
      </c>
      <c r="P133" s="3">
        <v>20</v>
      </c>
      <c r="Q133" s="3" t="s">
        <v>8999</v>
      </c>
      <c r="R133" s="6">
        <v>44623</v>
      </c>
    </row>
    <row r="134" spans="1:18" ht="12.5" x14ac:dyDescent="0.25">
      <c r="A134" s="21" t="str">
        <f>HYPERLINK("https://gerandofalcoes.my.salesforce.com/0014P00003YSp7TQAT", "0014P00003YSp7TQAT")</f>
        <v>0014P00003YSp7TQAT</v>
      </c>
      <c r="B134" s="3" t="s">
        <v>17547</v>
      </c>
      <c r="C134" s="3" t="s">
        <v>12704</v>
      </c>
      <c r="D134" s="3" t="s">
        <v>46</v>
      </c>
      <c r="E134" s="3">
        <v>19</v>
      </c>
      <c r="F134" s="3">
        <v>0</v>
      </c>
      <c r="G134" s="3">
        <v>0</v>
      </c>
      <c r="H134" s="3">
        <v>0</v>
      </c>
      <c r="I134" s="3">
        <v>0</v>
      </c>
      <c r="J134" s="3" t="s">
        <v>17403</v>
      </c>
      <c r="K134" s="3">
        <v>10</v>
      </c>
      <c r="L134" s="3">
        <v>10</v>
      </c>
      <c r="M134" s="3">
        <v>0</v>
      </c>
      <c r="N134" s="3">
        <v>0</v>
      </c>
      <c r="O134" s="3">
        <v>0</v>
      </c>
      <c r="P134" s="3">
        <v>0</v>
      </c>
      <c r="Q134" s="3" t="s">
        <v>9010</v>
      </c>
      <c r="R134" s="6">
        <v>44623</v>
      </c>
    </row>
    <row r="135" spans="1:18" ht="12.5" x14ac:dyDescent="0.25">
      <c r="A135" s="21" t="str">
        <f>HYPERLINK("https://gerandofalcoes.my.salesforce.com/0014P00003YSp7UQAT", "0014P00003YSp7UQAT")</f>
        <v>0014P00003YSp7UQAT</v>
      </c>
      <c r="B135" s="3" t="s">
        <v>17548</v>
      </c>
      <c r="C135" s="3" t="s">
        <v>2538</v>
      </c>
      <c r="D135" s="3" t="s">
        <v>46</v>
      </c>
      <c r="E135" s="3">
        <v>35</v>
      </c>
      <c r="F135" s="3">
        <v>3</v>
      </c>
      <c r="G135" s="3">
        <v>0</v>
      </c>
      <c r="H135" s="3">
        <v>11000</v>
      </c>
      <c r="I135" s="3">
        <v>200</v>
      </c>
      <c r="J135" s="3" t="s">
        <v>17403</v>
      </c>
      <c r="K135" s="3">
        <v>37</v>
      </c>
      <c r="L135" s="3">
        <v>15</v>
      </c>
      <c r="M135" s="3">
        <v>5</v>
      </c>
      <c r="N135" s="3">
        <v>0</v>
      </c>
      <c r="O135" s="3">
        <v>5</v>
      </c>
      <c r="P135" s="3">
        <v>12</v>
      </c>
      <c r="Q135" s="3" t="s">
        <v>9021</v>
      </c>
      <c r="R135" s="6">
        <v>44623</v>
      </c>
    </row>
    <row r="136" spans="1:18" ht="12.5" x14ac:dyDescent="0.25">
      <c r="A136" s="21" t="str">
        <f>HYPERLINK("https://gerandofalcoes.my.salesforce.com/0014P00003YSp7VQAT", "0014P00003YSp7VQAT")</f>
        <v>0014P00003YSp7VQAT</v>
      </c>
      <c r="B136" s="3" t="s">
        <v>17549</v>
      </c>
      <c r="C136" s="3" t="s">
        <v>2538</v>
      </c>
      <c r="D136" s="3" t="s">
        <v>46</v>
      </c>
      <c r="E136" s="3">
        <v>18</v>
      </c>
      <c r="F136" s="3">
        <v>0</v>
      </c>
      <c r="G136" s="3">
        <v>2</v>
      </c>
      <c r="H136" s="3">
        <v>3000</v>
      </c>
      <c r="I136" s="3">
        <v>120</v>
      </c>
      <c r="J136" s="3" t="s">
        <v>17403</v>
      </c>
      <c r="K136" s="3">
        <v>31</v>
      </c>
      <c r="L136" s="3">
        <v>10</v>
      </c>
      <c r="M136" s="3">
        <v>0</v>
      </c>
      <c r="N136" s="3">
        <v>6</v>
      </c>
      <c r="O136" s="3">
        <v>5</v>
      </c>
      <c r="P136" s="3">
        <v>10</v>
      </c>
      <c r="Q136" s="3" t="s">
        <v>9038</v>
      </c>
      <c r="R136" s="6">
        <v>44623</v>
      </c>
    </row>
    <row r="137" spans="1:18" ht="12.5" x14ac:dyDescent="0.25">
      <c r="A137" s="21" t="str">
        <f>HYPERLINK("https://gerandofalcoes.my.salesforce.com/0014P00003YSp7WQAT", "0014P00003YSp7WQAT")</f>
        <v>0014P00003YSp7WQAT</v>
      </c>
      <c r="B137" s="3" t="s">
        <v>17550</v>
      </c>
      <c r="C137" s="3" t="s">
        <v>2538</v>
      </c>
      <c r="D137" s="3" t="s">
        <v>46</v>
      </c>
      <c r="E137" s="3">
        <v>45</v>
      </c>
      <c r="F137" s="3">
        <v>11</v>
      </c>
      <c r="G137" s="3">
        <v>4</v>
      </c>
      <c r="H137" s="3">
        <v>728345</v>
      </c>
      <c r="I137" s="3">
        <v>147</v>
      </c>
      <c r="J137" s="3" t="s">
        <v>17406</v>
      </c>
      <c r="K137" s="3">
        <v>67</v>
      </c>
      <c r="L137" s="3">
        <v>15</v>
      </c>
      <c r="M137" s="3">
        <v>12</v>
      </c>
      <c r="N137" s="3">
        <v>10</v>
      </c>
      <c r="O137" s="3">
        <v>20</v>
      </c>
      <c r="P137" s="3">
        <v>10</v>
      </c>
      <c r="Q137" s="3" t="s">
        <v>9047</v>
      </c>
      <c r="R137" s="6">
        <v>44623</v>
      </c>
    </row>
    <row r="138" spans="1:18" ht="12.5" x14ac:dyDescent="0.25">
      <c r="A138" s="21" t="str">
        <f>HYPERLINK("https://gerandofalcoes.my.salesforce.com/0014P00003YSp7XQAT", "0014P00003YSp7XQAT")</f>
        <v>0014P00003YSp7XQAT</v>
      </c>
      <c r="B138" s="3" t="s">
        <v>17551</v>
      </c>
      <c r="C138" s="3" t="s">
        <v>2538</v>
      </c>
      <c r="D138" s="3" t="s">
        <v>46</v>
      </c>
      <c r="E138" s="3">
        <v>21</v>
      </c>
      <c r="F138" s="3">
        <v>0</v>
      </c>
      <c r="G138" s="3">
        <v>3</v>
      </c>
      <c r="H138" s="3">
        <v>8200</v>
      </c>
      <c r="I138" s="3">
        <v>109</v>
      </c>
      <c r="J138" s="3" t="s">
        <v>17403</v>
      </c>
      <c r="K138" s="3">
        <v>33</v>
      </c>
      <c r="L138" s="3">
        <v>10</v>
      </c>
      <c r="M138" s="3">
        <v>0</v>
      </c>
      <c r="N138" s="3">
        <v>8</v>
      </c>
      <c r="O138" s="3">
        <v>5</v>
      </c>
      <c r="P138" s="3">
        <v>10</v>
      </c>
      <c r="Q138" s="3" t="s">
        <v>9066</v>
      </c>
      <c r="R138" s="6">
        <v>44623</v>
      </c>
    </row>
    <row r="139" spans="1:18" ht="12.5" x14ac:dyDescent="0.25">
      <c r="A139" s="21" t="str">
        <f>HYPERLINK("https://gerandofalcoes.my.salesforce.com/0014P00003YSp7ZQAT", "0014P00003YSp7ZQAT")</f>
        <v>0014P00003YSp7ZQAT</v>
      </c>
      <c r="B139" s="3" t="s">
        <v>17552</v>
      </c>
      <c r="C139" s="3" t="s">
        <v>2538</v>
      </c>
      <c r="D139" s="3" t="s">
        <v>46</v>
      </c>
      <c r="E139" s="3">
        <v>34</v>
      </c>
      <c r="F139" s="3">
        <v>0</v>
      </c>
      <c r="G139" s="3">
        <v>2</v>
      </c>
      <c r="H139" s="3">
        <v>50000</v>
      </c>
      <c r="I139" s="3">
        <v>400</v>
      </c>
      <c r="J139" s="3" t="s">
        <v>17403</v>
      </c>
      <c r="K139" s="3">
        <v>46</v>
      </c>
      <c r="L139" s="3">
        <v>15</v>
      </c>
      <c r="M139" s="3">
        <v>0</v>
      </c>
      <c r="N139" s="3">
        <v>6</v>
      </c>
      <c r="O139" s="3">
        <v>10</v>
      </c>
      <c r="P139" s="3">
        <v>15</v>
      </c>
      <c r="Q139" s="3" t="s">
        <v>9081</v>
      </c>
      <c r="R139" s="6">
        <v>44623</v>
      </c>
    </row>
    <row r="140" spans="1:18" ht="12.5" x14ac:dyDescent="0.25">
      <c r="A140" s="21" t="str">
        <f>HYPERLINK("https://gerandofalcoes.my.salesforce.com/0014P00003YSp7aQAD", "0014P00003YSp7aQAD")</f>
        <v>0014P00003YSp7aQAD</v>
      </c>
      <c r="B140" s="3" t="s">
        <v>17553</v>
      </c>
      <c r="C140" s="3" t="s">
        <v>2538</v>
      </c>
      <c r="D140" s="3" t="s">
        <v>46</v>
      </c>
      <c r="E140" s="3">
        <v>14</v>
      </c>
      <c r="F140" s="3">
        <v>8</v>
      </c>
      <c r="G140" s="3">
        <v>2</v>
      </c>
      <c r="H140" s="3">
        <v>1000</v>
      </c>
      <c r="I140" s="3">
        <v>300</v>
      </c>
      <c r="J140" s="3" t="s">
        <v>17403</v>
      </c>
      <c r="K140" s="3">
        <v>46</v>
      </c>
      <c r="L140" s="3">
        <v>10</v>
      </c>
      <c r="M140" s="3">
        <v>10</v>
      </c>
      <c r="N140" s="3">
        <v>6</v>
      </c>
      <c r="O140" s="3">
        <v>5</v>
      </c>
      <c r="P140" s="3">
        <v>15</v>
      </c>
      <c r="Q140" s="3" t="s">
        <v>9095</v>
      </c>
      <c r="R140" s="6">
        <v>44623</v>
      </c>
    </row>
    <row r="141" spans="1:18" ht="12.5" x14ac:dyDescent="0.25">
      <c r="A141" s="21" t="str">
        <f>HYPERLINK("https://gerandofalcoes.my.salesforce.com/0014P00003YSp7bQAD", "0014P00003YSp7bQAD")</f>
        <v>0014P00003YSp7bQAD</v>
      </c>
      <c r="B141" s="3" t="s">
        <v>17554</v>
      </c>
      <c r="C141" s="3" t="s">
        <v>2538</v>
      </c>
      <c r="D141" s="3" t="s">
        <v>46</v>
      </c>
      <c r="E141" s="3">
        <v>33</v>
      </c>
      <c r="F141" s="3">
        <v>40</v>
      </c>
      <c r="G141" s="3">
        <v>2</v>
      </c>
      <c r="H141" s="3">
        <v>50000</v>
      </c>
      <c r="I141" s="3">
        <v>150</v>
      </c>
      <c r="J141" s="3" t="s">
        <v>17403</v>
      </c>
      <c r="K141" s="3">
        <v>58</v>
      </c>
      <c r="L141" s="3">
        <v>15</v>
      </c>
      <c r="M141" s="3">
        <v>15</v>
      </c>
      <c r="N141" s="3">
        <v>6</v>
      </c>
      <c r="O141" s="3">
        <v>10</v>
      </c>
      <c r="P141" s="3">
        <v>12</v>
      </c>
      <c r="Q141" s="3" t="s">
        <v>9105</v>
      </c>
      <c r="R141" s="6">
        <v>44623</v>
      </c>
    </row>
    <row r="142" spans="1:18" ht="12.5" x14ac:dyDescent="0.25">
      <c r="A142" s="21" t="str">
        <f>HYPERLINK("https://gerandofalcoes.my.salesforce.com/0014P00003YSp7dQAD", "0014P00003YSp7dQAD")</f>
        <v>0014P00003YSp7dQAD</v>
      </c>
      <c r="B142" s="3" t="s">
        <v>17555</v>
      </c>
      <c r="C142" s="3" t="s">
        <v>2538</v>
      </c>
      <c r="D142" s="3" t="s">
        <v>46</v>
      </c>
      <c r="E142" s="3">
        <v>34</v>
      </c>
      <c r="F142" s="3">
        <v>6</v>
      </c>
      <c r="G142" s="3">
        <v>2</v>
      </c>
      <c r="H142" s="3">
        <v>29000</v>
      </c>
      <c r="I142" s="3">
        <v>64</v>
      </c>
      <c r="J142" s="3" t="s">
        <v>17403</v>
      </c>
      <c r="K142" s="3">
        <v>46</v>
      </c>
      <c r="L142" s="3">
        <v>15</v>
      </c>
      <c r="M142" s="3">
        <v>10</v>
      </c>
      <c r="N142" s="3">
        <v>6</v>
      </c>
      <c r="O142" s="3">
        <v>10</v>
      </c>
      <c r="P142" s="3">
        <v>5</v>
      </c>
      <c r="Q142" s="3" t="s">
        <v>9124</v>
      </c>
      <c r="R142" s="6">
        <v>44623</v>
      </c>
    </row>
    <row r="143" spans="1:18" ht="12.5" x14ac:dyDescent="0.25">
      <c r="A143" s="21" t="str">
        <f>HYPERLINK("https://gerandofalcoes.my.salesforce.com/0014P00003YSp7eQAD", "0014P00003YSp7eQAD")</f>
        <v>0014P00003YSp7eQAD</v>
      </c>
      <c r="B143" s="3" t="s">
        <v>17556</v>
      </c>
      <c r="C143" s="3" t="s">
        <v>2538</v>
      </c>
      <c r="D143" s="3" t="s">
        <v>46</v>
      </c>
      <c r="E143" s="3">
        <v>45</v>
      </c>
      <c r="F143" s="3">
        <v>6</v>
      </c>
      <c r="G143" s="3">
        <v>4</v>
      </c>
      <c r="H143" s="3">
        <v>126094</v>
      </c>
      <c r="I143" s="3">
        <v>380</v>
      </c>
      <c r="J143" s="3" t="s">
        <v>17406</v>
      </c>
      <c r="K143" s="3">
        <v>65</v>
      </c>
      <c r="L143" s="3">
        <v>15</v>
      </c>
      <c r="M143" s="3">
        <v>10</v>
      </c>
      <c r="N143" s="3">
        <v>10</v>
      </c>
      <c r="O143" s="3">
        <v>15</v>
      </c>
      <c r="P143" s="3">
        <v>15</v>
      </c>
      <c r="Q143" s="3" t="s">
        <v>9145</v>
      </c>
      <c r="R143" s="6">
        <v>44623</v>
      </c>
    </row>
    <row r="144" spans="1:18" ht="12.5" x14ac:dyDescent="0.25">
      <c r="A144" s="21" t="str">
        <f>HYPERLINK("https://gerandofalcoes.my.salesforce.com/0014P00003YSp7fQAD", "0014P00003YSp7fQAD")</f>
        <v>0014P00003YSp7fQAD</v>
      </c>
      <c r="B144" s="3" t="s">
        <v>9162</v>
      </c>
      <c r="C144" s="3" t="s">
        <v>2538</v>
      </c>
      <c r="D144" s="3" t="s">
        <v>46</v>
      </c>
      <c r="E144" s="3">
        <v>23</v>
      </c>
      <c r="F144" s="3">
        <v>0</v>
      </c>
      <c r="G144" s="3">
        <v>2</v>
      </c>
      <c r="H144" s="3">
        <v>5000</v>
      </c>
      <c r="I144" s="3">
        <v>250</v>
      </c>
      <c r="J144" s="3" t="s">
        <v>17403</v>
      </c>
      <c r="K144" s="3">
        <v>33</v>
      </c>
      <c r="L144" s="3">
        <v>10</v>
      </c>
      <c r="M144" s="3">
        <v>0</v>
      </c>
      <c r="N144" s="3">
        <v>6</v>
      </c>
      <c r="O144" s="3">
        <v>5</v>
      </c>
      <c r="P144" s="3">
        <v>12</v>
      </c>
      <c r="Q144" s="3" t="s">
        <v>9164</v>
      </c>
      <c r="R144" s="6">
        <v>44623</v>
      </c>
    </row>
    <row r="145" spans="1:18" ht="12.5" x14ac:dyDescent="0.25">
      <c r="A145" s="21" t="str">
        <f>HYPERLINK("https://gerandofalcoes.my.salesforce.com/0014P00003YSp7hQAD", "0014P00003YSp7hQAD")</f>
        <v>0014P00003YSp7hQAD</v>
      </c>
      <c r="B145" s="3" t="s">
        <v>17557</v>
      </c>
      <c r="C145" s="3" t="s">
        <v>2538</v>
      </c>
      <c r="D145" s="3" t="s">
        <v>46</v>
      </c>
      <c r="E145" s="3">
        <v>15</v>
      </c>
      <c r="F145" s="3">
        <v>4</v>
      </c>
      <c r="G145" s="3">
        <v>2</v>
      </c>
      <c r="H145" s="3">
        <v>32000</v>
      </c>
      <c r="I145" s="3">
        <v>348</v>
      </c>
      <c r="J145" s="3" t="s">
        <v>17403</v>
      </c>
      <c r="K145" s="3">
        <v>46</v>
      </c>
      <c r="L145" s="3">
        <v>10</v>
      </c>
      <c r="M145" s="3">
        <v>5</v>
      </c>
      <c r="N145" s="3">
        <v>6</v>
      </c>
      <c r="O145" s="3">
        <v>10</v>
      </c>
      <c r="P145" s="3">
        <v>15</v>
      </c>
      <c r="Q145" s="3" t="s">
        <v>9173</v>
      </c>
      <c r="R145" s="6">
        <v>44623</v>
      </c>
    </row>
    <row r="146" spans="1:18" ht="12.5" x14ac:dyDescent="0.25">
      <c r="A146" s="21" t="str">
        <f>HYPERLINK("https://gerandofalcoes.my.salesforce.com/0014P00003YSp7iQAD", "0014P00003YSp7iQAD")</f>
        <v>0014P00003YSp7iQAD</v>
      </c>
      <c r="B146" s="3" t="s">
        <v>17558</v>
      </c>
      <c r="C146" s="3" t="s">
        <v>2538</v>
      </c>
      <c r="D146" s="3" t="s">
        <v>46</v>
      </c>
      <c r="E146" s="3">
        <v>35</v>
      </c>
      <c r="F146" s="3">
        <v>0</v>
      </c>
      <c r="G146" s="3">
        <v>2</v>
      </c>
      <c r="H146" s="3">
        <v>5000</v>
      </c>
      <c r="I146" s="3">
        <v>30</v>
      </c>
      <c r="J146" s="3" t="s">
        <v>17403</v>
      </c>
      <c r="K146" s="3">
        <v>31</v>
      </c>
      <c r="L146" s="3">
        <v>15</v>
      </c>
      <c r="M146" s="3">
        <v>0</v>
      </c>
      <c r="N146" s="3">
        <v>6</v>
      </c>
      <c r="O146" s="3">
        <v>5</v>
      </c>
      <c r="P146" s="3">
        <v>5</v>
      </c>
      <c r="Q146" s="3" t="s">
        <v>9189</v>
      </c>
      <c r="R146" s="6">
        <v>44623</v>
      </c>
    </row>
    <row r="147" spans="1:18" ht="12.5" x14ac:dyDescent="0.25">
      <c r="A147" s="21" t="str">
        <f>HYPERLINK("https://gerandofalcoes.my.salesforce.com/0014P00003YSp7kQAD", "0014P00003YSp7kQAD")</f>
        <v>0014P00003YSp7kQAD</v>
      </c>
      <c r="B147" s="3" t="s">
        <v>17559</v>
      </c>
      <c r="C147" s="3" t="s">
        <v>2538</v>
      </c>
      <c r="D147" s="3" t="s">
        <v>46</v>
      </c>
      <c r="E147" s="3">
        <v>32</v>
      </c>
      <c r="F147" s="3">
        <v>0</v>
      </c>
      <c r="G147" s="3">
        <v>2</v>
      </c>
      <c r="H147" s="3">
        <v>0</v>
      </c>
      <c r="I147" s="3">
        <v>17</v>
      </c>
      <c r="J147" s="3" t="s">
        <v>17403</v>
      </c>
      <c r="K147" s="3">
        <v>26</v>
      </c>
      <c r="L147" s="3">
        <v>15</v>
      </c>
      <c r="M147" s="3">
        <v>0</v>
      </c>
      <c r="N147" s="3">
        <v>6</v>
      </c>
      <c r="O147" s="3">
        <v>0</v>
      </c>
      <c r="P147" s="3">
        <v>5</v>
      </c>
      <c r="Q147" s="3" t="s">
        <v>9207</v>
      </c>
      <c r="R147" s="6">
        <v>44623</v>
      </c>
    </row>
    <row r="148" spans="1:18" ht="12.5" x14ac:dyDescent="0.25">
      <c r="A148" s="21" t="str">
        <f>HYPERLINK("https://gerandofalcoes.my.salesforce.com/0014P00003YSp7lQAD", "0014P00003YSp7lQAD")</f>
        <v>0014P00003YSp7lQAD</v>
      </c>
      <c r="B148" s="3" t="s">
        <v>17560</v>
      </c>
      <c r="C148" s="3" t="s">
        <v>2538</v>
      </c>
      <c r="D148" s="3" t="s">
        <v>46</v>
      </c>
      <c r="E148" s="3">
        <v>37</v>
      </c>
      <c r="F148" s="3">
        <v>0</v>
      </c>
      <c r="G148" s="3">
        <v>2</v>
      </c>
      <c r="H148" s="3">
        <v>50000</v>
      </c>
      <c r="I148" s="3">
        <v>20</v>
      </c>
      <c r="J148" s="3" t="s">
        <v>17403</v>
      </c>
      <c r="K148" s="3">
        <v>36</v>
      </c>
      <c r="L148" s="3">
        <v>15</v>
      </c>
      <c r="M148" s="3">
        <v>0</v>
      </c>
      <c r="N148" s="3">
        <v>6</v>
      </c>
      <c r="O148" s="3">
        <v>10</v>
      </c>
      <c r="P148" s="3">
        <v>5</v>
      </c>
      <c r="Q148" s="3" t="s">
        <v>9221</v>
      </c>
      <c r="R148" s="6">
        <v>44623</v>
      </c>
    </row>
    <row r="149" spans="1:18" ht="12.5" x14ac:dyDescent="0.25">
      <c r="A149" s="21" t="str">
        <f>HYPERLINK("https://gerandofalcoes.my.salesforce.com/0014P00003YSp7mQAD", "0014P00003YSp7mQAD")</f>
        <v>0014P00003YSp7mQAD</v>
      </c>
      <c r="B149" s="3" t="s">
        <v>17561</v>
      </c>
      <c r="C149" s="3" t="s">
        <v>2538</v>
      </c>
      <c r="D149" s="3" t="s">
        <v>46</v>
      </c>
      <c r="E149" s="3">
        <v>35</v>
      </c>
      <c r="F149" s="3">
        <v>5</v>
      </c>
      <c r="G149" s="3">
        <v>4</v>
      </c>
      <c r="H149" s="3">
        <v>0</v>
      </c>
      <c r="I149" s="3">
        <v>53</v>
      </c>
      <c r="J149" s="3" t="s">
        <v>17403</v>
      </c>
      <c r="K149" s="3">
        <v>35</v>
      </c>
      <c r="L149" s="3">
        <v>15</v>
      </c>
      <c r="M149" s="3">
        <v>5</v>
      </c>
      <c r="N149" s="3">
        <v>10</v>
      </c>
      <c r="O149" s="3">
        <v>0</v>
      </c>
      <c r="P149" s="3">
        <v>5</v>
      </c>
      <c r="Q149" s="3" t="s">
        <v>9236</v>
      </c>
      <c r="R149" s="6">
        <v>44623</v>
      </c>
    </row>
    <row r="150" spans="1:18" ht="12.5" x14ac:dyDescent="0.25">
      <c r="A150" s="21" t="str">
        <f>HYPERLINK("https://gerandofalcoes.my.salesforce.com/0014P00003YSp7nQAD", "0014P00003YSp7nQAD")</f>
        <v>0014P00003YSp7nQAD</v>
      </c>
      <c r="B150" s="3" t="s">
        <v>17562</v>
      </c>
      <c r="C150" s="3" t="s">
        <v>2538</v>
      </c>
      <c r="D150" s="3" t="s">
        <v>46</v>
      </c>
      <c r="E150" s="3">
        <v>25</v>
      </c>
      <c r="F150" s="3">
        <v>7</v>
      </c>
      <c r="G150" s="3">
        <v>6</v>
      </c>
      <c r="H150" s="3">
        <v>200000</v>
      </c>
      <c r="I150" s="3">
        <v>350</v>
      </c>
      <c r="J150" s="3" t="s">
        <v>17406</v>
      </c>
      <c r="K150" s="3">
        <v>65</v>
      </c>
      <c r="L150" s="3">
        <v>15</v>
      </c>
      <c r="M150" s="3">
        <v>10</v>
      </c>
      <c r="N150" s="3">
        <v>10</v>
      </c>
      <c r="O150" s="3">
        <v>15</v>
      </c>
      <c r="P150" s="3">
        <v>15</v>
      </c>
      <c r="Q150" s="3" t="s">
        <v>9252</v>
      </c>
      <c r="R150" s="6">
        <v>44623</v>
      </c>
    </row>
    <row r="151" spans="1:18" ht="12.5" x14ac:dyDescent="0.25">
      <c r="A151" s="21" t="str">
        <f>HYPERLINK("https://gerandofalcoes.my.salesforce.com/0014P00003YSp7oQAD", "0014P00003YSp7oQAD")</f>
        <v>0014P00003YSp7oQAD</v>
      </c>
      <c r="B151" s="3" t="s">
        <v>17563</v>
      </c>
      <c r="C151" s="3" t="s">
        <v>2538</v>
      </c>
      <c r="D151" s="3" t="s">
        <v>46</v>
      </c>
      <c r="E151" s="3">
        <v>14</v>
      </c>
      <c r="F151" s="3">
        <v>30</v>
      </c>
      <c r="G151" s="3">
        <v>2</v>
      </c>
      <c r="H151" s="3">
        <v>10000</v>
      </c>
      <c r="I151" s="3">
        <v>350</v>
      </c>
      <c r="J151" s="3" t="s">
        <v>17403</v>
      </c>
      <c r="K151" s="3">
        <v>48</v>
      </c>
      <c r="L151" s="3">
        <v>10</v>
      </c>
      <c r="M151" s="3">
        <v>12</v>
      </c>
      <c r="N151" s="3">
        <v>6</v>
      </c>
      <c r="O151" s="3">
        <v>5</v>
      </c>
      <c r="P151" s="3">
        <v>15</v>
      </c>
      <c r="Q151" s="3" t="s">
        <v>9263</v>
      </c>
      <c r="R151" s="6">
        <v>44623</v>
      </c>
    </row>
    <row r="152" spans="1:18" ht="12.5" x14ac:dyDescent="0.25">
      <c r="A152" s="21" t="str">
        <f>HYPERLINK("https://gerandofalcoes.my.salesforce.com/0014P00003YSp7pQAD", "0014P00003YSp7pQAD")</f>
        <v>0014P00003YSp7pQAD</v>
      </c>
      <c r="B152" s="3" t="s">
        <v>17564</v>
      </c>
      <c r="C152" s="3" t="s">
        <v>2538</v>
      </c>
      <c r="D152" s="3" t="s">
        <v>46</v>
      </c>
      <c r="E152" s="3">
        <v>19</v>
      </c>
      <c r="F152" s="3">
        <v>0</v>
      </c>
      <c r="G152" s="3">
        <v>3</v>
      </c>
      <c r="H152" s="3">
        <v>150000</v>
      </c>
      <c r="I152" s="3">
        <v>190</v>
      </c>
      <c r="J152" s="3" t="s">
        <v>17403</v>
      </c>
      <c r="K152" s="3">
        <v>45</v>
      </c>
      <c r="L152" s="3">
        <v>10</v>
      </c>
      <c r="M152" s="3">
        <v>0</v>
      </c>
      <c r="N152" s="3">
        <v>8</v>
      </c>
      <c r="O152" s="3">
        <v>15</v>
      </c>
      <c r="P152" s="3">
        <v>12</v>
      </c>
      <c r="Q152" s="3" t="s">
        <v>9282</v>
      </c>
      <c r="R152" s="6">
        <v>44623</v>
      </c>
    </row>
    <row r="153" spans="1:18" ht="12.5" x14ac:dyDescent="0.25">
      <c r="A153" s="21" t="str">
        <f>HYPERLINK("https://gerandofalcoes.my.salesforce.com/0014P00003YSp7qQAD", "0014P00003YSp7qQAD")</f>
        <v>0014P00003YSp7qQAD</v>
      </c>
      <c r="B153" s="3" t="s">
        <v>17565</v>
      </c>
      <c r="C153" s="3" t="s">
        <v>2538</v>
      </c>
      <c r="D153" s="3" t="s">
        <v>46</v>
      </c>
      <c r="E153" s="3">
        <v>24</v>
      </c>
      <c r="F153" s="3">
        <v>5</v>
      </c>
      <c r="G153" s="3">
        <v>2</v>
      </c>
      <c r="H153" s="3">
        <v>7000</v>
      </c>
      <c r="I153" s="3">
        <v>1250</v>
      </c>
      <c r="J153" s="3" t="s">
        <v>17403</v>
      </c>
      <c r="K153" s="3">
        <v>46</v>
      </c>
      <c r="L153" s="3">
        <v>10</v>
      </c>
      <c r="M153" s="3">
        <v>5</v>
      </c>
      <c r="N153" s="3">
        <v>6</v>
      </c>
      <c r="O153" s="3">
        <v>5</v>
      </c>
      <c r="P153" s="3">
        <v>20</v>
      </c>
      <c r="Q153" s="3" t="s">
        <v>9294</v>
      </c>
      <c r="R153" s="6">
        <v>44623</v>
      </c>
    </row>
    <row r="154" spans="1:18" ht="12.5" x14ac:dyDescent="0.25">
      <c r="A154" s="21" t="str">
        <f>HYPERLINK("https://gerandofalcoes.my.salesforce.com/0014P00003YSp7rQAD", "0014P00003YSp7rQAD")</f>
        <v>0014P00003YSp7rQAD</v>
      </c>
      <c r="B154" s="3" t="s">
        <v>17566</v>
      </c>
      <c r="C154" s="3" t="s">
        <v>2538</v>
      </c>
      <c r="D154" s="3" t="s">
        <v>46</v>
      </c>
      <c r="E154" s="3">
        <v>21</v>
      </c>
      <c r="F154" s="3">
        <v>1</v>
      </c>
      <c r="G154" s="3">
        <v>2</v>
      </c>
      <c r="H154" s="3">
        <v>11000</v>
      </c>
      <c r="I154" s="3">
        <v>320</v>
      </c>
      <c r="J154" s="3" t="s">
        <v>17403</v>
      </c>
      <c r="K154" s="3">
        <v>41</v>
      </c>
      <c r="L154" s="3">
        <v>10</v>
      </c>
      <c r="M154" s="3">
        <v>5</v>
      </c>
      <c r="N154" s="3">
        <v>6</v>
      </c>
      <c r="O154" s="3">
        <v>5</v>
      </c>
      <c r="P154" s="3">
        <v>15</v>
      </c>
      <c r="Q154" s="3" t="s">
        <v>9310</v>
      </c>
      <c r="R154" s="6">
        <v>44623</v>
      </c>
    </row>
    <row r="155" spans="1:18" ht="12.5" x14ac:dyDescent="0.25">
      <c r="A155" s="21" t="str">
        <f>HYPERLINK("https://gerandofalcoes.my.salesforce.com/0014P00003YSp7sQAD", "0014P00003YSp7sQAD")</f>
        <v>0014P00003YSp7sQAD</v>
      </c>
      <c r="B155" s="3" t="s">
        <v>17567</v>
      </c>
      <c r="C155" s="3" t="s">
        <v>2538</v>
      </c>
      <c r="D155" s="3" t="s">
        <v>152</v>
      </c>
      <c r="E155" s="3">
        <v>42</v>
      </c>
      <c r="F155" s="3">
        <v>12</v>
      </c>
      <c r="G155" s="3">
        <v>3</v>
      </c>
      <c r="H155" s="3">
        <v>60000</v>
      </c>
      <c r="I155" s="3">
        <v>300</v>
      </c>
      <c r="J155" s="3" t="s">
        <v>17403</v>
      </c>
      <c r="K155" s="3">
        <v>60</v>
      </c>
      <c r="L155" s="3">
        <v>15</v>
      </c>
      <c r="M155" s="3">
        <v>12</v>
      </c>
      <c r="N155" s="3">
        <v>8</v>
      </c>
      <c r="O155" s="3">
        <v>10</v>
      </c>
      <c r="P155" s="3">
        <v>15</v>
      </c>
      <c r="Q155" s="3" t="s">
        <v>9326</v>
      </c>
      <c r="R155" s="6">
        <v>44623</v>
      </c>
    </row>
    <row r="156" spans="1:18" ht="12.5" x14ac:dyDescent="0.25">
      <c r="A156" s="21" t="str">
        <f>HYPERLINK("https://gerandofalcoes.my.salesforce.com/0014P00003YSp7tQAD", "0014P00003YSp7tQAD")</f>
        <v>0014P00003YSp7tQAD</v>
      </c>
      <c r="B156" s="3" t="s">
        <v>9343</v>
      </c>
      <c r="C156" s="3" t="s">
        <v>2538</v>
      </c>
      <c r="D156" s="3" t="s">
        <v>46</v>
      </c>
      <c r="E156" s="3">
        <v>25</v>
      </c>
      <c r="F156" s="3">
        <v>8</v>
      </c>
      <c r="G156" s="3">
        <v>2</v>
      </c>
      <c r="H156" s="3">
        <v>0</v>
      </c>
      <c r="I156" s="3">
        <v>0</v>
      </c>
      <c r="J156" s="3" t="s">
        <v>17403</v>
      </c>
      <c r="K156" s="3">
        <v>31</v>
      </c>
      <c r="L156" s="3">
        <v>15</v>
      </c>
      <c r="M156" s="3">
        <v>10</v>
      </c>
      <c r="N156" s="3">
        <v>6</v>
      </c>
      <c r="O156" s="3">
        <v>0</v>
      </c>
      <c r="P156" s="3">
        <v>0</v>
      </c>
      <c r="Q156" s="3" t="s">
        <v>9345</v>
      </c>
      <c r="R156" s="6">
        <v>44623</v>
      </c>
    </row>
    <row r="157" spans="1:18" ht="12.5" x14ac:dyDescent="0.25">
      <c r="A157" s="21" t="str">
        <f>HYPERLINK("https://gerandofalcoes.my.salesforce.com/0014P00003YSp7uQAD", "0014P00003YSp7uQAD")</f>
        <v>0014P00003YSp7uQAD</v>
      </c>
      <c r="B157" s="3" t="s">
        <v>17568</v>
      </c>
      <c r="C157" s="3" t="s">
        <v>2538</v>
      </c>
      <c r="D157" s="3" t="s">
        <v>46</v>
      </c>
      <c r="E157" s="3">
        <v>35</v>
      </c>
      <c r="F157" s="3">
        <v>5</v>
      </c>
      <c r="G157" s="3">
        <v>6</v>
      </c>
      <c r="H157" s="3">
        <v>250000</v>
      </c>
      <c r="I157" s="3">
        <v>5000</v>
      </c>
      <c r="J157" s="3" t="s">
        <v>17406</v>
      </c>
      <c r="K157" s="3">
        <v>65</v>
      </c>
      <c r="L157" s="3">
        <v>15</v>
      </c>
      <c r="M157" s="3">
        <v>5</v>
      </c>
      <c r="N157" s="3">
        <v>10</v>
      </c>
      <c r="O157" s="3">
        <v>15</v>
      </c>
      <c r="P157" s="3">
        <v>20</v>
      </c>
      <c r="Q157" s="3" t="s">
        <v>9360</v>
      </c>
      <c r="R157" s="6">
        <v>44623</v>
      </c>
    </row>
    <row r="158" spans="1:18" ht="12.5" x14ac:dyDescent="0.25">
      <c r="A158" s="21" t="str">
        <f>HYPERLINK("https://gerandofalcoes.my.salesforce.com/0014P00003YSp7vQAD", "0014P00003YSp7vQAD")</f>
        <v>0014P00003YSp7vQAD</v>
      </c>
      <c r="B158" s="3" t="s">
        <v>17569</v>
      </c>
      <c r="C158" s="3" t="s">
        <v>2538</v>
      </c>
      <c r="D158" s="3" t="s">
        <v>46</v>
      </c>
      <c r="E158" s="3">
        <v>20</v>
      </c>
      <c r="F158" s="3">
        <v>2</v>
      </c>
      <c r="G158" s="3">
        <v>2</v>
      </c>
      <c r="H158" s="3">
        <v>7000</v>
      </c>
      <c r="I158" s="3">
        <v>349</v>
      </c>
      <c r="J158" s="3" t="s">
        <v>17403</v>
      </c>
      <c r="K158" s="3">
        <v>41</v>
      </c>
      <c r="L158" s="3">
        <v>10</v>
      </c>
      <c r="M158" s="3">
        <v>5</v>
      </c>
      <c r="N158" s="3">
        <v>6</v>
      </c>
      <c r="O158" s="3">
        <v>5</v>
      </c>
      <c r="P158" s="3">
        <v>15</v>
      </c>
      <c r="Q158" s="3" t="s">
        <v>9379</v>
      </c>
      <c r="R158" s="6">
        <v>44623</v>
      </c>
    </row>
    <row r="159" spans="1:18" ht="12.5" x14ac:dyDescent="0.25">
      <c r="A159" s="21" t="str">
        <f>HYPERLINK("https://gerandofalcoes.my.salesforce.com/0014P00003YSp7xQAD", "0014P00003YSp7xQAD")</f>
        <v>0014P00003YSp7xQAD</v>
      </c>
      <c r="B159" s="3" t="s">
        <v>17570</v>
      </c>
      <c r="C159" s="3" t="s">
        <v>2538</v>
      </c>
      <c r="D159" s="3" t="s">
        <v>46</v>
      </c>
      <c r="E159" s="3">
        <v>13</v>
      </c>
      <c r="F159" s="3">
        <v>7</v>
      </c>
      <c r="G159" s="3">
        <v>3</v>
      </c>
      <c r="H159" s="3">
        <v>1000</v>
      </c>
      <c r="I159" s="3">
        <v>30</v>
      </c>
      <c r="J159" s="3" t="s">
        <v>17403</v>
      </c>
      <c r="K159" s="3">
        <v>38</v>
      </c>
      <c r="L159" s="3">
        <v>10</v>
      </c>
      <c r="M159" s="3">
        <v>10</v>
      </c>
      <c r="N159" s="3">
        <v>8</v>
      </c>
      <c r="O159" s="3">
        <v>5</v>
      </c>
      <c r="P159" s="3">
        <v>5</v>
      </c>
      <c r="Q159" s="3" t="s">
        <v>9391</v>
      </c>
      <c r="R159" s="6">
        <v>44623</v>
      </c>
    </row>
    <row r="160" spans="1:18" ht="12.5" x14ac:dyDescent="0.25">
      <c r="A160" s="21" t="str">
        <f>HYPERLINK("https://gerandofalcoes.my.salesforce.com/0014P00003YSp7yQAD", "0014P00003YSp7yQAD")</f>
        <v>0014P00003YSp7yQAD</v>
      </c>
      <c r="B160" s="3" t="s">
        <v>17571</v>
      </c>
      <c r="C160" s="3" t="s">
        <v>2538</v>
      </c>
      <c r="D160" s="3" t="s">
        <v>46</v>
      </c>
      <c r="E160" s="3">
        <v>12</v>
      </c>
      <c r="F160" s="3">
        <v>0</v>
      </c>
      <c r="G160" s="3">
        <v>2</v>
      </c>
      <c r="H160" s="3">
        <v>20000</v>
      </c>
      <c r="I160" s="3">
        <v>600</v>
      </c>
      <c r="J160" s="3" t="s">
        <v>17403</v>
      </c>
      <c r="K160" s="3">
        <v>41</v>
      </c>
      <c r="L160" s="3">
        <v>10</v>
      </c>
      <c r="M160" s="3">
        <v>0</v>
      </c>
      <c r="N160" s="3">
        <v>6</v>
      </c>
      <c r="O160" s="3">
        <v>5</v>
      </c>
      <c r="P160" s="3">
        <v>20</v>
      </c>
      <c r="Q160" s="3" t="s">
        <v>9398</v>
      </c>
      <c r="R160" s="6">
        <v>44623</v>
      </c>
    </row>
    <row r="161" spans="1:18" ht="12.5" x14ac:dyDescent="0.25">
      <c r="A161" s="21" t="str">
        <f>HYPERLINK("https://gerandofalcoes.my.salesforce.com/0014P00003YSp7zQAD", "0014P00003YSp7zQAD")</f>
        <v>0014P00003YSp7zQAD</v>
      </c>
      <c r="B161" s="3" t="s">
        <v>17572</v>
      </c>
      <c r="C161" s="3" t="s">
        <v>2538</v>
      </c>
      <c r="D161" s="3" t="s">
        <v>46</v>
      </c>
      <c r="E161" s="3">
        <v>24</v>
      </c>
      <c r="F161" s="3">
        <v>1</v>
      </c>
      <c r="G161" s="3">
        <v>0</v>
      </c>
      <c r="H161" s="3">
        <v>380000</v>
      </c>
      <c r="I161" s="3">
        <v>780</v>
      </c>
      <c r="J161" s="3" t="s">
        <v>17403</v>
      </c>
      <c r="K161" s="3">
        <v>55</v>
      </c>
      <c r="L161" s="3">
        <v>10</v>
      </c>
      <c r="M161" s="3">
        <v>5</v>
      </c>
      <c r="N161" s="3">
        <v>0</v>
      </c>
      <c r="O161" s="3">
        <v>20</v>
      </c>
      <c r="P161" s="3">
        <v>20</v>
      </c>
      <c r="Q161" s="3" t="s">
        <v>9408</v>
      </c>
      <c r="R161" s="6">
        <v>44623</v>
      </c>
    </row>
    <row r="162" spans="1:18" ht="12.5" x14ac:dyDescent="0.25">
      <c r="A162" s="21" t="str">
        <f>HYPERLINK("https://gerandofalcoes.my.salesforce.com/0014P00003YSp81QAD", "0014P00003YSp81QAD")</f>
        <v>0014P00003YSp81QAD</v>
      </c>
      <c r="B162" s="3" t="s">
        <v>9432</v>
      </c>
      <c r="C162" s="3" t="s">
        <v>2538</v>
      </c>
      <c r="D162" s="3" t="s">
        <v>46</v>
      </c>
      <c r="E162" s="3">
        <v>39</v>
      </c>
      <c r="F162" s="3">
        <v>0</v>
      </c>
      <c r="G162" s="3">
        <v>2</v>
      </c>
      <c r="H162" s="3">
        <v>5000</v>
      </c>
      <c r="I162" s="3">
        <v>150</v>
      </c>
      <c r="J162" s="3" t="s">
        <v>17403</v>
      </c>
      <c r="K162" s="3">
        <v>38</v>
      </c>
      <c r="L162" s="3">
        <v>15</v>
      </c>
      <c r="M162" s="3">
        <v>0</v>
      </c>
      <c r="N162" s="3">
        <v>6</v>
      </c>
      <c r="O162" s="3">
        <v>5</v>
      </c>
      <c r="P162" s="3">
        <v>12</v>
      </c>
      <c r="Q162" s="3" t="s">
        <v>9435</v>
      </c>
      <c r="R162" s="6">
        <v>44623</v>
      </c>
    </row>
    <row r="163" spans="1:18" ht="12.5" x14ac:dyDescent="0.25">
      <c r="A163" s="21" t="str">
        <f>HYPERLINK("https://gerandofalcoes.my.salesforce.com/0014P00003YSp82QAD", "0014P00003YSp82QAD")</f>
        <v>0014P00003YSp82QAD</v>
      </c>
      <c r="B163" s="3" t="s">
        <v>17573</v>
      </c>
      <c r="C163" s="3" t="s">
        <v>2538</v>
      </c>
      <c r="D163" s="3" t="s">
        <v>46</v>
      </c>
      <c r="E163" s="3">
        <v>25</v>
      </c>
      <c r="F163" s="3">
        <v>9</v>
      </c>
      <c r="G163" s="3">
        <v>4</v>
      </c>
      <c r="H163" s="3">
        <v>10500</v>
      </c>
      <c r="I163" s="3">
        <v>90</v>
      </c>
      <c r="J163" s="3" t="s">
        <v>17403</v>
      </c>
      <c r="K163" s="3">
        <v>50</v>
      </c>
      <c r="L163" s="3">
        <v>15</v>
      </c>
      <c r="M163" s="3">
        <v>10</v>
      </c>
      <c r="N163" s="3">
        <v>10</v>
      </c>
      <c r="O163" s="3">
        <v>5</v>
      </c>
      <c r="P163" s="3">
        <v>10</v>
      </c>
      <c r="Q163" s="3" t="s">
        <v>9450</v>
      </c>
      <c r="R163" s="6">
        <v>44623</v>
      </c>
    </row>
    <row r="164" spans="1:18" ht="12.5" x14ac:dyDescent="0.25">
      <c r="A164" s="21" t="str">
        <f>HYPERLINK("https://gerandofalcoes.my.salesforce.com/0014P00003YSp83QAD", "0014P00003YSp83QAD")</f>
        <v>0014P00003YSp83QAD</v>
      </c>
      <c r="B164" s="3" t="s">
        <v>17574</v>
      </c>
      <c r="C164" s="3" t="s">
        <v>2538</v>
      </c>
      <c r="D164" s="3" t="s">
        <v>46</v>
      </c>
      <c r="E164" s="3">
        <v>45</v>
      </c>
      <c r="F164" s="3">
        <v>3</v>
      </c>
      <c r="G164" s="3">
        <v>3</v>
      </c>
      <c r="H164" s="3">
        <v>197325</v>
      </c>
      <c r="I164" s="3">
        <v>104</v>
      </c>
      <c r="J164" s="3" t="s">
        <v>17403</v>
      </c>
      <c r="K164" s="3">
        <v>53</v>
      </c>
      <c r="L164" s="3">
        <v>15</v>
      </c>
      <c r="M164" s="3">
        <v>5</v>
      </c>
      <c r="N164" s="3">
        <v>8</v>
      </c>
      <c r="O164" s="3">
        <v>15</v>
      </c>
      <c r="P164" s="3">
        <v>10</v>
      </c>
      <c r="Q164" s="3" t="s">
        <v>9463</v>
      </c>
      <c r="R164" s="6">
        <v>44623</v>
      </c>
    </row>
    <row r="165" spans="1:18" ht="12.5" x14ac:dyDescent="0.25">
      <c r="A165" s="21" t="str">
        <f>HYPERLINK("https://gerandofalcoes.my.salesforce.com/0014P00003YSp84QAD", "0014P00003YSp84QAD")</f>
        <v>0014P00003YSp84QAD</v>
      </c>
      <c r="B165" s="3" t="s">
        <v>17575</v>
      </c>
      <c r="C165" s="3" t="s">
        <v>2538</v>
      </c>
      <c r="D165" s="3" t="s">
        <v>46</v>
      </c>
      <c r="E165" s="3">
        <v>35</v>
      </c>
      <c r="F165" s="3">
        <v>0</v>
      </c>
      <c r="G165" s="3">
        <v>2</v>
      </c>
      <c r="H165" s="3">
        <v>0</v>
      </c>
      <c r="I165" s="3">
        <v>220</v>
      </c>
      <c r="J165" s="3" t="s">
        <v>17403</v>
      </c>
      <c r="K165" s="3">
        <v>33</v>
      </c>
      <c r="L165" s="3">
        <v>15</v>
      </c>
      <c r="M165" s="3">
        <v>0</v>
      </c>
      <c r="N165" s="3">
        <v>6</v>
      </c>
      <c r="O165" s="3">
        <v>0</v>
      </c>
      <c r="P165" s="3">
        <v>12</v>
      </c>
      <c r="Q165" s="3" t="s">
        <v>9481</v>
      </c>
      <c r="R165" s="6">
        <v>44623</v>
      </c>
    </row>
    <row r="166" spans="1:18" ht="12.5" x14ac:dyDescent="0.25">
      <c r="A166" s="21" t="str">
        <f>HYPERLINK("https://gerandofalcoes.my.salesforce.com/0014P00003YSp86QAD", "0014P00003YSp86QAD")</f>
        <v>0014P00003YSp86QAD</v>
      </c>
      <c r="B166" s="3" t="s">
        <v>9493</v>
      </c>
      <c r="C166" s="3" t="s">
        <v>2538</v>
      </c>
      <c r="D166" s="3" t="s">
        <v>46</v>
      </c>
      <c r="E166" s="3">
        <v>21</v>
      </c>
      <c r="F166" s="3">
        <v>0</v>
      </c>
      <c r="G166" s="3">
        <v>2</v>
      </c>
      <c r="H166" s="3">
        <v>10000</v>
      </c>
      <c r="I166" s="3">
        <v>100</v>
      </c>
      <c r="J166" s="3" t="s">
        <v>17403</v>
      </c>
      <c r="K166" s="3">
        <v>31</v>
      </c>
      <c r="L166" s="3">
        <v>10</v>
      </c>
      <c r="M166" s="3">
        <v>0</v>
      </c>
      <c r="N166" s="3">
        <v>6</v>
      </c>
      <c r="O166" s="3">
        <v>5</v>
      </c>
      <c r="P166" s="3">
        <v>10</v>
      </c>
      <c r="Q166" s="3"/>
      <c r="R166" s="6">
        <v>44623</v>
      </c>
    </row>
    <row r="167" spans="1:18" ht="12.5" x14ac:dyDescent="0.25">
      <c r="A167" s="21" t="str">
        <f>HYPERLINK("https://gerandofalcoes.my.salesforce.com/0014P00003YSp87QAD", "0014P00003YSp87QAD")</f>
        <v>0014P00003YSp87QAD</v>
      </c>
      <c r="B167" s="3" t="s">
        <v>17576</v>
      </c>
      <c r="C167" s="3" t="s">
        <v>2538</v>
      </c>
      <c r="D167" s="3" t="s">
        <v>46</v>
      </c>
      <c r="E167" s="3">
        <v>41</v>
      </c>
      <c r="F167" s="3">
        <v>19</v>
      </c>
      <c r="G167" s="3">
        <v>2</v>
      </c>
      <c r="H167" s="3">
        <v>0</v>
      </c>
      <c r="I167" s="3">
        <v>52</v>
      </c>
      <c r="J167" s="3" t="s">
        <v>17403</v>
      </c>
      <c r="K167" s="3">
        <v>38</v>
      </c>
      <c r="L167" s="3">
        <v>15</v>
      </c>
      <c r="M167" s="3">
        <v>12</v>
      </c>
      <c r="N167" s="3">
        <v>6</v>
      </c>
      <c r="O167" s="3">
        <v>0</v>
      </c>
      <c r="P167" s="3">
        <v>5</v>
      </c>
      <c r="Q167" s="3" t="s">
        <v>9506</v>
      </c>
      <c r="R167" s="6">
        <v>44623</v>
      </c>
    </row>
    <row r="168" spans="1:18" ht="12.5" x14ac:dyDescent="0.25">
      <c r="A168" s="21" t="str">
        <f>HYPERLINK("https://gerandofalcoes.my.salesforce.com/0014P00003YSp88QAD", "0014P00003YSp88QAD")</f>
        <v>0014P00003YSp88QAD</v>
      </c>
      <c r="B168" s="3" t="s">
        <v>17577</v>
      </c>
      <c r="C168" s="3" t="s">
        <v>12704</v>
      </c>
      <c r="D168" s="3" t="s">
        <v>46</v>
      </c>
      <c r="E168" s="3">
        <v>28</v>
      </c>
      <c r="F168" s="3">
        <v>0</v>
      </c>
      <c r="G168" s="3">
        <v>2</v>
      </c>
      <c r="H168" s="3">
        <v>0</v>
      </c>
      <c r="I168" s="3">
        <v>140</v>
      </c>
      <c r="J168" s="3" t="s">
        <v>17403</v>
      </c>
      <c r="K168" s="3">
        <v>31</v>
      </c>
      <c r="L168" s="3">
        <v>15</v>
      </c>
      <c r="M168" s="3">
        <v>0</v>
      </c>
      <c r="N168" s="3">
        <v>6</v>
      </c>
      <c r="O168" s="3">
        <v>0</v>
      </c>
      <c r="P168" s="3">
        <v>10</v>
      </c>
      <c r="Q168" s="3" t="s">
        <v>9521</v>
      </c>
      <c r="R168" s="6">
        <v>44623</v>
      </c>
    </row>
    <row r="169" spans="1:18" ht="12.5" x14ac:dyDescent="0.25">
      <c r="A169" s="21" t="str">
        <f>HYPERLINK("https://gerandofalcoes.my.salesforce.com/0014P00003YSp8AQAT", "0014P00003YSp8AQAT")</f>
        <v>0014P00003YSp8AQAT</v>
      </c>
      <c r="B169" s="3" t="s">
        <v>17578</v>
      </c>
      <c r="C169" s="3" t="s">
        <v>2538</v>
      </c>
      <c r="D169" s="3" t="s">
        <v>46</v>
      </c>
      <c r="E169" s="3">
        <v>31</v>
      </c>
      <c r="F169" s="3">
        <v>15</v>
      </c>
      <c r="G169" s="3">
        <v>2</v>
      </c>
      <c r="H169" s="3">
        <v>1590</v>
      </c>
      <c r="I169" s="3">
        <v>169</v>
      </c>
      <c r="J169" s="3" t="s">
        <v>17403</v>
      </c>
      <c r="K169" s="3">
        <v>50</v>
      </c>
      <c r="L169" s="3">
        <v>15</v>
      </c>
      <c r="M169" s="3">
        <v>12</v>
      </c>
      <c r="N169" s="3">
        <v>6</v>
      </c>
      <c r="O169" s="3">
        <v>5</v>
      </c>
      <c r="P169" s="3">
        <v>12</v>
      </c>
      <c r="Q169" s="3" t="s">
        <v>9536</v>
      </c>
      <c r="R169" s="6">
        <v>44623</v>
      </c>
    </row>
    <row r="170" spans="1:18" ht="12.5" x14ac:dyDescent="0.25">
      <c r="A170" s="21" t="str">
        <f>HYPERLINK("https://gerandofalcoes.my.salesforce.com/0014P00003YSp8BQAT", "0014P00003YSp8BQAT")</f>
        <v>0014P00003YSp8BQAT</v>
      </c>
      <c r="B170" s="3" t="s">
        <v>17579</v>
      </c>
      <c r="C170" s="3" t="s">
        <v>2538</v>
      </c>
      <c r="D170" s="3" t="s">
        <v>46</v>
      </c>
      <c r="E170" s="3">
        <v>24</v>
      </c>
      <c r="F170" s="3">
        <v>0</v>
      </c>
      <c r="G170" s="3">
        <v>2</v>
      </c>
      <c r="H170" s="3">
        <v>600</v>
      </c>
      <c r="I170" s="3">
        <v>520</v>
      </c>
      <c r="J170" s="3" t="s">
        <v>17403</v>
      </c>
      <c r="K170" s="3">
        <v>41</v>
      </c>
      <c r="L170" s="3">
        <v>10</v>
      </c>
      <c r="M170" s="3">
        <v>0</v>
      </c>
      <c r="N170" s="3">
        <v>6</v>
      </c>
      <c r="O170" s="3">
        <v>5</v>
      </c>
      <c r="P170" s="3">
        <v>20</v>
      </c>
      <c r="Q170" s="3" t="s">
        <v>9549</v>
      </c>
      <c r="R170" s="6">
        <v>44623</v>
      </c>
    </row>
    <row r="171" spans="1:18" ht="12.5" x14ac:dyDescent="0.25">
      <c r="A171" s="21" t="str">
        <f>HYPERLINK("https://gerandofalcoes.my.salesforce.com/0014P00003YSp8CQAT", "0014P00003YSp8CQAT")</f>
        <v>0014P00003YSp8CQAT</v>
      </c>
      <c r="B171" s="3" t="s">
        <v>17580</v>
      </c>
      <c r="C171" s="3" t="s">
        <v>2538</v>
      </c>
      <c r="D171" s="3" t="s">
        <v>46</v>
      </c>
      <c r="E171" s="3">
        <v>34</v>
      </c>
      <c r="F171" s="3">
        <v>11</v>
      </c>
      <c r="G171" s="3">
        <v>4</v>
      </c>
      <c r="H171" s="3">
        <v>309270</v>
      </c>
      <c r="I171" s="3">
        <v>186</v>
      </c>
      <c r="J171" s="3" t="s">
        <v>17406</v>
      </c>
      <c r="K171" s="3">
        <v>69</v>
      </c>
      <c r="L171" s="3">
        <v>15</v>
      </c>
      <c r="M171" s="3">
        <v>12</v>
      </c>
      <c r="N171" s="3">
        <v>10</v>
      </c>
      <c r="O171" s="3">
        <v>20</v>
      </c>
      <c r="P171" s="3">
        <v>12</v>
      </c>
      <c r="Q171" s="3" t="s">
        <v>9562</v>
      </c>
      <c r="R171" s="6">
        <v>44623</v>
      </c>
    </row>
    <row r="172" spans="1:18" ht="12.5" x14ac:dyDescent="0.25">
      <c r="A172" s="21" t="str">
        <f>HYPERLINK("https://gerandofalcoes.my.salesforce.com/0014P00003YSp8EQAT", "0014P00003YSp8EQAT")</f>
        <v>0014P00003YSp8EQAT</v>
      </c>
      <c r="B172" s="3" t="s">
        <v>17581</v>
      </c>
      <c r="C172" s="3" t="s">
        <v>2538</v>
      </c>
      <c r="D172" s="3" t="s">
        <v>46</v>
      </c>
      <c r="E172" s="3">
        <v>25</v>
      </c>
      <c r="F172" s="3">
        <v>0</v>
      </c>
      <c r="G172" s="3">
        <v>2</v>
      </c>
      <c r="H172" s="3">
        <v>2000</v>
      </c>
      <c r="I172" s="3">
        <v>130</v>
      </c>
      <c r="J172" s="3" t="s">
        <v>17403</v>
      </c>
      <c r="K172" s="3">
        <v>36</v>
      </c>
      <c r="L172" s="3">
        <v>15</v>
      </c>
      <c r="M172" s="3">
        <v>0</v>
      </c>
      <c r="N172" s="3">
        <v>6</v>
      </c>
      <c r="O172" s="3">
        <v>5</v>
      </c>
      <c r="P172" s="3">
        <v>10</v>
      </c>
      <c r="Q172" s="3" t="s">
        <v>9581</v>
      </c>
      <c r="R172" s="6">
        <v>44623</v>
      </c>
    </row>
    <row r="173" spans="1:18" ht="12.5" x14ac:dyDescent="0.25">
      <c r="A173" s="21" t="str">
        <f>HYPERLINK("https://gerandofalcoes.my.salesforce.com/0014P00003YSp8FQAT", "0014P00003YSp8FQAT")</f>
        <v>0014P00003YSp8FQAT</v>
      </c>
      <c r="B173" s="3" t="s">
        <v>17582</v>
      </c>
      <c r="C173" s="3" t="s">
        <v>2538</v>
      </c>
      <c r="D173" s="3" t="s">
        <v>46</v>
      </c>
      <c r="E173" s="3">
        <v>33</v>
      </c>
      <c r="F173" s="3">
        <v>10</v>
      </c>
      <c r="G173" s="3">
        <v>0</v>
      </c>
      <c r="H173" s="3">
        <v>0</v>
      </c>
      <c r="I173" s="3">
        <v>60</v>
      </c>
      <c r="J173" s="3" t="s">
        <v>17403</v>
      </c>
      <c r="K173" s="3">
        <v>30</v>
      </c>
      <c r="L173" s="3">
        <v>15</v>
      </c>
      <c r="M173" s="3">
        <v>10</v>
      </c>
      <c r="N173" s="3">
        <v>0</v>
      </c>
      <c r="O173" s="3">
        <v>0</v>
      </c>
      <c r="P173" s="3">
        <v>5</v>
      </c>
      <c r="Q173" s="3" t="s">
        <v>9594</v>
      </c>
      <c r="R173" s="6">
        <v>44623</v>
      </c>
    </row>
    <row r="174" spans="1:18" ht="12.5" x14ac:dyDescent="0.25">
      <c r="A174" s="21" t="str">
        <f>HYPERLINK("https://gerandofalcoes.my.salesforce.com/0014P00003YSp8GQAT", "0014P00003YSp8GQAT")</f>
        <v>0014P00003YSp8GQAT</v>
      </c>
      <c r="B174" s="3" t="s">
        <v>17583</v>
      </c>
      <c r="C174" s="3" t="s">
        <v>2538</v>
      </c>
      <c r="D174" s="3" t="s">
        <v>46</v>
      </c>
      <c r="E174" s="3">
        <v>32</v>
      </c>
      <c r="F174" s="3">
        <v>1</v>
      </c>
      <c r="G174" s="3">
        <v>2</v>
      </c>
      <c r="H174" s="3">
        <v>0</v>
      </c>
      <c r="I174" s="3">
        <v>600</v>
      </c>
      <c r="J174" s="3" t="s">
        <v>17403</v>
      </c>
      <c r="K174" s="3">
        <v>46</v>
      </c>
      <c r="L174" s="3">
        <v>15</v>
      </c>
      <c r="M174" s="3">
        <v>5</v>
      </c>
      <c r="N174" s="3">
        <v>6</v>
      </c>
      <c r="O174" s="3">
        <v>0</v>
      </c>
      <c r="P174" s="3">
        <v>20</v>
      </c>
      <c r="Q174" s="3" t="s">
        <v>9606</v>
      </c>
      <c r="R174" s="6">
        <v>44623</v>
      </c>
    </row>
    <row r="175" spans="1:18" ht="12.5" x14ac:dyDescent="0.25">
      <c r="A175" s="21" t="str">
        <f>HYPERLINK("https://gerandofalcoes.my.salesforce.com/0014P00003YSp8HQAT", "0014P00003YSp8HQAT")</f>
        <v>0014P00003YSp8HQAT</v>
      </c>
      <c r="B175" s="3" t="s">
        <v>17584</v>
      </c>
      <c r="C175" s="3" t="s">
        <v>2538</v>
      </c>
      <c r="D175" s="3" t="s">
        <v>46</v>
      </c>
      <c r="E175" s="3">
        <v>28</v>
      </c>
      <c r="F175" s="3">
        <v>2</v>
      </c>
      <c r="G175" s="3">
        <v>2</v>
      </c>
      <c r="H175" s="3">
        <v>8000</v>
      </c>
      <c r="I175" s="3">
        <v>500</v>
      </c>
      <c r="J175" s="3" t="s">
        <v>17403</v>
      </c>
      <c r="K175" s="3">
        <v>51</v>
      </c>
      <c r="L175" s="3">
        <v>15</v>
      </c>
      <c r="M175" s="3">
        <v>5</v>
      </c>
      <c r="N175" s="3">
        <v>6</v>
      </c>
      <c r="O175" s="3">
        <v>5</v>
      </c>
      <c r="P175" s="3">
        <v>20</v>
      </c>
      <c r="Q175" s="3" t="s">
        <v>9622</v>
      </c>
      <c r="R175" s="6">
        <v>44623</v>
      </c>
    </row>
    <row r="176" spans="1:18" ht="12.5" x14ac:dyDescent="0.25">
      <c r="A176" s="21" t="str">
        <f>HYPERLINK("https://gerandofalcoes.my.salesforce.com/0014P00003YSp8IQAT", "0014P00003YSp8IQAT")</f>
        <v>0014P00003YSp8IQAT</v>
      </c>
      <c r="B176" s="3" t="s">
        <v>4744</v>
      </c>
      <c r="C176" s="3" t="s">
        <v>2538</v>
      </c>
      <c r="D176" s="3" t="s">
        <v>46</v>
      </c>
      <c r="E176" s="3">
        <v>34</v>
      </c>
      <c r="F176" s="3">
        <v>0</v>
      </c>
      <c r="G176" s="3">
        <v>2</v>
      </c>
      <c r="H176" s="3">
        <v>50000</v>
      </c>
      <c r="I176" s="3">
        <v>300</v>
      </c>
      <c r="J176" s="3" t="s">
        <v>17403</v>
      </c>
      <c r="K176" s="3">
        <v>46</v>
      </c>
      <c r="L176" s="3">
        <v>15</v>
      </c>
      <c r="M176" s="3">
        <v>0</v>
      </c>
      <c r="N176" s="3">
        <v>6</v>
      </c>
      <c r="O176" s="3">
        <v>10</v>
      </c>
      <c r="P176" s="3">
        <v>15</v>
      </c>
      <c r="Q176" s="3" t="s">
        <v>9635</v>
      </c>
      <c r="R176" s="6">
        <v>44623</v>
      </c>
    </row>
    <row r="177" spans="1:18" ht="12.5" x14ac:dyDescent="0.25">
      <c r="A177" s="21" t="str">
        <f>HYPERLINK("https://gerandofalcoes.my.salesforce.com/0014P00003YSp80QAD", "0014P00003YSp80QAD")</f>
        <v>0014P00003YSp80QAD</v>
      </c>
      <c r="B177" s="3" t="s">
        <v>17585</v>
      </c>
      <c r="C177" s="3" t="s">
        <v>2538</v>
      </c>
      <c r="D177" s="3" t="s">
        <v>46</v>
      </c>
      <c r="E177" s="3">
        <v>20</v>
      </c>
      <c r="F177" s="3">
        <v>1</v>
      </c>
      <c r="G177" s="3">
        <v>2</v>
      </c>
      <c r="H177" s="3">
        <v>12000</v>
      </c>
      <c r="I177" s="3">
        <v>33</v>
      </c>
      <c r="J177" s="3" t="s">
        <v>17403</v>
      </c>
      <c r="K177" s="3">
        <v>31</v>
      </c>
      <c r="L177" s="3">
        <v>10</v>
      </c>
      <c r="M177" s="3">
        <v>5</v>
      </c>
      <c r="N177" s="3">
        <v>6</v>
      </c>
      <c r="O177" s="3">
        <v>5</v>
      </c>
      <c r="P177" s="3">
        <v>5</v>
      </c>
      <c r="Q177" s="3" t="s">
        <v>9425</v>
      </c>
      <c r="R177" s="6">
        <v>44623</v>
      </c>
    </row>
    <row r="178" spans="1:18" ht="12.5" x14ac:dyDescent="0.25">
      <c r="A178" s="21" t="str">
        <f>HYPERLINK("https://gerandofalcoes.my.salesforce.com/0014P00003YSp8JQAT", "0014P00003YSp8JQAT")</f>
        <v>0014P00003YSp8JQAT</v>
      </c>
      <c r="B178" s="3" t="s">
        <v>17586</v>
      </c>
      <c r="C178" s="3" t="s">
        <v>2538</v>
      </c>
      <c r="D178" s="3" t="s">
        <v>46</v>
      </c>
      <c r="E178" s="3">
        <v>33</v>
      </c>
      <c r="F178" s="3">
        <v>9</v>
      </c>
      <c r="G178" s="3">
        <v>2</v>
      </c>
      <c r="H178" s="3">
        <v>105000</v>
      </c>
      <c r="I178" s="3">
        <v>68</v>
      </c>
      <c r="J178" s="3" t="s">
        <v>17403</v>
      </c>
      <c r="K178" s="3">
        <v>51</v>
      </c>
      <c r="L178" s="3">
        <v>15</v>
      </c>
      <c r="M178" s="3">
        <v>10</v>
      </c>
      <c r="N178" s="3">
        <v>6</v>
      </c>
      <c r="O178" s="3">
        <v>15</v>
      </c>
      <c r="P178" s="3">
        <v>5</v>
      </c>
      <c r="Q178" s="3" t="s">
        <v>9652</v>
      </c>
      <c r="R178" s="6">
        <v>44623</v>
      </c>
    </row>
    <row r="179" spans="1:18" ht="12.5" x14ac:dyDescent="0.25">
      <c r="A179" s="21" t="str">
        <f>HYPERLINK("https://gerandofalcoes.my.salesforce.com/0014P00003YSp8KQAT", "0014P00003YSp8KQAT")</f>
        <v>0014P00003YSp8KQAT</v>
      </c>
      <c r="B179" s="3" t="s">
        <v>17587</v>
      </c>
      <c r="C179" s="3" t="s">
        <v>2538</v>
      </c>
      <c r="D179" s="3" t="s">
        <v>46</v>
      </c>
      <c r="E179" s="3">
        <v>33</v>
      </c>
      <c r="F179" s="3">
        <v>2</v>
      </c>
      <c r="G179" s="3">
        <v>4</v>
      </c>
      <c r="H179" s="3">
        <v>400000</v>
      </c>
      <c r="I179" s="3">
        <v>250</v>
      </c>
      <c r="J179" s="3" t="s">
        <v>17403</v>
      </c>
      <c r="K179" s="3">
        <v>62</v>
      </c>
      <c r="L179" s="3">
        <v>15</v>
      </c>
      <c r="M179" s="3">
        <v>5</v>
      </c>
      <c r="N179" s="3">
        <v>10</v>
      </c>
      <c r="O179" s="3">
        <v>20</v>
      </c>
      <c r="P179" s="3">
        <v>12</v>
      </c>
      <c r="Q179" s="3" t="s">
        <v>9667</v>
      </c>
      <c r="R179" s="6">
        <v>44623</v>
      </c>
    </row>
    <row r="180" spans="1:18" ht="12.5" x14ac:dyDescent="0.25">
      <c r="A180" s="21" t="str">
        <f>HYPERLINK("https://gerandofalcoes.my.salesforce.com/0014P00003YSp8LQAT", "0014P00003YSp8LQAT")</f>
        <v>0014P00003YSp8LQAT</v>
      </c>
      <c r="B180" s="3" t="s">
        <v>17588</v>
      </c>
      <c r="C180" s="3" t="s">
        <v>2538</v>
      </c>
      <c r="D180" s="3" t="s">
        <v>46</v>
      </c>
      <c r="E180" s="3">
        <v>24</v>
      </c>
      <c r="F180" s="3">
        <v>0</v>
      </c>
      <c r="G180" s="3">
        <v>2</v>
      </c>
      <c r="H180" s="3">
        <v>5000</v>
      </c>
      <c r="I180" s="3">
        <v>18</v>
      </c>
      <c r="J180" s="3" t="s">
        <v>17403</v>
      </c>
      <c r="K180" s="3">
        <v>26</v>
      </c>
      <c r="L180" s="3">
        <v>10</v>
      </c>
      <c r="M180" s="3">
        <v>0</v>
      </c>
      <c r="N180" s="3">
        <v>6</v>
      </c>
      <c r="O180" s="3">
        <v>5</v>
      </c>
      <c r="P180" s="3">
        <v>5</v>
      </c>
      <c r="Q180" s="3" t="s">
        <v>9684</v>
      </c>
      <c r="R180" s="6">
        <v>44623</v>
      </c>
    </row>
    <row r="181" spans="1:18" ht="12.5" x14ac:dyDescent="0.25">
      <c r="A181" s="21" t="str">
        <f>HYPERLINK("https://gerandofalcoes.my.salesforce.com/0014P00003YSp8MQAT", "0014P00003YSp8MQAT")</f>
        <v>0014P00003YSp8MQAT</v>
      </c>
      <c r="B181" s="3" t="s">
        <v>17589</v>
      </c>
      <c r="C181" s="3" t="s">
        <v>2538</v>
      </c>
      <c r="D181" s="3" t="s">
        <v>46</v>
      </c>
      <c r="E181" s="3">
        <v>35</v>
      </c>
      <c r="F181" s="3">
        <v>15</v>
      </c>
      <c r="G181" s="3">
        <v>2</v>
      </c>
      <c r="H181" s="3">
        <v>300000</v>
      </c>
      <c r="I181" s="3">
        <v>281</v>
      </c>
      <c r="J181" s="3" t="s">
        <v>17406</v>
      </c>
      <c r="K181" s="3">
        <v>65</v>
      </c>
      <c r="L181" s="3">
        <v>15</v>
      </c>
      <c r="M181" s="3">
        <v>12</v>
      </c>
      <c r="N181" s="3">
        <v>6</v>
      </c>
      <c r="O181" s="3">
        <v>20</v>
      </c>
      <c r="P181" s="3">
        <v>12</v>
      </c>
      <c r="Q181" s="3" t="s">
        <v>9696</v>
      </c>
      <c r="R181" s="6">
        <v>44623</v>
      </c>
    </row>
    <row r="182" spans="1:18" ht="12.5" x14ac:dyDescent="0.25">
      <c r="A182" s="21" t="str">
        <f>HYPERLINK("https://gerandofalcoes.my.salesforce.com/0014P00003YSp8NQAT", "0014P00003YSp8NQAT")</f>
        <v>0014P00003YSp8NQAT</v>
      </c>
      <c r="B182" s="3" t="s">
        <v>17590</v>
      </c>
      <c r="C182" s="3" t="s">
        <v>2538</v>
      </c>
      <c r="D182" s="3" t="s">
        <v>46</v>
      </c>
      <c r="E182" s="3">
        <v>29</v>
      </c>
      <c r="F182" s="3">
        <v>3</v>
      </c>
      <c r="G182" s="3">
        <v>2</v>
      </c>
      <c r="H182" s="3">
        <v>13121</v>
      </c>
      <c r="I182" s="3">
        <v>800</v>
      </c>
      <c r="J182" s="3" t="s">
        <v>17403</v>
      </c>
      <c r="K182" s="3">
        <v>51</v>
      </c>
      <c r="L182" s="3">
        <v>15</v>
      </c>
      <c r="M182" s="3">
        <v>5</v>
      </c>
      <c r="N182" s="3">
        <v>6</v>
      </c>
      <c r="O182" s="3">
        <v>5</v>
      </c>
      <c r="P182" s="3">
        <v>20</v>
      </c>
      <c r="Q182" s="3" t="s">
        <v>9713</v>
      </c>
      <c r="R182" s="6">
        <v>44623</v>
      </c>
    </row>
    <row r="183" spans="1:18" ht="12.5" x14ac:dyDescent="0.25">
      <c r="A183" s="21" t="str">
        <f>HYPERLINK("https://gerandofalcoes.my.salesforce.com/0014P00003YSp8OQAT", "0014P00003YSp8OQAT")</f>
        <v>0014P00003YSp8OQAT</v>
      </c>
      <c r="B183" s="3" t="s">
        <v>17591</v>
      </c>
      <c r="C183" s="3" t="s">
        <v>2538</v>
      </c>
      <c r="D183" s="3" t="s">
        <v>46</v>
      </c>
      <c r="E183" s="3">
        <v>41</v>
      </c>
      <c r="F183" s="3">
        <v>1</v>
      </c>
      <c r="G183" s="3">
        <v>3</v>
      </c>
      <c r="H183" s="3">
        <v>25000</v>
      </c>
      <c r="I183" s="3">
        <v>90</v>
      </c>
      <c r="J183" s="3" t="s">
        <v>17403</v>
      </c>
      <c r="K183" s="3">
        <v>48</v>
      </c>
      <c r="L183" s="3">
        <v>15</v>
      </c>
      <c r="M183" s="3">
        <v>5</v>
      </c>
      <c r="N183" s="3">
        <v>8</v>
      </c>
      <c r="O183" s="3">
        <v>10</v>
      </c>
      <c r="P183" s="3">
        <v>10</v>
      </c>
      <c r="Q183" s="3" t="s">
        <v>9730</v>
      </c>
      <c r="R183" s="6">
        <v>44623</v>
      </c>
    </row>
    <row r="184" spans="1:18" ht="12.5" x14ac:dyDescent="0.25">
      <c r="A184" s="21" t="str">
        <f>HYPERLINK("https://gerandofalcoes.my.salesforce.com/0014P00003YSp8PQAT", "0014P00003YSp8PQAT")</f>
        <v>0014P00003YSp8PQAT</v>
      </c>
      <c r="B184" s="3" t="s">
        <v>17592</v>
      </c>
      <c r="C184" s="3" t="s">
        <v>2538</v>
      </c>
      <c r="D184" s="3" t="s">
        <v>46</v>
      </c>
      <c r="E184" s="3">
        <v>24</v>
      </c>
      <c r="F184" s="3">
        <v>0</v>
      </c>
      <c r="G184" s="3">
        <v>2</v>
      </c>
      <c r="H184" s="3">
        <v>60000</v>
      </c>
      <c r="I184" s="3">
        <v>200</v>
      </c>
      <c r="J184" s="3" t="s">
        <v>17403</v>
      </c>
      <c r="K184" s="3">
        <v>38</v>
      </c>
      <c r="L184" s="3">
        <v>10</v>
      </c>
      <c r="M184" s="3">
        <v>0</v>
      </c>
      <c r="N184" s="3">
        <v>6</v>
      </c>
      <c r="O184" s="3">
        <v>10</v>
      </c>
      <c r="P184" s="3">
        <v>12</v>
      </c>
      <c r="Q184" s="3" t="s">
        <v>9748</v>
      </c>
      <c r="R184" s="6">
        <v>44623</v>
      </c>
    </row>
    <row r="185" spans="1:18" ht="12.5" x14ac:dyDescent="0.25">
      <c r="A185" s="21" t="str">
        <f>HYPERLINK("https://gerandofalcoes.my.salesforce.com/0014P00003YSp8QQAT", "0014P00003YSp8QQAT")</f>
        <v>0014P00003YSp8QQAT</v>
      </c>
      <c r="B185" s="3" t="s">
        <v>17593</v>
      </c>
      <c r="C185" s="3" t="s">
        <v>2538</v>
      </c>
      <c r="D185" s="3" t="s">
        <v>46</v>
      </c>
      <c r="E185" s="3">
        <v>22</v>
      </c>
      <c r="F185" s="3">
        <v>7</v>
      </c>
      <c r="G185" s="3">
        <v>2</v>
      </c>
      <c r="H185" s="3">
        <v>300000</v>
      </c>
      <c r="I185" s="3">
        <v>61</v>
      </c>
      <c r="J185" s="3" t="s">
        <v>17403</v>
      </c>
      <c r="K185" s="3">
        <v>51</v>
      </c>
      <c r="L185" s="3">
        <v>10</v>
      </c>
      <c r="M185" s="3">
        <v>10</v>
      </c>
      <c r="N185" s="3">
        <v>6</v>
      </c>
      <c r="O185" s="3">
        <v>20</v>
      </c>
      <c r="P185" s="3">
        <v>5</v>
      </c>
      <c r="Q185" s="3" t="s">
        <v>9760</v>
      </c>
      <c r="R185" s="6">
        <v>44623</v>
      </c>
    </row>
    <row r="186" spans="1:18" ht="12.5" x14ac:dyDescent="0.25">
      <c r="A186" s="21" t="str">
        <f>HYPERLINK("https://gerandofalcoes.my.salesforce.com/0014P00003YSp8RQAT", "0014P00003YSp8RQAT")</f>
        <v>0014P00003YSp8RQAT</v>
      </c>
      <c r="B186" s="3" t="s">
        <v>17594</v>
      </c>
      <c r="C186" s="3" t="s">
        <v>2538</v>
      </c>
      <c r="D186" s="3" t="s">
        <v>46</v>
      </c>
      <c r="E186" s="3">
        <v>39</v>
      </c>
      <c r="F186" s="3">
        <v>1</v>
      </c>
      <c r="G186" s="3">
        <v>2</v>
      </c>
      <c r="H186" s="3">
        <v>11000</v>
      </c>
      <c r="I186" s="3">
        <v>200</v>
      </c>
      <c r="J186" s="3" t="s">
        <v>17403</v>
      </c>
      <c r="K186" s="3">
        <v>43</v>
      </c>
      <c r="L186" s="3">
        <v>15</v>
      </c>
      <c r="M186" s="3">
        <v>5</v>
      </c>
      <c r="N186" s="3">
        <v>6</v>
      </c>
      <c r="O186" s="3">
        <v>5</v>
      </c>
      <c r="P186" s="3">
        <v>12</v>
      </c>
      <c r="Q186" s="3" t="s">
        <v>9774</v>
      </c>
      <c r="R186" s="6">
        <v>44623</v>
      </c>
    </row>
    <row r="187" spans="1:18" ht="12.5" x14ac:dyDescent="0.25">
      <c r="A187" s="21" t="str">
        <f>HYPERLINK("https://gerandofalcoes.my.salesforce.com/0014P00003YSp8SQAT", "0014P00003YSp8SQAT")</f>
        <v>0014P00003YSp8SQAT</v>
      </c>
      <c r="B187" s="3" t="s">
        <v>9789</v>
      </c>
      <c r="C187" s="3" t="s">
        <v>2538</v>
      </c>
      <c r="D187" s="3" t="s">
        <v>46</v>
      </c>
      <c r="E187" s="3">
        <v>22</v>
      </c>
      <c r="F187" s="3">
        <v>0</v>
      </c>
      <c r="G187" s="3">
        <v>2</v>
      </c>
      <c r="H187" s="3">
        <v>150000</v>
      </c>
      <c r="I187" s="3">
        <v>227</v>
      </c>
      <c r="J187" s="3" t="s">
        <v>17403</v>
      </c>
      <c r="K187" s="3">
        <v>43</v>
      </c>
      <c r="L187" s="3">
        <v>10</v>
      </c>
      <c r="M187" s="3">
        <v>0</v>
      </c>
      <c r="N187" s="3">
        <v>6</v>
      </c>
      <c r="O187" s="3">
        <v>15</v>
      </c>
      <c r="P187" s="3">
        <v>12</v>
      </c>
      <c r="Q187" s="3" t="s">
        <v>9791</v>
      </c>
      <c r="R187" s="6">
        <v>44623</v>
      </c>
    </row>
    <row r="188" spans="1:18" ht="12.5" x14ac:dyDescent="0.25">
      <c r="A188" s="21" t="str">
        <f>HYPERLINK("https://gerandofalcoes.my.salesforce.com/0014P00003YSp8UQAT", "0014P00003YSp8UQAT")</f>
        <v>0014P00003YSp8UQAT</v>
      </c>
      <c r="B188" s="3" t="s">
        <v>17595</v>
      </c>
      <c r="C188" s="3" t="s">
        <v>2538</v>
      </c>
      <c r="D188" s="3" t="s">
        <v>46</v>
      </c>
      <c r="E188" s="3">
        <v>28</v>
      </c>
      <c r="F188" s="3">
        <v>0</v>
      </c>
      <c r="G188" s="3">
        <v>3</v>
      </c>
      <c r="H188" s="3">
        <v>9994</v>
      </c>
      <c r="I188" s="3">
        <v>110</v>
      </c>
      <c r="J188" s="3" t="s">
        <v>17403</v>
      </c>
      <c r="K188" s="3">
        <v>38</v>
      </c>
      <c r="L188" s="3">
        <v>15</v>
      </c>
      <c r="M188" s="3">
        <v>0</v>
      </c>
      <c r="N188" s="3">
        <v>8</v>
      </c>
      <c r="O188" s="3">
        <v>5</v>
      </c>
      <c r="P188" s="3">
        <v>10</v>
      </c>
      <c r="Q188" s="3" t="s">
        <v>9801</v>
      </c>
      <c r="R188" s="6">
        <v>44623</v>
      </c>
    </row>
    <row r="189" spans="1:18" ht="12.5" x14ac:dyDescent="0.25">
      <c r="A189" s="21" t="str">
        <f>HYPERLINK("https://gerandofalcoes.my.salesforce.com/0014P00003YSp8VQAT", "0014P00003YSp8VQAT")</f>
        <v>0014P00003YSp8VQAT</v>
      </c>
      <c r="B189" s="3" t="s">
        <v>17596</v>
      </c>
      <c r="C189" s="3" t="s">
        <v>12704</v>
      </c>
      <c r="D189" s="3" t="s">
        <v>46</v>
      </c>
      <c r="E189" s="3">
        <v>10</v>
      </c>
      <c r="F189" s="3">
        <v>0</v>
      </c>
      <c r="G189" s="3">
        <v>0</v>
      </c>
      <c r="H189" s="3">
        <v>0</v>
      </c>
      <c r="I189" s="3">
        <v>0</v>
      </c>
      <c r="J189" s="3" t="s">
        <v>17403</v>
      </c>
      <c r="K189" s="3">
        <v>10</v>
      </c>
      <c r="L189" s="3">
        <v>10</v>
      </c>
      <c r="M189" s="3">
        <v>0</v>
      </c>
      <c r="N189" s="3">
        <v>0</v>
      </c>
      <c r="O189" s="3">
        <v>0</v>
      </c>
      <c r="P189" s="3">
        <v>0</v>
      </c>
      <c r="Q189" s="3" t="s">
        <v>9819</v>
      </c>
      <c r="R189" s="6">
        <v>44623</v>
      </c>
    </row>
    <row r="190" spans="1:18" ht="12.5" x14ac:dyDescent="0.25">
      <c r="A190" s="21" t="str">
        <f>HYPERLINK("https://gerandofalcoes.my.salesforce.com/0014P00003YSp8XQAT", "0014P00003YSp8XQAT")</f>
        <v>0014P00003YSp8XQAT</v>
      </c>
      <c r="B190" s="3" t="s">
        <v>17597</v>
      </c>
      <c r="C190" s="3" t="s">
        <v>2538</v>
      </c>
      <c r="D190" s="3" t="s">
        <v>46</v>
      </c>
      <c r="E190" s="3">
        <v>21</v>
      </c>
      <c r="F190" s="3">
        <v>0</v>
      </c>
      <c r="G190" s="3">
        <v>2</v>
      </c>
      <c r="H190" s="3">
        <v>25000</v>
      </c>
      <c r="I190" s="3">
        <v>68</v>
      </c>
      <c r="J190" s="3" t="s">
        <v>17403</v>
      </c>
      <c r="K190" s="3">
        <v>31</v>
      </c>
      <c r="L190" s="3">
        <v>10</v>
      </c>
      <c r="M190" s="3">
        <v>0</v>
      </c>
      <c r="N190" s="3">
        <v>6</v>
      </c>
      <c r="O190" s="3">
        <v>10</v>
      </c>
      <c r="P190" s="3">
        <v>5</v>
      </c>
      <c r="Q190" s="3" t="s">
        <v>9828</v>
      </c>
      <c r="R190" s="6">
        <v>44623</v>
      </c>
    </row>
    <row r="191" spans="1:18" ht="12.5" x14ac:dyDescent="0.25">
      <c r="A191" s="21" t="str">
        <f>HYPERLINK("https://gerandofalcoes.my.salesforce.com/0014P00003YSp8YQAT", "0014P00003YSp8YQAT")</f>
        <v>0014P00003YSp8YQAT</v>
      </c>
      <c r="B191" s="3" t="s">
        <v>17598</v>
      </c>
      <c r="C191" s="3" t="s">
        <v>2538</v>
      </c>
      <c r="D191" s="3" t="s">
        <v>46</v>
      </c>
      <c r="E191" s="3">
        <v>45</v>
      </c>
      <c r="F191" s="3">
        <v>9</v>
      </c>
      <c r="G191" s="3">
        <v>3</v>
      </c>
      <c r="H191" s="3">
        <v>97000</v>
      </c>
      <c r="I191" s="3">
        <v>90</v>
      </c>
      <c r="J191" s="3" t="s">
        <v>17403</v>
      </c>
      <c r="K191" s="3">
        <v>53</v>
      </c>
      <c r="L191" s="3">
        <v>15</v>
      </c>
      <c r="M191" s="3">
        <v>10</v>
      </c>
      <c r="N191" s="3">
        <v>8</v>
      </c>
      <c r="O191" s="3">
        <v>10</v>
      </c>
      <c r="P191" s="3">
        <v>10</v>
      </c>
      <c r="Q191" s="3" t="s">
        <v>9843</v>
      </c>
      <c r="R191" s="6">
        <v>44623</v>
      </c>
    </row>
    <row r="192" spans="1:18" ht="12.5" x14ac:dyDescent="0.25">
      <c r="A192" s="21" t="str">
        <f>HYPERLINK("https://gerandofalcoes.my.salesforce.com/0014P00003YSp8aQAD", "0014P00003YSp8aQAD")</f>
        <v>0014P00003YSp8aQAD</v>
      </c>
      <c r="B192" s="3" t="s">
        <v>17599</v>
      </c>
      <c r="C192" s="3" t="s">
        <v>2538</v>
      </c>
      <c r="D192" s="3" t="s">
        <v>46</v>
      </c>
      <c r="E192" s="3">
        <v>24</v>
      </c>
      <c r="F192" s="3">
        <v>0</v>
      </c>
      <c r="G192" s="3">
        <v>2</v>
      </c>
      <c r="H192" s="3">
        <v>40000</v>
      </c>
      <c r="I192" s="3">
        <v>200</v>
      </c>
      <c r="J192" s="3" t="s">
        <v>17403</v>
      </c>
      <c r="K192" s="3">
        <v>38</v>
      </c>
      <c r="L192" s="3">
        <v>10</v>
      </c>
      <c r="M192" s="3">
        <v>0</v>
      </c>
      <c r="N192" s="3">
        <v>6</v>
      </c>
      <c r="O192" s="3">
        <v>10</v>
      </c>
      <c r="P192" s="3">
        <v>12</v>
      </c>
      <c r="Q192" s="3" t="s">
        <v>9860</v>
      </c>
      <c r="R192" s="6">
        <v>44623</v>
      </c>
    </row>
    <row r="193" spans="1:18" ht="12.5" x14ac:dyDescent="0.25">
      <c r="A193" s="21" t="str">
        <f>HYPERLINK("https://gerandofalcoes.my.salesforce.com/0014P00003YSp8bQAD", "0014P00003YSp8bQAD")</f>
        <v>0014P00003YSp8bQAD</v>
      </c>
      <c r="B193" s="3" t="s">
        <v>17600</v>
      </c>
      <c r="C193" s="3" t="s">
        <v>2538</v>
      </c>
      <c r="D193" s="3" t="s">
        <v>46</v>
      </c>
      <c r="E193" s="3">
        <v>22</v>
      </c>
      <c r="F193" s="3">
        <v>4</v>
      </c>
      <c r="G193" s="3">
        <v>2</v>
      </c>
      <c r="H193" s="3">
        <v>80000</v>
      </c>
      <c r="I193" s="3">
        <v>100</v>
      </c>
      <c r="J193" s="3" t="s">
        <v>17403</v>
      </c>
      <c r="K193" s="3">
        <v>41</v>
      </c>
      <c r="L193" s="3">
        <v>10</v>
      </c>
      <c r="M193" s="3">
        <v>5</v>
      </c>
      <c r="N193" s="3">
        <v>6</v>
      </c>
      <c r="O193" s="3">
        <v>10</v>
      </c>
      <c r="P193" s="3">
        <v>10</v>
      </c>
      <c r="Q193" s="3" t="s">
        <v>9874</v>
      </c>
      <c r="R193" s="6">
        <v>44623</v>
      </c>
    </row>
    <row r="194" spans="1:18" ht="12.5" x14ac:dyDescent="0.25">
      <c r="A194" s="21" t="str">
        <f>HYPERLINK("https://gerandofalcoes.my.salesforce.com/0014P00003YSp8cQAD", "0014P00003YSp8cQAD")</f>
        <v>0014P00003YSp8cQAD</v>
      </c>
      <c r="B194" s="3" t="s">
        <v>17601</v>
      </c>
      <c r="C194" s="3" t="s">
        <v>2538</v>
      </c>
      <c r="D194" s="3" t="s">
        <v>46</v>
      </c>
      <c r="E194" s="3">
        <v>35</v>
      </c>
      <c r="F194" s="3">
        <v>8</v>
      </c>
      <c r="G194" s="3">
        <v>3</v>
      </c>
      <c r="H194" s="3">
        <v>100000</v>
      </c>
      <c r="I194" s="3">
        <v>4682</v>
      </c>
      <c r="J194" s="3" t="s">
        <v>17406</v>
      </c>
      <c r="K194" s="3">
        <v>68</v>
      </c>
      <c r="L194" s="3">
        <v>15</v>
      </c>
      <c r="M194" s="3">
        <v>10</v>
      </c>
      <c r="N194" s="3">
        <v>8</v>
      </c>
      <c r="O194" s="3">
        <v>15</v>
      </c>
      <c r="P194" s="3">
        <v>20</v>
      </c>
      <c r="Q194" s="3" t="s">
        <v>9887</v>
      </c>
      <c r="R194" s="6">
        <v>44623</v>
      </c>
    </row>
    <row r="195" spans="1:18" ht="12.5" x14ac:dyDescent="0.25">
      <c r="A195" s="21" t="str">
        <f>HYPERLINK("https://gerandofalcoes.my.salesforce.com/0014P00003YSp8dQAD", "0014P00003YSp8dQAD")</f>
        <v>0014P00003YSp8dQAD</v>
      </c>
      <c r="B195" s="3" t="s">
        <v>17602</v>
      </c>
      <c r="C195" s="3" t="s">
        <v>2538</v>
      </c>
      <c r="D195" s="3" t="s">
        <v>46</v>
      </c>
      <c r="E195" s="3">
        <v>7</v>
      </c>
      <c r="F195" s="3">
        <v>3</v>
      </c>
      <c r="G195" s="3">
        <v>2</v>
      </c>
      <c r="H195" s="3">
        <v>0</v>
      </c>
      <c r="I195" s="3">
        <v>135</v>
      </c>
      <c r="J195" s="3" t="s">
        <v>17403</v>
      </c>
      <c r="K195" s="3">
        <v>31</v>
      </c>
      <c r="L195" s="3">
        <v>10</v>
      </c>
      <c r="M195" s="3">
        <v>5</v>
      </c>
      <c r="N195" s="3">
        <v>6</v>
      </c>
      <c r="O195" s="3">
        <v>0</v>
      </c>
      <c r="P195" s="3">
        <v>10</v>
      </c>
      <c r="Q195" s="3" t="s">
        <v>9904</v>
      </c>
      <c r="R195" s="6">
        <v>44623</v>
      </c>
    </row>
    <row r="196" spans="1:18" ht="12.5" x14ac:dyDescent="0.25">
      <c r="A196" s="21" t="str">
        <f>HYPERLINK("https://gerandofalcoes.my.salesforce.com/0014P00003YSp8eQAD", "0014P00003YSp8eQAD")</f>
        <v>0014P00003YSp8eQAD</v>
      </c>
      <c r="B196" s="3" t="s">
        <v>17603</v>
      </c>
      <c r="C196" s="3" t="s">
        <v>2538</v>
      </c>
      <c r="D196" s="3" t="s">
        <v>46</v>
      </c>
      <c r="E196" s="3">
        <v>29</v>
      </c>
      <c r="F196" s="3">
        <v>0</v>
      </c>
      <c r="G196" s="3">
        <v>3</v>
      </c>
      <c r="H196" s="3">
        <v>350000</v>
      </c>
      <c r="I196" s="3">
        <v>0</v>
      </c>
      <c r="J196" s="3" t="s">
        <v>17403</v>
      </c>
      <c r="K196" s="3">
        <v>43</v>
      </c>
      <c r="L196" s="3">
        <v>15</v>
      </c>
      <c r="M196" s="3">
        <v>0</v>
      </c>
      <c r="N196" s="3">
        <v>8</v>
      </c>
      <c r="O196" s="3">
        <v>20</v>
      </c>
      <c r="P196" s="3">
        <v>0</v>
      </c>
      <c r="Q196" s="3" t="s">
        <v>9915</v>
      </c>
      <c r="R196" s="6">
        <v>44623</v>
      </c>
    </row>
    <row r="197" spans="1:18" ht="12.5" x14ac:dyDescent="0.25">
      <c r="A197" s="21" t="str">
        <f>HYPERLINK("https://gerandofalcoes.my.salesforce.com/0014P00003YSp8fQAD", "0014P00003YSp8fQAD")</f>
        <v>0014P00003YSp8fQAD</v>
      </c>
      <c r="B197" s="3" t="s">
        <v>17604</v>
      </c>
      <c r="C197" s="3" t="s">
        <v>2538</v>
      </c>
      <c r="D197" s="3" t="s">
        <v>46</v>
      </c>
      <c r="E197" s="3">
        <v>38</v>
      </c>
      <c r="F197" s="3">
        <v>7</v>
      </c>
      <c r="G197" s="3">
        <v>2</v>
      </c>
      <c r="H197" s="3">
        <v>120000</v>
      </c>
      <c r="I197" s="3">
        <v>90</v>
      </c>
      <c r="J197" s="3" t="s">
        <v>17403</v>
      </c>
      <c r="K197" s="3">
        <v>56</v>
      </c>
      <c r="L197" s="3">
        <v>15</v>
      </c>
      <c r="M197" s="3">
        <v>10</v>
      </c>
      <c r="N197" s="3">
        <v>6</v>
      </c>
      <c r="O197" s="3">
        <v>15</v>
      </c>
      <c r="P197" s="3">
        <v>10</v>
      </c>
      <c r="Q197" s="3" t="s">
        <v>9933</v>
      </c>
      <c r="R197" s="6">
        <v>44623</v>
      </c>
    </row>
    <row r="198" spans="1:18" ht="12.5" x14ac:dyDescent="0.25">
      <c r="A198" s="21" t="str">
        <f>HYPERLINK("https://gerandofalcoes.my.salesforce.com/0014P00003YSp8gQAD", "0014P00003YSp8gQAD")</f>
        <v>0014P00003YSp8gQAD</v>
      </c>
      <c r="B198" s="3" t="s">
        <v>17605</v>
      </c>
      <c r="C198" s="3" t="s">
        <v>2538</v>
      </c>
      <c r="D198" s="3" t="s">
        <v>46</v>
      </c>
      <c r="E198" s="3">
        <v>18</v>
      </c>
      <c r="F198" s="3">
        <v>4</v>
      </c>
      <c r="G198" s="3">
        <v>2</v>
      </c>
      <c r="H198" s="3">
        <v>2000</v>
      </c>
      <c r="I198" s="3">
        <v>70</v>
      </c>
      <c r="J198" s="3" t="s">
        <v>17403</v>
      </c>
      <c r="K198" s="3">
        <v>31</v>
      </c>
      <c r="L198" s="3">
        <v>10</v>
      </c>
      <c r="M198" s="3">
        <v>5</v>
      </c>
      <c r="N198" s="3">
        <v>6</v>
      </c>
      <c r="O198" s="3">
        <v>5</v>
      </c>
      <c r="P198" s="3">
        <v>5</v>
      </c>
      <c r="Q198" s="3" t="s">
        <v>9949</v>
      </c>
      <c r="R198" s="6">
        <v>44623</v>
      </c>
    </row>
    <row r="199" spans="1:18" ht="12.5" x14ac:dyDescent="0.25">
      <c r="A199" s="21" t="str">
        <f>HYPERLINK("https://gerandofalcoes.my.salesforce.com/0014P00003YSp8hQAD", "0014P00003YSp8hQAD")</f>
        <v>0014P00003YSp8hQAD</v>
      </c>
      <c r="B199" s="3" t="s">
        <v>17606</v>
      </c>
      <c r="C199" s="3" t="s">
        <v>2538</v>
      </c>
      <c r="D199" s="3" t="s">
        <v>46</v>
      </c>
      <c r="E199" s="3">
        <v>11</v>
      </c>
      <c r="F199" s="3">
        <v>10</v>
      </c>
      <c r="G199" s="3">
        <v>2</v>
      </c>
      <c r="H199" s="3">
        <v>90000</v>
      </c>
      <c r="I199" s="3">
        <v>0</v>
      </c>
      <c r="J199" s="3" t="s">
        <v>17403</v>
      </c>
      <c r="K199" s="3">
        <v>36</v>
      </c>
      <c r="L199" s="3">
        <v>10</v>
      </c>
      <c r="M199" s="3">
        <v>10</v>
      </c>
      <c r="N199" s="3">
        <v>6</v>
      </c>
      <c r="O199" s="3">
        <v>10</v>
      </c>
      <c r="P199" s="3">
        <v>0</v>
      </c>
      <c r="Q199" s="3" t="s">
        <v>9958</v>
      </c>
      <c r="R199" s="6">
        <v>44623</v>
      </c>
    </row>
    <row r="200" spans="1:18" ht="12.5" x14ac:dyDescent="0.25">
      <c r="A200" s="21" t="str">
        <f>HYPERLINK("https://gerandofalcoes.my.salesforce.com/0014P00003YSp8iQAD", "0014P00003YSp8iQAD")</f>
        <v>0014P00003YSp8iQAD</v>
      </c>
      <c r="B200" s="3" t="s">
        <v>17607</v>
      </c>
      <c r="C200" s="3" t="s">
        <v>2538</v>
      </c>
      <c r="D200" s="3" t="s">
        <v>46</v>
      </c>
      <c r="E200" s="3">
        <v>41</v>
      </c>
      <c r="F200" s="3">
        <v>5</v>
      </c>
      <c r="G200" s="3">
        <v>8</v>
      </c>
      <c r="H200" s="3">
        <v>78878</v>
      </c>
      <c r="I200" s="3">
        <v>40</v>
      </c>
      <c r="J200" s="3" t="s">
        <v>17403</v>
      </c>
      <c r="K200" s="3">
        <v>45</v>
      </c>
      <c r="L200" s="3">
        <v>15</v>
      </c>
      <c r="M200" s="3">
        <v>5</v>
      </c>
      <c r="N200" s="3">
        <v>10</v>
      </c>
      <c r="O200" s="3">
        <v>10</v>
      </c>
      <c r="P200" s="3">
        <v>5</v>
      </c>
      <c r="Q200" s="3" t="s">
        <v>9965</v>
      </c>
      <c r="R200" s="6">
        <v>44623</v>
      </c>
    </row>
    <row r="201" spans="1:18" ht="12.5" x14ac:dyDescent="0.25">
      <c r="A201" s="21" t="str">
        <f>HYPERLINK("https://gerandofalcoes.my.salesforce.com/0014P00003YSp8kQAD", "0014P00003YSp8kQAD")</f>
        <v>0014P00003YSp8kQAD</v>
      </c>
      <c r="B201" s="3" t="s">
        <v>17608</v>
      </c>
      <c r="C201" s="3" t="s">
        <v>2538</v>
      </c>
      <c r="D201" s="3" t="s">
        <v>46</v>
      </c>
      <c r="E201" s="3">
        <v>29</v>
      </c>
      <c r="F201" s="3">
        <v>2</v>
      </c>
      <c r="G201" s="3">
        <v>2</v>
      </c>
      <c r="H201" s="3">
        <v>12000</v>
      </c>
      <c r="I201" s="3">
        <v>300</v>
      </c>
      <c r="J201" s="3" t="s">
        <v>17403</v>
      </c>
      <c r="K201" s="3">
        <v>46</v>
      </c>
      <c r="L201" s="3">
        <v>15</v>
      </c>
      <c r="M201" s="3">
        <v>5</v>
      </c>
      <c r="N201" s="3">
        <v>6</v>
      </c>
      <c r="O201" s="3">
        <v>5</v>
      </c>
      <c r="P201" s="3">
        <v>15</v>
      </c>
      <c r="Q201" s="3" t="s">
        <v>9982</v>
      </c>
      <c r="R201" s="6">
        <v>44623</v>
      </c>
    </row>
    <row r="202" spans="1:18" ht="12.5" x14ac:dyDescent="0.25">
      <c r="A202" s="21" t="str">
        <f>HYPERLINK("https://gerandofalcoes.my.salesforce.com/0014P00003YSp8lQAD", "0014P00003YSp8lQAD")</f>
        <v>0014P00003YSp8lQAD</v>
      </c>
      <c r="B202" s="3" t="s">
        <v>9995</v>
      </c>
      <c r="C202" s="3" t="s">
        <v>2538</v>
      </c>
      <c r="D202" s="3" t="s">
        <v>46</v>
      </c>
      <c r="E202" s="3">
        <v>33</v>
      </c>
      <c r="F202" s="3">
        <v>0</v>
      </c>
      <c r="G202" s="3">
        <v>2</v>
      </c>
      <c r="H202" s="3">
        <v>8000</v>
      </c>
      <c r="I202" s="3">
        <v>45</v>
      </c>
      <c r="J202" s="3" t="s">
        <v>17403</v>
      </c>
      <c r="K202" s="3">
        <v>31</v>
      </c>
      <c r="L202" s="3">
        <v>15</v>
      </c>
      <c r="M202" s="3">
        <v>0</v>
      </c>
      <c r="N202" s="3">
        <v>6</v>
      </c>
      <c r="O202" s="3">
        <v>5</v>
      </c>
      <c r="P202" s="3">
        <v>5</v>
      </c>
      <c r="Q202" s="3" t="s">
        <v>9999</v>
      </c>
      <c r="R202" s="6">
        <v>44623</v>
      </c>
    </row>
    <row r="203" spans="1:18" ht="12.5" x14ac:dyDescent="0.25">
      <c r="A203" s="21" t="str">
        <f>HYPERLINK("https://gerandofalcoes.my.salesforce.com/0014P00003YSp8mQAD", "0014P00003YSp8mQAD")</f>
        <v>0014P00003YSp8mQAD</v>
      </c>
      <c r="B203" s="3" t="s">
        <v>17609</v>
      </c>
      <c r="C203" s="3" t="s">
        <v>2538</v>
      </c>
      <c r="D203" s="3" t="s">
        <v>46</v>
      </c>
      <c r="E203" s="3">
        <v>19</v>
      </c>
      <c r="F203" s="3">
        <v>11</v>
      </c>
      <c r="G203" s="3">
        <v>4</v>
      </c>
      <c r="H203" s="3">
        <v>700</v>
      </c>
      <c r="I203" s="3">
        <v>160</v>
      </c>
      <c r="J203" s="3" t="s">
        <v>17403</v>
      </c>
      <c r="K203" s="3">
        <v>49</v>
      </c>
      <c r="L203" s="3">
        <v>10</v>
      </c>
      <c r="M203" s="3">
        <v>12</v>
      </c>
      <c r="N203" s="3">
        <v>10</v>
      </c>
      <c r="O203" s="3">
        <v>5</v>
      </c>
      <c r="P203" s="3">
        <v>12</v>
      </c>
      <c r="Q203" s="3"/>
      <c r="R203" s="6">
        <v>44623</v>
      </c>
    </row>
    <row r="204" spans="1:18" ht="12.5" x14ac:dyDescent="0.25">
      <c r="A204" s="21" t="str">
        <f>HYPERLINK("https://gerandofalcoes.my.salesforce.com/0014P00003YSp8nQAD", "0014P00003YSp8nQAD")</f>
        <v>0014P00003YSp8nQAD</v>
      </c>
      <c r="B204" s="3" t="s">
        <v>17610</v>
      </c>
      <c r="C204" s="3" t="s">
        <v>2538</v>
      </c>
      <c r="D204" s="3" t="s">
        <v>46</v>
      </c>
      <c r="E204" s="3">
        <v>23</v>
      </c>
      <c r="F204" s="3">
        <v>6</v>
      </c>
      <c r="G204" s="3">
        <v>5</v>
      </c>
      <c r="H204" s="3">
        <v>3000</v>
      </c>
      <c r="I204" s="3">
        <v>85</v>
      </c>
      <c r="J204" s="3" t="s">
        <v>17403</v>
      </c>
      <c r="K204" s="3">
        <v>45</v>
      </c>
      <c r="L204" s="3">
        <v>10</v>
      </c>
      <c r="M204" s="3">
        <v>10</v>
      </c>
      <c r="N204" s="3">
        <v>10</v>
      </c>
      <c r="O204" s="3">
        <v>5</v>
      </c>
      <c r="P204" s="3">
        <v>10</v>
      </c>
      <c r="Q204" s="3" t="s">
        <v>10025</v>
      </c>
      <c r="R204" s="6">
        <v>44623</v>
      </c>
    </row>
    <row r="205" spans="1:18" ht="12.5" x14ac:dyDescent="0.25">
      <c r="A205" s="21" t="str">
        <f>HYPERLINK("https://gerandofalcoes.my.salesforce.com/0014P00003YSp8pQAD", "0014P00003YSp8pQAD")</f>
        <v>0014P00003YSp8pQAD</v>
      </c>
      <c r="B205" s="3" t="s">
        <v>17611</v>
      </c>
      <c r="C205" s="3" t="s">
        <v>2538</v>
      </c>
      <c r="D205" s="3" t="s">
        <v>46</v>
      </c>
      <c r="E205" s="3">
        <v>18</v>
      </c>
      <c r="F205" s="3">
        <v>0</v>
      </c>
      <c r="G205" s="3">
        <v>2</v>
      </c>
      <c r="H205" s="3">
        <v>3000</v>
      </c>
      <c r="I205" s="3">
        <v>0</v>
      </c>
      <c r="J205" s="3" t="s">
        <v>17403</v>
      </c>
      <c r="K205" s="3">
        <v>21</v>
      </c>
      <c r="L205" s="3">
        <v>10</v>
      </c>
      <c r="M205" s="3">
        <v>0</v>
      </c>
      <c r="N205" s="3">
        <v>6</v>
      </c>
      <c r="O205" s="3">
        <v>5</v>
      </c>
      <c r="P205" s="3">
        <v>0</v>
      </c>
      <c r="Q205" s="3" t="s">
        <v>10042</v>
      </c>
      <c r="R205" s="6">
        <v>44623</v>
      </c>
    </row>
    <row r="206" spans="1:18" ht="12.5" x14ac:dyDescent="0.25">
      <c r="A206" s="21" t="str">
        <f>HYPERLINK("https://gerandofalcoes.my.salesforce.com/0014P00003YSp8qQAD", "0014P00003YSp8qQAD")</f>
        <v>0014P00003YSp8qQAD</v>
      </c>
      <c r="B206" s="3" t="s">
        <v>17612</v>
      </c>
      <c r="C206" s="3" t="s">
        <v>2538</v>
      </c>
      <c r="D206" s="3" t="s">
        <v>46</v>
      </c>
      <c r="E206" s="3">
        <v>33</v>
      </c>
      <c r="F206" s="3">
        <v>0</v>
      </c>
      <c r="G206" s="3">
        <v>2</v>
      </c>
      <c r="H206" s="3">
        <v>3000</v>
      </c>
      <c r="I206" s="3">
        <v>300</v>
      </c>
      <c r="J206" s="3" t="s">
        <v>17403</v>
      </c>
      <c r="K206" s="3">
        <v>41</v>
      </c>
      <c r="L206" s="3">
        <v>15</v>
      </c>
      <c r="M206" s="3">
        <v>0</v>
      </c>
      <c r="N206" s="3">
        <v>6</v>
      </c>
      <c r="O206" s="3">
        <v>5</v>
      </c>
      <c r="P206" s="3">
        <v>15</v>
      </c>
      <c r="Q206" s="3" t="s">
        <v>10053</v>
      </c>
      <c r="R206" s="6">
        <v>44623</v>
      </c>
    </row>
    <row r="207" spans="1:18" ht="12.5" x14ac:dyDescent="0.25">
      <c r="A207" s="21" t="str">
        <f>HYPERLINK("https://gerandofalcoes.my.salesforce.com/0014P00003YSp8rQAD", "0014P00003YSp8rQAD")</f>
        <v>0014P00003YSp8rQAD</v>
      </c>
      <c r="B207" s="3" t="s">
        <v>17613</v>
      </c>
      <c r="C207" s="3" t="s">
        <v>2538</v>
      </c>
      <c r="D207" s="3" t="s">
        <v>46</v>
      </c>
      <c r="E207" s="3">
        <v>36</v>
      </c>
      <c r="F207" s="3">
        <v>2</v>
      </c>
      <c r="G207" s="3">
        <v>4</v>
      </c>
      <c r="H207" s="3">
        <v>65000</v>
      </c>
      <c r="I207" s="3">
        <v>150</v>
      </c>
      <c r="J207" s="3" t="s">
        <v>17403</v>
      </c>
      <c r="K207" s="3">
        <v>52</v>
      </c>
      <c r="L207" s="3">
        <v>15</v>
      </c>
      <c r="M207" s="3">
        <v>5</v>
      </c>
      <c r="N207" s="3">
        <v>10</v>
      </c>
      <c r="O207" s="3">
        <v>10</v>
      </c>
      <c r="P207" s="3">
        <v>12</v>
      </c>
      <c r="Q207" s="3" t="s">
        <v>10066</v>
      </c>
      <c r="R207" s="6">
        <v>44623</v>
      </c>
    </row>
    <row r="208" spans="1:18" ht="12.5" x14ac:dyDescent="0.25">
      <c r="A208" s="21" t="str">
        <f>HYPERLINK("https://gerandofalcoes.my.salesforce.com/0014P00003YSp8tQAD", "0014P00003YSp8tQAD")</f>
        <v>0014P00003YSp8tQAD</v>
      </c>
      <c r="B208" s="3" t="s">
        <v>17614</v>
      </c>
      <c r="C208" s="3" t="s">
        <v>2538</v>
      </c>
      <c r="D208" s="3" t="s">
        <v>46</v>
      </c>
      <c r="E208" s="3">
        <v>22</v>
      </c>
      <c r="F208" s="3">
        <v>0</v>
      </c>
      <c r="G208" s="3">
        <v>2</v>
      </c>
      <c r="H208" s="3">
        <v>280000</v>
      </c>
      <c r="I208" s="3">
        <v>188</v>
      </c>
      <c r="J208" s="3" t="s">
        <v>17403</v>
      </c>
      <c r="K208" s="3">
        <v>43</v>
      </c>
      <c r="L208" s="3">
        <v>10</v>
      </c>
      <c r="M208" s="3">
        <v>0</v>
      </c>
      <c r="N208" s="3">
        <v>6</v>
      </c>
      <c r="O208" s="3">
        <v>15</v>
      </c>
      <c r="P208" s="3">
        <v>12</v>
      </c>
      <c r="Q208" s="3" t="s">
        <v>10080</v>
      </c>
      <c r="R208" s="6">
        <v>44623</v>
      </c>
    </row>
    <row r="209" spans="1:18" ht="12.5" x14ac:dyDescent="0.25">
      <c r="A209" s="21" t="str">
        <f>HYPERLINK("https://gerandofalcoes.my.salesforce.com/0014P00003YSp8uQAD", "0014P00003YSp8uQAD")</f>
        <v>0014P00003YSp8uQAD</v>
      </c>
      <c r="B209" s="3" t="s">
        <v>17615</v>
      </c>
      <c r="C209" s="3" t="s">
        <v>2538</v>
      </c>
      <c r="D209" s="3" t="s">
        <v>46</v>
      </c>
      <c r="E209" s="3">
        <v>33</v>
      </c>
      <c r="F209" s="3">
        <v>38</v>
      </c>
      <c r="G209" s="3">
        <v>3</v>
      </c>
      <c r="H209" s="3">
        <v>1726721</v>
      </c>
      <c r="I209" s="3">
        <v>1200</v>
      </c>
      <c r="J209" s="3" t="s">
        <v>17405</v>
      </c>
      <c r="K209" s="3">
        <v>83</v>
      </c>
      <c r="L209" s="3">
        <v>15</v>
      </c>
      <c r="M209" s="3">
        <v>15</v>
      </c>
      <c r="N209" s="3">
        <v>8</v>
      </c>
      <c r="O209" s="3">
        <v>25</v>
      </c>
      <c r="P209" s="3">
        <v>20</v>
      </c>
      <c r="Q209" s="3" t="s">
        <v>10095</v>
      </c>
      <c r="R209" s="6">
        <v>44623</v>
      </c>
    </row>
    <row r="210" spans="1:18" ht="12.5" x14ac:dyDescent="0.25">
      <c r="A210" s="21" t="str">
        <f>HYPERLINK("https://gerandofalcoes.my.salesforce.com/0014P00003YSp8vQAD", "0014P00003YSp8vQAD")</f>
        <v>0014P00003YSp8vQAD</v>
      </c>
      <c r="B210" s="3" t="s">
        <v>17616</v>
      </c>
      <c r="C210" s="3" t="s">
        <v>2538</v>
      </c>
      <c r="D210" s="3" t="s">
        <v>46</v>
      </c>
      <c r="E210" s="3">
        <v>38</v>
      </c>
      <c r="F210" s="3">
        <v>2</v>
      </c>
      <c r="G210" s="3">
        <v>2</v>
      </c>
      <c r="H210" s="3">
        <v>5000</v>
      </c>
      <c r="I210" s="3">
        <v>0</v>
      </c>
      <c r="J210" s="3" t="s">
        <v>17403</v>
      </c>
      <c r="K210" s="3">
        <v>31</v>
      </c>
      <c r="L210" s="3">
        <v>15</v>
      </c>
      <c r="M210" s="3">
        <v>5</v>
      </c>
      <c r="N210" s="3">
        <v>6</v>
      </c>
      <c r="O210" s="3">
        <v>5</v>
      </c>
      <c r="P210" s="3">
        <v>0</v>
      </c>
      <c r="Q210" s="3" t="s">
        <v>10116</v>
      </c>
      <c r="R210" s="6">
        <v>44623</v>
      </c>
    </row>
    <row r="211" spans="1:18" ht="12.5" x14ac:dyDescent="0.25">
      <c r="A211" s="21" t="str">
        <f>HYPERLINK("https://gerandofalcoes.my.salesforce.com/0014P00003YSp8wQAD", "0014P00003YSp8wQAD")</f>
        <v>0014P00003YSp8wQAD</v>
      </c>
      <c r="B211" s="3" t="s">
        <v>17617</v>
      </c>
      <c r="C211" s="3" t="s">
        <v>2538</v>
      </c>
      <c r="D211" s="3" t="s">
        <v>46</v>
      </c>
      <c r="E211" s="3">
        <v>16</v>
      </c>
      <c r="F211" s="3">
        <v>8</v>
      </c>
      <c r="G211" s="3">
        <v>2</v>
      </c>
      <c r="H211" s="3">
        <v>55000</v>
      </c>
      <c r="I211" s="3">
        <v>3000</v>
      </c>
      <c r="J211" s="3" t="s">
        <v>17403</v>
      </c>
      <c r="K211" s="3">
        <v>56</v>
      </c>
      <c r="L211" s="3">
        <v>10</v>
      </c>
      <c r="M211" s="3">
        <v>10</v>
      </c>
      <c r="N211" s="3">
        <v>6</v>
      </c>
      <c r="O211" s="3">
        <v>10</v>
      </c>
      <c r="P211" s="3">
        <v>20</v>
      </c>
      <c r="Q211" s="3" t="s">
        <v>10129</v>
      </c>
      <c r="R211" s="6">
        <v>44623</v>
      </c>
    </row>
    <row r="212" spans="1:18" ht="12.5" x14ac:dyDescent="0.25">
      <c r="A212" s="21" t="str">
        <f>HYPERLINK("https://gerandofalcoes.my.salesforce.com/0014P00003YSp8yQAD", "0014P00003YSp8yQAD")</f>
        <v>0014P00003YSp8yQAD</v>
      </c>
      <c r="B212" s="3" t="s">
        <v>17618</v>
      </c>
      <c r="C212" s="3" t="s">
        <v>2538</v>
      </c>
      <c r="D212" s="3" t="s">
        <v>46</v>
      </c>
      <c r="E212" s="3">
        <v>21</v>
      </c>
      <c r="F212" s="3">
        <v>2</v>
      </c>
      <c r="G212" s="3">
        <v>2</v>
      </c>
      <c r="H212" s="3">
        <v>0</v>
      </c>
      <c r="I212" s="3">
        <v>0</v>
      </c>
      <c r="J212" s="3" t="s">
        <v>17403</v>
      </c>
      <c r="K212" s="3">
        <v>21</v>
      </c>
      <c r="L212" s="3">
        <v>10</v>
      </c>
      <c r="M212" s="3">
        <v>5</v>
      </c>
      <c r="N212" s="3">
        <v>6</v>
      </c>
      <c r="O212" s="3">
        <v>0</v>
      </c>
      <c r="P212" s="3">
        <v>0</v>
      </c>
      <c r="Q212" s="3" t="s">
        <v>10140</v>
      </c>
      <c r="R212" s="6">
        <v>44623</v>
      </c>
    </row>
    <row r="213" spans="1:18" ht="12.5" x14ac:dyDescent="0.25">
      <c r="A213" s="21" t="str">
        <f>HYPERLINK("https://gerandofalcoes.my.salesforce.com/0014P00003YSp8zQAD", "0014P00003YSp8zQAD")</f>
        <v>0014P00003YSp8zQAD</v>
      </c>
      <c r="B213" s="3" t="s">
        <v>17619</v>
      </c>
      <c r="C213" s="3" t="s">
        <v>2538</v>
      </c>
      <c r="D213" s="3" t="s">
        <v>46</v>
      </c>
      <c r="E213" s="3">
        <v>29</v>
      </c>
      <c r="F213" s="3">
        <v>10</v>
      </c>
      <c r="G213" s="3">
        <v>2</v>
      </c>
      <c r="H213" s="3">
        <v>11000</v>
      </c>
      <c r="I213" s="3">
        <v>120</v>
      </c>
      <c r="J213" s="3" t="s">
        <v>17403</v>
      </c>
      <c r="K213" s="3">
        <v>46</v>
      </c>
      <c r="L213" s="3">
        <v>15</v>
      </c>
      <c r="M213" s="3">
        <v>10</v>
      </c>
      <c r="N213" s="3">
        <v>6</v>
      </c>
      <c r="O213" s="3">
        <v>5</v>
      </c>
      <c r="P213" s="3">
        <v>10</v>
      </c>
      <c r="Q213" s="3" t="s">
        <v>10155</v>
      </c>
      <c r="R213" s="6">
        <v>44623</v>
      </c>
    </row>
    <row r="214" spans="1:18" ht="12.5" x14ac:dyDescent="0.25">
      <c r="A214" s="21" t="str">
        <f>HYPERLINK("https://gerandofalcoes.my.salesforce.com/0014P00003YSp90QAD", "0014P00003YSp90QAD")</f>
        <v>0014P00003YSp90QAD</v>
      </c>
      <c r="B214" s="3" t="s">
        <v>17620</v>
      </c>
      <c r="C214" s="3" t="s">
        <v>2538</v>
      </c>
      <c r="D214" s="3" t="s">
        <v>46</v>
      </c>
      <c r="E214" s="3">
        <v>33</v>
      </c>
      <c r="F214" s="3">
        <v>41</v>
      </c>
      <c r="G214" s="3">
        <v>4</v>
      </c>
      <c r="H214" s="3">
        <v>0</v>
      </c>
      <c r="I214" s="3">
        <v>98</v>
      </c>
      <c r="J214" s="3" t="s">
        <v>17403</v>
      </c>
      <c r="K214" s="3">
        <v>50</v>
      </c>
      <c r="L214" s="3">
        <v>15</v>
      </c>
      <c r="M214" s="3">
        <v>15</v>
      </c>
      <c r="N214" s="3">
        <v>10</v>
      </c>
      <c r="O214" s="3">
        <v>0</v>
      </c>
      <c r="P214" s="3">
        <v>10</v>
      </c>
      <c r="Q214" s="3" t="s">
        <v>10170</v>
      </c>
      <c r="R214" s="6">
        <v>44623</v>
      </c>
    </row>
    <row r="215" spans="1:18" ht="12.5" x14ac:dyDescent="0.25">
      <c r="A215" s="21" t="str">
        <f>HYPERLINK("https://gerandofalcoes.my.salesforce.com/0014P00003YSp91QAD", "0014P00003YSp91QAD")</f>
        <v>0014P00003YSp91QAD</v>
      </c>
      <c r="B215" s="3" t="s">
        <v>17621</v>
      </c>
      <c r="C215" s="3" t="s">
        <v>2538</v>
      </c>
      <c r="D215" s="3" t="s">
        <v>46</v>
      </c>
      <c r="E215" s="3">
        <v>19</v>
      </c>
      <c r="F215" s="3">
        <v>8</v>
      </c>
      <c r="G215" s="3">
        <v>2</v>
      </c>
      <c r="H215" s="3">
        <v>15000</v>
      </c>
      <c r="I215" s="3">
        <v>150</v>
      </c>
      <c r="J215" s="3" t="s">
        <v>17403</v>
      </c>
      <c r="K215" s="3">
        <v>43</v>
      </c>
      <c r="L215" s="3">
        <v>10</v>
      </c>
      <c r="M215" s="3">
        <v>10</v>
      </c>
      <c r="N215" s="3">
        <v>6</v>
      </c>
      <c r="O215" s="3">
        <v>5</v>
      </c>
      <c r="P215" s="3">
        <v>12</v>
      </c>
      <c r="Q215" s="3" t="s">
        <v>10189</v>
      </c>
      <c r="R215" s="6">
        <v>44623</v>
      </c>
    </row>
    <row r="216" spans="1:18" ht="12.5" x14ac:dyDescent="0.25">
      <c r="A216" s="21" t="str">
        <f>HYPERLINK("https://gerandofalcoes.my.salesforce.com/0014P00003YSp92QAD", "0014P00003YSp92QAD")</f>
        <v>0014P00003YSp92QAD</v>
      </c>
      <c r="B216" s="3" t="s">
        <v>17622</v>
      </c>
      <c r="C216" s="3" t="s">
        <v>2538</v>
      </c>
      <c r="D216" s="3" t="s">
        <v>46</v>
      </c>
      <c r="E216" s="3">
        <v>37</v>
      </c>
      <c r="F216" s="3">
        <v>2</v>
      </c>
      <c r="G216" s="3">
        <v>2</v>
      </c>
      <c r="H216" s="3">
        <v>1000</v>
      </c>
      <c r="I216" s="3">
        <v>195</v>
      </c>
      <c r="J216" s="3" t="s">
        <v>17403</v>
      </c>
      <c r="K216" s="3">
        <v>43</v>
      </c>
      <c r="L216" s="3">
        <v>15</v>
      </c>
      <c r="M216" s="3">
        <v>5</v>
      </c>
      <c r="N216" s="3">
        <v>6</v>
      </c>
      <c r="O216" s="3">
        <v>5</v>
      </c>
      <c r="P216" s="3">
        <v>12</v>
      </c>
      <c r="Q216" s="3" t="s">
        <v>10202</v>
      </c>
      <c r="R216" s="6">
        <v>44623</v>
      </c>
    </row>
    <row r="217" spans="1:18" ht="12.5" x14ac:dyDescent="0.25">
      <c r="A217" s="21" t="str">
        <f>HYPERLINK("https://gerandofalcoes.my.salesforce.com/0014P00003YSp94QAD", "0014P00003YSp94QAD")</f>
        <v>0014P00003YSp94QAD</v>
      </c>
      <c r="B217" s="3" t="s">
        <v>17623</v>
      </c>
      <c r="C217" s="3" t="s">
        <v>2538</v>
      </c>
      <c r="D217" s="3" t="s">
        <v>46</v>
      </c>
      <c r="E217" s="3">
        <v>34</v>
      </c>
      <c r="F217" s="3">
        <v>0</v>
      </c>
      <c r="G217" s="3">
        <v>2</v>
      </c>
      <c r="H217" s="3">
        <v>25000</v>
      </c>
      <c r="I217" s="3">
        <v>600</v>
      </c>
      <c r="J217" s="3" t="s">
        <v>17403</v>
      </c>
      <c r="K217" s="3">
        <v>51</v>
      </c>
      <c r="L217" s="3">
        <v>15</v>
      </c>
      <c r="M217" s="3">
        <v>0</v>
      </c>
      <c r="N217" s="3">
        <v>6</v>
      </c>
      <c r="O217" s="3">
        <v>10</v>
      </c>
      <c r="P217" s="3">
        <v>20</v>
      </c>
      <c r="Q217" s="3" t="s">
        <v>10220</v>
      </c>
      <c r="R217" s="6">
        <v>44623</v>
      </c>
    </row>
    <row r="218" spans="1:18" ht="12.5" x14ac:dyDescent="0.25">
      <c r="A218" s="21" t="str">
        <f>HYPERLINK("https://gerandofalcoes.my.salesforce.com/0014P00003YSp95QAD", "0014P00003YSp95QAD")</f>
        <v>0014P00003YSp95QAD</v>
      </c>
      <c r="B218" s="3" t="s">
        <v>17624</v>
      </c>
      <c r="C218" s="3" t="s">
        <v>2538</v>
      </c>
      <c r="D218" s="3" t="s">
        <v>46</v>
      </c>
      <c r="E218" s="3">
        <v>36</v>
      </c>
      <c r="F218" s="3">
        <v>8</v>
      </c>
      <c r="G218" s="3">
        <v>2</v>
      </c>
      <c r="H218" s="3">
        <v>12000</v>
      </c>
      <c r="I218" s="3">
        <v>19</v>
      </c>
      <c r="J218" s="3" t="s">
        <v>17403</v>
      </c>
      <c r="K218" s="3">
        <v>41</v>
      </c>
      <c r="L218" s="3">
        <v>15</v>
      </c>
      <c r="M218" s="3">
        <v>10</v>
      </c>
      <c r="N218" s="3">
        <v>6</v>
      </c>
      <c r="O218" s="3">
        <v>5</v>
      </c>
      <c r="P218" s="3">
        <v>5</v>
      </c>
      <c r="Q218" s="3" t="s">
        <v>10236</v>
      </c>
      <c r="R218" s="6">
        <v>44623</v>
      </c>
    </row>
    <row r="219" spans="1:18" ht="12.5" x14ac:dyDescent="0.25">
      <c r="A219" s="21" t="str">
        <f>HYPERLINK("https://gerandofalcoes.my.salesforce.com/0014P00003YSp97QAD", "0014P00003YSp97QAD")</f>
        <v>0014P00003YSp97QAD</v>
      </c>
      <c r="B219" s="3" t="s">
        <v>17625</v>
      </c>
      <c r="C219" s="3" t="s">
        <v>2538</v>
      </c>
      <c r="D219" s="3" t="s">
        <v>46</v>
      </c>
      <c r="E219" s="3">
        <v>38</v>
      </c>
      <c r="F219" s="3">
        <v>5</v>
      </c>
      <c r="G219" s="3">
        <v>3</v>
      </c>
      <c r="H219" s="3">
        <v>900000</v>
      </c>
      <c r="I219" s="3">
        <v>450</v>
      </c>
      <c r="J219" s="3" t="s">
        <v>17406</v>
      </c>
      <c r="K219" s="3">
        <v>73</v>
      </c>
      <c r="L219" s="3">
        <v>15</v>
      </c>
      <c r="M219" s="3">
        <v>5</v>
      </c>
      <c r="N219" s="3">
        <v>8</v>
      </c>
      <c r="O219" s="3">
        <v>25</v>
      </c>
      <c r="P219" s="3">
        <v>20</v>
      </c>
      <c r="Q219" s="3" t="s">
        <v>10252</v>
      </c>
      <c r="R219" s="6">
        <v>44623</v>
      </c>
    </row>
    <row r="220" spans="1:18" ht="12.5" x14ac:dyDescent="0.25">
      <c r="A220" s="21" t="str">
        <f>HYPERLINK("https://gerandofalcoes.my.salesforce.com/0014P00003YSp98QAD", "0014P00003YSp98QAD")</f>
        <v>0014P00003YSp98QAD</v>
      </c>
      <c r="B220" s="3" t="s">
        <v>17626</v>
      </c>
      <c r="C220" s="3" t="s">
        <v>2538</v>
      </c>
      <c r="D220" s="3" t="s">
        <v>46</v>
      </c>
      <c r="E220" s="3">
        <v>38</v>
      </c>
      <c r="F220" s="3">
        <v>5</v>
      </c>
      <c r="G220" s="3">
        <v>2</v>
      </c>
      <c r="H220" s="3">
        <v>15000</v>
      </c>
      <c r="I220" s="3">
        <v>0</v>
      </c>
      <c r="J220" s="3" t="s">
        <v>17403</v>
      </c>
      <c r="K220" s="3">
        <v>31</v>
      </c>
      <c r="L220" s="3">
        <v>15</v>
      </c>
      <c r="M220" s="3">
        <v>5</v>
      </c>
      <c r="N220" s="3">
        <v>6</v>
      </c>
      <c r="O220" s="3">
        <v>5</v>
      </c>
      <c r="P220" s="3">
        <v>0</v>
      </c>
      <c r="Q220" s="3" t="s">
        <v>10267</v>
      </c>
      <c r="R220" s="6">
        <v>44623</v>
      </c>
    </row>
    <row r="221" spans="1:18" ht="12.5" x14ac:dyDescent="0.25">
      <c r="A221" s="21" t="str">
        <f>HYPERLINK("https://gerandofalcoes.my.salesforce.com/0014P00003YSp99QAD", "0014P00003YSp99QAD")</f>
        <v>0014P00003YSp99QAD</v>
      </c>
      <c r="B221" s="3" t="s">
        <v>17627</v>
      </c>
      <c r="C221" s="3" t="s">
        <v>2538</v>
      </c>
      <c r="D221" s="3" t="s">
        <v>46</v>
      </c>
      <c r="E221" s="3">
        <v>41</v>
      </c>
      <c r="F221" s="3">
        <v>0</v>
      </c>
      <c r="G221" s="3">
        <v>3</v>
      </c>
      <c r="H221" s="3">
        <v>63964</v>
      </c>
      <c r="I221" s="3">
        <v>260</v>
      </c>
      <c r="J221" s="3" t="s">
        <v>17403</v>
      </c>
      <c r="K221" s="3">
        <v>45</v>
      </c>
      <c r="L221" s="3">
        <v>15</v>
      </c>
      <c r="M221" s="3">
        <v>0</v>
      </c>
      <c r="N221" s="3">
        <v>8</v>
      </c>
      <c r="O221" s="3">
        <v>10</v>
      </c>
      <c r="P221" s="3">
        <v>12</v>
      </c>
      <c r="Q221" s="3" t="s">
        <v>10286</v>
      </c>
      <c r="R221" s="6">
        <v>44623</v>
      </c>
    </row>
    <row r="222" spans="1:18" ht="12.5" x14ac:dyDescent="0.25">
      <c r="A222" s="21" t="str">
        <f>HYPERLINK("https://gerandofalcoes.my.salesforce.com/0014P00003YSp9AQAT", "0014P00003YSp9AQAT")</f>
        <v>0014P00003YSp9AQAT</v>
      </c>
      <c r="B222" s="3" t="s">
        <v>17628</v>
      </c>
      <c r="C222" s="3" t="s">
        <v>2538</v>
      </c>
      <c r="D222" s="3" t="s">
        <v>46</v>
      </c>
      <c r="E222" s="3">
        <v>37</v>
      </c>
      <c r="F222" s="3">
        <v>0</v>
      </c>
      <c r="G222" s="3">
        <v>2</v>
      </c>
      <c r="H222" s="3">
        <v>1000</v>
      </c>
      <c r="I222" s="3">
        <v>40</v>
      </c>
      <c r="J222" s="3" t="s">
        <v>17403</v>
      </c>
      <c r="K222" s="3">
        <v>31</v>
      </c>
      <c r="L222" s="3">
        <v>15</v>
      </c>
      <c r="M222" s="3">
        <v>0</v>
      </c>
      <c r="N222" s="3">
        <v>6</v>
      </c>
      <c r="O222" s="3">
        <v>5</v>
      </c>
      <c r="P222" s="3">
        <v>5</v>
      </c>
      <c r="Q222" s="3" t="s">
        <v>10302</v>
      </c>
      <c r="R222" s="6">
        <v>44623</v>
      </c>
    </row>
    <row r="223" spans="1:18" ht="12.5" x14ac:dyDescent="0.25">
      <c r="A223" s="21" t="str">
        <f>HYPERLINK("https://gerandofalcoes.my.salesforce.com/0014P00003YSp9BQAT", "0014P00003YSp9BQAT")</f>
        <v>0014P00003YSp9BQAT</v>
      </c>
      <c r="B223" s="3" t="s">
        <v>17629</v>
      </c>
      <c r="C223" s="3" t="s">
        <v>2538</v>
      </c>
      <c r="D223" s="3" t="s">
        <v>46</v>
      </c>
      <c r="E223" s="3">
        <v>11</v>
      </c>
      <c r="F223" s="3">
        <v>24</v>
      </c>
      <c r="G223" s="3">
        <v>4</v>
      </c>
      <c r="H223" s="3">
        <v>200</v>
      </c>
      <c r="I223" s="3">
        <v>112</v>
      </c>
      <c r="J223" s="3" t="s">
        <v>17403</v>
      </c>
      <c r="K223" s="3">
        <v>47</v>
      </c>
      <c r="L223" s="3">
        <v>10</v>
      </c>
      <c r="M223" s="3">
        <v>12</v>
      </c>
      <c r="N223" s="3">
        <v>10</v>
      </c>
      <c r="O223" s="3">
        <v>5</v>
      </c>
      <c r="P223" s="3">
        <v>10</v>
      </c>
      <c r="Q223" s="3" t="s">
        <v>10318</v>
      </c>
      <c r="R223" s="6">
        <v>44623</v>
      </c>
    </row>
    <row r="224" spans="1:18" ht="12.5" x14ac:dyDescent="0.25">
      <c r="A224" s="21" t="str">
        <f>HYPERLINK("https://gerandofalcoes.my.salesforce.com/0014P00003YSp9CQAT", "0014P00003YSp9CQAT")</f>
        <v>0014P00003YSp9CQAT</v>
      </c>
      <c r="B224" s="3" t="s">
        <v>17630</v>
      </c>
      <c r="C224" s="3" t="s">
        <v>2538</v>
      </c>
      <c r="D224" s="3" t="s">
        <v>46</v>
      </c>
      <c r="E224" s="3">
        <v>35</v>
      </c>
      <c r="F224" s="3">
        <v>1</v>
      </c>
      <c r="G224" s="3">
        <v>2</v>
      </c>
      <c r="H224" s="3">
        <v>120000</v>
      </c>
      <c r="I224" s="3">
        <v>100</v>
      </c>
      <c r="J224" s="3" t="s">
        <v>17403</v>
      </c>
      <c r="K224" s="3">
        <v>51</v>
      </c>
      <c r="L224" s="3">
        <v>15</v>
      </c>
      <c r="M224" s="3">
        <v>5</v>
      </c>
      <c r="N224" s="3">
        <v>6</v>
      </c>
      <c r="O224" s="3">
        <v>15</v>
      </c>
      <c r="P224" s="3">
        <v>10</v>
      </c>
      <c r="Q224" s="3" t="s">
        <v>10330</v>
      </c>
      <c r="R224" s="6">
        <v>44623</v>
      </c>
    </row>
    <row r="225" spans="1:18" ht="12.5" x14ac:dyDescent="0.25">
      <c r="A225" s="21" t="str">
        <f>HYPERLINK("https://gerandofalcoes.my.salesforce.com/0014P00003YSp9EQAT", "0014P00003YSp9EQAT")</f>
        <v>0014P00003YSp9EQAT</v>
      </c>
      <c r="B225" s="3" t="s">
        <v>17631</v>
      </c>
      <c r="C225" s="3" t="s">
        <v>2538</v>
      </c>
      <c r="D225" s="3" t="s">
        <v>46</v>
      </c>
      <c r="E225" s="3">
        <v>38</v>
      </c>
      <c r="F225" s="3">
        <v>2</v>
      </c>
      <c r="G225" s="3">
        <v>2</v>
      </c>
      <c r="H225" s="3">
        <v>30000</v>
      </c>
      <c r="I225" s="3">
        <v>150</v>
      </c>
      <c r="J225" s="3" t="s">
        <v>17403</v>
      </c>
      <c r="K225" s="3">
        <v>48</v>
      </c>
      <c r="L225" s="3">
        <v>15</v>
      </c>
      <c r="M225" s="3">
        <v>5</v>
      </c>
      <c r="N225" s="3">
        <v>6</v>
      </c>
      <c r="O225" s="3">
        <v>10</v>
      </c>
      <c r="P225" s="3">
        <v>12</v>
      </c>
      <c r="Q225" s="3" t="s">
        <v>10346</v>
      </c>
      <c r="R225" s="6">
        <v>44623</v>
      </c>
    </row>
    <row r="226" spans="1:18" ht="12.5" x14ac:dyDescent="0.25">
      <c r="A226" s="21" t="str">
        <f>HYPERLINK("https://gerandofalcoes.my.salesforce.com/0014P00003YSp9FQAT", "0014P00003YSp9FQAT")</f>
        <v>0014P00003YSp9FQAT</v>
      </c>
      <c r="B226" s="3" t="s">
        <v>17632</v>
      </c>
      <c r="C226" s="3" t="s">
        <v>2538</v>
      </c>
      <c r="D226" s="3" t="s">
        <v>46</v>
      </c>
      <c r="E226" s="3">
        <v>43</v>
      </c>
      <c r="F226" s="3">
        <v>7</v>
      </c>
      <c r="G226" s="3">
        <v>4</v>
      </c>
      <c r="H226" s="3">
        <v>200000</v>
      </c>
      <c r="I226" s="3">
        <v>100</v>
      </c>
      <c r="J226" s="3" t="s">
        <v>17403</v>
      </c>
      <c r="K226" s="3">
        <v>60</v>
      </c>
      <c r="L226" s="3">
        <v>15</v>
      </c>
      <c r="M226" s="3">
        <v>10</v>
      </c>
      <c r="N226" s="3">
        <v>10</v>
      </c>
      <c r="O226" s="3">
        <v>15</v>
      </c>
      <c r="P226" s="3">
        <v>10</v>
      </c>
      <c r="Q226" s="3" t="s">
        <v>10362</v>
      </c>
      <c r="R226" s="6">
        <v>44623</v>
      </c>
    </row>
    <row r="227" spans="1:18" ht="12.5" x14ac:dyDescent="0.25">
      <c r="A227" s="21" t="str">
        <f>HYPERLINK("https://gerandofalcoes.my.salesforce.com/0014P00003YSp9HQAT", "0014P00003YSp9HQAT")</f>
        <v>0014P00003YSp9HQAT</v>
      </c>
      <c r="B227" s="3" t="s">
        <v>17633</v>
      </c>
      <c r="C227" s="3" t="s">
        <v>2538</v>
      </c>
      <c r="D227" s="3" t="s">
        <v>46</v>
      </c>
      <c r="E227" s="3">
        <v>20</v>
      </c>
      <c r="F227" s="3">
        <v>0</v>
      </c>
      <c r="G227" s="3">
        <v>2</v>
      </c>
      <c r="H227" s="3">
        <v>2500</v>
      </c>
      <c r="I227" s="3">
        <v>77</v>
      </c>
      <c r="J227" s="3" t="s">
        <v>17403</v>
      </c>
      <c r="K227" s="3">
        <v>26</v>
      </c>
      <c r="L227" s="3">
        <v>10</v>
      </c>
      <c r="M227" s="3">
        <v>0</v>
      </c>
      <c r="N227" s="3">
        <v>6</v>
      </c>
      <c r="O227" s="3">
        <v>5</v>
      </c>
      <c r="P227" s="3">
        <v>5</v>
      </c>
      <c r="Q227" s="3" t="s">
        <v>10380</v>
      </c>
      <c r="R227" s="6">
        <v>44623</v>
      </c>
    </row>
    <row r="228" spans="1:18" ht="12.5" x14ac:dyDescent="0.25">
      <c r="A228" s="21" t="str">
        <f>HYPERLINK("https://gerandofalcoes.my.salesforce.com/0014P00003YSp9JQAT", "0014P00003YSp9JQAT")</f>
        <v>0014P00003YSp9JQAT</v>
      </c>
      <c r="B228" s="3" t="s">
        <v>17634</v>
      </c>
      <c r="C228" s="3" t="s">
        <v>2538</v>
      </c>
      <c r="D228" s="3" t="s">
        <v>46</v>
      </c>
      <c r="E228" s="3">
        <v>37</v>
      </c>
      <c r="F228" s="3">
        <v>4</v>
      </c>
      <c r="G228" s="3">
        <v>4</v>
      </c>
      <c r="H228" s="3">
        <v>125000</v>
      </c>
      <c r="I228" s="3">
        <v>150</v>
      </c>
      <c r="J228" s="3" t="s">
        <v>17403</v>
      </c>
      <c r="K228" s="3">
        <v>57</v>
      </c>
      <c r="L228" s="3">
        <v>15</v>
      </c>
      <c r="M228" s="3">
        <v>5</v>
      </c>
      <c r="N228" s="3">
        <v>10</v>
      </c>
      <c r="O228" s="3">
        <v>15</v>
      </c>
      <c r="P228" s="3">
        <v>12</v>
      </c>
      <c r="Q228" s="3" t="s">
        <v>10393</v>
      </c>
      <c r="R228" s="6">
        <v>44623</v>
      </c>
    </row>
    <row r="229" spans="1:18" ht="12.5" x14ac:dyDescent="0.25">
      <c r="A229" s="21" t="str">
        <f>HYPERLINK("https://gerandofalcoes.my.salesforce.com/0014P00003YSp9LQAT", "0014P00003YSp9LQAT")</f>
        <v>0014P00003YSp9LQAT</v>
      </c>
      <c r="B229" s="3" t="s">
        <v>17635</v>
      </c>
      <c r="C229" s="3" t="s">
        <v>2538</v>
      </c>
      <c r="D229" s="3" t="s">
        <v>46</v>
      </c>
      <c r="E229" s="3">
        <v>43</v>
      </c>
      <c r="F229" s="3">
        <v>16</v>
      </c>
      <c r="G229" s="3">
        <v>6</v>
      </c>
      <c r="H229" s="3">
        <v>153000</v>
      </c>
      <c r="I229" s="3">
        <v>487</v>
      </c>
      <c r="J229" s="3" t="s">
        <v>17406</v>
      </c>
      <c r="K229" s="3">
        <v>72</v>
      </c>
      <c r="L229" s="3">
        <v>15</v>
      </c>
      <c r="M229" s="3">
        <v>12</v>
      </c>
      <c r="N229" s="3">
        <v>10</v>
      </c>
      <c r="O229" s="3">
        <v>15</v>
      </c>
      <c r="P229" s="3">
        <v>20</v>
      </c>
      <c r="Q229" s="3" t="s">
        <v>10410</v>
      </c>
      <c r="R229" s="6">
        <v>44623</v>
      </c>
    </row>
    <row r="230" spans="1:18" ht="12.5" x14ac:dyDescent="0.25">
      <c r="A230" s="21" t="str">
        <f>HYPERLINK("https://gerandofalcoes.my.salesforce.com/0014P00003YSp9MQAT", "0014P00003YSp9MQAT")</f>
        <v>0014P00003YSp9MQAT</v>
      </c>
      <c r="B230" s="3" t="s">
        <v>17636</v>
      </c>
      <c r="C230" s="3" t="s">
        <v>2538</v>
      </c>
      <c r="D230" s="3" t="s">
        <v>46</v>
      </c>
      <c r="E230" s="3">
        <v>44</v>
      </c>
      <c r="F230" s="3">
        <v>2</v>
      </c>
      <c r="G230" s="3">
        <v>2</v>
      </c>
      <c r="H230" s="3">
        <v>9000</v>
      </c>
      <c r="I230" s="3">
        <v>30</v>
      </c>
      <c r="J230" s="3" t="s">
        <v>17403</v>
      </c>
      <c r="K230" s="3">
        <v>36</v>
      </c>
      <c r="L230" s="3">
        <v>15</v>
      </c>
      <c r="M230" s="3">
        <v>5</v>
      </c>
      <c r="N230" s="3">
        <v>6</v>
      </c>
      <c r="O230" s="3">
        <v>5</v>
      </c>
      <c r="P230" s="3">
        <v>5</v>
      </c>
      <c r="Q230" s="3" t="s">
        <v>10429</v>
      </c>
      <c r="R230" s="6">
        <v>44623</v>
      </c>
    </row>
    <row r="231" spans="1:18" ht="12.5" x14ac:dyDescent="0.25">
      <c r="A231" s="21" t="str">
        <f>HYPERLINK("https://gerandofalcoes.my.salesforce.com/0014P00003YSp9NQAT", "0014P00003YSp9NQAT")</f>
        <v>0014P00003YSp9NQAT</v>
      </c>
      <c r="B231" s="3" t="s">
        <v>17637</v>
      </c>
      <c r="C231" s="3" t="s">
        <v>2538</v>
      </c>
      <c r="D231" s="3" t="s">
        <v>46</v>
      </c>
      <c r="E231" s="3">
        <v>30</v>
      </c>
      <c r="F231" s="3">
        <v>0</v>
      </c>
      <c r="G231" s="3">
        <v>2</v>
      </c>
      <c r="H231" s="3">
        <v>11000</v>
      </c>
      <c r="I231" s="3">
        <v>600</v>
      </c>
      <c r="J231" s="3" t="s">
        <v>17403</v>
      </c>
      <c r="K231" s="3">
        <v>46</v>
      </c>
      <c r="L231" s="3">
        <v>15</v>
      </c>
      <c r="M231" s="3">
        <v>0</v>
      </c>
      <c r="N231" s="3">
        <v>6</v>
      </c>
      <c r="O231" s="3">
        <v>5</v>
      </c>
      <c r="P231" s="3">
        <v>20</v>
      </c>
      <c r="Q231" s="3" t="s">
        <v>10441</v>
      </c>
      <c r="R231" s="6">
        <v>44623</v>
      </c>
    </row>
    <row r="232" spans="1:18" ht="12.5" x14ac:dyDescent="0.25">
      <c r="A232" s="21" t="str">
        <f>HYPERLINK("https://gerandofalcoes.my.salesforce.com/0014P00003YSp9OQAT", "0014P00003YSp9OQAT")</f>
        <v>0014P00003YSp9OQAT</v>
      </c>
      <c r="B232" s="3" t="s">
        <v>17638</v>
      </c>
      <c r="C232" s="3" t="s">
        <v>2538</v>
      </c>
      <c r="D232" s="3" t="s">
        <v>46</v>
      </c>
      <c r="E232" s="3">
        <v>19</v>
      </c>
      <c r="F232" s="3">
        <v>0</v>
      </c>
      <c r="G232" s="3">
        <v>8</v>
      </c>
      <c r="H232" s="3">
        <v>15000</v>
      </c>
      <c r="I232" s="3">
        <v>958</v>
      </c>
      <c r="J232" s="3" t="s">
        <v>17403</v>
      </c>
      <c r="K232" s="3">
        <v>45</v>
      </c>
      <c r="L232" s="3">
        <v>10</v>
      </c>
      <c r="M232" s="3">
        <v>0</v>
      </c>
      <c r="N232" s="3">
        <v>10</v>
      </c>
      <c r="O232" s="3">
        <v>5</v>
      </c>
      <c r="P232" s="3">
        <v>20</v>
      </c>
      <c r="Q232" s="3" t="s">
        <v>10459</v>
      </c>
      <c r="R232" s="6">
        <v>44623</v>
      </c>
    </row>
    <row r="233" spans="1:18" ht="12.5" x14ac:dyDescent="0.25">
      <c r="A233" s="21" t="str">
        <f>HYPERLINK("https://gerandofalcoes.my.salesforce.com/0014P00003YSp9PQAT", "0014P00003YSp9PQAT")</f>
        <v>0014P00003YSp9PQAT</v>
      </c>
      <c r="B233" s="3" t="s">
        <v>17639</v>
      </c>
      <c r="C233" s="3" t="s">
        <v>2538</v>
      </c>
      <c r="D233" s="3" t="s">
        <v>46</v>
      </c>
      <c r="E233" s="3">
        <v>29</v>
      </c>
      <c r="F233" s="3">
        <v>1</v>
      </c>
      <c r="G233" s="3">
        <v>2</v>
      </c>
      <c r="H233" s="3">
        <v>161520</v>
      </c>
      <c r="I233" s="3">
        <v>3085</v>
      </c>
      <c r="J233" s="3" t="s">
        <v>17403</v>
      </c>
      <c r="K233" s="3">
        <v>61</v>
      </c>
      <c r="L233" s="3">
        <v>15</v>
      </c>
      <c r="M233" s="3">
        <v>5</v>
      </c>
      <c r="N233" s="3">
        <v>6</v>
      </c>
      <c r="O233" s="3">
        <v>15</v>
      </c>
      <c r="P233" s="3">
        <v>20</v>
      </c>
      <c r="Q233" s="3" t="s">
        <v>10473</v>
      </c>
      <c r="R233" s="6">
        <v>44623</v>
      </c>
    </row>
    <row r="234" spans="1:18" ht="12.5" x14ac:dyDescent="0.25">
      <c r="A234" s="21" t="str">
        <f>HYPERLINK("https://gerandofalcoes.my.salesforce.com/0014P00003YSp9TQAT", "0014P00003YSp9TQAT")</f>
        <v>0014P00003YSp9TQAT</v>
      </c>
      <c r="B234" s="3" t="s">
        <v>17640</v>
      </c>
      <c r="C234" s="3" t="s">
        <v>2538</v>
      </c>
      <c r="D234" s="3" t="s">
        <v>46</v>
      </c>
      <c r="E234" s="3">
        <v>33</v>
      </c>
      <c r="F234" s="3">
        <v>0</v>
      </c>
      <c r="G234" s="3">
        <v>5</v>
      </c>
      <c r="H234" s="3">
        <v>25650</v>
      </c>
      <c r="I234" s="3">
        <v>200</v>
      </c>
      <c r="J234" s="3" t="s">
        <v>17403</v>
      </c>
      <c r="K234" s="3">
        <v>47</v>
      </c>
      <c r="L234" s="3">
        <v>15</v>
      </c>
      <c r="M234" s="3">
        <v>0</v>
      </c>
      <c r="N234" s="3">
        <v>10</v>
      </c>
      <c r="O234" s="3">
        <v>10</v>
      </c>
      <c r="P234" s="3">
        <v>12</v>
      </c>
      <c r="Q234" s="3" t="s">
        <v>10514</v>
      </c>
      <c r="R234" s="6">
        <v>44623</v>
      </c>
    </row>
    <row r="235" spans="1:18" ht="12.5" x14ac:dyDescent="0.25">
      <c r="A235" s="21" t="str">
        <f>HYPERLINK("https://gerandofalcoes.my.salesforce.com/0014P00003YSp9UQAT", "0014P00003YSp9UQAT")</f>
        <v>0014P00003YSp9UQAT</v>
      </c>
      <c r="B235" s="3" t="s">
        <v>10528</v>
      </c>
      <c r="C235" s="3" t="s">
        <v>2538</v>
      </c>
      <c r="D235" s="3" t="s">
        <v>46</v>
      </c>
      <c r="E235" s="3">
        <v>34</v>
      </c>
      <c r="F235" s="3">
        <v>39</v>
      </c>
      <c r="G235" s="3">
        <v>2</v>
      </c>
      <c r="H235" s="3">
        <v>2000</v>
      </c>
      <c r="I235" s="3">
        <v>280</v>
      </c>
      <c r="J235" s="3" t="s">
        <v>17403</v>
      </c>
      <c r="K235" s="3">
        <v>53</v>
      </c>
      <c r="L235" s="3">
        <v>15</v>
      </c>
      <c r="M235" s="3">
        <v>15</v>
      </c>
      <c r="N235" s="3">
        <v>6</v>
      </c>
      <c r="O235" s="3">
        <v>5</v>
      </c>
      <c r="P235" s="3">
        <v>12</v>
      </c>
      <c r="Q235" s="3" t="s">
        <v>10531</v>
      </c>
      <c r="R235" s="6">
        <v>44623</v>
      </c>
    </row>
    <row r="236" spans="1:18" ht="12.5" x14ac:dyDescent="0.25">
      <c r="A236" s="21" t="str">
        <f>HYPERLINK("https://gerandofalcoes.my.salesforce.com/0014P00003YSp9WQAT", "0014P00003YSp9WQAT")</f>
        <v>0014P00003YSp9WQAT</v>
      </c>
      <c r="B236" s="3" t="s">
        <v>10547</v>
      </c>
      <c r="C236" s="3" t="s">
        <v>2538</v>
      </c>
      <c r="D236" s="3" t="s">
        <v>46</v>
      </c>
      <c r="E236" s="3">
        <v>35</v>
      </c>
      <c r="F236" s="3">
        <v>0</v>
      </c>
      <c r="G236" s="3">
        <v>4</v>
      </c>
      <c r="H236" s="3">
        <v>0</v>
      </c>
      <c r="I236" s="3">
        <v>450</v>
      </c>
      <c r="J236" s="3" t="s">
        <v>17403</v>
      </c>
      <c r="K236" s="3">
        <v>45</v>
      </c>
      <c r="L236" s="3">
        <v>15</v>
      </c>
      <c r="M236" s="3">
        <v>0</v>
      </c>
      <c r="N236" s="3">
        <v>10</v>
      </c>
      <c r="O236" s="3">
        <v>0</v>
      </c>
      <c r="P236" s="3">
        <v>20</v>
      </c>
      <c r="Q236" s="3" t="s">
        <v>10550</v>
      </c>
      <c r="R236" s="6">
        <v>44623</v>
      </c>
    </row>
    <row r="237" spans="1:18" ht="12.5" x14ac:dyDescent="0.25">
      <c r="A237" s="21" t="str">
        <f>HYPERLINK("https://gerandofalcoes.my.salesforce.com/0014P00003YSp9XQAT", "0014P00003YSp9XQAT")</f>
        <v>0014P00003YSp9XQAT</v>
      </c>
      <c r="B237" s="3" t="s">
        <v>17641</v>
      </c>
      <c r="C237" s="3" t="s">
        <v>2538</v>
      </c>
      <c r="D237" s="3" t="s">
        <v>46</v>
      </c>
      <c r="E237" s="3">
        <v>46</v>
      </c>
      <c r="F237" s="3">
        <v>53</v>
      </c>
      <c r="G237" s="3">
        <v>13</v>
      </c>
      <c r="H237" s="3">
        <v>3643229</v>
      </c>
      <c r="I237" s="3">
        <v>500</v>
      </c>
      <c r="J237" s="3" t="s">
        <v>17405</v>
      </c>
      <c r="K237" s="3">
        <v>85</v>
      </c>
      <c r="L237" s="3">
        <v>15</v>
      </c>
      <c r="M237" s="3">
        <v>15</v>
      </c>
      <c r="N237" s="3">
        <v>10</v>
      </c>
      <c r="O237" s="3">
        <v>25</v>
      </c>
      <c r="P237" s="3">
        <v>20</v>
      </c>
      <c r="Q237" s="3" t="s">
        <v>10566</v>
      </c>
      <c r="R237" s="6">
        <v>44623</v>
      </c>
    </row>
    <row r="238" spans="1:18" ht="12.5" x14ac:dyDescent="0.25">
      <c r="A238" s="21" t="str">
        <f>HYPERLINK("https://gerandofalcoes.my.salesforce.com/0014P00003YSp9YQAT", "0014P00003YSp9YQAT")</f>
        <v>0014P00003YSp9YQAT</v>
      </c>
      <c r="B238" s="3" t="s">
        <v>17642</v>
      </c>
      <c r="C238" s="3" t="s">
        <v>2538</v>
      </c>
      <c r="D238" s="3" t="s">
        <v>46</v>
      </c>
      <c r="E238" s="3">
        <v>32</v>
      </c>
      <c r="F238" s="3">
        <v>0</v>
      </c>
      <c r="G238" s="3">
        <v>2</v>
      </c>
      <c r="H238" s="3">
        <v>7000</v>
      </c>
      <c r="I238" s="3">
        <v>518</v>
      </c>
      <c r="J238" s="3" t="s">
        <v>17403</v>
      </c>
      <c r="K238" s="3">
        <v>46</v>
      </c>
      <c r="L238" s="3">
        <v>15</v>
      </c>
      <c r="M238" s="3">
        <v>0</v>
      </c>
      <c r="N238" s="3">
        <v>6</v>
      </c>
      <c r="O238" s="3">
        <v>5</v>
      </c>
      <c r="P238" s="3">
        <v>20</v>
      </c>
      <c r="Q238" s="3" t="s">
        <v>10585</v>
      </c>
      <c r="R238" s="6">
        <v>44623</v>
      </c>
    </row>
    <row r="239" spans="1:18" ht="12.5" x14ac:dyDescent="0.25">
      <c r="A239" s="21" t="str">
        <f>HYPERLINK("https://gerandofalcoes.my.salesforce.com/0014P00003YSp9ZQAT", "0014P00003YSp9ZQAT")</f>
        <v>0014P00003YSp9ZQAT</v>
      </c>
      <c r="B239" s="3" t="s">
        <v>17643</v>
      </c>
      <c r="C239" s="3" t="s">
        <v>12704</v>
      </c>
      <c r="D239" s="3" t="s">
        <v>46</v>
      </c>
      <c r="E239" s="3">
        <v>26</v>
      </c>
      <c r="F239" s="3">
        <v>2</v>
      </c>
      <c r="G239" s="3">
        <v>0</v>
      </c>
      <c r="H239" s="3">
        <v>0</v>
      </c>
      <c r="I239" s="3">
        <v>0</v>
      </c>
      <c r="J239" s="3" t="s">
        <v>17403</v>
      </c>
      <c r="K239" s="3">
        <v>20</v>
      </c>
      <c r="L239" s="3">
        <v>15</v>
      </c>
      <c r="M239" s="3">
        <v>5</v>
      </c>
      <c r="N239" s="3">
        <v>0</v>
      </c>
      <c r="O239" s="3">
        <v>0</v>
      </c>
      <c r="P239" s="3">
        <v>0</v>
      </c>
      <c r="Q239" s="3" t="s">
        <v>10604</v>
      </c>
      <c r="R239" s="6">
        <v>44623</v>
      </c>
    </row>
    <row r="240" spans="1:18" ht="12.5" x14ac:dyDescent="0.25">
      <c r="A240" s="21" t="str">
        <f>HYPERLINK("https://gerandofalcoes.my.salesforce.com/0014P00003YSp9aQAD", "0014P00003YSp9aQAD")</f>
        <v>0014P00003YSp9aQAD</v>
      </c>
      <c r="B240" s="3" t="s">
        <v>10609</v>
      </c>
      <c r="C240" s="3" t="s">
        <v>2538</v>
      </c>
      <c r="D240" s="3" t="s">
        <v>46</v>
      </c>
      <c r="E240" s="3">
        <v>33</v>
      </c>
      <c r="F240" s="3">
        <v>0</v>
      </c>
      <c r="G240" s="3">
        <v>2</v>
      </c>
      <c r="H240" s="3">
        <v>2000</v>
      </c>
      <c r="I240" s="3">
        <v>200</v>
      </c>
      <c r="J240" s="3" t="s">
        <v>17403</v>
      </c>
      <c r="K240" s="3">
        <v>38</v>
      </c>
      <c r="L240" s="3">
        <v>15</v>
      </c>
      <c r="M240" s="3">
        <v>0</v>
      </c>
      <c r="N240" s="3">
        <v>6</v>
      </c>
      <c r="O240" s="3">
        <v>5</v>
      </c>
      <c r="P240" s="3">
        <v>12</v>
      </c>
      <c r="Q240" s="3" t="s">
        <v>10612</v>
      </c>
      <c r="R240" s="6">
        <v>44623</v>
      </c>
    </row>
    <row r="241" spans="1:18" ht="12.5" x14ac:dyDescent="0.25">
      <c r="A241" s="21" t="str">
        <f>HYPERLINK("https://gerandofalcoes.my.salesforce.com/0014P00003YSp9bQAD", "0014P00003YSp9bQAD")</f>
        <v>0014P00003YSp9bQAD</v>
      </c>
      <c r="B241" s="3" t="s">
        <v>17644</v>
      </c>
      <c r="C241" s="3" t="s">
        <v>2538</v>
      </c>
      <c r="D241" s="3" t="s">
        <v>46</v>
      </c>
      <c r="E241" s="3">
        <v>38</v>
      </c>
      <c r="F241" s="3">
        <v>8</v>
      </c>
      <c r="G241" s="3">
        <v>3</v>
      </c>
      <c r="H241" s="3">
        <v>400216</v>
      </c>
      <c r="I241" s="3">
        <v>340</v>
      </c>
      <c r="J241" s="3" t="s">
        <v>17406</v>
      </c>
      <c r="K241" s="3">
        <v>68</v>
      </c>
      <c r="L241" s="3">
        <v>15</v>
      </c>
      <c r="M241" s="3">
        <v>10</v>
      </c>
      <c r="N241" s="3">
        <v>8</v>
      </c>
      <c r="O241" s="3">
        <v>20</v>
      </c>
      <c r="P241" s="3">
        <v>15</v>
      </c>
      <c r="Q241" s="3" t="s">
        <v>10626</v>
      </c>
      <c r="R241" s="6">
        <v>44623</v>
      </c>
    </row>
    <row r="242" spans="1:18" ht="12.5" x14ac:dyDescent="0.25">
      <c r="A242" s="21" t="str">
        <f>HYPERLINK("https://gerandofalcoes.my.salesforce.com/0014P00003YSp9cQAD", "0014P00003YSp9cQAD")</f>
        <v>0014P00003YSp9cQAD</v>
      </c>
      <c r="B242" s="3" t="s">
        <v>17645</v>
      </c>
      <c r="C242" s="3" t="s">
        <v>2538</v>
      </c>
      <c r="D242" s="3" t="s">
        <v>46</v>
      </c>
      <c r="E242" s="3">
        <v>19</v>
      </c>
      <c r="F242" s="3">
        <v>2</v>
      </c>
      <c r="G242" s="3">
        <v>4</v>
      </c>
      <c r="H242" s="3">
        <v>2000</v>
      </c>
      <c r="I242" s="3">
        <v>60</v>
      </c>
      <c r="J242" s="3" t="s">
        <v>17403</v>
      </c>
      <c r="K242" s="3">
        <v>35</v>
      </c>
      <c r="L242" s="3">
        <v>10</v>
      </c>
      <c r="M242" s="3">
        <v>5</v>
      </c>
      <c r="N242" s="3">
        <v>10</v>
      </c>
      <c r="O242" s="3">
        <v>5</v>
      </c>
      <c r="P242" s="3">
        <v>5</v>
      </c>
      <c r="Q242" s="3" t="s">
        <v>10643</v>
      </c>
      <c r="R242" s="6">
        <v>44623</v>
      </c>
    </row>
    <row r="243" spans="1:18" ht="12.5" x14ac:dyDescent="0.25">
      <c r="A243" s="21" t="str">
        <f>HYPERLINK("https://gerandofalcoes.my.salesforce.com/0014P00003YSp9dQAD", "0014P00003YSp9dQAD")</f>
        <v>0014P00003YSp9dQAD</v>
      </c>
      <c r="B243" s="3" t="s">
        <v>17646</v>
      </c>
      <c r="C243" s="3" t="s">
        <v>2538</v>
      </c>
      <c r="D243" s="3" t="s">
        <v>46</v>
      </c>
      <c r="E243" s="3">
        <v>16</v>
      </c>
      <c r="F243" s="3">
        <v>0</v>
      </c>
      <c r="G243" s="3">
        <v>2</v>
      </c>
      <c r="H243" s="3">
        <v>10000</v>
      </c>
      <c r="I243" s="3">
        <v>0</v>
      </c>
      <c r="J243" s="3" t="s">
        <v>17403</v>
      </c>
      <c r="K243" s="3">
        <v>21</v>
      </c>
      <c r="L243" s="3">
        <v>10</v>
      </c>
      <c r="M243" s="3">
        <v>0</v>
      </c>
      <c r="N243" s="3">
        <v>6</v>
      </c>
      <c r="O243" s="3">
        <v>5</v>
      </c>
      <c r="P243" s="3">
        <v>0</v>
      </c>
      <c r="Q243" s="3" t="s">
        <v>10655</v>
      </c>
      <c r="R243" s="6">
        <v>44623</v>
      </c>
    </row>
    <row r="244" spans="1:18" ht="12.5" x14ac:dyDescent="0.25">
      <c r="A244" s="21" t="str">
        <f>HYPERLINK("https://gerandofalcoes.my.salesforce.com/0014P00003YSp9eQAD", "0014P00003YSp9eQAD")</f>
        <v>0014P00003YSp9eQAD</v>
      </c>
      <c r="B244" s="3" t="s">
        <v>17647</v>
      </c>
      <c r="C244" s="3" t="s">
        <v>2538</v>
      </c>
      <c r="D244" s="3" t="s">
        <v>46</v>
      </c>
      <c r="E244" s="3">
        <v>36</v>
      </c>
      <c r="F244" s="3">
        <v>4</v>
      </c>
      <c r="G244" s="3">
        <v>4</v>
      </c>
      <c r="H244" s="3">
        <v>270000</v>
      </c>
      <c r="I244" s="3">
        <v>0</v>
      </c>
      <c r="J244" s="3" t="s">
        <v>17403</v>
      </c>
      <c r="K244" s="3">
        <v>45</v>
      </c>
      <c r="L244" s="3">
        <v>15</v>
      </c>
      <c r="M244" s="3">
        <v>5</v>
      </c>
      <c r="N244" s="3">
        <v>10</v>
      </c>
      <c r="O244" s="3">
        <v>15</v>
      </c>
      <c r="P244" s="3">
        <v>0</v>
      </c>
      <c r="Q244" s="3" t="s">
        <v>10664</v>
      </c>
      <c r="R244" s="6">
        <v>44623</v>
      </c>
    </row>
    <row r="245" spans="1:18" ht="12.5" x14ac:dyDescent="0.25">
      <c r="A245" s="21" t="str">
        <f>HYPERLINK("https://gerandofalcoes.my.salesforce.com/0014P00003YSp9RQAT", "0014P00003YSp9RQAT")</f>
        <v>0014P00003YSp9RQAT</v>
      </c>
      <c r="B245" s="3" t="s">
        <v>17648</v>
      </c>
      <c r="C245" s="3" t="s">
        <v>2538</v>
      </c>
      <c r="D245" s="3" t="s">
        <v>46</v>
      </c>
      <c r="E245" s="3">
        <v>32</v>
      </c>
      <c r="F245" s="3">
        <v>0</v>
      </c>
      <c r="G245" s="3">
        <v>4</v>
      </c>
      <c r="H245" s="3">
        <v>45000</v>
      </c>
      <c r="I245" s="3">
        <v>1700</v>
      </c>
      <c r="J245" s="3" t="s">
        <v>17403</v>
      </c>
      <c r="K245" s="3">
        <v>55</v>
      </c>
      <c r="L245" s="3">
        <v>15</v>
      </c>
      <c r="M245" s="3">
        <v>0</v>
      </c>
      <c r="N245" s="3">
        <v>10</v>
      </c>
      <c r="O245" s="3">
        <v>10</v>
      </c>
      <c r="P245" s="3">
        <v>20</v>
      </c>
      <c r="Q245" s="3" t="s">
        <v>10488</v>
      </c>
      <c r="R245" s="6">
        <v>44623</v>
      </c>
    </row>
    <row r="246" spans="1:18" ht="12.5" x14ac:dyDescent="0.25">
      <c r="A246" s="21" t="str">
        <f>HYPERLINK("https://gerandofalcoes.my.salesforce.com/0014P00003YSp9SQAT", "0014P00003YSp9SQAT")</f>
        <v>0014P00003YSp9SQAT</v>
      </c>
      <c r="B246" s="3" t="s">
        <v>17649</v>
      </c>
      <c r="C246" s="3" t="s">
        <v>2538</v>
      </c>
      <c r="D246" s="3" t="s">
        <v>46</v>
      </c>
      <c r="E246" s="3">
        <v>20</v>
      </c>
      <c r="F246" s="3">
        <v>3</v>
      </c>
      <c r="G246" s="3">
        <v>4</v>
      </c>
      <c r="H246" s="3">
        <v>21200</v>
      </c>
      <c r="I246" s="3">
        <v>240</v>
      </c>
      <c r="J246" s="3" t="s">
        <v>17403</v>
      </c>
      <c r="K246" s="3">
        <v>42</v>
      </c>
      <c r="L246" s="3">
        <v>10</v>
      </c>
      <c r="M246" s="3">
        <v>5</v>
      </c>
      <c r="N246" s="3">
        <v>10</v>
      </c>
      <c r="O246" s="3">
        <v>5</v>
      </c>
      <c r="P246" s="3">
        <v>12</v>
      </c>
      <c r="Q246" s="3" t="s">
        <v>10502</v>
      </c>
      <c r="R246" s="6">
        <v>44623</v>
      </c>
    </row>
    <row r="247" spans="1:18" ht="12.5" x14ac:dyDescent="0.25">
      <c r="A247" s="21" t="str">
        <f>HYPERLINK("https://gerandofalcoes.my.salesforce.com/0014P00003YSp9fQAD", "0014P00003YSp9fQAD")</f>
        <v>0014P00003YSp9fQAD</v>
      </c>
      <c r="B247" s="3" t="s">
        <v>17650</v>
      </c>
      <c r="C247" s="3" t="s">
        <v>2538</v>
      </c>
      <c r="D247" s="3" t="s">
        <v>46</v>
      </c>
      <c r="E247" s="3">
        <v>36</v>
      </c>
      <c r="F247" s="3">
        <v>0</v>
      </c>
      <c r="G247" s="3">
        <v>2</v>
      </c>
      <c r="H247" s="3">
        <v>20</v>
      </c>
      <c r="I247" s="3">
        <v>0</v>
      </c>
      <c r="J247" s="3" t="s">
        <v>17403</v>
      </c>
      <c r="K247" s="3">
        <v>26</v>
      </c>
      <c r="L247" s="3">
        <v>15</v>
      </c>
      <c r="M247" s="3">
        <v>0</v>
      </c>
      <c r="N247" s="3">
        <v>6</v>
      </c>
      <c r="O247" s="3">
        <v>5</v>
      </c>
      <c r="P247" s="3">
        <v>0</v>
      </c>
      <c r="Q247" s="3" t="s">
        <v>10677</v>
      </c>
      <c r="R247" s="6">
        <v>44623</v>
      </c>
    </row>
    <row r="248" spans="1:18" ht="12.5" x14ac:dyDescent="0.25">
      <c r="A248" s="21" t="str">
        <f>HYPERLINK("https://gerandofalcoes.my.salesforce.com/0014P00003YSp9gQAD", "0014P00003YSp9gQAD")</f>
        <v>0014P00003YSp9gQAD</v>
      </c>
      <c r="B248" s="3" t="s">
        <v>17651</v>
      </c>
      <c r="C248" s="3" t="s">
        <v>2538</v>
      </c>
      <c r="D248" s="3" t="s">
        <v>46</v>
      </c>
      <c r="E248" s="3">
        <v>20</v>
      </c>
      <c r="F248" s="3">
        <v>5</v>
      </c>
      <c r="G248" s="3">
        <v>2</v>
      </c>
      <c r="H248" s="3">
        <v>2000</v>
      </c>
      <c r="I248" s="3">
        <v>50</v>
      </c>
      <c r="J248" s="3" t="s">
        <v>17403</v>
      </c>
      <c r="K248" s="3">
        <v>31</v>
      </c>
      <c r="L248" s="3">
        <v>10</v>
      </c>
      <c r="M248" s="3">
        <v>5</v>
      </c>
      <c r="N248" s="3">
        <v>6</v>
      </c>
      <c r="O248" s="3">
        <v>5</v>
      </c>
      <c r="P248" s="3">
        <v>5</v>
      </c>
      <c r="Q248" s="3" t="s">
        <v>10691</v>
      </c>
      <c r="R248" s="6">
        <v>44623</v>
      </c>
    </row>
    <row r="249" spans="1:18" ht="12.5" x14ac:dyDescent="0.25">
      <c r="A249" s="21" t="str">
        <f>HYPERLINK("https://gerandofalcoes.my.salesforce.com/0014P00003YSp9hQAD", "0014P00003YSp9hQAD")</f>
        <v>0014P00003YSp9hQAD</v>
      </c>
      <c r="B249" s="3" t="s">
        <v>17652</v>
      </c>
      <c r="C249" s="3" t="s">
        <v>2538</v>
      </c>
      <c r="D249" s="3" t="s">
        <v>46</v>
      </c>
      <c r="E249" s="3">
        <v>15</v>
      </c>
      <c r="F249" s="3">
        <v>15</v>
      </c>
      <c r="G249" s="3">
        <v>2</v>
      </c>
      <c r="H249" s="3">
        <v>11874</v>
      </c>
      <c r="I249" s="3">
        <v>130</v>
      </c>
      <c r="J249" s="3" t="s">
        <v>17403</v>
      </c>
      <c r="K249" s="3">
        <v>43</v>
      </c>
      <c r="L249" s="3">
        <v>10</v>
      </c>
      <c r="M249" s="3">
        <v>12</v>
      </c>
      <c r="N249" s="3">
        <v>6</v>
      </c>
      <c r="O249" s="3">
        <v>5</v>
      </c>
      <c r="P249" s="3">
        <v>10</v>
      </c>
      <c r="Q249" s="3" t="s">
        <v>10704</v>
      </c>
      <c r="R249" s="6">
        <v>44623</v>
      </c>
    </row>
    <row r="250" spans="1:18" ht="12.5" x14ac:dyDescent="0.25">
      <c r="A250" s="21" t="str">
        <f>HYPERLINK("https://gerandofalcoes.my.salesforce.com/0014P00003YSp9iQAD", "0014P00003YSp9iQAD")</f>
        <v>0014P00003YSp9iQAD</v>
      </c>
      <c r="B250" s="3" t="s">
        <v>17653</v>
      </c>
      <c r="C250" s="3" t="s">
        <v>2538</v>
      </c>
      <c r="D250" s="3" t="s">
        <v>46</v>
      </c>
      <c r="E250" s="3">
        <v>36</v>
      </c>
      <c r="F250" s="3">
        <v>0</v>
      </c>
      <c r="G250" s="3">
        <v>2</v>
      </c>
      <c r="H250" s="3">
        <v>15155</v>
      </c>
      <c r="I250" s="3">
        <v>200</v>
      </c>
      <c r="J250" s="3" t="s">
        <v>17403</v>
      </c>
      <c r="K250" s="3">
        <v>38</v>
      </c>
      <c r="L250" s="3">
        <v>15</v>
      </c>
      <c r="M250" s="3">
        <v>0</v>
      </c>
      <c r="N250" s="3">
        <v>6</v>
      </c>
      <c r="O250" s="3">
        <v>5</v>
      </c>
      <c r="P250" s="3">
        <v>12</v>
      </c>
      <c r="Q250" s="3" t="s">
        <v>10716</v>
      </c>
      <c r="R250" s="6">
        <v>44623</v>
      </c>
    </row>
    <row r="251" spans="1:18" ht="12.5" x14ac:dyDescent="0.25">
      <c r="A251" s="21" t="str">
        <f>HYPERLINK("https://gerandofalcoes.my.salesforce.com/0014P00003YSp9jQAD", "0014P00003YSp9jQAD")</f>
        <v>0014P00003YSp9jQAD</v>
      </c>
      <c r="B251" s="3" t="s">
        <v>17654</v>
      </c>
      <c r="C251" s="3" t="s">
        <v>2538</v>
      </c>
      <c r="D251" s="3" t="s">
        <v>46</v>
      </c>
      <c r="E251" s="3">
        <v>30</v>
      </c>
      <c r="F251" s="3">
        <v>1</v>
      </c>
      <c r="G251" s="3">
        <v>2</v>
      </c>
      <c r="H251" s="3">
        <v>15000</v>
      </c>
      <c r="I251" s="3">
        <v>400</v>
      </c>
      <c r="J251" s="3" t="s">
        <v>17403</v>
      </c>
      <c r="K251" s="3">
        <v>46</v>
      </c>
      <c r="L251" s="3">
        <v>15</v>
      </c>
      <c r="M251" s="3">
        <v>5</v>
      </c>
      <c r="N251" s="3">
        <v>6</v>
      </c>
      <c r="O251" s="3">
        <v>5</v>
      </c>
      <c r="P251" s="3">
        <v>15</v>
      </c>
      <c r="Q251" s="3" t="s">
        <v>10734</v>
      </c>
      <c r="R251" s="6">
        <v>44623</v>
      </c>
    </row>
    <row r="252" spans="1:18" ht="12.5" x14ac:dyDescent="0.25">
      <c r="A252" s="21" t="str">
        <f>HYPERLINK("https://gerandofalcoes.my.salesforce.com/0014P00003YSp9kQAD", "0014P00003YSp9kQAD")</f>
        <v>0014P00003YSp9kQAD</v>
      </c>
      <c r="B252" s="3" t="s">
        <v>17655</v>
      </c>
      <c r="C252" s="3" t="s">
        <v>2538</v>
      </c>
      <c r="D252" s="3" t="s">
        <v>46</v>
      </c>
      <c r="E252" s="3">
        <v>29</v>
      </c>
      <c r="F252" s="3">
        <v>8</v>
      </c>
      <c r="G252" s="3">
        <v>3</v>
      </c>
      <c r="H252" s="3">
        <v>160000</v>
      </c>
      <c r="I252" s="3">
        <v>9</v>
      </c>
      <c r="J252" s="3" t="s">
        <v>17403</v>
      </c>
      <c r="K252" s="3">
        <v>53</v>
      </c>
      <c r="L252" s="3">
        <v>15</v>
      </c>
      <c r="M252" s="3">
        <v>10</v>
      </c>
      <c r="N252" s="3">
        <v>8</v>
      </c>
      <c r="O252" s="3">
        <v>15</v>
      </c>
      <c r="P252" s="3">
        <v>5</v>
      </c>
      <c r="Q252" s="3" t="s">
        <v>10748</v>
      </c>
      <c r="R252" s="6">
        <v>44623</v>
      </c>
    </row>
    <row r="253" spans="1:18" ht="12.5" x14ac:dyDescent="0.25">
      <c r="A253" s="21" t="str">
        <f>HYPERLINK("https://gerandofalcoes.my.salesforce.com/0014P00003YSp9lQAD", "0014P00003YSp9lQAD")</f>
        <v>0014P00003YSp9lQAD</v>
      </c>
      <c r="B253" s="3" t="s">
        <v>17656</v>
      </c>
      <c r="C253" s="3" t="s">
        <v>2538</v>
      </c>
      <c r="D253" s="3" t="s">
        <v>46</v>
      </c>
      <c r="E253" s="3">
        <v>20</v>
      </c>
      <c r="F253" s="3">
        <v>8</v>
      </c>
      <c r="G253" s="3">
        <v>2</v>
      </c>
      <c r="H253" s="3">
        <v>12000</v>
      </c>
      <c r="I253" s="3">
        <v>242</v>
      </c>
      <c r="J253" s="3" t="s">
        <v>17403</v>
      </c>
      <c r="K253" s="3">
        <v>43</v>
      </c>
      <c r="L253" s="3">
        <v>10</v>
      </c>
      <c r="M253" s="3">
        <v>10</v>
      </c>
      <c r="N253" s="3">
        <v>6</v>
      </c>
      <c r="O253" s="3">
        <v>5</v>
      </c>
      <c r="P253" s="3">
        <v>12</v>
      </c>
      <c r="Q253" s="3" t="s">
        <v>10766</v>
      </c>
      <c r="R253" s="6">
        <v>44623</v>
      </c>
    </row>
    <row r="254" spans="1:18" ht="12.5" x14ac:dyDescent="0.25">
      <c r="A254" s="21" t="str">
        <f>HYPERLINK("https://gerandofalcoes.my.salesforce.com/0014P00003YSp9mQAD", "0014P00003YSp9mQAD")</f>
        <v>0014P00003YSp9mQAD</v>
      </c>
      <c r="B254" s="3" t="s">
        <v>17657</v>
      </c>
      <c r="C254" s="3" t="s">
        <v>2538</v>
      </c>
      <c r="D254" s="3" t="s">
        <v>152</v>
      </c>
      <c r="E254" s="3">
        <v>38</v>
      </c>
      <c r="F254" s="3">
        <v>15</v>
      </c>
      <c r="G254" s="3">
        <v>6</v>
      </c>
      <c r="H254" s="3">
        <v>1000000</v>
      </c>
      <c r="I254" s="3">
        <v>767</v>
      </c>
      <c r="J254" s="3" t="s">
        <v>17405</v>
      </c>
      <c r="K254" s="3">
        <v>82</v>
      </c>
      <c r="L254" s="3">
        <v>15</v>
      </c>
      <c r="M254" s="3">
        <v>12</v>
      </c>
      <c r="N254" s="3">
        <v>10</v>
      </c>
      <c r="O254" s="3">
        <v>25</v>
      </c>
      <c r="P254" s="3">
        <v>20</v>
      </c>
      <c r="Q254" s="3" t="s">
        <v>10780</v>
      </c>
      <c r="R254" s="6">
        <v>44623</v>
      </c>
    </row>
    <row r="255" spans="1:18" ht="12.5" x14ac:dyDescent="0.25">
      <c r="A255" s="21" t="str">
        <f>HYPERLINK("https://gerandofalcoes.my.salesforce.com/0014P00003YSp9qQAD", "0014P00003YSp9qQAD")</f>
        <v>0014P00003YSp9qQAD</v>
      </c>
      <c r="B255" s="3" t="s">
        <v>17658</v>
      </c>
      <c r="C255" s="3" t="s">
        <v>2538</v>
      </c>
      <c r="D255" s="3" t="s">
        <v>46</v>
      </c>
      <c r="E255" s="3">
        <v>13</v>
      </c>
      <c r="F255" s="3">
        <v>0</v>
      </c>
      <c r="G255" s="3">
        <v>4</v>
      </c>
      <c r="H255" s="3">
        <v>3000</v>
      </c>
      <c r="I255" s="3">
        <v>60</v>
      </c>
      <c r="J255" s="3" t="s">
        <v>17403</v>
      </c>
      <c r="K255" s="3">
        <v>30</v>
      </c>
      <c r="L255" s="3">
        <v>10</v>
      </c>
      <c r="M255" s="3">
        <v>0</v>
      </c>
      <c r="N255" s="3">
        <v>10</v>
      </c>
      <c r="O255" s="3">
        <v>5</v>
      </c>
      <c r="P255" s="3">
        <v>5</v>
      </c>
      <c r="Q255" s="3" t="s">
        <v>10797</v>
      </c>
      <c r="R255" s="6">
        <v>44623</v>
      </c>
    </row>
    <row r="256" spans="1:18" ht="12.5" x14ac:dyDescent="0.25">
      <c r="A256" s="21" t="str">
        <f>HYPERLINK("https://gerandofalcoes.my.salesforce.com/0014P00003YSp9rQAD", "0014P00003YSp9rQAD")</f>
        <v>0014P00003YSp9rQAD</v>
      </c>
      <c r="B256" s="3" t="s">
        <v>17659</v>
      </c>
      <c r="C256" s="3" t="s">
        <v>2538</v>
      </c>
      <c r="D256" s="3" t="s">
        <v>46</v>
      </c>
      <c r="E256" s="3">
        <v>36</v>
      </c>
      <c r="F256" s="3">
        <v>7</v>
      </c>
      <c r="G256" s="3">
        <v>3</v>
      </c>
      <c r="H256" s="3">
        <v>0</v>
      </c>
      <c r="I256" s="3">
        <v>120</v>
      </c>
      <c r="J256" s="3" t="s">
        <v>17403</v>
      </c>
      <c r="K256" s="3">
        <v>43</v>
      </c>
      <c r="L256" s="3">
        <v>15</v>
      </c>
      <c r="M256" s="3">
        <v>10</v>
      </c>
      <c r="N256" s="3">
        <v>8</v>
      </c>
      <c r="O256" s="3">
        <v>0</v>
      </c>
      <c r="P256" s="3">
        <v>10</v>
      </c>
      <c r="Q256" s="3" t="s">
        <v>10811</v>
      </c>
      <c r="R256" s="6">
        <v>44623</v>
      </c>
    </row>
    <row r="257" spans="1:18" ht="12.5" x14ac:dyDescent="0.25">
      <c r="A257" s="21" t="str">
        <f>HYPERLINK("https://gerandofalcoes.my.salesforce.com/0014P00003YSp9vQAD", "0014P00003YSp9vQAD")</f>
        <v>0014P00003YSp9vQAD</v>
      </c>
      <c r="B257" s="3" t="s">
        <v>17660</v>
      </c>
      <c r="C257" s="3" t="s">
        <v>2538</v>
      </c>
      <c r="D257" s="3" t="s">
        <v>46</v>
      </c>
      <c r="E257" s="3">
        <v>9</v>
      </c>
      <c r="F257" s="3">
        <v>0</v>
      </c>
      <c r="G257" s="3">
        <v>2</v>
      </c>
      <c r="H257" s="3">
        <v>11000</v>
      </c>
      <c r="I257" s="3">
        <v>400</v>
      </c>
      <c r="J257" s="3" t="s">
        <v>17403</v>
      </c>
      <c r="K257" s="3">
        <v>36</v>
      </c>
      <c r="L257" s="3">
        <v>10</v>
      </c>
      <c r="M257" s="3">
        <v>0</v>
      </c>
      <c r="N257" s="3">
        <v>6</v>
      </c>
      <c r="O257" s="3">
        <v>5</v>
      </c>
      <c r="P257" s="3">
        <v>15</v>
      </c>
      <c r="Q257" s="3" t="s">
        <v>10829</v>
      </c>
      <c r="R257" s="6">
        <v>44623</v>
      </c>
    </row>
    <row r="258" spans="1:18" ht="12.5" x14ac:dyDescent="0.25">
      <c r="A258" s="21" t="str">
        <f>HYPERLINK("https://gerandofalcoes.my.salesforce.com/0014P00003YSp9wQAD", "0014P00003YSp9wQAD")</f>
        <v>0014P00003YSp9wQAD</v>
      </c>
      <c r="B258" s="3" t="s">
        <v>17661</v>
      </c>
      <c r="C258" s="3" t="s">
        <v>2538</v>
      </c>
      <c r="D258" s="3" t="s">
        <v>46</v>
      </c>
      <c r="E258" s="3">
        <v>25</v>
      </c>
      <c r="F258" s="3">
        <v>6</v>
      </c>
      <c r="G258" s="3">
        <v>2</v>
      </c>
      <c r="H258" s="3">
        <v>15000</v>
      </c>
      <c r="I258" s="3">
        <v>19</v>
      </c>
      <c r="J258" s="3" t="s">
        <v>17403</v>
      </c>
      <c r="K258" s="3">
        <v>41</v>
      </c>
      <c r="L258" s="3">
        <v>15</v>
      </c>
      <c r="M258" s="3">
        <v>10</v>
      </c>
      <c r="N258" s="3">
        <v>6</v>
      </c>
      <c r="O258" s="3">
        <v>5</v>
      </c>
      <c r="P258" s="3">
        <v>5</v>
      </c>
      <c r="Q258" s="3" t="s">
        <v>10841</v>
      </c>
      <c r="R258" s="6">
        <v>44623</v>
      </c>
    </row>
    <row r="259" spans="1:18" ht="12.5" x14ac:dyDescent="0.25">
      <c r="A259" s="21" t="str">
        <f>HYPERLINK("https://gerandofalcoes.my.salesforce.com/0014P00003YSp9xQAD", "0014P00003YSp9xQAD")</f>
        <v>0014P00003YSp9xQAD</v>
      </c>
      <c r="B259" s="3" t="s">
        <v>17662</v>
      </c>
      <c r="C259" s="3" t="s">
        <v>2538</v>
      </c>
      <c r="D259" s="3" t="s">
        <v>46</v>
      </c>
      <c r="E259" s="3">
        <v>28</v>
      </c>
      <c r="F259" s="3">
        <v>0</v>
      </c>
      <c r="G259" s="3">
        <v>2</v>
      </c>
      <c r="H259" s="3">
        <v>120000</v>
      </c>
      <c r="I259" s="3">
        <v>29</v>
      </c>
      <c r="J259" s="3" t="s">
        <v>17403</v>
      </c>
      <c r="K259" s="3">
        <v>41</v>
      </c>
      <c r="L259" s="3">
        <v>15</v>
      </c>
      <c r="M259" s="3">
        <v>0</v>
      </c>
      <c r="N259" s="3">
        <v>6</v>
      </c>
      <c r="O259" s="3">
        <v>15</v>
      </c>
      <c r="P259" s="3">
        <v>5</v>
      </c>
      <c r="Q259" s="3"/>
      <c r="R259" s="6">
        <v>44623</v>
      </c>
    </row>
    <row r="260" spans="1:18" ht="12.5" x14ac:dyDescent="0.25">
      <c r="A260" s="21" t="str">
        <f>HYPERLINK("https://gerandofalcoes.my.salesforce.com/0014P00003YSp9yQAD", "0014P00003YSp9yQAD")</f>
        <v>0014P00003YSp9yQAD</v>
      </c>
      <c r="B260" s="3" t="s">
        <v>17663</v>
      </c>
      <c r="C260" s="3" t="s">
        <v>2538</v>
      </c>
      <c r="D260" s="3" t="s">
        <v>46</v>
      </c>
      <c r="E260" s="3">
        <v>38</v>
      </c>
      <c r="F260" s="3">
        <v>63</v>
      </c>
      <c r="G260" s="3">
        <v>3</v>
      </c>
      <c r="H260" s="3">
        <v>750106</v>
      </c>
      <c r="I260" s="3">
        <v>900</v>
      </c>
      <c r="J260" s="3" t="s">
        <v>17406</v>
      </c>
      <c r="K260" s="3">
        <v>78</v>
      </c>
      <c r="L260" s="3">
        <v>15</v>
      </c>
      <c r="M260" s="3">
        <v>15</v>
      </c>
      <c r="N260" s="3">
        <v>8</v>
      </c>
      <c r="O260" s="3">
        <v>20</v>
      </c>
      <c r="P260" s="3">
        <v>20</v>
      </c>
      <c r="Q260" s="3" t="s">
        <v>10870</v>
      </c>
      <c r="R260" s="6">
        <v>44623</v>
      </c>
    </row>
    <row r="261" spans="1:18" ht="12.5" x14ac:dyDescent="0.25">
      <c r="A261" s="21" t="str">
        <f>HYPERLINK("https://gerandofalcoes.my.salesforce.com/0014P00003YSp9zQAD", "0014P00003YSp9zQAD")</f>
        <v>0014P00003YSp9zQAD</v>
      </c>
      <c r="B261" s="3" t="s">
        <v>10882</v>
      </c>
      <c r="C261" s="3" t="s">
        <v>2538</v>
      </c>
      <c r="D261" s="3" t="s">
        <v>46</v>
      </c>
      <c r="E261" s="3">
        <v>34</v>
      </c>
      <c r="F261" s="3">
        <v>0</v>
      </c>
      <c r="G261" s="3">
        <v>2</v>
      </c>
      <c r="H261" s="3">
        <v>120000</v>
      </c>
      <c r="I261" s="3">
        <v>450</v>
      </c>
      <c r="J261" s="3" t="s">
        <v>17403</v>
      </c>
      <c r="K261" s="3">
        <v>56</v>
      </c>
      <c r="L261" s="3">
        <v>15</v>
      </c>
      <c r="M261" s="3">
        <v>0</v>
      </c>
      <c r="N261" s="3">
        <v>6</v>
      </c>
      <c r="O261" s="3">
        <v>15</v>
      </c>
      <c r="P261" s="3">
        <v>20</v>
      </c>
      <c r="Q261" s="3" t="s">
        <v>10885</v>
      </c>
      <c r="R261" s="6">
        <v>44623</v>
      </c>
    </row>
    <row r="262" spans="1:18" ht="12.5" x14ac:dyDescent="0.25">
      <c r="A262" s="21" t="str">
        <f>HYPERLINK("https://gerandofalcoes.my.salesforce.com/0014P00003YSpA0QAL", "0014P00003YSpA0QAL")</f>
        <v>0014P00003YSpA0QAL</v>
      </c>
      <c r="B262" s="3" t="s">
        <v>17664</v>
      </c>
      <c r="C262" s="3" t="s">
        <v>2538</v>
      </c>
      <c r="D262" s="3" t="s">
        <v>46</v>
      </c>
      <c r="E262" s="3">
        <v>8</v>
      </c>
      <c r="F262" s="3">
        <v>10</v>
      </c>
      <c r="G262" s="3">
        <v>2</v>
      </c>
      <c r="H262" s="3">
        <v>20000</v>
      </c>
      <c r="I262" s="3">
        <v>163</v>
      </c>
      <c r="J262" s="3" t="s">
        <v>17403</v>
      </c>
      <c r="K262" s="3">
        <v>43</v>
      </c>
      <c r="L262" s="3">
        <v>10</v>
      </c>
      <c r="M262" s="3">
        <v>10</v>
      </c>
      <c r="N262" s="3">
        <v>6</v>
      </c>
      <c r="O262" s="3">
        <v>5</v>
      </c>
      <c r="P262" s="3">
        <v>12</v>
      </c>
      <c r="Q262" s="3" t="s">
        <v>10904</v>
      </c>
      <c r="R262" s="6">
        <v>44623</v>
      </c>
    </row>
    <row r="263" spans="1:18" ht="12.5" x14ac:dyDescent="0.25">
      <c r="A263" s="21" t="str">
        <f>HYPERLINK("https://gerandofalcoes.my.salesforce.com/0014P00003YSpA1QAL", "0014P00003YSpA1QAL")</f>
        <v>0014P00003YSpA1QAL</v>
      </c>
      <c r="B263" s="3" t="s">
        <v>17665</v>
      </c>
      <c r="C263" s="3" t="s">
        <v>2538</v>
      </c>
      <c r="D263" s="3" t="s">
        <v>46</v>
      </c>
      <c r="E263" s="3">
        <v>31</v>
      </c>
      <c r="F263" s="3">
        <v>0</v>
      </c>
      <c r="G263" s="3">
        <v>2</v>
      </c>
      <c r="H263" s="3">
        <v>50000</v>
      </c>
      <c r="I263" s="3">
        <v>41</v>
      </c>
      <c r="J263" s="3" t="s">
        <v>17403</v>
      </c>
      <c r="K263" s="3">
        <v>36</v>
      </c>
      <c r="L263" s="3">
        <v>15</v>
      </c>
      <c r="M263" s="3">
        <v>0</v>
      </c>
      <c r="N263" s="3">
        <v>6</v>
      </c>
      <c r="O263" s="3">
        <v>10</v>
      </c>
      <c r="P263" s="3">
        <v>5</v>
      </c>
      <c r="Q263" s="3" t="s">
        <v>10921</v>
      </c>
      <c r="R263" s="6">
        <v>44623</v>
      </c>
    </row>
    <row r="264" spans="1:18" ht="12.5" x14ac:dyDescent="0.25">
      <c r="A264" s="21" t="str">
        <f>HYPERLINK("https://gerandofalcoes.my.salesforce.com/0014P00003YSpA2QAL", "0014P00003YSpA2QAL")</f>
        <v>0014P00003YSpA2QAL</v>
      </c>
      <c r="B264" s="3" t="s">
        <v>17666</v>
      </c>
      <c r="C264" s="3" t="s">
        <v>2538</v>
      </c>
      <c r="D264" s="3" t="s">
        <v>46</v>
      </c>
      <c r="E264" s="3">
        <v>23</v>
      </c>
      <c r="F264" s="3">
        <v>0</v>
      </c>
      <c r="G264" s="3">
        <v>2</v>
      </c>
      <c r="H264" s="3">
        <v>12000</v>
      </c>
      <c r="I264" s="3">
        <v>306</v>
      </c>
      <c r="J264" s="3" t="s">
        <v>17403</v>
      </c>
      <c r="K264" s="3">
        <v>36</v>
      </c>
      <c r="L264" s="3">
        <v>10</v>
      </c>
      <c r="M264" s="3">
        <v>0</v>
      </c>
      <c r="N264" s="3">
        <v>6</v>
      </c>
      <c r="O264" s="3">
        <v>5</v>
      </c>
      <c r="P264" s="3">
        <v>15</v>
      </c>
      <c r="Q264" s="3" t="s">
        <v>10934</v>
      </c>
      <c r="R264" s="6">
        <v>44623</v>
      </c>
    </row>
    <row r="265" spans="1:18" ht="12.5" x14ac:dyDescent="0.25">
      <c r="A265" s="21" t="str">
        <f>HYPERLINK("https://gerandofalcoes.my.salesforce.com/0014P00003YSpA3QAL", "0014P00003YSpA3QAL")</f>
        <v>0014P00003YSpA3QAL</v>
      </c>
      <c r="B265" s="3" t="s">
        <v>17667</v>
      </c>
      <c r="C265" s="3" t="s">
        <v>2538</v>
      </c>
      <c r="D265" s="3" t="s">
        <v>46</v>
      </c>
      <c r="E265" s="3">
        <v>43</v>
      </c>
      <c r="F265" s="3">
        <v>10</v>
      </c>
      <c r="G265" s="3">
        <v>2</v>
      </c>
      <c r="H265" s="3">
        <v>15000</v>
      </c>
      <c r="I265" s="3">
        <v>100</v>
      </c>
      <c r="J265" s="3" t="s">
        <v>17403</v>
      </c>
      <c r="K265" s="3">
        <v>46</v>
      </c>
      <c r="L265" s="3">
        <v>15</v>
      </c>
      <c r="M265" s="3">
        <v>10</v>
      </c>
      <c r="N265" s="3">
        <v>6</v>
      </c>
      <c r="O265" s="3">
        <v>5</v>
      </c>
      <c r="P265" s="3">
        <v>10</v>
      </c>
      <c r="Q265" s="3" t="s">
        <v>10948</v>
      </c>
      <c r="R265" s="6">
        <v>44623</v>
      </c>
    </row>
    <row r="266" spans="1:18" ht="12.5" x14ac:dyDescent="0.25">
      <c r="A266" s="21" t="str">
        <f>HYPERLINK("https://gerandofalcoes.my.salesforce.com/0014P00003YSpA5QAL", "0014P00003YSpA5QAL")</f>
        <v>0014P00003YSpA5QAL</v>
      </c>
      <c r="B266" s="3" t="s">
        <v>17668</v>
      </c>
      <c r="C266" s="3" t="s">
        <v>2538</v>
      </c>
      <c r="D266" s="3" t="s">
        <v>46</v>
      </c>
      <c r="E266" s="3">
        <v>39</v>
      </c>
      <c r="F266" s="3">
        <v>2</v>
      </c>
      <c r="G266" s="3">
        <v>5</v>
      </c>
      <c r="H266" s="3">
        <v>90000</v>
      </c>
      <c r="I266" s="3">
        <v>350</v>
      </c>
      <c r="J266" s="3" t="s">
        <v>17403</v>
      </c>
      <c r="K266" s="3">
        <v>55</v>
      </c>
      <c r="L266" s="3">
        <v>15</v>
      </c>
      <c r="M266" s="3">
        <v>5</v>
      </c>
      <c r="N266" s="3">
        <v>10</v>
      </c>
      <c r="O266" s="3">
        <v>10</v>
      </c>
      <c r="P266" s="3">
        <v>15</v>
      </c>
      <c r="Q266" s="3" t="s">
        <v>10961</v>
      </c>
      <c r="R266" s="6">
        <v>44623</v>
      </c>
    </row>
    <row r="267" spans="1:18" ht="12.5" x14ac:dyDescent="0.25">
      <c r="A267" s="21" t="str">
        <f>HYPERLINK("https://gerandofalcoes.my.salesforce.com/0014P00003YSpA7QAL", "0014P00003YSpA7QAL")</f>
        <v>0014P00003YSpA7QAL</v>
      </c>
      <c r="B267" s="3" t="s">
        <v>17669</v>
      </c>
      <c r="C267" s="3" t="s">
        <v>2538</v>
      </c>
      <c r="D267" s="3" t="s">
        <v>46</v>
      </c>
      <c r="E267" s="3">
        <v>36</v>
      </c>
      <c r="F267" s="3">
        <v>1</v>
      </c>
      <c r="G267" s="3">
        <v>2</v>
      </c>
      <c r="H267" s="3">
        <v>30000</v>
      </c>
      <c r="I267" s="3">
        <v>0</v>
      </c>
      <c r="J267" s="3" t="s">
        <v>17403</v>
      </c>
      <c r="K267" s="3">
        <v>36</v>
      </c>
      <c r="L267" s="3">
        <v>15</v>
      </c>
      <c r="M267" s="3">
        <v>5</v>
      </c>
      <c r="N267" s="3">
        <v>6</v>
      </c>
      <c r="O267" s="3">
        <v>10</v>
      </c>
      <c r="P267" s="3">
        <v>0</v>
      </c>
      <c r="Q267" s="3" t="s">
        <v>10989</v>
      </c>
      <c r="R267" s="6">
        <v>44623</v>
      </c>
    </row>
    <row r="268" spans="1:18" ht="12.5" x14ac:dyDescent="0.25">
      <c r="A268" s="21" t="str">
        <f>HYPERLINK("https://gerandofalcoes.my.salesforce.com/0014P00003YSpA8QAL", "0014P00003YSpA8QAL")</f>
        <v>0014P00003YSpA8QAL</v>
      </c>
      <c r="B268" s="3" t="s">
        <v>17670</v>
      </c>
      <c r="C268" s="3" t="s">
        <v>2538</v>
      </c>
      <c r="D268" s="3" t="s">
        <v>46</v>
      </c>
      <c r="E268" s="3">
        <v>18</v>
      </c>
      <c r="F268" s="3">
        <v>0</v>
      </c>
      <c r="G268" s="3">
        <v>2</v>
      </c>
      <c r="H268" s="3">
        <v>0</v>
      </c>
      <c r="I268" s="3">
        <v>0</v>
      </c>
      <c r="J268" s="3" t="s">
        <v>17403</v>
      </c>
      <c r="K268" s="3">
        <v>16</v>
      </c>
      <c r="L268" s="3">
        <v>10</v>
      </c>
      <c r="M268" s="3">
        <v>0</v>
      </c>
      <c r="N268" s="3">
        <v>6</v>
      </c>
      <c r="O268" s="3">
        <v>0</v>
      </c>
      <c r="P268" s="3">
        <v>0</v>
      </c>
      <c r="Q268" s="3" t="s">
        <v>11009</v>
      </c>
      <c r="R268" s="6">
        <v>44623</v>
      </c>
    </row>
    <row r="269" spans="1:18" ht="12.5" x14ac:dyDescent="0.25">
      <c r="A269" s="21" t="str">
        <f>HYPERLINK("https://gerandofalcoes.my.salesforce.com/0014P00003YSpA9QAL", "0014P00003YSpA9QAL")</f>
        <v>0014P00003YSpA9QAL</v>
      </c>
      <c r="B269" s="3" t="s">
        <v>17671</v>
      </c>
      <c r="C269" s="3" t="s">
        <v>2538</v>
      </c>
      <c r="D269" s="3" t="s">
        <v>46</v>
      </c>
      <c r="E269" s="3">
        <v>31</v>
      </c>
      <c r="F269" s="3">
        <v>0</v>
      </c>
      <c r="G269" s="3">
        <v>7</v>
      </c>
      <c r="H269" s="3">
        <v>29668</v>
      </c>
      <c r="I269" s="3">
        <v>175</v>
      </c>
      <c r="J269" s="3" t="s">
        <v>17403</v>
      </c>
      <c r="K269" s="3">
        <v>47</v>
      </c>
      <c r="L269" s="3">
        <v>15</v>
      </c>
      <c r="M269" s="3">
        <v>0</v>
      </c>
      <c r="N269" s="3">
        <v>10</v>
      </c>
      <c r="O269" s="3">
        <v>10</v>
      </c>
      <c r="P269" s="3">
        <v>12</v>
      </c>
      <c r="Q269" s="3" t="s">
        <v>11021</v>
      </c>
      <c r="R269" s="6">
        <v>44623</v>
      </c>
    </row>
    <row r="270" spans="1:18" ht="12.5" x14ac:dyDescent="0.25">
      <c r="A270" s="21" t="str">
        <f>HYPERLINK("https://gerandofalcoes.my.salesforce.com/0014P00003YSpACQA1", "0014P00003YSpACQA1")</f>
        <v>0014P00003YSpACQA1</v>
      </c>
      <c r="B270" s="3" t="s">
        <v>17672</v>
      </c>
      <c r="C270" s="3" t="s">
        <v>2538</v>
      </c>
      <c r="D270" s="3" t="s">
        <v>46</v>
      </c>
      <c r="E270" s="3">
        <v>19</v>
      </c>
      <c r="F270" s="3">
        <v>2</v>
      </c>
      <c r="G270" s="3">
        <v>2</v>
      </c>
      <c r="H270" s="3">
        <v>0</v>
      </c>
      <c r="I270" s="3">
        <v>120</v>
      </c>
      <c r="J270" s="3" t="s">
        <v>17403</v>
      </c>
      <c r="K270" s="3">
        <v>31</v>
      </c>
      <c r="L270" s="3">
        <v>10</v>
      </c>
      <c r="M270" s="3">
        <v>5</v>
      </c>
      <c r="N270" s="3">
        <v>6</v>
      </c>
      <c r="O270" s="3">
        <v>0</v>
      </c>
      <c r="P270" s="3">
        <v>10</v>
      </c>
      <c r="Q270" s="3" t="s">
        <v>11035</v>
      </c>
      <c r="R270" s="6">
        <v>44623</v>
      </c>
    </row>
    <row r="271" spans="1:18" ht="12.5" x14ac:dyDescent="0.25">
      <c r="A271" s="21" t="str">
        <f>HYPERLINK("https://gerandofalcoes.my.salesforce.com/0014P00003YSpADQA1", "0014P00003YSpADQA1")</f>
        <v>0014P00003YSpADQA1</v>
      </c>
      <c r="B271" s="3" t="s">
        <v>17673</v>
      </c>
      <c r="C271" s="3" t="s">
        <v>2538</v>
      </c>
      <c r="D271" s="3" t="s">
        <v>46</v>
      </c>
      <c r="E271" s="3">
        <v>41</v>
      </c>
      <c r="F271" s="3">
        <v>10</v>
      </c>
      <c r="G271" s="3">
        <v>4</v>
      </c>
      <c r="H271" s="3">
        <v>296560</v>
      </c>
      <c r="I271" s="3">
        <v>71</v>
      </c>
      <c r="J271" s="3" t="s">
        <v>17403</v>
      </c>
      <c r="K271" s="3">
        <v>55</v>
      </c>
      <c r="L271" s="3">
        <v>15</v>
      </c>
      <c r="M271" s="3">
        <v>10</v>
      </c>
      <c r="N271" s="3">
        <v>10</v>
      </c>
      <c r="O271" s="3">
        <v>15</v>
      </c>
      <c r="P271" s="3">
        <v>5</v>
      </c>
      <c r="Q271" s="3" t="s">
        <v>11047</v>
      </c>
      <c r="R271" s="6">
        <v>44623</v>
      </c>
    </row>
    <row r="272" spans="1:18" ht="12.5" x14ac:dyDescent="0.25">
      <c r="A272" s="21" t="str">
        <f>HYPERLINK("https://gerandofalcoes.my.salesforce.com/0014P00003YSpAEQA1", "0014P00003YSpAEQA1")</f>
        <v>0014P00003YSpAEQA1</v>
      </c>
      <c r="B272" s="3" t="s">
        <v>17674</v>
      </c>
      <c r="C272" s="3" t="s">
        <v>2538</v>
      </c>
      <c r="D272" s="3" t="s">
        <v>46</v>
      </c>
      <c r="E272" s="3">
        <v>17</v>
      </c>
      <c r="F272" s="3">
        <v>0</v>
      </c>
      <c r="G272" s="3">
        <v>5</v>
      </c>
      <c r="H272" s="3">
        <v>13000</v>
      </c>
      <c r="I272" s="3">
        <v>302</v>
      </c>
      <c r="J272" s="3" t="s">
        <v>17403</v>
      </c>
      <c r="K272" s="3">
        <v>40</v>
      </c>
      <c r="L272" s="3">
        <v>10</v>
      </c>
      <c r="M272" s="3">
        <v>0</v>
      </c>
      <c r="N272" s="3">
        <v>10</v>
      </c>
      <c r="O272" s="3">
        <v>5</v>
      </c>
      <c r="P272" s="3">
        <v>15</v>
      </c>
      <c r="Q272" s="3" t="s">
        <v>11067</v>
      </c>
      <c r="R272" s="6">
        <v>44623</v>
      </c>
    </row>
    <row r="273" spans="1:18" ht="12.5" x14ac:dyDescent="0.25">
      <c r="A273" s="21" t="str">
        <f>HYPERLINK("https://gerandofalcoes.my.salesforce.com/0014P00003YSpAGQA1", "0014P00003YSpAGQA1")</f>
        <v>0014P00003YSpAGQA1</v>
      </c>
      <c r="B273" s="3" t="s">
        <v>17675</v>
      </c>
      <c r="C273" s="3" t="s">
        <v>2538</v>
      </c>
      <c r="D273" s="3" t="s">
        <v>46</v>
      </c>
      <c r="E273" s="3">
        <v>20</v>
      </c>
      <c r="F273" s="3">
        <v>0</v>
      </c>
      <c r="G273" s="3">
        <v>3</v>
      </c>
      <c r="H273" s="3">
        <v>47469</v>
      </c>
      <c r="I273" s="3">
        <v>500</v>
      </c>
      <c r="J273" s="3" t="s">
        <v>17403</v>
      </c>
      <c r="K273" s="3">
        <v>48</v>
      </c>
      <c r="L273" s="3">
        <v>10</v>
      </c>
      <c r="M273" s="3">
        <v>0</v>
      </c>
      <c r="N273" s="3">
        <v>8</v>
      </c>
      <c r="O273" s="3">
        <v>10</v>
      </c>
      <c r="P273" s="3">
        <v>20</v>
      </c>
      <c r="Q273" s="3" t="s">
        <v>11080</v>
      </c>
      <c r="R273" s="6">
        <v>44623</v>
      </c>
    </row>
    <row r="274" spans="1:18" ht="12.5" x14ac:dyDescent="0.25">
      <c r="A274" s="21" t="str">
        <f>HYPERLINK("https://gerandofalcoes.my.salesforce.com/0014P00003YSpAHQA1", "0014P00003YSpAHQA1")</f>
        <v>0014P00003YSpAHQA1</v>
      </c>
      <c r="B274" s="3" t="s">
        <v>17676</v>
      </c>
      <c r="C274" s="3" t="s">
        <v>2538</v>
      </c>
      <c r="D274" s="3" t="s">
        <v>46</v>
      </c>
      <c r="E274" s="3">
        <v>28</v>
      </c>
      <c r="F274" s="3">
        <v>34</v>
      </c>
      <c r="G274" s="3">
        <v>3</v>
      </c>
      <c r="H274" s="3">
        <v>250000</v>
      </c>
      <c r="I274" s="3">
        <v>42</v>
      </c>
      <c r="J274" s="3" t="s">
        <v>17403</v>
      </c>
      <c r="K274" s="3">
        <v>58</v>
      </c>
      <c r="L274" s="3">
        <v>15</v>
      </c>
      <c r="M274" s="3">
        <v>15</v>
      </c>
      <c r="N274" s="3">
        <v>8</v>
      </c>
      <c r="O274" s="3">
        <v>15</v>
      </c>
      <c r="P274" s="3">
        <v>5</v>
      </c>
      <c r="Q274" s="3" t="s">
        <v>11090</v>
      </c>
      <c r="R274" s="6">
        <v>44623</v>
      </c>
    </row>
    <row r="275" spans="1:18" ht="12.5" x14ac:dyDescent="0.25">
      <c r="A275" s="21" t="str">
        <f>HYPERLINK("https://gerandofalcoes.my.salesforce.com/0014P00003YSpAIQA1", "0014P00003YSpAIQA1")</f>
        <v>0014P00003YSpAIQA1</v>
      </c>
      <c r="B275" s="3" t="s">
        <v>17677</v>
      </c>
      <c r="C275" s="3" t="s">
        <v>2538</v>
      </c>
      <c r="D275" s="3" t="s">
        <v>46</v>
      </c>
      <c r="E275" s="3">
        <v>41</v>
      </c>
      <c r="F275" s="3">
        <v>0</v>
      </c>
      <c r="G275" s="3">
        <v>4</v>
      </c>
      <c r="H275" s="3">
        <v>32000</v>
      </c>
      <c r="I275" s="3">
        <v>150</v>
      </c>
      <c r="J275" s="3" t="s">
        <v>17403</v>
      </c>
      <c r="K275" s="3">
        <v>47</v>
      </c>
      <c r="L275" s="3">
        <v>15</v>
      </c>
      <c r="M275" s="3">
        <v>0</v>
      </c>
      <c r="N275" s="3">
        <v>10</v>
      </c>
      <c r="O275" s="3">
        <v>10</v>
      </c>
      <c r="P275" s="3">
        <v>12</v>
      </c>
      <c r="Q275" s="3" t="s">
        <v>11110</v>
      </c>
      <c r="R275" s="6">
        <v>44623</v>
      </c>
    </row>
    <row r="276" spans="1:18" ht="12.5" x14ac:dyDescent="0.25">
      <c r="A276" s="21" t="str">
        <f>HYPERLINK("https://gerandofalcoes.my.salesforce.com/0014P00003YSpAJQA1", "0014P00003YSpAJQA1")</f>
        <v>0014P00003YSpAJQA1</v>
      </c>
      <c r="B276" s="3" t="s">
        <v>11121</v>
      </c>
      <c r="C276" s="3" t="s">
        <v>2538</v>
      </c>
      <c r="D276" s="3" t="s">
        <v>46</v>
      </c>
      <c r="E276" s="3">
        <v>39</v>
      </c>
      <c r="F276" s="3">
        <v>3</v>
      </c>
      <c r="G276" s="3">
        <v>5</v>
      </c>
      <c r="H276" s="3">
        <v>44000</v>
      </c>
      <c r="I276" s="3">
        <v>200</v>
      </c>
      <c r="J276" s="3" t="s">
        <v>17403</v>
      </c>
      <c r="K276" s="3">
        <v>52</v>
      </c>
      <c r="L276" s="3">
        <v>15</v>
      </c>
      <c r="M276" s="3">
        <v>5</v>
      </c>
      <c r="N276" s="3">
        <v>10</v>
      </c>
      <c r="O276" s="3">
        <v>10</v>
      </c>
      <c r="P276" s="3">
        <v>12</v>
      </c>
      <c r="Q276" s="3" t="s">
        <v>11124</v>
      </c>
      <c r="R276" s="6">
        <v>44623</v>
      </c>
    </row>
    <row r="277" spans="1:18" ht="12.5" x14ac:dyDescent="0.25">
      <c r="A277" s="21" t="str">
        <f>HYPERLINK("https://gerandofalcoes.my.salesforce.com/0014P00003YSpAKQA1", "0014P00003YSpAKQA1")</f>
        <v>0014P00003YSpAKQA1</v>
      </c>
      <c r="B277" s="3" t="s">
        <v>17678</v>
      </c>
      <c r="C277" s="3" t="s">
        <v>2538</v>
      </c>
      <c r="D277" s="3" t="s">
        <v>46</v>
      </c>
      <c r="E277" s="3">
        <v>31</v>
      </c>
      <c r="F277" s="3">
        <v>0</v>
      </c>
      <c r="G277" s="3">
        <v>2</v>
      </c>
      <c r="H277" s="3">
        <v>15000</v>
      </c>
      <c r="I277" s="3">
        <v>0</v>
      </c>
      <c r="J277" s="3" t="s">
        <v>17403</v>
      </c>
      <c r="K277" s="3">
        <v>26</v>
      </c>
      <c r="L277" s="3">
        <v>15</v>
      </c>
      <c r="M277" s="3">
        <v>0</v>
      </c>
      <c r="N277" s="3">
        <v>6</v>
      </c>
      <c r="O277" s="3">
        <v>5</v>
      </c>
      <c r="P277" s="3">
        <v>0</v>
      </c>
      <c r="Q277" s="3" t="s">
        <v>11143</v>
      </c>
      <c r="R277" s="6">
        <v>44623</v>
      </c>
    </row>
    <row r="278" spans="1:18" ht="12.5" x14ac:dyDescent="0.25">
      <c r="A278" s="21" t="str">
        <f>HYPERLINK("https://gerandofalcoes.my.salesforce.com/0014P00003YSpALQA1", "0014P00003YSpALQA1")</f>
        <v>0014P00003YSpALQA1</v>
      </c>
      <c r="B278" s="3" t="s">
        <v>17679</v>
      </c>
      <c r="C278" s="3" t="s">
        <v>2538</v>
      </c>
      <c r="D278" s="3" t="s">
        <v>46</v>
      </c>
      <c r="E278" s="3">
        <v>35</v>
      </c>
      <c r="F278" s="3">
        <v>7</v>
      </c>
      <c r="G278" s="3">
        <v>6</v>
      </c>
      <c r="H278" s="3">
        <v>83455</v>
      </c>
      <c r="I278" s="3">
        <v>81</v>
      </c>
      <c r="J278" s="3" t="s">
        <v>17403</v>
      </c>
      <c r="K278" s="3">
        <v>55</v>
      </c>
      <c r="L278" s="3">
        <v>15</v>
      </c>
      <c r="M278" s="3">
        <v>10</v>
      </c>
      <c r="N278" s="3">
        <v>10</v>
      </c>
      <c r="O278" s="3">
        <v>10</v>
      </c>
      <c r="P278" s="3">
        <v>10</v>
      </c>
      <c r="Q278" s="3" t="s">
        <v>11159</v>
      </c>
      <c r="R278" s="6">
        <v>44623</v>
      </c>
    </row>
    <row r="279" spans="1:18" ht="12.5" x14ac:dyDescent="0.25">
      <c r="A279" s="21" t="str">
        <f>HYPERLINK("https://gerandofalcoes.my.salesforce.com/0014P00003YSpAMQA1", "0014P00003YSpAMQA1")</f>
        <v>0014P00003YSpAMQA1</v>
      </c>
      <c r="B279" s="3" t="s">
        <v>17680</v>
      </c>
      <c r="C279" s="3" t="s">
        <v>2538</v>
      </c>
      <c r="D279" s="3" t="s">
        <v>46</v>
      </c>
      <c r="E279" s="3">
        <v>31</v>
      </c>
      <c r="F279" s="3">
        <v>0</v>
      </c>
      <c r="G279" s="3">
        <v>2</v>
      </c>
      <c r="H279" s="3">
        <v>8000</v>
      </c>
      <c r="I279" s="3">
        <v>21</v>
      </c>
      <c r="J279" s="3" t="s">
        <v>17403</v>
      </c>
      <c r="K279" s="3">
        <v>31</v>
      </c>
      <c r="L279" s="3">
        <v>15</v>
      </c>
      <c r="M279" s="3">
        <v>0</v>
      </c>
      <c r="N279" s="3">
        <v>6</v>
      </c>
      <c r="O279" s="3">
        <v>5</v>
      </c>
      <c r="P279" s="3">
        <v>5</v>
      </c>
      <c r="Q279" s="3" t="s">
        <v>11176</v>
      </c>
      <c r="R279" s="6">
        <v>44623</v>
      </c>
    </row>
    <row r="280" spans="1:18" ht="12.5" x14ac:dyDescent="0.25">
      <c r="A280" s="21" t="str">
        <f>HYPERLINK("https://gerandofalcoes.my.salesforce.com/0014P00003YSpA6QAL", "0014P00003YSpA6QAL")</f>
        <v>0014P00003YSpA6QAL</v>
      </c>
      <c r="B280" s="3" t="s">
        <v>17681</v>
      </c>
      <c r="C280" s="3" t="s">
        <v>2538</v>
      </c>
      <c r="D280" s="3" t="s">
        <v>46</v>
      </c>
      <c r="E280" s="3">
        <v>37</v>
      </c>
      <c r="F280" s="3">
        <v>27</v>
      </c>
      <c r="G280" s="3">
        <v>3</v>
      </c>
      <c r="H280" s="3">
        <v>132000</v>
      </c>
      <c r="I280" s="3">
        <v>0</v>
      </c>
      <c r="J280" s="3" t="s">
        <v>17403</v>
      </c>
      <c r="K280" s="3">
        <v>50</v>
      </c>
      <c r="L280" s="3">
        <v>15</v>
      </c>
      <c r="M280" s="3">
        <v>12</v>
      </c>
      <c r="N280" s="3">
        <v>8</v>
      </c>
      <c r="O280" s="3">
        <v>15</v>
      </c>
      <c r="P280" s="3">
        <v>0</v>
      </c>
      <c r="Q280" s="3" t="s">
        <v>10975</v>
      </c>
      <c r="R280" s="6">
        <v>44623</v>
      </c>
    </row>
    <row r="281" spans="1:18" ht="12.5" x14ac:dyDescent="0.25">
      <c r="A281" s="21" t="str">
        <f>HYPERLINK("https://gerandofalcoes.my.salesforce.com/0014P00003YSpP9QAL", "0014P00003YSpP9QAL")</f>
        <v>0014P00003YSpP9QAL</v>
      </c>
      <c r="B281" s="3" t="s">
        <v>17682</v>
      </c>
      <c r="C281" s="3" t="s">
        <v>2538</v>
      </c>
      <c r="D281" s="3" t="s">
        <v>46</v>
      </c>
      <c r="E281" s="3">
        <v>14</v>
      </c>
      <c r="F281" s="3">
        <v>0</v>
      </c>
      <c r="G281" s="3">
        <v>2</v>
      </c>
      <c r="H281" s="3">
        <v>24000</v>
      </c>
      <c r="I281" s="3">
        <v>489</v>
      </c>
      <c r="J281" s="3" t="s">
        <v>17403</v>
      </c>
      <c r="K281" s="3">
        <v>41</v>
      </c>
      <c r="L281" s="3">
        <v>10</v>
      </c>
      <c r="M281" s="3">
        <v>0</v>
      </c>
      <c r="N281" s="3">
        <v>6</v>
      </c>
      <c r="O281" s="3">
        <v>5</v>
      </c>
      <c r="P281" s="3">
        <v>20</v>
      </c>
      <c r="Q281" s="3" t="s">
        <v>11186</v>
      </c>
      <c r="R281" s="6">
        <v>44623</v>
      </c>
    </row>
    <row r="282" spans="1:18" ht="12.5" x14ac:dyDescent="0.25">
      <c r="A282" s="21" t="str">
        <f>HYPERLINK("https://gerandofalcoes.my.salesforce.com/0014P00003AN2GIQA1", "0014P00003AN2GIQA1")</f>
        <v>0014P00003AN2GIQA1</v>
      </c>
      <c r="B282" s="3" t="s">
        <v>17683</v>
      </c>
      <c r="C282" s="3" t="s">
        <v>2538</v>
      </c>
      <c r="D282" s="3" t="s">
        <v>152</v>
      </c>
      <c r="E282" s="3">
        <v>95</v>
      </c>
      <c r="F282" s="3">
        <v>5</v>
      </c>
      <c r="G282" s="3">
        <v>3</v>
      </c>
      <c r="H282" s="3">
        <v>133580.48000000001</v>
      </c>
      <c r="I282" s="3">
        <v>99</v>
      </c>
      <c r="J282" s="3" t="s">
        <v>17406</v>
      </c>
      <c r="K282" s="3">
        <v>68</v>
      </c>
      <c r="L282" s="3">
        <v>30</v>
      </c>
      <c r="M282" s="3">
        <v>5</v>
      </c>
      <c r="N282" s="3">
        <v>8</v>
      </c>
      <c r="O282" s="3">
        <v>15</v>
      </c>
      <c r="P282" s="3">
        <v>10</v>
      </c>
      <c r="Q282" s="3" t="s">
        <v>193</v>
      </c>
      <c r="R282" s="6">
        <v>44623</v>
      </c>
    </row>
    <row r="283" spans="1:18" ht="12.5" x14ac:dyDescent="0.25">
      <c r="A283" s="21" t="str">
        <f>HYPERLINK("https://gerandofalcoes.my.salesforce.com/0014P00003AN2GJQA1", "0014P00003AN2GJQA1")</f>
        <v>0014P00003AN2GJQA1</v>
      </c>
      <c r="B283" s="3" t="s">
        <v>17684</v>
      </c>
      <c r="C283" s="3" t="s">
        <v>2538</v>
      </c>
      <c r="D283" s="3" t="s">
        <v>152</v>
      </c>
      <c r="E283" s="3">
        <v>76</v>
      </c>
      <c r="F283" s="3">
        <v>10</v>
      </c>
      <c r="G283" s="3">
        <v>2</v>
      </c>
      <c r="H283" s="3">
        <v>786451.23</v>
      </c>
      <c r="I283" s="3">
        <v>56</v>
      </c>
      <c r="J283" s="3" t="s">
        <v>17406</v>
      </c>
      <c r="K283" s="3">
        <v>66</v>
      </c>
      <c r="L283" s="3">
        <v>25</v>
      </c>
      <c r="M283" s="3">
        <v>10</v>
      </c>
      <c r="N283" s="3">
        <v>6</v>
      </c>
      <c r="O283" s="3">
        <v>20</v>
      </c>
      <c r="P283" s="3">
        <v>5</v>
      </c>
      <c r="Q283" s="3" t="s">
        <v>211</v>
      </c>
      <c r="R283" s="6">
        <v>44623</v>
      </c>
    </row>
    <row r="284" spans="1:18" ht="12.5" x14ac:dyDescent="0.25">
      <c r="A284" s="21" t="str">
        <f>HYPERLINK("https://gerandofalcoes.my.salesforce.com/0014P00003AN2GKQA1", "0014P00003AN2GKQA1")</f>
        <v>0014P00003AN2GKQA1</v>
      </c>
      <c r="B284" s="3" t="s">
        <v>17685</v>
      </c>
      <c r="C284" s="3" t="s">
        <v>2538</v>
      </c>
      <c r="D284" s="3" t="s">
        <v>152</v>
      </c>
      <c r="E284" s="3">
        <v>85</v>
      </c>
      <c r="F284" s="3">
        <v>22</v>
      </c>
      <c r="G284" s="3">
        <v>5</v>
      </c>
      <c r="H284" s="3">
        <v>1314918.45</v>
      </c>
      <c r="I284" s="3">
        <v>365</v>
      </c>
      <c r="J284" s="3" t="s">
        <v>17405</v>
      </c>
      <c r="K284" s="3">
        <v>87</v>
      </c>
      <c r="L284" s="3">
        <v>25</v>
      </c>
      <c r="M284" s="3">
        <v>12</v>
      </c>
      <c r="N284" s="3">
        <v>10</v>
      </c>
      <c r="O284" s="3">
        <v>25</v>
      </c>
      <c r="P284" s="3">
        <v>15</v>
      </c>
      <c r="Q284" s="3" t="s">
        <v>157</v>
      </c>
      <c r="R284" s="6">
        <v>44623</v>
      </c>
    </row>
    <row r="285" spans="1:18" ht="12.5" x14ac:dyDescent="0.25">
      <c r="A285" s="21" t="str">
        <f>HYPERLINK("https://gerandofalcoes.my.salesforce.com/0014P00003AN2GLQA1", "0014P00003AN2GLQA1")</f>
        <v>0014P00003AN2GLQA1</v>
      </c>
      <c r="B285" s="3" t="s">
        <v>17686</v>
      </c>
      <c r="C285" s="3" t="s">
        <v>2538</v>
      </c>
      <c r="D285" s="3" t="s">
        <v>152</v>
      </c>
      <c r="E285" s="3">
        <v>85</v>
      </c>
      <c r="F285" s="3">
        <v>13</v>
      </c>
      <c r="G285" s="3">
        <v>4</v>
      </c>
      <c r="H285" s="3">
        <v>154904.04</v>
      </c>
      <c r="I285" s="3">
        <v>136</v>
      </c>
      <c r="J285" s="3" t="s">
        <v>17406</v>
      </c>
      <c r="K285" s="3">
        <v>72</v>
      </c>
      <c r="L285" s="3">
        <v>25</v>
      </c>
      <c r="M285" s="3">
        <v>12</v>
      </c>
      <c r="N285" s="3">
        <v>10</v>
      </c>
      <c r="O285" s="3">
        <v>15</v>
      </c>
      <c r="P285" s="3">
        <v>10</v>
      </c>
      <c r="Q285" s="3" t="s">
        <v>174</v>
      </c>
      <c r="R285" s="6">
        <v>44623</v>
      </c>
    </row>
    <row r="286" spans="1:18" ht="12.5" x14ac:dyDescent="0.25">
      <c r="A286" s="21" t="str">
        <f>HYPERLINK("https://gerandofalcoes.my.salesforce.com/0014P00003AN2GMQA1", "0014P00003AN2GMQA1")</f>
        <v>0014P00003AN2GMQA1</v>
      </c>
      <c r="B286" s="3" t="s">
        <v>17687</v>
      </c>
      <c r="C286" s="3" t="s">
        <v>2538</v>
      </c>
      <c r="D286" s="3" t="s">
        <v>152</v>
      </c>
      <c r="E286" s="3">
        <v>71</v>
      </c>
      <c r="F286" s="3">
        <v>7</v>
      </c>
      <c r="G286" s="3">
        <v>2</v>
      </c>
      <c r="H286" s="3">
        <v>225804.57</v>
      </c>
      <c r="I286" s="3">
        <v>100</v>
      </c>
      <c r="J286" s="3" t="s">
        <v>17403</v>
      </c>
      <c r="K286" s="3">
        <v>61</v>
      </c>
      <c r="L286" s="3">
        <v>20</v>
      </c>
      <c r="M286" s="3">
        <v>10</v>
      </c>
      <c r="N286" s="3">
        <v>6</v>
      </c>
      <c r="O286" s="3">
        <v>15</v>
      </c>
      <c r="P286" s="3">
        <v>10</v>
      </c>
      <c r="Q286" s="3" t="s">
        <v>244</v>
      </c>
      <c r="R286" s="6">
        <v>44623</v>
      </c>
    </row>
    <row r="287" spans="1:18" ht="12.5" x14ac:dyDescent="0.25">
      <c r="A287" s="21" t="str">
        <f>HYPERLINK("https://gerandofalcoes.my.salesforce.com/0014P00003AN2GNQA1", "0014P00003AN2GNQA1")</f>
        <v>0014P00003AN2GNQA1</v>
      </c>
      <c r="B287" s="3" t="s">
        <v>17688</v>
      </c>
      <c r="C287" s="3" t="s">
        <v>2538</v>
      </c>
      <c r="D287" s="3" t="s">
        <v>152</v>
      </c>
      <c r="E287" s="3">
        <v>96</v>
      </c>
      <c r="F287" s="3">
        <v>22</v>
      </c>
      <c r="G287" s="3">
        <v>4</v>
      </c>
      <c r="H287" s="3">
        <v>392688.36</v>
      </c>
      <c r="I287" s="3">
        <v>304</v>
      </c>
      <c r="J287" s="3" t="s">
        <v>17405</v>
      </c>
      <c r="K287" s="3">
        <v>87</v>
      </c>
      <c r="L287" s="3">
        <v>30</v>
      </c>
      <c r="M287" s="3">
        <v>12</v>
      </c>
      <c r="N287" s="3">
        <v>10</v>
      </c>
      <c r="O287" s="3">
        <v>20</v>
      </c>
      <c r="P287" s="3">
        <v>15</v>
      </c>
      <c r="Q287" s="3" t="s">
        <v>263</v>
      </c>
      <c r="R287" s="6">
        <v>44623</v>
      </c>
    </row>
    <row r="288" spans="1:18" ht="12.5" x14ac:dyDescent="0.25">
      <c r="A288" s="21" t="str">
        <f>HYPERLINK("https://gerandofalcoes.my.salesforce.com/0014P00003AN2GOQA1", "0014P00003AN2GOQA1")</f>
        <v>0014P00003AN2GOQA1</v>
      </c>
      <c r="B288" s="3" t="s">
        <v>17689</v>
      </c>
      <c r="C288" s="3" t="s">
        <v>2538</v>
      </c>
      <c r="D288" s="3" t="s">
        <v>152</v>
      </c>
      <c r="E288" s="3">
        <v>79</v>
      </c>
      <c r="F288" s="3">
        <v>10</v>
      </c>
      <c r="G288" s="3">
        <v>3</v>
      </c>
      <c r="H288" s="3">
        <v>230836.02</v>
      </c>
      <c r="I288" s="3">
        <v>131</v>
      </c>
      <c r="J288" s="3" t="s">
        <v>17406</v>
      </c>
      <c r="K288" s="3">
        <v>68</v>
      </c>
      <c r="L288" s="3">
        <v>25</v>
      </c>
      <c r="M288" s="3">
        <v>10</v>
      </c>
      <c r="N288" s="3">
        <v>8</v>
      </c>
      <c r="O288" s="3">
        <v>15</v>
      </c>
      <c r="P288" s="3">
        <v>10</v>
      </c>
      <c r="Q288" s="3" t="s">
        <v>278</v>
      </c>
      <c r="R288" s="6">
        <v>44623</v>
      </c>
    </row>
    <row r="289" spans="1:18" ht="12.5" x14ac:dyDescent="0.25">
      <c r="A289" s="21" t="str">
        <f>HYPERLINK("https://gerandofalcoes.my.salesforce.com/0014P00003AN2GPQA1", "0014P00003AN2GPQA1")</f>
        <v>0014P00003AN2GPQA1</v>
      </c>
      <c r="B289" s="3" t="s">
        <v>17690</v>
      </c>
      <c r="C289" s="3" t="s">
        <v>2538</v>
      </c>
      <c r="D289" s="3" t="s">
        <v>152</v>
      </c>
      <c r="E289" s="3">
        <v>97</v>
      </c>
      <c r="F289" s="3">
        <v>33</v>
      </c>
      <c r="G289" s="3">
        <v>4</v>
      </c>
      <c r="H289" s="3">
        <v>1500734.93</v>
      </c>
      <c r="I289" s="3">
        <v>468</v>
      </c>
      <c r="J289" s="3" t="s">
        <v>17405</v>
      </c>
      <c r="K289" s="3">
        <v>100</v>
      </c>
      <c r="L289" s="3">
        <v>30</v>
      </c>
      <c r="M289" s="3">
        <v>15</v>
      </c>
      <c r="N289" s="3">
        <v>10</v>
      </c>
      <c r="O289" s="3">
        <v>25</v>
      </c>
      <c r="P289" s="3">
        <v>20</v>
      </c>
      <c r="Q289" s="3" t="s">
        <v>228</v>
      </c>
      <c r="R289" s="6">
        <v>44623</v>
      </c>
    </row>
    <row r="290" spans="1:18" ht="12.5" x14ac:dyDescent="0.25">
      <c r="A290" s="21" t="str">
        <f>HYPERLINK("https://gerandofalcoes.my.salesforce.com/0014P00003AN2etQAD", "0014P00003AN2etQAD")</f>
        <v>0014P00003AN2etQAD</v>
      </c>
      <c r="B290" s="3" t="s">
        <v>17691</v>
      </c>
      <c r="C290" s="3" t="s">
        <v>2538</v>
      </c>
      <c r="D290" s="3" t="s">
        <v>46</v>
      </c>
      <c r="E290" s="3">
        <v>85</v>
      </c>
      <c r="F290" s="3">
        <v>10</v>
      </c>
      <c r="G290" s="3">
        <v>5</v>
      </c>
      <c r="H290" s="3">
        <v>880000</v>
      </c>
      <c r="I290" s="3">
        <v>245</v>
      </c>
      <c r="J290" s="3" t="s">
        <v>17405</v>
      </c>
      <c r="K290" s="3">
        <v>82</v>
      </c>
      <c r="L290" s="3">
        <v>25</v>
      </c>
      <c r="M290" s="3">
        <v>10</v>
      </c>
      <c r="N290" s="3">
        <v>10</v>
      </c>
      <c r="O290" s="3">
        <v>25</v>
      </c>
      <c r="P290" s="3">
        <v>12</v>
      </c>
      <c r="Q290" s="3"/>
      <c r="R290" s="6">
        <v>44623</v>
      </c>
    </row>
    <row r="291" spans="1:18" ht="12.5" x14ac:dyDescent="0.25">
      <c r="A291" s="21" t="str">
        <f>HYPERLINK("https://gerandofalcoes.my.salesforce.com/0014P00003AN2h4QAD", "0014P00003AN2h4QAD")</f>
        <v>0014P00003AN2h4QAD</v>
      </c>
      <c r="B291" s="3" t="s">
        <v>17692</v>
      </c>
      <c r="C291" s="3" t="s">
        <v>2538</v>
      </c>
      <c r="D291" s="3" t="s">
        <v>46</v>
      </c>
      <c r="E291" s="3">
        <v>78</v>
      </c>
      <c r="F291" s="3">
        <v>10</v>
      </c>
      <c r="G291" s="3">
        <v>6</v>
      </c>
      <c r="H291" s="3">
        <v>305700</v>
      </c>
      <c r="I291" s="3">
        <v>75</v>
      </c>
      <c r="J291" s="3" t="s">
        <v>17406</v>
      </c>
      <c r="K291" s="3">
        <v>70</v>
      </c>
      <c r="L291" s="3">
        <v>25</v>
      </c>
      <c r="M291" s="3">
        <v>10</v>
      </c>
      <c r="N291" s="3">
        <v>10</v>
      </c>
      <c r="O291" s="3">
        <v>20</v>
      </c>
      <c r="P291" s="3">
        <v>5</v>
      </c>
      <c r="Q291" s="3"/>
      <c r="R291" s="6">
        <v>44623</v>
      </c>
    </row>
    <row r="292" spans="1:18" ht="12.5" x14ac:dyDescent="0.25">
      <c r="A292" s="21" t="str">
        <f>HYPERLINK("https://gerandofalcoes.my.salesforce.com/0014P00003AN2h5QAD", "0014P00003AN2h5QAD")</f>
        <v>0014P00003AN2h5QAD</v>
      </c>
      <c r="B292" s="3" t="s">
        <v>17693</v>
      </c>
      <c r="C292" s="3" t="s">
        <v>2538</v>
      </c>
      <c r="D292" s="3" t="s">
        <v>152</v>
      </c>
      <c r="E292" s="3">
        <v>95</v>
      </c>
      <c r="F292" s="3">
        <v>25</v>
      </c>
      <c r="G292" s="3">
        <v>3</v>
      </c>
      <c r="H292" s="3">
        <v>1106859.57</v>
      </c>
      <c r="I292" s="3">
        <v>119</v>
      </c>
      <c r="J292" s="3" t="s">
        <v>17405</v>
      </c>
      <c r="K292" s="3">
        <v>85</v>
      </c>
      <c r="L292" s="3">
        <v>30</v>
      </c>
      <c r="M292" s="3">
        <v>12</v>
      </c>
      <c r="N292" s="3">
        <v>8</v>
      </c>
      <c r="O292" s="3">
        <v>25</v>
      </c>
      <c r="P292" s="3">
        <v>10</v>
      </c>
      <c r="Q292" s="3" t="s">
        <v>335</v>
      </c>
      <c r="R292" s="6">
        <v>44623</v>
      </c>
    </row>
    <row r="293" spans="1:18" ht="12.5" x14ac:dyDescent="0.25">
      <c r="A293" s="21" t="str">
        <f>HYPERLINK("https://gerandofalcoes.my.salesforce.com/0014P00003AN2h6QAD", "0014P00003AN2h6QAD")</f>
        <v>0014P00003AN2h6QAD</v>
      </c>
      <c r="B293" s="3" t="s">
        <v>17694</v>
      </c>
      <c r="C293" s="3" t="s">
        <v>2538</v>
      </c>
      <c r="D293" s="3" t="s">
        <v>152</v>
      </c>
      <c r="E293" s="3">
        <v>98</v>
      </c>
      <c r="F293" s="3">
        <v>13</v>
      </c>
      <c r="G293" s="3">
        <v>3</v>
      </c>
      <c r="H293" s="3">
        <v>245092.99</v>
      </c>
      <c r="I293" s="3">
        <v>161</v>
      </c>
      <c r="J293" s="3" t="s">
        <v>17406</v>
      </c>
      <c r="K293" s="3">
        <v>77</v>
      </c>
      <c r="L293" s="3">
        <v>30</v>
      </c>
      <c r="M293" s="3">
        <v>12</v>
      </c>
      <c r="N293" s="3">
        <v>8</v>
      </c>
      <c r="O293" s="3">
        <v>15</v>
      </c>
      <c r="P293" s="3">
        <v>12</v>
      </c>
      <c r="Q293" s="3" t="s">
        <v>11318</v>
      </c>
      <c r="R293" s="6">
        <v>44623</v>
      </c>
    </row>
    <row r="294" spans="1:18" ht="12.5" x14ac:dyDescent="0.25">
      <c r="A294" s="21" t="str">
        <f>HYPERLINK("https://gerandofalcoes.my.salesforce.com/0014P00003AN6yVQAT", "0014P00003AN6yVQAT")</f>
        <v>0014P00003AN6yVQAT</v>
      </c>
      <c r="B294" s="3" t="s">
        <v>17695</v>
      </c>
      <c r="C294" s="3" t="s">
        <v>2538</v>
      </c>
      <c r="D294" s="3" t="s">
        <v>46</v>
      </c>
      <c r="E294" s="3">
        <v>68</v>
      </c>
      <c r="F294" s="3">
        <v>0</v>
      </c>
      <c r="G294" s="3">
        <v>3</v>
      </c>
      <c r="H294" s="3">
        <v>25000</v>
      </c>
      <c r="I294" s="3">
        <v>120</v>
      </c>
      <c r="J294" s="3" t="s">
        <v>17403</v>
      </c>
      <c r="K294" s="3">
        <v>48</v>
      </c>
      <c r="L294" s="3">
        <v>20</v>
      </c>
      <c r="M294" s="3">
        <v>0</v>
      </c>
      <c r="N294" s="3">
        <v>8</v>
      </c>
      <c r="O294" s="3">
        <v>10</v>
      </c>
      <c r="P294" s="3">
        <v>10</v>
      </c>
      <c r="Q294" s="3"/>
      <c r="R294" s="6">
        <v>44623</v>
      </c>
    </row>
    <row r="295" spans="1:18" ht="12.5" x14ac:dyDescent="0.25">
      <c r="A295" s="21" t="str">
        <f>HYPERLINK("https://gerandofalcoes.my.salesforce.com/0014P00003AN72DQAT", "0014P00003AN72DQAT")</f>
        <v>0014P00003AN72DQAT</v>
      </c>
      <c r="B295" s="3" t="s">
        <v>17696</v>
      </c>
      <c r="C295" s="3" t="s">
        <v>2538</v>
      </c>
      <c r="D295" s="3" t="s">
        <v>46</v>
      </c>
      <c r="E295" s="3">
        <v>74</v>
      </c>
      <c r="F295" s="3">
        <v>35</v>
      </c>
      <c r="G295" s="3">
        <v>5</v>
      </c>
      <c r="H295" s="3">
        <v>1000000</v>
      </c>
      <c r="I295" s="3">
        <v>506</v>
      </c>
      <c r="J295" s="3" t="s">
        <v>17405</v>
      </c>
      <c r="K295" s="3">
        <v>90</v>
      </c>
      <c r="L295" s="3">
        <v>20</v>
      </c>
      <c r="M295" s="3">
        <v>15</v>
      </c>
      <c r="N295" s="3">
        <v>10</v>
      </c>
      <c r="O295" s="3">
        <v>25</v>
      </c>
      <c r="P295" s="3">
        <v>20</v>
      </c>
      <c r="Q295" s="3"/>
      <c r="R295" s="6">
        <v>44623</v>
      </c>
    </row>
    <row r="296" spans="1:18" ht="12.5" x14ac:dyDescent="0.25">
      <c r="A296" s="21" t="str">
        <f>HYPERLINK("https://gerandofalcoes.my.salesforce.com/0014P00003AN76yQAD", "0014P00003AN76yQAD")</f>
        <v>0014P00003AN76yQAD</v>
      </c>
      <c r="B296" s="3" t="s">
        <v>293</v>
      </c>
      <c r="C296" s="3" t="s">
        <v>2538</v>
      </c>
      <c r="D296" s="3" t="s">
        <v>152</v>
      </c>
      <c r="E296" s="3">
        <v>43</v>
      </c>
      <c r="F296" s="3">
        <v>6</v>
      </c>
      <c r="G296" s="3">
        <v>2</v>
      </c>
      <c r="H296" s="3">
        <v>80000</v>
      </c>
      <c r="I296" s="3">
        <v>80</v>
      </c>
      <c r="J296" s="3" t="s">
        <v>17403</v>
      </c>
      <c r="K296" s="3">
        <v>51</v>
      </c>
      <c r="L296" s="3">
        <v>15</v>
      </c>
      <c r="M296" s="3">
        <v>10</v>
      </c>
      <c r="N296" s="3">
        <v>6</v>
      </c>
      <c r="O296" s="3">
        <v>10</v>
      </c>
      <c r="P296" s="3">
        <v>10</v>
      </c>
      <c r="Q296" s="3"/>
      <c r="R296" s="6">
        <v>44623</v>
      </c>
    </row>
    <row r="297" spans="1:18" ht="12.5" x14ac:dyDescent="0.25">
      <c r="A297" s="21" t="str">
        <f>HYPERLINK("https://gerandofalcoes.my.salesforce.com/0014P00003ERUfsQAH", "0014P00003ERUfsQAH")</f>
        <v>0014P00003ERUfsQAH</v>
      </c>
      <c r="B297" s="3" t="s">
        <v>17697</v>
      </c>
      <c r="C297" s="3" t="s">
        <v>2538</v>
      </c>
      <c r="D297" s="3" t="s">
        <v>152</v>
      </c>
      <c r="E297" s="3">
        <v>91</v>
      </c>
      <c r="F297" s="3">
        <v>30</v>
      </c>
      <c r="G297" s="3">
        <v>4</v>
      </c>
      <c r="H297" s="3">
        <v>155230.70000000001</v>
      </c>
      <c r="I297" s="3">
        <v>577</v>
      </c>
      <c r="J297" s="3" t="s">
        <v>17405</v>
      </c>
      <c r="K297" s="3">
        <v>87</v>
      </c>
      <c r="L297" s="3">
        <v>30</v>
      </c>
      <c r="M297" s="3">
        <v>12</v>
      </c>
      <c r="N297" s="3">
        <v>10</v>
      </c>
      <c r="O297" s="3">
        <v>15</v>
      </c>
      <c r="P297" s="3">
        <v>20</v>
      </c>
      <c r="Q297" s="3" t="s">
        <v>466</v>
      </c>
      <c r="R297" s="6">
        <v>44623</v>
      </c>
    </row>
    <row r="298" spans="1:18" ht="12.5" x14ac:dyDescent="0.25">
      <c r="A298" s="21" t="str">
        <f>HYPERLINK("https://gerandofalcoes.my.salesforce.com/0014P00003ERavoQAD", "0014P00003ERavoQAD")</f>
        <v>0014P00003ERavoQAD</v>
      </c>
      <c r="B298" s="3" t="s">
        <v>482</v>
      </c>
      <c r="C298" s="3" t="s">
        <v>2538</v>
      </c>
      <c r="D298" s="3" t="s">
        <v>152</v>
      </c>
      <c r="E298" s="3">
        <v>86</v>
      </c>
      <c r="F298" s="3">
        <v>5</v>
      </c>
      <c r="G298" s="3">
        <v>4</v>
      </c>
      <c r="H298" s="3">
        <v>275378.40000000002</v>
      </c>
      <c r="I298" s="3">
        <v>258</v>
      </c>
      <c r="J298" s="3" t="s">
        <v>17406</v>
      </c>
      <c r="K298" s="3">
        <v>67</v>
      </c>
      <c r="L298" s="3">
        <v>25</v>
      </c>
      <c r="M298" s="3">
        <v>5</v>
      </c>
      <c r="N298" s="3">
        <v>10</v>
      </c>
      <c r="O298" s="3">
        <v>15</v>
      </c>
      <c r="P298" s="3">
        <v>12</v>
      </c>
      <c r="Q298" s="3" t="s">
        <v>484</v>
      </c>
      <c r="R298" s="6">
        <v>44623</v>
      </c>
    </row>
    <row r="299" spans="1:18" ht="12.5" x14ac:dyDescent="0.25">
      <c r="A299" s="21" t="str">
        <f>HYPERLINK("https://gerandofalcoes.my.salesforce.com/0014P00003MjNTIQA3", "0014P00003MjNTIQA3")</f>
        <v>0014P00003MjNTIQA3</v>
      </c>
      <c r="B299" s="3" t="s">
        <v>17698</v>
      </c>
      <c r="C299" s="3" t="s">
        <v>2538</v>
      </c>
      <c r="D299" s="3" t="s">
        <v>418</v>
      </c>
      <c r="E299" s="3">
        <v>0</v>
      </c>
      <c r="F299" s="3">
        <v>10</v>
      </c>
      <c r="G299" s="3">
        <v>0</v>
      </c>
      <c r="H299" s="3">
        <v>0</v>
      </c>
      <c r="I299" s="3">
        <v>900</v>
      </c>
      <c r="J299" s="3" t="s">
        <v>17403</v>
      </c>
      <c r="K299" s="3">
        <v>30</v>
      </c>
      <c r="L299" s="3">
        <v>0</v>
      </c>
      <c r="M299" s="3">
        <v>10</v>
      </c>
      <c r="N299" s="3">
        <v>0</v>
      </c>
      <c r="O299" s="3">
        <v>0</v>
      </c>
      <c r="P299" s="3">
        <v>20</v>
      </c>
      <c r="Q299" s="3"/>
      <c r="R299" s="6">
        <v>44623</v>
      </c>
    </row>
    <row r="300" spans="1:18" ht="12.5" x14ac:dyDescent="0.25">
      <c r="A300" s="21" t="str">
        <f>HYPERLINK("https://gerandofalcoes.my.salesforce.com/0014P00003MjOsqQAF", "0014P00003MjOsqQAF")</f>
        <v>0014P00003MjOsqQAF</v>
      </c>
      <c r="B300" s="3" t="s">
        <v>17699</v>
      </c>
      <c r="C300" s="3" t="s">
        <v>2538</v>
      </c>
      <c r="D300" s="3" t="s">
        <v>418</v>
      </c>
      <c r="E300" s="3">
        <v>0</v>
      </c>
      <c r="F300" s="3">
        <v>6</v>
      </c>
      <c r="G300" s="3">
        <v>1</v>
      </c>
      <c r="H300" s="3">
        <v>0</v>
      </c>
      <c r="I300" s="3">
        <v>150</v>
      </c>
      <c r="J300" s="3" t="s">
        <v>17403</v>
      </c>
      <c r="K300" s="3">
        <v>26</v>
      </c>
      <c r="L300" s="3">
        <v>0</v>
      </c>
      <c r="M300" s="3">
        <v>10</v>
      </c>
      <c r="N300" s="3">
        <v>4</v>
      </c>
      <c r="O300" s="3">
        <v>0</v>
      </c>
      <c r="P300" s="3">
        <v>12</v>
      </c>
      <c r="Q300" s="3" t="s">
        <v>453</v>
      </c>
      <c r="R300" s="6">
        <v>44623</v>
      </c>
    </row>
    <row r="301" spans="1:18" ht="12.5" x14ac:dyDescent="0.25">
      <c r="A301" s="21" t="str">
        <f>HYPERLINK("https://gerandofalcoes.my.salesforce.com/0014P00003MjR9oQAF", "0014P00003MjR9oQAF")</f>
        <v>0014P00003MjR9oQAF</v>
      </c>
      <c r="B301" s="3" t="s">
        <v>17700</v>
      </c>
      <c r="C301" s="3" t="s">
        <v>2538</v>
      </c>
      <c r="D301" s="3" t="s">
        <v>418</v>
      </c>
      <c r="E301" s="3">
        <v>0</v>
      </c>
      <c r="F301" s="3">
        <v>23</v>
      </c>
      <c r="G301" s="3">
        <v>1</v>
      </c>
      <c r="H301" s="3">
        <v>0</v>
      </c>
      <c r="I301" s="3">
        <v>640</v>
      </c>
      <c r="J301" s="3" t="s">
        <v>17403</v>
      </c>
      <c r="K301" s="3">
        <v>36</v>
      </c>
      <c r="L301" s="3">
        <v>0</v>
      </c>
      <c r="M301" s="3">
        <v>12</v>
      </c>
      <c r="N301" s="3">
        <v>4</v>
      </c>
      <c r="O301" s="3">
        <v>0</v>
      </c>
      <c r="P301" s="3">
        <v>20</v>
      </c>
      <c r="Q301" s="3" t="s">
        <v>424</v>
      </c>
      <c r="R301" s="6">
        <v>44623</v>
      </c>
    </row>
    <row r="302" spans="1:18" ht="12.5" x14ac:dyDescent="0.25">
      <c r="A302" s="21" t="str">
        <f>HYPERLINK("https://gerandofalcoes.my.salesforce.com/0014P00003Ck7X8QAJ", "0014P00003Ck7X8QAJ")</f>
        <v>0014P00003Ck7X8QAJ</v>
      </c>
      <c r="B302" s="3" t="s">
        <v>17701</v>
      </c>
      <c r="C302" s="3" t="s">
        <v>2538</v>
      </c>
      <c r="D302" s="3" t="s">
        <v>46</v>
      </c>
      <c r="E302" s="3">
        <v>11</v>
      </c>
      <c r="F302" s="3">
        <v>0</v>
      </c>
      <c r="G302" s="3">
        <v>1</v>
      </c>
      <c r="H302" s="3">
        <v>300000</v>
      </c>
      <c r="I302" s="3">
        <v>50</v>
      </c>
      <c r="J302" s="3" t="s">
        <v>17403</v>
      </c>
      <c r="K302" s="3">
        <v>39</v>
      </c>
      <c r="L302" s="3">
        <v>10</v>
      </c>
      <c r="M302" s="3">
        <v>0</v>
      </c>
      <c r="N302" s="3">
        <v>4</v>
      </c>
      <c r="O302" s="3">
        <v>20</v>
      </c>
      <c r="P302" s="3">
        <v>5</v>
      </c>
      <c r="Q302" s="3"/>
      <c r="R302" s="6">
        <v>44623</v>
      </c>
    </row>
    <row r="303" spans="1:18" ht="12.5" x14ac:dyDescent="0.25">
      <c r="A303" s="21" t="str">
        <f>HYPERLINK("https://gerandofalcoes.my.salesforce.com/0014X00002VKCqJQAX", "0014X00002VKCqJQAX")</f>
        <v>0014X00002VKCqJQAX</v>
      </c>
      <c r="B303" s="3" t="s">
        <v>17702</v>
      </c>
      <c r="C303" s="3" t="s">
        <v>2538</v>
      </c>
      <c r="D303" s="3" t="s">
        <v>46</v>
      </c>
      <c r="E303" s="3">
        <v>27</v>
      </c>
      <c r="F303" s="3">
        <v>0</v>
      </c>
      <c r="G303" s="3">
        <v>3</v>
      </c>
      <c r="H303" s="3">
        <v>1350</v>
      </c>
      <c r="I303" s="3">
        <v>120</v>
      </c>
      <c r="J303" s="3" t="s">
        <v>17403</v>
      </c>
      <c r="K303" s="3">
        <v>38</v>
      </c>
      <c r="L303" s="3">
        <v>15</v>
      </c>
      <c r="M303" s="3">
        <v>0</v>
      </c>
      <c r="N303" s="3">
        <v>8</v>
      </c>
      <c r="O303" s="3">
        <v>5</v>
      </c>
      <c r="P303" s="3">
        <v>10</v>
      </c>
      <c r="Q303" s="3" t="s">
        <v>5454</v>
      </c>
      <c r="R303" s="6">
        <v>44804</v>
      </c>
    </row>
    <row r="304" spans="1:18" ht="12.5" x14ac:dyDescent="0.25">
      <c r="A304" s="21" t="str">
        <f>HYPERLINK("https://gerandofalcoes.my.salesforce.com/0014X00002VKCp5QAH", "0014X00002VKCp5QAH")</f>
        <v>0014X00002VKCp5QAH</v>
      </c>
      <c r="B304" s="3" t="s">
        <v>17703</v>
      </c>
      <c r="C304" s="3" t="s">
        <v>2538</v>
      </c>
      <c r="D304" s="3" t="s">
        <v>46</v>
      </c>
      <c r="E304" s="3">
        <v>29</v>
      </c>
      <c r="F304" s="3">
        <v>0</v>
      </c>
      <c r="G304" s="3">
        <v>8</v>
      </c>
      <c r="H304" s="3">
        <v>52000</v>
      </c>
      <c r="I304" s="3">
        <v>250</v>
      </c>
      <c r="J304" s="3" t="s">
        <v>17403</v>
      </c>
      <c r="K304" s="3">
        <v>47</v>
      </c>
      <c r="L304" s="3">
        <v>15</v>
      </c>
      <c r="M304" s="3">
        <v>0</v>
      </c>
      <c r="N304" s="3">
        <v>10</v>
      </c>
      <c r="O304" s="3">
        <v>10</v>
      </c>
      <c r="P304" s="3">
        <v>12</v>
      </c>
      <c r="Q304" s="3" t="s">
        <v>8780</v>
      </c>
      <c r="R304" s="6">
        <v>44804</v>
      </c>
    </row>
    <row r="305" spans="1:18" ht="12.5" x14ac:dyDescent="0.25">
      <c r="A305" s="21" t="str">
        <f>HYPERLINK("https://gerandofalcoes.my.salesforce.com/0014X00002VKCqlQAH", "0014X00002VKCqlQAH")</f>
        <v>0014X00002VKCqlQAH</v>
      </c>
      <c r="B305" s="3" t="s">
        <v>17704</v>
      </c>
      <c r="C305" s="3" t="s">
        <v>2538</v>
      </c>
      <c r="D305" s="3" t="s">
        <v>46</v>
      </c>
      <c r="E305" s="3">
        <v>71</v>
      </c>
      <c r="F305" s="3">
        <v>5</v>
      </c>
      <c r="G305" s="3">
        <v>5</v>
      </c>
      <c r="H305" s="3">
        <v>38000</v>
      </c>
      <c r="I305" s="3">
        <v>100</v>
      </c>
      <c r="J305" s="3" t="s">
        <v>17403</v>
      </c>
      <c r="K305" s="3">
        <v>55</v>
      </c>
      <c r="L305" s="3">
        <v>20</v>
      </c>
      <c r="M305" s="3">
        <v>5</v>
      </c>
      <c r="N305" s="3">
        <v>10</v>
      </c>
      <c r="O305" s="3">
        <v>10</v>
      </c>
      <c r="P305" s="3">
        <v>10</v>
      </c>
      <c r="Q305" s="3" t="s">
        <v>5763</v>
      </c>
      <c r="R305" s="6">
        <v>44804</v>
      </c>
    </row>
    <row r="306" spans="1:18" ht="12.5" x14ac:dyDescent="0.25">
      <c r="A306" s="21" t="str">
        <f>HYPERLINK("https://gerandofalcoes.my.salesforce.com/0014X00002VKCqaQAH", "0014X00002VKCqaQAH")</f>
        <v>0014X00002VKCqaQAH</v>
      </c>
      <c r="B306" s="3" t="s">
        <v>17705</v>
      </c>
      <c r="C306" s="3" t="s">
        <v>2538</v>
      </c>
      <c r="D306" s="3" t="s">
        <v>46</v>
      </c>
      <c r="E306" s="3">
        <v>30</v>
      </c>
      <c r="F306" s="3">
        <v>0</v>
      </c>
      <c r="G306" s="3">
        <v>2</v>
      </c>
      <c r="H306" s="3">
        <v>0</v>
      </c>
      <c r="I306" s="3">
        <v>10</v>
      </c>
      <c r="J306" s="3" t="s">
        <v>17403</v>
      </c>
      <c r="K306" s="3">
        <v>26</v>
      </c>
      <c r="L306" s="3">
        <v>15</v>
      </c>
      <c r="M306" s="3">
        <v>0</v>
      </c>
      <c r="N306" s="3">
        <v>6</v>
      </c>
      <c r="O306" s="3">
        <v>0</v>
      </c>
      <c r="P306" s="3">
        <v>5</v>
      </c>
      <c r="Q306" s="3"/>
      <c r="R306" s="6">
        <v>44804</v>
      </c>
    </row>
    <row r="307" spans="1:18" ht="12.5" x14ac:dyDescent="0.25">
      <c r="A307" s="21" t="str">
        <f>HYPERLINK("https://gerandofalcoes.my.salesforce.com/0014X00002VKCqvQAH", "0014X00002VKCqvQAH")</f>
        <v>0014X00002VKCqvQAH</v>
      </c>
      <c r="B307" s="3" t="s">
        <v>17706</v>
      </c>
      <c r="C307" s="3" t="s">
        <v>2538</v>
      </c>
      <c r="D307" s="3" t="s">
        <v>46</v>
      </c>
      <c r="E307" s="3">
        <v>30</v>
      </c>
      <c r="F307" s="3">
        <v>0</v>
      </c>
      <c r="G307" s="3">
        <v>3</v>
      </c>
      <c r="H307" s="3">
        <v>10000</v>
      </c>
      <c r="I307" s="3">
        <v>300</v>
      </c>
      <c r="J307" s="3" t="s">
        <v>17403</v>
      </c>
      <c r="K307" s="3">
        <v>43</v>
      </c>
      <c r="L307" s="3">
        <v>15</v>
      </c>
      <c r="M307" s="3">
        <v>0</v>
      </c>
      <c r="N307" s="3">
        <v>8</v>
      </c>
      <c r="O307" s="3">
        <v>5</v>
      </c>
      <c r="P307" s="3">
        <v>15</v>
      </c>
      <c r="Q307" s="3" t="s">
        <v>6092</v>
      </c>
      <c r="R307" s="6">
        <v>44804</v>
      </c>
    </row>
    <row r="308" spans="1:18" ht="12.5" x14ac:dyDescent="0.25">
      <c r="A308" s="21" t="str">
        <f>HYPERLINK("https://gerandofalcoes.my.salesforce.com/0014X00002VKCtpQAH", "0014X00002VKCtpQAH")</f>
        <v>0014X00002VKCtpQAH</v>
      </c>
      <c r="B308" s="3" t="s">
        <v>8125</v>
      </c>
      <c r="C308" s="3" t="s">
        <v>2538</v>
      </c>
      <c r="D308" s="3" t="s">
        <v>46</v>
      </c>
      <c r="E308" s="3">
        <v>19</v>
      </c>
      <c r="F308" s="3">
        <v>0</v>
      </c>
      <c r="G308" s="3">
        <v>2</v>
      </c>
      <c r="H308" s="3">
        <v>0</v>
      </c>
      <c r="I308" s="3">
        <v>0</v>
      </c>
      <c r="J308" s="3" t="s">
        <v>17403</v>
      </c>
      <c r="K308" s="3">
        <v>16</v>
      </c>
      <c r="L308" s="3">
        <v>10</v>
      </c>
      <c r="M308" s="3">
        <v>0</v>
      </c>
      <c r="N308" s="3">
        <v>6</v>
      </c>
      <c r="O308" s="3">
        <v>0</v>
      </c>
      <c r="P308" s="3">
        <v>0</v>
      </c>
      <c r="Q308" s="3" t="s">
        <v>8127</v>
      </c>
      <c r="R308" s="6">
        <v>44804</v>
      </c>
    </row>
    <row r="309" spans="1:18" ht="12.5" x14ac:dyDescent="0.25">
      <c r="A309" s="21" t="str">
        <f>HYPERLINK("https://gerandofalcoes.my.salesforce.com/0014X00002VKCpkQAH", "0014X00002VKCpkQAH")</f>
        <v>0014X00002VKCpkQAH</v>
      </c>
      <c r="B309" s="3" t="s">
        <v>4087</v>
      </c>
      <c r="C309" s="3" t="s">
        <v>2538</v>
      </c>
      <c r="D309" s="3" t="s">
        <v>46</v>
      </c>
      <c r="E309" s="3">
        <v>35</v>
      </c>
      <c r="F309" s="3">
        <v>15</v>
      </c>
      <c r="G309" s="3">
        <v>4</v>
      </c>
      <c r="H309" s="3">
        <v>78000</v>
      </c>
      <c r="I309" s="3">
        <v>240</v>
      </c>
      <c r="J309" s="3" t="s">
        <v>17403</v>
      </c>
      <c r="K309" s="3">
        <v>59</v>
      </c>
      <c r="L309" s="3">
        <v>15</v>
      </c>
      <c r="M309" s="3">
        <v>12</v>
      </c>
      <c r="N309" s="3">
        <v>10</v>
      </c>
      <c r="O309" s="3">
        <v>10</v>
      </c>
      <c r="P309" s="3">
        <v>12</v>
      </c>
      <c r="Q309" s="3" t="s">
        <v>4090</v>
      </c>
      <c r="R309" s="6">
        <v>44804</v>
      </c>
    </row>
    <row r="310" spans="1:18" ht="12.5" x14ac:dyDescent="0.25">
      <c r="A310" s="21" t="str">
        <f>HYPERLINK("https://gerandofalcoes.my.salesforce.com/0014X00002VKCs5QAH", "0014X00002VKCs5QAH")</f>
        <v>0014X00002VKCs5QAH</v>
      </c>
      <c r="B310" s="3" t="s">
        <v>17707</v>
      </c>
      <c r="C310" s="3" t="s">
        <v>2538</v>
      </c>
      <c r="D310" s="3" t="s">
        <v>46</v>
      </c>
      <c r="E310" s="3">
        <v>42</v>
      </c>
      <c r="F310" s="3">
        <v>0</v>
      </c>
      <c r="G310" s="3">
        <v>2</v>
      </c>
      <c r="H310" s="3">
        <v>49600</v>
      </c>
      <c r="I310" s="3">
        <v>350</v>
      </c>
      <c r="J310" s="3" t="s">
        <v>17403</v>
      </c>
      <c r="K310" s="3">
        <v>46</v>
      </c>
      <c r="L310" s="3">
        <v>15</v>
      </c>
      <c r="M310" s="3">
        <v>0</v>
      </c>
      <c r="N310" s="3">
        <v>6</v>
      </c>
      <c r="O310" s="3">
        <v>10</v>
      </c>
      <c r="P310" s="3">
        <v>15</v>
      </c>
      <c r="Q310" s="3" t="s">
        <v>5314</v>
      </c>
      <c r="R310" s="6">
        <v>44804</v>
      </c>
    </row>
    <row r="311" spans="1:18" ht="12.5" x14ac:dyDescent="0.25">
      <c r="A311" s="21" t="str">
        <f>HYPERLINK("https://gerandofalcoes.my.salesforce.com/0014X00002VKCqjQAH", "0014X00002VKCqjQAH")</f>
        <v>0014X00002VKCqjQAH</v>
      </c>
      <c r="B311" s="3" t="s">
        <v>5727</v>
      </c>
      <c r="C311" s="3" t="s">
        <v>2538</v>
      </c>
      <c r="D311" s="3" t="s">
        <v>46</v>
      </c>
      <c r="E311" s="3">
        <v>23</v>
      </c>
      <c r="F311" s="3">
        <v>0</v>
      </c>
      <c r="G311" s="3">
        <v>5</v>
      </c>
      <c r="H311" s="3">
        <v>9632</v>
      </c>
      <c r="I311" s="3">
        <v>200</v>
      </c>
      <c r="J311" s="3" t="s">
        <v>17403</v>
      </c>
      <c r="K311" s="3">
        <v>37</v>
      </c>
      <c r="L311" s="3">
        <v>10</v>
      </c>
      <c r="M311" s="3">
        <v>0</v>
      </c>
      <c r="N311" s="3">
        <v>10</v>
      </c>
      <c r="O311" s="3">
        <v>5</v>
      </c>
      <c r="P311" s="3">
        <v>12</v>
      </c>
      <c r="Q311" s="3" t="s">
        <v>5730</v>
      </c>
      <c r="R311" s="6">
        <v>44804</v>
      </c>
    </row>
    <row r="312" spans="1:18" ht="12.5" x14ac:dyDescent="0.25">
      <c r="A312" s="21" t="str">
        <f>HYPERLINK("https://gerandofalcoes.my.salesforce.com/0014X00002VKCqoQAH", "0014X00002VKCqoQAH")</f>
        <v>0014X00002VKCqoQAH</v>
      </c>
      <c r="B312" s="3" t="s">
        <v>5826</v>
      </c>
      <c r="C312" s="3" t="s">
        <v>2538</v>
      </c>
      <c r="D312" s="3" t="s">
        <v>46</v>
      </c>
      <c r="E312" s="3">
        <v>36</v>
      </c>
      <c r="F312" s="3">
        <v>1</v>
      </c>
      <c r="G312" s="3">
        <v>7</v>
      </c>
      <c r="H312" s="3">
        <v>13800</v>
      </c>
      <c r="I312" s="3">
        <v>100</v>
      </c>
      <c r="J312" s="3" t="s">
        <v>17403</v>
      </c>
      <c r="K312" s="3">
        <v>45</v>
      </c>
      <c r="L312" s="3">
        <v>15</v>
      </c>
      <c r="M312" s="3">
        <v>5</v>
      </c>
      <c r="N312" s="3">
        <v>10</v>
      </c>
      <c r="O312" s="3">
        <v>5</v>
      </c>
      <c r="P312" s="3">
        <v>10</v>
      </c>
      <c r="Q312" s="3" t="s">
        <v>5829</v>
      </c>
      <c r="R312" s="6">
        <v>44804</v>
      </c>
    </row>
    <row r="313" spans="1:18" ht="12.5" x14ac:dyDescent="0.25">
      <c r="A313" s="21" t="str">
        <f>HYPERLINK("https://gerandofalcoes.my.salesforce.com/0014X00002VKCujQAH", "0014X00002VKCujQAH")</f>
        <v>0014X00002VKCujQAH</v>
      </c>
      <c r="B313" s="3" t="s">
        <v>17708</v>
      </c>
      <c r="C313" s="3" t="s">
        <v>2538</v>
      </c>
      <c r="D313" s="3" t="s">
        <v>46</v>
      </c>
      <c r="E313" s="3">
        <v>74</v>
      </c>
      <c r="F313" s="3">
        <v>4</v>
      </c>
      <c r="G313" s="3">
        <v>4</v>
      </c>
      <c r="H313" s="3">
        <v>500000</v>
      </c>
      <c r="I313" s="3">
        <v>80</v>
      </c>
      <c r="J313" s="3" t="s">
        <v>17406</v>
      </c>
      <c r="K313" s="3">
        <v>65</v>
      </c>
      <c r="L313" s="3">
        <v>20</v>
      </c>
      <c r="M313" s="3">
        <v>5</v>
      </c>
      <c r="N313" s="3">
        <v>10</v>
      </c>
      <c r="O313" s="3">
        <v>20</v>
      </c>
      <c r="P313" s="3">
        <v>10</v>
      </c>
      <c r="Q313" s="3" t="s">
        <v>7661</v>
      </c>
      <c r="R313" s="6">
        <v>44804</v>
      </c>
    </row>
    <row r="314" spans="1:18" ht="12.5" x14ac:dyDescent="0.25">
      <c r="A314" s="21" t="str">
        <f>HYPERLINK("https://gerandofalcoes.my.salesforce.com/0014X00002VKCqOQAX", "0014X00002VKCqOQAX")</f>
        <v>0014X00002VKCqOQAX</v>
      </c>
      <c r="B314" s="3" t="s">
        <v>5544</v>
      </c>
      <c r="C314" s="3" t="s">
        <v>2538</v>
      </c>
      <c r="D314" s="3" t="s">
        <v>46</v>
      </c>
      <c r="E314" s="3">
        <v>21</v>
      </c>
      <c r="F314" s="3">
        <v>2</v>
      </c>
      <c r="G314" s="3">
        <v>2</v>
      </c>
      <c r="H314" s="3">
        <v>0</v>
      </c>
      <c r="I314" s="3">
        <v>70</v>
      </c>
      <c r="J314" s="3" t="s">
        <v>17403</v>
      </c>
      <c r="K314" s="3">
        <v>26</v>
      </c>
      <c r="L314" s="3">
        <v>10</v>
      </c>
      <c r="M314" s="3">
        <v>5</v>
      </c>
      <c r="N314" s="3">
        <v>6</v>
      </c>
      <c r="O314" s="3">
        <v>0</v>
      </c>
      <c r="P314" s="3">
        <v>5</v>
      </c>
      <c r="Q314" s="3" t="s">
        <v>5546</v>
      </c>
      <c r="R314" s="6">
        <v>44804</v>
      </c>
    </row>
    <row r="315" spans="1:18" ht="12.5" x14ac:dyDescent="0.25">
      <c r="A315" s="21" t="str">
        <f>HYPERLINK("https://gerandofalcoes.my.salesforce.com/0014X00002VKCuiQAH", "0014X00002VKCuiQAH")</f>
        <v>0014X00002VKCuiQAH</v>
      </c>
      <c r="B315" s="3" t="s">
        <v>17709</v>
      </c>
      <c r="C315" s="3" t="s">
        <v>2538</v>
      </c>
      <c r="D315" s="3" t="s">
        <v>46</v>
      </c>
      <c r="E315" s="3">
        <v>51</v>
      </c>
      <c r="F315" s="3">
        <v>17</v>
      </c>
      <c r="G315" s="3">
        <v>4</v>
      </c>
      <c r="H315" s="3">
        <v>545789</v>
      </c>
      <c r="I315" s="3">
        <v>0</v>
      </c>
      <c r="J315" s="3" t="s">
        <v>17403</v>
      </c>
      <c r="K315" s="3">
        <v>62</v>
      </c>
      <c r="L315" s="3">
        <v>20</v>
      </c>
      <c r="M315" s="3">
        <v>12</v>
      </c>
      <c r="N315" s="3">
        <v>10</v>
      </c>
      <c r="O315" s="3">
        <v>20</v>
      </c>
      <c r="P315" s="3">
        <v>0</v>
      </c>
      <c r="Q315" s="3" t="s">
        <v>7640</v>
      </c>
      <c r="R315" s="6">
        <v>44804</v>
      </c>
    </row>
    <row r="316" spans="1:18" ht="12.5" x14ac:dyDescent="0.25">
      <c r="A316" s="21" t="str">
        <f>HYPERLINK("https://gerandofalcoes.my.salesforce.com/0014X00002VKCu7QAH", "0014X00002VKCu7QAH")</f>
        <v>0014X00002VKCu7QAH</v>
      </c>
      <c r="B316" s="3" t="s">
        <v>8579</v>
      </c>
      <c r="C316" s="3" t="s">
        <v>2538</v>
      </c>
      <c r="D316" s="3" t="s">
        <v>46</v>
      </c>
      <c r="E316" s="3">
        <v>20</v>
      </c>
      <c r="F316" s="3">
        <v>4</v>
      </c>
      <c r="G316" s="3">
        <v>5</v>
      </c>
      <c r="H316" s="3">
        <v>515000</v>
      </c>
      <c r="I316" s="3">
        <v>0</v>
      </c>
      <c r="J316" s="3" t="s">
        <v>17403</v>
      </c>
      <c r="K316" s="3">
        <v>45</v>
      </c>
      <c r="L316" s="3">
        <v>10</v>
      </c>
      <c r="M316" s="3">
        <v>5</v>
      </c>
      <c r="N316" s="3">
        <v>10</v>
      </c>
      <c r="O316" s="3">
        <v>20</v>
      </c>
      <c r="P316" s="3">
        <v>0</v>
      </c>
      <c r="Q316" s="3" t="s">
        <v>8582</v>
      </c>
      <c r="R316" s="6">
        <v>44804</v>
      </c>
    </row>
    <row r="317" spans="1:18" ht="12.5" x14ac:dyDescent="0.25">
      <c r="A317" s="21" t="str">
        <f>HYPERLINK("https://gerandofalcoes.my.salesforce.com/0014X00002VKCs0QAH", "0014X00002VKCs0QAH")</f>
        <v>0014X00002VKCs0QAH</v>
      </c>
      <c r="B317" s="3" t="s">
        <v>17710</v>
      </c>
      <c r="C317" s="3" t="s">
        <v>2538</v>
      </c>
      <c r="D317" s="3" t="s">
        <v>46</v>
      </c>
      <c r="E317" s="3">
        <v>24</v>
      </c>
      <c r="F317" s="3">
        <v>0</v>
      </c>
      <c r="G317" s="3">
        <v>2</v>
      </c>
      <c r="H317" s="3">
        <v>10000</v>
      </c>
      <c r="I317" s="3">
        <v>220</v>
      </c>
      <c r="J317" s="3" t="s">
        <v>17403</v>
      </c>
      <c r="K317" s="3">
        <v>33</v>
      </c>
      <c r="L317" s="3">
        <v>10</v>
      </c>
      <c r="M317" s="3">
        <v>0</v>
      </c>
      <c r="N317" s="3">
        <v>6</v>
      </c>
      <c r="O317" s="3">
        <v>5</v>
      </c>
      <c r="P317" s="3">
        <v>12</v>
      </c>
      <c r="Q317" s="3" t="s">
        <v>5273</v>
      </c>
      <c r="R317" s="6">
        <v>44804</v>
      </c>
    </row>
    <row r="318" spans="1:18" ht="12.5" x14ac:dyDescent="0.25">
      <c r="A318" s="21" t="str">
        <f>HYPERLINK("https://gerandofalcoes.my.salesforce.com/0014X00002VKCq8QAH", "0014X00002VKCq8QAH")</f>
        <v>0014X00002VKCq8QAH</v>
      </c>
      <c r="B318" s="3" t="s">
        <v>17606</v>
      </c>
      <c r="C318" s="3" t="s">
        <v>2538</v>
      </c>
      <c r="D318" s="3" t="s">
        <v>46</v>
      </c>
      <c r="E318" s="3">
        <v>15</v>
      </c>
      <c r="F318" s="3">
        <v>0</v>
      </c>
      <c r="G318" s="3">
        <v>3</v>
      </c>
      <c r="H318" s="3">
        <v>7000</v>
      </c>
      <c r="I318" s="3">
        <v>70</v>
      </c>
      <c r="J318" s="3" t="s">
        <v>17403</v>
      </c>
      <c r="K318" s="3">
        <v>28</v>
      </c>
      <c r="L318" s="3">
        <v>10</v>
      </c>
      <c r="M318" s="3">
        <v>0</v>
      </c>
      <c r="N318" s="3">
        <v>8</v>
      </c>
      <c r="O318" s="3">
        <v>5</v>
      </c>
      <c r="P318" s="3">
        <v>5</v>
      </c>
      <c r="Q318" s="3" t="s">
        <v>4974</v>
      </c>
      <c r="R318" s="6">
        <v>44804</v>
      </c>
    </row>
    <row r="319" spans="1:18" ht="12.5" x14ac:dyDescent="0.25">
      <c r="A319" s="21" t="str">
        <f>HYPERLINK("https://gerandofalcoes.my.salesforce.com/0014X00002VKCpuQAH", "0014X00002VKCpuQAH")</f>
        <v>0014X00002VKCpuQAH</v>
      </c>
      <c r="B319" s="3" t="s">
        <v>17711</v>
      </c>
      <c r="C319" s="3" t="s">
        <v>2538</v>
      </c>
      <c r="D319" s="3" t="s">
        <v>46</v>
      </c>
      <c r="E319" s="3">
        <v>36</v>
      </c>
      <c r="F319" s="3">
        <v>0</v>
      </c>
      <c r="G319" s="3">
        <v>2</v>
      </c>
      <c r="H319" s="3">
        <v>0</v>
      </c>
      <c r="I319" s="3">
        <v>50</v>
      </c>
      <c r="J319" s="3" t="s">
        <v>17403</v>
      </c>
      <c r="K319" s="3">
        <v>26</v>
      </c>
      <c r="L319" s="3">
        <v>15</v>
      </c>
      <c r="M319" s="3">
        <v>0</v>
      </c>
      <c r="N319" s="3">
        <v>6</v>
      </c>
      <c r="O319" s="3">
        <v>0</v>
      </c>
      <c r="P319" s="3">
        <v>5</v>
      </c>
      <c r="Q319" s="3" t="s">
        <v>4215</v>
      </c>
      <c r="R319" s="6">
        <v>44804</v>
      </c>
    </row>
    <row r="320" spans="1:18" ht="12.5" x14ac:dyDescent="0.25">
      <c r="A320" s="21" t="str">
        <f>HYPERLINK("https://gerandofalcoes.my.salesforce.com/0014X00002VKCp1QAH", "0014X00002VKCp1QAH")</f>
        <v>0014X00002VKCp1QAH</v>
      </c>
      <c r="B320" s="3" t="s">
        <v>17712</v>
      </c>
      <c r="C320" s="3" t="s">
        <v>2538</v>
      </c>
      <c r="D320" s="3" t="s">
        <v>46</v>
      </c>
      <c r="E320" s="3">
        <v>32</v>
      </c>
      <c r="F320" s="3">
        <v>5</v>
      </c>
      <c r="G320" s="3">
        <v>9</v>
      </c>
      <c r="H320" s="3">
        <v>12000</v>
      </c>
      <c r="I320" s="3">
        <v>60</v>
      </c>
      <c r="J320" s="3" t="s">
        <v>17403</v>
      </c>
      <c r="K320" s="3">
        <v>40</v>
      </c>
      <c r="L320" s="3">
        <v>15</v>
      </c>
      <c r="M320" s="3">
        <v>5</v>
      </c>
      <c r="N320" s="3">
        <v>10</v>
      </c>
      <c r="O320" s="3">
        <v>5</v>
      </c>
      <c r="P320" s="3">
        <v>5</v>
      </c>
      <c r="Q320" s="3" t="s">
        <v>8719</v>
      </c>
      <c r="R320" s="6">
        <v>44804</v>
      </c>
    </row>
    <row r="321" spans="1:18" ht="12.5" x14ac:dyDescent="0.25">
      <c r="A321" s="21" t="str">
        <f>HYPERLINK("https://gerandofalcoes.my.salesforce.com/0014X00002VKCtzQAH", "0014X00002VKCtzQAH")</f>
        <v>0014X00002VKCtzQAH</v>
      </c>
      <c r="B321" s="3" t="s">
        <v>17713</v>
      </c>
      <c r="C321" s="3" t="s">
        <v>2538</v>
      </c>
      <c r="D321" s="3" t="s">
        <v>46</v>
      </c>
      <c r="E321" s="3">
        <v>20</v>
      </c>
      <c r="F321" s="3">
        <v>0</v>
      </c>
      <c r="G321" s="3">
        <v>2</v>
      </c>
      <c r="H321" s="3">
        <v>1200</v>
      </c>
      <c r="I321" s="3">
        <v>50</v>
      </c>
      <c r="J321" s="3" t="s">
        <v>17403</v>
      </c>
      <c r="K321" s="3">
        <v>26</v>
      </c>
      <c r="L321" s="3">
        <v>10</v>
      </c>
      <c r="M321" s="3">
        <v>0</v>
      </c>
      <c r="N321" s="3">
        <v>6</v>
      </c>
      <c r="O321" s="3">
        <v>5</v>
      </c>
      <c r="P321" s="3">
        <v>5</v>
      </c>
      <c r="Q321" s="3" t="s">
        <v>8487</v>
      </c>
      <c r="R321" s="6">
        <v>44804</v>
      </c>
    </row>
    <row r="322" spans="1:18" ht="12.5" x14ac:dyDescent="0.25">
      <c r="A322" s="21" t="str">
        <f>HYPERLINK("https://gerandofalcoes.my.salesforce.com/0014X00002VKCoyQAH", "0014X00002VKCoyQAH")</f>
        <v>0014X00002VKCoyQAH</v>
      </c>
      <c r="B322" s="3" t="s">
        <v>17714</v>
      </c>
      <c r="C322" s="3" t="s">
        <v>2538</v>
      </c>
      <c r="D322" s="3" t="s">
        <v>46</v>
      </c>
      <c r="E322" s="3">
        <v>45</v>
      </c>
      <c r="F322" s="3">
        <v>1</v>
      </c>
      <c r="G322" s="3">
        <v>3</v>
      </c>
      <c r="H322" s="3">
        <v>36000</v>
      </c>
      <c r="I322" s="3">
        <v>198</v>
      </c>
      <c r="J322" s="3" t="s">
        <v>17403</v>
      </c>
      <c r="K322" s="3">
        <v>50</v>
      </c>
      <c r="L322" s="3">
        <v>15</v>
      </c>
      <c r="M322" s="3">
        <v>5</v>
      </c>
      <c r="N322" s="3">
        <v>8</v>
      </c>
      <c r="O322" s="3">
        <v>10</v>
      </c>
      <c r="P322" s="3">
        <v>12</v>
      </c>
      <c r="Q322" s="3" t="s">
        <v>8703</v>
      </c>
      <c r="R322" s="6">
        <v>44804</v>
      </c>
    </row>
    <row r="323" spans="1:18" ht="12.5" x14ac:dyDescent="0.25">
      <c r="A323" s="21" t="str">
        <f>HYPERLINK("https://gerandofalcoes.my.salesforce.com/0014X00002VKCs4QAH", "0014X00002VKCs4QAH")</f>
        <v>0014X00002VKCs4QAH</v>
      </c>
      <c r="B323" s="3" t="s">
        <v>17715</v>
      </c>
      <c r="C323" s="3" t="s">
        <v>2538</v>
      </c>
      <c r="D323" s="3" t="s">
        <v>46</v>
      </c>
      <c r="E323" s="3">
        <v>22</v>
      </c>
      <c r="F323" s="3">
        <v>0</v>
      </c>
      <c r="G323" s="3">
        <v>2</v>
      </c>
      <c r="H323" s="3">
        <v>0</v>
      </c>
      <c r="I323" s="3">
        <v>10</v>
      </c>
      <c r="J323" s="3" t="s">
        <v>17403</v>
      </c>
      <c r="K323" s="3">
        <v>21</v>
      </c>
      <c r="L323" s="3">
        <v>10</v>
      </c>
      <c r="M323" s="3">
        <v>0</v>
      </c>
      <c r="N323" s="3">
        <v>6</v>
      </c>
      <c r="O323" s="3">
        <v>0</v>
      </c>
      <c r="P323" s="3">
        <v>5</v>
      </c>
      <c r="Q323" s="3" t="s">
        <v>5302</v>
      </c>
      <c r="R323" s="6">
        <v>44804</v>
      </c>
    </row>
    <row r="324" spans="1:18" ht="12.5" x14ac:dyDescent="0.25">
      <c r="A324" s="21" t="str">
        <f>HYPERLINK("https://gerandofalcoes.my.salesforce.com/0014X00002VKCpEQAX", "0014X00002VKCpEQAX")</f>
        <v>0014X00002VKCpEQAX</v>
      </c>
      <c r="B324" s="3" t="s">
        <v>4007</v>
      </c>
      <c r="C324" s="3" t="s">
        <v>2538</v>
      </c>
      <c r="D324" s="3" t="s">
        <v>46</v>
      </c>
      <c r="E324" s="3">
        <v>25</v>
      </c>
      <c r="F324" s="3">
        <v>11</v>
      </c>
      <c r="G324" s="3">
        <v>5</v>
      </c>
      <c r="H324" s="3">
        <v>12000</v>
      </c>
      <c r="I324" s="3">
        <v>80</v>
      </c>
      <c r="J324" s="3" t="s">
        <v>17403</v>
      </c>
      <c r="K324" s="3">
        <v>52</v>
      </c>
      <c r="L324" s="3">
        <v>15</v>
      </c>
      <c r="M324" s="3">
        <v>12</v>
      </c>
      <c r="N324" s="3">
        <v>10</v>
      </c>
      <c r="O324" s="3">
        <v>5</v>
      </c>
      <c r="P324" s="3">
        <v>10</v>
      </c>
      <c r="Q324" s="3" t="s">
        <v>4009</v>
      </c>
      <c r="R324" s="6">
        <v>44804</v>
      </c>
    </row>
    <row r="325" spans="1:18" ht="12.5" x14ac:dyDescent="0.25">
      <c r="A325" s="21" t="str">
        <f>HYPERLINK("https://gerandofalcoes.my.salesforce.com/0014X00002VKCrKQAX", "0014X00002VKCrKQAX")</f>
        <v>0014X00002VKCrKQAX</v>
      </c>
      <c r="B325" s="3" t="s">
        <v>17716</v>
      </c>
      <c r="C325" s="3" t="s">
        <v>2538</v>
      </c>
      <c r="D325" s="3" t="s">
        <v>46</v>
      </c>
      <c r="E325" s="3">
        <v>20</v>
      </c>
      <c r="F325" s="3">
        <v>7</v>
      </c>
      <c r="G325" s="3">
        <v>5</v>
      </c>
      <c r="H325" s="3">
        <v>2000</v>
      </c>
      <c r="I325" s="3">
        <v>20</v>
      </c>
      <c r="J325" s="3" t="s">
        <v>17403</v>
      </c>
      <c r="K325" s="3">
        <v>40</v>
      </c>
      <c r="L325" s="3">
        <v>10</v>
      </c>
      <c r="M325" s="3">
        <v>10</v>
      </c>
      <c r="N325" s="3">
        <v>10</v>
      </c>
      <c r="O325" s="3">
        <v>5</v>
      </c>
      <c r="P325" s="3">
        <v>5</v>
      </c>
      <c r="Q325" s="3" t="s">
        <v>5184</v>
      </c>
      <c r="R325" s="6">
        <v>44804</v>
      </c>
    </row>
    <row r="326" spans="1:18" ht="12.5" x14ac:dyDescent="0.25">
      <c r="A326" s="21" t="str">
        <f>HYPERLINK("https://gerandofalcoes.my.salesforce.com/0014X00002VKCt6QAH", "0014X00002VKCt6QAH")</f>
        <v>0014X00002VKCt6QAH</v>
      </c>
      <c r="B326" s="3" t="s">
        <v>17717</v>
      </c>
      <c r="C326" s="3" t="s">
        <v>2538</v>
      </c>
      <c r="D326" s="3" t="s">
        <v>46</v>
      </c>
      <c r="E326" s="3">
        <v>21</v>
      </c>
      <c r="F326" s="3">
        <v>15</v>
      </c>
      <c r="G326" s="3">
        <v>3</v>
      </c>
      <c r="H326" s="3">
        <v>4500</v>
      </c>
      <c r="I326" s="3">
        <v>10</v>
      </c>
      <c r="J326" s="3" t="s">
        <v>17403</v>
      </c>
      <c r="K326" s="3">
        <v>40</v>
      </c>
      <c r="L326" s="3">
        <v>10</v>
      </c>
      <c r="M326" s="3">
        <v>12</v>
      </c>
      <c r="N326" s="3">
        <v>8</v>
      </c>
      <c r="O326" s="3">
        <v>5</v>
      </c>
      <c r="P326" s="3">
        <v>5</v>
      </c>
      <c r="Q326" s="3" t="s">
        <v>6515</v>
      </c>
      <c r="R326" s="6">
        <v>44804</v>
      </c>
    </row>
    <row r="327" spans="1:18" ht="12.5" x14ac:dyDescent="0.25">
      <c r="A327" s="21" t="str">
        <f>HYPERLINK("https://gerandofalcoes.my.salesforce.com/0014X00002VKCq6QAH", "0014X00002VKCq6QAH")</f>
        <v>0014X00002VKCq6QAH</v>
      </c>
      <c r="B327" s="3" t="s">
        <v>17718</v>
      </c>
      <c r="C327" s="3" t="s">
        <v>2538</v>
      </c>
      <c r="D327" s="3" t="s">
        <v>46</v>
      </c>
      <c r="E327" s="3">
        <v>54</v>
      </c>
      <c r="F327" s="3">
        <v>0</v>
      </c>
      <c r="G327" s="3">
        <v>2</v>
      </c>
      <c r="H327" s="3">
        <v>102605</v>
      </c>
      <c r="I327" s="3">
        <v>115</v>
      </c>
      <c r="J327" s="3" t="s">
        <v>17403</v>
      </c>
      <c r="K327" s="3">
        <v>51</v>
      </c>
      <c r="L327" s="3">
        <v>20</v>
      </c>
      <c r="M327" s="3">
        <v>0</v>
      </c>
      <c r="N327" s="3">
        <v>6</v>
      </c>
      <c r="O327" s="3">
        <v>15</v>
      </c>
      <c r="P327" s="3">
        <v>10</v>
      </c>
      <c r="Q327" s="3" t="s">
        <v>4955</v>
      </c>
      <c r="R327" s="6">
        <v>44804</v>
      </c>
    </row>
    <row r="328" spans="1:18" ht="12.5" x14ac:dyDescent="0.25">
      <c r="A328" s="21" t="str">
        <f>HYPERLINK("https://gerandofalcoes.my.salesforce.com/0014X00002VKCqBQAX", "0014X00002VKCqBQAX")</f>
        <v>0014X00002VKCqBQAX</v>
      </c>
      <c r="B328" s="3" t="s">
        <v>17719</v>
      </c>
      <c r="C328" s="3" t="s">
        <v>2538</v>
      </c>
      <c r="D328" s="3" t="s">
        <v>46</v>
      </c>
      <c r="E328" s="3">
        <v>41</v>
      </c>
      <c r="F328" s="3">
        <v>6</v>
      </c>
      <c r="G328" s="3">
        <v>3</v>
      </c>
      <c r="H328" s="3">
        <v>48000</v>
      </c>
      <c r="I328" s="3">
        <v>345</v>
      </c>
      <c r="J328" s="3" t="s">
        <v>17403</v>
      </c>
      <c r="K328" s="3">
        <v>58</v>
      </c>
      <c r="L328" s="3">
        <v>15</v>
      </c>
      <c r="M328" s="3">
        <v>10</v>
      </c>
      <c r="N328" s="3">
        <v>8</v>
      </c>
      <c r="O328" s="3">
        <v>10</v>
      </c>
      <c r="P328" s="3">
        <v>15</v>
      </c>
      <c r="Q328" s="3" t="s">
        <v>5014</v>
      </c>
      <c r="R328" s="6">
        <v>44804</v>
      </c>
    </row>
    <row r="329" spans="1:18" ht="12.5" x14ac:dyDescent="0.25">
      <c r="A329" s="21" t="str">
        <f>HYPERLINK("https://gerandofalcoes.my.salesforce.com/0014X00002VKCu2QAH", "0014X00002VKCu2QAH")</f>
        <v>0014X00002VKCu2QAH</v>
      </c>
      <c r="B329" s="3" t="s">
        <v>17720</v>
      </c>
      <c r="C329" s="3" t="s">
        <v>2538</v>
      </c>
      <c r="D329" s="3" t="s">
        <v>46</v>
      </c>
      <c r="E329" s="3">
        <v>41</v>
      </c>
      <c r="F329" s="3">
        <v>0</v>
      </c>
      <c r="G329" s="3">
        <v>2</v>
      </c>
      <c r="H329" s="3">
        <v>3</v>
      </c>
      <c r="I329" s="3">
        <v>600</v>
      </c>
      <c r="J329" s="3" t="s">
        <v>17403</v>
      </c>
      <c r="K329" s="3">
        <v>46</v>
      </c>
      <c r="L329" s="3">
        <v>15</v>
      </c>
      <c r="M329" s="3">
        <v>0</v>
      </c>
      <c r="N329" s="3">
        <v>6</v>
      </c>
      <c r="O329" s="3">
        <v>5</v>
      </c>
      <c r="P329" s="3">
        <v>20</v>
      </c>
      <c r="Q329" s="3" t="s">
        <v>8538</v>
      </c>
      <c r="R329" s="6">
        <v>44804</v>
      </c>
    </row>
    <row r="330" spans="1:18" ht="12.5" x14ac:dyDescent="0.25">
      <c r="A330" s="21" t="str">
        <f>HYPERLINK("https://gerandofalcoes.my.salesforce.com/0014X00002VKCsCQAX", "0014X00002VKCsCQAX")</f>
        <v>0014X00002VKCsCQAX</v>
      </c>
      <c r="B330" s="3" t="s">
        <v>17721</v>
      </c>
      <c r="C330" s="3" t="s">
        <v>2538</v>
      </c>
      <c r="D330" s="3" t="s">
        <v>46</v>
      </c>
      <c r="E330" s="3">
        <v>41</v>
      </c>
      <c r="F330" s="3">
        <v>0</v>
      </c>
      <c r="G330" s="3">
        <v>2</v>
      </c>
      <c r="H330" s="3">
        <v>250</v>
      </c>
      <c r="I330" s="3">
        <v>100</v>
      </c>
      <c r="J330" s="3" t="s">
        <v>17403</v>
      </c>
      <c r="K330" s="3">
        <v>36</v>
      </c>
      <c r="L330" s="3">
        <v>15</v>
      </c>
      <c r="M330" s="3">
        <v>0</v>
      </c>
      <c r="N330" s="3">
        <v>6</v>
      </c>
      <c r="O330" s="3">
        <v>5</v>
      </c>
      <c r="P330" s="3">
        <v>10</v>
      </c>
      <c r="Q330" s="3" t="s">
        <v>7208</v>
      </c>
      <c r="R330" s="6">
        <v>44804</v>
      </c>
    </row>
    <row r="331" spans="1:18" ht="12.5" x14ac:dyDescent="0.25">
      <c r="A331" s="21" t="str">
        <f>HYPERLINK("https://gerandofalcoes.my.salesforce.com/0014X00002VKCseQAH", "0014X00002VKCseQAH")</f>
        <v>0014X00002VKCseQAH</v>
      </c>
      <c r="B331" s="3" t="s">
        <v>17722</v>
      </c>
      <c r="C331" s="3" t="s">
        <v>2538</v>
      </c>
      <c r="D331" s="3" t="s">
        <v>46</v>
      </c>
      <c r="E331" s="3">
        <v>21</v>
      </c>
      <c r="F331" s="3">
        <v>0</v>
      </c>
      <c r="G331" s="3">
        <v>4</v>
      </c>
      <c r="H331" s="3">
        <v>6000</v>
      </c>
      <c r="I331" s="3">
        <v>100</v>
      </c>
      <c r="J331" s="3" t="s">
        <v>17403</v>
      </c>
      <c r="K331" s="3">
        <v>35</v>
      </c>
      <c r="L331" s="3">
        <v>10</v>
      </c>
      <c r="M331" s="3">
        <v>0</v>
      </c>
      <c r="N331" s="3">
        <v>10</v>
      </c>
      <c r="O331" s="3">
        <v>5</v>
      </c>
      <c r="P331" s="3">
        <v>10</v>
      </c>
      <c r="Q331" s="3" t="s">
        <v>7951</v>
      </c>
      <c r="R331" s="6">
        <v>44804</v>
      </c>
    </row>
    <row r="332" spans="1:18" ht="12.5" x14ac:dyDescent="0.25">
      <c r="A332" s="21" t="str">
        <f>HYPERLINK("https://gerandofalcoes.my.salesforce.com/0014X00002VKCscQAH", "0014X00002VKCscQAH")</f>
        <v>0014X00002VKCscQAH</v>
      </c>
      <c r="B332" s="3" t="s">
        <v>7914</v>
      </c>
      <c r="C332" s="3" t="s">
        <v>2538</v>
      </c>
      <c r="D332" s="3" t="s">
        <v>46</v>
      </c>
      <c r="E332" s="3">
        <v>38</v>
      </c>
      <c r="F332" s="3">
        <v>6</v>
      </c>
      <c r="G332" s="3">
        <v>2</v>
      </c>
      <c r="H332" s="3">
        <v>12</v>
      </c>
      <c r="I332" s="3">
        <v>238</v>
      </c>
      <c r="J332" s="3" t="s">
        <v>17403</v>
      </c>
      <c r="K332" s="3">
        <v>48</v>
      </c>
      <c r="L332" s="3">
        <v>15</v>
      </c>
      <c r="M332" s="3">
        <v>10</v>
      </c>
      <c r="N332" s="3">
        <v>6</v>
      </c>
      <c r="O332" s="3">
        <v>5</v>
      </c>
      <c r="P332" s="3">
        <v>12</v>
      </c>
      <c r="Q332" s="3" t="s">
        <v>7918</v>
      </c>
      <c r="R332" s="6">
        <v>44804</v>
      </c>
    </row>
    <row r="333" spans="1:18" ht="12.5" x14ac:dyDescent="0.25">
      <c r="A333" s="21" t="str">
        <f>HYPERLINK("https://gerandofalcoes.my.salesforce.com/0014X00002VKCt1QAH", "0014X00002VKCt1QAH")</f>
        <v>0014X00002VKCt1QAH</v>
      </c>
      <c r="B333" s="3" t="s">
        <v>6435</v>
      </c>
      <c r="C333" s="3" t="s">
        <v>2538</v>
      </c>
      <c r="D333" s="3" t="s">
        <v>46</v>
      </c>
      <c r="E333" s="3">
        <v>57</v>
      </c>
      <c r="F333" s="3">
        <v>0</v>
      </c>
      <c r="G333" s="3">
        <v>4</v>
      </c>
      <c r="H333" s="3">
        <v>2000</v>
      </c>
      <c r="I333" s="3">
        <v>40</v>
      </c>
      <c r="J333" s="3" t="s">
        <v>17403</v>
      </c>
      <c r="K333" s="3">
        <v>40</v>
      </c>
      <c r="L333" s="3">
        <v>20</v>
      </c>
      <c r="M333" s="3">
        <v>0</v>
      </c>
      <c r="N333" s="3">
        <v>10</v>
      </c>
      <c r="O333" s="3">
        <v>5</v>
      </c>
      <c r="P333" s="3">
        <v>5</v>
      </c>
      <c r="Q333" s="3" t="s">
        <v>6438</v>
      </c>
      <c r="R333" s="6">
        <v>44804</v>
      </c>
    </row>
    <row r="334" spans="1:18" ht="12.5" x14ac:dyDescent="0.25">
      <c r="A334" s="21" t="str">
        <f>HYPERLINK("https://gerandofalcoes.my.salesforce.com/0014X00002VKCpyQAH", "0014X00002VKCpyQAH")</f>
        <v>0014X00002VKCpyQAH</v>
      </c>
      <c r="B334" s="3" t="s">
        <v>17723</v>
      </c>
      <c r="C334" s="3" t="s">
        <v>2538</v>
      </c>
      <c r="D334" s="3" t="s">
        <v>46</v>
      </c>
      <c r="E334" s="3">
        <v>22</v>
      </c>
      <c r="F334" s="3">
        <v>0</v>
      </c>
      <c r="G334" s="3">
        <v>3</v>
      </c>
      <c r="H334" s="3">
        <v>12700</v>
      </c>
      <c r="I334" s="3">
        <v>156</v>
      </c>
      <c r="J334" s="3" t="s">
        <v>17403</v>
      </c>
      <c r="K334" s="3">
        <v>35</v>
      </c>
      <c r="L334" s="3">
        <v>10</v>
      </c>
      <c r="M334" s="3">
        <v>0</v>
      </c>
      <c r="N334" s="3">
        <v>8</v>
      </c>
      <c r="O334" s="3">
        <v>5</v>
      </c>
      <c r="P334" s="3">
        <v>12</v>
      </c>
      <c r="Q334" s="3" t="s">
        <v>4281</v>
      </c>
      <c r="R334" s="6">
        <v>44804</v>
      </c>
    </row>
    <row r="335" spans="1:18" ht="12.5" x14ac:dyDescent="0.25">
      <c r="A335" s="21" t="str">
        <f>HYPERLINK("https://gerandofalcoes.my.salesforce.com/0014X00002VKCstQAH", "0014X00002VKCstQAH")</f>
        <v>0014X00002VKCstQAH</v>
      </c>
      <c r="B335" s="3" t="s">
        <v>8092</v>
      </c>
      <c r="C335" s="3" t="s">
        <v>2538</v>
      </c>
      <c r="D335" s="3" t="s">
        <v>46</v>
      </c>
      <c r="E335" s="3">
        <v>27</v>
      </c>
      <c r="F335" s="3">
        <v>2</v>
      </c>
      <c r="G335" s="3">
        <v>3</v>
      </c>
      <c r="H335" s="3">
        <v>3000</v>
      </c>
      <c r="I335" s="3">
        <v>162</v>
      </c>
      <c r="J335" s="3" t="s">
        <v>17403</v>
      </c>
      <c r="K335" s="3">
        <v>45</v>
      </c>
      <c r="L335" s="3">
        <v>15</v>
      </c>
      <c r="M335" s="3">
        <v>5</v>
      </c>
      <c r="N335" s="3">
        <v>8</v>
      </c>
      <c r="O335" s="3">
        <v>5</v>
      </c>
      <c r="P335" s="3">
        <v>12</v>
      </c>
      <c r="Q335" s="3" t="s">
        <v>8095</v>
      </c>
      <c r="R335" s="6">
        <v>44804</v>
      </c>
    </row>
    <row r="336" spans="1:18" ht="12.5" x14ac:dyDescent="0.25">
      <c r="A336" s="21" t="str">
        <f>HYPERLINK("https://gerandofalcoes.my.salesforce.com/0014X00002VKCqyQAH", "0014X00002VKCqyQAH")</f>
        <v>0014X00002VKCqyQAH</v>
      </c>
      <c r="B336" s="3" t="s">
        <v>17724</v>
      </c>
      <c r="C336" s="3" t="s">
        <v>2538</v>
      </c>
      <c r="D336" s="3" t="s">
        <v>46</v>
      </c>
      <c r="E336" s="3">
        <v>40</v>
      </c>
      <c r="F336" s="3">
        <v>20</v>
      </c>
      <c r="G336" s="3">
        <v>3</v>
      </c>
      <c r="H336" s="3">
        <v>5000</v>
      </c>
      <c r="I336" s="3">
        <v>130</v>
      </c>
      <c r="J336" s="3" t="s">
        <v>17403</v>
      </c>
      <c r="K336" s="3">
        <v>50</v>
      </c>
      <c r="L336" s="3">
        <v>15</v>
      </c>
      <c r="M336" s="3">
        <v>12</v>
      </c>
      <c r="N336" s="3">
        <v>8</v>
      </c>
      <c r="O336" s="3">
        <v>5</v>
      </c>
      <c r="P336" s="3">
        <v>10</v>
      </c>
      <c r="Q336" s="3" t="s">
        <v>6111</v>
      </c>
      <c r="R336" s="6">
        <v>44804</v>
      </c>
    </row>
    <row r="337" spans="1:18" ht="12.5" x14ac:dyDescent="0.25">
      <c r="A337" s="21" t="str">
        <f>HYPERLINK("https://gerandofalcoes.my.salesforce.com/0014X00002VKCp3QAH", "0014X00002VKCp3QAH")</f>
        <v>0014X00002VKCp3QAH</v>
      </c>
      <c r="B337" s="3" t="s">
        <v>17725</v>
      </c>
      <c r="C337" s="3" t="s">
        <v>2538</v>
      </c>
      <c r="D337" s="3" t="s">
        <v>46</v>
      </c>
      <c r="E337" s="3">
        <v>31</v>
      </c>
      <c r="F337" s="3">
        <v>0</v>
      </c>
      <c r="G337" s="3">
        <v>3</v>
      </c>
      <c r="H337" s="3">
        <v>0</v>
      </c>
      <c r="I337" s="3">
        <v>0</v>
      </c>
      <c r="J337" s="3" t="s">
        <v>17403</v>
      </c>
      <c r="K337" s="3">
        <v>23</v>
      </c>
      <c r="L337" s="3">
        <v>15</v>
      </c>
      <c r="M337" s="3">
        <v>0</v>
      </c>
      <c r="N337" s="3">
        <v>8</v>
      </c>
      <c r="O337" s="3">
        <v>0</v>
      </c>
      <c r="P337" s="3">
        <v>0</v>
      </c>
      <c r="Q337" s="3" t="s">
        <v>8746</v>
      </c>
      <c r="R337" s="6">
        <v>44804</v>
      </c>
    </row>
    <row r="338" spans="1:18" ht="12.5" x14ac:dyDescent="0.25">
      <c r="A338" s="21" t="str">
        <f>HYPERLINK("https://gerandofalcoes.my.salesforce.com/0014X00002VKCsIQAX", "0014X00002VKCsIQAX")</f>
        <v>0014X00002VKCsIQAX</v>
      </c>
      <c r="B338" s="3" t="s">
        <v>17726</v>
      </c>
      <c r="C338" s="3" t="s">
        <v>2538</v>
      </c>
      <c r="D338" s="3" t="s">
        <v>46</v>
      </c>
      <c r="E338" s="3">
        <v>28</v>
      </c>
      <c r="F338" s="3">
        <v>0</v>
      </c>
      <c r="G338" s="3">
        <v>1</v>
      </c>
      <c r="H338" s="3">
        <v>102000</v>
      </c>
      <c r="I338" s="3">
        <v>90</v>
      </c>
      <c r="J338" s="3" t="s">
        <v>17403</v>
      </c>
      <c r="K338" s="3">
        <v>44</v>
      </c>
      <c r="L338" s="3">
        <v>15</v>
      </c>
      <c r="M338" s="3">
        <v>0</v>
      </c>
      <c r="N338" s="3">
        <v>4</v>
      </c>
      <c r="O338" s="3">
        <v>15</v>
      </c>
      <c r="P338" s="3">
        <v>10</v>
      </c>
      <c r="Q338" s="3" t="s">
        <v>7291</v>
      </c>
      <c r="R338" s="6">
        <v>44804</v>
      </c>
    </row>
    <row r="339" spans="1:18" ht="12.5" x14ac:dyDescent="0.25">
      <c r="A339" s="21" t="str">
        <f>HYPERLINK("https://gerandofalcoes.my.salesforce.com/0014X00002VKCshQAH", "0014X00002VKCshQAH")</f>
        <v>0014X00002VKCshQAH</v>
      </c>
      <c r="B339" s="3" t="s">
        <v>7961</v>
      </c>
      <c r="C339" s="3" t="s">
        <v>2538</v>
      </c>
      <c r="D339" s="3" t="s">
        <v>46</v>
      </c>
      <c r="E339" s="3">
        <v>25</v>
      </c>
      <c r="F339" s="3">
        <v>0</v>
      </c>
      <c r="G339" s="3">
        <v>4</v>
      </c>
      <c r="H339" s="3">
        <v>65000</v>
      </c>
      <c r="I339" s="3">
        <v>65</v>
      </c>
      <c r="J339" s="3" t="s">
        <v>17403</v>
      </c>
      <c r="K339" s="3">
        <v>40</v>
      </c>
      <c r="L339" s="3">
        <v>15</v>
      </c>
      <c r="M339" s="3">
        <v>0</v>
      </c>
      <c r="N339" s="3">
        <v>10</v>
      </c>
      <c r="O339" s="3">
        <v>10</v>
      </c>
      <c r="P339" s="3">
        <v>5</v>
      </c>
      <c r="Q339" s="3" t="s">
        <v>7964</v>
      </c>
      <c r="R339" s="6">
        <v>44804</v>
      </c>
    </row>
    <row r="340" spans="1:18" ht="12.5" x14ac:dyDescent="0.25">
      <c r="A340" s="21" t="str">
        <f>HYPERLINK("https://gerandofalcoes.my.salesforce.com/0014X00002VKCuEQAX", "0014X00002VKCuEQAX")</f>
        <v>0014X00002VKCuEQAX</v>
      </c>
      <c r="B340" s="3" t="s">
        <v>17727</v>
      </c>
      <c r="C340" s="3" t="s">
        <v>2538</v>
      </c>
      <c r="D340" s="3" t="s">
        <v>46</v>
      </c>
      <c r="E340" s="3">
        <v>53</v>
      </c>
      <c r="F340" s="3">
        <v>5</v>
      </c>
      <c r="G340" s="3">
        <v>2</v>
      </c>
      <c r="H340" s="3">
        <v>90000</v>
      </c>
      <c r="I340" s="3">
        <v>0</v>
      </c>
      <c r="J340" s="3" t="s">
        <v>17403</v>
      </c>
      <c r="K340" s="3">
        <v>41</v>
      </c>
      <c r="L340" s="3">
        <v>20</v>
      </c>
      <c r="M340" s="3">
        <v>5</v>
      </c>
      <c r="N340" s="3">
        <v>6</v>
      </c>
      <c r="O340" s="3">
        <v>10</v>
      </c>
      <c r="P340" s="3">
        <v>0</v>
      </c>
      <c r="Q340" s="3" t="s">
        <v>6794</v>
      </c>
      <c r="R340" s="6">
        <v>44804</v>
      </c>
    </row>
    <row r="341" spans="1:18" ht="12.5" x14ac:dyDescent="0.25">
      <c r="A341" s="21" t="str">
        <f>HYPERLINK("https://gerandofalcoes.my.salesforce.com/0014X00002VKCsjQAH", "0014X00002VKCsjQAH")</f>
        <v>0014X00002VKCsjQAH</v>
      </c>
      <c r="B341" s="3" t="s">
        <v>7981</v>
      </c>
      <c r="C341" s="3" t="s">
        <v>2538</v>
      </c>
      <c r="D341" s="3" t="s">
        <v>46</v>
      </c>
      <c r="E341" s="3">
        <v>49</v>
      </c>
      <c r="F341" s="3">
        <v>0</v>
      </c>
      <c r="G341" s="3">
        <v>4</v>
      </c>
      <c r="H341" s="3">
        <v>10000</v>
      </c>
      <c r="I341" s="3">
        <v>154</v>
      </c>
      <c r="J341" s="3" t="s">
        <v>17403</v>
      </c>
      <c r="K341" s="3">
        <v>27</v>
      </c>
      <c r="L341" s="3">
        <v>0</v>
      </c>
      <c r="M341" s="3">
        <v>0</v>
      </c>
      <c r="N341" s="3">
        <v>10</v>
      </c>
      <c r="O341" s="3">
        <v>5</v>
      </c>
      <c r="P341" s="3">
        <v>12</v>
      </c>
      <c r="Q341" s="3" t="s">
        <v>7984</v>
      </c>
      <c r="R341" s="6">
        <v>44804</v>
      </c>
    </row>
    <row r="342" spans="1:18" ht="12.5" x14ac:dyDescent="0.25">
      <c r="A342" s="21" t="str">
        <f>HYPERLINK("https://gerandofalcoes.my.salesforce.com/0014X00002VKCsyQAH", "0014X00002VKCsyQAH")</f>
        <v>0014X00002VKCsyQAH</v>
      </c>
      <c r="B342" s="3" t="s">
        <v>17728</v>
      </c>
      <c r="C342" s="3" t="s">
        <v>2538</v>
      </c>
      <c r="D342" s="3" t="s">
        <v>46</v>
      </c>
      <c r="E342" s="3">
        <v>40</v>
      </c>
      <c r="F342" s="3">
        <v>0</v>
      </c>
      <c r="G342" s="3">
        <v>3</v>
      </c>
      <c r="H342" s="3">
        <v>250</v>
      </c>
      <c r="I342" s="3">
        <v>135</v>
      </c>
      <c r="J342" s="3" t="s">
        <v>17403</v>
      </c>
      <c r="K342" s="3">
        <v>38</v>
      </c>
      <c r="L342" s="3">
        <v>15</v>
      </c>
      <c r="M342" s="3">
        <v>0</v>
      </c>
      <c r="N342" s="3">
        <v>8</v>
      </c>
      <c r="O342" s="3">
        <v>5</v>
      </c>
      <c r="P342" s="3">
        <v>10</v>
      </c>
      <c r="Q342" s="3" t="s">
        <v>6382</v>
      </c>
      <c r="R342" s="6">
        <v>44804</v>
      </c>
    </row>
    <row r="343" spans="1:18" ht="12.5" x14ac:dyDescent="0.25">
      <c r="A343" s="21" t="str">
        <f>HYPERLINK("https://gerandofalcoes.my.salesforce.com/0014X00002VKCt7QAH", "0014X00002VKCt7QAH")</f>
        <v>0014X00002VKCt7QAH</v>
      </c>
      <c r="B343" s="3" t="s">
        <v>6530</v>
      </c>
      <c r="C343" s="3" t="s">
        <v>2538</v>
      </c>
      <c r="D343" s="3" t="s">
        <v>46</v>
      </c>
      <c r="E343" s="3">
        <v>25</v>
      </c>
      <c r="F343" s="3">
        <v>0</v>
      </c>
      <c r="G343" s="3">
        <v>3</v>
      </c>
      <c r="H343" s="3">
        <v>11000</v>
      </c>
      <c r="I343" s="3">
        <v>100</v>
      </c>
      <c r="J343" s="3" t="s">
        <v>17403</v>
      </c>
      <c r="K343" s="3">
        <v>38</v>
      </c>
      <c r="L343" s="3">
        <v>15</v>
      </c>
      <c r="M343" s="3">
        <v>0</v>
      </c>
      <c r="N343" s="3">
        <v>8</v>
      </c>
      <c r="O343" s="3">
        <v>5</v>
      </c>
      <c r="P343" s="3">
        <v>10</v>
      </c>
      <c r="Q343" s="3" t="s">
        <v>6532</v>
      </c>
      <c r="R343" s="6">
        <v>44804</v>
      </c>
    </row>
    <row r="344" spans="1:18" ht="12.5" x14ac:dyDescent="0.25">
      <c r="A344" s="21" t="str">
        <f>HYPERLINK("https://gerandofalcoes.my.salesforce.com/0014X00002VKCtYQAX", "0014X00002VKCtYQAX")</f>
        <v>0014X00002VKCtYQAX</v>
      </c>
      <c r="B344" s="3" t="s">
        <v>17412</v>
      </c>
      <c r="C344" s="3" t="s">
        <v>2538</v>
      </c>
      <c r="D344" s="3" t="s">
        <v>46</v>
      </c>
      <c r="E344" s="3">
        <v>46</v>
      </c>
      <c r="F344" s="3">
        <v>3</v>
      </c>
      <c r="G344" s="3">
        <v>2</v>
      </c>
      <c r="H344" s="3">
        <v>2000</v>
      </c>
      <c r="I344" s="3">
        <v>196</v>
      </c>
      <c r="J344" s="3" t="s">
        <v>17403</v>
      </c>
      <c r="K344" s="3">
        <v>43</v>
      </c>
      <c r="L344" s="3">
        <v>15</v>
      </c>
      <c r="M344" s="3">
        <v>5</v>
      </c>
      <c r="N344" s="3">
        <v>6</v>
      </c>
      <c r="O344" s="3">
        <v>5</v>
      </c>
      <c r="P344" s="3">
        <v>12</v>
      </c>
      <c r="Q344" s="3" t="s">
        <v>7468</v>
      </c>
      <c r="R344" s="6">
        <v>44804</v>
      </c>
    </row>
    <row r="345" spans="1:18" ht="12.5" x14ac:dyDescent="0.25">
      <c r="A345" s="21" t="str">
        <f>HYPERLINK("https://gerandofalcoes.my.salesforce.com/0014X00002VKCp9QAH", "0014X00002VKCp9QAH")</f>
        <v>0014X00002VKCp9QAH</v>
      </c>
      <c r="B345" s="3" t="s">
        <v>3923</v>
      </c>
      <c r="C345" s="3" t="s">
        <v>2538</v>
      </c>
      <c r="D345" s="3" t="s">
        <v>46</v>
      </c>
      <c r="E345" s="3">
        <v>26</v>
      </c>
      <c r="F345" s="3">
        <v>17</v>
      </c>
      <c r="G345" s="3">
        <v>5</v>
      </c>
      <c r="H345" s="3">
        <v>0</v>
      </c>
      <c r="I345" s="3">
        <v>0</v>
      </c>
      <c r="J345" s="3" t="s">
        <v>17403</v>
      </c>
      <c r="K345" s="3">
        <v>37</v>
      </c>
      <c r="L345" s="3">
        <v>15</v>
      </c>
      <c r="M345" s="3">
        <v>12</v>
      </c>
      <c r="N345" s="3">
        <v>10</v>
      </c>
      <c r="O345" s="3">
        <v>0</v>
      </c>
      <c r="P345" s="3">
        <v>0</v>
      </c>
      <c r="Q345" s="3" t="s">
        <v>3925</v>
      </c>
      <c r="R345" s="6">
        <v>44804</v>
      </c>
    </row>
    <row r="346" spans="1:18" ht="12.5" x14ac:dyDescent="0.25">
      <c r="A346" s="21" t="str">
        <f>HYPERLINK("https://gerandofalcoes.my.salesforce.com/0014X00002VKCqCQAX", "0014X00002VKCqCQAX")</f>
        <v>0014X00002VKCqCQAX</v>
      </c>
      <c r="B346" s="3" t="s">
        <v>5027</v>
      </c>
      <c r="C346" s="3" t="s">
        <v>2538</v>
      </c>
      <c r="D346" s="3" t="s">
        <v>46</v>
      </c>
      <c r="E346" s="3">
        <v>18</v>
      </c>
      <c r="F346" s="3">
        <v>0</v>
      </c>
      <c r="G346" s="3">
        <v>3</v>
      </c>
      <c r="H346" s="3">
        <v>38640</v>
      </c>
      <c r="I346" s="3">
        <v>0</v>
      </c>
      <c r="J346" s="3" t="s">
        <v>17403</v>
      </c>
      <c r="K346" s="3">
        <v>28</v>
      </c>
      <c r="L346" s="3">
        <v>10</v>
      </c>
      <c r="M346" s="3">
        <v>0</v>
      </c>
      <c r="N346" s="3">
        <v>8</v>
      </c>
      <c r="O346" s="3">
        <v>10</v>
      </c>
      <c r="P346" s="3">
        <v>0</v>
      </c>
      <c r="Q346" s="3" t="s">
        <v>5030</v>
      </c>
      <c r="R346" s="6">
        <v>44804</v>
      </c>
    </row>
    <row r="347" spans="1:18" ht="12.5" x14ac:dyDescent="0.25">
      <c r="A347" s="21" t="str">
        <f>HYPERLINK("https://gerandofalcoes.my.salesforce.com/0014X00002VKCqAQAX", "0014X00002VKCqAQAX")</f>
        <v>0014X00002VKCqAQAX</v>
      </c>
      <c r="B347" s="3" t="s">
        <v>17729</v>
      </c>
      <c r="C347" s="3" t="s">
        <v>2538</v>
      </c>
      <c r="D347" s="3" t="s">
        <v>46</v>
      </c>
      <c r="E347" s="3">
        <v>30</v>
      </c>
      <c r="F347" s="3">
        <v>7</v>
      </c>
      <c r="G347" s="3">
        <v>4</v>
      </c>
      <c r="H347" s="3">
        <v>36000</v>
      </c>
      <c r="I347" s="3">
        <v>100</v>
      </c>
      <c r="J347" s="3" t="s">
        <v>17403</v>
      </c>
      <c r="K347" s="3">
        <v>55</v>
      </c>
      <c r="L347" s="3">
        <v>15</v>
      </c>
      <c r="M347" s="3">
        <v>10</v>
      </c>
      <c r="N347" s="3">
        <v>10</v>
      </c>
      <c r="O347" s="3">
        <v>10</v>
      </c>
      <c r="P347" s="3">
        <v>10</v>
      </c>
      <c r="Q347" s="3"/>
      <c r="R347" s="6">
        <v>44804</v>
      </c>
    </row>
    <row r="348" spans="1:18" ht="12.5" x14ac:dyDescent="0.25">
      <c r="A348" s="21" t="str">
        <f>HYPERLINK("https://gerandofalcoes.my.salesforce.com/0014X00002VKCsEQAX", "0014X00002VKCsEQAX")</f>
        <v>0014X00002VKCsEQAX</v>
      </c>
      <c r="B348" s="3" t="s">
        <v>7233</v>
      </c>
      <c r="C348" s="3" t="s">
        <v>2538</v>
      </c>
      <c r="D348" s="3" t="s">
        <v>46</v>
      </c>
      <c r="E348" s="3">
        <v>37</v>
      </c>
      <c r="F348" s="3">
        <v>2</v>
      </c>
      <c r="G348" s="3">
        <v>3</v>
      </c>
      <c r="H348" s="3">
        <v>1000</v>
      </c>
      <c r="I348" s="3">
        <v>30</v>
      </c>
      <c r="J348" s="3" t="s">
        <v>17403</v>
      </c>
      <c r="K348" s="3">
        <v>38</v>
      </c>
      <c r="L348" s="3">
        <v>15</v>
      </c>
      <c r="M348" s="3">
        <v>5</v>
      </c>
      <c r="N348" s="3">
        <v>8</v>
      </c>
      <c r="O348" s="3">
        <v>5</v>
      </c>
      <c r="P348" s="3">
        <v>5</v>
      </c>
      <c r="Q348" s="3" t="s">
        <v>7237</v>
      </c>
      <c r="R348" s="6">
        <v>44804</v>
      </c>
    </row>
    <row r="349" spans="1:18" ht="12.5" x14ac:dyDescent="0.25">
      <c r="A349" s="21" t="str">
        <f>HYPERLINK("https://gerandofalcoes.my.salesforce.com/0014X00002VKCr6QAH", "0014X00002VKCr6QAH")</f>
        <v>0014X00002VKCr6QAH</v>
      </c>
      <c r="B349" s="3" t="s">
        <v>4609</v>
      </c>
      <c r="C349" s="3" t="s">
        <v>2538</v>
      </c>
      <c r="D349" s="3" t="s">
        <v>46</v>
      </c>
      <c r="E349" s="3">
        <v>37</v>
      </c>
      <c r="F349" s="3">
        <v>7</v>
      </c>
      <c r="G349" s="3">
        <v>5</v>
      </c>
      <c r="H349" s="3">
        <v>620000</v>
      </c>
      <c r="I349" s="3">
        <v>250</v>
      </c>
      <c r="J349" s="3" t="s">
        <v>17406</v>
      </c>
      <c r="K349" s="3">
        <v>67</v>
      </c>
      <c r="L349" s="3">
        <v>15</v>
      </c>
      <c r="M349" s="3">
        <v>10</v>
      </c>
      <c r="N349" s="3">
        <v>10</v>
      </c>
      <c r="O349" s="3">
        <v>20</v>
      </c>
      <c r="P349" s="3">
        <v>12</v>
      </c>
      <c r="Q349" s="3" t="s">
        <v>4612</v>
      </c>
      <c r="R349" s="6">
        <v>44804</v>
      </c>
    </row>
    <row r="350" spans="1:18" ht="12.5" x14ac:dyDescent="0.25">
      <c r="A350" s="21" t="str">
        <f>HYPERLINK("https://gerandofalcoes.my.salesforce.com/0014X00002VKCphQAH", "0014X00002VKCphQAH")</f>
        <v>0014X00002VKCphQAH</v>
      </c>
      <c r="B350" s="3" t="s">
        <v>17730</v>
      </c>
      <c r="C350" s="3" t="s">
        <v>2538</v>
      </c>
      <c r="D350" s="3" t="s">
        <v>46</v>
      </c>
      <c r="E350" s="3">
        <v>29</v>
      </c>
      <c r="F350" s="3">
        <v>0</v>
      </c>
      <c r="G350" s="3">
        <v>3</v>
      </c>
      <c r="H350" s="3">
        <v>30000</v>
      </c>
      <c r="I350" s="3">
        <v>150</v>
      </c>
      <c r="J350" s="3" t="s">
        <v>17403</v>
      </c>
      <c r="K350" s="3">
        <v>45</v>
      </c>
      <c r="L350" s="3">
        <v>15</v>
      </c>
      <c r="M350" s="3">
        <v>0</v>
      </c>
      <c r="N350" s="3">
        <v>8</v>
      </c>
      <c r="O350" s="3">
        <v>10</v>
      </c>
      <c r="P350" s="3">
        <v>12</v>
      </c>
      <c r="Q350" s="3" t="s">
        <v>5413</v>
      </c>
      <c r="R350" s="6">
        <v>44804</v>
      </c>
    </row>
    <row r="351" spans="1:18" ht="12.5" x14ac:dyDescent="0.25">
      <c r="A351" s="21" t="str">
        <f>HYPERLINK("https://gerandofalcoes.my.salesforce.com/0014X00002VKCp8QAH", "0014X00002VKCp8QAH")</f>
        <v>0014X00002VKCp8QAH</v>
      </c>
      <c r="B351" s="3" t="s">
        <v>3901</v>
      </c>
      <c r="C351" s="3" t="s">
        <v>2538</v>
      </c>
      <c r="D351" s="3" t="s">
        <v>46</v>
      </c>
      <c r="E351" s="3">
        <v>55</v>
      </c>
      <c r="F351" s="3">
        <v>2</v>
      </c>
      <c r="G351" s="3">
        <v>2</v>
      </c>
      <c r="H351" s="3">
        <v>62000</v>
      </c>
      <c r="I351" s="3">
        <v>100</v>
      </c>
      <c r="J351" s="3" t="s">
        <v>17403</v>
      </c>
      <c r="K351" s="3">
        <v>51</v>
      </c>
      <c r="L351" s="3">
        <v>20</v>
      </c>
      <c r="M351" s="3">
        <v>5</v>
      </c>
      <c r="N351" s="3">
        <v>6</v>
      </c>
      <c r="O351" s="3">
        <v>10</v>
      </c>
      <c r="P351" s="3">
        <v>10</v>
      </c>
      <c r="Q351" s="3" t="s">
        <v>3905</v>
      </c>
      <c r="R351" s="6">
        <v>44804</v>
      </c>
    </row>
    <row r="352" spans="1:18" ht="12.5" x14ac:dyDescent="0.25">
      <c r="A352" s="21" t="str">
        <f>HYPERLINK("https://gerandofalcoes.my.salesforce.com/0014X00002VKCszQAH", "0014X00002VKCszQAH")</f>
        <v>0014X00002VKCszQAH</v>
      </c>
      <c r="B352" s="3" t="s">
        <v>6396</v>
      </c>
      <c r="C352" s="3" t="s">
        <v>2538</v>
      </c>
      <c r="D352" s="3" t="s">
        <v>46</v>
      </c>
      <c r="E352" s="3">
        <v>29</v>
      </c>
      <c r="F352" s="3">
        <v>0</v>
      </c>
      <c r="G352" s="3">
        <v>6</v>
      </c>
      <c r="H352" s="3">
        <v>30000</v>
      </c>
      <c r="I352" s="3">
        <v>30</v>
      </c>
      <c r="J352" s="3" t="s">
        <v>17403</v>
      </c>
      <c r="K352" s="3">
        <v>40</v>
      </c>
      <c r="L352" s="3">
        <v>15</v>
      </c>
      <c r="M352" s="3">
        <v>0</v>
      </c>
      <c r="N352" s="3">
        <v>10</v>
      </c>
      <c r="O352" s="3">
        <v>10</v>
      </c>
      <c r="P352" s="3">
        <v>5</v>
      </c>
      <c r="Q352" s="3" t="s">
        <v>6399</v>
      </c>
      <c r="R352" s="6">
        <v>44804</v>
      </c>
    </row>
    <row r="353" spans="1:18" ht="12.5" x14ac:dyDescent="0.25">
      <c r="A353" s="21" t="str">
        <f>HYPERLINK("https://gerandofalcoes.my.salesforce.com/0014X00002VKCpBQAX", "0014X00002VKCpBQAX")</f>
        <v>0014X00002VKCpBQAX</v>
      </c>
      <c r="B353" s="3" t="s">
        <v>3956</v>
      </c>
      <c r="C353" s="3" t="s">
        <v>2538</v>
      </c>
      <c r="D353" s="3" t="s">
        <v>46</v>
      </c>
      <c r="E353" s="3">
        <v>24</v>
      </c>
      <c r="F353" s="3">
        <v>0</v>
      </c>
      <c r="G353" s="3">
        <v>3</v>
      </c>
      <c r="H353" s="3">
        <v>96000</v>
      </c>
      <c r="I353" s="3">
        <v>80</v>
      </c>
      <c r="J353" s="3" t="s">
        <v>17403</v>
      </c>
      <c r="K353" s="3">
        <v>38</v>
      </c>
      <c r="L353" s="3">
        <v>10</v>
      </c>
      <c r="M353" s="3">
        <v>0</v>
      </c>
      <c r="N353" s="3">
        <v>8</v>
      </c>
      <c r="O353" s="3">
        <v>10</v>
      </c>
      <c r="P353" s="3">
        <v>10</v>
      </c>
      <c r="Q353" s="3" t="s">
        <v>3958</v>
      </c>
      <c r="R353" s="6">
        <v>44804</v>
      </c>
    </row>
    <row r="354" spans="1:18" ht="12.5" x14ac:dyDescent="0.25">
      <c r="A354" s="21" t="str">
        <f>HYPERLINK("https://gerandofalcoes.my.salesforce.com/0014X00002VKCtrQAH", "0014X00002VKCtrQAH")</f>
        <v>0014X00002VKCtrQAH</v>
      </c>
      <c r="B354" s="3" t="s">
        <v>17731</v>
      </c>
      <c r="C354" s="3" t="s">
        <v>2538</v>
      </c>
      <c r="D354" s="3" t="s">
        <v>46</v>
      </c>
      <c r="E354" s="3">
        <v>40</v>
      </c>
      <c r="F354" s="3">
        <v>0</v>
      </c>
      <c r="G354" s="3">
        <v>2</v>
      </c>
      <c r="H354" s="3">
        <v>0</v>
      </c>
      <c r="I354" s="3">
        <v>0</v>
      </c>
      <c r="J354" s="3" t="s">
        <v>17403</v>
      </c>
      <c r="K354" s="3">
        <v>21</v>
      </c>
      <c r="L354" s="3">
        <v>15</v>
      </c>
      <c r="M354" s="3">
        <v>0</v>
      </c>
      <c r="N354" s="3">
        <v>6</v>
      </c>
      <c r="O354" s="3">
        <v>0</v>
      </c>
      <c r="P354" s="3">
        <v>0</v>
      </c>
      <c r="Q354" s="3" t="s">
        <v>8151</v>
      </c>
      <c r="R354" s="6">
        <v>44804</v>
      </c>
    </row>
    <row r="355" spans="1:18" ht="12.5" x14ac:dyDescent="0.25">
      <c r="A355" s="21" t="str">
        <f>HYPERLINK("https://gerandofalcoes.my.salesforce.com/0014X00002VKCuHQAX", "0014X00002VKCuHQAX")</f>
        <v>0014X00002VKCuHQAX</v>
      </c>
      <c r="B355" s="3" t="s">
        <v>17732</v>
      </c>
      <c r="C355" s="3" t="s">
        <v>2538</v>
      </c>
      <c r="D355" s="3" t="s">
        <v>46</v>
      </c>
      <c r="E355" s="3">
        <v>19</v>
      </c>
      <c r="F355" s="3">
        <v>0</v>
      </c>
      <c r="G355" s="3">
        <v>3</v>
      </c>
      <c r="H355" s="3">
        <v>25000</v>
      </c>
      <c r="I355" s="3">
        <v>0</v>
      </c>
      <c r="J355" s="3" t="s">
        <v>17403</v>
      </c>
      <c r="K355" s="3">
        <v>28</v>
      </c>
      <c r="L355" s="3">
        <v>10</v>
      </c>
      <c r="M355" s="3">
        <v>0</v>
      </c>
      <c r="N355" s="3">
        <v>8</v>
      </c>
      <c r="O355" s="3">
        <v>10</v>
      </c>
      <c r="P355" s="3">
        <v>0</v>
      </c>
      <c r="Q355" s="3" t="s">
        <v>6817</v>
      </c>
      <c r="R355" s="6">
        <v>44804</v>
      </c>
    </row>
    <row r="356" spans="1:18" ht="12.5" x14ac:dyDescent="0.25">
      <c r="A356" s="21" t="str">
        <f>HYPERLINK("https://gerandofalcoes.my.salesforce.com/0014X00002VKCqbQAH", "0014X00002VKCqbQAH")</f>
        <v>0014X00002VKCqbQAH</v>
      </c>
      <c r="B356" s="3" t="s">
        <v>17733</v>
      </c>
      <c r="C356" s="3" t="s">
        <v>2538</v>
      </c>
      <c r="D356" s="3" t="s">
        <v>46</v>
      </c>
      <c r="E356" s="3">
        <v>37</v>
      </c>
      <c r="F356" s="3">
        <v>0</v>
      </c>
      <c r="G356" s="3">
        <v>3</v>
      </c>
      <c r="H356" s="3">
        <v>70000</v>
      </c>
      <c r="I356" s="3">
        <v>50</v>
      </c>
      <c r="J356" s="3" t="s">
        <v>17403</v>
      </c>
      <c r="K356" s="3">
        <v>38</v>
      </c>
      <c r="L356" s="3">
        <v>15</v>
      </c>
      <c r="M356" s="3">
        <v>0</v>
      </c>
      <c r="N356" s="3">
        <v>8</v>
      </c>
      <c r="O356" s="3">
        <v>10</v>
      </c>
      <c r="P356" s="3">
        <v>5</v>
      </c>
      <c r="Q356" s="3" t="s">
        <v>5638</v>
      </c>
      <c r="R356" s="6">
        <v>44804</v>
      </c>
    </row>
    <row r="357" spans="1:18" ht="12.5" x14ac:dyDescent="0.25">
      <c r="A357" s="21" t="str">
        <f>HYPERLINK("https://gerandofalcoes.my.salesforce.com/0014X00002VKCsnQAH", "0014X00002VKCsnQAH")</f>
        <v>0014X00002VKCsnQAH</v>
      </c>
      <c r="B357" s="3" t="s">
        <v>17734</v>
      </c>
      <c r="C357" s="3" t="s">
        <v>2538</v>
      </c>
      <c r="D357" s="3" t="s">
        <v>46</v>
      </c>
      <c r="E357" s="3">
        <v>55</v>
      </c>
      <c r="F357" s="3">
        <v>7</v>
      </c>
      <c r="G357" s="3">
        <v>3</v>
      </c>
      <c r="H357" s="3">
        <v>26180</v>
      </c>
      <c r="I357" s="3">
        <v>72</v>
      </c>
      <c r="J357" s="3" t="s">
        <v>17403</v>
      </c>
      <c r="K357" s="3">
        <v>53</v>
      </c>
      <c r="L357" s="3">
        <v>20</v>
      </c>
      <c r="M357" s="3">
        <v>10</v>
      </c>
      <c r="N357" s="3">
        <v>8</v>
      </c>
      <c r="O357" s="3">
        <v>10</v>
      </c>
      <c r="P357" s="3">
        <v>5</v>
      </c>
      <c r="Q357" s="3" t="s">
        <v>8039</v>
      </c>
      <c r="R357" s="6">
        <v>44804</v>
      </c>
    </row>
    <row r="358" spans="1:18" ht="12.5" x14ac:dyDescent="0.25">
      <c r="A358" s="21" t="str">
        <f>HYPERLINK("https://gerandofalcoes.my.salesforce.com/0014X00002VKCqSQAX", "0014X00002VKCqSQAX")</f>
        <v>0014X00002VKCqSQAX</v>
      </c>
      <c r="B358" s="3" t="s">
        <v>17735</v>
      </c>
      <c r="C358" s="3" t="s">
        <v>2538</v>
      </c>
      <c r="D358" s="3" t="s">
        <v>46</v>
      </c>
      <c r="E358" s="3">
        <v>33</v>
      </c>
      <c r="F358" s="3">
        <v>0</v>
      </c>
      <c r="G358" s="3">
        <v>3</v>
      </c>
      <c r="H358" s="3">
        <v>2160</v>
      </c>
      <c r="I358" s="3">
        <v>0</v>
      </c>
      <c r="J358" s="3" t="s">
        <v>17403</v>
      </c>
      <c r="K358" s="3">
        <v>28</v>
      </c>
      <c r="L358" s="3">
        <v>15</v>
      </c>
      <c r="M358" s="3">
        <v>0</v>
      </c>
      <c r="N358" s="3">
        <v>8</v>
      </c>
      <c r="O358" s="3">
        <v>5</v>
      </c>
      <c r="P358" s="3">
        <v>0</v>
      </c>
      <c r="Q358" s="3" t="s">
        <v>5615</v>
      </c>
      <c r="R358" s="6">
        <v>44804</v>
      </c>
    </row>
    <row r="359" spans="1:18" ht="12.5" x14ac:dyDescent="0.25">
      <c r="A359" s="21" t="str">
        <f>HYPERLINK("https://gerandofalcoes.my.salesforce.com/0014X00002VKCubQAH", "0014X00002VKCubQAH")</f>
        <v>0014X00002VKCubQAH</v>
      </c>
      <c r="B359" s="3" t="s">
        <v>17736</v>
      </c>
      <c r="C359" s="3" t="s">
        <v>2538</v>
      </c>
      <c r="D359" s="3" t="s">
        <v>46</v>
      </c>
      <c r="E359" s="3">
        <v>37</v>
      </c>
      <c r="F359" s="3">
        <v>3</v>
      </c>
      <c r="G359" s="3">
        <v>3</v>
      </c>
      <c r="H359" s="3">
        <v>3000</v>
      </c>
      <c r="I359" s="3">
        <v>15</v>
      </c>
      <c r="J359" s="3" t="s">
        <v>17403</v>
      </c>
      <c r="K359" s="3">
        <v>38</v>
      </c>
      <c r="L359" s="3">
        <v>15</v>
      </c>
      <c r="M359" s="3">
        <v>5</v>
      </c>
      <c r="N359" s="3">
        <v>8</v>
      </c>
      <c r="O359" s="3">
        <v>5</v>
      </c>
      <c r="P359" s="3">
        <v>5</v>
      </c>
      <c r="Q359" s="3" t="s">
        <v>7118</v>
      </c>
      <c r="R359" s="6">
        <v>44804</v>
      </c>
    </row>
    <row r="360" spans="1:18" ht="12.5" x14ac:dyDescent="0.25">
      <c r="A360" s="21" t="str">
        <f>HYPERLINK("https://gerandofalcoes.my.salesforce.com/0014X00002VKCsOQAX", "0014X00002VKCsOQAX")</f>
        <v>0014X00002VKCsOQAX</v>
      </c>
      <c r="B360" s="3" t="s">
        <v>7360</v>
      </c>
      <c r="C360" s="3" t="s">
        <v>2538</v>
      </c>
      <c r="D360" s="3" t="s">
        <v>46</v>
      </c>
      <c r="E360" s="3">
        <v>46</v>
      </c>
      <c r="F360" s="3">
        <v>0</v>
      </c>
      <c r="G360" s="3">
        <v>3</v>
      </c>
      <c r="H360" s="3">
        <v>10000</v>
      </c>
      <c r="I360" s="3">
        <v>110</v>
      </c>
      <c r="J360" s="3" t="s">
        <v>17403</v>
      </c>
      <c r="K360" s="3">
        <v>38</v>
      </c>
      <c r="L360" s="3">
        <v>15</v>
      </c>
      <c r="M360" s="3">
        <v>0</v>
      </c>
      <c r="N360" s="3">
        <v>8</v>
      </c>
      <c r="O360" s="3">
        <v>5</v>
      </c>
      <c r="P360" s="3">
        <v>10</v>
      </c>
      <c r="Q360" s="3" t="s">
        <v>7364</v>
      </c>
      <c r="R360" s="6">
        <v>44804</v>
      </c>
    </row>
    <row r="361" spans="1:18" ht="12.5" x14ac:dyDescent="0.25">
      <c r="A361" s="21" t="str">
        <f>HYPERLINK("https://gerandofalcoes.my.salesforce.com/0014X00002VKCuuQAH", "0014X00002VKCuuQAH")</f>
        <v>0014X00002VKCuuQAH</v>
      </c>
      <c r="B361" s="3" t="s">
        <v>17737</v>
      </c>
      <c r="C361" s="3" t="s">
        <v>2538</v>
      </c>
      <c r="D361" s="3" t="s">
        <v>46</v>
      </c>
      <c r="E361" s="3">
        <v>6</v>
      </c>
      <c r="F361" s="3">
        <v>5</v>
      </c>
      <c r="G361" s="3">
        <v>5</v>
      </c>
      <c r="H361" s="3">
        <v>0</v>
      </c>
      <c r="I361" s="3">
        <v>80</v>
      </c>
      <c r="J361" s="3" t="s">
        <v>17403</v>
      </c>
      <c r="K361" s="3">
        <v>35</v>
      </c>
      <c r="L361" s="3">
        <v>10</v>
      </c>
      <c r="M361" s="3">
        <v>5</v>
      </c>
      <c r="N361" s="3">
        <v>10</v>
      </c>
      <c r="O361" s="3">
        <v>0</v>
      </c>
      <c r="P361" s="3">
        <v>10</v>
      </c>
      <c r="Q361" s="3"/>
      <c r="R361" s="6">
        <v>44804</v>
      </c>
    </row>
    <row r="362" spans="1:18" ht="12.5" x14ac:dyDescent="0.25">
      <c r="A362" s="21" t="str">
        <f>HYPERLINK("https://gerandofalcoes.my.salesforce.com/0014X00002VKCv6QAH", "0014X00002VKCv6QAH")</f>
        <v>0014X00002VKCv6QAH</v>
      </c>
      <c r="B362" s="3" t="s">
        <v>17738</v>
      </c>
      <c r="C362" s="3" t="s">
        <v>2538</v>
      </c>
      <c r="D362" s="3" t="s">
        <v>46</v>
      </c>
      <c r="E362" s="3">
        <v>29</v>
      </c>
      <c r="F362" s="3">
        <v>0</v>
      </c>
      <c r="G362" s="3">
        <v>3</v>
      </c>
      <c r="H362" s="3">
        <v>9800</v>
      </c>
      <c r="I362" s="3">
        <v>54</v>
      </c>
      <c r="J362" s="3" t="s">
        <v>17403</v>
      </c>
      <c r="K362" s="3">
        <v>33</v>
      </c>
      <c r="L362" s="3">
        <v>15</v>
      </c>
      <c r="M362" s="3">
        <v>0</v>
      </c>
      <c r="N362" s="3">
        <v>8</v>
      </c>
      <c r="O362" s="3">
        <v>5</v>
      </c>
      <c r="P362" s="3">
        <v>5</v>
      </c>
      <c r="Q362" s="3" t="s">
        <v>8332</v>
      </c>
      <c r="R362" s="6">
        <v>44804</v>
      </c>
    </row>
    <row r="363" spans="1:18" ht="12.5" x14ac:dyDescent="0.25">
      <c r="A363" s="21" t="str">
        <f>HYPERLINK("https://gerandofalcoes.my.salesforce.com/0014X00002VKCtkQAH", "0014X00002VKCtkQAH")</f>
        <v>0014X00002VKCtkQAH</v>
      </c>
      <c r="B363" s="3" t="s">
        <v>7576</v>
      </c>
      <c r="C363" s="3" t="s">
        <v>2538</v>
      </c>
      <c r="D363" s="3" t="s">
        <v>46</v>
      </c>
      <c r="E363" s="3">
        <v>31</v>
      </c>
      <c r="F363" s="3">
        <v>14</v>
      </c>
      <c r="G363" s="3">
        <v>5</v>
      </c>
      <c r="H363" s="3">
        <v>22000</v>
      </c>
      <c r="I363" s="3">
        <v>250</v>
      </c>
      <c r="J363" s="3" t="s">
        <v>17403</v>
      </c>
      <c r="K363" s="3">
        <v>54</v>
      </c>
      <c r="L363" s="3">
        <v>15</v>
      </c>
      <c r="M363" s="3">
        <v>12</v>
      </c>
      <c r="N363" s="3">
        <v>10</v>
      </c>
      <c r="O363" s="3">
        <v>5</v>
      </c>
      <c r="P363" s="3">
        <v>12</v>
      </c>
      <c r="Q363" s="3" t="s">
        <v>7579</v>
      </c>
      <c r="R363" s="6">
        <v>44804</v>
      </c>
    </row>
    <row r="364" spans="1:18" ht="12.5" x14ac:dyDescent="0.25">
      <c r="A364" s="21" t="str">
        <f>HYPERLINK("https://gerandofalcoes.my.salesforce.com/0014X00002VKCpdQAH", "0014X00002VKCpdQAH")</f>
        <v>0014X00002VKCpdQAH</v>
      </c>
      <c r="B364" s="3" t="s">
        <v>5349</v>
      </c>
      <c r="C364" s="3" t="s">
        <v>2538</v>
      </c>
      <c r="D364" s="3" t="s">
        <v>46</v>
      </c>
      <c r="E364" s="3">
        <v>71</v>
      </c>
      <c r="F364" s="3">
        <v>22</v>
      </c>
      <c r="G364" s="3">
        <v>3</v>
      </c>
      <c r="H364" s="3">
        <v>1171000</v>
      </c>
      <c r="I364" s="3">
        <v>120</v>
      </c>
      <c r="J364" s="3" t="s">
        <v>17406</v>
      </c>
      <c r="K364" s="3">
        <v>75</v>
      </c>
      <c r="L364" s="3">
        <v>20</v>
      </c>
      <c r="M364" s="3">
        <v>12</v>
      </c>
      <c r="N364" s="3">
        <v>8</v>
      </c>
      <c r="O364" s="3">
        <v>25</v>
      </c>
      <c r="P364" s="3">
        <v>10</v>
      </c>
      <c r="Q364" s="3" t="s">
        <v>5353</v>
      </c>
      <c r="R364" s="6">
        <v>44804</v>
      </c>
    </row>
    <row r="365" spans="1:18" ht="12.5" x14ac:dyDescent="0.25">
      <c r="A365" s="21" t="str">
        <f>HYPERLINK("https://gerandofalcoes.my.salesforce.com/0014X00002VKCtyQAH", "0014X00002VKCtyQAH")</f>
        <v>0014X00002VKCtyQAH</v>
      </c>
      <c r="B365" s="3" t="s">
        <v>8464</v>
      </c>
      <c r="C365" s="3" t="s">
        <v>2538</v>
      </c>
      <c r="D365" s="3" t="s">
        <v>46</v>
      </c>
      <c r="E365" s="3">
        <v>63</v>
      </c>
      <c r="F365" s="3">
        <v>0</v>
      </c>
      <c r="G365" s="3">
        <v>4</v>
      </c>
      <c r="H365" s="3">
        <v>50000</v>
      </c>
      <c r="I365" s="3">
        <v>65</v>
      </c>
      <c r="J365" s="3" t="s">
        <v>17403</v>
      </c>
      <c r="K365" s="3">
        <v>45</v>
      </c>
      <c r="L365" s="3">
        <v>20</v>
      </c>
      <c r="M365" s="3">
        <v>0</v>
      </c>
      <c r="N365" s="3">
        <v>10</v>
      </c>
      <c r="O365" s="3">
        <v>10</v>
      </c>
      <c r="P365" s="3">
        <v>5</v>
      </c>
      <c r="Q365" s="3" t="s">
        <v>8467</v>
      </c>
      <c r="R365" s="6">
        <v>44804</v>
      </c>
    </row>
    <row r="366" spans="1:18" ht="12.5" x14ac:dyDescent="0.25">
      <c r="A366" s="21" t="str">
        <f>HYPERLINK("https://gerandofalcoes.my.salesforce.com/0014X00002VKCrWQAX", "0014X00002VKCrWQAX")</f>
        <v>0014X00002VKCrWQAX</v>
      </c>
      <c r="B366" s="3" t="s">
        <v>5895</v>
      </c>
      <c r="C366" s="3" t="s">
        <v>2538</v>
      </c>
      <c r="D366" s="3" t="s">
        <v>46</v>
      </c>
      <c r="E366" s="3">
        <v>31</v>
      </c>
      <c r="F366" s="3">
        <v>700</v>
      </c>
      <c r="G366" s="3">
        <v>3</v>
      </c>
      <c r="H366" s="3">
        <v>100000</v>
      </c>
      <c r="I366" s="3">
        <v>850</v>
      </c>
      <c r="J366" s="3" t="s">
        <v>17406</v>
      </c>
      <c r="K366" s="3">
        <v>73</v>
      </c>
      <c r="L366" s="3">
        <v>15</v>
      </c>
      <c r="M366" s="3">
        <v>15</v>
      </c>
      <c r="N366" s="3">
        <v>8</v>
      </c>
      <c r="O366" s="3">
        <v>15</v>
      </c>
      <c r="P366" s="3">
        <v>20</v>
      </c>
      <c r="Q366" s="3" t="s">
        <v>5898</v>
      </c>
      <c r="R366" s="6">
        <v>44804</v>
      </c>
    </row>
    <row r="367" spans="1:18" ht="12.5" x14ac:dyDescent="0.25">
      <c r="A367" s="21" t="str">
        <f>HYPERLINK("https://gerandofalcoes.my.salesforce.com/0014X00002VKCrkQAH", "0014X00002VKCrkQAH")</f>
        <v>0014X00002VKCrkQAH</v>
      </c>
      <c r="B367" s="3" t="s">
        <v>17739</v>
      </c>
      <c r="C367" s="3" t="s">
        <v>2538</v>
      </c>
      <c r="D367" s="3" t="s">
        <v>46</v>
      </c>
      <c r="E367" s="3">
        <v>50</v>
      </c>
      <c r="F367" s="3">
        <v>10</v>
      </c>
      <c r="G367" s="3">
        <v>4</v>
      </c>
      <c r="H367" s="3">
        <v>120000</v>
      </c>
      <c r="I367" s="3">
        <v>50</v>
      </c>
      <c r="J367" s="3" t="s">
        <v>17403</v>
      </c>
      <c r="K367" s="3">
        <v>60</v>
      </c>
      <c r="L367" s="3">
        <v>20</v>
      </c>
      <c r="M367" s="3">
        <v>10</v>
      </c>
      <c r="N367" s="3">
        <v>10</v>
      </c>
      <c r="O367" s="3">
        <v>15</v>
      </c>
      <c r="P367" s="3">
        <v>5</v>
      </c>
      <c r="Q367" s="3" t="s">
        <v>6139</v>
      </c>
      <c r="R367" s="6">
        <v>44804</v>
      </c>
    </row>
    <row r="368" spans="1:18" ht="12.5" x14ac:dyDescent="0.25">
      <c r="A368" s="21" t="str">
        <f>HYPERLINK("https://gerandofalcoes.my.salesforce.com/0014X00002VKCsBQAX", "0014X00002VKCsBQAX")</f>
        <v>0014X00002VKCsBQAX</v>
      </c>
      <c r="B368" s="3" t="s">
        <v>17740</v>
      </c>
      <c r="C368" s="3" t="s">
        <v>2538</v>
      </c>
      <c r="D368" s="3" t="s">
        <v>46</v>
      </c>
      <c r="E368" s="3">
        <v>33</v>
      </c>
      <c r="F368" s="3">
        <v>1</v>
      </c>
      <c r="G368" s="3">
        <v>3</v>
      </c>
      <c r="H368" s="3">
        <v>36000</v>
      </c>
      <c r="I368" s="3">
        <v>140</v>
      </c>
      <c r="J368" s="3" t="s">
        <v>17403</v>
      </c>
      <c r="K368" s="3">
        <v>48</v>
      </c>
      <c r="L368" s="3">
        <v>15</v>
      </c>
      <c r="M368" s="3">
        <v>5</v>
      </c>
      <c r="N368" s="3">
        <v>8</v>
      </c>
      <c r="O368" s="3">
        <v>10</v>
      </c>
      <c r="P368" s="3">
        <v>10</v>
      </c>
      <c r="Q368" s="3" t="s">
        <v>7193</v>
      </c>
      <c r="R368" s="6">
        <v>44804</v>
      </c>
    </row>
    <row r="369" spans="1:18" ht="12.5" x14ac:dyDescent="0.25">
      <c r="A369" s="21" t="str">
        <f>HYPERLINK("https://gerandofalcoes.my.salesforce.com/0014X00002VKCslQAH", "0014X00002VKCslQAH")</f>
        <v>0014X00002VKCslQAH</v>
      </c>
      <c r="B369" s="3" t="s">
        <v>17741</v>
      </c>
      <c r="C369" s="3" t="s">
        <v>2538</v>
      </c>
      <c r="D369" s="3" t="s">
        <v>46</v>
      </c>
      <c r="E369" s="3">
        <v>17</v>
      </c>
      <c r="F369" s="3">
        <v>0</v>
      </c>
      <c r="G369" s="3">
        <v>2</v>
      </c>
      <c r="H369" s="3">
        <v>18000</v>
      </c>
      <c r="I369" s="3">
        <v>10</v>
      </c>
      <c r="J369" s="3" t="s">
        <v>17403</v>
      </c>
      <c r="K369" s="3">
        <v>26</v>
      </c>
      <c r="L369" s="3">
        <v>10</v>
      </c>
      <c r="M369" s="3">
        <v>0</v>
      </c>
      <c r="N369" s="3">
        <v>6</v>
      </c>
      <c r="O369" s="3">
        <v>5</v>
      </c>
      <c r="P369" s="3">
        <v>5</v>
      </c>
      <c r="Q369" s="3" t="s">
        <v>8004</v>
      </c>
      <c r="R369" s="6">
        <v>44804</v>
      </c>
    </row>
    <row r="370" spans="1:18" ht="12.5" x14ac:dyDescent="0.25">
      <c r="A370" s="21" t="str">
        <f>HYPERLINK("https://gerandofalcoes.my.salesforce.com/0014X00002VKCv8QAH", "0014X00002VKCv8QAH")</f>
        <v>0014X00002VKCv8QAH</v>
      </c>
      <c r="B370" s="3" t="s">
        <v>17742</v>
      </c>
      <c r="C370" s="3" t="s">
        <v>2538</v>
      </c>
      <c r="D370" s="3" t="s">
        <v>46</v>
      </c>
      <c r="E370" s="3">
        <v>19</v>
      </c>
      <c r="F370" s="3">
        <v>0</v>
      </c>
      <c r="G370" s="3">
        <v>6</v>
      </c>
      <c r="H370" s="3">
        <v>4000</v>
      </c>
      <c r="I370" s="3">
        <v>0</v>
      </c>
      <c r="J370" s="3" t="s">
        <v>17403</v>
      </c>
      <c r="K370" s="3">
        <v>25</v>
      </c>
      <c r="L370" s="3">
        <v>10</v>
      </c>
      <c r="M370" s="3">
        <v>0</v>
      </c>
      <c r="N370" s="3">
        <v>10</v>
      </c>
      <c r="O370" s="3">
        <v>5</v>
      </c>
      <c r="P370" s="3">
        <v>0</v>
      </c>
      <c r="Q370" s="3" t="s">
        <v>8371</v>
      </c>
      <c r="R370" s="6">
        <v>44804</v>
      </c>
    </row>
    <row r="371" spans="1:18" ht="12.5" x14ac:dyDescent="0.25">
      <c r="A371" s="21" t="str">
        <f>HYPERLINK("https://gerandofalcoes.my.salesforce.com/0014X00002VKCp4QAH", "0014X00002VKCp4QAH")</f>
        <v>0014X00002VKCp4QAH</v>
      </c>
      <c r="B371" s="3" t="s">
        <v>8762</v>
      </c>
      <c r="C371" s="3" t="s">
        <v>2538</v>
      </c>
      <c r="D371" s="3" t="s">
        <v>46</v>
      </c>
      <c r="E371" s="3">
        <v>21</v>
      </c>
      <c r="F371" s="3">
        <v>0</v>
      </c>
      <c r="G371" s="3">
        <v>2</v>
      </c>
      <c r="H371" s="3">
        <v>0</v>
      </c>
      <c r="I371" s="3">
        <v>70</v>
      </c>
      <c r="J371" s="3" t="s">
        <v>17403</v>
      </c>
      <c r="K371" s="3">
        <v>21</v>
      </c>
      <c r="L371" s="3">
        <v>10</v>
      </c>
      <c r="M371" s="3">
        <v>0</v>
      </c>
      <c r="N371" s="3">
        <v>6</v>
      </c>
      <c r="O371" s="3">
        <v>0</v>
      </c>
      <c r="P371" s="3">
        <v>5</v>
      </c>
      <c r="Q371" s="3" t="s">
        <v>8764</v>
      </c>
      <c r="R371" s="6">
        <v>44804</v>
      </c>
    </row>
    <row r="372" spans="1:18" ht="12.5" x14ac:dyDescent="0.25">
      <c r="A372" s="21" t="str">
        <f>HYPERLINK("https://gerandofalcoes.my.salesforce.com/0014X00002VKCucQAH", "0014X00002VKCucQAH")</f>
        <v>0014X00002VKCucQAH</v>
      </c>
      <c r="B372" s="3" t="s">
        <v>17743</v>
      </c>
      <c r="C372" s="3" t="s">
        <v>2538</v>
      </c>
      <c r="D372" s="3" t="s">
        <v>46</v>
      </c>
      <c r="E372" s="3">
        <v>30</v>
      </c>
      <c r="F372" s="3">
        <v>0</v>
      </c>
      <c r="G372" s="3">
        <v>2</v>
      </c>
      <c r="H372" s="3">
        <v>300</v>
      </c>
      <c r="I372" s="3">
        <v>60</v>
      </c>
      <c r="J372" s="3" t="s">
        <v>17403</v>
      </c>
      <c r="K372" s="3">
        <v>31</v>
      </c>
      <c r="L372" s="3">
        <v>15</v>
      </c>
      <c r="M372" s="3">
        <v>0</v>
      </c>
      <c r="N372" s="3">
        <v>6</v>
      </c>
      <c r="O372" s="3">
        <v>5</v>
      </c>
      <c r="P372" s="3">
        <v>5</v>
      </c>
      <c r="Q372" s="3" t="s">
        <v>7138</v>
      </c>
      <c r="R372" s="6">
        <v>44804</v>
      </c>
    </row>
    <row r="373" spans="1:18" ht="12.5" x14ac:dyDescent="0.25">
      <c r="A373" s="21" t="str">
        <f>HYPERLINK("https://gerandofalcoes.my.salesforce.com/0014X00002VKCpQQAX", "0014X00002VKCpQQAX")</f>
        <v>0014X00002VKCpQQAX</v>
      </c>
      <c r="B373" s="3" t="s">
        <v>17744</v>
      </c>
      <c r="C373" s="3" t="s">
        <v>2538</v>
      </c>
      <c r="D373" s="3" t="s">
        <v>46</v>
      </c>
      <c r="E373" s="3">
        <v>54</v>
      </c>
      <c r="F373" s="3">
        <v>0</v>
      </c>
      <c r="G373" s="3">
        <v>6</v>
      </c>
      <c r="H373" s="3">
        <v>14000</v>
      </c>
      <c r="I373" s="3">
        <v>125</v>
      </c>
      <c r="J373" s="3" t="s">
        <v>17403</v>
      </c>
      <c r="K373" s="3">
        <v>45</v>
      </c>
      <c r="L373" s="3">
        <v>20</v>
      </c>
      <c r="M373" s="3">
        <v>0</v>
      </c>
      <c r="N373" s="3">
        <v>10</v>
      </c>
      <c r="O373" s="3">
        <v>5</v>
      </c>
      <c r="P373" s="3">
        <v>10</v>
      </c>
      <c r="Q373" s="3" t="s">
        <v>4819</v>
      </c>
      <c r="R373" s="6">
        <v>44804</v>
      </c>
    </row>
    <row r="374" spans="1:18" ht="12.5" x14ac:dyDescent="0.25">
      <c r="A374" s="21" t="str">
        <f>HYPERLINK("https://gerandofalcoes.my.salesforce.com/0014X00002VKCqEQAX", "0014X00002VKCqEQAX")</f>
        <v>0014X00002VKCqEQAX</v>
      </c>
      <c r="B374" s="3" t="s">
        <v>17745</v>
      </c>
      <c r="C374" s="3" t="s">
        <v>2538</v>
      </c>
      <c r="D374" s="3" t="s">
        <v>46</v>
      </c>
      <c r="E374" s="3">
        <v>27</v>
      </c>
      <c r="F374" s="3">
        <v>0</v>
      </c>
      <c r="G374" s="3">
        <v>6</v>
      </c>
      <c r="H374" s="3">
        <v>18500</v>
      </c>
      <c r="I374" s="3">
        <v>116</v>
      </c>
      <c r="J374" s="3" t="s">
        <v>17403</v>
      </c>
      <c r="K374" s="3">
        <v>40</v>
      </c>
      <c r="L374" s="3">
        <v>15</v>
      </c>
      <c r="M374" s="3">
        <v>0</v>
      </c>
      <c r="N374" s="3">
        <v>10</v>
      </c>
      <c r="O374" s="3">
        <v>5</v>
      </c>
      <c r="P374" s="3">
        <v>10</v>
      </c>
      <c r="Q374" s="3" t="s">
        <v>5064</v>
      </c>
      <c r="R374" s="6">
        <v>44804</v>
      </c>
    </row>
    <row r="375" spans="1:18" ht="12.5" x14ac:dyDescent="0.25">
      <c r="A375" s="21" t="str">
        <f>HYPERLINK("https://gerandofalcoes.my.salesforce.com/0014X00002VKCuMQAX", "0014X00002VKCuMQAX")</f>
        <v>0014X00002VKCuMQAX</v>
      </c>
      <c r="B375" s="3" t="s">
        <v>17746</v>
      </c>
      <c r="C375" s="3" t="s">
        <v>2538</v>
      </c>
      <c r="D375" s="3" t="s">
        <v>46</v>
      </c>
      <c r="E375" s="3">
        <v>43</v>
      </c>
      <c r="F375" s="3">
        <v>0</v>
      </c>
      <c r="G375" s="3">
        <v>7</v>
      </c>
      <c r="H375" s="3">
        <v>75</v>
      </c>
      <c r="I375" s="3">
        <v>358</v>
      </c>
      <c r="J375" s="3" t="s">
        <v>17403</v>
      </c>
      <c r="K375" s="3">
        <v>45</v>
      </c>
      <c r="L375" s="3">
        <v>15</v>
      </c>
      <c r="M375" s="3">
        <v>0</v>
      </c>
      <c r="N375" s="3">
        <v>10</v>
      </c>
      <c r="O375" s="3">
        <v>5</v>
      </c>
      <c r="P375" s="3">
        <v>15</v>
      </c>
      <c r="Q375" s="3" t="s">
        <v>6886</v>
      </c>
      <c r="R375" s="6">
        <v>44804</v>
      </c>
    </row>
    <row r="376" spans="1:18" ht="12.5" x14ac:dyDescent="0.25">
      <c r="A376" s="21" t="str">
        <f>HYPERLINK("https://gerandofalcoes.my.salesforce.com/0014X00002VKCqhQAH", "0014X00002VKCqhQAH")</f>
        <v>0014X00002VKCqhQAH</v>
      </c>
      <c r="B376" s="3" t="s">
        <v>17747</v>
      </c>
      <c r="C376" s="3" t="s">
        <v>2538</v>
      </c>
      <c r="D376" s="3" t="s">
        <v>46</v>
      </c>
      <c r="E376" s="3">
        <v>48</v>
      </c>
      <c r="F376" s="3">
        <v>0</v>
      </c>
      <c r="G376" s="3">
        <v>4</v>
      </c>
      <c r="H376" s="3">
        <v>150</v>
      </c>
      <c r="I376" s="3">
        <v>255</v>
      </c>
      <c r="J376" s="3" t="s">
        <v>17403</v>
      </c>
      <c r="K376" s="3">
        <v>42</v>
      </c>
      <c r="L376" s="3">
        <v>15</v>
      </c>
      <c r="M376" s="3">
        <v>0</v>
      </c>
      <c r="N376" s="3">
        <v>10</v>
      </c>
      <c r="O376" s="3">
        <v>5</v>
      </c>
      <c r="P376" s="3">
        <v>12</v>
      </c>
      <c r="Q376" s="3" t="s">
        <v>5715</v>
      </c>
      <c r="R376" s="6">
        <v>44804</v>
      </c>
    </row>
    <row r="377" spans="1:18" ht="12.5" x14ac:dyDescent="0.25">
      <c r="A377" s="21" t="str">
        <f>HYPERLINK("https://gerandofalcoes.my.salesforce.com/0014X00002VKCqDQAX", "0014X00002VKCqDQAX")</f>
        <v>0014X00002VKCqDQAX</v>
      </c>
      <c r="B377" s="3" t="s">
        <v>17748</v>
      </c>
      <c r="C377" s="3" t="s">
        <v>2538</v>
      </c>
      <c r="D377" s="3" t="s">
        <v>46</v>
      </c>
      <c r="E377" s="3">
        <v>36</v>
      </c>
      <c r="F377" s="3">
        <v>0</v>
      </c>
      <c r="G377" s="3">
        <v>3</v>
      </c>
      <c r="H377" s="3">
        <v>60000</v>
      </c>
      <c r="I377" s="3">
        <v>75</v>
      </c>
      <c r="J377" s="3" t="s">
        <v>17403</v>
      </c>
      <c r="K377" s="3">
        <v>38</v>
      </c>
      <c r="L377" s="3">
        <v>15</v>
      </c>
      <c r="M377" s="3">
        <v>0</v>
      </c>
      <c r="N377" s="3">
        <v>8</v>
      </c>
      <c r="O377" s="3">
        <v>10</v>
      </c>
      <c r="P377" s="3">
        <v>5</v>
      </c>
      <c r="Q377" s="3" t="s">
        <v>5050</v>
      </c>
      <c r="R377" s="6">
        <v>44804</v>
      </c>
    </row>
    <row r="378" spans="1:18" ht="12.5" x14ac:dyDescent="0.25">
      <c r="A378" s="21" t="str">
        <f>HYPERLINK("https://gerandofalcoes.my.salesforce.com/0014X00002VKCplQAH", "0014X00002VKCplQAH")</f>
        <v>0014X00002VKCplQAH</v>
      </c>
      <c r="B378" s="3" t="s">
        <v>17749</v>
      </c>
      <c r="C378" s="3" t="s">
        <v>2538</v>
      </c>
      <c r="D378" s="3" t="s">
        <v>46</v>
      </c>
      <c r="E378" s="3">
        <v>36</v>
      </c>
      <c r="F378" s="3">
        <v>20</v>
      </c>
      <c r="G378" s="3">
        <v>2</v>
      </c>
      <c r="H378" s="3">
        <v>300000</v>
      </c>
      <c r="I378" s="3">
        <v>50</v>
      </c>
      <c r="J378" s="3" t="s">
        <v>17403</v>
      </c>
      <c r="K378" s="3">
        <v>58</v>
      </c>
      <c r="L378" s="3">
        <v>15</v>
      </c>
      <c r="M378" s="3">
        <v>12</v>
      </c>
      <c r="N378" s="3">
        <v>6</v>
      </c>
      <c r="O378" s="3">
        <v>20</v>
      </c>
      <c r="P378" s="3">
        <v>5</v>
      </c>
      <c r="Q378" s="3" t="s">
        <v>4112</v>
      </c>
      <c r="R378" s="6">
        <v>44804</v>
      </c>
    </row>
    <row r="379" spans="1:18" ht="12.5" x14ac:dyDescent="0.25">
      <c r="A379" s="21" t="str">
        <f>HYPERLINK("https://gerandofalcoes.my.salesforce.com/0014X00002VKCqKQAX", "0014X00002VKCqKQAX")</f>
        <v>0014X00002VKCqKQAX</v>
      </c>
      <c r="B379" s="3" t="s">
        <v>5469</v>
      </c>
      <c r="C379" s="3" t="s">
        <v>2538</v>
      </c>
      <c r="D379" s="3" t="s">
        <v>46</v>
      </c>
      <c r="E379" s="3">
        <v>21</v>
      </c>
      <c r="F379" s="3">
        <v>0</v>
      </c>
      <c r="G379" s="3">
        <v>3</v>
      </c>
      <c r="H379" s="3">
        <v>70000</v>
      </c>
      <c r="I379" s="3">
        <v>0</v>
      </c>
      <c r="J379" s="3" t="s">
        <v>17403</v>
      </c>
      <c r="K379" s="3">
        <v>28</v>
      </c>
      <c r="L379" s="3">
        <v>10</v>
      </c>
      <c r="M379" s="3">
        <v>0</v>
      </c>
      <c r="N379" s="3">
        <v>8</v>
      </c>
      <c r="O379" s="3">
        <v>10</v>
      </c>
      <c r="P379" s="3">
        <v>0</v>
      </c>
      <c r="Q379" s="3" t="s">
        <v>5471</v>
      </c>
      <c r="R379" s="6">
        <v>44804</v>
      </c>
    </row>
    <row r="380" spans="1:18" ht="12.5" x14ac:dyDescent="0.25">
      <c r="A380" s="21" t="str">
        <f>HYPERLINK("https://gerandofalcoes.my.salesforce.com/0014X00002VKCq4QAH", "0014X00002VKCq4QAH")</f>
        <v>0014X00002VKCq4QAH</v>
      </c>
      <c r="B380" s="3" t="s">
        <v>17750</v>
      </c>
      <c r="C380" s="3" t="s">
        <v>2538</v>
      </c>
      <c r="D380" s="3" t="s">
        <v>46</v>
      </c>
      <c r="E380" s="3">
        <v>39</v>
      </c>
      <c r="F380" s="3">
        <v>0</v>
      </c>
      <c r="G380" s="3">
        <v>3</v>
      </c>
      <c r="H380" s="3">
        <v>30000</v>
      </c>
      <c r="I380" s="3">
        <v>560</v>
      </c>
      <c r="J380" s="3" t="s">
        <v>17403</v>
      </c>
      <c r="K380" s="3">
        <v>53</v>
      </c>
      <c r="L380" s="3">
        <v>15</v>
      </c>
      <c r="M380" s="3">
        <v>0</v>
      </c>
      <c r="N380" s="3">
        <v>8</v>
      </c>
      <c r="O380" s="3">
        <v>10</v>
      </c>
      <c r="P380" s="3">
        <v>20</v>
      </c>
      <c r="Q380" s="3" t="s">
        <v>4919</v>
      </c>
      <c r="R380" s="6">
        <v>44804</v>
      </c>
    </row>
    <row r="381" spans="1:18" ht="12.5" x14ac:dyDescent="0.25">
      <c r="A381" s="21" t="str">
        <f>HYPERLINK("https://gerandofalcoes.my.salesforce.com/0014X00002VKCpfQAH", "0014X00002VKCpfQAH")</f>
        <v>0014X00002VKCpfQAH</v>
      </c>
      <c r="B381" s="3" t="s">
        <v>17751</v>
      </c>
      <c r="C381" s="3" t="s">
        <v>2538</v>
      </c>
      <c r="D381" s="3" t="s">
        <v>46</v>
      </c>
      <c r="E381" s="3">
        <v>40</v>
      </c>
      <c r="F381" s="3">
        <v>0</v>
      </c>
      <c r="G381" s="3">
        <v>2</v>
      </c>
      <c r="H381" s="3">
        <v>100</v>
      </c>
      <c r="I381" s="3">
        <v>77</v>
      </c>
      <c r="J381" s="3" t="s">
        <v>17403</v>
      </c>
      <c r="K381" s="3">
        <v>31</v>
      </c>
      <c r="L381" s="3">
        <v>15</v>
      </c>
      <c r="M381" s="3">
        <v>0</v>
      </c>
      <c r="N381" s="3">
        <v>6</v>
      </c>
      <c r="O381" s="3">
        <v>5</v>
      </c>
      <c r="P381" s="3">
        <v>5</v>
      </c>
      <c r="Q381" s="3" t="s">
        <v>5375</v>
      </c>
      <c r="R381" s="6">
        <v>44804</v>
      </c>
    </row>
    <row r="382" spans="1:18" ht="12.5" x14ac:dyDescent="0.25">
      <c r="A382" s="21" t="str">
        <f>HYPERLINK("https://gerandofalcoes.my.salesforce.com/0014X00002VKCtKQAX", "0014X00002VKCtKQAX")</f>
        <v>0014X00002VKCtKQAX</v>
      </c>
      <c r="B382" s="3" t="s">
        <v>17752</v>
      </c>
      <c r="C382" s="3" t="s">
        <v>2538</v>
      </c>
      <c r="D382" s="3" t="s">
        <v>46</v>
      </c>
      <c r="E382" s="3">
        <v>25</v>
      </c>
      <c r="F382" s="3">
        <v>8</v>
      </c>
      <c r="G382" s="3">
        <v>2</v>
      </c>
      <c r="H382" s="3">
        <v>3000</v>
      </c>
      <c r="I382" s="3">
        <v>12</v>
      </c>
      <c r="J382" s="3" t="s">
        <v>17403</v>
      </c>
      <c r="K382" s="3">
        <v>41</v>
      </c>
      <c r="L382" s="3">
        <v>15</v>
      </c>
      <c r="M382" s="3">
        <v>10</v>
      </c>
      <c r="N382" s="3">
        <v>6</v>
      </c>
      <c r="O382" s="3">
        <v>5</v>
      </c>
      <c r="P382" s="3">
        <v>5</v>
      </c>
      <c r="Q382" s="3" t="s">
        <v>6735</v>
      </c>
      <c r="R382" s="6">
        <v>44804</v>
      </c>
    </row>
    <row r="383" spans="1:18" ht="12.5" x14ac:dyDescent="0.25">
      <c r="A383" s="21" t="str">
        <f>HYPERLINK("https://gerandofalcoes.my.salesforce.com/0014X00002VKCtmQAH", "0014X00002VKCtmQAH")</f>
        <v>0014X00002VKCtmQAH</v>
      </c>
      <c r="B383" s="3" t="s">
        <v>8110</v>
      </c>
      <c r="C383" s="3" t="s">
        <v>2538</v>
      </c>
      <c r="D383" s="3" t="s">
        <v>46</v>
      </c>
      <c r="E383" s="3">
        <v>20</v>
      </c>
      <c r="F383" s="3">
        <v>0</v>
      </c>
      <c r="G383" s="3">
        <v>2</v>
      </c>
      <c r="H383" s="3">
        <v>30000</v>
      </c>
      <c r="I383" s="3">
        <v>0</v>
      </c>
      <c r="J383" s="3" t="s">
        <v>17403</v>
      </c>
      <c r="K383" s="3">
        <v>26</v>
      </c>
      <c r="L383" s="3">
        <v>10</v>
      </c>
      <c r="M383" s="3">
        <v>0</v>
      </c>
      <c r="N383" s="3">
        <v>6</v>
      </c>
      <c r="O383" s="3">
        <v>10</v>
      </c>
      <c r="P383" s="3">
        <v>0</v>
      </c>
      <c r="Q383" s="3" t="s">
        <v>8112</v>
      </c>
      <c r="R383" s="6">
        <v>44804</v>
      </c>
    </row>
    <row r="384" spans="1:18" ht="12.5" x14ac:dyDescent="0.25">
      <c r="A384" s="21" t="str">
        <f>HYPERLINK("https://gerandofalcoes.my.salesforce.com/0014X00002VKCq0QAH", "0014X00002VKCq0QAH")</f>
        <v>0014X00002VKCq0QAH</v>
      </c>
      <c r="B384" s="3" t="s">
        <v>17753</v>
      </c>
      <c r="C384" s="3" t="s">
        <v>2538</v>
      </c>
      <c r="D384" s="3" t="s">
        <v>46</v>
      </c>
      <c r="E384" s="3">
        <v>6</v>
      </c>
      <c r="F384" s="3">
        <v>2</v>
      </c>
      <c r="G384" s="3">
        <v>3</v>
      </c>
      <c r="H384" s="3">
        <v>929000</v>
      </c>
      <c r="I384" s="3">
        <v>300</v>
      </c>
      <c r="J384" s="3" t="s">
        <v>17403</v>
      </c>
      <c r="K384" s="3">
        <v>63</v>
      </c>
      <c r="L384" s="3">
        <v>10</v>
      </c>
      <c r="M384" s="3">
        <v>5</v>
      </c>
      <c r="N384" s="3">
        <v>8</v>
      </c>
      <c r="O384" s="3">
        <v>25</v>
      </c>
      <c r="P384" s="3">
        <v>15</v>
      </c>
      <c r="Q384" s="3" t="s">
        <v>4316</v>
      </c>
      <c r="R384" s="6">
        <v>44804</v>
      </c>
    </row>
    <row r="385" spans="1:18" ht="12.5" x14ac:dyDescent="0.25">
      <c r="A385" s="21" t="str">
        <f>HYPERLINK("https://gerandofalcoes.my.salesforce.com/0014X00002VKCrRQAX", "0014X00002VKCrRQAX")</f>
        <v>0014X00002VKCrRQAX</v>
      </c>
      <c r="B385" s="3" t="s">
        <v>17754</v>
      </c>
      <c r="C385" s="3" t="s">
        <v>2538</v>
      </c>
      <c r="D385" s="3" t="s">
        <v>46</v>
      </c>
      <c r="E385" s="3">
        <v>43</v>
      </c>
      <c r="F385" s="3">
        <v>0</v>
      </c>
      <c r="G385" s="3">
        <v>2</v>
      </c>
      <c r="H385" s="3">
        <v>5000</v>
      </c>
      <c r="I385" s="3">
        <v>598</v>
      </c>
      <c r="J385" s="3" t="s">
        <v>17403</v>
      </c>
      <c r="K385" s="3">
        <v>46</v>
      </c>
      <c r="L385" s="3">
        <v>15</v>
      </c>
      <c r="M385" s="3">
        <v>0</v>
      </c>
      <c r="N385" s="3">
        <v>6</v>
      </c>
      <c r="O385" s="3">
        <v>5</v>
      </c>
      <c r="P385" s="3">
        <v>20</v>
      </c>
      <c r="Q385" s="3" t="s">
        <v>5847</v>
      </c>
      <c r="R385" s="6">
        <v>44804</v>
      </c>
    </row>
    <row r="386" spans="1:18" ht="12.5" x14ac:dyDescent="0.25">
      <c r="A386" s="21" t="str">
        <f>HYPERLINK("https://gerandofalcoes.my.salesforce.com/0014X00002VKCutQAH", "0014X00002VKCutQAH")</f>
        <v>0014X00002VKCutQAH</v>
      </c>
      <c r="B386" s="3" t="s">
        <v>17755</v>
      </c>
      <c r="C386" s="3" t="s">
        <v>2538</v>
      </c>
      <c r="D386" s="3" t="s">
        <v>46</v>
      </c>
      <c r="E386" s="3">
        <v>45</v>
      </c>
      <c r="F386" s="3">
        <v>8</v>
      </c>
      <c r="G386" s="3">
        <v>6</v>
      </c>
      <c r="H386" s="3">
        <v>145143</v>
      </c>
      <c r="I386" s="3">
        <v>65</v>
      </c>
      <c r="J386" s="3" t="s">
        <v>17403</v>
      </c>
      <c r="K386" s="3">
        <v>55</v>
      </c>
      <c r="L386" s="3">
        <v>15</v>
      </c>
      <c r="M386" s="3">
        <v>10</v>
      </c>
      <c r="N386" s="3">
        <v>10</v>
      </c>
      <c r="O386" s="3">
        <v>15</v>
      </c>
      <c r="P386" s="3">
        <v>5</v>
      </c>
      <c r="Q386" s="3" t="s">
        <v>7792</v>
      </c>
      <c r="R386" s="6">
        <v>44804</v>
      </c>
    </row>
    <row r="387" spans="1:18" ht="12.5" x14ac:dyDescent="0.25">
      <c r="A387" s="21" t="str">
        <f>HYPERLINK("https://gerandofalcoes.my.salesforce.com/0014X00002VKCpgQAH", "0014X00002VKCpgQAH")</f>
        <v>0014X00002VKCpgQAH</v>
      </c>
      <c r="B387" s="3" t="s">
        <v>17756</v>
      </c>
      <c r="C387" s="3" t="s">
        <v>2538</v>
      </c>
      <c r="D387" s="3" t="s">
        <v>46</v>
      </c>
      <c r="E387" s="3">
        <v>29</v>
      </c>
      <c r="F387" s="3">
        <v>1</v>
      </c>
      <c r="G387" s="3">
        <v>2</v>
      </c>
      <c r="H387" s="3">
        <v>3000</v>
      </c>
      <c r="I387" s="3">
        <v>50</v>
      </c>
      <c r="J387" s="3" t="s">
        <v>17403</v>
      </c>
      <c r="K387" s="3">
        <v>36</v>
      </c>
      <c r="L387" s="3">
        <v>15</v>
      </c>
      <c r="M387" s="3">
        <v>5</v>
      </c>
      <c r="N387" s="3">
        <v>6</v>
      </c>
      <c r="O387" s="3">
        <v>5</v>
      </c>
      <c r="P387" s="3">
        <v>5</v>
      </c>
      <c r="Q387" s="3" t="s">
        <v>5394</v>
      </c>
      <c r="R387" s="6">
        <v>44804</v>
      </c>
    </row>
    <row r="388" spans="1:18" ht="12.5" x14ac:dyDescent="0.25">
      <c r="A388" s="21" t="str">
        <f>HYPERLINK("https://gerandofalcoes.my.salesforce.com/0014X00002VKCtGQAX", "0014X00002VKCtGQAX")</f>
        <v>0014X00002VKCtGQAX</v>
      </c>
      <c r="B388" s="3" t="s">
        <v>6665</v>
      </c>
      <c r="C388" s="3" t="s">
        <v>2538</v>
      </c>
      <c r="D388" s="3" t="s">
        <v>46</v>
      </c>
      <c r="E388" s="3">
        <v>23</v>
      </c>
      <c r="F388" s="3">
        <v>0</v>
      </c>
      <c r="G388" s="3">
        <v>4</v>
      </c>
      <c r="H388" s="3">
        <v>2000</v>
      </c>
      <c r="I388" s="3">
        <v>90</v>
      </c>
      <c r="J388" s="3" t="s">
        <v>17403</v>
      </c>
      <c r="K388" s="3">
        <v>35</v>
      </c>
      <c r="L388" s="3">
        <v>10</v>
      </c>
      <c r="M388" s="3">
        <v>0</v>
      </c>
      <c r="N388" s="3">
        <v>10</v>
      </c>
      <c r="O388" s="3">
        <v>5</v>
      </c>
      <c r="P388" s="3">
        <v>10</v>
      </c>
      <c r="Q388" s="3" t="s">
        <v>6667</v>
      </c>
      <c r="R388" s="6">
        <v>44804</v>
      </c>
    </row>
    <row r="389" spans="1:18" ht="12.5" x14ac:dyDescent="0.25">
      <c r="A389" s="21" t="str">
        <f>HYPERLINK("https://gerandofalcoes.my.salesforce.com/0014X00002VKCsvQAH", "0014X00002VKCsvQAH")</f>
        <v>0014X00002VKCsvQAH</v>
      </c>
      <c r="B389" s="3" t="s">
        <v>6348</v>
      </c>
      <c r="C389" s="3" t="s">
        <v>2538</v>
      </c>
      <c r="D389" s="3" t="s">
        <v>46</v>
      </c>
      <c r="E389" s="3">
        <v>23</v>
      </c>
      <c r="F389" s="3">
        <v>4</v>
      </c>
      <c r="G389" s="3">
        <v>2</v>
      </c>
      <c r="H389" s="3">
        <v>0</v>
      </c>
      <c r="I389" s="3">
        <v>0</v>
      </c>
      <c r="J389" s="3" t="s">
        <v>17403</v>
      </c>
      <c r="K389" s="3">
        <v>21</v>
      </c>
      <c r="L389" s="3">
        <v>10</v>
      </c>
      <c r="M389" s="3">
        <v>5</v>
      </c>
      <c r="N389" s="3">
        <v>6</v>
      </c>
      <c r="O389" s="3">
        <v>0</v>
      </c>
      <c r="P389" s="3">
        <v>0</v>
      </c>
      <c r="Q389" s="3" t="s">
        <v>6350</v>
      </c>
      <c r="R389" s="6">
        <v>44804</v>
      </c>
    </row>
    <row r="390" spans="1:18" ht="12.5" x14ac:dyDescent="0.25">
      <c r="A390" s="21" t="str">
        <f>HYPERLINK("https://gerandofalcoes.my.salesforce.com/0014X00002VKCuvQAH", "0014X00002VKCuvQAH")</f>
        <v>0014X00002VKCuvQAH</v>
      </c>
      <c r="B390" s="3" t="s">
        <v>17757</v>
      </c>
      <c r="C390" s="3" t="s">
        <v>2538</v>
      </c>
      <c r="D390" s="3" t="s">
        <v>46</v>
      </c>
      <c r="E390" s="3">
        <v>42</v>
      </c>
      <c r="F390" s="3">
        <v>44</v>
      </c>
      <c r="G390" s="3">
        <v>6</v>
      </c>
      <c r="H390" s="3">
        <v>900000</v>
      </c>
      <c r="I390" s="3">
        <v>460</v>
      </c>
      <c r="J390" s="3" t="s">
        <v>17405</v>
      </c>
      <c r="K390" s="3">
        <v>85</v>
      </c>
      <c r="L390" s="3">
        <v>15</v>
      </c>
      <c r="M390" s="3">
        <v>15</v>
      </c>
      <c r="N390" s="3">
        <v>10</v>
      </c>
      <c r="O390" s="3">
        <v>25</v>
      </c>
      <c r="P390" s="3">
        <v>20</v>
      </c>
      <c r="Q390" s="3" t="s">
        <v>7821</v>
      </c>
      <c r="R390" s="6">
        <v>44804</v>
      </c>
    </row>
    <row r="391" spans="1:18" ht="12.5" x14ac:dyDescent="0.25">
      <c r="A391" s="21" t="str">
        <f>HYPERLINK("https://gerandofalcoes.my.salesforce.com/0014X00002VKCpIQAX", "0014X00002VKCpIQAX")</f>
        <v>0014X00002VKCpIQAX</v>
      </c>
      <c r="B391" s="3" t="s">
        <v>4052</v>
      </c>
      <c r="C391" s="3" t="s">
        <v>2538</v>
      </c>
      <c r="D391" s="3" t="s">
        <v>46</v>
      </c>
      <c r="E391" s="3">
        <v>21</v>
      </c>
      <c r="F391" s="3">
        <v>0</v>
      </c>
      <c r="G391" s="3">
        <v>4</v>
      </c>
      <c r="H391" s="3">
        <v>300</v>
      </c>
      <c r="I391" s="3">
        <v>50</v>
      </c>
      <c r="J391" s="3" t="s">
        <v>17403</v>
      </c>
      <c r="K391" s="3">
        <v>30</v>
      </c>
      <c r="L391" s="3">
        <v>10</v>
      </c>
      <c r="M391" s="3">
        <v>0</v>
      </c>
      <c r="N391" s="3">
        <v>10</v>
      </c>
      <c r="O391" s="3">
        <v>5</v>
      </c>
      <c r="P391" s="3">
        <v>5</v>
      </c>
      <c r="Q391" s="3" t="s">
        <v>4054</v>
      </c>
      <c r="R391" s="6">
        <v>44804</v>
      </c>
    </row>
    <row r="392" spans="1:18" ht="12.5" x14ac:dyDescent="0.25">
      <c r="A392" s="21" t="str">
        <f>HYPERLINK("https://gerandofalcoes.my.salesforce.com/0014X00002VKCqHQAX", "0014X00002VKCqHQAX")</f>
        <v>0014X00002VKCqHQAX</v>
      </c>
      <c r="B392" s="3" t="s">
        <v>17758</v>
      </c>
      <c r="C392" s="3" t="s">
        <v>2538</v>
      </c>
      <c r="D392" s="3" t="s">
        <v>46</v>
      </c>
      <c r="E392" s="3">
        <v>50</v>
      </c>
      <c r="F392" s="3">
        <v>0</v>
      </c>
      <c r="G392" s="3">
        <v>5</v>
      </c>
      <c r="H392" s="3">
        <v>521000</v>
      </c>
      <c r="I392" s="3">
        <v>352</v>
      </c>
      <c r="J392" s="3" t="s">
        <v>17406</v>
      </c>
      <c r="K392" s="3">
        <v>65</v>
      </c>
      <c r="L392" s="3">
        <v>20</v>
      </c>
      <c r="M392" s="3">
        <v>0</v>
      </c>
      <c r="N392" s="3">
        <v>10</v>
      </c>
      <c r="O392" s="3">
        <v>20</v>
      </c>
      <c r="P392" s="3">
        <v>15</v>
      </c>
      <c r="Q392" s="3" t="s">
        <v>5436</v>
      </c>
      <c r="R392" s="6">
        <v>44804</v>
      </c>
    </row>
    <row r="393" spans="1:18" ht="12.5" x14ac:dyDescent="0.25">
      <c r="A393" s="21" t="str">
        <f>HYPERLINK("https://gerandofalcoes.my.salesforce.com/0014X00002VKCqZQAX", "0014X00002VKCqZQAX")</f>
        <v>0014X00002VKCqZQAX</v>
      </c>
      <c r="B393" s="3" t="s">
        <v>17759</v>
      </c>
      <c r="C393" s="3" t="s">
        <v>2538</v>
      </c>
      <c r="D393" s="3" t="s">
        <v>46</v>
      </c>
      <c r="E393" s="3">
        <v>38</v>
      </c>
      <c r="F393" s="3">
        <v>0</v>
      </c>
      <c r="G393" s="3">
        <v>2</v>
      </c>
      <c r="H393" s="3">
        <v>10000</v>
      </c>
      <c r="I393" s="3">
        <v>40</v>
      </c>
      <c r="J393" s="3" t="s">
        <v>17403</v>
      </c>
      <c r="K393" s="3">
        <v>31</v>
      </c>
      <c r="L393" s="3">
        <v>15</v>
      </c>
      <c r="M393" s="3">
        <v>0</v>
      </c>
      <c r="N393" s="3">
        <v>6</v>
      </c>
      <c r="O393" s="3">
        <v>5</v>
      </c>
      <c r="P393" s="3">
        <v>5</v>
      </c>
      <c r="Q393" s="3"/>
      <c r="R393" s="6">
        <v>44804</v>
      </c>
    </row>
    <row r="394" spans="1:18" ht="12.5" x14ac:dyDescent="0.25">
      <c r="A394" s="21" t="str">
        <f>HYPERLINK("https://gerandofalcoes.my.salesforce.com/0014X00002VKCuBQAX", "0014X00002VKCuBQAX")</f>
        <v>0014X00002VKCuBQAX</v>
      </c>
      <c r="B394" s="3" t="s">
        <v>17760</v>
      </c>
      <c r="C394" s="3" t="s">
        <v>2538</v>
      </c>
      <c r="D394" s="3" t="s">
        <v>46</v>
      </c>
      <c r="E394" s="3">
        <v>37</v>
      </c>
      <c r="F394" s="3">
        <v>0</v>
      </c>
      <c r="G394" s="3">
        <v>2</v>
      </c>
      <c r="H394" s="3">
        <v>10000</v>
      </c>
      <c r="I394" s="3">
        <v>102</v>
      </c>
      <c r="J394" s="3" t="s">
        <v>17403</v>
      </c>
      <c r="K394" s="3">
        <v>36</v>
      </c>
      <c r="L394" s="3">
        <v>15</v>
      </c>
      <c r="M394" s="3">
        <v>0</v>
      </c>
      <c r="N394" s="3">
        <v>6</v>
      </c>
      <c r="O394" s="3">
        <v>5</v>
      </c>
      <c r="P394" s="3">
        <v>10</v>
      </c>
      <c r="Q394" s="3" t="s">
        <v>8617</v>
      </c>
      <c r="R394" s="6">
        <v>44804</v>
      </c>
    </row>
    <row r="395" spans="1:18" ht="12.5" x14ac:dyDescent="0.25">
      <c r="A395" s="21" t="str">
        <f>HYPERLINK("https://gerandofalcoes.my.salesforce.com/0014X00002VKCuKQAX", "0014X00002VKCuKQAX")</f>
        <v>0014X00002VKCuKQAX</v>
      </c>
      <c r="B395" s="3" t="s">
        <v>17761</v>
      </c>
      <c r="C395" s="3" t="s">
        <v>2538</v>
      </c>
      <c r="D395" s="3" t="s">
        <v>46</v>
      </c>
      <c r="E395" s="3">
        <v>40</v>
      </c>
      <c r="F395" s="3">
        <v>2</v>
      </c>
      <c r="G395" s="3">
        <v>3</v>
      </c>
      <c r="H395" s="3">
        <v>5000</v>
      </c>
      <c r="I395" s="3">
        <v>20</v>
      </c>
      <c r="J395" s="3" t="s">
        <v>17403</v>
      </c>
      <c r="K395" s="3">
        <v>38</v>
      </c>
      <c r="L395" s="3">
        <v>15</v>
      </c>
      <c r="M395" s="3">
        <v>5</v>
      </c>
      <c r="N395" s="3">
        <v>8</v>
      </c>
      <c r="O395" s="3">
        <v>5</v>
      </c>
      <c r="P395" s="3">
        <v>5</v>
      </c>
      <c r="Q395" s="3" t="s">
        <v>6861</v>
      </c>
      <c r="R395" s="6">
        <v>44804</v>
      </c>
    </row>
    <row r="396" spans="1:18" ht="12.5" x14ac:dyDescent="0.25">
      <c r="A396" s="21" t="str">
        <f>HYPERLINK("https://gerandofalcoes.my.salesforce.com/0014X00002VKCptQAH", "0014X00002VKCptQAH")</f>
        <v>0014X00002VKCptQAH</v>
      </c>
      <c r="B396" s="3" t="s">
        <v>17762</v>
      </c>
      <c r="C396" s="3" t="s">
        <v>2538</v>
      </c>
      <c r="D396" s="3" t="s">
        <v>46</v>
      </c>
      <c r="E396" s="3">
        <v>40</v>
      </c>
      <c r="F396" s="3">
        <v>8</v>
      </c>
      <c r="G396" s="3">
        <v>2</v>
      </c>
      <c r="H396" s="3">
        <v>127272</v>
      </c>
      <c r="I396" s="3">
        <v>0</v>
      </c>
      <c r="J396" s="3" t="s">
        <v>17403</v>
      </c>
      <c r="K396" s="3">
        <v>46</v>
      </c>
      <c r="L396" s="3">
        <v>15</v>
      </c>
      <c r="M396" s="3">
        <v>10</v>
      </c>
      <c r="N396" s="3">
        <v>6</v>
      </c>
      <c r="O396" s="3">
        <v>15</v>
      </c>
      <c r="P396" s="3">
        <v>0</v>
      </c>
      <c r="Q396" s="3" t="s">
        <v>4196</v>
      </c>
      <c r="R396" s="6">
        <v>44804</v>
      </c>
    </row>
    <row r="397" spans="1:18" ht="12.5" x14ac:dyDescent="0.25">
      <c r="A397" s="21" t="str">
        <f>HYPERLINK("https://gerandofalcoes.my.salesforce.com/0014X00002VKCowQAH", "0014X00002VKCowQAH")</f>
        <v>0014X00002VKCowQAH</v>
      </c>
      <c r="B397" s="3" t="s">
        <v>17763</v>
      </c>
      <c r="C397" s="3" t="s">
        <v>2538</v>
      </c>
      <c r="D397" s="3" t="s">
        <v>46</v>
      </c>
      <c r="E397" s="3">
        <v>27</v>
      </c>
      <c r="F397" s="3">
        <v>0</v>
      </c>
      <c r="G397" s="3">
        <v>3</v>
      </c>
      <c r="H397" s="3">
        <v>0</v>
      </c>
      <c r="I397" s="3">
        <v>40</v>
      </c>
      <c r="J397" s="3" t="s">
        <v>17403</v>
      </c>
      <c r="K397" s="3">
        <v>28</v>
      </c>
      <c r="L397" s="3">
        <v>15</v>
      </c>
      <c r="M397" s="3">
        <v>0</v>
      </c>
      <c r="N397" s="3">
        <v>8</v>
      </c>
      <c r="O397" s="3">
        <v>0</v>
      </c>
      <c r="P397" s="3">
        <v>5</v>
      </c>
      <c r="Q397" s="3"/>
      <c r="R397" s="6">
        <v>44804</v>
      </c>
    </row>
    <row r="398" spans="1:18" ht="12.5" x14ac:dyDescent="0.25">
      <c r="A398" s="21" t="str">
        <f>HYPERLINK("https://gerandofalcoes.my.salesforce.com/0014X00002VKCsYQAX", "0014X00002VKCsYQAX")</f>
        <v>0014X00002VKCsYQAX</v>
      </c>
      <c r="B398" s="3" t="s">
        <v>17764</v>
      </c>
      <c r="C398" s="3" t="s">
        <v>2538</v>
      </c>
      <c r="D398" s="3" t="s">
        <v>46</v>
      </c>
      <c r="E398" s="3">
        <v>25</v>
      </c>
      <c r="F398" s="3">
        <v>0</v>
      </c>
      <c r="G398" s="3">
        <v>1</v>
      </c>
      <c r="H398" s="3">
        <v>0</v>
      </c>
      <c r="I398" s="3">
        <v>0</v>
      </c>
      <c r="J398" s="3" t="s">
        <v>17403</v>
      </c>
      <c r="K398" s="3">
        <v>19</v>
      </c>
      <c r="L398" s="3">
        <v>15</v>
      </c>
      <c r="M398" s="3">
        <v>0</v>
      </c>
      <c r="N398" s="3">
        <v>4</v>
      </c>
      <c r="O398" s="3">
        <v>0</v>
      </c>
      <c r="P398" s="3">
        <v>0</v>
      </c>
      <c r="Q398" s="3" t="s">
        <v>6438</v>
      </c>
      <c r="R398" s="6">
        <v>44804</v>
      </c>
    </row>
    <row r="399" spans="1:18" ht="12.5" x14ac:dyDescent="0.25">
      <c r="A399" s="21" t="str">
        <f>HYPERLINK("https://gerandofalcoes.my.salesforce.com/0014X00002VKCusQAH", "0014X00002VKCusQAH")</f>
        <v>0014X00002VKCusQAH</v>
      </c>
      <c r="B399" s="3" t="s">
        <v>7767</v>
      </c>
      <c r="C399" s="3" t="s">
        <v>2538</v>
      </c>
      <c r="D399" s="3" t="s">
        <v>46</v>
      </c>
      <c r="E399" s="3">
        <v>41</v>
      </c>
      <c r="F399" s="3">
        <v>0</v>
      </c>
      <c r="G399" s="3">
        <v>2</v>
      </c>
      <c r="H399" s="3">
        <v>3000</v>
      </c>
      <c r="I399" s="3">
        <v>137</v>
      </c>
      <c r="J399" s="3" t="s">
        <v>17403</v>
      </c>
      <c r="K399" s="3">
        <v>36</v>
      </c>
      <c r="L399" s="3">
        <v>15</v>
      </c>
      <c r="M399" s="3">
        <v>0</v>
      </c>
      <c r="N399" s="3">
        <v>6</v>
      </c>
      <c r="O399" s="3">
        <v>5</v>
      </c>
      <c r="P399" s="3">
        <v>10</v>
      </c>
      <c r="Q399" s="3" t="s">
        <v>7770</v>
      </c>
      <c r="R399" s="6">
        <v>44804</v>
      </c>
    </row>
    <row r="400" spans="1:18" ht="12.5" x14ac:dyDescent="0.25">
      <c r="A400" s="21" t="str">
        <f>HYPERLINK("https://gerandofalcoes.my.salesforce.com/0014X00002VKCpnQAH", "0014X00002VKCpnQAH")</f>
        <v>0014X00002VKCpnQAH</v>
      </c>
      <c r="B400" s="3" t="s">
        <v>17765</v>
      </c>
      <c r="C400" s="3" t="s">
        <v>2538</v>
      </c>
      <c r="D400" s="3" t="s">
        <v>46</v>
      </c>
      <c r="E400" s="3">
        <v>13</v>
      </c>
      <c r="F400" s="3">
        <v>0</v>
      </c>
      <c r="G400" s="3">
        <v>2</v>
      </c>
      <c r="H400" s="3">
        <v>10000</v>
      </c>
      <c r="I400" s="3">
        <v>0</v>
      </c>
      <c r="J400" s="3" t="s">
        <v>17403</v>
      </c>
      <c r="K400" s="3">
        <v>21</v>
      </c>
      <c r="L400" s="3">
        <v>10</v>
      </c>
      <c r="M400" s="3">
        <v>0</v>
      </c>
      <c r="N400" s="3">
        <v>6</v>
      </c>
      <c r="O400" s="3">
        <v>5</v>
      </c>
      <c r="P400" s="3">
        <v>0</v>
      </c>
      <c r="Q400" s="3" t="s">
        <v>4149</v>
      </c>
      <c r="R400" s="6">
        <v>44804</v>
      </c>
    </row>
    <row r="401" spans="1:18" ht="12.5" x14ac:dyDescent="0.25">
      <c r="A401" s="21" t="str">
        <f>HYPERLINK("https://gerandofalcoes.my.salesforce.com/0014X00002VKCqQQAX", "0014X00002VKCqQQAX")</f>
        <v>0014X00002VKCqQQAX</v>
      </c>
      <c r="B401" s="3" t="s">
        <v>5576</v>
      </c>
      <c r="C401" s="3" t="s">
        <v>2538</v>
      </c>
      <c r="D401" s="3" t="s">
        <v>46</v>
      </c>
      <c r="E401" s="3">
        <v>17</v>
      </c>
      <c r="F401" s="3">
        <v>0</v>
      </c>
      <c r="G401" s="3">
        <v>2</v>
      </c>
      <c r="H401" s="3">
        <v>0</v>
      </c>
      <c r="I401" s="3">
        <v>20</v>
      </c>
      <c r="J401" s="3" t="s">
        <v>17403</v>
      </c>
      <c r="K401" s="3">
        <v>21</v>
      </c>
      <c r="L401" s="3">
        <v>10</v>
      </c>
      <c r="M401" s="3">
        <v>0</v>
      </c>
      <c r="N401" s="3">
        <v>6</v>
      </c>
      <c r="O401" s="3">
        <v>0</v>
      </c>
      <c r="P401" s="3">
        <v>5</v>
      </c>
      <c r="Q401" s="3" t="s">
        <v>5580</v>
      </c>
      <c r="R401" s="6">
        <v>44804</v>
      </c>
    </row>
    <row r="402" spans="1:18" ht="12.5" x14ac:dyDescent="0.25">
      <c r="A402" s="21" t="str">
        <f>HYPERLINK("https://gerandofalcoes.my.salesforce.com/0014X00002VKCqfQAH", "0014X00002VKCqfQAH")</f>
        <v>0014X00002VKCqfQAH</v>
      </c>
      <c r="B402" s="3" t="s">
        <v>17766</v>
      </c>
      <c r="C402" s="3" t="s">
        <v>2538</v>
      </c>
      <c r="D402" s="3" t="s">
        <v>46</v>
      </c>
      <c r="E402" s="3">
        <v>39</v>
      </c>
      <c r="F402" s="3">
        <v>0</v>
      </c>
      <c r="G402" s="3">
        <v>2</v>
      </c>
      <c r="H402" s="3">
        <v>14000</v>
      </c>
      <c r="I402" s="3">
        <v>0</v>
      </c>
      <c r="J402" s="3" t="s">
        <v>17403</v>
      </c>
      <c r="K402" s="3">
        <v>26</v>
      </c>
      <c r="L402" s="3">
        <v>15</v>
      </c>
      <c r="M402" s="3">
        <v>0</v>
      </c>
      <c r="N402" s="3">
        <v>6</v>
      </c>
      <c r="O402" s="3">
        <v>5</v>
      </c>
      <c r="P402" s="3">
        <v>0</v>
      </c>
      <c r="Q402" s="3" t="s">
        <v>5674</v>
      </c>
      <c r="R402" s="6">
        <v>44804</v>
      </c>
    </row>
    <row r="403" spans="1:18" ht="12.5" x14ac:dyDescent="0.25">
      <c r="A403" s="21" t="str">
        <f>HYPERLINK("https://gerandofalcoes.my.salesforce.com/0014X00002VKCsWQAX", "0014X00002VKCsWQAX")</f>
        <v>0014X00002VKCsWQAX</v>
      </c>
      <c r="B403" s="3" t="s">
        <v>17767</v>
      </c>
      <c r="C403" s="3" t="s">
        <v>2538</v>
      </c>
      <c r="D403" s="3" t="s">
        <v>46</v>
      </c>
      <c r="E403" s="3">
        <v>32</v>
      </c>
      <c r="F403" s="3">
        <v>3</v>
      </c>
      <c r="G403" s="3">
        <v>2</v>
      </c>
      <c r="H403" s="3">
        <v>1000</v>
      </c>
      <c r="I403" s="3">
        <v>1200</v>
      </c>
      <c r="J403" s="3" t="s">
        <v>17403</v>
      </c>
      <c r="K403" s="3">
        <v>51</v>
      </c>
      <c r="L403" s="3">
        <v>15</v>
      </c>
      <c r="M403" s="3">
        <v>5</v>
      </c>
      <c r="N403" s="3">
        <v>6</v>
      </c>
      <c r="O403" s="3">
        <v>5</v>
      </c>
      <c r="P403" s="3">
        <v>20</v>
      </c>
      <c r="Q403" s="3" t="s">
        <v>7880</v>
      </c>
      <c r="R403" s="6">
        <v>44804</v>
      </c>
    </row>
    <row r="404" spans="1:18" ht="12.5" x14ac:dyDescent="0.25">
      <c r="A404" s="21" t="str">
        <f>HYPERLINK("https://gerandofalcoes.my.salesforce.com/0014X00002VKCrNQAX", "0014X00002VKCrNQAX")</f>
        <v>0014X00002VKCrNQAX</v>
      </c>
      <c r="B404" s="3" t="s">
        <v>17768</v>
      </c>
      <c r="C404" s="3" t="s">
        <v>2538</v>
      </c>
      <c r="D404" s="3" t="s">
        <v>46</v>
      </c>
      <c r="E404" s="3">
        <v>37</v>
      </c>
      <c r="F404" s="3">
        <v>10</v>
      </c>
      <c r="G404" s="3">
        <v>2</v>
      </c>
      <c r="H404" s="3">
        <v>20000</v>
      </c>
      <c r="I404" s="3">
        <v>230</v>
      </c>
      <c r="J404" s="3" t="s">
        <v>17403</v>
      </c>
      <c r="K404" s="3">
        <v>48</v>
      </c>
      <c r="L404" s="3">
        <v>15</v>
      </c>
      <c r="M404" s="3">
        <v>10</v>
      </c>
      <c r="N404" s="3">
        <v>6</v>
      </c>
      <c r="O404" s="3">
        <v>5</v>
      </c>
      <c r="P404" s="3">
        <v>12</v>
      </c>
      <c r="Q404" s="3" t="s">
        <v>5227</v>
      </c>
      <c r="R404" s="6">
        <v>44804</v>
      </c>
    </row>
    <row r="405" spans="1:18" ht="12.5" x14ac:dyDescent="0.25">
      <c r="A405" s="21" t="str">
        <f>HYPERLINK("https://gerandofalcoes.my.salesforce.com/0014X00002VKCqWQAX", "0014X00002VKCqWQAX")</f>
        <v>0014X00002VKCqWQAX</v>
      </c>
      <c r="B405" s="3" t="s">
        <v>17769</v>
      </c>
      <c r="C405" s="3" t="s">
        <v>2538</v>
      </c>
      <c r="D405" s="3" t="s">
        <v>46</v>
      </c>
      <c r="E405" s="3">
        <v>35</v>
      </c>
      <c r="F405" s="3">
        <v>2</v>
      </c>
      <c r="G405" s="3">
        <v>3</v>
      </c>
      <c r="H405" s="3">
        <v>11579</v>
      </c>
      <c r="I405" s="3">
        <v>20</v>
      </c>
      <c r="J405" s="3" t="s">
        <v>17403</v>
      </c>
      <c r="K405" s="3">
        <v>38</v>
      </c>
      <c r="L405" s="3">
        <v>15</v>
      </c>
      <c r="M405" s="3">
        <v>5</v>
      </c>
      <c r="N405" s="3">
        <v>8</v>
      </c>
      <c r="O405" s="3">
        <v>5</v>
      </c>
      <c r="P405" s="3">
        <v>5</v>
      </c>
      <c r="Q405" s="3" t="s">
        <v>4451</v>
      </c>
      <c r="R405" s="6">
        <v>44804</v>
      </c>
    </row>
    <row r="406" spans="1:18" ht="12.5" x14ac:dyDescent="0.25">
      <c r="A406" s="21" t="str">
        <f>HYPERLINK("https://gerandofalcoes.my.salesforce.com/0014X00002VKCqPQAX", "0014X00002VKCqPQAX")</f>
        <v>0014X00002VKCqPQAX</v>
      </c>
      <c r="B406" s="3" t="s">
        <v>5555</v>
      </c>
      <c r="C406" s="3" t="s">
        <v>2538</v>
      </c>
      <c r="D406" s="3" t="s">
        <v>46</v>
      </c>
      <c r="E406" s="3">
        <v>34</v>
      </c>
      <c r="F406" s="3">
        <v>5</v>
      </c>
      <c r="G406" s="3">
        <v>2</v>
      </c>
      <c r="H406" s="3">
        <v>32000</v>
      </c>
      <c r="I406" s="3">
        <v>186</v>
      </c>
      <c r="J406" s="3" t="s">
        <v>17403</v>
      </c>
      <c r="K406" s="3">
        <v>48</v>
      </c>
      <c r="L406" s="3">
        <v>15</v>
      </c>
      <c r="M406" s="3">
        <v>5</v>
      </c>
      <c r="N406" s="3">
        <v>6</v>
      </c>
      <c r="O406" s="3">
        <v>10</v>
      </c>
      <c r="P406" s="3">
        <v>12</v>
      </c>
      <c r="Q406" s="3" t="s">
        <v>5559</v>
      </c>
      <c r="R406" s="6">
        <v>44804</v>
      </c>
    </row>
    <row r="407" spans="1:18" ht="12.5" x14ac:dyDescent="0.25">
      <c r="A407" s="21" t="str">
        <f>HYPERLINK("https://gerandofalcoes.my.salesforce.com/0014X00002VKCqkQAH", "0014X00002VKCqkQAH")</f>
        <v>0014X00002VKCqkQAH</v>
      </c>
      <c r="B407" s="3" t="s">
        <v>17770</v>
      </c>
      <c r="C407" s="3" t="s">
        <v>2538</v>
      </c>
      <c r="D407" s="3" t="s">
        <v>46</v>
      </c>
      <c r="E407" s="3">
        <v>41</v>
      </c>
      <c r="F407" s="3">
        <v>0</v>
      </c>
      <c r="G407" s="3">
        <v>2</v>
      </c>
      <c r="H407" s="3">
        <v>12000</v>
      </c>
      <c r="I407" s="3">
        <v>1523</v>
      </c>
      <c r="J407" s="3" t="s">
        <v>17403</v>
      </c>
      <c r="K407" s="3">
        <v>46</v>
      </c>
      <c r="L407" s="3">
        <v>15</v>
      </c>
      <c r="M407" s="3">
        <v>0</v>
      </c>
      <c r="N407" s="3">
        <v>6</v>
      </c>
      <c r="O407" s="3">
        <v>5</v>
      </c>
      <c r="P407" s="3">
        <v>20</v>
      </c>
      <c r="Q407" s="3" t="s">
        <v>5746</v>
      </c>
      <c r="R407" s="6">
        <v>44804</v>
      </c>
    </row>
    <row r="408" spans="1:18" ht="12.5" x14ac:dyDescent="0.25">
      <c r="A408" s="21" t="str">
        <f>HYPERLINK("https://gerandofalcoes.my.salesforce.com/0014X00002VKCt2QAH", "0014X00002VKCt2QAH")</f>
        <v>0014X00002VKCt2QAH</v>
      </c>
      <c r="B408" s="3" t="s">
        <v>6454</v>
      </c>
      <c r="C408" s="3" t="s">
        <v>2538</v>
      </c>
      <c r="D408" s="3" t="s">
        <v>46</v>
      </c>
      <c r="E408" s="3">
        <v>71</v>
      </c>
      <c r="F408" s="3">
        <v>4</v>
      </c>
      <c r="G408" s="3">
        <v>3</v>
      </c>
      <c r="H408" s="3">
        <v>238000</v>
      </c>
      <c r="I408" s="3">
        <v>133</v>
      </c>
      <c r="J408" s="3" t="s">
        <v>17403</v>
      </c>
      <c r="K408" s="3">
        <v>58</v>
      </c>
      <c r="L408" s="3">
        <v>20</v>
      </c>
      <c r="M408" s="3">
        <v>5</v>
      </c>
      <c r="N408" s="3">
        <v>8</v>
      </c>
      <c r="O408" s="3">
        <v>15</v>
      </c>
      <c r="P408" s="3">
        <v>10</v>
      </c>
      <c r="Q408" s="3" t="s">
        <v>6458</v>
      </c>
      <c r="R408" s="6">
        <v>44804</v>
      </c>
    </row>
    <row r="409" spans="1:18" ht="12.5" x14ac:dyDescent="0.25">
      <c r="A409" s="21" t="str">
        <f>HYPERLINK("https://gerandofalcoes.my.salesforce.com/0014X00002VKCt3QAH", "0014X00002VKCt3QAH")</f>
        <v>0014X00002VKCt3QAH</v>
      </c>
      <c r="B409" s="3" t="s">
        <v>17771</v>
      </c>
      <c r="C409" s="3" t="s">
        <v>2538</v>
      </c>
      <c r="D409" s="3" t="s">
        <v>46</v>
      </c>
      <c r="E409" s="3">
        <v>21</v>
      </c>
      <c r="F409" s="3">
        <v>0</v>
      </c>
      <c r="G409" s="3">
        <v>2</v>
      </c>
      <c r="H409" s="3">
        <v>1</v>
      </c>
      <c r="I409" s="3">
        <v>100</v>
      </c>
      <c r="J409" s="3" t="s">
        <v>17403</v>
      </c>
      <c r="K409" s="3">
        <v>31</v>
      </c>
      <c r="L409" s="3">
        <v>10</v>
      </c>
      <c r="M409" s="3">
        <v>0</v>
      </c>
      <c r="N409" s="3">
        <v>6</v>
      </c>
      <c r="O409" s="3">
        <v>5</v>
      </c>
      <c r="P409" s="3">
        <v>10</v>
      </c>
      <c r="Q409" s="3" t="s">
        <v>6478</v>
      </c>
      <c r="R409" s="6">
        <v>44804</v>
      </c>
    </row>
    <row r="410" spans="1:18" ht="12.5" x14ac:dyDescent="0.25">
      <c r="A410" s="21" t="str">
        <f>HYPERLINK("https://gerandofalcoes.my.salesforce.com/0014X00002VKCpXQAX", "0014X00002VKCpXQAX")</f>
        <v>0014X00002VKCpXQAX</v>
      </c>
      <c r="B410" s="3" t="s">
        <v>17772</v>
      </c>
      <c r="C410" s="3" t="s">
        <v>2538</v>
      </c>
      <c r="D410" s="3" t="s">
        <v>46</v>
      </c>
      <c r="E410" s="3">
        <v>20</v>
      </c>
      <c r="F410" s="3">
        <v>6</v>
      </c>
      <c r="G410" s="3">
        <v>4</v>
      </c>
      <c r="H410" s="3">
        <v>0</v>
      </c>
      <c r="I410" s="3">
        <v>0</v>
      </c>
      <c r="J410" s="3" t="s">
        <v>17403</v>
      </c>
      <c r="K410" s="3">
        <v>30</v>
      </c>
      <c r="L410" s="3">
        <v>10</v>
      </c>
      <c r="M410" s="3">
        <v>10</v>
      </c>
      <c r="N410" s="3">
        <v>10</v>
      </c>
      <c r="O410" s="3">
        <v>0</v>
      </c>
      <c r="P410" s="3">
        <v>0</v>
      </c>
      <c r="Q410" s="3" t="s">
        <v>4887</v>
      </c>
      <c r="R410" s="6">
        <v>44804</v>
      </c>
    </row>
    <row r="411" spans="1:18" ht="12.5" x14ac:dyDescent="0.25">
      <c r="A411" s="21" t="str">
        <f>HYPERLINK("https://gerandofalcoes.my.salesforce.com/0014X00002VKCpPQAX", "0014X00002VKCpPQAX")</f>
        <v>0014X00002VKCpPQAX</v>
      </c>
      <c r="B411" s="3" t="s">
        <v>17773</v>
      </c>
      <c r="C411" s="3" t="s">
        <v>2538</v>
      </c>
      <c r="D411" s="3" t="s">
        <v>46</v>
      </c>
      <c r="E411" s="3">
        <v>29</v>
      </c>
      <c r="F411" s="3">
        <v>0</v>
      </c>
      <c r="G411" s="3">
        <v>3</v>
      </c>
      <c r="H411" s="3">
        <v>72000</v>
      </c>
      <c r="I411" s="3">
        <v>0</v>
      </c>
      <c r="J411" s="3" t="s">
        <v>17403</v>
      </c>
      <c r="K411" s="3">
        <v>33</v>
      </c>
      <c r="L411" s="3">
        <v>15</v>
      </c>
      <c r="M411" s="3">
        <v>0</v>
      </c>
      <c r="N411" s="3">
        <v>8</v>
      </c>
      <c r="O411" s="3">
        <v>10</v>
      </c>
      <c r="P411" s="3">
        <v>0</v>
      </c>
      <c r="Q411" s="3" t="s">
        <v>4800</v>
      </c>
      <c r="R411" s="6">
        <v>44804</v>
      </c>
    </row>
    <row r="412" spans="1:18" ht="12.5" x14ac:dyDescent="0.25">
      <c r="A412" s="21" t="str">
        <f>HYPERLINK("https://gerandofalcoes.my.salesforce.com/0014X00002VKCvCQAX", "0014X00002VKCvCQAX")</f>
        <v>0014X00002VKCvCQAX</v>
      </c>
      <c r="B412" s="3" t="s">
        <v>8418</v>
      </c>
      <c r="C412" s="3" t="s">
        <v>2538</v>
      </c>
      <c r="D412" s="3" t="s">
        <v>46</v>
      </c>
      <c r="E412" s="3">
        <v>25</v>
      </c>
      <c r="F412" s="3">
        <v>0</v>
      </c>
      <c r="G412" s="3">
        <v>4</v>
      </c>
      <c r="H412" s="3">
        <v>25000</v>
      </c>
      <c r="I412" s="3">
        <v>0</v>
      </c>
      <c r="J412" s="3" t="s">
        <v>17403</v>
      </c>
      <c r="K412" s="3">
        <v>35</v>
      </c>
      <c r="L412" s="3">
        <v>15</v>
      </c>
      <c r="M412" s="3">
        <v>0</v>
      </c>
      <c r="N412" s="3">
        <v>10</v>
      </c>
      <c r="O412" s="3">
        <v>10</v>
      </c>
      <c r="P412" s="3">
        <v>0</v>
      </c>
      <c r="Q412" s="3" t="s">
        <v>8421</v>
      </c>
      <c r="R412" s="6">
        <v>44804</v>
      </c>
    </row>
    <row r="413" spans="1:18" ht="12.5" x14ac:dyDescent="0.25">
      <c r="A413" s="21" t="str">
        <f>HYPERLINK("https://gerandofalcoes.my.salesforce.com/0014X00002VKCsaQAH", "0014X00002VKCsaQAH")</f>
        <v>0014X00002VKCsaQAH</v>
      </c>
      <c r="B413" s="3" t="s">
        <v>7896</v>
      </c>
      <c r="C413" s="3" t="s">
        <v>2538</v>
      </c>
      <c r="D413" s="3" t="s">
        <v>46</v>
      </c>
      <c r="E413" s="3">
        <v>42</v>
      </c>
      <c r="F413" s="3">
        <v>0</v>
      </c>
      <c r="G413" s="3">
        <v>2</v>
      </c>
      <c r="H413" s="3">
        <v>11800</v>
      </c>
      <c r="I413" s="3">
        <v>98</v>
      </c>
      <c r="J413" s="3" t="s">
        <v>17403</v>
      </c>
      <c r="K413" s="3">
        <v>36</v>
      </c>
      <c r="L413" s="3">
        <v>15</v>
      </c>
      <c r="M413" s="3">
        <v>0</v>
      </c>
      <c r="N413" s="3">
        <v>6</v>
      </c>
      <c r="O413" s="3">
        <v>5</v>
      </c>
      <c r="P413" s="3">
        <v>10</v>
      </c>
      <c r="Q413" s="3" t="s">
        <v>7898</v>
      </c>
      <c r="R413" s="6">
        <v>44804</v>
      </c>
    </row>
    <row r="414" spans="1:18" ht="12.5" x14ac:dyDescent="0.25">
      <c r="A414" s="21" t="str">
        <f>HYPERLINK("https://gerandofalcoes.my.salesforce.com/0014X00002VKCt9QAH", "0014X00002VKCt9QAH")</f>
        <v>0014X00002VKCt9QAH</v>
      </c>
      <c r="B414" s="3" t="s">
        <v>6561</v>
      </c>
      <c r="C414" s="3" t="s">
        <v>2538</v>
      </c>
      <c r="D414" s="3" t="s">
        <v>46</v>
      </c>
      <c r="E414" s="3">
        <v>35</v>
      </c>
      <c r="F414" s="3">
        <v>0</v>
      </c>
      <c r="G414" s="3">
        <v>2</v>
      </c>
      <c r="H414" s="3">
        <v>600</v>
      </c>
      <c r="I414" s="3">
        <v>150</v>
      </c>
      <c r="J414" s="3" t="s">
        <v>17403</v>
      </c>
      <c r="K414" s="3">
        <v>38</v>
      </c>
      <c r="L414" s="3">
        <v>15</v>
      </c>
      <c r="M414" s="3">
        <v>0</v>
      </c>
      <c r="N414" s="3">
        <v>6</v>
      </c>
      <c r="O414" s="3">
        <v>5</v>
      </c>
      <c r="P414" s="3">
        <v>12</v>
      </c>
      <c r="Q414" s="3" t="s">
        <v>6565</v>
      </c>
      <c r="R414" s="6">
        <v>44804</v>
      </c>
    </row>
    <row r="415" spans="1:18" ht="12.5" x14ac:dyDescent="0.25">
      <c r="A415" s="21" t="str">
        <f>HYPERLINK("https://gerandofalcoes.my.salesforce.com/0014X00002VKCtvQAH", "0014X00002VKCtvQAH")</f>
        <v>0014X00002VKCtvQAH</v>
      </c>
      <c r="B415" s="3" t="s">
        <v>17774</v>
      </c>
      <c r="C415" s="3" t="s">
        <v>2538</v>
      </c>
      <c r="D415" s="3" t="s">
        <v>46</v>
      </c>
      <c r="E415" s="3">
        <v>54</v>
      </c>
      <c r="F415" s="3">
        <v>0</v>
      </c>
      <c r="G415" s="3">
        <v>6</v>
      </c>
      <c r="H415" s="3">
        <v>15000</v>
      </c>
      <c r="I415" s="3">
        <v>420</v>
      </c>
      <c r="J415" s="3" t="s">
        <v>17403</v>
      </c>
      <c r="K415" s="3">
        <v>50</v>
      </c>
      <c r="L415" s="3">
        <v>20</v>
      </c>
      <c r="M415" s="3">
        <v>0</v>
      </c>
      <c r="N415" s="3">
        <v>10</v>
      </c>
      <c r="O415" s="3">
        <v>5</v>
      </c>
      <c r="P415" s="3">
        <v>15</v>
      </c>
      <c r="Q415" s="3" t="s">
        <v>8214</v>
      </c>
      <c r="R415" s="6">
        <v>44804</v>
      </c>
    </row>
    <row r="416" spans="1:18" ht="12.5" x14ac:dyDescent="0.25">
      <c r="A416" s="21" t="str">
        <f>HYPERLINK("https://gerandofalcoes.my.salesforce.com/0014X00002VKCpMQAX", "0014X00002VKCpMQAX")</f>
        <v>0014X00002VKCpMQAX</v>
      </c>
      <c r="B416" s="3" t="s">
        <v>17775</v>
      </c>
      <c r="C416" s="3" t="s">
        <v>2538</v>
      </c>
      <c r="D416" s="3" t="s">
        <v>46</v>
      </c>
      <c r="E416" s="3">
        <v>17</v>
      </c>
      <c r="F416" s="3">
        <v>0</v>
      </c>
      <c r="G416" s="3">
        <v>2</v>
      </c>
      <c r="H416" s="3">
        <v>6000</v>
      </c>
      <c r="I416" s="3">
        <v>90</v>
      </c>
      <c r="J416" s="3" t="s">
        <v>17403</v>
      </c>
      <c r="K416" s="3">
        <v>31</v>
      </c>
      <c r="L416" s="3">
        <v>10</v>
      </c>
      <c r="M416" s="3">
        <v>0</v>
      </c>
      <c r="N416" s="3">
        <v>6</v>
      </c>
      <c r="O416" s="3">
        <v>5</v>
      </c>
      <c r="P416" s="3">
        <v>10</v>
      </c>
      <c r="Q416" s="3"/>
      <c r="R416" s="6">
        <v>44804</v>
      </c>
    </row>
    <row r="417" spans="1:18" ht="12.5" x14ac:dyDescent="0.25">
      <c r="A417" s="21" t="str">
        <f>HYPERLINK("https://gerandofalcoes.my.salesforce.com/0014X00002VKCtJQAX", "0014X00002VKCtJQAX")</f>
        <v>0014X00002VKCtJQAX</v>
      </c>
      <c r="B417" s="3" t="s">
        <v>17776</v>
      </c>
      <c r="C417" s="3" t="s">
        <v>2538</v>
      </c>
      <c r="D417" s="3" t="s">
        <v>46</v>
      </c>
      <c r="E417" s="3">
        <v>17</v>
      </c>
      <c r="F417" s="3">
        <v>0</v>
      </c>
      <c r="G417" s="3">
        <v>3</v>
      </c>
      <c r="H417" s="3">
        <v>0</v>
      </c>
      <c r="I417" s="3">
        <v>0</v>
      </c>
      <c r="J417" s="3" t="s">
        <v>17403</v>
      </c>
      <c r="K417" s="3">
        <v>18</v>
      </c>
      <c r="L417" s="3">
        <v>10</v>
      </c>
      <c r="M417" s="3">
        <v>0</v>
      </c>
      <c r="N417" s="3">
        <v>8</v>
      </c>
      <c r="O417" s="3">
        <v>0</v>
      </c>
      <c r="P417" s="3">
        <v>0</v>
      </c>
      <c r="Q417" s="3" t="s">
        <v>6722</v>
      </c>
      <c r="R417" s="6">
        <v>44804</v>
      </c>
    </row>
    <row r="418" spans="1:18" ht="12.5" x14ac:dyDescent="0.25">
      <c r="A418" s="21" t="str">
        <f>HYPERLINK("https://gerandofalcoes.my.salesforce.com/0014X00002VKCttQAH", "0014X00002VKCttQAH")</f>
        <v>0014X00002VKCttQAH</v>
      </c>
      <c r="B418" s="3" t="s">
        <v>17777</v>
      </c>
      <c r="C418" s="3" t="s">
        <v>2538</v>
      </c>
      <c r="D418" s="3" t="s">
        <v>46</v>
      </c>
      <c r="E418" s="3">
        <v>40</v>
      </c>
      <c r="F418" s="3">
        <v>5</v>
      </c>
      <c r="G418" s="3">
        <v>3</v>
      </c>
      <c r="H418" s="3">
        <v>20</v>
      </c>
      <c r="I418" s="3">
        <v>30</v>
      </c>
      <c r="J418" s="3" t="s">
        <v>17403</v>
      </c>
      <c r="K418" s="3">
        <v>38</v>
      </c>
      <c r="L418" s="3">
        <v>15</v>
      </c>
      <c r="M418" s="3">
        <v>5</v>
      </c>
      <c r="N418" s="3">
        <v>8</v>
      </c>
      <c r="O418" s="3">
        <v>5</v>
      </c>
      <c r="P418" s="3">
        <v>5</v>
      </c>
      <c r="Q418" s="3" t="s">
        <v>8177</v>
      </c>
      <c r="R418" s="6">
        <v>44804</v>
      </c>
    </row>
    <row r="419" spans="1:18" ht="12.5" x14ac:dyDescent="0.25">
      <c r="A419" s="21" t="str">
        <f>HYPERLINK("https://gerandofalcoes.my.salesforce.com/0014X00002VKCsQQAX", "0014X00002VKCsQQAX")</f>
        <v>0014X00002VKCsQQAX</v>
      </c>
      <c r="B419" s="3" t="s">
        <v>7379</v>
      </c>
      <c r="C419" s="3" t="s">
        <v>2538</v>
      </c>
      <c r="D419" s="3" t="s">
        <v>46</v>
      </c>
      <c r="E419" s="3">
        <v>13</v>
      </c>
      <c r="F419" s="3">
        <v>0</v>
      </c>
      <c r="G419" s="3">
        <v>2</v>
      </c>
      <c r="H419" s="3">
        <v>0</v>
      </c>
      <c r="I419" s="3">
        <v>585</v>
      </c>
      <c r="J419" s="3" t="s">
        <v>17403</v>
      </c>
      <c r="K419" s="3">
        <v>36</v>
      </c>
      <c r="L419" s="3">
        <v>10</v>
      </c>
      <c r="M419" s="3">
        <v>0</v>
      </c>
      <c r="N419" s="3">
        <v>6</v>
      </c>
      <c r="O419" s="3">
        <v>0</v>
      </c>
      <c r="P419" s="3">
        <v>20</v>
      </c>
      <c r="Q419" s="3" t="s">
        <v>7383</v>
      </c>
      <c r="R419" s="6">
        <v>44804</v>
      </c>
    </row>
    <row r="420" spans="1:18" ht="12.5" x14ac:dyDescent="0.25">
      <c r="A420" s="21" t="str">
        <f>HYPERLINK("https://gerandofalcoes.my.salesforce.com/0014X00002VKCuUQAX", "0014X00002VKCuUQAX")</f>
        <v>0014X00002VKCuUQAX</v>
      </c>
      <c r="B420" s="3" t="s">
        <v>17778</v>
      </c>
      <c r="C420" s="3" t="s">
        <v>2538</v>
      </c>
      <c r="D420" s="3" t="s">
        <v>46</v>
      </c>
      <c r="E420" s="3">
        <v>10</v>
      </c>
      <c r="F420" s="3">
        <v>83</v>
      </c>
      <c r="G420" s="3">
        <v>8</v>
      </c>
      <c r="H420" s="3">
        <v>0</v>
      </c>
      <c r="I420" s="3">
        <v>5</v>
      </c>
      <c r="J420" s="3" t="s">
        <v>17403</v>
      </c>
      <c r="K420" s="3">
        <v>40</v>
      </c>
      <c r="L420" s="3">
        <v>10</v>
      </c>
      <c r="M420" s="3">
        <v>15</v>
      </c>
      <c r="N420" s="3">
        <v>10</v>
      </c>
      <c r="O420" s="3">
        <v>0</v>
      </c>
      <c r="P420" s="3">
        <v>5</v>
      </c>
      <c r="Q420" s="3" t="s">
        <v>7064</v>
      </c>
      <c r="R420" s="6">
        <v>44804</v>
      </c>
    </row>
    <row r="421" spans="1:18" ht="12.5" x14ac:dyDescent="0.25">
      <c r="A421" s="21" t="str">
        <f>HYPERLINK("https://gerandofalcoes.my.salesforce.com/0014X00002VKCpNQAX", "0014X00002VKCpNQAX")</f>
        <v>0014X00002VKCpNQAX</v>
      </c>
      <c r="B421" s="3" t="s">
        <v>17779</v>
      </c>
      <c r="C421" s="3" t="s">
        <v>2538</v>
      </c>
      <c r="D421" s="3" t="s">
        <v>46</v>
      </c>
      <c r="E421" s="3">
        <v>33</v>
      </c>
      <c r="F421" s="3">
        <v>0</v>
      </c>
      <c r="G421" s="3">
        <v>4</v>
      </c>
      <c r="H421" s="3">
        <v>800</v>
      </c>
      <c r="I421" s="3">
        <v>25</v>
      </c>
      <c r="J421" s="3" t="s">
        <v>17403</v>
      </c>
      <c r="K421" s="3">
        <v>35</v>
      </c>
      <c r="L421" s="3">
        <v>15</v>
      </c>
      <c r="M421" s="3">
        <v>0</v>
      </c>
      <c r="N421" s="3">
        <v>10</v>
      </c>
      <c r="O421" s="3">
        <v>5</v>
      </c>
      <c r="P421" s="3">
        <v>5</v>
      </c>
      <c r="Q421" s="3" t="s">
        <v>4772</v>
      </c>
      <c r="R421" s="6">
        <v>44804</v>
      </c>
    </row>
    <row r="422" spans="1:18" ht="12.5" x14ac:dyDescent="0.25">
      <c r="A422" s="21" t="str">
        <f>HYPERLINK("https://gerandofalcoes.my.salesforce.com/0014X00002VKCuYQAX", "0014X00002VKCuYQAX")</f>
        <v>0014X00002VKCuYQAX</v>
      </c>
      <c r="B422" s="3" t="s">
        <v>17780</v>
      </c>
      <c r="C422" s="3" t="s">
        <v>2538</v>
      </c>
      <c r="D422" s="3" t="s">
        <v>46</v>
      </c>
      <c r="E422" s="3">
        <v>37</v>
      </c>
      <c r="F422" s="3">
        <v>0</v>
      </c>
      <c r="G422" s="3">
        <v>4</v>
      </c>
      <c r="H422" s="3">
        <v>2500</v>
      </c>
      <c r="I422" s="3">
        <v>100</v>
      </c>
      <c r="J422" s="3" t="s">
        <v>17403</v>
      </c>
      <c r="K422" s="3">
        <v>40</v>
      </c>
      <c r="L422" s="3">
        <v>15</v>
      </c>
      <c r="M422" s="3">
        <v>0</v>
      </c>
      <c r="N422" s="3">
        <v>10</v>
      </c>
      <c r="O422" s="3">
        <v>5</v>
      </c>
      <c r="P422" s="3">
        <v>10</v>
      </c>
      <c r="Q422" s="3" t="s">
        <v>17447</v>
      </c>
      <c r="R422" s="6">
        <v>44804</v>
      </c>
    </row>
    <row r="423" spans="1:18" ht="12.5" x14ac:dyDescent="0.25">
      <c r="A423" s="21" t="str">
        <f>HYPERLINK("https://gerandofalcoes.my.salesforce.com/0014X00002VKCq2QAH", "0014X00002VKCq2QAH")</f>
        <v>0014X00002VKCq2QAH</v>
      </c>
      <c r="B423" s="3" t="s">
        <v>17781</v>
      </c>
      <c r="C423" s="3" t="s">
        <v>2538</v>
      </c>
      <c r="D423" s="3" t="s">
        <v>46</v>
      </c>
      <c r="E423" s="3">
        <v>29</v>
      </c>
      <c r="F423" s="3">
        <v>0</v>
      </c>
      <c r="G423" s="3">
        <v>2</v>
      </c>
      <c r="H423" s="3">
        <v>0</v>
      </c>
      <c r="I423" s="3">
        <v>260</v>
      </c>
      <c r="J423" s="3" t="s">
        <v>17403</v>
      </c>
      <c r="K423" s="3">
        <v>33</v>
      </c>
      <c r="L423" s="3">
        <v>15</v>
      </c>
      <c r="M423" s="3">
        <v>0</v>
      </c>
      <c r="N423" s="3">
        <v>6</v>
      </c>
      <c r="O423" s="3">
        <v>0</v>
      </c>
      <c r="P423" s="3">
        <v>12</v>
      </c>
      <c r="Q423" s="3" t="s">
        <v>4358</v>
      </c>
      <c r="R423" s="6">
        <v>44804</v>
      </c>
    </row>
    <row r="424" spans="1:18" ht="12.5" x14ac:dyDescent="0.25">
      <c r="A424" s="21" t="str">
        <f>HYPERLINK("https://gerandofalcoes.my.salesforce.com/0014X00002VKCsGQAX", "0014X00002VKCsGQAX")</f>
        <v>0014X00002VKCsGQAX</v>
      </c>
      <c r="B424" s="3" t="s">
        <v>7271</v>
      </c>
      <c r="C424" s="3" t="s">
        <v>2538</v>
      </c>
      <c r="D424" s="3" t="s">
        <v>46</v>
      </c>
      <c r="E424" s="3">
        <v>17</v>
      </c>
      <c r="F424" s="3">
        <v>0</v>
      </c>
      <c r="G424" s="3">
        <v>9</v>
      </c>
      <c r="H424" s="3">
        <v>1000</v>
      </c>
      <c r="I424" s="3">
        <v>50</v>
      </c>
      <c r="J424" s="3" t="s">
        <v>17403</v>
      </c>
      <c r="K424" s="3">
        <v>30</v>
      </c>
      <c r="L424" s="3">
        <v>10</v>
      </c>
      <c r="M424" s="3">
        <v>0</v>
      </c>
      <c r="N424" s="3">
        <v>10</v>
      </c>
      <c r="O424" s="3">
        <v>5</v>
      </c>
      <c r="P424" s="3">
        <v>5</v>
      </c>
      <c r="Q424" s="3" t="s">
        <v>7273</v>
      </c>
      <c r="R424" s="6">
        <v>44804</v>
      </c>
    </row>
    <row r="425" spans="1:18" ht="12.5" x14ac:dyDescent="0.25">
      <c r="A425" s="21" t="str">
        <f>HYPERLINK("https://gerandofalcoes.my.salesforce.com/0014X00002VKCuhQAH", "0014X00002VKCuhQAH")</f>
        <v>0014X00002VKCuhQAH</v>
      </c>
      <c r="B425" s="3" t="s">
        <v>17782</v>
      </c>
      <c r="C425" s="3" t="s">
        <v>2538</v>
      </c>
      <c r="D425" s="3" t="s">
        <v>46</v>
      </c>
      <c r="E425" s="3">
        <v>25</v>
      </c>
      <c r="F425" s="3">
        <v>0</v>
      </c>
      <c r="G425" s="3">
        <v>3</v>
      </c>
      <c r="H425" s="3">
        <v>12000</v>
      </c>
      <c r="I425" s="3">
        <v>0</v>
      </c>
      <c r="J425" s="3" t="s">
        <v>17403</v>
      </c>
      <c r="K425" s="3">
        <v>28</v>
      </c>
      <c r="L425" s="3">
        <v>15</v>
      </c>
      <c r="M425" s="3">
        <v>0</v>
      </c>
      <c r="N425" s="3">
        <v>8</v>
      </c>
      <c r="O425" s="3">
        <v>5</v>
      </c>
      <c r="P425" s="3">
        <v>0</v>
      </c>
      <c r="Q425" s="3" t="s">
        <v>7629</v>
      </c>
      <c r="R425" s="6">
        <v>44804</v>
      </c>
    </row>
    <row r="426" spans="1:18" ht="12.5" x14ac:dyDescent="0.25">
      <c r="A426" s="21" t="str">
        <f>HYPERLINK("https://gerandofalcoes.my.salesforce.com/0014X00002VKCp6QAH", "0014X00002VKCp6QAH")</f>
        <v>0014X00002VKCp6QAH</v>
      </c>
      <c r="B426" s="3" t="s">
        <v>17783</v>
      </c>
      <c r="C426" s="3" t="s">
        <v>2538</v>
      </c>
      <c r="D426" s="3" t="s">
        <v>46</v>
      </c>
      <c r="E426" s="3">
        <v>48</v>
      </c>
      <c r="F426" s="3">
        <v>0</v>
      </c>
      <c r="G426" s="3">
        <v>2</v>
      </c>
      <c r="H426" s="3">
        <v>100000</v>
      </c>
      <c r="I426" s="3">
        <v>230</v>
      </c>
      <c r="J426" s="3" t="s">
        <v>17403</v>
      </c>
      <c r="K426" s="3">
        <v>48</v>
      </c>
      <c r="L426" s="3">
        <v>15</v>
      </c>
      <c r="M426" s="3">
        <v>0</v>
      </c>
      <c r="N426" s="3">
        <v>6</v>
      </c>
      <c r="O426" s="3">
        <v>15</v>
      </c>
      <c r="P426" s="3">
        <v>12</v>
      </c>
      <c r="Q426" s="3" t="s">
        <v>8803</v>
      </c>
      <c r="R426" s="6">
        <v>44804</v>
      </c>
    </row>
    <row r="427" spans="1:18" ht="12.5" x14ac:dyDescent="0.25">
      <c r="A427" s="21" t="str">
        <f>HYPERLINK("https://gerandofalcoes.my.salesforce.com/0014X00002VKCuLQAX", "0014X00002VKCuLQAX")</f>
        <v>0014X00002VKCuLQAX</v>
      </c>
      <c r="B427" s="3" t="s">
        <v>14225</v>
      </c>
      <c r="C427" s="3" t="s">
        <v>2538</v>
      </c>
      <c r="D427" s="3" t="s">
        <v>46</v>
      </c>
      <c r="E427" s="3">
        <v>24</v>
      </c>
      <c r="F427" s="3">
        <v>0</v>
      </c>
      <c r="G427" s="3">
        <v>4</v>
      </c>
      <c r="H427" s="3">
        <v>0</v>
      </c>
      <c r="I427" s="3">
        <v>20</v>
      </c>
      <c r="J427" s="3" t="s">
        <v>17403</v>
      </c>
      <c r="K427" s="3">
        <v>25</v>
      </c>
      <c r="L427" s="3">
        <v>10</v>
      </c>
      <c r="M427" s="3">
        <v>0</v>
      </c>
      <c r="N427" s="3">
        <v>10</v>
      </c>
      <c r="O427" s="3">
        <v>0</v>
      </c>
      <c r="P427" s="3">
        <v>5</v>
      </c>
      <c r="Q427" s="3" t="s">
        <v>6873</v>
      </c>
      <c r="R427" s="6">
        <v>44804</v>
      </c>
    </row>
    <row r="428" spans="1:18" ht="12.5" x14ac:dyDescent="0.25">
      <c r="A428" s="21" t="str">
        <f>HYPERLINK("https://gerandofalcoes.my.salesforce.com/0014X00002VKCpFQAX", "0014X00002VKCpFQAX")</f>
        <v>0014X00002VKCpFQAX</v>
      </c>
      <c r="B428" s="3" t="s">
        <v>17784</v>
      </c>
      <c r="C428" s="3" t="s">
        <v>2538</v>
      </c>
      <c r="D428" s="3" t="s">
        <v>46</v>
      </c>
      <c r="E428" s="3">
        <v>14</v>
      </c>
      <c r="F428" s="3">
        <v>0</v>
      </c>
      <c r="G428" s="3">
        <v>2</v>
      </c>
      <c r="H428" s="3">
        <v>5000</v>
      </c>
      <c r="I428" s="3">
        <v>30</v>
      </c>
      <c r="J428" s="3" t="s">
        <v>17403</v>
      </c>
      <c r="K428" s="3">
        <v>26</v>
      </c>
      <c r="L428" s="3">
        <v>10</v>
      </c>
      <c r="M428" s="3">
        <v>0</v>
      </c>
      <c r="N428" s="3">
        <v>6</v>
      </c>
      <c r="O428" s="3">
        <v>5</v>
      </c>
      <c r="P428" s="3">
        <v>5</v>
      </c>
      <c r="Q428" s="3" t="s">
        <v>4023</v>
      </c>
      <c r="R428" s="6">
        <v>44804</v>
      </c>
    </row>
    <row r="429" spans="1:18" ht="12.5" x14ac:dyDescent="0.25">
      <c r="A429" s="21" t="str">
        <f>HYPERLINK("https://gerandofalcoes.my.salesforce.com/0014X00002VKCt0QAH", "0014X00002VKCt0QAH")</f>
        <v>0014X00002VKCt0QAH</v>
      </c>
      <c r="B429" s="3" t="s">
        <v>17785</v>
      </c>
      <c r="C429" s="3" t="s">
        <v>2538</v>
      </c>
      <c r="D429" s="3" t="s">
        <v>46</v>
      </c>
      <c r="E429" s="3">
        <v>53</v>
      </c>
      <c r="F429" s="3">
        <v>0</v>
      </c>
      <c r="G429" s="3">
        <v>4</v>
      </c>
      <c r="H429" s="3">
        <v>53000</v>
      </c>
      <c r="I429" s="3">
        <v>44</v>
      </c>
      <c r="J429" s="3" t="s">
        <v>17403</v>
      </c>
      <c r="K429" s="3">
        <v>45</v>
      </c>
      <c r="L429" s="3">
        <v>20</v>
      </c>
      <c r="M429" s="3">
        <v>0</v>
      </c>
      <c r="N429" s="3">
        <v>10</v>
      </c>
      <c r="O429" s="3">
        <v>10</v>
      </c>
      <c r="P429" s="3">
        <v>5</v>
      </c>
      <c r="Q429" s="3" t="s">
        <v>6420</v>
      </c>
      <c r="R429" s="6">
        <v>44804</v>
      </c>
    </row>
    <row r="430" spans="1:18" ht="12.5" x14ac:dyDescent="0.25">
      <c r="A430" s="21" t="str">
        <f>HYPERLINK("https://gerandofalcoes.my.salesforce.com/0014X00002VKCv4QAH", "0014X00002VKCv4QAH")</f>
        <v>0014X00002VKCv4QAH</v>
      </c>
      <c r="B430" s="3" t="s">
        <v>17786</v>
      </c>
      <c r="C430" s="3" t="s">
        <v>2538</v>
      </c>
      <c r="D430" s="3" t="s">
        <v>46</v>
      </c>
      <c r="E430" s="3">
        <v>56</v>
      </c>
      <c r="F430" s="3">
        <v>1</v>
      </c>
      <c r="G430" s="3">
        <v>2</v>
      </c>
      <c r="H430" s="3">
        <v>63500</v>
      </c>
      <c r="I430" s="3">
        <v>74</v>
      </c>
      <c r="J430" s="3" t="s">
        <v>17403</v>
      </c>
      <c r="K430" s="3">
        <v>46</v>
      </c>
      <c r="L430" s="3">
        <v>20</v>
      </c>
      <c r="M430" s="3">
        <v>5</v>
      </c>
      <c r="N430" s="3">
        <v>6</v>
      </c>
      <c r="O430" s="3">
        <v>10</v>
      </c>
      <c r="P430" s="3">
        <v>5</v>
      </c>
      <c r="Q430" s="3" t="s">
        <v>8320</v>
      </c>
      <c r="R430" s="6">
        <v>44804</v>
      </c>
    </row>
    <row r="431" spans="1:18" ht="12.5" x14ac:dyDescent="0.25">
      <c r="A431" s="21" t="str">
        <f>HYPERLINK("https://gerandofalcoes.my.salesforce.com/0014X00002VKCpzQAH", "0014X00002VKCpzQAH")</f>
        <v>0014X00002VKCpzQAH</v>
      </c>
      <c r="B431" s="3" t="s">
        <v>17787</v>
      </c>
      <c r="C431" s="3" t="s">
        <v>2538</v>
      </c>
      <c r="D431" s="3" t="s">
        <v>46</v>
      </c>
      <c r="E431" s="3">
        <v>53</v>
      </c>
      <c r="F431" s="3">
        <v>0</v>
      </c>
      <c r="G431" s="3">
        <v>3</v>
      </c>
      <c r="H431" s="3">
        <v>50879</v>
      </c>
      <c r="I431" s="3">
        <v>96</v>
      </c>
      <c r="J431" s="3" t="s">
        <v>17403</v>
      </c>
      <c r="K431" s="3">
        <v>48</v>
      </c>
      <c r="L431" s="3">
        <v>20</v>
      </c>
      <c r="M431" s="3">
        <v>0</v>
      </c>
      <c r="N431" s="3">
        <v>8</v>
      </c>
      <c r="O431" s="3">
        <v>10</v>
      </c>
      <c r="P431" s="3">
        <v>10</v>
      </c>
      <c r="Q431" s="3" t="s">
        <v>4296</v>
      </c>
      <c r="R431" s="6">
        <v>44804</v>
      </c>
    </row>
    <row r="432" spans="1:18" ht="12.5" x14ac:dyDescent="0.25">
      <c r="A432" s="21" t="str">
        <f>HYPERLINK("https://gerandofalcoes.my.salesforce.com/0014X00002VKCtuQAH", "0014X00002VKCtuQAH")</f>
        <v>0014X00002VKCtuQAH</v>
      </c>
      <c r="B432" s="3" t="s">
        <v>17788</v>
      </c>
      <c r="C432" s="3" t="s">
        <v>2538</v>
      </c>
      <c r="D432" s="3" t="s">
        <v>46</v>
      </c>
      <c r="E432" s="3">
        <v>38</v>
      </c>
      <c r="F432" s="3">
        <v>0</v>
      </c>
      <c r="G432" s="3">
        <v>2</v>
      </c>
      <c r="H432" s="3">
        <v>50000</v>
      </c>
      <c r="I432" s="3">
        <v>50</v>
      </c>
      <c r="J432" s="3" t="s">
        <v>17403</v>
      </c>
      <c r="K432" s="3">
        <v>36</v>
      </c>
      <c r="L432" s="3">
        <v>15</v>
      </c>
      <c r="M432" s="3">
        <v>0</v>
      </c>
      <c r="N432" s="3">
        <v>6</v>
      </c>
      <c r="O432" s="3">
        <v>10</v>
      </c>
      <c r="P432" s="3">
        <v>5</v>
      </c>
      <c r="Q432" s="3" t="s">
        <v>8195</v>
      </c>
      <c r="R432" s="6">
        <v>44804</v>
      </c>
    </row>
    <row r="433" spans="1:18" ht="12.5" x14ac:dyDescent="0.25">
      <c r="A433" s="21" t="str">
        <f>HYPERLINK("https://gerandofalcoes.my.salesforce.com/0014X00002VKCr8QAH", "0014X00002VKCr8QAH")</f>
        <v>0014X00002VKCr8QAH</v>
      </c>
      <c r="B433" s="3" t="s">
        <v>17789</v>
      </c>
      <c r="C433" s="3" t="s">
        <v>2538</v>
      </c>
      <c r="D433" s="3" t="s">
        <v>46</v>
      </c>
      <c r="E433" s="3">
        <v>60</v>
      </c>
      <c r="F433" s="3">
        <v>9</v>
      </c>
      <c r="G433" s="3">
        <v>4</v>
      </c>
      <c r="H433" s="3">
        <v>400000</v>
      </c>
      <c r="I433" s="3">
        <v>539</v>
      </c>
      <c r="J433" s="3" t="s">
        <v>17405</v>
      </c>
      <c r="K433" s="3">
        <v>80</v>
      </c>
      <c r="L433" s="3">
        <v>20</v>
      </c>
      <c r="M433" s="3">
        <v>10</v>
      </c>
      <c r="N433" s="3">
        <v>10</v>
      </c>
      <c r="O433" s="3">
        <v>20</v>
      </c>
      <c r="P433" s="3">
        <v>20</v>
      </c>
      <c r="Q433" s="3" t="s">
        <v>4650</v>
      </c>
      <c r="R433" s="6">
        <v>44804</v>
      </c>
    </row>
    <row r="434" spans="1:18" ht="12.5" x14ac:dyDescent="0.25">
      <c r="A434" s="21" t="str">
        <f>HYPERLINK("https://gerandofalcoes.my.salesforce.com/0014X00002VKCr4QAH", "0014X00002VKCr4QAH")</f>
        <v>0014X00002VKCr4QAH</v>
      </c>
      <c r="B434" s="3" t="s">
        <v>4569</v>
      </c>
      <c r="C434" s="3" t="s">
        <v>2538</v>
      </c>
      <c r="D434" s="3" t="s">
        <v>46</v>
      </c>
      <c r="E434" s="3">
        <v>47</v>
      </c>
      <c r="F434" s="3">
        <v>12</v>
      </c>
      <c r="G434" s="3">
        <v>5</v>
      </c>
      <c r="H434" s="3">
        <v>414092</v>
      </c>
      <c r="I434" s="3">
        <v>289</v>
      </c>
      <c r="J434" s="3" t="s">
        <v>17406</v>
      </c>
      <c r="K434" s="3">
        <v>69</v>
      </c>
      <c r="L434" s="3">
        <v>15</v>
      </c>
      <c r="M434" s="3">
        <v>12</v>
      </c>
      <c r="N434" s="3">
        <v>10</v>
      </c>
      <c r="O434" s="3">
        <v>20</v>
      </c>
      <c r="P434" s="3">
        <v>12</v>
      </c>
      <c r="Q434" s="3" t="s">
        <v>4573</v>
      </c>
      <c r="R434" s="6">
        <v>44804</v>
      </c>
    </row>
    <row r="435" spans="1:18" ht="12.5" x14ac:dyDescent="0.25">
      <c r="A435" s="21" t="str">
        <f>HYPERLINK("https://gerandofalcoes.my.salesforce.com/0014X00002VKCrlQAH", "0014X00002VKCrlQAH")</f>
        <v>0014X00002VKCrlQAH</v>
      </c>
      <c r="B435" s="3" t="s">
        <v>6156</v>
      </c>
      <c r="C435" s="3" t="s">
        <v>2538</v>
      </c>
      <c r="D435" s="3" t="s">
        <v>46</v>
      </c>
      <c r="E435" s="3">
        <v>48</v>
      </c>
      <c r="F435" s="3">
        <v>0</v>
      </c>
      <c r="G435" s="3">
        <v>2</v>
      </c>
      <c r="H435" s="3">
        <v>30000</v>
      </c>
      <c r="I435" s="3">
        <v>3</v>
      </c>
      <c r="J435" s="3" t="s">
        <v>17403</v>
      </c>
      <c r="K435" s="3">
        <v>36</v>
      </c>
      <c r="L435" s="3">
        <v>15</v>
      </c>
      <c r="M435" s="3">
        <v>0</v>
      </c>
      <c r="N435" s="3">
        <v>6</v>
      </c>
      <c r="O435" s="3">
        <v>10</v>
      </c>
      <c r="P435" s="3">
        <v>5</v>
      </c>
      <c r="Q435" s="3" t="s">
        <v>6159</v>
      </c>
      <c r="R435" s="6">
        <v>44804</v>
      </c>
    </row>
    <row r="436" spans="1:18" ht="12.5" x14ac:dyDescent="0.25">
      <c r="A436" s="21" t="str">
        <f>HYPERLINK("https://gerandofalcoes.my.salesforce.com/0014X00002VKCpbQAH", "0014X00002VKCpbQAH")</f>
        <v>0014X00002VKCpbQAH</v>
      </c>
      <c r="B436" s="3" t="s">
        <v>5327</v>
      </c>
      <c r="C436" s="3" t="s">
        <v>2538</v>
      </c>
      <c r="D436" s="3" t="s">
        <v>46</v>
      </c>
      <c r="E436" s="3">
        <v>43</v>
      </c>
      <c r="F436" s="3">
        <v>20</v>
      </c>
      <c r="G436" s="3">
        <v>2</v>
      </c>
      <c r="H436" s="3">
        <v>2000</v>
      </c>
      <c r="I436" s="3">
        <v>30</v>
      </c>
      <c r="J436" s="3" t="s">
        <v>17403</v>
      </c>
      <c r="K436" s="3">
        <v>43</v>
      </c>
      <c r="L436" s="3">
        <v>15</v>
      </c>
      <c r="M436" s="3">
        <v>12</v>
      </c>
      <c r="N436" s="3">
        <v>6</v>
      </c>
      <c r="O436" s="3">
        <v>5</v>
      </c>
      <c r="P436" s="3">
        <v>5</v>
      </c>
      <c r="Q436" s="3"/>
      <c r="R436" s="6">
        <v>44804</v>
      </c>
    </row>
    <row r="437" spans="1:18" ht="12.5" x14ac:dyDescent="0.25">
      <c r="A437" s="21" t="str">
        <f>HYPERLINK("https://gerandofalcoes.my.salesforce.com/0014X00002VKCpYQAX", "0014X00002VKCpYQAX")</f>
        <v>0014X00002VKCpYQAX</v>
      </c>
      <c r="B437" s="3" t="s">
        <v>17790</v>
      </c>
      <c r="C437" s="3" t="s">
        <v>2538</v>
      </c>
      <c r="D437" s="3" t="s">
        <v>46</v>
      </c>
      <c r="E437" s="3">
        <v>28</v>
      </c>
      <c r="F437" s="3">
        <v>0</v>
      </c>
      <c r="G437" s="3">
        <v>5</v>
      </c>
      <c r="H437" s="3">
        <v>4000</v>
      </c>
      <c r="I437" s="3">
        <v>30</v>
      </c>
      <c r="J437" s="3" t="s">
        <v>17403</v>
      </c>
      <c r="K437" s="3">
        <v>35</v>
      </c>
      <c r="L437" s="3">
        <v>15</v>
      </c>
      <c r="M437" s="3">
        <v>0</v>
      </c>
      <c r="N437" s="3">
        <v>10</v>
      </c>
      <c r="O437" s="3">
        <v>5</v>
      </c>
      <c r="P437" s="3">
        <v>5</v>
      </c>
      <c r="Q437" s="3" t="s">
        <v>4901</v>
      </c>
      <c r="R437" s="6">
        <v>44804</v>
      </c>
    </row>
    <row r="438" spans="1:18" ht="12.5" x14ac:dyDescent="0.25">
      <c r="A438" s="21" t="str">
        <f>HYPERLINK("https://gerandofalcoes.my.salesforce.com/0014X00002VKCuwQAH", "0014X00002VKCuwQAH")</f>
        <v>0014X00002VKCuwQAH</v>
      </c>
      <c r="B438" s="3" t="s">
        <v>17791</v>
      </c>
      <c r="C438" s="3" t="s">
        <v>2538</v>
      </c>
      <c r="D438" s="3" t="s">
        <v>46</v>
      </c>
      <c r="E438" s="3">
        <v>26</v>
      </c>
      <c r="F438" s="3">
        <v>0</v>
      </c>
      <c r="G438" s="3">
        <v>2</v>
      </c>
      <c r="H438" s="3">
        <v>50000</v>
      </c>
      <c r="I438" s="3">
        <v>0</v>
      </c>
      <c r="J438" s="3" t="s">
        <v>17403</v>
      </c>
      <c r="K438" s="3">
        <v>31</v>
      </c>
      <c r="L438" s="3">
        <v>15</v>
      </c>
      <c r="M438" s="3">
        <v>0</v>
      </c>
      <c r="N438" s="3">
        <v>6</v>
      </c>
      <c r="O438" s="3">
        <v>10</v>
      </c>
      <c r="P438" s="3">
        <v>0</v>
      </c>
      <c r="Q438" s="3" t="s">
        <v>7843</v>
      </c>
      <c r="R438" s="6">
        <v>44804</v>
      </c>
    </row>
    <row r="439" spans="1:18" ht="12.5" x14ac:dyDescent="0.25">
      <c r="A439" s="21" t="str">
        <f>HYPERLINK("https://gerandofalcoes.my.salesforce.com/0014X00002VKCugQAH", "0014X00002VKCugQAH")</f>
        <v>0014X00002VKCugQAH</v>
      </c>
      <c r="B439" s="3" t="s">
        <v>7613</v>
      </c>
      <c r="C439" s="3" t="s">
        <v>2538</v>
      </c>
      <c r="D439" s="3" t="s">
        <v>46</v>
      </c>
      <c r="E439" s="3">
        <v>6</v>
      </c>
      <c r="F439" s="3">
        <v>0</v>
      </c>
      <c r="G439" s="3">
        <v>2</v>
      </c>
      <c r="H439" s="3">
        <v>3000</v>
      </c>
      <c r="I439" s="3">
        <v>0</v>
      </c>
      <c r="J439" s="3" t="s">
        <v>17403</v>
      </c>
      <c r="K439" s="3">
        <v>21</v>
      </c>
      <c r="L439" s="3">
        <v>10</v>
      </c>
      <c r="M439" s="3">
        <v>0</v>
      </c>
      <c r="N439" s="3">
        <v>6</v>
      </c>
      <c r="O439" s="3">
        <v>5</v>
      </c>
      <c r="P439" s="3">
        <v>0</v>
      </c>
      <c r="Q439" s="3" t="s">
        <v>7616</v>
      </c>
      <c r="R439" s="6">
        <v>44804</v>
      </c>
    </row>
    <row r="440" spans="1:18" ht="12.5" x14ac:dyDescent="0.25">
      <c r="A440" s="21" t="str">
        <f>HYPERLINK("https://gerandofalcoes.my.salesforce.com/0014X00002VKCtDQAX", "0014X00002VKCtDQAX")</f>
        <v>0014X00002VKCtDQAX</v>
      </c>
      <c r="B440" s="3" t="s">
        <v>17792</v>
      </c>
      <c r="C440" s="3" t="s">
        <v>2538</v>
      </c>
      <c r="D440" s="3" t="s">
        <v>46</v>
      </c>
      <c r="E440" s="3">
        <v>13</v>
      </c>
      <c r="F440" s="3">
        <v>5</v>
      </c>
      <c r="G440" s="3">
        <v>2</v>
      </c>
      <c r="H440" s="3">
        <v>2000</v>
      </c>
      <c r="I440" s="3">
        <v>30</v>
      </c>
      <c r="J440" s="3" t="s">
        <v>17403</v>
      </c>
      <c r="K440" s="3">
        <v>31</v>
      </c>
      <c r="L440" s="3">
        <v>10</v>
      </c>
      <c r="M440" s="3">
        <v>5</v>
      </c>
      <c r="N440" s="3">
        <v>6</v>
      </c>
      <c r="O440" s="3">
        <v>5</v>
      </c>
      <c r="P440" s="3">
        <v>5</v>
      </c>
      <c r="Q440" s="3" t="s">
        <v>6619</v>
      </c>
      <c r="R440" s="6">
        <v>44804</v>
      </c>
    </row>
    <row r="441" spans="1:18" ht="12.5" x14ac:dyDescent="0.25">
      <c r="A441" s="21" t="str">
        <f>HYPERLINK("https://gerandofalcoes.my.salesforce.com/0014X00002VKCuVQAX", "0014X00002VKCuVQAX")</f>
        <v>0014X00002VKCuVQAX</v>
      </c>
      <c r="B441" s="3" t="s">
        <v>7078</v>
      </c>
      <c r="C441" s="3" t="s">
        <v>2538</v>
      </c>
      <c r="D441" s="3" t="s">
        <v>46</v>
      </c>
      <c r="E441" s="3">
        <v>17</v>
      </c>
      <c r="F441" s="3">
        <v>0</v>
      </c>
      <c r="G441" s="3">
        <v>2</v>
      </c>
      <c r="H441" s="3">
        <v>12000</v>
      </c>
      <c r="I441" s="3">
        <v>0</v>
      </c>
      <c r="J441" s="3" t="s">
        <v>17403</v>
      </c>
      <c r="K441" s="3">
        <v>21</v>
      </c>
      <c r="L441" s="3">
        <v>10</v>
      </c>
      <c r="M441" s="3">
        <v>0</v>
      </c>
      <c r="N441" s="3">
        <v>6</v>
      </c>
      <c r="O441" s="3">
        <v>5</v>
      </c>
      <c r="P441" s="3">
        <v>0</v>
      </c>
      <c r="Q441" s="3"/>
      <c r="R441" s="6">
        <v>44804</v>
      </c>
    </row>
    <row r="442" spans="1:18" ht="12.5" x14ac:dyDescent="0.25">
      <c r="A442" s="21" t="str">
        <f>HYPERLINK("https://gerandofalcoes.my.salesforce.com/0014X00002VKCsoQAH", "0014X00002VKCsoQAH")</f>
        <v>0014X00002VKCsoQAH</v>
      </c>
      <c r="B442" s="3" t="s">
        <v>8056</v>
      </c>
      <c r="C442" s="3" t="s">
        <v>2538</v>
      </c>
      <c r="D442" s="3" t="s">
        <v>46</v>
      </c>
      <c r="E442" s="3">
        <v>44</v>
      </c>
      <c r="F442" s="3">
        <v>0</v>
      </c>
      <c r="G442" s="3">
        <v>5</v>
      </c>
      <c r="H442" s="3">
        <v>35000</v>
      </c>
      <c r="I442" s="3">
        <v>240</v>
      </c>
      <c r="J442" s="3" t="s">
        <v>17403</v>
      </c>
      <c r="K442" s="3">
        <v>47</v>
      </c>
      <c r="L442" s="3">
        <v>15</v>
      </c>
      <c r="M442" s="3">
        <v>0</v>
      </c>
      <c r="N442" s="3">
        <v>10</v>
      </c>
      <c r="O442" s="3">
        <v>10</v>
      </c>
      <c r="P442" s="3">
        <v>12</v>
      </c>
      <c r="Q442" s="3" t="s">
        <v>8060</v>
      </c>
      <c r="R442" s="6">
        <v>44804</v>
      </c>
    </row>
    <row r="443" spans="1:18" ht="12.5" x14ac:dyDescent="0.25">
      <c r="A443" s="21" t="str">
        <f>HYPERLINK("https://gerandofalcoes.my.salesforce.com/0014X00002VKCqzQAH", "0014X00002VKCqzQAH")</f>
        <v>0014X00002VKCqzQAH</v>
      </c>
      <c r="B443" s="3" t="s">
        <v>6120</v>
      </c>
      <c r="C443" s="3" t="s">
        <v>2538</v>
      </c>
      <c r="D443" s="3" t="s">
        <v>46</v>
      </c>
      <c r="E443" s="3">
        <v>22</v>
      </c>
      <c r="F443" s="3">
        <v>0</v>
      </c>
      <c r="G443" s="3">
        <v>3</v>
      </c>
      <c r="H443" s="3">
        <v>3000</v>
      </c>
      <c r="I443" s="3">
        <v>0</v>
      </c>
      <c r="J443" s="3" t="s">
        <v>17403</v>
      </c>
      <c r="K443" s="3">
        <v>23</v>
      </c>
      <c r="L443" s="3">
        <v>10</v>
      </c>
      <c r="M443" s="3">
        <v>0</v>
      </c>
      <c r="N443" s="3">
        <v>8</v>
      </c>
      <c r="O443" s="3">
        <v>5</v>
      </c>
      <c r="P443" s="3">
        <v>0</v>
      </c>
      <c r="Q443" s="3" t="s">
        <v>6124</v>
      </c>
      <c r="R443" s="6">
        <v>44804</v>
      </c>
    </row>
    <row r="444" spans="1:18" ht="12.5" x14ac:dyDescent="0.25">
      <c r="A444" s="21" t="str">
        <f>HYPERLINK("https://gerandofalcoes.my.salesforce.com/0014X00002VKCtAQAX", "0014X00002VKCtAQAX")</f>
        <v>0014X00002VKCtAQAX</v>
      </c>
      <c r="B444" s="3" t="s">
        <v>17793</v>
      </c>
      <c r="C444" s="3" t="s">
        <v>2538</v>
      </c>
      <c r="D444" s="3" t="s">
        <v>46</v>
      </c>
      <c r="E444" s="3">
        <v>30</v>
      </c>
      <c r="F444" s="3">
        <v>0</v>
      </c>
      <c r="G444" s="3">
        <v>3</v>
      </c>
      <c r="H444" s="3">
        <v>12000</v>
      </c>
      <c r="I444" s="3">
        <v>140</v>
      </c>
      <c r="J444" s="3" t="s">
        <v>17403</v>
      </c>
      <c r="K444" s="3">
        <v>38</v>
      </c>
      <c r="L444" s="3">
        <v>15</v>
      </c>
      <c r="M444" s="3">
        <v>0</v>
      </c>
      <c r="N444" s="3">
        <v>8</v>
      </c>
      <c r="O444" s="3">
        <v>5</v>
      </c>
      <c r="P444" s="3">
        <v>10</v>
      </c>
      <c r="Q444" s="3" t="s">
        <v>6585</v>
      </c>
      <c r="R444" s="6">
        <v>44804</v>
      </c>
    </row>
    <row r="445" spans="1:18" ht="12.5" x14ac:dyDescent="0.25">
      <c r="A445" s="21" t="str">
        <f>HYPERLINK("https://gerandofalcoes.my.salesforce.com/0014X00002VKCtVQAX", "0014X00002VKCtVQAX")</f>
        <v>0014X00002VKCtVQAX</v>
      </c>
      <c r="B445" s="3" t="s">
        <v>7417</v>
      </c>
      <c r="C445" s="3" t="s">
        <v>2538</v>
      </c>
      <c r="D445" s="3" t="s">
        <v>46</v>
      </c>
      <c r="E445" s="3">
        <v>17</v>
      </c>
      <c r="F445" s="3">
        <v>8</v>
      </c>
      <c r="G445" s="3">
        <v>2</v>
      </c>
      <c r="H445" s="3">
        <v>8000</v>
      </c>
      <c r="I445" s="3">
        <v>16</v>
      </c>
      <c r="J445" s="3" t="s">
        <v>17403</v>
      </c>
      <c r="K445" s="3">
        <v>36</v>
      </c>
      <c r="L445" s="3">
        <v>10</v>
      </c>
      <c r="M445" s="3">
        <v>10</v>
      </c>
      <c r="N445" s="3">
        <v>6</v>
      </c>
      <c r="O445" s="3">
        <v>5</v>
      </c>
      <c r="P445" s="3">
        <v>5</v>
      </c>
      <c r="Q445" s="3"/>
      <c r="R445" s="6">
        <v>44804</v>
      </c>
    </row>
    <row r="446" spans="1:18" ht="12.5" x14ac:dyDescent="0.25">
      <c r="A446" s="21" t="str">
        <f>HYPERLINK("https://gerandofalcoes.my.salesforce.com/0014X00002VKCuqQAH", "0014X00002VKCuqQAH")</f>
        <v>0014X00002VKCuqQAH</v>
      </c>
      <c r="B446" s="3" t="s">
        <v>7743</v>
      </c>
      <c r="C446" s="3" t="s">
        <v>2538</v>
      </c>
      <c r="D446" s="3" t="s">
        <v>46</v>
      </c>
      <c r="E446" s="3">
        <v>23</v>
      </c>
      <c r="F446" s="3">
        <v>0</v>
      </c>
      <c r="G446" s="3">
        <v>2</v>
      </c>
      <c r="H446" s="3">
        <v>0</v>
      </c>
      <c r="I446" s="3">
        <v>60</v>
      </c>
      <c r="J446" s="3" t="s">
        <v>17403</v>
      </c>
      <c r="K446" s="3">
        <v>21</v>
      </c>
      <c r="L446" s="3">
        <v>10</v>
      </c>
      <c r="M446" s="3">
        <v>0</v>
      </c>
      <c r="N446" s="3">
        <v>6</v>
      </c>
      <c r="O446" s="3">
        <v>0</v>
      </c>
      <c r="P446" s="3">
        <v>5</v>
      </c>
      <c r="Q446" s="3" t="s">
        <v>7745</v>
      </c>
      <c r="R446" s="6">
        <v>44804</v>
      </c>
    </row>
    <row r="447" spans="1:18" ht="12.5" x14ac:dyDescent="0.25">
      <c r="A447" s="21" t="str">
        <f>HYPERLINK("https://gerandofalcoes.my.salesforce.com/0014X00002VKCrhQAH", "0014X00002VKCrhQAH")</f>
        <v>0014X00002VKCrhQAH</v>
      </c>
      <c r="B447" s="3" t="s">
        <v>17794</v>
      </c>
      <c r="C447" s="3" t="s">
        <v>2538</v>
      </c>
      <c r="D447" s="3" t="s">
        <v>46</v>
      </c>
      <c r="E447" s="3">
        <v>45</v>
      </c>
      <c r="F447" s="3">
        <v>6</v>
      </c>
      <c r="G447" s="3">
        <v>5</v>
      </c>
      <c r="H447" s="3">
        <v>150000</v>
      </c>
      <c r="I447" s="3">
        <v>200</v>
      </c>
      <c r="J447" s="3" t="s">
        <v>17403</v>
      </c>
      <c r="K447" s="3">
        <v>62</v>
      </c>
      <c r="L447" s="3">
        <v>15</v>
      </c>
      <c r="M447" s="3">
        <v>10</v>
      </c>
      <c r="N447" s="3">
        <v>10</v>
      </c>
      <c r="O447" s="3">
        <v>15</v>
      </c>
      <c r="P447" s="3">
        <v>12</v>
      </c>
      <c r="Q447" s="3" t="s">
        <v>6028</v>
      </c>
      <c r="R447" s="6">
        <v>44804</v>
      </c>
    </row>
    <row r="448" spans="1:18" ht="12.5" x14ac:dyDescent="0.25">
      <c r="A448" s="21" t="str">
        <f>HYPERLINK("https://gerandofalcoes.my.salesforce.com/0014X00002VKCuSQAX", "0014X00002VKCuSQAX")</f>
        <v>0014X00002VKCuSQAX</v>
      </c>
      <c r="B448" s="3" t="s">
        <v>17795</v>
      </c>
      <c r="C448" s="3" t="s">
        <v>2538</v>
      </c>
      <c r="D448" s="3" t="s">
        <v>46</v>
      </c>
      <c r="E448" s="3">
        <v>24</v>
      </c>
      <c r="F448" s="3">
        <v>6</v>
      </c>
      <c r="G448" s="3">
        <v>2</v>
      </c>
      <c r="H448" s="3">
        <v>15000</v>
      </c>
      <c r="I448" s="3">
        <v>336</v>
      </c>
      <c r="J448" s="3" t="s">
        <v>17403</v>
      </c>
      <c r="K448" s="3">
        <v>46</v>
      </c>
      <c r="L448" s="3">
        <v>10</v>
      </c>
      <c r="M448" s="3">
        <v>10</v>
      </c>
      <c r="N448" s="3">
        <v>6</v>
      </c>
      <c r="O448" s="3">
        <v>5</v>
      </c>
      <c r="P448" s="3">
        <v>15</v>
      </c>
      <c r="Q448" s="3" t="s">
        <v>7027</v>
      </c>
      <c r="R448" s="6">
        <v>44804</v>
      </c>
    </row>
    <row r="449" spans="1:18" ht="12.5" x14ac:dyDescent="0.25">
      <c r="A449" s="21" t="str">
        <f>HYPERLINK("https://gerandofalcoes.my.salesforce.com/0014X00002VKCr2QAH", "0014X00002VKCr2QAH")</f>
        <v>0014X00002VKCr2QAH</v>
      </c>
      <c r="B449" s="3" t="s">
        <v>4531</v>
      </c>
      <c r="C449" s="3" t="s">
        <v>2538</v>
      </c>
      <c r="D449" s="3" t="s">
        <v>46</v>
      </c>
      <c r="E449" s="3">
        <v>36</v>
      </c>
      <c r="F449" s="3">
        <v>8</v>
      </c>
      <c r="G449" s="3">
        <v>3</v>
      </c>
      <c r="H449" s="3">
        <v>3000</v>
      </c>
      <c r="I449" s="3">
        <v>25</v>
      </c>
      <c r="J449" s="3" t="s">
        <v>17403</v>
      </c>
      <c r="K449" s="3">
        <v>43</v>
      </c>
      <c r="L449" s="3">
        <v>15</v>
      </c>
      <c r="M449" s="3">
        <v>10</v>
      </c>
      <c r="N449" s="3">
        <v>8</v>
      </c>
      <c r="O449" s="3">
        <v>5</v>
      </c>
      <c r="P449" s="3">
        <v>5</v>
      </c>
      <c r="Q449" s="3" t="s">
        <v>17430</v>
      </c>
      <c r="R449" s="6">
        <v>44804</v>
      </c>
    </row>
    <row r="450" spans="1:18" ht="12.5" x14ac:dyDescent="0.25">
      <c r="A450" s="21" t="str">
        <f>HYPERLINK("https://gerandofalcoes.my.salesforce.com/0014X00002VKCtHQAX", "0014X00002VKCtHQAX")</f>
        <v>0014X00002VKCtHQAX</v>
      </c>
      <c r="B450" s="3" t="s">
        <v>17796</v>
      </c>
      <c r="C450" s="3" t="s">
        <v>2538</v>
      </c>
      <c r="D450" s="3" t="s">
        <v>46</v>
      </c>
      <c r="E450" s="3">
        <v>33</v>
      </c>
      <c r="F450" s="3">
        <v>0</v>
      </c>
      <c r="G450" s="3">
        <v>3</v>
      </c>
      <c r="H450" s="3">
        <v>3000</v>
      </c>
      <c r="I450" s="3">
        <v>0</v>
      </c>
      <c r="J450" s="3" t="s">
        <v>17403</v>
      </c>
      <c r="K450" s="3">
        <v>28</v>
      </c>
      <c r="L450" s="3">
        <v>15</v>
      </c>
      <c r="M450" s="3">
        <v>0</v>
      </c>
      <c r="N450" s="3">
        <v>8</v>
      </c>
      <c r="O450" s="3">
        <v>5</v>
      </c>
      <c r="P450" s="3">
        <v>0</v>
      </c>
      <c r="Q450" s="3" t="s">
        <v>6683</v>
      </c>
      <c r="R450" s="6">
        <v>44804</v>
      </c>
    </row>
    <row r="451" spans="1:18" ht="12.5" x14ac:dyDescent="0.25">
      <c r="A451" s="21" t="str">
        <f>HYPERLINK("https://gerandofalcoes.my.salesforce.com/0014X00002VKCtXQAX", "0014X00002VKCtXQAX")</f>
        <v>0014X00002VKCtXQAX</v>
      </c>
      <c r="B451" s="3" t="s">
        <v>17797</v>
      </c>
      <c r="C451" s="3" t="s">
        <v>2538</v>
      </c>
      <c r="D451" s="3" t="s">
        <v>46</v>
      </c>
      <c r="E451" s="3">
        <v>23</v>
      </c>
      <c r="F451" s="3">
        <v>0</v>
      </c>
      <c r="G451" s="3">
        <v>2</v>
      </c>
      <c r="H451" s="3">
        <v>25000</v>
      </c>
      <c r="I451" s="3">
        <v>60</v>
      </c>
      <c r="J451" s="3" t="s">
        <v>17403</v>
      </c>
      <c r="K451" s="3">
        <v>31</v>
      </c>
      <c r="L451" s="3">
        <v>10</v>
      </c>
      <c r="M451" s="3">
        <v>0</v>
      </c>
      <c r="N451" s="3">
        <v>6</v>
      </c>
      <c r="O451" s="3">
        <v>10</v>
      </c>
      <c r="P451" s="3">
        <v>5</v>
      </c>
      <c r="Q451" s="3" t="s">
        <v>7453</v>
      </c>
      <c r="R451" s="6">
        <v>44804</v>
      </c>
    </row>
    <row r="452" spans="1:18" ht="12.5" x14ac:dyDescent="0.25">
      <c r="A452" s="21" t="str">
        <f>HYPERLINK("https://gerandofalcoes.my.salesforce.com/0014X00002VKCsDQAX", "0014X00002VKCsDQAX")</f>
        <v>0014X00002VKCsDQAX</v>
      </c>
      <c r="B452" s="3" t="s">
        <v>17798</v>
      </c>
      <c r="C452" s="3" t="s">
        <v>2538</v>
      </c>
      <c r="D452" s="3" t="s">
        <v>46</v>
      </c>
      <c r="E452" s="3">
        <v>13</v>
      </c>
      <c r="F452" s="3">
        <v>0</v>
      </c>
      <c r="G452" s="3">
        <v>2</v>
      </c>
      <c r="H452" s="3">
        <v>14000</v>
      </c>
      <c r="I452" s="3">
        <v>60</v>
      </c>
      <c r="J452" s="3" t="s">
        <v>17403</v>
      </c>
      <c r="K452" s="3">
        <v>26</v>
      </c>
      <c r="L452" s="3">
        <v>10</v>
      </c>
      <c r="M452" s="3">
        <v>0</v>
      </c>
      <c r="N452" s="3">
        <v>6</v>
      </c>
      <c r="O452" s="3">
        <v>5</v>
      </c>
      <c r="P452" s="3">
        <v>5</v>
      </c>
      <c r="Q452" s="3" t="s">
        <v>7222</v>
      </c>
      <c r="R452" s="6">
        <v>44804</v>
      </c>
    </row>
    <row r="453" spans="1:18" ht="12.5" x14ac:dyDescent="0.25">
      <c r="A453" s="21" t="str">
        <f>HYPERLINK("https://gerandofalcoes.my.salesforce.com/0014X00002VKCrLQAX", "0014X00002VKCrLQAX")</f>
        <v>0014X00002VKCrLQAX</v>
      </c>
      <c r="B453" s="3" t="s">
        <v>5199</v>
      </c>
      <c r="C453" s="3" t="s">
        <v>2538</v>
      </c>
      <c r="D453" s="3" t="s">
        <v>46</v>
      </c>
      <c r="E453" s="3">
        <v>18</v>
      </c>
      <c r="F453" s="3">
        <v>0</v>
      </c>
      <c r="G453" s="3">
        <v>4</v>
      </c>
      <c r="H453" s="3">
        <v>6.5</v>
      </c>
      <c r="I453" s="3">
        <v>45</v>
      </c>
      <c r="J453" s="3" t="s">
        <v>17403</v>
      </c>
      <c r="K453" s="3">
        <v>30</v>
      </c>
      <c r="L453" s="3">
        <v>10</v>
      </c>
      <c r="M453" s="3">
        <v>0</v>
      </c>
      <c r="N453" s="3">
        <v>10</v>
      </c>
      <c r="O453" s="3">
        <v>5</v>
      </c>
      <c r="P453" s="3">
        <v>5</v>
      </c>
      <c r="Q453" s="3"/>
      <c r="R453" s="6">
        <v>44804</v>
      </c>
    </row>
    <row r="454" spans="1:18" ht="12.5" x14ac:dyDescent="0.25">
      <c r="A454" s="21" t="str">
        <f>HYPERLINK("https://gerandofalcoes.my.salesforce.com/0014X00002VKCtMQAX", "0014X00002VKCtMQAX")</f>
        <v>0014X00002VKCtMQAX</v>
      </c>
      <c r="B454" s="3" t="s">
        <v>17799</v>
      </c>
      <c r="C454" s="3" t="s">
        <v>2538</v>
      </c>
      <c r="D454" s="3" t="s">
        <v>46</v>
      </c>
      <c r="E454" s="3">
        <v>14</v>
      </c>
      <c r="F454" s="3">
        <v>5</v>
      </c>
      <c r="G454" s="3">
        <v>2</v>
      </c>
      <c r="H454" s="3">
        <v>500</v>
      </c>
      <c r="I454" s="3">
        <v>0</v>
      </c>
      <c r="J454" s="3" t="s">
        <v>17403</v>
      </c>
      <c r="K454" s="3">
        <v>26</v>
      </c>
      <c r="L454" s="3">
        <v>10</v>
      </c>
      <c r="M454" s="3">
        <v>5</v>
      </c>
      <c r="N454" s="3">
        <v>6</v>
      </c>
      <c r="O454" s="3">
        <v>5</v>
      </c>
      <c r="P454" s="3">
        <v>0</v>
      </c>
      <c r="Q454" s="3" t="s">
        <v>6747</v>
      </c>
      <c r="R454" s="6">
        <v>44804</v>
      </c>
    </row>
    <row r="455" spans="1:18" ht="12.5" x14ac:dyDescent="0.25">
      <c r="A455" s="21" t="str">
        <f>HYPERLINK("https://gerandofalcoes.my.salesforce.com/0014X00002VKCqNQAX", "0014X00002VKCqNQAX")</f>
        <v>0014X00002VKCqNQAX</v>
      </c>
      <c r="B455" s="3" t="s">
        <v>17800</v>
      </c>
      <c r="C455" s="3" t="s">
        <v>2538</v>
      </c>
      <c r="D455" s="3" t="s">
        <v>46</v>
      </c>
      <c r="E455" s="3">
        <v>13</v>
      </c>
      <c r="F455" s="3">
        <v>10</v>
      </c>
      <c r="G455" s="3">
        <v>10</v>
      </c>
      <c r="H455" s="3">
        <v>275000</v>
      </c>
      <c r="I455" s="3">
        <v>30</v>
      </c>
      <c r="J455" s="3" t="s">
        <v>17403</v>
      </c>
      <c r="K455" s="3">
        <v>50</v>
      </c>
      <c r="L455" s="3">
        <v>10</v>
      </c>
      <c r="M455" s="3">
        <v>10</v>
      </c>
      <c r="N455" s="3">
        <v>10</v>
      </c>
      <c r="O455" s="3">
        <v>15</v>
      </c>
      <c r="P455" s="3">
        <v>5</v>
      </c>
      <c r="Q455" s="3" t="s">
        <v>5526</v>
      </c>
      <c r="R455" s="6">
        <v>44804</v>
      </c>
    </row>
    <row r="456" spans="1:18" ht="12.5" x14ac:dyDescent="0.25">
      <c r="A456" s="21" t="str">
        <f>HYPERLINK("https://gerandofalcoes.my.salesforce.com/0014X00002VKCtRQAX", "0014X00002VKCtRQAX")</f>
        <v>0014X00002VKCtRQAX</v>
      </c>
      <c r="B456" s="3" t="s">
        <v>17801</v>
      </c>
      <c r="C456" s="3" t="s">
        <v>2538</v>
      </c>
      <c r="D456" s="3" t="s">
        <v>46</v>
      </c>
      <c r="E456" s="3">
        <v>21</v>
      </c>
      <c r="F456" s="3">
        <v>1</v>
      </c>
      <c r="G456" s="3">
        <v>6</v>
      </c>
      <c r="H456" s="3">
        <v>300</v>
      </c>
      <c r="I456" s="3">
        <v>30</v>
      </c>
      <c r="J456" s="3" t="s">
        <v>17403</v>
      </c>
      <c r="K456" s="3">
        <v>35</v>
      </c>
      <c r="L456" s="3">
        <v>10</v>
      </c>
      <c r="M456" s="3">
        <v>5</v>
      </c>
      <c r="N456" s="3">
        <v>10</v>
      </c>
      <c r="O456" s="3">
        <v>5</v>
      </c>
      <c r="P456" s="3">
        <v>5</v>
      </c>
      <c r="Q456" s="3" t="s">
        <v>6922</v>
      </c>
      <c r="R456" s="6">
        <v>44804</v>
      </c>
    </row>
    <row r="457" spans="1:18" ht="12.5" x14ac:dyDescent="0.25">
      <c r="A457" s="21" t="str">
        <f>HYPERLINK("https://gerandofalcoes.my.salesforce.com/0014X00002VKCrvQAH", "0014X00002VKCrvQAH")</f>
        <v>0014X00002VKCrvQAH</v>
      </c>
      <c r="B457" s="3" t="s">
        <v>17802</v>
      </c>
      <c r="C457" s="3" t="s">
        <v>2538</v>
      </c>
      <c r="D457" s="3" t="s">
        <v>46</v>
      </c>
      <c r="E457" s="3">
        <v>10</v>
      </c>
      <c r="F457" s="3">
        <v>4</v>
      </c>
      <c r="G457" s="3">
        <v>4</v>
      </c>
      <c r="H457" s="3">
        <v>800</v>
      </c>
      <c r="I457" s="3">
        <v>65</v>
      </c>
      <c r="J457" s="3" t="s">
        <v>17403</v>
      </c>
      <c r="K457" s="3">
        <v>35</v>
      </c>
      <c r="L457" s="3">
        <v>10</v>
      </c>
      <c r="M457" s="3">
        <v>5</v>
      </c>
      <c r="N457" s="3">
        <v>10</v>
      </c>
      <c r="O457" s="3">
        <v>5</v>
      </c>
      <c r="P457" s="3">
        <v>5</v>
      </c>
      <c r="Q457" s="3"/>
      <c r="R457" s="6">
        <v>44804</v>
      </c>
    </row>
    <row r="458" spans="1:18" ht="12.5" x14ac:dyDescent="0.25">
      <c r="A458" s="21" t="str">
        <f>HYPERLINK("https://gerandofalcoes.my.salesforce.com/0014X00002VKD04QAH", "0014X00002VKD04QAH")</f>
        <v>0014X00002VKD04QAH</v>
      </c>
      <c r="B458" s="3" t="s">
        <v>17803</v>
      </c>
      <c r="C458" s="3" t="s">
        <v>2538</v>
      </c>
      <c r="D458" s="3" t="s">
        <v>46</v>
      </c>
      <c r="E458" s="3">
        <v>37</v>
      </c>
      <c r="F458" s="3">
        <v>24</v>
      </c>
      <c r="G458" s="3">
        <v>4</v>
      </c>
      <c r="H458" s="3">
        <v>900000</v>
      </c>
      <c r="I458" s="3">
        <v>150</v>
      </c>
      <c r="J458" s="3" t="s">
        <v>17406</v>
      </c>
      <c r="K458" s="3">
        <v>74</v>
      </c>
      <c r="L458" s="3">
        <v>15</v>
      </c>
      <c r="M458" s="3">
        <v>12</v>
      </c>
      <c r="N458" s="3">
        <v>10</v>
      </c>
      <c r="O458" s="3">
        <v>25</v>
      </c>
      <c r="P458" s="3">
        <v>12</v>
      </c>
      <c r="Q458" s="3" t="s">
        <v>6291</v>
      </c>
      <c r="R458" s="6">
        <v>44804</v>
      </c>
    </row>
    <row r="459" spans="1:18" ht="12.5" x14ac:dyDescent="0.25">
      <c r="A459" s="21" t="str">
        <f>HYPERLINK("https://gerandofalcoes.my.salesforce.com/0014X00002VKCvAQAX", "0014X00002VKCvAQAX")</f>
        <v>0014X00002VKCvAQAX</v>
      </c>
      <c r="B459" s="3" t="s">
        <v>17804</v>
      </c>
      <c r="C459" s="3" t="s">
        <v>2538</v>
      </c>
      <c r="D459" s="3" t="s">
        <v>46</v>
      </c>
      <c r="E459" s="3">
        <v>35</v>
      </c>
      <c r="F459" s="3">
        <v>0</v>
      </c>
      <c r="G459" s="3">
        <v>3</v>
      </c>
      <c r="H459" s="3">
        <v>11000</v>
      </c>
      <c r="I459" s="3">
        <v>1500</v>
      </c>
      <c r="J459" s="3" t="s">
        <v>17403</v>
      </c>
      <c r="K459" s="3">
        <v>48</v>
      </c>
      <c r="L459" s="3">
        <v>15</v>
      </c>
      <c r="M459" s="3">
        <v>0</v>
      </c>
      <c r="N459" s="3">
        <v>8</v>
      </c>
      <c r="O459" s="3">
        <v>5</v>
      </c>
      <c r="P459" s="3">
        <v>20</v>
      </c>
      <c r="Q459" s="3" t="s">
        <v>8403</v>
      </c>
      <c r="R459" s="6">
        <v>44804</v>
      </c>
    </row>
    <row r="460" spans="1:18" ht="12.5" x14ac:dyDescent="0.25">
      <c r="A460" s="21" t="str">
        <f>HYPERLINK("https://gerandofalcoes.my.salesforce.com/0014X00002VKCrZQAX", "0014X00002VKCrZQAX")</f>
        <v>0014X00002VKCrZQAX</v>
      </c>
      <c r="B460" s="3" t="s">
        <v>17805</v>
      </c>
      <c r="C460" s="3" t="s">
        <v>2538</v>
      </c>
      <c r="D460" s="3" t="s">
        <v>46</v>
      </c>
      <c r="E460" s="3">
        <v>80</v>
      </c>
      <c r="F460" s="3">
        <v>5</v>
      </c>
      <c r="G460" s="3">
        <v>7</v>
      </c>
      <c r="H460" s="3">
        <v>201710</v>
      </c>
      <c r="I460" s="3">
        <v>205</v>
      </c>
      <c r="J460" s="3" t="s">
        <v>17406</v>
      </c>
      <c r="K460" s="3">
        <v>67</v>
      </c>
      <c r="L460" s="3">
        <v>25</v>
      </c>
      <c r="M460" s="3">
        <v>5</v>
      </c>
      <c r="N460" s="3">
        <v>10</v>
      </c>
      <c r="O460" s="3">
        <v>15</v>
      </c>
      <c r="P460" s="3">
        <v>12</v>
      </c>
      <c r="Q460" s="3" t="s">
        <v>5914</v>
      </c>
      <c r="R460" s="6">
        <v>44804</v>
      </c>
    </row>
    <row r="461" spans="1:18" ht="12.5" x14ac:dyDescent="0.25">
      <c r="A461" s="21" t="str">
        <f>HYPERLINK("https://gerandofalcoes.my.salesforce.com/0014X00002VMXzMQAX", "0014X00002VMXzMQAX")</f>
        <v>0014X00002VMXzMQAX</v>
      </c>
      <c r="B461" s="3" t="s">
        <v>17806</v>
      </c>
      <c r="C461" s="3" t="s">
        <v>2538</v>
      </c>
      <c r="D461" s="3" t="s">
        <v>46</v>
      </c>
      <c r="E461" s="3">
        <v>20</v>
      </c>
      <c r="F461" s="3">
        <v>1</v>
      </c>
      <c r="G461" s="3">
        <v>2</v>
      </c>
      <c r="H461" s="3">
        <v>18000</v>
      </c>
      <c r="I461" s="3">
        <v>10</v>
      </c>
      <c r="J461" s="3" t="s">
        <v>17403</v>
      </c>
      <c r="K461" s="3">
        <v>31</v>
      </c>
      <c r="L461" s="3">
        <v>10</v>
      </c>
      <c r="M461" s="3">
        <v>5</v>
      </c>
      <c r="N461" s="3">
        <v>6</v>
      </c>
      <c r="O461" s="3">
        <v>5</v>
      </c>
      <c r="P461" s="3">
        <v>5</v>
      </c>
      <c r="Q461" s="3" t="s">
        <v>3851</v>
      </c>
      <c r="R461" s="6">
        <v>44804</v>
      </c>
    </row>
    <row r="462" spans="1:18" ht="12.5" x14ac:dyDescent="0.25">
      <c r="A462" s="21" t="str">
        <f>HYPERLINK("https://gerandofalcoes.my.salesforce.com/0014X00002VKCtEQAX", "0014X00002VKCtEQAX")</f>
        <v>0014X00002VKCtEQAX</v>
      </c>
      <c r="B462" s="3" t="s">
        <v>6633</v>
      </c>
      <c r="C462" s="3" t="s">
        <v>2538</v>
      </c>
      <c r="D462" s="3" t="s">
        <v>46</v>
      </c>
      <c r="E462" s="3">
        <v>15</v>
      </c>
      <c r="F462" s="3">
        <v>0</v>
      </c>
      <c r="G462" s="3">
        <v>3</v>
      </c>
      <c r="H462" s="3">
        <v>0</v>
      </c>
      <c r="I462" s="3">
        <v>137</v>
      </c>
      <c r="J462" s="3" t="s">
        <v>17403</v>
      </c>
      <c r="K462" s="3">
        <v>28</v>
      </c>
      <c r="L462" s="3">
        <v>10</v>
      </c>
      <c r="M462" s="3">
        <v>0</v>
      </c>
      <c r="N462" s="3">
        <v>8</v>
      </c>
      <c r="O462" s="3">
        <v>0</v>
      </c>
      <c r="P462" s="3">
        <v>10</v>
      </c>
      <c r="Q462" s="3" t="s">
        <v>6635</v>
      </c>
      <c r="R462" s="6">
        <v>44804</v>
      </c>
    </row>
    <row r="463" spans="1:18" ht="12.5" x14ac:dyDescent="0.25">
      <c r="A463" s="21" t="str">
        <f>HYPERLINK("https://gerandofalcoes.my.salesforce.com/0014X00002VKCqTQAX", "0014X00002VKCqTQAX")</f>
        <v>0014X00002VKCqTQAX</v>
      </c>
      <c r="B463" s="3" t="s">
        <v>17807</v>
      </c>
      <c r="C463" s="3" t="s">
        <v>2538</v>
      </c>
      <c r="D463" s="3" t="s">
        <v>46</v>
      </c>
      <c r="E463" s="3">
        <v>33</v>
      </c>
      <c r="F463" s="3">
        <v>0</v>
      </c>
      <c r="G463" s="3">
        <v>4</v>
      </c>
      <c r="H463" s="3">
        <v>26851</v>
      </c>
      <c r="I463" s="3">
        <v>200</v>
      </c>
      <c r="J463" s="3" t="s">
        <v>17403</v>
      </c>
      <c r="K463" s="3">
        <v>47</v>
      </c>
      <c r="L463" s="3">
        <v>15</v>
      </c>
      <c r="M463" s="3">
        <v>0</v>
      </c>
      <c r="N463" s="3">
        <v>10</v>
      </c>
      <c r="O463" s="3">
        <v>10</v>
      </c>
      <c r="P463" s="3">
        <v>12</v>
      </c>
      <c r="Q463" s="3" t="s">
        <v>4385</v>
      </c>
      <c r="R463" s="6">
        <v>44804</v>
      </c>
    </row>
    <row r="464" spans="1:18" ht="12.5" x14ac:dyDescent="0.25">
      <c r="A464" s="21" t="str">
        <f>HYPERLINK("https://gerandofalcoes.my.salesforce.com/0014X00002VKCriQAH", "0014X00002VKCriQAH")</f>
        <v>0014X00002VKCriQAH</v>
      </c>
      <c r="B464" s="3" t="s">
        <v>17808</v>
      </c>
      <c r="C464" s="3" t="s">
        <v>2538</v>
      </c>
      <c r="D464" s="3" t="s">
        <v>46</v>
      </c>
      <c r="E464" s="3">
        <v>60</v>
      </c>
      <c r="F464" s="3">
        <v>0</v>
      </c>
      <c r="G464" s="3">
        <v>2</v>
      </c>
      <c r="H464" s="3">
        <v>4115</v>
      </c>
      <c r="I464" s="3">
        <v>50</v>
      </c>
      <c r="J464" s="3" t="s">
        <v>17403</v>
      </c>
      <c r="K464" s="3">
        <v>36</v>
      </c>
      <c r="L464" s="3">
        <v>20</v>
      </c>
      <c r="M464" s="3">
        <v>0</v>
      </c>
      <c r="N464" s="3">
        <v>6</v>
      </c>
      <c r="O464" s="3">
        <v>5</v>
      </c>
      <c r="P464" s="3">
        <v>5</v>
      </c>
      <c r="Q464" s="3" t="s">
        <v>6042</v>
      </c>
      <c r="R464" s="6">
        <v>44804</v>
      </c>
    </row>
    <row r="465" spans="1:18" ht="12.5" x14ac:dyDescent="0.25">
      <c r="A465" s="21" t="str">
        <f>HYPERLINK("https://gerandofalcoes.my.salesforce.com/0014X00002VKCrCQAX", "0014X00002VKCrCQAX")</f>
        <v>0014X00002VKCrCQAX</v>
      </c>
      <c r="B465" s="3" t="s">
        <v>4699</v>
      </c>
      <c r="C465" s="3" t="s">
        <v>2538</v>
      </c>
      <c r="D465" s="3" t="s">
        <v>46</v>
      </c>
      <c r="E465" s="3">
        <v>21</v>
      </c>
      <c r="F465" s="3">
        <v>0</v>
      </c>
      <c r="G465" s="3">
        <v>2</v>
      </c>
      <c r="H465" s="3">
        <v>12000</v>
      </c>
      <c r="I465" s="3">
        <v>0</v>
      </c>
      <c r="J465" s="3" t="s">
        <v>17403</v>
      </c>
      <c r="K465" s="3">
        <v>21</v>
      </c>
      <c r="L465" s="3">
        <v>10</v>
      </c>
      <c r="M465" s="3">
        <v>0</v>
      </c>
      <c r="N465" s="3">
        <v>6</v>
      </c>
      <c r="O465" s="3">
        <v>5</v>
      </c>
      <c r="P465" s="3">
        <v>0</v>
      </c>
      <c r="Q465" s="3" t="s">
        <v>4701</v>
      </c>
      <c r="R465" s="6">
        <v>44804</v>
      </c>
    </row>
    <row r="466" spans="1:18" ht="12.5" x14ac:dyDescent="0.25">
      <c r="A466" s="21" t="str">
        <f>HYPERLINK("https://gerandofalcoes.my.salesforce.com/0014X00002VKCtbQAH", "0014X00002VKCtbQAH")</f>
        <v>0014X00002VKCtbQAH</v>
      </c>
      <c r="B466" s="3" t="s">
        <v>17809</v>
      </c>
      <c r="C466" s="3" t="s">
        <v>2538</v>
      </c>
      <c r="D466" s="3" t="s">
        <v>46</v>
      </c>
      <c r="E466" s="3">
        <v>40</v>
      </c>
      <c r="F466" s="3">
        <v>11</v>
      </c>
      <c r="G466" s="3">
        <v>4</v>
      </c>
      <c r="H466" s="3">
        <v>0</v>
      </c>
      <c r="I466" s="3">
        <v>60</v>
      </c>
      <c r="J466" s="3" t="s">
        <v>17403</v>
      </c>
      <c r="K466" s="3">
        <v>42</v>
      </c>
      <c r="L466" s="3">
        <v>15</v>
      </c>
      <c r="M466" s="3">
        <v>12</v>
      </c>
      <c r="N466" s="3">
        <v>10</v>
      </c>
      <c r="O466" s="3">
        <v>0</v>
      </c>
      <c r="P466" s="3">
        <v>5</v>
      </c>
      <c r="Q466" s="3" t="s">
        <v>7510</v>
      </c>
      <c r="R466" s="6">
        <v>44804</v>
      </c>
    </row>
    <row r="467" spans="1:18" ht="12.5" x14ac:dyDescent="0.25">
      <c r="A467" s="21" t="str">
        <f>HYPERLINK("https://gerandofalcoes.my.salesforce.com/0014X00002VKCpwQAH", "0014X00002VKCpwQAH")</f>
        <v>0014X00002VKCpwQAH</v>
      </c>
      <c r="B467" s="3" t="s">
        <v>17810</v>
      </c>
      <c r="C467" s="3" t="s">
        <v>2538</v>
      </c>
      <c r="D467" s="3" t="s">
        <v>46</v>
      </c>
      <c r="E467" s="3">
        <v>23</v>
      </c>
      <c r="F467" s="3">
        <v>0</v>
      </c>
      <c r="G467" s="3">
        <v>2</v>
      </c>
      <c r="H467" s="3">
        <v>12000</v>
      </c>
      <c r="I467" s="3">
        <v>150</v>
      </c>
      <c r="J467" s="3" t="s">
        <v>17403</v>
      </c>
      <c r="K467" s="3">
        <v>33</v>
      </c>
      <c r="L467" s="3">
        <v>10</v>
      </c>
      <c r="M467" s="3">
        <v>0</v>
      </c>
      <c r="N467" s="3">
        <v>6</v>
      </c>
      <c r="O467" s="3">
        <v>5</v>
      </c>
      <c r="P467" s="3">
        <v>12</v>
      </c>
      <c r="Q467" s="3" t="s">
        <v>4250</v>
      </c>
      <c r="R467" s="6">
        <v>44804</v>
      </c>
    </row>
    <row r="468" spans="1:18" ht="12.5" x14ac:dyDescent="0.25">
      <c r="A468" s="21" t="str">
        <f>HYPERLINK("https://gerandofalcoes.my.salesforce.com/0014X00002VKCt8QAH", "0014X00002VKCt8QAH")</f>
        <v>0014X00002VKCt8QAH</v>
      </c>
      <c r="B468" s="3" t="s">
        <v>17811</v>
      </c>
      <c r="C468" s="3" t="s">
        <v>2538</v>
      </c>
      <c r="D468" s="3" t="s">
        <v>46</v>
      </c>
      <c r="E468" s="3">
        <v>21</v>
      </c>
      <c r="F468" s="3">
        <v>0</v>
      </c>
      <c r="G468" s="3">
        <v>2</v>
      </c>
      <c r="H468" s="3">
        <v>1200</v>
      </c>
      <c r="I468" s="3">
        <v>0</v>
      </c>
      <c r="J468" s="3" t="s">
        <v>17403</v>
      </c>
      <c r="K468" s="3">
        <v>21</v>
      </c>
      <c r="L468" s="3">
        <v>10</v>
      </c>
      <c r="M468" s="3">
        <v>0</v>
      </c>
      <c r="N468" s="3">
        <v>6</v>
      </c>
      <c r="O468" s="3">
        <v>5</v>
      </c>
      <c r="P468" s="3">
        <v>0</v>
      </c>
      <c r="Q468" s="3" t="s">
        <v>6549</v>
      </c>
      <c r="R468" s="6">
        <v>44804</v>
      </c>
    </row>
    <row r="469" spans="1:18" ht="12.5" x14ac:dyDescent="0.25">
      <c r="A469" s="21" t="str">
        <f>HYPERLINK("https://gerandofalcoes.my.salesforce.com/0014X00002VKCuJQAX", "0014X00002VKCuJQAX")</f>
        <v>0014X00002VKCuJQAX</v>
      </c>
      <c r="B469" s="3" t="s">
        <v>17812</v>
      </c>
      <c r="C469" s="3" t="s">
        <v>2538</v>
      </c>
      <c r="D469" s="3" t="s">
        <v>46</v>
      </c>
      <c r="E469" s="3">
        <v>36</v>
      </c>
      <c r="F469" s="3">
        <v>0</v>
      </c>
      <c r="G469" s="3">
        <v>3</v>
      </c>
      <c r="H469" s="3">
        <v>3000</v>
      </c>
      <c r="I469" s="3">
        <v>25</v>
      </c>
      <c r="J469" s="3" t="s">
        <v>17403</v>
      </c>
      <c r="K469" s="3">
        <v>33</v>
      </c>
      <c r="L469" s="3">
        <v>15</v>
      </c>
      <c r="M469" s="3">
        <v>0</v>
      </c>
      <c r="N469" s="3">
        <v>8</v>
      </c>
      <c r="O469" s="3">
        <v>5</v>
      </c>
      <c r="P469" s="3">
        <v>5</v>
      </c>
      <c r="Q469" s="3" t="s">
        <v>6844</v>
      </c>
      <c r="R469" s="6">
        <v>44804</v>
      </c>
    </row>
    <row r="470" spans="1:18" ht="12.5" x14ac:dyDescent="0.25">
      <c r="A470" s="21" t="str">
        <f>HYPERLINK("https://gerandofalcoes.my.salesforce.com/0014X00002VKCtjQAH", "0014X00002VKCtjQAH")</f>
        <v>0014X00002VKCtjQAH</v>
      </c>
      <c r="B470" s="3" t="s">
        <v>7560</v>
      </c>
      <c r="C470" s="3" t="s">
        <v>2538</v>
      </c>
      <c r="D470" s="3" t="s">
        <v>46</v>
      </c>
      <c r="E470" s="3">
        <v>49</v>
      </c>
      <c r="F470" s="3">
        <v>0</v>
      </c>
      <c r="G470" s="3">
        <v>3</v>
      </c>
      <c r="H470" s="3">
        <v>100000</v>
      </c>
      <c r="I470" s="3">
        <v>50</v>
      </c>
      <c r="J470" s="3" t="s">
        <v>17403</v>
      </c>
      <c r="K470" s="3">
        <v>28</v>
      </c>
      <c r="L470" s="3">
        <v>0</v>
      </c>
      <c r="M470" s="3">
        <v>0</v>
      </c>
      <c r="N470" s="3">
        <v>8</v>
      </c>
      <c r="O470" s="3">
        <v>15</v>
      </c>
      <c r="P470" s="3">
        <v>5</v>
      </c>
      <c r="Q470" s="3" t="s">
        <v>7563</v>
      </c>
      <c r="R470" s="6">
        <v>44804</v>
      </c>
    </row>
    <row r="471" spans="1:18" ht="12.5" x14ac:dyDescent="0.25">
      <c r="A471" s="21" t="str">
        <f>HYPERLINK("https://gerandofalcoes.my.salesforce.com/0014X00002VKCryQAH", "0014X00002VKCryQAH")</f>
        <v>0014X00002VKCryQAH</v>
      </c>
      <c r="B471" s="3" t="s">
        <v>17813</v>
      </c>
      <c r="C471" s="3" t="s">
        <v>2538</v>
      </c>
      <c r="D471" s="3" t="s">
        <v>46</v>
      </c>
      <c r="E471" s="3">
        <v>51</v>
      </c>
      <c r="F471" s="3">
        <v>2</v>
      </c>
      <c r="G471" s="3">
        <v>7</v>
      </c>
      <c r="H471" s="3">
        <v>200000</v>
      </c>
      <c r="I471" s="3">
        <v>266</v>
      </c>
      <c r="J471" s="3" t="s">
        <v>17403</v>
      </c>
      <c r="K471" s="3">
        <v>62</v>
      </c>
      <c r="L471" s="3">
        <v>20</v>
      </c>
      <c r="M471" s="3">
        <v>5</v>
      </c>
      <c r="N471" s="3">
        <v>10</v>
      </c>
      <c r="O471" s="3">
        <v>15</v>
      </c>
      <c r="P471" s="3">
        <v>12</v>
      </c>
      <c r="Q471" s="3" t="s">
        <v>6280</v>
      </c>
      <c r="R471" s="6">
        <v>44804</v>
      </c>
    </row>
    <row r="472" spans="1:18" ht="12.5" x14ac:dyDescent="0.25">
      <c r="A472" s="21" t="str">
        <f>HYPERLINK("https://gerandofalcoes.my.salesforce.com/0014X00002VKCtFQAX", "0014X00002VKCtFQAX")</f>
        <v>0014X00002VKCtFQAX</v>
      </c>
      <c r="B472" s="3" t="s">
        <v>17814</v>
      </c>
      <c r="C472" s="3" t="s">
        <v>2538</v>
      </c>
      <c r="D472" s="3" t="s">
        <v>46</v>
      </c>
      <c r="E472" s="3">
        <v>35</v>
      </c>
      <c r="F472" s="3">
        <v>12</v>
      </c>
      <c r="G472" s="3">
        <v>2</v>
      </c>
      <c r="H472" s="3">
        <v>100000</v>
      </c>
      <c r="I472" s="3">
        <v>40</v>
      </c>
      <c r="J472" s="3" t="s">
        <v>17403</v>
      </c>
      <c r="K472" s="3">
        <v>53</v>
      </c>
      <c r="L472" s="3">
        <v>15</v>
      </c>
      <c r="M472" s="3">
        <v>12</v>
      </c>
      <c r="N472" s="3">
        <v>6</v>
      </c>
      <c r="O472" s="3">
        <v>15</v>
      </c>
      <c r="P472" s="3">
        <v>5</v>
      </c>
      <c r="Q472" s="3" t="s">
        <v>6650</v>
      </c>
      <c r="R472" s="6">
        <v>44804</v>
      </c>
    </row>
    <row r="473" spans="1:18" ht="12.5" x14ac:dyDescent="0.25">
      <c r="A473" s="21" t="str">
        <f>HYPERLINK("https://gerandofalcoes.my.salesforce.com/0014X00002VKCsRQAX", "0014X00002VKCsRQAX")</f>
        <v>0014X00002VKCsRQAX</v>
      </c>
      <c r="B473" s="3" t="s">
        <v>7393</v>
      </c>
      <c r="C473" s="3" t="s">
        <v>2538</v>
      </c>
      <c r="D473" s="3" t="s">
        <v>46</v>
      </c>
      <c r="E473" s="3">
        <v>29</v>
      </c>
      <c r="F473" s="3">
        <v>0</v>
      </c>
      <c r="G473" s="3">
        <v>2</v>
      </c>
      <c r="H473" s="3">
        <v>0</v>
      </c>
      <c r="I473" s="3">
        <v>30</v>
      </c>
      <c r="J473" s="3" t="s">
        <v>17403</v>
      </c>
      <c r="K473" s="3">
        <v>26</v>
      </c>
      <c r="L473" s="3">
        <v>15</v>
      </c>
      <c r="M473" s="3">
        <v>0</v>
      </c>
      <c r="N473" s="3">
        <v>6</v>
      </c>
      <c r="O473" s="3">
        <v>0</v>
      </c>
      <c r="P473" s="3">
        <v>5</v>
      </c>
      <c r="Q473" s="3" t="s">
        <v>7395</v>
      </c>
      <c r="R473" s="6">
        <v>44804</v>
      </c>
    </row>
    <row r="474" spans="1:18" ht="12.5" x14ac:dyDescent="0.25">
      <c r="A474" s="21" t="str">
        <f>HYPERLINK("https://gerandofalcoes.my.salesforce.com/0014X00002VKCsdQAH", "0014X00002VKCsdQAH")</f>
        <v>0014X00002VKCsdQAH</v>
      </c>
      <c r="B474" s="3" t="s">
        <v>17815</v>
      </c>
      <c r="C474" s="3" t="s">
        <v>2538</v>
      </c>
      <c r="D474" s="3" t="s">
        <v>46</v>
      </c>
      <c r="E474" s="3">
        <v>10</v>
      </c>
      <c r="F474" s="3">
        <v>0</v>
      </c>
      <c r="G474" s="3">
        <v>2</v>
      </c>
      <c r="H474" s="3">
        <v>24000</v>
      </c>
      <c r="I474" s="3">
        <v>95</v>
      </c>
      <c r="J474" s="3" t="s">
        <v>17403</v>
      </c>
      <c r="K474" s="3">
        <v>31</v>
      </c>
      <c r="L474" s="3">
        <v>10</v>
      </c>
      <c r="M474" s="3">
        <v>0</v>
      </c>
      <c r="N474" s="3">
        <v>6</v>
      </c>
      <c r="O474" s="3">
        <v>5</v>
      </c>
      <c r="P474" s="3">
        <v>10</v>
      </c>
      <c r="Q474" s="3" t="s">
        <v>7936</v>
      </c>
      <c r="R474" s="6">
        <v>44804</v>
      </c>
    </row>
    <row r="475" spans="1:18" ht="12.5" x14ac:dyDescent="0.25">
      <c r="A475" s="21" t="str">
        <f>HYPERLINK("https://gerandofalcoes.my.salesforce.com/0014X00002VKCurQAH", "0014X00002VKCurQAH")</f>
        <v>0014X00002VKCurQAH</v>
      </c>
      <c r="B475" s="3" t="s">
        <v>17816</v>
      </c>
      <c r="C475" s="3" t="s">
        <v>2538</v>
      </c>
      <c r="D475" s="3" t="s">
        <v>46</v>
      </c>
      <c r="E475" s="3">
        <v>22</v>
      </c>
      <c r="F475" s="3">
        <v>0</v>
      </c>
      <c r="G475" s="3">
        <v>2</v>
      </c>
      <c r="H475" s="3">
        <v>30000</v>
      </c>
      <c r="I475" s="3">
        <v>90</v>
      </c>
      <c r="J475" s="3" t="s">
        <v>17403</v>
      </c>
      <c r="K475" s="3">
        <v>36</v>
      </c>
      <c r="L475" s="3">
        <v>10</v>
      </c>
      <c r="M475" s="3">
        <v>0</v>
      </c>
      <c r="N475" s="3">
        <v>6</v>
      </c>
      <c r="O475" s="3">
        <v>10</v>
      </c>
      <c r="P475" s="3">
        <v>10</v>
      </c>
      <c r="Q475" s="3" t="s">
        <v>7758</v>
      </c>
      <c r="R475" s="6">
        <v>44804</v>
      </c>
    </row>
    <row r="476" spans="1:18" ht="12.5" x14ac:dyDescent="0.25">
      <c r="A476" s="21" t="str">
        <f>HYPERLINK("https://gerandofalcoes.my.salesforce.com/0014X00002VKCqGQAX", "0014X00002VKCqGQAX")</f>
        <v>0014X00002VKCqGQAX</v>
      </c>
      <c r="B476" s="3" t="s">
        <v>5087</v>
      </c>
      <c r="C476" s="3" t="s">
        <v>2538</v>
      </c>
      <c r="D476" s="3" t="s">
        <v>46</v>
      </c>
      <c r="E476" s="3">
        <v>26</v>
      </c>
      <c r="F476" s="3">
        <v>0</v>
      </c>
      <c r="G476" s="3">
        <v>2</v>
      </c>
      <c r="H476" s="3">
        <v>0</v>
      </c>
      <c r="I476" s="3">
        <v>0</v>
      </c>
      <c r="J476" s="3" t="s">
        <v>17403</v>
      </c>
      <c r="K476" s="3">
        <v>21</v>
      </c>
      <c r="L476" s="3">
        <v>15</v>
      </c>
      <c r="M476" s="3">
        <v>0</v>
      </c>
      <c r="N476" s="3">
        <v>6</v>
      </c>
      <c r="O476" s="3">
        <v>0</v>
      </c>
      <c r="P476" s="3">
        <v>0</v>
      </c>
      <c r="Q476" s="3" t="s">
        <v>5091</v>
      </c>
      <c r="R476" s="6">
        <v>44804</v>
      </c>
    </row>
    <row r="477" spans="1:18" ht="12.5" x14ac:dyDescent="0.25">
      <c r="A477" s="21" t="str">
        <f>HYPERLINK("https://gerandofalcoes.my.salesforce.com/0014X00002VKD06QAH", "0014X00002VKD06QAH")</f>
        <v>0014X00002VKD06QAH</v>
      </c>
      <c r="B477" s="3" t="s">
        <v>17817</v>
      </c>
      <c r="C477" s="3" t="s">
        <v>2538</v>
      </c>
      <c r="D477" s="3" t="s">
        <v>46</v>
      </c>
      <c r="E477" s="3">
        <v>44</v>
      </c>
      <c r="F477" s="3">
        <v>17</v>
      </c>
      <c r="G477" s="3">
        <v>5</v>
      </c>
      <c r="H477" s="3">
        <v>722164</v>
      </c>
      <c r="I477" s="3">
        <v>90</v>
      </c>
      <c r="J477" s="3" t="s">
        <v>17406</v>
      </c>
      <c r="K477" s="3">
        <v>67</v>
      </c>
      <c r="L477" s="3">
        <v>15</v>
      </c>
      <c r="M477" s="3">
        <v>12</v>
      </c>
      <c r="N477" s="3">
        <v>10</v>
      </c>
      <c r="O477" s="3">
        <v>20</v>
      </c>
      <c r="P477" s="3">
        <v>10</v>
      </c>
      <c r="Q477" s="3" t="s">
        <v>6330</v>
      </c>
      <c r="R477" s="6">
        <v>44804</v>
      </c>
    </row>
    <row r="478" spans="1:18" ht="12.5" x14ac:dyDescent="0.25">
      <c r="A478" s="21" t="str">
        <f>HYPERLINK("https://gerandofalcoes.my.salesforce.com/0014X00002VKCv7QAH", "0014X00002VKCv7QAH")</f>
        <v>0014X00002VKCv7QAH</v>
      </c>
      <c r="B478" s="3" t="s">
        <v>17818</v>
      </c>
      <c r="C478" s="3" t="s">
        <v>2538</v>
      </c>
      <c r="D478" s="3" t="s">
        <v>46</v>
      </c>
      <c r="E478" s="3">
        <v>20</v>
      </c>
      <c r="F478" s="3">
        <v>0</v>
      </c>
      <c r="G478" s="3">
        <v>3</v>
      </c>
      <c r="H478" s="3">
        <v>2000</v>
      </c>
      <c r="I478" s="3">
        <v>0</v>
      </c>
      <c r="J478" s="3" t="s">
        <v>17403</v>
      </c>
      <c r="K478" s="3">
        <v>23</v>
      </c>
      <c r="L478" s="3">
        <v>10</v>
      </c>
      <c r="M478" s="3">
        <v>0</v>
      </c>
      <c r="N478" s="3">
        <v>8</v>
      </c>
      <c r="O478" s="3">
        <v>5</v>
      </c>
      <c r="P478" s="3">
        <v>0</v>
      </c>
      <c r="Q478" s="3" t="s">
        <v>8354</v>
      </c>
      <c r="R478" s="6">
        <v>44804</v>
      </c>
    </row>
    <row r="479" spans="1:18" ht="12.5" x14ac:dyDescent="0.25">
      <c r="A479" s="21" t="str">
        <f>HYPERLINK("https://gerandofalcoes.my.salesforce.com/0014X00002VKCreQAH", "0014X00002VKCreQAH")</f>
        <v>0014X00002VKCreQAH</v>
      </c>
      <c r="B479" s="3" t="s">
        <v>5980</v>
      </c>
      <c r="C479" s="3" t="s">
        <v>2538</v>
      </c>
      <c r="D479" s="3" t="s">
        <v>46</v>
      </c>
      <c r="E479" s="3">
        <v>29</v>
      </c>
      <c r="F479" s="3">
        <v>0</v>
      </c>
      <c r="G479" s="3">
        <v>1</v>
      </c>
      <c r="H479" s="3">
        <v>3000</v>
      </c>
      <c r="I479" s="3">
        <v>60</v>
      </c>
      <c r="J479" s="3" t="s">
        <v>17403</v>
      </c>
      <c r="K479" s="3">
        <v>29</v>
      </c>
      <c r="L479" s="3">
        <v>15</v>
      </c>
      <c r="M479" s="3">
        <v>0</v>
      </c>
      <c r="N479" s="3">
        <v>4</v>
      </c>
      <c r="O479" s="3">
        <v>5</v>
      </c>
      <c r="P479" s="3">
        <v>5</v>
      </c>
      <c r="Q479" s="3" t="s">
        <v>5983</v>
      </c>
      <c r="R479" s="6">
        <v>44804</v>
      </c>
    </row>
    <row r="480" spans="1:18" ht="12.5" x14ac:dyDescent="0.25">
      <c r="A480" s="21" t="str">
        <f>HYPERLINK("https://gerandofalcoes.my.salesforce.com/0014X00002VKCrbQAH", "0014X00002VKCrbQAH")</f>
        <v>0014X00002VKCrbQAH</v>
      </c>
      <c r="B480" s="3" t="s">
        <v>17819</v>
      </c>
      <c r="C480" s="3" t="s">
        <v>2538</v>
      </c>
      <c r="D480" s="3" t="s">
        <v>46</v>
      </c>
      <c r="E480" s="3">
        <v>12</v>
      </c>
      <c r="F480" s="3">
        <v>0</v>
      </c>
      <c r="G480" s="3">
        <v>3</v>
      </c>
      <c r="H480" s="3">
        <v>300</v>
      </c>
      <c r="I480" s="3">
        <v>60</v>
      </c>
      <c r="J480" s="3" t="s">
        <v>17403</v>
      </c>
      <c r="K480" s="3">
        <v>28</v>
      </c>
      <c r="L480" s="3">
        <v>10</v>
      </c>
      <c r="M480" s="3">
        <v>0</v>
      </c>
      <c r="N480" s="3">
        <v>8</v>
      </c>
      <c r="O480" s="3">
        <v>5</v>
      </c>
      <c r="P480" s="3">
        <v>5</v>
      </c>
      <c r="Q480" s="3" t="s">
        <v>5950</v>
      </c>
      <c r="R480" s="6">
        <v>44804</v>
      </c>
    </row>
    <row r="481" spans="1:18" ht="12.5" x14ac:dyDescent="0.25">
      <c r="A481" s="21" t="str">
        <f>HYPERLINK("https://gerandofalcoes.my.salesforce.com/0014X00002VKCs2QAH", "0014X00002VKCs2QAH")</f>
        <v>0014X00002VKCs2QAH</v>
      </c>
      <c r="B481" s="3" t="s">
        <v>5285</v>
      </c>
      <c r="C481" s="3" t="s">
        <v>2538</v>
      </c>
      <c r="D481" s="3" t="s">
        <v>46</v>
      </c>
      <c r="E481" s="3">
        <v>15</v>
      </c>
      <c r="F481" s="3">
        <v>0</v>
      </c>
      <c r="G481" s="3">
        <v>2</v>
      </c>
      <c r="H481" s="3">
        <v>2500</v>
      </c>
      <c r="I481" s="3">
        <v>0</v>
      </c>
      <c r="J481" s="3" t="s">
        <v>17403</v>
      </c>
      <c r="K481" s="3">
        <v>21</v>
      </c>
      <c r="L481" s="3">
        <v>10</v>
      </c>
      <c r="M481" s="3">
        <v>0</v>
      </c>
      <c r="N481" s="3">
        <v>6</v>
      </c>
      <c r="O481" s="3">
        <v>5</v>
      </c>
      <c r="P481" s="3">
        <v>0</v>
      </c>
      <c r="Q481" s="3" t="s">
        <v>5287</v>
      </c>
      <c r="R481" s="6">
        <v>44804</v>
      </c>
    </row>
    <row r="482" spans="1:18" ht="12.5" x14ac:dyDescent="0.25">
      <c r="A482" s="21" t="str">
        <f>HYPERLINK("https://gerandofalcoes.my.salesforce.com/0014X00002VKCr5QAH", "0014X00002VKCr5QAH")</f>
        <v>0014X00002VKCr5QAH</v>
      </c>
      <c r="B482" s="3" t="s">
        <v>4591</v>
      </c>
      <c r="C482" s="3" t="s">
        <v>2538</v>
      </c>
      <c r="D482" s="3" t="s">
        <v>46</v>
      </c>
      <c r="E482" s="3">
        <v>47</v>
      </c>
      <c r="F482" s="3">
        <v>6</v>
      </c>
      <c r="G482" s="3">
        <v>3</v>
      </c>
      <c r="H482" s="3">
        <v>1000</v>
      </c>
      <c r="I482" s="3">
        <v>0</v>
      </c>
      <c r="J482" s="3" t="s">
        <v>17403</v>
      </c>
      <c r="K482" s="3">
        <v>38</v>
      </c>
      <c r="L482" s="3">
        <v>15</v>
      </c>
      <c r="M482" s="3">
        <v>10</v>
      </c>
      <c r="N482" s="3">
        <v>8</v>
      </c>
      <c r="O482" s="3">
        <v>5</v>
      </c>
      <c r="P482" s="3">
        <v>0</v>
      </c>
      <c r="Q482" s="3" t="s">
        <v>4594</v>
      </c>
      <c r="R482" s="6">
        <v>44804</v>
      </c>
    </row>
    <row r="483" spans="1:18" ht="12.5" x14ac:dyDescent="0.25">
      <c r="A483" s="21" t="str">
        <f>HYPERLINK("https://gerandofalcoes.my.salesforce.com/0014X00002VKCsxQAH", "0014X00002VKCsxQAH")</f>
        <v>0014X00002VKCsxQAH</v>
      </c>
      <c r="B483" s="3" t="s">
        <v>17820</v>
      </c>
      <c r="C483" s="3" t="s">
        <v>2538</v>
      </c>
      <c r="D483" s="3" t="s">
        <v>46</v>
      </c>
      <c r="E483" s="3">
        <v>25</v>
      </c>
      <c r="F483" s="3">
        <v>0</v>
      </c>
      <c r="G483" s="3">
        <v>3</v>
      </c>
      <c r="H483" s="3">
        <v>5</v>
      </c>
      <c r="I483" s="3">
        <v>173</v>
      </c>
      <c r="J483" s="3" t="s">
        <v>17403</v>
      </c>
      <c r="K483" s="3">
        <v>40</v>
      </c>
      <c r="L483" s="3">
        <v>15</v>
      </c>
      <c r="M483" s="3">
        <v>0</v>
      </c>
      <c r="N483" s="3">
        <v>8</v>
      </c>
      <c r="O483" s="3">
        <v>5</v>
      </c>
      <c r="P483" s="3">
        <v>12</v>
      </c>
      <c r="Q483" s="3" t="s">
        <v>6364</v>
      </c>
      <c r="R483" s="6">
        <v>44804</v>
      </c>
    </row>
    <row r="484" spans="1:18" ht="12.5" x14ac:dyDescent="0.25">
      <c r="A484" s="21" t="str">
        <f>HYPERLINK("https://gerandofalcoes.my.salesforce.com/0014X00002VKCpLQAX", "0014X00002VKCpLQAX")</f>
        <v>0014X00002VKCpLQAX</v>
      </c>
      <c r="B484" s="3" t="s">
        <v>4744</v>
      </c>
      <c r="C484" s="3" t="s">
        <v>2538</v>
      </c>
      <c r="D484" s="3" t="s">
        <v>46</v>
      </c>
      <c r="E484" s="3">
        <v>10</v>
      </c>
      <c r="F484" s="3">
        <v>0</v>
      </c>
      <c r="G484" s="3">
        <v>3</v>
      </c>
      <c r="H484" s="3">
        <v>5000</v>
      </c>
      <c r="I484" s="3">
        <v>0</v>
      </c>
      <c r="J484" s="3" t="s">
        <v>17403</v>
      </c>
      <c r="K484" s="3">
        <v>23</v>
      </c>
      <c r="L484" s="3">
        <v>10</v>
      </c>
      <c r="M484" s="3">
        <v>0</v>
      </c>
      <c r="N484" s="3">
        <v>8</v>
      </c>
      <c r="O484" s="3">
        <v>5</v>
      </c>
      <c r="P484" s="3">
        <v>0</v>
      </c>
      <c r="Q484" s="3" t="s">
        <v>4746</v>
      </c>
      <c r="R484" s="6">
        <v>44804</v>
      </c>
    </row>
    <row r="485" spans="1:18" ht="12.5" x14ac:dyDescent="0.25">
      <c r="A485" s="21" t="str">
        <f>HYPERLINK("https://gerandofalcoes.my.salesforce.com/0014X00002VKCpWQAX", "0014X00002VKCpWQAX")</f>
        <v>0014X00002VKCpWQAX</v>
      </c>
      <c r="B485" s="3" t="s">
        <v>17821</v>
      </c>
      <c r="C485" s="3" t="s">
        <v>2538</v>
      </c>
      <c r="D485" s="3" t="s">
        <v>46</v>
      </c>
      <c r="E485" s="3">
        <v>21</v>
      </c>
      <c r="F485" s="3">
        <v>5</v>
      </c>
      <c r="G485" s="3">
        <v>4</v>
      </c>
      <c r="H485" s="3">
        <v>70000</v>
      </c>
      <c r="I485" s="3">
        <v>0</v>
      </c>
      <c r="J485" s="3" t="s">
        <v>17403</v>
      </c>
      <c r="K485" s="3">
        <v>35</v>
      </c>
      <c r="L485" s="3">
        <v>10</v>
      </c>
      <c r="M485" s="3">
        <v>5</v>
      </c>
      <c r="N485" s="3">
        <v>10</v>
      </c>
      <c r="O485" s="3">
        <v>10</v>
      </c>
      <c r="P485" s="3">
        <v>0</v>
      </c>
      <c r="Q485" s="3" t="s">
        <v>4871</v>
      </c>
      <c r="R485" s="6">
        <v>44804</v>
      </c>
    </row>
    <row r="486" spans="1:18" ht="12.5" x14ac:dyDescent="0.25">
      <c r="A486" s="21" t="str">
        <f>HYPERLINK("https://gerandofalcoes.my.salesforce.com/0014X00002VKCqMQAX", "0014X00002VKCqMQAX")</f>
        <v>0014X00002VKCqMQAX</v>
      </c>
      <c r="B486" s="3" t="s">
        <v>17822</v>
      </c>
      <c r="C486" s="3" t="s">
        <v>2538</v>
      </c>
      <c r="D486" s="3" t="s">
        <v>46</v>
      </c>
      <c r="E486" s="3">
        <v>51</v>
      </c>
      <c r="F486" s="3">
        <v>2</v>
      </c>
      <c r="G486" s="3">
        <v>3</v>
      </c>
      <c r="H486" s="3">
        <v>150000</v>
      </c>
      <c r="I486" s="3">
        <v>10</v>
      </c>
      <c r="J486" s="3" t="s">
        <v>17403</v>
      </c>
      <c r="K486" s="3">
        <v>53</v>
      </c>
      <c r="L486" s="3">
        <v>20</v>
      </c>
      <c r="M486" s="3">
        <v>5</v>
      </c>
      <c r="N486" s="3">
        <v>8</v>
      </c>
      <c r="O486" s="3">
        <v>15</v>
      </c>
      <c r="P486" s="3">
        <v>5</v>
      </c>
      <c r="Q486" s="3" t="s">
        <v>5509</v>
      </c>
      <c r="R486" s="6">
        <v>44804</v>
      </c>
    </row>
    <row r="487" spans="1:18" ht="12.5" x14ac:dyDescent="0.25">
      <c r="A487" s="21" t="str">
        <f>HYPERLINK("https://gerandofalcoes.my.salesforce.com/0014X00002VKCpKQAX", "0014X00002VKCpKQAX")</f>
        <v>0014X00002VKCpKQAX</v>
      </c>
      <c r="B487" s="3" t="s">
        <v>17559</v>
      </c>
      <c r="C487" s="3" t="s">
        <v>2538</v>
      </c>
      <c r="D487" s="3" t="s">
        <v>46</v>
      </c>
      <c r="E487" s="3">
        <v>42</v>
      </c>
      <c r="F487" s="3">
        <v>0</v>
      </c>
      <c r="G487" s="3">
        <v>3</v>
      </c>
      <c r="H487" s="3">
        <v>29881</v>
      </c>
      <c r="I487" s="3">
        <v>0</v>
      </c>
      <c r="J487" s="3" t="s">
        <v>17403</v>
      </c>
      <c r="K487" s="3">
        <v>33</v>
      </c>
      <c r="L487" s="3">
        <v>15</v>
      </c>
      <c r="M487" s="3">
        <v>0</v>
      </c>
      <c r="N487" s="3">
        <v>8</v>
      </c>
      <c r="O487" s="3">
        <v>10</v>
      </c>
      <c r="P487" s="3">
        <v>0</v>
      </c>
      <c r="Q487" s="3" t="s">
        <v>4729</v>
      </c>
      <c r="R487" s="6">
        <v>44804</v>
      </c>
    </row>
    <row r="488" spans="1:18" ht="12.5" x14ac:dyDescent="0.25">
      <c r="A488" s="21" t="str">
        <f>HYPERLINK("https://gerandofalcoes.my.salesforce.com/0014X00002VKCqtQAH", "0014X00002VKCqtQAH")</f>
        <v>0014X00002VKCqtQAH</v>
      </c>
      <c r="B488" s="3" t="s">
        <v>6070</v>
      </c>
      <c r="C488" s="3" t="s">
        <v>2538</v>
      </c>
      <c r="D488" s="3" t="s">
        <v>46</v>
      </c>
      <c r="E488" s="3">
        <v>47</v>
      </c>
      <c r="F488" s="3">
        <v>0</v>
      </c>
      <c r="G488" s="3">
        <v>3</v>
      </c>
      <c r="H488" s="3">
        <v>12000</v>
      </c>
      <c r="I488" s="3">
        <v>79</v>
      </c>
      <c r="J488" s="3" t="s">
        <v>17403</v>
      </c>
      <c r="K488" s="3">
        <v>33</v>
      </c>
      <c r="L488" s="3">
        <v>15</v>
      </c>
      <c r="M488" s="3">
        <v>0</v>
      </c>
      <c r="N488" s="3">
        <v>8</v>
      </c>
      <c r="O488" s="3">
        <v>5</v>
      </c>
      <c r="P488" s="3">
        <v>5</v>
      </c>
      <c r="Q488" s="3" t="s">
        <v>6074</v>
      </c>
      <c r="R488" s="6">
        <v>44804</v>
      </c>
    </row>
    <row r="489" spans="1:18" ht="12.5" x14ac:dyDescent="0.25">
      <c r="A489" s="21" t="str">
        <f>HYPERLINK("https://gerandofalcoes.my.salesforce.com/0014X00002VKCrAQAX", "0014X00002VKCrAQAX")</f>
        <v>0014X00002VKCrAQAX</v>
      </c>
      <c r="B489" s="3" t="s">
        <v>4680</v>
      </c>
      <c r="C489" s="3" t="s">
        <v>2538</v>
      </c>
      <c r="D489" s="3" t="s">
        <v>46</v>
      </c>
      <c r="E489" s="3">
        <v>50</v>
      </c>
      <c r="F489" s="3">
        <v>2</v>
      </c>
      <c r="G489" s="3">
        <v>3</v>
      </c>
      <c r="H489" s="3">
        <v>76576</v>
      </c>
      <c r="I489" s="3">
        <v>30</v>
      </c>
      <c r="J489" s="3" t="s">
        <v>17403</v>
      </c>
      <c r="K489" s="3">
        <v>48</v>
      </c>
      <c r="L489" s="3">
        <v>20</v>
      </c>
      <c r="M489" s="3">
        <v>5</v>
      </c>
      <c r="N489" s="3">
        <v>8</v>
      </c>
      <c r="O489" s="3">
        <v>10</v>
      </c>
      <c r="P489" s="3">
        <v>5</v>
      </c>
      <c r="Q489" s="3" t="s">
        <v>4683</v>
      </c>
      <c r="R489" s="6">
        <v>44804</v>
      </c>
    </row>
    <row r="490" spans="1:18" ht="12.5" x14ac:dyDescent="0.25">
      <c r="A490" s="21" t="str">
        <f>HYPERLINK("https://gerandofalcoes.my.salesforce.com/0014X00002VKCpCQAX", "0014X00002VKCpCQAX")</f>
        <v>0014X00002VKCpCQAX</v>
      </c>
      <c r="B490" s="3" t="s">
        <v>17823</v>
      </c>
      <c r="C490" s="3" t="s">
        <v>2538</v>
      </c>
      <c r="D490" s="3" t="s">
        <v>46</v>
      </c>
      <c r="E490" s="3">
        <v>33</v>
      </c>
      <c r="F490" s="3">
        <v>0</v>
      </c>
      <c r="G490" s="3">
        <v>2</v>
      </c>
      <c r="H490" s="3">
        <v>0</v>
      </c>
      <c r="I490" s="3">
        <v>20</v>
      </c>
      <c r="J490" s="3" t="s">
        <v>17403</v>
      </c>
      <c r="K490" s="3">
        <v>26</v>
      </c>
      <c r="L490" s="3">
        <v>15</v>
      </c>
      <c r="M490" s="3">
        <v>0</v>
      </c>
      <c r="N490" s="3">
        <v>6</v>
      </c>
      <c r="O490" s="3">
        <v>0</v>
      </c>
      <c r="P490" s="3">
        <v>5</v>
      </c>
      <c r="Q490" s="3" t="s">
        <v>3974</v>
      </c>
      <c r="R490" s="6">
        <v>44804</v>
      </c>
    </row>
    <row r="491" spans="1:18" ht="12.5" x14ac:dyDescent="0.25">
      <c r="A491" s="21" t="str">
        <f>HYPERLINK("https://gerandofalcoes.my.salesforce.com/0014X00002VKCpRQAX", "0014X00002VKCpRQAX")</f>
        <v>0014X00002VKCpRQAX</v>
      </c>
      <c r="B491" s="3" t="s">
        <v>17824</v>
      </c>
      <c r="C491" s="3" t="s">
        <v>2538</v>
      </c>
      <c r="D491" s="3" t="s">
        <v>46</v>
      </c>
      <c r="E491" s="3">
        <v>28</v>
      </c>
      <c r="F491" s="3">
        <v>0</v>
      </c>
      <c r="G491" s="3">
        <v>2</v>
      </c>
      <c r="H491" s="3">
        <v>32500000</v>
      </c>
      <c r="I491" s="3">
        <v>0</v>
      </c>
      <c r="J491" s="3" t="s">
        <v>17403</v>
      </c>
      <c r="K491" s="3">
        <v>46</v>
      </c>
      <c r="L491" s="3">
        <v>15</v>
      </c>
      <c r="M491" s="3">
        <v>0</v>
      </c>
      <c r="N491" s="3">
        <v>6</v>
      </c>
      <c r="O491" s="3">
        <v>25</v>
      </c>
      <c r="P491" s="3">
        <v>0</v>
      </c>
      <c r="Q491" s="3" t="s">
        <v>4842</v>
      </c>
      <c r="R491" s="6">
        <v>44804</v>
      </c>
    </row>
    <row r="492" spans="1:18" ht="12.5" x14ac:dyDescent="0.25">
      <c r="A492" s="21" t="str">
        <f>HYPERLINK("https://gerandofalcoes.my.salesforce.com/0014X00002VKCrVQAX", "0014X00002VKCrVQAX")</f>
        <v>0014X00002VKCrVQAX</v>
      </c>
      <c r="B492" s="3" t="s">
        <v>5878</v>
      </c>
      <c r="C492" s="3" t="s">
        <v>2538</v>
      </c>
      <c r="D492" s="3" t="s">
        <v>46</v>
      </c>
      <c r="E492" s="3">
        <v>20</v>
      </c>
      <c r="F492" s="3">
        <v>0</v>
      </c>
      <c r="G492" s="3">
        <v>2</v>
      </c>
      <c r="H492" s="3">
        <v>0</v>
      </c>
      <c r="I492" s="3">
        <v>0</v>
      </c>
      <c r="J492" s="3" t="s">
        <v>17403</v>
      </c>
      <c r="K492" s="3">
        <v>16</v>
      </c>
      <c r="L492" s="3">
        <v>10</v>
      </c>
      <c r="M492" s="3">
        <v>0</v>
      </c>
      <c r="N492" s="3">
        <v>6</v>
      </c>
      <c r="O492" s="3">
        <v>0</v>
      </c>
      <c r="P492" s="3">
        <v>0</v>
      </c>
      <c r="Q492" s="3" t="s">
        <v>5882</v>
      </c>
      <c r="R492" s="6">
        <v>44804</v>
      </c>
    </row>
    <row r="493" spans="1:18" ht="12.5" x14ac:dyDescent="0.25">
      <c r="A493" s="21" t="str">
        <f>HYPERLINK("https://gerandofalcoes.my.salesforce.com/0014X00002VKCrcQAH", "0014X00002VKCrcQAH")</f>
        <v>0014X00002VKCrcQAH</v>
      </c>
      <c r="B493" s="3" t="s">
        <v>17825</v>
      </c>
      <c r="C493" s="3" t="s">
        <v>2538</v>
      </c>
      <c r="D493" s="3" t="s">
        <v>46</v>
      </c>
      <c r="E493" s="3">
        <v>19</v>
      </c>
      <c r="F493" s="3">
        <v>0</v>
      </c>
      <c r="G493" s="3">
        <v>3</v>
      </c>
      <c r="H493" s="3">
        <v>2000</v>
      </c>
      <c r="I493" s="3">
        <v>0</v>
      </c>
      <c r="J493" s="3" t="s">
        <v>17403</v>
      </c>
      <c r="K493" s="3">
        <v>23</v>
      </c>
      <c r="L493" s="3">
        <v>10</v>
      </c>
      <c r="M493" s="3">
        <v>0</v>
      </c>
      <c r="N493" s="3">
        <v>8</v>
      </c>
      <c r="O493" s="3">
        <v>5</v>
      </c>
      <c r="P493" s="3">
        <v>0</v>
      </c>
      <c r="Q493" s="3" t="s">
        <v>5968</v>
      </c>
      <c r="R493" s="6">
        <v>44804</v>
      </c>
    </row>
    <row r="494" spans="1:18" ht="12.5" x14ac:dyDescent="0.25">
      <c r="A494" s="21" t="str">
        <f>HYPERLINK("https://gerandofalcoes.my.salesforce.com/0014X00002VKCr9QAH", "0014X00002VKCr9QAH")</f>
        <v>0014X00002VKCr9QAH</v>
      </c>
      <c r="B494" s="3" t="s">
        <v>4669</v>
      </c>
      <c r="C494" s="3" t="s">
        <v>2538</v>
      </c>
      <c r="D494" s="3" t="s">
        <v>46</v>
      </c>
      <c r="E494" s="3">
        <v>27</v>
      </c>
      <c r="F494" s="3">
        <v>0</v>
      </c>
      <c r="G494" s="3">
        <v>2</v>
      </c>
      <c r="H494" s="3">
        <v>0</v>
      </c>
      <c r="I494" s="3">
        <v>30</v>
      </c>
      <c r="J494" s="3" t="s">
        <v>17403</v>
      </c>
      <c r="K494" s="3">
        <v>26</v>
      </c>
      <c r="L494" s="3">
        <v>15</v>
      </c>
      <c r="M494" s="3">
        <v>0</v>
      </c>
      <c r="N494" s="3">
        <v>6</v>
      </c>
      <c r="O494" s="3">
        <v>0</v>
      </c>
      <c r="P494" s="3">
        <v>5</v>
      </c>
      <c r="Q494" s="3"/>
      <c r="R494" s="6">
        <v>44804</v>
      </c>
    </row>
    <row r="495" spans="1:18" ht="12.5" x14ac:dyDescent="0.25">
      <c r="A495" s="21" t="str">
        <f>HYPERLINK("https://gerandofalcoes.my.salesforce.com/0014X00002VKCu5QAH", "0014X00002VKCu5QAH")</f>
        <v>0014X00002VKCu5QAH</v>
      </c>
      <c r="B495" s="3" t="s">
        <v>17826</v>
      </c>
      <c r="C495" s="3" t="s">
        <v>2538</v>
      </c>
      <c r="D495" s="3" t="s">
        <v>46</v>
      </c>
      <c r="E495" s="3">
        <v>33</v>
      </c>
      <c r="F495" s="3">
        <v>17</v>
      </c>
      <c r="G495" s="3">
        <v>4</v>
      </c>
      <c r="H495" s="3">
        <v>35000</v>
      </c>
      <c r="I495" s="3">
        <v>134</v>
      </c>
      <c r="J495" s="3" t="s">
        <v>17403</v>
      </c>
      <c r="K495" s="3">
        <v>57</v>
      </c>
      <c r="L495" s="3">
        <v>15</v>
      </c>
      <c r="M495" s="3">
        <v>12</v>
      </c>
      <c r="N495" s="3">
        <v>10</v>
      </c>
      <c r="O495" s="3">
        <v>10</v>
      </c>
      <c r="P495" s="3">
        <v>10</v>
      </c>
      <c r="Q495" s="3" t="s">
        <v>8561</v>
      </c>
      <c r="R495" s="6">
        <v>44804</v>
      </c>
    </row>
    <row r="496" spans="1:18" ht="12.5" x14ac:dyDescent="0.25">
      <c r="A496" s="21" t="str">
        <f>HYPERLINK("https://gerandofalcoes.my.salesforce.com/0014X00002VKCraQAH", "0014X00002VKCraQAH")</f>
        <v>0014X00002VKCraQAH</v>
      </c>
      <c r="B496" s="3" t="s">
        <v>5934</v>
      </c>
      <c r="C496" s="3" t="s">
        <v>2538</v>
      </c>
      <c r="D496" s="3" t="s">
        <v>46</v>
      </c>
      <c r="E496" s="3">
        <v>35</v>
      </c>
      <c r="F496" s="3">
        <v>0</v>
      </c>
      <c r="G496" s="3">
        <v>2</v>
      </c>
      <c r="H496" s="3">
        <v>9600</v>
      </c>
      <c r="I496" s="3">
        <v>0</v>
      </c>
      <c r="J496" s="3" t="s">
        <v>17403</v>
      </c>
      <c r="K496" s="3">
        <v>26</v>
      </c>
      <c r="L496" s="3">
        <v>15</v>
      </c>
      <c r="M496" s="3">
        <v>0</v>
      </c>
      <c r="N496" s="3">
        <v>6</v>
      </c>
      <c r="O496" s="3">
        <v>5</v>
      </c>
      <c r="P496" s="3">
        <v>0</v>
      </c>
      <c r="Q496" s="3" t="s">
        <v>5937</v>
      </c>
      <c r="R496" s="6">
        <v>44804</v>
      </c>
    </row>
    <row r="497" spans="1:18" ht="12.5" x14ac:dyDescent="0.25">
      <c r="A497" s="21" t="str">
        <f>HYPERLINK("https://gerandofalcoes.my.salesforce.com/0014X00002VKCp7QAH", "0014X00002VKCp7QAH")</f>
        <v>0014X00002VKCp7QAH</v>
      </c>
      <c r="B497" s="3" t="s">
        <v>3878</v>
      </c>
      <c r="C497" s="3" t="s">
        <v>2538</v>
      </c>
      <c r="D497" s="3" t="s">
        <v>46</v>
      </c>
      <c r="E497" s="3">
        <v>37</v>
      </c>
      <c r="F497" s="3">
        <v>4</v>
      </c>
      <c r="G497" s="3">
        <v>3</v>
      </c>
      <c r="H497" s="3">
        <v>96000</v>
      </c>
      <c r="I497" s="3">
        <v>200</v>
      </c>
      <c r="J497" s="3" t="s">
        <v>17403</v>
      </c>
      <c r="K497" s="3">
        <v>50</v>
      </c>
      <c r="L497" s="3">
        <v>15</v>
      </c>
      <c r="M497" s="3">
        <v>5</v>
      </c>
      <c r="N497" s="3">
        <v>8</v>
      </c>
      <c r="O497" s="3">
        <v>10</v>
      </c>
      <c r="P497" s="3">
        <v>12</v>
      </c>
      <c r="Q497" s="3" t="s">
        <v>3882</v>
      </c>
      <c r="R497" s="6">
        <v>44804</v>
      </c>
    </row>
    <row r="498" spans="1:18" ht="12.5" x14ac:dyDescent="0.25">
      <c r="A498" s="21" t="str">
        <f>HYPERLINK("https://gerandofalcoes.my.salesforce.com/0014X00002VKCrMQAX", "0014X00002VKCrMQAX")</f>
        <v>0014X00002VKCrMQAX</v>
      </c>
      <c r="B498" s="3" t="s">
        <v>17827</v>
      </c>
      <c r="C498" s="3" t="s">
        <v>2538</v>
      </c>
      <c r="D498" s="3" t="s">
        <v>46</v>
      </c>
      <c r="E498" s="3">
        <v>17</v>
      </c>
      <c r="F498" s="3">
        <v>0</v>
      </c>
      <c r="G498" s="3">
        <v>2</v>
      </c>
      <c r="H498" s="3">
        <v>1000</v>
      </c>
      <c r="I498" s="3">
        <v>50</v>
      </c>
      <c r="J498" s="3" t="s">
        <v>17403</v>
      </c>
      <c r="K498" s="3">
        <v>26</v>
      </c>
      <c r="L498" s="3">
        <v>10</v>
      </c>
      <c r="M498" s="3">
        <v>0</v>
      </c>
      <c r="N498" s="3">
        <v>6</v>
      </c>
      <c r="O498" s="3">
        <v>5</v>
      </c>
      <c r="P498" s="3">
        <v>5</v>
      </c>
      <c r="Q498" s="3" t="s">
        <v>5212</v>
      </c>
      <c r="R498" s="6">
        <v>44804</v>
      </c>
    </row>
    <row r="499" spans="1:18" ht="12.5" x14ac:dyDescent="0.25">
      <c r="A499" s="21" t="str">
        <f>HYPERLINK("https://gerandofalcoes.my.salesforce.com/0014X00002VKCqUQAX", "0014X00002VKCqUQAX")</f>
        <v>0014X00002VKCqUQAX</v>
      </c>
      <c r="B499" s="3" t="s">
        <v>17828</v>
      </c>
      <c r="C499" s="3" t="s">
        <v>2538</v>
      </c>
      <c r="D499" s="3" t="s">
        <v>46</v>
      </c>
      <c r="E499" s="3">
        <v>13</v>
      </c>
      <c r="F499" s="3">
        <v>0</v>
      </c>
      <c r="G499" s="3">
        <v>3</v>
      </c>
      <c r="H499" s="3">
        <v>10000</v>
      </c>
      <c r="I499" s="3">
        <v>0</v>
      </c>
      <c r="J499" s="3" t="s">
        <v>17403</v>
      </c>
      <c r="K499" s="3">
        <v>23</v>
      </c>
      <c r="L499" s="3">
        <v>10</v>
      </c>
      <c r="M499" s="3">
        <v>0</v>
      </c>
      <c r="N499" s="3">
        <v>8</v>
      </c>
      <c r="O499" s="3">
        <v>5</v>
      </c>
      <c r="P499" s="3">
        <v>0</v>
      </c>
      <c r="Q499" s="3" t="s">
        <v>4409</v>
      </c>
      <c r="R499" s="6">
        <v>44804</v>
      </c>
    </row>
    <row r="500" spans="1:18" ht="12.5" x14ac:dyDescent="0.25">
      <c r="A500" s="21" t="str">
        <f>HYPERLINK("https://gerandofalcoes.my.salesforce.com/0014X00002VKCrOQAX", "0014X00002VKCrOQAX")</f>
        <v>0014X00002VKCrOQAX</v>
      </c>
      <c r="B500" s="3" t="s">
        <v>17829</v>
      </c>
      <c r="C500" s="3" t="s">
        <v>2538</v>
      </c>
      <c r="D500" s="3" t="s">
        <v>46</v>
      </c>
      <c r="E500" s="3">
        <v>15</v>
      </c>
      <c r="F500" s="3">
        <v>0</v>
      </c>
      <c r="G500" s="3">
        <v>3</v>
      </c>
      <c r="H500" s="3">
        <v>15000</v>
      </c>
      <c r="I500" s="3">
        <v>255</v>
      </c>
      <c r="J500" s="3" t="s">
        <v>17403</v>
      </c>
      <c r="K500" s="3">
        <v>35</v>
      </c>
      <c r="L500" s="3">
        <v>10</v>
      </c>
      <c r="M500" s="3">
        <v>0</v>
      </c>
      <c r="N500" s="3">
        <v>8</v>
      </c>
      <c r="O500" s="3">
        <v>5</v>
      </c>
      <c r="P500" s="3">
        <v>12</v>
      </c>
      <c r="Q500" s="3"/>
      <c r="R500" s="6">
        <v>44804</v>
      </c>
    </row>
    <row r="501" spans="1:18" ht="12.5" x14ac:dyDescent="0.25">
      <c r="A501" s="21" t="str">
        <f>HYPERLINK("https://gerandofalcoes.my.salesforce.com/0014X00002VKCqVQAX", "0014X00002VKCqVQAX")</f>
        <v>0014X00002VKCqVQAX</v>
      </c>
      <c r="B501" s="3" t="s">
        <v>4425</v>
      </c>
      <c r="C501" s="3" t="s">
        <v>2538</v>
      </c>
      <c r="D501" s="3" t="s">
        <v>46</v>
      </c>
      <c r="E501" s="3">
        <v>14</v>
      </c>
      <c r="F501" s="3">
        <v>0</v>
      </c>
      <c r="G501" s="3">
        <v>5</v>
      </c>
      <c r="H501" s="3">
        <v>35000</v>
      </c>
      <c r="I501" s="3">
        <v>60</v>
      </c>
      <c r="J501" s="3" t="s">
        <v>17403</v>
      </c>
      <c r="K501" s="3">
        <v>35</v>
      </c>
      <c r="L501" s="3">
        <v>10</v>
      </c>
      <c r="M501" s="3">
        <v>0</v>
      </c>
      <c r="N501" s="3">
        <v>10</v>
      </c>
      <c r="O501" s="3">
        <v>10</v>
      </c>
      <c r="P501" s="3">
        <v>5</v>
      </c>
      <c r="Q501" s="3" t="s">
        <v>17419</v>
      </c>
      <c r="R501" s="6">
        <v>44804</v>
      </c>
    </row>
    <row r="502" spans="1:18" ht="12.5" x14ac:dyDescent="0.25">
      <c r="A502" s="21" t="str">
        <f>HYPERLINK("https://gerandofalcoes.my.salesforce.com/0014X00002VKCtxQAH", "0014X00002VKCtxQAH")</f>
        <v>0014X00002VKCtxQAH</v>
      </c>
      <c r="B502" s="3" t="s">
        <v>8444</v>
      </c>
      <c r="C502" s="3" t="s">
        <v>2538</v>
      </c>
      <c r="D502" s="3" t="s">
        <v>46</v>
      </c>
      <c r="E502" s="3">
        <v>52</v>
      </c>
      <c r="F502" s="3">
        <v>10</v>
      </c>
      <c r="G502" s="3">
        <v>3</v>
      </c>
      <c r="H502" s="3">
        <v>5000</v>
      </c>
      <c r="I502" s="3">
        <v>550</v>
      </c>
      <c r="J502" s="3" t="s">
        <v>17403</v>
      </c>
      <c r="K502" s="3">
        <v>63</v>
      </c>
      <c r="L502" s="3">
        <v>20</v>
      </c>
      <c r="M502" s="3">
        <v>10</v>
      </c>
      <c r="N502" s="3">
        <v>8</v>
      </c>
      <c r="O502" s="3">
        <v>5</v>
      </c>
      <c r="P502" s="3">
        <v>20</v>
      </c>
      <c r="Q502" s="3" t="s">
        <v>8447</v>
      </c>
      <c r="R502" s="6">
        <v>44804</v>
      </c>
    </row>
    <row r="503" spans="1:18" ht="12.5" x14ac:dyDescent="0.25">
      <c r="A503" s="21" t="str">
        <f>HYPERLINK("https://gerandofalcoes.my.salesforce.com/0014X00002VKCqYQAX", "0014X00002VKCqYQAX")</f>
        <v>0014X00002VKCqYQAX</v>
      </c>
      <c r="B503" s="3" t="s">
        <v>17830</v>
      </c>
      <c r="C503" s="3" t="s">
        <v>2538</v>
      </c>
      <c r="D503" s="3" t="s">
        <v>46</v>
      </c>
      <c r="E503" s="3">
        <v>28</v>
      </c>
      <c r="F503" s="3">
        <v>1</v>
      </c>
      <c r="G503" s="3">
        <v>6</v>
      </c>
      <c r="H503" s="3">
        <v>5000</v>
      </c>
      <c r="I503" s="3">
        <v>80</v>
      </c>
      <c r="J503" s="3" t="s">
        <v>17403</v>
      </c>
      <c r="K503" s="3">
        <v>45</v>
      </c>
      <c r="L503" s="3">
        <v>15</v>
      </c>
      <c r="M503" s="3">
        <v>5</v>
      </c>
      <c r="N503" s="3">
        <v>10</v>
      </c>
      <c r="O503" s="3">
        <v>5</v>
      </c>
      <c r="P503" s="3">
        <v>10</v>
      </c>
      <c r="Q503" s="3" t="s">
        <v>4490</v>
      </c>
      <c r="R503" s="6">
        <v>44804</v>
      </c>
    </row>
    <row r="504" spans="1:18" ht="12.5" x14ac:dyDescent="0.25">
      <c r="A504" s="21" t="str">
        <f>HYPERLINK("https://gerandofalcoes.my.salesforce.com/0014X00002VKCukQAH", "0014X00002VKCukQAH")</f>
        <v>0014X00002VKCukQAH</v>
      </c>
      <c r="B504" s="3" t="s">
        <v>7677</v>
      </c>
      <c r="C504" s="3" t="s">
        <v>2538</v>
      </c>
      <c r="D504" s="3" t="s">
        <v>46</v>
      </c>
      <c r="E504" s="3">
        <v>0</v>
      </c>
      <c r="F504" s="3">
        <v>8</v>
      </c>
      <c r="G504" s="3">
        <v>2</v>
      </c>
      <c r="H504" s="3">
        <v>0</v>
      </c>
      <c r="I504" s="3">
        <v>50</v>
      </c>
      <c r="J504" s="3" t="s">
        <v>17403</v>
      </c>
      <c r="K504" s="3">
        <v>21</v>
      </c>
      <c r="L504" s="3">
        <v>0</v>
      </c>
      <c r="M504" s="3">
        <v>10</v>
      </c>
      <c r="N504" s="3">
        <v>6</v>
      </c>
      <c r="O504" s="3">
        <v>0</v>
      </c>
      <c r="P504" s="3">
        <v>5</v>
      </c>
      <c r="Q504" s="3" t="s">
        <v>7680</v>
      </c>
      <c r="R504" s="6">
        <v>44804</v>
      </c>
    </row>
    <row r="505" spans="1:18" ht="12.5" x14ac:dyDescent="0.25">
      <c r="A505" s="21" t="str">
        <f>HYPERLINK("https://gerandofalcoes.my.salesforce.com/0014X00002VKCsmQAH", "0014X00002VKCsmQAH")</f>
        <v>0014X00002VKCsmQAH</v>
      </c>
      <c r="B505" s="3" t="s">
        <v>8021</v>
      </c>
      <c r="C505" s="3" t="s">
        <v>2538</v>
      </c>
      <c r="D505" s="3" t="s">
        <v>46</v>
      </c>
      <c r="E505" s="3">
        <v>26</v>
      </c>
      <c r="F505" s="3">
        <v>0</v>
      </c>
      <c r="G505" s="3">
        <v>2</v>
      </c>
      <c r="H505" s="3">
        <v>8000</v>
      </c>
      <c r="I505" s="3">
        <v>20</v>
      </c>
      <c r="J505" s="3" t="s">
        <v>17403</v>
      </c>
      <c r="K505" s="3">
        <v>31</v>
      </c>
      <c r="L505" s="3">
        <v>15</v>
      </c>
      <c r="M505" s="3">
        <v>0</v>
      </c>
      <c r="N505" s="3">
        <v>6</v>
      </c>
      <c r="O505" s="3">
        <v>5</v>
      </c>
      <c r="P505" s="3">
        <v>5</v>
      </c>
      <c r="Q505" s="3" t="s">
        <v>8023</v>
      </c>
      <c r="R505" s="6">
        <v>44804</v>
      </c>
    </row>
    <row r="506" spans="1:18" ht="12.5" x14ac:dyDescent="0.25">
      <c r="A506" s="21" t="str">
        <f>HYPERLINK("https://gerandofalcoes.my.salesforce.com/0014X00002VKCpUQAX", "0014X00002VKCpUQAX")</f>
        <v>0014X00002VKCpUQAX</v>
      </c>
      <c r="B506" s="3" t="s">
        <v>4855</v>
      </c>
      <c r="C506" s="3" t="s">
        <v>2538</v>
      </c>
      <c r="D506" s="3" t="s">
        <v>46</v>
      </c>
      <c r="E506" s="3">
        <v>13</v>
      </c>
      <c r="F506" s="3">
        <v>3</v>
      </c>
      <c r="G506" s="3">
        <v>2</v>
      </c>
      <c r="H506" s="3">
        <v>300</v>
      </c>
      <c r="I506" s="3">
        <v>50</v>
      </c>
      <c r="J506" s="3" t="s">
        <v>17403</v>
      </c>
      <c r="K506" s="3">
        <v>31</v>
      </c>
      <c r="L506" s="3">
        <v>10</v>
      </c>
      <c r="M506" s="3">
        <v>5</v>
      </c>
      <c r="N506" s="3">
        <v>6</v>
      </c>
      <c r="O506" s="3">
        <v>5</v>
      </c>
      <c r="P506" s="3">
        <v>5</v>
      </c>
      <c r="Q506" s="3" t="s">
        <v>4858</v>
      </c>
      <c r="R506" s="6">
        <v>44804</v>
      </c>
    </row>
    <row r="507" spans="1:18" ht="12.5" x14ac:dyDescent="0.25">
      <c r="A507" s="21" t="str">
        <f>HYPERLINK("https://gerandofalcoes.my.salesforce.com/0014X00002VKCpcQAH", "0014X00002VKCpcQAH")</f>
        <v>0014X00002VKCpcQAH</v>
      </c>
      <c r="B507" s="3" t="s">
        <v>17831</v>
      </c>
      <c r="C507" s="3" t="s">
        <v>2538</v>
      </c>
      <c r="D507" s="3" t="s">
        <v>46</v>
      </c>
      <c r="E507" s="3">
        <v>16</v>
      </c>
      <c r="F507" s="3">
        <v>0</v>
      </c>
      <c r="G507" s="3">
        <v>2</v>
      </c>
      <c r="H507" s="3">
        <v>98000</v>
      </c>
      <c r="I507" s="3">
        <v>20</v>
      </c>
      <c r="J507" s="3" t="s">
        <v>17403</v>
      </c>
      <c r="K507" s="3">
        <v>31</v>
      </c>
      <c r="L507" s="3">
        <v>10</v>
      </c>
      <c r="M507" s="3">
        <v>0</v>
      </c>
      <c r="N507" s="3">
        <v>6</v>
      </c>
      <c r="O507" s="3">
        <v>10</v>
      </c>
      <c r="P507" s="3">
        <v>5</v>
      </c>
      <c r="Q507" s="3" t="s">
        <v>5340</v>
      </c>
      <c r="R507" s="6">
        <v>44804</v>
      </c>
    </row>
    <row r="508" spans="1:18" ht="12.5" x14ac:dyDescent="0.25">
      <c r="A508" s="21" t="str">
        <f>HYPERLINK("https://gerandofalcoes.my.salesforce.com/0014X00002VKCtwQAH", "0014X00002VKCtwQAH")</f>
        <v>0014X00002VKCtwQAH</v>
      </c>
      <c r="B508" s="3" t="s">
        <v>17832</v>
      </c>
      <c r="C508" s="3" t="s">
        <v>2538</v>
      </c>
      <c r="D508" s="3" t="s">
        <v>46</v>
      </c>
      <c r="E508" s="3">
        <v>41</v>
      </c>
      <c r="F508" s="3">
        <v>4</v>
      </c>
      <c r="G508" s="3">
        <v>3</v>
      </c>
      <c r="H508" s="3">
        <v>186011</v>
      </c>
      <c r="I508" s="3">
        <v>0</v>
      </c>
      <c r="J508" s="3" t="s">
        <v>17403</v>
      </c>
      <c r="K508" s="3">
        <v>43</v>
      </c>
      <c r="L508" s="3">
        <v>15</v>
      </c>
      <c r="M508" s="3">
        <v>5</v>
      </c>
      <c r="N508" s="3">
        <v>8</v>
      </c>
      <c r="O508" s="3">
        <v>15</v>
      </c>
      <c r="P508" s="3">
        <v>0</v>
      </c>
      <c r="Q508" s="3" t="s">
        <v>8232</v>
      </c>
      <c r="R508" s="6">
        <v>44804</v>
      </c>
    </row>
    <row r="509" spans="1:18" ht="12.5" x14ac:dyDescent="0.25">
      <c r="A509" s="21" t="str">
        <f>HYPERLINK("https://gerandofalcoes.my.salesforce.com/0014X00002VMXzNQAX", "0014X00002VMXzNQAX")</f>
        <v>0014X00002VMXzNQAX</v>
      </c>
      <c r="B509" s="3" t="s">
        <v>17833</v>
      </c>
      <c r="C509" s="3" t="s">
        <v>2538</v>
      </c>
      <c r="D509" s="3" t="s">
        <v>46</v>
      </c>
      <c r="E509" s="3">
        <v>57</v>
      </c>
      <c r="F509" s="3">
        <v>0</v>
      </c>
      <c r="G509" s="3">
        <v>6</v>
      </c>
      <c r="H509" s="3">
        <v>60000</v>
      </c>
      <c r="I509" s="3">
        <v>15</v>
      </c>
      <c r="J509" s="3" t="s">
        <v>17403</v>
      </c>
      <c r="K509" s="3">
        <v>45</v>
      </c>
      <c r="L509" s="3">
        <v>20</v>
      </c>
      <c r="M509" s="3">
        <v>0</v>
      </c>
      <c r="N509" s="3">
        <v>10</v>
      </c>
      <c r="O509" s="3">
        <v>10</v>
      </c>
      <c r="P509" s="3">
        <v>5</v>
      </c>
      <c r="Q509" s="3" t="s">
        <v>3867</v>
      </c>
      <c r="R509" s="6">
        <v>44804</v>
      </c>
    </row>
    <row r="510" spans="1:18" ht="12.5" x14ac:dyDescent="0.25">
      <c r="A510" s="21" t="str">
        <f>HYPERLINK("https://gerandofalcoes.my.salesforce.com/0014X00002VKCv9QAH", "0014X00002VKCv9QAH")</f>
        <v>0014X00002VKCv9QAH</v>
      </c>
      <c r="B510" s="3" t="s">
        <v>17834</v>
      </c>
      <c r="C510" s="3" t="s">
        <v>2538</v>
      </c>
      <c r="D510" s="3" t="s">
        <v>46</v>
      </c>
      <c r="E510" s="3">
        <v>35</v>
      </c>
      <c r="F510" s="3">
        <v>0</v>
      </c>
      <c r="G510" s="3">
        <v>4</v>
      </c>
      <c r="H510" s="3">
        <v>0</v>
      </c>
      <c r="I510" s="3">
        <v>0</v>
      </c>
      <c r="J510" s="3" t="s">
        <v>17403</v>
      </c>
      <c r="K510" s="3">
        <v>25</v>
      </c>
      <c r="L510" s="3">
        <v>15</v>
      </c>
      <c r="M510" s="3">
        <v>0</v>
      </c>
      <c r="N510" s="3">
        <v>10</v>
      </c>
      <c r="O510" s="3">
        <v>0</v>
      </c>
      <c r="P510" s="3">
        <v>0</v>
      </c>
      <c r="Q510" s="3" t="s">
        <v>8387</v>
      </c>
      <c r="R510" s="6">
        <v>44804</v>
      </c>
    </row>
    <row r="511" spans="1:18" ht="12.5" x14ac:dyDescent="0.25">
      <c r="A511" s="21" t="str">
        <f>HYPERLINK("https://gerandofalcoes.my.salesforce.com/0014X00002VKCrIQAX", "0014X00002VKCrIQAX")</f>
        <v>0014X00002VKCrIQAX</v>
      </c>
      <c r="B511" s="3" t="s">
        <v>17835</v>
      </c>
      <c r="C511" s="3" t="s">
        <v>2538</v>
      </c>
      <c r="D511" s="3" t="s">
        <v>46</v>
      </c>
      <c r="E511" s="3">
        <v>17</v>
      </c>
      <c r="F511" s="3">
        <v>0</v>
      </c>
      <c r="G511" s="3">
        <v>2</v>
      </c>
      <c r="H511" s="3">
        <v>1</v>
      </c>
      <c r="I511" s="3">
        <v>0</v>
      </c>
      <c r="J511" s="3" t="s">
        <v>17403</v>
      </c>
      <c r="K511" s="3">
        <v>21</v>
      </c>
      <c r="L511" s="3">
        <v>10</v>
      </c>
      <c r="M511" s="3">
        <v>0</v>
      </c>
      <c r="N511" s="3">
        <v>6</v>
      </c>
      <c r="O511" s="3">
        <v>5</v>
      </c>
      <c r="P511" s="3">
        <v>0</v>
      </c>
      <c r="Q511" s="3"/>
      <c r="R511" s="6">
        <v>44804</v>
      </c>
    </row>
    <row r="512" spans="1:18" ht="12.5" x14ac:dyDescent="0.25">
      <c r="A512" s="21" t="str">
        <f>HYPERLINK("https://gerandofalcoes.my.salesforce.com/0014X00002VKCuRQAX", "0014X00002VKCuRQAX")</f>
        <v>0014X00002VKCuRQAX</v>
      </c>
      <c r="B512" s="3" t="s">
        <v>7001</v>
      </c>
      <c r="C512" s="3" t="s">
        <v>2538</v>
      </c>
      <c r="D512" s="3" t="s">
        <v>46</v>
      </c>
      <c r="E512" s="3">
        <v>31</v>
      </c>
      <c r="F512" s="3">
        <v>3</v>
      </c>
      <c r="G512" s="3">
        <v>6</v>
      </c>
      <c r="H512" s="3">
        <v>100000</v>
      </c>
      <c r="I512" s="3">
        <v>0</v>
      </c>
      <c r="J512" s="3" t="s">
        <v>17403</v>
      </c>
      <c r="K512" s="3">
        <v>45</v>
      </c>
      <c r="L512" s="3">
        <v>15</v>
      </c>
      <c r="M512" s="3">
        <v>5</v>
      </c>
      <c r="N512" s="3">
        <v>10</v>
      </c>
      <c r="O512" s="3">
        <v>15</v>
      </c>
      <c r="P512" s="3">
        <v>0</v>
      </c>
      <c r="Q512" s="3" t="s">
        <v>7004</v>
      </c>
      <c r="R512" s="6">
        <v>44804</v>
      </c>
    </row>
    <row r="513" spans="1:18" ht="12.5" x14ac:dyDescent="0.25">
      <c r="A513" s="21" t="str">
        <f>HYPERLINK("https://gerandofalcoes.my.salesforce.com/0014X00002VKCrwQAH", "0014X00002VKCrwQAH")</f>
        <v>0014X00002VKCrwQAH</v>
      </c>
      <c r="B513" s="3" t="s">
        <v>6250</v>
      </c>
      <c r="C513" s="3" t="s">
        <v>2538</v>
      </c>
      <c r="D513" s="3" t="s">
        <v>46</v>
      </c>
      <c r="E513" s="3">
        <v>16</v>
      </c>
      <c r="F513" s="3">
        <v>0</v>
      </c>
      <c r="G513" s="3">
        <v>4</v>
      </c>
      <c r="H513" s="3">
        <v>45000</v>
      </c>
      <c r="I513" s="3">
        <v>0</v>
      </c>
      <c r="J513" s="3" t="s">
        <v>17403</v>
      </c>
      <c r="K513" s="3">
        <v>30</v>
      </c>
      <c r="L513" s="3">
        <v>10</v>
      </c>
      <c r="M513" s="3">
        <v>0</v>
      </c>
      <c r="N513" s="3">
        <v>10</v>
      </c>
      <c r="O513" s="3">
        <v>10</v>
      </c>
      <c r="P513" s="3">
        <v>0</v>
      </c>
      <c r="Q513" s="3" t="s">
        <v>6252</v>
      </c>
      <c r="R513" s="6">
        <v>44804</v>
      </c>
    </row>
    <row r="514" spans="1:18" ht="12.5" x14ac:dyDescent="0.25">
      <c r="A514" s="21" t="str">
        <f>HYPERLINK("https://gerandofalcoes.my.salesforce.com/0014X00002VKCsLQAX", "0014X00002VKCsLQAX")</f>
        <v>0014X00002VKCsLQAX</v>
      </c>
      <c r="B514" s="3" t="s">
        <v>7321</v>
      </c>
      <c r="C514" s="3" t="s">
        <v>2538</v>
      </c>
      <c r="D514" s="3" t="s">
        <v>46</v>
      </c>
      <c r="E514" s="3">
        <v>13</v>
      </c>
      <c r="F514" s="3">
        <v>0</v>
      </c>
      <c r="G514" s="3">
        <v>3</v>
      </c>
      <c r="H514" s="3">
        <v>500</v>
      </c>
      <c r="I514" s="3">
        <v>30</v>
      </c>
      <c r="J514" s="3" t="s">
        <v>17403</v>
      </c>
      <c r="K514" s="3">
        <v>28</v>
      </c>
      <c r="L514" s="3">
        <v>10</v>
      </c>
      <c r="M514" s="3">
        <v>0</v>
      </c>
      <c r="N514" s="3">
        <v>8</v>
      </c>
      <c r="O514" s="3">
        <v>5</v>
      </c>
      <c r="P514" s="3">
        <v>5</v>
      </c>
      <c r="Q514" s="3" t="s">
        <v>7323</v>
      </c>
      <c r="R514" s="6">
        <v>44804</v>
      </c>
    </row>
    <row r="515" spans="1:18" ht="12.5" x14ac:dyDescent="0.25">
      <c r="A515" s="21" t="str">
        <f>HYPERLINK("https://gerandofalcoes.my.salesforce.com/0014X00002VKCrTQAX", "0014X00002VKCrTQAX")</f>
        <v>0014X00002VKCrTQAX</v>
      </c>
      <c r="B515" s="3" t="s">
        <v>5863</v>
      </c>
      <c r="C515" s="3" t="s">
        <v>2538</v>
      </c>
      <c r="D515" s="3" t="s">
        <v>46</v>
      </c>
      <c r="E515" s="3">
        <v>33</v>
      </c>
      <c r="F515" s="3">
        <v>0</v>
      </c>
      <c r="G515" s="3">
        <v>5</v>
      </c>
      <c r="H515" s="3">
        <v>0</v>
      </c>
      <c r="I515" s="3">
        <v>40</v>
      </c>
      <c r="J515" s="3" t="s">
        <v>17403</v>
      </c>
      <c r="K515" s="3">
        <v>30</v>
      </c>
      <c r="L515" s="3">
        <v>15</v>
      </c>
      <c r="M515" s="3">
        <v>0</v>
      </c>
      <c r="N515" s="3">
        <v>10</v>
      </c>
      <c r="O515" s="3">
        <v>0</v>
      </c>
      <c r="P515" s="3">
        <v>5</v>
      </c>
      <c r="Q515" s="3"/>
      <c r="R515" s="6">
        <v>44804</v>
      </c>
    </row>
    <row r="516" spans="1:18" ht="12.5" x14ac:dyDescent="0.25">
      <c r="A516" s="21" t="str">
        <f>HYPERLINK("https://gerandofalcoes.my.salesforce.com/0014X00002VKCuAQAX", "0014X00002VKCuAQAX")</f>
        <v>0014X00002VKCuAQAX</v>
      </c>
      <c r="B516" s="3" t="s">
        <v>17836</v>
      </c>
      <c r="C516" s="3" t="s">
        <v>2538</v>
      </c>
      <c r="D516" s="3" t="s">
        <v>46</v>
      </c>
      <c r="E516" s="3">
        <v>46</v>
      </c>
      <c r="F516" s="3">
        <v>0</v>
      </c>
      <c r="G516" s="3">
        <v>3</v>
      </c>
      <c r="H516" s="3">
        <v>30000</v>
      </c>
      <c r="I516" s="3">
        <v>30</v>
      </c>
      <c r="J516" s="3" t="s">
        <v>17403</v>
      </c>
      <c r="K516" s="3">
        <v>38</v>
      </c>
      <c r="L516" s="3">
        <v>15</v>
      </c>
      <c r="M516" s="3">
        <v>0</v>
      </c>
      <c r="N516" s="3">
        <v>8</v>
      </c>
      <c r="O516" s="3">
        <v>10</v>
      </c>
      <c r="P516" s="3">
        <v>5</v>
      </c>
      <c r="Q516" s="3" t="s">
        <v>8598</v>
      </c>
      <c r="R516" s="6">
        <v>44804</v>
      </c>
    </row>
    <row r="517" spans="1:18" ht="12.5" x14ac:dyDescent="0.25">
      <c r="A517" s="21" t="str">
        <f>HYPERLINK("https://gerandofalcoes.my.salesforce.com/0014X00002VKCrHQAX", "0014X00002VKCrHQAX")</f>
        <v>0014X00002VKCrHQAX</v>
      </c>
      <c r="B517" s="3" t="s">
        <v>5134</v>
      </c>
      <c r="C517" s="3" t="s">
        <v>2538</v>
      </c>
      <c r="D517" s="3" t="s">
        <v>46</v>
      </c>
      <c r="E517" s="3">
        <v>22</v>
      </c>
      <c r="F517" s="3">
        <v>0</v>
      </c>
      <c r="G517" s="3">
        <v>3</v>
      </c>
      <c r="H517" s="3">
        <v>500</v>
      </c>
      <c r="I517" s="3">
        <v>95</v>
      </c>
      <c r="J517" s="3" t="s">
        <v>17403</v>
      </c>
      <c r="K517" s="3">
        <v>33</v>
      </c>
      <c r="L517" s="3">
        <v>10</v>
      </c>
      <c r="M517" s="3">
        <v>0</v>
      </c>
      <c r="N517" s="3">
        <v>8</v>
      </c>
      <c r="O517" s="3">
        <v>5</v>
      </c>
      <c r="P517" s="3">
        <v>10</v>
      </c>
      <c r="Q517" s="3" t="s">
        <v>5137</v>
      </c>
      <c r="R517" s="6">
        <v>44804</v>
      </c>
    </row>
    <row r="518" spans="1:18" ht="12.5" x14ac:dyDescent="0.25">
      <c r="A518" s="21" t="str">
        <f>HYPERLINK("https://gerandofalcoes.my.salesforce.com/0014X00002VKCsFQAX", "0014X00002VKCsFQAX")</f>
        <v>0014X00002VKCsFQAX</v>
      </c>
      <c r="B518" s="3" t="s">
        <v>17837</v>
      </c>
      <c r="C518" s="3" t="s">
        <v>2538</v>
      </c>
      <c r="D518" s="3" t="s">
        <v>46</v>
      </c>
      <c r="E518" s="3">
        <v>36</v>
      </c>
      <c r="F518" s="3">
        <v>0</v>
      </c>
      <c r="G518" s="3">
        <v>2</v>
      </c>
      <c r="H518" s="3">
        <v>1500</v>
      </c>
      <c r="I518" s="3">
        <v>50</v>
      </c>
      <c r="J518" s="3" t="s">
        <v>17403</v>
      </c>
      <c r="K518" s="3">
        <v>31</v>
      </c>
      <c r="L518" s="3">
        <v>15</v>
      </c>
      <c r="M518" s="3">
        <v>0</v>
      </c>
      <c r="N518" s="3">
        <v>6</v>
      </c>
      <c r="O518" s="3">
        <v>5</v>
      </c>
      <c r="P518" s="3">
        <v>5</v>
      </c>
      <c r="Q518" s="3" t="s">
        <v>7255</v>
      </c>
      <c r="R518" s="6">
        <v>44804</v>
      </c>
    </row>
    <row r="519" spans="1:18" ht="12.5" x14ac:dyDescent="0.25">
      <c r="A519" s="21" t="str">
        <f>HYPERLINK("https://gerandofalcoes.my.salesforce.com/0014X00002VKCsMQAX", "0014X00002VKCsMQAX")</f>
        <v>0014X00002VKCsMQAX</v>
      </c>
      <c r="B519" s="3" t="s">
        <v>17838</v>
      </c>
      <c r="C519" s="3" t="s">
        <v>2538</v>
      </c>
      <c r="D519" s="3" t="s">
        <v>46</v>
      </c>
      <c r="E519" s="3">
        <v>8</v>
      </c>
      <c r="F519" s="3">
        <v>10</v>
      </c>
      <c r="G519" s="3">
        <v>2</v>
      </c>
      <c r="H519" s="3">
        <v>5000</v>
      </c>
      <c r="I519" s="3">
        <v>100</v>
      </c>
      <c r="J519" s="3" t="s">
        <v>17403</v>
      </c>
      <c r="K519" s="3">
        <v>41</v>
      </c>
      <c r="L519" s="3">
        <v>10</v>
      </c>
      <c r="M519" s="3">
        <v>10</v>
      </c>
      <c r="N519" s="3">
        <v>6</v>
      </c>
      <c r="O519" s="3">
        <v>5</v>
      </c>
      <c r="P519" s="3">
        <v>10</v>
      </c>
      <c r="Q519" s="3" t="s">
        <v>7341</v>
      </c>
      <c r="R519" s="6">
        <v>44804</v>
      </c>
    </row>
    <row r="520" spans="1:18" ht="12.5" x14ac:dyDescent="0.25">
      <c r="A520" s="21" t="str">
        <f>HYPERLINK("https://gerandofalcoes.my.salesforce.com/0014X00002VKCrJQAX", "0014X00002VKCrJQAX")</f>
        <v>0014X00002VKCrJQAX</v>
      </c>
      <c r="B520" s="3" t="s">
        <v>17839</v>
      </c>
      <c r="C520" s="3" t="s">
        <v>2538</v>
      </c>
      <c r="D520" s="3" t="s">
        <v>46</v>
      </c>
      <c r="E520" s="3">
        <v>26</v>
      </c>
      <c r="F520" s="3">
        <v>0</v>
      </c>
      <c r="G520" s="3">
        <v>4</v>
      </c>
      <c r="H520" s="3">
        <v>1</v>
      </c>
      <c r="I520" s="3">
        <v>0</v>
      </c>
      <c r="J520" s="3" t="s">
        <v>17403</v>
      </c>
      <c r="K520" s="3">
        <v>30</v>
      </c>
      <c r="L520" s="3">
        <v>15</v>
      </c>
      <c r="M520" s="3">
        <v>0</v>
      </c>
      <c r="N520" s="3">
        <v>10</v>
      </c>
      <c r="O520" s="3">
        <v>5</v>
      </c>
      <c r="P520" s="3">
        <v>0</v>
      </c>
      <c r="Q520" s="3" t="s">
        <v>5164</v>
      </c>
      <c r="R520" s="6">
        <v>44804</v>
      </c>
    </row>
    <row r="521" spans="1:18" ht="12.5" x14ac:dyDescent="0.25">
      <c r="A521" s="21" t="str">
        <f>HYPERLINK("https://gerandofalcoes.my.salesforce.com/0014X00002VKCpjQAH", "0014X00002VKCpjQAH")</f>
        <v>0014X00002VKCpjQAH</v>
      </c>
      <c r="B521" s="3" t="s">
        <v>17840</v>
      </c>
      <c r="C521" s="3" t="s">
        <v>2538</v>
      </c>
      <c r="D521" s="3" t="s">
        <v>46</v>
      </c>
      <c r="E521" s="3">
        <v>46</v>
      </c>
      <c r="F521" s="3">
        <v>0</v>
      </c>
      <c r="G521" s="3">
        <v>2</v>
      </c>
      <c r="H521" s="3">
        <v>122554</v>
      </c>
      <c r="I521" s="3">
        <v>156</v>
      </c>
      <c r="J521" s="3" t="s">
        <v>17403</v>
      </c>
      <c r="K521" s="3">
        <v>48</v>
      </c>
      <c r="L521" s="3">
        <v>15</v>
      </c>
      <c r="M521" s="3">
        <v>0</v>
      </c>
      <c r="N521" s="3">
        <v>6</v>
      </c>
      <c r="O521" s="3">
        <v>15</v>
      </c>
      <c r="P521" s="3">
        <v>12</v>
      </c>
      <c r="Q521" s="3" t="s">
        <v>4074</v>
      </c>
      <c r="R521" s="6">
        <v>44804</v>
      </c>
    </row>
    <row r="522" spans="1:18" ht="12.5" x14ac:dyDescent="0.25">
      <c r="A522" s="21" t="str">
        <f>HYPERLINK("https://gerandofalcoes.my.salesforce.com/0014X00002VKCv2QAH", "0014X00002VKCv2QAH")</f>
        <v>0014X00002VKCv2QAH</v>
      </c>
      <c r="B522" s="3" t="s">
        <v>8282</v>
      </c>
      <c r="C522" s="3" t="s">
        <v>2538</v>
      </c>
      <c r="D522" s="3" t="s">
        <v>46</v>
      </c>
      <c r="E522" s="3">
        <v>24</v>
      </c>
      <c r="F522" s="3">
        <v>5</v>
      </c>
      <c r="G522" s="3">
        <v>3</v>
      </c>
      <c r="H522" s="3">
        <v>500</v>
      </c>
      <c r="I522" s="3">
        <v>0</v>
      </c>
      <c r="J522" s="3" t="s">
        <v>17403</v>
      </c>
      <c r="K522" s="3">
        <v>28</v>
      </c>
      <c r="L522" s="3">
        <v>10</v>
      </c>
      <c r="M522" s="3">
        <v>5</v>
      </c>
      <c r="N522" s="3">
        <v>8</v>
      </c>
      <c r="O522" s="3">
        <v>5</v>
      </c>
      <c r="P522" s="3">
        <v>0</v>
      </c>
      <c r="Q522" s="3" t="s">
        <v>8286</v>
      </c>
      <c r="R522" s="6">
        <v>44804</v>
      </c>
    </row>
    <row r="523" spans="1:18" ht="12.5" x14ac:dyDescent="0.25">
      <c r="A523" s="21" t="str">
        <f>HYPERLINK("https://gerandofalcoes.my.salesforce.com/0014X00002VKCtTQAX", "0014X00002VKCtTQAX")</f>
        <v>0014X00002VKCtTQAX</v>
      </c>
      <c r="B523" s="3" t="s">
        <v>6937</v>
      </c>
      <c r="C523" s="3" t="s">
        <v>2538</v>
      </c>
      <c r="D523" s="3" t="s">
        <v>46</v>
      </c>
      <c r="E523" s="3">
        <v>44</v>
      </c>
      <c r="F523" s="3">
        <v>0</v>
      </c>
      <c r="G523" s="3">
        <v>2</v>
      </c>
      <c r="H523" s="3">
        <v>24230</v>
      </c>
      <c r="I523" s="3">
        <v>50</v>
      </c>
      <c r="J523" s="3" t="s">
        <v>17403</v>
      </c>
      <c r="K523" s="3">
        <v>31</v>
      </c>
      <c r="L523" s="3">
        <v>15</v>
      </c>
      <c r="M523" s="3">
        <v>0</v>
      </c>
      <c r="N523" s="3">
        <v>6</v>
      </c>
      <c r="O523" s="3">
        <v>5</v>
      </c>
      <c r="P523" s="3">
        <v>5</v>
      </c>
      <c r="Q523" s="3" t="s">
        <v>6940</v>
      </c>
      <c r="R523" s="6">
        <v>44804</v>
      </c>
    </row>
    <row r="524" spans="1:18" ht="12.5" x14ac:dyDescent="0.25">
      <c r="A524" s="21" t="str">
        <f>HYPERLINK("https://gerandofalcoes.my.salesforce.com/0014X00002VKCtNQAX", "0014X00002VKCtNQAX")</f>
        <v>0014X00002VKCtNQAX</v>
      </c>
      <c r="B524" s="3" t="s">
        <v>17841</v>
      </c>
      <c r="C524" s="3" t="s">
        <v>2538</v>
      </c>
      <c r="D524" s="3" t="s">
        <v>46</v>
      </c>
      <c r="E524" s="3">
        <v>26</v>
      </c>
      <c r="F524" s="3">
        <v>0</v>
      </c>
      <c r="G524" s="3">
        <v>3</v>
      </c>
      <c r="H524" s="3">
        <v>1000</v>
      </c>
      <c r="I524" s="3">
        <v>31</v>
      </c>
      <c r="J524" s="3" t="s">
        <v>17403</v>
      </c>
      <c r="K524" s="3">
        <v>33</v>
      </c>
      <c r="L524" s="3">
        <v>15</v>
      </c>
      <c r="M524" s="3">
        <v>0</v>
      </c>
      <c r="N524" s="3">
        <v>8</v>
      </c>
      <c r="O524" s="3">
        <v>5</v>
      </c>
      <c r="P524" s="3">
        <v>5</v>
      </c>
      <c r="Q524" s="3" t="s">
        <v>6762</v>
      </c>
      <c r="R524" s="6">
        <v>44804</v>
      </c>
    </row>
    <row r="525" spans="1:18" ht="12.5" x14ac:dyDescent="0.25">
      <c r="A525" s="21" t="str">
        <f>HYPERLINK("https://gerandofalcoes.my.salesforce.com/0014X00002VKCu0QAH", "0014X00002VKCu0QAH")</f>
        <v>0014X00002VKCu0QAH</v>
      </c>
      <c r="B525" s="3" t="s">
        <v>17842</v>
      </c>
      <c r="C525" s="3" t="s">
        <v>2538</v>
      </c>
      <c r="D525" s="3" t="s">
        <v>46</v>
      </c>
      <c r="E525" s="3">
        <v>23</v>
      </c>
      <c r="F525" s="3">
        <v>0</v>
      </c>
      <c r="G525" s="3">
        <v>2</v>
      </c>
      <c r="H525" s="3">
        <v>2500</v>
      </c>
      <c r="I525" s="3">
        <v>115</v>
      </c>
      <c r="J525" s="3" t="s">
        <v>17403</v>
      </c>
      <c r="K525" s="3">
        <v>31</v>
      </c>
      <c r="L525" s="3">
        <v>10</v>
      </c>
      <c r="M525" s="3">
        <v>0</v>
      </c>
      <c r="N525" s="3">
        <v>6</v>
      </c>
      <c r="O525" s="3">
        <v>5</v>
      </c>
      <c r="P525" s="3">
        <v>10</v>
      </c>
      <c r="Q525" s="3" t="s">
        <v>8507</v>
      </c>
      <c r="R525" s="6">
        <v>44804</v>
      </c>
    </row>
    <row r="526" spans="1:18" ht="12.5" x14ac:dyDescent="0.25">
      <c r="A526" s="21" t="str">
        <f>HYPERLINK("https://gerandofalcoes.my.salesforce.com/0014X00002VKCspQAH", "0014X00002VKCspQAH")</f>
        <v>0014X00002VKCspQAH</v>
      </c>
      <c r="B526" s="3" t="s">
        <v>17843</v>
      </c>
      <c r="C526" s="3" t="s">
        <v>2538</v>
      </c>
      <c r="D526" s="3" t="s">
        <v>46</v>
      </c>
      <c r="E526" s="3">
        <v>32</v>
      </c>
      <c r="F526" s="3">
        <v>0</v>
      </c>
      <c r="G526" s="3">
        <v>3</v>
      </c>
      <c r="H526" s="3">
        <v>1000</v>
      </c>
      <c r="I526" s="3">
        <v>103</v>
      </c>
      <c r="J526" s="3" t="s">
        <v>17403</v>
      </c>
      <c r="K526" s="3">
        <v>38</v>
      </c>
      <c r="L526" s="3">
        <v>15</v>
      </c>
      <c r="M526" s="3">
        <v>0</v>
      </c>
      <c r="N526" s="3">
        <v>8</v>
      </c>
      <c r="O526" s="3">
        <v>5</v>
      </c>
      <c r="P526" s="3">
        <v>10</v>
      </c>
      <c r="Q526" s="3" t="s">
        <v>8081</v>
      </c>
      <c r="R526" s="6">
        <v>44804</v>
      </c>
    </row>
    <row r="527" spans="1:18" ht="12.5" x14ac:dyDescent="0.25">
      <c r="A527" s="21" t="str">
        <f>HYPERLINK("https://gerandofalcoes.my.salesforce.com/0014X00002VKCuCQAX", "0014X00002VKCuCQAX")</f>
        <v>0014X00002VKCuCQAX</v>
      </c>
      <c r="B527" s="3" t="s">
        <v>17844</v>
      </c>
      <c r="C527" s="3" t="s">
        <v>2538</v>
      </c>
      <c r="D527" s="3" t="s">
        <v>46</v>
      </c>
      <c r="E527" s="3">
        <v>62</v>
      </c>
      <c r="F527" s="3">
        <v>3</v>
      </c>
      <c r="G527" s="3">
        <v>2</v>
      </c>
      <c r="H527" s="3">
        <v>0</v>
      </c>
      <c r="I527" s="3">
        <v>62</v>
      </c>
      <c r="J527" s="3" t="s">
        <v>17403</v>
      </c>
      <c r="K527" s="3">
        <v>36</v>
      </c>
      <c r="L527" s="3">
        <v>20</v>
      </c>
      <c r="M527" s="3">
        <v>5</v>
      </c>
      <c r="N527" s="3">
        <v>6</v>
      </c>
      <c r="O527" s="3">
        <v>0</v>
      </c>
      <c r="P527" s="3">
        <v>5</v>
      </c>
      <c r="Q527" s="3" t="s">
        <v>8633</v>
      </c>
      <c r="R527" s="6">
        <v>44804</v>
      </c>
    </row>
    <row r="528" spans="1:18" ht="12.5" x14ac:dyDescent="0.25">
      <c r="A528" s="21" t="str">
        <f>HYPERLINK("https://gerandofalcoes.my.salesforce.com/0014X00002VKCrfQAH", "0014X00002VKCrfQAH")</f>
        <v>0014X00002VKCrfQAH</v>
      </c>
      <c r="B528" s="3" t="s">
        <v>5995</v>
      </c>
      <c r="C528" s="3" t="s">
        <v>2538</v>
      </c>
      <c r="D528" s="3" t="s">
        <v>46</v>
      </c>
      <c r="E528" s="3">
        <v>13</v>
      </c>
      <c r="F528" s="3">
        <v>0</v>
      </c>
      <c r="G528" s="3">
        <v>4</v>
      </c>
      <c r="H528" s="3">
        <v>10000</v>
      </c>
      <c r="I528" s="3">
        <v>2</v>
      </c>
      <c r="J528" s="3" t="s">
        <v>17403</v>
      </c>
      <c r="K528" s="3">
        <v>30</v>
      </c>
      <c r="L528" s="3">
        <v>10</v>
      </c>
      <c r="M528" s="3">
        <v>0</v>
      </c>
      <c r="N528" s="3">
        <v>10</v>
      </c>
      <c r="O528" s="3">
        <v>5</v>
      </c>
      <c r="P528" s="3">
        <v>5</v>
      </c>
      <c r="Q528" s="3" t="s">
        <v>5997</v>
      </c>
      <c r="R528" s="6">
        <v>44804</v>
      </c>
    </row>
    <row r="529" spans="1:18" ht="12.5" x14ac:dyDescent="0.25">
      <c r="A529" s="21" t="str">
        <f>HYPERLINK("https://gerandofalcoes.my.salesforce.com/0014X00002VKCrQQAX", "0014X00002VKCrQQAX")</f>
        <v>0014X00002VKCrQQAX</v>
      </c>
      <c r="B529" s="3" t="s">
        <v>5259</v>
      </c>
      <c r="C529" s="3" t="s">
        <v>2538</v>
      </c>
      <c r="D529" s="3" t="s">
        <v>46</v>
      </c>
      <c r="E529" s="3">
        <v>14</v>
      </c>
      <c r="F529" s="3">
        <v>0</v>
      </c>
      <c r="G529" s="3">
        <v>2</v>
      </c>
      <c r="H529" s="3">
        <v>40000</v>
      </c>
      <c r="I529" s="3">
        <v>0</v>
      </c>
      <c r="J529" s="3" t="s">
        <v>17403</v>
      </c>
      <c r="K529" s="3">
        <v>26</v>
      </c>
      <c r="L529" s="3">
        <v>10</v>
      </c>
      <c r="M529" s="3">
        <v>0</v>
      </c>
      <c r="N529" s="3">
        <v>6</v>
      </c>
      <c r="O529" s="3">
        <v>10</v>
      </c>
      <c r="P529" s="3">
        <v>0</v>
      </c>
      <c r="Q529" s="3" t="s">
        <v>5261</v>
      </c>
      <c r="R529" s="6">
        <v>44804</v>
      </c>
    </row>
    <row r="530" spans="1:18" ht="12.5" x14ac:dyDescent="0.25">
      <c r="A530" s="21" t="str">
        <f>HYPERLINK("https://gerandofalcoes.my.salesforce.com/0014X00002VKCroQAH", "0014X00002VKCroQAH")</f>
        <v>0014X00002VKCroQAH</v>
      </c>
      <c r="B530" s="3" t="s">
        <v>6176</v>
      </c>
      <c r="C530" s="3" t="s">
        <v>2538</v>
      </c>
      <c r="D530" s="3" t="s">
        <v>46</v>
      </c>
      <c r="E530" s="3">
        <v>18</v>
      </c>
      <c r="F530" s="3">
        <v>0</v>
      </c>
      <c r="G530" s="3">
        <v>3</v>
      </c>
      <c r="H530" s="3">
        <v>8400</v>
      </c>
      <c r="I530" s="3">
        <v>100</v>
      </c>
      <c r="J530" s="3" t="s">
        <v>17403</v>
      </c>
      <c r="K530" s="3">
        <v>33</v>
      </c>
      <c r="L530" s="3">
        <v>10</v>
      </c>
      <c r="M530" s="3">
        <v>0</v>
      </c>
      <c r="N530" s="3">
        <v>8</v>
      </c>
      <c r="O530" s="3">
        <v>5</v>
      </c>
      <c r="P530" s="3">
        <v>10</v>
      </c>
      <c r="Q530" s="3" t="s">
        <v>6179</v>
      </c>
      <c r="R530" s="6">
        <v>44804</v>
      </c>
    </row>
    <row r="531" spans="1:18" ht="12.5" x14ac:dyDescent="0.25">
      <c r="A531" s="21" t="str">
        <f>HYPERLINK("https://gerandofalcoes.my.salesforce.com/0014X00002VKCueQAH", "0014X00002VKCueQAH")</f>
        <v>0014X00002VKCueQAH</v>
      </c>
      <c r="B531" s="3" t="s">
        <v>17845</v>
      </c>
      <c r="C531" s="3" t="s">
        <v>2538</v>
      </c>
      <c r="D531" s="3" t="s">
        <v>46</v>
      </c>
      <c r="E531" s="3">
        <v>33</v>
      </c>
      <c r="F531" s="3">
        <v>0</v>
      </c>
      <c r="G531" s="3">
        <v>3</v>
      </c>
      <c r="H531" s="3">
        <v>15000</v>
      </c>
      <c r="I531" s="3">
        <v>0</v>
      </c>
      <c r="J531" s="3" t="s">
        <v>17403</v>
      </c>
      <c r="K531" s="3">
        <v>28</v>
      </c>
      <c r="L531" s="3">
        <v>15</v>
      </c>
      <c r="M531" s="3">
        <v>0</v>
      </c>
      <c r="N531" s="3">
        <v>8</v>
      </c>
      <c r="O531" s="3">
        <v>5</v>
      </c>
      <c r="P531" s="3">
        <v>0</v>
      </c>
      <c r="Q531" s="3" t="s">
        <v>7178</v>
      </c>
      <c r="R531" s="6">
        <v>44804</v>
      </c>
    </row>
    <row r="532" spans="1:18" ht="12.5" x14ac:dyDescent="0.25">
      <c r="A532" s="21" t="str">
        <f>HYPERLINK("https://gerandofalcoes.my.salesforce.com/0014X00002VKCqnQAH", "0014X00002VKCqnQAH")</f>
        <v>0014X00002VKCqnQAH</v>
      </c>
      <c r="B532" s="3" t="s">
        <v>17846</v>
      </c>
      <c r="C532" s="3" t="s">
        <v>2538</v>
      </c>
      <c r="D532" s="3" t="s">
        <v>46</v>
      </c>
      <c r="E532" s="3">
        <v>48</v>
      </c>
      <c r="F532" s="3">
        <v>0</v>
      </c>
      <c r="G532" s="3">
        <v>2</v>
      </c>
      <c r="H532" s="3">
        <v>30000</v>
      </c>
      <c r="I532" s="3">
        <v>50</v>
      </c>
      <c r="J532" s="3" t="s">
        <v>17403</v>
      </c>
      <c r="K532" s="3">
        <v>36</v>
      </c>
      <c r="L532" s="3">
        <v>15</v>
      </c>
      <c r="M532" s="3">
        <v>0</v>
      </c>
      <c r="N532" s="3">
        <v>6</v>
      </c>
      <c r="O532" s="3">
        <v>10</v>
      </c>
      <c r="P532" s="3">
        <v>5</v>
      </c>
      <c r="Q532" s="3" t="s">
        <v>5808</v>
      </c>
      <c r="R532" s="6">
        <v>44804</v>
      </c>
    </row>
    <row r="533" spans="1:18" ht="12.5" x14ac:dyDescent="0.25">
      <c r="A533" s="21" t="str">
        <f>HYPERLINK("https://gerandofalcoes.my.salesforce.com/0014X00002VKCr7QAH", "0014X00002VKCr7QAH")</f>
        <v>0014X00002VKCr7QAH</v>
      </c>
      <c r="B533" s="3" t="s">
        <v>17847</v>
      </c>
      <c r="C533" s="3" t="s">
        <v>2538</v>
      </c>
      <c r="D533" s="3" t="s">
        <v>46</v>
      </c>
      <c r="E533" s="3">
        <v>15</v>
      </c>
      <c r="F533" s="3">
        <v>0</v>
      </c>
      <c r="G533" s="3">
        <v>2</v>
      </c>
      <c r="H533" s="3">
        <v>0</v>
      </c>
      <c r="I533" s="3">
        <v>0</v>
      </c>
      <c r="J533" s="3" t="s">
        <v>17403</v>
      </c>
      <c r="K533" s="3">
        <v>16</v>
      </c>
      <c r="L533" s="3">
        <v>10</v>
      </c>
      <c r="M533" s="3">
        <v>0</v>
      </c>
      <c r="N533" s="3">
        <v>6</v>
      </c>
      <c r="O533" s="3">
        <v>0</v>
      </c>
      <c r="P533" s="3">
        <v>0</v>
      </c>
      <c r="Q533" s="3" t="s">
        <v>4632</v>
      </c>
      <c r="R533" s="6">
        <v>44804</v>
      </c>
    </row>
    <row r="534" spans="1:18" ht="12.5" x14ac:dyDescent="0.25">
      <c r="A534" s="21" t="str">
        <f>HYPERLINK("https://gerandofalcoes.my.salesforce.com/0014X00002VKCtCQAX", "0014X00002VKCtCQAX")</f>
        <v>0014X00002VKCtCQAX</v>
      </c>
      <c r="B534" s="3" t="s">
        <v>17848</v>
      </c>
      <c r="C534" s="3" t="s">
        <v>2538</v>
      </c>
      <c r="D534" s="3" t="s">
        <v>46</v>
      </c>
      <c r="E534" s="3">
        <v>15</v>
      </c>
      <c r="F534" s="3">
        <v>0</v>
      </c>
      <c r="G534" s="3">
        <v>3</v>
      </c>
      <c r="H534" s="3">
        <v>2900</v>
      </c>
      <c r="I534" s="3">
        <v>70</v>
      </c>
      <c r="J534" s="3" t="s">
        <v>17403</v>
      </c>
      <c r="K534" s="3">
        <v>28</v>
      </c>
      <c r="L534" s="3">
        <v>10</v>
      </c>
      <c r="M534" s="3">
        <v>0</v>
      </c>
      <c r="N534" s="3">
        <v>8</v>
      </c>
      <c r="O534" s="3">
        <v>5</v>
      </c>
      <c r="P534" s="3">
        <v>5</v>
      </c>
      <c r="Q534" s="3" t="s">
        <v>6604</v>
      </c>
      <c r="R534" s="6">
        <v>44804</v>
      </c>
    </row>
    <row r="535" spans="1:18" ht="12.5" x14ac:dyDescent="0.25">
      <c r="A535" s="21" t="str">
        <f>HYPERLINK("https://gerandofalcoes.my.salesforce.com/0014X00002VKCr3QAH", "0014X00002VKCr3QAH")</f>
        <v>0014X00002VKCr3QAH</v>
      </c>
      <c r="B535" s="3" t="s">
        <v>4552</v>
      </c>
      <c r="C535" s="3" t="s">
        <v>2538</v>
      </c>
      <c r="D535" s="3" t="s">
        <v>46</v>
      </c>
      <c r="E535" s="3">
        <v>25</v>
      </c>
      <c r="F535" s="3">
        <v>0</v>
      </c>
      <c r="G535" s="3">
        <v>2</v>
      </c>
      <c r="H535" s="3">
        <v>5000</v>
      </c>
      <c r="I535" s="3">
        <v>2000</v>
      </c>
      <c r="J535" s="3" t="s">
        <v>17403</v>
      </c>
      <c r="K535" s="3">
        <v>46</v>
      </c>
      <c r="L535" s="3">
        <v>15</v>
      </c>
      <c r="M535" s="3">
        <v>0</v>
      </c>
      <c r="N535" s="3">
        <v>6</v>
      </c>
      <c r="O535" s="3">
        <v>5</v>
      </c>
      <c r="P535" s="3">
        <v>20</v>
      </c>
      <c r="Q535" s="3" t="s">
        <v>4556</v>
      </c>
      <c r="R535" s="6">
        <v>44804</v>
      </c>
    </row>
    <row r="536" spans="1:18" ht="12.5" x14ac:dyDescent="0.25">
      <c r="A536" s="21" t="str">
        <f>HYPERLINK("https://gerandofalcoes.my.salesforce.com/0014X00002VKCqmQAH", "0014X00002VKCqmQAH")</f>
        <v>0014X00002VKCqmQAH</v>
      </c>
      <c r="B536" s="3" t="s">
        <v>5783</v>
      </c>
      <c r="C536" s="3" t="s">
        <v>2538</v>
      </c>
      <c r="D536" s="3" t="s">
        <v>46</v>
      </c>
      <c r="E536" s="3">
        <v>37</v>
      </c>
      <c r="F536" s="3">
        <v>5</v>
      </c>
      <c r="G536" s="3">
        <v>4</v>
      </c>
      <c r="H536" s="3">
        <v>40000</v>
      </c>
      <c r="I536" s="3">
        <v>50</v>
      </c>
      <c r="J536" s="3" t="s">
        <v>17403</v>
      </c>
      <c r="K536" s="3">
        <v>45</v>
      </c>
      <c r="L536" s="3">
        <v>15</v>
      </c>
      <c r="M536" s="3">
        <v>5</v>
      </c>
      <c r="N536" s="3">
        <v>10</v>
      </c>
      <c r="O536" s="3">
        <v>10</v>
      </c>
      <c r="P536" s="3">
        <v>5</v>
      </c>
      <c r="Q536" s="3" t="s">
        <v>5786</v>
      </c>
      <c r="R536" s="6">
        <v>44804</v>
      </c>
    </row>
    <row r="537" spans="1:18" ht="12.5" x14ac:dyDescent="0.25">
      <c r="A537" s="21" t="str">
        <f>HYPERLINK("https://gerandofalcoes.my.salesforce.com/0014X00002VKCu1QAH", "0014X00002VKCu1QAH")</f>
        <v>0014X00002VKCu1QAH</v>
      </c>
      <c r="B537" s="3" t="s">
        <v>8516</v>
      </c>
      <c r="C537" s="3" t="s">
        <v>2538</v>
      </c>
      <c r="D537" s="3" t="s">
        <v>46</v>
      </c>
      <c r="E537" s="3">
        <v>33</v>
      </c>
      <c r="F537" s="3">
        <v>0</v>
      </c>
      <c r="G537" s="3">
        <v>3</v>
      </c>
      <c r="H537" s="3">
        <v>10000</v>
      </c>
      <c r="I537" s="3">
        <v>3500</v>
      </c>
      <c r="J537" s="3" t="s">
        <v>17403</v>
      </c>
      <c r="K537" s="3">
        <v>48</v>
      </c>
      <c r="L537" s="3">
        <v>15</v>
      </c>
      <c r="M537" s="3">
        <v>0</v>
      </c>
      <c r="N537" s="3">
        <v>8</v>
      </c>
      <c r="O537" s="3">
        <v>5</v>
      </c>
      <c r="P537" s="3">
        <v>20</v>
      </c>
      <c r="Q537" s="3" t="s">
        <v>8520</v>
      </c>
      <c r="R537" s="6">
        <v>44804</v>
      </c>
    </row>
    <row r="538" spans="1:18" ht="12.5" x14ac:dyDescent="0.25">
      <c r="A538" s="21" t="str">
        <f>HYPERLINK("https://gerandofalcoes.my.salesforce.com/0014X00002VKD05QAH", "0014X00002VKD05QAH")</f>
        <v>0014X00002VKD05QAH</v>
      </c>
      <c r="B538" s="3" t="s">
        <v>6307</v>
      </c>
      <c r="C538" s="3" t="s">
        <v>2538</v>
      </c>
      <c r="D538" s="3" t="s">
        <v>46</v>
      </c>
      <c r="E538" s="3">
        <v>30</v>
      </c>
      <c r="F538" s="3">
        <v>0</v>
      </c>
      <c r="G538" s="3">
        <v>2</v>
      </c>
      <c r="H538" s="3">
        <v>199010</v>
      </c>
      <c r="I538" s="3">
        <v>240</v>
      </c>
      <c r="J538" s="3" t="s">
        <v>17403</v>
      </c>
      <c r="K538" s="3">
        <v>48</v>
      </c>
      <c r="L538" s="3">
        <v>15</v>
      </c>
      <c r="M538" s="3">
        <v>0</v>
      </c>
      <c r="N538" s="3">
        <v>6</v>
      </c>
      <c r="O538" s="3">
        <v>15</v>
      </c>
      <c r="P538" s="3">
        <v>12</v>
      </c>
      <c r="Q538" s="3" t="s">
        <v>6310</v>
      </c>
      <c r="R538" s="6">
        <v>44804</v>
      </c>
    </row>
    <row r="539" spans="1:18" ht="12.5" x14ac:dyDescent="0.25">
      <c r="A539" s="21" t="str">
        <f>HYPERLINK("https://gerandofalcoes.my.salesforce.com/0014X00002VKCsSQAX", "0014X00002VKCsSQAX")</f>
        <v>0014X00002VKCsSQAX</v>
      </c>
      <c r="B539" s="3" t="s">
        <v>7402</v>
      </c>
      <c r="C539" s="3" t="s">
        <v>2538</v>
      </c>
      <c r="D539" s="3" t="s">
        <v>46</v>
      </c>
      <c r="E539" s="3">
        <v>27</v>
      </c>
      <c r="F539" s="3">
        <v>0</v>
      </c>
      <c r="G539" s="3">
        <v>3</v>
      </c>
      <c r="H539" s="3">
        <v>28800</v>
      </c>
      <c r="I539" s="3">
        <v>65</v>
      </c>
      <c r="J539" s="3" t="s">
        <v>17403</v>
      </c>
      <c r="K539" s="3">
        <v>38</v>
      </c>
      <c r="L539" s="3">
        <v>15</v>
      </c>
      <c r="M539" s="3">
        <v>0</v>
      </c>
      <c r="N539" s="3">
        <v>8</v>
      </c>
      <c r="O539" s="3">
        <v>10</v>
      </c>
      <c r="P539" s="3">
        <v>5</v>
      </c>
      <c r="Q539" s="3" t="s">
        <v>7404</v>
      </c>
      <c r="R539" s="6">
        <v>44804</v>
      </c>
    </row>
    <row r="540" spans="1:18" ht="12.5" x14ac:dyDescent="0.25">
      <c r="A540" s="21" t="str">
        <f>HYPERLINK("https://gerandofalcoes.my.salesforce.com/0014X00002VKCq1QAH", "0014X00002VKCq1QAH")</f>
        <v>0014X00002VKCq1QAH</v>
      </c>
      <c r="B540" s="3" t="s">
        <v>17849</v>
      </c>
      <c r="C540" s="3" t="s">
        <v>2538</v>
      </c>
      <c r="D540" s="3" t="s">
        <v>46</v>
      </c>
      <c r="E540" s="3">
        <v>33</v>
      </c>
      <c r="F540" s="3">
        <v>0</v>
      </c>
      <c r="G540" s="3">
        <v>2</v>
      </c>
      <c r="H540" s="3">
        <v>5000</v>
      </c>
      <c r="I540" s="3">
        <v>50</v>
      </c>
      <c r="J540" s="3" t="s">
        <v>17403</v>
      </c>
      <c r="K540" s="3">
        <v>31</v>
      </c>
      <c r="L540" s="3">
        <v>15</v>
      </c>
      <c r="M540" s="3">
        <v>0</v>
      </c>
      <c r="N540" s="3">
        <v>6</v>
      </c>
      <c r="O540" s="3">
        <v>5</v>
      </c>
      <c r="P540" s="3">
        <v>5</v>
      </c>
      <c r="Q540" s="3" t="s">
        <v>4340</v>
      </c>
      <c r="R540" s="6">
        <v>44804</v>
      </c>
    </row>
    <row r="541" spans="1:18" ht="12.5" x14ac:dyDescent="0.25">
      <c r="A541" s="21" t="str">
        <f>HYPERLINK("https://gerandofalcoes.my.salesforce.com/0014X00002VKCoxQAH", "0014X00002VKCoxQAH")</f>
        <v>0014X00002VKCoxQAH</v>
      </c>
      <c r="B541" s="3" t="s">
        <v>17850</v>
      </c>
      <c r="C541" s="3" t="s">
        <v>2538</v>
      </c>
      <c r="D541" s="3" t="s">
        <v>46</v>
      </c>
      <c r="E541" s="3">
        <v>38</v>
      </c>
      <c r="F541" s="3">
        <v>6</v>
      </c>
      <c r="G541" s="3">
        <v>3</v>
      </c>
      <c r="H541" s="3">
        <v>0</v>
      </c>
      <c r="I541" s="3">
        <v>20</v>
      </c>
      <c r="J541" s="3" t="s">
        <v>17403</v>
      </c>
      <c r="K541" s="3">
        <v>38</v>
      </c>
      <c r="L541" s="3">
        <v>15</v>
      </c>
      <c r="M541" s="3">
        <v>10</v>
      </c>
      <c r="N541" s="3">
        <v>8</v>
      </c>
      <c r="O541" s="3">
        <v>0</v>
      </c>
      <c r="P541" s="3">
        <v>5</v>
      </c>
      <c r="Q541" s="3" t="s">
        <v>8686</v>
      </c>
      <c r="R541" s="6">
        <v>44804</v>
      </c>
    </row>
    <row r="542" spans="1:18" ht="12.5" x14ac:dyDescent="0.25">
      <c r="A542" s="21" t="str">
        <f>HYPERLINK("https://gerandofalcoes.my.salesforce.com/0014X00002VKCsVQAX", "0014X00002VKCsVQAX")</f>
        <v>0014X00002VKCsVQAX</v>
      </c>
      <c r="B542" s="3" t="s">
        <v>17851</v>
      </c>
      <c r="C542" s="3" t="s">
        <v>2538</v>
      </c>
      <c r="D542" s="3" t="s">
        <v>46</v>
      </c>
      <c r="E542" s="3">
        <v>56</v>
      </c>
      <c r="F542" s="3">
        <v>0</v>
      </c>
      <c r="G542" s="3">
        <v>3</v>
      </c>
      <c r="H542" s="3">
        <v>22800</v>
      </c>
      <c r="I542" s="3">
        <v>80</v>
      </c>
      <c r="J542" s="3" t="s">
        <v>17403</v>
      </c>
      <c r="K542" s="3">
        <v>43</v>
      </c>
      <c r="L542" s="3">
        <v>20</v>
      </c>
      <c r="M542" s="3">
        <v>0</v>
      </c>
      <c r="N542" s="3">
        <v>8</v>
      </c>
      <c r="O542" s="3">
        <v>5</v>
      </c>
      <c r="P542" s="3">
        <v>10</v>
      </c>
      <c r="Q542" s="3" t="s">
        <v>7861</v>
      </c>
      <c r="R542" s="6">
        <v>44804</v>
      </c>
    </row>
    <row r="543" spans="1:18" ht="12.5" x14ac:dyDescent="0.25">
      <c r="A543" s="21" t="str">
        <f>HYPERLINK("https://gerandofalcoes.my.salesforce.com/0014X00002VKCqXQAX", "0014X00002VKCqXQAX")</f>
        <v>0014X00002VKCqXQAX</v>
      </c>
      <c r="B543" s="3" t="s">
        <v>17852</v>
      </c>
      <c r="C543" s="3" t="s">
        <v>2538</v>
      </c>
      <c r="D543" s="3" t="s">
        <v>46</v>
      </c>
      <c r="E543" s="3">
        <v>29</v>
      </c>
      <c r="F543" s="3">
        <v>0</v>
      </c>
      <c r="G543" s="3">
        <v>5</v>
      </c>
      <c r="H543" s="3">
        <v>70000</v>
      </c>
      <c r="I543" s="3">
        <v>100</v>
      </c>
      <c r="J543" s="3" t="s">
        <v>17403</v>
      </c>
      <c r="K543" s="3">
        <v>45</v>
      </c>
      <c r="L543" s="3">
        <v>15</v>
      </c>
      <c r="M543" s="3">
        <v>0</v>
      </c>
      <c r="N543" s="3">
        <v>10</v>
      </c>
      <c r="O543" s="3">
        <v>10</v>
      </c>
      <c r="P543" s="3">
        <v>10</v>
      </c>
      <c r="Q543" s="3" t="s">
        <v>4470</v>
      </c>
      <c r="R543" s="6">
        <v>44804</v>
      </c>
    </row>
    <row r="544" spans="1:18" ht="12.5" x14ac:dyDescent="0.25">
      <c r="A544" s="21" t="str">
        <f>HYPERLINK("https://gerandofalcoes.my.salesforce.com/0014X00002VKCouQAH", "0014X00002VKCouQAH")</f>
        <v>0014X00002VKCouQAH</v>
      </c>
      <c r="B544" s="3" t="s">
        <v>8660</v>
      </c>
      <c r="C544" s="3" t="s">
        <v>2538</v>
      </c>
      <c r="D544" s="3" t="s">
        <v>46</v>
      </c>
      <c r="E544" s="3">
        <v>18</v>
      </c>
      <c r="F544" s="3">
        <v>0</v>
      </c>
      <c r="G544" s="3">
        <v>2</v>
      </c>
      <c r="H544" s="3">
        <v>11000</v>
      </c>
      <c r="I544" s="3">
        <v>0</v>
      </c>
      <c r="J544" s="3" t="s">
        <v>17403</v>
      </c>
      <c r="K544" s="3">
        <v>21</v>
      </c>
      <c r="L544" s="3">
        <v>10</v>
      </c>
      <c r="M544" s="3">
        <v>0</v>
      </c>
      <c r="N544" s="3">
        <v>6</v>
      </c>
      <c r="O544" s="3">
        <v>5</v>
      </c>
      <c r="P544" s="3">
        <v>0</v>
      </c>
      <c r="Q544" s="3" t="s">
        <v>8664</v>
      </c>
      <c r="R544" s="6">
        <v>44804</v>
      </c>
    </row>
    <row r="545" spans="1:18" ht="12.5" x14ac:dyDescent="0.25">
      <c r="A545" s="21" t="str">
        <f>HYPERLINK("https://gerandofalcoes.my.salesforce.com/0014X00002VKCpvQAH", "0014X00002VKCpvQAH")</f>
        <v>0014X00002VKCpvQAH</v>
      </c>
      <c r="B545" s="3" t="s">
        <v>17853</v>
      </c>
      <c r="C545" s="3" t="s">
        <v>2538</v>
      </c>
      <c r="D545" s="3" t="s">
        <v>46</v>
      </c>
      <c r="E545" s="3">
        <v>10</v>
      </c>
      <c r="F545" s="3">
        <v>1</v>
      </c>
      <c r="G545" s="3">
        <v>2</v>
      </c>
      <c r="H545" s="3">
        <v>500</v>
      </c>
      <c r="I545" s="3">
        <v>15</v>
      </c>
      <c r="J545" s="3" t="s">
        <v>17403</v>
      </c>
      <c r="K545" s="3">
        <v>31</v>
      </c>
      <c r="L545" s="3">
        <v>10</v>
      </c>
      <c r="M545" s="3">
        <v>5</v>
      </c>
      <c r="N545" s="3">
        <v>6</v>
      </c>
      <c r="O545" s="3">
        <v>5</v>
      </c>
      <c r="P545" s="3">
        <v>5</v>
      </c>
      <c r="Q545" s="3" t="s">
        <v>4235</v>
      </c>
      <c r="R545" s="6">
        <v>44804</v>
      </c>
    </row>
    <row r="546" spans="1:18" ht="12.5" x14ac:dyDescent="0.25">
      <c r="A546" s="21" t="str">
        <f>HYPERLINK("https://gerandofalcoes.my.salesforce.com/0014X00002VKCrDQAX", "0014X00002VKCrDQAX")</f>
        <v>0014X00002VKCrDQAX</v>
      </c>
      <c r="B546" s="3" t="s">
        <v>4714</v>
      </c>
      <c r="C546" s="3" t="s">
        <v>2538</v>
      </c>
      <c r="D546" s="3" t="s">
        <v>46</v>
      </c>
      <c r="E546" s="3">
        <v>14</v>
      </c>
      <c r="F546" s="3">
        <v>2</v>
      </c>
      <c r="G546" s="3">
        <v>2</v>
      </c>
      <c r="H546" s="3">
        <v>0</v>
      </c>
      <c r="I546" s="3">
        <v>60</v>
      </c>
      <c r="J546" s="3" t="s">
        <v>17403</v>
      </c>
      <c r="K546" s="3">
        <v>26</v>
      </c>
      <c r="L546" s="3">
        <v>10</v>
      </c>
      <c r="M546" s="3">
        <v>5</v>
      </c>
      <c r="N546" s="3">
        <v>6</v>
      </c>
      <c r="O546" s="3">
        <v>0</v>
      </c>
      <c r="P546" s="3">
        <v>5</v>
      </c>
      <c r="Q546" s="3"/>
      <c r="R546" s="6">
        <v>44804</v>
      </c>
    </row>
    <row r="547" spans="1:18" ht="12.5" x14ac:dyDescent="0.25">
      <c r="A547" s="21" t="str">
        <f>HYPERLINK("https://gerandofalcoes.my.salesforce.com/0014X00002VKCqRQAX", "0014X00002VKCqRQAX")</f>
        <v>0014X00002VKCqRQAX</v>
      </c>
      <c r="B547" s="3" t="s">
        <v>5590</v>
      </c>
      <c r="C547" s="3" t="s">
        <v>2538</v>
      </c>
      <c r="D547" s="3" t="s">
        <v>46</v>
      </c>
      <c r="E547" s="3">
        <v>56</v>
      </c>
      <c r="F547" s="3">
        <v>0</v>
      </c>
      <c r="G547" s="3">
        <v>2</v>
      </c>
      <c r="H547" s="3">
        <v>418318</v>
      </c>
      <c r="I547" s="3">
        <v>120</v>
      </c>
      <c r="J547" s="3" t="s">
        <v>17403</v>
      </c>
      <c r="K547" s="3">
        <v>56</v>
      </c>
      <c r="L547" s="3">
        <v>20</v>
      </c>
      <c r="M547" s="3">
        <v>0</v>
      </c>
      <c r="N547" s="3">
        <v>6</v>
      </c>
      <c r="O547" s="3">
        <v>20</v>
      </c>
      <c r="P547" s="3">
        <v>10</v>
      </c>
      <c r="Q547" s="3" t="s">
        <v>5594</v>
      </c>
      <c r="R547" s="6">
        <v>44804</v>
      </c>
    </row>
    <row r="548" spans="1:18" ht="12.5" x14ac:dyDescent="0.25">
      <c r="A548" s="21" t="str">
        <f>HYPERLINK("https://gerandofalcoes.my.salesforce.com/0014X00002VKCr1QAH", "0014X00002VKCr1QAH")</f>
        <v>0014X00002VKCr1QAH</v>
      </c>
      <c r="B548" s="3" t="s">
        <v>17854</v>
      </c>
      <c r="C548" s="3" t="s">
        <v>2538</v>
      </c>
      <c r="D548" s="3" t="s">
        <v>46</v>
      </c>
      <c r="E548" s="3">
        <v>44</v>
      </c>
      <c r="F548" s="3">
        <v>5</v>
      </c>
      <c r="G548" s="3">
        <v>2</v>
      </c>
      <c r="H548" s="3">
        <v>65000</v>
      </c>
      <c r="I548" s="3">
        <v>50</v>
      </c>
      <c r="J548" s="3" t="s">
        <v>17403</v>
      </c>
      <c r="K548" s="3">
        <v>41</v>
      </c>
      <c r="L548" s="3">
        <v>15</v>
      </c>
      <c r="M548" s="3">
        <v>5</v>
      </c>
      <c r="N548" s="3">
        <v>6</v>
      </c>
      <c r="O548" s="3">
        <v>10</v>
      </c>
      <c r="P548" s="3">
        <v>5</v>
      </c>
      <c r="Q548" s="3" t="s">
        <v>4512</v>
      </c>
      <c r="R548" s="6">
        <v>44804</v>
      </c>
    </row>
    <row r="549" spans="1:18" ht="12.5" x14ac:dyDescent="0.25">
      <c r="A549" s="21" t="str">
        <f>HYPERLINK("https://gerandofalcoes.my.salesforce.com/0014X00002VKCuWQAX", "0014X00002VKCuWQAX")</f>
        <v>0014X00002VKCuWQAX</v>
      </c>
      <c r="B549" s="3" t="s">
        <v>17855</v>
      </c>
      <c r="C549" s="3" t="s">
        <v>2538</v>
      </c>
      <c r="D549" s="3" t="s">
        <v>46</v>
      </c>
      <c r="E549" s="3">
        <v>42</v>
      </c>
      <c r="F549" s="3">
        <v>35</v>
      </c>
      <c r="G549" s="3">
        <v>4</v>
      </c>
      <c r="H549" s="3">
        <v>30000</v>
      </c>
      <c r="I549" s="3">
        <v>60</v>
      </c>
      <c r="J549" s="3" t="s">
        <v>17403</v>
      </c>
      <c r="K549" s="3">
        <v>55</v>
      </c>
      <c r="L549" s="3">
        <v>15</v>
      </c>
      <c r="M549" s="3">
        <v>15</v>
      </c>
      <c r="N549" s="3">
        <v>10</v>
      </c>
      <c r="O549" s="3">
        <v>10</v>
      </c>
      <c r="P549" s="3">
        <v>5</v>
      </c>
      <c r="Q549" s="3" t="s">
        <v>7094</v>
      </c>
      <c r="R549" s="6">
        <v>44804</v>
      </c>
    </row>
    <row r="550" spans="1:18" ht="12.5" x14ac:dyDescent="0.25">
      <c r="A550" s="21" t="str">
        <f>HYPERLINK("https://gerandofalcoes.my.salesforce.com/0014X00002VKCpsQAH", "0014X00002VKCpsQAH")</f>
        <v>0014X00002VKCpsQAH</v>
      </c>
      <c r="B550" s="3" t="s">
        <v>17856</v>
      </c>
      <c r="C550" s="3" t="s">
        <v>2538</v>
      </c>
      <c r="D550" s="3" t="s">
        <v>46</v>
      </c>
      <c r="E550" s="3">
        <v>52</v>
      </c>
      <c r="F550" s="3">
        <v>36</v>
      </c>
      <c r="G550" s="3">
        <v>3</v>
      </c>
      <c r="H550" s="3">
        <v>0</v>
      </c>
      <c r="I550" s="3">
        <v>1400</v>
      </c>
      <c r="J550" s="3" t="s">
        <v>17403</v>
      </c>
      <c r="K550" s="3">
        <v>63</v>
      </c>
      <c r="L550" s="3">
        <v>20</v>
      </c>
      <c r="M550" s="3">
        <v>15</v>
      </c>
      <c r="N550" s="3">
        <v>8</v>
      </c>
      <c r="O550" s="3">
        <v>0</v>
      </c>
      <c r="P550" s="3">
        <v>20</v>
      </c>
      <c r="Q550" s="3" t="s">
        <v>4180</v>
      </c>
      <c r="R550" s="6">
        <v>44804</v>
      </c>
    </row>
    <row r="551" spans="1:18" ht="12.5" x14ac:dyDescent="0.25">
      <c r="A551" s="21" t="str">
        <f>HYPERLINK("https://gerandofalcoes.my.salesforce.com/0014X00002VKCuIQAX", "0014X00002VKCuIQAX")</f>
        <v>0014X00002VKCuIQAX</v>
      </c>
      <c r="B551" s="3" t="s">
        <v>6828</v>
      </c>
      <c r="C551" s="3" t="s">
        <v>2538</v>
      </c>
      <c r="D551" s="3" t="s">
        <v>46</v>
      </c>
      <c r="E551" s="3">
        <v>32</v>
      </c>
      <c r="F551" s="3">
        <v>0</v>
      </c>
      <c r="G551" s="3">
        <v>2</v>
      </c>
      <c r="H551" s="3">
        <v>10000</v>
      </c>
      <c r="I551" s="3">
        <v>250</v>
      </c>
      <c r="J551" s="3" t="s">
        <v>17403</v>
      </c>
      <c r="K551" s="3">
        <v>38</v>
      </c>
      <c r="L551" s="3">
        <v>15</v>
      </c>
      <c r="M551" s="3">
        <v>0</v>
      </c>
      <c r="N551" s="3">
        <v>6</v>
      </c>
      <c r="O551" s="3">
        <v>5</v>
      </c>
      <c r="P551" s="3">
        <v>12</v>
      </c>
      <c r="Q551" s="3" t="s">
        <v>6831</v>
      </c>
      <c r="R551" s="6">
        <v>44804</v>
      </c>
    </row>
    <row r="552" spans="1:18" ht="12.5" x14ac:dyDescent="0.25">
      <c r="A552" s="21" t="str">
        <f>HYPERLINK("https://gerandofalcoes.my.salesforce.com/0014X00002VKCt4QAH", "0014X00002VKCt4QAH")</f>
        <v>0014X00002VKCt4QAH</v>
      </c>
      <c r="B552" s="3" t="s">
        <v>17857</v>
      </c>
      <c r="C552" s="3" t="s">
        <v>2538</v>
      </c>
      <c r="D552" s="3" t="s">
        <v>46</v>
      </c>
      <c r="E552" s="3">
        <v>80</v>
      </c>
      <c r="F552" s="3">
        <v>0</v>
      </c>
      <c r="G552" s="3">
        <v>4</v>
      </c>
      <c r="H552" s="3">
        <v>140473</v>
      </c>
      <c r="I552" s="3">
        <v>87</v>
      </c>
      <c r="J552" s="3" t="s">
        <v>17403</v>
      </c>
      <c r="K552" s="3">
        <v>60</v>
      </c>
      <c r="L552" s="3">
        <v>25</v>
      </c>
      <c r="M552" s="3">
        <v>0</v>
      </c>
      <c r="N552" s="3">
        <v>10</v>
      </c>
      <c r="O552" s="3">
        <v>15</v>
      </c>
      <c r="P552" s="3">
        <v>10</v>
      </c>
      <c r="Q552" s="3" t="s">
        <v>6495</v>
      </c>
      <c r="R552" s="6">
        <v>44804</v>
      </c>
    </row>
    <row r="553" spans="1:18" ht="12.5" x14ac:dyDescent="0.25">
      <c r="A553" s="21" t="str">
        <f>HYPERLINK("https://gerandofalcoes.my.salesforce.com/0014X00002VKCuPQAX", "0014X00002VKCuPQAX")</f>
        <v>0014X00002VKCuPQAX</v>
      </c>
      <c r="B553" s="3" t="s">
        <v>17858</v>
      </c>
      <c r="C553" s="3" t="s">
        <v>2538</v>
      </c>
      <c r="D553" s="3" t="s">
        <v>46</v>
      </c>
      <c r="E553" s="3">
        <v>24</v>
      </c>
      <c r="F553" s="3">
        <v>0</v>
      </c>
      <c r="G553" s="3">
        <v>2</v>
      </c>
      <c r="H553" s="3">
        <v>0</v>
      </c>
      <c r="I553" s="3">
        <v>0</v>
      </c>
      <c r="J553" s="3" t="s">
        <v>17403</v>
      </c>
      <c r="K553" s="3">
        <v>16</v>
      </c>
      <c r="L553" s="3">
        <v>10</v>
      </c>
      <c r="M553" s="3">
        <v>0</v>
      </c>
      <c r="N553" s="3">
        <v>6</v>
      </c>
      <c r="O553" s="3">
        <v>0</v>
      </c>
      <c r="P553" s="3">
        <v>0</v>
      </c>
      <c r="Q553" s="3" t="s">
        <v>6988</v>
      </c>
      <c r="R553" s="6">
        <v>44804</v>
      </c>
    </row>
    <row r="554" spans="1:18" ht="12.5" x14ac:dyDescent="0.25">
      <c r="A554" s="21" t="str">
        <f>HYPERLINK("https://gerandofalcoes.my.salesforce.com/0014X00002VKCpxQAH", "0014X00002VKCpxQAH")</f>
        <v>0014X00002VKCpxQAH</v>
      </c>
      <c r="B554" s="3" t="s">
        <v>17859</v>
      </c>
      <c r="C554" s="3" t="s">
        <v>2538</v>
      </c>
      <c r="D554" s="3" t="s">
        <v>46</v>
      </c>
      <c r="E554" s="3">
        <v>20</v>
      </c>
      <c r="F554" s="3">
        <v>5</v>
      </c>
      <c r="G554" s="3">
        <v>7</v>
      </c>
      <c r="H554" s="3">
        <v>21530</v>
      </c>
      <c r="I554" s="3">
        <v>387</v>
      </c>
      <c r="J554" s="3" t="s">
        <v>17403</v>
      </c>
      <c r="K554" s="3">
        <v>45</v>
      </c>
      <c r="L554" s="3">
        <v>10</v>
      </c>
      <c r="M554" s="3">
        <v>5</v>
      </c>
      <c r="N554" s="3">
        <v>10</v>
      </c>
      <c r="O554" s="3">
        <v>5</v>
      </c>
      <c r="P554" s="3">
        <v>15</v>
      </c>
      <c r="Q554" s="3" t="s">
        <v>4263</v>
      </c>
      <c r="R554" s="6">
        <v>44804</v>
      </c>
    </row>
    <row r="555" spans="1:18" ht="12.5" x14ac:dyDescent="0.25">
      <c r="A555" s="21" t="str">
        <f>HYPERLINK("https://gerandofalcoes.my.salesforce.com/0014X00002VKCqgQAH", "0014X00002VKCqgQAH")</f>
        <v>0014X00002VKCqgQAH</v>
      </c>
      <c r="B555" s="3" t="s">
        <v>17860</v>
      </c>
      <c r="C555" s="3" t="s">
        <v>2538</v>
      </c>
      <c r="D555" s="3" t="s">
        <v>46</v>
      </c>
      <c r="E555" s="3">
        <v>43</v>
      </c>
      <c r="F555" s="3">
        <v>12</v>
      </c>
      <c r="G555" s="3">
        <v>6</v>
      </c>
      <c r="H555" s="3">
        <v>400000</v>
      </c>
      <c r="I555" s="3">
        <v>480</v>
      </c>
      <c r="J555" s="3" t="s">
        <v>17406</v>
      </c>
      <c r="K555" s="3">
        <v>77</v>
      </c>
      <c r="L555" s="3">
        <v>15</v>
      </c>
      <c r="M555" s="3">
        <v>12</v>
      </c>
      <c r="N555" s="3">
        <v>10</v>
      </c>
      <c r="O555" s="3">
        <v>20</v>
      </c>
      <c r="P555" s="3">
        <v>20</v>
      </c>
      <c r="Q555" s="3" t="s">
        <v>5691</v>
      </c>
      <c r="R555" s="6">
        <v>44804</v>
      </c>
    </row>
    <row r="556" spans="1:18" ht="12.5" x14ac:dyDescent="0.25">
      <c r="A556" s="21" t="str">
        <f>HYPERLINK("https://gerandofalcoes.my.salesforce.com/0014X00002VKCpmQAH", "0014X00002VKCpmQAH")</f>
        <v>0014X00002VKCpmQAH</v>
      </c>
      <c r="B556" s="3" t="s">
        <v>17861</v>
      </c>
      <c r="C556" s="3" t="s">
        <v>2538</v>
      </c>
      <c r="D556" s="3" t="s">
        <v>46</v>
      </c>
      <c r="E556" s="3">
        <v>20</v>
      </c>
      <c r="F556" s="3">
        <v>0</v>
      </c>
      <c r="G556" s="3">
        <v>3</v>
      </c>
      <c r="H556" s="3">
        <v>7000</v>
      </c>
      <c r="I556" s="3">
        <v>80</v>
      </c>
      <c r="J556" s="3" t="s">
        <v>17403</v>
      </c>
      <c r="K556" s="3">
        <v>33</v>
      </c>
      <c r="L556" s="3">
        <v>10</v>
      </c>
      <c r="M556" s="3">
        <v>0</v>
      </c>
      <c r="N556" s="3">
        <v>8</v>
      </c>
      <c r="O556" s="3">
        <v>5</v>
      </c>
      <c r="P556" s="3">
        <v>10</v>
      </c>
      <c r="Q556" s="3"/>
      <c r="R556" s="6">
        <v>44804</v>
      </c>
    </row>
    <row r="557" spans="1:18" ht="12.5" x14ac:dyDescent="0.25">
      <c r="A557" s="21" t="str">
        <f>HYPERLINK("https://gerandofalcoes.my.salesforce.com/0014X00002VKCuzQAH", "0014X00002VKCuzQAH")</f>
        <v>0014X00002VKCuzQAH</v>
      </c>
      <c r="B557" s="3" t="s">
        <v>17862</v>
      </c>
      <c r="C557" s="3" t="s">
        <v>2538</v>
      </c>
      <c r="D557" s="3" t="s">
        <v>46</v>
      </c>
      <c r="E557" s="3">
        <v>35</v>
      </c>
      <c r="F557" s="3">
        <v>0</v>
      </c>
      <c r="G557" s="3">
        <v>3</v>
      </c>
      <c r="H557" s="3">
        <v>34878</v>
      </c>
      <c r="I557" s="3">
        <v>6</v>
      </c>
      <c r="J557" s="3" t="s">
        <v>17403</v>
      </c>
      <c r="K557" s="3">
        <v>38</v>
      </c>
      <c r="L557" s="3">
        <v>15</v>
      </c>
      <c r="M557" s="3">
        <v>0</v>
      </c>
      <c r="N557" s="3">
        <v>8</v>
      </c>
      <c r="O557" s="3">
        <v>10</v>
      </c>
      <c r="P557" s="3">
        <v>5</v>
      </c>
      <c r="Q557" s="3" t="s">
        <v>8247</v>
      </c>
      <c r="R557" s="6">
        <v>44804</v>
      </c>
    </row>
    <row r="558" spans="1:18" ht="12.5" x14ac:dyDescent="0.25">
      <c r="A558" s="21" t="str">
        <f>HYPERLINK("https://gerandofalcoes.my.salesforce.com/0014X00002VKCq5QAH", "0014X00002VKCq5QAH")</f>
        <v>0014X00002VKCq5QAH</v>
      </c>
      <c r="B558" s="3" t="s">
        <v>17863</v>
      </c>
      <c r="C558" s="3" t="s">
        <v>2538</v>
      </c>
      <c r="D558" s="3" t="s">
        <v>46</v>
      </c>
      <c r="E558" s="3">
        <v>29</v>
      </c>
      <c r="F558" s="3">
        <v>3</v>
      </c>
      <c r="G558" s="3">
        <v>3</v>
      </c>
      <c r="H558" s="3">
        <v>30000</v>
      </c>
      <c r="I558" s="3">
        <v>50</v>
      </c>
      <c r="J558" s="3" t="s">
        <v>17403</v>
      </c>
      <c r="K558" s="3">
        <v>43</v>
      </c>
      <c r="L558" s="3">
        <v>15</v>
      </c>
      <c r="M558" s="3">
        <v>5</v>
      </c>
      <c r="N558" s="3">
        <v>8</v>
      </c>
      <c r="O558" s="3">
        <v>10</v>
      </c>
      <c r="P558" s="3">
        <v>5</v>
      </c>
      <c r="Q558" s="3" t="s">
        <v>17438</v>
      </c>
      <c r="R558" s="6">
        <v>44804</v>
      </c>
    </row>
    <row r="559" spans="1:18" ht="12.5" x14ac:dyDescent="0.25">
      <c r="A559" s="21" t="str">
        <f>HYPERLINK("https://gerandofalcoes.my.salesforce.com/0014X00002VKCtIQAX", "0014X00002VKCtIQAX")</f>
        <v>0014X00002VKCtIQAX</v>
      </c>
      <c r="B559" s="3" t="s">
        <v>17864</v>
      </c>
      <c r="C559" s="3" t="s">
        <v>2538</v>
      </c>
      <c r="D559" s="3" t="s">
        <v>46</v>
      </c>
      <c r="E559" s="3">
        <v>42</v>
      </c>
      <c r="F559" s="3">
        <v>0</v>
      </c>
      <c r="G559" s="3">
        <v>6</v>
      </c>
      <c r="H559" s="3">
        <v>0</v>
      </c>
      <c r="I559" s="3">
        <v>180</v>
      </c>
      <c r="J559" s="3" t="s">
        <v>17403</v>
      </c>
      <c r="K559" s="3">
        <v>37</v>
      </c>
      <c r="L559" s="3">
        <v>15</v>
      </c>
      <c r="M559" s="3">
        <v>0</v>
      </c>
      <c r="N559" s="3">
        <v>10</v>
      </c>
      <c r="O559" s="3">
        <v>0</v>
      </c>
      <c r="P559" s="3">
        <v>12</v>
      </c>
      <c r="Q559" s="3" t="s">
        <v>6701</v>
      </c>
      <c r="R559" s="6">
        <v>44804</v>
      </c>
    </row>
    <row r="560" spans="1:18" ht="12.5" x14ac:dyDescent="0.25">
      <c r="A560" s="21" t="str">
        <f>HYPERLINK("https://gerandofalcoes.my.salesforce.com/0014X00002VKCufQAH", "0014X00002VKCufQAH")</f>
        <v>0014X00002VKCufQAH</v>
      </c>
      <c r="B560" s="3" t="s">
        <v>17865</v>
      </c>
      <c r="C560" s="3" t="s">
        <v>2538</v>
      </c>
      <c r="D560" s="3" t="s">
        <v>46</v>
      </c>
      <c r="E560" s="3">
        <v>47</v>
      </c>
      <c r="F560" s="3">
        <v>5</v>
      </c>
      <c r="G560" s="3">
        <v>2</v>
      </c>
      <c r="H560" s="3">
        <v>11000</v>
      </c>
      <c r="I560" s="3">
        <v>50</v>
      </c>
      <c r="J560" s="3" t="s">
        <v>17403</v>
      </c>
      <c r="K560" s="3">
        <v>36</v>
      </c>
      <c r="L560" s="3">
        <v>15</v>
      </c>
      <c r="M560" s="3">
        <v>5</v>
      </c>
      <c r="N560" s="3">
        <v>6</v>
      </c>
      <c r="O560" s="3">
        <v>5</v>
      </c>
      <c r="P560" s="3">
        <v>5</v>
      </c>
      <c r="Q560" s="3" t="s">
        <v>7598</v>
      </c>
      <c r="R560" s="6">
        <v>44804</v>
      </c>
    </row>
    <row r="561" spans="1:18" ht="12.5" x14ac:dyDescent="0.25">
      <c r="A561" s="21" t="str">
        <f>HYPERLINK("https://gerandofalcoes.my.salesforce.com/0014X00002VKCuNQAX", "0014X00002VKCuNQAX")</f>
        <v>0014X00002VKCuNQAX</v>
      </c>
      <c r="B561" s="3" t="s">
        <v>17866</v>
      </c>
      <c r="C561" s="3" t="s">
        <v>2538</v>
      </c>
      <c r="D561" s="3" t="s">
        <v>46</v>
      </c>
      <c r="E561" s="3">
        <v>40</v>
      </c>
      <c r="F561" s="3">
        <v>0</v>
      </c>
      <c r="G561" s="3">
        <v>4</v>
      </c>
      <c r="H561" s="3">
        <v>52814</v>
      </c>
      <c r="I561" s="3">
        <v>96</v>
      </c>
      <c r="J561" s="3" t="s">
        <v>17403</v>
      </c>
      <c r="K561" s="3">
        <v>45</v>
      </c>
      <c r="L561" s="3">
        <v>15</v>
      </c>
      <c r="M561" s="3">
        <v>0</v>
      </c>
      <c r="N561" s="3">
        <v>10</v>
      </c>
      <c r="O561" s="3">
        <v>10</v>
      </c>
      <c r="P561" s="3">
        <v>10</v>
      </c>
      <c r="Q561" s="3" t="s">
        <v>6969</v>
      </c>
      <c r="R561" s="6">
        <v>44804</v>
      </c>
    </row>
    <row r="562" spans="1:18" ht="12.5" x14ac:dyDescent="0.25">
      <c r="A562" s="21" t="str">
        <f>HYPERLINK("https://gerandofalcoes.my.salesforce.com/0014X00002VKCuTQAX", "0014X00002VKCuTQAX")</f>
        <v>0014X00002VKCuTQAX</v>
      </c>
      <c r="B562" s="3" t="s">
        <v>17867</v>
      </c>
      <c r="C562" s="3" t="s">
        <v>2538</v>
      </c>
      <c r="D562" s="3" t="s">
        <v>46</v>
      </c>
      <c r="E562" s="3">
        <v>53</v>
      </c>
      <c r="F562" s="3">
        <v>14</v>
      </c>
      <c r="G562" s="3">
        <v>2</v>
      </c>
      <c r="H562" s="3">
        <v>350000</v>
      </c>
      <c r="I562" s="3">
        <v>58</v>
      </c>
      <c r="J562" s="3" t="s">
        <v>17403</v>
      </c>
      <c r="K562" s="3">
        <v>63</v>
      </c>
      <c r="L562" s="3">
        <v>20</v>
      </c>
      <c r="M562" s="3">
        <v>12</v>
      </c>
      <c r="N562" s="3">
        <v>6</v>
      </c>
      <c r="O562" s="3">
        <v>20</v>
      </c>
      <c r="P562" s="3">
        <v>5</v>
      </c>
      <c r="Q562" s="3" t="s">
        <v>7046</v>
      </c>
      <c r="R562" s="6">
        <v>44804</v>
      </c>
    </row>
    <row r="563" spans="1:18" ht="12.5" x14ac:dyDescent="0.25">
      <c r="A563" s="21" t="str">
        <f>HYPERLINK("https://gerandofalcoes.my.salesforce.com/0014X00002VKCtOQAX", "0014X00002VKCtOQAX")</f>
        <v>0014X00002VKCtOQAX</v>
      </c>
      <c r="B563" s="3" t="s">
        <v>17868</v>
      </c>
      <c r="C563" s="3" t="s">
        <v>2538</v>
      </c>
      <c r="D563" s="3" t="s">
        <v>46</v>
      </c>
      <c r="E563" s="3">
        <v>39</v>
      </c>
      <c r="F563" s="3">
        <v>0</v>
      </c>
      <c r="G563" s="3">
        <v>2</v>
      </c>
      <c r="H563" s="3">
        <v>4046</v>
      </c>
      <c r="I563" s="3">
        <v>75</v>
      </c>
      <c r="J563" s="3" t="s">
        <v>17403</v>
      </c>
      <c r="K563" s="3">
        <v>31</v>
      </c>
      <c r="L563" s="3">
        <v>15</v>
      </c>
      <c r="M563" s="3">
        <v>0</v>
      </c>
      <c r="N563" s="3">
        <v>6</v>
      </c>
      <c r="O563" s="3">
        <v>5</v>
      </c>
      <c r="P563" s="3">
        <v>5</v>
      </c>
      <c r="Q563" s="3" t="s">
        <v>6900</v>
      </c>
      <c r="R563" s="6">
        <v>44804</v>
      </c>
    </row>
    <row r="564" spans="1:18" ht="12.5" x14ac:dyDescent="0.25">
      <c r="A564" s="21" t="str">
        <f>HYPERLINK("https://gerandofalcoes.my.salesforce.com/0014X00002VKCqeQAH", "0014X00002VKCqeQAH")</f>
        <v>0014X00002VKCqeQAH</v>
      </c>
      <c r="B564" s="3" t="s">
        <v>17869</v>
      </c>
      <c r="C564" s="3" t="s">
        <v>2538</v>
      </c>
      <c r="D564" s="3" t="s">
        <v>46</v>
      </c>
      <c r="E564" s="3">
        <v>13</v>
      </c>
      <c r="F564" s="3">
        <v>0</v>
      </c>
      <c r="G564" s="3">
        <v>3</v>
      </c>
      <c r="H564" s="3">
        <v>1000</v>
      </c>
      <c r="I564" s="3">
        <v>90</v>
      </c>
      <c r="J564" s="3" t="s">
        <v>17403</v>
      </c>
      <c r="K564" s="3">
        <v>33</v>
      </c>
      <c r="L564" s="3">
        <v>10</v>
      </c>
      <c r="M564" s="3">
        <v>0</v>
      </c>
      <c r="N564" s="3">
        <v>8</v>
      </c>
      <c r="O564" s="3">
        <v>5</v>
      </c>
      <c r="P564" s="3">
        <v>10</v>
      </c>
      <c r="Q564" s="3" t="s">
        <v>5657</v>
      </c>
      <c r="R564" s="6">
        <v>44804</v>
      </c>
    </row>
    <row r="565" spans="1:18" ht="12.5" x14ac:dyDescent="0.25">
      <c r="A565" s="21" t="str">
        <f>HYPERLINK("https://gerandofalcoes.my.salesforce.com/0014X00002VKCtWQAX", "0014X00002VKCtWQAX")</f>
        <v>0014X00002VKCtWQAX</v>
      </c>
      <c r="B565" s="3" t="s">
        <v>7429</v>
      </c>
      <c r="C565" s="3" t="s">
        <v>2538</v>
      </c>
      <c r="D565" s="3" t="s">
        <v>46</v>
      </c>
      <c r="E565" s="3">
        <v>41</v>
      </c>
      <c r="F565" s="3">
        <v>0</v>
      </c>
      <c r="G565" s="3">
        <v>4</v>
      </c>
      <c r="H565" s="3">
        <v>1200</v>
      </c>
      <c r="I565" s="3">
        <v>250</v>
      </c>
      <c r="J565" s="3" t="s">
        <v>17403</v>
      </c>
      <c r="K565" s="3">
        <v>42</v>
      </c>
      <c r="L565" s="3">
        <v>15</v>
      </c>
      <c r="M565" s="3">
        <v>0</v>
      </c>
      <c r="N565" s="3">
        <v>10</v>
      </c>
      <c r="O565" s="3">
        <v>5</v>
      </c>
      <c r="P565" s="3">
        <v>12</v>
      </c>
      <c r="Q565" s="3" t="s">
        <v>7433</v>
      </c>
      <c r="R565" s="6">
        <v>44804</v>
      </c>
    </row>
    <row r="566" spans="1:18" ht="12.5" x14ac:dyDescent="0.25">
      <c r="A566" s="21" t="str">
        <f>HYPERLINK("https://gerandofalcoes.my.salesforce.com/0014X00002VKCqsQAH", "0014X00002VKCqsQAH")</f>
        <v>0014X00002VKCqsQAH</v>
      </c>
      <c r="B566" s="3" t="s">
        <v>6056</v>
      </c>
      <c r="C566" s="3" t="s">
        <v>2538</v>
      </c>
      <c r="D566" s="3" t="s">
        <v>46</v>
      </c>
      <c r="E566" s="3">
        <v>33</v>
      </c>
      <c r="F566" s="3">
        <v>8</v>
      </c>
      <c r="G566" s="3">
        <v>2</v>
      </c>
      <c r="H566" s="3">
        <v>40000</v>
      </c>
      <c r="I566" s="3">
        <v>100</v>
      </c>
      <c r="J566" s="3" t="s">
        <v>17403</v>
      </c>
      <c r="K566" s="3">
        <v>51</v>
      </c>
      <c r="L566" s="3">
        <v>15</v>
      </c>
      <c r="M566" s="3">
        <v>10</v>
      </c>
      <c r="N566" s="3">
        <v>6</v>
      </c>
      <c r="O566" s="3">
        <v>10</v>
      </c>
      <c r="P566" s="3">
        <v>10</v>
      </c>
      <c r="Q566" s="3" t="s">
        <v>6060</v>
      </c>
      <c r="R566" s="6">
        <v>44804</v>
      </c>
    </row>
    <row r="567" spans="1:18" ht="12.5" x14ac:dyDescent="0.25">
      <c r="A567" s="21" t="str">
        <f>HYPERLINK("https://gerandofalcoes.my.salesforce.com/0014X00002VKCqLQAX", "0014X00002VKCqLQAX")</f>
        <v>0014X00002VKCqLQAX</v>
      </c>
      <c r="B567" s="3" t="s">
        <v>17870</v>
      </c>
      <c r="C567" s="3" t="s">
        <v>2538</v>
      </c>
      <c r="D567" s="3" t="s">
        <v>46</v>
      </c>
      <c r="E567" s="3">
        <v>79</v>
      </c>
      <c r="F567" s="3">
        <v>462</v>
      </c>
      <c r="G567" s="3">
        <v>3</v>
      </c>
      <c r="H567" s="3">
        <v>1194973</v>
      </c>
      <c r="I567" s="3">
        <v>347</v>
      </c>
      <c r="J567" s="3" t="s">
        <v>17405</v>
      </c>
      <c r="K567" s="3">
        <v>88</v>
      </c>
      <c r="L567" s="3">
        <v>25</v>
      </c>
      <c r="M567" s="3">
        <v>15</v>
      </c>
      <c r="N567" s="3">
        <v>8</v>
      </c>
      <c r="O567" s="3">
        <v>25</v>
      </c>
      <c r="P567" s="3">
        <v>15</v>
      </c>
      <c r="Q567" s="3" t="s">
        <v>5489</v>
      </c>
      <c r="R567" s="6">
        <v>44804</v>
      </c>
    </row>
    <row r="568" spans="1:18" ht="12.5" x14ac:dyDescent="0.25">
      <c r="A568" s="21" t="str">
        <f>HYPERLINK("https://gerandofalcoes.my.salesforce.com/0014X00002VKCuDQAX", "0014X00002VKCuDQAX")</f>
        <v>0014X00002VKCuDQAX</v>
      </c>
      <c r="B568" s="3" t="s">
        <v>17871</v>
      </c>
      <c r="C568" s="3" t="s">
        <v>2538</v>
      </c>
      <c r="D568" s="3" t="s">
        <v>46</v>
      </c>
      <c r="E568" s="3">
        <v>22</v>
      </c>
      <c r="F568" s="3">
        <v>0</v>
      </c>
      <c r="G568" s="3">
        <v>2</v>
      </c>
      <c r="H568" s="3">
        <v>0</v>
      </c>
      <c r="I568" s="3">
        <v>0</v>
      </c>
      <c r="J568" s="3" t="s">
        <v>17403</v>
      </c>
      <c r="K568" s="3">
        <v>16</v>
      </c>
      <c r="L568" s="3">
        <v>10</v>
      </c>
      <c r="M568" s="3">
        <v>0</v>
      </c>
      <c r="N568" s="3">
        <v>6</v>
      </c>
      <c r="O568" s="3">
        <v>0</v>
      </c>
      <c r="P568" s="3">
        <v>0</v>
      </c>
      <c r="Q568" s="3" t="s">
        <v>6779</v>
      </c>
      <c r="R568" s="6">
        <v>44804</v>
      </c>
    </row>
    <row r="569" spans="1:18" ht="12.5" x14ac:dyDescent="0.25">
      <c r="A569" s="21" t="str">
        <f>HYPERLINK("https://gerandofalcoes.my.salesforce.com/0014X00002VKCrpQAH", "0014X00002VKCrpQAH")</f>
        <v>0014X00002VKCrpQAH</v>
      </c>
      <c r="B569" s="3" t="s">
        <v>17872</v>
      </c>
      <c r="C569" s="3" t="s">
        <v>2538</v>
      </c>
      <c r="D569" s="3" t="s">
        <v>46</v>
      </c>
      <c r="E569" s="3">
        <v>9</v>
      </c>
      <c r="F569" s="3">
        <v>0</v>
      </c>
      <c r="G569" s="3">
        <v>4</v>
      </c>
      <c r="H569" s="3">
        <v>2700</v>
      </c>
      <c r="I569" s="3">
        <v>80</v>
      </c>
      <c r="J569" s="3" t="s">
        <v>17403</v>
      </c>
      <c r="K569" s="3">
        <v>35</v>
      </c>
      <c r="L569" s="3">
        <v>10</v>
      </c>
      <c r="M569" s="3">
        <v>0</v>
      </c>
      <c r="N569" s="3">
        <v>10</v>
      </c>
      <c r="O569" s="3">
        <v>5</v>
      </c>
      <c r="P569" s="3">
        <v>10</v>
      </c>
      <c r="Q569" s="3" t="s">
        <v>6192</v>
      </c>
      <c r="R569" s="6">
        <v>44804</v>
      </c>
    </row>
    <row r="570" spans="1:18" ht="12.5" x14ac:dyDescent="0.25">
      <c r="A570" s="21" t="str">
        <f>HYPERLINK("https://gerandofalcoes.my.salesforce.com/0014X00002VKCteQAH", "0014X00002VKCteQAH")</f>
        <v>0014X00002VKCteQAH</v>
      </c>
      <c r="B570" s="3" t="s">
        <v>17873</v>
      </c>
      <c r="C570" s="3" t="s">
        <v>2538</v>
      </c>
      <c r="D570" s="3" t="s">
        <v>46</v>
      </c>
      <c r="E570" s="3">
        <v>26</v>
      </c>
      <c r="F570" s="3">
        <v>0</v>
      </c>
      <c r="G570" s="3">
        <v>4</v>
      </c>
      <c r="H570" s="3">
        <v>120000</v>
      </c>
      <c r="I570" s="3">
        <v>80</v>
      </c>
      <c r="J570" s="3" t="s">
        <v>17403</v>
      </c>
      <c r="K570" s="3">
        <v>50</v>
      </c>
      <c r="L570" s="3">
        <v>15</v>
      </c>
      <c r="M570" s="3">
        <v>0</v>
      </c>
      <c r="N570" s="3">
        <v>10</v>
      </c>
      <c r="O570" s="3">
        <v>15</v>
      </c>
      <c r="P570" s="3">
        <v>10</v>
      </c>
      <c r="Q570" s="3" t="s">
        <v>7536</v>
      </c>
      <c r="R570" s="6">
        <v>44804</v>
      </c>
    </row>
    <row r="571" spans="1:18" ht="12.5" x14ac:dyDescent="0.25">
      <c r="A571" s="21" t="str">
        <f>HYPERLINK("https://gerandofalcoes.my.salesforce.com/0014X00002VKCunQAH", "0014X00002VKCunQAH")</f>
        <v>0014X00002VKCunQAH</v>
      </c>
      <c r="B571" s="3" t="s">
        <v>17874</v>
      </c>
      <c r="C571" s="3" t="s">
        <v>2538</v>
      </c>
      <c r="D571" s="3" t="s">
        <v>46</v>
      </c>
      <c r="E571" s="3">
        <v>37</v>
      </c>
      <c r="F571" s="3">
        <v>4</v>
      </c>
      <c r="G571" s="3">
        <v>6</v>
      </c>
      <c r="H571" s="3">
        <v>240</v>
      </c>
      <c r="I571" s="3">
        <v>30</v>
      </c>
      <c r="J571" s="3" t="s">
        <v>17403</v>
      </c>
      <c r="K571" s="3">
        <v>40</v>
      </c>
      <c r="L571" s="3">
        <v>15</v>
      </c>
      <c r="M571" s="3">
        <v>5</v>
      </c>
      <c r="N571" s="3">
        <v>10</v>
      </c>
      <c r="O571" s="3">
        <v>5</v>
      </c>
      <c r="P571" s="3">
        <v>5</v>
      </c>
      <c r="Q571" s="3" t="s">
        <v>7721</v>
      </c>
      <c r="R571" s="6">
        <v>44804</v>
      </c>
    </row>
    <row r="572" spans="1:18" ht="12.5" x14ac:dyDescent="0.25">
      <c r="A572" s="21" t="str">
        <f>HYPERLINK("https://gerandofalcoes.my.salesforce.com/0014X00002VKCpOQAX", "0014X00002VKCpOQAX")</f>
        <v>0014X00002VKCpOQAX</v>
      </c>
      <c r="B572" s="3" t="s">
        <v>17875</v>
      </c>
      <c r="C572" s="3" t="s">
        <v>2538</v>
      </c>
      <c r="D572" s="3" t="s">
        <v>46</v>
      </c>
      <c r="E572" s="3">
        <v>8</v>
      </c>
      <c r="F572" s="3">
        <v>4</v>
      </c>
      <c r="G572" s="3">
        <v>10</v>
      </c>
      <c r="H572" s="3">
        <v>0</v>
      </c>
      <c r="I572" s="3">
        <v>100</v>
      </c>
      <c r="J572" s="3" t="s">
        <v>17403</v>
      </c>
      <c r="K572" s="3">
        <v>35</v>
      </c>
      <c r="L572" s="3">
        <v>10</v>
      </c>
      <c r="M572" s="3">
        <v>5</v>
      </c>
      <c r="N572" s="3">
        <v>10</v>
      </c>
      <c r="O572" s="3">
        <v>0</v>
      </c>
      <c r="P572" s="3">
        <v>10</v>
      </c>
      <c r="Q572" s="3"/>
      <c r="R572" s="6">
        <v>44804</v>
      </c>
    </row>
    <row r="573" spans="1:18" ht="12.5" x14ac:dyDescent="0.25">
      <c r="A573" s="21" t="str">
        <f>HYPERLINK("https://gerandofalcoes.my.salesforce.com/0014X00002VKCv1QAH", "0014X00002VKCv1QAH")</f>
        <v>0014X00002VKCv1QAH</v>
      </c>
      <c r="B573" s="3" t="s">
        <v>8266</v>
      </c>
      <c r="C573" s="3" t="s">
        <v>2538</v>
      </c>
      <c r="D573" s="3" t="s">
        <v>46</v>
      </c>
      <c r="E573" s="3">
        <v>29</v>
      </c>
      <c r="F573" s="3">
        <v>0</v>
      </c>
      <c r="G573" s="3">
        <v>2</v>
      </c>
      <c r="H573" s="3">
        <v>10000</v>
      </c>
      <c r="I573" s="3">
        <v>20</v>
      </c>
      <c r="J573" s="3" t="s">
        <v>17403</v>
      </c>
      <c r="K573" s="3">
        <v>31</v>
      </c>
      <c r="L573" s="3">
        <v>15</v>
      </c>
      <c r="M573" s="3">
        <v>0</v>
      </c>
      <c r="N573" s="3">
        <v>6</v>
      </c>
      <c r="O573" s="3">
        <v>5</v>
      </c>
      <c r="P573" s="3">
        <v>5</v>
      </c>
      <c r="Q573" s="3" t="s">
        <v>8269</v>
      </c>
      <c r="R573" s="6">
        <v>44804</v>
      </c>
    </row>
    <row r="574" spans="1:18" ht="12.5" x14ac:dyDescent="0.25">
      <c r="A574" s="21" t="str">
        <f>HYPERLINK("https://gerandofalcoes.my.salesforce.com/0014X00002VKCrtQAH", "0014X00002VKCrtQAH")</f>
        <v>0014X00002VKCrtQAH</v>
      </c>
      <c r="B574" s="3" t="s">
        <v>17876</v>
      </c>
      <c r="C574" s="3" t="s">
        <v>2538</v>
      </c>
      <c r="D574" s="3" t="s">
        <v>46</v>
      </c>
      <c r="E574" s="3">
        <v>34</v>
      </c>
      <c r="F574" s="3">
        <v>0</v>
      </c>
      <c r="G574" s="3">
        <v>6</v>
      </c>
      <c r="H574" s="3">
        <v>37500</v>
      </c>
      <c r="I574" s="3">
        <v>50</v>
      </c>
      <c r="J574" s="3" t="s">
        <v>17403</v>
      </c>
      <c r="K574" s="3">
        <v>40</v>
      </c>
      <c r="L574" s="3">
        <v>15</v>
      </c>
      <c r="M574" s="3">
        <v>0</v>
      </c>
      <c r="N574" s="3">
        <v>10</v>
      </c>
      <c r="O574" s="3">
        <v>10</v>
      </c>
      <c r="P574" s="3">
        <v>5</v>
      </c>
      <c r="Q574" s="3" t="s">
        <v>6219</v>
      </c>
      <c r="R574" s="6">
        <v>44804</v>
      </c>
    </row>
    <row r="575" spans="1:18" ht="12.5" x14ac:dyDescent="0.25">
      <c r="A575" s="21" t="str">
        <f>HYPERLINK("https://gerandofalcoes.my.salesforce.com/0014X00002VKCrxQAH", "0014X00002VKCrxQAH")</f>
        <v>0014X00002VKCrxQAH</v>
      </c>
      <c r="B575" s="3" t="s">
        <v>6263</v>
      </c>
      <c r="C575" s="3" t="s">
        <v>2538</v>
      </c>
      <c r="D575" s="3" t="s">
        <v>46</v>
      </c>
      <c r="E575" s="3">
        <v>18</v>
      </c>
      <c r="F575" s="3">
        <v>0</v>
      </c>
      <c r="G575" s="3">
        <v>3</v>
      </c>
      <c r="H575" s="3">
        <v>2000</v>
      </c>
      <c r="I575" s="3">
        <v>110</v>
      </c>
      <c r="J575" s="3" t="s">
        <v>17403</v>
      </c>
      <c r="K575" s="3">
        <v>33</v>
      </c>
      <c r="L575" s="3">
        <v>10</v>
      </c>
      <c r="M575" s="3">
        <v>0</v>
      </c>
      <c r="N575" s="3">
        <v>8</v>
      </c>
      <c r="O575" s="3">
        <v>5</v>
      </c>
      <c r="P575" s="3">
        <v>10</v>
      </c>
      <c r="Q575" s="3" t="s">
        <v>6265</v>
      </c>
      <c r="R575" s="6">
        <v>44804</v>
      </c>
    </row>
    <row r="576" spans="1:18" ht="12.5" x14ac:dyDescent="0.25">
      <c r="A576" s="21" t="str">
        <f>HYPERLINK("https://gerandofalcoes.my.salesforce.com/0014X00002VKCv3QAH", "0014X00002VKCv3QAH")</f>
        <v>0014X00002VKCv3QAH</v>
      </c>
      <c r="B576" s="3" t="s">
        <v>8295</v>
      </c>
      <c r="C576" s="3" t="s">
        <v>2538</v>
      </c>
      <c r="D576" s="3" t="s">
        <v>46</v>
      </c>
      <c r="E576" s="3">
        <v>34</v>
      </c>
      <c r="F576" s="3">
        <v>0</v>
      </c>
      <c r="G576" s="3">
        <v>3</v>
      </c>
      <c r="H576" s="3">
        <v>12000</v>
      </c>
      <c r="I576" s="3">
        <v>20</v>
      </c>
      <c r="J576" s="3" t="s">
        <v>17403</v>
      </c>
      <c r="K576" s="3">
        <v>33</v>
      </c>
      <c r="L576" s="3">
        <v>15</v>
      </c>
      <c r="M576" s="3">
        <v>0</v>
      </c>
      <c r="N576" s="3">
        <v>8</v>
      </c>
      <c r="O576" s="3">
        <v>5</v>
      </c>
      <c r="P576" s="3">
        <v>5</v>
      </c>
      <c r="Q576" s="3" t="s">
        <v>8298</v>
      </c>
      <c r="R576" s="6">
        <v>44804</v>
      </c>
    </row>
  </sheetData>
  <autoFilter ref="A1:R576" xr:uid="{00000000-0009-0000-0000-000006000000}"/>
  <customSheetViews>
    <customSheetView guid="{C8FD7328-6386-4FFC-9579-294D625294BF}" filter="1" showAutoFilter="1">
      <pageMargins left="0.511811024" right="0.511811024" top="0.78740157499999996" bottom="0.78740157499999996" header="0.31496062000000002" footer="0.31496062000000002"/>
      <autoFilter ref="A2:AG575" xr:uid="{B9FF9E23-4C0F-43BD-9706-4A97E73AE749}">
        <filterColumn colId="1">
          <filters>
            <filter val="100% MORRO"/>
            <filter val="7 GERAÇÕES"/>
            <filter val="ABC MUNDO NOVO"/>
            <filter val="ACIESP"/>
            <filter val="ACTUM BRAZIL"/>
            <filter val="ÁGAPE"/>
            <filter val="AGECOM- PROJETO GERAÇÃO DA CHICO"/>
            <filter val="AGENTES DE TRANSFORMAÇÃO ASSOCIAÇÃO CIVIL"/>
            <filter val="ALMAS AZUIS"/>
            <filter val="AMAR"/>
            <filter val="AMARGEN"/>
            <filter val="AME MAIS"/>
            <filter val="AMIGOS DA SOLIDARIEDADE RJ"/>
            <filter val="AMIGUINHOS DE JESUS CURIO"/>
            <filter val="AMPARANDO"/>
            <filter val="ANA PAULA OLIVEIRA SOUZA"/>
            <filter val="ANGU DAS ARTES"/>
            <filter val="ANJOS DE ASAS NO MUNDO AZUL"/>
            <filter val="ANTÔNIO COELHO DE CASTRO"/>
            <filter val="APAT - ASSOCIAÇÃO DE PAIS E AMIGOS DOS TENISTAS DE OURO BRANCO"/>
            <filter val="ARC -ASSOCIAÇÃO RECREATIVA E CULTURAL DO JARDIM TREZE DE MAIO"/>
            <filter val="ARCANJO GABRIEL"/>
            <filter val="ÁRVORE DA VIDA"/>
            <filter val="ASCENDENDO MENTES"/>
            <filter val="ASOCIAÇÃO BENEFICIENTE ARCA DA VITORIA"/>
            <filter val="ASSOC. C. RAIO DE CRISTAL"/>
            <filter val="ASSOCIAÇÃO  DE MULHERES NEGRAS HERDEIRAS DE CANDACES"/>
            <filter val="ASSOCIAÇÃO AMIGOS DE GEGÊ  FOS MORADORES DA GAMBOA DE BAIXO"/>
            <filter val="ASSOCIAÇÃO AMOR E VIDA"/>
            <filter val="ASSOCIACAO APRENDER CULTURA"/>
            <filter val="ASSOCIAÇÃO ARTE DE AMAR"/>
            <filter val="ASSOCIAÇÃO BENEFICEENTE ANJOS DE OURO"/>
            <filter val="ASSOCIAÇÃO BENEFICENTE AÇÃO E AMOR"/>
            <filter val="ASSOCIAÇÃO BENEFICENTE AMIGAS SOLIDÁRIAS"/>
            <filter val="ASSOCIAÇÃO BENEFICENTE AMIGOS PELA CARIDADE"/>
            <filter val="ASSOCIAÇÃO BENEFICENTE DA CRIANÇA E DO ADOLESCENTE"/>
            <filter val="ASSOCIAÇÃO BENEFICENTE EDUCACIONAL CORUJINHAS"/>
            <filter val="ASSOCIAÇÃO BENEFICENTE EDUCACIONAL TABERNACULO"/>
            <filter val="ASSOCIAÇÃO BENEFICENTE HEBROM (NÚCLEO TEFÉ AM)"/>
            <filter val="ASSOCIAÇÃO BENEFICENTE RAUL DAS TINTAS"/>
            <filter val="ASSOCIAÇÃO BRASILEIRA MISSÃO E ESPERANÇA (ASBRAME)"/>
            <filter val="ASSOCIAÇÃO CASA DE GENTIL CULTURAS E CONVÍVIOS"/>
            <filter val="ASSOCIAÇÃO CASA UP"/>
            <filter val="ASSOCIACAO CENTRO DE APOIO ACOLHER"/>
            <filter val="ASSOCIAÇÃO CIDADANIA* DESPORTO* LAZER E CULTURA- CELC"/>
            <filter val="ASSOCIAÇÃO CIVIL PROJETO JUVENTUDE ESPERANÇA DO AMANHÃ"/>
            <filter val="ASSOCIAÇÃO COMUNIDADE SOLIDÁRIA DO JARDIM SÃO BERNARDO"/>
            <filter val="ASSOCIAÇÃO COMUNITÁRIA DE AGENTES AMBIENTAIS"/>
            <filter val="ASSOCIAÇÃO COMUNITÁRIA DE CONSTRUÇÃO NOVO AMANHECER"/>
            <filter val="ASSOCIAÇÃO COMUNITÁRIA MARIA JOÃO DE DEUS"/>
            <filter val="ASSOCIAÇÃO COMUNITÁRIA NOSSA SENHORA DO CARMO"/>
            <filter val="ASSOCIAÇÃO COMUNITARIA TRANSFORMAR"/>
            <filter val="ASSOCIAÇÃO COMUNITÁRIA UNIÃO POTENGI"/>
            <filter val="ASSOCIAÇÃO CRIANÇA FELIZ DE SOROCABA"/>
            <filter val="ASSOCIACAO CULTURAL BELEZA INTERIOR"/>
            <filter val="ASSOCIAÇÃO CULTURAL CASA DO BECO"/>
            <filter val="ASSOCIAÇÃO CULTURAL DESPORTIVA SAPUCAIENSE DE CAPOEIRA"/>
            <filter val="ASSOCIAÇÃO CULTURAL E EDUCACIONAL VIOLETA ELIZ"/>
            <filter val="ASSOCIAÇÃO CULTURAL E SOCIAL VILA NOVA"/>
            <filter val="ASSOCIAÇÃO CULTURAL ESPORTIVA SOCIAL AMIGOS - ACESA"/>
            <filter val="ASSOCIACAO CULTURAL, DESPORTIVA E DE ACAO SOCIAL REDE PROTAGONISTA"/>
            <filter val="ASSOCIAÇÃO DE APOIO A MÃES DE ESPECIAIS-  AME"/>
            <filter val="ASSOCIAÇÃO DE APOIO ÀS FAMÍLIAS VULNERÁVEIS"/>
            <filter val="ASSOCIAÇAO DE ARTESANATO E APICULTURA DOS POVOADOS TIGRE E JUNÇA"/>
            <filter val="ASSOCIAÇÃO DE CAPOEIRA MULEKI É TU"/>
            <filter val="ASSOCIAÇÃO DE CULTURA E ARTES CASA DE BAMBAS"/>
            <filter val="ASSOCIAÇÃO DE EDUCAÇÃO E ARTE"/>
            <filter val="ASSOCIAÇÃO DE LAZER ESPORTE EDUCAÇÃO E CULTURA - LEEC"/>
            <filter val="ASSOCIAÇÃO DE MORADORES DA RUA TRAVASSOS"/>
            <filter val="ASSOCIAÇÃO DE MORADORES DE MONTE CRISTO"/>
            <filter val="ASSOCIAÇÃO DE MORADORES DO BAIRRO ALVORADA"/>
            <filter val="ASSOCIAÇÃO DE MULHERES DE ATITUDE E COMPROMISSO SOCIAL"/>
            <filter val="ASSOCIAÇAO DE MULHERES EMPODERADAS DO MONTE CRISTO"/>
            <filter val="ASSOCIAÇÃO DE MULHERES NEGRAS DO ACRE E SEUS APOIADORES"/>
            <filter val="ASSOCIAÇÃO DE TEATRO ARTES E YOGA"/>
            <filter val="ASSOCIAÇÃO DEFICIÊNCIA SUPERANDO LIMITES - ADESUL"/>
            <filter val="ASSOCIAÇÃO DESPERTAR SABEDORIA NO SOL NASCETE"/>
            <filter val="ASSOCIAÇÃO DESPORTIVA E SOCIO CULTURAL CELEIRO DE BAMBAS"/>
            <filter val="ASSOCIACAO DIAMANTES NA COZINHA"/>
            <filter val="ASSOCIACAO DO APICULTORES E PRODUTORES DE MEL DO POTENGI"/>
            <filter val="ASSOCIAÇÃO DO MORRO PARA O RINGUE"/>
            <filter val="ASSOCIAÇÃO DOS CUIDADORES DE PESSOAS EM SITUAÇÃO DE VULNERABILIDADE NA BAHIA"/>
            <filter val="ASSOCIAÇÃO DOS MORADORES DA COMUNIDADE DO BAIRRO ZITA CUNHA"/>
            <filter val="ASSOCIAÇÃO EDUCACIONAL ESPORTIVA E SOCIAL VOZ ATIVA"/>
            <filter val="ASSOCIAÇÃO ELAS PODEM RN"/>
            <filter val="ASSOCIACAO ELISABETH BRUYERE"/>
            <filter val="ASSOCIAÇÃO ESPERANÇA E DESTINO"/>
            <filter val="ASSOCIAÇÃO ESPORTIVA CULTURAL E EDUCACIONAL  IGOR CHATUBINHA"/>
            <filter val="ASSOCIACAO ESPORTIVA TRANSFORMACAO"/>
            <filter val="ASSOCIAÇÃO ESTRELAS DO AMANHÃ"/>
            <filter val="ASSOCIAÇÃO ETHOS SUSTENTÁVEL"/>
            <filter val="ASSOCIAÇÃO FUTURO CAMPEÃO"/>
            <filter val="ASSOCIACAO GIBI ESPORTE E EDUCACAO"/>
            <filter val="ASSOCIAÇÃO GRUPO DE ASSISTÊNCIA INTEGRAL À INFÂNCIA E ADOLESCÊNCIA"/>
            <filter val="ASSOCIAÇAO INFANCIA E FAMILIA"/>
            <filter val="ASSOCIAÇÃO INTEGRANDO E CONSTRUINDO O CONHECIMENTO-AICC"/>
            <filter val="ASSOCIAÇÃO INTERNACIONAL DE CAPOEIRA OS BAMBAS DO SOL NASCENTE DE SALVADOR"/>
            <filter val="ASSOCIAÇÃO ITAMAR PARA PROMOÇÃO DE ESPORTES E CULTURA NA FAVELA"/>
            <filter val="ASSOCIACAO IYD BRASIL"/>
            <filter val="ASSOCIAÇÃO JOGANDO PELO REINO"/>
            <filter val="ASSOCIAÇÃO LACRE DO BEM"/>
            <filter val="ASSOCIAÇÃO LER E SABER NA COMUNIDADE"/>
            <filter val="ASSOCIAÇÃO LIVRE - CENTRO DE FORMAÇÃO E TRANSFORMAÇÃO SOCIAL (TRANSFORMAR)"/>
            <filter val="ASSOCIAÇÃO MAIS HUMANOS"/>
            <filter val="ASSOCIACAO MANA - ACOES QUE TRANSFORMAM VIDAS"/>
            <filter val="ASSOCIAÇÃO MÃO NO ARADO"/>
            <filter val="ASSOCIAÇÃO MISSÃO EM AÇÃO SOCIAL - AMEAS"/>
            <filter val="ASSOCIAÇÃO NOSSA CASA MÃE ÁFRICA ESTUDOS E COMUNICAÇÃO"/>
            <filter val="ASSOCIAÇÃO NÚCLEO DE EDUCAÇÃO COMUNITÁRIA DO COROADINHO"/>
            <filter val="ASSOCIACAO O APRISCO"/>
            <filter val="ASSOCIACAO OFICINA DO ESPORTE DE PIRAUBA"/>
            <filter val="ASSOCIAÇÃO ONG DO RISO"/>
            <filter val="ASSOCIAÇÃO PADRE PAULO TONUCCI"/>
            <filter val="ASSOCIAÇÃO PARCEIROS DA ALEGRIA"/>
            <filter val="ASSOCIAÇÃO PRO CULTURA- MONTE SANTO DE MINAS"/>
            <filter val="ASSOCIAÇÃO PROJETO CASA ABERTA"/>
            <filter val="ASSOCIAÇÃO PROJETO ESPERANÇA DO BRASIL"/>
            <filter val="ASSOCIAÇAO PROJETO GADITAS"/>
            <filter val="ASSOCIAÇÃO PROJETO MALTRAPILHO"/>
            <filter val="ASSOCIAÇÃO PROJETO PONTO E VÍRGULA"/>
            <filter val="ASSOCIAÇÃO PROJETO PRÓ BEM"/>
            <filter val="ASSOCIAÇÃO PROJETO SURFAR"/>
            <filter val="ASSOCIAÇÃO PROTOTIPANDO A QUEBRADA"/>
            <filter val="ASSOCIAÇÃO PROVER"/>
            <filter val="ASSOCIAÇÃO RAÍZES DE GERICINÓ"/>
            <filter val="ASSOCIAÇÃO REMEDIAR"/>
            <filter val="ASSOCIAÇÃO SANTO DIAS"/>
            <filter val="ASSOCIAÇÃO SÃO VICENTE DE PAULO DO JD VITÓRIA"/>
            <filter val="ASSOCIAÇÃO SEMEANDO AMOR"/>
            <filter val="ASSOCIAÇÃO SERVOS"/>
            <filter val="ASSOCIAÇÃO SHOTO KARATÊ DO KAI"/>
            <filter val="ASSOCIAÇÃO SOCIAL BLACK'S URBANO"/>
            <filter val="ASSOCIAÇÃO SOCIAL PAULO VI"/>
            <filter val="ASSOCIAÇÃO SOCIAL SAGRADA FAMÍLIA"/>
            <filter val="ASSOCIAÇÃO SOCIEDADE BENEFICENTE O BOM SAMARITANO DE CACHOEIRINHA"/>
            <filter val="ASSOCIAÇÃO SOCIOCULTURAL DO BOM JARDIM"/>
            <filter val="ASSOCIAÇÃO TONKIRI VOA"/>
            <filter val="ASSOCIAÇÃO VIDANÇA COMPANHIA DE DANÇAS DO CEARÁ"/>
            <filter val="ASSOCIAÇÃO VIVENDO A ARTE"/>
            <filter val="ASSOCIAÇÃO ZEDAKAH DE JUSTIÇA SOCIAL"/>
            <filter val="ASSOCIAÇÃO ZEIZA DOJO"/>
            <filter val="ASSOIAÇÃO MÃES QUE INFORMAM"/>
            <filter val="ATITUDE SP"/>
            <filter val="BALÉ DA RALE"/>
            <filter val="BATISTA SIMON PR SIMON HORBACZYK"/>
            <filter val="BATUCANDO A ESPERANÇA"/>
            <filter val="BATUCARTE"/>
            <filter val="BERIMBAU HOSTEL E COZINHA ARTESANAL"/>
            <filter val="BIBLIOTECA COMUNITÁRIA ESPAÇO LITERÁRIO LIVRO LIVRE"/>
            <filter val="BOA SAFRA TEAM"/>
            <filter val="BRASIL EM AÇÃO"/>
            <filter val="BRASILEIRO DE EXECUTIVOS DE FINANÇAS DO PARANÁ"/>
            <filter val="BRINCAR E APRENDER"/>
            <filter val="BUTIJA SOCIAL ESPORTE E CULTURA"/>
            <filter val="CAÇADORES"/>
            <filter val="CAISCA - CENTRO DE ARTES E INTEGRAÇÃO SOCIAL PARA CRIANÇAS E ADOLESCENTE"/>
            <filter val="CAMA-CENTRO DE ARTE E MEIO AMBIENTE"/>
            <filter val="CANTINHO DA BELINHA"/>
            <filter val="CARANGONDÉ CIDADANIA"/>
            <filter val="CARFER TREINAMENTOS E DESENVOLVIMENTO HUMANO"/>
            <filter val="CASA DA COMUNIDADE DO BERARDO - CCB SOCIAL"/>
            <filter val="CASA DA REVOLUÇÃO/PROJETO ESMERALDA"/>
            <filter val="CASA DAS JUVENTUDES / ASSOCIAÇÃO SANTO AGOSTINHO"/>
            <filter val="CASA DE APOIO À CRIANÇA COM CÂNCER VIDA DIVINA"/>
            <filter val="CASA DE BARRO - CULTURA ARTE EDUCAÇÃO"/>
            <filter val="CASA DO CONTO"/>
            <filter val="CASA SÃO FRANCISCO"/>
            <filter val="CASULO"/>
            <filter val="CAUSADORES DA ALEGRIA"/>
            <filter val="CCM - CENTRO CULTURAL MAMULENGO"/>
            <filter val="CECRE CENTRO EDUCACIONAL COMUNITÁRIO REDENÇÃO"/>
            <filter val="CENTRAL DA SOLIDARIEDADE"/>
            <filter val="CENTRAL DE APOIO DOS AMIGOS SOLIDARIOS"/>
            <filter val="CENTRO CIDADANIA AÇÃO E EDUCAÇÃO SOCIOAMBIENTAL"/>
            <filter val="CENTRO COMUNITÁRIO DO ROSARINHO"/>
            <filter val="CENTRO COMUNITÁRIO MANOEL VITORINO"/>
            <filter val="CENTRO COMUNITÁRIO MÁRIO ANDRADE"/>
            <filter val="CENTRO CULTURAL DONA ANTÔNIA"/>
            <filter val="CENTRO CULTURAL RITA DE CASSIA"/>
            <filter val="CENTRO DE APOIO PEDAGÓGICO EDUCAÇÃO"/>
            <filter val="CENTRO DE CIDADANIA VIDA NOVA BELFORD ROXO PIAM"/>
            <filter val="CENTRO DE DESENVOLVIMENTO COMUNITÁRIO VILA LEONINA"/>
            <filter val="CENTRO DE EDUCAÇÃO INTEGRADA CRAQUES DA VIDA"/>
            <filter val="CENTRO DE INTEGRAÇÃO SOCIAL E CULTURAL  - CISC &quot;UMA CHANCE&quot;"/>
            <filter val="CENTRO DE RECREAÇÃO INFANTIL AMAR MAIS MUITO MAIS"/>
            <filter val="CENTRO DE RECUPERAÇÃO E EDUCAÇÃO NUTRICIONAL"/>
            <filter val="CENTRO DOS JOVENS UNIDOS NA MILITANCIA COMUNITARIA DE PAULISTA"/>
            <filter val="CENTRO ESCOLA MANGUE"/>
            <filter val="CENTRO SOCIAL COMUNITÁRIO FAVELA EM DESENVOLVIMENTO"/>
            <filter val="CENTRO SOCIAL DÍNAMUS"/>
            <filter val="CHAMA VIVA MISSÕES URBANAS"/>
            <filter val="CHEF ANGELO MAGNO"/>
            <filter val="CHEGANÇA ESCOLA"/>
            <filter val="CIDADELA CENTRO CULTURAL E AMBIENTAL"/>
            <filter val="CINECLUBE TIA NILDA"/>
            <filter val="CLUBE DE AJUDA"/>
            <filter val="CLUBE DO BEM"/>
            <filter val="COLAÍ MOVIMENTO DE CULTURA"/>
            <filter val="COLETIVO ANDANÇAS DF"/>
            <filter val="COLETIVO ARAUTOS DA POESIA"/>
            <filter val="COLETIVO AUTÔNOMO MORRO DA CRUZ"/>
            <filter val="COLETIVO AYOKÁ"/>
            <filter val="COLETIVO CARANGUEJO TABAIARES RESISTE"/>
            <filter val="COLETIVO CULTURAL E SOCIAL SOL NASCENTE"/>
            <filter val="COLETIVO MULHERES DO BRASIL EM AÇÃO CMBA"/>
            <filter val="COLETIVO MULHERES NEGRAS DA PERIFERIA"/>
            <filter val="COLETIVO OLHANDO PRA FRENTE"/>
            <filter val="COLETIVO VIDA NOVA"/>
            <filter val="COLMEIA MARICA"/>
            <filter val="COMISSÃO SOLIDÁRIA VILA DA BARCA"/>
            <filter val="COMPLEXO ENCANTO GRUPO DE APOIO SOCIAL - CEGAS"/>
            <filter val="COMUNIDADE PORTA DA ESPERANÇA DO BAIRRO PADRE ANDRADE"/>
            <filter val="COMUNIDADE PRO MORADIA"/>
            <filter val="CONERAGIR"/>
            <filter val="CONFORME"/>
            <filter val="CONJER - CONSELHO COMUNITÁRIO DO ALTO JERUSALÉM"/>
            <filter val="CONQUIST"/>
            <filter val="CONSELHO COMUNITÁRIO DE AÇÕES SOCIAIS DO CONJUNTO VILA VELHA"/>
            <filter val="CONSELHO DE APOIO AS ASSOCIAÇOES DE UBERABA"/>
            <filter val="CORES DO MARÁ"/>
            <filter val="CORRENTE DO BEMFSA"/>
            <filter val="CPL PARÁ DE MINAS"/>
            <filter val="CRIANÇA MAIS FELIZ RS"/>
            <filter val="CRIEATIVIDADE GESTÃO ESPORTIVA EMPRESARIAL LTDA"/>
            <filter val="CUIDAR"/>
            <filter val="CULTURAL ANÍBAL MACHADO"/>
            <filter val="DAH ARAUJO"/>
            <filter val="DAKOLE"/>
            <filter val="DAS ÁGUIAS"/>
            <filter val="DE ARTE E EDUCAÇÃO DA BAHIA"/>
            <filter val="DE CULTURA E LAZER EBENÉZER"/>
            <filter val="DE DESENVOLVIMENTO ARTÍSTICO E CULTURAL DO CEARÁ"/>
            <filter val="DE DESENVOLVIMENTO E PROTEÇÃO SOCIAL"/>
            <filter val="DE DESENVOLVIMENTO ESPORTIVO* SOCIAL E CULTURAL IMPACTANDO GERAÇÕES"/>
            <filter val="DE EDUCACAO CULTURA E MINISTERIO EDUCARE"/>
            <filter val="DE ESTUDOS E PRESERVAÇÃO DAS CULTURAS INDÊ­GENAS BRASILEIRAS"/>
            <filter val="DEFICIENTE EFICIENTE"/>
            <filter val="DELÍ­CIAS CASEIRAS"/>
            <filter val="DESENVOLVIMENTO ESPERANÇA"/>
            <filter val="DESPERTANDO AMOR HOJE"/>
            <filter val="DIA DO AMOR"/>
            <filter val="DICA FERREIRA"/>
            <filter val="DOA CG"/>
            <filter val="DOA??AÇÃO"/>
            <filter val="DONA MARIA"/>
            <filter val="É POSSÍVEL SONHAR"/>
            <filter val="ECLESIA MOVEMENT"/>
            <filter val="EDUCA MAIS ESPORTE"/>
            <filter val="EDUCAÇÃO PARA A LIBERDADE"/>
            <filter val="EDUCAR GOLANDIM"/>
            <filter val="EGBE DÚDÚ"/>
            <filter val="EM CENA ARTE E CIDADANIA"/>
            <filter val="EMANUELA TEREZA BETANCOURT ORTIZ FERREIRA"/>
            <filter val="EMARCA DE PESQUISA E EDUCACAO PROFESSIONAL"/>
            <filter val="EMPÓRIO GERMINE"/>
            <filter val="EMPREENDE MENINA"/>
            <filter val="EMPREGA+"/>
            <filter val="ENCANTOS  SÓCIO CULTURAL E BENEFICENTE"/>
            <filter val="ENSINAR XADREZ PARA AS CRIANÇAS QUE NECESSITAM UM FUTURO MELHOR"/>
            <filter val="ENTRE ASPAS DE AÇÃO COMUNITARIA"/>
            <filter val="ENTREGUE SORRISOS"/>
            <filter val="ESCOLA PÚBLICA PRESENTE"/>
            <filter val="ESCOLINHA DE FUTEBOL CRAQUE NA BOLA E CRAQUE NA ESCOLA"/>
            <filter val="ESPAÇO CULTURAL NOVA BONSUCESSO"/>
            <filter val="ESPAÇO DE ACOLHIMENTO DA CRIANÇA E DO ADOLESCENTE - EACA"/>
            <filter val="ESPAÇO HUMANA.MENTE PSICOLOGIA SOCIAL E COMUNITÁRIA NA FAVELA"/>
            <filter val="ESPAÇO SOCIAL E CULTURAL É TUDO NOSSO"/>
            <filter val="ESPERANÇA"/>
            <filter val="EXTRAORDINÁRIOS"/>
            <filter val="F.S.D."/>
            <filter val="FAMÍLIA CHEGADOS"/>
            <filter val="FAMÍLIA CRIATIVA DO CAMPO"/>
            <filter val="FAMÍLIA LANATANPA"/>
            <filter val="FAVELA RADICAL"/>
            <filter val="FEDERAÇÃO INTERNACIONAL DE SORVEBOL"/>
            <filter val="FELIZ CIDADE"/>
            <filter val="FLORIANO PEÇANHA DOS SANTOS"/>
            <filter val="FÓRUM DE JUVENTUDES DO TERRITÓRIO DO BEM"/>
            <filter val="FUNDAÇÃO BENEFICENTE EVANGÉLICA JESUS DE NAZARÉ"/>
            <filter val="FUNDAÇÃO GETSÊMANI"/>
            <filter val="GERAÇÃO GK"/>
            <filter val="GERAÇÃO TATAMI"/>
            <filter val="GERANDO FALCÕES - UNIDADE FERRAZ"/>
            <filter val="GERANDO FALCÕES - UNIDADE POÁ"/>
            <filter val="GERANDO FALCÕES - UNIDADE SUZANO"/>
            <filter val="GERANDO SONHOS"/>
            <filter val="GESCA - GRÊMIO EDUCACIONAL* SOCIAL E CULTURAL ÁGUIAS DE SANTO ANTÔNIO DE JESUS"/>
            <filter val="GRAM GRUPO DE APOIO À MULHER"/>
            <filter val="GRUPO COMUNITÁRIO SEMENTE DA ESPERANÇA"/>
            <filter val="GRUPO CULTURAL ARTD'RUA"/>
            <filter val="GRUPO DE ASSISTENCIA SOCIAL* CULTURAL* ESPORTES E LAZER - G.A.S"/>
            <filter val="ICEF-  DOM"/>
            <filter val="IDEAL DO AMANHÃ GUAICUY"/>
            <filter val="IMPACTAÇÃO TRANSFORMAÇÃO SOCIAL"/>
            <filter val="INSPIRANDO GERAÇÕES EM AMOR"/>
            <filter val="INSTITUIÇÃO SOCIAL DE AMOR CRISTÃO-ISAC"/>
            <filter val="INSTITUIÇÃO SOCIEDADE PLURAL SÃO JOÃO BATISTA / ISP-SJB"/>
            <filter val="INSTUTUTO CULTURAL E SOCIAL COLORADO"/>
            <filter val="INTITUTO GERAÇÃO ELEITA MOVA-SE."/>
            <filter val="INVESTIDORES DA ESPERANÇA"/>
            <filter val="JAMPA INVISÍVEL"/>
            <filter val="JOAQUIM TÁVORA"/>
            <filter val="JOSÉ JUNIOR TEIXEIRA"/>
            <filter val="JOSEFINA BAKHITA"/>
            <filter val="JUDO REGASTANDO VIDAS"/>
            <filter val="JUDO UNIAO DE GUAIANASES"/>
            <filter val="JUNTA QUE AJUDA"/>
            <filter val="JUNTOS SOMOS MAIS FORTES"/>
            <filter val="KYRIUS CIA DE ARTES"/>
            <filter val="LEIA E APRENDA"/>
            <filter val="LIRA DE INCLUSÃO SOCIAL - ILIS"/>
            <filter val="LIVROS EM TODO LUGAR"/>
            <filter val="LOBO &amp; DUREY ARQUITETURA LTDA."/>
            <filter val="M.A.L.O.C.A.( MOVIMENTO ARTICULADO LIBERTÁRIO ORGANIZADO EM PROL DA CIDADANIA E DO APOIO SOCIAL)"/>
            <filter val="MAAC - MOVIMENTO DE ARTICULAÇÃO AMBIENTAL E CULTURAL"/>
            <filter val="MACUNAÍMA DE CULTURA - ESCOLA DE CIDADANIA"/>
            <filter val="MAIS MULHER"/>
            <filter val="MAIS VIDA"/>
            <filter val="MANIFESTA MOVEMENT"/>
            <filter val="MARGARIDAS PROJETOS PRA VIDA"/>
            <filter val="MATRIARCAS EM AÇAO"/>
            <filter val="MESTRE NORDESTINO"/>
            <filter val="MISSÃO CASA GAIO"/>
            <filter val="MISSÃO EDEDE MELEQUE"/>
            <filter val="MISSÃO SERTÃO"/>
            <filter val="MISSIONARIO METAMORFOSE"/>
            <filter val="MOTIRÔ"/>
            <filter val="MOVER VIDAS"/>
            <filter val="MOVIMENTO INSPIRE"/>
            <filter val="MOVIMENTO PARA A VIDA"/>
            <filter val="MOVIMENTO SOCIAL E CULTURAL CORES DO AMANHÃ"/>
            <filter val="MUCA - MULHERES UNIDAS DO CARATOIRA"/>
            <filter val="MUCAMBO"/>
            <filter val="MULHERES ARRETADAS"/>
            <filter val="MULHERES EM SUPERAÇÃO NA AMAZÔNIA"/>
            <filter val="MULTIPLICAR O AMOR INCLUIR O SABER"/>
            <filter val="MUNDO NOVO DA CULTURA VIVA"/>
            <filter val="MUTAMB"/>
            <filter val="NACIONAL DE DESENVOLVIMENTO SOCIAL E QUALIFICAÇÃO PROFISSIONAL"/>
            <filter val="NACIONAL LAR DOS SONHOS"/>
            <filter val="NÃO POSSUI"/>
            <filter val="NOS SOMOS A PONTE"/>
            <filter val="NOSSA RAZÃO E UMA SOCIEDADE IGUAL PARA TODOS ! QUE FAMÍLIA CARENTES TENHA DIRETO ALIMENTAÇÃO DIGNA E EDUCAÇÃO PARA TODOS PARA UM FUTURO COM MAS IGUALDADE!"/>
            <filter val="NOVA CHANCE"/>
            <filter val="NUCLEO DE APOIO A COMUNIDADES"/>
            <filter val="NÚCLEO DE APOIO AO PEQUENO CIDADÃO"/>
            <filter val="O BOM SAMARITANO CONTAGEM"/>
            <filter val="O2 EDUCATION"/>
            <filter val="OBRAS SOCIAIS DO CENTRO ESPÍRITA OBREIROS DO SENHOR"/>
            <filter val="ONG  VITÓRIA DE SÁ"/>
            <filter val="ONG ABRAÇAR FILHAS DE MARIA"/>
            <filter val="ONG CENTRO  ZUMBI DOS PALMARES"/>
            <filter val="ONG DEUS É FIEL"/>
            <filter val="ONG ESPERANÇA BRASIL"/>
            <filter val="ONG HERÓIS DOS LACRES"/>
            <filter val="ONG POTIARTE EDUCAÇÃO PAE PROJETO ABC HIP HOP KIDS"/>
            <filter val="ONG RESGATANDO A INOCENCIA"/>
            <filter val="ORGANIZAÇÃO DE DESENVOLVIMENTO DO POTENCIAL HUMANO"/>
            <filter val="ORGANIZAÇÃO LIBERTARIOS DO CAPÃO REDONDO"/>
            <filter val="ORGANIZAÇÃO NOVOS HERDEIROS HUMANÍSTICOS"/>
            <filter val="ORGANIZACAO SOCIAL IDENTIDADE PERIFERICA"/>
            <filter val="OSC CRESCE COMUNIDADE"/>
            <filter val="OSC PONTO SOCIAL"/>
            <filter val="OSCIP JOVEM SERTÃO"/>
            <filter val="PALAVRAS ENCANTADAS"/>
            <filter val="PAPEL DE MENINO"/>
            <filter val="PASSO DE ANJO"/>
            <filter val="PATERNUS"/>
            <filter val="PATRONATO JUVENIL GARCENSE"/>
            <filter val="PATRONATO SANTANA"/>
            <filter val="PERALTA"/>
            <filter val="PEREIRINHA FUTEBOL CLUBE"/>
            <filter val="PONTINCLUSIVA"/>
            <filter val="PORTAL DAS CORES"/>
            <filter val="PORTAL SOCIAL DA PONTE"/>
            <filter val="PRA TODO MUNDO"/>
            <filter val="PRETAS RUAS"/>
            <filter val="PRIMEIRO ESTÁGIO DE ESPORTE CULTURA E EDUCAÇÃO"/>
            <filter val="PRISCILLA RUBIA DE SIQUEIRA 07753823612"/>
            <filter val="PRO MAIS"/>
            <filter val="PRÓ-AÇÃO DE APOIO A EDUCAÇÃO E CIDADANIA"/>
            <filter val="PROGRAMA DE ASSISTÊNCIA AS CRIANÇAS E ADOLESCENTES"/>
            <filter val="PROGRAMA SOCIAL SIM! EU SOU DO MEIO (SESM)"/>
            <filter val="PROJETO AMOR E ESPERANÇA/ ASSOCIAÇÃO CONSTRUINDO A CIDADANIA"/>
            <filter val="PROJETO ASSISTENCIAL SEMENTES DE ESPERANÇA"/>
            <filter val="PROJETO AURORA"/>
            <filter val="PROJETO AVANTE"/>
            <filter val="PROJETO BAYERNZINHO"/>
            <filter val="PROJETO BODYBOARD PARÁ"/>
            <filter val="PROJETO BREJAL"/>
            <filter val="PROJETO BRIGADA SOLIDÁRIA"/>
            <filter val="PROJETO CABE +1"/>
            <filter val="PROJETO CRESCENDO COM CRISTO"/>
            <filter val="PROJETO CRIA - CULTURA E EDUCAÇÃO"/>
            <filter val="PROJETO DE DESENVOLVIMENTO CULTURAL ARTE E COR"/>
            <filter val="PROJETO DESAFIANDO GIGANTES"/>
            <filter val="PROJETO EFRAIM"/>
            <filter val="PROJETO ESPALHE CESTAS"/>
            <filter val="PROJETO ESPERANÇA DO GOGÓ"/>
            <filter val="PROJETO FÁBRICA"/>
            <filter val="PROJETO FLOR DE LÓTUS"/>
            <filter val="PROJETO FOME DE QUÊ?"/>
            <filter val="PROJETO FORÇA JOVEM"/>
            <filter val="PROJETO MOURÃO ELES NÃO SÃO INVISIVEIS"/>
            <filter val="PROJETO NOVA HISTÓRIA/REDE DE MULHERES GIRASSOL"/>
            <filter val="PROJETO PELA RUA PELO REINO"/>
            <filter val="PROJETO QUERO AJUDAR"/>
            <filter val="PROJETO RESGATE UMA VIDA"/>
            <filter val="PROJETO SAUDE NOS BAIRROS"/>
            <filter val="PROJETO SEMEAR"/>
            <filter val="PROJETO SEMENTES DA FÉ"/>
            <filter val="PROJETO SITIO CIPÓ"/>
            <filter val="PROJETO SOCIAL"/>
            <filter val="PROJETO SOCIAL E CULTURAL REGATY"/>
            <filter val="PROJETO SOCIAL ENTRANDO NA LINHA"/>
            <filter val="PROJETO SOCIAL FAZER O BEM FAZ BEM A VIDA"/>
            <filter val="PROJETO SOCIAL PATRULHA DO BEM"/>
            <filter val="PROJETO SOCIAL SIM! EU SOU DE SANTA TEREZA"/>
            <filter val="PROJETO SOLIDÁRIOS"/>
            <filter val="PROJETO TAMO JUNTO"/>
            <filter val="PROJETO TERNURA"/>
            <filter val="PROJETO TIJOLINHO"/>
            <filter val="PROJETO TRANSFORMAÇÃO"/>
            <filter val="PROJETO UNIÃO PARQUE"/>
            <filter val="PROJETO VIDA EMANUEL"/>
            <filter val="QUADRO DE ESPERANÇA"/>
            <filter val="QUEIRA O BEM"/>
            <filter val="QUERUBINS CRIANÇAS VIVAS E SEM DROGAS"/>
            <filter val="QUINTAL TIA JURA"/>
            <filter val="RASTRO"/>
            <filter val="RECICLANDO VIDAS"/>
            <filter val="REDE ABLAN"/>
            <filter val="REDE POSTINHO DE SAÚDE ORGANIZAÇÃO DE SAÚDE PREVENTIVA MULTIDISCIPLINAR SOCIAL"/>
            <filter val="REGGARTE"/>
            <filter val="REINTEGRA RECIFE"/>
            <filter val="RESGATANDO VIDAS"/>
            <filter val="RESILIENTE SLUM"/>
            <filter val="RETURN PROJECTS"/>
            <filter val="REVERBERA"/>
            <filter val="REVIVER"/>
            <filter val="RONGO-RJ - ASSOCIAÇÃO REGIÃO DE OFICINA NACIONAL DE GRAFITE ORGANIZADO DO RIO DE JANEIRO"/>
            <filter val="ROSA REVIVER"/>
            <filter val="S.O.S PERIFERIA"/>
            <filter val="SAINT NICHOLAS CARE"/>
            <filter val="SEBASTIÃO EDEMYR E. LEITE-ME"/>
            <filter val="SEMEAR PLANTAR E TRANSFORMAR"/>
            <filter val="SEMENTE PROFISSIONAL"/>
            <filter val="SEMPRE CRIANÇA"/>
            <filter val="SILVEIRA MARQUES"/>
            <filter val="SÓ ALEGRIA"/>
            <filter val="SOCIAL CORRENTE DO AMOR"/>
            <filter val="SOCIAL CULTURAL DE APOIO À VIDA PADRE ALCIDES TRES"/>
            <filter val="SOCIAL DE ASSISTÊNCIA COMUNITÁRIA MÃO AMIGA"/>
            <filter val="SOCIAL DE TODO CORAÇÃO"/>
            <filter val="SOCIAL NOVO OLHAR"/>
            <filter val="SOCIEDADE BENEFICIENTE ISRAELITA BRASILEIRA TALMUD THORA"/>
            <filter val="SOCIEDADE CULTURAL PROJETO LUAR"/>
            <filter val="SOCIEDADE UNIÃO DA VILA DOS EUCALIPTOS - SUVE"/>
            <filter val="SOCIOAMBIENTAL DAS VERTENTES"/>
            <filter val="SOFTWARE E PROCESSOS LTDA"/>
            <filter val="SOMOS ÁGAPE"/>
            <filter val="SOMOS TODOS MURIBECA - STM"/>
            <filter val="SOMOS TUAS MAOS"/>
            <filter val="SOS REVIVER"/>
            <filter val="SUBLIM"/>
            <filter val="TCHIBUM"/>
            <filter val="TECH GIRLS"/>
            <filter val="TERERÊ KIDS PROJECT"/>
            <filter val="TEREZINHA OSMARI BAGATINI"/>
            <filter val="TERNO MOÇAMBIQUE ESTRELA GUIA"/>
            <filter val="THAIS MONIQUE GERVÁSIO DE MORAES WANDERLEY"/>
            <filter val="TIA FLÁVIA"/>
            <filter val="TOP CLUBE DE XADREZ"/>
            <filter val="TRANSFORMADO VIDAS E MUDANDO A SOCIEDADE! PRINCÍPIOS BÍBLICOS / EDUCAÇÃO / CULTURA / ESPORTE / QUALIFICAÇÃO/ INOVAÇÃO /TECNOLOGIA /"/>
            <filter val="TRANSFORMAR"/>
            <filter val="TRAZEMOS SORRISOS"/>
            <filter val="UNIÃO MARCIAL MAUÁ"/>
            <filter val="UNIÃO POPULAR PELA VIDA"/>
            <filter val="UNIFICAÇÃO DAS QUEBRADAS"/>
            <filter val="USINA DOS ATOS"/>
            <filter val="VELHO CHICO ATIVO"/>
            <filter val="VERDE CRIANDO VIDAS"/>
            <filter val="VIADUTO DAS ARTES"/>
            <filter val="VID'ART"/>
            <filter val="VIDAS PELO FUTURO"/>
            <filter val="VILA CARIOCA FERTIL"/>
            <filter val="VILA EM PROGRESSO"/>
            <filter val="VOLUNTÁRIOS FAZENDO CRIANÇA SORRIR"/>
            <filter val="VOZ NAS COMUNIDADES"/>
            <filter val="VOZES DAS PERIFERIAS"/>
            <filter val="WATER IS LIFE BRASIL"/>
            <filter val="ZHALUART"/>
            <filter val="ZOE DE MURIAÉ"/>
          </filters>
        </filterColumn>
        <filterColumn colId="9">
          <filters>
            <filter val="Fase Estruturação"/>
            <filter val="Fase Avançada"/>
          </filters>
        </filterColumn>
      </autoFilter>
    </customSheetView>
  </customSheetViews>
  <pageMargins left="0.511811024" right="0.511811024" top="0.78740157499999996" bottom="0.78740157499999996" header="0.31496062000000002" footer="0.31496062000000002"/>
  <pageSetup paperSize="9" orientation="portrait" verticalDpi="597"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BY1000"/>
  <sheetViews>
    <sheetView workbookViewId="0"/>
  </sheetViews>
  <sheetFormatPr defaultColWidth="12.6328125" defaultRowHeight="15.75" customHeight="1" x14ac:dyDescent="0.25"/>
  <cols>
    <col min="1" max="1" width="26.26953125" customWidth="1"/>
    <col min="2" max="2" width="29.26953125" customWidth="1"/>
    <col min="4" max="4" width="23.90625" customWidth="1"/>
    <col min="77" max="77" width="36.36328125" customWidth="1"/>
  </cols>
  <sheetData>
    <row r="1" spans="1:77" ht="12.5" x14ac:dyDescent="0.25">
      <c r="A1" s="27" t="str">
        <f ca="1">IFERROR(__xludf.DUMMYFUNCTION("IMPORTRANGE(""1OBBKz_bEVOvdz5TyLw0xDSxVZU2d0t46Uh0PvdTtbM0"",""OFICIAL Líder e ONG - 2022!A2:BY1000"")"),"IDConta(18)")</f>
        <v>IDConta(18)</v>
      </c>
      <c r="B1" s="28" t="str">
        <f ca="1">IFERROR(__xludf.DUMMYFUNCTION("""COMPUTED_VALUE"""),"Categorização")</f>
        <v>Categorização</v>
      </c>
      <c r="C1" s="27" t="str">
        <f ca="1">IFERROR(__xludf.DUMMYFUNCTION("""COMPUTED_VALUE"""),"Tipo de Programa")</f>
        <v>Tipo de Programa</v>
      </c>
      <c r="D1" s="27" t="str">
        <f ca="1">IFERROR(__xludf.DUMMYFUNCTION("""COMPUTED_VALUE"""),"Status")</f>
        <v>Status</v>
      </c>
      <c r="E1" s="27" t="str">
        <f ca="1">IFERROR(__xludf.DUMMYFUNCTION("""COMPUTED_VALUE"""),"Nome da conta")</f>
        <v>Nome da conta</v>
      </c>
      <c r="F1" s="27" t="str">
        <f ca="1">IFERROR(__xludf.DUMMYFUNCTION("""COMPUTED_VALUE"""),"Primeiro Nome")</f>
        <v>Primeiro Nome</v>
      </c>
      <c r="G1" s="27" t="str">
        <f ca="1">IFERROR(__xludf.DUMMYFUNCTION("""COMPUTED_VALUE"""),"Nome Fantasia")</f>
        <v>Nome Fantasia</v>
      </c>
      <c r="H1" s="27" t="str">
        <f ca="1">IFERROR(__xludf.DUMMYFUNCTION("""COMPUTED_VALUE"""),"CNPJ/CPF")</f>
        <v>CNPJ/CPF</v>
      </c>
      <c r="I1" s="27" t="str">
        <f ca="1">IFERROR(__xludf.DUMMYFUNCTION("""COMPUTED_VALUE"""),"Representante legal")</f>
        <v>Representante legal</v>
      </c>
      <c r="J1" s="27" t="str">
        <f ca="1">IFERROR(__xludf.DUMMYFUNCTION("""COMPUTED_VALUE"""),"E-mail ONG")</f>
        <v>E-mail ONG</v>
      </c>
      <c r="K1" s="27" t="str">
        <f ca="1">IFERROR(__xludf.DUMMYFUNCTION("""COMPUTED_VALUE"""),"Telefone")</f>
        <v>Telefone</v>
      </c>
      <c r="L1" s="27" t="str">
        <f ca="1">IFERROR(__xludf.DUMMYFUNCTION("""COMPUTED_VALUE"""),"Estado/Província de entrega")</f>
        <v>Estado/Província de entrega</v>
      </c>
      <c r="M1" s="27" t="str">
        <f ca="1">IFERROR(__xludf.DUMMYFUNCTION("""COMPUTED_VALUE"""),"Rua de entrega")</f>
        <v>Rua de entrega</v>
      </c>
      <c r="N1" s="27" t="str">
        <f ca="1">IFERROR(__xludf.DUMMYFUNCTION("""COMPUTED_VALUE"""),"Bairro de entrega")</f>
        <v>Bairro de entrega</v>
      </c>
      <c r="O1" s="27" t="str">
        <f ca="1">IFERROR(__xludf.DUMMYFUNCTION("""COMPUTED_VALUE"""),"Número da conta")</f>
        <v>Número da conta</v>
      </c>
      <c r="P1" s="27" t="str">
        <f ca="1">IFERROR(__xludf.DUMMYFUNCTION("""COMPUTED_VALUE"""),"Cidade de entrega")</f>
        <v>Cidade de entrega</v>
      </c>
      <c r="Q1" s="27" t="str">
        <f ca="1">IFERROR(__xludf.DUMMYFUNCTION("""COMPUTED_VALUE"""),"Complemento de entrega")</f>
        <v>Complemento de entrega</v>
      </c>
      <c r="R1" s="27" t="str">
        <f ca="1">IFERROR(__xludf.DUMMYFUNCTION("""COMPUTED_VALUE"""),"CEP de entrega")</f>
        <v>CEP de entrega</v>
      </c>
      <c r="S1" s="27" t="str">
        <f ca="1">IFERROR(__xludf.DUMMYFUNCTION("""COMPUTED_VALUE"""),"Atividades em outro espaços, informe")</f>
        <v>Atividades em outro espaços, informe</v>
      </c>
      <c r="T1" s="27" t="str">
        <f ca="1">IFERROR(__xludf.DUMMYFUNCTION("""COMPUTED_VALUE"""),"Área de atuação prioritária")</f>
        <v>Área de atuação prioritária</v>
      </c>
      <c r="U1" s="27" t="str">
        <f ca="1">IFERROR(__xludf.DUMMYFUNCTION("""COMPUTED_VALUE"""),"Faixa etária do público-alvo (BNCC/ECA)")</f>
        <v>Faixa etária do público-alvo (BNCC/ECA)</v>
      </c>
      <c r="V1" s="27" t="str">
        <f ca="1">IFERROR(__xludf.DUMMYFUNCTION("""COMPUTED_VALUE"""),"Ações específicas para os públicos alvos")</f>
        <v>Ações específicas para os públicos alvos</v>
      </c>
      <c r="W1" s="27" t="str">
        <f ca="1">IFERROR(__xludf.DUMMYFUNCTION("""COMPUTED_VALUE"""),"Número de comunidades atendidas")</f>
        <v>Número de comunidades atendidas</v>
      </c>
      <c r="X1" s="27" t="str">
        <f ca="1">IFERROR(__xludf.DUMMYFUNCTION("""COMPUTED_VALUE"""),"Observações do público atendido")</f>
        <v>Observações do público atendido</v>
      </c>
      <c r="Y1" s="27" t="str">
        <f ca="1">IFERROR(__xludf.DUMMYFUNCTION("""COMPUTED_VALUE"""),"Número de Matriculados ano anterior")</f>
        <v>Número de Matriculados ano anterior</v>
      </c>
      <c r="Z1" s="27" t="str">
        <f ca="1">IFERROR(__xludf.DUMMYFUNCTION("""COMPUTED_VALUE"""),"Nº Pessoas impactadas em ações comunit")</f>
        <v>Nº Pessoas impactadas em ações comunit</v>
      </c>
      <c r="AA1" s="27" t="str">
        <f ca="1">IFERROR(__xludf.DUMMYFUNCTION("""COMPUTED_VALUE"""),"Data de Fundação")</f>
        <v>Data de Fundação</v>
      </c>
      <c r="AB1" s="27" t="str">
        <f ca="1">IFERROR(__xludf.DUMMYFUNCTION("""COMPUTED_VALUE"""),"Possui  Estatuto Social em cartório?")</f>
        <v>Possui  Estatuto Social em cartório?</v>
      </c>
      <c r="AC1" s="27" t="str">
        <f ca="1">IFERROR(__xludf.DUMMYFUNCTION("""COMPUTED_VALUE"""),"Nº colaboradores CLT ou MEI")</f>
        <v>Nº colaboradores CLT ou MEI</v>
      </c>
      <c r="AD1" s="27" t="str">
        <f ca="1">IFERROR(__xludf.DUMMYFUNCTION("""COMPUTED_VALUE"""),"N° de colaboradores antes GF")</f>
        <v>N° de colaboradores antes GF</v>
      </c>
      <c r="AE1" s="27" t="str">
        <f ca="1">IFERROR(__xludf.DUMMYFUNCTION("""COMPUTED_VALUE"""),"Nº Voluntários ativos")</f>
        <v>Nº Voluntários ativos</v>
      </c>
      <c r="AF1" s="27" t="str">
        <f ca="1">IFERROR(__xludf.DUMMYFUNCTION("""COMPUTED_VALUE"""),"N° Voluntários ativos antes GF")</f>
        <v>N° Voluntários ativos antes GF</v>
      </c>
      <c r="AG1" s="27" t="str">
        <f ca="1">IFERROR(__xludf.DUMMYFUNCTION("""COMPUTED_VALUE"""),"Quantas fontes de financiamento")</f>
        <v>Quantas fontes de financiamento</v>
      </c>
      <c r="AH1" s="27" t="str">
        <f ca="1">IFERROR(__xludf.DUMMYFUNCTION("""COMPUTED_VALUE"""),"Principais fontes de financiamento")</f>
        <v>Principais fontes de financiamento</v>
      </c>
      <c r="AI1" s="27" t="str">
        <f ca="1">IFERROR(__xludf.DUMMYFUNCTION("""COMPUTED_VALUE"""),"Participação de cada frente %")</f>
        <v>Participação de cada frente %</v>
      </c>
      <c r="AJ1" s="27" t="str">
        <f ca="1">IFERROR(__xludf.DUMMYFUNCTION("""COMPUTED_VALUE"""),"Realiza auditoria independente?")</f>
        <v>Realiza auditoria independente?</v>
      </c>
      <c r="AK1" s="27" t="str">
        <f ca="1">IFERROR(__xludf.DUMMYFUNCTION("""COMPUTED_VALUE"""),"Utiliza o App GE para aulas online?")</f>
        <v>Utiliza o App GE para aulas online?</v>
      </c>
      <c r="AL1" s="27" t="str">
        <f ca="1">IFERROR(__xludf.DUMMYFUNCTION("""COMPUTED_VALUE"""),"ID do contato")</f>
        <v>ID do contato</v>
      </c>
      <c r="AM1" s="27" t="str">
        <f ca="1">IFERROR(__xludf.DUMMYFUNCTION("""COMPUTED_VALUE"""),"Sobrenome")</f>
        <v>Sobrenome</v>
      </c>
      <c r="AN1" s="27" t="str">
        <f ca="1">IFERROR(__xludf.DUMMYFUNCTION("""COMPUTED_VALUE"""),"Status Contato")</f>
        <v>Status Contato</v>
      </c>
      <c r="AO1" s="27" t="str">
        <f ca="1">IFERROR(__xludf.DUMMYFUNCTION("""COMPUTED_VALUE"""),"Data de inicio do cadastro")</f>
        <v>Data de inicio do cadastro</v>
      </c>
      <c r="AP1" s="27" t="str">
        <f ca="1">IFERROR(__xludf.DUMMYFUNCTION("""COMPUTED_VALUE"""),"Tempo na RGF - [MÊS]")</f>
        <v>Tempo na RGF - [MÊS]</v>
      </c>
      <c r="AQ1" s="27" t="str">
        <f ca="1">IFERROR(__xludf.DUMMYFUNCTION("""COMPUTED_VALUE"""),"Semestre Falcons")</f>
        <v>Semestre Falcons</v>
      </c>
      <c r="AR1" s="27" t="str">
        <f ca="1">IFERROR(__xludf.DUMMYFUNCTION("""COMPUTED_VALUE"""),"Email")</f>
        <v>Email</v>
      </c>
      <c r="AS1" s="27" t="str">
        <f ca="1">IFERROR(__xludf.DUMMYFUNCTION("""COMPUTED_VALUE"""),"Celular")</f>
        <v>Celular</v>
      </c>
      <c r="AT1" s="27" t="str">
        <f ca="1">IFERROR(__xludf.DUMMYFUNCTION("""COMPUTED_VALUE"""),"Data de nascimento")</f>
        <v>Data de nascimento</v>
      </c>
      <c r="AU1" s="27" t="str">
        <f ca="1">IFERROR(__xludf.DUMMYFUNCTION("""COMPUTED_VALUE"""),"Idade")</f>
        <v>Idade</v>
      </c>
      <c r="AV1" s="27" t="str">
        <f ca="1">IFERROR(__xludf.DUMMYFUNCTION("""COMPUTED_VALUE"""),"CPF")</f>
        <v>CPF</v>
      </c>
      <c r="AW1" s="27" t="str">
        <f ca="1">IFERROR(__xludf.DUMMYFUNCTION("""COMPUTED_VALUE"""),"RG")</f>
        <v>RG</v>
      </c>
      <c r="AX1" s="27" t="str">
        <f ca="1">IFERROR(__xludf.DUMMYFUNCTION("""COMPUTED_VALUE"""),"Área de Formação")</f>
        <v>Área de Formação</v>
      </c>
      <c r="AY1" s="27" t="str">
        <f ca="1">IFERROR(__xludf.DUMMYFUNCTION("""COMPUTED_VALUE"""),"Cargo")</f>
        <v>Cargo</v>
      </c>
      <c r="AZ1" s="27" t="str">
        <f ca="1">IFERROR(__xludf.DUMMYFUNCTION("""COMPUTED_VALUE"""),"Tamanho da camiseta")</f>
        <v>Tamanho da camiseta</v>
      </c>
      <c r="BA1" s="27" t="str">
        <f ca="1">IFERROR(__xludf.DUMMYFUNCTION("""COMPUTED_VALUE"""),"Qual sua raça/etnia")</f>
        <v>Qual sua raça/etnia</v>
      </c>
      <c r="BB1" s="27" t="str">
        <f ca="1">IFERROR(__xludf.DUMMYFUNCTION("""COMPUTED_VALUE"""),"Identidade de gênero")</f>
        <v>Identidade de gênero</v>
      </c>
      <c r="BC1" s="27" t="str">
        <f ca="1">IFERROR(__xludf.DUMMYFUNCTION("""COMPUTED_VALUE"""),"Trabalha em tempo integral  na ONG?")</f>
        <v>Trabalha em tempo integral  na ONG?</v>
      </c>
      <c r="BD1" s="27" t="str">
        <f ca="1">IFERROR(__xludf.DUMMYFUNCTION("""COMPUTED_VALUE"""),"Mini Biografia")</f>
        <v>Mini Biografia</v>
      </c>
      <c r="BE1" s="27" t="str">
        <f ca="1">IFERROR(__xludf.DUMMYFUNCTION("""COMPUTED_VALUE"""),"Sexo Biológico")</f>
        <v>Sexo Biológico</v>
      </c>
      <c r="BF1" s="27" t="str">
        <f ca="1">IFERROR(__xludf.DUMMYFUNCTION("""COMPUTED_VALUE"""),"Orientação Sexual")</f>
        <v>Orientação Sexual</v>
      </c>
      <c r="BG1" s="27" t="str">
        <f ca="1">IFERROR(__xludf.DUMMYFUNCTION("""COMPUTED_VALUE"""),"Escolaridade")</f>
        <v>Escolaridade</v>
      </c>
      <c r="BH1" s="27" t="str">
        <f ca="1">IFERROR(__xludf.DUMMYFUNCTION("""COMPUTED_VALUE"""),"Tipo de instituição de ensino básico")</f>
        <v>Tipo de instituição de ensino básico</v>
      </c>
      <c r="BI1" s="27" t="str">
        <f ca="1">IFERROR(__xludf.DUMMYFUNCTION("""COMPUTED_VALUE"""),"Nível de ensino superior")</f>
        <v>Nível de ensino superior</v>
      </c>
      <c r="BJ1" s="27" t="str">
        <f ca="1">IFERROR(__xludf.DUMMYFUNCTION("""COMPUTED_VALUE"""),"Tipo de instituição de ensino superior")</f>
        <v>Tipo de instituição de ensino superior</v>
      </c>
      <c r="BK1" s="27" t="str">
        <f ca="1">IFERROR(__xludf.DUMMYFUNCTION("""COMPUTED_VALUE"""),"Rua de correspondência")</f>
        <v>Rua de correspondência</v>
      </c>
      <c r="BL1" s="27" t="str">
        <f ca="1">IFERROR(__xludf.DUMMYFUNCTION("""COMPUTED_VALUE"""),"Número da residência")</f>
        <v>Número da residência</v>
      </c>
      <c r="BM1" s="27" t="str">
        <f ca="1">IFERROR(__xludf.DUMMYFUNCTION("""COMPUTED_VALUE"""),"Complemento de correspondência")</f>
        <v>Complemento de correspondência</v>
      </c>
      <c r="BN1" s="27" t="str">
        <f ca="1">IFERROR(__xludf.DUMMYFUNCTION("""COMPUTED_VALUE"""),"Cidade de correspondência")</f>
        <v>Cidade de correspondência</v>
      </c>
      <c r="BO1" s="27" t="str">
        <f ca="1">IFERROR(__xludf.DUMMYFUNCTION("""COMPUTED_VALUE"""),"CEP de correspondência")</f>
        <v>CEP de correspondência</v>
      </c>
      <c r="BP1" s="27" t="str">
        <f ca="1">IFERROR(__xludf.DUMMYFUNCTION("""COMPUTED_VALUE"""),"Estado/Província de correspondência")</f>
        <v>Estado/Província de correspondência</v>
      </c>
      <c r="BQ1" s="27" t="str">
        <f ca="1">IFERROR(__xludf.DUMMYFUNCTION("""COMPUTED_VALUE"""),"Valor bruto da Renda")</f>
        <v>Valor bruto da Renda</v>
      </c>
      <c r="BR1" s="27" t="str">
        <f ca="1">IFERROR(__xludf.DUMMYFUNCTION("""COMPUTED_VALUE"""),"Condição de emprego dos membros familia")</f>
        <v>Condição de emprego dos membros familia</v>
      </c>
      <c r="BS1" s="27" t="str">
        <f ca="1">IFERROR(__xludf.DUMMYFUNCTION("""COMPUTED_VALUE"""),"Condições de moradia")</f>
        <v>Condições de moradia</v>
      </c>
      <c r="BT1" s="27" t="str">
        <f ca="1">IFERROR(__xludf.DUMMYFUNCTION("""COMPUTED_VALUE"""),"Quantas pessoas dependem dessa renda")</f>
        <v>Quantas pessoas dependem dessa renda</v>
      </c>
      <c r="BU1" s="27" t="str">
        <f ca="1">IFERROR(__xludf.DUMMYFUNCTION("""COMPUTED_VALUE"""),"Você tem alguma deficiência")</f>
        <v>Você tem alguma deficiência</v>
      </c>
      <c r="BV1" s="27" t="str">
        <f ca="1">IFERROR(__xludf.DUMMYFUNCTION("""COMPUTED_VALUE"""),"Você possui alguma restrição alimentar?")</f>
        <v>Você possui alguma restrição alimentar?</v>
      </c>
      <c r="BW1" s="27" t="str">
        <f ca="1">IFERROR(__xludf.DUMMYFUNCTION("""COMPUTED_VALUE"""),"Link Linkedin líder")</f>
        <v>Link Linkedin líder</v>
      </c>
      <c r="BX1" s="27" t="str">
        <f ca="1">IFERROR(__xludf.DUMMYFUNCTION("""COMPUTED_VALUE"""),"Link Instagram líder")</f>
        <v>Link Instagram líder</v>
      </c>
      <c r="BY1" s="27" t="str">
        <f ca="1">IFERROR(__xludf.DUMMYFUNCTION("""COMPUTED_VALUE"""),"Foto de perfil do Líder")</f>
        <v>Foto de perfil do Líder</v>
      </c>
    </row>
    <row r="2" spans="1:77" ht="12.5" hidden="1" x14ac:dyDescent="0.25">
      <c r="A2" s="21" t="str">
        <f ca="1">IFERROR(__xludf.DUMMYFUNCTION("""COMPUTED_VALUE"""),"0014P00003YSp95QAD")</f>
        <v>0014P00003YSp95QAD</v>
      </c>
      <c r="B2" s="27" t="str">
        <f ca="1">IFERROR(__xludf.DUMMYFUNCTION("""COMPUTED_VALUE"""),"Fase Inicial")</f>
        <v>Fase Inicial</v>
      </c>
      <c r="C2" s="27" t="str">
        <f ca="1">IFERROR(__xludf.DUMMYFUNCTION("""COMPUTED_VALUE"""),"Fellow")</f>
        <v>Fellow</v>
      </c>
      <c r="D2" s="27" t="str">
        <f ca="1">IFERROR(__xludf.DUMMYFUNCTION("""COMPUTED_VALUE"""),"Ativo")</f>
        <v>Ativo</v>
      </c>
      <c r="E2" s="27" t="str">
        <f ca="1">IFERROR(__xludf.DUMMYFUNCTION("""COMPUTED_VALUE"""),"ABC Mundo Novo")</f>
        <v>ABC Mundo Novo</v>
      </c>
      <c r="F2" s="27" t="str">
        <f ca="1">IFERROR(__xludf.DUMMYFUNCTION("""COMPUTED_VALUE"""),"Sara")</f>
        <v>Sara</v>
      </c>
      <c r="G2" s="27" t="str">
        <f ca="1">IFERROR(__xludf.DUMMYFUNCTION("""COMPUTED_VALUE"""),"ABC Mundo Novo")</f>
        <v>ABC Mundo Novo</v>
      </c>
      <c r="H2" s="27" t="str">
        <f ca="1">IFERROR(__xludf.DUMMYFUNCTION("""COMPUTED_VALUE"""),"06.262.150/0001-50")</f>
        <v>06.262.150/0001-50</v>
      </c>
      <c r="I2" s="27" t="str">
        <f ca="1">IFERROR(__xludf.DUMMYFUNCTION("""COMPUTED_VALUE"""),"Sara izabel da silva paganotti")</f>
        <v>Sara izabel da silva paganotti</v>
      </c>
      <c r="J2" s="27" t="str">
        <f ca="1">IFERROR(__xludf.DUMMYFUNCTION("""COMPUTED_VALUE"""),"ongabc2022@gmail.com")</f>
        <v>ongabc2022@gmail.com</v>
      </c>
      <c r="K2" s="27" t="str">
        <f ca="1">IFERROR(__xludf.DUMMYFUNCTION("""COMPUTED_VALUE"""),"(11)94089-5839")</f>
        <v>(11)94089-5839</v>
      </c>
      <c r="L2" s="27" t="str">
        <f ca="1">IFERROR(__xludf.DUMMYFUNCTION("""COMPUTED_VALUE"""),"SP")</f>
        <v>SP</v>
      </c>
      <c r="M2" s="27" t="str">
        <f ca="1">IFERROR(__xludf.DUMMYFUNCTION("""COMPUTED_VALUE"""),"Estrada dom joao nery")</f>
        <v>Estrada dom joao nery</v>
      </c>
      <c r="N2" s="27" t="str">
        <f ca="1">IFERROR(__xludf.DUMMYFUNCTION("""COMPUTED_VALUE"""),"Jardim loyrdes")</f>
        <v>Jardim loyrdes</v>
      </c>
      <c r="O2" s="27">
        <f ca="1">IFERROR(__xludf.DUMMYFUNCTION("""COMPUTED_VALUE"""),4600)</f>
        <v>4600</v>
      </c>
      <c r="P2" s="27" t="str">
        <f ca="1">IFERROR(__xludf.DUMMYFUNCTION("""COMPUTED_VALUE"""),"São Paulo")</f>
        <v>São Paulo</v>
      </c>
      <c r="Q2" s="27"/>
      <c r="R2" s="27" t="str">
        <f ca="1">IFERROR(__xludf.DUMMYFUNCTION("""COMPUTED_VALUE"""),"08452-340")</f>
        <v>08452-340</v>
      </c>
      <c r="S2" s="27"/>
      <c r="T2" s="27" t="str">
        <f ca="1">IFERROR(__xludf.DUMMYFUNCTION("""COMPUTED_VALUE"""),"Educação; Empregabilidade; Assistência Social; Cultura; Qualificação Profissional; Empreendedorismo; Saúde; Meio ambiente; Apoio à gestão de organizações de Terceiro Setor; Defesa de Direitos")</f>
        <v>Educação; Empregabilidade; Assistência Social; Cultura; Qualificação Profissional; Empreendedorismo; Saúde; Meio ambiente; Apoio à gestão de organizações de Terceiro Setor; Defesa de Direitos</v>
      </c>
      <c r="U2"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2" s="27" t="str">
        <f ca="1">IFERROR(__xludf.DUMMYFUNCTION("""COMPUTED_VALUE"""),"Moradores de Favelas; Pessoas em situação de rua; População LGBTQ+; Pessoas com Deficiência")</f>
        <v>Moradores de Favelas; Pessoas em situação de rua; População LGBTQ+; Pessoas com Deficiência</v>
      </c>
      <c r="W2" s="27">
        <f ca="1">IFERROR(__xludf.DUMMYFUNCTION("""COMPUTED_VALUE"""),6)</f>
        <v>6</v>
      </c>
      <c r="X2" s="27"/>
      <c r="Y2" s="27"/>
      <c r="Z2" s="27">
        <f ca="1">IFERROR(__xludf.DUMMYFUNCTION("""COMPUTED_VALUE"""),840)</f>
        <v>840</v>
      </c>
      <c r="AA2" s="29">
        <f ca="1">IFERROR(__xludf.DUMMYFUNCTION("""COMPUTED_VALUE"""),37724)</f>
        <v>37724</v>
      </c>
      <c r="AB2" s="27" t="str">
        <f ca="1">IFERROR(__xludf.DUMMYFUNCTION("""COMPUTED_VALUE"""),"Sim")</f>
        <v>Sim</v>
      </c>
      <c r="AC2" s="27">
        <f ca="1">IFERROR(__xludf.DUMMYFUNCTION("""COMPUTED_VALUE"""),8)</f>
        <v>8</v>
      </c>
      <c r="AD2" s="27">
        <f ca="1">IFERROR(__xludf.DUMMYFUNCTION("""COMPUTED_VALUE"""),2)</f>
        <v>2</v>
      </c>
      <c r="AE2" s="27">
        <f ca="1">IFERROR(__xludf.DUMMYFUNCTION("""COMPUTED_VALUE"""),8)</f>
        <v>8</v>
      </c>
      <c r="AF2" s="27">
        <f ca="1">IFERROR(__xludf.DUMMYFUNCTION("""COMPUTED_VALUE"""),2)</f>
        <v>2</v>
      </c>
      <c r="AG2" s="27">
        <f ca="1">IFERROR(__xludf.DUMMYFUNCTION("""COMPUTED_VALUE"""),2)</f>
        <v>2</v>
      </c>
      <c r="AH2" s="27" t="str">
        <f ca="1">IFERROR(__xludf.DUMMYFUNCTION("""COMPUTED_VALUE"""),"Recursos próprios")</f>
        <v>Recursos próprios</v>
      </c>
      <c r="AI2" s="27" t="str">
        <f ca="1">IFERROR(__xludf.DUMMYFUNCTION("""COMPUTED_VALUE"""),"Nao")</f>
        <v>Nao</v>
      </c>
      <c r="AJ2" s="27"/>
      <c r="AK2" s="27"/>
      <c r="AL2" s="21" t="str">
        <f ca="1">IFERROR(__xludf.DUMMYFUNCTION("""COMPUTED_VALUE"""),"0034P000045kxjh")</f>
        <v>0034P000045kxjh</v>
      </c>
      <c r="AM2" s="27" t="str">
        <f ca="1">IFERROR(__xludf.DUMMYFUNCTION("""COMPUTED_VALUE"""),"Isabel Da Silva Paganotti")</f>
        <v>Isabel Da Silva Paganotti</v>
      </c>
      <c r="AN2" s="27" t="str">
        <f ca="1">IFERROR(__xludf.DUMMYFUNCTION("""COMPUTED_VALUE"""),"Ativo")</f>
        <v>Ativo</v>
      </c>
      <c r="AO2" s="30">
        <f ca="1">IFERROR(__xludf.DUMMYFUNCTION("""COMPUTED_VALUE"""),44551)</f>
        <v>44551</v>
      </c>
      <c r="AP2" s="27">
        <f ca="1">IFERROR(__xludf.DUMMYFUNCTION("""COMPUTED_VALUE"""),9)</f>
        <v>9</v>
      </c>
      <c r="AQ2" s="27" t="str">
        <f ca="1">IFERROR(__xludf.DUMMYFUNCTION("""COMPUTED_VALUE"""),"Segundo Semestre 2021")</f>
        <v>Segundo Semestre 2021</v>
      </c>
      <c r="AR2" s="27" t="str">
        <f ca="1">IFERROR(__xludf.DUMMYFUNCTION("""COMPUTED_VALUE"""),"sarapaganotti16@gmail.com")</f>
        <v>sarapaganotti16@gmail.com</v>
      </c>
      <c r="AS2" s="27" t="str">
        <f ca="1">IFERROR(__xludf.DUMMYFUNCTION("""COMPUTED_VALUE"""),"(11)94089-5839")</f>
        <v>(11)94089-5839</v>
      </c>
      <c r="AT2" s="29">
        <f ca="1">IFERROR(__xludf.DUMMYFUNCTION("""COMPUTED_VALUE"""),30026)</f>
        <v>30026</v>
      </c>
      <c r="AU2" s="27">
        <f ca="1">IFERROR(__xludf.DUMMYFUNCTION("""COMPUTED_VALUE"""),40)</f>
        <v>40</v>
      </c>
      <c r="AV2" s="27">
        <f ca="1">IFERROR(__xludf.DUMMYFUNCTION("""COMPUTED_VALUE"""),31255532882)</f>
        <v>31255532882</v>
      </c>
      <c r="AW2" s="27">
        <f ca="1">IFERROR(__xludf.DUMMYFUNCTION("""COMPUTED_VALUE"""),404396483)</f>
        <v>404396483</v>
      </c>
      <c r="AX2" s="27"/>
      <c r="AY2" s="27"/>
      <c r="AZ2" s="27" t="str">
        <f ca="1">IFERROR(__xludf.DUMMYFUNCTION("""COMPUTED_VALUE"""),"G2")</f>
        <v>G2</v>
      </c>
      <c r="BA2" s="27" t="str">
        <f ca="1">IFERROR(__xludf.DUMMYFUNCTION("""COMPUTED_VALUE"""),"Branca")</f>
        <v>Branca</v>
      </c>
      <c r="BB2" s="27" t="str">
        <f ca="1">IFERROR(__xludf.DUMMYFUNCTION("""COMPUTED_VALUE"""),"Mulher, cisgênero")</f>
        <v>Mulher, cisgênero</v>
      </c>
      <c r="BC2" s="27" t="str">
        <f ca="1">IFERROR(__xludf.DUMMYFUNCTION("""COMPUTED_VALUE"""),"Sim")</f>
        <v>Sim</v>
      </c>
      <c r="BD2" s="27" t="str">
        <f ca="1">IFERROR(__xludf.DUMMYFUNCTION("""COMPUTED_VALUE"""),"Sara Pavarotti
39 anos, 
Investidora Social,
Mãe da Maria Eduarda e Zoe Emanlly,
CEO da ONG ABC Juntos Somos Fortes
Presidente da FEMESP
Formada em Administração com pós  graduação em Gestão do Terceiro Setor.
Mulher, determinada e muito persistente, desd"&amp;"e cedo desempenhando meu papel na comunidade por meio do trabalho social.
Superei vários obstáculos 
Tenho  pretendo alcançar a todos, minha meta é chegar ao topo e disseminar o meu trabalho para que todos reconheçam")</f>
        <v>Sara Pavarotti
39 anos, 
Investidora Social,
Mãe da Maria Eduarda e Zoe Emanlly,
CEO da ONG ABC Juntos Somos Fortes
Presidente da FEMESP
Formada em Administração com pós  graduação em Gestão do Terceiro Setor.
Mulher, determinada e muito persistente, desde cedo desempenhando meu papel na comunidade por meio do trabalho social.
Superei vários obstáculos 
Tenho  pretendo alcançar a todos, minha meta é chegar ao topo e disseminar o meu trabalho para que todos reconheçam</v>
      </c>
      <c r="BE2" s="27"/>
      <c r="BF2" s="27" t="str">
        <f ca="1">IFERROR(__xludf.DUMMYFUNCTION("""COMPUTED_VALUE"""),"Heterossexual")</f>
        <v>Heterossexual</v>
      </c>
      <c r="BG2" s="27" t="str">
        <f ca="1">IFERROR(__xludf.DUMMYFUNCTION("""COMPUTED_VALUE"""),"Ensino Superior - Completo")</f>
        <v>Ensino Superior - Completo</v>
      </c>
      <c r="BH2" s="27" t="str">
        <f ca="1">IFERROR(__xludf.DUMMYFUNCTION("""COMPUTED_VALUE"""),"Público")</f>
        <v>Público</v>
      </c>
      <c r="BI2" s="27" t="str">
        <f ca="1">IFERROR(__xludf.DUMMYFUNCTION("""COMPUTED_VALUE"""),"Pós-Graduação")</f>
        <v>Pós-Graduação</v>
      </c>
      <c r="BJ2" s="27" t="str">
        <f ca="1">IFERROR(__xludf.DUMMYFUNCTION("""COMPUTED_VALUE"""),"Público")</f>
        <v>Público</v>
      </c>
      <c r="BK2" s="27" t="str">
        <f ca="1">IFERROR(__xludf.DUMMYFUNCTION("""COMPUTED_VALUE"""),"Rua rioshim hasegawa")</f>
        <v>Rua rioshim hasegawa</v>
      </c>
      <c r="BL2" s="27">
        <f ca="1">IFERROR(__xludf.DUMMYFUNCTION("""COMPUTED_VALUE"""),15)</f>
        <v>15</v>
      </c>
      <c r="BM2" s="27"/>
      <c r="BN2" s="27" t="str">
        <f ca="1">IFERROR(__xludf.DUMMYFUNCTION("""COMPUTED_VALUE"""),"Sao paulo")</f>
        <v>Sao paulo</v>
      </c>
      <c r="BO2" s="27" t="str">
        <f ca="1">IFERROR(__xludf.DUMMYFUNCTION("""COMPUTED_VALUE"""),"08544-430")</f>
        <v>08544-430</v>
      </c>
      <c r="BP2" s="27" t="str">
        <f ca="1">IFERROR(__xludf.DUMMYFUNCTION("""COMPUTED_VALUE"""),"SP")</f>
        <v>SP</v>
      </c>
      <c r="BQ2" s="27" t="str">
        <f ca="1">IFERROR(__xludf.DUMMYFUNCTION("""COMPUTED_VALUE"""),"Entre 1 até 3 salários mínimos")</f>
        <v>Entre 1 até 3 salários mínimos</v>
      </c>
      <c r="BR2" s="27" t="str">
        <f ca="1">IFERROR(__xludf.DUMMYFUNCTION("""COMPUTED_VALUE"""),"Trabalho informal")</f>
        <v>Trabalho informal</v>
      </c>
      <c r="BS2" s="27" t="str">
        <f ca="1">IFERROR(__xludf.DUMMYFUNCTION("""COMPUTED_VALUE"""),"Casa cedida")</f>
        <v>Casa cedida</v>
      </c>
      <c r="BT2" s="27">
        <f ca="1">IFERROR(__xludf.DUMMYFUNCTION("""COMPUTED_VALUE"""),4)</f>
        <v>4</v>
      </c>
      <c r="BU2" s="27" t="str">
        <f ca="1">IFERROR(__xludf.DUMMYFUNCTION("""COMPUTED_VALUE"""),"Não tem")</f>
        <v>Não tem</v>
      </c>
      <c r="BV2" s="27"/>
      <c r="BW2" s="21" t="str">
        <f ca="1">IFERROR(__xludf.DUMMYFUNCTION("""COMPUTED_VALUE"""),"https://instagram.com/ongabcjuntossomosfortes")</f>
        <v>https://instagram.com/ongabcjuntossomosfortes</v>
      </c>
      <c r="BX2" s="21" t="str">
        <f ca="1">IFERROR(__xludf.DUMMYFUNCTION("""COMPUTED_VALUE"""),"https://instagram.com/ongabcjuntossomosfortes")</f>
        <v>https://instagram.com/ongabcjuntossomosfortes</v>
      </c>
      <c r="BY2" s="21" t="str">
        <f ca="1">IFERROR(__xludf.DUMMYFUNCTION("""COMPUTED_VALUE"""),"https://drive.google.com/open?id=1_b8ujrLq-u8LqVIkB83dUkpYWwi8QLs5")</f>
        <v>https://drive.google.com/open?id=1_b8ujrLq-u8LqVIkB83dUkpYWwi8QLs5</v>
      </c>
    </row>
    <row r="3" spans="1:77" ht="12.5" hidden="1" x14ac:dyDescent="0.25">
      <c r="A3" s="21" t="str">
        <f ca="1">IFERROR(__xludf.DUMMYFUNCTION("""COMPUTED_VALUE"""),"0014X00002VKCtkQAH")</f>
        <v>0014X00002VKCtkQAH</v>
      </c>
      <c r="B3" s="27" t="str">
        <f ca="1">IFERROR(__xludf.DUMMYFUNCTION("""COMPUTED_VALUE"""),"Fase Inicial")</f>
        <v>Fase Inicial</v>
      </c>
      <c r="C3" s="27" t="str">
        <f ca="1">IFERROR(__xludf.DUMMYFUNCTION("""COMPUTED_VALUE"""),"Fellow")</f>
        <v>Fellow</v>
      </c>
      <c r="D3" s="27" t="str">
        <f ca="1">IFERROR(__xludf.DUMMYFUNCTION("""COMPUTED_VALUE"""),"Ativo")</f>
        <v>Ativo</v>
      </c>
      <c r="E3" s="27" t="str">
        <f ca="1">IFERROR(__xludf.DUMMYFUNCTION("""COMPUTED_VALUE"""),"ACIESP")</f>
        <v>ACIESP</v>
      </c>
      <c r="F3" s="27" t="str">
        <f ca="1">IFERROR(__xludf.DUMMYFUNCTION("""COMPUTED_VALUE"""),"Ceureci")</f>
        <v>Ceureci</v>
      </c>
      <c r="G3" s="27" t="str">
        <f ca="1">IFERROR(__xludf.DUMMYFUNCTION("""COMPUTED_VALUE"""),"ACIESP")</f>
        <v>ACIESP</v>
      </c>
      <c r="H3" s="27" t="str">
        <f ca="1">IFERROR(__xludf.DUMMYFUNCTION("""COMPUTED_VALUE"""),"18.801.945/0001-78")</f>
        <v>18.801.945/0001-78</v>
      </c>
      <c r="I3" s="27" t="str">
        <f ca="1">IFERROR(__xludf.DUMMYFUNCTION("""COMPUTED_VALUE"""),"Devanir de Souza Ramos")</f>
        <v>Devanir de Souza Ramos</v>
      </c>
      <c r="J3" s="27" t="str">
        <f ca="1">IFERROR(__xludf.DUMMYFUNCTION("""COMPUTED_VALUE"""),"aciespms@gmail.com")</f>
        <v>aciespms@gmail.com</v>
      </c>
      <c r="K3" s="27" t="str">
        <f ca="1">IFERROR(__xludf.DUMMYFUNCTION("""COMPUTED_VALUE"""),"(67)9922-2525")</f>
        <v>(67)9922-2525</v>
      </c>
      <c r="L3" s="27" t="str">
        <f ca="1">IFERROR(__xludf.DUMMYFUNCTION("""COMPUTED_VALUE"""),"MS")</f>
        <v>MS</v>
      </c>
      <c r="M3" s="27" t="str">
        <f ca="1">IFERROR(__xludf.DUMMYFUNCTION("""COMPUTED_VALUE"""),"Inocência  Moreira dos Santos")</f>
        <v>Inocência  Moreira dos Santos</v>
      </c>
      <c r="N3" s="27" t="str">
        <f ca="1">IFERROR(__xludf.DUMMYFUNCTION("""COMPUTED_VALUE"""),"Aero Rancho")</f>
        <v>Aero Rancho</v>
      </c>
      <c r="O3" s="27">
        <f ca="1">IFERROR(__xludf.DUMMYFUNCTION("""COMPUTED_VALUE"""),45)</f>
        <v>45</v>
      </c>
      <c r="P3" s="27" t="str">
        <f ca="1">IFERROR(__xludf.DUMMYFUNCTION("""COMPUTED_VALUE"""),"Campo Grande")</f>
        <v>Campo Grande</v>
      </c>
      <c r="Q3" s="27"/>
      <c r="R3" s="27" t="str">
        <f ca="1">IFERROR(__xludf.DUMMYFUNCTION("""COMPUTED_VALUE"""),"79084-093")</f>
        <v>79084-093</v>
      </c>
      <c r="S3" s="27" t="str">
        <f ca="1">IFERROR(__xludf.DUMMYFUNCTION("""COMPUTED_VALUE"""),"não")</f>
        <v>não</v>
      </c>
      <c r="T3" s="27"/>
      <c r="U3" s="27" t="str">
        <f ca="1">IFERROR(__xludf.DUMMYFUNCTION("""COMPUTED_VALUE"""),"Crianças (6 a 12 anos), Adolescentes (12 aos 18 anos), Jovens (18 aos 24 anos), Adultos, Idosos (60 anos ou mais)")</f>
        <v>Crianças (6 a 12 anos), Adolescentes (12 aos 18 anos), Jovens (18 aos 24 anos), Adultos, Idosos (60 anos ou mais)</v>
      </c>
      <c r="V3" s="27" t="str">
        <f ca="1">IFERROR(__xludf.DUMMYFUNCTION("""COMPUTED_VALUE"""),"População LGBTQ+, Outros")</f>
        <v>População LGBTQ+, Outros</v>
      </c>
      <c r="W3" s="27">
        <f ca="1">IFERROR(__xludf.DUMMYFUNCTION("""COMPUTED_VALUE"""),6)</f>
        <v>6</v>
      </c>
      <c r="X3" s="27" t="str">
        <f ca="1">IFERROR(__xludf.DUMMYFUNCTION("""COMPUTED_VALUE"""),"Nós atendemos qualquer pessoa  da cidade inteira que estejas precisando de socorro  independente de região * pois nosso foco é vítimas de violencia  e empoderamento .")</f>
        <v>Nós atendemos qualquer pessoa  da cidade inteira que estejas precisando de socorro  independente de região * pois nosso foco é vítimas de violencia  e empoderamento .</v>
      </c>
      <c r="Y3" s="27"/>
      <c r="Z3" s="27">
        <f ca="1">IFERROR(__xludf.DUMMYFUNCTION("""COMPUTED_VALUE"""),1000)</f>
        <v>1000</v>
      </c>
      <c r="AA3" s="29">
        <f ca="1">IFERROR(__xludf.DUMMYFUNCTION("""COMPUTED_VALUE"""),41499)</f>
        <v>41499</v>
      </c>
      <c r="AB3" s="27" t="str">
        <f ca="1">IFERROR(__xludf.DUMMYFUNCTION("""COMPUTED_VALUE"""),"Sim")</f>
        <v>Sim</v>
      </c>
      <c r="AC3" s="27">
        <f ca="1">IFERROR(__xludf.DUMMYFUNCTION("""COMPUTED_VALUE"""),14)</f>
        <v>14</v>
      </c>
      <c r="AD3" s="27">
        <f ca="1">IFERROR(__xludf.DUMMYFUNCTION("""COMPUTED_VALUE"""),6)</f>
        <v>6</v>
      </c>
      <c r="AE3" s="27">
        <f ca="1">IFERROR(__xludf.DUMMYFUNCTION("""COMPUTED_VALUE"""),0)</f>
        <v>0</v>
      </c>
      <c r="AF3" s="27">
        <f ca="1">IFERROR(__xludf.DUMMYFUNCTION("""COMPUTED_VALUE"""),3)</f>
        <v>3</v>
      </c>
      <c r="AG3" s="27">
        <f ca="1">IFERROR(__xludf.DUMMYFUNCTION("""COMPUTED_VALUE"""),5)</f>
        <v>5</v>
      </c>
      <c r="AH3" s="27" t="str">
        <f ca="1">IFERROR(__xludf.DUMMYFUNCTION("""COMPUTED_VALUE"""),"Lei de Incentivo, Editais, FIA, Recursos próprios")</f>
        <v>Lei de Incentivo, Editais, FIA, Recursos próprios</v>
      </c>
      <c r="AI3" s="27" t="str">
        <f ca="1">IFERROR(__xludf.DUMMYFUNCTION("""COMPUTED_VALUE"""),"Lei de Incentivo 1%, editais 70%, Parceria privada 10%, FIA 1%, Recursos Próprios 18%.")</f>
        <v>Lei de Incentivo 1%, editais 70%, Parceria privada 10%, FIA 1%, Recursos Próprios 18%.</v>
      </c>
      <c r="AJ3" s="27" t="str">
        <f ca="1">IFERROR(__xludf.DUMMYFUNCTION("""COMPUTED_VALUE"""),"Não")</f>
        <v>Não</v>
      </c>
      <c r="AK3" s="27"/>
      <c r="AL3" s="21" t="str">
        <f ca="1">IFERROR(__xludf.DUMMYFUNCTION("""COMPUTED_VALUE"""),"0034X0000380O4I")</f>
        <v>0034X0000380O4I</v>
      </c>
      <c r="AM3" s="27" t="str">
        <f ca="1">IFERROR(__xludf.DUMMYFUNCTION("""COMPUTED_VALUE"""),"Fátima santiago ramos")</f>
        <v>Fátima santiago ramos</v>
      </c>
      <c r="AN3" s="27" t="str">
        <f ca="1">IFERROR(__xludf.DUMMYFUNCTION("""COMPUTED_VALUE"""),"Ativo")</f>
        <v>Ativo</v>
      </c>
      <c r="AO3" s="27"/>
      <c r="AP3" s="27"/>
      <c r="AQ3" s="27" t="str">
        <f ca="1">IFERROR(__xludf.DUMMYFUNCTION("""COMPUTED_VALUE"""),"Primeiro Semestre 2022")</f>
        <v>Primeiro Semestre 2022</v>
      </c>
      <c r="AR3" s="27" t="str">
        <f ca="1">IFERROR(__xludf.DUMMYFUNCTION("""COMPUTED_VALUE"""),"ceureciramos@gmail.com")</f>
        <v>ceureciramos@gmail.com</v>
      </c>
      <c r="AS3" s="27">
        <f ca="1">IFERROR(__xludf.DUMMYFUNCTION("""COMPUTED_VALUE"""),67992888349)</f>
        <v>67992888349</v>
      </c>
      <c r="AT3" s="29">
        <f ca="1">IFERROR(__xludf.DUMMYFUNCTION("""COMPUTED_VALUE"""),26838)</f>
        <v>26838</v>
      </c>
      <c r="AU3" s="27">
        <f ca="1">IFERROR(__xludf.DUMMYFUNCTION("""COMPUTED_VALUE"""),49)</f>
        <v>49</v>
      </c>
      <c r="AV3" s="27">
        <f ca="1">IFERROR(__xludf.DUMMYFUNCTION("""COMPUTED_VALUE"""),3326034903)</f>
        <v>3326034903</v>
      </c>
      <c r="AW3" s="27">
        <f ca="1">IFERROR(__xludf.DUMMYFUNCTION("""COMPUTED_VALUE"""),830448)</f>
        <v>830448</v>
      </c>
      <c r="AX3" s="27"/>
      <c r="AY3" s="27"/>
      <c r="AZ3" s="27" t="str">
        <f ca="1">IFERROR(__xludf.DUMMYFUNCTION("""COMPUTED_VALUE"""),"M")</f>
        <v>M</v>
      </c>
      <c r="BA3" s="27" t="str">
        <f ca="1">IFERROR(__xludf.DUMMYFUNCTION("""COMPUTED_VALUE"""),"Parda")</f>
        <v>Parda</v>
      </c>
      <c r="BB3" s="27"/>
      <c r="BC3" s="27"/>
      <c r="BD3" s="27" t="str">
        <f ca="1">IFERROR(__xludf.DUMMYFUNCTION("""COMPUTED_VALUE"""),"Casada* com Devanir Ramos *mãe de 3 filhos *vovó de um lindo Neto *formada em pedagogia em 1999* paranaense da cidade de Santo Antônio sudoeste*ex empresária do ramo têxtil * hoje se dedica a ong aciesp  a qual foi fundadora cuidando de mulheres vítimas d"&amp;"e violencia doméstica e seus familiares em situação de extrema pobreza.")</f>
        <v>Casada* com Devanir Ramos *mãe de 3 filhos *vovó de um lindo Neto *formada em pedagogia em 1999* paranaense da cidade de Santo Antônio sudoeste*ex empresária do ramo têxtil * hoje se dedica a ong aciesp  a qual foi fundadora cuidando de mulheres vítimas de violencia doméstica e seus familiares em situação de extrema pobreza.</v>
      </c>
      <c r="BE3" s="27" t="str">
        <f ca="1">IFERROR(__xludf.DUMMYFUNCTION("""COMPUTED_VALUE"""),"Feminino")</f>
        <v>Feminino</v>
      </c>
      <c r="BF3" s="27" t="str">
        <f ca="1">IFERROR(__xludf.DUMMYFUNCTION("""COMPUTED_VALUE"""),"Heterossexual")</f>
        <v>Heterossexual</v>
      </c>
      <c r="BG3" s="27"/>
      <c r="BH3" s="27" t="str">
        <f ca="1">IFERROR(__xludf.DUMMYFUNCTION("""COMPUTED_VALUE"""),"Público")</f>
        <v>Público</v>
      </c>
      <c r="BI3" s="27"/>
      <c r="BJ3" s="27"/>
      <c r="BK3" s="27" t="str">
        <f ca="1">IFERROR(__xludf.DUMMYFUNCTION("""COMPUTED_VALUE"""),"Rua da Beira mar")</f>
        <v>Rua da Beira mar</v>
      </c>
      <c r="BL3" s="27">
        <f ca="1">IFERROR(__xludf.DUMMYFUNCTION("""COMPUTED_VALUE"""),905)</f>
        <v>905</v>
      </c>
      <c r="BM3" s="27"/>
      <c r="BN3" s="27"/>
      <c r="BO3" s="27" t="str">
        <f ca="1">IFERROR(__xludf.DUMMYFUNCTION("""COMPUTED_VALUE"""),"79097-100")</f>
        <v>79097-100</v>
      </c>
      <c r="BP3" s="27" t="str">
        <f ca="1">IFERROR(__xludf.DUMMYFUNCTION("""COMPUTED_VALUE"""),"MS")</f>
        <v>MS</v>
      </c>
      <c r="BQ3" s="27" t="str">
        <f ca="1">IFERROR(__xludf.DUMMYFUNCTION("""COMPUTED_VALUE"""),"Entre 1 até 3 salários mínimos")</f>
        <v>Entre 1 até 3 salários mínimos</v>
      </c>
      <c r="BR3" s="27" t="str">
        <f ca="1">IFERROR(__xludf.DUMMYFUNCTION("""COMPUTED_VALUE"""),"CLT")</f>
        <v>CLT</v>
      </c>
      <c r="BS3" s="27" t="str">
        <f ca="1">IFERROR(__xludf.DUMMYFUNCTION("""COMPUTED_VALUE"""),"Casa própria")</f>
        <v>Casa própria</v>
      </c>
      <c r="BT3" s="27">
        <f ca="1">IFERROR(__xludf.DUMMYFUNCTION("""COMPUTED_VALUE"""),3)</f>
        <v>3</v>
      </c>
      <c r="BU3" s="27" t="str">
        <f ca="1">IFERROR(__xludf.DUMMYFUNCTION("""COMPUTED_VALUE"""),"Não tem")</f>
        <v>Não tem</v>
      </c>
      <c r="BV3" s="27" t="str">
        <f ca="1">IFERROR(__xludf.DUMMYFUNCTION("""COMPUTED_VALUE"""),"Não")</f>
        <v>Não</v>
      </c>
      <c r="BW3" s="27"/>
      <c r="BX3" s="21" t="str">
        <f ca="1">IFERROR(__xludf.DUMMYFUNCTION("""COMPUTED_VALUE"""),"https://www.instagram.com/invites/contact/?i=draji9vq0nl6&amp;utm_content=o0rj2q")</f>
        <v>https://www.instagram.com/invites/contact/?i=draji9vq0nl6&amp;utm_content=o0rj2q</v>
      </c>
      <c r="BY3" s="21" t="str">
        <f ca="1">IFERROR(__xludf.DUMMYFUNCTION("""COMPUTED_VALUE"""),"https://drive.google.com/open?id=1GGYFJ08MwDfc6GMEX2czdskzObwA4eFb")</f>
        <v>https://drive.google.com/open?id=1GGYFJ08MwDfc6GMEX2czdskzObwA4eFb</v>
      </c>
    </row>
    <row r="4" spans="1:77" ht="12.5" hidden="1" x14ac:dyDescent="0.25">
      <c r="A4" s="21" t="str">
        <f ca="1">IFERROR(__xludf.DUMMYFUNCTION("""COMPUTED_VALUE"""),"0014P00003YSpAEQA1")</f>
        <v>0014P00003YSpAEQA1</v>
      </c>
      <c r="B4" s="27" t="str">
        <f ca="1">IFERROR(__xludf.DUMMYFUNCTION("""COMPUTED_VALUE"""),"Fase Inicial")</f>
        <v>Fase Inicial</v>
      </c>
      <c r="C4" s="27" t="str">
        <f ca="1">IFERROR(__xludf.DUMMYFUNCTION("""COMPUTED_VALUE"""),"Fellow")</f>
        <v>Fellow</v>
      </c>
      <c r="D4" s="27" t="str">
        <f ca="1">IFERROR(__xludf.DUMMYFUNCTION("""COMPUTED_VALUE"""),"Ativo")</f>
        <v>Ativo</v>
      </c>
      <c r="E4" s="27" t="str">
        <f ca="1">IFERROR(__xludf.DUMMYFUNCTION("""COMPUTED_VALUE"""),"Actum Brazil")</f>
        <v>Actum Brazil</v>
      </c>
      <c r="F4" s="27" t="str">
        <f ca="1">IFERROR(__xludf.DUMMYFUNCTION("""COMPUTED_VALUE"""),"Jessica")</f>
        <v>Jessica</v>
      </c>
      <c r="G4" s="27"/>
      <c r="H4" s="27" t="str">
        <f ca="1">IFERROR(__xludf.DUMMYFUNCTION("""COMPUTED_VALUE"""),"44.721.183/0001-00")</f>
        <v>44.721.183/0001-00</v>
      </c>
      <c r="I4" s="27" t="str">
        <f ca="1">IFERROR(__xludf.DUMMYFUNCTION("""COMPUTED_VALUE"""),"Marcos Paulo Melo")</f>
        <v>Marcos Paulo Melo</v>
      </c>
      <c r="J4" s="27" t="str">
        <f ca="1">IFERROR(__xludf.DUMMYFUNCTION("""COMPUTED_VALUE"""),"actum.diretoria@gmail.com")</f>
        <v>actum.diretoria@gmail.com</v>
      </c>
      <c r="K4" s="27" t="str">
        <f ca="1">IFERROR(__xludf.DUMMYFUNCTION("""COMPUTED_VALUE"""),"(51)98566-4806")</f>
        <v>(51)98566-4806</v>
      </c>
      <c r="L4" s="27" t="str">
        <f ca="1">IFERROR(__xludf.DUMMYFUNCTION("""COMPUTED_VALUE"""),"AC")</f>
        <v>AC</v>
      </c>
      <c r="M4" s="27" t="str">
        <f ca="1">IFERROR(__xludf.DUMMYFUNCTION("""COMPUTED_VALUE"""),"Rua Independência")</f>
        <v>Rua Independência</v>
      </c>
      <c r="N4" s="27" t="str">
        <f ca="1">IFERROR(__xludf.DUMMYFUNCTION("""COMPUTED_VALUE"""),"Bairro Bela Vista")</f>
        <v>Bairro Bela Vista</v>
      </c>
      <c r="O4" s="27">
        <f ca="1">IFERROR(__xludf.DUMMYFUNCTION("""COMPUTED_VALUE"""),366)</f>
        <v>366</v>
      </c>
      <c r="P4" s="27" t="str">
        <f ca="1">IFERROR(__xludf.DUMMYFUNCTION("""COMPUTED_VALUE"""),"Rio Branco")</f>
        <v>Rio Branco</v>
      </c>
      <c r="Q4" s="27"/>
      <c r="R4" s="27" t="str">
        <f ca="1">IFERROR(__xludf.DUMMYFUNCTION("""COMPUTED_VALUE"""),"69911-292")</f>
        <v>69911-292</v>
      </c>
      <c r="S4" s="27"/>
      <c r="T4" s="27" t="str">
        <f ca="1">IFERROR(__xludf.DUMMYFUNCTION("""COMPUTED_VALUE"""),"Educação; Empregabilidade; Qualificação Profissional; Empoderamento Feminino; Ciência e Tecnologia; Defesa de Direitos")</f>
        <v>Educação; Empregabilidade; Qualificação Profissional; Empoderamento Feminino; Ciência e Tecnologia; Defesa de Direitos</v>
      </c>
      <c r="U4" s="27" t="str">
        <f ca="1">IFERROR(__xludf.DUMMYFUNCTION("""COMPUTED_VALUE"""),"Adolescentes (12 aos 18 anos); Jovens (18 aos 24 anos)")</f>
        <v>Adolescentes (12 aos 18 anos); Jovens (18 aos 24 anos)</v>
      </c>
      <c r="V4" s="27" t="str">
        <f ca="1">IFERROR(__xludf.DUMMYFUNCTION("""COMPUTED_VALUE"""),"População LGBTQ+; Povos Indígenas; Afrodescendentes; Ribeirinhos")</f>
        <v>População LGBTQ+; Povos Indígenas; Afrodescendentes; Ribeirinhos</v>
      </c>
      <c r="W4" s="27">
        <f ca="1">IFERROR(__xludf.DUMMYFUNCTION("""COMPUTED_VALUE"""),10)</f>
        <v>10</v>
      </c>
      <c r="X4" s="27" t="str">
        <f ca="1">IFERROR(__xludf.DUMMYFUNCTION("""COMPUTED_VALUE"""),"Jovens entre 16 e 26 anos de baixa renda de todos os nove estados da Região Amazônica.")</f>
        <v>Jovens entre 16 e 26 anos de baixa renda de todos os nove estados da Região Amazônica.</v>
      </c>
      <c r="Y4" s="27"/>
      <c r="Z4" s="27">
        <f ca="1">IFERROR(__xludf.DUMMYFUNCTION("""COMPUTED_VALUE"""),30)</f>
        <v>30</v>
      </c>
      <c r="AA4" s="30">
        <f ca="1">IFERROR(__xludf.DUMMYFUNCTION("""COMPUTED_VALUE"""),43795)</f>
        <v>43795</v>
      </c>
      <c r="AB4" s="27" t="str">
        <f ca="1">IFERROR(__xludf.DUMMYFUNCTION("""COMPUTED_VALUE"""),"Não")</f>
        <v>Não</v>
      </c>
      <c r="AC4" s="27">
        <f ca="1">IFERROR(__xludf.DUMMYFUNCTION("""COMPUTED_VALUE"""),0)</f>
        <v>0</v>
      </c>
      <c r="AD4" s="27">
        <f ca="1">IFERROR(__xludf.DUMMYFUNCTION("""COMPUTED_VALUE"""),0)</f>
        <v>0</v>
      </c>
      <c r="AE4" s="27">
        <f ca="1">IFERROR(__xludf.DUMMYFUNCTION("""COMPUTED_VALUE"""),30)</f>
        <v>30</v>
      </c>
      <c r="AF4" s="27">
        <f ca="1">IFERROR(__xludf.DUMMYFUNCTION("""COMPUTED_VALUE"""),35)</f>
        <v>35</v>
      </c>
      <c r="AG4" s="27">
        <f ca="1">IFERROR(__xludf.DUMMYFUNCTION("""COMPUTED_VALUE"""),5)</f>
        <v>5</v>
      </c>
      <c r="AH4" s="27" t="str">
        <f ca="1">IFERROR(__xludf.DUMMYFUNCTION("""COMPUTED_VALUE"""),"Eventos/Ações para captação; Parceria iniciativa privada; Editais; Doações; Recursos próprios")</f>
        <v>Eventos/Ações para captação; Parceria iniciativa privada; Editais; Doações; Recursos próprios</v>
      </c>
      <c r="AI4" s="27">
        <f ca="1">IFERROR(__xludf.DUMMYFUNCTION("""COMPUTED_VALUE"""),0)</f>
        <v>0</v>
      </c>
      <c r="AJ4" s="27"/>
      <c r="AK4" s="27"/>
      <c r="AL4" s="21" t="str">
        <f ca="1">IFERROR(__xludf.DUMMYFUNCTION("""COMPUTED_VALUE"""),"0034P000045kxkq")</f>
        <v>0034P000045kxkq</v>
      </c>
      <c r="AM4" s="27" t="str">
        <f ca="1">IFERROR(__xludf.DUMMYFUNCTION("""COMPUTED_VALUE"""),"Brenda Da Cunha Pereira")</f>
        <v>Brenda Da Cunha Pereira</v>
      </c>
      <c r="AN4" s="27" t="str">
        <f ca="1">IFERROR(__xludf.DUMMYFUNCTION("""COMPUTED_VALUE"""),"Ativo")</f>
        <v>Ativo</v>
      </c>
      <c r="AO4" s="30">
        <f ca="1">IFERROR(__xludf.DUMMYFUNCTION("""COMPUTED_VALUE"""),44551)</f>
        <v>44551</v>
      </c>
      <c r="AP4" s="27">
        <f ca="1">IFERROR(__xludf.DUMMYFUNCTION("""COMPUTED_VALUE"""),9)</f>
        <v>9</v>
      </c>
      <c r="AQ4" s="27" t="str">
        <f ca="1">IFERROR(__xludf.DUMMYFUNCTION("""COMPUTED_VALUE"""),"Segundo Semestre 2021")</f>
        <v>Segundo Semestre 2021</v>
      </c>
      <c r="AR4" s="27" t="str">
        <f ca="1">IFERROR(__xludf.DUMMYFUNCTION("""COMPUTED_VALUE"""),"jessicabrendacp@gmail.com")</f>
        <v>jessicabrendacp@gmail.com</v>
      </c>
      <c r="AS4" s="27" t="str">
        <f ca="1">IFERROR(__xludf.DUMMYFUNCTION("""COMPUTED_VALUE"""),"(51)8566-4806")</f>
        <v>(51)8566-4806</v>
      </c>
      <c r="AT4" s="30">
        <f ca="1">IFERROR(__xludf.DUMMYFUNCTION("""COMPUTED_VALUE"""),34264)</f>
        <v>34264</v>
      </c>
      <c r="AU4" s="27">
        <f ca="1">IFERROR(__xludf.DUMMYFUNCTION("""COMPUTED_VALUE"""),29)</f>
        <v>29</v>
      </c>
      <c r="AV4" s="27">
        <f ca="1">IFERROR(__xludf.DUMMYFUNCTION("""COMPUTED_VALUE"""),1573345202)</f>
        <v>1573345202</v>
      </c>
      <c r="AW4" s="27">
        <f ca="1">IFERROR(__xludf.DUMMYFUNCTION("""COMPUTED_VALUE"""),10556125)</f>
        <v>10556125</v>
      </c>
      <c r="AX4" s="27"/>
      <c r="AY4" s="27"/>
      <c r="AZ4" s="27" t="str">
        <f ca="1">IFERROR(__xludf.DUMMYFUNCTION("""COMPUTED_VALUE"""),"M")</f>
        <v>M</v>
      </c>
      <c r="BA4" s="27" t="str">
        <f ca="1">IFERROR(__xludf.DUMMYFUNCTION("""COMPUTED_VALUE"""),"Parda")</f>
        <v>Parda</v>
      </c>
      <c r="BB4" s="27" t="str">
        <f ca="1">IFERROR(__xludf.DUMMYFUNCTION("""COMPUTED_VALUE"""),"Mulher, cisgênero")</f>
        <v>Mulher, cisgênero</v>
      </c>
      <c r="BC4" s="27" t="str">
        <f ca="1">IFERROR(__xludf.DUMMYFUNCTION("""COMPUTED_VALUE"""),"Não")</f>
        <v>Não</v>
      </c>
      <c r="BD4" s="27" t="str">
        <f ca="1">IFERROR(__xludf.DUMMYFUNCTION("""COMPUTED_VALUE"""),"Acreana. Coordenadora de Aceleração pelo Impact Hub São Paulo - IdeiaGov. Alumni Vetor Brasil. Co-fundadora e Diretora de Relacionamento do Actum. Advogada com experiência em gestão pública e gestão de projetos do terceiro setor. Young Leader pela Women D"&amp;"eliver e Mentora do programa Inspire for Greatness. Líder Social Gerando Falcões.")</f>
        <v>Acreana. Coordenadora de Aceleração pelo Impact Hub São Paulo - IdeiaGov. Alumni Vetor Brasil. Co-fundadora e Diretora de Relacionamento do Actum. Advogada com experiência em gestão pública e gestão de projetos do terceiro setor. Young Leader pela Women Deliver e Mentora do programa Inspire for Greatness. Líder Social Gerando Falcões.</v>
      </c>
      <c r="BE4" s="27"/>
      <c r="BF4" s="27" t="str">
        <f ca="1">IFERROR(__xludf.DUMMYFUNCTION("""COMPUTED_VALUE"""),"Heterossexual")</f>
        <v>Heterossexual</v>
      </c>
      <c r="BG4" s="27" t="str">
        <f ca="1">IFERROR(__xludf.DUMMYFUNCTION("""COMPUTED_VALUE"""),"Ensino Superior - Completo")</f>
        <v>Ensino Superior - Completo</v>
      </c>
      <c r="BH4" s="27" t="str">
        <f ca="1">IFERROR(__xludf.DUMMYFUNCTION("""COMPUTED_VALUE"""),"Privado")</f>
        <v>Privado</v>
      </c>
      <c r="BI4" s="27" t="str">
        <f ca="1">IFERROR(__xludf.DUMMYFUNCTION("""COMPUTED_VALUE"""),"Pós-Graduação")</f>
        <v>Pós-Graduação</v>
      </c>
      <c r="BJ4" s="27" t="str">
        <f ca="1">IFERROR(__xludf.DUMMYFUNCTION("""COMPUTED_VALUE"""),"Privado")</f>
        <v>Privado</v>
      </c>
      <c r="BK4" s="27" t="str">
        <f ca="1">IFERROR(__xludf.DUMMYFUNCTION("""COMPUTED_VALUE"""),"Rua Valdomiro Lopes")</f>
        <v>Rua Valdomiro Lopes</v>
      </c>
      <c r="BL4" s="27">
        <f ca="1">IFERROR(__xludf.DUMMYFUNCTION("""COMPUTED_VALUE"""),373)</f>
        <v>373</v>
      </c>
      <c r="BM4" s="27"/>
      <c r="BN4" s="27" t="str">
        <f ca="1">IFERROR(__xludf.DUMMYFUNCTION("""COMPUTED_VALUE"""),"Rio Branco")</f>
        <v>Rio Branco</v>
      </c>
      <c r="BO4" s="27" t="str">
        <f ca="1">IFERROR(__xludf.DUMMYFUNCTION("""COMPUTED_VALUE"""),"69918-404")</f>
        <v>69918-404</v>
      </c>
      <c r="BP4" s="27" t="str">
        <f ca="1">IFERROR(__xludf.DUMMYFUNCTION("""COMPUTED_VALUE"""),"AC")</f>
        <v>AC</v>
      </c>
      <c r="BQ4" s="27" t="str">
        <f ca="1">IFERROR(__xludf.DUMMYFUNCTION("""COMPUTED_VALUE"""),"De 3 até 5 salários mínimos")</f>
        <v>De 3 até 5 salários mínimos</v>
      </c>
      <c r="BR4" s="27" t="str">
        <f ca="1">IFERROR(__xludf.DUMMYFUNCTION("""COMPUTED_VALUE"""),"MEI")</f>
        <v>MEI</v>
      </c>
      <c r="BS4" s="27" t="str">
        <f ca="1">IFERROR(__xludf.DUMMYFUNCTION("""COMPUTED_VALUE"""),"Aluguel")</f>
        <v>Aluguel</v>
      </c>
      <c r="BT4" s="27">
        <f ca="1">IFERROR(__xludf.DUMMYFUNCTION("""COMPUTED_VALUE"""),3)</f>
        <v>3</v>
      </c>
      <c r="BU4" s="27" t="str">
        <f ca="1">IFERROR(__xludf.DUMMYFUNCTION("""COMPUTED_VALUE"""),"Não tem")</f>
        <v>Não tem</v>
      </c>
      <c r="BV4" s="27"/>
      <c r="BW4" s="27" t="str">
        <f ca="1">IFERROR(__xludf.DUMMYFUNCTION("""COMPUTED_VALUE"""),"@jskbrenda")</f>
        <v>@jskbrenda</v>
      </c>
      <c r="BX4" s="27" t="str">
        <f ca="1">IFERROR(__xludf.DUMMYFUNCTION("""COMPUTED_VALUE"""),"@jessbpereira")</f>
        <v>@jessbpereira</v>
      </c>
      <c r="BY4" s="21" t="str">
        <f ca="1">IFERROR(__xludf.DUMMYFUNCTION("""COMPUTED_VALUE"""),"https://drive.google.com/open?id=1qKTwgHROY_jcpuXYbHKzxUjCyoRRLB8y")</f>
        <v>https://drive.google.com/open?id=1qKTwgHROY_jcpuXYbHKzxUjCyoRRLB8y</v>
      </c>
    </row>
    <row r="5" spans="1:77" ht="12.5" hidden="1" x14ac:dyDescent="0.25">
      <c r="A5" s="21" t="str">
        <f ca="1">IFERROR(__xludf.DUMMYFUNCTION("""COMPUTED_VALUE"""),"0014P00003AN2FaQAL")</f>
        <v>0014P00003AN2FaQAL</v>
      </c>
      <c r="B5" s="27" t="str">
        <f ca="1">IFERROR(__xludf.DUMMYFUNCTION("""COMPUTED_VALUE"""),"Fase Inicial")</f>
        <v>Fase Inicial</v>
      </c>
      <c r="C5" s="27" t="str">
        <f ca="1">IFERROR(__xludf.DUMMYFUNCTION("""COMPUTED_VALUE"""),"Fellow")</f>
        <v>Fellow</v>
      </c>
      <c r="D5" s="27" t="str">
        <f ca="1">IFERROR(__xludf.DUMMYFUNCTION("""COMPUTED_VALUE"""),"Ativo")</f>
        <v>Ativo</v>
      </c>
      <c r="E5" s="27" t="str">
        <f ca="1">IFERROR(__xludf.DUMMYFUNCTION("""COMPUTED_VALUE"""),"AGECOM- PROJETO GERAÇÃO DA CHICO")</f>
        <v>AGECOM- PROJETO GERAÇÃO DA CHICO</v>
      </c>
      <c r="F5" s="27" t="str">
        <f ca="1">IFERROR(__xludf.DUMMYFUNCTION("""COMPUTED_VALUE"""),"Ana")</f>
        <v>Ana</v>
      </c>
      <c r="G5" s="27" t="str">
        <f ca="1">IFERROR(__xludf.DUMMYFUNCTION("""COMPUTED_VALUE"""),"AGECOM")</f>
        <v>AGECOM</v>
      </c>
      <c r="H5" s="27" t="str">
        <f ca="1">IFERROR(__xludf.DUMMYFUNCTION("""COMPUTED_VALUE"""),"25.546.038/0001-95")</f>
        <v>25.546.038/0001-95</v>
      </c>
      <c r="I5" s="27" t="str">
        <f ca="1">IFERROR(__xludf.DUMMYFUNCTION("""COMPUTED_VALUE"""),"Alessandra Da Luz Dias")</f>
        <v>Alessandra Da Luz Dias</v>
      </c>
      <c r="J5" s="27" t="str">
        <f ca="1">IFERROR(__xludf.DUMMYFUNCTION("""COMPUTED_VALUE"""),"projetoagecom@gmail.com")</f>
        <v>projetoagecom@gmail.com</v>
      </c>
      <c r="K5" s="27" t="str">
        <f ca="1">IFERROR(__xludf.DUMMYFUNCTION("""COMPUTED_VALUE"""),"(48)9999-5583")</f>
        <v>(48)9999-5583</v>
      </c>
      <c r="L5" s="27" t="str">
        <f ca="1">IFERROR(__xludf.DUMMYFUNCTION("""COMPUTED_VALUE"""),"SC")</f>
        <v>SC</v>
      </c>
      <c r="M5" s="27" t="str">
        <f ca="1">IFERROR(__xludf.DUMMYFUNCTION("""COMPUTED_VALUE"""),"Servidao pétalas dumont")</f>
        <v>Servidao pétalas dumont</v>
      </c>
      <c r="N5" s="27" t="str">
        <f ca="1">IFERROR(__xludf.DUMMYFUNCTION("""COMPUTED_VALUE"""),"Monte Cristo- comunidade Chico Mendes")</f>
        <v>Monte Cristo- comunidade Chico Mendes</v>
      </c>
      <c r="O5" s="27" t="str">
        <f ca="1">IFERROR(__xludf.DUMMYFUNCTION("""COMPUTED_VALUE"""),"(48)99999-5583")</f>
        <v>(48)99999-5583</v>
      </c>
      <c r="P5" s="27" t="str">
        <f ca="1">IFERROR(__xludf.DUMMYFUNCTION("""COMPUTED_VALUE"""),"Florianópolis")</f>
        <v>Florianópolis</v>
      </c>
      <c r="Q5" s="27" t="str">
        <f ca="1">IFERROR(__xludf.DUMMYFUNCTION("""COMPUTED_VALUE"""),"Conjunto habitacional Chico Mendes")</f>
        <v>Conjunto habitacional Chico Mendes</v>
      </c>
      <c r="R5" s="27" t="str">
        <f ca="1">IFERROR(__xludf.DUMMYFUNCTION("""COMPUTED_VALUE"""),"88090-533")</f>
        <v>88090-533</v>
      </c>
      <c r="S5" s="27" t="str">
        <f ca="1">IFERROR(__xludf.DUMMYFUNCTION("""COMPUTED_VALUE"""),"não")</f>
        <v>não</v>
      </c>
      <c r="T5" s="27" t="str">
        <f ca="1">IFERROR(__xludf.DUMMYFUNCTION("""COMPUTED_VALUE"""),"Esporte; Empregabilidade; Assistência Social; Cultura; Qualificação Profissional; Empreendedorismo; Negócios Sociais; Apoio à gestão de organizações de Terceiro Setor; Assistência Psicológica; Desenvolvimento comunitário")</f>
        <v>Esporte; Empregabilidade; Assistência Social; Cultura; Qualificação Profissional; Empreendedorismo; Negócios Sociais; Apoio à gestão de organizações de Terceiro Setor; Assistência Psicológica; Desenvolvimento comunitário</v>
      </c>
      <c r="U5"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5" s="27" t="str">
        <f ca="1">IFERROR(__xludf.DUMMYFUNCTION("""COMPUTED_VALUE"""),"Moradores de Favelas")</f>
        <v>Moradores de Favelas</v>
      </c>
      <c r="W5" s="27">
        <f ca="1">IFERROR(__xludf.DUMMYFUNCTION("""COMPUTED_VALUE"""),1)</f>
        <v>1</v>
      </c>
      <c r="X5" s="27" t="str">
        <f ca="1">IFERROR(__xludf.DUMMYFUNCTION("""COMPUTED_VALUE"""),"Comunidade mais carente e violenta da capital.")</f>
        <v>Comunidade mais carente e violenta da capital.</v>
      </c>
      <c r="Y5" s="27">
        <f ca="1">IFERROR(__xludf.DUMMYFUNCTION("""COMPUTED_VALUE"""),40)</f>
        <v>40</v>
      </c>
      <c r="Z5" s="27">
        <f ca="1">IFERROR(__xludf.DUMMYFUNCTION("""COMPUTED_VALUE"""),400)</f>
        <v>400</v>
      </c>
      <c r="AA5" s="29">
        <f ca="1">IFERROR(__xludf.DUMMYFUNCTION("""COMPUTED_VALUE"""),42537)</f>
        <v>42537</v>
      </c>
      <c r="AB5" s="27" t="str">
        <f ca="1">IFERROR(__xludf.DUMMYFUNCTION("""COMPUTED_VALUE"""),"Sim")</f>
        <v>Sim</v>
      </c>
      <c r="AC5" s="27">
        <f ca="1">IFERROR(__xludf.DUMMYFUNCTION("""COMPUTED_VALUE"""),7)</f>
        <v>7</v>
      </c>
      <c r="AD5" s="27">
        <f ca="1">IFERROR(__xludf.DUMMYFUNCTION("""COMPUTED_VALUE"""),5)</f>
        <v>5</v>
      </c>
      <c r="AE5" s="27">
        <f ca="1">IFERROR(__xludf.DUMMYFUNCTION("""COMPUTED_VALUE"""),2)</f>
        <v>2</v>
      </c>
      <c r="AF5" s="27">
        <f ca="1">IFERROR(__xludf.DUMMYFUNCTION("""COMPUTED_VALUE"""),0)</f>
        <v>0</v>
      </c>
      <c r="AG5" s="27">
        <f ca="1">IFERROR(__xludf.DUMMYFUNCTION("""COMPUTED_VALUE"""),2)</f>
        <v>2</v>
      </c>
      <c r="AH5" s="27" t="str">
        <f ca="1">IFERROR(__xludf.DUMMYFUNCTION("""COMPUTED_VALUE"""),"Editais")</f>
        <v>Editais</v>
      </c>
      <c r="AI5" s="27">
        <f ca="1">IFERROR(__xludf.DUMMYFUNCTION("""COMPUTED_VALUE"""),0)</f>
        <v>0</v>
      </c>
      <c r="AJ5" s="27" t="str">
        <f ca="1">IFERROR(__xludf.DUMMYFUNCTION("""COMPUTED_VALUE"""),"Sim")</f>
        <v>Sim</v>
      </c>
      <c r="AK5" s="27" t="str">
        <f ca="1">IFERROR(__xludf.DUMMYFUNCTION("""COMPUTED_VALUE"""),"Não")</f>
        <v>Não</v>
      </c>
      <c r="AL5" s="21" t="str">
        <f ca="1">IFERROR(__xludf.DUMMYFUNCTION("""COMPUTED_VALUE"""),"0034P00003maBV0")</f>
        <v>0034P00003maBV0</v>
      </c>
      <c r="AM5" s="27" t="str">
        <f ca="1">IFERROR(__xludf.DUMMYFUNCTION("""COMPUTED_VALUE"""),"Karolina Dias De Oliveira")</f>
        <v>Karolina Dias De Oliveira</v>
      </c>
      <c r="AN5" s="27" t="str">
        <f ca="1">IFERROR(__xludf.DUMMYFUNCTION("""COMPUTED_VALUE"""),"Ativo")</f>
        <v>Ativo</v>
      </c>
      <c r="AO5" s="29">
        <f ca="1">IFERROR(__xludf.DUMMYFUNCTION("""COMPUTED_VALUE"""),44230)</f>
        <v>44230</v>
      </c>
      <c r="AP5" s="27">
        <f ca="1">IFERROR(__xludf.DUMMYFUNCTION("""COMPUTED_VALUE"""),19)</f>
        <v>19</v>
      </c>
      <c r="AQ5" s="27" t="str">
        <f ca="1">IFERROR(__xludf.DUMMYFUNCTION("""COMPUTED_VALUE"""),"Primeiro Semestre 2021")</f>
        <v>Primeiro Semestre 2021</v>
      </c>
      <c r="AR5" s="27" t="str">
        <f ca="1">IFERROR(__xludf.DUMMYFUNCTION("""COMPUTED_VALUE"""),"anakarolinapsi@gmail.com")</f>
        <v>anakarolinapsi@gmail.com</v>
      </c>
      <c r="AS5" s="27" t="str">
        <f ca="1">IFERROR(__xludf.DUMMYFUNCTION("""COMPUTED_VALUE"""),"(48)99999-5583")</f>
        <v>(48)99999-5583</v>
      </c>
      <c r="AT5" s="29">
        <f ca="1">IFERROR(__xludf.DUMMYFUNCTION("""COMPUTED_VALUE"""),32270)</f>
        <v>32270</v>
      </c>
      <c r="AU5" s="27">
        <f ca="1">IFERROR(__xludf.DUMMYFUNCTION("""COMPUTED_VALUE"""),34)</f>
        <v>34</v>
      </c>
      <c r="AV5" s="27">
        <f ca="1">IFERROR(__xludf.DUMMYFUNCTION("""COMPUTED_VALUE"""),7399365903)</f>
        <v>7399365903</v>
      </c>
      <c r="AW5" s="27">
        <f ca="1">IFERROR(__xludf.DUMMYFUNCTION("""COMPUTED_VALUE"""),50462932)</f>
        <v>50462932</v>
      </c>
      <c r="AX5" s="27" t="str">
        <f ca="1">IFERROR(__xludf.DUMMYFUNCTION("""COMPUTED_VALUE"""),"Psicologia")</f>
        <v>Psicologia</v>
      </c>
      <c r="AY5" s="27" t="str">
        <f ca="1">IFERROR(__xludf.DUMMYFUNCTION("""COMPUTED_VALUE"""),"Psicóloga por conta da renda. mas 90% e para o projeto")</f>
        <v>Psicóloga por conta da renda. mas 90% e para o projeto</v>
      </c>
      <c r="AZ5" s="27" t="str">
        <f ca="1">IFERROR(__xludf.DUMMYFUNCTION("""COMPUTED_VALUE"""),"P")</f>
        <v>P</v>
      </c>
      <c r="BA5" s="27"/>
      <c r="BB5" s="27"/>
      <c r="BC5" s="27" t="str">
        <f ca="1">IFERROR(__xludf.DUMMYFUNCTION("""COMPUTED_VALUE"""),"Sim")</f>
        <v>Sim</v>
      </c>
      <c r="BD5" s="27" t="str">
        <f ca="1">IFERROR(__xludf.DUMMYFUNCTION("""COMPUTED_VALUE"""),"Psicóloga social/ empreendedora social 
Líder do projeto geração da Chico")</f>
        <v>Psicóloga social/ empreendedora social 
Líder do projeto geração da Chico</v>
      </c>
      <c r="BE5" s="27"/>
      <c r="BF5" s="27"/>
      <c r="BG5" s="27" t="str">
        <f ca="1">IFERROR(__xludf.DUMMYFUNCTION("""COMPUTED_VALUE"""),"Ensino Superior - Completo")</f>
        <v>Ensino Superior - Completo</v>
      </c>
      <c r="BH5" s="27"/>
      <c r="BI5" s="27" t="str">
        <f ca="1">IFERROR(__xludf.DUMMYFUNCTION("""COMPUTED_VALUE"""),"Graduação")</f>
        <v>Graduação</v>
      </c>
      <c r="BJ5" s="27" t="str">
        <f ca="1">IFERROR(__xludf.DUMMYFUNCTION("""COMPUTED_VALUE"""),"Público")</f>
        <v>Público</v>
      </c>
      <c r="BK5" s="27" t="str">
        <f ca="1">IFERROR(__xludf.DUMMYFUNCTION("""COMPUTED_VALUE"""),"Francisco Pedro Machado")</f>
        <v>Francisco Pedro Machado</v>
      </c>
      <c r="BL5" s="27">
        <f ca="1">IFERROR(__xludf.DUMMYFUNCTION("""COMPUTED_VALUE"""),555)</f>
        <v>555</v>
      </c>
      <c r="BM5" s="27" t="str">
        <f ca="1">IFERROR(__xludf.DUMMYFUNCTION("""COMPUTED_VALUE"""),"Bloco B 1105")</f>
        <v>Bloco B 1105</v>
      </c>
      <c r="BN5" s="27" t="str">
        <f ca="1">IFERROR(__xludf.DUMMYFUNCTION("""COMPUTED_VALUE"""),"Florianopolis")</f>
        <v>Florianopolis</v>
      </c>
      <c r="BO5" s="27" t="str">
        <f ca="1">IFERROR(__xludf.DUMMYFUNCTION("""COMPUTED_VALUE"""),"88117-402")</f>
        <v>88117-402</v>
      </c>
      <c r="BP5" s="27" t="str">
        <f ca="1">IFERROR(__xludf.DUMMYFUNCTION("""COMPUTED_VALUE"""),"SC")</f>
        <v>SC</v>
      </c>
      <c r="BQ5" s="27" t="str">
        <f ca="1">IFERROR(__xludf.DUMMYFUNCTION("""COMPUTED_VALUE"""),"De 3 até 5 salários mínimos")</f>
        <v>De 3 até 5 salários mínimos</v>
      </c>
      <c r="BR5" s="27" t="str">
        <f ca="1">IFERROR(__xludf.DUMMYFUNCTION("""COMPUTED_VALUE"""),"MEI")</f>
        <v>MEI</v>
      </c>
      <c r="BS5" s="27" t="str">
        <f ca="1">IFERROR(__xludf.DUMMYFUNCTION("""COMPUTED_VALUE"""),"Aluguel")</f>
        <v>Aluguel</v>
      </c>
      <c r="BT5" s="27">
        <f ca="1">IFERROR(__xludf.DUMMYFUNCTION("""COMPUTED_VALUE"""),2)</f>
        <v>2</v>
      </c>
      <c r="BU5" s="27"/>
      <c r="BV5" s="27" t="str">
        <f ca="1">IFERROR(__xludf.DUMMYFUNCTION("""COMPUTED_VALUE"""),"Intolerância a lactose")</f>
        <v>Intolerância a lactose</v>
      </c>
      <c r="BW5" s="27"/>
      <c r="BX5" s="27" t="str">
        <f ca="1">IFERROR(__xludf.DUMMYFUNCTION("""COMPUTED_VALUE"""),"@krol_diass")</f>
        <v>@krol_diass</v>
      </c>
      <c r="BY5" s="21" t="str">
        <f ca="1">IFERROR(__xludf.DUMMYFUNCTION("""COMPUTED_VALUE"""),"https://drive.google.com/open?id=1nZQ49SabNU3Vm4VK3EyQyAtHKI-Qn1Y-")</f>
        <v>https://drive.google.com/open?id=1nZQ49SabNU3Vm4VK3EyQyAtHKI-Qn1Y-</v>
      </c>
    </row>
    <row r="6" spans="1:77" ht="12.5" hidden="1" x14ac:dyDescent="0.25">
      <c r="A6" s="21" t="str">
        <f ca="1">IFERROR(__xludf.DUMMYFUNCTION("""COMPUTED_VALUE"""),"0014X00002VKCucQAH")</f>
        <v>0014X00002VKCucQAH</v>
      </c>
      <c r="B6" s="27" t="str">
        <f ca="1">IFERROR(__xludf.DUMMYFUNCTION("""COMPUTED_VALUE"""),"Fase Inicial")</f>
        <v>Fase Inicial</v>
      </c>
      <c r="C6" s="27" t="str">
        <f ca="1">IFERROR(__xludf.DUMMYFUNCTION("""COMPUTED_VALUE"""),"Fellow")</f>
        <v>Fellow</v>
      </c>
      <c r="D6" s="27" t="str">
        <f ca="1">IFERROR(__xludf.DUMMYFUNCTION("""COMPUTED_VALUE"""),"Ativo")</f>
        <v>Ativo</v>
      </c>
      <c r="E6" s="27" t="str">
        <f ca="1">IFERROR(__xludf.DUMMYFUNCTION("""COMPUTED_VALUE"""),"Agentes de Transformação Associação Civil")</f>
        <v>Agentes de Transformação Associação Civil</v>
      </c>
      <c r="F6" s="27" t="str">
        <f ca="1">IFERROR(__xludf.DUMMYFUNCTION("""COMPUTED_VALUE"""),"Douglas")</f>
        <v>Douglas</v>
      </c>
      <c r="G6" s="27" t="str">
        <f ca="1">IFERROR(__xludf.DUMMYFUNCTION("""COMPUTED_VALUE"""),"AGENTES DE TRANSFORMAÇÃO")</f>
        <v>AGENTES DE TRANSFORMAÇÃO</v>
      </c>
      <c r="H6" s="27" t="str">
        <f ca="1">IFERROR(__xludf.DUMMYFUNCTION("""COMPUTED_VALUE"""),"45.779.200/0001-22")</f>
        <v>45.779.200/0001-22</v>
      </c>
      <c r="I6" s="27" t="str">
        <f ca="1">IFERROR(__xludf.DUMMYFUNCTION("""COMPUTED_VALUE"""),"Neusa de Fátima Assis Ribeiro da Silva")</f>
        <v>Neusa de Fátima Assis Ribeiro da Silva</v>
      </c>
      <c r="J6" s="27" t="str">
        <f ca="1">IFERROR(__xludf.DUMMYFUNCTION("""COMPUTED_VALUE"""),"agentesdetransformacaoong@gmail.com")</f>
        <v>agentesdetransformacaoong@gmail.com</v>
      </c>
      <c r="K6" s="27" t="str">
        <f ca="1">IFERROR(__xludf.DUMMYFUNCTION("""COMPUTED_VALUE"""),"(11)96668-3880")</f>
        <v>(11)96668-3880</v>
      </c>
      <c r="L6" s="27" t="str">
        <f ca="1">IFERROR(__xludf.DUMMYFUNCTION("""COMPUTED_VALUE"""),"SP")</f>
        <v>SP</v>
      </c>
      <c r="M6" s="27" t="str">
        <f ca="1">IFERROR(__xludf.DUMMYFUNCTION("""COMPUTED_VALUE"""),"Benjamim Novais")</f>
        <v>Benjamim Novais</v>
      </c>
      <c r="N6" s="27" t="str">
        <f ca="1">IFERROR(__xludf.DUMMYFUNCTION("""COMPUTED_VALUE"""),"Burgo Pailista")</f>
        <v>Burgo Pailista</v>
      </c>
      <c r="O6" s="27">
        <f ca="1">IFERROR(__xludf.DUMMYFUNCTION("""COMPUTED_VALUE"""),105)</f>
        <v>105</v>
      </c>
      <c r="P6" s="27" t="str">
        <f ca="1">IFERROR(__xludf.DUMMYFUNCTION("""COMPUTED_VALUE"""),"São Paulo")</f>
        <v>São Paulo</v>
      </c>
      <c r="Q6" s="27" t="str">
        <f ca="1">IFERROR(__xludf.DUMMYFUNCTION("""COMPUTED_VALUE"""),"Escritório Administrativo")</f>
        <v>Escritório Administrativo</v>
      </c>
      <c r="R6" s="27" t="str">
        <f ca="1">IFERROR(__xludf.DUMMYFUNCTION("""COMPUTED_VALUE"""),"03682-120")</f>
        <v>03682-120</v>
      </c>
      <c r="S6" s="27" t="str">
        <f ca="1">IFERROR(__xludf.DUMMYFUNCTION("""COMPUTED_VALUE"""),"Céu Pq São Carlos - Jd São Carlos")</f>
        <v>Céu Pq São Carlos - Jd São Carlos</v>
      </c>
      <c r="T6" s="27"/>
      <c r="U6"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6" s="27" t="str">
        <f ca="1">IFERROR(__xludf.DUMMYFUNCTION("""COMPUTED_VALUE"""),"Moradores de Favelas, Pessoas em situação de rua, Afrodescendentes, Imigrantes, Refugiados")</f>
        <v>Moradores de Favelas, Pessoas em situação de rua, Afrodescendentes, Imigrantes, Refugiados</v>
      </c>
      <c r="W6" s="27">
        <f ca="1">IFERROR(__xludf.DUMMYFUNCTION("""COMPUTED_VALUE"""),7)</f>
        <v>7</v>
      </c>
      <c r="X6" s="27"/>
      <c r="Y6" s="27"/>
      <c r="Z6" s="27">
        <f ca="1">IFERROR(__xludf.DUMMYFUNCTION("""COMPUTED_VALUE"""),320)</f>
        <v>320</v>
      </c>
      <c r="AA6" s="29">
        <f ca="1">IFERROR(__xludf.DUMMYFUNCTION("""COMPUTED_VALUE"""),44644)</f>
        <v>44644</v>
      </c>
      <c r="AB6" s="27" t="str">
        <f ca="1">IFERROR(__xludf.DUMMYFUNCTION("""COMPUTED_VALUE"""),"Não")</f>
        <v>Não</v>
      </c>
      <c r="AC6" s="27">
        <f ca="1">IFERROR(__xludf.DUMMYFUNCTION("""COMPUTED_VALUE"""),0)</f>
        <v>0</v>
      </c>
      <c r="AD6" s="27">
        <f ca="1">IFERROR(__xludf.DUMMYFUNCTION("""COMPUTED_VALUE"""),7)</f>
        <v>7</v>
      </c>
      <c r="AE6" s="27">
        <f ca="1">IFERROR(__xludf.DUMMYFUNCTION("""COMPUTED_VALUE"""),15)</f>
        <v>15</v>
      </c>
      <c r="AF6" s="27">
        <f ca="1">IFERROR(__xludf.DUMMYFUNCTION("""COMPUTED_VALUE"""),10)</f>
        <v>10</v>
      </c>
      <c r="AG6" s="27">
        <f ca="1">IFERROR(__xludf.DUMMYFUNCTION("""COMPUTED_VALUE"""),2)</f>
        <v>2</v>
      </c>
      <c r="AH6" s="27" t="str">
        <f ca="1">IFERROR(__xludf.DUMMYFUNCTION("""COMPUTED_VALUE"""),"Doações, Recursos próprios")</f>
        <v>Doações, Recursos próprios</v>
      </c>
      <c r="AI6" s="27">
        <f ca="1">IFERROR(__xludf.DUMMYFUNCTION("""COMPUTED_VALUE"""),0)</f>
        <v>0</v>
      </c>
      <c r="AJ6" s="27" t="str">
        <f ca="1">IFERROR(__xludf.DUMMYFUNCTION("""COMPUTED_VALUE"""),"Sim")</f>
        <v>Sim</v>
      </c>
      <c r="AK6" s="27"/>
      <c r="AL6" s="21" t="str">
        <f ca="1">IFERROR(__xludf.DUMMYFUNCTION("""COMPUTED_VALUE"""),"0034X0000380O15")</f>
        <v>0034X0000380O15</v>
      </c>
      <c r="AM6" s="27" t="str">
        <f ca="1">IFERROR(__xludf.DUMMYFUNCTION("""COMPUTED_VALUE"""),"Fernando de assis silva")</f>
        <v>Fernando de assis silva</v>
      </c>
      <c r="AN6" s="27" t="str">
        <f ca="1">IFERROR(__xludf.DUMMYFUNCTION("""COMPUTED_VALUE"""),"Ativo")</f>
        <v>Ativo</v>
      </c>
      <c r="AO6" s="29">
        <f ca="1">IFERROR(__xludf.DUMMYFUNCTION("""COMPUTED_VALUE"""),44763)</f>
        <v>44763</v>
      </c>
      <c r="AP6" s="27">
        <f ca="1">IFERROR(__xludf.DUMMYFUNCTION("""COMPUTED_VALUE"""),2)</f>
        <v>2</v>
      </c>
      <c r="AQ6" s="27" t="str">
        <f ca="1">IFERROR(__xludf.DUMMYFUNCTION("""COMPUTED_VALUE"""),"Primeiro Semestre 2022")</f>
        <v>Primeiro Semestre 2022</v>
      </c>
      <c r="AR6" s="27" t="str">
        <f ca="1">IFERROR(__xludf.DUMMYFUNCTION("""COMPUTED_VALUE"""),"douglasfernandodeassissilva@gmail.com")</f>
        <v>douglasfernandodeassissilva@gmail.com</v>
      </c>
      <c r="AS6" s="27" t="str">
        <f ca="1">IFERROR(__xludf.DUMMYFUNCTION("""COMPUTED_VALUE"""),"(11)96668-3880")</f>
        <v>(11)96668-3880</v>
      </c>
      <c r="AT6" s="30">
        <f ca="1">IFERROR(__xludf.DUMMYFUNCTION("""COMPUTED_VALUE"""),31035)</f>
        <v>31035</v>
      </c>
      <c r="AU6" s="27">
        <f ca="1">IFERROR(__xludf.DUMMYFUNCTION("""COMPUTED_VALUE"""),38)</f>
        <v>38</v>
      </c>
      <c r="AV6" s="27">
        <f ca="1">IFERROR(__xludf.DUMMYFUNCTION("""COMPUTED_VALUE"""),31421114844)</f>
        <v>31421114844</v>
      </c>
      <c r="AW6" s="27">
        <f ca="1">IFERROR(__xludf.DUMMYFUNCTION("""COMPUTED_VALUE"""),4555607710)</f>
        <v>4555607710</v>
      </c>
      <c r="AX6" s="27"/>
      <c r="AY6" s="27" t="str">
        <f ca="1">IFERROR(__xludf.DUMMYFUNCTION("""COMPUTED_VALUE"""),"Vice Preaidente")</f>
        <v>Vice Preaidente</v>
      </c>
      <c r="AZ6" s="27" t="str">
        <f ca="1">IFERROR(__xludf.DUMMYFUNCTION("""COMPUTED_VALUE"""),"GG")</f>
        <v>GG</v>
      </c>
      <c r="BA6" s="27" t="str">
        <f ca="1">IFERROR(__xludf.DUMMYFUNCTION("""COMPUTED_VALUE"""),"Preta")</f>
        <v>Preta</v>
      </c>
      <c r="BB6" s="27"/>
      <c r="BC6" s="27"/>
      <c r="BD6" s="27" t="str">
        <f ca="1">IFERROR(__xludf.DUMMYFUNCTION("""COMPUTED_VALUE"""),"Me chamo Douglas Fernando de Assis Silva, homem, negro, periférico. Filho, marido e pai. Morei em comunidade por 8 anos, no tempo em que as comunidades se chamavam favelas, sim fui chamado de favelado. Estive ao lado dela quando meu padrasto chegava na ma"&amp;"drugada querendo roubar nosso botijão de gás, fui na biqueira recuperar nossa televisão que havia sido vendida em troca de pedra. Com muita dificuldade completei meus estudos.")</f>
        <v>Me chamo Douglas Fernando de Assis Silva, homem, negro, periférico. Filho, marido e pai. Morei em comunidade por 8 anos, no tempo em que as comunidades se chamavam favelas, sim fui chamado de favelado. Estive ao lado dela quando meu padrasto chegava na madrugada querendo roubar nosso botijão de gás, fui na biqueira recuperar nossa televisão que havia sido vendida em troca de pedra. Com muita dificuldade completei meus estudos.</v>
      </c>
      <c r="BE6" s="27" t="str">
        <f ca="1">IFERROR(__xludf.DUMMYFUNCTION("""COMPUTED_VALUE"""),"Homem, cisgênero")</f>
        <v>Homem, cisgênero</v>
      </c>
      <c r="BF6" s="27" t="str">
        <f ca="1">IFERROR(__xludf.DUMMYFUNCTION("""COMPUTED_VALUE"""),"Heterossexual")</f>
        <v>Heterossexual</v>
      </c>
      <c r="BG6" s="27" t="str">
        <f ca="1">IFERROR(__xludf.DUMMYFUNCTION("""COMPUTED_VALUE"""),"Ensino Superior - Completo")</f>
        <v>Ensino Superior - Completo</v>
      </c>
      <c r="BH6" s="27" t="str">
        <f ca="1">IFERROR(__xludf.DUMMYFUNCTION("""COMPUTED_VALUE"""),"Público")</f>
        <v>Público</v>
      </c>
      <c r="BI6" s="27" t="str">
        <f ca="1">IFERROR(__xludf.DUMMYFUNCTION("""COMPUTED_VALUE"""),"Pós-Graduação")</f>
        <v>Pós-Graduação</v>
      </c>
      <c r="BJ6" s="27" t="str">
        <f ca="1">IFERROR(__xludf.DUMMYFUNCTION("""COMPUTED_VALUE"""),"Privado")</f>
        <v>Privado</v>
      </c>
      <c r="BK6" s="27" t="str">
        <f ca="1">IFERROR(__xludf.DUMMYFUNCTION("""COMPUTED_VALUE"""),"Benjamim Novais")</f>
        <v>Benjamim Novais</v>
      </c>
      <c r="BL6" s="27">
        <f ca="1">IFERROR(__xludf.DUMMYFUNCTION("""COMPUTED_VALUE"""),105)</f>
        <v>105</v>
      </c>
      <c r="BM6" s="27"/>
      <c r="BN6" s="27" t="str">
        <f ca="1">IFERROR(__xludf.DUMMYFUNCTION("""COMPUTED_VALUE"""),"São Paulo")</f>
        <v>São Paulo</v>
      </c>
      <c r="BO6" s="27" t="str">
        <f ca="1">IFERROR(__xludf.DUMMYFUNCTION("""COMPUTED_VALUE"""),"03682-120")</f>
        <v>03682-120</v>
      </c>
      <c r="BP6" s="27" t="str">
        <f ca="1">IFERROR(__xludf.DUMMYFUNCTION("""COMPUTED_VALUE"""),"SP")</f>
        <v>SP</v>
      </c>
      <c r="BQ6" s="27" t="str">
        <f ca="1">IFERROR(__xludf.DUMMYFUNCTION("""COMPUTED_VALUE"""),"Entre 1 até 3 salários mínimos")</f>
        <v>Entre 1 até 3 salários mínimos</v>
      </c>
      <c r="BR6" s="27" t="str">
        <f ca="1">IFERROR(__xludf.DUMMYFUNCTION("""COMPUTED_VALUE"""),"Funcionário Público")</f>
        <v>Funcionário Público</v>
      </c>
      <c r="BS6" s="27" t="str">
        <f ca="1">IFERROR(__xludf.DUMMYFUNCTION("""COMPUTED_VALUE"""),"Aluguel")</f>
        <v>Aluguel</v>
      </c>
      <c r="BT6" s="27">
        <f ca="1">IFERROR(__xludf.DUMMYFUNCTION("""COMPUTED_VALUE"""),5)</f>
        <v>5</v>
      </c>
      <c r="BU6" s="27" t="str">
        <f ca="1">IFERROR(__xludf.DUMMYFUNCTION("""COMPUTED_VALUE"""),"Não tem")</f>
        <v>Não tem</v>
      </c>
      <c r="BV6" s="27" t="str">
        <f ca="1">IFERROR(__xludf.DUMMYFUNCTION("""COMPUTED_VALUE"""),"Não")</f>
        <v>Não</v>
      </c>
      <c r="BW6" s="27" t="str">
        <f ca="1">IFERROR(__xludf.DUMMYFUNCTION("""COMPUTED_VALUE"""),"Não possuo")</f>
        <v>Não possuo</v>
      </c>
      <c r="BX6" s="27" t="str">
        <f ca="1">IFERROR(__xludf.DUMMYFUNCTION("""COMPUTED_VALUE"""),"@douglasfernandoreal")</f>
        <v>@douglasfernandoreal</v>
      </c>
      <c r="BY6" s="21" t="str">
        <f ca="1">IFERROR(__xludf.DUMMYFUNCTION("""COMPUTED_VALUE"""),"https://drive.google.com/open?id=1YKtEYbWfXWVi9pFkx6cj9GK0SqeOwAJy")</f>
        <v>https://drive.google.com/open?id=1YKtEYbWfXWVi9pFkx6cj9GK0SqeOwAJy</v>
      </c>
    </row>
    <row r="7" spans="1:77" ht="12.5" hidden="1" x14ac:dyDescent="0.25">
      <c r="A7" s="21" t="str">
        <f ca="1">IFERROR(__xludf.DUMMYFUNCTION("""COMPUTED_VALUE"""),"0014P00003YSp8PQAT")</f>
        <v>0014P00003YSp8PQAT</v>
      </c>
      <c r="B7" s="27" t="str">
        <f ca="1">IFERROR(__xludf.DUMMYFUNCTION("""COMPUTED_VALUE"""),"Fase Inicial")</f>
        <v>Fase Inicial</v>
      </c>
      <c r="C7" s="27" t="str">
        <f ca="1">IFERROR(__xludf.DUMMYFUNCTION("""COMPUTED_VALUE"""),"Fellow")</f>
        <v>Fellow</v>
      </c>
      <c r="D7" s="27" t="str">
        <f ca="1">IFERROR(__xludf.DUMMYFUNCTION("""COMPUTED_VALUE"""),"Ativo")</f>
        <v>Ativo</v>
      </c>
      <c r="E7" s="27" t="str">
        <f ca="1">IFERROR(__xludf.DUMMYFUNCTION("""COMPUTED_VALUE"""),"Amigos da Solidariedade RJ")</f>
        <v>Amigos da Solidariedade RJ</v>
      </c>
      <c r="F7" s="27" t="str">
        <f ca="1">IFERROR(__xludf.DUMMYFUNCTION("""COMPUTED_VALUE"""),"Marilda")</f>
        <v>Marilda</v>
      </c>
      <c r="G7" s="27"/>
      <c r="H7" s="27" t="str">
        <f ca="1">IFERROR(__xludf.DUMMYFUNCTION("""COMPUTED_VALUE"""),"44.070.377/0001-92")</f>
        <v>44.070.377/0001-92</v>
      </c>
      <c r="I7" s="27" t="str">
        <f ca="1">IFERROR(__xludf.DUMMYFUNCTION("""COMPUTED_VALUE"""),"Marilda Nunes Gomes")</f>
        <v>Marilda Nunes Gomes</v>
      </c>
      <c r="J7" s="27" t="str">
        <f ca="1">IFERROR(__xludf.DUMMYFUNCTION("""COMPUTED_VALUE"""),"amigosdasolidariedaderio@gmail.com")</f>
        <v>amigosdasolidariedaderio@gmail.com</v>
      </c>
      <c r="K7" s="27" t="str">
        <f ca="1">IFERROR(__xludf.DUMMYFUNCTION("""COMPUTED_VALUE"""),"(21)96448-6340")</f>
        <v>(21)96448-6340</v>
      </c>
      <c r="L7" s="27" t="str">
        <f ca="1">IFERROR(__xludf.DUMMYFUNCTION("""COMPUTED_VALUE"""),"RJ")</f>
        <v>RJ</v>
      </c>
      <c r="M7" s="27" t="str">
        <f ca="1">IFERROR(__xludf.DUMMYFUNCTION("""COMPUTED_VALUE"""),"Rua Pernambuco")</f>
        <v>Rua Pernambuco</v>
      </c>
      <c r="N7" s="27" t="str">
        <f ca="1">IFERROR(__xludf.DUMMYFUNCTION("""COMPUTED_VALUE"""),"Engenho de Dentro")</f>
        <v>Engenho de Dentro</v>
      </c>
      <c r="O7" s="27">
        <f ca="1">IFERROR(__xludf.DUMMYFUNCTION("""COMPUTED_VALUE"""),877)</f>
        <v>877</v>
      </c>
      <c r="P7" s="27" t="str">
        <f ca="1">IFERROR(__xludf.DUMMYFUNCTION("""COMPUTED_VALUE"""),"Rio de janeiro")</f>
        <v>Rio de janeiro</v>
      </c>
      <c r="Q7" s="27" t="str">
        <f ca="1">IFERROR(__xludf.DUMMYFUNCTION("""COMPUTED_VALUE"""),"casa")</f>
        <v>casa</v>
      </c>
      <c r="R7" s="27" t="str">
        <f ca="1">IFERROR(__xludf.DUMMYFUNCTION("""COMPUTED_VALUE"""),"20730-030")</f>
        <v>20730-030</v>
      </c>
      <c r="S7" s="27"/>
      <c r="T7" s="27" t="str">
        <f ca="1">IFERROR(__xludf.DUMMYFUNCTION("""COMPUTED_VALUE"""),"Educação; Empregabilidade; Cultura; Empreendedorismo")</f>
        <v>Educação; Empregabilidade; Cultura; Empreendedorismo</v>
      </c>
      <c r="U7" s="27" t="str">
        <f ca="1">IFERROR(__xludf.DUMMYFUNCTION("""COMPUTED_VALUE"""),"Crianças (6 a 12 anos); Adolescentes (12 aos 18 anos); Jovens (18 aos 24 anos); Adultos")</f>
        <v>Crianças (6 a 12 anos); Adolescentes (12 aos 18 anos); Jovens (18 aos 24 anos); Adultos</v>
      </c>
      <c r="V7" s="27" t="str">
        <f ca="1">IFERROR(__xludf.DUMMYFUNCTION("""COMPUTED_VALUE"""),"Moradores de Favelas; Pessoas em situação de rua; Dependentes Químicos")</f>
        <v>Moradores de Favelas; Pessoas em situação de rua; Dependentes Químicos</v>
      </c>
      <c r="W7" s="27">
        <f ca="1">IFERROR(__xludf.DUMMYFUNCTION("""COMPUTED_VALUE"""),11)</f>
        <v>11</v>
      </c>
      <c r="X7" s="27"/>
      <c r="Y7" s="27"/>
      <c r="Z7" s="27">
        <f ca="1">IFERROR(__xludf.DUMMYFUNCTION("""COMPUTED_VALUE"""),150)</f>
        <v>150</v>
      </c>
      <c r="AA7" s="30">
        <f ca="1">IFERROR(__xludf.DUMMYFUNCTION("""COMPUTED_VALUE"""),44529)</f>
        <v>44529</v>
      </c>
      <c r="AB7" s="27" t="str">
        <f ca="1">IFERROR(__xludf.DUMMYFUNCTION("""COMPUTED_VALUE"""),"Não")</f>
        <v>Não</v>
      </c>
      <c r="AC7" s="27">
        <f ca="1">IFERROR(__xludf.DUMMYFUNCTION("""COMPUTED_VALUE"""),0)</f>
        <v>0</v>
      </c>
      <c r="AD7" s="27">
        <f ca="1">IFERROR(__xludf.DUMMYFUNCTION("""COMPUTED_VALUE"""),0)</f>
        <v>0</v>
      </c>
      <c r="AE7" s="27">
        <f ca="1">IFERROR(__xludf.DUMMYFUNCTION("""COMPUTED_VALUE"""),10)</f>
        <v>10</v>
      </c>
      <c r="AF7" s="27">
        <f ca="1">IFERROR(__xludf.DUMMYFUNCTION("""COMPUTED_VALUE"""),5)</f>
        <v>5</v>
      </c>
      <c r="AG7" s="27">
        <f ca="1">IFERROR(__xludf.DUMMYFUNCTION("""COMPUTED_VALUE"""),2)</f>
        <v>2</v>
      </c>
      <c r="AH7" s="27" t="str">
        <f ca="1">IFERROR(__xludf.DUMMYFUNCTION("""COMPUTED_VALUE"""),"Doações")</f>
        <v>Doações</v>
      </c>
      <c r="AI7" s="27" t="str">
        <f ca="1">IFERROR(__xludf.DUMMYFUNCTION("""COMPUTED_VALUE"""),"Não possuímos")</f>
        <v>Não possuímos</v>
      </c>
      <c r="AJ7" s="27"/>
      <c r="AK7" s="27"/>
      <c r="AL7" s="21" t="str">
        <f ca="1">IFERROR(__xludf.DUMMYFUNCTION("""COMPUTED_VALUE"""),"0034P000045kxj0")</f>
        <v>0034P000045kxj0</v>
      </c>
      <c r="AM7" s="27" t="str">
        <f ca="1">IFERROR(__xludf.DUMMYFUNCTION("""COMPUTED_VALUE"""),"Nunes Gomes")</f>
        <v>Nunes Gomes</v>
      </c>
      <c r="AN7" s="27" t="str">
        <f ca="1">IFERROR(__xludf.DUMMYFUNCTION("""COMPUTED_VALUE"""),"Ativo")</f>
        <v>Ativo</v>
      </c>
      <c r="AO7" s="30">
        <f ca="1">IFERROR(__xludf.DUMMYFUNCTION("""COMPUTED_VALUE"""),44551)</f>
        <v>44551</v>
      </c>
      <c r="AP7" s="27">
        <f ca="1">IFERROR(__xludf.DUMMYFUNCTION("""COMPUTED_VALUE"""),9)</f>
        <v>9</v>
      </c>
      <c r="AQ7" s="27" t="str">
        <f ca="1">IFERROR(__xludf.DUMMYFUNCTION("""COMPUTED_VALUE"""),"Segundo Semestre 2021")</f>
        <v>Segundo Semestre 2021</v>
      </c>
      <c r="AR7" s="27" t="str">
        <f ca="1">IFERROR(__xludf.DUMMYFUNCTION("""COMPUTED_VALUE"""),"marilda.ngomes87@gmail.com")</f>
        <v>marilda.ngomes87@gmail.com</v>
      </c>
      <c r="AS7" s="27" t="str">
        <f ca="1">IFERROR(__xludf.DUMMYFUNCTION("""COMPUTED_VALUE"""),"(21)96448-6340")</f>
        <v>(21)96448-6340</v>
      </c>
      <c r="AT7" s="29">
        <f ca="1">IFERROR(__xludf.DUMMYFUNCTION("""COMPUTED_VALUE"""),31949)</f>
        <v>31949</v>
      </c>
      <c r="AU7" s="27">
        <f ca="1">IFERROR(__xludf.DUMMYFUNCTION("""COMPUTED_VALUE"""),35)</f>
        <v>35</v>
      </c>
      <c r="AV7" s="27">
        <f ca="1">IFERROR(__xludf.DUMMYFUNCTION("""COMPUTED_VALUE"""),12448274797)</f>
        <v>12448274797</v>
      </c>
      <c r="AW7" s="27">
        <f ca="1">IFERROR(__xludf.DUMMYFUNCTION("""COMPUTED_VALUE"""),215506296)</f>
        <v>215506296</v>
      </c>
      <c r="AX7" s="27"/>
      <c r="AY7" s="27"/>
      <c r="AZ7" s="27" t="str">
        <f ca="1">IFERROR(__xludf.DUMMYFUNCTION("""COMPUTED_VALUE"""),"P")</f>
        <v>P</v>
      </c>
      <c r="BA7" s="27" t="str">
        <f ca="1">IFERROR(__xludf.DUMMYFUNCTION("""COMPUTED_VALUE"""),"Branca")</f>
        <v>Branca</v>
      </c>
      <c r="BB7" s="27" t="str">
        <f ca="1">IFERROR(__xludf.DUMMYFUNCTION("""COMPUTED_VALUE"""),"Mulher, cisgênero")</f>
        <v>Mulher, cisgênero</v>
      </c>
      <c r="BC7" s="27" t="str">
        <f ca="1">IFERROR(__xludf.DUMMYFUNCTION("""COMPUTED_VALUE"""),"Sim")</f>
        <v>Sim</v>
      </c>
      <c r="BD7" s="27" t="str">
        <f ca="1">IFERROR(__xludf.DUMMYFUNCTION("""COMPUTED_VALUE"""),"Me chamo Marilda, tenho 34 anos, sou casada e mãe de pets. 
Sou Formada em Marketing e curso o 4° período de Assistência Social. 
Entrei como voluntária do Amigos da Solidariedade RJ em Maio de 2020 e me tornei gestora dele em Outubro/2020. 
Entrar na "&amp;"Falcons University foi uma virada de chave para mim. Foi onde consegui aplicar as técnicas ensinadas no projeto e desde lá estamos nos desenvolvendo cada vez mais.")</f>
        <v>Me chamo Marilda, tenho 34 anos, sou casada e mãe de pets. 
Sou Formada em Marketing e curso o 4° período de Assistência Social. 
Entrei como voluntária do Amigos da Solidariedade RJ em Maio de 2020 e me tornei gestora dele em Outubro/2020. 
Entrar na Falcons University foi uma virada de chave para mim. Foi onde consegui aplicar as técnicas ensinadas no projeto e desde lá estamos nos desenvolvendo cada vez mais.</v>
      </c>
      <c r="BE7" s="27"/>
      <c r="BF7" s="27" t="str">
        <f ca="1">IFERROR(__xludf.DUMMYFUNCTION("""COMPUTED_VALUE"""),"Heterossexual")</f>
        <v>Heterossexual</v>
      </c>
      <c r="BG7" s="27" t="str">
        <f ca="1">IFERROR(__xludf.DUMMYFUNCTION("""COMPUTED_VALUE"""),"Ensino Superior - Completo")</f>
        <v>Ensino Superior - Completo</v>
      </c>
      <c r="BH7" s="27" t="str">
        <f ca="1">IFERROR(__xludf.DUMMYFUNCTION("""COMPUTED_VALUE"""),"Privado")</f>
        <v>Privado</v>
      </c>
      <c r="BI7" s="27" t="str">
        <f ca="1">IFERROR(__xludf.DUMMYFUNCTION("""COMPUTED_VALUE"""),"Graduação")</f>
        <v>Graduação</v>
      </c>
      <c r="BJ7" s="27" t="str">
        <f ca="1">IFERROR(__xludf.DUMMYFUNCTION("""COMPUTED_VALUE"""),"Privado")</f>
        <v>Privado</v>
      </c>
      <c r="BK7" s="27" t="str">
        <f ca="1">IFERROR(__xludf.DUMMYFUNCTION("""COMPUTED_VALUE"""),"Rua Pernambuco")</f>
        <v>Rua Pernambuco</v>
      </c>
      <c r="BL7" s="27">
        <f ca="1">IFERROR(__xludf.DUMMYFUNCTION("""COMPUTED_VALUE"""),877)</f>
        <v>877</v>
      </c>
      <c r="BM7" s="27" t="str">
        <f ca="1">IFERROR(__xludf.DUMMYFUNCTION("""COMPUTED_VALUE"""),"Casa")</f>
        <v>Casa</v>
      </c>
      <c r="BN7" s="27" t="str">
        <f ca="1">IFERROR(__xludf.DUMMYFUNCTION("""COMPUTED_VALUE"""),"Rio de janeiro")</f>
        <v>Rio de janeiro</v>
      </c>
      <c r="BO7" s="27" t="str">
        <f ca="1">IFERROR(__xludf.DUMMYFUNCTION("""COMPUTED_VALUE"""),"20730-030")</f>
        <v>20730-030</v>
      </c>
      <c r="BP7" s="27" t="str">
        <f ca="1">IFERROR(__xludf.DUMMYFUNCTION("""COMPUTED_VALUE"""),"RJ")</f>
        <v>RJ</v>
      </c>
      <c r="BQ7" s="27" t="str">
        <f ca="1">IFERROR(__xludf.DUMMYFUNCTION("""COMPUTED_VALUE"""),"De 3 até 5 salários mínimos")</f>
        <v>De 3 até 5 salários mínimos</v>
      </c>
      <c r="BR7" s="27" t="str">
        <f ca="1">IFERROR(__xludf.DUMMYFUNCTION("""COMPUTED_VALUE"""),"CLT; Desempregado")</f>
        <v>CLT; Desempregado</v>
      </c>
      <c r="BS7" s="27" t="str">
        <f ca="1">IFERROR(__xludf.DUMMYFUNCTION("""COMPUTED_VALUE"""),"Casa própria")</f>
        <v>Casa própria</v>
      </c>
      <c r="BT7" s="27">
        <f ca="1">IFERROR(__xludf.DUMMYFUNCTION("""COMPUTED_VALUE"""),5)</f>
        <v>5</v>
      </c>
      <c r="BU7" s="27" t="str">
        <f ca="1">IFERROR(__xludf.DUMMYFUNCTION("""COMPUTED_VALUE"""),"Não tem")</f>
        <v>Não tem</v>
      </c>
      <c r="BV7" s="27"/>
      <c r="BW7" s="27"/>
      <c r="BX7" s="21" t="str">
        <f ca="1">IFERROR(__xludf.DUMMYFUNCTION("""COMPUTED_VALUE"""),"https://instagram.com/mari.nunes.gomes")</f>
        <v>https://instagram.com/mari.nunes.gomes</v>
      </c>
      <c r="BY7" s="21" t="str">
        <f ca="1">IFERROR(__xludf.DUMMYFUNCTION("""COMPUTED_VALUE"""),"https://drive.google.com/open?id=1D3FMm5EPMy9xxomtp0Q5GT3_QKiB4PC3")</f>
        <v>https://drive.google.com/open?id=1D3FMm5EPMy9xxomtp0Q5GT3_QKiB4PC3</v>
      </c>
    </row>
    <row r="8" spans="1:77" ht="12.5" hidden="1" x14ac:dyDescent="0.25">
      <c r="A8" s="21" t="str">
        <f ca="1">IFERROR(__xludf.DUMMYFUNCTION("""COMPUTED_VALUE"""),"0014X00002VKCpyQAH")</f>
        <v>0014X00002VKCpyQAH</v>
      </c>
      <c r="B8" s="27" t="str">
        <f ca="1">IFERROR(__xludf.DUMMYFUNCTION("""COMPUTED_VALUE"""),"Fase Inicial")</f>
        <v>Fase Inicial</v>
      </c>
      <c r="C8" s="27" t="str">
        <f ca="1">IFERROR(__xludf.DUMMYFUNCTION("""COMPUTED_VALUE"""),"Fellow")</f>
        <v>Fellow</v>
      </c>
      <c r="D8" s="27" t="str">
        <f ca="1">IFERROR(__xludf.DUMMYFUNCTION("""COMPUTED_VALUE"""),"Ativo")</f>
        <v>Ativo</v>
      </c>
      <c r="E8" s="27" t="str">
        <f ca="1">IFERROR(__xludf.DUMMYFUNCTION("""COMPUTED_VALUE"""),"Amiguinhos de Jesus Curio")</f>
        <v>Amiguinhos de Jesus Curio</v>
      </c>
      <c r="F8" s="27" t="str">
        <f ca="1">IFERROR(__xludf.DUMMYFUNCTION("""COMPUTED_VALUE"""),"Genimeire")</f>
        <v>Genimeire</v>
      </c>
      <c r="G8" s="27" t="str">
        <f ca="1">IFERROR(__xludf.DUMMYFUNCTION("""COMPUTED_VALUE"""),"AMIGUINHOS DE JESUS")</f>
        <v>AMIGUINHOS DE JESUS</v>
      </c>
      <c r="H8" s="27" t="str">
        <f ca="1">IFERROR(__xludf.DUMMYFUNCTION("""COMPUTED_VALUE"""),"46.816.998/0001-06")</f>
        <v>46.816.998/0001-06</v>
      </c>
      <c r="I8" s="27" t="str">
        <f ca="1">IFERROR(__xludf.DUMMYFUNCTION("""COMPUTED_VALUE"""),"DEUZANIR DE ASSIS DA SILVA ROCHA")</f>
        <v>DEUZANIR DE ASSIS DA SILVA ROCHA</v>
      </c>
      <c r="J8" s="27" t="str">
        <f ca="1">IFERROR(__xludf.DUMMYFUNCTION("""COMPUTED_VALUE"""),"amiguinhosdejesusjo1512@gmail.com")</f>
        <v>amiguinhosdejesusjo1512@gmail.com</v>
      </c>
      <c r="K8" s="27" t="str">
        <f ca="1">IFERROR(__xludf.DUMMYFUNCTION("""COMPUTED_VALUE"""),"(85)98719-6031")</f>
        <v>(85)98719-6031</v>
      </c>
      <c r="L8" s="27" t="str">
        <f ca="1">IFERROR(__xludf.DUMMYFUNCTION("""COMPUTED_VALUE"""),"CE")</f>
        <v>CE</v>
      </c>
      <c r="M8" s="27" t="str">
        <f ca="1">IFERROR(__xludf.DUMMYFUNCTION("""COMPUTED_VALUE"""),"RUA LOURDES VIDAL ALVES")</f>
        <v>RUA LOURDES VIDAL ALVES</v>
      </c>
      <c r="N8" s="27" t="str">
        <f ca="1">IFERROR(__xludf.DUMMYFUNCTION("""COMPUTED_VALUE"""),"CURIÓ")</f>
        <v>CURIÓ</v>
      </c>
      <c r="O8" s="27">
        <f ca="1">IFERROR(__xludf.DUMMYFUNCTION("""COMPUTED_VALUE"""),621)</f>
        <v>621</v>
      </c>
      <c r="P8" s="27" t="str">
        <f ca="1">IFERROR(__xludf.DUMMYFUNCTION("""COMPUTED_VALUE"""),"FORTALEZA")</f>
        <v>FORTALEZA</v>
      </c>
      <c r="Q8" s="27"/>
      <c r="R8" s="27" t="str">
        <f ca="1">IFERROR(__xludf.DUMMYFUNCTION("""COMPUTED_VALUE"""),"60831-160")</f>
        <v>60831-160</v>
      </c>
      <c r="S8" s="27"/>
      <c r="T8" s="27"/>
      <c r="U8" s="27" t="str">
        <f ca="1">IFERROR(__xludf.DUMMYFUNCTION("""COMPUTED_VALUE"""),"Crianças (6 a 12 anos), Adolescentes (12 aos 18 anos), Jovens (18 aos 24 anos), Adultos")</f>
        <v>Crianças (6 a 12 anos), Adolescentes (12 aos 18 anos), Jovens (18 aos 24 anos), Adultos</v>
      </c>
      <c r="V8" s="27" t="str">
        <f ca="1">IFERROR(__xludf.DUMMYFUNCTION("""COMPUTED_VALUE"""),"Moradores de Favelas")</f>
        <v>Moradores de Favelas</v>
      </c>
      <c r="W8" s="27">
        <f ca="1">IFERROR(__xludf.DUMMYFUNCTION("""COMPUTED_VALUE"""),4)</f>
        <v>4</v>
      </c>
      <c r="X8" s="27"/>
      <c r="Y8" s="27"/>
      <c r="Z8" s="27">
        <f ca="1">IFERROR(__xludf.DUMMYFUNCTION("""COMPUTED_VALUE"""),260)</f>
        <v>260</v>
      </c>
      <c r="AA8" s="29">
        <f ca="1">IFERROR(__xludf.DUMMYFUNCTION("""COMPUTED_VALUE"""),42402)</f>
        <v>42402</v>
      </c>
      <c r="AB8" s="27" t="str">
        <f ca="1">IFERROR(__xludf.DUMMYFUNCTION("""COMPUTED_VALUE"""),"Não")</f>
        <v>Não</v>
      </c>
      <c r="AC8" s="27">
        <f ca="1">IFERROR(__xludf.DUMMYFUNCTION("""COMPUTED_VALUE"""),0)</f>
        <v>0</v>
      </c>
      <c r="AD8" s="27">
        <f ca="1">IFERROR(__xludf.DUMMYFUNCTION("""COMPUTED_VALUE"""),38)</f>
        <v>38</v>
      </c>
      <c r="AE8" s="27">
        <f ca="1">IFERROR(__xludf.DUMMYFUNCTION("""COMPUTED_VALUE"""),38)</f>
        <v>38</v>
      </c>
      <c r="AF8" s="27">
        <f ca="1">IFERROR(__xludf.DUMMYFUNCTION("""COMPUTED_VALUE"""),38)</f>
        <v>38</v>
      </c>
      <c r="AG8" s="27">
        <f ca="1">IFERROR(__xludf.DUMMYFUNCTION("""COMPUTED_VALUE"""),3)</f>
        <v>3</v>
      </c>
      <c r="AH8" s="27" t="str">
        <f ca="1">IFERROR(__xludf.DUMMYFUNCTION("""COMPUTED_VALUE"""),"Outro(s), Doações, Recursos próprios")</f>
        <v>Outro(s), Doações, Recursos próprios</v>
      </c>
      <c r="AI8" s="27" t="str">
        <f ca="1">IFERROR(__xludf.DUMMYFUNCTION("""COMPUTED_VALUE"""),"30% RECURSOS PROPRIOS- 30% DOAÇÕES -60% BAZAR")</f>
        <v>30% RECURSOS PROPRIOS- 30% DOAÇÕES -60% BAZAR</v>
      </c>
      <c r="AJ8" s="27" t="str">
        <f ca="1">IFERROR(__xludf.DUMMYFUNCTION("""COMPUTED_VALUE"""),"Não")</f>
        <v>Não</v>
      </c>
      <c r="AK8" s="27"/>
      <c r="AL8" s="21" t="str">
        <f ca="1">IFERROR(__xludf.DUMMYFUNCTION("""COMPUTED_VALUE"""),"0034X0000380O3N")</f>
        <v>0034X0000380O3N</v>
      </c>
      <c r="AM8" s="27" t="str">
        <f ca="1">IFERROR(__xludf.DUMMYFUNCTION("""COMPUTED_VALUE"""),"Bezerra da silva")</f>
        <v>Bezerra da silva</v>
      </c>
      <c r="AN8" s="27" t="str">
        <f ca="1">IFERROR(__xludf.DUMMYFUNCTION("""COMPUTED_VALUE"""),"Ativo")</f>
        <v>Ativo</v>
      </c>
      <c r="AO8" s="29">
        <f ca="1">IFERROR(__xludf.DUMMYFUNCTION("""COMPUTED_VALUE"""),44763)</f>
        <v>44763</v>
      </c>
      <c r="AP8" s="27">
        <f ca="1">IFERROR(__xludf.DUMMYFUNCTION("""COMPUTED_VALUE"""),2)</f>
        <v>2</v>
      </c>
      <c r="AQ8" s="27" t="str">
        <f ca="1">IFERROR(__xludf.DUMMYFUNCTION("""COMPUTED_VALUE"""),"Primeiro Semestre 2022")</f>
        <v>Primeiro Semestre 2022</v>
      </c>
      <c r="AR8" s="27" t="str">
        <f ca="1">IFERROR(__xludf.DUMMYFUNCTION("""COMPUTED_VALUE"""),"genimeire@hotmail.com")</f>
        <v>genimeire@hotmail.com</v>
      </c>
      <c r="AS8" s="27">
        <f ca="1">IFERROR(__xludf.DUMMYFUNCTION("""COMPUTED_VALUE"""),85987196031)</f>
        <v>85987196031</v>
      </c>
      <c r="AT8" s="30">
        <f ca="1">IFERROR(__xludf.DUMMYFUNCTION("""COMPUTED_VALUE"""),30642)</f>
        <v>30642</v>
      </c>
      <c r="AU8" s="27">
        <f ca="1">IFERROR(__xludf.DUMMYFUNCTION("""COMPUTED_VALUE"""),39)</f>
        <v>39</v>
      </c>
      <c r="AV8" s="27">
        <f ca="1">IFERROR(__xludf.DUMMYFUNCTION("""COMPUTED_VALUE"""),297223305)</f>
        <v>297223305</v>
      </c>
      <c r="AW8" s="27">
        <f ca="1">IFERROR(__xludf.DUMMYFUNCTION("""COMPUTED_VALUE"""),2001010525865)</f>
        <v>2001010525865</v>
      </c>
      <c r="AX8" s="27"/>
      <c r="AY8" s="27"/>
      <c r="AZ8" s="27" t="str">
        <f ca="1">IFERROR(__xludf.DUMMYFUNCTION("""COMPUTED_VALUE"""),"M")</f>
        <v>M</v>
      </c>
      <c r="BA8" s="27" t="str">
        <f ca="1">IFERROR(__xludf.DUMMYFUNCTION("""COMPUTED_VALUE"""),"Parda")</f>
        <v>Parda</v>
      </c>
      <c r="BB8" s="27"/>
      <c r="BC8" s="27"/>
      <c r="BD8" s="27" t="str">
        <f ca="1">IFERROR(__xludf.DUMMYFUNCTION("""COMPUTED_VALUE"""),"Sou Genimeire* 38 anos* nasci em fortaleza ceara* casada a 17 anos* tenho uma filha de 14anos* trabalho com meu esposo em uma oficina mecânica automotiva a 11 anos* e a 7 anos colocamos de forma voluntaria nossa casa e o galpão da oficina a disposição da "&amp;"comunidade para servi-los* me descobri aqui* do que eu posso fazer e ser vai muito além de minha realidade na qual nasci. sou apaixonada por pessoas em especial crianças e adolescentes.")</f>
        <v>Sou Genimeire* 38 anos* nasci em fortaleza ceara* casada a 17 anos* tenho uma filha de 14anos* trabalho com meu esposo em uma oficina mecânica automotiva a 11 anos* e a 7 anos colocamos de forma voluntaria nossa casa e o galpão da oficina a disposição da comunidade para servi-los* me descobri aqui* do que eu posso fazer e ser vai muito além de minha realidade na qual nasci. sou apaixonada por pessoas em especial crianças e adolescentes.</v>
      </c>
      <c r="BE8" s="27" t="str">
        <f ca="1">IFERROR(__xludf.DUMMYFUNCTION("""COMPUTED_VALUE"""),"Feminino")</f>
        <v>Feminino</v>
      </c>
      <c r="BF8" s="27" t="str">
        <f ca="1">IFERROR(__xludf.DUMMYFUNCTION("""COMPUTED_VALUE"""),"Heterossexual")</f>
        <v>Heterossexual</v>
      </c>
      <c r="BG8" s="27"/>
      <c r="BH8" s="27" t="str">
        <f ca="1">IFERROR(__xludf.DUMMYFUNCTION("""COMPUTED_VALUE"""),"Público")</f>
        <v>Público</v>
      </c>
      <c r="BI8" s="27"/>
      <c r="BJ8" s="27"/>
      <c r="BK8" s="27" t="str">
        <f ca="1">IFERROR(__xludf.DUMMYFUNCTION("""COMPUTED_VALUE"""),"Rua Lourdes Vidal Alves")</f>
        <v>Rua Lourdes Vidal Alves</v>
      </c>
      <c r="BL8" s="27">
        <f ca="1">IFERROR(__xludf.DUMMYFUNCTION("""COMPUTED_VALUE"""),620)</f>
        <v>620</v>
      </c>
      <c r="BM8" s="27"/>
      <c r="BN8" s="27"/>
      <c r="BO8" s="27">
        <f ca="1">IFERROR(__xludf.DUMMYFUNCTION("""COMPUTED_VALUE"""),60831160)</f>
        <v>60831160</v>
      </c>
      <c r="BP8" s="27" t="str">
        <f ca="1">IFERROR(__xludf.DUMMYFUNCTION("""COMPUTED_VALUE"""),"CE")</f>
        <v>CE</v>
      </c>
      <c r="BQ8" s="27" t="str">
        <f ca="1">IFERROR(__xludf.DUMMYFUNCTION("""COMPUTED_VALUE"""),"Entre 1 até 3 salários mínimos")</f>
        <v>Entre 1 até 3 salários mínimos</v>
      </c>
      <c r="BR8" s="27" t="str">
        <f ca="1">IFERROR(__xludf.DUMMYFUNCTION("""COMPUTED_VALUE"""),"CLT")</f>
        <v>CLT</v>
      </c>
      <c r="BS8" s="27" t="str">
        <f ca="1">IFERROR(__xludf.DUMMYFUNCTION("""COMPUTED_VALUE"""),"Casa própria")</f>
        <v>Casa própria</v>
      </c>
      <c r="BT8" s="27">
        <f ca="1">IFERROR(__xludf.DUMMYFUNCTION("""COMPUTED_VALUE"""),3)</f>
        <v>3</v>
      </c>
      <c r="BU8" s="27" t="str">
        <f ca="1">IFERROR(__xludf.DUMMYFUNCTION("""COMPUTED_VALUE"""),"Não tem")</f>
        <v>Não tem</v>
      </c>
      <c r="BV8" s="27" t="str">
        <f ca="1">IFERROR(__xludf.DUMMYFUNCTION("""COMPUTED_VALUE"""),"Não")</f>
        <v>Não</v>
      </c>
      <c r="BW8" s="27"/>
      <c r="BX8" s="21" t="str">
        <f ca="1">IFERROR(__xludf.DUMMYFUNCTION("""COMPUTED_VALUE"""),"https://www.instagram.com/genimeirebezerra/")</f>
        <v>https://www.instagram.com/genimeirebezerra/</v>
      </c>
      <c r="BY8" s="21" t="str">
        <f ca="1">IFERROR(__xludf.DUMMYFUNCTION("""COMPUTED_VALUE"""),"https://drive.google.com/open?id=1AsfuKArR241exDWT9e65CC8Va9i1SOpn")</f>
        <v>https://drive.google.com/open?id=1AsfuKArR241exDWT9e65CC8Va9i1SOpn</v>
      </c>
    </row>
    <row r="9" spans="1:77" ht="12.5" hidden="1" x14ac:dyDescent="0.25">
      <c r="A9" s="21" t="str">
        <f ca="1">IFERROR(__xludf.DUMMYFUNCTION("""COMPUTED_VALUE"""),"0014X00002VKCuLQAX")</f>
        <v>0014X00002VKCuLQAX</v>
      </c>
      <c r="B9" s="27" t="str">
        <f ca="1">IFERROR(__xludf.DUMMYFUNCTION("""COMPUTED_VALUE"""),"Fase Inicial")</f>
        <v>Fase Inicial</v>
      </c>
      <c r="C9" s="27" t="str">
        <f ca="1">IFERROR(__xludf.DUMMYFUNCTION("""COMPUTED_VALUE"""),"Fellow")</f>
        <v>Fellow</v>
      </c>
      <c r="D9" s="27" t="str">
        <f ca="1">IFERROR(__xludf.DUMMYFUNCTION("""COMPUTED_VALUE"""),"Ativo")</f>
        <v>Ativo</v>
      </c>
      <c r="E9" s="27" t="str">
        <f ca="1">IFERROR(__xludf.DUMMYFUNCTION("""COMPUTED_VALUE"""),"Ana Paula oliveira souza")</f>
        <v>Ana Paula oliveira souza</v>
      </c>
      <c r="F9" s="27" t="str">
        <f ca="1">IFERROR(__xludf.DUMMYFUNCTION("""COMPUTED_VALUE"""),"Ana")</f>
        <v>Ana</v>
      </c>
      <c r="G9" s="27" t="str">
        <f ca="1">IFERROR(__xludf.DUMMYFUNCTION("""COMPUTED_VALUE"""),"ASSOCIACAO REDE ACESSIBILIDADE")</f>
        <v>ASSOCIACAO REDE ACESSIBILIDADE</v>
      </c>
      <c r="H9" s="27">
        <f ca="1">IFERROR(__xludf.DUMMYFUNCTION("""COMPUTED_VALUE"""),22223343000158)</f>
        <v>22223343000158</v>
      </c>
      <c r="I9" s="27" t="str">
        <f ca="1">IFERROR(__xludf.DUMMYFUNCTION("""COMPUTED_VALUE"""),"Ana Paula oliveira souza")</f>
        <v>Ana Paula oliveira souza</v>
      </c>
      <c r="J9" s="27" t="str">
        <f ca="1">IFERROR(__xludf.DUMMYFUNCTION("""COMPUTED_VALUE"""),"anasouza6745@gmail.com")</f>
        <v>anasouza6745@gmail.com</v>
      </c>
      <c r="K9" s="27">
        <f ca="1">IFERROR(__xludf.DUMMYFUNCTION("""COMPUTED_VALUE"""),11930030803)</f>
        <v>11930030803</v>
      </c>
      <c r="L9" s="27" t="str">
        <f ca="1">IFERROR(__xludf.DUMMYFUNCTION("""COMPUTED_VALUE"""),"SP")</f>
        <v>SP</v>
      </c>
      <c r="M9" s="27" t="str">
        <f ca="1">IFERROR(__xludf.DUMMYFUNCTION("""COMPUTED_VALUE"""),"Estrada da cumbica 479")</f>
        <v>Estrada da cumbica 479</v>
      </c>
      <c r="N9" s="27" t="str">
        <f ca="1">IFERROR(__xludf.DUMMYFUNCTION("""COMPUTED_VALUE"""),"Jardim São Bento Novo")</f>
        <v>Jardim São Bento Novo</v>
      </c>
      <c r="O9" s="27">
        <f ca="1">IFERROR(__xludf.DUMMYFUNCTION("""COMPUTED_VALUE"""),479)</f>
        <v>479</v>
      </c>
      <c r="P9" s="27" t="str">
        <f ca="1">IFERROR(__xludf.DUMMYFUNCTION("""COMPUTED_VALUE"""),"São Paulo")</f>
        <v>São Paulo</v>
      </c>
      <c r="Q9" s="27"/>
      <c r="R9" s="27" t="str">
        <f ca="1">IFERROR(__xludf.DUMMYFUNCTION("""COMPUTED_VALUE"""),"05872-190")</f>
        <v>05872-190</v>
      </c>
      <c r="S9" s="27"/>
      <c r="T9" s="27"/>
      <c r="U9" s="27"/>
      <c r="V9" s="27"/>
      <c r="W9" s="27">
        <f ca="1">IFERROR(__xludf.DUMMYFUNCTION("""COMPUTED_VALUE"""),10)</f>
        <v>10</v>
      </c>
      <c r="X9" s="27" t="str">
        <f ca="1">IFERROR(__xludf.DUMMYFUNCTION("""COMPUTED_VALUE"""),"Pessoas com deficiência e vulnerabilidade social")</f>
        <v>Pessoas com deficiência e vulnerabilidade social</v>
      </c>
      <c r="Y9" s="27"/>
      <c r="Z9" s="27">
        <f ca="1">IFERROR(__xludf.DUMMYFUNCTION("""COMPUTED_VALUE"""),1000)</f>
        <v>1000</v>
      </c>
      <c r="AA9" s="29">
        <f ca="1">IFERROR(__xludf.DUMMYFUNCTION("""COMPUTED_VALUE"""),42094)</f>
        <v>42094</v>
      </c>
      <c r="AB9" s="27" t="str">
        <f ca="1">IFERROR(__xludf.DUMMYFUNCTION("""COMPUTED_VALUE"""),"Sim")</f>
        <v>Sim</v>
      </c>
      <c r="AC9" s="27">
        <f ca="1">IFERROR(__xludf.DUMMYFUNCTION("""COMPUTED_VALUE"""),0)</f>
        <v>0</v>
      </c>
      <c r="AD9" s="27"/>
      <c r="AE9" s="27">
        <f ca="1">IFERROR(__xludf.DUMMYFUNCTION("""COMPUTED_VALUE"""),50)</f>
        <v>50</v>
      </c>
      <c r="AF9" s="27"/>
      <c r="AG9" s="27">
        <f ca="1">IFERROR(__xludf.DUMMYFUNCTION("""COMPUTED_VALUE"""),4)</f>
        <v>4</v>
      </c>
      <c r="AH9" s="27"/>
      <c r="AI9" s="27"/>
      <c r="AJ9" s="27"/>
      <c r="AK9" s="27"/>
      <c r="AL9" s="21" t="str">
        <f ca="1">IFERROR(__xludf.DUMMYFUNCTION("""COMPUTED_VALUE"""),"0034X0000380O6b")</f>
        <v>0034X0000380O6b</v>
      </c>
      <c r="AM9" s="27" t="str">
        <f ca="1">IFERROR(__xludf.DUMMYFUNCTION("""COMPUTED_VALUE"""),"Paula oliveira souza")</f>
        <v>Paula oliveira souza</v>
      </c>
      <c r="AN9" s="27" t="str">
        <f ca="1">IFERROR(__xludf.DUMMYFUNCTION("""COMPUTED_VALUE"""),"Ativo")</f>
        <v>Ativo</v>
      </c>
      <c r="AO9" s="29">
        <f ca="1">IFERROR(__xludf.DUMMYFUNCTION("""COMPUTED_VALUE"""),44763)</f>
        <v>44763</v>
      </c>
      <c r="AP9" s="27">
        <f ca="1">IFERROR(__xludf.DUMMYFUNCTION("""COMPUTED_VALUE"""),2)</f>
        <v>2</v>
      </c>
      <c r="AQ9" s="27" t="str">
        <f ca="1">IFERROR(__xludf.DUMMYFUNCTION("""COMPUTED_VALUE"""),"Primeiro Semestre 2022")</f>
        <v>Primeiro Semestre 2022</v>
      </c>
      <c r="AR9" s="27" t="str">
        <f ca="1">IFERROR(__xludf.DUMMYFUNCTION("""COMPUTED_VALUE"""),"anasouza6745@gmail.com")</f>
        <v>anasouza6745@gmail.com</v>
      </c>
      <c r="AS9" s="27">
        <f ca="1">IFERROR(__xludf.DUMMYFUNCTION("""COMPUTED_VALUE"""),11930030803)</f>
        <v>11930030803</v>
      </c>
      <c r="AT9" s="29">
        <f ca="1">IFERROR(__xludf.DUMMYFUNCTION("""COMPUTED_VALUE"""),28945)</f>
        <v>28945</v>
      </c>
      <c r="AU9" s="27">
        <f ca="1">IFERROR(__xludf.DUMMYFUNCTION("""COMPUTED_VALUE"""),43)</f>
        <v>43</v>
      </c>
      <c r="AV9" s="27">
        <f ca="1">IFERROR(__xludf.DUMMYFUNCTION("""COMPUTED_VALUE"""),97317594504)</f>
        <v>97317594504</v>
      </c>
      <c r="AW9" s="27">
        <f ca="1">IFERROR(__xludf.DUMMYFUNCTION("""COMPUTED_VALUE"""),395186006)</f>
        <v>395186006</v>
      </c>
      <c r="AX9" s="27"/>
      <c r="AY9" s="27"/>
      <c r="AZ9" s="27" t="str">
        <f ca="1">IFERROR(__xludf.DUMMYFUNCTION("""COMPUTED_VALUE"""),"G1")</f>
        <v>G1</v>
      </c>
      <c r="BA9" s="27" t="str">
        <f ca="1">IFERROR(__xludf.DUMMYFUNCTION("""COMPUTED_VALUE"""),"Parda")</f>
        <v>Parda</v>
      </c>
      <c r="BB9" s="27"/>
      <c r="BC9" s="27"/>
      <c r="BD9" s="27" t="str">
        <f ca="1">IFERROR(__xludf.DUMMYFUNCTION("""COMPUTED_VALUE"""),"Projeto criado para ampliar a luta das pessoas com deficiência")</f>
        <v>Projeto criado para ampliar a luta das pessoas com deficiência</v>
      </c>
      <c r="BE9" s="27" t="str">
        <f ca="1">IFERROR(__xludf.DUMMYFUNCTION("""COMPUTED_VALUE"""),"Feminino")</f>
        <v>Feminino</v>
      </c>
      <c r="BF9" s="27" t="str">
        <f ca="1">IFERROR(__xludf.DUMMYFUNCTION("""COMPUTED_VALUE"""),"Heterossexual")</f>
        <v>Heterossexual</v>
      </c>
      <c r="BG9" s="27"/>
      <c r="BH9" s="27" t="str">
        <f ca="1">IFERROR(__xludf.DUMMYFUNCTION("""COMPUTED_VALUE"""),"Privado")</f>
        <v>Privado</v>
      </c>
      <c r="BI9" s="27" t="str">
        <f ca="1">IFERROR(__xludf.DUMMYFUNCTION("""COMPUTED_VALUE"""),"Graduação")</f>
        <v>Graduação</v>
      </c>
      <c r="BJ9" s="27" t="str">
        <f ca="1">IFERROR(__xludf.DUMMYFUNCTION("""COMPUTED_VALUE"""),"Privado")</f>
        <v>Privado</v>
      </c>
      <c r="BK9" s="27" t="str">
        <f ca="1">IFERROR(__xludf.DUMMYFUNCTION("""COMPUTED_VALUE"""),"ANA PAULA OLIVEIRA SOUZA")</f>
        <v>ANA PAULA OLIVEIRA SOUZA</v>
      </c>
      <c r="BL9" s="27">
        <f ca="1">IFERROR(__xludf.DUMMYFUNCTION("""COMPUTED_VALUE"""),246)</f>
        <v>246</v>
      </c>
      <c r="BM9" s="27"/>
      <c r="BN9" s="27"/>
      <c r="BO9" s="27">
        <f ca="1">IFERROR(__xludf.DUMMYFUNCTION("""COMPUTED_VALUE"""),8321010)</f>
        <v>8321010</v>
      </c>
      <c r="BP9" s="27" t="str">
        <f ca="1">IFERROR(__xludf.DUMMYFUNCTION("""COMPUTED_VALUE"""),"SP")</f>
        <v>SP</v>
      </c>
      <c r="BQ9" s="27" t="str">
        <f ca="1">IFERROR(__xludf.DUMMYFUNCTION("""COMPUTED_VALUE"""),"Entre 1 até 3 salários mínimos")</f>
        <v>Entre 1 até 3 salários mínimos</v>
      </c>
      <c r="BR9" s="27" t="str">
        <f ca="1">IFERROR(__xludf.DUMMYFUNCTION("""COMPUTED_VALUE"""),"CLT")</f>
        <v>CLT</v>
      </c>
      <c r="BS9" s="27" t="str">
        <f ca="1">IFERROR(__xludf.DUMMYFUNCTION("""COMPUTED_VALUE"""),"Aluguel")</f>
        <v>Aluguel</v>
      </c>
      <c r="BT9" s="27">
        <f ca="1">IFERROR(__xludf.DUMMYFUNCTION("""COMPUTED_VALUE"""),2)</f>
        <v>2</v>
      </c>
      <c r="BU9" s="27" t="str">
        <f ca="1">IFERROR(__xludf.DUMMYFUNCTION("""COMPUTED_VALUE"""),"Deficiência física")</f>
        <v>Deficiência física</v>
      </c>
      <c r="BV9" s="27" t="str">
        <f ca="1">IFERROR(__xludf.DUMMYFUNCTION("""COMPUTED_VALUE"""),"Não")</f>
        <v>Não</v>
      </c>
      <c r="BW9" s="27"/>
      <c r="BX9" s="21" t="str">
        <f ca="1">IFERROR(__xludf.DUMMYFUNCTION("""COMPUTED_VALUE"""),"https://www.instagram.com/invites/contact/?i=1owrmvtlsfh9p&amp;utm_content=kmlk0pf")</f>
        <v>https://www.instagram.com/invites/contact/?i=1owrmvtlsfh9p&amp;utm_content=kmlk0pf</v>
      </c>
      <c r="BY9" s="27"/>
    </row>
    <row r="10" spans="1:77" ht="12.5" hidden="1" x14ac:dyDescent="0.25">
      <c r="A10" s="21" t="str">
        <f ca="1">IFERROR(__xludf.DUMMYFUNCTION("""COMPUTED_VALUE"""),"0014P00003YSp7rQAD")</f>
        <v>0014P00003YSp7rQAD</v>
      </c>
      <c r="B10" s="27" t="str">
        <f ca="1">IFERROR(__xludf.DUMMYFUNCTION("""COMPUTED_VALUE"""),"Fase Inicial")</f>
        <v>Fase Inicial</v>
      </c>
      <c r="C10" s="27" t="str">
        <f ca="1">IFERROR(__xludf.DUMMYFUNCTION("""COMPUTED_VALUE"""),"Fellow")</f>
        <v>Fellow</v>
      </c>
      <c r="D10" s="27" t="str">
        <f ca="1">IFERROR(__xludf.DUMMYFUNCTION("""COMPUTED_VALUE"""),"Ativo")</f>
        <v>Ativo</v>
      </c>
      <c r="E10" s="27" t="str">
        <f ca="1">IFERROR(__xludf.DUMMYFUNCTION("""COMPUTED_VALUE"""),"Angu das Artes")</f>
        <v>Angu das Artes</v>
      </c>
      <c r="F10" s="27" t="str">
        <f ca="1">IFERROR(__xludf.DUMMYFUNCTION("""COMPUTED_VALUE"""),"Angélica")</f>
        <v>Angélica</v>
      </c>
      <c r="G10" s="27"/>
      <c r="H10" s="27"/>
      <c r="I10" s="27" t="str">
        <f ca="1">IFERROR(__xludf.DUMMYFUNCTION("""COMPUTED_VALUE"""),"Angelica Nobre de Lima Silva")</f>
        <v>Angelica Nobre de Lima Silva</v>
      </c>
      <c r="J10" s="27" t="str">
        <f ca="1">IFERROR(__xludf.DUMMYFUNCTION("""COMPUTED_VALUE"""),"angudasartes@gmail.com")</f>
        <v>angudasartes@gmail.com</v>
      </c>
      <c r="K10" s="27" t="str">
        <f ca="1">IFERROR(__xludf.DUMMYFUNCTION("""COMPUTED_VALUE"""),"(81)98847-4044")</f>
        <v>(81)98847-4044</v>
      </c>
      <c r="L10" s="27" t="str">
        <f ca="1">IFERROR(__xludf.DUMMYFUNCTION("""COMPUTED_VALUE"""),"PE")</f>
        <v>PE</v>
      </c>
      <c r="M10" s="27" t="str">
        <f ca="1">IFERROR(__xludf.DUMMYFUNCTION("""COMPUTED_VALUE"""),"Rua Altino")</f>
        <v>Rua Altino</v>
      </c>
      <c r="N10" s="27" t="str">
        <f ca="1">IFERROR(__xludf.DUMMYFUNCTION("""COMPUTED_VALUE"""),"Casa Amarela")</f>
        <v>Casa Amarela</v>
      </c>
      <c r="O10" s="27">
        <f ca="1">IFERROR(__xludf.DUMMYFUNCTION("""COMPUTED_VALUE"""),76)</f>
        <v>76</v>
      </c>
      <c r="P10" s="27" t="str">
        <f ca="1">IFERROR(__xludf.DUMMYFUNCTION("""COMPUTED_VALUE"""),"Recife")</f>
        <v>Recife</v>
      </c>
      <c r="Q10" s="27" t="str">
        <f ca="1">IFERROR(__xludf.DUMMYFUNCTION("""COMPUTED_VALUE"""),"Alto Santa Isabel")</f>
        <v>Alto Santa Isabel</v>
      </c>
      <c r="R10" s="27" t="str">
        <f ca="1">IFERROR(__xludf.DUMMYFUNCTION("""COMPUTED_VALUE"""),"52070-000")</f>
        <v>52070-000</v>
      </c>
      <c r="S10" s="27"/>
      <c r="T10" s="27" t="str">
        <f ca="1">IFERROR(__xludf.DUMMYFUNCTION("""COMPUTED_VALUE"""),"Empreendedorismo; Meio ambiente; Empoderamento Feminino; Desenvolvimento comunitário")</f>
        <v>Empreendedorismo; Meio ambiente; Empoderamento Feminino; Desenvolvimento comunitário</v>
      </c>
      <c r="U10" s="27" t="str">
        <f ca="1">IFERROR(__xludf.DUMMYFUNCTION("""COMPUTED_VALUE"""),"Crianças (6 a 12 anos); Jovens (18 aos 24 anos); Adultos; Idosos (60 anos ou mais)")</f>
        <v>Crianças (6 a 12 anos); Jovens (18 aos 24 anos); Adultos; Idosos (60 anos ou mais)</v>
      </c>
      <c r="V10" s="27" t="str">
        <f ca="1">IFERROR(__xludf.DUMMYFUNCTION("""COMPUTED_VALUE"""),"Moradores de Favelas; Pessoas em situação de rua; População LGBTQ+; Povos Indígenas; Quilombola; Afrodescendentes; Dependentes Químicos; Pessoas com Deficiência; Egressos sistema carcerário; Imigrantes; Refugiados; Ribeirinhos; Comunidade rural; Outros")</f>
        <v>Moradores de Favelas; Pessoas em situação de rua; População LGBTQ+; Povos Indígenas; Quilombola; Afrodescendentes; Dependentes Químicos; Pessoas com Deficiência; Egressos sistema carcerário; Imigrantes; Refugiados; Ribeirinhos; Comunidade rural; Outros</v>
      </c>
      <c r="W10" s="27">
        <f ca="1">IFERROR(__xludf.DUMMYFUNCTION("""COMPUTED_VALUE"""),6)</f>
        <v>6</v>
      </c>
      <c r="X10" s="27"/>
      <c r="Y10" s="27"/>
      <c r="Z10" s="27">
        <f ca="1">IFERROR(__xludf.DUMMYFUNCTION("""COMPUTED_VALUE"""),20)</f>
        <v>20</v>
      </c>
      <c r="AA10" s="29">
        <f ca="1">IFERROR(__xludf.DUMMYFUNCTION("""COMPUTED_VALUE"""),43120)</f>
        <v>43120</v>
      </c>
      <c r="AB10" s="27" t="str">
        <f ca="1">IFERROR(__xludf.DUMMYFUNCTION("""COMPUTED_VALUE"""),"Não")</f>
        <v>Não</v>
      </c>
      <c r="AC10" s="27">
        <f ca="1">IFERROR(__xludf.DUMMYFUNCTION("""COMPUTED_VALUE"""),1)</f>
        <v>1</v>
      </c>
      <c r="AD10" s="27">
        <f ca="1">IFERROR(__xludf.DUMMYFUNCTION("""COMPUTED_VALUE"""),1)</f>
        <v>1</v>
      </c>
      <c r="AE10" s="27">
        <f ca="1">IFERROR(__xludf.DUMMYFUNCTION("""COMPUTED_VALUE"""),8)</f>
        <v>8</v>
      </c>
      <c r="AF10" s="27">
        <f ca="1">IFERROR(__xludf.DUMMYFUNCTION("""COMPUTED_VALUE"""),3)</f>
        <v>3</v>
      </c>
      <c r="AG10" s="27">
        <f ca="1">IFERROR(__xludf.DUMMYFUNCTION("""COMPUTED_VALUE"""),2)</f>
        <v>2</v>
      </c>
      <c r="AH10" s="27" t="str">
        <f ca="1">IFERROR(__xludf.DUMMYFUNCTION("""COMPUTED_VALUE"""),"Doações; Recursos próprios")</f>
        <v>Doações; Recursos próprios</v>
      </c>
      <c r="AI10" s="27">
        <f ca="1">IFERROR(__xludf.DUMMYFUNCTION("""COMPUTED_VALUE"""),0)</f>
        <v>0</v>
      </c>
      <c r="AJ10" s="27"/>
      <c r="AK10" s="27"/>
      <c r="AL10" s="21" t="str">
        <f ca="1">IFERROR(__xludf.DUMMYFUNCTION("""COMPUTED_VALUE"""),"0034P000045kxiS")</f>
        <v>0034P000045kxiS</v>
      </c>
      <c r="AM10" s="27" t="str">
        <f ca="1">IFERROR(__xludf.DUMMYFUNCTION("""COMPUTED_VALUE"""),"Nobre De Lima Silva")</f>
        <v>Nobre De Lima Silva</v>
      </c>
      <c r="AN10" s="27" t="str">
        <f ca="1">IFERROR(__xludf.DUMMYFUNCTION("""COMPUTED_VALUE"""),"Ativo")</f>
        <v>Ativo</v>
      </c>
      <c r="AO10" s="30">
        <f ca="1">IFERROR(__xludf.DUMMYFUNCTION("""COMPUTED_VALUE"""),44551)</f>
        <v>44551</v>
      </c>
      <c r="AP10" s="27">
        <f ca="1">IFERROR(__xludf.DUMMYFUNCTION("""COMPUTED_VALUE"""),9)</f>
        <v>9</v>
      </c>
      <c r="AQ10" s="27" t="str">
        <f ca="1">IFERROR(__xludf.DUMMYFUNCTION("""COMPUTED_VALUE"""),"Segundo Semestre 2021")</f>
        <v>Segundo Semestre 2021</v>
      </c>
      <c r="AR10" s="27" t="str">
        <f ca="1">IFERROR(__xludf.DUMMYFUNCTION("""COMPUTED_VALUE"""),"angudasartes@gmail.com")</f>
        <v>angudasartes@gmail.com</v>
      </c>
      <c r="AS10" s="27" t="str">
        <f ca="1">IFERROR(__xludf.DUMMYFUNCTION("""COMPUTED_VALUE"""),"(81)98847-4044")</f>
        <v>(81)98847-4044</v>
      </c>
      <c r="AT10" s="29">
        <f ca="1">IFERROR(__xludf.DUMMYFUNCTION("""COMPUTED_VALUE"""),26971)</f>
        <v>26971</v>
      </c>
      <c r="AU10" s="27">
        <f ca="1">IFERROR(__xludf.DUMMYFUNCTION("""COMPUTED_VALUE"""),49)</f>
        <v>49</v>
      </c>
      <c r="AV10" s="27">
        <f ca="1">IFERROR(__xludf.DUMMYFUNCTION("""COMPUTED_VALUE"""),73393487434)</f>
        <v>73393487434</v>
      </c>
      <c r="AW10" s="27">
        <f ca="1">IFERROR(__xludf.DUMMYFUNCTION("""COMPUTED_VALUE"""),3890036)</f>
        <v>3890036</v>
      </c>
      <c r="AX10" s="27"/>
      <c r="AY10" s="27"/>
      <c r="AZ10" s="27" t="str">
        <f ca="1">IFERROR(__xludf.DUMMYFUNCTION("""COMPUTED_VALUE"""),"G")</f>
        <v>G</v>
      </c>
      <c r="BA10" s="27" t="str">
        <f ca="1">IFERROR(__xludf.DUMMYFUNCTION("""COMPUTED_VALUE"""),"Preta")</f>
        <v>Preta</v>
      </c>
      <c r="BB10" s="27" t="str">
        <f ca="1">IFERROR(__xludf.DUMMYFUNCTION("""COMPUTED_VALUE"""),"Mulher, cisgênero")</f>
        <v>Mulher, cisgênero</v>
      </c>
      <c r="BC10" s="27" t="str">
        <f ca="1">IFERROR(__xludf.DUMMYFUNCTION("""COMPUTED_VALUE"""),"Não")</f>
        <v>Não</v>
      </c>
      <c r="BD10" s="27" t="str">
        <f ca="1">IFERROR(__xludf.DUMMYFUNCTION("""COMPUTED_VALUE"""),"Gestora ambiental que a mais de 5 anos tem um projeto voltado para culinária Sustentável que é o aproveitamento integral do alimento e usa esse instrumento para o combate a fome, a promoção de sustentabilidade e minimização e vulnerabilidade social.")</f>
        <v>Gestora ambiental que a mais de 5 anos tem um projeto voltado para culinária Sustentável que é o aproveitamento integral do alimento e usa esse instrumento para o combate a fome, a promoção de sustentabilidade e minimização e vulnerabilidade social.</v>
      </c>
      <c r="BE10" s="27"/>
      <c r="BF10" s="27" t="str">
        <f ca="1">IFERROR(__xludf.DUMMYFUNCTION("""COMPUTED_VALUE"""),"Heterossexual")</f>
        <v>Heterossexual</v>
      </c>
      <c r="BG10" s="27" t="str">
        <f ca="1">IFERROR(__xludf.DUMMYFUNCTION("""COMPUTED_VALUE"""),"Ensino Superior - Completo")</f>
        <v>Ensino Superior - Completo</v>
      </c>
      <c r="BH10" s="27" t="str">
        <f ca="1">IFERROR(__xludf.DUMMYFUNCTION("""COMPUTED_VALUE"""),"Público")</f>
        <v>Público</v>
      </c>
      <c r="BI10" s="27" t="str">
        <f ca="1">IFERROR(__xludf.DUMMYFUNCTION("""COMPUTED_VALUE"""),"Pós-Graduação")</f>
        <v>Pós-Graduação</v>
      </c>
      <c r="BJ10" s="27" t="str">
        <f ca="1">IFERROR(__xludf.DUMMYFUNCTION("""COMPUTED_VALUE"""),"Público")</f>
        <v>Público</v>
      </c>
      <c r="BK10" s="27" t="str">
        <f ca="1">IFERROR(__xludf.DUMMYFUNCTION("""COMPUTED_VALUE"""),"Rua Altino")</f>
        <v>Rua Altino</v>
      </c>
      <c r="BL10" s="27">
        <f ca="1">IFERROR(__xludf.DUMMYFUNCTION("""COMPUTED_VALUE"""),76)</f>
        <v>76</v>
      </c>
      <c r="BM10" s="27" t="str">
        <f ca="1">IFERROR(__xludf.DUMMYFUNCTION("""COMPUTED_VALUE"""),"Alto Santa Isabel")</f>
        <v>Alto Santa Isabel</v>
      </c>
      <c r="BN10" s="27" t="str">
        <f ca="1">IFERROR(__xludf.DUMMYFUNCTION("""COMPUTED_VALUE"""),"Recife")</f>
        <v>Recife</v>
      </c>
      <c r="BO10" s="27" t="str">
        <f ca="1">IFERROR(__xludf.DUMMYFUNCTION("""COMPUTED_VALUE"""),"52070-006")</f>
        <v>52070-006</v>
      </c>
      <c r="BP10" s="27" t="str">
        <f ca="1">IFERROR(__xludf.DUMMYFUNCTION("""COMPUTED_VALUE"""),"PE")</f>
        <v>PE</v>
      </c>
      <c r="BQ10" s="27" t="str">
        <f ca="1">IFERROR(__xludf.DUMMYFUNCTION("""COMPUTED_VALUE"""),"Entre 1 até 3 salários mínimos")</f>
        <v>Entre 1 até 3 salários mínimos</v>
      </c>
      <c r="BR10" s="27" t="str">
        <f ca="1">IFERROR(__xludf.DUMMYFUNCTION("""COMPUTED_VALUE"""),"MEI")</f>
        <v>MEI</v>
      </c>
      <c r="BS10" s="27" t="str">
        <f ca="1">IFERROR(__xludf.DUMMYFUNCTION("""COMPUTED_VALUE"""),"Casa própria")</f>
        <v>Casa própria</v>
      </c>
      <c r="BT10" s="27">
        <f ca="1">IFERROR(__xludf.DUMMYFUNCTION("""COMPUTED_VALUE"""),2)</f>
        <v>2</v>
      </c>
      <c r="BU10" s="27" t="str">
        <f ca="1">IFERROR(__xludf.DUMMYFUNCTION("""COMPUTED_VALUE"""),"Ansiedade")</f>
        <v>Ansiedade</v>
      </c>
      <c r="BV10" s="27"/>
      <c r="BW10" s="27"/>
      <c r="BX10" s="27" t="str">
        <f ca="1">IFERROR(__xludf.DUMMYFUNCTION("""COMPUTED_VALUE"""),"angudasartes")</f>
        <v>angudasartes</v>
      </c>
      <c r="BY10" s="21" t="str">
        <f ca="1">IFERROR(__xludf.DUMMYFUNCTION("""COMPUTED_VALUE"""),"https://drive.google.com/open?id=1jI7U6TCxRrBLFWchVmlJfmEjWgg3mTPt")</f>
        <v>https://drive.google.com/open?id=1jI7U6TCxRrBLFWchVmlJfmEjWgg3mTPt</v>
      </c>
    </row>
    <row r="11" spans="1:77" ht="12.5" hidden="1" x14ac:dyDescent="0.25">
      <c r="A11" s="21" t="str">
        <f ca="1">IFERROR(__xludf.DUMMYFUNCTION("""COMPUTED_VALUE"""),"0014X00002VKCsRQAX")</f>
        <v>0014X00002VKCsRQAX</v>
      </c>
      <c r="B11" s="27" t="str">
        <f ca="1">IFERROR(__xludf.DUMMYFUNCTION("""COMPUTED_VALUE"""),"Fase Inicial")</f>
        <v>Fase Inicial</v>
      </c>
      <c r="C11" s="27" t="str">
        <f ca="1">IFERROR(__xludf.DUMMYFUNCTION("""COMPUTED_VALUE"""),"Fellow")</f>
        <v>Fellow</v>
      </c>
      <c r="D11" s="27" t="str">
        <f ca="1">IFERROR(__xludf.DUMMYFUNCTION("""COMPUTED_VALUE"""),"Ativo")</f>
        <v>Ativo</v>
      </c>
      <c r="E11" s="27" t="str">
        <f ca="1">IFERROR(__xludf.DUMMYFUNCTION("""COMPUTED_VALUE"""),"Anjos de Asas no Mundo Azul")</f>
        <v>Anjos de Asas no Mundo Azul</v>
      </c>
      <c r="F11" s="27" t="str">
        <f ca="1">IFERROR(__xludf.DUMMYFUNCTION("""COMPUTED_VALUE"""),"Claudia")</f>
        <v>Claudia</v>
      </c>
      <c r="G11" s="27" t="str">
        <f ca="1">IFERROR(__xludf.DUMMYFUNCTION("""COMPUTED_VALUE"""),"ANJOS DE ASAS NO MUNDO AZUL")</f>
        <v>ANJOS DE ASAS NO MUNDO AZUL</v>
      </c>
      <c r="H11" s="27"/>
      <c r="I11" s="27" t="str">
        <f ca="1">IFERROR(__xludf.DUMMYFUNCTION("""COMPUTED_VALUE"""),"CLAUDIA RUBIAH DANTAS SALGADO DA SILVA")</f>
        <v>CLAUDIA RUBIAH DANTAS SALGADO DA SILVA</v>
      </c>
      <c r="J11" s="27" t="str">
        <f ca="1">IFERROR(__xludf.DUMMYFUNCTION("""COMPUTED_VALUE"""),"mundoaanjosdeasas@gmail.com")</f>
        <v>mundoaanjosdeasas@gmail.com</v>
      </c>
      <c r="K11" s="27">
        <f ca="1">IFERROR(__xludf.DUMMYFUNCTION("""COMPUTED_VALUE"""),21968974594)</f>
        <v>21968974594</v>
      </c>
      <c r="L11" s="27" t="str">
        <f ca="1">IFERROR(__xludf.DUMMYFUNCTION("""COMPUTED_VALUE"""),"RJ")</f>
        <v>RJ</v>
      </c>
      <c r="M11" s="27" t="str">
        <f ca="1">IFERROR(__xludf.DUMMYFUNCTION("""COMPUTED_VALUE"""),"Travessa Guilherme Maza")</f>
        <v>Travessa Guilherme Maza</v>
      </c>
      <c r="N11" s="27" t="str">
        <f ca="1">IFERROR(__xludf.DUMMYFUNCTION("""COMPUTED_VALUE"""),"Chatuba")</f>
        <v>Chatuba</v>
      </c>
      <c r="O11" s="27">
        <f ca="1">IFERROR(__xludf.DUMMYFUNCTION("""COMPUTED_VALUE"""),15)</f>
        <v>15</v>
      </c>
      <c r="P11" s="27" t="str">
        <f ca="1">IFERROR(__xludf.DUMMYFUNCTION("""COMPUTED_VALUE"""),"Mesquita")</f>
        <v>Mesquita</v>
      </c>
      <c r="Q11" s="27"/>
      <c r="R11" s="27" t="str">
        <f ca="1">IFERROR(__xludf.DUMMYFUNCTION("""COMPUTED_VALUE"""),"26585-080")</f>
        <v>26585-080</v>
      </c>
      <c r="S11" s="27"/>
      <c r="T11" s="27"/>
      <c r="U11" s="27"/>
      <c r="V11" s="27"/>
      <c r="W11" s="27">
        <f ca="1">IFERROR(__xludf.DUMMYFUNCTION("""COMPUTED_VALUE"""),2)</f>
        <v>2</v>
      </c>
      <c r="X11" s="27"/>
      <c r="Y11" s="27"/>
      <c r="Z11" s="27">
        <f ca="1">IFERROR(__xludf.DUMMYFUNCTION("""COMPUTED_VALUE"""),200)</f>
        <v>200</v>
      </c>
      <c r="AA11" s="30">
        <f ca="1">IFERROR(__xludf.DUMMYFUNCTION("""COMPUTED_VALUE"""),40858)</f>
        <v>40858</v>
      </c>
      <c r="AB11" s="27" t="str">
        <f ca="1">IFERROR(__xludf.DUMMYFUNCTION("""COMPUTED_VALUE"""),"Não")</f>
        <v>Não</v>
      </c>
      <c r="AC11" s="27"/>
      <c r="AD11" s="27"/>
      <c r="AE11" s="27">
        <f ca="1">IFERROR(__xludf.DUMMYFUNCTION("""COMPUTED_VALUE"""),8)</f>
        <v>8</v>
      </c>
      <c r="AF11" s="27"/>
      <c r="AG11" s="27">
        <f ca="1">IFERROR(__xludf.DUMMYFUNCTION("""COMPUTED_VALUE"""),2)</f>
        <v>2</v>
      </c>
      <c r="AH11" s="27"/>
      <c r="AI11" s="27"/>
      <c r="AJ11" s="27" t="str">
        <f ca="1">IFERROR(__xludf.DUMMYFUNCTION("""COMPUTED_VALUE"""),"Não")</f>
        <v>Não</v>
      </c>
      <c r="AK11" s="27"/>
      <c r="AL11" s="21" t="str">
        <f ca="1">IFERROR(__xludf.DUMMYFUNCTION("""COMPUTED_VALUE"""),"0034X0000380O0a")</f>
        <v>0034X0000380O0a</v>
      </c>
      <c r="AM11" s="27" t="str">
        <f ca="1">IFERROR(__xludf.DUMMYFUNCTION("""COMPUTED_VALUE"""),"Rubia dantas salgado da silva")</f>
        <v>Rubia dantas salgado da silva</v>
      </c>
      <c r="AN11" s="27" t="str">
        <f ca="1">IFERROR(__xludf.DUMMYFUNCTION("""COMPUTED_VALUE"""),"Ativo")</f>
        <v>Ativo</v>
      </c>
      <c r="AO11" s="29">
        <f ca="1">IFERROR(__xludf.DUMMYFUNCTION("""COMPUTED_VALUE"""),44763)</f>
        <v>44763</v>
      </c>
      <c r="AP11" s="27">
        <f ca="1">IFERROR(__xludf.DUMMYFUNCTION("""COMPUTED_VALUE"""),2)</f>
        <v>2</v>
      </c>
      <c r="AQ11" s="27" t="str">
        <f ca="1">IFERROR(__xludf.DUMMYFUNCTION("""COMPUTED_VALUE"""),"Primeiro Semestre 2022")</f>
        <v>Primeiro Semestre 2022</v>
      </c>
      <c r="AR11" s="27" t="str">
        <f ca="1">IFERROR(__xludf.DUMMYFUNCTION("""COMPUTED_VALUE"""),"claudiarubiah443@gmail.com")</f>
        <v>claudiarubiah443@gmail.com</v>
      </c>
      <c r="AS11" s="27" t="str">
        <f ca="1">IFERROR(__xludf.DUMMYFUNCTION("""COMPUTED_VALUE"""),"(21)98294-2319")</f>
        <v>(21)98294-2319</v>
      </c>
      <c r="AT11" s="29">
        <f ca="1">IFERROR(__xludf.DUMMYFUNCTION("""COMPUTED_VALUE"""),24896)</f>
        <v>24896</v>
      </c>
      <c r="AU11" s="27">
        <f ca="1">IFERROR(__xludf.DUMMYFUNCTION("""COMPUTED_VALUE"""),54)</f>
        <v>54</v>
      </c>
      <c r="AV11" s="27">
        <f ca="1">IFERROR(__xludf.DUMMYFUNCTION("""COMPUTED_VALUE"""),82274223734)</f>
        <v>82274223734</v>
      </c>
      <c r="AW11" s="27" t="str">
        <f ca="1">IFERROR(__xludf.DUMMYFUNCTION("""COMPUTED_VALUE"""),"07 647971-6")</f>
        <v>07 647971-6</v>
      </c>
      <c r="AX11" s="27"/>
      <c r="AY11" s="27" t="str">
        <f ca="1">IFERROR(__xludf.DUMMYFUNCTION("""COMPUTED_VALUE"""),"Presidente")</f>
        <v>Presidente</v>
      </c>
      <c r="AZ11" s="27" t="str">
        <f ca="1">IFERROR(__xludf.DUMMYFUNCTION("""COMPUTED_VALUE"""),"GG")</f>
        <v>GG</v>
      </c>
      <c r="BA11" s="27" t="str">
        <f ca="1">IFERROR(__xludf.DUMMYFUNCTION("""COMPUTED_VALUE"""),"Preta")</f>
        <v>Preta</v>
      </c>
      <c r="BB11" s="27"/>
      <c r="BC11" s="27"/>
      <c r="BD11" s="27" t="str">
        <f ca="1">IFERROR(__xludf.DUMMYFUNCTION("""COMPUTED_VALUE"""),"Somos um projeto social que a 10 anos vem fazendo uma trabalho de Socialização com a inclusão de crianças especiais (TEA) ou qualquer tipo de Deficiência.  Já ajudamos cerca de 500 famílias Hoje, estamos com 30 crianças em atendimento psicopedagógico com "&amp;"terapias Sensorial com Voluntários. Nossa sede é alugada para manter o espaço faço; Rifa, almoço solidário, vendas de camisetas e canecas do projeto Anjos de Asas no Mundo Azul.")</f>
        <v>Somos um projeto social que a 10 anos vem fazendo uma trabalho de Socialização com a inclusão de crianças especiais (TEA) ou qualquer tipo de Deficiência.  Já ajudamos cerca de 500 famílias Hoje, estamos com 30 crianças em atendimento psicopedagógico com terapias Sensorial com Voluntários. Nossa sede é alugada para manter o espaço faço; Rifa, almoço solidário, vendas de camisetas e canecas do projeto Anjos de Asas no Mundo Azul.</v>
      </c>
      <c r="BE11" s="27" t="str">
        <f ca="1">IFERROR(__xludf.DUMMYFUNCTION("""COMPUTED_VALUE"""),"Outro(s)")</f>
        <v>Outro(s)</v>
      </c>
      <c r="BF11" s="27" t="str">
        <f ca="1">IFERROR(__xludf.DUMMYFUNCTION("""COMPUTED_VALUE"""),"Heterossexual")</f>
        <v>Heterossexual</v>
      </c>
      <c r="BG11" s="27" t="str">
        <f ca="1">IFERROR(__xludf.DUMMYFUNCTION("""COMPUTED_VALUE"""),"Ensino Médio - Completo")</f>
        <v>Ensino Médio - Completo</v>
      </c>
      <c r="BH11" s="27" t="str">
        <f ca="1">IFERROR(__xludf.DUMMYFUNCTION("""COMPUTED_VALUE"""),"Público")</f>
        <v>Público</v>
      </c>
      <c r="BI11" s="27"/>
      <c r="BJ11" s="27"/>
      <c r="BK11" s="27" t="str">
        <f ca="1">IFERROR(__xludf.DUMMYFUNCTION("""COMPUTED_VALUE"""),"Rua Vicente Celestino")</f>
        <v>Rua Vicente Celestino</v>
      </c>
      <c r="BL11" s="27">
        <f ca="1">IFERROR(__xludf.DUMMYFUNCTION("""COMPUTED_VALUE"""),118)</f>
        <v>118</v>
      </c>
      <c r="BM11" s="27" t="str">
        <f ca="1">IFERROR(__xludf.DUMMYFUNCTION("""COMPUTED_VALUE"""),"Casa")</f>
        <v>Casa</v>
      </c>
      <c r="BN11" s="27" t="str">
        <f ca="1">IFERROR(__xludf.DUMMYFUNCTION("""COMPUTED_VALUE"""),"Mesquita")</f>
        <v>Mesquita</v>
      </c>
      <c r="BO11" s="27" t="str">
        <f ca="1">IFERROR(__xludf.DUMMYFUNCTION("""COMPUTED_VALUE"""),"26585-080")</f>
        <v>26585-080</v>
      </c>
      <c r="BP11" s="27" t="str">
        <f ca="1">IFERROR(__xludf.DUMMYFUNCTION("""COMPUTED_VALUE"""),"RJ")</f>
        <v>RJ</v>
      </c>
      <c r="BQ11" s="27" t="str">
        <f ca="1">IFERROR(__xludf.DUMMYFUNCTION("""COMPUTED_VALUE"""),"Entre 1 até 3 salários mínimos")</f>
        <v>Entre 1 até 3 salários mínimos</v>
      </c>
      <c r="BR11" s="27" t="str">
        <f ca="1">IFERROR(__xludf.DUMMYFUNCTION("""COMPUTED_VALUE"""),"Trabalho informal")</f>
        <v>Trabalho informal</v>
      </c>
      <c r="BS11" s="27" t="str">
        <f ca="1">IFERROR(__xludf.DUMMYFUNCTION("""COMPUTED_VALUE"""),"Ocupação/Invasão")</f>
        <v>Ocupação/Invasão</v>
      </c>
      <c r="BT11" s="27">
        <f ca="1">IFERROR(__xludf.DUMMYFUNCTION("""COMPUTED_VALUE"""),6)</f>
        <v>6</v>
      </c>
      <c r="BU11" s="27" t="str">
        <f ca="1">IFERROR(__xludf.DUMMYFUNCTION("""COMPUTED_VALUE"""),"Não tem")</f>
        <v>Não tem</v>
      </c>
      <c r="BV11" s="27" t="str">
        <f ca="1">IFERROR(__xludf.DUMMYFUNCTION("""COMPUTED_VALUE"""),"Não")</f>
        <v>Não</v>
      </c>
      <c r="BW11" s="27" t="str">
        <f ca="1">IFERROR(__xludf.DUMMYFUNCTION("""COMPUTED_VALUE"""),"@Claudiarubiahdantas")</f>
        <v>@Claudiarubiahdantas</v>
      </c>
      <c r="BX11" s="27" t="str">
        <f ca="1">IFERROR(__xludf.DUMMYFUNCTION("""COMPUTED_VALUE"""),"@claudiarubiah")</f>
        <v>@claudiarubiah</v>
      </c>
      <c r="BY11" s="21" t="str">
        <f ca="1">IFERROR(__xludf.DUMMYFUNCTION("""COMPUTED_VALUE"""),"https://drive.google.com/open?id=1EUMQyko7rmlDjLjKa9j7hcB--MhWxDmh")</f>
        <v>https://drive.google.com/open?id=1EUMQyko7rmlDjLjKa9j7hcB--MhWxDmh</v>
      </c>
    </row>
    <row r="12" spans="1:77" ht="12.5" hidden="1" x14ac:dyDescent="0.25">
      <c r="A12" s="21" t="str">
        <f ca="1">IFERROR(__xludf.DUMMYFUNCTION("""COMPUTED_VALUE"""),"0014P00003YSpADQA1")</f>
        <v>0014P00003YSpADQA1</v>
      </c>
      <c r="B12" s="27" t="str">
        <f ca="1">IFERROR(__xludf.DUMMYFUNCTION("""COMPUTED_VALUE"""),"Fase Inicial")</f>
        <v>Fase Inicial</v>
      </c>
      <c r="C12" s="27" t="str">
        <f ca="1">IFERROR(__xludf.DUMMYFUNCTION("""COMPUTED_VALUE"""),"Fellow")</f>
        <v>Fellow</v>
      </c>
      <c r="D12" s="27" t="str">
        <f ca="1">IFERROR(__xludf.DUMMYFUNCTION("""COMPUTED_VALUE"""),"Ativo")</f>
        <v>Ativo</v>
      </c>
      <c r="E12" s="27" t="str">
        <f ca="1">IFERROR(__xludf.DUMMYFUNCTION("""COMPUTED_VALUE"""),"APAT - Associação de Pais e Amigos dos Tenistas de Ouro Branco")</f>
        <v>APAT - Associação de Pais e Amigos dos Tenistas de Ouro Branco</v>
      </c>
      <c r="F12" s="27" t="str">
        <f ca="1">IFERROR(__xludf.DUMMYFUNCTION("""COMPUTED_VALUE"""),"Virginia")</f>
        <v>Virginia</v>
      </c>
      <c r="G12" s="27"/>
      <c r="H12" s="27" t="str">
        <f ca="1">IFERROR(__xludf.DUMMYFUNCTION("""COMPUTED_VALUE"""),"07.640.517/0001-94")</f>
        <v>07.640.517/0001-94</v>
      </c>
      <c r="I12" s="27" t="str">
        <f ca="1">IFERROR(__xludf.DUMMYFUNCTION("""COMPUTED_VALUE"""),"Ronaldo Leles de Paula")</f>
        <v>Ronaldo Leles de Paula</v>
      </c>
      <c r="J12" s="27" t="str">
        <f ca="1">IFERROR(__xludf.DUMMYFUNCTION("""COMPUTED_VALUE"""),"apatslice@gmail.com")</f>
        <v>apatslice@gmail.com</v>
      </c>
      <c r="K12" s="27" t="str">
        <f ca="1">IFERROR(__xludf.DUMMYFUNCTION("""COMPUTED_VALUE"""),"(31)99987-6236")</f>
        <v>(31)99987-6236</v>
      </c>
      <c r="L12" s="27" t="str">
        <f ca="1">IFERROR(__xludf.DUMMYFUNCTION("""COMPUTED_VALUE"""),"MG")</f>
        <v>MG</v>
      </c>
      <c r="M12" s="27" t="str">
        <f ca="1">IFERROR(__xludf.DUMMYFUNCTION("""COMPUTED_VALUE"""),"Rua vitoriano Veloso 200")</f>
        <v>Rua vitoriano Veloso 200</v>
      </c>
      <c r="N12" s="27" t="str">
        <f ca="1">IFERROR(__xludf.DUMMYFUNCTION("""COMPUTED_VALUE"""),"inconfidentes")</f>
        <v>inconfidentes</v>
      </c>
      <c r="O12" s="27">
        <f ca="1">IFERROR(__xludf.DUMMYFUNCTION("""COMPUTED_VALUE"""),200)</f>
        <v>200</v>
      </c>
      <c r="P12" s="27" t="str">
        <f ca="1">IFERROR(__xludf.DUMMYFUNCTION("""COMPUTED_VALUE"""),"Ouro branco")</f>
        <v>Ouro branco</v>
      </c>
      <c r="Q12" s="27" t="str">
        <f ca="1">IFERROR(__xludf.DUMMYFUNCTION("""COMPUTED_VALUE"""),"quaddras de tenis")</f>
        <v>quaddras de tenis</v>
      </c>
      <c r="R12" s="27" t="str">
        <f ca="1">IFERROR(__xludf.DUMMYFUNCTION("""COMPUTED_VALUE"""),"36420-000")</f>
        <v>36420-000</v>
      </c>
      <c r="S12" s="27"/>
      <c r="T12" s="27" t="str">
        <f ca="1">IFERROR(__xludf.DUMMYFUNCTION("""COMPUTED_VALUE"""),"Esporte; Educação; Assistência Social; Empoderamento Feminino; Assistência Psicológica")</f>
        <v>Esporte; Educação; Assistência Social; Empoderamento Feminino; Assistência Psicológica</v>
      </c>
      <c r="U12" s="27" t="str">
        <f ca="1">IFERROR(__xludf.DUMMYFUNCTION("""COMPUTED_VALUE"""),"Crianças (6 a 12 anos); Adolescentes (12 aos 18 anos)")</f>
        <v>Crianças (6 a 12 anos); Adolescentes (12 aos 18 anos)</v>
      </c>
      <c r="V12" s="27" t="str">
        <f ca="1">IFERROR(__xludf.DUMMYFUNCTION("""COMPUTED_VALUE"""),"Moradores de Favelas; Comunidade rural")</f>
        <v>Moradores de Favelas; Comunidade rural</v>
      </c>
      <c r="W12" s="27">
        <f ca="1">IFERROR(__xludf.DUMMYFUNCTION("""COMPUTED_VALUE"""),10)</f>
        <v>10</v>
      </c>
      <c r="X12" s="27" t="str">
        <f ca="1">IFERROR(__xludf.DUMMYFUNCTION("""COMPUTED_VALUE"""),"não sao favelas mas sao bairros de risco muito grande.")</f>
        <v>não sao favelas mas sao bairros de risco muito grande.</v>
      </c>
      <c r="Y12" s="27"/>
      <c r="Z12" s="27">
        <f ca="1">IFERROR(__xludf.DUMMYFUNCTION("""COMPUTED_VALUE"""),300)</f>
        <v>300</v>
      </c>
      <c r="AA12" s="30">
        <f ca="1">IFERROR(__xludf.DUMMYFUNCTION("""COMPUTED_VALUE"""),38271)</f>
        <v>38271</v>
      </c>
      <c r="AB12" s="27" t="str">
        <f ca="1">IFERROR(__xludf.DUMMYFUNCTION("""COMPUTED_VALUE"""),"Sim")</f>
        <v>Sim</v>
      </c>
      <c r="AC12" s="27">
        <f ca="1">IFERROR(__xludf.DUMMYFUNCTION("""COMPUTED_VALUE"""),10)</f>
        <v>10</v>
      </c>
      <c r="AD12" s="27">
        <f ca="1">IFERROR(__xludf.DUMMYFUNCTION("""COMPUTED_VALUE"""),4)</f>
        <v>4</v>
      </c>
      <c r="AE12" s="27">
        <f ca="1">IFERROR(__xludf.DUMMYFUNCTION("""COMPUTED_VALUE"""),12)</f>
        <v>12</v>
      </c>
      <c r="AF12" s="27">
        <f ca="1">IFERROR(__xludf.DUMMYFUNCTION("""COMPUTED_VALUE"""),12)</f>
        <v>12</v>
      </c>
      <c r="AG12" s="27">
        <f ca="1">IFERROR(__xludf.DUMMYFUNCTION("""COMPUTED_VALUE"""),4)</f>
        <v>4</v>
      </c>
      <c r="AH12" s="27" t="str">
        <f ca="1">IFERROR(__xludf.DUMMYFUNCTION("""COMPUTED_VALUE"""),"Lei de Incentivo; Lei Estadual do Esporte; Lei Federal do Esporte; FIA")</f>
        <v>Lei de Incentivo; Lei Estadual do Esporte; Lei Federal do Esporte; FIA</v>
      </c>
      <c r="AI12" s="27" t="str">
        <f ca="1">IFERROR(__xludf.DUMMYFUNCTION("""COMPUTED_VALUE"""),"50% lei federal esporte , 23% lei estadual , 15% fia e restante outros")</f>
        <v>50% lei federal esporte , 23% lei estadual , 15% fia e restante outros</v>
      </c>
      <c r="AJ12" s="27"/>
      <c r="AK12" s="27"/>
      <c r="AL12" s="21" t="str">
        <f ca="1">IFERROR(__xludf.DUMMYFUNCTION("""COMPUTED_VALUE"""),"0034P000045kxkp")</f>
        <v>0034P000045kxkp</v>
      </c>
      <c r="AM12" s="27" t="str">
        <f ca="1">IFERROR(__xludf.DUMMYFUNCTION("""COMPUTED_VALUE"""),"O Porto Leles")</f>
        <v>O Porto Leles</v>
      </c>
      <c r="AN12" s="27" t="str">
        <f ca="1">IFERROR(__xludf.DUMMYFUNCTION("""COMPUTED_VALUE"""),"Ativo")</f>
        <v>Ativo</v>
      </c>
      <c r="AO12" s="30">
        <f ca="1">IFERROR(__xludf.DUMMYFUNCTION("""COMPUTED_VALUE"""),44551)</f>
        <v>44551</v>
      </c>
      <c r="AP12" s="27">
        <f ca="1">IFERROR(__xludf.DUMMYFUNCTION("""COMPUTED_VALUE"""),9)</f>
        <v>9</v>
      </c>
      <c r="AQ12" s="27" t="str">
        <f ca="1">IFERROR(__xludf.DUMMYFUNCTION("""COMPUTED_VALUE"""),"Segundo Semestre 2021")</f>
        <v>Segundo Semestre 2021</v>
      </c>
      <c r="AR12" s="27" t="str">
        <f ca="1">IFERROR(__xludf.DUMMYFUNCTION("""COMPUTED_VALUE"""),"apatslice@gmail.com")</f>
        <v>apatslice@gmail.com</v>
      </c>
      <c r="AS12" s="27" t="str">
        <f ca="1">IFERROR(__xludf.DUMMYFUNCTION("""COMPUTED_VALUE"""),"(31)99987-6236")</f>
        <v>(31)99987-6236</v>
      </c>
      <c r="AT12" s="30">
        <f ca="1">IFERROR(__xludf.DUMMYFUNCTION("""COMPUTED_VALUE"""),22570)</f>
        <v>22570</v>
      </c>
      <c r="AU12" s="27">
        <f ca="1">IFERROR(__xludf.DUMMYFUNCTION("""COMPUTED_VALUE"""),61)</f>
        <v>61</v>
      </c>
      <c r="AV12" s="27">
        <f ca="1">IFERROR(__xludf.DUMMYFUNCTION("""COMPUTED_VALUE"""),47520248615)</f>
        <v>47520248615</v>
      </c>
      <c r="AW12" s="27" t="str">
        <f ca="1">IFERROR(__xludf.DUMMYFUNCTION("""COMPUTED_VALUE"""),"M2091579")</f>
        <v>M2091579</v>
      </c>
      <c r="AX12" s="27"/>
      <c r="AY12" s="27"/>
      <c r="AZ12" s="27" t="str">
        <f ca="1">IFERROR(__xludf.DUMMYFUNCTION("""COMPUTED_VALUE"""),"G")</f>
        <v>G</v>
      </c>
      <c r="BA12" s="27" t="str">
        <f ca="1">IFERROR(__xludf.DUMMYFUNCTION("""COMPUTED_VALUE"""),"Branca")</f>
        <v>Branca</v>
      </c>
      <c r="BB12" s="27" t="str">
        <f ca="1">IFERROR(__xludf.DUMMYFUNCTION("""COMPUTED_VALUE"""),"Mulher, cisgênero")</f>
        <v>Mulher, cisgênero</v>
      </c>
      <c r="BC12" s="27" t="str">
        <f ca="1">IFERROR(__xludf.DUMMYFUNCTION("""COMPUTED_VALUE"""),"Sim")</f>
        <v>Sim</v>
      </c>
      <c r="BD12" s="27" t="str">
        <f ca="1">IFERROR(__xludf.DUMMYFUNCTION("""COMPUTED_VALUE"""),"Fundadora da Apat, atual Coordenadora Tecnica. 
Pós graduada em gestão de terceiro setor e responsabilidade social.
Graduada   em Educação Física e  letras. 
Gosta de leitura gastronomia esportes")</f>
        <v>Fundadora da Apat, atual Coordenadora Tecnica. 
Pós graduada em gestão de terceiro setor e responsabilidade social.
Graduada   em Educação Física e  letras. 
Gosta de leitura gastronomia esportes</v>
      </c>
      <c r="BE12" s="27"/>
      <c r="BF12" s="27" t="str">
        <f ca="1">IFERROR(__xludf.DUMMYFUNCTION("""COMPUTED_VALUE"""),"Heterossexual")</f>
        <v>Heterossexual</v>
      </c>
      <c r="BG12" s="27" t="str">
        <f ca="1">IFERROR(__xludf.DUMMYFUNCTION("""COMPUTED_VALUE"""),"Ensino Superior - Completo")</f>
        <v>Ensino Superior - Completo</v>
      </c>
      <c r="BH12" s="27" t="str">
        <f ca="1">IFERROR(__xludf.DUMMYFUNCTION("""COMPUTED_VALUE"""),"Público")</f>
        <v>Público</v>
      </c>
      <c r="BI12" s="27" t="str">
        <f ca="1">IFERROR(__xludf.DUMMYFUNCTION("""COMPUTED_VALUE"""),"Pós-Graduação")</f>
        <v>Pós-Graduação</v>
      </c>
      <c r="BJ12" s="27" t="str">
        <f ca="1">IFERROR(__xludf.DUMMYFUNCTION("""COMPUTED_VALUE"""),"Público")</f>
        <v>Público</v>
      </c>
      <c r="BK12" s="27" t="str">
        <f ca="1">IFERROR(__xludf.DUMMYFUNCTION("""COMPUTED_VALUE"""),"Av cónego luis Vieira")</f>
        <v>Av cónego luis Vieira</v>
      </c>
      <c r="BL12" s="27">
        <f ca="1">IFERROR(__xludf.DUMMYFUNCTION("""COMPUTED_VALUE"""),2189)</f>
        <v>2189</v>
      </c>
      <c r="BM12" s="27" t="str">
        <f ca="1">IFERROR(__xludf.DUMMYFUNCTION("""COMPUTED_VALUE"""),"casa")</f>
        <v>casa</v>
      </c>
      <c r="BN12" s="27" t="str">
        <f ca="1">IFERROR(__xludf.DUMMYFUNCTION("""COMPUTED_VALUE"""),"Ouro branco")</f>
        <v>Ouro branco</v>
      </c>
      <c r="BO12" s="27" t="str">
        <f ca="1">IFERROR(__xludf.DUMMYFUNCTION("""COMPUTED_VALUE"""),"36420-000")</f>
        <v>36420-000</v>
      </c>
      <c r="BP12" s="27" t="str">
        <f ca="1">IFERROR(__xludf.DUMMYFUNCTION("""COMPUTED_VALUE"""),"MG")</f>
        <v>MG</v>
      </c>
      <c r="BQ12" s="27" t="str">
        <f ca="1">IFERROR(__xludf.DUMMYFUNCTION("""COMPUTED_VALUE"""),"Acima de 5 salários mínimos")</f>
        <v>Acima de 5 salários mínimos</v>
      </c>
      <c r="BR12" s="27" t="str">
        <f ca="1">IFERROR(__xludf.DUMMYFUNCTION("""COMPUTED_VALUE"""),"MEI")</f>
        <v>MEI</v>
      </c>
      <c r="BS12" s="27" t="str">
        <f ca="1">IFERROR(__xludf.DUMMYFUNCTION("""COMPUTED_VALUE"""),"Casa própria")</f>
        <v>Casa própria</v>
      </c>
      <c r="BT12" s="27">
        <f ca="1">IFERROR(__xludf.DUMMYFUNCTION("""COMPUTED_VALUE"""),2)</f>
        <v>2</v>
      </c>
      <c r="BU12" s="27" t="str">
        <f ca="1">IFERROR(__xludf.DUMMYFUNCTION("""COMPUTED_VALUE"""),"Não tem")</f>
        <v>Não tem</v>
      </c>
      <c r="BV12" s="27"/>
      <c r="BW12" s="21" t="str">
        <f ca="1">IFERROR(__xludf.DUMMYFUNCTION("""COMPUTED_VALUE"""),"http://linkedin.com/in/virginia-porto-leles-b5396429")</f>
        <v>http://linkedin.com/in/virginia-porto-leles-b5396429</v>
      </c>
      <c r="BX12" s="27" t="str">
        <f ca="1">IFERROR(__xludf.DUMMYFUNCTION("""COMPUTED_VALUE"""),"Virgínia leles")</f>
        <v>Virgínia leles</v>
      </c>
      <c r="BY12" s="21" t="str">
        <f ca="1">IFERROR(__xludf.DUMMYFUNCTION("""COMPUTED_VALUE"""),"https://drive.google.com/open?id=1mO7dWomP8-pxQ6uFq8gty9Um1bkQvxIL")</f>
        <v>https://drive.google.com/open?id=1mO7dWomP8-pxQ6uFq8gty9Um1bkQvxIL</v>
      </c>
    </row>
    <row r="13" spans="1:77" ht="12.5" hidden="1" x14ac:dyDescent="0.25">
      <c r="A13" s="21" t="str">
        <f ca="1">IFERROR(__xludf.DUMMYFUNCTION("""COMPUTED_VALUE"""),"0014X00002VKCpjQAH")</f>
        <v>0014X00002VKCpjQAH</v>
      </c>
      <c r="B13" s="27" t="str">
        <f ca="1">IFERROR(__xludf.DUMMYFUNCTION("""COMPUTED_VALUE"""),"Fase Inicial")</f>
        <v>Fase Inicial</v>
      </c>
      <c r="C13" s="27" t="str">
        <f ca="1">IFERROR(__xludf.DUMMYFUNCTION("""COMPUTED_VALUE"""),"Fellow")</f>
        <v>Fellow</v>
      </c>
      <c r="D13" s="27" t="str">
        <f ca="1">IFERROR(__xludf.DUMMYFUNCTION("""COMPUTED_VALUE"""),"Ativo")</f>
        <v>Ativo</v>
      </c>
      <c r="E13" s="27" t="str">
        <f ca="1">IFERROR(__xludf.DUMMYFUNCTION("""COMPUTED_VALUE"""),"Arcanjo Gabriel")</f>
        <v>Arcanjo Gabriel</v>
      </c>
      <c r="F13" s="27" t="str">
        <f ca="1">IFERROR(__xludf.DUMMYFUNCTION("""COMPUTED_VALUE"""),"Ana")</f>
        <v>Ana</v>
      </c>
      <c r="G13" s="27" t="str">
        <f ca="1">IFERROR(__xludf.DUMMYFUNCTION("""COMPUTED_VALUE"""),"INSTITUTO ARCANJO GABRIEL")</f>
        <v>INSTITUTO ARCANJO GABRIEL</v>
      </c>
      <c r="H13" s="27" t="str">
        <f ca="1">IFERROR(__xludf.DUMMYFUNCTION("""COMPUTED_VALUE"""),"27.531.065/0001-10")</f>
        <v>27.531.065/0001-10</v>
      </c>
      <c r="I13" s="27" t="str">
        <f ca="1">IFERROR(__xludf.DUMMYFUNCTION("""COMPUTED_VALUE"""),"Ana Siberlly Guilherme de Aguiar")</f>
        <v>Ana Siberlly Guilherme de Aguiar</v>
      </c>
      <c r="J13" s="27" t="str">
        <f ca="1">IFERROR(__xludf.DUMMYFUNCTION("""COMPUTED_VALUE"""),"institutoarcanjogabrieloficial@gmail.com")</f>
        <v>institutoarcanjogabrieloficial@gmail.com</v>
      </c>
      <c r="K13" s="27" t="str">
        <f ca="1">IFERROR(__xludf.DUMMYFUNCTION("""COMPUTED_VALUE"""),"(88)99724-6619")</f>
        <v>(88)99724-6619</v>
      </c>
      <c r="L13" s="27" t="str">
        <f ca="1">IFERROR(__xludf.DUMMYFUNCTION("""COMPUTED_VALUE"""),"CE")</f>
        <v>CE</v>
      </c>
      <c r="M13" s="27" t="str">
        <f ca="1">IFERROR(__xludf.DUMMYFUNCTION("""COMPUTED_VALUE"""),"Rua 104")</f>
        <v>Rua 104</v>
      </c>
      <c r="N13" s="27" t="str">
        <f ca="1">IFERROR(__xludf.DUMMYFUNCTION("""COMPUTED_VALUE"""),"Cohab")</f>
        <v>Cohab</v>
      </c>
      <c r="O13" s="27">
        <f ca="1">IFERROR(__xludf.DUMMYFUNCTION("""COMPUTED_VALUE"""),91)</f>
        <v>91</v>
      </c>
      <c r="P13" s="27" t="str">
        <f ca="1">IFERROR(__xludf.DUMMYFUNCTION("""COMPUTED_VALUE"""),"Camocim")</f>
        <v>Camocim</v>
      </c>
      <c r="Q13" s="27"/>
      <c r="R13" s="27" t="str">
        <f ca="1">IFERROR(__xludf.DUMMYFUNCTION("""COMPUTED_VALUE"""),"62400-000")</f>
        <v>62400-000</v>
      </c>
      <c r="S13" s="27" t="str">
        <f ca="1">IFERROR(__xludf.DUMMYFUNCTION("""COMPUTED_VALUE"""),"Praia de Maceió")</f>
        <v>Praia de Maceió</v>
      </c>
      <c r="T13" s="27"/>
      <c r="U13" s="27" t="str">
        <f ca="1">IFERROR(__xludf.DUMMYFUNCTION("""COMPUTED_VALUE"""),"Crianças (6 a 12 anos), Adolescentes (12 aos 18 anos)")</f>
        <v>Crianças (6 a 12 anos), Adolescentes (12 aos 18 anos)</v>
      </c>
      <c r="V13" s="27" t="str">
        <f ca="1">IFERROR(__xludf.DUMMYFUNCTION("""COMPUTED_VALUE"""),"Moradores de Favelas, Pessoas em situação de rua, Comunidade rural")</f>
        <v>Moradores de Favelas, Pessoas em situação de rua, Comunidade rural</v>
      </c>
      <c r="W13" s="27">
        <f ca="1">IFERROR(__xludf.DUMMYFUNCTION("""COMPUTED_VALUE"""),2)</f>
        <v>2</v>
      </c>
      <c r="X13" s="27" t="str">
        <f ca="1">IFERROR(__xludf.DUMMYFUNCTION("""COMPUTED_VALUE"""),"Atendemos as mamães gestantes e damos assistência até o 6 mês do bebê. Atendemos na sede 152 crianças com várias atividades * recebem o lanche e uma cesta básica mensal . E Diariamente entregamos o jantar dos moradores de rua. Temos cursos profissionaliza"&amp;"nte para os jovens e cursos de culinária e artesanato para as mães das crianças .")</f>
        <v>Atendemos as mamães gestantes e damos assistência até o 6 mês do bebê. Atendemos na sede 152 crianças com várias atividades * recebem o lanche e uma cesta básica mensal . E Diariamente entregamos o jantar dos moradores de rua. Temos cursos profissionalizante para os jovens e cursos de culinária e artesanato para as mães das crianças .</v>
      </c>
      <c r="Y13" s="27"/>
      <c r="Z13" s="27">
        <f ca="1">IFERROR(__xludf.DUMMYFUNCTION("""COMPUTED_VALUE"""),156)</f>
        <v>156</v>
      </c>
      <c r="AA13" s="29">
        <f ca="1">IFERROR(__xludf.DUMMYFUNCTION("""COMPUTED_VALUE"""),42760)</f>
        <v>42760</v>
      </c>
      <c r="AB13" s="27" t="str">
        <f ca="1">IFERROR(__xludf.DUMMYFUNCTION("""COMPUTED_VALUE"""),"Sim")</f>
        <v>Sim</v>
      </c>
      <c r="AC13" s="27">
        <f ca="1">IFERROR(__xludf.DUMMYFUNCTION("""COMPUTED_VALUE"""),0)</f>
        <v>0</v>
      </c>
      <c r="AD13" s="27">
        <f ca="1">IFERROR(__xludf.DUMMYFUNCTION("""COMPUTED_VALUE"""),6)</f>
        <v>6</v>
      </c>
      <c r="AE13" s="27">
        <f ca="1">IFERROR(__xludf.DUMMYFUNCTION("""COMPUTED_VALUE"""),26)</f>
        <v>26</v>
      </c>
      <c r="AF13" s="27">
        <f ca="1">IFERROR(__xludf.DUMMYFUNCTION("""COMPUTED_VALUE"""),26)</f>
        <v>26</v>
      </c>
      <c r="AG13" s="27">
        <f ca="1">IFERROR(__xludf.DUMMYFUNCTION("""COMPUTED_VALUE"""),2)</f>
        <v>2</v>
      </c>
      <c r="AH13" s="27" t="str">
        <f ca="1">IFERROR(__xludf.DUMMYFUNCTION("""COMPUTED_VALUE"""),"Eventos/Ações para captação, Doações")</f>
        <v>Eventos/Ações para captação, Doações</v>
      </c>
      <c r="AI13" s="27">
        <f ca="1">IFERROR(__xludf.DUMMYFUNCTION("""COMPUTED_VALUE"""),0)</f>
        <v>0</v>
      </c>
      <c r="AJ13" s="27" t="str">
        <f ca="1">IFERROR(__xludf.DUMMYFUNCTION("""COMPUTED_VALUE"""),"Não")</f>
        <v>Não</v>
      </c>
      <c r="AK13" s="27"/>
      <c r="AL13" s="21" t="str">
        <f ca="1">IFERROR(__xludf.DUMMYFUNCTION("""COMPUTED_VALUE"""),"0034X0000380O5u")</f>
        <v>0034X0000380O5u</v>
      </c>
      <c r="AM13" s="27" t="str">
        <f ca="1">IFERROR(__xludf.DUMMYFUNCTION("""COMPUTED_VALUE"""),"Siberlly guilherme de aguiar")</f>
        <v>Siberlly guilherme de aguiar</v>
      </c>
      <c r="AN13" s="27" t="str">
        <f ca="1">IFERROR(__xludf.DUMMYFUNCTION("""COMPUTED_VALUE"""),"Ativo")</f>
        <v>Ativo</v>
      </c>
      <c r="AO13" s="29">
        <f ca="1">IFERROR(__xludf.DUMMYFUNCTION("""COMPUTED_VALUE"""),44763)</f>
        <v>44763</v>
      </c>
      <c r="AP13" s="27">
        <f ca="1">IFERROR(__xludf.DUMMYFUNCTION("""COMPUTED_VALUE"""),2)</f>
        <v>2</v>
      </c>
      <c r="AQ13" s="27" t="str">
        <f ca="1">IFERROR(__xludf.DUMMYFUNCTION("""COMPUTED_VALUE"""),"Primeiro Semestre 2022")</f>
        <v>Primeiro Semestre 2022</v>
      </c>
      <c r="AR13" s="27" t="str">
        <f ca="1">IFERROR(__xludf.DUMMYFUNCTION("""COMPUTED_VALUE"""),"siberllyaguiar18@gmail.com")</f>
        <v>siberllyaguiar18@gmail.com</v>
      </c>
      <c r="AS13" s="27" t="str">
        <f ca="1">IFERROR(__xludf.DUMMYFUNCTION("""COMPUTED_VALUE"""),"(88)99724-6619")</f>
        <v>(88)99724-6619</v>
      </c>
      <c r="AT13" s="29">
        <f ca="1">IFERROR(__xludf.DUMMYFUNCTION("""COMPUTED_VALUE"""),29849)</f>
        <v>29849</v>
      </c>
      <c r="AU13" s="27">
        <f ca="1">IFERROR(__xludf.DUMMYFUNCTION("""COMPUTED_VALUE"""),41)</f>
        <v>41</v>
      </c>
      <c r="AV13" s="27">
        <f ca="1">IFERROR(__xludf.DUMMYFUNCTION("""COMPUTED_VALUE"""),92709567334)</f>
        <v>92709567334</v>
      </c>
      <c r="AW13" s="27">
        <f ca="1">IFERROR(__xludf.DUMMYFUNCTION("""COMPUTED_VALUE"""),20170341253)</f>
        <v>20170341253</v>
      </c>
      <c r="AX13" s="27"/>
      <c r="AY13" s="27" t="str">
        <f ca="1">IFERROR(__xludf.DUMMYFUNCTION("""COMPUTED_VALUE"""),"Presidente")</f>
        <v>Presidente</v>
      </c>
      <c r="AZ13" s="27" t="str">
        <f ca="1">IFERROR(__xludf.DUMMYFUNCTION("""COMPUTED_VALUE"""),"PP")</f>
        <v>PP</v>
      </c>
      <c r="BA13" s="27" t="str">
        <f ca="1">IFERROR(__xludf.DUMMYFUNCTION("""COMPUTED_VALUE"""),"Parda")</f>
        <v>Parda</v>
      </c>
      <c r="BB13" s="27"/>
      <c r="BC13" s="27"/>
      <c r="BD13" s="27" t="str">
        <f ca="1">IFERROR(__xludf.DUMMYFUNCTION("""COMPUTED_VALUE"""),"Me chamo Ana Siberlly sou do Ceará , fui religiosa por 14 anos e fiz várias missões em todo Brasil. Mas retornei a minha cidade e vi a necessidade de ter algo contra turno escolar para as crianças e adolescentes em situação de vulnerabilidade. Foi então q"&amp;"ue coloquei na minha casa um projeto social que hoje atende 156 crianças com várias atividades esportivas , culturais e educacionais.")</f>
        <v>Me chamo Ana Siberlly sou do Ceará , fui religiosa por 14 anos e fiz várias missões em todo Brasil. Mas retornei a minha cidade e vi a necessidade de ter algo contra turno escolar para as crianças e adolescentes em situação de vulnerabilidade. Foi então que coloquei na minha casa um projeto social que hoje atende 156 crianças com várias atividades esportivas , culturais e educacionais.</v>
      </c>
      <c r="BE13" s="27" t="str">
        <f ca="1">IFERROR(__xludf.DUMMYFUNCTION("""COMPUTED_VALUE"""),"Outro(s)")</f>
        <v>Outro(s)</v>
      </c>
      <c r="BF13" s="27" t="str">
        <f ca="1">IFERROR(__xludf.DUMMYFUNCTION("""COMPUTED_VALUE"""),"Heterossexual")</f>
        <v>Heterossexual</v>
      </c>
      <c r="BG13" s="27" t="str">
        <f ca="1">IFERROR(__xludf.DUMMYFUNCTION("""COMPUTED_VALUE"""),"Ensino Superior - Incompleto")</f>
        <v>Ensino Superior - Incompleto</v>
      </c>
      <c r="BH13" s="27" t="str">
        <f ca="1">IFERROR(__xludf.DUMMYFUNCTION("""COMPUTED_VALUE"""),"Público")</f>
        <v>Público</v>
      </c>
      <c r="BI13" s="27" t="str">
        <f ca="1">IFERROR(__xludf.DUMMYFUNCTION("""COMPUTED_VALUE"""),"Graduação")</f>
        <v>Graduação</v>
      </c>
      <c r="BJ13" s="27" t="str">
        <f ca="1">IFERROR(__xludf.DUMMYFUNCTION("""COMPUTED_VALUE"""),"Público")</f>
        <v>Público</v>
      </c>
      <c r="BK13" s="27" t="str">
        <f ca="1">IFERROR(__xludf.DUMMYFUNCTION("""COMPUTED_VALUE"""),"Rua 104")</f>
        <v>Rua 104</v>
      </c>
      <c r="BL13" s="27">
        <f ca="1">IFERROR(__xludf.DUMMYFUNCTION("""COMPUTED_VALUE"""),91)</f>
        <v>91</v>
      </c>
      <c r="BM13" s="27" t="str">
        <f ca="1">IFERROR(__xludf.DUMMYFUNCTION("""COMPUTED_VALUE"""),"Em frente a pista de skate")</f>
        <v>Em frente a pista de skate</v>
      </c>
      <c r="BN13" s="27" t="str">
        <f ca="1">IFERROR(__xludf.DUMMYFUNCTION("""COMPUTED_VALUE"""),"Camocim")</f>
        <v>Camocim</v>
      </c>
      <c r="BO13" s="27" t="str">
        <f ca="1">IFERROR(__xludf.DUMMYFUNCTION("""COMPUTED_VALUE"""),"62400-000")</f>
        <v>62400-000</v>
      </c>
      <c r="BP13" s="27" t="str">
        <f ca="1">IFERROR(__xludf.DUMMYFUNCTION("""COMPUTED_VALUE"""),"CE")</f>
        <v>CE</v>
      </c>
      <c r="BQ13" s="27" t="str">
        <f ca="1">IFERROR(__xludf.DUMMYFUNCTION("""COMPUTED_VALUE"""),"Entre 1 até 3 salários mínimos")</f>
        <v>Entre 1 até 3 salários mínimos</v>
      </c>
      <c r="BR13" s="27" t="str">
        <f ca="1">IFERROR(__xludf.DUMMYFUNCTION("""COMPUTED_VALUE"""),"Trabalho informal")</f>
        <v>Trabalho informal</v>
      </c>
      <c r="BS13" s="27" t="str">
        <f ca="1">IFERROR(__xludf.DUMMYFUNCTION("""COMPUTED_VALUE"""),"Casa cedida")</f>
        <v>Casa cedida</v>
      </c>
      <c r="BT13" s="27">
        <f ca="1">IFERROR(__xludf.DUMMYFUNCTION("""COMPUTED_VALUE"""),1)</f>
        <v>1</v>
      </c>
      <c r="BU13" s="27" t="str">
        <f ca="1">IFERROR(__xludf.DUMMYFUNCTION("""COMPUTED_VALUE"""),"Não tem")</f>
        <v>Não tem</v>
      </c>
      <c r="BV13" s="27" t="str">
        <f ca="1">IFERROR(__xludf.DUMMYFUNCTION("""COMPUTED_VALUE"""),"Não")</f>
        <v>Não</v>
      </c>
      <c r="BW13" s="27"/>
      <c r="BX13" s="21" t="str">
        <f ca="1">IFERROR(__xludf.DUMMYFUNCTION("""COMPUTED_VALUE"""),"https://instagram.com/ana_siberlly?igshid=YmMyMTA2M2Y=")</f>
        <v>https://instagram.com/ana_siberlly?igshid=YmMyMTA2M2Y=</v>
      </c>
      <c r="BY13" s="21" t="str">
        <f ca="1">IFERROR(__xludf.DUMMYFUNCTION("""COMPUTED_VALUE"""),"https://drive.google.com/open?id=1pEKXiCrSuI1y5AY0grhA9piLzEreJvKL")</f>
        <v>https://drive.google.com/open?id=1pEKXiCrSuI1y5AY0grhA9piLzEreJvKL</v>
      </c>
    </row>
    <row r="14" spans="1:77" ht="12.5" hidden="1" x14ac:dyDescent="0.25">
      <c r="A14" s="21" t="str">
        <f ca="1">IFERROR(__xludf.DUMMYFUNCTION("""COMPUTED_VALUE"""),"0014P00003YSp7dQAD")</f>
        <v>0014P00003YSp7dQAD</v>
      </c>
      <c r="B14" s="27" t="str">
        <f ca="1">IFERROR(__xludf.DUMMYFUNCTION("""COMPUTED_VALUE"""),"Fase Inicial")</f>
        <v>Fase Inicial</v>
      </c>
      <c r="C14" s="27" t="str">
        <f ca="1">IFERROR(__xludf.DUMMYFUNCTION("""COMPUTED_VALUE"""),"Fellow")</f>
        <v>Fellow</v>
      </c>
      <c r="D14" s="27" t="str">
        <f ca="1">IFERROR(__xludf.DUMMYFUNCTION("""COMPUTED_VALUE"""),"Ativo")</f>
        <v>Ativo</v>
      </c>
      <c r="E14" s="27" t="str">
        <f ca="1">IFERROR(__xludf.DUMMYFUNCTION("""COMPUTED_VALUE"""),"ARC -Associação Recreativa e Cultural do Jardim Treze de Maio")</f>
        <v>ARC -Associação Recreativa e Cultural do Jardim Treze de Maio</v>
      </c>
      <c r="F14" s="27" t="str">
        <f ca="1">IFERROR(__xludf.DUMMYFUNCTION("""COMPUTED_VALUE"""),"Angélica")</f>
        <v>Angélica</v>
      </c>
      <c r="G14" s="27"/>
      <c r="H14" s="27" t="str">
        <f ca="1">IFERROR(__xludf.DUMMYFUNCTION("""COMPUTED_VALUE"""),"38.020.411/0001-11")</f>
        <v>38.020.411/0001-11</v>
      </c>
      <c r="I14" s="27" t="str">
        <f ca="1">IFERROR(__xludf.DUMMYFUNCTION("""COMPUTED_VALUE"""),"ANGELICA MARIA MOREIRA DA COSTA")</f>
        <v>ANGELICA MARIA MOREIRA DA COSTA</v>
      </c>
      <c r="J14" s="27" t="str">
        <f ca="1">IFERROR(__xludf.DUMMYFUNCTION("""COMPUTED_VALUE"""),"arc.acoesolidarias@gmal.com")</f>
        <v>arc.acoesolidarias@gmal.com</v>
      </c>
      <c r="K14" s="27" t="str">
        <f ca="1">IFERROR(__xludf.DUMMYFUNCTION("""COMPUTED_VALUE"""),"(83)98825-8585")</f>
        <v>(83)98825-8585</v>
      </c>
      <c r="L14" s="27" t="str">
        <f ca="1">IFERROR(__xludf.DUMMYFUNCTION("""COMPUTED_VALUE"""),"PB")</f>
        <v>PB</v>
      </c>
      <c r="M14" s="27" t="str">
        <f ca="1">IFERROR(__xludf.DUMMYFUNCTION("""COMPUTED_VALUE"""),"Rua Pastor Firmino Silva, 278")</f>
        <v>Rua Pastor Firmino Silva, 278</v>
      </c>
      <c r="N14" s="27" t="str">
        <f ca="1">IFERROR(__xludf.DUMMYFUNCTION("""COMPUTED_VALUE"""),"Treze de Maio")</f>
        <v>Treze de Maio</v>
      </c>
      <c r="O14" s="27">
        <f ca="1">IFERROR(__xludf.DUMMYFUNCTION("""COMPUTED_VALUE"""),278)</f>
        <v>278</v>
      </c>
      <c r="P14" s="27" t="str">
        <f ca="1">IFERROR(__xludf.DUMMYFUNCTION("""COMPUTED_VALUE"""),"João Pessoa")</f>
        <v>João Pessoa</v>
      </c>
      <c r="Q14" s="27" t="str">
        <f ca="1">IFERROR(__xludf.DUMMYFUNCTION("""COMPUTED_VALUE"""),"CASA 1 PAVIMENTO")</f>
        <v>CASA 1 PAVIMENTO</v>
      </c>
      <c r="R14" s="27" t="str">
        <f ca="1">IFERROR(__xludf.DUMMYFUNCTION("""COMPUTED_VALUE"""),"58025-580")</f>
        <v>58025-580</v>
      </c>
      <c r="S14" s="27"/>
      <c r="T14" s="27" t="str">
        <f ca="1">IFERROR(__xludf.DUMMYFUNCTION("""COMPUTED_VALUE"""),"Esporte; Educação; Empregabilidade; Assistência Social; Cultura; Qualificação Profissional; Empreendedorismo; Defesa de Direitos; Outro(s)")</f>
        <v>Esporte; Educação; Empregabilidade; Assistência Social; Cultura; Qualificação Profissional; Empreendedorismo; Defesa de Direitos; Outro(s)</v>
      </c>
      <c r="U14" s="27" t="str">
        <f ca="1">IFERROR(__xludf.DUMMYFUNCTION("""COMPUTED_VALUE"""),"Crianças (6 a 12 anos); Adolescentes (12 aos 18 anos); Jovens (18 aos 24 anos); Adultos; Idosos (60 anos ou mais)")</f>
        <v>Crianças (6 a 12 anos); Adolescentes (12 aos 18 anos); Jovens (18 aos 24 anos); Adultos; Idosos (60 anos ou mais)</v>
      </c>
      <c r="V14" s="27" t="str">
        <f ca="1">IFERROR(__xludf.DUMMYFUNCTION("""COMPUTED_VALUE"""),"Moradores de Favelas; Quilombola; Outros")</f>
        <v>Moradores de Favelas; Quilombola; Outros</v>
      </c>
      <c r="W14" s="27">
        <f ca="1">IFERROR(__xludf.DUMMYFUNCTION("""COMPUTED_VALUE"""),3)</f>
        <v>3</v>
      </c>
      <c r="X14" s="27" t="str">
        <f ca="1">IFERROR(__xludf.DUMMYFUNCTION("""COMPUTED_VALUE"""),"Grupo de Convivência com idosos e Crianças com esportes e cultura")</f>
        <v>Grupo de Convivência com idosos e Crianças com esportes e cultura</v>
      </c>
      <c r="Y14" s="27"/>
      <c r="Z14" s="27">
        <f ca="1">IFERROR(__xludf.DUMMYFUNCTION("""COMPUTED_VALUE"""),300)</f>
        <v>300</v>
      </c>
      <c r="AA14" s="30">
        <f ca="1">IFERROR(__xludf.DUMMYFUNCTION("""COMPUTED_VALUE"""),36884)</f>
        <v>36884</v>
      </c>
      <c r="AB14" s="27" t="str">
        <f ca="1">IFERROR(__xludf.DUMMYFUNCTION("""COMPUTED_VALUE"""),"Sim")</f>
        <v>Sim</v>
      </c>
      <c r="AC14" s="27">
        <f ca="1">IFERROR(__xludf.DUMMYFUNCTION("""COMPUTED_VALUE"""),6)</f>
        <v>6</v>
      </c>
      <c r="AD14" s="27">
        <f ca="1">IFERROR(__xludf.DUMMYFUNCTION("""COMPUTED_VALUE"""),0)</f>
        <v>0</v>
      </c>
      <c r="AE14" s="27">
        <f ca="1">IFERROR(__xludf.DUMMYFUNCTION("""COMPUTED_VALUE"""),11)</f>
        <v>11</v>
      </c>
      <c r="AF14" s="27">
        <f ca="1">IFERROR(__xludf.DUMMYFUNCTION("""COMPUTED_VALUE"""),4)</f>
        <v>4</v>
      </c>
      <c r="AG14" s="27">
        <f ca="1">IFERROR(__xludf.DUMMYFUNCTION("""COMPUTED_VALUE"""),2)</f>
        <v>2</v>
      </c>
      <c r="AH14" s="27" t="str">
        <f ca="1">IFERROR(__xludf.DUMMYFUNCTION("""COMPUTED_VALUE"""),"Convênio Público; Eventos/Ações para captação; Parceria iniciativa privada; Doações; Recursos próprios")</f>
        <v>Convênio Público; Eventos/Ações para captação; Parceria iniciativa privada; Doações; Recursos próprios</v>
      </c>
      <c r="AI14" s="27" t="str">
        <f ca="1">IFERROR(__xludf.DUMMYFUNCTION("""COMPUTED_VALUE"""),"50% convenio, 30% doações, 5% bazar , 15%Parceria com iniciativas privadas e sociedade civil")</f>
        <v>50% convenio, 30% doações, 5% bazar , 15%Parceria com iniciativas privadas e sociedade civil</v>
      </c>
      <c r="AJ14" s="27"/>
      <c r="AK14" s="27"/>
      <c r="AL14" s="21" t="str">
        <f ca="1">IFERROR(__xludf.DUMMYFUNCTION("""COMPUTED_VALUE"""),"0034P000045kxiE")</f>
        <v>0034P000045kxiE</v>
      </c>
      <c r="AM14" s="27" t="str">
        <f ca="1">IFERROR(__xludf.DUMMYFUNCTION("""COMPUTED_VALUE"""),"Maria Moreira Da Costa")</f>
        <v>Maria Moreira Da Costa</v>
      </c>
      <c r="AN14" s="27" t="str">
        <f ca="1">IFERROR(__xludf.DUMMYFUNCTION("""COMPUTED_VALUE"""),"Ativo")</f>
        <v>Ativo</v>
      </c>
      <c r="AO14" s="30">
        <f ca="1">IFERROR(__xludf.DUMMYFUNCTION("""COMPUTED_VALUE"""),44551)</f>
        <v>44551</v>
      </c>
      <c r="AP14" s="27">
        <f ca="1">IFERROR(__xludf.DUMMYFUNCTION("""COMPUTED_VALUE"""),9)</f>
        <v>9</v>
      </c>
      <c r="AQ14" s="27" t="str">
        <f ca="1">IFERROR(__xludf.DUMMYFUNCTION("""COMPUTED_VALUE"""),"Segundo Semestre 2021")</f>
        <v>Segundo Semestre 2021</v>
      </c>
      <c r="AR14" s="27" t="str">
        <f ca="1">IFERROR(__xludf.DUMMYFUNCTION("""COMPUTED_VALUE"""),"angelicaclucena2@gmail.com")</f>
        <v>angelicaclucena2@gmail.com</v>
      </c>
      <c r="AS14" s="27" t="str">
        <f ca="1">IFERROR(__xludf.DUMMYFUNCTION("""COMPUTED_VALUE"""),"(83)99982-0709")</f>
        <v>(83)99982-0709</v>
      </c>
      <c r="AT14" s="30">
        <f ca="1">IFERROR(__xludf.DUMMYFUNCTION("""COMPUTED_VALUE"""),37245)</f>
        <v>37245</v>
      </c>
      <c r="AU14" s="27">
        <f ca="1">IFERROR(__xludf.DUMMYFUNCTION("""COMPUTED_VALUE"""),21)</f>
        <v>21</v>
      </c>
      <c r="AV14" s="27">
        <f ca="1">IFERROR(__xludf.DUMMYFUNCTION("""COMPUTED_VALUE"""),85409812468)</f>
        <v>85409812468</v>
      </c>
      <c r="AW14" s="27">
        <f ca="1">IFERROR(__xludf.DUMMYFUNCTION("""COMPUTED_VALUE"""),2565979)</f>
        <v>2565979</v>
      </c>
      <c r="AX14" s="27"/>
      <c r="AY14" s="27"/>
      <c r="AZ14" s="27" t="str">
        <f ca="1">IFERROR(__xludf.DUMMYFUNCTION("""COMPUTED_VALUE"""),"P")</f>
        <v>P</v>
      </c>
      <c r="BA14" s="27" t="str">
        <f ca="1">IFERROR(__xludf.DUMMYFUNCTION("""COMPUTED_VALUE"""),"Branca")</f>
        <v>Branca</v>
      </c>
      <c r="BB14" s="27" t="str">
        <f ca="1">IFERROR(__xludf.DUMMYFUNCTION("""COMPUTED_VALUE"""),"Mulher, cisgênero")</f>
        <v>Mulher, cisgênero</v>
      </c>
      <c r="BC14" s="27" t="str">
        <f ca="1">IFERROR(__xludf.DUMMYFUNCTION("""COMPUTED_VALUE"""),"Não")</f>
        <v>Não</v>
      </c>
      <c r="BD14" s="27" t="str">
        <f ca="1">IFERROR(__xludf.DUMMYFUNCTION("""COMPUTED_VALUE"""),"Economista, Gestora em Finanças, Empreendedora Social , Militante dos Movimentos de Mulheres, Mães, Mentora de Projetos voltados ao  empoderamento feminino e Geração de Renda.Dedica sua vida a Potencializar a vida de outras mulheres na Paraiba.  Como pale"&amp;"strante e multiplicadora já capacitou mais de 4000 mulheres pelo Brasil, Empreendedora Social como 
Presidente da ONG ARC Ações Solidárias é líder do comitê de Empreendedoras, conselheira municipal no Conselho da Pessoa idosa de João Pessoa.")</f>
        <v>Economista, Gestora em Finanças, Empreendedora Social , Militante dos Movimentos de Mulheres, Mães, Mentora de Projetos voltados ao  empoderamento feminino e Geração de Renda.Dedica sua vida a Potencializar a vida de outras mulheres na Paraiba.  Como palestrante e multiplicadora já capacitou mais de 4000 mulheres pelo Brasil, Empreendedora Social como 
Presidente da ONG ARC Ações Solidárias é líder do comitê de Empreendedoras, conselheira municipal no Conselho da Pessoa idosa de João Pessoa.</v>
      </c>
      <c r="BE14" s="27"/>
      <c r="BF14" s="27" t="str">
        <f ca="1">IFERROR(__xludf.DUMMYFUNCTION("""COMPUTED_VALUE"""),"Heterossexual")</f>
        <v>Heterossexual</v>
      </c>
      <c r="BG14" s="27" t="str">
        <f ca="1">IFERROR(__xludf.DUMMYFUNCTION("""COMPUTED_VALUE"""),"Ensino Superior - Completo")</f>
        <v>Ensino Superior - Completo</v>
      </c>
      <c r="BH14" s="27" t="str">
        <f ca="1">IFERROR(__xludf.DUMMYFUNCTION("""COMPUTED_VALUE"""),"Público")</f>
        <v>Público</v>
      </c>
      <c r="BI14" s="27" t="str">
        <f ca="1">IFERROR(__xludf.DUMMYFUNCTION("""COMPUTED_VALUE"""),"Pós-Graduação")</f>
        <v>Pós-Graduação</v>
      </c>
      <c r="BJ14" s="27" t="str">
        <f ca="1">IFERROR(__xludf.DUMMYFUNCTION("""COMPUTED_VALUE"""),"Público")</f>
        <v>Público</v>
      </c>
      <c r="BK14" s="27" t="str">
        <f ca="1">IFERROR(__xludf.DUMMYFUNCTION("""COMPUTED_VALUE"""),"Severino Massa Spinelli")</f>
        <v>Severino Massa Spinelli</v>
      </c>
      <c r="BL14" s="27">
        <f ca="1">IFERROR(__xludf.DUMMYFUNCTION("""COMPUTED_VALUE"""),381)</f>
        <v>381</v>
      </c>
      <c r="BM14" s="27" t="str">
        <f ca="1">IFERROR(__xludf.DUMMYFUNCTION("""COMPUTED_VALUE"""),"Apt 2401")</f>
        <v>Apt 2401</v>
      </c>
      <c r="BN14" s="27" t="str">
        <f ca="1">IFERROR(__xludf.DUMMYFUNCTION("""COMPUTED_VALUE"""),"Joao Pessoa")</f>
        <v>Joao Pessoa</v>
      </c>
      <c r="BO14" s="27" t="str">
        <f ca="1">IFERROR(__xludf.DUMMYFUNCTION("""COMPUTED_VALUE"""),"58039-210")</f>
        <v>58039-210</v>
      </c>
      <c r="BP14" s="27" t="str">
        <f ca="1">IFERROR(__xludf.DUMMYFUNCTION("""COMPUTED_VALUE"""),"PB")</f>
        <v>PB</v>
      </c>
      <c r="BQ14" s="27" t="str">
        <f ca="1">IFERROR(__xludf.DUMMYFUNCTION("""COMPUTED_VALUE"""),"De 3 até 5 salários mínimos")</f>
        <v>De 3 até 5 salários mínimos</v>
      </c>
      <c r="BR14" s="27" t="str">
        <f ca="1">IFERROR(__xludf.DUMMYFUNCTION("""COMPUTED_VALUE"""),"MEI; Funcionário Público")</f>
        <v>MEI; Funcionário Público</v>
      </c>
      <c r="BS14" s="27" t="str">
        <f ca="1">IFERROR(__xludf.DUMMYFUNCTION("""COMPUTED_VALUE"""),"Casa própria")</f>
        <v>Casa própria</v>
      </c>
      <c r="BT14" s="27">
        <f ca="1">IFERROR(__xludf.DUMMYFUNCTION("""COMPUTED_VALUE"""),2)</f>
        <v>2</v>
      </c>
      <c r="BU14" s="27" t="str">
        <f ca="1">IFERROR(__xludf.DUMMYFUNCTION("""COMPUTED_VALUE"""),"Não tem")</f>
        <v>Não tem</v>
      </c>
      <c r="BV14" s="27"/>
      <c r="BW14" s="21" t="str">
        <f ca="1">IFERROR(__xludf.DUMMYFUNCTION("""COMPUTED_VALUE"""),"https://www.linkedin.com/in/angelica-costa-0171b815")</f>
        <v>https://www.linkedin.com/in/angelica-costa-0171b815</v>
      </c>
      <c r="BX14" s="21" t="str">
        <f ca="1">IFERROR(__xludf.DUMMYFUNCTION("""COMPUTED_VALUE"""),"https://www.instagram.com/p/CbkiBu3u8e-/?utm_medium=copy_link")</f>
        <v>https://www.instagram.com/p/CbkiBu3u8e-/?utm_medium=copy_link</v>
      </c>
      <c r="BY14" s="21" t="str">
        <f ca="1">IFERROR(__xludf.DUMMYFUNCTION("""COMPUTED_VALUE"""),"https://drive.google.com/open?id=1DopXQ2Kbw48Rot2Z5_SrFY-HRZPesqcY")</f>
        <v>https://drive.google.com/open?id=1DopXQ2Kbw48Rot2Z5_SrFY-HRZPesqcY</v>
      </c>
    </row>
    <row r="15" spans="1:77" ht="12.5" hidden="1" x14ac:dyDescent="0.25">
      <c r="A15" s="21" t="str">
        <f ca="1">IFERROR(__xludf.DUMMYFUNCTION("""COMPUTED_VALUE"""),"0014P00003YSp9wQAD")</f>
        <v>0014P00003YSp9wQAD</v>
      </c>
      <c r="B15" s="27" t="str">
        <f ca="1">IFERROR(__xludf.DUMMYFUNCTION("""COMPUTED_VALUE"""),"Fase Inicial")</f>
        <v>Fase Inicial</v>
      </c>
      <c r="C15" s="27" t="str">
        <f ca="1">IFERROR(__xludf.DUMMYFUNCTION("""COMPUTED_VALUE"""),"Fellow")</f>
        <v>Fellow</v>
      </c>
      <c r="D15" s="27" t="str">
        <f ca="1">IFERROR(__xludf.DUMMYFUNCTION("""COMPUTED_VALUE"""),"Ativo")</f>
        <v>Ativo</v>
      </c>
      <c r="E15" s="27" t="str">
        <f ca="1">IFERROR(__xludf.DUMMYFUNCTION("""COMPUTED_VALUE"""),"Asociação beneficiente arca da vitoria")</f>
        <v>Asociação beneficiente arca da vitoria</v>
      </c>
      <c r="F15" s="27" t="str">
        <f ca="1">IFERROR(__xludf.DUMMYFUNCTION("""COMPUTED_VALUE"""),"Gilvanete")</f>
        <v>Gilvanete</v>
      </c>
      <c r="G15" s="27"/>
      <c r="H15" s="27" t="str">
        <f ca="1">IFERROR(__xludf.DUMMYFUNCTION("""COMPUTED_VALUE"""),"05.195.291/0001-34")</f>
        <v>05.195.291/0001-34</v>
      </c>
      <c r="I15" s="27" t="str">
        <f ca="1">IFERROR(__xludf.DUMMYFUNCTION("""COMPUTED_VALUE"""),"Gilvanete dos santos silva reis")</f>
        <v>Gilvanete dos santos silva reis</v>
      </c>
      <c r="J15" s="27" t="str">
        <f ca="1">IFERROR(__xludf.DUMMYFUNCTION("""COMPUTED_VALUE"""),"arcadavitoriareis@yahoo.com.br")</f>
        <v>arcadavitoriareis@yahoo.com.br</v>
      </c>
      <c r="K15" s="27" t="str">
        <f ca="1">IFERROR(__xludf.DUMMYFUNCTION("""COMPUTED_VALUE"""),"(11)95451-4209")</f>
        <v>(11)95451-4209</v>
      </c>
      <c r="L15" s="27" t="str">
        <f ca="1">IFERROR(__xludf.DUMMYFUNCTION("""COMPUTED_VALUE"""),"SP")</f>
        <v>SP</v>
      </c>
      <c r="M15" s="27" t="str">
        <f ca="1">IFERROR(__xludf.DUMMYFUNCTION("""COMPUTED_VALUE"""),"Rua cumai 97")</f>
        <v>Rua cumai 97</v>
      </c>
      <c r="N15" s="27" t="str">
        <f ca="1">IFERROR(__xludf.DUMMYFUNCTION("""COMPUTED_VALUE"""),"Vila esperança penha")</f>
        <v>Vila esperança penha</v>
      </c>
      <c r="O15" s="27">
        <f ca="1">IFERROR(__xludf.DUMMYFUNCTION("""COMPUTED_VALUE"""),97)</f>
        <v>97</v>
      </c>
      <c r="P15" s="27" t="str">
        <f ca="1">IFERROR(__xludf.DUMMYFUNCTION("""COMPUTED_VALUE"""),"São Paulo")</f>
        <v>São Paulo</v>
      </c>
      <c r="Q15" s="27"/>
      <c r="R15" s="27" t="str">
        <f ca="1">IFERROR(__xludf.DUMMYFUNCTION("""COMPUTED_VALUE"""),"03648-020")</f>
        <v>03648-020</v>
      </c>
      <c r="S15" s="27"/>
      <c r="T15" s="27" t="str">
        <f ca="1">IFERROR(__xludf.DUMMYFUNCTION("""COMPUTED_VALUE"""),"Esporte; Educação; Empregabilidade; Assistência Social; Cultura; Qualificação Profissional; Saúde; Defesa de Direitos; Assistência Psicológica; Desenvolvimento comunitário")</f>
        <v>Esporte; Educação; Empregabilidade; Assistência Social; Cultura; Qualificação Profissional; Saúde; Defesa de Direitos; Assistência Psicológica; Desenvolvimento comunitário</v>
      </c>
      <c r="U15" s="27" t="str">
        <f ca="1">IFERROR(__xludf.DUMMYFUNCTION("""COMPUTED_VALUE"""),"Bebês (0 a 1 ano e 6 meses); Crianças pequenas (4 anos a 5 anos e 11 meses); Crianças (6 a 12 anos); Adolescentes (12 aos 18 anos); Jovens (18 aos 24 anos); Adultos; Idosos (60 anos ou mais)")</f>
        <v>Bebês (0 a 1 ano e 6 meses); Crianças pequenas (4 anos a 5 anos e 11 meses); Crianças (6 a 12 anos); Adolescentes (12 aos 18 anos); Jovens (18 aos 24 anos); Adultos; Idosos (60 anos ou mais)</v>
      </c>
      <c r="V15" s="27" t="str">
        <f ca="1">IFERROR(__xludf.DUMMYFUNCTION("""COMPUTED_VALUE"""),"Moradores de Favelas; Pessoas em situação de rua; Afrodescendentes; Dependentes Químicos; Pessoas com Deficiência; Imigrantes; Refugiados")</f>
        <v>Moradores de Favelas; Pessoas em situação de rua; Afrodescendentes; Dependentes Químicos; Pessoas com Deficiência; Imigrantes; Refugiados</v>
      </c>
      <c r="W15" s="27">
        <f ca="1">IFERROR(__xludf.DUMMYFUNCTION("""COMPUTED_VALUE"""),4)</f>
        <v>4</v>
      </c>
      <c r="X15" s="27"/>
      <c r="Y15" s="27"/>
      <c r="Z15" s="27">
        <f ca="1">IFERROR(__xludf.DUMMYFUNCTION("""COMPUTED_VALUE"""),30)</f>
        <v>30</v>
      </c>
      <c r="AA15" s="29">
        <f ca="1">IFERROR(__xludf.DUMMYFUNCTION("""COMPUTED_VALUE"""),37029)</f>
        <v>37029</v>
      </c>
      <c r="AB15" s="27" t="str">
        <f ca="1">IFERROR(__xludf.DUMMYFUNCTION("""COMPUTED_VALUE"""),"Sim")</f>
        <v>Sim</v>
      </c>
      <c r="AC15" s="27">
        <f ca="1">IFERROR(__xludf.DUMMYFUNCTION("""COMPUTED_VALUE"""),6)</f>
        <v>6</v>
      </c>
      <c r="AD15" s="27">
        <f ca="1">IFERROR(__xludf.DUMMYFUNCTION("""COMPUTED_VALUE"""),4)</f>
        <v>4</v>
      </c>
      <c r="AE15" s="27">
        <f ca="1">IFERROR(__xludf.DUMMYFUNCTION("""COMPUTED_VALUE"""),5)</f>
        <v>5</v>
      </c>
      <c r="AF15" s="27">
        <f ca="1">IFERROR(__xludf.DUMMYFUNCTION("""COMPUTED_VALUE"""),6)</f>
        <v>6</v>
      </c>
      <c r="AG15" s="27">
        <f ca="1">IFERROR(__xludf.DUMMYFUNCTION("""COMPUTED_VALUE"""),2)</f>
        <v>2</v>
      </c>
      <c r="AH15" s="27" t="str">
        <f ca="1">IFERROR(__xludf.DUMMYFUNCTION("""COMPUTED_VALUE"""),"Eventos/Ações para captação; Plataforma doação online - Pessoa Física; Doações; Recursos próprios")</f>
        <v>Eventos/Ações para captação; Plataforma doação online - Pessoa Física; Doações; Recursos próprios</v>
      </c>
      <c r="AI15" s="27">
        <f ca="1">IFERROR(__xludf.DUMMYFUNCTION("""COMPUTED_VALUE"""),0)</f>
        <v>0</v>
      </c>
      <c r="AJ15" s="27"/>
      <c r="AK15" s="27"/>
      <c r="AL15" s="21" t="str">
        <f ca="1">IFERROR(__xludf.DUMMYFUNCTION("""COMPUTED_VALUE"""),"0034P000045kxkY")</f>
        <v>0034P000045kxkY</v>
      </c>
      <c r="AM15" s="27" t="str">
        <f ca="1">IFERROR(__xludf.DUMMYFUNCTION("""COMPUTED_VALUE"""),"Dos Santos Silva Reis")</f>
        <v>Dos Santos Silva Reis</v>
      </c>
      <c r="AN15" s="27" t="str">
        <f ca="1">IFERROR(__xludf.DUMMYFUNCTION("""COMPUTED_VALUE"""),"Ativo")</f>
        <v>Ativo</v>
      </c>
      <c r="AO15" s="30">
        <f ca="1">IFERROR(__xludf.DUMMYFUNCTION("""COMPUTED_VALUE"""),44551)</f>
        <v>44551</v>
      </c>
      <c r="AP15" s="27">
        <f ca="1">IFERROR(__xludf.DUMMYFUNCTION("""COMPUTED_VALUE"""),9)</f>
        <v>9</v>
      </c>
      <c r="AQ15" s="27" t="str">
        <f ca="1">IFERROR(__xludf.DUMMYFUNCTION("""COMPUTED_VALUE"""),"Segundo Semestre 2021")</f>
        <v>Segundo Semestre 2021</v>
      </c>
      <c r="AR15" s="27" t="str">
        <f ca="1">IFERROR(__xludf.DUMMYFUNCTION("""COMPUTED_VALUE"""),"arcadavitoriareis@yahoo.com.br")</f>
        <v>arcadavitoriareis@yahoo.com.br</v>
      </c>
      <c r="AS15" s="27" t="str">
        <f ca="1">IFERROR(__xludf.DUMMYFUNCTION("""COMPUTED_VALUE"""),"(11)95451-4209")</f>
        <v>(11)95451-4209</v>
      </c>
      <c r="AT15" s="29">
        <f ca="1">IFERROR(__xludf.DUMMYFUNCTION("""COMPUTED_VALUE"""),21084)</f>
        <v>21084</v>
      </c>
      <c r="AU15" s="27">
        <f ca="1">IFERROR(__xludf.DUMMYFUNCTION("""COMPUTED_VALUE"""),65)</f>
        <v>65</v>
      </c>
      <c r="AV15" s="27">
        <f ca="1">IFERROR(__xludf.DUMMYFUNCTION("""COMPUTED_VALUE"""),11087701856)</f>
        <v>11087701856</v>
      </c>
      <c r="AW15" s="27">
        <f ca="1">IFERROR(__xludf.DUMMYFUNCTION("""COMPUTED_VALUE"""),146253474)</f>
        <v>146253474</v>
      </c>
      <c r="AX15" s="27"/>
      <c r="AY15" s="27"/>
      <c r="AZ15" s="27" t="str">
        <f ca="1">IFERROR(__xludf.DUMMYFUNCTION("""COMPUTED_VALUE"""),"EXG3")</f>
        <v>EXG3</v>
      </c>
      <c r="BA15" s="27" t="str">
        <f ca="1">IFERROR(__xludf.DUMMYFUNCTION("""COMPUTED_VALUE"""),"Preta")</f>
        <v>Preta</v>
      </c>
      <c r="BB15" s="27" t="str">
        <f ca="1">IFERROR(__xludf.DUMMYFUNCTION("""COMPUTED_VALUE"""),"Mulher, cisgênero")</f>
        <v>Mulher, cisgênero</v>
      </c>
      <c r="BC15" s="27" t="str">
        <f ca="1">IFERROR(__xludf.DUMMYFUNCTION("""COMPUTED_VALUE"""),"Sim")</f>
        <v>Sim</v>
      </c>
      <c r="BD15" s="27" t="str">
        <f ca="1">IFERROR(__xludf.DUMMYFUNCTION("""COMPUTED_VALUE"""),"Somos uma instituiçao com finalidade de buscar
Ajuda para diminuir a fome e a pobreza da favela
Onde o poder puplico nao chega nois juntos com nossos parceiros fazemos a diferença na comunidade")</f>
        <v>Somos uma instituiçao com finalidade de buscar
Ajuda para diminuir a fome e a pobreza da favela
Onde o poder puplico nao chega nois juntos com nossos parceiros fazemos a diferença na comunidade</v>
      </c>
      <c r="BE15" s="27"/>
      <c r="BF15" s="27" t="str">
        <f ca="1">IFERROR(__xludf.DUMMYFUNCTION("""COMPUTED_VALUE"""),"Heterossexual")</f>
        <v>Heterossexual</v>
      </c>
      <c r="BG15" s="27" t="str">
        <f ca="1">IFERROR(__xludf.DUMMYFUNCTION("""COMPUTED_VALUE"""),"Ensino Fundamental - Incompleto")</f>
        <v>Ensino Fundamental - Incompleto</v>
      </c>
      <c r="BH15" s="27" t="str">
        <f ca="1">IFERROR(__xludf.DUMMYFUNCTION("""COMPUTED_VALUE"""),"Pública")</f>
        <v>Pública</v>
      </c>
      <c r="BI15" s="27"/>
      <c r="BJ15" s="27" t="str">
        <f ca="1">IFERROR(__xludf.DUMMYFUNCTION("""COMPUTED_VALUE"""),"Público")</f>
        <v>Público</v>
      </c>
      <c r="BK15" s="27" t="str">
        <f ca="1">IFERROR(__xludf.DUMMYFUNCTION("""COMPUTED_VALUE"""),"Maria Carlota")</f>
        <v>Maria Carlota</v>
      </c>
      <c r="BL15" s="27">
        <f ca="1">IFERROR(__xludf.DUMMYFUNCTION("""COMPUTED_VALUE"""),1015)</f>
        <v>1015</v>
      </c>
      <c r="BM15" s="27" t="str">
        <f ca="1">IFERROR(__xludf.DUMMYFUNCTION("""COMPUTED_VALUE"""),"Bloco G 107")</f>
        <v>Bloco G 107</v>
      </c>
      <c r="BN15" s="27" t="str">
        <f ca="1">IFERROR(__xludf.DUMMYFUNCTION("""COMPUTED_VALUE"""),"Sp")</f>
        <v>Sp</v>
      </c>
      <c r="BO15" s="27" t="str">
        <f ca="1">IFERROR(__xludf.DUMMYFUNCTION("""COMPUTED_VALUE"""),"03647-000")</f>
        <v>03647-000</v>
      </c>
      <c r="BP15" s="27" t="str">
        <f ca="1">IFERROR(__xludf.DUMMYFUNCTION("""COMPUTED_VALUE"""),"SP")</f>
        <v>SP</v>
      </c>
      <c r="BQ15" s="27" t="str">
        <f ca="1">IFERROR(__xludf.DUMMYFUNCTION("""COMPUTED_VALUE"""),"Entre 1 até 3 salários mínimos")</f>
        <v>Entre 1 até 3 salários mínimos</v>
      </c>
      <c r="BR15" s="27" t="str">
        <f ca="1">IFERROR(__xludf.DUMMYFUNCTION("""COMPUTED_VALUE"""),"Trabalho informal")</f>
        <v>Trabalho informal</v>
      </c>
      <c r="BS15" s="27" t="str">
        <f ca="1">IFERROR(__xludf.DUMMYFUNCTION("""COMPUTED_VALUE"""),"Casa cedida")</f>
        <v>Casa cedida</v>
      </c>
      <c r="BT15" s="27">
        <f ca="1">IFERROR(__xludf.DUMMYFUNCTION("""COMPUTED_VALUE"""),2)</f>
        <v>2</v>
      </c>
      <c r="BU15" s="27" t="str">
        <f ca="1">IFERROR(__xludf.DUMMYFUNCTION("""COMPUTED_VALUE"""),"Não tem")</f>
        <v>Não tem</v>
      </c>
      <c r="BV15" s="27"/>
      <c r="BW15" s="27" t="str">
        <f ca="1">IFERROR(__xludf.DUMMYFUNCTION("""COMPUTED_VALUE"""),"Vitoriarca@hotmail.com")</f>
        <v>Vitoriarca@hotmail.com</v>
      </c>
      <c r="BX15" s="27" t="str">
        <f ca="1">IFERROR(__xludf.DUMMYFUNCTION("""COMPUTED_VALUE"""),"Gilvanetereis57")</f>
        <v>Gilvanetereis57</v>
      </c>
      <c r="BY15" s="21" t="str">
        <f ca="1">IFERROR(__xludf.DUMMYFUNCTION("""COMPUTED_VALUE"""),"https://drive.google.com/open?id=1r1Y5LGZIy7sF3W48UJij1M-d6K9CLeJ4")</f>
        <v>https://drive.google.com/open?id=1r1Y5LGZIy7sF3W48UJij1M-d6K9CLeJ4</v>
      </c>
    </row>
    <row r="16" spans="1:77" ht="12.5" hidden="1" x14ac:dyDescent="0.25">
      <c r="A16" s="21" t="str">
        <f ca="1">IFERROR(__xludf.DUMMYFUNCTION("""COMPUTED_VALUE"""),"0014X00002OEuasQAD")</f>
        <v>0014X00002OEuasQAD</v>
      </c>
      <c r="B16" s="27" t="str">
        <f ca="1">IFERROR(__xludf.DUMMYFUNCTION("""COMPUTED_VALUE"""),"Fase Inicial")</f>
        <v>Fase Inicial</v>
      </c>
      <c r="C16" s="27" t="str">
        <f ca="1">IFERROR(__xludf.DUMMYFUNCTION("""COMPUTED_VALUE"""),"Fellow")</f>
        <v>Fellow</v>
      </c>
      <c r="D16" s="27" t="str">
        <f ca="1">IFERROR(__xludf.DUMMYFUNCTION("""COMPUTED_VALUE"""),"Ativo")</f>
        <v>Ativo</v>
      </c>
      <c r="E16" s="27" t="str">
        <f ca="1">IFERROR(__xludf.DUMMYFUNCTION("""COMPUTED_VALUE"""),"Assoc. C. Raio de Cristal")</f>
        <v>Assoc. C. Raio de Cristal</v>
      </c>
      <c r="F16" s="27" t="str">
        <f ca="1">IFERROR(__xludf.DUMMYFUNCTION("""COMPUTED_VALUE"""),"Mercedes")</f>
        <v>Mercedes</v>
      </c>
      <c r="G16" s="27"/>
      <c r="H16" s="27" t="str">
        <f ca="1">IFERROR(__xludf.DUMMYFUNCTION("""COMPUTED_VALUE"""),"04.239.483/0001-32")</f>
        <v>04.239.483/0001-32</v>
      </c>
      <c r="I16" s="27" t="str">
        <f ca="1">IFERROR(__xludf.DUMMYFUNCTION("""COMPUTED_VALUE"""),"Mercedes Conceição")</f>
        <v>Mercedes Conceição</v>
      </c>
      <c r="J16" s="27" t="str">
        <f ca="1">IFERROR(__xludf.DUMMYFUNCTION("""COMPUTED_VALUE"""),"raiodecristal@yahoo.com.br")</f>
        <v>raiodecristal@yahoo.com.br</v>
      </c>
      <c r="K16" s="27" t="str">
        <f ca="1">IFERROR(__xludf.DUMMYFUNCTION("""COMPUTED_VALUE"""),"(11)95882-2261")</f>
        <v>(11)95882-2261</v>
      </c>
      <c r="L16" s="27" t="str">
        <f ca="1">IFERROR(__xludf.DUMMYFUNCTION("""COMPUTED_VALUE"""),"SP")</f>
        <v>SP</v>
      </c>
      <c r="M16" s="27" t="str">
        <f ca="1">IFERROR(__xludf.DUMMYFUNCTION("""COMPUTED_VALUE"""),"Rua Cabo PM José Carlos Rodrigues da Silva")</f>
        <v>Rua Cabo PM José Carlos Rodrigues da Silva</v>
      </c>
      <c r="N16" s="27" t="str">
        <f ca="1">IFERROR(__xludf.DUMMYFUNCTION("""COMPUTED_VALUE"""),"Jd. Filhos da Terra/Guapira")</f>
        <v>Jd. Filhos da Terra/Guapira</v>
      </c>
      <c r="O16" s="27">
        <f ca="1">IFERROR(__xludf.DUMMYFUNCTION("""COMPUTED_VALUE"""),103)</f>
        <v>103</v>
      </c>
      <c r="P16" s="27" t="str">
        <f ca="1">IFERROR(__xludf.DUMMYFUNCTION("""COMPUTED_VALUE"""),"São Paulo")</f>
        <v>São Paulo</v>
      </c>
      <c r="Q16" s="27" t="str">
        <f ca="1">IFERROR(__xludf.DUMMYFUNCTION("""COMPUTED_VALUE"""),"Rua Mar. Àmalia L.de Azevedo")</f>
        <v>Rua Mar. Àmalia L.de Azevedo</v>
      </c>
      <c r="R16" s="27" t="str">
        <f ca="1">IFERROR(__xludf.DUMMYFUNCTION("""COMPUTED_VALUE"""),"02325-030")</f>
        <v>02325-030</v>
      </c>
      <c r="S16" s="27"/>
      <c r="T16" s="27" t="str">
        <f ca="1">IFERROR(__xludf.DUMMYFUNCTION("""COMPUTED_VALUE"""),"Educação; Meio ambiente; Desenvolvimento comunitário; Outro(s)")</f>
        <v>Educação; Meio ambiente; Desenvolvimento comunitário; Outro(s)</v>
      </c>
      <c r="U16" s="27" t="str">
        <f ca="1">IFERROR(__xludf.DUMMYFUNCTION("""COMPUTED_VALUE"""),"Idosos (60 anos ou mais)")</f>
        <v>Idosos (60 anos ou mais)</v>
      </c>
      <c r="V16" s="27" t="str">
        <f ca="1">IFERROR(__xludf.DUMMYFUNCTION("""COMPUTED_VALUE"""),"Moradores de Favelas; Outros")</f>
        <v>Moradores de Favelas; Outros</v>
      </c>
      <c r="W16" s="27">
        <f ca="1">IFERROR(__xludf.DUMMYFUNCTION("""COMPUTED_VALUE"""),13)</f>
        <v>13</v>
      </c>
      <c r="X16" s="27"/>
      <c r="Y16" s="27"/>
      <c r="Z16" s="27"/>
      <c r="AA16" s="29">
        <f ca="1">IFERROR(__xludf.DUMMYFUNCTION("""COMPUTED_VALUE"""),36727)</f>
        <v>36727</v>
      </c>
      <c r="AB16" s="27"/>
      <c r="AC16" s="27">
        <f ca="1">IFERROR(__xludf.DUMMYFUNCTION("""COMPUTED_VALUE"""),0)</f>
        <v>0</v>
      </c>
      <c r="AD16" s="27">
        <f ca="1">IFERROR(__xludf.DUMMYFUNCTION("""COMPUTED_VALUE"""),0)</f>
        <v>0</v>
      </c>
      <c r="AE16" s="27">
        <f ca="1">IFERROR(__xludf.DUMMYFUNCTION("""COMPUTED_VALUE"""),15)</f>
        <v>15</v>
      </c>
      <c r="AF16" s="27">
        <f ca="1">IFERROR(__xludf.DUMMYFUNCTION("""COMPUTED_VALUE"""),12)</f>
        <v>12</v>
      </c>
      <c r="AG16" s="27">
        <f ca="1">IFERROR(__xludf.DUMMYFUNCTION("""COMPUTED_VALUE"""),4)</f>
        <v>4</v>
      </c>
      <c r="AH16" s="27" t="str">
        <f ca="1">IFERROR(__xludf.DUMMYFUNCTION("""COMPUTED_VALUE"""),"Recursos próprios")</f>
        <v>Recursos próprios</v>
      </c>
      <c r="AI16" s="27" t="str">
        <f ca="1">IFERROR(__xludf.DUMMYFUNCTION("""COMPUTED_VALUE"""),"Nem uma")</f>
        <v>Nem uma</v>
      </c>
      <c r="AJ16" s="27"/>
      <c r="AK16" s="27"/>
      <c r="AL16" s="21" t="str">
        <f ca="1">IFERROR(__xludf.DUMMYFUNCTION("""COMPUTED_VALUE"""),"0034X0000315PR1")</f>
        <v>0034X0000315PR1</v>
      </c>
      <c r="AM16" s="27" t="str">
        <f ca="1">IFERROR(__xludf.DUMMYFUNCTION("""COMPUTED_VALUE"""),"Conceição C.S.Lopes")</f>
        <v>Conceição C.S.Lopes</v>
      </c>
      <c r="AN16" s="27" t="str">
        <f ca="1">IFERROR(__xludf.DUMMYFUNCTION("""COMPUTED_VALUE"""),"Ativo")</f>
        <v>Ativo</v>
      </c>
      <c r="AO16" s="30">
        <f ca="1">IFERROR(__xludf.DUMMYFUNCTION("""COMPUTED_VALUE"""),44551)</f>
        <v>44551</v>
      </c>
      <c r="AP16" s="27">
        <f ca="1">IFERROR(__xludf.DUMMYFUNCTION("""COMPUTED_VALUE"""),9)</f>
        <v>9</v>
      </c>
      <c r="AQ16" s="27" t="str">
        <f ca="1">IFERROR(__xludf.DUMMYFUNCTION("""COMPUTED_VALUE"""),"Segundo Semestre 2021")</f>
        <v>Segundo Semestre 2021</v>
      </c>
      <c r="AR16" s="27" t="str">
        <f ca="1">IFERROR(__xludf.DUMMYFUNCTION("""COMPUTED_VALUE"""),"mercedeslopes359@gmail.com")</f>
        <v>mercedeslopes359@gmail.com</v>
      </c>
      <c r="AS16" s="27" t="str">
        <f ca="1">IFERROR(__xludf.DUMMYFUNCTION("""COMPUTED_VALUE"""),"(11)95882-2261")</f>
        <v>(11)95882-2261</v>
      </c>
      <c r="AT16" s="29">
        <f ca="1">IFERROR(__xludf.DUMMYFUNCTION("""COMPUTED_VALUE"""),19120)</f>
        <v>19120</v>
      </c>
      <c r="AU16" s="27">
        <f ca="1">IFERROR(__xludf.DUMMYFUNCTION("""COMPUTED_VALUE"""),70)</f>
        <v>70</v>
      </c>
      <c r="AV16" s="27">
        <f ca="1">IFERROR(__xludf.DUMMYFUNCTION("""COMPUTED_VALUE"""),4257523808)</f>
        <v>4257523808</v>
      </c>
      <c r="AW16" s="27" t="str">
        <f ca="1">IFERROR(__xludf.DUMMYFUNCTION("""COMPUTED_VALUE"""),"9742447-X")</f>
        <v>9742447-X</v>
      </c>
      <c r="AX16" s="27"/>
      <c r="AY16" s="27"/>
      <c r="AZ16" s="27" t="str">
        <f ca="1">IFERROR(__xludf.DUMMYFUNCTION("""COMPUTED_VALUE"""),"GG")</f>
        <v>GG</v>
      </c>
      <c r="BA16" s="27" t="str">
        <f ca="1">IFERROR(__xludf.DUMMYFUNCTION("""COMPUTED_VALUE"""),"Parda")</f>
        <v>Parda</v>
      </c>
      <c r="BB16" s="27" t="str">
        <f ca="1">IFERROR(__xludf.DUMMYFUNCTION("""COMPUTED_VALUE"""),"Mulher, cisgênero")</f>
        <v>Mulher, cisgênero</v>
      </c>
      <c r="BC16" s="27" t="str">
        <f ca="1">IFERROR(__xludf.DUMMYFUNCTION("""COMPUTED_VALUE"""),"Sim")</f>
        <v>Sim</v>
      </c>
      <c r="BD16" s="27" t="str">
        <f ca="1">IFERROR(__xludf.DUMMYFUNCTION("""COMPUTED_VALUE"""),"Sou espi
Ososa, mãe  e vó resíduo no Jd. Filhos da Terra Zona Norte, estou nesta luta enfrentando desafios, para conseguir atingir os meus objetivos que é condições de vida para meu povo.")</f>
        <v>Sou espi
Ososa, mãe  e vó resíduo no Jd. Filhos da Terra Zona Norte, estou nesta luta enfrentando desafios, para conseguir atingir os meus objetivos que é condições de vida para meu povo.</v>
      </c>
      <c r="BE16" s="27"/>
      <c r="BF16" s="27" t="str">
        <f ca="1">IFERROR(__xludf.DUMMYFUNCTION("""COMPUTED_VALUE"""),"Heterossexual")</f>
        <v>Heterossexual</v>
      </c>
      <c r="BG16" s="27" t="str">
        <f ca="1">IFERROR(__xludf.DUMMYFUNCTION("""COMPUTED_VALUE"""),"Ensino Médio - Completo")</f>
        <v>Ensino Médio - Completo</v>
      </c>
      <c r="BH16" s="27" t="str">
        <f ca="1">IFERROR(__xludf.DUMMYFUNCTION("""COMPUTED_VALUE"""),"Pública")</f>
        <v>Pública</v>
      </c>
      <c r="BI16" s="27"/>
      <c r="BJ16" s="27"/>
      <c r="BK16" s="27" t="str">
        <f ca="1">IFERROR(__xludf.DUMMYFUNCTION("""COMPUTED_VALUE"""),"Travessa Barreira Branca")</f>
        <v>Travessa Barreira Branca</v>
      </c>
      <c r="BL16" s="27">
        <f ca="1">IFERROR(__xludf.DUMMYFUNCTION("""COMPUTED_VALUE"""),59)</f>
        <v>59</v>
      </c>
      <c r="BM16" s="27" t="str">
        <f ca="1">IFERROR(__xludf.DUMMYFUNCTION("""COMPUTED_VALUE"""),"Na feira de domingo")</f>
        <v>Na feira de domingo</v>
      </c>
      <c r="BN16" s="27" t="str">
        <f ca="1">IFERROR(__xludf.DUMMYFUNCTION("""COMPUTED_VALUE"""),"São Paulo")</f>
        <v>São Paulo</v>
      </c>
      <c r="BO16" s="27" t="str">
        <f ca="1">IFERROR(__xludf.DUMMYFUNCTION("""COMPUTED_VALUE"""),"02325-020")</f>
        <v>02325-020</v>
      </c>
      <c r="BP16" s="27" t="str">
        <f ca="1">IFERROR(__xludf.DUMMYFUNCTION("""COMPUTED_VALUE"""),"SP")</f>
        <v>SP</v>
      </c>
      <c r="BQ16" s="27" t="str">
        <f ca="1">IFERROR(__xludf.DUMMYFUNCTION("""COMPUTED_VALUE"""),"De 3 até 5 salários mínimos")</f>
        <v>De 3 até 5 salários mínimos</v>
      </c>
      <c r="BR16" s="27" t="str">
        <f ca="1">IFERROR(__xludf.DUMMYFUNCTION("""COMPUTED_VALUE"""),"Desempregado")</f>
        <v>Desempregado</v>
      </c>
      <c r="BS16" s="27" t="str">
        <f ca="1">IFERROR(__xludf.DUMMYFUNCTION("""COMPUTED_VALUE"""),"Casa própria")</f>
        <v>Casa própria</v>
      </c>
      <c r="BT16" s="27">
        <f ca="1">IFERROR(__xludf.DUMMYFUNCTION("""COMPUTED_VALUE"""),5)</f>
        <v>5</v>
      </c>
      <c r="BU16" s="27"/>
      <c r="BV16" s="27"/>
      <c r="BW16" s="21" t="str">
        <f ca="1">IFERROR(__xludf.DUMMYFUNCTION("""COMPUTED_VALUE"""),"https://terradedireitos.org.br/notic")</f>
        <v>https://terradedireitos.org.br/notic</v>
      </c>
      <c r="BX16" s="21" t="str">
        <f ca="1">IFERROR(__xludf.DUMMYFUNCTION("""COMPUTED_VALUE"""),"https://www.instagram.com/p/Cb_SYjmskiD/?utm_medium=copy_link")</f>
        <v>https://www.instagram.com/p/Cb_SYjmskiD/?utm_medium=copy_link</v>
      </c>
      <c r="BY16" s="21" t="str">
        <f ca="1">IFERROR(__xludf.DUMMYFUNCTION("""COMPUTED_VALUE"""),"https://drive.google.com/open?id=1W86-gCgDGYmxZdpB4nGkbTLTY715Ifd9")</f>
        <v>https://drive.google.com/open?id=1W86-gCgDGYmxZdpB4nGkbTLTY715Ifd9</v>
      </c>
    </row>
    <row r="17" spans="1:77" ht="12.5" hidden="1" x14ac:dyDescent="0.25">
      <c r="A17" s="21" t="str">
        <f ca="1">IFERROR(__xludf.DUMMYFUNCTION("""COMPUTED_VALUE"""),"0014P00003YSp7xQAD")</f>
        <v>0014P00003YSp7xQAD</v>
      </c>
      <c r="B17" s="27" t="str">
        <f ca="1">IFERROR(__xludf.DUMMYFUNCTION("""COMPUTED_VALUE"""),"Fase Inicial")</f>
        <v>Fase Inicial</v>
      </c>
      <c r="C17" s="27" t="str">
        <f ca="1">IFERROR(__xludf.DUMMYFUNCTION("""COMPUTED_VALUE"""),"Fellow")</f>
        <v>Fellow</v>
      </c>
      <c r="D17" s="27" t="str">
        <f ca="1">IFERROR(__xludf.DUMMYFUNCTION("""COMPUTED_VALUE"""),"Ativo")</f>
        <v>Ativo</v>
      </c>
      <c r="E17" s="27" t="str">
        <f ca="1">IFERROR(__xludf.DUMMYFUNCTION("""COMPUTED_VALUE"""),"Associação Amigos de Gegê  fos Moradores da Gamboa de Baixo")</f>
        <v>Associação Amigos de Gegê  fos Moradores da Gamboa de Baixo</v>
      </c>
      <c r="F17" s="27" t="str">
        <f ca="1">IFERROR(__xludf.DUMMYFUNCTION("""COMPUTED_VALUE"""),"Ana")</f>
        <v>Ana</v>
      </c>
      <c r="G17" s="27"/>
      <c r="H17" s="27"/>
      <c r="I17" s="27" t="str">
        <f ca="1">IFERROR(__xludf.DUMMYFUNCTION("""COMPUTED_VALUE"""),"Ana Cristina da Silva Caminha")</f>
        <v>Ana Cristina da Silva Caminha</v>
      </c>
      <c r="J17" s="27" t="str">
        <f ca="1">IFERROR(__xludf.DUMMYFUNCTION("""COMPUTED_VALUE"""),"associacaogamboadebaixo@gmail.com")</f>
        <v>associacaogamboadebaixo@gmail.com</v>
      </c>
      <c r="K17" s="27" t="str">
        <f ca="1">IFERROR(__xludf.DUMMYFUNCTION("""COMPUTED_VALUE"""),"(71)99106-1362")</f>
        <v>(71)99106-1362</v>
      </c>
      <c r="L17" s="27" t="str">
        <f ca="1">IFERROR(__xludf.DUMMYFUNCTION("""COMPUTED_VALUE"""),"BA")</f>
        <v>BA</v>
      </c>
      <c r="M17" s="27" t="str">
        <f ca="1">IFERROR(__xludf.DUMMYFUNCTION("""COMPUTED_VALUE"""),"Rua Barbosa Leal")</f>
        <v>Rua Barbosa Leal</v>
      </c>
      <c r="N17" s="27" t="str">
        <f ca="1">IFERROR(__xludf.DUMMYFUNCTION("""COMPUTED_VALUE"""),"Gamboa de Baixo")</f>
        <v>Gamboa de Baixo</v>
      </c>
      <c r="O17" s="27">
        <f ca="1">IFERROR(__xludf.DUMMYFUNCTION("""COMPUTED_VALUE"""),24)</f>
        <v>24</v>
      </c>
      <c r="P17" s="27" t="str">
        <f ca="1">IFERROR(__xludf.DUMMYFUNCTION("""COMPUTED_VALUE"""),"Salvador")</f>
        <v>Salvador</v>
      </c>
      <c r="Q17" s="27" t="str">
        <f ca="1">IFERROR(__xludf.DUMMYFUNCTION("""COMPUTED_VALUE"""),"24A")</f>
        <v>24A</v>
      </c>
      <c r="R17" s="27">
        <f ca="1">IFERROR(__xludf.DUMMYFUNCTION("""COMPUTED_VALUE"""),40060245)</f>
        <v>40060245</v>
      </c>
      <c r="S17" s="27"/>
      <c r="T17" s="27"/>
      <c r="U17" s="27"/>
      <c r="V17" s="27"/>
      <c r="W17" s="27">
        <f ca="1">IFERROR(__xludf.DUMMYFUNCTION("""COMPUTED_VALUE"""),5)</f>
        <v>5</v>
      </c>
      <c r="X17" s="27"/>
      <c r="Y17" s="27"/>
      <c r="Z17" s="27">
        <f ca="1">IFERROR(__xludf.DUMMYFUNCTION("""COMPUTED_VALUE"""),400)</f>
        <v>400</v>
      </c>
      <c r="AA17" s="29">
        <f ca="1">IFERROR(__xludf.DUMMYFUNCTION("""COMPUTED_VALUE"""),33791)</f>
        <v>33791</v>
      </c>
      <c r="AB17" s="27" t="str">
        <f ca="1">IFERROR(__xludf.DUMMYFUNCTION("""COMPUTED_VALUE"""),"Não")</f>
        <v>Não</v>
      </c>
      <c r="AC17" s="27">
        <f ca="1">IFERROR(__xludf.DUMMYFUNCTION("""COMPUTED_VALUE"""),7)</f>
        <v>7</v>
      </c>
      <c r="AD17" s="27"/>
      <c r="AE17" s="27">
        <f ca="1">IFERROR(__xludf.DUMMYFUNCTION("""COMPUTED_VALUE"""),22)</f>
        <v>22</v>
      </c>
      <c r="AF17" s="27"/>
      <c r="AG17" s="27">
        <f ca="1">IFERROR(__xludf.DUMMYFUNCTION("""COMPUTED_VALUE"""),3)</f>
        <v>3</v>
      </c>
      <c r="AH17" s="27"/>
      <c r="AI17" s="27"/>
      <c r="AJ17" s="27"/>
      <c r="AK17" s="27"/>
      <c r="AL17" s="21" t="str">
        <f ca="1">IFERROR(__xludf.DUMMYFUNCTION("""COMPUTED_VALUE"""),"0034P000045kxiY")</f>
        <v>0034P000045kxiY</v>
      </c>
      <c r="AM17" s="27" t="str">
        <f ca="1">IFERROR(__xludf.DUMMYFUNCTION("""COMPUTED_VALUE"""),"Ana Cristina da Silva Caminha")</f>
        <v>Ana Cristina da Silva Caminha</v>
      </c>
      <c r="AN17" s="27" t="str">
        <f ca="1">IFERROR(__xludf.DUMMYFUNCTION("""COMPUTED_VALUE"""),"Ativo")</f>
        <v>Ativo</v>
      </c>
      <c r="AO17" s="30">
        <f ca="1">IFERROR(__xludf.DUMMYFUNCTION("""COMPUTED_VALUE"""),44551)</f>
        <v>44551</v>
      </c>
      <c r="AP17" s="27">
        <f ca="1">IFERROR(__xludf.DUMMYFUNCTION("""COMPUTED_VALUE"""),9)</f>
        <v>9</v>
      </c>
      <c r="AQ17" s="27" t="str">
        <f ca="1">IFERROR(__xludf.DUMMYFUNCTION("""COMPUTED_VALUE"""),"Segundo Semestre 2021")</f>
        <v>Segundo Semestre 2021</v>
      </c>
      <c r="AR17" s="27" t="str">
        <f ca="1">IFERROR(__xludf.DUMMYFUNCTION("""COMPUTED_VALUE"""),"anacaminha17@gmail.com")</f>
        <v>anacaminha17@gmail.com</v>
      </c>
      <c r="AS17" s="27" t="str">
        <f ca="1">IFERROR(__xludf.DUMMYFUNCTION("""COMPUTED_VALUE"""),"(71)99106-1362")</f>
        <v>(71)99106-1362</v>
      </c>
      <c r="AT17" s="29">
        <f ca="1">IFERROR(__xludf.DUMMYFUNCTION("""COMPUTED_VALUE"""),26901)</f>
        <v>26901</v>
      </c>
      <c r="AU17" s="27">
        <f ca="1">IFERROR(__xludf.DUMMYFUNCTION("""COMPUTED_VALUE"""),49)</f>
        <v>49</v>
      </c>
      <c r="AV17" s="27">
        <f ca="1">IFERROR(__xludf.DUMMYFUNCTION("""COMPUTED_VALUE"""),92208282515)</f>
        <v>92208282515</v>
      </c>
      <c r="AW17" s="27">
        <f ca="1">IFERROR(__xludf.DUMMYFUNCTION("""COMPUTED_VALUE"""),504696300)</f>
        <v>504696300</v>
      </c>
      <c r="AX17" s="27"/>
      <c r="AY17" s="27"/>
      <c r="AZ17" s="27" t="str">
        <f ca="1">IFERROR(__xludf.DUMMYFUNCTION("""COMPUTED_VALUE"""),"G")</f>
        <v>G</v>
      </c>
      <c r="BA17" s="27" t="str">
        <f ca="1">IFERROR(__xludf.DUMMYFUNCTION("""COMPUTED_VALUE"""),"Preta")</f>
        <v>Preta</v>
      </c>
      <c r="BB17" s="27" t="str">
        <f ca="1">IFERROR(__xludf.DUMMYFUNCTION("""COMPUTED_VALUE"""),"Mulher, cisgênero")</f>
        <v>Mulher, cisgênero</v>
      </c>
      <c r="BC17" s="27" t="str">
        <f ca="1">IFERROR(__xludf.DUMMYFUNCTION("""COMPUTED_VALUE"""),"Sim")</f>
        <v>Sim</v>
      </c>
      <c r="BD17" s="27" t="str">
        <f ca="1">IFERROR(__xludf.DUMMYFUNCTION("""COMPUTED_VALUE"""),"Ana Caminha - Mulher preta, moradora e atuante na comunidade tradicional de pescadoras e pescadores da Gamboa Baixo (Salvador/BA), graduada em pedagogia pela Unijorge, integrante da Articulação dos Movimentos e Comunidades do Centro Antigo de Salvador e p"&amp;"residente da Associação e Amigos de Gegê dos Moradores da  Gamboa de Baixo.")</f>
        <v>Ana Caminha - Mulher preta, moradora e atuante na comunidade tradicional de pescadoras e pescadores da Gamboa Baixo (Salvador/BA), graduada em pedagogia pela Unijorge, integrante da Articulação dos Movimentos e Comunidades do Centro Antigo de Salvador e presidente da Associação e Amigos de Gegê dos Moradores da  Gamboa de Baixo.</v>
      </c>
      <c r="BE17" s="27"/>
      <c r="BF17" s="27" t="str">
        <f ca="1">IFERROR(__xludf.DUMMYFUNCTION("""COMPUTED_VALUE"""),"Homossexual")</f>
        <v>Homossexual</v>
      </c>
      <c r="BG17" s="27" t="str">
        <f ca="1">IFERROR(__xludf.DUMMYFUNCTION("""COMPUTED_VALUE"""),"Ensino Superior - Incompleto")</f>
        <v>Ensino Superior - Incompleto</v>
      </c>
      <c r="BH17" s="27" t="str">
        <f ca="1">IFERROR(__xludf.DUMMYFUNCTION("""COMPUTED_VALUE"""),"Público")</f>
        <v>Público</v>
      </c>
      <c r="BI17" s="27" t="str">
        <f ca="1">IFERROR(__xludf.DUMMYFUNCTION("""COMPUTED_VALUE"""),"Graduação")</f>
        <v>Graduação</v>
      </c>
      <c r="BJ17" s="27" t="str">
        <f ca="1">IFERROR(__xludf.DUMMYFUNCTION("""COMPUTED_VALUE"""),"Privado")</f>
        <v>Privado</v>
      </c>
      <c r="BK17" s="27" t="str">
        <f ca="1">IFERROR(__xludf.DUMMYFUNCTION("""COMPUTED_VALUE"""),"Hamilton Sapucaia")</f>
        <v>Hamilton Sapucaia</v>
      </c>
      <c r="BL17" s="27">
        <f ca="1">IFERROR(__xludf.DUMMYFUNCTION("""COMPUTED_VALUE"""),33)</f>
        <v>33</v>
      </c>
      <c r="BM17" s="27" t="str">
        <f ca="1">IFERROR(__xludf.DUMMYFUNCTION("""COMPUTED_VALUE"""),"Av. Avenida Lafaiete Coutinho -Av. Do Contirno")</f>
        <v>Av. Avenida Lafaiete Coutinho -Av. Do Contirno</v>
      </c>
      <c r="BN17" s="27" t="str">
        <f ca="1">IFERROR(__xludf.DUMMYFUNCTION("""COMPUTED_VALUE"""),"Salvador")</f>
        <v>Salvador</v>
      </c>
      <c r="BO17" s="27" t="str">
        <f ca="1">IFERROR(__xludf.DUMMYFUNCTION("""COMPUTED_VALUE"""),"40060-155")</f>
        <v>40060-155</v>
      </c>
      <c r="BP17" s="27" t="str">
        <f ca="1">IFERROR(__xludf.DUMMYFUNCTION("""COMPUTED_VALUE"""),"BA")</f>
        <v>BA</v>
      </c>
      <c r="BQ17" s="27" t="str">
        <f ca="1">IFERROR(__xludf.DUMMYFUNCTION("""COMPUTED_VALUE"""),"Entre 1 até 3 salários mínimos")</f>
        <v>Entre 1 até 3 salários mínimos</v>
      </c>
      <c r="BR17" s="27" t="str">
        <f ca="1">IFERROR(__xludf.DUMMYFUNCTION("""COMPUTED_VALUE"""),"Desempregado")</f>
        <v>Desempregado</v>
      </c>
      <c r="BS17" s="27" t="str">
        <f ca="1">IFERROR(__xludf.DUMMYFUNCTION("""COMPUTED_VALUE"""),"Casa própria")</f>
        <v>Casa própria</v>
      </c>
      <c r="BT17" s="27">
        <f ca="1">IFERROR(__xludf.DUMMYFUNCTION("""COMPUTED_VALUE"""),7)</f>
        <v>7</v>
      </c>
      <c r="BU17" s="27" t="str">
        <f ca="1">IFERROR(__xludf.DUMMYFUNCTION("""COMPUTED_VALUE"""),"Não tem")</f>
        <v>Não tem</v>
      </c>
      <c r="BV17" s="27"/>
      <c r="BW17" s="27"/>
      <c r="BX17" s="27" t="str">
        <f ca="1">IFERROR(__xludf.DUMMYFUNCTION("""COMPUTED_VALUE"""),"@anacaminha17")</f>
        <v>@anacaminha17</v>
      </c>
      <c r="BY17" s="21" t="str">
        <f ca="1">IFERROR(__xludf.DUMMYFUNCTION("""COMPUTED_VALUE"""),"https://drive.google.com/open?id=1S2vAcVF5pEr6D4ag9I9rlhCrOE-SoiOx")</f>
        <v>https://drive.google.com/open?id=1S2vAcVF5pEr6D4ag9I9rlhCrOE-SoiOx</v>
      </c>
    </row>
    <row r="18" spans="1:77" ht="12.5" hidden="1" x14ac:dyDescent="0.25">
      <c r="A18" s="21" t="str">
        <f ca="1">IFERROR(__xludf.DUMMYFUNCTION("""COMPUTED_VALUE"""),"0014P00003YSp8AQAT")</f>
        <v>0014P00003YSp8AQAT</v>
      </c>
      <c r="B18" s="27" t="str">
        <f ca="1">IFERROR(__xludf.DUMMYFUNCTION("""COMPUTED_VALUE"""),"Fase Inicial")</f>
        <v>Fase Inicial</v>
      </c>
      <c r="C18" s="27" t="str">
        <f ca="1">IFERROR(__xludf.DUMMYFUNCTION("""COMPUTED_VALUE"""),"Fellow")</f>
        <v>Fellow</v>
      </c>
      <c r="D18" s="27" t="str">
        <f ca="1">IFERROR(__xludf.DUMMYFUNCTION("""COMPUTED_VALUE"""),"Ativo")</f>
        <v>Ativo</v>
      </c>
      <c r="E18" s="27" t="str">
        <f ca="1">IFERROR(__xludf.DUMMYFUNCTION("""COMPUTED_VALUE"""),"Associação Amor e Vida")</f>
        <v>Associação Amor e Vida</v>
      </c>
      <c r="F18" s="27" t="str">
        <f ca="1">IFERROR(__xludf.DUMMYFUNCTION("""COMPUTED_VALUE"""),"Maria")</f>
        <v>Maria</v>
      </c>
      <c r="G18" s="27"/>
      <c r="H18" s="27" t="str">
        <f ca="1">IFERROR(__xludf.DUMMYFUNCTION("""COMPUTED_VALUE"""),"68.720.168/0001-05")</f>
        <v>68.720.168/0001-05</v>
      </c>
      <c r="I18" s="27" t="str">
        <f ca="1">IFERROR(__xludf.DUMMYFUNCTION("""COMPUTED_VALUE"""),"Izaias de Sousa Maciel")</f>
        <v>Izaias de Sousa Maciel</v>
      </c>
      <c r="J18" s="27" t="str">
        <f ca="1">IFERROR(__xludf.DUMMYFUNCTION("""COMPUTED_VALUE"""),"contato@projetoamorevida.org")</f>
        <v>contato@projetoamorevida.org</v>
      </c>
      <c r="K18" s="27" t="str">
        <f ca="1">IFERROR(__xludf.DUMMYFUNCTION("""COMPUTED_VALUE"""),"(21)96448-4201")</f>
        <v>(21)96448-4201</v>
      </c>
      <c r="L18" s="27" t="str">
        <f ca="1">IFERROR(__xludf.DUMMYFUNCTION("""COMPUTED_VALUE"""),"RJ")</f>
        <v>RJ</v>
      </c>
      <c r="M18" s="27" t="str">
        <f ca="1">IFERROR(__xludf.DUMMYFUNCTION("""COMPUTED_VALUE"""),"Estr de Sepetiba")</f>
        <v>Estr de Sepetiba</v>
      </c>
      <c r="N18" s="27" t="str">
        <f ca="1">IFERROR(__xludf.DUMMYFUNCTION("""COMPUTED_VALUE"""),"Santa Cruz")</f>
        <v>Santa Cruz</v>
      </c>
      <c r="O18" s="27">
        <f ca="1">IFERROR(__xludf.DUMMYFUNCTION("""COMPUTED_VALUE"""),962)</f>
        <v>962</v>
      </c>
      <c r="P18" s="27" t="str">
        <f ca="1">IFERROR(__xludf.DUMMYFUNCTION("""COMPUTED_VALUE"""),"Rio de Janeiro")</f>
        <v>Rio de Janeiro</v>
      </c>
      <c r="Q18" s="27" t="str">
        <f ca="1">IFERROR(__xludf.DUMMYFUNCTION("""COMPUTED_VALUE"""),"A")</f>
        <v>A</v>
      </c>
      <c r="R18" s="27" t="str">
        <f ca="1">IFERROR(__xludf.DUMMYFUNCTION("""COMPUTED_VALUE"""),"23520-660")</f>
        <v>23520-660</v>
      </c>
      <c r="S18" s="27"/>
      <c r="T18" s="27" t="str">
        <f ca="1">IFERROR(__xludf.DUMMYFUNCTION("""COMPUTED_VALUE"""),"Educação; Assistência Social; Defesa de Direitos; Desenvolvimento comunitário; Outro(s)")</f>
        <v>Educação; Assistência Social; Defesa de Direitos; Desenvolvimento comunitário; Outro(s)</v>
      </c>
      <c r="U18" s="27" t="str">
        <f ca="1">IFERROR(__xludf.DUMMYFUNCTION("""COMPUTED_VALUE"""),"Crianças pequenas (4 anos a 5 anos e 11 meses); Crianças (6 a 12 anos); Adolescentes (12 aos 18 anos)")</f>
        <v>Crianças pequenas (4 anos a 5 anos e 11 meses); Crianças (6 a 12 anos); Adolescentes (12 aos 18 anos)</v>
      </c>
      <c r="V18" s="27" t="str">
        <f ca="1">IFERROR(__xludf.DUMMYFUNCTION("""COMPUTED_VALUE"""),"Moradores de Favelas")</f>
        <v>Moradores de Favelas</v>
      </c>
      <c r="W18" s="27">
        <f ca="1">IFERROR(__xludf.DUMMYFUNCTION("""COMPUTED_VALUE"""),5)</f>
        <v>5</v>
      </c>
      <c r="X18" s="27" t="str">
        <f ca="1">IFERROR(__xludf.DUMMYFUNCTION("""COMPUTED_VALUE"""),"Vulnerabilidade social")</f>
        <v>Vulnerabilidade social</v>
      </c>
      <c r="Y18" s="27"/>
      <c r="Z18" s="27">
        <f ca="1">IFERROR(__xludf.DUMMYFUNCTION("""COMPUTED_VALUE"""),200)</f>
        <v>200</v>
      </c>
      <c r="AA18" s="29">
        <f ca="1">IFERROR(__xludf.DUMMYFUNCTION("""COMPUTED_VALUE"""),33313)</f>
        <v>33313</v>
      </c>
      <c r="AB18" s="27" t="str">
        <f ca="1">IFERROR(__xludf.DUMMYFUNCTION("""COMPUTED_VALUE"""),"Sim")</f>
        <v>Sim</v>
      </c>
      <c r="AC18" s="27">
        <f ca="1">IFERROR(__xludf.DUMMYFUNCTION("""COMPUTED_VALUE"""),15)</f>
        <v>15</v>
      </c>
      <c r="AD18" s="27">
        <f ca="1">IFERROR(__xludf.DUMMYFUNCTION("""COMPUTED_VALUE"""),15)</f>
        <v>15</v>
      </c>
      <c r="AE18" s="27">
        <f ca="1">IFERROR(__xludf.DUMMYFUNCTION("""COMPUTED_VALUE"""),2)</f>
        <v>2</v>
      </c>
      <c r="AF18" s="27">
        <f ca="1">IFERROR(__xludf.DUMMYFUNCTION("""COMPUTED_VALUE"""),2)</f>
        <v>2</v>
      </c>
      <c r="AG18" s="27">
        <f ca="1">IFERROR(__xludf.DUMMYFUNCTION("""COMPUTED_VALUE"""),2)</f>
        <v>2</v>
      </c>
      <c r="AH18" s="27" t="str">
        <f ca="1">IFERROR(__xludf.DUMMYFUNCTION("""COMPUTED_VALUE"""),"Doações; Recursos próprios")</f>
        <v>Doações; Recursos próprios</v>
      </c>
      <c r="AI18" s="31">
        <f ca="1">IFERROR(__xludf.DUMMYFUNCTION("""COMPUTED_VALUE"""),0)</f>
        <v>0</v>
      </c>
      <c r="AJ18" s="27"/>
      <c r="AK18" s="27"/>
      <c r="AL18" s="21" t="str">
        <f ca="1">IFERROR(__xludf.DUMMYFUNCTION("""COMPUTED_VALUE"""),"0034P000045kxil")</f>
        <v>0034P000045kxil</v>
      </c>
      <c r="AM18" s="27" t="str">
        <f ca="1">IFERROR(__xludf.DUMMYFUNCTION("""COMPUTED_VALUE"""),"Fatima Queiroz De Oliveira")</f>
        <v>Fatima Queiroz De Oliveira</v>
      </c>
      <c r="AN18" s="27" t="str">
        <f ca="1">IFERROR(__xludf.DUMMYFUNCTION("""COMPUTED_VALUE"""),"Ativo")</f>
        <v>Ativo</v>
      </c>
      <c r="AO18" s="30">
        <f ca="1">IFERROR(__xludf.DUMMYFUNCTION("""COMPUTED_VALUE"""),44551)</f>
        <v>44551</v>
      </c>
      <c r="AP18" s="27">
        <f ca="1">IFERROR(__xludf.DUMMYFUNCTION("""COMPUTED_VALUE"""),9)</f>
        <v>9</v>
      </c>
      <c r="AQ18" s="27" t="str">
        <f ca="1">IFERROR(__xludf.DUMMYFUNCTION("""COMPUTED_VALUE"""),"Segundo Semestre 2021")</f>
        <v>Segundo Semestre 2021</v>
      </c>
      <c r="AR18" s="27" t="str">
        <f ca="1">IFERROR(__xludf.DUMMYFUNCTION("""COMPUTED_VALUE"""),"mfqdeoliveira@yahoo.com.br")</f>
        <v>mfqdeoliveira@yahoo.com.br</v>
      </c>
      <c r="AS18" s="27" t="str">
        <f ca="1">IFERROR(__xludf.DUMMYFUNCTION("""COMPUTED_VALUE"""),"(21)96448-4201")</f>
        <v>(21)96448-4201</v>
      </c>
      <c r="AT18" s="29">
        <f ca="1">IFERROR(__xludf.DUMMYFUNCTION("""COMPUTED_VALUE"""),21995)</f>
        <v>21995</v>
      </c>
      <c r="AU18" s="27">
        <f ca="1">IFERROR(__xludf.DUMMYFUNCTION("""COMPUTED_VALUE"""),62)</f>
        <v>62</v>
      </c>
      <c r="AV18" s="27">
        <f ca="1">IFERROR(__xludf.DUMMYFUNCTION("""COMPUTED_VALUE"""),61240796749)</f>
        <v>61240796749</v>
      </c>
      <c r="AW18" s="27">
        <f ca="1">IFERROR(__xludf.DUMMYFUNCTION("""COMPUTED_VALUE"""),47260187)</f>
        <v>47260187</v>
      </c>
      <c r="AX18" s="27"/>
      <c r="AY18" s="27"/>
      <c r="AZ18" s="27" t="str">
        <f ca="1">IFERROR(__xludf.DUMMYFUNCTION("""COMPUTED_VALUE"""),"M")</f>
        <v>M</v>
      </c>
      <c r="BA18" s="27" t="str">
        <f ca="1">IFERROR(__xludf.DUMMYFUNCTION("""COMPUTED_VALUE"""),"Parda")</f>
        <v>Parda</v>
      </c>
      <c r="BB18" s="27" t="str">
        <f ca="1">IFERROR(__xludf.DUMMYFUNCTION("""COMPUTED_VALUE"""),"Mulher, cisgênero")</f>
        <v>Mulher, cisgênero</v>
      </c>
      <c r="BC18" s="27" t="str">
        <f ca="1">IFERROR(__xludf.DUMMYFUNCTION("""COMPUTED_VALUE"""),"Sim")</f>
        <v>Sim</v>
      </c>
      <c r="BD18" s="27" t="str">
        <f ca="1">IFERROR(__xludf.DUMMYFUNCTION("""COMPUTED_VALUE"""),"Direção Pedagógica na empresa Amor e Vida
Estudou Pedagogia - Administração e Planejamento na instituição de ensino UniverCidade - Centro Universitário da Cidade
Estudou Psicopedagogia Institucional, Clinica na instituição de ensino UniverCidade - Centro "&amp;"Universitário da Cidade
Frequentou Escola Estadual Professor Daltro Santos
Estudou Pós em Gestão de Políticas Sociais na instituição de ensino Universidade Presbiteriana Mackenzie
Estudou Mestrado Em Educação na instituição de ensino UERJ")</f>
        <v>Direção Pedagógica na empresa Amor e Vida
Estudou Pedagogia - Administração e Planejamento na instituição de ensino UniverCidade - Centro Universitário da Cidade
Estudou Psicopedagogia Institucional, Clinica na instituição de ensino UniverCidade - Centro Universitário da Cidade
Frequentou Escola Estadual Professor Daltro Santos
Estudou Pós em Gestão de Políticas Sociais na instituição de ensino Universidade Presbiteriana Mackenzie
Estudou Mestrado Em Educação na instituição de ensino UERJ</v>
      </c>
      <c r="BE18" s="27"/>
      <c r="BF18" s="27" t="str">
        <f ca="1">IFERROR(__xludf.DUMMYFUNCTION("""COMPUTED_VALUE"""),"Heterossexual")</f>
        <v>Heterossexual</v>
      </c>
      <c r="BG18" s="27" t="str">
        <f ca="1">IFERROR(__xludf.DUMMYFUNCTION("""COMPUTED_VALUE"""),"Ensino Superior - Completo")</f>
        <v>Ensino Superior - Completo</v>
      </c>
      <c r="BH18" s="27" t="str">
        <f ca="1">IFERROR(__xludf.DUMMYFUNCTION("""COMPUTED_VALUE"""),"Público")</f>
        <v>Público</v>
      </c>
      <c r="BI18" s="27" t="str">
        <f ca="1">IFERROR(__xludf.DUMMYFUNCTION("""COMPUTED_VALUE"""),"Mestrado")</f>
        <v>Mestrado</v>
      </c>
      <c r="BJ18" s="27" t="str">
        <f ca="1">IFERROR(__xludf.DUMMYFUNCTION("""COMPUTED_VALUE"""),"Público")</f>
        <v>Público</v>
      </c>
      <c r="BK18" s="27" t="str">
        <f ca="1">IFERROR(__xludf.DUMMYFUNCTION("""COMPUTED_VALUE"""),"Rua Migue Angelo")</f>
        <v>Rua Migue Angelo</v>
      </c>
      <c r="BL18" s="27">
        <f ca="1">IFERROR(__xludf.DUMMYFUNCTION("""COMPUTED_VALUE"""),661)</f>
        <v>661</v>
      </c>
      <c r="BM18" s="27" t="str">
        <f ca="1">IFERROR(__xludf.DUMMYFUNCTION("""COMPUTED_VALUE"""),"apt 1009")</f>
        <v>apt 1009</v>
      </c>
      <c r="BN18" s="27" t="str">
        <f ca="1">IFERROR(__xludf.DUMMYFUNCTION("""COMPUTED_VALUE"""),"Rio de Janeiro")</f>
        <v>Rio de Janeiro</v>
      </c>
      <c r="BO18" s="27" t="str">
        <f ca="1">IFERROR(__xludf.DUMMYFUNCTION("""COMPUTED_VALUE"""),"20785-224")</f>
        <v>20785-224</v>
      </c>
      <c r="BP18" s="27" t="str">
        <f ca="1">IFERROR(__xludf.DUMMYFUNCTION("""COMPUTED_VALUE"""),"RJ")</f>
        <v>RJ</v>
      </c>
      <c r="BQ18" s="27" t="str">
        <f ca="1">IFERROR(__xludf.DUMMYFUNCTION("""COMPUTED_VALUE"""),"De 3 até 5 salários mínimos")</f>
        <v>De 3 até 5 salários mínimos</v>
      </c>
      <c r="BR18" s="27" t="str">
        <f ca="1">IFERROR(__xludf.DUMMYFUNCTION("""COMPUTED_VALUE"""),"CLT")</f>
        <v>CLT</v>
      </c>
      <c r="BS18" s="27" t="str">
        <f ca="1">IFERROR(__xludf.DUMMYFUNCTION("""COMPUTED_VALUE"""),"Aluguel")</f>
        <v>Aluguel</v>
      </c>
      <c r="BT18" s="27">
        <f ca="1">IFERROR(__xludf.DUMMYFUNCTION("""COMPUTED_VALUE"""),2)</f>
        <v>2</v>
      </c>
      <c r="BU18" s="27" t="str">
        <f ca="1">IFERROR(__xludf.DUMMYFUNCTION("""COMPUTED_VALUE"""),"Não tem")</f>
        <v>Não tem</v>
      </c>
      <c r="BV18" s="27"/>
      <c r="BW18" s="21" t="str">
        <f ca="1">IFERROR(__xludf.DUMMYFUNCTION("""COMPUTED_VALUE"""),"https://www.linkedin.com/in/maria-de-f%C3%A1tima-queiroz-de-oliveira-0383a94b/")</f>
        <v>https://www.linkedin.com/in/maria-de-f%C3%A1tima-queiroz-de-oliveira-0383a94b/</v>
      </c>
      <c r="BX18" s="21" t="str">
        <f ca="1">IFERROR(__xludf.DUMMYFUNCTION("""COMPUTED_VALUE"""),"https://www.instagram.com/fatima.queiroz1/")</f>
        <v>https://www.instagram.com/fatima.queiroz1/</v>
      </c>
      <c r="BY18" s="21" t="str">
        <f ca="1">IFERROR(__xludf.DUMMYFUNCTION("""COMPUTED_VALUE"""),"https://drive.google.com/open?id=136bJYA3A0y08GtqDJdT6hIBsjxFnCoBQ")</f>
        <v>https://drive.google.com/open?id=136bJYA3A0y08GtqDJdT6hIBsjxFnCoBQ</v>
      </c>
    </row>
    <row r="19" spans="1:77" ht="12.5" x14ac:dyDescent="0.25">
      <c r="A19" s="21" t="str">
        <f ca="1">IFERROR(__xludf.DUMMYFUNCTION("""COMPUTED_VALUE"""),"0014X00002VKCtaQAH")</f>
        <v>0014X00002VKCtaQAH</v>
      </c>
      <c r="B19" s="27"/>
      <c r="C19" s="27" t="str">
        <f ca="1">IFERROR(__xludf.DUMMYFUNCTION("""COMPUTED_VALUE"""),"Fellow")</f>
        <v>Fellow</v>
      </c>
      <c r="D19" s="27" t="str">
        <f ca="1">IFERROR(__xludf.DUMMYFUNCTION("""COMPUTED_VALUE"""),"Ativo")</f>
        <v>Ativo</v>
      </c>
      <c r="E19" s="27" t="str">
        <f ca="1">IFERROR(__xludf.DUMMYFUNCTION("""COMPUTED_VALUE"""),"Associação Anajô")</f>
        <v>Associação Anajô</v>
      </c>
      <c r="F19" s="27" t="str">
        <f ca="1">IFERROR(__xludf.DUMMYFUNCTION("""COMPUTED_VALUE"""),"Maria")</f>
        <v>Maria</v>
      </c>
      <c r="G19" s="27" t="str">
        <f ca="1">IFERROR(__xludf.DUMMYFUNCTION("""COMPUTED_VALUE"""),"ANAJÔ")</f>
        <v>ANAJÔ</v>
      </c>
      <c r="H19" s="27" t="str">
        <f ca="1">IFERROR(__xludf.DUMMYFUNCTION("""COMPUTED_VALUE"""),"08.594.979/0001-85")</f>
        <v>08.594.979/0001-85</v>
      </c>
      <c r="I19" s="27" t="str">
        <f ca="1">IFERROR(__xludf.DUMMYFUNCTION("""COMPUTED_VALUE"""),"Joseilda Brito")</f>
        <v>Joseilda Brito</v>
      </c>
      <c r="J19" s="27" t="str">
        <f ca="1">IFERROR(__xludf.DUMMYFUNCTION("""COMPUTED_VALUE"""),"anajogba@yahoo.com.br")</f>
        <v>anajogba@yahoo.com.br</v>
      </c>
      <c r="K19" s="27">
        <f ca="1">IFERROR(__xludf.DUMMYFUNCTION("""COMPUTED_VALUE"""),83988567721)</f>
        <v>83988567721</v>
      </c>
      <c r="L19" s="27" t="str">
        <f ca="1">IFERROR(__xludf.DUMMYFUNCTION("""COMPUTED_VALUE"""),"PB")</f>
        <v>PB</v>
      </c>
      <c r="M19" s="27" t="str">
        <f ca="1">IFERROR(__xludf.DUMMYFUNCTION("""COMPUTED_VALUE"""),"Rua Hermenegildo Cunha")</f>
        <v>Rua Hermenegildo Cunha</v>
      </c>
      <c r="N19" s="27" t="str">
        <f ca="1">IFERROR(__xludf.DUMMYFUNCTION("""COMPUTED_VALUE"""),"Nordeste II")</f>
        <v>Nordeste II</v>
      </c>
      <c r="O19" s="27">
        <f ca="1">IFERROR(__xludf.DUMMYFUNCTION("""COMPUTED_VALUE"""),586)</f>
        <v>586</v>
      </c>
      <c r="P19" s="27" t="str">
        <f ca="1">IFERROR(__xludf.DUMMYFUNCTION("""COMPUTED_VALUE"""),"Guarabira")</f>
        <v>Guarabira</v>
      </c>
      <c r="Q19" s="27" t="str">
        <f ca="1">IFERROR(__xludf.DUMMYFUNCTION("""COMPUTED_VALUE"""),"Na praça do Encontro")</f>
        <v>Na praça do Encontro</v>
      </c>
      <c r="R19" s="27" t="str">
        <f ca="1">IFERROR(__xludf.DUMMYFUNCTION("""COMPUTED_VALUE"""),"58200-000")</f>
        <v>58200-000</v>
      </c>
      <c r="S19" s="27"/>
      <c r="T19" s="27"/>
      <c r="U19" s="27"/>
      <c r="V19" s="27"/>
      <c r="W19" s="27">
        <f ca="1">IFERROR(__xludf.DUMMYFUNCTION("""COMPUTED_VALUE"""),4)</f>
        <v>4</v>
      </c>
      <c r="X19" s="27" t="str">
        <f ca="1">IFERROR(__xludf.DUMMYFUNCTION("""COMPUTED_VALUE"""),"Atendimento a crianças e adolescentes em
Situação de risco social")</f>
        <v>Atendimento a crianças e adolescentes em
Situação de risco social</v>
      </c>
      <c r="Y19" s="27"/>
      <c r="Z19" s="27">
        <f ca="1">IFERROR(__xludf.DUMMYFUNCTION("""COMPUTED_VALUE"""),200)</f>
        <v>200</v>
      </c>
      <c r="AA19" s="29">
        <f ca="1">IFERROR(__xludf.DUMMYFUNCTION("""COMPUTED_VALUE"""),39099)</f>
        <v>39099</v>
      </c>
      <c r="AB19" s="27" t="str">
        <f ca="1">IFERROR(__xludf.DUMMYFUNCTION("""COMPUTED_VALUE"""),"Sim")</f>
        <v>Sim</v>
      </c>
      <c r="AC19" s="27">
        <f ca="1">IFERROR(__xludf.DUMMYFUNCTION("""COMPUTED_VALUE"""),2)</f>
        <v>2</v>
      </c>
      <c r="AD19" s="27"/>
      <c r="AE19" s="27">
        <f ca="1">IFERROR(__xludf.DUMMYFUNCTION("""COMPUTED_VALUE"""),4)</f>
        <v>4</v>
      </c>
      <c r="AF19" s="27"/>
      <c r="AG19" s="27">
        <f ca="1">IFERROR(__xludf.DUMMYFUNCTION("""COMPUTED_VALUE"""),3)</f>
        <v>3</v>
      </c>
      <c r="AH19" s="27"/>
      <c r="AI19" s="27">
        <f ca="1">IFERROR(__xludf.DUMMYFUNCTION("""COMPUTED_VALUE"""),100)</f>
        <v>100</v>
      </c>
      <c r="AJ19" s="27" t="str">
        <f ca="1">IFERROR(__xludf.DUMMYFUNCTION("""COMPUTED_VALUE"""),"Sim")</f>
        <v>Sim</v>
      </c>
      <c r="AK19" s="27"/>
      <c r="AL19" s="21" t="str">
        <f ca="1">IFERROR(__xludf.DUMMYFUNCTION("""COMPUTED_VALUE"""),"0034X0000380O5p")</f>
        <v>0034X0000380O5p</v>
      </c>
      <c r="AM19" s="27" t="str">
        <f ca="1">IFERROR(__xludf.DUMMYFUNCTION("""COMPUTED_VALUE"""),"Joseilda ferreira de brito")</f>
        <v>Joseilda ferreira de brito</v>
      </c>
      <c r="AN19" s="27" t="str">
        <f ca="1">IFERROR(__xludf.DUMMYFUNCTION("""COMPUTED_VALUE"""),"Ativo")</f>
        <v>Ativo</v>
      </c>
      <c r="AO19" s="29">
        <f ca="1">IFERROR(__xludf.DUMMYFUNCTION("""COMPUTED_VALUE"""),44763)</f>
        <v>44763</v>
      </c>
      <c r="AP19" s="27">
        <f ca="1">IFERROR(__xludf.DUMMYFUNCTION("""COMPUTED_VALUE"""),2)</f>
        <v>2</v>
      </c>
      <c r="AQ19" s="27" t="str">
        <f ca="1">IFERROR(__xludf.DUMMYFUNCTION("""COMPUTED_VALUE"""),"Primeiro Semestre 2022")</f>
        <v>Primeiro Semestre 2022</v>
      </c>
      <c r="AR19" s="27" t="str">
        <f ca="1">IFERROR(__xludf.DUMMYFUNCTION("""COMPUTED_VALUE"""),"anajogba@yahoo.com.br")</f>
        <v>anajogba@yahoo.com.br</v>
      </c>
      <c r="AS19" s="27">
        <f ca="1">IFERROR(__xludf.DUMMYFUNCTION("""COMPUTED_VALUE"""),83988567721)</f>
        <v>83988567721</v>
      </c>
      <c r="AT19" s="29">
        <f ca="1">IFERROR(__xludf.DUMMYFUNCTION("""COMPUTED_VALUE"""),26302)</f>
        <v>26302</v>
      </c>
      <c r="AU19" s="27">
        <f ca="1">IFERROR(__xludf.DUMMYFUNCTION("""COMPUTED_VALUE"""),50)</f>
        <v>50</v>
      </c>
      <c r="AV19" s="27">
        <f ca="1">IFERROR(__xludf.DUMMYFUNCTION("""COMPUTED_VALUE"""),2959652401)</f>
        <v>2959652401</v>
      </c>
      <c r="AW19" s="27">
        <f ca="1">IFERROR(__xludf.DUMMYFUNCTION("""COMPUTED_VALUE"""),2234843)</f>
        <v>2234843</v>
      </c>
      <c r="AX19" s="27"/>
      <c r="AY19" s="27"/>
      <c r="AZ19" s="27" t="str">
        <f ca="1">IFERROR(__xludf.DUMMYFUNCTION("""COMPUTED_VALUE"""),"M")</f>
        <v>M</v>
      </c>
      <c r="BA19" s="27" t="str">
        <f ca="1">IFERROR(__xludf.DUMMYFUNCTION("""COMPUTED_VALUE"""),"Parda")</f>
        <v>Parda</v>
      </c>
      <c r="BB19" s="27"/>
      <c r="BC19" s="27"/>
      <c r="BD19" s="27" t="str">
        <f ca="1">IFERROR(__xludf.DUMMYFUNCTION("""COMPUTED_VALUE"""),"Moro na cidade de Guarabira *amo viajar *sou muito de ouvir e aprender *amo minha família*tenho dois filhos *um neto e estou no projeto ensinando e aprendendo a cada dia")</f>
        <v>Moro na cidade de Guarabira *amo viajar *sou muito de ouvir e aprender *amo minha família*tenho dois filhos *um neto e estou no projeto ensinando e aprendendo a cada dia</v>
      </c>
      <c r="BE19" s="27" t="str">
        <f ca="1">IFERROR(__xludf.DUMMYFUNCTION("""COMPUTED_VALUE"""),"Feminino")</f>
        <v>Feminino</v>
      </c>
      <c r="BF19" s="27" t="str">
        <f ca="1">IFERROR(__xludf.DUMMYFUNCTION("""COMPUTED_VALUE"""),"Heterossexual")</f>
        <v>Heterossexual</v>
      </c>
      <c r="BG19" s="27"/>
      <c r="BH19" s="27" t="str">
        <f ca="1">IFERROR(__xludf.DUMMYFUNCTION("""COMPUTED_VALUE"""),"Público")</f>
        <v>Público</v>
      </c>
      <c r="BI19" s="27"/>
      <c r="BJ19" s="27"/>
      <c r="BK19" s="27" t="str">
        <f ca="1">IFERROR(__xludf.DUMMYFUNCTION("""COMPUTED_VALUE"""),"Professor joåo epifanio da costa")</f>
        <v>Professor joåo epifanio da costa</v>
      </c>
      <c r="BL19" s="27">
        <f ca="1">IFERROR(__xludf.DUMMYFUNCTION("""COMPUTED_VALUE"""),29)</f>
        <v>29</v>
      </c>
      <c r="BM19" s="27"/>
      <c r="BN19" s="27"/>
      <c r="BO19" s="27" t="str">
        <f ca="1">IFERROR(__xludf.DUMMYFUNCTION("""COMPUTED_VALUE"""),"58200-000")</f>
        <v>58200-000</v>
      </c>
      <c r="BP19" s="27" t="str">
        <f ca="1">IFERROR(__xludf.DUMMYFUNCTION("""COMPUTED_VALUE"""),"PB")</f>
        <v>PB</v>
      </c>
      <c r="BQ19" s="27" t="str">
        <f ca="1">IFERROR(__xludf.DUMMYFUNCTION("""COMPUTED_VALUE"""),"Entre 1 até 3 salários mínimos")</f>
        <v>Entre 1 até 3 salários mínimos</v>
      </c>
      <c r="BR19" s="27" t="str">
        <f ca="1">IFERROR(__xludf.DUMMYFUNCTION("""COMPUTED_VALUE"""),"Trabalho informal")</f>
        <v>Trabalho informal</v>
      </c>
      <c r="BS19" s="27" t="str">
        <f ca="1">IFERROR(__xludf.DUMMYFUNCTION("""COMPUTED_VALUE"""),"Casa própria")</f>
        <v>Casa própria</v>
      </c>
      <c r="BT19" s="27">
        <f ca="1">IFERROR(__xludf.DUMMYFUNCTION("""COMPUTED_VALUE"""),2)</f>
        <v>2</v>
      </c>
      <c r="BU19" s="27" t="str">
        <f ca="1">IFERROR(__xludf.DUMMYFUNCTION("""COMPUTED_VALUE"""),"Não tem")</f>
        <v>Não tem</v>
      </c>
      <c r="BV19" s="27" t="str">
        <f ca="1">IFERROR(__xludf.DUMMYFUNCTION("""COMPUTED_VALUE"""),"Sim")</f>
        <v>Sim</v>
      </c>
      <c r="BW19" s="27"/>
      <c r="BX19" s="27"/>
      <c r="BY19" s="21" t="str">
        <f ca="1">IFERROR(__xludf.DUMMYFUNCTION("""COMPUTED_VALUE"""),"https://drive.google.com/open?id=1rHserEXsnAhabtHdjOhaKZk33WgqOblD")</f>
        <v>https://drive.google.com/open?id=1rHserEXsnAhabtHdjOhaKZk33WgqOblD</v>
      </c>
    </row>
    <row r="20" spans="1:77" ht="12.5" hidden="1" x14ac:dyDescent="0.25">
      <c r="A20" s="21" t="str">
        <f ca="1">IFERROR(__xludf.DUMMYFUNCTION("""COMPUTED_VALUE"""),"0014P00003AN76yQAD")</f>
        <v>0014P00003AN76yQAD</v>
      </c>
      <c r="B20" s="27" t="str">
        <f ca="1">IFERROR(__xludf.DUMMYFUNCTION("""COMPUTED_VALUE"""),"Fase Inicial")</f>
        <v>Fase Inicial</v>
      </c>
      <c r="C20" s="27" t="str">
        <f ca="1">IFERROR(__xludf.DUMMYFUNCTION("""COMPUTED_VALUE"""),"Acelerada")</f>
        <v>Acelerada</v>
      </c>
      <c r="D20" s="27" t="str">
        <f ca="1">IFERROR(__xludf.DUMMYFUNCTION("""COMPUTED_VALUE"""),"Ativo")</f>
        <v>Ativo</v>
      </c>
      <c r="E20" s="27" t="str">
        <f ca="1">IFERROR(__xludf.DUMMYFUNCTION("""COMPUTED_VALUE"""),"ASSOCIACAO APRENDER CULTURA")</f>
        <v>ASSOCIACAO APRENDER CULTURA</v>
      </c>
      <c r="F20" s="27" t="str">
        <f ca="1">IFERROR(__xludf.DUMMYFUNCTION("""COMPUTED_VALUE"""),"Miquéias")</f>
        <v>Miquéias</v>
      </c>
      <c r="G20" s="27" t="str">
        <f ca="1">IFERROR(__xludf.DUMMYFUNCTION("""COMPUTED_VALUE"""),"ASSOCIACAO APRENDER CULTURA")</f>
        <v>ASSOCIACAO APRENDER CULTURA</v>
      </c>
      <c r="H20" s="27" t="str">
        <f ca="1">IFERROR(__xludf.DUMMYFUNCTION("""COMPUTED_VALUE"""),"41.273.288/0001-55")</f>
        <v>41.273.288/0001-55</v>
      </c>
      <c r="I20" s="27"/>
      <c r="J20" s="27"/>
      <c r="K20" s="27" t="str">
        <f ca="1">IFERROR(__xludf.DUMMYFUNCTION("""COMPUTED_VALUE"""),"(27)99617-6245")</f>
        <v>(27)99617-6245</v>
      </c>
      <c r="L20" s="27" t="str">
        <f ca="1">IFERROR(__xludf.DUMMYFUNCTION("""COMPUTED_VALUE"""),"ES")</f>
        <v>ES</v>
      </c>
      <c r="M20" s="27" t="str">
        <f ca="1">IFERROR(__xludf.DUMMYFUNCTION("""COMPUTED_VALUE"""),"Av. Nossa Senhora da Penha")</f>
        <v>Av. Nossa Senhora da Penha</v>
      </c>
      <c r="N20" s="27"/>
      <c r="O20" s="27" t="str">
        <f ca="1">IFERROR(__xludf.DUMMYFUNCTION("""COMPUTED_VALUE"""),"(27)99617-6245")</f>
        <v>(27)99617-6245</v>
      </c>
      <c r="P20" s="27" t="str">
        <f ca="1">IFERROR(__xludf.DUMMYFUNCTION("""COMPUTED_VALUE"""),"Cariacica")</f>
        <v>Cariacica</v>
      </c>
      <c r="Q20" s="27"/>
      <c r="R20" s="27" t="str">
        <f ca="1">IFERROR(__xludf.DUMMYFUNCTION("""COMPUTED_VALUE"""),"29152-571")</f>
        <v>29152-571</v>
      </c>
      <c r="S20" s="27"/>
      <c r="T20" s="27" t="str">
        <f ca="1">IFERROR(__xludf.DUMMYFUNCTION("""COMPUTED_VALUE"""),"Educação; Cultura")</f>
        <v>Educação; Cultura</v>
      </c>
      <c r="U20" s="27" t="str">
        <f ca="1">IFERROR(__xludf.DUMMYFUNCTION("""COMPUTED_VALUE"""),"Crianças (6 a 12 anos); Adolescentes (12 aos 18 anos); Jovens (18 aos 24 anos)")</f>
        <v>Crianças (6 a 12 anos); Adolescentes (12 aos 18 anos); Jovens (18 aos 24 anos)</v>
      </c>
      <c r="V20" s="27" t="str">
        <f ca="1">IFERROR(__xludf.DUMMYFUNCTION("""COMPUTED_VALUE"""),"Moradores de Favelas")</f>
        <v>Moradores de Favelas</v>
      </c>
      <c r="W20" s="27">
        <f ca="1">IFERROR(__xludf.DUMMYFUNCTION("""COMPUTED_VALUE"""),10)</f>
        <v>10</v>
      </c>
      <c r="X20" s="27"/>
      <c r="Y20" s="27"/>
      <c r="Z20" s="27"/>
      <c r="AA20" s="29">
        <f ca="1">IFERROR(__xludf.DUMMYFUNCTION("""COMPUTED_VALUE"""),41251)</f>
        <v>41251</v>
      </c>
      <c r="AB20" s="27" t="str">
        <f ca="1">IFERROR(__xludf.DUMMYFUNCTION("""COMPUTED_VALUE"""),"Sim")</f>
        <v>Sim</v>
      </c>
      <c r="AC20" s="27">
        <f ca="1">IFERROR(__xludf.DUMMYFUNCTION("""COMPUTED_VALUE"""),6)</f>
        <v>6</v>
      </c>
      <c r="AD20" s="27">
        <f ca="1">IFERROR(__xludf.DUMMYFUNCTION("""COMPUTED_VALUE"""),6)</f>
        <v>6</v>
      </c>
      <c r="AE20" s="27">
        <f ca="1">IFERROR(__xludf.DUMMYFUNCTION("""COMPUTED_VALUE"""),2)</f>
        <v>2</v>
      </c>
      <c r="AF20" s="27">
        <f ca="1">IFERROR(__xludf.DUMMYFUNCTION("""COMPUTED_VALUE"""),5)</f>
        <v>5</v>
      </c>
      <c r="AG20" s="27">
        <f ca="1">IFERROR(__xludf.DUMMYFUNCTION("""COMPUTED_VALUE"""),2)</f>
        <v>2</v>
      </c>
      <c r="AH20" s="27" t="str">
        <f ca="1">IFERROR(__xludf.DUMMYFUNCTION("""COMPUTED_VALUE"""),"Negócio Social; Doações")</f>
        <v>Negócio Social; Doações</v>
      </c>
      <c r="AI20" s="27" t="str">
        <f ca="1">IFERROR(__xludf.DUMMYFUNCTION("""COMPUTED_VALUE"""),"Editais 20% ; Doação online 30% ; Projetos com empresas 50%")</f>
        <v>Editais 20% ; Doação online 30% ; Projetos com empresas 50%</v>
      </c>
      <c r="AJ20" s="27" t="str">
        <f ca="1">IFERROR(__xludf.DUMMYFUNCTION("""COMPUTED_VALUE"""),"Não")</f>
        <v>Não</v>
      </c>
      <c r="AK20" s="27" t="str">
        <f ca="1">IFERROR(__xludf.DUMMYFUNCTION("""COMPUTED_VALUE"""),"Não")</f>
        <v>Não</v>
      </c>
      <c r="AL20" s="21" t="str">
        <f ca="1">IFERROR(__xludf.DUMMYFUNCTION("""COMPUTED_VALUE"""),"0034P00003maBVR")</f>
        <v>0034P00003maBVR</v>
      </c>
      <c r="AM20" s="27" t="str">
        <f ca="1">IFERROR(__xludf.DUMMYFUNCTION("""COMPUTED_VALUE"""),"Gonçalves Silva")</f>
        <v>Gonçalves Silva</v>
      </c>
      <c r="AN20" s="27" t="str">
        <f ca="1">IFERROR(__xludf.DUMMYFUNCTION("""COMPUTED_VALUE"""),"Ativo")</f>
        <v>Ativo</v>
      </c>
      <c r="AO20" s="29">
        <f ca="1">IFERROR(__xludf.DUMMYFUNCTION("""COMPUTED_VALUE"""),44233)</f>
        <v>44233</v>
      </c>
      <c r="AP20" s="27">
        <f ca="1">IFERROR(__xludf.DUMMYFUNCTION("""COMPUTED_VALUE"""),19)</f>
        <v>19</v>
      </c>
      <c r="AQ20" s="27" t="str">
        <f ca="1">IFERROR(__xludf.DUMMYFUNCTION("""COMPUTED_VALUE"""),"Segundo Semestre 2020")</f>
        <v>Segundo Semestre 2020</v>
      </c>
      <c r="AR20" s="27" t="str">
        <f ca="1">IFERROR(__xludf.DUMMYFUNCTION("""COMPUTED_VALUE"""),"miqartes@gmail.com")</f>
        <v>miqartes@gmail.com</v>
      </c>
      <c r="AS20" s="27" t="str">
        <f ca="1">IFERROR(__xludf.DUMMYFUNCTION("""COMPUTED_VALUE"""),"(27)99617-6245")</f>
        <v>(27)99617-6245</v>
      </c>
      <c r="AT20" s="29">
        <f ca="1">IFERROR(__xludf.DUMMYFUNCTION("""COMPUTED_VALUE"""),32688)</f>
        <v>32688</v>
      </c>
      <c r="AU20" s="27">
        <f ca="1">IFERROR(__xludf.DUMMYFUNCTION("""COMPUTED_VALUE"""),33)</f>
        <v>33</v>
      </c>
      <c r="AV20" s="27">
        <f ca="1">IFERROR(__xludf.DUMMYFUNCTION("""COMPUTED_VALUE"""),11776586743)</f>
        <v>11776586743</v>
      </c>
      <c r="AW20" s="27">
        <f ca="1">IFERROR(__xludf.DUMMYFUNCTION("""COMPUTED_VALUE"""),1972800)</f>
        <v>1972800</v>
      </c>
      <c r="AX20" s="27" t="str">
        <f ca="1">IFERROR(__xludf.DUMMYFUNCTION("""COMPUTED_VALUE"""),"Não aplicável.")</f>
        <v>Não aplicável.</v>
      </c>
      <c r="AY20" s="27" t="str">
        <f ca="1">IFERROR(__xludf.DUMMYFUNCTION("""COMPUTED_VALUE"""),"Produção cultural e artística (PJ)")</f>
        <v>Produção cultural e artística (PJ)</v>
      </c>
      <c r="AZ20" s="27" t="str">
        <f ca="1">IFERROR(__xludf.DUMMYFUNCTION("""COMPUTED_VALUE"""),"G")</f>
        <v>G</v>
      </c>
      <c r="BA20" s="27"/>
      <c r="BB20" s="27"/>
      <c r="BC20" s="27" t="str">
        <f ca="1">IFERROR(__xludf.DUMMYFUNCTION("""COMPUTED_VALUE"""),"Não")</f>
        <v>Não</v>
      </c>
      <c r="BD20" s="27" t="str">
        <f ca="1">IFERROR(__xludf.DUMMYFUNCTION("""COMPUTED_VALUE"""),"Conhecido como ""MiQ"", 32 anos, baiano, pai, 9 anos de experiência no mercado cultural e social, artista visual, músico, empreendedor social pela Falcon 's University, diretor fundador
Instituto Aprender Cultura - IAC e Grupo Act Brasil.
Indicado ao prêm"&amp;"io Pretxs Empreendedores ES 2020
Líder fellow da Rede Gerando Falcões")</f>
        <v>Conhecido como "MiQ", 32 anos, baiano, pai, 9 anos de experiência no mercado cultural e social, artista visual, músico, empreendedor social pela Falcon 's University, diretor fundador
Instituto Aprender Cultura - IAC e Grupo Act Brasil.
Indicado ao prêmio Pretxs Empreendedores ES 2020
Líder fellow da Rede Gerando Falcões</v>
      </c>
      <c r="BE20" s="27"/>
      <c r="BF20" s="27"/>
      <c r="BG20" s="27" t="str">
        <f ca="1">IFERROR(__xludf.DUMMYFUNCTION("""COMPUTED_VALUE"""),"Ensino Médio - Completo")</f>
        <v>Ensino Médio - Completo</v>
      </c>
      <c r="BH20" s="27"/>
      <c r="BI20" s="27"/>
      <c r="BJ20" s="27"/>
      <c r="BK20" s="27" t="str">
        <f ca="1">IFERROR(__xludf.DUMMYFUNCTION("""COMPUTED_VALUE"""),"Getúlio Vargas")</f>
        <v>Getúlio Vargas</v>
      </c>
      <c r="BL20" s="27">
        <f ca="1">IFERROR(__xludf.DUMMYFUNCTION("""COMPUTED_VALUE"""),97)</f>
        <v>97</v>
      </c>
      <c r="BM20" s="27" t="str">
        <f ca="1">IFERROR(__xludf.DUMMYFUNCTION("""COMPUTED_VALUE"""),"Apto 101")</f>
        <v>Apto 101</v>
      </c>
      <c r="BN20" s="27" t="str">
        <f ca="1">IFERROR(__xludf.DUMMYFUNCTION("""COMPUTED_VALUE"""),"Cariacica")</f>
        <v>Cariacica</v>
      </c>
      <c r="BO20" s="27" t="str">
        <f ca="1">IFERROR(__xludf.DUMMYFUNCTION("""COMPUTED_VALUE"""),"29146-200")</f>
        <v>29146-200</v>
      </c>
      <c r="BP20" s="27" t="str">
        <f ca="1">IFERROR(__xludf.DUMMYFUNCTION("""COMPUTED_VALUE"""),"ES")</f>
        <v>ES</v>
      </c>
      <c r="BQ20" s="27" t="str">
        <f ca="1">IFERROR(__xludf.DUMMYFUNCTION("""COMPUTED_VALUE"""),"Entre 1 até 3 salários mínimos")</f>
        <v>Entre 1 até 3 salários mínimos</v>
      </c>
      <c r="BR20" s="27" t="str">
        <f ca="1">IFERROR(__xludf.DUMMYFUNCTION("""COMPUTED_VALUE"""),"MEI; Trabalho informal")</f>
        <v>MEI; Trabalho informal</v>
      </c>
      <c r="BS20" s="27" t="str">
        <f ca="1">IFERROR(__xludf.DUMMYFUNCTION("""COMPUTED_VALUE"""),"Aluguel")</f>
        <v>Aluguel</v>
      </c>
      <c r="BT20" s="27">
        <f ca="1">IFERROR(__xludf.DUMMYFUNCTION("""COMPUTED_VALUE"""),3)</f>
        <v>3</v>
      </c>
      <c r="BU20" s="27"/>
      <c r="BV20" s="27"/>
      <c r="BW20" s="27" t="str">
        <f ca="1">IFERROR(__xludf.DUMMYFUNCTION("""COMPUTED_VALUE"""),"https://www.linkedin.com/in/miqgonçalves/")</f>
        <v>https://www.linkedin.com/in/miqgonçalves/</v>
      </c>
      <c r="BX20" s="21" t="str">
        <f ca="1">IFERROR(__xludf.DUMMYFUNCTION("""COMPUTED_VALUE"""),"https://www.instagram.com/miqiac/")</f>
        <v>https://www.instagram.com/miqiac/</v>
      </c>
      <c r="BY20" s="21" t="str">
        <f ca="1">IFERROR(__xludf.DUMMYFUNCTION("""COMPUTED_VALUE"""),"https://drive.google.com/open?id=1DaVXQ2ZlBNvwQllm5oTv-_0QHlRR0xRn")</f>
        <v>https://drive.google.com/open?id=1DaVXQ2ZlBNvwQllm5oTv-_0QHlRR0xRn</v>
      </c>
    </row>
    <row r="21" spans="1:77" ht="12.5" hidden="1" x14ac:dyDescent="0.25">
      <c r="A21" s="21" t="str">
        <f ca="1">IFERROR(__xludf.DUMMYFUNCTION("""COMPUTED_VALUE"""),"0014P00003YSp8rQAD")</f>
        <v>0014P00003YSp8rQAD</v>
      </c>
      <c r="B21" s="27" t="str">
        <f ca="1">IFERROR(__xludf.DUMMYFUNCTION("""COMPUTED_VALUE"""),"Fase Inicial")</f>
        <v>Fase Inicial</v>
      </c>
      <c r="C21" s="27" t="str">
        <f ca="1">IFERROR(__xludf.DUMMYFUNCTION("""COMPUTED_VALUE"""),"Fellow")</f>
        <v>Fellow</v>
      </c>
      <c r="D21" s="27" t="str">
        <f ca="1">IFERROR(__xludf.DUMMYFUNCTION("""COMPUTED_VALUE"""),"Ativo")</f>
        <v>Ativo</v>
      </c>
      <c r="E21" s="27" t="str">
        <f ca="1">IFERROR(__xludf.DUMMYFUNCTION("""COMPUTED_VALUE"""),"Associação Arte de Amar")</f>
        <v>Associação Arte de Amar</v>
      </c>
      <c r="F21" s="27" t="str">
        <f ca="1">IFERROR(__xludf.DUMMYFUNCTION("""COMPUTED_VALUE"""),"Danielle")</f>
        <v>Danielle</v>
      </c>
      <c r="G21" s="27" t="str">
        <f ca="1">IFERROR(__xludf.DUMMYFUNCTION("""COMPUTED_VALUE"""),"PROJETO FILHOS CAMPINAS")</f>
        <v>PROJETO FILHOS CAMPINAS</v>
      </c>
      <c r="H21" s="27" t="str">
        <f ca="1">IFERROR(__xludf.DUMMYFUNCTION("""COMPUTED_VALUE"""),"34.783.311/0001-96")</f>
        <v>34.783.311/0001-96</v>
      </c>
      <c r="I21" s="27" t="str">
        <f ca="1">IFERROR(__xludf.DUMMYFUNCTION("""COMPUTED_VALUE"""),"Danielle Ferreira Costa Theodoro")</f>
        <v>Danielle Ferreira Costa Theodoro</v>
      </c>
      <c r="J21" s="27" t="str">
        <f ca="1">IFERROR(__xludf.DUMMYFUNCTION("""COMPUTED_VALUE"""),"projetofilhoscampinas@gmail.com")</f>
        <v>projetofilhoscampinas@gmail.com</v>
      </c>
      <c r="K21" s="27" t="str">
        <f ca="1">IFERROR(__xludf.DUMMYFUNCTION("""COMPUTED_VALUE"""),"(19)99331-8097")</f>
        <v>(19)99331-8097</v>
      </c>
      <c r="L21" s="27" t="str">
        <f ca="1">IFERROR(__xludf.DUMMYFUNCTION("""COMPUTED_VALUE"""),"SP")</f>
        <v>SP</v>
      </c>
      <c r="M21" s="27" t="str">
        <f ca="1">IFERROR(__xludf.DUMMYFUNCTION("""COMPUTED_VALUE"""),"Rua Presidente Bernardes,30")</f>
        <v>Rua Presidente Bernardes,30</v>
      </c>
      <c r="N21" s="27" t="str">
        <f ca="1">IFERROR(__xludf.DUMMYFUNCTION("""COMPUTED_VALUE"""),"Jardim Flamboyant")</f>
        <v>Jardim Flamboyant</v>
      </c>
      <c r="O21" s="27">
        <f ca="1">IFERROR(__xludf.DUMMYFUNCTION("""COMPUTED_VALUE"""),98)</f>
        <v>98</v>
      </c>
      <c r="P21" s="27" t="str">
        <f ca="1">IFERROR(__xludf.DUMMYFUNCTION("""COMPUTED_VALUE"""),"Campinas")</f>
        <v>Campinas</v>
      </c>
      <c r="Q21" s="27" t="str">
        <f ca="1">IFERROR(__xludf.DUMMYFUNCTION("""COMPUTED_VALUE"""),"casa 01")</f>
        <v>casa 01</v>
      </c>
      <c r="R21" s="27" t="str">
        <f ca="1">IFERROR(__xludf.DUMMYFUNCTION("""COMPUTED_VALUE"""),"13091-161")</f>
        <v>13091-161</v>
      </c>
      <c r="S21" s="27"/>
      <c r="T21" s="27" t="str">
        <f ca="1">IFERROR(__xludf.DUMMYFUNCTION("""COMPUTED_VALUE"""),"Esporte; Educação; Empregabilidade; Cultura; Empreendedorismo; Negócios Sociais; Defesa de Direitos")</f>
        <v>Esporte; Educação; Empregabilidade; Cultura; Empreendedorismo; Negócios Sociais; Defesa de Direitos</v>
      </c>
      <c r="U21" s="27" t="str">
        <f ca="1">IFERROR(__xludf.DUMMYFUNCTION("""COMPUTED_VALUE"""),"Crianças (6 a 12 anos); Adolescentes (12 aos 18 anos); Adultos")</f>
        <v>Crianças (6 a 12 anos); Adolescentes (12 aos 18 anos); Adultos</v>
      </c>
      <c r="V21" s="27" t="str">
        <f ca="1">IFERROR(__xludf.DUMMYFUNCTION("""COMPUTED_VALUE"""),"Moradores de Favelas; Afrodescendentes")</f>
        <v>Moradores de Favelas; Afrodescendentes</v>
      </c>
      <c r="W21" s="27">
        <f ca="1">IFERROR(__xludf.DUMMYFUNCTION("""COMPUTED_VALUE"""),150)</f>
        <v>150</v>
      </c>
      <c r="X21" s="27"/>
      <c r="Y21" s="27"/>
      <c r="Z21" s="27">
        <f ca="1">IFERROR(__xludf.DUMMYFUNCTION("""COMPUTED_VALUE"""),500)</f>
        <v>500</v>
      </c>
      <c r="AA21" s="29">
        <f ca="1">IFERROR(__xludf.DUMMYFUNCTION("""COMPUTED_VALUE"""),42652)</f>
        <v>42652</v>
      </c>
      <c r="AB21" s="27" t="str">
        <f ca="1">IFERROR(__xludf.DUMMYFUNCTION("""COMPUTED_VALUE"""),"Sim")</f>
        <v>Sim</v>
      </c>
      <c r="AC21" s="27">
        <f ca="1">IFERROR(__xludf.DUMMYFUNCTION("""COMPUTED_VALUE"""),2)</f>
        <v>2</v>
      </c>
      <c r="AD21" s="27">
        <f ca="1">IFERROR(__xludf.DUMMYFUNCTION("""COMPUTED_VALUE"""),2)</f>
        <v>2</v>
      </c>
      <c r="AE21" s="27">
        <f ca="1">IFERROR(__xludf.DUMMYFUNCTION("""COMPUTED_VALUE"""),20)</f>
        <v>20</v>
      </c>
      <c r="AF21" s="27">
        <f ca="1">IFERROR(__xludf.DUMMYFUNCTION("""COMPUTED_VALUE"""),20)</f>
        <v>20</v>
      </c>
      <c r="AG21" s="27">
        <f ca="1">IFERROR(__xludf.DUMMYFUNCTION("""COMPUTED_VALUE"""),4)</f>
        <v>4</v>
      </c>
      <c r="AH21" s="27" t="str">
        <f ca="1">IFERROR(__xludf.DUMMYFUNCTION("""COMPUTED_VALUE"""),"Eventos/Ações para captação; Editais; Doações")</f>
        <v>Eventos/Ações para captação; Editais; Doações</v>
      </c>
      <c r="AI21" s="27" t="str">
        <f ca="1">IFERROR(__xludf.DUMMYFUNCTION("""COMPUTED_VALUE"""),"Não")</f>
        <v>Não</v>
      </c>
      <c r="AJ21" s="27"/>
      <c r="AK21" s="27"/>
      <c r="AL21" s="21" t="str">
        <f ca="1">IFERROR(__xludf.DUMMYFUNCTION("""COMPUTED_VALUE"""),"0034P000045kxjT")</f>
        <v>0034P000045kxjT</v>
      </c>
      <c r="AM21" s="27" t="str">
        <f ca="1">IFERROR(__xludf.DUMMYFUNCTION("""COMPUTED_VALUE"""),"Ferreira Costa Theodoro")</f>
        <v>Ferreira Costa Theodoro</v>
      </c>
      <c r="AN21" s="27" t="str">
        <f ca="1">IFERROR(__xludf.DUMMYFUNCTION("""COMPUTED_VALUE"""),"Ativo")</f>
        <v>Ativo</v>
      </c>
      <c r="AO21" s="30">
        <f ca="1">IFERROR(__xludf.DUMMYFUNCTION("""COMPUTED_VALUE"""),44551)</f>
        <v>44551</v>
      </c>
      <c r="AP21" s="27">
        <f ca="1">IFERROR(__xludf.DUMMYFUNCTION("""COMPUTED_VALUE"""),9)</f>
        <v>9</v>
      </c>
      <c r="AQ21" s="27" t="str">
        <f ca="1">IFERROR(__xludf.DUMMYFUNCTION("""COMPUTED_VALUE"""),"Segundo Semestre 2021")</f>
        <v>Segundo Semestre 2021</v>
      </c>
      <c r="AR21" s="27" t="str">
        <f ca="1">IFERROR(__xludf.DUMMYFUNCTION("""COMPUTED_VALUE"""),"fcs.dani@gmail.com")</f>
        <v>fcs.dani@gmail.com</v>
      </c>
      <c r="AS21" s="27" t="str">
        <f ca="1">IFERROR(__xludf.DUMMYFUNCTION("""COMPUTED_VALUE"""),"(19)99331-8097")</f>
        <v>(19)99331-8097</v>
      </c>
      <c r="AT21" s="29">
        <f ca="1">IFERROR(__xludf.DUMMYFUNCTION("""COMPUTED_VALUE"""),33862)</f>
        <v>33862</v>
      </c>
      <c r="AU21" s="27">
        <f ca="1">IFERROR(__xludf.DUMMYFUNCTION("""COMPUTED_VALUE"""),30)</f>
        <v>30</v>
      </c>
      <c r="AV21" s="27">
        <f ca="1">IFERROR(__xludf.DUMMYFUNCTION("""COMPUTED_VALUE"""),40530686813)</f>
        <v>40530686813</v>
      </c>
      <c r="AW21" s="27" t="str">
        <f ca="1">IFERROR(__xludf.DUMMYFUNCTION("""COMPUTED_VALUE"""),"49527797-6")</f>
        <v>49527797-6</v>
      </c>
      <c r="AX21" s="27"/>
      <c r="AY21" s="27"/>
      <c r="AZ21" s="27" t="str">
        <f ca="1">IFERROR(__xludf.DUMMYFUNCTION("""COMPUTED_VALUE"""),"P")</f>
        <v>P</v>
      </c>
      <c r="BA21" s="27" t="str">
        <f ca="1">IFERROR(__xludf.DUMMYFUNCTION("""COMPUTED_VALUE"""),"Parda")</f>
        <v>Parda</v>
      </c>
      <c r="BB21" s="27" t="str">
        <f ca="1">IFERROR(__xludf.DUMMYFUNCTION("""COMPUTED_VALUE"""),"Mulher, cisgênero")</f>
        <v>Mulher, cisgênero</v>
      </c>
      <c r="BC21" s="27" t="str">
        <f ca="1">IFERROR(__xludf.DUMMYFUNCTION("""COMPUTED_VALUE"""),"Sim")</f>
        <v>Sim</v>
      </c>
      <c r="BD21" s="27" t="str">
        <f ca="1">IFERROR(__xludf.DUMMYFUNCTION("""COMPUTED_VALUE"""),"Meu nome é Danielle, sou filha da Dulce e do Edvaldo, esposa do Vinicius, líder e fundadora do Projeto Filhos Campinas, formada em Ciências Contábeis na PUC Campinas. Amo ajudar as pessoas e contribuir para o seu sucesso.")</f>
        <v>Meu nome é Danielle, sou filha da Dulce e do Edvaldo, esposa do Vinicius, líder e fundadora do Projeto Filhos Campinas, formada em Ciências Contábeis na PUC Campinas. Amo ajudar as pessoas e contribuir para o seu sucesso.</v>
      </c>
      <c r="BE21" s="27"/>
      <c r="BF21" s="27" t="str">
        <f ca="1">IFERROR(__xludf.DUMMYFUNCTION("""COMPUTED_VALUE"""),"Heterossexual")</f>
        <v>Heterossexual</v>
      </c>
      <c r="BG21" s="27" t="str">
        <f ca="1">IFERROR(__xludf.DUMMYFUNCTION("""COMPUTED_VALUE"""),"Ensino Superior - Completo")</f>
        <v>Ensino Superior - Completo</v>
      </c>
      <c r="BH21" s="27" t="str">
        <f ca="1">IFERROR(__xludf.DUMMYFUNCTION("""COMPUTED_VALUE"""),"Público")</f>
        <v>Público</v>
      </c>
      <c r="BI21" s="27" t="str">
        <f ca="1">IFERROR(__xludf.DUMMYFUNCTION("""COMPUTED_VALUE"""),"Graduação")</f>
        <v>Graduação</v>
      </c>
      <c r="BJ21" s="27" t="str">
        <f ca="1">IFERROR(__xludf.DUMMYFUNCTION("""COMPUTED_VALUE"""),"Privado")</f>
        <v>Privado</v>
      </c>
      <c r="BK21" s="27" t="str">
        <f ca="1">IFERROR(__xludf.DUMMYFUNCTION("""COMPUTED_VALUE"""),"Edilson Scareli Junior")</f>
        <v>Edilson Scareli Junior</v>
      </c>
      <c r="BL21" s="27">
        <f ca="1">IFERROR(__xludf.DUMMYFUNCTION("""COMPUTED_VALUE"""),98)</f>
        <v>98</v>
      </c>
      <c r="BM21" s="27" t="str">
        <f ca="1">IFERROR(__xludf.DUMMYFUNCTION("""COMPUTED_VALUE"""),"Casa 1")</f>
        <v>Casa 1</v>
      </c>
      <c r="BN21" s="27" t="str">
        <f ca="1">IFERROR(__xludf.DUMMYFUNCTION("""COMPUTED_VALUE"""),"Campinas")</f>
        <v>Campinas</v>
      </c>
      <c r="BO21" s="27" t="str">
        <f ca="1">IFERROR(__xludf.DUMMYFUNCTION("""COMPUTED_VALUE"""),"13091-208")</f>
        <v>13091-208</v>
      </c>
      <c r="BP21" s="27" t="str">
        <f ca="1">IFERROR(__xludf.DUMMYFUNCTION("""COMPUTED_VALUE"""),"SP")</f>
        <v>SP</v>
      </c>
      <c r="BQ21" s="27" t="str">
        <f ca="1">IFERROR(__xludf.DUMMYFUNCTION("""COMPUTED_VALUE"""),"De 3 até 5 salários mínimos")</f>
        <v>De 3 até 5 salários mínimos</v>
      </c>
      <c r="BR21" s="27" t="str">
        <f ca="1">IFERROR(__xludf.DUMMYFUNCTION("""COMPUTED_VALUE"""),"MEI")</f>
        <v>MEI</v>
      </c>
      <c r="BS21" s="27" t="str">
        <f ca="1">IFERROR(__xludf.DUMMYFUNCTION("""COMPUTED_VALUE"""),"Aluguel")</f>
        <v>Aluguel</v>
      </c>
      <c r="BT21" s="27">
        <f ca="1">IFERROR(__xludf.DUMMYFUNCTION("""COMPUTED_VALUE"""),2)</f>
        <v>2</v>
      </c>
      <c r="BU21" s="27" t="str">
        <f ca="1">IFERROR(__xludf.DUMMYFUNCTION("""COMPUTED_VALUE"""),"Não tem")</f>
        <v>Não tem</v>
      </c>
      <c r="BV21" s="27"/>
      <c r="BW21" s="27" t="str">
        <f ca="1">IFERROR(__xludf.DUMMYFUNCTION("""COMPUTED_VALUE"""),"Nao tenho")</f>
        <v>Nao tenho</v>
      </c>
      <c r="BX21" s="21" t="str">
        <f ca="1">IFERROR(__xludf.DUMMYFUNCTION("""COMPUTED_VALUE"""),"https://www.instagram.com/daniellecft")</f>
        <v>https://www.instagram.com/daniellecft</v>
      </c>
      <c r="BY21" s="21" t="str">
        <f ca="1">IFERROR(__xludf.DUMMYFUNCTION("""COMPUTED_VALUE"""),"https://drive.google.com/open?id=1iPrd19Im6yCS6AHpCTiYkgistjLG-B3y")</f>
        <v>https://drive.google.com/open?id=1iPrd19Im6yCS6AHpCTiYkgistjLG-B3y</v>
      </c>
    </row>
    <row r="22" spans="1:77" ht="12.5" hidden="1" x14ac:dyDescent="0.25">
      <c r="A22" s="21" t="str">
        <f ca="1">IFERROR(__xludf.DUMMYFUNCTION("""COMPUTED_VALUE"""),"0014P00003YSp9aQAD")</f>
        <v>0014P00003YSp9aQAD</v>
      </c>
      <c r="B22" s="27" t="str">
        <f ca="1">IFERROR(__xludf.DUMMYFUNCTION("""COMPUTED_VALUE"""),"Fase Inicial")</f>
        <v>Fase Inicial</v>
      </c>
      <c r="C22" s="27" t="str">
        <f ca="1">IFERROR(__xludf.DUMMYFUNCTION("""COMPUTED_VALUE"""),"Fellow")</f>
        <v>Fellow</v>
      </c>
      <c r="D22" s="27" t="str">
        <f ca="1">IFERROR(__xludf.DUMMYFUNCTION("""COMPUTED_VALUE"""),"Ativo")</f>
        <v>Ativo</v>
      </c>
      <c r="E22" s="27" t="str">
        <f ca="1">IFERROR(__xludf.DUMMYFUNCTION("""COMPUTED_VALUE"""),"ASSOCIAÇÃO BENEFICEENTE ANJOS DE OURO")</f>
        <v>ASSOCIAÇÃO BENEFICEENTE ANJOS DE OURO</v>
      </c>
      <c r="F22" s="27" t="str">
        <f ca="1">IFERROR(__xludf.DUMMYFUNCTION("""COMPUTED_VALUE"""),"Patrícia")</f>
        <v>Patrícia</v>
      </c>
      <c r="G22" s="27"/>
      <c r="H22" s="27" t="str">
        <f ca="1">IFERROR(__xludf.DUMMYFUNCTION("""COMPUTED_VALUE"""),"22.227.741/0001-42")</f>
        <v>22.227.741/0001-42</v>
      </c>
      <c r="I22" s="27" t="str">
        <f ca="1">IFERROR(__xludf.DUMMYFUNCTION("""COMPUTED_VALUE"""),"Patrícia Cavalcante Curcino de Eça")</f>
        <v>Patrícia Cavalcante Curcino de Eça</v>
      </c>
      <c r="J22" s="27" t="str">
        <f ca="1">IFERROR(__xludf.DUMMYFUNCTION("""COMPUTED_VALUE"""),"associacaobenefanjosdeouro@yahoo.com")</f>
        <v>associacaobenefanjosdeouro@yahoo.com</v>
      </c>
      <c r="K22" s="27" t="str">
        <f ca="1">IFERROR(__xludf.DUMMYFUNCTION("""COMPUTED_VALUE"""),"(11)98501-0632")</f>
        <v>(11)98501-0632</v>
      </c>
      <c r="L22" s="27" t="str">
        <f ca="1">IFERROR(__xludf.DUMMYFUNCTION("""COMPUTED_VALUE"""),"SP")</f>
        <v>SP</v>
      </c>
      <c r="M22" s="27" t="str">
        <f ca="1">IFERROR(__xludf.DUMMYFUNCTION("""COMPUTED_VALUE"""),"Rua simone martini")</f>
        <v>Rua simone martini</v>
      </c>
      <c r="N22" s="27" t="str">
        <f ca="1">IFERROR(__xludf.DUMMYFUNCTION("""COMPUTED_VALUE"""),"Vila Santa Margarida")</f>
        <v>Vila Santa Margarida</v>
      </c>
      <c r="O22" s="27">
        <f ca="1">IFERROR(__xludf.DUMMYFUNCTION("""COMPUTED_VALUE"""),55)</f>
        <v>55</v>
      </c>
      <c r="P22" s="27" t="str">
        <f ca="1">IFERROR(__xludf.DUMMYFUNCTION("""COMPUTED_VALUE"""),"São Paulo")</f>
        <v>São Paulo</v>
      </c>
      <c r="Q22" s="27"/>
      <c r="R22" s="27" t="str">
        <f ca="1">IFERROR(__xludf.DUMMYFUNCTION("""COMPUTED_VALUE"""),"03573-170")</f>
        <v>03573-170</v>
      </c>
      <c r="S22" s="27"/>
      <c r="T22" s="27" t="str">
        <f ca="1">IFERROR(__xludf.DUMMYFUNCTION("""COMPUTED_VALUE"""),"Esporte; Educação; Empregabilidade; Assistência Social; Cultura; Qualificação Profissional; Empreendedorismo; Desenvolvimento comunitário")</f>
        <v>Esporte; Educação; Empregabilidade; Assistência Social; Cultura; Qualificação Profissional; Empreendedorismo; Desenvolvimento comunitário</v>
      </c>
      <c r="U22"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22" s="27" t="str">
        <f ca="1">IFERROR(__xludf.DUMMYFUNCTION("""COMPUTED_VALUE"""),"Moradores de Favelas")</f>
        <v>Moradores de Favelas</v>
      </c>
      <c r="W22" s="27">
        <f ca="1">IFERROR(__xludf.DUMMYFUNCTION("""COMPUTED_VALUE"""),3)</f>
        <v>3</v>
      </c>
      <c r="X22" s="27" t="str">
        <f ca="1">IFERROR(__xludf.DUMMYFUNCTION("""COMPUTED_VALUE"""),"Mães Solos")</f>
        <v>Mães Solos</v>
      </c>
      <c r="Y22" s="27"/>
      <c r="Z22" s="27">
        <f ca="1">IFERROR(__xludf.DUMMYFUNCTION("""COMPUTED_VALUE"""),300)</f>
        <v>300</v>
      </c>
      <c r="AA22" s="29">
        <f ca="1">IFERROR(__xludf.DUMMYFUNCTION("""COMPUTED_VALUE"""),42058)</f>
        <v>42058</v>
      </c>
      <c r="AB22" s="27" t="str">
        <f ca="1">IFERROR(__xludf.DUMMYFUNCTION("""COMPUTED_VALUE"""),"Sim")</f>
        <v>Sim</v>
      </c>
      <c r="AC22" s="27">
        <f ca="1">IFERROR(__xludf.DUMMYFUNCTION("""COMPUTED_VALUE"""),0)</f>
        <v>0</v>
      </c>
      <c r="AD22" s="27">
        <f ca="1">IFERROR(__xludf.DUMMYFUNCTION("""COMPUTED_VALUE"""),0)</f>
        <v>0</v>
      </c>
      <c r="AE22" s="27">
        <f ca="1">IFERROR(__xludf.DUMMYFUNCTION("""COMPUTED_VALUE"""),4)</f>
        <v>4</v>
      </c>
      <c r="AF22" s="27">
        <f ca="1">IFERROR(__xludf.DUMMYFUNCTION("""COMPUTED_VALUE"""),1)</f>
        <v>1</v>
      </c>
      <c r="AG22" s="27">
        <f ca="1">IFERROR(__xludf.DUMMYFUNCTION("""COMPUTED_VALUE"""),2)</f>
        <v>2</v>
      </c>
      <c r="AH22" s="27" t="str">
        <f ca="1">IFERROR(__xludf.DUMMYFUNCTION("""COMPUTED_VALUE"""),"Eventos/Ações para captação; Doações; Recursos próprios")</f>
        <v>Eventos/Ações para captação; Doações; Recursos próprios</v>
      </c>
      <c r="AI22" s="27" t="str">
        <f ca="1">IFERROR(__xludf.DUMMYFUNCTION("""COMPUTED_VALUE"""),"100 recursos proprios")</f>
        <v>100 recursos proprios</v>
      </c>
      <c r="AJ22" s="27"/>
      <c r="AK22" s="27"/>
      <c r="AL22" s="21" t="str">
        <f ca="1">IFERROR(__xludf.DUMMYFUNCTION("""COMPUTED_VALUE"""),"0034P000045kxkC")</f>
        <v>0034P000045kxkC</v>
      </c>
      <c r="AM22" s="27" t="str">
        <f ca="1">IFERROR(__xludf.DUMMYFUNCTION("""COMPUTED_VALUE"""),"Cavalcante Curcino De")</f>
        <v>Cavalcante Curcino De</v>
      </c>
      <c r="AN22" s="27" t="str">
        <f ca="1">IFERROR(__xludf.DUMMYFUNCTION("""COMPUTED_VALUE"""),"Ativo")</f>
        <v>Ativo</v>
      </c>
      <c r="AO22" s="30">
        <f ca="1">IFERROR(__xludf.DUMMYFUNCTION("""COMPUTED_VALUE"""),44551)</f>
        <v>44551</v>
      </c>
      <c r="AP22" s="27">
        <f ca="1">IFERROR(__xludf.DUMMYFUNCTION("""COMPUTED_VALUE"""),9)</f>
        <v>9</v>
      </c>
      <c r="AQ22" s="27" t="str">
        <f ca="1">IFERROR(__xludf.DUMMYFUNCTION("""COMPUTED_VALUE"""),"Segundo Semestre 2021")</f>
        <v>Segundo Semestre 2021</v>
      </c>
      <c r="AR22" s="27" t="str">
        <f ca="1">IFERROR(__xludf.DUMMYFUNCTION("""COMPUTED_VALUE"""),"paty.cavalcante@yahoo.com.br")</f>
        <v>paty.cavalcante@yahoo.com.br</v>
      </c>
      <c r="AS22" s="27" t="str">
        <f ca="1">IFERROR(__xludf.DUMMYFUNCTION("""COMPUTED_VALUE"""),"(11)98501-0632")</f>
        <v>(11)98501-0632</v>
      </c>
      <c r="AT22" s="29">
        <f ca="1">IFERROR(__xludf.DUMMYFUNCTION("""COMPUTED_VALUE"""),30381)</f>
        <v>30381</v>
      </c>
      <c r="AU22" s="27">
        <f ca="1">IFERROR(__xludf.DUMMYFUNCTION("""COMPUTED_VALUE"""),39)</f>
        <v>39</v>
      </c>
      <c r="AV22" s="27">
        <f ca="1">IFERROR(__xludf.DUMMYFUNCTION("""COMPUTED_VALUE"""),31307933807)</f>
        <v>31307933807</v>
      </c>
      <c r="AW22" s="27">
        <f ca="1">IFERROR(__xludf.DUMMYFUNCTION("""COMPUTED_VALUE"""),420267657)</f>
        <v>420267657</v>
      </c>
      <c r="AX22" s="27"/>
      <c r="AY22" s="27"/>
      <c r="AZ22" s="27" t="str">
        <f ca="1">IFERROR(__xludf.DUMMYFUNCTION("""COMPUTED_VALUE"""),"M")</f>
        <v>M</v>
      </c>
      <c r="BA22" s="27" t="str">
        <f ca="1">IFERROR(__xludf.DUMMYFUNCTION("""COMPUTED_VALUE"""),"Branca")</f>
        <v>Branca</v>
      </c>
      <c r="BB22" s="27" t="str">
        <f ca="1">IFERROR(__xludf.DUMMYFUNCTION("""COMPUTED_VALUE"""),"Mulher, cisgênero")</f>
        <v>Mulher, cisgênero</v>
      </c>
      <c r="BC22" s="27" t="str">
        <f ca="1">IFERROR(__xludf.DUMMYFUNCTION("""COMPUTED_VALUE"""),"Não")</f>
        <v>Não</v>
      </c>
      <c r="BD22" s="27" t="str">
        <f ca="1">IFERROR(__xludf.DUMMYFUNCTION("""COMPUTED_VALUE"""),"Pedagoga, líder e empreendedora social, sempre em busca de melhores oportunidades e resultados de impacto nas vidas das pessoas")</f>
        <v>Pedagoga, líder e empreendedora social, sempre em busca de melhores oportunidades e resultados de impacto nas vidas das pessoas</v>
      </c>
      <c r="BE22" s="27"/>
      <c r="BF22" s="27" t="str">
        <f ca="1">IFERROR(__xludf.DUMMYFUNCTION("""COMPUTED_VALUE"""),"Heterossexual")</f>
        <v>Heterossexual</v>
      </c>
      <c r="BG22" s="27" t="str">
        <f ca="1">IFERROR(__xludf.DUMMYFUNCTION("""COMPUTED_VALUE"""),"Ensino Superior - Completo")</f>
        <v>Ensino Superior - Completo</v>
      </c>
      <c r="BH22" s="27" t="str">
        <f ca="1">IFERROR(__xludf.DUMMYFUNCTION("""COMPUTED_VALUE"""),"Privado")</f>
        <v>Privado</v>
      </c>
      <c r="BI22" s="27" t="str">
        <f ca="1">IFERROR(__xludf.DUMMYFUNCTION("""COMPUTED_VALUE"""),"Graduação")</f>
        <v>Graduação</v>
      </c>
      <c r="BJ22" s="27" t="str">
        <f ca="1">IFERROR(__xludf.DUMMYFUNCTION("""COMPUTED_VALUE"""),"Privado")</f>
        <v>Privado</v>
      </c>
      <c r="BK22" s="27" t="str">
        <f ca="1">IFERROR(__xludf.DUMMYFUNCTION("""COMPUTED_VALUE"""),"Rua luiz novaes")</f>
        <v>Rua luiz novaes</v>
      </c>
      <c r="BL22" s="27">
        <f ca="1">IFERROR(__xludf.DUMMYFUNCTION("""COMPUTED_VALUE"""),55)</f>
        <v>55</v>
      </c>
      <c r="BM22" s="27"/>
      <c r="BN22" s="27" t="str">
        <f ca="1">IFERROR(__xludf.DUMMYFUNCTION("""COMPUTED_VALUE"""),"Sao paulo")</f>
        <v>Sao paulo</v>
      </c>
      <c r="BO22" s="27" t="str">
        <f ca="1">IFERROR(__xludf.DUMMYFUNCTION("""COMPUTED_VALUE"""),"08543-190")</f>
        <v>08543-190</v>
      </c>
      <c r="BP22" s="27" t="str">
        <f ca="1">IFERROR(__xludf.DUMMYFUNCTION("""COMPUTED_VALUE"""),"SP")</f>
        <v>SP</v>
      </c>
      <c r="BQ22" s="27" t="str">
        <f ca="1">IFERROR(__xludf.DUMMYFUNCTION("""COMPUTED_VALUE"""),"Entre 1 até 3 salários mínimos")</f>
        <v>Entre 1 até 3 salários mínimos</v>
      </c>
      <c r="BR22" s="27" t="str">
        <f ca="1">IFERROR(__xludf.DUMMYFUNCTION("""COMPUTED_VALUE"""),"Trabalho informal")</f>
        <v>Trabalho informal</v>
      </c>
      <c r="BS22" s="27" t="str">
        <f ca="1">IFERROR(__xludf.DUMMYFUNCTION("""COMPUTED_VALUE"""),"Aluguel")</f>
        <v>Aluguel</v>
      </c>
      <c r="BT22" s="27">
        <f ca="1">IFERROR(__xludf.DUMMYFUNCTION("""COMPUTED_VALUE"""),4)</f>
        <v>4</v>
      </c>
      <c r="BU22" s="27" t="str">
        <f ca="1">IFERROR(__xludf.DUMMYFUNCTION("""COMPUTED_VALUE"""),"Não tem")</f>
        <v>Não tem</v>
      </c>
      <c r="BV22" s="27"/>
      <c r="BW22" s="27"/>
      <c r="BX22" s="21" t="str">
        <f ca="1">IFERROR(__xludf.DUMMYFUNCTION("""COMPUTED_VALUE"""),"https://www.instagram.com/associacaobenefanjosdeouro/")</f>
        <v>https://www.instagram.com/associacaobenefanjosdeouro/</v>
      </c>
      <c r="BY22" s="21" t="str">
        <f ca="1">IFERROR(__xludf.DUMMYFUNCTION("""COMPUTED_VALUE"""),"https://drive.google.com/open?id=11zzJToPXQ-cUXL1YCLigTvgbPzkWwDrz")</f>
        <v>https://drive.google.com/open?id=11zzJToPXQ-cUXL1YCLigTvgbPzkWwDrz</v>
      </c>
    </row>
    <row r="23" spans="1:77" ht="12.5" hidden="1" x14ac:dyDescent="0.25">
      <c r="A23" s="21" t="str">
        <f ca="1">IFERROR(__xludf.DUMMYFUNCTION("""COMPUTED_VALUE"""),"0014X00002VKCv2QAH")</f>
        <v>0014X00002VKCv2QAH</v>
      </c>
      <c r="B23" s="27" t="str">
        <f ca="1">IFERROR(__xludf.DUMMYFUNCTION("""COMPUTED_VALUE"""),"Fase Inicial")</f>
        <v>Fase Inicial</v>
      </c>
      <c r="C23" s="27" t="str">
        <f ca="1">IFERROR(__xludf.DUMMYFUNCTION("""COMPUTED_VALUE"""),"Fellow")</f>
        <v>Fellow</v>
      </c>
      <c r="D23" s="27" t="str">
        <f ca="1">IFERROR(__xludf.DUMMYFUNCTION("""COMPUTED_VALUE"""),"Ativo")</f>
        <v>Ativo</v>
      </c>
      <c r="E23" s="27" t="str">
        <f ca="1">IFERROR(__xludf.DUMMYFUNCTION("""COMPUTED_VALUE"""),"ASSOCIAÇÃO BENEFICENTE AÇÃO E AMOR")</f>
        <v>ASSOCIAÇÃO BENEFICENTE AÇÃO E AMOR</v>
      </c>
      <c r="F23" s="27" t="str">
        <f ca="1">IFERROR(__xludf.DUMMYFUNCTION("""COMPUTED_VALUE"""),"Ozeias")</f>
        <v>Ozeias</v>
      </c>
      <c r="G23" s="27" t="str">
        <f ca="1">IFERROR(__xludf.DUMMYFUNCTION("""COMPUTED_VALUE"""),"ABAA")</f>
        <v>ABAA</v>
      </c>
      <c r="H23" s="27" t="str">
        <f ca="1">IFERROR(__xludf.DUMMYFUNCTION("""COMPUTED_VALUE"""),"04.635.311/0001-88")</f>
        <v>04.635.311/0001-88</v>
      </c>
      <c r="I23" s="27" t="str">
        <f ca="1">IFERROR(__xludf.DUMMYFUNCTION("""COMPUTED_VALUE"""),"Ozeias Paes de Lira")</f>
        <v>Ozeias Paes de Lira</v>
      </c>
      <c r="J23" s="27" t="str">
        <f ca="1">IFERROR(__xludf.DUMMYFUNCTION("""COMPUTED_VALUE"""),"abaa.contato@gmail.com")</f>
        <v>abaa.contato@gmail.com</v>
      </c>
      <c r="K23" s="27" t="str">
        <f ca="1">IFERROR(__xludf.DUMMYFUNCTION("""COMPUTED_VALUE"""),"(11)94121-1831")</f>
        <v>(11)94121-1831</v>
      </c>
      <c r="L23" s="27" t="str">
        <f ca="1">IFERROR(__xludf.DUMMYFUNCTION("""COMPUTED_VALUE"""),"SP")</f>
        <v>SP</v>
      </c>
      <c r="M23" s="27" t="str">
        <f ca="1">IFERROR(__xludf.DUMMYFUNCTION("""COMPUTED_VALUE"""),"Rua Professor Silvio Marcondes Machado")</f>
        <v>Rua Professor Silvio Marcondes Machado</v>
      </c>
      <c r="N23" s="27" t="str">
        <f ca="1">IFERROR(__xludf.DUMMYFUNCTION("""COMPUTED_VALUE"""),"Jardim Santa Cruz")</f>
        <v>Jardim Santa Cruz</v>
      </c>
      <c r="O23" s="27">
        <f ca="1">IFERROR(__xludf.DUMMYFUNCTION("""COMPUTED_VALUE"""),191)</f>
        <v>191</v>
      </c>
      <c r="P23" s="27" t="str">
        <f ca="1">IFERROR(__xludf.DUMMYFUNCTION("""COMPUTED_VALUE"""),"São Paulo")</f>
        <v>São Paulo</v>
      </c>
      <c r="Q23" s="27"/>
      <c r="R23" s="27" t="str">
        <f ca="1">IFERROR(__xludf.DUMMYFUNCTION("""COMPUTED_VALUE"""),"02674-040")</f>
        <v>02674-040</v>
      </c>
      <c r="S23" s="27"/>
      <c r="T23" s="27" t="str">
        <f ca="1">IFERROR(__xludf.DUMMYFUNCTION("""COMPUTED_VALUE"""),"Assistência Social")</f>
        <v>Assistência Social</v>
      </c>
      <c r="U23"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23" s="27" t="str">
        <f ca="1">IFERROR(__xludf.DUMMYFUNCTION("""COMPUTED_VALUE"""),"Moradores de Favelas, Pessoas em situação de rua")</f>
        <v>Moradores de Favelas, Pessoas em situação de rua</v>
      </c>
      <c r="W23" s="27">
        <f ca="1">IFERROR(__xludf.DUMMYFUNCTION("""COMPUTED_VALUE"""),0)</f>
        <v>0</v>
      </c>
      <c r="X23" s="27"/>
      <c r="Y23" s="27"/>
      <c r="Z23" s="27">
        <f ca="1">IFERROR(__xludf.DUMMYFUNCTION("""COMPUTED_VALUE"""),1300)</f>
        <v>1300</v>
      </c>
      <c r="AA23" s="29">
        <f ca="1">IFERROR(__xludf.DUMMYFUNCTION("""COMPUTED_VALUE"""),42395)</f>
        <v>42395</v>
      </c>
      <c r="AB23" s="27" t="str">
        <f ca="1">IFERROR(__xludf.DUMMYFUNCTION("""COMPUTED_VALUE"""),"Sim")</f>
        <v>Sim</v>
      </c>
      <c r="AC23" s="27">
        <f ca="1">IFERROR(__xludf.DUMMYFUNCTION("""COMPUTED_VALUE"""),5)</f>
        <v>5</v>
      </c>
      <c r="AD23" s="27">
        <f ca="1">IFERROR(__xludf.DUMMYFUNCTION("""COMPUTED_VALUE"""),0)</f>
        <v>0</v>
      </c>
      <c r="AE23" s="27">
        <f ca="1">IFERROR(__xludf.DUMMYFUNCTION("""COMPUTED_VALUE"""),1)</f>
        <v>1</v>
      </c>
      <c r="AF23" s="27">
        <f ca="1">IFERROR(__xludf.DUMMYFUNCTION("""COMPUTED_VALUE"""),1)</f>
        <v>1</v>
      </c>
      <c r="AG23" s="27">
        <f ca="1">IFERROR(__xludf.DUMMYFUNCTION("""COMPUTED_VALUE"""),3)</f>
        <v>3</v>
      </c>
      <c r="AH23" s="27" t="str">
        <f ca="1">IFERROR(__xludf.DUMMYFUNCTION("""COMPUTED_VALUE"""),"Plataforma doação online - Pessoa Física, Doações, Recursos próprios")</f>
        <v>Plataforma doação online - Pessoa Física, Doações, Recursos próprios</v>
      </c>
      <c r="AI23" s="27">
        <f ca="1">IFERROR(__xludf.DUMMYFUNCTION("""COMPUTED_VALUE"""),0)</f>
        <v>0</v>
      </c>
      <c r="AJ23" s="27" t="str">
        <f ca="1">IFERROR(__xludf.DUMMYFUNCTION("""COMPUTED_VALUE"""),"Vamos iniciar esse ano")</f>
        <v>Vamos iniciar esse ano</v>
      </c>
      <c r="AK23" s="27"/>
      <c r="AL23" s="21" t="str">
        <f ca="1">IFERROR(__xludf.DUMMYFUNCTION("""COMPUTED_VALUE"""),"0034X0000380O5k")</f>
        <v>0034X0000380O5k</v>
      </c>
      <c r="AM23" s="27" t="str">
        <f ca="1">IFERROR(__xludf.DUMMYFUNCTION("""COMPUTED_VALUE"""),"Paes de lira")</f>
        <v>Paes de lira</v>
      </c>
      <c r="AN23" s="27" t="str">
        <f ca="1">IFERROR(__xludf.DUMMYFUNCTION("""COMPUTED_VALUE"""),"Ativo")</f>
        <v>Ativo</v>
      </c>
      <c r="AO23" s="29">
        <f ca="1">IFERROR(__xludf.DUMMYFUNCTION("""COMPUTED_VALUE"""),44763)</f>
        <v>44763</v>
      </c>
      <c r="AP23" s="27">
        <f ca="1">IFERROR(__xludf.DUMMYFUNCTION("""COMPUTED_VALUE"""),2)</f>
        <v>2</v>
      </c>
      <c r="AQ23" s="27" t="str">
        <f ca="1">IFERROR(__xludf.DUMMYFUNCTION("""COMPUTED_VALUE"""),"Primeiro Semestre 2022")</f>
        <v>Primeiro Semestre 2022</v>
      </c>
      <c r="AR23" s="27" t="str">
        <f ca="1">IFERROR(__xludf.DUMMYFUNCTION("""COMPUTED_VALUE"""),"abaa.contato@gmail.com")</f>
        <v>abaa.contato@gmail.com</v>
      </c>
      <c r="AS23" s="27" t="str">
        <f ca="1">IFERROR(__xludf.DUMMYFUNCTION("""COMPUTED_VALUE"""),"(11)94798-4721")</f>
        <v>(11)94798-4721</v>
      </c>
      <c r="AT23" s="29">
        <f ca="1">IFERROR(__xludf.DUMMYFUNCTION("""COMPUTED_VALUE"""),25472)</f>
        <v>25472</v>
      </c>
      <c r="AU23" s="27">
        <f ca="1">IFERROR(__xludf.DUMMYFUNCTION("""COMPUTED_VALUE"""),53)</f>
        <v>53</v>
      </c>
      <c r="AV23" s="27">
        <f ca="1">IFERROR(__xludf.DUMMYFUNCTION("""COMPUTED_VALUE"""),12972564847)</f>
        <v>12972564847</v>
      </c>
      <c r="AW23" s="27">
        <f ca="1">IFERROR(__xludf.DUMMYFUNCTION("""COMPUTED_VALUE"""),183861553)</f>
        <v>183861553</v>
      </c>
      <c r="AX23" s="27"/>
      <c r="AY23" s="27" t="str">
        <f ca="1">IFERROR(__xludf.DUMMYFUNCTION("""COMPUTED_VALUE"""),"Presidente")</f>
        <v>Presidente</v>
      </c>
      <c r="AZ23" s="27" t="str">
        <f ca="1">IFERROR(__xludf.DUMMYFUNCTION("""COMPUTED_VALUE"""),"G1")</f>
        <v>G1</v>
      </c>
      <c r="BA23" s="27" t="str">
        <f ca="1">IFERROR(__xludf.DUMMYFUNCTION("""COMPUTED_VALUE"""),"Parda")</f>
        <v>Parda</v>
      </c>
      <c r="BB23" s="27"/>
      <c r="BC23" s="27"/>
      <c r="BD23" s="27" t="str">
        <f ca="1">IFERROR(__xludf.DUMMYFUNCTION("""COMPUTED_VALUE"""),"trabalhar em pró a comunidade com excelência")</f>
        <v>trabalhar em pró a comunidade com excelência</v>
      </c>
      <c r="BE23" s="27" t="str">
        <f ca="1">IFERROR(__xludf.DUMMYFUNCTION("""COMPUTED_VALUE"""),"Outro(s)")</f>
        <v>Outro(s)</v>
      </c>
      <c r="BF23" s="27" t="str">
        <f ca="1">IFERROR(__xludf.DUMMYFUNCTION("""COMPUTED_VALUE"""),"Heterossexual")</f>
        <v>Heterossexual</v>
      </c>
      <c r="BG23" s="27" t="str">
        <f ca="1">IFERROR(__xludf.DUMMYFUNCTION("""COMPUTED_VALUE"""),"Ensino Superior - Incompleto")</f>
        <v>Ensino Superior - Incompleto</v>
      </c>
      <c r="BH23" s="27" t="str">
        <f ca="1">IFERROR(__xludf.DUMMYFUNCTION("""COMPUTED_VALUE"""),"Público")</f>
        <v>Público</v>
      </c>
      <c r="BI23" s="27" t="str">
        <f ca="1">IFERROR(__xludf.DUMMYFUNCTION("""COMPUTED_VALUE"""),"Graduação")</f>
        <v>Graduação</v>
      </c>
      <c r="BJ23" s="27" t="str">
        <f ca="1">IFERROR(__xludf.DUMMYFUNCTION("""COMPUTED_VALUE"""),"Privado")</f>
        <v>Privado</v>
      </c>
      <c r="BK23" s="27" t="str">
        <f ca="1">IFERROR(__xludf.DUMMYFUNCTION("""COMPUTED_VALUE"""),"Rua Professor Silvio Marcondes Machado")</f>
        <v>Rua Professor Silvio Marcondes Machado</v>
      </c>
      <c r="BL23" s="27">
        <f ca="1">IFERROR(__xludf.DUMMYFUNCTION("""COMPUTED_VALUE"""),191)</f>
        <v>191</v>
      </c>
      <c r="BM23" s="27"/>
      <c r="BN23" s="27" t="str">
        <f ca="1">IFERROR(__xludf.DUMMYFUNCTION("""COMPUTED_VALUE"""),"São Paulo")</f>
        <v>São Paulo</v>
      </c>
      <c r="BO23" s="27" t="str">
        <f ca="1">IFERROR(__xludf.DUMMYFUNCTION("""COMPUTED_VALUE"""),"02674-040")</f>
        <v>02674-040</v>
      </c>
      <c r="BP23" s="27" t="str">
        <f ca="1">IFERROR(__xludf.DUMMYFUNCTION("""COMPUTED_VALUE"""),"SP")</f>
        <v>SP</v>
      </c>
      <c r="BQ23" s="27" t="str">
        <f ca="1">IFERROR(__xludf.DUMMYFUNCTION("""COMPUTED_VALUE"""),"De 3 até 5 salários mínimos")</f>
        <v>De 3 até 5 salários mínimos</v>
      </c>
      <c r="BR23" s="27" t="str">
        <f ca="1">IFERROR(__xludf.DUMMYFUNCTION("""COMPUTED_VALUE"""),"CLT")</f>
        <v>CLT</v>
      </c>
      <c r="BS23" s="27" t="str">
        <f ca="1">IFERROR(__xludf.DUMMYFUNCTION("""COMPUTED_VALUE"""),"Casa própria")</f>
        <v>Casa própria</v>
      </c>
      <c r="BT23" s="27">
        <f ca="1">IFERROR(__xludf.DUMMYFUNCTION("""COMPUTED_VALUE"""),3)</f>
        <v>3</v>
      </c>
      <c r="BU23" s="27" t="str">
        <f ca="1">IFERROR(__xludf.DUMMYFUNCTION("""COMPUTED_VALUE"""),"Não tem")</f>
        <v>Não tem</v>
      </c>
      <c r="BV23" s="27" t="str">
        <f ca="1">IFERROR(__xludf.DUMMYFUNCTION("""COMPUTED_VALUE"""),"Não")</f>
        <v>Não</v>
      </c>
      <c r="BW23" s="27"/>
      <c r="BX23" s="27" t="str">
        <f ca="1">IFERROR(__xludf.DUMMYFUNCTION("""COMPUTED_VALUE"""),"@abaa.servicosocial")</f>
        <v>@abaa.servicosocial</v>
      </c>
      <c r="BY23" s="21" t="str">
        <f ca="1">IFERROR(__xludf.DUMMYFUNCTION("""COMPUTED_VALUE"""),"https://drive.google.com/open?id=1hg-hD2uUbXq64sKLniFoZ_8gEszACpl9")</f>
        <v>https://drive.google.com/open?id=1hg-hD2uUbXq64sKLniFoZ_8gEszACpl9</v>
      </c>
    </row>
    <row r="24" spans="1:77" ht="12.5" hidden="1" x14ac:dyDescent="0.25">
      <c r="A24" s="21" t="str">
        <f ca="1">IFERROR(__xludf.DUMMYFUNCTION("""COMPUTED_VALUE"""),"0014P00003SGWQGQA5")</f>
        <v>0014P00003SGWQGQA5</v>
      </c>
      <c r="B24" s="27" t="str">
        <f ca="1">IFERROR(__xludf.DUMMYFUNCTION("""COMPUTED_VALUE"""),"Fase Inicial")</f>
        <v>Fase Inicial</v>
      </c>
      <c r="C24" s="27" t="str">
        <f ca="1">IFERROR(__xludf.DUMMYFUNCTION("""COMPUTED_VALUE"""),"Fellow")</f>
        <v>Fellow</v>
      </c>
      <c r="D24" s="27" t="str">
        <f ca="1">IFERROR(__xludf.DUMMYFUNCTION("""COMPUTED_VALUE"""),"Ativo")</f>
        <v>Ativo</v>
      </c>
      <c r="E24" s="27" t="str">
        <f ca="1">IFERROR(__xludf.DUMMYFUNCTION("""COMPUTED_VALUE"""),"ASSOCIAÇÃO BENEFICENTE AMIGAS SOLIDÁRIAS")</f>
        <v>ASSOCIAÇÃO BENEFICENTE AMIGAS SOLIDÁRIAS</v>
      </c>
      <c r="F24" s="27" t="str">
        <f ca="1">IFERROR(__xludf.DUMMYFUNCTION("""COMPUTED_VALUE"""),"Silvana")</f>
        <v>Silvana</v>
      </c>
      <c r="G24" s="27" t="str">
        <f ca="1">IFERROR(__xludf.DUMMYFUNCTION("""COMPUTED_VALUE"""),"AMIGAS SOLIDÁRIAS")</f>
        <v>AMIGAS SOLIDÁRIAS</v>
      </c>
      <c r="H24" s="27" t="str">
        <f ca="1">IFERROR(__xludf.DUMMYFUNCTION("""COMPUTED_VALUE"""),"27.965.035/0001-11")</f>
        <v>27.965.035/0001-11</v>
      </c>
      <c r="I24" s="27" t="str">
        <f ca="1">IFERROR(__xludf.DUMMYFUNCTION("""COMPUTED_VALUE"""),"Silvana Alves De França Mansanari")</f>
        <v>Silvana Alves De França Mansanari</v>
      </c>
      <c r="J24" s="27" t="str">
        <f ca="1">IFERROR(__xludf.DUMMYFUNCTION("""COMPUTED_VALUE"""),"associacaoamigassolidarias@gmail.com")</f>
        <v>associacaoamigassolidarias@gmail.com</v>
      </c>
      <c r="K24" s="27" t="str">
        <f ca="1">IFERROR(__xludf.DUMMYFUNCTION("""COMPUTED_VALUE"""),"(11)96560-6533")</f>
        <v>(11)96560-6533</v>
      </c>
      <c r="L24" s="27" t="str">
        <f ca="1">IFERROR(__xludf.DUMMYFUNCTION("""COMPUTED_VALUE"""),"SP")</f>
        <v>SP</v>
      </c>
      <c r="M24" s="27" t="str">
        <f ca="1">IFERROR(__xludf.DUMMYFUNCTION("""COMPUTED_VALUE"""),"Rua: Cacique")</f>
        <v>Rua: Cacique</v>
      </c>
      <c r="N24" s="27" t="str">
        <f ca="1">IFERROR(__xludf.DUMMYFUNCTION("""COMPUTED_VALUE"""),"Parada XV de Novembro")</f>
        <v>Parada XV de Novembro</v>
      </c>
      <c r="O24" s="27" t="str">
        <f ca="1">IFERROR(__xludf.DUMMYFUNCTION("""COMPUTED_VALUE"""),"(11)96560-6533")</f>
        <v>(11)96560-6533</v>
      </c>
      <c r="P24" s="27" t="str">
        <f ca="1">IFERROR(__xludf.DUMMYFUNCTION("""COMPUTED_VALUE"""),"São Paulo")</f>
        <v>São Paulo</v>
      </c>
      <c r="Q24" s="27"/>
      <c r="R24" s="27" t="str">
        <f ca="1">IFERROR(__xludf.DUMMYFUNCTION("""COMPUTED_VALUE"""),"08247-010")</f>
        <v>08247-010</v>
      </c>
      <c r="S24" s="27"/>
      <c r="T24" s="27" t="str">
        <f ca="1">IFERROR(__xludf.DUMMYFUNCTION("""COMPUTED_VALUE"""),"Esporte; Educação; Assistência Social; Qualificação Profissional; Saúde; Empoderamento Feminino; Desenvolvimento comunitário")</f>
        <v>Esporte; Educação; Assistência Social; Qualificação Profissional; Saúde; Empoderamento Feminino; Desenvolvimento comunitário</v>
      </c>
      <c r="U24" s="27" t="str">
        <f ca="1">IFERROR(__xludf.DUMMYFUNCTION("""COMPUTED_VALUE"""),"Crianças (6 a 12 anos); Jovens (18 aos 24 anos); Adultos")</f>
        <v>Crianças (6 a 12 anos); Jovens (18 aos 24 anos); Adultos</v>
      </c>
      <c r="V24" s="27" t="str">
        <f ca="1">IFERROR(__xludf.DUMMYFUNCTION("""COMPUTED_VALUE"""),"Moradores de Favelas; Pessoas em situação de rua; Afrodescendentes")</f>
        <v>Moradores de Favelas; Pessoas em situação de rua; Afrodescendentes</v>
      </c>
      <c r="W24" s="27">
        <f ca="1">IFERROR(__xludf.DUMMYFUNCTION("""COMPUTED_VALUE"""),4)</f>
        <v>4</v>
      </c>
      <c r="X24" s="27"/>
      <c r="Y24" s="27">
        <f ca="1">IFERROR(__xludf.DUMMYFUNCTION("""COMPUTED_VALUE"""),420)</f>
        <v>420</v>
      </c>
      <c r="Z24" s="27">
        <f ca="1">IFERROR(__xludf.DUMMYFUNCTION("""COMPUTED_VALUE"""),2225)</f>
        <v>2225</v>
      </c>
      <c r="AA24" s="29">
        <f ca="1">IFERROR(__xludf.DUMMYFUNCTION("""COMPUTED_VALUE"""),42807)</f>
        <v>42807</v>
      </c>
      <c r="AB24" s="27" t="str">
        <f ca="1">IFERROR(__xludf.DUMMYFUNCTION("""COMPUTED_VALUE"""),"Sim")</f>
        <v>Sim</v>
      </c>
      <c r="AC24" s="27">
        <f ca="1">IFERROR(__xludf.DUMMYFUNCTION("""COMPUTED_VALUE"""),7)</f>
        <v>7</v>
      </c>
      <c r="AD24" s="27">
        <f ca="1">IFERROR(__xludf.DUMMYFUNCTION("""COMPUTED_VALUE"""),3)</f>
        <v>3</v>
      </c>
      <c r="AE24" s="27">
        <f ca="1">IFERROR(__xludf.DUMMYFUNCTION("""COMPUTED_VALUE"""),10)</f>
        <v>10</v>
      </c>
      <c r="AF24" s="27">
        <f ca="1">IFERROR(__xludf.DUMMYFUNCTION("""COMPUTED_VALUE"""),4)</f>
        <v>4</v>
      </c>
      <c r="AG24" s="27">
        <f ca="1">IFERROR(__xludf.DUMMYFUNCTION("""COMPUTED_VALUE"""),2)</f>
        <v>2</v>
      </c>
      <c r="AH24" s="27" t="str">
        <f ca="1">IFERROR(__xludf.DUMMYFUNCTION("""COMPUTED_VALUE"""),"Eventos/Ações para captação; Doações; Recursos próprios")</f>
        <v>Eventos/Ações para captação; Doações; Recursos próprios</v>
      </c>
      <c r="AI24" s="27" t="str">
        <f ca="1">IFERROR(__xludf.DUMMYFUNCTION("""COMPUTED_VALUE"""),"20% Evento 10% famílias")</f>
        <v>20% Evento 10% famílias</v>
      </c>
      <c r="AJ24" s="27" t="str">
        <f ca="1">IFERROR(__xludf.DUMMYFUNCTION("""COMPUTED_VALUE"""),"Não")</f>
        <v>Não</v>
      </c>
      <c r="AK24" s="27" t="str">
        <f ca="1">IFERROR(__xludf.DUMMYFUNCTION("""COMPUTED_VALUE"""),"Não")</f>
        <v>Não</v>
      </c>
      <c r="AL24" s="21" t="str">
        <f ca="1">IFERROR(__xludf.DUMMYFUNCTION("""COMPUTED_VALUE"""),"0034P000043fOoG")</f>
        <v>0034P000043fOoG</v>
      </c>
      <c r="AM24" s="27" t="str">
        <f ca="1">IFERROR(__xludf.DUMMYFUNCTION("""COMPUTED_VALUE"""),"Alves De França Mansanari")</f>
        <v>Alves De França Mansanari</v>
      </c>
      <c r="AN24" s="27" t="str">
        <f ca="1">IFERROR(__xludf.DUMMYFUNCTION("""COMPUTED_VALUE"""),"Ativo")</f>
        <v>Ativo</v>
      </c>
      <c r="AO24" s="29">
        <f ca="1">IFERROR(__xludf.DUMMYFUNCTION("""COMPUTED_VALUE"""),44432)</f>
        <v>44432</v>
      </c>
      <c r="AP24" s="27">
        <f ca="1">IFERROR(__xludf.DUMMYFUNCTION("""COMPUTED_VALUE"""),13)</f>
        <v>13</v>
      </c>
      <c r="AQ24" s="27" t="str">
        <f ca="1">IFERROR(__xludf.DUMMYFUNCTION("""COMPUTED_VALUE"""),"Primeiro Semestre 2021")</f>
        <v>Primeiro Semestre 2021</v>
      </c>
      <c r="AR24" s="27" t="str">
        <f ca="1">IFERROR(__xludf.DUMMYFUNCTION("""COMPUTED_VALUE"""),"silmansanari@gmail.com")</f>
        <v>silmansanari@gmail.com</v>
      </c>
      <c r="AS24" s="27" t="str">
        <f ca="1">IFERROR(__xludf.DUMMYFUNCTION("""COMPUTED_VALUE"""),"(11)96560-6533")</f>
        <v>(11)96560-6533</v>
      </c>
      <c r="AT24" s="29">
        <f ca="1">IFERROR(__xludf.DUMMYFUNCTION("""COMPUTED_VALUE"""),30883)</f>
        <v>30883</v>
      </c>
      <c r="AU24" s="27">
        <f ca="1">IFERROR(__xludf.DUMMYFUNCTION("""COMPUTED_VALUE"""),38)</f>
        <v>38</v>
      </c>
      <c r="AV24" s="27">
        <f ca="1">IFERROR(__xludf.DUMMYFUNCTION("""COMPUTED_VALUE"""),32938562845)</f>
        <v>32938562845</v>
      </c>
      <c r="AW24" s="27">
        <f ca="1">IFERROR(__xludf.DUMMYFUNCTION("""COMPUTED_VALUE"""),402188779)</f>
        <v>402188779</v>
      </c>
      <c r="AX24" s="27" t="str">
        <f ca="1">IFERROR(__xludf.DUMMYFUNCTION("""COMPUTED_VALUE"""),"Pedagogia")</f>
        <v>Pedagogia</v>
      </c>
      <c r="AY24" s="27"/>
      <c r="AZ24" s="27" t="str">
        <f ca="1">IFERROR(__xludf.DUMMYFUNCTION("""COMPUTED_VALUE"""),"G")</f>
        <v>G</v>
      </c>
      <c r="BA24" s="27" t="str">
        <f ca="1">IFERROR(__xludf.DUMMYFUNCTION("""COMPUTED_VALUE"""),"Preta")</f>
        <v>Preta</v>
      </c>
      <c r="BB24" s="27"/>
      <c r="BC24" s="27" t="str">
        <f ca="1">IFERROR(__xludf.DUMMYFUNCTION("""COMPUTED_VALUE"""),"Não")</f>
        <v>Não</v>
      </c>
      <c r="BD24" s="27" t="str">
        <f ca="1">IFERROR(__xludf.DUMMYFUNCTION("""COMPUTED_VALUE"""),"Meu nome é Silvana, sou estudante de assistente social e líder social na região de Itaquera zona leste. Constitui a associação a 4 anos para ajudar famílias vulneráveis buscando melhoria da comunidade, criança e famílias possibilitando para uma transforma"&amp;"ção social e criando pontes para realização de sonhos. Tenho orgulhos e prazer no que faço.")</f>
        <v>Meu nome é Silvana, sou estudante de assistente social e líder social na região de Itaquera zona leste. Constitui a associação a 4 anos para ajudar famílias vulneráveis buscando melhoria da comunidade, criança e famílias possibilitando para uma transformação social e criando pontes para realização de sonhos. Tenho orgulhos e prazer no que faço.</v>
      </c>
      <c r="BE24" s="27" t="str">
        <f ca="1">IFERROR(__xludf.DUMMYFUNCTION("""COMPUTED_VALUE"""),"Feminino")</f>
        <v>Feminino</v>
      </c>
      <c r="BF24" s="27" t="str">
        <f ca="1">IFERROR(__xludf.DUMMYFUNCTION("""COMPUTED_VALUE"""),"Heterossexual")</f>
        <v>Heterossexual</v>
      </c>
      <c r="BG24" s="27" t="str">
        <f ca="1">IFERROR(__xludf.DUMMYFUNCTION("""COMPUTED_VALUE"""),"Ensino Superior - Completo")</f>
        <v>Ensino Superior - Completo</v>
      </c>
      <c r="BH24" s="27"/>
      <c r="BI24" s="27" t="str">
        <f ca="1">IFERROR(__xludf.DUMMYFUNCTION("""COMPUTED_VALUE"""),"Graduação")</f>
        <v>Graduação</v>
      </c>
      <c r="BJ24" s="27" t="str">
        <f ca="1">IFERROR(__xludf.DUMMYFUNCTION("""COMPUTED_VALUE"""),"Privado")</f>
        <v>Privado</v>
      </c>
      <c r="BK24" s="27" t="str">
        <f ca="1">IFERROR(__xludf.DUMMYFUNCTION("""COMPUTED_VALUE"""),"Rua: Arcilio Federzoni")</f>
        <v>Rua: Arcilio Federzoni</v>
      </c>
      <c r="BL24" s="27">
        <f ca="1">IFERROR(__xludf.DUMMYFUNCTION("""COMPUTED_VALUE"""),1778)</f>
        <v>1778</v>
      </c>
      <c r="BM24" s="27" t="str">
        <f ca="1">IFERROR(__xludf.DUMMYFUNCTION("""COMPUTED_VALUE"""),"Casa")</f>
        <v>Casa</v>
      </c>
      <c r="BN24" s="27" t="str">
        <f ca="1">IFERROR(__xludf.DUMMYFUNCTION("""COMPUTED_VALUE"""),"São Paulo")</f>
        <v>São Paulo</v>
      </c>
      <c r="BO24" s="27" t="str">
        <f ca="1">IFERROR(__xludf.DUMMYFUNCTION("""COMPUTED_VALUE"""),"07951-310")</f>
        <v>07951-310</v>
      </c>
      <c r="BP24" s="27" t="str">
        <f ca="1">IFERROR(__xludf.DUMMYFUNCTION("""COMPUTED_VALUE"""),"SP")</f>
        <v>SP</v>
      </c>
      <c r="BQ24" s="27" t="str">
        <f ca="1">IFERROR(__xludf.DUMMYFUNCTION("""COMPUTED_VALUE"""),"Entre 1 até 3 salários mínimos")</f>
        <v>Entre 1 até 3 salários mínimos</v>
      </c>
      <c r="BR24" s="27" t="str">
        <f ca="1">IFERROR(__xludf.DUMMYFUNCTION("""COMPUTED_VALUE"""),"Desempregado")</f>
        <v>Desempregado</v>
      </c>
      <c r="BS24" s="27" t="str">
        <f ca="1">IFERROR(__xludf.DUMMYFUNCTION("""COMPUTED_VALUE"""),"Casa cedida")</f>
        <v>Casa cedida</v>
      </c>
      <c r="BT24" s="27">
        <f ca="1">IFERROR(__xludf.DUMMYFUNCTION("""COMPUTED_VALUE"""),5)</f>
        <v>5</v>
      </c>
      <c r="BU24" s="27"/>
      <c r="BV24" s="27"/>
      <c r="BW24" s="21" t="str">
        <f ca="1">IFERROR(__xludf.DUMMYFUNCTION("""COMPUTED_VALUE"""),"https://www.linkedin.com/in/silvana-alves-01454a216/")</f>
        <v>https://www.linkedin.com/in/silvana-alves-01454a216/</v>
      </c>
      <c r="BX24" s="21" t="str">
        <f ca="1">IFERROR(__xludf.DUMMYFUNCTION("""COMPUTED_VALUE"""),"https://www.instagram.com/associacaobeneficenteamigas/")</f>
        <v>https://www.instagram.com/associacaobeneficenteamigas/</v>
      </c>
      <c r="BY24" s="21" t="str">
        <f ca="1">IFERROR(__xludf.DUMMYFUNCTION("""COMPUTED_VALUE"""),"https://drive.google.com/open?id=1MgF852aFaMB51VVmWH8bplH3oAfnxAn7")</f>
        <v>https://drive.google.com/open?id=1MgF852aFaMB51VVmWH8bplH3oAfnxAn7</v>
      </c>
    </row>
    <row r="25" spans="1:77" ht="12.5" hidden="1" x14ac:dyDescent="0.25">
      <c r="A25" s="21" t="str">
        <f ca="1">IFERROR(__xludf.DUMMYFUNCTION("""COMPUTED_VALUE"""),"0014P00003SGWFrQAP")</f>
        <v>0014P00003SGWFrQAP</v>
      </c>
      <c r="B25" s="27" t="str">
        <f ca="1">IFERROR(__xludf.DUMMYFUNCTION("""COMPUTED_VALUE"""),"Fase Inicial")</f>
        <v>Fase Inicial</v>
      </c>
      <c r="C25" s="27" t="str">
        <f ca="1">IFERROR(__xludf.DUMMYFUNCTION("""COMPUTED_VALUE"""),"Fellow")</f>
        <v>Fellow</v>
      </c>
      <c r="D25" s="27" t="str">
        <f ca="1">IFERROR(__xludf.DUMMYFUNCTION("""COMPUTED_VALUE"""),"Ativo")</f>
        <v>Ativo</v>
      </c>
      <c r="E25" s="27" t="str">
        <f ca="1">IFERROR(__xludf.DUMMYFUNCTION("""COMPUTED_VALUE"""),"ASSOCIAÇÃO BENEFICENTE AMIGOS PELA CARIDADE")</f>
        <v>ASSOCIAÇÃO BENEFICENTE AMIGOS PELA CARIDADE</v>
      </c>
      <c r="F25" s="27" t="str">
        <f ca="1">IFERROR(__xludf.DUMMYFUNCTION("""COMPUTED_VALUE"""),"Agnes")</f>
        <v>Agnes</v>
      </c>
      <c r="G25" s="27" t="str">
        <f ca="1">IFERROR(__xludf.DUMMYFUNCTION("""COMPUTED_VALUE"""),"AMIGOS PELA CARIDADE")</f>
        <v>AMIGOS PELA CARIDADE</v>
      </c>
      <c r="H25" s="27" t="str">
        <f ca="1">IFERROR(__xludf.DUMMYFUNCTION("""COMPUTED_VALUE"""),"39.230.210/0001-01")</f>
        <v>39.230.210/0001-01</v>
      </c>
      <c r="I25" s="27" t="str">
        <f ca="1">IFERROR(__xludf.DUMMYFUNCTION("""COMPUTED_VALUE"""),"Agnes Ribeiro Gomes De Jesus")</f>
        <v>Agnes Ribeiro Gomes De Jesus</v>
      </c>
      <c r="J25" s="27" t="str">
        <f ca="1">IFERROR(__xludf.DUMMYFUNCTION("""COMPUTED_VALUE"""),"amigospelacaridade@gmail.com")</f>
        <v>amigospelacaridade@gmail.com</v>
      </c>
      <c r="K25" s="27" t="str">
        <f ca="1">IFERROR(__xludf.DUMMYFUNCTION("""COMPUTED_VALUE"""),"(21)99819-4273")</f>
        <v>(21)99819-4273</v>
      </c>
      <c r="L25" s="27" t="str">
        <f ca="1">IFERROR(__xludf.DUMMYFUNCTION("""COMPUTED_VALUE"""),"RJ")</f>
        <v>RJ</v>
      </c>
      <c r="M25" s="27" t="str">
        <f ca="1">IFERROR(__xludf.DUMMYFUNCTION("""COMPUTED_VALUE"""),"Rua Itaporanga 328")</f>
        <v>Rua Itaporanga 328</v>
      </c>
      <c r="N25" s="27" t="str">
        <f ca="1">IFERROR(__xludf.DUMMYFUNCTION("""COMPUTED_VALUE"""),"Realengo")</f>
        <v>Realengo</v>
      </c>
      <c r="O25" s="27" t="str">
        <f ca="1">IFERROR(__xludf.DUMMYFUNCTION("""COMPUTED_VALUE"""),"(21)99819-4273")</f>
        <v>(21)99819-4273</v>
      </c>
      <c r="P25" s="27" t="str">
        <f ca="1">IFERROR(__xludf.DUMMYFUNCTION("""COMPUTED_VALUE"""),"Rio de Janeiro")</f>
        <v>Rio de Janeiro</v>
      </c>
      <c r="Q25" s="27"/>
      <c r="R25" s="27" t="str">
        <f ca="1">IFERROR(__xludf.DUMMYFUNCTION("""COMPUTED_VALUE"""),"21730-270")</f>
        <v>21730-270</v>
      </c>
      <c r="S25" s="27"/>
      <c r="T25" s="27" t="str">
        <f ca="1">IFERROR(__xludf.DUMMYFUNCTION("""COMPUTED_VALUE"""),"Esporte; Educação; Assistência Social; Cultura; Qualificação Profissional; Empreendedorismo; Empoderamento Feminino; Negócios Sociais")</f>
        <v>Esporte; Educação; Assistência Social; Cultura; Qualificação Profissional; Empreendedorismo; Empoderamento Feminino; Negócios Sociais</v>
      </c>
      <c r="U25" s="27" t="str">
        <f ca="1">IFERROR(__xludf.DUMMYFUNCTION("""COMPUTED_VALUE"""),"Crianças (6 a 12 anos); Adolescentes (12 aos 18 anos)")</f>
        <v>Crianças (6 a 12 anos); Adolescentes (12 aos 18 anos)</v>
      </c>
      <c r="V25" s="27" t="str">
        <f ca="1">IFERROR(__xludf.DUMMYFUNCTION("""COMPUTED_VALUE"""),"Moradores de Favelas")</f>
        <v>Moradores de Favelas</v>
      </c>
      <c r="W25" s="27">
        <f ca="1">IFERROR(__xludf.DUMMYFUNCTION("""COMPUTED_VALUE"""),4)</f>
        <v>4</v>
      </c>
      <c r="X25" s="27" t="str">
        <f ca="1">IFERROR(__xludf.DUMMYFUNCTION("""COMPUTED_VALUE"""),"Atendemos famílias em situação de vulnerabilidade social principalmente mulheres vitimas de violência domestica e Crianças e adolescentes vitimas de Abuso Sexual. Oferecemos uma rede de Apoio para essas familias.")</f>
        <v>Atendemos famílias em situação de vulnerabilidade social principalmente mulheres vitimas de violência domestica e Crianças e adolescentes vitimas de Abuso Sexual. Oferecemos uma rede de Apoio para essas familias.</v>
      </c>
      <c r="Y25" s="27">
        <f ca="1">IFERROR(__xludf.DUMMYFUNCTION("""COMPUTED_VALUE"""),60)</f>
        <v>60</v>
      </c>
      <c r="Z25" s="27">
        <f ca="1">IFERROR(__xludf.DUMMYFUNCTION("""COMPUTED_VALUE"""),6400)</f>
        <v>6400</v>
      </c>
      <c r="AA25" s="29">
        <f ca="1">IFERROR(__xludf.DUMMYFUNCTION("""COMPUTED_VALUE"""),43833)</f>
        <v>43833</v>
      </c>
      <c r="AB25" s="27" t="str">
        <f ca="1">IFERROR(__xludf.DUMMYFUNCTION("""COMPUTED_VALUE"""),"Sim")</f>
        <v>Sim</v>
      </c>
      <c r="AC25" s="27">
        <f ca="1">IFERROR(__xludf.DUMMYFUNCTION("""COMPUTED_VALUE"""),7)</f>
        <v>7</v>
      </c>
      <c r="AD25" s="27">
        <f ca="1">IFERROR(__xludf.DUMMYFUNCTION("""COMPUTED_VALUE"""),0)</f>
        <v>0</v>
      </c>
      <c r="AE25" s="27">
        <f ca="1">IFERROR(__xludf.DUMMYFUNCTION("""COMPUTED_VALUE"""),10)</f>
        <v>10</v>
      </c>
      <c r="AF25" s="27">
        <f ca="1">IFERROR(__xludf.DUMMYFUNCTION("""COMPUTED_VALUE"""),10)</f>
        <v>10</v>
      </c>
      <c r="AG25" s="27">
        <f ca="1">IFERROR(__xludf.DUMMYFUNCTION("""COMPUTED_VALUE"""),0)</f>
        <v>0</v>
      </c>
      <c r="AH25" s="27" t="str">
        <f ca="1">IFERROR(__xludf.DUMMYFUNCTION("""COMPUTED_VALUE"""),"Negócio Social; Eventos/Ações para captação; Plataforma doação online - Pessoa Física")</f>
        <v>Negócio Social; Eventos/Ações para captação; Plataforma doação online - Pessoa Física</v>
      </c>
      <c r="AI25" s="27" t="str">
        <f ca="1">IFERROR(__xludf.DUMMYFUNCTION("""COMPUTED_VALUE"""),"Negocio Social 80%")</f>
        <v>Negocio Social 80%</v>
      </c>
      <c r="AJ25" s="27" t="str">
        <f ca="1">IFERROR(__xludf.DUMMYFUNCTION("""COMPUTED_VALUE"""),"Sim")</f>
        <v>Sim</v>
      </c>
      <c r="AK25" s="27" t="str">
        <f ca="1">IFERROR(__xludf.DUMMYFUNCTION("""COMPUTED_VALUE"""),"Não")</f>
        <v>Não</v>
      </c>
      <c r="AL25" s="21" t="str">
        <f ca="1">IFERROR(__xludf.DUMMYFUNCTION("""COMPUTED_VALUE"""),"0034P000043fOnR")</f>
        <v>0034P000043fOnR</v>
      </c>
      <c r="AM25" s="27" t="str">
        <f ca="1">IFERROR(__xludf.DUMMYFUNCTION("""COMPUTED_VALUE"""),"Ribeiro Gomes De Jesus")</f>
        <v>Ribeiro Gomes De Jesus</v>
      </c>
      <c r="AN25" s="27" t="str">
        <f ca="1">IFERROR(__xludf.DUMMYFUNCTION("""COMPUTED_VALUE"""),"Ativo")</f>
        <v>Ativo</v>
      </c>
      <c r="AO25" s="29">
        <f ca="1">IFERROR(__xludf.DUMMYFUNCTION("""COMPUTED_VALUE"""),44432)</f>
        <v>44432</v>
      </c>
      <c r="AP25" s="27">
        <f ca="1">IFERROR(__xludf.DUMMYFUNCTION("""COMPUTED_VALUE"""),13)</f>
        <v>13</v>
      </c>
      <c r="AQ25" s="27" t="str">
        <f ca="1">IFERROR(__xludf.DUMMYFUNCTION("""COMPUTED_VALUE"""),"Primeiro Semestre 2021")</f>
        <v>Primeiro Semestre 2021</v>
      </c>
      <c r="AR25" s="27" t="str">
        <f ca="1">IFERROR(__xludf.DUMMYFUNCTION("""COMPUTED_VALUE"""),"agnes_tap@hotmail.com")</f>
        <v>agnes_tap@hotmail.com</v>
      </c>
      <c r="AS25" s="27" t="str">
        <f ca="1">IFERROR(__xludf.DUMMYFUNCTION("""COMPUTED_VALUE"""),"(21)99819-4273")</f>
        <v>(21)99819-4273</v>
      </c>
      <c r="AT25" s="29">
        <f ca="1">IFERROR(__xludf.DUMMYFUNCTION("""COMPUTED_VALUE"""),31508)</f>
        <v>31508</v>
      </c>
      <c r="AU25" s="27">
        <f ca="1">IFERROR(__xludf.DUMMYFUNCTION("""COMPUTED_VALUE"""),36)</f>
        <v>36</v>
      </c>
      <c r="AV25" s="27">
        <f ca="1">IFERROR(__xludf.DUMMYFUNCTION("""COMPUTED_VALUE"""),10786739770)</f>
        <v>10786739770</v>
      </c>
      <c r="AW25" s="27">
        <f ca="1">IFERROR(__xludf.DUMMYFUNCTION("""COMPUTED_VALUE"""),208684654)</f>
        <v>208684654</v>
      </c>
      <c r="AX25" s="27" t="str">
        <f ca="1">IFERROR(__xludf.DUMMYFUNCTION("""COMPUTED_VALUE"""),"Bióloga De Formação E Cursando Graduação Em Serviço Social")</f>
        <v>Bióloga De Formação E Cursando Graduação Em Serviço Social</v>
      </c>
      <c r="AY25" s="27"/>
      <c r="AZ25" s="27" t="str">
        <f ca="1">IFERROR(__xludf.DUMMYFUNCTION("""COMPUTED_VALUE"""),"M")</f>
        <v>M</v>
      </c>
      <c r="BA25" s="27" t="str">
        <f ca="1">IFERROR(__xludf.DUMMYFUNCTION("""COMPUTED_VALUE"""),"Parda")</f>
        <v>Parda</v>
      </c>
      <c r="BB25" s="27"/>
      <c r="BC25" s="27" t="str">
        <f ca="1">IFERROR(__xludf.DUMMYFUNCTION("""COMPUTED_VALUE"""),"Sim")</f>
        <v>Sim</v>
      </c>
      <c r="BD25" s="27" t="str">
        <f ca="1">IFERROR(__xludf.DUMMYFUNCTION("""COMPUTED_VALUE"""),"Meu Nome é Agnes Ribeiro, tenho 35 anos, Bióloga de formação, estudante de Serviço Social. 
Fundei da ONG Amigos pela Caridade na comunidade do Batan na Zona Oeste do Rio de Janeiro e essa historia começou na minha infância quando sofri abuso sexual nessa"&amp;" mesma comunidade. Minha mãe precisava trabalhar e eu precisava ficar por um período sozinha, por falta de rede de apoio durante esse período que ficava vulnerável acabei sofrendo essa violação de direito.")</f>
        <v>Meu Nome é Agnes Ribeiro, tenho 35 anos, Bióloga de formação, estudante de Serviço Social. 
Fundei da ONG Amigos pela Caridade na comunidade do Batan na Zona Oeste do Rio de Janeiro e essa historia começou na minha infância quando sofri abuso sexual nessa mesma comunidade. Minha mãe precisava trabalhar e eu precisava ficar por um período sozinha, por falta de rede de apoio durante esse período que ficava vulnerável acabei sofrendo essa violação de direito.</v>
      </c>
      <c r="BE25" s="27" t="str">
        <f ca="1">IFERROR(__xludf.DUMMYFUNCTION("""COMPUTED_VALUE"""),"Feminino")</f>
        <v>Feminino</v>
      </c>
      <c r="BF25" s="27" t="str">
        <f ca="1">IFERROR(__xludf.DUMMYFUNCTION("""COMPUTED_VALUE"""),"Heterossexual")</f>
        <v>Heterossexual</v>
      </c>
      <c r="BG25" s="27" t="str">
        <f ca="1">IFERROR(__xludf.DUMMYFUNCTION("""COMPUTED_VALUE"""),"Ensino Superior - Completo")</f>
        <v>Ensino Superior - Completo</v>
      </c>
      <c r="BH25" s="27"/>
      <c r="BI25" s="27" t="str">
        <f ca="1">IFERROR(__xludf.DUMMYFUNCTION("""COMPUTED_VALUE"""),"Graduação")</f>
        <v>Graduação</v>
      </c>
      <c r="BJ25" s="27" t="str">
        <f ca="1">IFERROR(__xludf.DUMMYFUNCTION("""COMPUTED_VALUE"""),"Privado")</f>
        <v>Privado</v>
      </c>
      <c r="BK25" s="27" t="str">
        <f ca="1">IFERROR(__xludf.DUMMYFUNCTION("""COMPUTED_VALUE"""),"travessa da Brandura")</f>
        <v>travessa da Brandura</v>
      </c>
      <c r="BL25" s="27">
        <f ca="1">IFERROR(__xludf.DUMMYFUNCTION("""COMPUTED_VALUE"""),383)</f>
        <v>383</v>
      </c>
      <c r="BM25" s="27">
        <f ca="1">IFERROR(__xludf.DUMMYFUNCTION("""COMPUTED_VALUE"""),203)</f>
        <v>203</v>
      </c>
      <c r="BN25" s="27" t="str">
        <f ca="1">IFERROR(__xludf.DUMMYFUNCTION("""COMPUTED_VALUE"""),"rio janeiro")</f>
        <v>rio janeiro</v>
      </c>
      <c r="BO25" s="27" t="str">
        <f ca="1">IFERROR(__xludf.DUMMYFUNCTION("""COMPUTED_VALUE"""),"21211-800")</f>
        <v>21211-800</v>
      </c>
      <c r="BP25" s="27" t="str">
        <f ca="1">IFERROR(__xludf.DUMMYFUNCTION("""COMPUTED_VALUE"""),"RJ")</f>
        <v>RJ</v>
      </c>
      <c r="BQ25" s="27" t="str">
        <f ca="1">IFERROR(__xludf.DUMMYFUNCTION("""COMPUTED_VALUE"""),"De 3 até 5 salários mínimos")</f>
        <v>De 3 até 5 salários mínimos</v>
      </c>
      <c r="BR25" s="27" t="str">
        <f ca="1">IFERROR(__xludf.DUMMYFUNCTION("""COMPUTED_VALUE"""),"MEI")</f>
        <v>MEI</v>
      </c>
      <c r="BS25" s="27" t="str">
        <f ca="1">IFERROR(__xludf.DUMMYFUNCTION("""COMPUTED_VALUE"""),"Casa própria")</f>
        <v>Casa própria</v>
      </c>
      <c r="BT25" s="27">
        <f ca="1">IFERROR(__xludf.DUMMYFUNCTION("""COMPUTED_VALUE"""),2)</f>
        <v>2</v>
      </c>
      <c r="BU25" s="27"/>
      <c r="BV25" s="27"/>
      <c r="BW25" s="21" t="str">
        <f ca="1">IFERROR(__xludf.DUMMYFUNCTION("""COMPUTED_VALUE"""),"https://www.linkedin.com/feed/?trk=guest_homepage-basic_nav-header-signin")</f>
        <v>https://www.linkedin.com/feed/?trk=guest_homepage-basic_nav-header-signin</v>
      </c>
      <c r="BX25" s="21" t="str">
        <f ca="1">IFERROR(__xludf.DUMMYFUNCTION("""COMPUTED_VALUE"""),"https://www.instagram.com/invites/contact/?i=1sxetkgq92a07&amp;utm_content=pj9c0l")</f>
        <v>https://www.instagram.com/invites/contact/?i=1sxetkgq92a07&amp;utm_content=pj9c0l</v>
      </c>
      <c r="BY25" s="21" t="str">
        <f ca="1">IFERROR(__xludf.DUMMYFUNCTION("""COMPUTED_VALUE"""),"https://drive.google.com/open?id=1_c8nL4_YRIV1BvnHxWU4rhZDih-YmxRj")</f>
        <v>https://drive.google.com/open?id=1_c8nL4_YRIV1BvnHxWU4rhZDih-YmxRj</v>
      </c>
    </row>
    <row r="26" spans="1:77" ht="12.5" hidden="1" x14ac:dyDescent="0.25">
      <c r="A26" s="21" t="str">
        <f ca="1">IFERROR(__xludf.DUMMYFUNCTION("""COMPUTED_VALUE"""),"0014X00002VKCufQAH")</f>
        <v>0014X00002VKCufQAH</v>
      </c>
      <c r="B26" s="27" t="str">
        <f ca="1">IFERROR(__xludf.DUMMYFUNCTION("""COMPUTED_VALUE"""),"Fase Inicial")</f>
        <v>Fase Inicial</v>
      </c>
      <c r="C26" s="27" t="str">
        <f ca="1">IFERROR(__xludf.DUMMYFUNCTION("""COMPUTED_VALUE"""),"Fellow")</f>
        <v>Fellow</v>
      </c>
      <c r="D26" s="27" t="str">
        <f ca="1">IFERROR(__xludf.DUMMYFUNCTION("""COMPUTED_VALUE"""),"Ativo")</f>
        <v>Ativo</v>
      </c>
      <c r="E26" s="27" t="str">
        <f ca="1">IFERROR(__xludf.DUMMYFUNCTION("""COMPUTED_VALUE"""),"Associação Beneficente da Criança e do Adolescente")</f>
        <v>Associação Beneficente da Criança e do Adolescente</v>
      </c>
      <c r="F26" s="27" t="str">
        <f ca="1">IFERROR(__xludf.DUMMYFUNCTION("""COMPUTED_VALUE"""),"Eliane")</f>
        <v>Eliane</v>
      </c>
      <c r="G26" s="27" t="str">
        <f ca="1">IFERROR(__xludf.DUMMYFUNCTION("""COMPUTED_VALUE"""),"ABCA HORAS ALEGRES")</f>
        <v>ABCA HORAS ALEGRES</v>
      </c>
      <c r="H26" s="27" t="str">
        <f ca="1">IFERROR(__xludf.DUMMYFUNCTION("""COMPUTED_VALUE"""),"04.728.612/0001-56")</f>
        <v>04.728.612/0001-56</v>
      </c>
      <c r="I26" s="27" t="str">
        <f ca="1">IFERROR(__xludf.DUMMYFUNCTION("""COMPUTED_VALUE"""),"Sandra  Regina Albuquerque Santana")</f>
        <v>Sandra  Regina Albuquerque Santana</v>
      </c>
      <c r="J26" s="27" t="str">
        <f ca="1">IFERROR(__xludf.DUMMYFUNCTION("""COMPUTED_VALUE"""),"abca@hotmail.com.br")</f>
        <v>abca@hotmail.com.br</v>
      </c>
      <c r="K26" s="27" t="str">
        <f ca="1">IFERROR(__xludf.DUMMYFUNCTION("""COMPUTED_VALUE"""),"(11)94397-9671")</f>
        <v>(11)94397-9671</v>
      </c>
      <c r="L26" s="27" t="str">
        <f ca="1">IFERROR(__xludf.DUMMYFUNCTION("""COMPUTED_VALUE"""),"SP")</f>
        <v>SP</v>
      </c>
      <c r="M26" s="27" t="str">
        <f ca="1">IFERROR(__xludf.DUMMYFUNCTION("""COMPUTED_VALUE"""),"Rua Santos Dumont.596")</f>
        <v>Rua Santos Dumont.596</v>
      </c>
      <c r="N26" s="27" t="str">
        <f ca="1">IFERROR(__xludf.DUMMYFUNCTION("""COMPUTED_VALUE"""),"Jardim Jacira")</f>
        <v>Jardim Jacira</v>
      </c>
      <c r="O26" s="27">
        <f ca="1">IFERROR(__xludf.DUMMYFUNCTION("""COMPUTED_VALUE"""),596)</f>
        <v>596</v>
      </c>
      <c r="P26" s="27" t="str">
        <f ca="1">IFERROR(__xludf.DUMMYFUNCTION("""COMPUTED_VALUE"""),"Itapecerica da Serra")</f>
        <v>Itapecerica da Serra</v>
      </c>
      <c r="Q26" s="27"/>
      <c r="R26" s="27" t="str">
        <f ca="1">IFERROR(__xludf.DUMMYFUNCTION("""COMPUTED_VALUE"""),"06864-340")</f>
        <v>06864-340</v>
      </c>
      <c r="S26" s="27"/>
      <c r="T26" s="27"/>
      <c r="U26" s="27" t="str">
        <f ca="1">IFERROR(__xludf.DUMMYFUNCTION("""COMPUTED_VALUE"""),"Crianças pequenas (4 anos a 5 anos e 11 meses), Crianças (6 a 12 anos)")</f>
        <v>Crianças pequenas (4 anos a 5 anos e 11 meses), Crianças (6 a 12 anos)</v>
      </c>
      <c r="V26" s="27" t="str">
        <f ca="1">IFERROR(__xludf.DUMMYFUNCTION("""COMPUTED_VALUE"""),"Moradores de Favelas, Outros")</f>
        <v>Moradores de Favelas, Outros</v>
      </c>
      <c r="W26" s="27">
        <f ca="1">IFERROR(__xludf.DUMMYFUNCTION("""COMPUTED_VALUE"""),50)</f>
        <v>50</v>
      </c>
      <c r="X26" s="27" t="str">
        <f ca="1">IFERROR(__xludf.DUMMYFUNCTION("""COMPUTED_VALUE"""),"Atendemos as crianças em estado de vulnerabilidade social e suas respectivas familias.")</f>
        <v>Atendemos as crianças em estado de vulnerabilidade social e suas respectivas familias.</v>
      </c>
      <c r="Y26" s="27"/>
      <c r="Z26" s="27">
        <f ca="1">IFERROR(__xludf.DUMMYFUNCTION("""COMPUTED_VALUE"""),70)</f>
        <v>70</v>
      </c>
      <c r="AA26" s="29">
        <f ca="1">IFERROR(__xludf.DUMMYFUNCTION("""COMPUTED_VALUE"""),37162)</f>
        <v>37162</v>
      </c>
      <c r="AB26" s="27" t="str">
        <f ca="1">IFERROR(__xludf.DUMMYFUNCTION("""COMPUTED_VALUE"""),"Sim")</f>
        <v>Sim</v>
      </c>
      <c r="AC26" s="27">
        <f ca="1">IFERROR(__xludf.DUMMYFUNCTION("""COMPUTED_VALUE"""),5)</f>
        <v>5</v>
      </c>
      <c r="AD26" s="27">
        <f ca="1">IFERROR(__xludf.DUMMYFUNCTION("""COMPUTED_VALUE"""),0)</f>
        <v>0</v>
      </c>
      <c r="AE26" s="27">
        <f ca="1">IFERROR(__xludf.DUMMYFUNCTION("""COMPUTED_VALUE"""),2)</f>
        <v>2</v>
      </c>
      <c r="AF26" s="27">
        <f ca="1">IFERROR(__xludf.DUMMYFUNCTION("""COMPUTED_VALUE"""),1)</f>
        <v>1</v>
      </c>
      <c r="AG26" s="27">
        <f ca="1">IFERROR(__xludf.DUMMYFUNCTION("""COMPUTED_VALUE"""),2)</f>
        <v>2</v>
      </c>
      <c r="AH26" s="27" t="str">
        <f ca="1">IFERROR(__xludf.DUMMYFUNCTION("""COMPUTED_VALUE"""),"Convênio Público, Recursos próprios")</f>
        <v>Convênio Público, Recursos próprios</v>
      </c>
      <c r="AI26" s="27" t="str">
        <f ca="1">IFERROR(__xludf.DUMMYFUNCTION("""COMPUTED_VALUE"""),"nao tenho resposta")</f>
        <v>nao tenho resposta</v>
      </c>
      <c r="AJ26" s="27" t="str">
        <f ca="1">IFERROR(__xludf.DUMMYFUNCTION("""COMPUTED_VALUE"""),"Não")</f>
        <v>Não</v>
      </c>
      <c r="AK26" s="27"/>
      <c r="AL26" s="21" t="str">
        <f ca="1">IFERROR(__xludf.DUMMYFUNCTION("""COMPUTED_VALUE"""),"0034X0000380O0r")</f>
        <v>0034X0000380O0r</v>
      </c>
      <c r="AM26" s="27" t="str">
        <f ca="1">IFERROR(__xludf.DUMMYFUNCTION("""COMPUTED_VALUE"""),"Soares gerczewski")</f>
        <v>Soares gerczewski</v>
      </c>
      <c r="AN26" s="27" t="str">
        <f ca="1">IFERROR(__xludf.DUMMYFUNCTION("""COMPUTED_VALUE"""),"Ativo")</f>
        <v>Ativo</v>
      </c>
      <c r="AO26" s="29">
        <f ca="1">IFERROR(__xludf.DUMMYFUNCTION("""COMPUTED_VALUE"""),44763)</f>
        <v>44763</v>
      </c>
      <c r="AP26" s="27">
        <f ca="1">IFERROR(__xludf.DUMMYFUNCTION("""COMPUTED_VALUE"""),2)</f>
        <v>2</v>
      </c>
      <c r="AQ26" s="27" t="str">
        <f ca="1">IFERROR(__xludf.DUMMYFUNCTION("""COMPUTED_VALUE"""),"Primeiro Semestre 2022")</f>
        <v>Primeiro Semestre 2022</v>
      </c>
      <c r="AR26" s="27" t="str">
        <f ca="1">IFERROR(__xludf.DUMMYFUNCTION("""COMPUTED_VALUE"""),"abca@hotmail.com.br")</f>
        <v>abca@hotmail.com.br</v>
      </c>
      <c r="AS26" s="27">
        <f ca="1">IFERROR(__xludf.DUMMYFUNCTION("""COMPUTED_VALUE"""),11943979671)</f>
        <v>11943979671</v>
      </c>
      <c r="AT26" s="30">
        <f ca="1">IFERROR(__xludf.DUMMYFUNCTION("""COMPUTED_VALUE"""),24804)</f>
        <v>24804</v>
      </c>
      <c r="AU26" s="27">
        <f ca="1">IFERROR(__xludf.DUMMYFUNCTION("""COMPUTED_VALUE"""),55)</f>
        <v>55</v>
      </c>
      <c r="AV26" s="27">
        <f ca="1">IFERROR(__xludf.DUMMYFUNCTION("""COMPUTED_VALUE"""),14510597878)</f>
        <v>14510597878</v>
      </c>
      <c r="AW26" s="27" t="str">
        <f ca="1">IFERROR(__xludf.DUMMYFUNCTION("""COMPUTED_VALUE"""),"19737535-2")</f>
        <v>19737535-2</v>
      </c>
      <c r="AX26" s="27"/>
      <c r="AY26" s="27"/>
      <c r="AZ26" s="27" t="str">
        <f ca="1">IFERROR(__xludf.DUMMYFUNCTION("""COMPUTED_VALUE"""),"M")</f>
        <v>M</v>
      </c>
      <c r="BA26" s="27" t="str">
        <f ca="1">IFERROR(__xludf.DUMMYFUNCTION("""COMPUTED_VALUE"""),"Preta")</f>
        <v>Preta</v>
      </c>
      <c r="BB26" s="27"/>
      <c r="BC26" s="27"/>
      <c r="BD26" s="27" t="str">
        <f ca="1">IFERROR(__xludf.DUMMYFUNCTION("""COMPUTED_VALUE"""),"Meu nome é Eliane* sou brasileira* casada* resido em Itapecerica da Serra- SP mas nasci em São Paulo capital.
Somos uma família de  9 irmãos* perdemos nosso pai a 20 anos falecido de câncer*  e a nossa mãe a 9 meses vitima de Covid 19 .
Meu trabalho em c"&amp;"omunidade nasceu em 1980 através de um padre Italiano época das comunidades eclesiais de base com um projeto para crianças  mantida pela Igreja católica italiana* o padre foi embora para a Amazonas em 1990 e fui junto server a Missão com ele mas não deu c"&amp;"erto* a temperatura la era muito elevada e voltei fiquei 3 meses.
Ao retornar para São Paulo o padre alemão local me convidou para retomar o projeto com as crianças assumi junto com outros convidados do padre.
Este projeto era mantido pela Alemanha (igrej"&amp;"a)
 Dez anos depois tivemos um problema  politico com o Pe alemão sai do projeto* as famílias não queriam deixar os filhos com a nova direção realizaram manifestações... e por isto tive que levar as crianças para dentro da minha casa* desocupei minha sal"&amp;"a e acolhi as crianças* e com isto meu esposo me apoio e foi em busca de parceria.
Em uma lista de 10 empresas na Alemanha* 04 despertou o interesse mas não deu resposta positiva* e 1 disse sim vamos ajudar.  
Compramos um terreno de 6.338mts e realizamos"&amp;" a construção de 120mts2 onde hoje realizamos o nosso trabalho com a comunidade.
Nosso quadro de funcionários:03 professores* 01 cozinheira* 01 coordenadora Pedagógica* 01 aux de serviços gerais* 01 diretora.
Minha mãe era a cozinheira desde o inicio "&amp;"do projeto* hoje estamos em buscar de outra contração. Para nos perder a nossa mãe foi um desiquilíbrio muito grande* pois nunca esperávamos perde-la por uma doença maldita e solitária.")</f>
        <v>Meu nome é Eliane* sou brasileira* casada* resido em Itapecerica da Serra- SP mas nasci em São Paulo capital.
Somos uma família de  9 irmãos* perdemos nosso pai a 20 anos falecido de câncer*  e a nossa mãe a 9 meses vitima de Covid 19 .
Meu trabalho em comunidade nasceu em 1980 através de um padre Italiano época das comunidades eclesiais de base com um projeto para crianças  mantida pela Igreja católica italiana* o padre foi embora para a Amazonas em 1990 e fui junto server a Missão com ele mas não deu certo* a temperatura la era muito elevada e voltei fiquei 3 meses.
Ao retornar para São Paulo o padre alemão local me convidou para retomar o projeto com as crianças assumi junto com outros convidados do padre.
Este projeto era mantido pela Alemanha (igreja)
 Dez anos depois tivemos um problema  politico com o Pe alemão sai do projeto* as famílias não queriam deixar os filhos com a nova direção realizaram manifestações... e por isto tive que levar as crianças para dentro da minha casa* desocupei minha sala e acolhi as crianças* e com isto meu esposo me apoio e foi em busca de parceria.
Em uma lista de 10 empresas na Alemanha* 04 despertou o interesse mas não deu resposta positiva* e 1 disse sim vamos ajudar.  
Compramos um terreno de 6.338mts e realizamos a construção de 120mts2 onde hoje realizamos o nosso trabalho com a comunidade.
Nosso quadro de funcionários:03 professores* 01 cozinheira* 01 coordenadora Pedagógica* 01 aux de serviços gerais* 01 diretora.
Minha mãe era a cozinheira desde o inicio do projeto* hoje estamos em buscar de outra contração. Para nos perder a nossa mãe foi um desiquilíbrio muito grande* pois nunca esperávamos perde-la por uma doença maldita e solitária.</v>
      </c>
      <c r="BE26" s="27" t="str">
        <f ca="1">IFERROR(__xludf.DUMMYFUNCTION("""COMPUTED_VALUE"""),"Feminino")</f>
        <v>Feminino</v>
      </c>
      <c r="BF26" s="27" t="str">
        <f ca="1">IFERROR(__xludf.DUMMYFUNCTION("""COMPUTED_VALUE"""),"Heterossexual")</f>
        <v>Heterossexual</v>
      </c>
      <c r="BG26" s="27"/>
      <c r="BH26" s="27" t="str">
        <f ca="1">IFERROR(__xludf.DUMMYFUNCTION("""COMPUTED_VALUE"""),"Público")</f>
        <v>Público</v>
      </c>
      <c r="BI26" s="27" t="str">
        <f ca="1">IFERROR(__xludf.DUMMYFUNCTION("""COMPUTED_VALUE"""),"Graduação")</f>
        <v>Graduação</v>
      </c>
      <c r="BJ26" s="27" t="str">
        <f ca="1">IFERROR(__xludf.DUMMYFUNCTION("""COMPUTED_VALUE"""),"Privado")</f>
        <v>Privado</v>
      </c>
      <c r="BK26" s="27" t="str">
        <f ca="1">IFERROR(__xludf.DUMMYFUNCTION("""COMPUTED_VALUE"""),"RUA SANTOS DUMONT")</f>
        <v>RUA SANTOS DUMONT</v>
      </c>
      <c r="BL26" s="27">
        <f ca="1">IFERROR(__xludf.DUMMYFUNCTION("""COMPUTED_VALUE"""),586)</f>
        <v>586</v>
      </c>
      <c r="BM26" s="27"/>
      <c r="BN26" s="27"/>
      <c r="BO26" s="27">
        <f ca="1">IFERROR(__xludf.DUMMYFUNCTION("""COMPUTED_VALUE"""),6864340)</f>
        <v>6864340</v>
      </c>
      <c r="BP26" s="27" t="str">
        <f ca="1">IFERROR(__xludf.DUMMYFUNCTION("""COMPUTED_VALUE"""),"SP")</f>
        <v>SP</v>
      </c>
      <c r="BQ26" s="27" t="str">
        <f ca="1">IFERROR(__xludf.DUMMYFUNCTION("""COMPUTED_VALUE"""),"Entre 1 até 3 salários mínimos")</f>
        <v>Entre 1 até 3 salários mínimos</v>
      </c>
      <c r="BR26" s="27" t="str">
        <f ca="1">IFERROR(__xludf.DUMMYFUNCTION("""COMPUTED_VALUE"""),"Desempregado")</f>
        <v>Desempregado</v>
      </c>
      <c r="BS26" s="27" t="str">
        <f ca="1">IFERROR(__xludf.DUMMYFUNCTION("""COMPUTED_VALUE"""),"Casa própria")</f>
        <v>Casa própria</v>
      </c>
      <c r="BT26" s="27">
        <f ca="1">IFERROR(__xludf.DUMMYFUNCTION("""COMPUTED_VALUE"""),1)</f>
        <v>1</v>
      </c>
      <c r="BU26" s="27" t="str">
        <f ca="1">IFERROR(__xludf.DUMMYFUNCTION("""COMPUTED_VALUE"""),"Não tem")</f>
        <v>Não tem</v>
      </c>
      <c r="BV26" s="27" t="str">
        <f ca="1">IFERROR(__xludf.DUMMYFUNCTION("""COMPUTED_VALUE"""),"Não")</f>
        <v>Não</v>
      </c>
      <c r="BW26" s="27"/>
      <c r="BX26" s="27" t="str">
        <f ca="1">IFERROR(__xludf.DUMMYFUNCTION("""COMPUTED_VALUE"""),"ellygerczewski@hotmail.com")</f>
        <v>ellygerczewski@hotmail.com</v>
      </c>
      <c r="BY26" s="21" t="str">
        <f ca="1">IFERROR(__xludf.DUMMYFUNCTION("""COMPUTED_VALUE"""),"https://drive.google.com/open?id=14-QzNOLcw3_qC3PNnnXpvMD14rNBiiIT")</f>
        <v>https://drive.google.com/open?id=14-QzNOLcw3_qC3PNnnXpvMD14rNBiiIT</v>
      </c>
    </row>
    <row r="27" spans="1:77" ht="12.5" hidden="1" x14ac:dyDescent="0.25">
      <c r="A27" s="21" t="str">
        <f ca="1">IFERROR(__xludf.DUMMYFUNCTION("""COMPUTED_VALUE"""),"0014P00003YSp9UQAT")</f>
        <v>0014P00003YSp9UQAT</v>
      </c>
      <c r="B27" s="27" t="str">
        <f ca="1">IFERROR(__xludf.DUMMYFUNCTION("""COMPUTED_VALUE"""),"Fase Inicial")</f>
        <v>Fase Inicial</v>
      </c>
      <c r="C27" s="27" t="str">
        <f ca="1">IFERROR(__xludf.DUMMYFUNCTION("""COMPUTED_VALUE"""),"Fellow")</f>
        <v>Fellow</v>
      </c>
      <c r="D27" s="27" t="str">
        <f ca="1">IFERROR(__xludf.DUMMYFUNCTION("""COMPUTED_VALUE"""),"Ativo")</f>
        <v>Ativo</v>
      </c>
      <c r="E27" s="27" t="str">
        <f ca="1">IFERROR(__xludf.DUMMYFUNCTION("""COMPUTED_VALUE"""),"ASSOCIAÇÃO BENEFICENTE EDUCACIONAL CORUJINHAS")</f>
        <v>ASSOCIAÇÃO BENEFICENTE EDUCACIONAL CORUJINHAS</v>
      </c>
      <c r="F27" s="27" t="str">
        <f ca="1">IFERROR(__xludf.DUMMYFUNCTION("""COMPUTED_VALUE"""),"Patricia")</f>
        <v>Patricia</v>
      </c>
      <c r="G27" s="27"/>
      <c r="H27" s="27" t="str">
        <f ca="1">IFERROR(__xludf.DUMMYFUNCTION("""COMPUTED_VALUE"""),"02.214.952/0001-33")</f>
        <v>02.214.952/0001-33</v>
      </c>
      <c r="I27" s="27" t="str">
        <f ca="1">IFERROR(__xludf.DUMMYFUNCTION("""COMPUTED_VALUE"""),"Patrícia Félix")</f>
        <v>Patrícia Félix</v>
      </c>
      <c r="J27" s="27" t="str">
        <f ca="1">IFERROR(__xludf.DUMMYFUNCTION("""COMPUTED_VALUE"""),"associacaobeneficiente2018@hotmail.com")</f>
        <v>associacaobeneficiente2018@hotmail.com</v>
      </c>
      <c r="K27" s="27" t="str">
        <f ca="1">IFERROR(__xludf.DUMMYFUNCTION("""COMPUTED_VALUE"""),"(11)96368-4890")</f>
        <v>(11)96368-4890</v>
      </c>
      <c r="L27" s="27" t="str">
        <f ca="1">IFERROR(__xludf.DUMMYFUNCTION("""COMPUTED_VALUE"""),"SP")</f>
        <v>SP</v>
      </c>
      <c r="M27" s="27" t="str">
        <f ca="1">IFERROR(__xludf.DUMMYFUNCTION("""COMPUTED_VALUE"""),"Altos do oiti 651")</f>
        <v>Altos do oiti 651</v>
      </c>
      <c r="N27" s="27" t="str">
        <f ca="1">IFERROR(__xludf.DUMMYFUNCTION("""COMPUTED_VALUE"""),"VILA HELENA")</f>
        <v>VILA HELENA</v>
      </c>
      <c r="O27" s="27">
        <f ca="1">IFERROR(__xludf.DUMMYFUNCTION("""COMPUTED_VALUE"""),651)</f>
        <v>651</v>
      </c>
      <c r="P27" s="27" t="str">
        <f ca="1">IFERROR(__xludf.DUMMYFUNCTION("""COMPUTED_VALUE"""),"São paulo")</f>
        <v>São paulo</v>
      </c>
      <c r="Q27" s="27" t="str">
        <f ca="1">IFERROR(__xludf.DUMMYFUNCTION("""COMPUTED_VALUE"""),"ANTIGO 64")</f>
        <v>ANTIGO 64</v>
      </c>
      <c r="R27" s="27" t="str">
        <f ca="1">IFERROR(__xludf.DUMMYFUNCTION("""COMPUTED_VALUE"""),"08081-420")</f>
        <v>08081-420</v>
      </c>
      <c r="S27" s="27"/>
      <c r="T27" s="27" t="str">
        <f ca="1">IFERROR(__xludf.DUMMYFUNCTION("""COMPUTED_VALUE"""),"Educação; Assistência Social; Defesa de Direitos")</f>
        <v>Educação; Assistência Social; Defesa de Direitos</v>
      </c>
      <c r="U27" s="27" t="str">
        <f ca="1">IFERROR(__xludf.DUMMYFUNCTION("""COMPUTED_VALUE"""),"Bebês (0 a 1 ano e 6 meses); Crianças (6 a 12 anos); Adolescentes (12 aos 18 anos)")</f>
        <v>Bebês (0 a 1 ano e 6 meses); Crianças (6 a 12 anos); Adolescentes (12 aos 18 anos)</v>
      </c>
      <c r="V27" s="27" t="str">
        <f ca="1">IFERROR(__xludf.DUMMYFUNCTION("""COMPUTED_VALUE"""),"Moradores de Favelas; Pessoas em situação de rua")</f>
        <v>Moradores de Favelas; Pessoas em situação de rua</v>
      </c>
      <c r="W27" s="27">
        <f ca="1">IFERROR(__xludf.DUMMYFUNCTION("""COMPUTED_VALUE"""),4)</f>
        <v>4</v>
      </c>
      <c r="X27" s="27" t="str">
        <f ca="1">IFERROR(__xludf.DUMMYFUNCTION("""COMPUTED_VALUE"""),"JOVENS E ADULTOS  QUEM PRECISAR DE AJUDA .")</f>
        <v>JOVENS E ADULTOS  QUEM PRECISAR DE AJUDA .</v>
      </c>
      <c r="Y27" s="27"/>
      <c r="Z27" s="27">
        <f ca="1">IFERROR(__xludf.DUMMYFUNCTION("""COMPUTED_VALUE"""),600)</f>
        <v>600</v>
      </c>
      <c r="AA27" s="29">
        <f ca="1">IFERROR(__xludf.DUMMYFUNCTION("""COMPUTED_VALUE"""),35070)</f>
        <v>35070</v>
      </c>
      <c r="AB27" s="27" t="str">
        <f ca="1">IFERROR(__xludf.DUMMYFUNCTION("""COMPUTED_VALUE"""),"Sim")</f>
        <v>Sim</v>
      </c>
      <c r="AC27" s="27">
        <f ca="1">IFERROR(__xludf.DUMMYFUNCTION("""COMPUTED_VALUE"""),39)</f>
        <v>39</v>
      </c>
      <c r="AD27" s="27">
        <f ca="1">IFERROR(__xludf.DUMMYFUNCTION("""COMPUTED_VALUE"""),34)</f>
        <v>34</v>
      </c>
      <c r="AE27" s="27">
        <f ca="1">IFERROR(__xludf.DUMMYFUNCTION("""COMPUTED_VALUE"""),8)</f>
        <v>8</v>
      </c>
      <c r="AF27" s="27">
        <f ca="1">IFERROR(__xludf.DUMMYFUNCTION("""COMPUTED_VALUE"""),8)</f>
        <v>8</v>
      </c>
      <c r="AG27" s="27">
        <f ca="1">IFERROR(__xludf.DUMMYFUNCTION("""COMPUTED_VALUE"""),2)</f>
        <v>2</v>
      </c>
      <c r="AH27" s="27" t="str">
        <f ca="1">IFERROR(__xludf.DUMMYFUNCTION("""COMPUTED_VALUE"""),"Convênio Público; Parceria iniciativa privada; Doações")</f>
        <v>Convênio Público; Parceria iniciativa privada; Doações</v>
      </c>
      <c r="AI27" s="27" t="str">
        <f ca="1">IFERROR(__xludf.DUMMYFUNCTION("""COMPUTED_VALUE"""),"Zero")</f>
        <v>Zero</v>
      </c>
      <c r="AJ27" s="27"/>
      <c r="AK27" s="27"/>
      <c r="AL27" s="21" t="str">
        <f ca="1">IFERROR(__xludf.DUMMYFUNCTION("""COMPUTED_VALUE"""),"0034P000045kxk6")</f>
        <v>0034P000045kxk6</v>
      </c>
      <c r="AM27" s="27" t="str">
        <f ca="1">IFERROR(__xludf.DUMMYFUNCTION("""COMPUTED_VALUE"""),"Maria Félix Da Silva Santos")</f>
        <v>Maria Félix Da Silva Santos</v>
      </c>
      <c r="AN27" s="27" t="str">
        <f ca="1">IFERROR(__xludf.DUMMYFUNCTION("""COMPUTED_VALUE"""),"Ativo")</f>
        <v>Ativo</v>
      </c>
      <c r="AO27" s="30">
        <f ca="1">IFERROR(__xludf.DUMMYFUNCTION("""COMPUTED_VALUE"""),44551)</f>
        <v>44551</v>
      </c>
      <c r="AP27" s="27">
        <f ca="1">IFERROR(__xludf.DUMMYFUNCTION("""COMPUTED_VALUE"""),9)</f>
        <v>9</v>
      </c>
      <c r="AQ27" s="27" t="str">
        <f ca="1">IFERROR(__xludf.DUMMYFUNCTION("""COMPUTED_VALUE"""),"Segundo Semestre 2021")</f>
        <v>Segundo Semestre 2021</v>
      </c>
      <c r="AR27" s="27" t="str">
        <f ca="1">IFERROR(__xludf.DUMMYFUNCTION("""COMPUTED_VALUE"""),"felixppp74@gmail.com")</f>
        <v>felixppp74@gmail.com</v>
      </c>
      <c r="AS27" s="27" t="str">
        <f ca="1">IFERROR(__xludf.DUMMYFUNCTION("""COMPUTED_VALUE"""),"(11)96368-4890")</f>
        <v>(11)96368-4890</v>
      </c>
      <c r="AT27" s="29">
        <f ca="1">IFERROR(__xludf.DUMMYFUNCTION("""COMPUTED_VALUE"""),28633)</f>
        <v>28633</v>
      </c>
      <c r="AU27" s="27">
        <f ca="1">IFERROR(__xludf.DUMMYFUNCTION("""COMPUTED_VALUE"""),44)</f>
        <v>44</v>
      </c>
      <c r="AV27" s="27">
        <f ca="1">IFERROR(__xludf.DUMMYFUNCTION("""COMPUTED_VALUE"""),2923001400)</f>
        <v>2923001400</v>
      </c>
      <c r="AW27" s="27">
        <f ca="1">IFERROR(__xludf.DUMMYFUNCTION("""COMPUTED_VALUE"""),538263076)</f>
        <v>538263076</v>
      </c>
      <c r="AX27" s="27"/>
      <c r="AY27" s="27"/>
      <c r="AZ27" s="27" t="str">
        <f ca="1">IFERROR(__xludf.DUMMYFUNCTION("""COMPUTED_VALUE"""),"M")</f>
        <v>M</v>
      </c>
      <c r="BA27" s="27" t="str">
        <f ca="1">IFERROR(__xludf.DUMMYFUNCTION("""COMPUTED_VALUE"""),"Branca")</f>
        <v>Branca</v>
      </c>
      <c r="BB27" s="27" t="str">
        <f ca="1">IFERROR(__xludf.DUMMYFUNCTION("""COMPUTED_VALUE"""),"Outro(s)")</f>
        <v>Outro(s)</v>
      </c>
      <c r="BC27" s="27" t="str">
        <f ca="1">IFERROR(__xludf.DUMMYFUNCTION("""COMPUTED_VALUE"""),"Não")</f>
        <v>Não</v>
      </c>
      <c r="BD27" s="27" t="str">
        <f ca="1">IFERROR(__xludf.DUMMYFUNCTION("""COMPUTED_VALUE"""),"Associação sem fins lucrativo com projetos no papel a ser realizado de grande impacto social porém sem ajuda de parceiro .")</f>
        <v>Associação sem fins lucrativo com projetos no papel a ser realizado de grande impacto social porém sem ajuda de parceiro .</v>
      </c>
      <c r="BE27" s="27"/>
      <c r="BF27" s="27" t="str">
        <f ca="1">IFERROR(__xludf.DUMMYFUNCTION("""COMPUTED_VALUE"""),"Heterossexual")</f>
        <v>Heterossexual</v>
      </c>
      <c r="BG27" s="27" t="str">
        <f ca="1">IFERROR(__xludf.DUMMYFUNCTION("""COMPUTED_VALUE"""),"Ensino Superior - Completo")</f>
        <v>Ensino Superior - Completo</v>
      </c>
      <c r="BH27" s="27" t="str">
        <f ca="1">IFERROR(__xludf.DUMMYFUNCTION("""COMPUTED_VALUE"""),"Público")</f>
        <v>Público</v>
      </c>
      <c r="BI27" s="27" t="str">
        <f ca="1">IFERROR(__xludf.DUMMYFUNCTION("""COMPUTED_VALUE"""),"Pós-Graduação")</f>
        <v>Pós-Graduação</v>
      </c>
      <c r="BJ27" s="27" t="str">
        <f ca="1">IFERROR(__xludf.DUMMYFUNCTION("""COMPUTED_VALUE"""),"Privado")</f>
        <v>Privado</v>
      </c>
      <c r="BK27" s="27" t="str">
        <f ca="1">IFERROR(__xludf.DUMMYFUNCTION("""COMPUTED_VALUE"""),"Altos do oiti")</f>
        <v>Altos do oiti</v>
      </c>
      <c r="BL27" s="27">
        <f ca="1">IFERROR(__xludf.DUMMYFUNCTION("""COMPUTED_VALUE"""),651)</f>
        <v>651</v>
      </c>
      <c r="BM27" s="27" t="str">
        <f ca="1">IFERROR(__xludf.DUMMYFUNCTION("""COMPUTED_VALUE"""),"ANTIGO 64")</f>
        <v>ANTIGO 64</v>
      </c>
      <c r="BN27" s="27" t="str">
        <f ca="1">IFERROR(__xludf.DUMMYFUNCTION("""COMPUTED_VALUE"""),"São paulo")</f>
        <v>São paulo</v>
      </c>
      <c r="BO27" s="27" t="str">
        <f ca="1">IFERROR(__xludf.DUMMYFUNCTION("""COMPUTED_VALUE"""),"08081-410")</f>
        <v>08081-410</v>
      </c>
      <c r="BP27" s="27" t="str">
        <f ca="1">IFERROR(__xludf.DUMMYFUNCTION("""COMPUTED_VALUE"""),"SP")</f>
        <v>SP</v>
      </c>
      <c r="BQ27" s="27" t="str">
        <f ca="1">IFERROR(__xludf.DUMMYFUNCTION("""COMPUTED_VALUE"""),"Entre 1 até 3 salários mínimos")</f>
        <v>Entre 1 até 3 salários mínimos</v>
      </c>
      <c r="BR27" s="27" t="str">
        <f ca="1">IFERROR(__xludf.DUMMYFUNCTION("""COMPUTED_VALUE"""),"CLT")</f>
        <v>CLT</v>
      </c>
      <c r="BS27" s="27" t="str">
        <f ca="1">IFERROR(__xludf.DUMMYFUNCTION("""COMPUTED_VALUE"""),"Casa própria")</f>
        <v>Casa própria</v>
      </c>
      <c r="BT27" s="27">
        <f ca="1">IFERROR(__xludf.DUMMYFUNCTION("""COMPUTED_VALUE"""),3)</f>
        <v>3</v>
      </c>
      <c r="BU27" s="27" t="str">
        <f ca="1">IFERROR(__xludf.DUMMYFUNCTION("""COMPUTED_VALUE"""),"Não tem")</f>
        <v>Não tem</v>
      </c>
      <c r="BV27" s="27"/>
      <c r="BW27" s="21" t="str">
        <f ca="1">IFERROR(__xludf.DUMMYFUNCTION("""COMPUTED_VALUE"""),"https://www.instagram.com/p/CZUqsP6pdOo/?utm_medium=copy_lin")</f>
        <v>https://www.instagram.com/p/CZUqsP6pdOo/?utm_medium=copy_lin</v>
      </c>
      <c r="BX27" s="21" t="str">
        <f ca="1">IFERROR(__xludf.DUMMYFUNCTION("""COMPUTED_VALUE"""),"https://instagram.com/abeducacional?utm_medium=copy_link")</f>
        <v>https://instagram.com/abeducacional?utm_medium=copy_link</v>
      </c>
      <c r="BY27" s="21" t="str">
        <f ca="1">IFERROR(__xludf.DUMMYFUNCTION("""COMPUTED_VALUE"""),"https://drive.google.com/open?id=1D85jdlN2kCRG8kg6bH3r0BrlNem9yhzr")</f>
        <v>https://drive.google.com/open?id=1D85jdlN2kCRG8kg6bH3r0BrlNem9yhzr</v>
      </c>
    </row>
    <row r="28" spans="1:77" ht="12.5" hidden="1" x14ac:dyDescent="0.25">
      <c r="A28" s="21" t="str">
        <f ca="1">IFERROR(__xludf.DUMMYFUNCTION("""COMPUTED_VALUE"""),"0014P00003YSp9fQAD")</f>
        <v>0014P00003YSp9fQAD</v>
      </c>
      <c r="B28" s="27" t="str">
        <f ca="1">IFERROR(__xludf.DUMMYFUNCTION("""COMPUTED_VALUE"""),"Fase Inicial")</f>
        <v>Fase Inicial</v>
      </c>
      <c r="C28" s="27" t="str">
        <f ca="1">IFERROR(__xludf.DUMMYFUNCTION("""COMPUTED_VALUE"""),"Fellow")</f>
        <v>Fellow</v>
      </c>
      <c r="D28" s="27" t="str">
        <f ca="1">IFERROR(__xludf.DUMMYFUNCTION("""COMPUTED_VALUE"""),"Ativo")</f>
        <v>Ativo</v>
      </c>
      <c r="E28" s="27" t="str">
        <f ca="1">IFERROR(__xludf.DUMMYFUNCTION("""COMPUTED_VALUE"""),"Associação Beneficente Educacional Tabernaculo")</f>
        <v>Associação Beneficente Educacional Tabernaculo</v>
      </c>
      <c r="F28" s="27" t="str">
        <f ca="1">IFERROR(__xludf.DUMMYFUNCTION("""COMPUTED_VALUE"""),"Edna")</f>
        <v>Edna</v>
      </c>
      <c r="G28" s="27"/>
      <c r="H28" s="27" t="str">
        <f ca="1">IFERROR(__xludf.DUMMYFUNCTION("""COMPUTED_VALUE"""),"08.839.622/0001-10")</f>
        <v>08.839.622/0001-10</v>
      </c>
      <c r="I28" s="27" t="str">
        <f ca="1">IFERROR(__xludf.DUMMYFUNCTION("""COMPUTED_VALUE"""),"Edna Bezerra Padilha")</f>
        <v>Edna Bezerra Padilha</v>
      </c>
      <c r="J28" s="27" t="str">
        <f ca="1">IFERROR(__xludf.DUMMYFUNCTION("""COMPUTED_VALUE"""),"asstabernaculo@gmail.com")</f>
        <v>asstabernaculo@gmail.com</v>
      </c>
      <c r="K28" s="27" t="str">
        <f ca="1">IFERROR(__xludf.DUMMYFUNCTION("""COMPUTED_VALUE"""),"(11)98411-0132")</f>
        <v>(11)98411-0132</v>
      </c>
      <c r="L28" s="27" t="str">
        <f ca="1">IFERROR(__xludf.DUMMYFUNCTION("""COMPUTED_VALUE"""),"SP")</f>
        <v>SP</v>
      </c>
      <c r="M28" s="27" t="str">
        <f ca="1">IFERROR(__xludf.DUMMYFUNCTION("""COMPUTED_VALUE"""),"Rua Giacomo Quirino")</f>
        <v>Rua Giacomo Quirino</v>
      </c>
      <c r="N28" s="27" t="str">
        <f ca="1">IFERROR(__xludf.DUMMYFUNCTION("""COMPUTED_VALUE"""),"Itaquera")</f>
        <v>Itaquera</v>
      </c>
      <c r="O28" s="27">
        <f ca="1">IFERROR(__xludf.DUMMYFUNCTION("""COMPUTED_VALUE"""),76)</f>
        <v>76</v>
      </c>
      <c r="P28" s="27" t="str">
        <f ca="1">IFERROR(__xludf.DUMMYFUNCTION("""COMPUTED_VALUE"""),"São Paulo")</f>
        <v>São Paulo</v>
      </c>
      <c r="Q28" s="27" t="str">
        <f ca="1">IFERROR(__xludf.DUMMYFUNCTION("""COMPUTED_VALUE"""),"Sala D/E")</f>
        <v>Sala D/E</v>
      </c>
      <c r="R28" s="27" t="str">
        <f ca="1">IFERROR(__xludf.DUMMYFUNCTION("""COMPUTED_VALUE"""),"08255-490")</f>
        <v>08255-490</v>
      </c>
      <c r="S28" s="27"/>
      <c r="T28" s="27" t="str">
        <f ca="1">IFERROR(__xludf.DUMMYFUNCTION("""COMPUTED_VALUE"""),"Esporte; Educação; Empregabilidade; Assistência Social; Cultura; Empreendedorismo; Meio ambiente; Empoderamento Feminino; Negócios Sociais; Apoio à gestão de organizações de Terceiro Setor; Defesa de Direitos; Desenvolvimento comunitário")</f>
        <v>Esporte; Educação; Empregabilidade; Assistência Social; Cultura; Empreendedorismo; Meio ambiente; Empoderamento Feminino; Negócios Sociais; Apoio à gestão de organizações de Terceiro Setor; Defesa de Direitos; Desenvolvimento comunitário</v>
      </c>
      <c r="U28" s="27" t="str">
        <f ca="1">IFERROR(__xludf.DUMMYFUNCTION("""COMPUTED_VALUE"""),"Crianças bem pequenas (1 ano e 7 meses até 3 anos e 11 meses); Crianças pequenas (4 anos a 5 anos e 11 meses); Crianças (6 a 12 anos); Adolescentes (12 aos 18 anos); Jovens (18 aos 24 anos); Adultos")</f>
        <v>Crianças bem pequenas (1 ano e 7 meses até 3 anos e 11 meses); Crianças pequenas (4 anos a 5 anos e 11 meses); Crianças (6 a 12 anos); Adolescentes (12 aos 18 anos); Jovens (18 aos 24 anos); Adultos</v>
      </c>
      <c r="V28" s="27" t="str">
        <f ca="1">IFERROR(__xludf.DUMMYFUNCTION("""COMPUTED_VALUE"""),"Moradores de Favelas; Pessoas em situação de rua; Pessoas com Deficiência")</f>
        <v>Moradores de Favelas; Pessoas em situação de rua; Pessoas com Deficiência</v>
      </c>
      <c r="W28" s="27">
        <f ca="1">IFERROR(__xludf.DUMMYFUNCTION("""COMPUTED_VALUE"""),2)</f>
        <v>2</v>
      </c>
      <c r="X28" s="27" t="str">
        <f ca="1">IFERROR(__xludf.DUMMYFUNCTION("""COMPUTED_VALUE"""),"Atendemos famílias de extrema vulnerabilidade crianças com deficiências mulheres arrimo de família e pessoas com doenças crônicas.")</f>
        <v>Atendemos famílias de extrema vulnerabilidade crianças com deficiências mulheres arrimo de família e pessoas com doenças crônicas.</v>
      </c>
      <c r="Y28" s="27"/>
      <c r="Z28" s="27">
        <f ca="1">IFERROR(__xludf.DUMMYFUNCTION("""COMPUTED_VALUE"""),800)</f>
        <v>800</v>
      </c>
      <c r="AA28" s="29">
        <f ca="1">IFERROR(__xludf.DUMMYFUNCTION("""COMPUTED_VALUE"""),39116)</f>
        <v>39116</v>
      </c>
      <c r="AB28" s="27" t="str">
        <f ca="1">IFERROR(__xludf.DUMMYFUNCTION("""COMPUTED_VALUE"""),"Sim")</f>
        <v>Sim</v>
      </c>
      <c r="AC28" s="27">
        <f ca="1">IFERROR(__xludf.DUMMYFUNCTION("""COMPUTED_VALUE"""),0)</f>
        <v>0</v>
      </c>
      <c r="AD28" s="27">
        <f ca="1">IFERROR(__xludf.DUMMYFUNCTION("""COMPUTED_VALUE"""),2)</f>
        <v>2</v>
      </c>
      <c r="AE28" s="27">
        <f ca="1">IFERROR(__xludf.DUMMYFUNCTION("""COMPUTED_VALUE"""),6)</f>
        <v>6</v>
      </c>
      <c r="AF28" s="27">
        <f ca="1">IFERROR(__xludf.DUMMYFUNCTION("""COMPUTED_VALUE"""),8)</f>
        <v>8</v>
      </c>
      <c r="AG28" s="27">
        <f ca="1">IFERROR(__xludf.DUMMYFUNCTION("""COMPUTED_VALUE"""),2)</f>
        <v>2</v>
      </c>
      <c r="AH28" s="27" t="str">
        <f ca="1">IFERROR(__xludf.DUMMYFUNCTION("""COMPUTED_VALUE"""),"Recursos próprios")</f>
        <v>Recursos próprios</v>
      </c>
      <c r="AI28" s="32">
        <f ca="1">IFERROR(__xludf.DUMMYFUNCTION("""COMPUTED_VALUE"""),20)</f>
        <v>20</v>
      </c>
      <c r="AJ28" s="27"/>
      <c r="AK28" s="27"/>
      <c r="AL28" s="21" t="str">
        <f ca="1">IFERROR(__xludf.DUMMYFUNCTION("""COMPUTED_VALUE"""),"0034P000045kxkH")</f>
        <v>0034P000045kxkH</v>
      </c>
      <c r="AM28" s="27" t="str">
        <f ca="1">IFERROR(__xludf.DUMMYFUNCTION("""COMPUTED_VALUE"""),"Bezerra Padilha")</f>
        <v>Bezerra Padilha</v>
      </c>
      <c r="AN28" s="27" t="str">
        <f ca="1">IFERROR(__xludf.DUMMYFUNCTION("""COMPUTED_VALUE"""),"Ativo")</f>
        <v>Ativo</v>
      </c>
      <c r="AO28" s="30">
        <f ca="1">IFERROR(__xludf.DUMMYFUNCTION("""COMPUTED_VALUE"""),44551)</f>
        <v>44551</v>
      </c>
      <c r="AP28" s="27">
        <f ca="1">IFERROR(__xludf.DUMMYFUNCTION("""COMPUTED_VALUE"""),9)</f>
        <v>9</v>
      </c>
      <c r="AQ28" s="27" t="str">
        <f ca="1">IFERROR(__xludf.DUMMYFUNCTION("""COMPUTED_VALUE"""),"Segundo Semestre 2021")</f>
        <v>Segundo Semestre 2021</v>
      </c>
      <c r="AR28" s="27" t="str">
        <f ca="1">IFERROR(__xludf.DUMMYFUNCTION("""COMPUTED_VALUE"""),"asstabernaculo@gmail.com")</f>
        <v>asstabernaculo@gmail.com</v>
      </c>
      <c r="AS28" s="27" t="str">
        <f ca="1">IFERROR(__xludf.DUMMYFUNCTION("""COMPUTED_VALUE"""),"(11)98411-0132")</f>
        <v>(11)98411-0132</v>
      </c>
      <c r="AT28" s="29">
        <f ca="1">IFERROR(__xludf.DUMMYFUNCTION("""COMPUTED_VALUE"""),25976)</f>
        <v>25976</v>
      </c>
      <c r="AU28" s="27">
        <f ca="1">IFERROR(__xludf.DUMMYFUNCTION("""COMPUTED_VALUE"""),51)</f>
        <v>51</v>
      </c>
      <c r="AV28" s="27">
        <f ca="1">IFERROR(__xludf.DUMMYFUNCTION("""COMPUTED_VALUE"""),83425837400)</f>
        <v>83425837400</v>
      </c>
      <c r="AW28" s="27">
        <f ca="1">IFERROR(__xludf.DUMMYFUNCTION("""COMPUTED_VALUE"""),233272865)</f>
        <v>233272865</v>
      </c>
      <c r="AX28" s="27"/>
      <c r="AY28" s="27"/>
      <c r="AZ28" s="27" t="str">
        <f ca="1">IFERROR(__xludf.DUMMYFUNCTION("""COMPUTED_VALUE"""),"GG")</f>
        <v>GG</v>
      </c>
      <c r="BA28" s="27" t="str">
        <f ca="1">IFERROR(__xludf.DUMMYFUNCTION("""COMPUTED_VALUE"""),"Parda")</f>
        <v>Parda</v>
      </c>
      <c r="BB28" s="27" t="str">
        <f ca="1">IFERROR(__xludf.DUMMYFUNCTION("""COMPUTED_VALUE"""),"Mulher, cisgênero")</f>
        <v>Mulher, cisgênero</v>
      </c>
      <c r="BC28" s="27" t="str">
        <f ca="1">IFERROR(__xludf.DUMMYFUNCTION("""COMPUTED_VALUE"""),"Sim")</f>
        <v>Sim</v>
      </c>
      <c r="BD28" s="27" t="str">
        <f ca="1">IFERROR(__xludf.DUMMYFUNCTION("""COMPUTED_VALUE"""),"50 anos
Mãe da Evellyn, Gabrielly, Isabelly
Avó do  Pablo
Empreendedora Social
Ceo da Associação Tabernaculo
Idealizadora do Projeto Comida de Marmita
Idealizadora do Projeto de sustentabilidade Solo Limpo Natureza Fértil
Secretaria Geral da FEMESP
Direto"&amp;"ra coordenadora de projetos Associação FutAlegria
CEO RENOVE assessoria social
Filha de nordestinos, apaixonada pelas causas sociais a minha MISSÃO a verdadeira JORNADA de minha vida.")</f>
        <v>50 anos
Mãe da Evellyn, Gabrielly, Isabelly
Avó do  Pablo
Empreendedora Social
Ceo da Associação Tabernaculo
Idealizadora do Projeto Comida de Marmita
Idealizadora do Projeto de sustentabilidade Solo Limpo Natureza Fértil
Secretaria Geral da FEMESP
Diretora coordenadora de projetos Associação FutAlegria
CEO RENOVE assessoria social
Filha de nordestinos, apaixonada pelas causas sociais a minha MISSÃO a verdadeira JORNADA de minha vida.</v>
      </c>
      <c r="BE28" s="27"/>
      <c r="BF28" s="27" t="str">
        <f ca="1">IFERROR(__xludf.DUMMYFUNCTION("""COMPUTED_VALUE"""),"Heterossexual")</f>
        <v>Heterossexual</v>
      </c>
      <c r="BG28" s="27" t="str">
        <f ca="1">IFERROR(__xludf.DUMMYFUNCTION("""COMPUTED_VALUE"""),"Ensino Superior - Completo")</f>
        <v>Ensino Superior - Completo</v>
      </c>
      <c r="BH28" s="27" t="str">
        <f ca="1">IFERROR(__xludf.DUMMYFUNCTION("""COMPUTED_VALUE"""),"Público")</f>
        <v>Público</v>
      </c>
      <c r="BI28" s="27" t="str">
        <f ca="1">IFERROR(__xludf.DUMMYFUNCTION("""COMPUTED_VALUE"""),"Graduação")</f>
        <v>Graduação</v>
      </c>
      <c r="BJ28" s="27" t="str">
        <f ca="1">IFERROR(__xludf.DUMMYFUNCTION("""COMPUTED_VALUE"""),"Privado")</f>
        <v>Privado</v>
      </c>
      <c r="BK28" s="27" t="str">
        <f ca="1">IFERROR(__xludf.DUMMYFUNCTION("""COMPUTED_VALUE"""),"Rua Giovanni Quadri")</f>
        <v>Rua Giovanni Quadri</v>
      </c>
      <c r="BL28" s="27">
        <f ca="1">IFERROR(__xludf.DUMMYFUNCTION("""COMPUTED_VALUE"""),439)</f>
        <v>439</v>
      </c>
      <c r="BM28" s="27"/>
      <c r="BN28" s="27" t="str">
        <f ca="1">IFERROR(__xludf.DUMMYFUNCTION("""COMPUTED_VALUE"""),"São Paulo")</f>
        <v>São Paulo</v>
      </c>
      <c r="BO28" s="27" t="str">
        <f ca="1">IFERROR(__xludf.DUMMYFUNCTION("""COMPUTED_VALUE"""),"08255-500")</f>
        <v>08255-500</v>
      </c>
      <c r="BP28" s="27" t="str">
        <f ca="1">IFERROR(__xludf.DUMMYFUNCTION("""COMPUTED_VALUE"""),"SP")</f>
        <v>SP</v>
      </c>
      <c r="BQ28" s="27" t="str">
        <f ca="1">IFERROR(__xludf.DUMMYFUNCTION("""COMPUTED_VALUE"""),"Entre 1 até 3 salários mínimos")</f>
        <v>Entre 1 até 3 salários mínimos</v>
      </c>
      <c r="BR28" s="27" t="str">
        <f ca="1">IFERROR(__xludf.DUMMYFUNCTION("""COMPUTED_VALUE"""),"Desempregado")</f>
        <v>Desempregado</v>
      </c>
      <c r="BS28" s="27" t="str">
        <f ca="1">IFERROR(__xludf.DUMMYFUNCTION("""COMPUTED_VALUE"""),"Casa cedida")</f>
        <v>Casa cedida</v>
      </c>
      <c r="BT28" s="27">
        <f ca="1">IFERROR(__xludf.DUMMYFUNCTION("""COMPUTED_VALUE"""),2)</f>
        <v>2</v>
      </c>
      <c r="BU28" s="27" t="str">
        <f ca="1">IFERROR(__xludf.DUMMYFUNCTION("""COMPUTED_VALUE"""),"Não tem")</f>
        <v>Não tem</v>
      </c>
      <c r="BV28" s="27"/>
      <c r="BW28" s="21" t="str">
        <f ca="1">IFERROR(__xludf.DUMMYFUNCTION("""COMPUTED_VALUE"""),"https://www.linkedin.com/in/edna-padilha-93a183151/")</f>
        <v>https://www.linkedin.com/in/edna-padilha-93a183151/</v>
      </c>
      <c r="BX28" s="21" t="str">
        <f ca="1">IFERROR(__xludf.DUMMYFUNCTION("""COMPUTED_VALUE"""),"https://www.instagram.com/padilhaedna/")</f>
        <v>https://www.instagram.com/padilhaedna/</v>
      </c>
      <c r="BY28" s="21" t="str">
        <f ca="1">IFERROR(__xludf.DUMMYFUNCTION("""COMPUTED_VALUE"""),"https://drive.google.com/open?id=1NREC90Vapi9Pd3c3Qr7eTyVww-QgS0q5")</f>
        <v>https://drive.google.com/open?id=1NREC90Vapi9Pd3c3Qr7eTyVww-QgS0q5</v>
      </c>
    </row>
    <row r="29" spans="1:77" ht="12.5" x14ac:dyDescent="0.25">
      <c r="A29" s="21" t="str">
        <f ca="1">IFERROR(__xludf.DUMMYFUNCTION("""COMPUTED_VALUE"""),"0014X00002VKCtsQAH")</f>
        <v>0014X00002VKCtsQAH</v>
      </c>
      <c r="B29" s="27"/>
      <c r="C29" s="27" t="str">
        <f ca="1">IFERROR(__xludf.DUMMYFUNCTION("""COMPUTED_VALUE"""),"Fellow")</f>
        <v>Fellow</v>
      </c>
      <c r="D29" s="27" t="str">
        <f ca="1">IFERROR(__xludf.DUMMYFUNCTION("""COMPUTED_VALUE"""),"Ativo")</f>
        <v>Ativo</v>
      </c>
      <c r="E29" s="27" t="str">
        <f ca="1">IFERROR(__xludf.DUMMYFUNCTION("""COMPUTED_VALUE"""),"Associação Beneficente Evangélica da Floresta Imperial de Novo Hamburgo")</f>
        <v>Associação Beneficente Evangélica da Floresta Imperial de Novo Hamburgo</v>
      </c>
      <c r="F29" s="27" t="str">
        <f ca="1">IFERROR(__xludf.DUMMYFUNCTION("""COMPUTED_VALUE"""),"Fernandes")</f>
        <v>Fernandes</v>
      </c>
      <c r="G29" s="27" t="str">
        <f ca="1">IFERROR(__xludf.DUMMYFUNCTION("""COMPUTED_VALUE"""),"ABEFI LAR PADILHA")</f>
        <v>ABEFI LAR PADILHA</v>
      </c>
      <c r="H29" s="27" t="str">
        <f ca="1">IFERROR(__xludf.DUMMYFUNCTION("""COMPUTED_VALUE"""),"91.695.577/0002-00")</f>
        <v>91.695.577/0002-00</v>
      </c>
      <c r="I29" s="27" t="str">
        <f ca="1">IFERROR(__xludf.DUMMYFUNCTION("""COMPUTED_VALUE"""),"Rafael Eckardt")</f>
        <v>Rafael Eckardt</v>
      </c>
      <c r="J29" s="27" t="str">
        <f ca="1">IFERROR(__xludf.DUMMYFUNCTION("""COMPUTED_VALUE"""),"larpadilha@larpadilha.org.br")</f>
        <v>larpadilha@larpadilha.org.br</v>
      </c>
      <c r="K29" s="27"/>
      <c r="L29" s="27" t="str">
        <f ca="1">IFERROR(__xludf.DUMMYFUNCTION("""COMPUTED_VALUE"""),"RS")</f>
        <v>RS</v>
      </c>
      <c r="M29" s="27" t="str">
        <f ca="1">IFERROR(__xludf.DUMMYFUNCTION("""COMPUTED_VALUE"""),"Estrada Passo da Ilha")</f>
        <v>Estrada Passo da Ilha</v>
      </c>
      <c r="N29" s="27" t="str">
        <f ca="1">IFERROR(__xludf.DUMMYFUNCTION("""COMPUTED_VALUE"""),"Padilha")</f>
        <v>Padilha</v>
      </c>
      <c r="O29" s="27">
        <f ca="1">IFERROR(__xludf.DUMMYFUNCTION("""COMPUTED_VALUE"""),320)</f>
        <v>320</v>
      </c>
      <c r="P29" s="27" t="str">
        <f ca="1">IFERROR(__xludf.DUMMYFUNCTION("""COMPUTED_VALUE"""),"Taquara")</f>
        <v>Taquara</v>
      </c>
      <c r="Q29" s="27"/>
      <c r="R29" s="27" t="str">
        <f ca="1">IFERROR(__xludf.DUMMYFUNCTION("""COMPUTED_VALUE"""),"95615-000")</f>
        <v>95615-000</v>
      </c>
      <c r="S29" s="27"/>
      <c r="T29" s="27"/>
      <c r="U29" s="27"/>
      <c r="V29" s="27"/>
      <c r="W29" s="27">
        <f ca="1">IFERROR(__xludf.DUMMYFUNCTION("""COMPUTED_VALUE"""),5)</f>
        <v>5</v>
      </c>
      <c r="X29" s="27"/>
      <c r="Y29" s="27"/>
      <c r="Z29" s="27">
        <f ca="1">IFERROR(__xludf.DUMMYFUNCTION("""COMPUTED_VALUE"""),216)</f>
        <v>216</v>
      </c>
      <c r="AA29" s="29">
        <f ca="1">IFERROR(__xludf.DUMMYFUNCTION("""COMPUTED_VALUE"""),28767)</f>
        <v>28767</v>
      </c>
      <c r="AB29" s="27" t="str">
        <f ca="1">IFERROR(__xludf.DUMMYFUNCTION("""COMPUTED_VALUE"""),"Sim")</f>
        <v>Sim</v>
      </c>
      <c r="AC29" s="27">
        <f ca="1">IFERROR(__xludf.DUMMYFUNCTION("""COMPUTED_VALUE"""),52)</f>
        <v>52</v>
      </c>
      <c r="AD29" s="27"/>
      <c r="AE29" s="27">
        <f ca="1">IFERROR(__xludf.DUMMYFUNCTION("""COMPUTED_VALUE"""),1)</f>
        <v>1</v>
      </c>
      <c r="AF29" s="27"/>
      <c r="AG29" s="27">
        <f ca="1">IFERROR(__xludf.DUMMYFUNCTION("""COMPUTED_VALUE"""),15)</f>
        <v>15</v>
      </c>
      <c r="AH29" s="27"/>
      <c r="AI29" s="27"/>
      <c r="AJ29" s="27" t="str">
        <f ca="1">IFERROR(__xludf.DUMMYFUNCTION("""COMPUTED_VALUE"""),"Sim")</f>
        <v>Sim</v>
      </c>
      <c r="AK29" s="27"/>
      <c r="AL29" s="21" t="str">
        <f ca="1">IFERROR(__xludf.DUMMYFUNCTION("""COMPUTED_VALUE"""),"0034X0000380O2q")</f>
        <v>0034X0000380O2q</v>
      </c>
      <c r="AM29" s="27" t="str">
        <f ca="1">IFERROR(__xludf.DUMMYFUNCTION("""COMPUTED_VALUE"""),"Vieira dos santos")</f>
        <v>Vieira dos santos</v>
      </c>
      <c r="AN29" s="27" t="str">
        <f ca="1">IFERROR(__xludf.DUMMYFUNCTION("""COMPUTED_VALUE"""),"Ativo")</f>
        <v>Ativo</v>
      </c>
      <c r="AO29" s="29">
        <f ca="1">IFERROR(__xludf.DUMMYFUNCTION("""COMPUTED_VALUE"""),44763)</f>
        <v>44763</v>
      </c>
      <c r="AP29" s="27">
        <f ca="1">IFERROR(__xludf.DUMMYFUNCTION("""COMPUTED_VALUE"""),2)</f>
        <v>2</v>
      </c>
      <c r="AQ29" s="27" t="str">
        <f ca="1">IFERROR(__xludf.DUMMYFUNCTION("""COMPUTED_VALUE"""),"Primeiro Semestre 2022")</f>
        <v>Primeiro Semestre 2022</v>
      </c>
      <c r="AR29" s="27" t="str">
        <f ca="1">IFERROR(__xludf.DUMMYFUNCTION("""COMPUTED_VALUE"""),"fernandes1208@gmail.com")</f>
        <v>fernandes1208@gmail.com</v>
      </c>
      <c r="AS29" s="27">
        <f ca="1">IFERROR(__xludf.DUMMYFUNCTION("""COMPUTED_VALUE"""),51996090642)</f>
        <v>51996090642</v>
      </c>
      <c r="AT29" s="29">
        <f ca="1">IFERROR(__xludf.DUMMYFUNCTION("""COMPUTED_VALUE"""),29080)</f>
        <v>29080</v>
      </c>
      <c r="AU29" s="27">
        <f ca="1">IFERROR(__xludf.DUMMYFUNCTION("""COMPUTED_VALUE"""),43)</f>
        <v>43</v>
      </c>
      <c r="AV29" s="27">
        <f ca="1">IFERROR(__xludf.DUMMYFUNCTION("""COMPUTED_VALUE"""),66754780010)</f>
        <v>66754780010</v>
      </c>
      <c r="AW29" s="27">
        <f ca="1">IFERROR(__xludf.DUMMYFUNCTION("""COMPUTED_VALUE"""),9059133398)</f>
        <v>9059133398</v>
      </c>
      <c r="AX29" s="27"/>
      <c r="AY29" s="27"/>
      <c r="AZ29" s="27" t="str">
        <f ca="1">IFERROR(__xludf.DUMMYFUNCTION("""COMPUTED_VALUE"""),"G2")</f>
        <v>G2</v>
      </c>
      <c r="BA29" s="27" t="str">
        <f ca="1">IFERROR(__xludf.DUMMYFUNCTION("""COMPUTED_VALUE"""),"Branca")</f>
        <v>Branca</v>
      </c>
      <c r="BB29" s="27"/>
      <c r="BC29" s="27"/>
      <c r="BD29" s="27" t="str">
        <f ca="1">IFERROR(__xludf.DUMMYFUNCTION("""COMPUTED_VALUE"""),"Sou educador social* já lecionei no ensino fundamental e supletivo de ensino medio* fui conselheiro tutelar* atualmento sou gestor social na ABEFI Lar Padilha*  organização social que realiza acolhimento institucional de crianças* adolescentes e jovens na"&amp;" modalidade de Republica. Sou formado em Direito* cursei um tempo Filosofia e atualmente sou acadêmico de Mestrado em Desenvolvimento Regional na Faccat. Sou casado e tenho duas filhas do coração* e no meu tempo livre gosto de ficar em casa com minha famí"&amp;"lia ou fazendo passeios com ela.")</f>
        <v>Sou educador social* já lecionei no ensino fundamental e supletivo de ensino medio* fui conselheiro tutelar* atualmento sou gestor social na ABEFI Lar Padilha*  organização social que realiza acolhimento institucional de crianças* adolescentes e jovens na modalidade de Republica. Sou formado em Direito* cursei um tempo Filosofia e atualmente sou acadêmico de Mestrado em Desenvolvimento Regional na Faccat. Sou casado e tenho duas filhas do coração* e no meu tempo livre gosto de ficar em casa com minha família ou fazendo passeios com ela.</v>
      </c>
      <c r="BE29" s="27" t="str">
        <f ca="1">IFERROR(__xludf.DUMMYFUNCTION("""COMPUTED_VALUE"""),"Masculino")</f>
        <v>Masculino</v>
      </c>
      <c r="BF29" s="27" t="str">
        <f ca="1">IFERROR(__xludf.DUMMYFUNCTION("""COMPUTED_VALUE"""),"Heterossexual")</f>
        <v>Heterossexual</v>
      </c>
      <c r="BG29" s="27"/>
      <c r="BH29" s="27" t="str">
        <f ca="1">IFERROR(__xludf.DUMMYFUNCTION("""COMPUTED_VALUE"""),"Público")</f>
        <v>Público</v>
      </c>
      <c r="BI29" s="27" t="str">
        <f ca="1">IFERROR(__xludf.DUMMYFUNCTION("""COMPUTED_VALUE"""),"Graduação")</f>
        <v>Graduação</v>
      </c>
      <c r="BJ29" s="27" t="str">
        <f ca="1">IFERROR(__xludf.DUMMYFUNCTION("""COMPUTED_VALUE"""),"Privado")</f>
        <v>Privado</v>
      </c>
      <c r="BK29" s="27" t="str">
        <f ca="1">IFERROR(__xludf.DUMMYFUNCTION("""COMPUTED_VALUE"""),"Rua Marechal Rondon")</f>
        <v>Rua Marechal Rondon</v>
      </c>
      <c r="BL29" s="27">
        <f ca="1">IFERROR(__xludf.DUMMYFUNCTION("""COMPUTED_VALUE"""),1330)</f>
        <v>1330</v>
      </c>
      <c r="BM29" s="27"/>
      <c r="BN29" s="27"/>
      <c r="BO29" s="27">
        <f ca="1">IFERROR(__xludf.DUMMYFUNCTION("""COMPUTED_VALUE"""),95601358)</f>
        <v>95601358</v>
      </c>
      <c r="BP29" s="27" t="str">
        <f ca="1">IFERROR(__xludf.DUMMYFUNCTION("""COMPUTED_VALUE"""),"RS")</f>
        <v>RS</v>
      </c>
      <c r="BQ29" s="27" t="str">
        <f ca="1">IFERROR(__xludf.DUMMYFUNCTION("""COMPUTED_VALUE"""),"De 3 até 5 salários mínimos")</f>
        <v>De 3 até 5 salários mínimos</v>
      </c>
      <c r="BR29" s="27" t="str">
        <f ca="1">IFERROR(__xludf.DUMMYFUNCTION("""COMPUTED_VALUE"""),"CLT")</f>
        <v>CLT</v>
      </c>
      <c r="BS29" s="27" t="str">
        <f ca="1">IFERROR(__xludf.DUMMYFUNCTION("""COMPUTED_VALUE"""),"Casa própria")</f>
        <v>Casa própria</v>
      </c>
      <c r="BT29" s="27">
        <f ca="1">IFERROR(__xludf.DUMMYFUNCTION("""COMPUTED_VALUE"""),4)</f>
        <v>4</v>
      </c>
      <c r="BU29" s="27" t="str">
        <f ca="1">IFERROR(__xludf.DUMMYFUNCTION("""COMPUTED_VALUE"""),"Não tem")</f>
        <v>Não tem</v>
      </c>
      <c r="BV29" s="27" t="str">
        <f ca="1">IFERROR(__xludf.DUMMYFUNCTION("""COMPUTED_VALUE"""),"Não")</f>
        <v>Não</v>
      </c>
      <c r="BW29" s="27"/>
      <c r="BX29" s="27"/>
      <c r="BY29" s="21" t="str">
        <f ca="1">IFERROR(__xludf.DUMMYFUNCTION("""COMPUTED_VALUE"""),"https://drive.google.com/open?id=1PgWD4jcAcrOt_AZvc55tkme3sK6f0_6_")</f>
        <v>https://drive.google.com/open?id=1PgWD4jcAcrOt_AZvc55tkme3sK6f0_6_</v>
      </c>
    </row>
    <row r="30" spans="1:77" ht="12.5" hidden="1" x14ac:dyDescent="0.25">
      <c r="A30" s="21" t="str">
        <f ca="1">IFERROR(__xludf.DUMMYFUNCTION("""COMPUTED_VALUE"""),"0014X00002VKCtIQAX")</f>
        <v>0014X00002VKCtIQAX</v>
      </c>
      <c r="B30" s="27" t="str">
        <f ca="1">IFERROR(__xludf.DUMMYFUNCTION("""COMPUTED_VALUE"""),"Fase Inicial")</f>
        <v>Fase Inicial</v>
      </c>
      <c r="C30" s="27" t="str">
        <f ca="1">IFERROR(__xludf.DUMMYFUNCTION("""COMPUTED_VALUE"""),"Fellow")</f>
        <v>Fellow</v>
      </c>
      <c r="D30" s="27" t="str">
        <f ca="1">IFERROR(__xludf.DUMMYFUNCTION("""COMPUTED_VALUE"""),"Ativo")</f>
        <v>Ativo</v>
      </c>
      <c r="E30" s="27" t="str">
        <f ca="1">IFERROR(__xludf.DUMMYFUNCTION("""COMPUTED_VALUE"""),"Associação Beneficente HEBROM (Núcleo Tefé AM)")</f>
        <v>Associação Beneficente HEBROM (Núcleo Tefé AM)</v>
      </c>
      <c r="F30" s="27" t="str">
        <f ca="1">IFERROR(__xludf.DUMMYFUNCTION("""COMPUTED_VALUE"""),"Débora")</f>
        <v>Débora</v>
      </c>
      <c r="G30" s="27" t="str">
        <f ca="1">IFERROR(__xludf.DUMMYFUNCTION("""COMPUTED_VALUE"""),"HEBROM")</f>
        <v>HEBROM</v>
      </c>
      <c r="H30" s="27" t="str">
        <f ca="1">IFERROR(__xludf.DUMMYFUNCTION("""COMPUTED_VALUE"""),"24.920.607/0002-39")</f>
        <v>24.920.607/0002-39</v>
      </c>
      <c r="I30" s="27" t="str">
        <f ca="1">IFERROR(__xludf.DUMMYFUNCTION("""COMPUTED_VALUE"""),"Sergio Simas Teixeira")</f>
        <v>Sergio Simas Teixeira</v>
      </c>
      <c r="J30" s="27" t="str">
        <f ca="1">IFERROR(__xludf.DUMMYFUNCTION("""COMPUTED_VALUE"""),"contato@hebrombahia.com.br")</f>
        <v>contato@hebrombahia.com.br</v>
      </c>
      <c r="K30" s="27" t="str">
        <f ca="1">IFERROR(__xludf.DUMMYFUNCTION("""COMPUTED_VALUE"""),"(71)99735-2128")</f>
        <v>(71)99735-2128</v>
      </c>
      <c r="L30" s="27" t="str">
        <f ca="1">IFERROR(__xludf.DUMMYFUNCTION("""COMPUTED_VALUE"""),"BA")</f>
        <v>BA</v>
      </c>
      <c r="M30" s="27" t="str">
        <f ca="1">IFERROR(__xludf.DUMMYFUNCTION("""COMPUTED_VALUE"""),"2A Travessa Pedro Gama")</f>
        <v>2A Travessa Pedro Gama</v>
      </c>
      <c r="N30" s="27" t="str">
        <f ca="1">IFERROR(__xludf.DUMMYFUNCTION("""COMPUTED_VALUE"""),"Bairro Federação")</f>
        <v>Bairro Federação</v>
      </c>
      <c r="O30" s="27" t="str">
        <f ca="1">IFERROR(__xludf.DUMMYFUNCTION("""COMPUTED_VALUE"""),"S/n")</f>
        <v>S/n</v>
      </c>
      <c r="P30" s="27" t="str">
        <f ca="1">IFERROR(__xludf.DUMMYFUNCTION("""COMPUTED_VALUE"""),"Salvador")</f>
        <v>Salvador</v>
      </c>
      <c r="Q30" s="27"/>
      <c r="R30" s="27" t="str">
        <f ca="1">IFERROR(__xludf.DUMMYFUNCTION("""COMPUTED_VALUE"""),"40301-110")</f>
        <v>40301-110</v>
      </c>
      <c r="S30" s="27" t="str">
        <f ca="1">IFERROR(__xludf.DUMMYFUNCTION("""COMPUTED_VALUE"""),"Além  do espaço  da HEBROM  na Rua Engenheiro  José  Anasoh,  Bairro Campinas de Brotas - Salvador-BA. 
Temos espaço  dentro do Centro Social Urbano  no Bairro da Federação  o CSU é  um aparelho do Governo  do Estado da Bahia, onde temos termo de Cessão  "&amp;"assinado.")</f>
        <v>Além  do espaço  da HEBROM  na Rua Engenheiro  José  Anasoh,  Bairro Campinas de Brotas - Salvador-BA. 
Temos espaço  dentro do Centro Social Urbano  no Bairro da Federação  o CSU é  um aparelho do Governo  do Estado da Bahia, onde temos termo de Cessão  assinado.</v>
      </c>
      <c r="T30" s="27"/>
      <c r="U30" s="27" t="str">
        <f ca="1">IFERROR(__xludf.DUMMYFUNCTION("""COMPUTED_VALUE"""),"Crianças (6 a 12 anos), Adolescentes (12 aos 18 anos), Jovens (18 aos 24 anos), Adultos, Idosos (60 anos ou mais)")</f>
        <v>Crianças (6 a 12 anos), Adolescentes (12 aos 18 anos), Jovens (18 aos 24 anos), Adultos, Idosos (60 anos ou mais)</v>
      </c>
      <c r="V30" s="27" t="str">
        <f ca="1">IFERROR(__xludf.DUMMYFUNCTION("""COMPUTED_VALUE"""),"Moradores de Favelas, Pessoas em situação de rua, População LGBTQ+, Povos Indígenas, Ribeirinhos, Comunidade rural, Outros")</f>
        <v>Moradores de Favelas, Pessoas em situação de rua, População LGBTQ+, Povos Indígenas, Ribeirinhos, Comunidade rural, Outros</v>
      </c>
      <c r="W30" s="27">
        <f ca="1">IFERROR(__xludf.DUMMYFUNCTION("""COMPUTED_VALUE"""),8)</f>
        <v>8</v>
      </c>
      <c r="X30" s="27"/>
      <c r="Y30" s="27"/>
      <c r="Z30" s="27">
        <f ca="1">IFERROR(__xludf.DUMMYFUNCTION("""COMPUTED_VALUE"""),0)</f>
        <v>0</v>
      </c>
      <c r="AA30" s="29">
        <f ca="1">IFERROR(__xludf.DUMMYFUNCTION("""COMPUTED_VALUE"""),41702)</f>
        <v>41702</v>
      </c>
      <c r="AB30" s="27" t="str">
        <f ca="1">IFERROR(__xludf.DUMMYFUNCTION("""COMPUTED_VALUE"""),"Sim")</f>
        <v>Sim</v>
      </c>
      <c r="AC30" s="27">
        <f ca="1">IFERROR(__xludf.DUMMYFUNCTION("""COMPUTED_VALUE"""),0)</f>
        <v>0</v>
      </c>
      <c r="AD30" s="27">
        <f ca="1">IFERROR(__xludf.DUMMYFUNCTION("""COMPUTED_VALUE"""),20)</f>
        <v>20</v>
      </c>
      <c r="AE30" s="27">
        <f ca="1">IFERROR(__xludf.DUMMYFUNCTION("""COMPUTED_VALUE"""),26)</f>
        <v>26</v>
      </c>
      <c r="AF30" s="27">
        <f ca="1">IFERROR(__xludf.DUMMYFUNCTION("""COMPUTED_VALUE"""),20)</f>
        <v>20</v>
      </c>
      <c r="AG30" s="27">
        <f ca="1">IFERROR(__xludf.DUMMYFUNCTION("""COMPUTED_VALUE"""),6)</f>
        <v>6</v>
      </c>
      <c r="AH30" s="27" t="str">
        <f ca="1">IFERROR(__xludf.DUMMYFUNCTION("""COMPUTED_VALUE"""),"Eventos/Ações para captação, Plataforma doação online - Pessoa Física, Editais, Outro(s), Doações, Recursos próprios")</f>
        <v>Eventos/Ações para captação, Plataforma doação online - Pessoa Física, Editais, Outro(s), Doações, Recursos próprios</v>
      </c>
      <c r="AI30" s="27" t="str">
        <f ca="1">IFERROR(__xludf.DUMMYFUNCTION("""COMPUTED_VALUE"""),"50%  Eventos/ações para captação; 30% Plataforma de doações online, 10% Editais,5% doações e 5% Recursos próprios.")</f>
        <v>50%  Eventos/ações para captação; 30% Plataforma de doações online, 10% Editais,5% doações e 5% Recursos próprios.</v>
      </c>
      <c r="AJ30" s="27" t="str">
        <f ca="1">IFERROR(__xludf.DUMMYFUNCTION("""COMPUTED_VALUE"""),"Sim")</f>
        <v>Sim</v>
      </c>
      <c r="AK30" s="27"/>
      <c r="AL30" s="21" t="str">
        <f ca="1">IFERROR(__xludf.DUMMYFUNCTION("""COMPUTED_VALUE"""),"0034X0000380O4b")</f>
        <v>0034X0000380O4b</v>
      </c>
      <c r="AM30" s="27" t="str">
        <f ca="1">IFERROR(__xludf.DUMMYFUNCTION("""COMPUTED_VALUE"""),"Conrado dos anjos")</f>
        <v>Conrado dos anjos</v>
      </c>
      <c r="AN30" s="27" t="str">
        <f ca="1">IFERROR(__xludf.DUMMYFUNCTION("""COMPUTED_VALUE"""),"Ativo")</f>
        <v>Ativo</v>
      </c>
      <c r="AO30" s="29">
        <f ca="1">IFERROR(__xludf.DUMMYFUNCTION("""COMPUTED_VALUE"""),44763)</f>
        <v>44763</v>
      </c>
      <c r="AP30" s="27">
        <f ca="1">IFERROR(__xludf.DUMMYFUNCTION("""COMPUTED_VALUE"""),2)</f>
        <v>2</v>
      </c>
      <c r="AQ30" s="27" t="str">
        <f ca="1">IFERROR(__xludf.DUMMYFUNCTION("""COMPUTED_VALUE"""),"Primeiro Semestre 2022")</f>
        <v>Primeiro Semestre 2022</v>
      </c>
      <c r="AR30" s="27" t="str">
        <f ca="1">IFERROR(__xludf.DUMMYFUNCTION("""COMPUTED_VALUE"""),"dosanjosdebora1997@gmail.com")</f>
        <v>dosanjosdebora1997@gmail.com</v>
      </c>
      <c r="AS30" s="27">
        <f ca="1">IFERROR(__xludf.DUMMYFUNCTION("""COMPUTED_VALUE"""),97981061128)</f>
        <v>97981061128</v>
      </c>
      <c r="AT30" s="29">
        <f ca="1">IFERROR(__xludf.DUMMYFUNCTION("""COMPUTED_VALUE"""),35671)</f>
        <v>35671</v>
      </c>
      <c r="AU30" s="27">
        <f ca="1">IFERROR(__xludf.DUMMYFUNCTION("""COMPUTED_VALUE"""),25)</f>
        <v>25</v>
      </c>
      <c r="AV30" s="27">
        <f ca="1">IFERROR(__xludf.DUMMYFUNCTION("""COMPUTED_VALUE"""),3414529203)</f>
        <v>3414529203</v>
      </c>
      <c r="AW30" s="27">
        <f ca="1">IFERROR(__xludf.DUMMYFUNCTION("""COMPUTED_VALUE"""),28871812)</f>
        <v>28871812</v>
      </c>
      <c r="AX30" s="27"/>
      <c r="AY30" s="27"/>
      <c r="AZ30" s="27" t="str">
        <f ca="1">IFERROR(__xludf.DUMMYFUNCTION("""COMPUTED_VALUE"""),"M")</f>
        <v>M</v>
      </c>
      <c r="BA30" s="27" t="str">
        <f ca="1">IFERROR(__xludf.DUMMYFUNCTION("""COMPUTED_VALUE"""),"Parda")</f>
        <v>Parda</v>
      </c>
      <c r="BB30" s="27"/>
      <c r="BC30" s="27"/>
      <c r="BD30" s="27" t="str">
        <f ca="1">IFERROR(__xludf.DUMMYFUNCTION("""COMPUTED_VALUE"""),"Sou Evangélica* casada* mãe de um menino de 3 anos*sou técnica de Administração e técnica de análises clinicas* trabalho em um projeto social chamado Associação Beneficente HEBROM Núcleo Tefé. Que tem o objetivo de ajudar crianças* adolescentes* Jovens* i"&amp;"dosos e familiares de vulnerabilidade social.")</f>
        <v>Sou Evangélica* casada* mãe de um menino de 3 anos*sou técnica de Administração e técnica de análises clinicas* trabalho em um projeto social chamado Associação Beneficente HEBROM Núcleo Tefé. Que tem o objetivo de ajudar crianças* adolescentes* Jovens* idosos e familiares de vulnerabilidade social.</v>
      </c>
      <c r="BE30" s="27" t="str">
        <f ca="1">IFERROR(__xludf.DUMMYFUNCTION("""COMPUTED_VALUE"""),"Feminino")</f>
        <v>Feminino</v>
      </c>
      <c r="BF30" s="27" t="str">
        <f ca="1">IFERROR(__xludf.DUMMYFUNCTION("""COMPUTED_VALUE"""),"Heterossexual")</f>
        <v>Heterossexual</v>
      </c>
      <c r="BG30" s="27"/>
      <c r="BH30" s="27" t="str">
        <f ca="1">IFERROR(__xludf.DUMMYFUNCTION("""COMPUTED_VALUE"""),"Público")</f>
        <v>Público</v>
      </c>
      <c r="BI30" s="27"/>
      <c r="BJ30" s="27"/>
      <c r="BK30" s="27" t="str">
        <f ca="1">IFERROR(__xludf.DUMMYFUNCTION("""COMPUTED_VALUE"""),"Minas gerais")</f>
        <v>Minas gerais</v>
      </c>
      <c r="BL30" s="27">
        <f ca="1">IFERROR(__xludf.DUMMYFUNCTION("""COMPUTED_VALUE"""),725)</f>
        <v>725</v>
      </c>
      <c r="BM30" s="27"/>
      <c r="BN30" s="27"/>
      <c r="BO30" s="27">
        <f ca="1">IFERROR(__xludf.DUMMYFUNCTION("""COMPUTED_VALUE"""),69550300)</f>
        <v>69550300</v>
      </c>
      <c r="BP30" s="27" t="str">
        <f ca="1">IFERROR(__xludf.DUMMYFUNCTION("""COMPUTED_VALUE"""),"AM")</f>
        <v>AM</v>
      </c>
      <c r="BQ30" s="27" t="str">
        <f ca="1">IFERROR(__xludf.DUMMYFUNCTION("""COMPUTED_VALUE"""),"Entre 1 até 3 salários mínimos")</f>
        <v>Entre 1 até 3 salários mínimos</v>
      </c>
      <c r="BR30" s="27" t="str">
        <f ca="1">IFERROR(__xludf.DUMMYFUNCTION("""COMPUTED_VALUE"""),"Funcionário Público")</f>
        <v>Funcionário Público</v>
      </c>
      <c r="BS30" s="27" t="str">
        <f ca="1">IFERROR(__xludf.DUMMYFUNCTION("""COMPUTED_VALUE"""),"Casa própria")</f>
        <v>Casa própria</v>
      </c>
      <c r="BT30" s="27">
        <f ca="1">IFERROR(__xludf.DUMMYFUNCTION("""COMPUTED_VALUE"""),2)</f>
        <v>2</v>
      </c>
      <c r="BU30" s="27" t="str">
        <f ca="1">IFERROR(__xludf.DUMMYFUNCTION("""COMPUTED_VALUE"""),"Não tem")</f>
        <v>Não tem</v>
      </c>
      <c r="BV30" s="27" t="str">
        <f ca="1">IFERROR(__xludf.DUMMYFUNCTION("""COMPUTED_VALUE"""),"Não")</f>
        <v>Não</v>
      </c>
      <c r="BW30" s="27"/>
      <c r="BX30" s="21" t="str">
        <f ca="1">IFERROR(__xludf.DUMMYFUNCTION("""COMPUTED_VALUE"""),"https://www.instagram.com/p/CD69O5aJJQcyaGWi7B_WZ63PT1Sfqgo1fluElo0/?utm_medium=copy_link")</f>
        <v>https://www.instagram.com/p/CD69O5aJJQcyaGWi7B_WZ63PT1Sfqgo1fluElo0/?utm_medium=copy_link</v>
      </c>
      <c r="BY30" s="21" t="str">
        <f ca="1">IFERROR(__xludf.DUMMYFUNCTION("""COMPUTED_VALUE"""),"https://drive.google.com/open?id=1GLRGvo2xNpS1W7WOBVMItIZ0qBZukkIe")</f>
        <v>https://drive.google.com/open?id=1GLRGvo2xNpS1W7WOBVMItIZ0qBZukkIe</v>
      </c>
    </row>
    <row r="31" spans="1:77" ht="12.5" hidden="1" x14ac:dyDescent="0.25">
      <c r="A31" s="21" t="str">
        <f ca="1">IFERROR(__xludf.DUMMYFUNCTION("""COMPUTED_VALUE"""),"0014X00002VKCuIQAX")</f>
        <v>0014X00002VKCuIQAX</v>
      </c>
      <c r="B31" s="27" t="str">
        <f ca="1">IFERROR(__xludf.DUMMYFUNCTION("""COMPUTED_VALUE"""),"Fase Inicial")</f>
        <v>Fase Inicial</v>
      </c>
      <c r="C31" s="27" t="str">
        <f ca="1">IFERROR(__xludf.DUMMYFUNCTION("""COMPUTED_VALUE"""),"Fellow")</f>
        <v>Fellow</v>
      </c>
      <c r="D31" s="27" t="str">
        <f ca="1">IFERROR(__xludf.DUMMYFUNCTION("""COMPUTED_VALUE"""),"Ativo")</f>
        <v>Ativo</v>
      </c>
      <c r="E31" s="27" t="str">
        <f ca="1">IFERROR(__xludf.DUMMYFUNCTION("""COMPUTED_VALUE"""),"Associação Beneficente Raul das Tintas")</f>
        <v>Associação Beneficente Raul das Tintas</v>
      </c>
      <c r="F31" s="27" t="str">
        <f ca="1">IFERROR(__xludf.DUMMYFUNCTION("""COMPUTED_VALUE"""),"Alison")</f>
        <v>Alison</v>
      </c>
      <c r="G31" s="27" t="str">
        <f ca="1">IFERROR(__xludf.DUMMYFUNCTION("""COMPUTED_VALUE"""),"ASSOCIAÇÃO BENEFICENTE RAUL DAS TINTAS")</f>
        <v>ASSOCIAÇÃO BENEFICENTE RAUL DAS TINTAS</v>
      </c>
      <c r="H31" s="27" t="str">
        <f ca="1">IFERROR(__xludf.DUMMYFUNCTION("""COMPUTED_VALUE"""),"13.013.019/0001-14")</f>
        <v>13.013.019/0001-14</v>
      </c>
      <c r="I31" s="27" t="str">
        <f ca="1">IFERROR(__xludf.DUMMYFUNCTION("""COMPUTED_VALUE"""),"Alison Alex dos Santos")</f>
        <v>Alison Alex dos Santos</v>
      </c>
      <c r="J31" s="27" t="str">
        <f ca="1">IFERROR(__xludf.DUMMYFUNCTION("""COMPUTED_VALUE"""),"araultintas@gmail.com")</f>
        <v>araultintas@gmail.com</v>
      </c>
      <c r="K31" s="27" t="str">
        <f ca="1">IFERROR(__xludf.DUMMYFUNCTION("""COMPUTED_VALUE"""),"(11)98178-1083")</f>
        <v>(11)98178-1083</v>
      </c>
      <c r="L31" s="27" t="str">
        <f ca="1">IFERROR(__xludf.DUMMYFUNCTION("""COMPUTED_VALUE"""),"SP")</f>
        <v>SP</v>
      </c>
      <c r="M31" s="27" t="str">
        <f ca="1">IFERROR(__xludf.DUMMYFUNCTION("""COMPUTED_VALUE"""),"Rua dos banqueiros")</f>
        <v>Rua dos banqueiros</v>
      </c>
      <c r="N31" s="27" t="str">
        <f ca="1">IFERROR(__xludf.DUMMYFUNCTION("""COMPUTED_VALUE"""),"Vila bancária")</f>
        <v>Vila bancária</v>
      </c>
      <c r="O31" s="27">
        <f ca="1">IFERROR(__xludf.DUMMYFUNCTION("""COMPUTED_VALUE"""),177)</f>
        <v>177</v>
      </c>
      <c r="P31" s="27" t="str">
        <f ca="1">IFERROR(__xludf.DUMMYFUNCTION("""COMPUTED_VALUE"""),"São Paulo")</f>
        <v>São Paulo</v>
      </c>
      <c r="Q31" s="27"/>
      <c r="R31" s="27" t="str">
        <f ca="1">IFERROR(__xludf.DUMMYFUNCTION("""COMPUTED_VALUE"""),"03918-050")</f>
        <v>03918-050</v>
      </c>
      <c r="S31" s="27"/>
      <c r="T31" s="27"/>
      <c r="U31" s="27" t="str">
        <f ca="1">IFERROR(__xludf.DUMMYFUNCTION("""COMPUTED_VALUE"""),"Crianças (6 a 12 anos), Adolescentes (12 aos 18 anos), Jovens (18 aos 24 anos), Adultos, Idosos (60 anos ou mais)")</f>
        <v>Crianças (6 a 12 anos), Adolescentes (12 aos 18 anos), Jovens (18 aos 24 anos), Adultos, Idosos (60 anos ou mais)</v>
      </c>
      <c r="V31" s="27" t="str">
        <f ca="1">IFERROR(__xludf.DUMMYFUNCTION("""COMPUTED_VALUE"""),"Moradores de Favelas, Outros")</f>
        <v>Moradores de Favelas, Outros</v>
      </c>
      <c r="W31" s="27">
        <f ca="1">IFERROR(__xludf.DUMMYFUNCTION("""COMPUTED_VALUE"""),3)</f>
        <v>3</v>
      </c>
      <c r="X31" s="27" t="str">
        <f ca="1">IFERROR(__xludf.DUMMYFUNCTION("""COMPUTED_VALUE"""),"Atendemos comunidades adjecentes")</f>
        <v>Atendemos comunidades adjecentes</v>
      </c>
      <c r="Y31" s="27"/>
      <c r="Z31" s="27">
        <f ca="1">IFERROR(__xludf.DUMMYFUNCTION("""COMPUTED_VALUE"""),100)</f>
        <v>100</v>
      </c>
      <c r="AA31" s="29">
        <f ca="1">IFERROR(__xludf.DUMMYFUNCTION("""COMPUTED_VALUE"""),40400)</f>
        <v>40400</v>
      </c>
      <c r="AB31" s="27" t="str">
        <f ca="1">IFERROR(__xludf.DUMMYFUNCTION("""COMPUTED_VALUE"""),"Sim")</f>
        <v>Sim</v>
      </c>
      <c r="AC31" s="27">
        <f ca="1">IFERROR(__xludf.DUMMYFUNCTION("""COMPUTED_VALUE"""),0)</f>
        <v>0</v>
      </c>
      <c r="AD31" s="27">
        <f ca="1">IFERROR(__xludf.DUMMYFUNCTION("""COMPUTED_VALUE"""),20)</f>
        <v>20</v>
      </c>
      <c r="AE31" s="27">
        <f ca="1">IFERROR(__xludf.DUMMYFUNCTION("""COMPUTED_VALUE"""),20)</f>
        <v>20</v>
      </c>
      <c r="AF31" s="27">
        <f ca="1">IFERROR(__xludf.DUMMYFUNCTION("""COMPUTED_VALUE"""),20)</f>
        <v>20</v>
      </c>
      <c r="AG31" s="27">
        <f ca="1">IFERROR(__xludf.DUMMYFUNCTION("""COMPUTED_VALUE"""),2)</f>
        <v>2</v>
      </c>
      <c r="AH31" s="27" t="str">
        <f ca="1">IFERROR(__xludf.DUMMYFUNCTION("""COMPUTED_VALUE"""),"Doações, Recursos próprios")</f>
        <v>Doações, Recursos próprios</v>
      </c>
      <c r="AI31" s="27">
        <f ca="1">IFERROR(__xludf.DUMMYFUNCTION("""COMPUTED_VALUE"""),0)</f>
        <v>0</v>
      </c>
      <c r="AJ31" s="27" t="str">
        <f ca="1">IFERROR(__xludf.DUMMYFUNCTION("""COMPUTED_VALUE"""),"Não")</f>
        <v>Não</v>
      </c>
      <c r="AK31" s="27"/>
      <c r="AL31" s="21" t="str">
        <f ca="1">IFERROR(__xludf.DUMMYFUNCTION("""COMPUTED_VALUE"""),"0034X0000380O6P")</f>
        <v>0034X0000380O6P</v>
      </c>
      <c r="AM31" s="27" t="str">
        <f ca="1">IFERROR(__xludf.DUMMYFUNCTION("""COMPUTED_VALUE"""),"Alex dos santos")</f>
        <v>Alex dos santos</v>
      </c>
      <c r="AN31" s="27" t="str">
        <f ca="1">IFERROR(__xludf.DUMMYFUNCTION("""COMPUTED_VALUE"""),"Ativo")</f>
        <v>Ativo</v>
      </c>
      <c r="AO31" s="29">
        <f ca="1">IFERROR(__xludf.DUMMYFUNCTION("""COMPUTED_VALUE"""),44763)</f>
        <v>44763</v>
      </c>
      <c r="AP31" s="27">
        <f ca="1">IFERROR(__xludf.DUMMYFUNCTION("""COMPUTED_VALUE"""),2)</f>
        <v>2</v>
      </c>
      <c r="AQ31" s="27" t="str">
        <f ca="1">IFERROR(__xludf.DUMMYFUNCTION("""COMPUTED_VALUE"""),"Primeiro Semestre 2022")</f>
        <v>Primeiro Semestre 2022</v>
      </c>
      <c r="AR31" s="27" t="str">
        <f ca="1">IFERROR(__xludf.DUMMYFUNCTION("""COMPUTED_VALUE"""),"garotinhogoleiro@gmail.com")</f>
        <v>garotinhogoleiro@gmail.com</v>
      </c>
      <c r="AS31" s="27" t="str">
        <f ca="1">IFERROR(__xludf.DUMMYFUNCTION("""COMPUTED_VALUE"""),"(11)95175-4765")</f>
        <v>(11)95175-4765</v>
      </c>
      <c r="AT31" s="29">
        <f ca="1">IFERROR(__xludf.DUMMYFUNCTION("""COMPUTED_VALUE"""),29247)</f>
        <v>29247</v>
      </c>
      <c r="AU31" s="27">
        <f ca="1">IFERROR(__xludf.DUMMYFUNCTION("""COMPUTED_VALUE"""),42)</f>
        <v>42</v>
      </c>
      <c r="AV31" s="27">
        <f ca="1">IFERROR(__xludf.DUMMYFUNCTION("""COMPUTED_VALUE"""),27775834803)</f>
        <v>27775834803</v>
      </c>
      <c r="AW31" s="27">
        <f ca="1">IFERROR(__xludf.DUMMYFUNCTION("""COMPUTED_VALUE"""),275389261)</f>
        <v>275389261</v>
      </c>
      <c r="AX31" s="27"/>
      <c r="AY31" s="27" t="str">
        <f ca="1">IFERROR(__xludf.DUMMYFUNCTION("""COMPUTED_VALUE"""),"Presidente")</f>
        <v>Presidente</v>
      </c>
      <c r="AZ31" s="27" t="str">
        <f ca="1">IFERROR(__xludf.DUMMYFUNCTION("""COMPUTED_VALUE"""),"G1")</f>
        <v>G1</v>
      </c>
      <c r="BA31" s="27" t="str">
        <f ca="1">IFERROR(__xludf.DUMMYFUNCTION("""COMPUTED_VALUE"""),"Parda")</f>
        <v>Parda</v>
      </c>
      <c r="BB31" s="27"/>
      <c r="BC31" s="27"/>
      <c r="BD31" s="27" t="str">
        <f ca="1">IFERROR(__xludf.DUMMYFUNCTION("""COMPUTED_VALUE"""),"Alison Garotinho")</f>
        <v>Alison Garotinho</v>
      </c>
      <c r="BE31" s="27" t="str">
        <f ca="1">IFERROR(__xludf.DUMMYFUNCTION("""COMPUTED_VALUE"""),"Homem, cisgênero")</f>
        <v>Homem, cisgênero</v>
      </c>
      <c r="BF31" s="27" t="str">
        <f ca="1">IFERROR(__xludf.DUMMYFUNCTION("""COMPUTED_VALUE"""),"Heterossexual")</f>
        <v>Heterossexual</v>
      </c>
      <c r="BG31" s="27" t="str">
        <f ca="1">IFERROR(__xludf.DUMMYFUNCTION("""COMPUTED_VALUE"""),"Ensino Superior - Completo")</f>
        <v>Ensino Superior - Completo</v>
      </c>
      <c r="BH31" s="27" t="str">
        <f ca="1">IFERROR(__xludf.DUMMYFUNCTION("""COMPUTED_VALUE"""),"Público")</f>
        <v>Público</v>
      </c>
      <c r="BI31" s="27" t="str">
        <f ca="1">IFERROR(__xludf.DUMMYFUNCTION("""COMPUTED_VALUE"""),"Graduação")</f>
        <v>Graduação</v>
      </c>
      <c r="BJ31" s="27" t="str">
        <f ca="1">IFERROR(__xludf.DUMMYFUNCTION("""COMPUTED_VALUE"""),"Privado")</f>
        <v>Privado</v>
      </c>
      <c r="BK31" s="27" t="str">
        <f ca="1">IFERROR(__xludf.DUMMYFUNCTION("""COMPUTED_VALUE"""),"Rua campos do mondego")</f>
        <v>Rua campos do mondego</v>
      </c>
      <c r="BL31" s="27" t="str">
        <f ca="1">IFERROR(__xludf.DUMMYFUNCTION("""COMPUTED_VALUE"""),"6A")</f>
        <v>6A</v>
      </c>
      <c r="BM31" s="27"/>
      <c r="BN31" s="27" t="str">
        <f ca="1">IFERROR(__xludf.DUMMYFUNCTION("""COMPUTED_VALUE"""),"São Paulo")</f>
        <v>São Paulo</v>
      </c>
      <c r="BO31" s="27" t="str">
        <f ca="1">IFERROR(__xludf.DUMMYFUNCTION("""COMPUTED_VALUE"""),"03912-200")</f>
        <v>03912-200</v>
      </c>
      <c r="BP31" s="27" t="str">
        <f ca="1">IFERROR(__xludf.DUMMYFUNCTION("""COMPUTED_VALUE"""),"SP")</f>
        <v>SP</v>
      </c>
      <c r="BQ31" s="27" t="str">
        <f ca="1">IFERROR(__xludf.DUMMYFUNCTION("""COMPUTED_VALUE"""),"Entre 1 até 3 salários mínimos")</f>
        <v>Entre 1 até 3 salários mínimos</v>
      </c>
      <c r="BR31" s="27" t="str">
        <f ca="1">IFERROR(__xludf.DUMMYFUNCTION("""COMPUTED_VALUE"""),"Trabalho informal")</f>
        <v>Trabalho informal</v>
      </c>
      <c r="BS31" s="27" t="str">
        <f ca="1">IFERROR(__xludf.DUMMYFUNCTION("""COMPUTED_VALUE"""),"Casa própria")</f>
        <v>Casa própria</v>
      </c>
      <c r="BT31" s="27">
        <f ca="1">IFERROR(__xludf.DUMMYFUNCTION("""COMPUTED_VALUE"""),3)</f>
        <v>3</v>
      </c>
      <c r="BU31" s="27" t="str">
        <f ca="1">IFERROR(__xludf.DUMMYFUNCTION("""COMPUTED_VALUE"""),"Não tem")</f>
        <v>Não tem</v>
      </c>
      <c r="BV31" s="27" t="str">
        <f ca="1">IFERROR(__xludf.DUMMYFUNCTION("""COMPUTED_VALUE"""),"Não")</f>
        <v>Não</v>
      </c>
      <c r="BW31" s="27"/>
      <c r="BX31" s="27"/>
      <c r="BY31" s="21" t="str">
        <f ca="1">IFERROR(__xludf.DUMMYFUNCTION("""COMPUTED_VALUE"""),"https://drive.google.com/open?id=1yNHsfCv56GQ8sXtsAiDUlqOTl2YLJW9R")</f>
        <v>https://drive.google.com/open?id=1yNHsfCv56GQ8sXtsAiDUlqOTl2YLJW9R</v>
      </c>
    </row>
    <row r="32" spans="1:77" ht="12.5" hidden="1" x14ac:dyDescent="0.25">
      <c r="A32" s="21" t="str">
        <f ca="1">IFERROR(__xludf.DUMMYFUNCTION("""COMPUTED_VALUE"""),"0014P00003AN2FZQA1")</f>
        <v>0014P00003AN2FZQA1</v>
      </c>
      <c r="B32" s="27" t="str">
        <f ca="1">IFERROR(__xludf.DUMMYFUNCTION("""COMPUTED_VALUE"""),"Fase Avançada")</f>
        <v>Fase Avançada</v>
      </c>
      <c r="C32" s="27" t="str">
        <f ca="1">IFERROR(__xludf.DUMMYFUNCTION("""COMPUTED_VALUE"""),"Fellow")</f>
        <v>Fellow</v>
      </c>
      <c r="D32" s="27" t="str">
        <f ca="1">IFERROR(__xludf.DUMMYFUNCTION("""COMPUTED_VALUE"""),"Ativo")</f>
        <v>Ativo</v>
      </c>
      <c r="E32" s="27" t="str">
        <f ca="1">IFERROR(__xludf.DUMMYFUNCTION("""COMPUTED_VALUE"""),"Associação Beneficente Vivenda da Criança")</f>
        <v>Associação Beneficente Vivenda da Criança</v>
      </c>
      <c r="F32" s="27" t="str">
        <f ca="1">IFERROR(__xludf.DUMMYFUNCTION("""COMPUTED_VALUE"""),"Simone")</f>
        <v>Simone</v>
      </c>
      <c r="G32" s="27"/>
      <c r="H32" s="27" t="str">
        <f ca="1">IFERROR(__xludf.DUMMYFUNCTION("""COMPUTED_VALUE"""),"61.577.110/0001-05")</f>
        <v>61.577.110/0001-05</v>
      </c>
      <c r="I32" s="27"/>
      <c r="J32" s="27"/>
      <c r="K32" s="27" t="str">
        <f ca="1">IFERROR(__xludf.DUMMYFUNCTION("""COMPUTED_VALUE"""),"(11)98264-9728")</f>
        <v>(11)98264-9728</v>
      </c>
      <c r="L32" s="27" t="str">
        <f ca="1">IFERROR(__xludf.DUMMYFUNCTION("""COMPUTED_VALUE"""),"SP")</f>
        <v>SP</v>
      </c>
      <c r="M32" s="27" t="str">
        <f ca="1">IFERROR(__xludf.DUMMYFUNCTION("""COMPUTED_VALUE"""),"Rua Henrique Hessel, 300")</f>
        <v>Rua Henrique Hessel, 300</v>
      </c>
      <c r="N32" s="27"/>
      <c r="O32" s="27" t="str">
        <f ca="1">IFERROR(__xludf.DUMMYFUNCTION("""COMPUTED_VALUE"""),"(11)98264-9728")</f>
        <v>(11)98264-9728</v>
      </c>
      <c r="P32" s="27" t="str">
        <f ca="1">IFERROR(__xludf.DUMMYFUNCTION("""COMPUTED_VALUE"""),"São Paulo")</f>
        <v>São Paulo</v>
      </c>
      <c r="Q32" s="27"/>
      <c r="R32" s="27" t="str">
        <f ca="1">IFERROR(__xludf.DUMMYFUNCTION("""COMPUTED_VALUE"""),"04882-010")</f>
        <v>04882-010</v>
      </c>
      <c r="S32" s="27"/>
      <c r="T32" s="27" t="str">
        <f ca="1">IFERROR(__xludf.DUMMYFUNCTION("""COMPUTED_VALUE"""),"Esporte; Empregabilidade; Assistência Social; Qualificação Profissional; Empreendedorismo")</f>
        <v>Esporte; Empregabilidade; Assistência Social; Qualificação Profissional; Empreendedorismo</v>
      </c>
      <c r="U32" s="27" t="str">
        <f ca="1">IFERROR(__xludf.DUMMYFUNCTION("""COMPUTED_VALUE"""),"Crianças (6 a 12 anos); Adolescentes (12 aos 18 anos); Jovens (18 aos 24 anos); Adultos; Idosos (60 anos ou mais)")</f>
        <v>Crianças (6 a 12 anos); Adolescentes (12 aos 18 anos); Jovens (18 aos 24 anos); Adultos; Idosos (60 anos ou mais)</v>
      </c>
      <c r="V32" s="27" t="str">
        <f ca="1">IFERROR(__xludf.DUMMYFUNCTION("""COMPUTED_VALUE"""),"Moradores de Favelas")</f>
        <v>Moradores de Favelas</v>
      </c>
      <c r="W32" s="27">
        <f ca="1">IFERROR(__xludf.DUMMYFUNCTION("""COMPUTED_VALUE"""),18)</f>
        <v>18</v>
      </c>
      <c r="X32" s="27" t="str">
        <f ca="1">IFERROR(__xludf.DUMMYFUNCTION("""COMPUTED_VALUE"""),"Bairros desassistidos sem infraestrutura sem saneamento problemas de transporte moradia falta lazer e cultura. Poucas oportunidades de emprego.")</f>
        <v>Bairros desassistidos sem infraestrutura sem saneamento problemas de transporte moradia falta lazer e cultura. Poucas oportunidades de emprego.</v>
      </c>
      <c r="Y32" s="27"/>
      <c r="Z32" s="27"/>
      <c r="AA32" s="30">
        <f ca="1">IFERROR(__xludf.DUMMYFUNCTION("""COMPUTED_VALUE"""),32795)</f>
        <v>32795</v>
      </c>
      <c r="AB32" s="27" t="str">
        <f ca="1">IFERROR(__xludf.DUMMYFUNCTION("""COMPUTED_VALUE"""),"Sim")</f>
        <v>Sim</v>
      </c>
      <c r="AC32" s="27">
        <f ca="1">IFERROR(__xludf.DUMMYFUNCTION("""COMPUTED_VALUE"""),51)</f>
        <v>51</v>
      </c>
      <c r="AD32" s="27">
        <f ca="1">IFERROR(__xludf.DUMMYFUNCTION("""COMPUTED_VALUE"""),1)</f>
        <v>1</v>
      </c>
      <c r="AE32" s="27">
        <f ca="1">IFERROR(__xludf.DUMMYFUNCTION("""COMPUTED_VALUE"""),51)</f>
        <v>51</v>
      </c>
      <c r="AF32" s="27">
        <f ca="1">IFERROR(__xludf.DUMMYFUNCTION("""COMPUTED_VALUE"""),3)</f>
        <v>3</v>
      </c>
      <c r="AG32" s="27">
        <f ca="1">IFERROR(__xludf.DUMMYFUNCTION("""COMPUTED_VALUE"""),5)</f>
        <v>5</v>
      </c>
      <c r="AH32" s="27" t="str">
        <f ca="1">IFERROR(__xludf.DUMMYFUNCTION("""COMPUTED_VALUE"""),"Negócio Social; Convênio Público; Doações; FIA; Recursos próprios")</f>
        <v>Negócio Social; Convênio Público; Doações; FIA; Recursos próprios</v>
      </c>
      <c r="AI32" s="27" t="str">
        <f ca="1">IFERROR(__xludf.DUMMYFUNCTION("""COMPUTED_VALUE"""),"RECEITAS  Convenios  5136% Diversos PF 219% Diversos PJ  107% Esporádicas PF  080% Esporádicas PJ  526% Eventos  1163% Campanhas  472% Plataformas  050% CVV´S  PF 085% CVV´S PJ  082% Oportunidades  2027% Vendas  053%")</f>
        <v>RECEITAS  Convenios  5136% Diversos PF 219% Diversos PJ  107% Esporádicas PF  080% Esporádicas PJ  526% Eventos  1163% Campanhas  472% Plataformas  050% CVV´S  PF 085% CVV´S PJ  082% Oportunidades  2027% Vendas  053%</v>
      </c>
      <c r="AJ32" s="27" t="str">
        <f ca="1">IFERROR(__xludf.DUMMYFUNCTION("""COMPUTED_VALUE"""),"Sim")</f>
        <v>Sim</v>
      </c>
      <c r="AK32" s="27" t="str">
        <f ca="1">IFERROR(__xludf.DUMMYFUNCTION("""COMPUTED_VALUE"""),"Sim")</f>
        <v>Sim</v>
      </c>
      <c r="AL32" s="21" t="str">
        <f ca="1">IFERROR(__xludf.DUMMYFUNCTION("""COMPUTED_VALUE"""),"0034P00003maBUz")</f>
        <v>0034P00003maBUz</v>
      </c>
      <c r="AM32" s="27" t="str">
        <f ca="1">IFERROR(__xludf.DUMMYFUNCTION("""COMPUTED_VALUE"""),"Rezende")</f>
        <v>Rezende</v>
      </c>
      <c r="AN32" s="27" t="str">
        <f ca="1">IFERROR(__xludf.DUMMYFUNCTION("""COMPUTED_VALUE"""),"Ativo")</f>
        <v>Ativo</v>
      </c>
      <c r="AO32" s="29">
        <f ca="1">IFERROR(__xludf.DUMMYFUNCTION("""COMPUTED_VALUE"""),44230)</f>
        <v>44230</v>
      </c>
      <c r="AP32" s="27">
        <f ca="1">IFERROR(__xludf.DUMMYFUNCTION("""COMPUTED_VALUE"""),19)</f>
        <v>19</v>
      </c>
      <c r="AQ32" s="27" t="str">
        <f ca="1">IFERROR(__xludf.DUMMYFUNCTION("""COMPUTED_VALUE"""),"Segundo Semestre 2020")</f>
        <v>Segundo Semestre 2020</v>
      </c>
      <c r="AR32" s="27" t="str">
        <f ca="1">IFERROR(__xludf.DUMMYFUNCTION("""COMPUTED_VALUE"""),"simone.rezende@vivendadacrianca.org.br")</f>
        <v>simone.rezende@vivendadacrianca.org.br</v>
      </c>
      <c r="AS32" s="27" t="str">
        <f ca="1">IFERROR(__xludf.DUMMYFUNCTION("""COMPUTED_VALUE"""),"(11)98264-9728")</f>
        <v>(11)98264-9728</v>
      </c>
      <c r="AT32" s="29">
        <f ca="1">IFERROR(__xludf.DUMMYFUNCTION("""COMPUTED_VALUE"""),25641)</f>
        <v>25641</v>
      </c>
      <c r="AU32" s="27">
        <f ca="1">IFERROR(__xludf.DUMMYFUNCTION("""COMPUTED_VALUE"""),52)</f>
        <v>52</v>
      </c>
      <c r="AV32" s="27">
        <f ca="1">IFERROR(__xludf.DUMMYFUNCTION("""COMPUTED_VALUE"""),15689631817)</f>
        <v>15689631817</v>
      </c>
      <c r="AW32" s="27">
        <f ca="1">IFERROR(__xludf.DUMMYFUNCTION("""COMPUTED_VALUE"""),224341339)</f>
        <v>224341339</v>
      </c>
      <c r="AX32" s="27" t="str">
        <f ca="1">IFERROR(__xludf.DUMMYFUNCTION("""COMPUTED_VALUE"""),"Graduada em Psicologia /  Psicologia Organizacional e extensão em dependencia Quimica e alcool")</f>
        <v>Graduada em Psicologia /  Psicologia Organizacional e extensão em dependencia Quimica e alcool</v>
      </c>
      <c r="AY32" s="27"/>
      <c r="AZ32" s="27" t="str">
        <f ca="1">IFERROR(__xludf.DUMMYFUNCTION("""COMPUTED_VALUE"""),"M")</f>
        <v>M</v>
      </c>
      <c r="BA32" s="27"/>
      <c r="BB32" s="27"/>
      <c r="BC32" s="27" t="str">
        <f ca="1">IFERROR(__xludf.DUMMYFUNCTION("""COMPUTED_VALUE"""),"Sim")</f>
        <v>Sim</v>
      </c>
      <c r="BD32" s="27" t="str">
        <f ca="1">IFERROR(__xludf.DUMMYFUNCTION("""COMPUTED_VALUE"""),"Sou a Simone Rezende, 42 anos, filha do Joel e da Geni, mãe do Enrico e esposa do Alexandre.Me formei em Psicologia, extensão em Dependência Química e álcool, pós graduada em Psicologia Organizacional. Há 13 anos atuando na Vivenda da Criança,hoje estou c"&amp;"omo diretora de Operações,  além da administração geral da instituição, atuo no gerenciamento dos funcionários , coordeno elaboração de projetos para captação de recursos, busca de parcerias e gestão estratégica da instituição.")</f>
        <v>Sou a Simone Rezende, 42 anos, filha do Joel e da Geni, mãe do Enrico e esposa do Alexandre.Me formei em Psicologia, extensão em Dependência Química e álcool, pós graduada em Psicologia Organizacional. Há 13 anos atuando na Vivenda da Criança,hoje estou como diretora de Operações,  além da administração geral da instituição, atuo no gerenciamento dos funcionários , coordeno elaboração de projetos para captação de recursos, busca de parcerias e gestão estratégica da instituição.</v>
      </c>
      <c r="BE32" s="27"/>
      <c r="BF32" s="27"/>
      <c r="BG32" s="27" t="str">
        <f ca="1">IFERROR(__xludf.DUMMYFUNCTION("""COMPUTED_VALUE"""),"Ensino Superior - Completo")</f>
        <v>Ensino Superior - Completo</v>
      </c>
      <c r="BH32" s="27"/>
      <c r="BI32" s="27" t="str">
        <f ca="1">IFERROR(__xludf.DUMMYFUNCTION("""COMPUTED_VALUE"""),"Pós-Graduação")</f>
        <v>Pós-Graduação</v>
      </c>
      <c r="BJ32" s="27" t="str">
        <f ca="1">IFERROR(__xludf.DUMMYFUNCTION("""COMPUTED_VALUE"""),"Privado")</f>
        <v>Privado</v>
      </c>
      <c r="BK32" s="27" t="str">
        <f ca="1">IFERROR(__xludf.DUMMYFUNCTION("""COMPUTED_VALUE"""),"Miguel Yunes")</f>
        <v>Miguel Yunes</v>
      </c>
      <c r="BL32" s="27">
        <f ca="1">IFERROR(__xludf.DUMMYFUNCTION("""COMPUTED_VALUE"""),485)</f>
        <v>485</v>
      </c>
      <c r="BM32" s="27" t="str">
        <f ca="1">IFERROR(__xludf.DUMMYFUNCTION("""COMPUTED_VALUE"""),"Torre 1 apto 161")</f>
        <v>Torre 1 apto 161</v>
      </c>
      <c r="BN32" s="27" t="str">
        <f ca="1">IFERROR(__xludf.DUMMYFUNCTION("""COMPUTED_VALUE"""),"São Paulo")</f>
        <v>São Paulo</v>
      </c>
      <c r="BO32" s="27" t="str">
        <f ca="1">IFERROR(__xludf.DUMMYFUNCTION("""COMPUTED_VALUE"""),"04444-000")</f>
        <v>04444-000</v>
      </c>
      <c r="BP32" s="27" t="str">
        <f ca="1">IFERROR(__xludf.DUMMYFUNCTION("""COMPUTED_VALUE"""),"SP")</f>
        <v>SP</v>
      </c>
      <c r="BQ32" s="27" t="str">
        <f ca="1">IFERROR(__xludf.DUMMYFUNCTION("""COMPUTED_VALUE"""),"Acima de 5 salários mínimos")</f>
        <v>Acima de 5 salários mínimos</v>
      </c>
      <c r="BR32" s="27" t="str">
        <f ca="1">IFERROR(__xludf.DUMMYFUNCTION("""COMPUTED_VALUE"""),"CLT")</f>
        <v>CLT</v>
      </c>
      <c r="BS32" s="27" t="str">
        <f ca="1">IFERROR(__xludf.DUMMYFUNCTION("""COMPUTED_VALUE"""),"Casa própria")</f>
        <v>Casa própria</v>
      </c>
      <c r="BT32" s="27">
        <f ca="1">IFERROR(__xludf.DUMMYFUNCTION("""COMPUTED_VALUE"""),3)</f>
        <v>3</v>
      </c>
      <c r="BU32" s="27"/>
      <c r="BV32" s="27" t="str">
        <f ca="1">IFERROR(__xludf.DUMMYFUNCTION("""COMPUTED_VALUE"""),"Intolerância a lactose")</f>
        <v>Intolerância a lactose</v>
      </c>
      <c r="BW32" s="27" t="str">
        <f ca="1">IFERROR(__xludf.DUMMYFUNCTION("""COMPUTED_VALUE"""),"Simone Rezende Klaussner")</f>
        <v>Simone Rezende Klaussner</v>
      </c>
      <c r="BX32" s="27" t="str">
        <f ca="1">IFERROR(__xludf.DUMMYFUNCTION("""COMPUTED_VALUE"""),"simone.rezende")</f>
        <v>simone.rezende</v>
      </c>
      <c r="BY32" s="21" t="str">
        <f ca="1">IFERROR(__xludf.DUMMYFUNCTION("""COMPUTED_VALUE"""),"https://drive.google.com/open?id=1SGUef26sFJHWhRHQIcix6448u72adioe")</f>
        <v>https://drive.google.com/open?id=1SGUef26sFJHWhRHQIcix6448u72adioe</v>
      </c>
    </row>
    <row r="33" spans="1:77" ht="12.5" hidden="1" x14ac:dyDescent="0.25">
      <c r="A33" s="21" t="str">
        <f ca="1">IFERROR(__xludf.DUMMYFUNCTION("""COMPUTED_VALUE"""),"0014P00003AN2GIQA1")</f>
        <v>0014P00003AN2GIQA1</v>
      </c>
      <c r="B33" s="27" t="str">
        <f ca="1">IFERROR(__xludf.DUMMYFUNCTION("""COMPUTED_VALUE"""),"Fase Estruturação")</f>
        <v>Fase Estruturação</v>
      </c>
      <c r="C33" s="27" t="str">
        <f ca="1">IFERROR(__xludf.DUMMYFUNCTION("""COMPUTED_VALUE"""),"Acelerada")</f>
        <v>Acelerada</v>
      </c>
      <c r="D33" s="27" t="str">
        <f ca="1">IFERROR(__xludf.DUMMYFUNCTION("""COMPUTED_VALUE"""),"Ativo")</f>
        <v>Ativo</v>
      </c>
      <c r="E33" s="27" t="str">
        <f ca="1">IFERROR(__xludf.DUMMYFUNCTION("""COMPUTED_VALUE"""),"Associação Brasileira Feminina de Bodyboarding")</f>
        <v>Associação Brasileira Feminina de Bodyboarding</v>
      </c>
      <c r="F33" s="27" t="str">
        <f ca="1">IFERROR(__xludf.DUMMYFUNCTION("""COMPUTED_VALUE"""),"Aline")</f>
        <v>Aline</v>
      </c>
      <c r="G33" s="27" t="str">
        <f ca="1">IFERROR(__xludf.DUMMYFUNCTION("""COMPUTED_VALUE"""),"MOTIVAR")</f>
        <v>MOTIVAR</v>
      </c>
      <c r="H33" s="27" t="str">
        <f ca="1">IFERROR(__xludf.DUMMYFUNCTION("""COMPUTED_VALUE"""),"14.666.963/0001-33")</f>
        <v>14.666.963/0001-33</v>
      </c>
      <c r="I33" s="27"/>
      <c r="J33" s="27" t="str">
        <f ca="1">IFERROR(__xludf.DUMMYFUNCTION("""COMPUTED_VALUE"""),"diretoramotivar@gmail.com")</f>
        <v>diretoramotivar@gmail.com</v>
      </c>
      <c r="K33" s="27" t="str">
        <f ca="1">IFERROR(__xludf.DUMMYFUNCTION("""COMPUTED_VALUE"""),"(84)98861-3764")</f>
        <v>(84)98861-3764</v>
      </c>
      <c r="L33" s="27" t="str">
        <f ca="1">IFERROR(__xludf.DUMMYFUNCTION("""COMPUTED_VALUE"""),"RN")</f>
        <v>RN</v>
      </c>
      <c r="M33" s="27" t="str">
        <f ca="1">IFERROR(__xludf.DUMMYFUNCTION("""COMPUTED_VALUE"""),"TV. Santa Bárbara, 25")</f>
        <v>TV. Santa Bárbara, 25</v>
      </c>
      <c r="N33" s="27" t="str">
        <f ca="1">IFERROR(__xludf.DUMMYFUNCTION("""COMPUTED_VALUE"""),"Vila de Ponta Negra")</f>
        <v>Vila de Ponta Negra</v>
      </c>
      <c r="O33" s="27" t="str">
        <f ca="1">IFERROR(__xludf.DUMMYFUNCTION("""COMPUTED_VALUE"""),"(84)98861-3764")</f>
        <v>(84)98861-3764</v>
      </c>
      <c r="P33" s="27" t="str">
        <f ca="1">IFERROR(__xludf.DUMMYFUNCTION("""COMPUTED_VALUE"""),"Natal")</f>
        <v>Natal</v>
      </c>
      <c r="Q33" s="27"/>
      <c r="R33" s="27" t="str">
        <f ca="1">IFERROR(__xludf.DUMMYFUNCTION("""COMPUTED_VALUE"""),"59090-665")</f>
        <v>59090-665</v>
      </c>
      <c r="S33" s="27" t="str">
        <f ca="1">IFERROR(__xludf.DUMMYFUNCTION("""COMPUTED_VALUE"""),"...")</f>
        <v>...</v>
      </c>
      <c r="T33" s="27" t="str">
        <f ca="1">IFERROR(__xludf.DUMMYFUNCTION("""COMPUTED_VALUE"""),"Esporte; Educação; Empregabilidade; Cultura; Qualificação Profissional; Empreendedorismo; Empoderamento Feminino; Negócios Sociais; Desenvolvimento comunitário")</f>
        <v>Esporte; Educação; Empregabilidade; Cultura; Qualificação Profissional; Empreendedorismo; Empoderamento Feminino; Negócios Sociais; Desenvolvimento comunitário</v>
      </c>
      <c r="U33"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33" s="27" t="str">
        <f ca="1">IFERROR(__xludf.DUMMYFUNCTION("""COMPUTED_VALUE"""),"Moradores de Favelas; População LGBTQ+")</f>
        <v>Moradores de Favelas; População LGBTQ+</v>
      </c>
      <c r="W33" s="27">
        <f ca="1">IFERROR(__xludf.DUMMYFUNCTION("""COMPUTED_VALUE"""),1)</f>
        <v>1</v>
      </c>
      <c r="X33" s="27" t="str">
        <f ca="1">IFERROR(__xludf.DUMMYFUNCTION("""COMPUTED_VALUE"""),"...")</f>
        <v>...</v>
      </c>
      <c r="Y33" s="27"/>
      <c r="Z33" s="27"/>
      <c r="AA33" s="29">
        <f ca="1">IFERROR(__xludf.DUMMYFUNCTION("""COMPUTED_VALUE"""),40678)</f>
        <v>40678</v>
      </c>
      <c r="AB33" s="27" t="str">
        <f ca="1">IFERROR(__xludf.DUMMYFUNCTION("""COMPUTED_VALUE"""),"Não")</f>
        <v>Não</v>
      </c>
      <c r="AC33" s="27">
        <f ca="1">IFERROR(__xludf.DUMMYFUNCTION("""COMPUTED_VALUE"""),5)</f>
        <v>5</v>
      </c>
      <c r="AD33" s="27">
        <f ca="1">IFERROR(__xludf.DUMMYFUNCTION("""COMPUTED_VALUE"""),0)</f>
        <v>0</v>
      </c>
      <c r="AE33" s="27">
        <f ca="1">IFERROR(__xludf.DUMMYFUNCTION("""COMPUTED_VALUE"""),12)</f>
        <v>12</v>
      </c>
      <c r="AF33" s="27">
        <f ca="1">IFERROR(__xludf.DUMMYFUNCTION("""COMPUTED_VALUE"""),5)</f>
        <v>5</v>
      </c>
      <c r="AG33" s="27">
        <f ca="1">IFERROR(__xludf.DUMMYFUNCTION("""COMPUTED_VALUE"""),3)</f>
        <v>3</v>
      </c>
      <c r="AH33" s="27" t="str">
        <f ca="1">IFERROR(__xludf.DUMMYFUNCTION("""COMPUTED_VALUE"""),"Negócio Social; Plataforma doação online - Pessoa Física; Editais; Lei Federal do Esporte")</f>
        <v>Negócio Social; Plataforma doação online - Pessoa Física; Editais; Lei Federal do Esporte</v>
      </c>
      <c r="AI33" s="27" t="str">
        <f ca="1">IFERROR(__xludf.DUMMYFUNCTION("""COMPUTED_VALUE"""),"75% PJ-- 1717%PF--726% OnLine")</f>
        <v>75% PJ-- 1717%PF--726% OnLine</v>
      </c>
      <c r="AJ33" s="27" t="str">
        <f ca="1">IFERROR(__xludf.DUMMYFUNCTION("""COMPUTED_VALUE"""),"Não")</f>
        <v>Não</v>
      </c>
      <c r="AK33" s="27" t="str">
        <f ca="1">IFERROR(__xludf.DUMMYFUNCTION("""COMPUTED_VALUE"""),"Não")</f>
        <v>Não</v>
      </c>
      <c r="AL33" s="21" t="str">
        <f ca="1">IFERROR(__xludf.DUMMYFUNCTION("""COMPUTED_VALUE"""),"0034P00003maBVn")</f>
        <v>0034P00003maBVn</v>
      </c>
      <c r="AM33" s="27" t="str">
        <f ca="1">IFERROR(__xludf.DUMMYFUNCTION("""COMPUTED_VALUE"""),"Daniely Gomes De Melo")</f>
        <v>Daniely Gomes De Melo</v>
      </c>
      <c r="AN33" s="27" t="str">
        <f ca="1">IFERROR(__xludf.DUMMYFUNCTION("""COMPUTED_VALUE"""),"Ativo")</f>
        <v>Ativo</v>
      </c>
      <c r="AO33" s="29">
        <f ca="1">IFERROR(__xludf.DUMMYFUNCTION("""COMPUTED_VALUE"""),44075)</f>
        <v>44075</v>
      </c>
      <c r="AP33" s="27">
        <f ca="1">IFERROR(__xludf.DUMMYFUNCTION("""COMPUTED_VALUE"""),24)</f>
        <v>24</v>
      </c>
      <c r="AQ33" s="27" t="str">
        <f ca="1">IFERROR(__xludf.DUMMYFUNCTION("""COMPUTED_VALUE"""),"Primeiro Semestre 2019")</f>
        <v>Primeiro Semestre 2019</v>
      </c>
      <c r="AR33" s="27" t="str">
        <f ca="1">IFERROR(__xludf.DUMMYFUNCTION("""COMPUTED_VALUE"""),"alinemelo@motivar.ong.br")</f>
        <v>alinemelo@motivar.ong.br</v>
      </c>
      <c r="AS33" s="27" t="str">
        <f ca="1">IFERROR(__xludf.DUMMYFUNCTION("""COMPUTED_VALUE"""),"(84)98861-3764")</f>
        <v>(84)98861-3764</v>
      </c>
      <c r="AT33" s="29">
        <f ca="1">IFERROR(__xludf.DUMMYFUNCTION("""COMPUTED_VALUE"""),29785)</f>
        <v>29785</v>
      </c>
      <c r="AU33" s="27">
        <f ca="1">IFERROR(__xludf.DUMMYFUNCTION("""COMPUTED_VALUE"""),41)</f>
        <v>41</v>
      </c>
      <c r="AV33" s="27">
        <f ca="1">IFERROR(__xludf.DUMMYFUNCTION("""COMPUTED_VALUE"""),853693498)</f>
        <v>853693498</v>
      </c>
      <c r="AW33" s="27">
        <f ca="1">IFERROR(__xludf.DUMMYFUNCTION("""COMPUTED_VALUE"""),1914429)</f>
        <v>1914429</v>
      </c>
      <c r="AX33" s="27" t="str">
        <f ca="1">IFERROR(__xludf.DUMMYFUNCTION("""COMPUTED_VALUE"""),"...")</f>
        <v>...</v>
      </c>
      <c r="AY33" s="27" t="str">
        <f ca="1">IFERROR(__xludf.DUMMYFUNCTION("""COMPUTED_VALUE"""),"...")</f>
        <v>...</v>
      </c>
      <c r="AZ33" s="27" t="str">
        <f ca="1">IFERROR(__xludf.DUMMYFUNCTION("""COMPUTED_VALUE"""),"M")</f>
        <v>M</v>
      </c>
      <c r="BA33" s="27"/>
      <c r="BB33" s="27"/>
      <c r="BC33" s="27" t="str">
        <f ca="1">IFERROR(__xludf.DUMMYFUNCTION("""COMPUTED_VALUE"""),"Sim")</f>
        <v>Sim</v>
      </c>
      <c r="BD33" s="27" t="str">
        <f ca="1">IFERROR(__xludf.DUMMYFUNCTION("""COMPUTED_VALUE"""),"Aline Melo idealizadora e CEO da ONG Motivar, é uma ex atleta profissional e moradora da Comunidade da Vila de Ponta Negra em Natal-RN, após ter 6 amigos assassinados e outros tantos hoje presidiários nasceu em seu coração o desejo de transformar sua Comu"&amp;"nidade, e por não acreditar que terceirizar o problema seja uma solução, ela fundou em 2012 o Motivar como uma proposta de transformação social para aquela região urbana marginalizada.")</f>
        <v>Aline Melo idealizadora e CEO da ONG Motivar, é uma ex atleta profissional e moradora da Comunidade da Vila de Ponta Negra em Natal-RN, após ter 6 amigos assassinados e outros tantos hoje presidiários nasceu em seu coração o desejo de transformar sua Comunidade, e por não acreditar que terceirizar o problema seja uma solução, ela fundou em 2012 o Motivar como uma proposta de transformação social para aquela região urbana marginalizada.</v>
      </c>
      <c r="BE33" s="27"/>
      <c r="BF33" s="27"/>
      <c r="BG33" s="27" t="str">
        <f ca="1">IFERROR(__xludf.DUMMYFUNCTION("""COMPUTED_VALUE"""),"Ensino Médio - Completo")</f>
        <v>Ensino Médio - Completo</v>
      </c>
      <c r="BH33" s="27"/>
      <c r="BI33" s="27"/>
      <c r="BJ33" s="27"/>
      <c r="BK33" s="27" t="str">
        <f ca="1">IFERROR(__xludf.DUMMYFUNCTION("""COMPUTED_VALUE"""),"Morro do Careca")</f>
        <v>Morro do Careca</v>
      </c>
      <c r="BL33" s="27">
        <f ca="1">IFERROR(__xludf.DUMMYFUNCTION("""COMPUTED_VALUE"""),34)</f>
        <v>34</v>
      </c>
      <c r="BM33" s="27"/>
      <c r="BN33" s="27" t="str">
        <f ca="1">IFERROR(__xludf.DUMMYFUNCTION("""COMPUTED_VALUE"""),"Natal")</f>
        <v>Natal</v>
      </c>
      <c r="BO33" s="27" t="str">
        <f ca="1">IFERROR(__xludf.DUMMYFUNCTION("""COMPUTED_VALUE"""),"59090-230")</f>
        <v>59090-230</v>
      </c>
      <c r="BP33" s="27" t="str">
        <f ca="1">IFERROR(__xludf.DUMMYFUNCTION("""COMPUTED_VALUE"""),"RN")</f>
        <v>RN</v>
      </c>
      <c r="BQ33" s="27" t="str">
        <f ca="1">IFERROR(__xludf.DUMMYFUNCTION("""COMPUTED_VALUE"""),"De 3 até 5 salários mínimos")</f>
        <v>De 3 até 5 salários mínimos</v>
      </c>
      <c r="BR33" s="27" t="str">
        <f ca="1">IFERROR(__xludf.DUMMYFUNCTION("""COMPUTED_VALUE"""),"MEI; Trabalho informal")</f>
        <v>MEI; Trabalho informal</v>
      </c>
      <c r="BS33" s="27" t="str">
        <f ca="1">IFERROR(__xludf.DUMMYFUNCTION("""COMPUTED_VALUE"""),"Aluguel")</f>
        <v>Aluguel</v>
      </c>
      <c r="BT33" s="27">
        <f ca="1">IFERROR(__xludf.DUMMYFUNCTION("""COMPUTED_VALUE"""),5)</f>
        <v>5</v>
      </c>
      <c r="BU33" s="27"/>
      <c r="BV33" s="27" t="str">
        <f ca="1">IFERROR(__xludf.DUMMYFUNCTION("""COMPUTED_VALUE"""),"Carne de porco")</f>
        <v>Carne de porco</v>
      </c>
      <c r="BW33" s="21" t="str">
        <f ca="1">IFERROR(__xludf.DUMMYFUNCTION("""COMPUTED_VALUE"""),"https://www.linkedin.com/in/empreendedoraalinemelo/")</f>
        <v>https://www.linkedin.com/in/empreendedoraalinemelo/</v>
      </c>
      <c r="BX33" s="21" t="str">
        <f ca="1">IFERROR(__xludf.DUMMYFUNCTION("""COMPUTED_VALUE"""),"https://www.instagram.com/empreendedoraalinemelo/")</f>
        <v>https://www.instagram.com/empreendedoraalinemelo/</v>
      </c>
      <c r="BY33" s="21" t="str">
        <f ca="1">IFERROR(__xludf.DUMMYFUNCTION("""COMPUTED_VALUE"""),"https://drive.google.com/open?id=1CzrTd6hgyZQCiwAJUaPchLWETLdrHNi_")</f>
        <v>https://drive.google.com/open?id=1CzrTd6hgyZQCiwAJUaPchLWETLdrHNi_</v>
      </c>
    </row>
    <row r="34" spans="1:77" ht="12.5" hidden="1" x14ac:dyDescent="0.25">
      <c r="A34" s="21" t="str">
        <f ca="1">IFERROR(__xludf.DUMMYFUNCTION("""COMPUTED_VALUE"""),"0014P00003YSp9NQAT")</f>
        <v>0014P00003YSp9NQAT</v>
      </c>
      <c r="B34" s="27" t="str">
        <f ca="1">IFERROR(__xludf.DUMMYFUNCTION("""COMPUTED_VALUE"""),"Fase Inicial")</f>
        <v>Fase Inicial</v>
      </c>
      <c r="C34" s="27" t="str">
        <f ca="1">IFERROR(__xludf.DUMMYFUNCTION("""COMPUTED_VALUE"""),"Fellow")</f>
        <v>Fellow</v>
      </c>
      <c r="D34" s="27" t="str">
        <f ca="1">IFERROR(__xludf.DUMMYFUNCTION("""COMPUTED_VALUE"""),"Ativo")</f>
        <v>Ativo</v>
      </c>
      <c r="E34" s="27" t="str">
        <f ca="1">IFERROR(__xludf.DUMMYFUNCTION("""COMPUTED_VALUE"""),"Associação Brasileira Missão e Esperança (ASBRAME)")</f>
        <v>Associação Brasileira Missão e Esperança (ASBRAME)</v>
      </c>
      <c r="F34" s="27" t="str">
        <f ca="1">IFERROR(__xludf.DUMMYFUNCTION("""COMPUTED_VALUE"""),"Cristiane")</f>
        <v>Cristiane</v>
      </c>
      <c r="G34" s="27"/>
      <c r="H34" s="27" t="str">
        <f ca="1">IFERROR(__xludf.DUMMYFUNCTION("""COMPUTED_VALUE"""),"37.797.028/0001-01")</f>
        <v>37.797.028/0001-01</v>
      </c>
      <c r="I34" s="27" t="str">
        <f ca="1">IFERROR(__xludf.DUMMYFUNCTION("""COMPUTED_VALUE"""),"Cristiane de Almeida Deus Dara dos Santos")</f>
        <v>Cristiane de Almeida Deus Dara dos Santos</v>
      </c>
      <c r="J34" s="27" t="str">
        <f ca="1">IFERROR(__xludf.DUMMYFUNCTION("""COMPUTED_VALUE"""),"atendimento@asbramebrasil.org")</f>
        <v>atendimento@asbramebrasil.org</v>
      </c>
      <c r="K34" s="27" t="str">
        <f ca="1">IFERROR(__xludf.DUMMYFUNCTION("""COMPUTED_VALUE"""),"(11)97504-7942")</f>
        <v>(11)97504-7942</v>
      </c>
      <c r="L34" s="27" t="str">
        <f ca="1">IFERROR(__xludf.DUMMYFUNCTION("""COMPUTED_VALUE"""),"SP")</f>
        <v>SP</v>
      </c>
      <c r="M34" s="27" t="str">
        <f ca="1">IFERROR(__xludf.DUMMYFUNCTION("""COMPUTED_VALUE"""),"Rua caxiu 201")</f>
        <v>Rua caxiu 201</v>
      </c>
      <c r="N34" s="27" t="str">
        <f ca="1">IFERROR(__xludf.DUMMYFUNCTION("""COMPUTED_VALUE"""),"Cidade A.E Carvalho")</f>
        <v>Cidade A.E Carvalho</v>
      </c>
      <c r="O34" s="27">
        <f ca="1">IFERROR(__xludf.DUMMYFUNCTION("""COMPUTED_VALUE"""),201)</f>
        <v>201</v>
      </c>
      <c r="P34" s="27" t="str">
        <f ca="1">IFERROR(__xludf.DUMMYFUNCTION("""COMPUTED_VALUE"""),"São paulo")</f>
        <v>São paulo</v>
      </c>
      <c r="Q34" s="27"/>
      <c r="R34" s="27" t="str">
        <f ca="1">IFERROR(__xludf.DUMMYFUNCTION("""COMPUTED_VALUE"""),"08225-330")</f>
        <v>08225-330</v>
      </c>
      <c r="S34" s="27"/>
      <c r="T34" s="27" t="str">
        <f ca="1">IFERROR(__xludf.DUMMYFUNCTION("""COMPUTED_VALUE"""),"Esporte; Educação; Empregabilidade; Assistência Social; Qualificação Profissional; Empreendedorismo; Assistência Psicológica; Desenvolvimento comunitário")</f>
        <v>Esporte; Educação; Empregabilidade; Assistência Social; Qualificação Profissional; Empreendedorismo; Assistência Psicológica; Desenvolvimento comunitário</v>
      </c>
      <c r="U34" s="27" t="str">
        <f ca="1">IFERROR(__xludf.DUMMYFUNCTION("""COMPUTED_VALUE"""),"Bebês (0 a 1 ano e 6 meses); Crianças bem pequenas (1 ano e 7 meses até 3 anos e 11 meses); Crianças pequenas (4 anos a 5 anos e 11 meses); Crianças (6 a 12 anos); Adolescentes (12 aos 18 anos); Jovens (18 aos 24 anos); Adultos")</f>
        <v>Bebês (0 a 1 ano e 6 meses); Crianças bem pequenas (1 ano e 7 meses até 3 anos e 11 meses); Crianças pequenas (4 anos a 5 anos e 11 meses); Crianças (6 a 12 anos); Adolescentes (12 aos 18 anos); Jovens (18 aos 24 anos); Adultos</v>
      </c>
      <c r="V34" s="27" t="str">
        <f ca="1">IFERROR(__xludf.DUMMYFUNCTION("""COMPUTED_VALUE"""),"Moradores de Favelas; Pessoas em situação de rua; Imigrantes")</f>
        <v>Moradores de Favelas; Pessoas em situação de rua; Imigrantes</v>
      </c>
      <c r="W34" s="27">
        <f ca="1">IFERROR(__xludf.DUMMYFUNCTION("""COMPUTED_VALUE"""),1)</f>
        <v>1</v>
      </c>
      <c r="X34" s="27" t="str">
        <f ca="1">IFERROR(__xludf.DUMMYFUNCTION("""COMPUTED_VALUE"""),"Famílias carentes de comunidades desestruturadas")</f>
        <v>Famílias carentes de comunidades desestruturadas</v>
      </c>
      <c r="Y34" s="27"/>
      <c r="Z34" s="27">
        <f ca="1">IFERROR(__xludf.DUMMYFUNCTION("""COMPUTED_VALUE"""),600)</f>
        <v>600</v>
      </c>
      <c r="AA34" s="29">
        <f ca="1">IFERROR(__xludf.DUMMYFUNCTION("""COMPUTED_VALUE"""),43979)</f>
        <v>43979</v>
      </c>
      <c r="AB34" s="27" t="str">
        <f ca="1">IFERROR(__xludf.DUMMYFUNCTION("""COMPUTED_VALUE"""),"Sim")</f>
        <v>Sim</v>
      </c>
      <c r="AC34" s="27">
        <f ca="1">IFERROR(__xludf.DUMMYFUNCTION("""COMPUTED_VALUE"""),0)</f>
        <v>0</v>
      </c>
      <c r="AD34" s="27">
        <f ca="1">IFERROR(__xludf.DUMMYFUNCTION("""COMPUTED_VALUE"""),0)</f>
        <v>0</v>
      </c>
      <c r="AE34" s="27">
        <f ca="1">IFERROR(__xludf.DUMMYFUNCTION("""COMPUTED_VALUE"""),12)</f>
        <v>12</v>
      </c>
      <c r="AF34" s="27">
        <f ca="1">IFERROR(__xludf.DUMMYFUNCTION("""COMPUTED_VALUE"""),8)</f>
        <v>8</v>
      </c>
      <c r="AG34" s="27">
        <f ca="1">IFERROR(__xludf.DUMMYFUNCTION("""COMPUTED_VALUE"""),2)</f>
        <v>2</v>
      </c>
      <c r="AH34" s="27" t="str">
        <f ca="1">IFERROR(__xludf.DUMMYFUNCTION("""COMPUTED_VALUE"""),"Eventos/Ações para captação; Plataforma doação online - Pessoa Física; Doações")</f>
        <v>Eventos/Ações para captação; Plataforma doação online - Pessoa Física; Doações</v>
      </c>
      <c r="AI34" s="27" t="str">
        <f ca="1">IFERROR(__xludf.DUMMYFUNCTION("""COMPUTED_VALUE"""),"Nao")</f>
        <v>Nao</v>
      </c>
      <c r="AJ34" s="27"/>
      <c r="AK34" s="27"/>
      <c r="AL34" s="21" t="str">
        <f ca="1">IFERROR(__xludf.DUMMYFUNCTION("""COMPUTED_VALUE"""),"0034P000045kxjz")</f>
        <v>0034P000045kxjz</v>
      </c>
      <c r="AM34" s="27" t="str">
        <f ca="1">IFERROR(__xludf.DUMMYFUNCTION("""COMPUTED_VALUE"""),"De Almeida Deus Dara Dos Santos")</f>
        <v>De Almeida Deus Dara Dos Santos</v>
      </c>
      <c r="AN34" s="27" t="str">
        <f ca="1">IFERROR(__xludf.DUMMYFUNCTION("""COMPUTED_VALUE"""),"Ativo")</f>
        <v>Ativo</v>
      </c>
      <c r="AO34" s="30">
        <f ca="1">IFERROR(__xludf.DUMMYFUNCTION("""COMPUTED_VALUE"""),44551)</f>
        <v>44551</v>
      </c>
      <c r="AP34" s="27">
        <f ca="1">IFERROR(__xludf.DUMMYFUNCTION("""COMPUTED_VALUE"""),9)</f>
        <v>9</v>
      </c>
      <c r="AQ34" s="27" t="str">
        <f ca="1">IFERROR(__xludf.DUMMYFUNCTION("""COMPUTED_VALUE"""),"Segundo Semestre 2021")</f>
        <v>Segundo Semestre 2021</v>
      </c>
      <c r="AR34" s="27" t="str">
        <f ca="1">IFERROR(__xludf.DUMMYFUNCTION("""COMPUTED_VALUE"""),"cristianesantos@asbramebrasil.org")</f>
        <v>cristianesantos@asbramebrasil.org</v>
      </c>
      <c r="AS34" s="27" t="str">
        <f ca="1">IFERROR(__xludf.DUMMYFUNCTION("""COMPUTED_VALUE"""),"(11)97504-7942")</f>
        <v>(11)97504-7942</v>
      </c>
      <c r="AT34" s="29">
        <f ca="1">IFERROR(__xludf.DUMMYFUNCTION("""COMPUTED_VALUE"""),28170)</f>
        <v>28170</v>
      </c>
      <c r="AU34" s="27">
        <f ca="1">IFERROR(__xludf.DUMMYFUNCTION("""COMPUTED_VALUE"""),45)</f>
        <v>45</v>
      </c>
      <c r="AV34" s="27">
        <f ca="1">IFERROR(__xludf.DUMMYFUNCTION("""COMPUTED_VALUE"""),25716825800)</f>
        <v>25716825800</v>
      </c>
      <c r="AW34" s="27">
        <f ca="1">IFERROR(__xludf.DUMMYFUNCTION("""COMPUTED_VALUE"""),281654475)</f>
        <v>281654475</v>
      </c>
      <c r="AX34" s="27"/>
      <c r="AY34" s="27"/>
      <c r="AZ34" s="27" t="str">
        <f ca="1">IFERROR(__xludf.DUMMYFUNCTION("""COMPUTED_VALUE"""),"M")</f>
        <v>M</v>
      </c>
      <c r="BA34" s="27" t="str">
        <f ca="1">IFERROR(__xludf.DUMMYFUNCTION("""COMPUTED_VALUE"""),"Parda")</f>
        <v>Parda</v>
      </c>
      <c r="BB34" s="27" t="str">
        <f ca="1">IFERROR(__xludf.DUMMYFUNCTION("""COMPUTED_VALUE"""),"Mulher, cisgênero")</f>
        <v>Mulher, cisgênero</v>
      </c>
      <c r="BC34" s="27" t="str">
        <f ca="1">IFERROR(__xludf.DUMMYFUNCTION("""COMPUTED_VALUE"""),"Sim")</f>
        <v>Sim</v>
      </c>
      <c r="BD34" s="27" t="str">
        <f ca="1">IFERROR(__xludf.DUMMYFUNCTION("""COMPUTED_VALUE"""),"Sou empreendedora social ,mãe e esposa que busca por mudanças continuas na vida ,determinada ,observadora e conservadora .Vivo o hoje como se não houvesse amanhã .")</f>
        <v>Sou empreendedora social ,mãe e esposa que busca por mudanças continuas na vida ,determinada ,observadora e conservadora .Vivo o hoje como se não houvesse amanhã .</v>
      </c>
      <c r="BE34" s="27"/>
      <c r="BF34" s="27" t="str">
        <f ca="1">IFERROR(__xludf.DUMMYFUNCTION("""COMPUTED_VALUE"""),"Heterossexual")</f>
        <v>Heterossexual</v>
      </c>
      <c r="BG34" s="27" t="str">
        <f ca="1">IFERROR(__xludf.DUMMYFUNCTION("""COMPUTED_VALUE"""),"Ensino Médio - Completo")</f>
        <v>Ensino Médio - Completo</v>
      </c>
      <c r="BH34" s="27" t="str">
        <f ca="1">IFERROR(__xludf.DUMMYFUNCTION("""COMPUTED_VALUE"""),"Pública")</f>
        <v>Pública</v>
      </c>
      <c r="BI34" s="27"/>
      <c r="BJ34" s="27"/>
      <c r="BK34" s="27" t="str">
        <f ca="1">IFERROR(__xludf.DUMMYFUNCTION("""COMPUTED_VALUE"""),"Rua caxiu")</f>
        <v>Rua caxiu</v>
      </c>
      <c r="BL34" s="27">
        <f ca="1">IFERROR(__xludf.DUMMYFUNCTION("""COMPUTED_VALUE"""),201)</f>
        <v>201</v>
      </c>
      <c r="BM34" s="27"/>
      <c r="BN34" s="27" t="str">
        <f ca="1">IFERROR(__xludf.DUMMYFUNCTION("""COMPUTED_VALUE"""),"São paulo")</f>
        <v>São paulo</v>
      </c>
      <c r="BO34" s="27" t="str">
        <f ca="1">IFERROR(__xludf.DUMMYFUNCTION("""COMPUTED_VALUE"""),"08225-330")</f>
        <v>08225-330</v>
      </c>
      <c r="BP34" s="27" t="str">
        <f ca="1">IFERROR(__xludf.DUMMYFUNCTION("""COMPUTED_VALUE"""),"SP")</f>
        <v>SP</v>
      </c>
      <c r="BQ34" s="27" t="str">
        <f ca="1">IFERROR(__xludf.DUMMYFUNCTION("""COMPUTED_VALUE"""),"Entre 1 até 3 salários mínimos")</f>
        <v>Entre 1 até 3 salários mínimos</v>
      </c>
      <c r="BR34" s="27" t="str">
        <f ca="1">IFERROR(__xludf.DUMMYFUNCTION("""COMPUTED_VALUE"""),"CLT")</f>
        <v>CLT</v>
      </c>
      <c r="BS34" s="27" t="str">
        <f ca="1">IFERROR(__xludf.DUMMYFUNCTION("""COMPUTED_VALUE"""),"Casa própria")</f>
        <v>Casa própria</v>
      </c>
      <c r="BT34" s="27">
        <f ca="1">IFERROR(__xludf.DUMMYFUNCTION("""COMPUTED_VALUE"""),2)</f>
        <v>2</v>
      </c>
      <c r="BU34" s="27" t="str">
        <f ca="1">IFERROR(__xludf.DUMMYFUNCTION("""COMPUTED_VALUE"""),"Não tem")</f>
        <v>Não tem</v>
      </c>
      <c r="BV34" s="27"/>
      <c r="BW34" s="27"/>
      <c r="BX34" s="27" t="str">
        <f ca="1">IFERROR(__xludf.DUMMYFUNCTION("""COMPUTED_VALUE"""),"@asbramebrasil")</f>
        <v>@asbramebrasil</v>
      </c>
      <c r="BY34" s="21" t="str">
        <f ca="1">IFERROR(__xludf.DUMMYFUNCTION("""COMPUTED_VALUE"""),"https://drive.google.com/open?id=1VQeGKAX9VqtC9FXxlon37W_owWZT8krx")</f>
        <v>https://drive.google.com/open?id=1VQeGKAX9VqtC9FXxlon37W_owWZT8krx</v>
      </c>
    </row>
    <row r="35" spans="1:77" ht="12.5" hidden="1" x14ac:dyDescent="0.25">
      <c r="A35" s="21" t="str">
        <f ca="1">IFERROR(__xludf.DUMMYFUNCTION("""COMPUTED_VALUE"""),"0014P00003YSpALQA1")</f>
        <v>0014P00003YSpALQA1</v>
      </c>
      <c r="B35" s="27" t="str">
        <f ca="1">IFERROR(__xludf.DUMMYFUNCTION("""COMPUTED_VALUE"""),"Fase Inicial")</f>
        <v>Fase Inicial</v>
      </c>
      <c r="C35" s="27" t="str">
        <f ca="1">IFERROR(__xludf.DUMMYFUNCTION("""COMPUTED_VALUE"""),"Fellow")</f>
        <v>Fellow</v>
      </c>
      <c r="D35" s="27" t="str">
        <f ca="1">IFERROR(__xludf.DUMMYFUNCTION("""COMPUTED_VALUE"""),"Ativo")</f>
        <v>Ativo</v>
      </c>
      <c r="E35" s="27" t="str">
        <f ca="1">IFERROR(__xludf.DUMMYFUNCTION("""COMPUTED_VALUE"""),"Associação Casa de Gentil Culturas e Convívios")</f>
        <v>Associação Casa de Gentil Culturas e Convívios</v>
      </c>
      <c r="F35" s="27" t="str">
        <f ca="1">IFERROR(__xludf.DUMMYFUNCTION("""COMPUTED_VALUE"""),"Núria")</f>
        <v>Núria</v>
      </c>
      <c r="G35" s="27"/>
      <c r="H35" s="27" t="str">
        <f ca="1">IFERROR(__xludf.DUMMYFUNCTION("""COMPUTED_VALUE"""),"21.622.638/0001-34")</f>
        <v>21.622.638/0001-34</v>
      </c>
      <c r="I35" s="27" t="str">
        <f ca="1">IFERROR(__xludf.DUMMYFUNCTION("""COMPUTED_VALUE"""),"Lívia Carolina Gomides Costa")</f>
        <v>Lívia Carolina Gomides Costa</v>
      </c>
      <c r="J35" s="27" t="str">
        <f ca="1">IFERROR(__xludf.DUMMYFUNCTION("""COMPUTED_VALUE"""),"casadegentilcc@gmail.com")</f>
        <v>casadegentilcc@gmail.com</v>
      </c>
      <c r="K35" s="27" t="str">
        <f ca="1">IFERROR(__xludf.DUMMYFUNCTION("""COMPUTED_VALUE"""),"(31)99247-2249")</f>
        <v>(31)99247-2249</v>
      </c>
      <c r="L35" s="27" t="str">
        <f ca="1">IFERROR(__xludf.DUMMYFUNCTION("""COMPUTED_VALUE"""),"MG")</f>
        <v>MG</v>
      </c>
      <c r="M35" s="27" t="str">
        <f ca="1">IFERROR(__xludf.DUMMYFUNCTION("""COMPUTED_VALUE"""),"Rua Santos")</f>
        <v>Rua Santos</v>
      </c>
      <c r="N35" s="27" t="str">
        <f ca="1">IFERROR(__xludf.DUMMYFUNCTION("""COMPUTED_VALUE"""),"Várzea do Sitio")</f>
        <v>Várzea do Sitio</v>
      </c>
      <c r="O35" s="27">
        <f ca="1">IFERROR(__xludf.DUMMYFUNCTION("""COMPUTED_VALUE"""),620)</f>
        <v>620</v>
      </c>
      <c r="P35" s="27" t="str">
        <f ca="1">IFERROR(__xludf.DUMMYFUNCTION("""COMPUTED_VALUE"""),"Raposos")</f>
        <v>Raposos</v>
      </c>
      <c r="Q35" s="27"/>
      <c r="R35" s="27" t="str">
        <f ca="1">IFERROR(__xludf.DUMMYFUNCTION("""COMPUTED_VALUE"""),"34400-000")</f>
        <v>34400-000</v>
      </c>
      <c r="S35" s="27"/>
      <c r="T35" s="27" t="str">
        <f ca="1">IFERROR(__xludf.DUMMYFUNCTION("""COMPUTED_VALUE"""),"Educação; Cultura; Qualificação Profissional; Empreendedorismo; Negócios Sociais; Desenvolvimento comunitário")</f>
        <v>Educação; Cultura; Qualificação Profissional; Empreendedorismo; Negócios Sociais; Desenvolvimento comunitário</v>
      </c>
      <c r="U35"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35" s="27" t="str">
        <f ca="1">IFERROR(__xludf.DUMMYFUNCTION("""COMPUTED_VALUE"""),"Moradores de Favelas; Afrodescendentes")</f>
        <v>Moradores de Favelas; Afrodescendentes</v>
      </c>
      <c r="W35" s="27">
        <f ca="1">IFERROR(__xludf.DUMMYFUNCTION("""COMPUTED_VALUE"""),1)</f>
        <v>1</v>
      </c>
      <c r="X35" s="27"/>
      <c r="Y35" s="27"/>
      <c r="Z35" s="27">
        <f ca="1">IFERROR(__xludf.DUMMYFUNCTION("""COMPUTED_VALUE"""),180)</f>
        <v>180</v>
      </c>
      <c r="AA35" s="29">
        <f ca="1">IFERROR(__xludf.DUMMYFUNCTION("""COMPUTED_VALUE"""),41038)</f>
        <v>41038</v>
      </c>
      <c r="AB35" s="27" t="str">
        <f ca="1">IFERROR(__xludf.DUMMYFUNCTION("""COMPUTED_VALUE"""),"Sim")</f>
        <v>Sim</v>
      </c>
      <c r="AC35" s="27">
        <f ca="1">IFERROR(__xludf.DUMMYFUNCTION("""COMPUTED_VALUE"""),7)</f>
        <v>7</v>
      </c>
      <c r="AD35" s="27">
        <f ca="1">IFERROR(__xludf.DUMMYFUNCTION("""COMPUTED_VALUE"""),3)</f>
        <v>3</v>
      </c>
      <c r="AE35" s="27">
        <f ca="1">IFERROR(__xludf.DUMMYFUNCTION("""COMPUTED_VALUE"""),3)</f>
        <v>3</v>
      </c>
      <c r="AF35" s="27">
        <f ca="1">IFERROR(__xludf.DUMMYFUNCTION("""COMPUTED_VALUE"""),3)</f>
        <v>3</v>
      </c>
      <c r="AG35" s="27">
        <f ca="1">IFERROR(__xludf.DUMMYFUNCTION("""COMPUTED_VALUE"""),6)</f>
        <v>6</v>
      </c>
      <c r="AH35" s="27" t="str">
        <f ca="1">IFERROR(__xludf.DUMMYFUNCTION("""COMPUTED_VALUE"""),"Negócio Social; Convênio Público; Plataforma doação online - Pessoa Física; Parceria iniciativa privada; Editais; Doações")</f>
        <v>Negócio Social; Convênio Público; Plataforma doação online - Pessoa Física; Parceria iniciativa privada; Editais; Doações</v>
      </c>
      <c r="AI35" s="27" t="str">
        <f ca="1">IFERROR(__xludf.DUMMYFUNCTION("""COMPUTED_VALUE"""),"20% de doações, 25% CMDCA,  50% editais, 5% negócio social,")</f>
        <v>20% de doações, 25% CMDCA,  50% editais, 5% negócio social,</v>
      </c>
      <c r="AJ35" s="27"/>
      <c r="AK35" s="27"/>
      <c r="AL35" s="21" t="str">
        <f ca="1">IFERROR(__xludf.DUMMYFUNCTION("""COMPUTED_VALUE"""),"0034P000045kxkx")</f>
        <v>0034P000045kxkx</v>
      </c>
      <c r="AM35" s="27" t="str">
        <f ca="1">IFERROR(__xludf.DUMMYFUNCTION("""COMPUTED_VALUE"""),"Bispo Vieira")</f>
        <v>Bispo Vieira</v>
      </c>
      <c r="AN35" s="27" t="str">
        <f ca="1">IFERROR(__xludf.DUMMYFUNCTION("""COMPUTED_VALUE"""),"Ativo")</f>
        <v>Ativo</v>
      </c>
      <c r="AO35" s="30">
        <f ca="1">IFERROR(__xludf.DUMMYFUNCTION("""COMPUTED_VALUE"""),44551)</f>
        <v>44551</v>
      </c>
      <c r="AP35" s="27">
        <f ca="1">IFERROR(__xludf.DUMMYFUNCTION("""COMPUTED_VALUE"""),9)</f>
        <v>9</v>
      </c>
      <c r="AQ35" s="27" t="str">
        <f ca="1">IFERROR(__xludf.DUMMYFUNCTION("""COMPUTED_VALUE"""),"Segundo Semestre 2021")</f>
        <v>Segundo Semestre 2021</v>
      </c>
      <c r="AR35" s="27" t="str">
        <f ca="1">IFERROR(__xludf.DUMMYFUNCTION("""COMPUTED_VALUE"""),"nuriabispo@gmail.com")</f>
        <v>nuriabispo@gmail.com</v>
      </c>
      <c r="AS35" s="27" t="str">
        <f ca="1">IFERROR(__xludf.DUMMYFUNCTION("""COMPUTED_VALUE"""),"(31)99247-2249")</f>
        <v>(31)99247-2249</v>
      </c>
      <c r="AT35" s="29">
        <f ca="1">IFERROR(__xludf.DUMMYFUNCTION("""COMPUTED_VALUE"""),31833)</f>
        <v>31833</v>
      </c>
      <c r="AU35" s="27">
        <f ca="1">IFERROR(__xludf.DUMMYFUNCTION("""COMPUTED_VALUE"""),35)</f>
        <v>35</v>
      </c>
      <c r="AV35" s="27">
        <f ca="1">IFERROR(__xludf.DUMMYFUNCTION("""COMPUTED_VALUE"""),8934041609)</f>
        <v>8934041609</v>
      </c>
      <c r="AW35" s="27" t="str">
        <f ca="1">IFERROR(__xludf.DUMMYFUNCTION("""COMPUTED_VALUE"""),"MG 13820314")</f>
        <v>MG 13820314</v>
      </c>
      <c r="AX35" s="27"/>
      <c r="AY35" s="27"/>
      <c r="AZ35" s="27" t="str">
        <f ca="1">IFERROR(__xludf.DUMMYFUNCTION("""COMPUTED_VALUE"""),"P")</f>
        <v>P</v>
      </c>
      <c r="BA35" s="27" t="str">
        <f ca="1">IFERROR(__xludf.DUMMYFUNCTION("""COMPUTED_VALUE"""),"Preta")</f>
        <v>Preta</v>
      </c>
      <c r="BB35" s="27" t="str">
        <f ca="1">IFERROR(__xludf.DUMMYFUNCTION("""COMPUTED_VALUE"""),"Mulher, cisgênero")</f>
        <v>Mulher, cisgênero</v>
      </c>
      <c r="BC35" s="27" t="str">
        <f ca="1">IFERROR(__xludf.DUMMYFUNCTION("""COMPUTED_VALUE"""),"Não")</f>
        <v>Não</v>
      </c>
      <c r="BD35" s="27" t="str">
        <f ca="1">IFERROR(__xludf.DUMMYFUNCTION("""COMPUTED_VALUE"""),"Meu nome é Núria Vieira, tenho 35 anos, nasci rm Belo Horizonte, hoje vivo em Raposos. Nasci em uma família questionadora das desigualdades sociais. Sou casada e tenho uma filha de 2 anos. Formei em Psicologia na UFMG, onde tive a oportunidade de estar co"&amp;"m professores que desenvolviam trabalhos nas áreas sociais. Em 2012 que tive a oportunidade de iniciar um trabalho prático na área social através da criação de um espaço junto ao meu companheiro e outros amigos, a Casa de Gentil.")</f>
        <v>Meu nome é Núria Vieira, tenho 35 anos, nasci rm Belo Horizonte, hoje vivo em Raposos. Nasci em uma família questionadora das desigualdades sociais. Sou casada e tenho uma filha de 2 anos. Formei em Psicologia na UFMG, onde tive a oportunidade de estar com professores que desenvolviam trabalhos nas áreas sociais. Em 2012 que tive a oportunidade de iniciar um trabalho prático na área social através da criação de um espaço junto ao meu companheiro e outros amigos, a Casa de Gentil.</v>
      </c>
      <c r="BE35" s="27"/>
      <c r="BF35" s="27" t="str">
        <f ca="1">IFERROR(__xludf.DUMMYFUNCTION("""COMPUTED_VALUE"""),"Heterossexual")</f>
        <v>Heterossexual</v>
      </c>
      <c r="BG35" s="27" t="str">
        <f ca="1">IFERROR(__xludf.DUMMYFUNCTION("""COMPUTED_VALUE"""),"Ensino Superior - Completo")</f>
        <v>Ensino Superior - Completo</v>
      </c>
      <c r="BH35" s="27" t="str">
        <f ca="1">IFERROR(__xludf.DUMMYFUNCTION("""COMPUTED_VALUE"""),"Público")</f>
        <v>Público</v>
      </c>
      <c r="BI35" s="27" t="str">
        <f ca="1">IFERROR(__xludf.DUMMYFUNCTION("""COMPUTED_VALUE"""),"Graduação")</f>
        <v>Graduação</v>
      </c>
      <c r="BJ35" s="27" t="str">
        <f ca="1">IFERROR(__xludf.DUMMYFUNCTION("""COMPUTED_VALUE"""),"Público")</f>
        <v>Público</v>
      </c>
      <c r="BK35" s="27" t="str">
        <f ca="1">IFERROR(__xludf.DUMMYFUNCTION("""COMPUTED_VALUE"""),"Vereador Felipe Alves da Rocha")</f>
        <v>Vereador Felipe Alves da Rocha</v>
      </c>
      <c r="BL35" s="27">
        <f ca="1">IFERROR(__xludf.DUMMYFUNCTION("""COMPUTED_VALUE"""),278)</f>
        <v>278</v>
      </c>
      <c r="BM35" s="27"/>
      <c r="BN35" s="27" t="str">
        <f ca="1">IFERROR(__xludf.DUMMYFUNCTION("""COMPUTED_VALUE"""),"Raposos")</f>
        <v>Raposos</v>
      </c>
      <c r="BO35" s="27" t="str">
        <f ca="1">IFERROR(__xludf.DUMMYFUNCTION("""COMPUTED_VALUE"""),"34400-000")</f>
        <v>34400-000</v>
      </c>
      <c r="BP35" s="27" t="str">
        <f ca="1">IFERROR(__xludf.DUMMYFUNCTION("""COMPUTED_VALUE"""),"MG")</f>
        <v>MG</v>
      </c>
      <c r="BQ35" s="27" t="str">
        <f ca="1">IFERROR(__xludf.DUMMYFUNCTION("""COMPUTED_VALUE"""),"De 3 até 5 salários mínimos")</f>
        <v>De 3 até 5 salários mínimos</v>
      </c>
      <c r="BR35" s="27" t="str">
        <f ca="1">IFERROR(__xludf.DUMMYFUNCTION("""COMPUTED_VALUE"""),"CLT; Trabalho informal")</f>
        <v>CLT; Trabalho informal</v>
      </c>
      <c r="BS35" s="27" t="str">
        <f ca="1">IFERROR(__xludf.DUMMYFUNCTION("""COMPUTED_VALUE"""),"Aluguel")</f>
        <v>Aluguel</v>
      </c>
      <c r="BT35" s="27">
        <f ca="1">IFERROR(__xludf.DUMMYFUNCTION("""COMPUTED_VALUE"""),3)</f>
        <v>3</v>
      </c>
      <c r="BU35" s="27" t="str">
        <f ca="1">IFERROR(__xludf.DUMMYFUNCTION("""COMPUTED_VALUE"""),"Não tem")</f>
        <v>Não tem</v>
      </c>
      <c r="BV35" s="27"/>
      <c r="BW35" s="27"/>
      <c r="BX35" s="27"/>
      <c r="BY35" s="21" t="str">
        <f ca="1">IFERROR(__xludf.DUMMYFUNCTION("""COMPUTED_VALUE"""),"https://drive.google.com/open?id=1fBPm0GzJ9e-Qz-t0nTTt1g9arZiDDEsP")</f>
        <v>https://drive.google.com/open?id=1fBPm0GzJ9e-Qz-t0nTTt1g9arZiDDEsP</v>
      </c>
    </row>
    <row r="36" spans="1:77" ht="12.5" hidden="1" x14ac:dyDescent="0.25">
      <c r="A36" s="21" t="str">
        <f ca="1">IFERROR(__xludf.DUMMYFUNCTION("""COMPUTED_VALUE"""),"0014X00002VKCujQAH")</f>
        <v>0014X00002VKCujQAH</v>
      </c>
      <c r="B36" s="27" t="str">
        <f ca="1">IFERROR(__xludf.DUMMYFUNCTION("""COMPUTED_VALUE"""),"Fase Estruturação")</f>
        <v>Fase Estruturação</v>
      </c>
      <c r="C36" s="27" t="str">
        <f ca="1">IFERROR(__xludf.DUMMYFUNCTION("""COMPUTED_VALUE"""),"Fellow")</f>
        <v>Fellow</v>
      </c>
      <c r="D36" s="27" t="str">
        <f ca="1">IFERROR(__xludf.DUMMYFUNCTION("""COMPUTED_VALUE"""),"Ativo")</f>
        <v>Ativo</v>
      </c>
      <c r="E36" s="27" t="str">
        <f ca="1">IFERROR(__xludf.DUMMYFUNCTION("""COMPUTED_VALUE"""),"Associação Casa Hacker")</f>
        <v>Associação Casa Hacker</v>
      </c>
      <c r="F36" s="27" t="str">
        <f ca="1">IFERROR(__xludf.DUMMYFUNCTION("""COMPUTED_VALUE"""),"Geraldo")</f>
        <v>Geraldo</v>
      </c>
      <c r="G36" s="27" t="str">
        <f ca="1">IFERROR(__xludf.DUMMYFUNCTION("""COMPUTED_VALUE"""),"CASA HACKER")</f>
        <v>CASA HACKER</v>
      </c>
      <c r="H36" s="27" t="str">
        <f ca="1">IFERROR(__xludf.DUMMYFUNCTION("""COMPUTED_VALUE"""),"36.038.079/0001-97")</f>
        <v>36.038.079/0001-97</v>
      </c>
      <c r="I36" s="27" t="str">
        <f ca="1">IFERROR(__xludf.DUMMYFUNCTION("""COMPUTED_VALUE"""),"Geraldo dos Santos Barros")</f>
        <v>Geraldo dos Santos Barros</v>
      </c>
      <c r="J36" s="27" t="str">
        <f ca="1">IFERROR(__xludf.DUMMYFUNCTION("""COMPUTED_VALUE"""),"falae@casahacker.org")</f>
        <v>falae@casahacker.org</v>
      </c>
      <c r="K36" s="27" t="str">
        <f ca="1">IFERROR(__xludf.DUMMYFUNCTION("""COMPUTED_VALUE"""),"(19)3199-8814")</f>
        <v>(19)3199-8814</v>
      </c>
      <c r="L36" s="27" t="str">
        <f ca="1">IFERROR(__xludf.DUMMYFUNCTION("""COMPUTED_VALUE"""),"SP")</f>
        <v>SP</v>
      </c>
      <c r="M36" s="27" t="str">
        <f ca="1">IFERROR(__xludf.DUMMYFUNCTION("""COMPUTED_VALUE"""),"R. Luverci Pereira de Souza")</f>
        <v>R. Luverci Pereira de Souza</v>
      </c>
      <c r="N36" s="27" t="str">
        <f ca="1">IFERROR(__xludf.DUMMYFUNCTION("""COMPUTED_VALUE"""),"Cidade Universitária")</f>
        <v>Cidade Universitária</v>
      </c>
      <c r="O36" s="27">
        <f ca="1">IFERROR(__xludf.DUMMYFUNCTION("""COMPUTED_VALUE"""),545)</f>
        <v>545</v>
      </c>
      <c r="P36" s="27" t="str">
        <f ca="1">IFERROR(__xludf.DUMMYFUNCTION("""COMPUTED_VALUE"""),"Campinas")</f>
        <v>Campinas</v>
      </c>
      <c r="Q36" s="27"/>
      <c r="R36" s="27" t="str">
        <f ca="1">IFERROR(__xludf.DUMMYFUNCTION("""COMPUTED_VALUE"""),"13083-725")</f>
        <v>13083-725</v>
      </c>
      <c r="S36" s="27" t="str">
        <f ca="1">IFERROR(__xludf.DUMMYFUNCTION("""COMPUTED_VALUE"""),"Sim, Casa de Cultura Parque Itajaí (Campinas/SP) e E.E.Wadih Jorge Maluf  (Sumaré/SP)")</f>
        <v>Sim, Casa de Cultura Parque Itajaí (Campinas/SP) e E.E.Wadih Jorge Maluf  (Sumaré/SP)</v>
      </c>
      <c r="T36" s="27"/>
      <c r="U36" s="27" t="str">
        <f ca="1">IFERROR(__xludf.DUMMYFUNCTION("""COMPUTED_VALUE"""),"Adolescentes (12 aos 18 anos), Jovens (18 aos 24 anos), Adultos")</f>
        <v>Adolescentes (12 aos 18 anos), Jovens (18 aos 24 anos), Adultos</v>
      </c>
      <c r="V36" s="27" t="str">
        <f ca="1">IFERROR(__xludf.DUMMYFUNCTION("""COMPUTED_VALUE"""),"Moradores de Favelas, População LGBTQ+, Outros")</f>
        <v>Moradores de Favelas, População LGBTQ+, Outros</v>
      </c>
      <c r="W36" s="27">
        <f ca="1">IFERROR(__xludf.DUMMYFUNCTION("""COMPUTED_VALUE"""),5)</f>
        <v>5</v>
      </c>
      <c r="X36" s="27"/>
      <c r="Y36" s="27"/>
      <c r="Z36" s="27">
        <f ca="1">IFERROR(__xludf.DUMMYFUNCTION("""COMPUTED_VALUE"""),30)</f>
        <v>30</v>
      </c>
      <c r="AA36" s="29">
        <f ca="1">IFERROR(__xludf.DUMMYFUNCTION("""COMPUTED_VALUE"""),43738)</f>
        <v>43738</v>
      </c>
      <c r="AB36" s="27" t="str">
        <f ca="1">IFERROR(__xludf.DUMMYFUNCTION("""COMPUTED_VALUE"""),"Sim")</f>
        <v>Sim</v>
      </c>
      <c r="AC36" s="27">
        <f ca="1">IFERROR(__xludf.DUMMYFUNCTION("""COMPUTED_VALUE"""),4)</f>
        <v>4</v>
      </c>
      <c r="AD36" s="27">
        <f ca="1">IFERROR(__xludf.DUMMYFUNCTION("""COMPUTED_VALUE"""),4)</f>
        <v>4</v>
      </c>
      <c r="AE36" s="27">
        <f ca="1">IFERROR(__xludf.DUMMYFUNCTION("""COMPUTED_VALUE"""),40)</f>
        <v>40</v>
      </c>
      <c r="AF36" s="27">
        <f ca="1">IFERROR(__xludf.DUMMYFUNCTION("""COMPUTED_VALUE"""),36)</f>
        <v>36</v>
      </c>
      <c r="AG36" s="27">
        <f ca="1">IFERROR(__xludf.DUMMYFUNCTION("""COMPUTED_VALUE"""),4)</f>
        <v>4</v>
      </c>
      <c r="AH36" s="27" t="str">
        <f ca="1">IFERROR(__xludf.DUMMYFUNCTION("""COMPUTED_VALUE"""),"Plataforma doação online - Pessoa Física, Parceria iniciativa privada, Recursos próprios")</f>
        <v>Plataforma doação online - Pessoa Física, Parceria iniciativa privada, Recursos próprios</v>
      </c>
      <c r="AI36" s="27" t="str">
        <f ca="1">IFERROR(__xludf.DUMMYFUNCTION("""COMPUTED_VALUE"""),"Recursos próprios 5%; Doações 10%; Parceria Privada 90%")</f>
        <v>Recursos próprios 5%; Doações 10%; Parceria Privada 90%</v>
      </c>
      <c r="AJ36" s="27" t="str">
        <f ca="1">IFERROR(__xludf.DUMMYFUNCTION("""COMPUTED_VALUE"""),"Não")</f>
        <v>Não</v>
      </c>
      <c r="AK36" s="27"/>
      <c r="AL36" s="21" t="str">
        <f ca="1">IFERROR(__xludf.DUMMYFUNCTION("""COMPUTED_VALUE"""),"0034X0000380O1S")</f>
        <v>0034X0000380O1S</v>
      </c>
      <c r="AM36" s="27" t="str">
        <f ca="1">IFERROR(__xludf.DUMMYFUNCTION("""COMPUTED_VALUE"""),"Dos santos barros")</f>
        <v>Dos santos barros</v>
      </c>
      <c r="AN36" s="27" t="str">
        <f ca="1">IFERROR(__xludf.DUMMYFUNCTION("""COMPUTED_VALUE"""),"Ativo")</f>
        <v>Ativo</v>
      </c>
      <c r="AO36" s="29">
        <f ca="1">IFERROR(__xludf.DUMMYFUNCTION("""COMPUTED_VALUE"""),44763)</f>
        <v>44763</v>
      </c>
      <c r="AP36" s="27">
        <f ca="1">IFERROR(__xludf.DUMMYFUNCTION("""COMPUTED_VALUE"""),2)</f>
        <v>2</v>
      </c>
      <c r="AQ36" s="27" t="str">
        <f ca="1">IFERROR(__xludf.DUMMYFUNCTION("""COMPUTED_VALUE"""),"Primeiro Semestre 2022")</f>
        <v>Primeiro Semestre 2022</v>
      </c>
      <c r="AR36" s="27" t="str">
        <f ca="1">IFERROR(__xludf.DUMMYFUNCTION("""COMPUTED_VALUE"""),"geraldo@casahacker.org")</f>
        <v>geraldo@casahacker.org</v>
      </c>
      <c r="AS36" s="27" t="str">
        <f ca="1">IFERROR(__xludf.DUMMYFUNCTION("""COMPUTED_VALUE"""),"(19)99753-0403")</f>
        <v>(19)99753-0403</v>
      </c>
      <c r="AT36" s="29">
        <f ca="1">IFERROR(__xludf.DUMMYFUNCTION("""COMPUTED_VALUE"""),35497)</f>
        <v>35497</v>
      </c>
      <c r="AU36" s="27">
        <f ca="1">IFERROR(__xludf.DUMMYFUNCTION("""COMPUTED_VALUE"""),25)</f>
        <v>25</v>
      </c>
      <c r="AV36" s="27">
        <f ca="1">IFERROR(__xludf.DUMMYFUNCTION("""COMPUTED_VALUE"""),43531020870)</f>
        <v>43531020870</v>
      </c>
      <c r="AW36" s="27">
        <f ca="1">IFERROR(__xludf.DUMMYFUNCTION("""COMPUTED_VALUE"""),394486717)</f>
        <v>394486717</v>
      </c>
      <c r="AX36" s="27"/>
      <c r="AY36" s="27" t="str">
        <f ca="1">IFERROR(__xludf.DUMMYFUNCTION("""COMPUTED_VALUE"""),"Diretor-Presidente")</f>
        <v>Diretor-Presidente</v>
      </c>
      <c r="AZ36" s="27" t="str">
        <f ca="1">IFERROR(__xludf.DUMMYFUNCTION("""COMPUTED_VALUE"""),"M")</f>
        <v>M</v>
      </c>
      <c r="BA36" s="27" t="str">
        <f ca="1">IFERROR(__xludf.DUMMYFUNCTION("""COMPUTED_VALUE"""),"Branca")</f>
        <v>Branca</v>
      </c>
      <c r="BB36" s="27"/>
      <c r="BC36" s="27"/>
      <c r="BD36" s="27" t="str">
        <f ca="1">IFERROR(__xludf.DUMMYFUNCTION("""COMPUTED_VALUE"""),"Analista de sistemas, empreendedor de impacto social, facilitador, educador com histórico de trabalho em inclusão digital e inovação social na região metropolitana de Campinas e também ativista da comunidade global LGBTQIA+. Atualmente trabalho na direção"&amp;" estratégia de uma organização da sociedade civil fundada em 2018, e também na área de inovação e pesquisa de uma fundação norte americana.")</f>
        <v>Analista de sistemas, empreendedor de impacto social, facilitador, educador com histórico de trabalho em inclusão digital e inovação social na região metropolitana de Campinas e também ativista da comunidade global LGBTQIA+. Atualmente trabalho na direção estratégia de uma organização da sociedade civil fundada em 2018, e também na área de inovação e pesquisa de uma fundação norte americana.</v>
      </c>
      <c r="BE36" s="27" t="str">
        <f ca="1">IFERROR(__xludf.DUMMYFUNCTION("""COMPUTED_VALUE"""),"Homem, cisgênero")</f>
        <v>Homem, cisgênero</v>
      </c>
      <c r="BF36" s="27" t="str">
        <f ca="1">IFERROR(__xludf.DUMMYFUNCTION("""COMPUTED_VALUE"""),"Homossexual")</f>
        <v>Homossexual</v>
      </c>
      <c r="BG36" s="27" t="str">
        <f ca="1">IFERROR(__xludf.DUMMYFUNCTION("""COMPUTED_VALUE"""),"Ensino Superior - Incompleto")</f>
        <v>Ensino Superior - Incompleto</v>
      </c>
      <c r="BH36" s="27" t="str">
        <f ca="1">IFERROR(__xludf.DUMMYFUNCTION("""COMPUTED_VALUE"""),"Privado")</f>
        <v>Privado</v>
      </c>
      <c r="BI36" s="27" t="str">
        <f ca="1">IFERROR(__xludf.DUMMYFUNCTION("""COMPUTED_VALUE"""),"Graduação")</f>
        <v>Graduação</v>
      </c>
      <c r="BJ36" s="27" t="str">
        <f ca="1">IFERROR(__xludf.DUMMYFUNCTION("""COMPUTED_VALUE"""),"Público")</f>
        <v>Público</v>
      </c>
      <c r="BK36" s="27" t="str">
        <f ca="1">IFERROR(__xludf.DUMMYFUNCTION("""COMPUTED_VALUE"""),"Rua Luiz Rocatto")</f>
        <v>Rua Luiz Rocatto</v>
      </c>
      <c r="BL36" s="27">
        <f ca="1">IFERROR(__xludf.DUMMYFUNCTION("""COMPUTED_VALUE"""),533)</f>
        <v>533</v>
      </c>
      <c r="BM36" s="27"/>
      <c r="BN36" s="27" t="str">
        <f ca="1">IFERROR(__xludf.DUMMYFUNCTION("""COMPUTED_VALUE"""),"Campinas")</f>
        <v>Campinas</v>
      </c>
      <c r="BO36" s="27" t="str">
        <f ca="1">IFERROR(__xludf.DUMMYFUNCTION("""COMPUTED_VALUE"""),"13058-576")</f>
        <v>13058-576</v>
      </c>
      <c r="BP36" s="27" t="str">
        <f ca="1">IFERROR(__xludf.DUMMYFUNCTION("""COMPUTED_VALUE"""),"SP")</f>
        <v>SP</v>
      </c>
      <c r="BQ36" s="27" t="str">
        <f ca="1">IFERROR(__xludf.DUMMYFUNCTION("""COMPUTED_VALUE"""),"Entre 1 até 3 salários mínimos")</f>
        <v>Entre 1 até 3 salários mínimos</v>
      </c>
      <c r="BR36" s="27" t="str">
        <f ca="1">IFERROR(__xludf.DUMMYFUNCTION("""COMPUTED_VALUE"""),"CLT")</f>
        <v>CLT</v>
      </c>
      <c r="BS36" s="27" t="str">
        <f ca="1">IFERROR(__xludf.DUMMYFUNCTION("""COMPUTED_VALUE"""),"Casa própria")</f>
        <v>Casa própria</v>
      </c>
      <c r="BT36" s="27">
        <f ca="1">IFERROR(__xludf.DUMMYFUNCTION("""COMPUTED_VALUE"""),2)</f>
        <v>2</v>
      </c>
      <c r="BU36" s="27" t="str">
        <f ca="1">IFERROR(__xludf.DUMMYFUNCTION("""COMPUTED_VALUE"""),"Não tem")</f>
        <v>Não tem</v>
      </c>
      <c r="BV36" s="27" t="str">
        <f ca="1">IFERROR(__xludf.DUMMYFUNCTION("""COMPUTED_VALUE"""),"Vegetariana(o)")</f>
        <v>Vegetariana(o)</v>
      </c>
      <c r="BW36" s="21" t="str">
        <f ca="1">IFERROR(__xludf.DUMMYFUNCTION("""COMPUTED_VALUE"""),"https://www.linkedin.com/in/geraldob/")</f>
        <v>https://www.linkedin.com/in/geraldob/</v>
      </c>
      <c r="BX36" s="21" t="str">
        <f ca="1">IFERROR(__xludf.DUMMYFUNCTION("""COMPUTED_VALUE"""),"https://www.instagram.com/geraldobarros.png/")</f>
        <v>https://www.instagram.com/geraldobarros.png/</v>
      </c>
      <c r="BY36" s="21" t="str">
        <f ca="1">IFERROR(__xludf.DUMMYFUNCTION("""COMPUTED_VALUE"""),"https://drive.google.com/open?id=1N5tO7FkWHKIS9DyxnO6sFjCPD2KvsY5A")</f>
        <v>https://drive.google.com/open?id=1N5tO7FkWHKIS9DyxnO6sFjCPD2KvsY5A</v>
      </c>
    </row>
    <row r="37" spans="1:77" ht="12.5" hidden="1" x14ac:dyDescent="0.25">
      <c r="A37" s="21" t="str">
        <f ca="1">IFERROR(__xludf.DUMMYFUNCTION("""COMPUTED_VALUE"""),"0014P00003YSpA5QAL")</f>
        <v>0014P00003YSpA5QAL</v>
      </c>
      <c r="B37" s="27" t="str">
        <f ca="1">IFERROR(__xludf.DUMMYFUNCTION("""COMPUTED_VALUE"""),"Fase Inicial")</f>
        <v>Fase Inicial</v>
      </c>
      <c r="C37" s="27" t="str">
        <f ca="1">IFERROR(__xludf.DUMMYFUNCTION("""COMPUTED_VALUE"""),"Fellow")</f>
        <v>Fellow</v>
      </c>
      <c r="D37" s="27" t="str">
        <f ca="1">IFERROR(__xludf.DUMMYFUNCTION("""COMPUTED_VALUE"""),"Ativo")</f>
        <v>Ativo</v>
      </c>
      <c r="E37" s="27" t="str">
        <f ca="1">IFERROR(__xludf.DUMMYFUNCTION("""COMPUTED_VALUE"""),"Associação Casa Up")</f>
        <v>Associação Casa Up</v>
      </c>
      <c r="F37" s="27" t="str">
        <f ca="1">IFERROR(__xludf.DUMMYFUNCTION("""COMPUTED_VALUE"""),"Sebastião")</f>
        <v>Sebastião</v>
      </c>
      <c r="G37" s="27"/>
      <c r="H37" s="27" t="str">
        <f ca="1">IFERROR(__xludf.DUMMYFUNCTION("""COMPUTED_VALUE"""),"34.431.763/0001-09")</f>
        <v>34.431.763/0001-09</v>
      </c>
      <c r="I37" s="27" t="str">
        <f ca="1">IFERROR(__xludf.DUMMYFUNCTION("""COMPUTED_VALUE"""),"Sebastião junio da Silva")</f>
        <v>Sebastião junio da Silva</v>
      </c>
      <c r="J37" s="27" t="str">
        <f ca="1">IFERROR(__xludf.DUMMYFUNCTION("""COMPUTED_VALUE"""),"casaupadl@gmail.com")</f>
        <v>casaupadl@gmail.com</v>
      </c>
      <c r="K37" s="27" t="str">
        <f ca="1">IFERROR(__xludf.DUMMYFUNCTION("""COMPUTED_VALUE"""),"(37)99903-1506")</f>
        <v>(37)99903-1506</v>
      </c>
      <c r="L37" s="27" t="str">
        <f ca="1">IFERROR(__xludf.DUMMYFUNCTION("""COMPUTED_VALUE"""),"MG")</f>
        <v>MG</v>
      </c>
      <c r="M37" s="27" t="str">
        <f ca="1">IFERROR(__xludf.DUMMYFUNCTION("""COMPUTED_VALUE"""),"Rua alonso Teixeira marra 658")</f>
        <v>Rua alonso Teixeira marra 658</v>
      </c>
      <c r="N37" s="27" t="str">
        <f ca="1">IFERROR(__xludf.DUMMYFUNCTION("""COMPUTED_VALUE"""),"Santo Antônio")</f>
        <v>Santo Antônio</v>
      </c>
      <c r="O37" s="27">
        <f ca="1">IFERROR(__xludf.DUMMYFUNCTION("""COMPUTED_VALUE"""),659)</f>
        <v>659</v>
      </c>
      <c r="P37" s="27" t="str">
        <f ca="1">IFERROR(__xludf.DUMMYFUNCTION("""COMPUTED_VALUE"""),"Carmópolis de Minas")</f>
        <v>Carmópolis de Minas</v>
      </c>
      <c r="Q37" s="27">
        <f ca="1">IFERROR(__xludf.DUMMYFUNCTION("""COMPUTED_VALUE"""),659)</f>
        <v>659</v>
      </c>
      <c r="R37" s="27" t="str">
        <f ca="1">IFERROR(__xludf.DUMMYFUNCTION("""COMPUTED_VALUE"""),"35534-000")</f>
        <v>35534-000</v>
      </c>
      <c r="S37" s="27"/>
      <c r="T37" s="27" t="str">
        <f ca="1">IFERROR(__xludf.DUMMYFUNCTION("""COMPUTED_VALUE"""),"Esporte; Educação; Empregabilidade; Assistência Social; Cultura; Qualificação Profissional; Empreendedorismo; Saúde; Meio ambiente; Negócios Sociais; Assistência Psicológica")</f>
        <v>Esporte; Educação; Empregabilidade; Assistência Social; Cultura; Qualificação Profissional; Empreendedorismo; Saúde; Meio ambiente; Negócios Sociais; Assistência Psicológica</v>
      </c>
      <c r="U37" s="27" t="str">
        <f ca="1">IFERROR(__xludf.DUMMYFUNCTION("""COMPUTED_VALUE"""),"Crianças (6 a 12 anos); Adolescentes (12 aos 18 anos); Jovens (18 aos 24 anos)")</f>
        <v>Crianças (6 a 12 anos); Adolescentes (12 aos 18 anos); Jovens (18 aos 24 anos)</v>
      </c>
      <c r="V37" s="27" t="str">
        <f ca="1">IFERROR(__xludf.DUMMYFUNCTION("""COMPUTED_VALUE"""),"Moradores de Favelas; Comunidade rural; Outros")</f>
        <v>Moradores de Favelas; Comunidade rural; Outros</v>
      </c>
      <c r="W37" s="27">
        <f ca="1">IFERROR(__xludf.DUMMYFUNCTION("""COMPUTED_VALUE"""),2)</f>
        <v>2</v>
      </c>
      <c r="X37" s="27"/>
      <c r="Y37" s="27"/>
      <c r="Z37" s="27">
        <f ca="1">IFERROR(__xludf.DUMMYFUNCTION("""COMPUTED_VALUE"""),800)</f>
        <v>800</v>
      </c>
      <c r="AA37" s="29">
        <f ca="1">IFERROR(__xludf.DUMMYFUNCTION("""COMPUTED_VALUE"""),43685)</f>
        <v>43685</v>
      </c>
      <c r="AB37" s="27" t="str">
        <f ca="1">IFERROR(__xludf.DUMMYFUNCTION("""COMPUTED_VALUE"""),"Não")</f>
        <v>Não</v>
      </c>
      <c r="AC37" s="27">
        <f ca="1">IFERROR(__xludf.DUMMYFUNCTION("""COMPUTED_VALUE"""),2)</f>
        <v>2</v>
      </c>
      <c r="AD37" s="27">
        <f ca="1">IFERROR(__xludf.DUMMYFUNCTION("""COMPUTED_VALUE"""),2)</f>
        <v>2</v>
      </c>
      <c r="AE37" s="27">
        <f ca="1">IFERROR(__xludf.DUMMYFUNCTION("""COMPUTED_VALUE"""),25)</f>
        <v>25</v>
      </c>
      <c r="AF37" s="27">
        <f ca="1">IFERROR(__xludf.DUMMYFUNCTION("""COMPUTED_VALUE"""),20)</f>
        <v>20</v>
      </c>
      <c r="AG37" s="27">
        <f ca="1">IFERROR(__xludf.DUMMYFUNCTION("""COMPUTED_VALUE"""),5)</f>
        <v>5</v>
      </c>
      <c r="AH37" s="27" t="str">
        <f ca="1">IFERROR(__xludf.DUMMYFUNCTION("""COMPUTED_VALUE"""),"Negócio Social; Convênio Público; Eventos/Ações para captação; Parceria iniciativa privada; Doações; Recursos próprios")</f>
        <v>Negócio Social; Convênio Público; Eventos/Ações para captação; Parceria iniciativa privada; Doações; Recursos próprios</v>
      </c>
      <c r="AI37" s="27" t="str">
        <f ca="1">IFERROR(__xludf.DUMMYFUNCTION("""COMPUTED_VALUE"""),"20% de cada")</f>
        <v>20% de cada</v>
      </c>
      <c r="AJ37" s="27"/>
      <c r="AK37" s="27"/>
      <c r="AL37" s="21" t="str">
        <f ca="1">IFERROR(__xludf.DUMMYFUNCTION("""COMPUTED_VALUE"""),"0034P000045kxkh")</f>
        <v>0034P000045kxkh</v>
      </c>
      <c r="AM37" s="27" t="str">
        <f ca="1">IFERROR(__xludf.DUMMYFUNCTION("""COMPUTED_VALUE"""),"Junio Da")</f>
        <v>Junio Da</v>
      </c>
      <c r="AN37" s="27" t="str">
        <f ca="1">IFERROR(__xludf.DUMMYFUNCTION("""COMPUTED_VALUE"""),"Ativo")</f>
        <v>Ativo</v>
      </c>
      <c r="AO37" s="30">
        <f ca="1">IFERROR(__xludf.DUMMYFUNCTION("""COMPUTED_VALUE"""),44551)</f>
        <v>44551</v>
      </c>
      <c r="AP37" s="27">
        <f ca="1">IFERROR(__xludf.DUMMYFUNCTION("""COMPUTED_VALUE"""),9)</f>
        <v>9</v>
      </c>
      <c r="AQ37" s="27" t="str">
        <f ca="1">IFERROR(__xludf.DUMMYFUNCTION("""COMPUTED_VALUE"""),"Segundo Semestre 2021")</f>
        <v>Segundo Semestre 2021</v>
      </c>
      <c r="AR37" s="27" t="str">
        <f ca="1">IFERROR(__xludf.DUMMYFUNCTION("""COMPUTED_VALUE"""),"pastortiaozinho@gmail.com")</f>
        <v>pastortiaozinho@gmail.com</v>
      </c>
      <c r="AS37" s="27" t="str">
        <f ca="1">IFERROR(__xludf.DUMMYFUNCTION("""COMPUTED_VALUE"""),"(37)99902-1506")</f>
        <v>(37)99902-1506</v>
      </c>
      <c r="AT37" s="29">
        <f ca="1">IFERROR(__xludf.DUMMYFUNCTION("""COMPUTED_VALUE"""),32001)</f>
        <v>32001</v>
      </c>
      <c r="AU37" s="27">
        <f ca="1">IFERROR(__xludf.DUMMYFUNCTION("""COMPUTED_VALUE"""),35)</f>
        <v>35</v>
      </c>
      <c r="AV37" s="27">
        <f ca="1">IFERROR(__xludf.DUMMYFUNCTION("""COMPUTED_VALUE"""),1567722644)</f>
        <v>1567722644</v>
      </c>
      <c r="AW37" s="27" t="str">
        <f ca="1">IFERROR(__xludf.DUMMYFUNCTION("""COMPUTED_VALUE"""),"Mg12137934")</f>
        <v>Mg12137934</v>
      </c>
      <c r="AX37" s="27"/>
      <c r="AY37" s="27"/>
      <c r="AZ37" s="27" t="str">
        <f ca="1">IFERROR(__xludf.DUMMYFUNCTION("""COMPUTED_VALUE"""),"G1")</f>
        <v>G1</v>
      </c>
      <c r="BA37" s="27" t="str">
        <f ca="1">IFERROR(__xludf.DUMMYFUNCTION("""COMPUTED_VALUE"""),"Branca")</f>
        <v>Branca</v>
      </c>
      <c r="BB37" s="27" t="str">
        <f ca="1">IFERROR(__xludf.DUMMYFUNCTION("""COMPUTED_VALUE"""),"Homem, cisgênero")</f>
        <v>Homem, cisgênero</v>
      </c>
      <c r="BC37" s="27" t="str">
        <f ca="1">IFERROR(__xludf.DUMMYFUNCTION("""COMPUTED_VALUE"""),"Sim")</f>
        <v>Sim</v>
      </c>
      <c r="BD37" s="27" t="str">
        <f ca="1">IFERROR(__xludf.DUMMYFUNCTION("""COMPUTED_VALUE"""),"Sebastião junio da Silva casado com Débora Lima, nascido e criado em Carmópolis de Minas Gerais. Teólogo, pastor Batista, empreendedor social. Fundador da Associação Casa up, Rede Meta é membro do Cmdc local. Trabalho duro em prol de oportunidades para a "&amp;"juventude!")</f>
        <v>Sebastião junio da Silva casado com Débora Lima, nascido e criado em Carmópolis de Minas Gerais. Teólogo, pastor Batista, empreendedor social. Fundador da Associação Casa up, Rede Meta é membro do Cmdc local. Trabalho duro em prol de oportunidades para a juventude!</v>
      </c>
      <c r="BE37" s="27"/>
      <c r="BF37" s="27" t="str">
        <f ca="1">IFERROR(__xludf.DUMMYFUNCTION("""COMPUTED_VALUE"""),"Heterossexual")</f>
        <v>Heterossexual</v>
      </c>
      <c r="BG37" s="27" t="str">
        <f ca="1">IFERROR(__xludf.DUMMYFUNCTION("""COMPUTED_VALUE"""),"Ensino Médio - Completo")</f>
        <v>Ensino Médio - Completo</v>
      </c>
      <c r="BH37" s="27" t="str">
        <f ca="1">IFERROR(__xludf.DUMMYFUNCTION("""COMPUTED_VALUE"""),"Pública")</f>
        <v>Pública</v>
      </c>
      <c r="BI37" s="27"/>
      <c r="BJ37" s="27"/>
      <c r="BK37" s="27" t="str">
        <f ca="1">IFERROR(__xludf.DUMMYFUNCTION("""COMPUTED_VALUE"""),"Rua Maria Cirilo")</f>
        <v>Rua Maria Cirilo</v>
      </c>
      <c r="BL37" s="27">
        <f ca="1">IFERROR(__xludf.DUMMYFUNCTION("""COMPUTED_VALUE"""),285)</f>
        <v>285</v>
      </c>
      <c r="BM37" s="27" t="str">
        <f ca="1">IFERROR(__xludf.DUMMYFUNCTION("""COMPUTED_VALUE"""),"Ap 03")</f>
        <v>Ap 03</v>
      </c>
      <c r="BN37" s="27" t="str">
        <f ca="1">IFERROR(__xludf.DUMMYFUNCTION("""COMPUTED_VALUE"""),"Carmópolis de Minas")</f>
        <v>Carmópolis de Minas</v>
      </c>
      <c r="BO37" s="27" t="str">
        <f ca="1">IFERROR(__xludf.DUMMYFUNCTION("""COMPUTED_VALUE"""),"35534-000")</f>
        <v>35534-000</v>
      </c>
      <c r="BP37" s="27" t="str">
        <f ca="1">IFERROR(__xludf.DUMMYFUNCTION("""COMPUTED_VALUE"""),"MG")</f>
        <v>MG</v>
      </c>
      <c r="BQ37" s="27" t="str">
        <f ca="1">IFERROR(__xludf.DUMMYFUNCTION("""COMPUTED_VALUE"""),"De 3 até 5 salários mínimos")</f>
        <v>De 3 até 5 salários mínimos</v>
      </c>
      <c r="BR37" s="27" t="str">
        <f ca="1">IFERROR(__xludf.DUMMYFUNCTION("""COMPUTED_VALUE"""),"MEI; Funcionário Público")</f>
        <v>MEI; Funcionário Público</v>
      </c>
      <c r="BS37" s="27" t="str">
        <f ca="1">IFERROR(__xludf.DUMMYFUNCTION("""COMPUTED_VALUE"""),"Casa própria")</f>
        <v>Casa própria</v>
      </c>
      <c r="BT37" s="27">
        <f ca="1">IFERROR(__xludf.DUMMYFUNCTION("""COMPUTED_VALUE"""),2)</f>
        <v>2</v>
      </c>
      <c r="BU37" s="27" t="str">
        <f ca="1">IFERROR(__xludf.DUMMYFUNCTION("""COMPUTED_VALUE"""),"Não tem")</f>
        <v>Não tem</v>
      </c>
      <c r="BV37" s="27"/>
      <c r="BW37" s="27"/>
      <c r="BX37" s="21" t="str">
        <f ca="1">IFERROR(__xludf.DUMMYFUNCTION("""COMPUTED_VALUE"""),"https://instagram.com/prtiaozinhosilva?utm_medium=copy_link")</f>
        <v>https://instagram.com/prtiaozinhosilva?utm_medium=copy_link</v>
      </c>
      <c r="BY37" s="21" t="str">
        <f ca="1">IFERROR(__xludf.DUMMYFUNCTION("""COMPUTED_VALUE"""),"https://drive.google.com/open?id=1QASxU1JNZM-N0hbcaswRXGfOFON-bSOV")</f>
        <v>https://drive.google.com/open?id=1QASxU1JNZM-N0hbcaswRXGfOFON-bSOV</v>
      </c>
    </row>
    <row r="38" spans="1:77" ht="12.5" hidden="1" x14ac:dyDescent="0.25">
      <c r="A38" s="21" t="str">
        <f ca="1">IFERROR(__xludf.DUMMYFUNCTION("""COMPUTED_VALUE"""),"0014X00002VKCqvQAH")</f>
        <v>0014X00002VKCqvQAH</v>
      </c>
      <c r="B38" s="27" t="str">
        <f ca="1">IFERROR(__xludf.DUMMYFUNCTION("""COMPUTED_VALUE"""),"Fase Inicial")</f>
        <v>Fase Inicial</v>
      </c>
      <c r="C38" s="27" t="str">
        <f ca="1">IFERROR(__xludf.DUMMYFUNCTION("""COMPUTED_VALUE"""),"Fellow")</f>
        <v>Fellow</v>
      </c>
      <c r="D38" s="27" t="str">
        <f ca="1">IFERROR(__xludf.DUMMYFUNCTION("""COMPUTED_VALUE"""),"Ativo")</f>
        <v>Ativo</v>
      </c>
      <c r="E38" s="27" t="str">
        <f ca="1">IFERROR(__xludf.DUMMYFUNCTION("""COMPUTED_VALUE"""),"Associacao centro de apoio acolher")</f>
        <v>Associacao centro de apoio acolher</v>
      </c>
      <c r="F38" s="27" t="str">
        <f ca="1">IFERROR(__xludf.DUMMYFUNCTION("""COMPUTED_VALUE"""),"walisson")</f>
        <v>walisson</v>
      </c>
      <c r="G38" s="27" t="str">
        <f ca="1">IFERROR(__xludf.DUMMYFUNCTION("""COMPUTED_VALUE"""),"ACOLHER")</f>
        <v>ACOLHER</v>
      </c>
      <c r="H38" s="27" t="str">
        <f ca="1">IFERROR(__xludf.DUMMYFUNCTION("""COMPUTED_VALUE"""),"39.490.984/0001-71")</f>
        <v>39.490.984/0001-71</v>
      </c>
      <c r="I38" s="27" t="str">
        <f ca="1">IFERROR(__xludf.DUMMYFUNCTION("""COMPUTED_VALUE"""),"walisson matos araujo")</f>
        <v>walisson matos araujo</v>
      </c>
      <c r="J38" s="27" t="str">
        <f ca="1">IFERROR(__xludf.DUMMYFUNCTION("""COMPUTED_VALUE"""),"walissonk01@gmail.com")</f>
        <v>walissonk01@gmail.com</v>
      </c>
      <c r="K38" s="27" t="str">
        <f ca="1">IFERROR(__xludf.DUMMYFUNCTION("""COMPUTED_VALUE"""),"(31)99821-3895")</f>
        <v>(31)99821-3895</v>
      </c>
      <c r="L38" s="27" t="str">
        <f ca="1">IFERROR(__xludf.DUMMYFUNCTION("""COMPUTED_VALUE"""),"MG")</f>
        <v>MG</v>
      </c>
      <c r="M38" s="27" t="str">
        <f ca="1">IFERROR(__xludf.DUMMYFUNCTION("""COMPUTED_VALUE"""),"Rua Sereno 2361")</f>
        <v>Rua Sereno 2361</v>
      </c>
      <c r="N38" s="27" t="str">
        <f ca="1">IFERROR(__xludf.DUMMYFUNCTION("""COMPUTED_VALUE"""),"sao jorge")</f>
        <v>sao jorge</v>
      </c>
      <c r="O38" s="27">
        <f ca="1">IFERROR(__xludf.DUMMYFUNCTION("""COMPUTED_VALUE"""),2361)</f>
        <v>2361</v>
      </c>
      <c r="P38" s="27" t="str">
        <f ca="1">IFERROR(__xludf.DUMMYFUNCTION("""COMPUTED_VALUE"""),"BELO HORIZONTE")</f>
        <v>BELO HORIZONTE</v>
      </c>
      <c r="Q38" s="27" t="str">
        <f ca="1">IFERROR(__xludf.DUMMYFUNCTION("""COMPUTED_VALUE"""),"casa")</f>
        <v>casa</v>
      </c>
      <c r="R38" s="27" t="str">
        <f ca="1">IFERROR(__xludf.DUMMYFUNCTION("""COMPUTED_VALUE"""),"30360-360")</f>
        <v>30360-360</v>
      </c>
      <c r="S38" s="27"/>
      <c r="T38" s="27"/>
      <c r="U38" s="27" t="str">
        <f ca="1">IFERROR(__xludf.DUMMYFUNCTION("""COMPUTED_VALUE"""),"Crianças (6 a 12 anos)")</f>
        <v>Crianças (6 a 12 anos)</v>
      </c>
      <c r="V38" s="27" t="str">
        <f ca="1">IFERROR(__xludf.DUMMYFUNCTION("""COMPUTED_VALUE"""),"Moradores de Favelas")</f>
        <v>Moradores de Favelas</v>
      </c>
      <c r="W38" s="27">
        <f ca="1">IFERROR(__xludf.DUMMYFUNCTION("""COMPUTED_VALUE"""),7)</f>
        <v>7</v>
      </c>
      <c r="X38" s="27"/>
      <c r="Y38" s="27"/>
      <c r="Z38" s="27">
        <f ca="1">IFERROR(__xludf.DUMMYFUNCTION("""COMPUTED_VALUE"""),200)</f>
        <v>200</v>
      </c>
      <c r="AA38" s="30">
        <f ca="1">IFERROR(__xludf.DUMMYFUNCTION("""COMPUTED_VALUE"""),44123)</f>
        <v>44123</v>
      </c>
      <c r="AB38" s="27" t="str">
        <f ca="1">IFERROR(__xludf.DUMMYFUNCTION("""COMPUTED_VALUE"""),"Sim")</f>
        <v>Sim</v>
      </c>
      <c r="AC38" s="27">
        <f ca="1">IFERROR(__xludf.DUMMYFUNCTION("""COMPUTED_VALUE"""),0)</f>
        <v>0</v>
      </c>
      <c r="AD38" s="27">
        <f ca="1">IFERROR(__xludf.DUMMYFUNCTION("""COMPUTED_VALUE"""),9)</f>
        <v>9</v>
      </c>
      <c r="AE38" s="27">
        <f ca="1">IFERROR(__xludf.DUMMYFUNCTION("""COMPUTED_VALUE"""),9)</f>
        <v>9</v>
      </c>
      <c r="AF38" s="27">
        <f ca="1">IFERROR(__xludf.DUMMYFUNCTION("""COMPUTED_VALUE"""),9)</f>
        <v>9</v>
      </c>
      <c r="AG38" s="27">
        <f ca="1">IFERROR(__xludf.DUMMYFUNCTION("""COMPUTED_VALUE"""),3)</f>
        <v>3</v>
      </c>
      <c r="AH38" s="27" t="str">
        <f ca="1">IFERROR(__xludf.DUMMYFUNCTION("""COMPUTED_VALUE"""),"Eventos/Ações para captação, Doações, Recursos próprios")</f>
        <v>Eventos/Ações para captação, Doações, Recursos próprios</v>
      </c>
      <c r="AI38" s="27">
        <f ca="1">IFERROR(__xludf.DUMMYFUNCTION("""COMPUTED_VALUE"""),0)</f>
        <v>0</v>
      </c>
      <c r="AJ38" s="27" t="str">
        <f ca="1">IFERROR(__xludf.DUMMYFUNCTION("""COMPUTED_VALUE"""),"Não")</f>
        <v>Não</v>
      </c>
      <c r="AK38" s="27"/>
      <c r="AL38" s="21" t="str">
        <f ca="1">IFERROR(__xludf.DUMMYFUNCTION("""COMPUTED_VALUE"""),"0034X0000380O5X")</f>
        <v>0034X0000380O5X</v>
      </c>
      <c r="AM38" s="27" t="str">
        <f ca="1">IFERROR(__xludf.DUMMYFUNCTION("""COMPUTED_VALUE"""),"Gil aguilar")</f>
        <v>Gil aguilar</v>
      </c>
      <c r="AN38" s="27" t="str">
        <f ca="1">IFERROR(__xludf.DUMMYFUNCTION("""COMPUTED_VALUE"""),"Ativo")</f>
        <v>Ativo</v>
      </c>
      <c r="AO38" s="29">
        <f ca="1">IFERROR(__xludf.DUMMYFUNCTION("""COMPUTED_VALUE"""),44763)</f>
        <v>44763</v>
      </c>
      <c r="AP38" s="27">
        <f ca="1">IFERROR(__xludf.DUMMYFUNCTION("""COMPUTED_VALUE"""),2)</f>
        <v>2</v>
      </c>
      <c r="AQ38" s="27" t="str">
        <f ca="1">IFERROR(__xludf.DUMMYFUNCTION("""COMPUTED_VALUE"""),"Primeiro Semestre 2022")</f>
        <v>Primeiro Semestre 2022</v>
      </c>
      <c r="AR38" s="27" t="str">
        <f ca="1">IFERROR(__xludf.DUMMYFUNCTION("""COMPUTED_VALUE"""),"magnaaguilar@hotmail.com")</f>
        <v>magnaaguilar@hotmail.com</v>
      </c>
      <c r="AS38" s="27" t="str">
        <f ca="1">IFERROR(__xludf.DUMMYFUNCTION("""COMPUTED_VALUE"""),"55+(31)9748-1518")</f>
        <v>55+(31)9748-1518</v>
      </c>
      <c r="AT38" s="30">
        <f ca="1">IFERROR(__xludf.DUMMYFUNCTION("""COMPUTED_VALUE"""),27687)</f>
        <v>27687</v>
      </c>
      <c r="AU38" s="27">
        <f ca="1">IFERROR(__xludf.DUMMYFUNCTION("""COMPUTED_VALUE"""),47)</f>
        <v>47</v>
      </c>
      <c r="AV38" s="27">
        <f ca="1">IFERROR(__xludf.DUMMYFUNCTION("""COMPUTED_VALUE"""),956968651)</f>
        <v>956968651</v>
      </c>
      <c r="AW38" s="27">
        <f ca="1">IFERROR(__xludf.DUMMYFUNCTION("""COMPUTED_VALUE"""),7794512)</f>
        <v>7794512</v>
      </c>
      <c r="AX38" s="27"/>
      <c r="AY38" s="27" t="str">
        <f ca="1">IFERROR(__xludf.DUMMYFUNCTION("""COMPUTED_VALUE"""),"Presidente")</f>
        <v>Presidente</v>
      </c>
      <c r="AZ38" s="27" t="str">
        <f ca="1">IFERROR(__xludf.DUMMYFUNCTION("""COMPUTED_VALUE"""),"M")</f>
        <v>M</v>
      </c>
      <c r="BA38" s="27" t="str">
        <f ca="1">IFERROR(__xludf.DUMMYFUNCTION("""COMPUTED_VALUE"""),"Parda")</f>
        <v>Parda</v>
      </c>
      <c r="BB38" s="27"/>
      <c r="BC38" s="27"/>
      <c r="BD38" s="27" t="str">
        <f ca="1">IFERROR(__xludf.DUMMYFUNCTION("""COMPUTED_VALUE"""),"Me chamo Walisson Matos sou sobrevivente da tragédia de Brumadinho, tenho 45 anos 
e hoje dedico minha vida para ajudar pessoas, com a sede que construir com minhas próprias mãos.")</f>
        <v>Me chamo Walisson Matos sou sobrevivente da tragédia de Brumadinho, tenho 45 anos 
e hoje dedico minha vida para ajudar pessoas, com a sede que construir com minhas próprias mãos.</v>
      </c>
      <c r="BE38" s="27" t="str">
        <f ca="1">IFERROR(__xludf.DUMMYFUNCTION("""COMPUTED_VALUE"""),"Homem, cisgênero")</f>
        <v>Homem, cisgênero</v>
      </c>
      <c r="BF38" s="27" t="str">
        <f ca="1">IFERROR(__xludf.DUMMYFUNCTION("""COMPUTED_VALUE"""),"Heterossexual")</f>
        <v>Heterossexual</v>
      </c>
      <c r="BG38" s="27" t="str">
        <f ca="1">IFERROR(__xludf.DUMMYFUNCTION("""COMPUTED_VALUE"""),"Ensino Médio - Completo")</f>
        <v>Ensino Médio - Completo</v>
      </c>
      <c r="BH38" s="27" t="str">
        <f ca="1">IFERROR(__xludf.DUMMYFUNCTION("""COMPUTED_VALUE"""),"Público")</f>
        <v>Público</v>
      </c>
      <c r="BI38" s="27" t="str">
        <f ca="1">IFERROR(__xludf.DUMMYFUNCTION("""COMPUTED_VALUE"""),"Graduação")</f>
        <v>Graduação</v>
      </c>
      <c r="BJ38" s="27" t="str">
        <f ca="1">IFERROR(__xludf.DUMMYFUNCTION("""COMPUTED_VALUE"""),"Público")</f>
        <v>Público</v>
      </c>
      <c r="BK38" s="27" t="str">
        <f ca="1">IFERROR(__xludf.DUMMYFUNCTION("""COMPUTED_VALUE"""),"Rua Sereno")</f>
        <v>Rua Sereno</v>
      </c>
      <c r="BL38" s="27">
        <f ca="1">IFERROR(__xludf.DUMMYFUNCTION("""COMPUTED_VALUE"""),2361)</f>
        <v>2361</v>
      </c>
      <c r="BM38" s="27" t="str">
        <f ca="1">IFERROR(__xludf.DUMMYFUNCTION("""COMPUTED_VALUE"""),"casa")</f>
        <v>casa</v>
      </c>
      <c r="BN38" s="27" t="str">
        <f ca="1">IFERROR(__xludf.DUMMYFUNCTION("""COMPUTED_VALUE"""),"Belo Horizonte")</f>
        <v>Belo Horizonte</v>
      </c>
      <c r="BO38" s="27" t="str">
        <f ca="1">IFERROR(__xludf.DUMMYFUNCTION("""COMPUTED_VALUE"""),"30431-360")</f>
        <v>30431-360</v>
      </c>
      <c r="BP38" s="27" t="str">
        <f ca="1">IFERROR(__xludf.DUMMYFUNCTION("""COMPUTED_VALUE"""),"MG")</f>
        <v>MG</v>
      </c>
      <c r="BQ38" s="27" t="str">
        <f ca="1">IFERROR(__xludf.DUMMYFUNCTION("""COMPUTED_VALUE"""),"Entre 1 até 3 salários mínimos")</f>
        <v>Entre 1 até 3 salários mínimos</v>
      </c>
      <c r="BR38" s="27" t="str">
        <f ca="1">IFERROR(__xludf.DUMMYFUNCTION("""COMPUTED_VALUE"""),"Trabalho informal")</f>
        <v>Trabalho informal</v>
      </c>
      <c r="BS38" s="27" t="str">
        <f ca="1">IFERROR(__xludf.DUMMYFUNCTION("""COMPUTED_VALUE"""),"Casa própria")</f>
        <v>Casa própria</v>
      </c>
      <c r="BT38" s="27">
        <f ca="1">IFERROR(__xludf.DUMMYFUNCTION("""COMPUTED_VALUE"""),4)</f>
        <v>4</v>
      </c>
      <c r="BU38" s="27" t="str">
        <f ca="1">IFERROR(__xludf.DUMMYFUNCTION("""COMPUTED_VALUE"""),"Não tem")</f>
        <v>Não tem</v>
      </c>
      <c r="BV38" s="27" t="str">
        <f ca="1">IFERROR(__xludf.DUMMYFUNCTION("""COMPUTED_VALUE"""),"Não")</f>
        <v>Não</v>
      </c>
      <c r="BW38" s="27"/>
      <c r="BX38" s="27" t="str">
        <f ca="1">IFERROR(__xludf.DUMMYFUNCTION("""COMPUTED_VALUE"""),"Walisson matos matos")</f>
        <v>Walisson matos matos</v>
      </c>
      <c r="BY38" s="21" t="str">
        <f ca="1">IFERROR(__xludf.DUMMYFUNCTION("""COMPUTED_VALUE"""),"https://drive.google.com/open?id=1kH3hPBnB8OKAq2pfwSY4yk6A7kBBbP6O")</f>
        <v>https://drive.google.com/open?id=1kH3hPBnB8OKAq2pfwSY4yk6A7kBBbP6O</v>
      </c>
    </row>
    <row r="39" spans="1:77" ht="12.5" hidden="1" x14ac:dyDescent="0.25">
      <c r="A39" s="21" t="str">
        <f ca="1">IFERROR(__xludf.DUMMYFUNCTION("""COMPUTED_VALUE"""),"0014X00002VKCq2QAH")</f>
        <v>0014X00002VKCq2QAH</v>
      </c>
      <c r="B39" s="27" t="str">
        <f ca="1">IFERROR(__xludf.DUMMYFUNCTION("""COMPUTED_VALUE"""),"Fase Inicial")</f>
        <v>Fase Inicial</v>
      </c>
      <c r="C39" s="27" t="str">
        <f ca="1">IFERROR(__xludf.DUMMYFUNCTION("""COMPUTED_VALUE"""),"Fellow")</f>
        <v>Fellow</v>
      </c>
      <c r="D39" s="27" t="str">
        <f ca="1">IFERROR(__xludf.DUMMYFUNCTION("""COMPUTED_VALUE"""),"Ativo")</f>
        <v>Ativo</v>
      </c>
      <c r="E39" s="27" t="str">
        <f ca="1">IFERROR(__xludf.DUMMYFUNCTION("""COMPUTED_VALUE"""),"Associação cidadania* desporto* lazer e cultura- Celc")</f>
        <v>Associação cidadania* desporto* lazer e cultura- Celc</v>
      </c>
      <c r="F39" s="27" t="str">
        <f ca="1">IFERROR(__xludf.DUMMYFUNCTION("""COMPUTED_VALUE"""),"HAMILTON")</f>
        <v>HAMILTON</v>
      </c>
      <c r="G39" s="27" t="str">
        <f ca="1">IFERROR(__xludf.DUMMYFUNCTION("""COMPUTED_VALUE"""),"CELC")</f>
        <v>CELC</v>
      </c>
      <c r="H39" s="27" t="str">
        <f ca="1">IFERROR(__xludf.DUMMYFUNCTION("""COMPUTED_VALUE"""),"43.634.796/0001-47")</f>
        <v>43.634.796/0001-47</v>
      </c>
      <c r="I39" s="27" t="str">
        <f ca="1">IFERROR(__xludf.DUMMYFUNCTION("""COMPUTED_VALUE"""),"MILKA EMIDIO SOARES")</f>
        <v>MILKA EMIDIO SOARES</v>
      </c>
      <c r="J39" s="27" t="str">
        <f ca="1">IFERROR(__xludf.DUMMYFUNCTION("""COMPUTED_VALUE"""),"associacaocelc@gmail.com")</f>
        <v>associacaocelc@gmail.com</v>
      </c>
      <c r="K39" s="27" t="str">
        <f ca="1">IFERROR(__xludf.DUMMYFUNCTION("""COMPUTED_VALUE"""),"(85)98653-7101")</f>
        <v>(85)98653-7101</v>
      </c>
      <c r="L39" s="27" t="str">
        <f ca="1">IFERROR(__xludf.DUMMYFUNCTION("""COMPUTED_VALUE"""),"CE")</f>
        <v>CE</v>
      </c>
      <c r="M39" s="27" t="str">
        <f ca="1">IFERROR(__xludf.DUMMYFUNCTION("""COMPUTED_VALUE"""),"RUA 1004")</f>
        <v>RUA 1004</v>
      </c>
      <c r="N39" s="27" t="str">
        <f ca="1">IFERROR(__xludf.DUMMYFUNCTION("""COMPUTED_VALUE"""),"CONJUNTO CEARÁ")</f>
        <v>CONJUNTO CEARÁ</v>
      </c>
      <c r="O39" s="27">
        <f ca="1">IFERROR(__xludf.DUMMYFUNCTION("""COMPUTED_VALUE"""),76)</f>
        <v>76</v>
      </c>
      <c r="P39" s="27" t="str">
        <f ca="1">IFERROR(__xludf.DUMMYFUNCTION("""COMPUTED_VALUE"""),"FORTALEZA")</f>
        <v>FORTALEZA</v>
      </c>
      <c r="Q39" s="27"/>
      <c r="R39" s="27" t="str">
        <f ca="1">IFERROR(__xludf.DUMMYFUNCTION("""COMPUTED_VALUE"""),"60532-620")</f>
        <v>60532-620</v>
      </c>
      <c r="S39" s="27" t="str">
        <f ca="1">IFERROR(__xludf.DUMMYFUNCTION("""COMPUTED_VALUE"""),"GINÁSIO DA ESCOLA MARIA ANTONIETA NUNES")</f>
        <v>GINÁSIO DA ESCOLA MARIA ANTONIETA NUNES</v>
      </c>
      <c r="T39" s="27"/>
      <c r="U39"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39" s="27" t="str">
        <f ca="1">IFERROR(__xludf.DUMMYFUNCTION("""COMPUTED_VALUE"""),"Moradores de Favelas, População LGBTQ+, Afrodescendentes, Pessoas com Deficiência, Egressos sistema carcerário")</f>
        <v>Moradores de Favelas, População LGBTQ+, Afrodescendentes, Pessoas com Deficiência, Egressos sistema carcerário</v>
      </c>
      <c r="W39" s="27">
        <f ca="1">IFERROR(__xludf.DUMMYFUNCTION("""COMPUTED_VALUE"""),11)</f>
        <v>11</v>
      </c>
      <c r="X39" s="27"/>
      <c r="Y39" s="27"/>
      <c r="Z39" s="27">
        <f ca="1">IFERROR(__xludf.DUMMYFUNCTION("""COMPUTED_VALUE"""),240)</f>
        <v>240</v>
      </c>
      <c r="AA39" s="29">
        <f ca="1">IFERROR(__xludf.DUMMYFUNCTION("""COMPUTED_VALUE"""),42903)</f>
        <v>42903</v>
      </c>
      <c r="AB39" s="27" t="str">
        <f ca="1">IFERROR(__xludf.DUMMYFUNCTION("""COMPUTED_VALUE"""),"Sim")</f>
        <v>Sim</v>
      </c>
      <c r="AC39" s="27">
        <f ca="1">IFERROR(__xludf.DUMMYFUNCTION("""COMPUTED_VALUE"""),0)</f>
        <v>0</v>
      </c>
      <c r="AD39" s="27">
        <f ca="1">IFERROR(__xludf.DUMMYFUNCTION("""COMPUTED_VALUE"""),7)</f>
        <v>7</v>
      </c>
      <c r="AE39" s="27">
        <f ca="1">IFERROR(__xludf.DUMMYFUNCTION("""COMPUTED_VALUE"""),10)</f>
        <v>10</v>
      </c>
      <c r="AF39" s="27">
        <f ca="1">IFERROR(__xludf.DUMMYFUNCTION("""COMPUTED_VALUE"""),7)</f>
        <v>7</v>
      </c>
      <c r="AG39" s="27">
        <f ca="1">IFERROR(__xludf.DUMMYFUNCTION("""COMPUTED_VALUE"""),2)</f>
        <v>2</v>
      </c>
      <c r="AH39" s="27" t="str">
        <f ca="1">IFERROR(__xludf.DUMMYFUNCTION("""COMPUTED_VALUE"""),"Outro(s), Doações")</f>
        <v>Outro(s), Doações</v>
      </c>
      <c r="AI39" s="27">
        <f ca="1">IFERROR(__xludf.DUMMYFUNCTION("""COMPUTED_VALUE"""),1)</f>
        <v>1</v>
      </c>
      <c r="AJ39" s="27" t="str">
        <f ca="1">IFERROR(__xludf.DUMMYFUNCTION("""COMPUTED_VALUE"""),"Sim")</f>
        <v>Sim</v>
      </c>
      <c r="AK39" s="27"/>
      <c r="AL39" s="21" t="str">
        <f ca="1">IFERROR(__xludf.DUMMYFUNCTION("""COMPUTED_VALUE"""),"0034X0000380O1X")</f>
        <v>0034X0000380O1X</v>
      </c>
      <c r="AM39" s="27" t="str">
        <f ca="1">IFERROR(__xludf.DUMMYFUNCTION("""COMPUTED_VALUE"""),"Leite lima")</f>
        <v>Leite lima</v>
      </c>
      <c r="AN39" s="27" t="str">
        <f ca="1">IFERROR(__xludf.DUMMYFUNCTION("""COMPUTED_VALUE"""),"Ativo")</f>
        <v>Ativo</v>
      </c>
      <c r="AO39" s="27"/>
      <c r="AP39" s="27"/>
      <c r="AQ39" s="27" t="str">
        <f ca="1">IFERROR(__xludf.DUMMYFUNCTION("""COMPUTED_VALUE"""),"Primeiro Semestre 2022")</f>
        <v>Primeiro Semestre 2022</v>
      </c>
      <c r="AR39" s="27" t="str">
        <f ca="1">IFERROR(__xludf.DUMMYFUNCTION("""COMPUTED_VALUE"""),"jurunapretolima@gmail.com")</f>
        <v>jurunapretolima@gmail.com</v>
      </c>
      <c r="AS39" s="27" t="str">
        <f ca="1">IFERROR(__xludf.DUMMYFUNCTION("""COMPUTED_VALUE"""),"(85)98653-7101")</f>
        <v>(85)98653-7101</v>
      </c>
      <c r="AT39" s="29">
        <f ca="1">IFERROR(__xludf.DUMMYFUNCTION("""COMPUTED_VALUE"""),29716)</f>
        <v>29716</v>
      </c>
      <c r="AU39" s="27">
        <f ca="1">IFERROR(__xludf.DUMMYFUNCTION("""COMPUTED_VALUE"""),41)</f>
        <v>41</v>
      </c>
      <c r="AV39" s="27">
        <f ca="1">IFERROR(__xludf.DUMMYFUNCTION("""COMPUTED_VALUE"""),63535041368)</f>
        <v>63535041368</v>
      </c>
      <c r="AW39" s="27">
        <f ca="1">IFERROR(__xludf.DUMMYFUNCTION("""COMPUTED_VALUE"""),980120181)</f>
        <v>980120181</v>
      </c>
      <c r="AX39" s="27"/>
      <c r="AY39" s="27" t="str">
        <f ca="1">IFERROR(__xludf.DUMMYFUNCTION("""COMPUTED_VALUE"""),"VICE PRESIDENTE")</f>
        <v>VICE PRESIDENTE</v>
      </c>
      <c r="AZ39" s="27" t="str">
        <f ca="1">IFERROR(__xludf.DUMMYFUNCTION("""COMPUTED_VALUE"""),"G1")</f>
        <v>G1</v>
      </c>
      <c r="BA39" s="27" t="str">
        <f ca="1">IFERROR(__xludf.DUMMYFUNCTION("""COMPUTED_VALUE"""),"Preta")</f>
        <v>Preta</v>
      </c>
      <c r="BB39" s="27"/>
      <c r="BC39" s="27"/>
      <c r="BD39" s="27" t="str">
        <f ca="1">IFERROR(__xludf.DUMMYFUNCTION("""COMPUTED_VALUE"""),"Sou Juruna Lima, tenho 41 anos, esse ano completo 25 anos de trabalhos sociais na comunidade do conjunto Ceará.
Iniciei aos 16 ANOS NO SOCIAL, MEIO QUE na brincadeira e de lá pra cá tive inúmeras experiências que me fizeram um educador preparado para os d"&amp;"esafios que o social nos impõe diante das desigualdades.")</f>
        <v>Sou Juruna Lima, tenho 41 anos, esse ano completo 25 anos de trabalhos sociais na comunidade do conjunto Ceará.
Iniciei aos 16 ANOS NO SOCIAL, MEIO QUE na brincadeira e de lá pra cá tive inúmeras experiências que me fizeram um educador preparado para os desafios que o social nos impõe diante das desigualdades.</v>
      </c>
      <c r="BE39" s="27" t="str">
        <f ca="1">IFERROR(__xludf.DUMMYFUNCTION("""COMPUTED_VALUE"""),"Homem, cisgênero")</f>
        <v>Homem, cisgênero</v>
      </c>
      <c r="BF39" s="27" t="str">
        <f ca="1">IFERROR(__xludf.DUMMYFUNCTION("""COMPUTED_VALUE"""),"Heterossexual")</f>
        <v>Heterossexual</v>
      </c>
      <c r="BG39" s="27" t="str">
        <f ca="1">IFERROR(__xludf.DUMMYFUNCTION("""COMPUTED_VALUE"""),"Ensino Médio - Completo")</f>
        <v>Ensino Médio - Completo</v>
      </c>
      <c r="BH39" s="27" t="str">
        <f ca="1">IFERROR(__xludf.DUMMYFUNCTION("""COMPUTED_VALUE"""),"Público")</f>
        <v>Público</v>
      </c>
      <c r="BI39" s="27"/>
      <c r="BJ39" s="27"/>
      <c r="BK39" s="27">
        <f ca="1">IFERROR(__xludf.DUMMYFUNCTION("""COMPUTED_VALUE"""),1002)</f>
        <v>1002</v>
      </c>
      <c r="BL39" s="27">
        <f ca="1">IFERROR(__xludf.DUMMYFUNCTION("""COMPUTED_VALUE"""),19)</f>
        <v>19</v>
      </c>
      <c r="BM39" s="27"/>
      <c r="BN39" s="27" t="str">
        <f ca="1">IFERROR(__xludf.DUMMYFUNCTION("""COMPUTED_VALUE"""),"FORTALEZA")</f>
        <v>FORTALEZA</v>
      </c>
      <c r="BO39" s="27" t="str">
        <f ca="1">IFERROR(__xludf.DUMMYFUNCTION("""COMPUTED_VALUE"""),"60532-620")</f>
        <v>60532-620</v>
      </c>
      <c r="BP39" s="27" t="str">
        <f ca="1">IFERROR(__xludf.DUMMYFUNCTION("""COMPUTED_VALUE"""),"CE")</f>
        <v>CE</v>
      </c>
      <c r="BQ39" s="27" t="str">
        <f ca="1">IFERROR(__xludf.DUMMYFUNCTION("""COMPUTED_VALUE"""),"Entre 1 até 3 salários mínimos")</f>
        <v>Entre 1 até 3 salários mínimos</v>
      </c>
      <c r="BR39" s="27" t="str">
        <f ca="1">IFERROR(__xludf.DUMMYFUNCTION("""COMPUTED_VALUE"""),"CLT")</f>
        <v>CLT</v>
      </c>
      <c r="BS39" s="27" t="str">
        <f ca="1">IFERROR(__xludf.DUMMYFUNCTION("""COMPUTED_VALUE"""),"Aluguel")</f>
        <v>Aluguel</v>
      </c>
      <c r="BT39" s="27">
        <f ca="1">IFERROR(__xludf.DUMMYFUNCTION("""COMPUTED_VALUE"""),4)</f>
        <v>4</v>
      </c>
      <c r="BU39" s="27" t="str">
        <f ca="1">IFERROR(__xludf.DUMMYFUNCTION("""COMPUTED_VALUE"""),"Não tem")</f>
        <v>Não tem</v>
      </c>
      <c r="BV39" s="27" t="str">
        <f ca="1">IFERROR(__xludf.DUMMYFUNCTION("""COMPUTED_VALUE"""),"Não")</f>
        <v>Não</v>
      </c>
      <c r="BW39" s="27"/>
      <c r="BX39" s="21" t="str">
        <f ca="1">IFERROR(__xludf.DUMMYFUNCTION("""COMPUTED_VALUE"""),"https://www.instagram.com/reel/CcIXWTkOVYO/?igshid=MDJmNzVkMjY=")</f>
        <v>https://www.instagram.com/reel/CcIXWTkOVYO/?igshid=MDJmNzVkMjY=</v>
      </c>
      <c r="BY39" s="21" t="str">
        <f ca="1">IFERROR(__xludf.DUMMYFUNCTION("""COMPUTED_VALUE"""),"https://drive.google.com/open?id=1bTcF3h1NHitlMDgCERntcOL90XfPVMec")</f>
        <v>https://drive.google.com/open?id=1bTcF3h1NHitlMDgCERntcOL90XfPVMec</v>
      </c>
    </row>
    <row r="40" spans="1:77" ht="12.5" hidden="1" x14ac:dyDescent="0.25">
      <c r="A40" s="21" t="str">
        <f ca="1">IFERROR(__xludf.DUMMYFUNCTION("""COMPUTED_VALUE"""),"0014P00003SGWPhQAP")</f>
        <v>0014P00003SGWPhQAP</v>
      </c>
      <c r="B40" s="27" t="str">
        <f ca="1">IFERROR(__xludf.DUMMYFUNCTION("""COMPUTED_VALUE"""),"Fase Estruturação")</f>
        <v>Fase Estruturação</v>
      </c>
      <c r="C40" s="27" t="str">
        <f ca="1">IFERROR(__xludf.DUMMYFUNCTION("""COMPUTED_VALUE"""),"Acelerada")</f>
        <v>Acelerada</v>
      </c>
      <c r="D40" s="27" t="str">
        <f ca="1">IFERROR(__xludf.DUMMYFUNCTION("""COMPUTED_VALUE"""),"Ativo")</f>
        <v>Ativo</v>
      </c>
      <c r="E40" s="27" t="str">
        <f ca="1">IFERROR(__xludf.DUMMYFUNCTION("""COMPUTED_VALUE"""),"Associação Cidadania Social e Sustentabilidade")</f>
        <v>Associação Cidadania Social e Sustentabilidade</v>
      </c>
      <c r="F40" s="27" t="str">
        <f ca="1">IFERROR(__xludf.DUMMYFUNCTION("""COMPUTED_VALUE"""),"Francisca")</f>
        <v>Francisca</v>
      </c>
      <c r="G40" s="27" t="str">
        <f ca="1">IFERROR(__xludf.DUMMYFUNCTION("""COMPUTED_VALUE"""),"ACSSUS")</f>
        <v>ACSSUS</v>
      </c>
      <c r="H40" s="27" t="str">
        <f ca="1">IFERROR(__xludf.DUMMYFUNCTION("""COMPUTED_VALUE"""),"19.322.282/0001-71")</f>
        <v>19.322.282/0001-71</v>
      </c>
      <c r="I40" s="27" t="str">
        <f ca="1">IFERROR(__xludf.DUMMYFUNCTION("""COMPUTED_VALUE"""),"Francisca Izabel Castro Porto")</f>
        <v>Francisca Izabel Castro Porto</v>
      </c>
      <c r="J40" s="27" t="str">
        <f ca="1">IFERROR(__xludf.DUMMYFUNCTION("""COMPUTED_VALUE"""),"icssus50@gmail.com")</f>
        <v>icssus50@gmail.com</v>
      </c>
      <c r="K40" s="27" t="str">
        <f ca="1">IFERROR(__xludf.DUMMYFUNCTION("""COMPUTED_VALUE"""),"(92)99114-2962")</f>
        <v>(92)99114-2962</v>
      </c>
      <c r="L40" s="27" t="str">
        <f ca="1">IFERROR(__xludf.DUMMYFUNCTION("""COMPUTED_VALUE"""),"AM")</f>
        <v>AM</v>
      </c>
      <c r="M40" s="27" t="str">
        <f ca="1">IFERROR(__xludf.DUMMYFUNCTION("""COMPUTED_VALUE"""),"rua 7 de Setembro,11")</f>
        <v>rua 7 de Setembro,11</v>
      </c>
      <c r="N40" s="27" t="str">
        <f ca="1">IFERROR(__xludf.DUMMYFUNCTION("""COMPUTED_VALUE"""),"PALMARES")</f>
        <v>PALMARES</v>
      </c>
      <c r="O40" s="27" t="str">
        <f ca="1">IFERROR(__xludf.DUMMYFUNCTION("""COMPUTED_VALUE"""),"(92)99114-2962")</f>
        <v>(92)99114-2962</v>
      </c>
      <c r="P40" s="27" t="str">
        <f ca="1">IFERROR(__xludf.DUMMYFUNCTION("""COMPUTED_VALUE"""),"Parintins")</f>
        <v>Parintins</v>
      </c>
      <c r="Q40" s="27"/>
      <c r="R40" s="27" t="str">
        <f ca="1">IFERROR(__xludf.DUMMYFUNCTION("""COMPUTED_VALUE"""),"69153-040")</f>
        <v>69153-040</v>
      </c>
      <c r="S40" s="27" t="str">
        <f ca="1">IFERROR(__xludf.DUMMYFUNCTION("""COMPUTED_VALUE"""),"Zona Rural de Vila Amazônia")</f>
        <v>Zona Rural de Vila Amazônia</v>
      </c>
      <c r="T40" s="27" t="str">
        <f ca="1">IFERROR(__xludf.DUMMYFUNCTION("""COMPUTED_VALUE"""),"Educação; Assistência Social; Cultura; Qualificação Profissional; Empreendedorismo; Meio ambiente; Empoderamento Feminino; Defesa de Direitos; Desenvolvimento comunitário")</f>
        <v>Educação; Assistência Social; Cultura; Qualificação Profissional; Empreendedorismo; Meio ambiente; Empoderamento Feminino; Defesa de Direitos; Desenvolvimento comunitário</v>
      </c>
      <c r="U40"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40" s="27" t="str">
        <f ca="1">IFERROR(__xludf.DUMMYFUNCTION("""COMPUTED_VALUE"""),"Moradores de Favelas; Pessoas em situação de rua; População LGBTQ+; Povos Indígenas; Quilombola; Pessoas com Deficiência; Ribeirinhos; Comunidade rural; Outros")</f>
        <v>Moradores de Favelas; Pessoas em situação de rua; População LGBTQ+; Povos Indígenas; Quilombola; Pessoas com Deficiência; Ribeirinhos; Comunidade rural; Outros</v>
      </c>
      <c r="W40" s="27">
        <f ca="1">IFERROR(__xludf.DUMMYFUNCTION("""COMPUTED_VALUE"""),37)</f>
        <v>37</v>
      </c>
      <c r="X40" s="27" t="str">
        <f ca="1">IFERROR(__xludf.DUMMYFUNCTION("""COMPUTED_VALUE"""),"Além dessas Comunidades atendemos Famílias do Centro da Cidade Famílias de Desempregados Artistas de ruaetc")</f>
        <v>Além dessas Comunidades atendemos Famílias do Centro da Cidade Famílias de Desempregados Artistas de ruaetc</v>
      </c>
      <c r="Y40" s="27">
        <f ca="1">IFERROR(__xludf.DUMMYFUNCTION("""COMPUTED_VALUE"""),310)</f>
        <v>310</v>
      </c>
      <c r="Z40" s="27">
        <f ca="1">IFERROR(__xludf.DUMMYFUNCTION("""COMPUTED_VALUE"""),5000)</f>
        <v>5000</v>
      </c>
      <c r="AA40" s="29">
        <f ca="1">IFERROR(__xludf.DUMMYFUNCTION("""COMPUTED_VALUE"""),41387)</f>
        <v>41387</v>
      </c>
      <c r="AB40" s="27" t="str">
        <f ca="1">IFERROR(__xludf.DUMMYFUNCTION("""COMPUTED_VALUE"""),"Sim")</f>
        <v>Sim</v>
      </c>
      <c r="AC40" s="27">
        <f ca="1">IFERROR(__xludf.DUMMYFUNCTION("""COMPUTED_VALUE"""),14)</f>
        <v>14</v>
      </c>
      <c r="AD40" s="27">
        <f ca="1">IFERROR(__xludf.DUMMYFUNCTION("""COMPUTED_VALUE"""),8)</f>
        <v>8</v>
      </c>
      <c r="AE40" s="27">
        <f ca="1">IFERROR(__xludf.DUMMYFUNCTION("""COMPUTED_VALUE"""),14)</f>
        <v>14</v>
      </c>
      <c r="AF40" s="27">
        <f ca="1">IFERROR(__xludf.DUMMYFUNCTION("""COMPUTED_VALUE"""),12)</f>
        <v>12</v>
      </c>
      <c r="AG40" s="27">
        <f ca="1">IFERROR(__xludf.DUMMYFUNCTION("""COMPUTED_VALUE"""),3)</f>
        <v>3</v>
      </c>
      <c r="AH40" s="27" t="str">
        <f ca="1">IFERROR(__xludf.DUMMYFUNCTION("""COMPUTED_VALUE"""),"Convênio Público; Parceria iniciativa privada; Editais; Outro(s); Doações; Recursos próprios")</f>
        <v>Convênio Público; Parceria iniciativa privada; Editais; Outro(s); Doações; Recursos próprios</v>
      </c>
      <c r="AI40" s="27" t="str">
        <f ca="1">IFERROR(__xludf.DUMMYFUNCTION("""COMPUTED_VALUE"""),"90% editais 10% doações")</f>
        <v>90% editais 10% doações</v>
      </c>
      <c r="AJ40" s="27" t="str">
        <f ca="1">IFERROR(__xludf.DUMMYFUNCTION("""COMPUTED_VALUE"""),"Não")</f>
        <v>Não</v>
      </c>
      <c r="AK40" s="27" t="str">
        <f ca="1">IFERROR(__xludf.DUMMYFUNCTION("""COMPUTED_VALUE"""),"Sim")</f>
        <v>Sim</v>
      </c>
      <c r="AL40" s="21" t="str">
        <f ca="1">IFERROR(__xludf.DUMMYFUNCTION("""COMPUTED_VALUE"""),"0034P000043fOno")</f>
        <v>0034P000043fOno</v>
      </c>
      <c r="AM40" s="27" t="str">
        <f ca="1">IFERROR(__xludf.DUMMYFUNCTION("""COMPUTED_VALUE"""),"Izabel Castro Porto")</f>
        <v>Izabel Castro Porto</v>
      </c>
      <c r="AN40" s="27" t="str">
        <f ca="1">IFERROR(__xludf.DUMMYFUNCTION("""COMPUTED_VALUE"""),"Ativo")</f>
        <v>Ativo</v>
      </c>
      <c r="AO40" s="29">
        <f ca="1">IFERROR(__xludf.DUMMYFUNCTION("""COMPUTED_VALUE"""),44432)</f>
        <v>44432</v>
      </c>
      <c r="AP40" s="27">
        <f ca="1">IFERROR(__xludf.DUMMYFUNCTION("""COMPUTED_VALUE"""),13)</f>
        <v>13</v>
      </c>
      <c r="AQ40" s="27" t="str">
        <f ca="1">IFERROR(__xludf.DUMMYFUNCTION("""COMPUTED_VALUE"""),"Primeiro Semestre 2021")</f>
        <v>Primeiro Semestre 2021</v>
      </c>
      <c r="AR40" s="27" t="str">
        <f ca="1">IFERROR(__xludf.DUMMYFUNCTION("""COMPUTED_VALUE"""),"izabelporto@hotmail.com")</f>
        <v>izabelporto@hotmail.com</v>
      </c>
      <c r="AS40" s="27" t="str">
        <f ca="1">IFERROR(__xludf.DUMMYFUNCTION("""COMPUTED_VALUE"""),"(92)99114-2962")</f>
        <v>(92)99114-2962</v>
      </c>
      <c r="AT40" s="29">
        <f ca="1">IFERROR(__xludf.DUMMYFUNCTION("""COMPUTED_VALUE"""),24785)</f>
        <v>24785</v>
      </c>
      <c r="AU40" s="27">
        <f ca="1">IFERROR(__xludf.DUMMYFUNCTION("""COMPUTED_VALUE"""),55)</f>
        <v>55</v>
      </c>
      <c r="AV40" s="27">
        <f ca="1">IFERROR(__xludf.DUMMYFUNCTION("""COMPUTED_VALUE"""),20066821215)</f>
        <v>20066821215</v>
      </c>
      <c r="AW40" s="27">
        <f ca="1">IFERROR(__xludf.DUMMYFUNCTION("""COMPUTED_VALUE"""),761364)</f>
        <v>761364</v>
      </c>
      <c r="AX40" s="27" t="str">
        <f ca="1">IFERROR(__xludf.DUMMYFUNCTION("""COMPUTED_VALUE"""),"Filosofia E Docência Do Ensino Superior")</f>
        <v>Filosofia E Docência Do Ensino Superior</v>
      </c>
      <c r="AY40" s="27"/>
      <c r="AZ40" s="27" t="str">
        <f ca="1">IFERROR(__xludf.DUMMYFUNCTION("""COMPUTED_VALUE"""),"M")</f>
        <v>M</v>
      </c>
      <c r="BA40" s="27" t="str">
        <f ca="1">IFERROR(__xludf.DUMMYFUNCTION("""COMPUTED_VALUE"""),"Preta")</f>
        <v>Preta</v>
      </c>
      <c r="BB40" s="27"/>
      <c r="BC40" s="27" t="str">
        <f ca="1">IFERROR(__xludf.DUMMYFUNCTION("""COMPUTED_VALUE"""),"Não")</f>
        <v>Não</v>
      </c>
      <c r="BD40" s="27" t="str">
        <f ca="1">IFERROR(__xludf.DUMMYFUNCTION("""COMPUTED_VALUE"""),"Francisca Izabel Castro Porto 54 anos,amazonense, professora, líder social Fellows, gestora de projetos, Licenc. em Filosofia, Esp. em Metodologia do Ensino Superior, cantora, fundadora e Ceo da ACSSUS- Associação Cidadania Social e Sustentabilidade, OSC "&amp;"voltada às causas sociais de caráter educacional, cultural, inclusivo e ambiental que existe  há 11 anos, Conselheira de Meio Ambiente, mãe de dois filhos, atua em projetos sociais e educacionais há mais de 20 anos, ocupa a cadeira N°37 ACEBRA.")</f>
        <v>Francisca Izabel Castro Porto 54 anos,amazonense, professora, líder social Fellows, gestora de projetos, Licenc. em Filosofia, Esp. em Metodologia do Ensino Superior, cantora, fundadora e Ceo da ACSSUS- Associação Cidadania Social e Sustentabilidade, OSC voltada às causas sociais de caráter educacional, cultural, inclusivo e ambiental que existe  há 11 anos, Conselheira de Meio Ambiente, mãe de dois filhos, atua em projetos sociais e educacionais há mais de 20 anos, ocupa a cadeira N°37 ACEBRA.</v>
      </c>
      <c r="BE40" s="27" t="str">
        <f ca="1">IFERROR(__xludf.DUMMYFUNCTION("""COMPUTED_VALUE"""),"Feminino")</f>
        <v>Feminino</v>
      </c>
      <c r="BF40" s="27" t="str">
        <f ca="1">IFERROR(__xludf.DUMMYFUNCTION("""COMPUTED_VALUE"""),"Heterossexual")</f>
        <v>Heterossexual</v>
      </c>
      <c r="BG40" s="27" t="str">
        <f ca="1">IFERROR(__xludf.DUMMYFUNCTION("""COMPUTED_VALUE"""),"Ensino Superior - Completo")</f>
        <v>Ensino Superior - Completo</v>
      </c>
      <c r="BH40" s="27"/>
      <c r="BI40" s="27" t="str">
        <f ca="1">IFERROR(__xludf.DUMMYFUNCTION("""COMPUTED_VALUE"""),"Pós-Graduação")</f>
        <v>Pós-Graduação</v>
      </c>
      <c r="BJ40" s="27" t="str">
        <f ca="1">IFERROR(__xludf.DUMMYFUNCTION("""COMPUTED_VALUE"""),"Público")</f>
        <v>Público</v>
      </c>
      <c r="BK40" s="27" t="str">
        <f ca="1">IFERROR(__xludf.DUMMYFUNCTION("""COMPUTED_VALUE"""),"Avenida Amazonas")</f>
        <v>Avenida Amazonas</v>
      </c>
      <c r="BL40" s="27">
        <f ca="1">IFERROR(__xludf.DUMMYFUNCTION("""COMPUTED_VALUE"""),1828)</f>
        <v>1828</v>
      </c>
      <c r="BM40" s="27" t="str">
        <f ca="1">IFERROR(__xludf.DUMMYFUNCTION("""COMPUTED_VALUE"""),"Centro")</f>
        <v>Centro</v>
      </c>
      <c r="BN40" s="27" t="str">
        <f ca="1">IFERROR(__xludf.DUMMYFUNCTION("""COMPUTED_VALUE"""),"Parintins")</f>
        <v>Parintins</v>
      </c>
      <c r="BO40" s="27" t="str">
        <f ca="1">IFERROR(__xludf.DUMMYFUNCTION("""COMPUTED_VALUE"""),"69151-000")</f>
        <v>69151-000</v>
      </c>
      <c r="BP40" s="27" t="str">
        <f ca="1">IFERROR(__xludf.DUMMYFUNCTION("""COMPUTED_VALUE"""),"AM")</f>
        <v>AM</v>
      </c>
      <c r="BQ40" s="27" t="str">
        <f ca="1">IFERROR(__xludf.DUMMYFUNCTION("""COMPUTED_VALUE"""),"De 3 até 5 salários mínimos")</f>
        <v>De 3 até 5 salários mínimos</v>
      </c>
      <c r="BR40" s="27" t="str">
        <f ca="1">IFERROR(__xludf.DUMMYFUNCTION("""COMPUTED_VALUE"""),"Funcionário Público; Desempregado")</f>
        <v>Funcionário Público; Desempregado</v>
      </c>
      <c r="BS40" s="27" t="str">
        <f ca="1">IFERROR(__xludf.DUMMYFUNCTION("""COMPUTED_VALUE"""),"Casa própria")</f>
        <v>Casa própria</v>
      </c>
      <c r="BT40" s="27">
        <f ca="1">IFERROR(__xludf.DUMMYFUNCTION("""COMPUTED_VALUE"""),5)</f>
        <v>5</v>
      </c>
      <c r="BU40" s="27"/>
      <c r="BV40" s="27"/>
      <c r="BW40" s="21" t="str">
        <f ca="1">IFERROR(__xludf.DUMMYFUNCTION("""COMPUTED_VALUE"""),"https://www.linkedin.com/in/izabel-porto-88b88149/")</f>
        <v>https://www.linkedin.com/in/izabel-porto-88b88149/</v>
      </c>
      <c r="BX40" s="21" t="str">
        <f ca="1">IFERROR(__xludf.DUMMYFUNCTION("""COMPUTED_VALUE"""),"https://www.linkedin.com/in/izabel-porto-88b88149/")</f>
        <v>https://www.linkedin.com/in/izabel-porto-88b88149/</v>
      </c>
      <c r="BY40" s="21" t="str">
        <f ca="1">IFERROR(__xludf.DUMMYFUNCTION("""COMPUTED_VALUE"""),"https://drive.google.com/open?id=1ZkAetUpeyq7Ov8oNLUZlQXoPKPTlQaXZ")</f>
        <v>https://drive.google.com/open?id=1ZkAetUpeyq7Ov8oNLUZlQXoPKPTlQaXZ</v>
      </c>
    </row>
    <row r="41" spans="1:77" ht="12.5" x14ac:dyDescent="0.25">
      <c r="A41" s="21" t="str">
        <f ca="1">IFERROR(__xludf.DUMMYFUNCTION("""COMPUTED_VALUE"""),"0014P00003SGWPWQA5")</f>
        <v>0014P00003SGWPWQA5</v>
      </c>
      <c r="B41" s="27" t="str">
        <f ca="1">IFERROR(__xludf.DUMMYFUNCTION("""COMPUTED_VALUE"""),"Fase Estruturação")</f>
        <v>Fase Estruturação</v>
      </c>
      <c r="C41" s="27" t="str">
        <f ca="1">IFERROR(__xludf.DUMMYFUNCTION("""COMPUTED_VALUE"""),"Acelerada")</f>
        <v>Acelerada</v>
      </c>
      <c r="D41" s="27" t="str">
        <f ca="1">IFERROR(__xludf.DUMMYFUNCTION("""COMPUTED_VALUE"""),"Ativo")</f>
        <v>Ativo</v>
      </c>
      <c r="E41" s="27" t="str">
        <f ca="1">IFERROR(__xludf.DUMMYFUNCTION("""COMPUTED_VALUE"""),"ASSOCIAÇAO CIRCUITO INCLUSAO")</f>
        <v>ASSOCIAÇAO CIRCUITO INCLUSAO</v>
      </c>
      <c r="F41" s="27" t="str">
        <f ca="1">IFERROR(__xludf.DUMMYFUNCTION("""COMPUTED_VALUE"""),"Debora")</f>
        <v>Debora</v>
      </c>
      <c r="G41" s="27" t="str">
        <f ca="1">IFERROR(__xludf.DUMMYFUNCTION("""COMPUTED_VALUE"""),"CIRCUITO INCLUSÃO")</f>
        <v>CIRCUITO INCLUSÃO</v>
      </c>
      <c r="H41" s="27" t="str">
        <f ca="1">IFERROR(__xludf.DUMMYFUNCTION("""COMPUTED_VALUE"""),"40.821.523/0001-13")</f>
        <v>40.821.523/0001-13</v>
      </c>
      <c r="I41" s="27" t="str">
        <f ca="1">IFERROR(__xludf.DUMMYFUNCTION("""COMPUTED_VALUE"""),"Debora Dayane Batista")</f>
        <v>Debora Dayane Batista</v>
      </c>
      <c r="J41" s="27" t="str">
        <f ca="1">IFERROR(__xludf.DUMMYFUNCTION("""COMPUTED_VALUE"""),"circuitoinclusao@gmail.com")</f>
        <v>circuitoinclusao@gmail.com</v>
      </c>
      <c r="K41" s="27" t="str">
        <f ca="1">IFERROR(__xludf.DUMMYFUNCTION("""COMPUTED_VALUE"""),"(31)98568-1797")</f>
        <v>(31)98568-1797</v>
      </c>
      <c r="L41" s="27" t="str">
        <f ca="1">IFERROR(__xludf.DUMMYFUNCTION("""COMPUTED_VALUE"""),"MG")</f>
        <v>MG</v>
      </c>
      <c r="M41" s="27" t="str">
        <f ca="1">IFERROR(__xludf.DUMMYFUNCTION("""COMPUTED_VALUE"""),"rua paulo cesar de mendonça")</f>
        <v>rua paulo cesar de mendonça</v>
      </c>
      <c r="N41" s="27" t="str">
        <f ca="1">IFERROR(__xludf.DUMMYFUNCTION("""COMPUTED_VALUE"""),"LUA NOVA PAMPULHA")</f>
        <v>LUA NOVA PAMPULHA</v>
      </c>
      <c r="O41" s="27" t="str">
        <f ca="1">IFERROR(__xludf.DUMMYFUNCTION("""COMPUTED_VALUE"""),"(31)98568-1797")</f>
        <v>(31)98568-1797</v>
      </c>
      <c r="P41" s="27" t="str">
        <f ca="1">IFERROR(__xludf.DUMMYFUNCTION("""COMPUTED_VALUE"""),"Contagem")</f>
        <v>Contagem</v>
      </c>
      <c r="Q41" s="27" t="str">
        <f ca="1">IFERROR(__xludf.DUMMYFUNCTION("""COMPUTED_VALUE"""),"BL 07 APT 102")</f>
        <v>BL 07 APT 102</v>
      </c>
      <c r="R41" s="27" t="str">
        <f ca="1">IFERROR(__xludf.DUMMYFUNCTION("""COMPUTED_VALUE"""),"32183-280")</f>
        <v>32183-280</v>
      </c>
      <c r="S41" s="27" t="str">
        <f ca="1">IFERROR(__xludf.DUMMYFUNCTION("""COMPUTED_VALUE"""),"SOMOS UM PROJETO ITINERANTE NO MOMENTO SEM SEDE FIXA ESTAMOS REALIZANDO AS ATIVIDADES NAS DIVERSAS CIDADES EM ESPAÇOS PUBLICOS E PRIVADOS ESCOLAS E PRAÇAS.")</f>
        <v>SOMOS UM PROJETO ITINERANTE NO MOMENTO SEM SEDE FIXA ESTAMOS REALIZANDO AS ATIVIDADES NAS DIVERSAS CIDADES EM ESPAÇOS PUBLICOS E PRIVADOS ESCOLAS E PRAÇAS.</v>
      </c>
      <c r="T41" s="27" t="str">
        <f ca="1">IFERROR(__xludf.DUMMYFUNCTION("""COMPUTED_VALUE"""),"Esporte; Educação; Assistência Social; Cultura; Saúde; Empoderamento Feminino; Defesa de Direitos")</f>
        <v>Esporte; Educação; Assistência Social; Cultura; Saúde; Empoderamento Feminino; Defesa de Direitos</v>
      </c>
      <c r="U41"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41" s="27" t="str">
        <f ca="1">IFERROR(__xludf.DUMMYFUNCTION("""COMPUTED_VALUE"""),"Moradores de Favelas; Pessoas com Deficiência; Outros")</f>
        <v>Moradores de Favelas; Pessoas com Deficiência; Outros</v>
      </c>
      <c r="W41" s="27">
        <f ca="1">IFERROR(__xludf.DUMMYFUNCTION("""COMPUTED_VALUE"""),10)</f>
        <v>10</v>
      </c>
      <c r="X41" s="27" t="str">
        <f ca="1">IFERROR(__xludf.DUMMYFUNCTION("""COMPUTED_VALUE"""),"PROPORCIONAMOS LAZER E ESPORTE PARA PESSOAS COM DEFICIENCIA E SUAS FAMILIAS PARA QUE TODOS TENHAM ACESSO E FAÇAM PARTE DO LUGAR ONDE VIVEM.")</f>
        <v>PROPORCIONAMOS LAZER E ESPORTE PARA PESSOAS COM DEFICIENCIA E SUAS FAMILIAS PARA QUE TODOS TENHAM ACESSO E FAÇAM PARTE DO LUGAR ONDE VIVEM.</v>
      </c>
      <c r="Y41" s="27">
        <f ca="1">IFERROR(__xludf.DUMMYFUNCTION("""COMPUTED_VALUE"""),300)</f>
        <v>300</v>
      </c>
      <c r="Z41" s="27">
        <f ca="1">IFERROR(__xludf.DUMMYFUNCTION("""COMPUTED_VALUE"""),5200)</f>
        <v>5200</v>
      </c>
      <c r="AA41" s="30">
        <f ca="1">IFERROR(__xludf.DUMMYFUNCTION("""COMPUTED_VALUE"""),43025)</f>
        <v>43025</v>
      </c>
      <c r="AB41" s="27" t="str">
        <f ca="1">IFERROR(__xludf.DUMMYFUNCTION("""COMPUTED_VALUE"""),"Sim")</f>
        <v>Sim</v>
      </c>
      <c r="AC41" s="27">
        <f ca="1">IFERROR(__xludf.DUMMYFUNCTION("""COMPUTED_VALUE"""),7)</f>
        <v>7</v>
      </c>
      <c r="AD41" s="27">
        <f ca="1">IFERROR(__xludf.DUMMYFUNCTION("""COMPUTED_VALUE"""),2)</f>
        <v>2</v>
      </c>
      <c r="AE41" s="27">
        <f ca="1">IFERROR(__xludf.DUMMYFUNCTION("""COMPUTED_VALUE"""),20)</f>
        <v>20</v>
      </c>
      <c r="AF41" s="27">
        <f ca="1">IFERROR(__xludf.DUMMYFUNCTION("""COMPUTED_VALUE"""),10)</f>
        <v>10</v>
      </c>
      <c r="AG41" s="27">
        <f ca="1">IFERROR(__xludf.DUMMYFUNCTION("""COMPUTED_VALUE"""),4)</f>
        <v>4</v>
      </c>
      <c r="AH41" s="27" t="str">
        <f ca="1">IFERROR(__xludf.DUMMYFUNCTION("""COMPUTED_VALUE"""),"Eventos/Ações para captação; Parceria iniciativa privada; Doações")</f>
        <v>Eventos/Ações para captação; Parceria iniciativa privada; Doações</v>
      </c>
      <c r="AI41" s="27" t="str">
        <f ca="1">IFERROR(__xludf.DUMMYFUNCTION("""COMPUTED_VALUE"""),"25%doaçoes, 50%parcerias, 25%eventos")</f>
        <v>25%doaçoes, 50%parcerias, 25%eventos</v>
      </c>
      <c r="AJ41" s="27" t="str">
        <f ca="1">IFERROR(__xludf.DUMMYFUNCTION("""COMPUTED_VALUE"""),"Não")</f>
        <v>Não</v>
      </c>
      <c r="AK41" s="27" t="str">
        <f ca="1">IFERROR(__xludf.DUMMYFUNCTION("""COMPUTED_VALUE"""),"Não")</f>
        <v>Não</v>
      </c>
      <c r="AL41" s="21" t="str">
        <f ca="1">IFERROR(__xludf.DUMMYFUNCTION("""COMPUTED_VALUE"""),"0034P000043fOnd")</f>
        <v>0034P000043fOnd</v>
      </c>
      <c r="AM41" s="27" t="str">
        <f ca="1">IFERROR(__xludf.DUMMYFUNCTION("""COMPUTED_VALUE"""),"Dayane Batista De Andrade")</f>
        <v>Dayane Batista De Andrade</v>
      </c>
      <c r="AN41" s="27" t="str">
        <f ca="1">IFERROR(__xludf.DUMMYFUNCTION("""COMPUTED_VALUE"""),"Ativo")</f>
        <v>Ativo</v>
      </c>
      <c r="AO41" s="29">
        <f ca="1">IFERROR(__xludf.DUMMYFUNCTION("""COMPUTED_VALUE"""),44432)</f>
        <v>44432</v>
      </c>
      <c r="AP41" s="27">
        <f ca="1">IFERROR(__xludf.DUMMYFUNCTION("""COMPUTED_VALUE"""),13)</f>
        <v>13</v>
      </c>
      <c r="AQ41" s="27" t="str">
        <f ca="1">IFERROR(__xludf.DUMMYFUNCTION("""COMPUTED_VALUE"""),"Primeiro Semestre 2021")</f>
        <v>Primeiro Semestre 2021</v>
      </c>
      <c r="AR41" s="27" t="str">
        <f ca="1">IFERROR(__xludf.DUMMYFUNCTION("""COMPUTED_VALUE"""),"circuitoinclusao@gmail.com")</f>
        <v>circuitoinclusao@gmail.com</v>
      </c>
      <c r="AS41" s="27" t="str">
        <f ca="1">IFERROR(__xludf.DUMMYFUNCTION("""COMPUTED_VALUE"""),"(31)98568-1797")</f>
        <v>(31)98568-1797</v>
      </c>
      <c r="AT41" s="29">
        <f ca="1">IFERROR(__xludf.DUMMYFUNCTION("""COMPUTED_VALUE"""),31360)</f>
        <v>31360</v>
      </c>
      <c r="AU41" s="27">
        <f ca="1">IFERROR(__xludf.DUMMYFUNCTION("""COMPUTED_VALUE"""),37)</f>
        <v>37</v>
      </c>
      <c r="AV41" s="27">
        <f ca="1">IFERROR(__xludf.DUMMYFUNCTION("""COMPUTED_VALUE"""),7696157671)</f>
        <v>7696157671</v>
      </c>
      <c r="AW41" s="27">
        <f ca="1">IFERROR(__xludf.DUMMYFUNCTION("""COMPUTED_VALUE"""),13283449)</f>
        <v>13283449</v>
      </c>
      <c r="AX41" s="27" t="str">
        <f ca="1">IFERROR(__xludf.DUMMYFUNCTION("""COMPUTED_VALUE"""),"Engenharia Mecanica")</f>
        <v>Engenharia Mecanica</v>
      </c>
      <c r="AY41" s="27" t="str">
        <f ca="1">IFERROR(__xludf.DUMMYFUNCTION("""COMPUTED_VALUE"""),"Líder Social")</f>
        <v>Líder Social</v>
      </c>
      <c r="AZ41" s="27" t="str">
        <f ca="1">IFERROR(__xludf.DUMMYFUNCTION("""COMPUTED_VALUE"""),"P")</f>
        <v>P</v>
      </c>
      <c r="BA41" s="27" t="str">
        <f ca="1">IFERROR(__xludf.DUMMYFUNCTION("""COMPUTED_VALUE"""),"Parda")</f>
        <v>Parda</v>
      </c>
      <c r="BB41" s="27"/>
      <c r="BC41" s="27" t="str">
        <f ca="1">IFERROR(__xludf.DUMMYFUNCTION("""COMPUTED_VALUE"""),"Sim")</f>
        <v>Sim</v>
      </c>
      <c r="BD41" s="27" t="str">
        <f ca="1">IFERROR(__xludf.DUMMYFUNCTION("""COMPUTED_VALUE"""),"fundadora do Circuito Inclusão – uma agencia de transformação social , ao lazer, esporte e desenvolvimento social da infância a fase adulta e suas famílias, sendo uma distribuidora de oportunidades para as pessoas com deficiência , primeiro projeto no est"&amp;"ado de Minas gerais a possuir um parque móvel onde todos brincam juntos sem distinção, profissional da Inclusão social, palestrante, investidora social na mudança de mentalidade, visionaria.")</f>
        <v>fundadora do Circuito Inclusão – uma agencia de transformação social , ao lazer, esporte e desenvolvimento social da infância a fase adulta e suas famílias, sendo uma distribuidora de oportunidades para as pessoas com deficiência , primeiro projeto no estado de Minas gerais a possuir um parque móvel onde todos brincam juntos sem distinção, profissional da Inclusão social, palestrante, investidora social na mudança de mentalidade, visionaria.</v>
      </c>
      <c r="BE41" s="27" t="str">
        <f ca="1">IFERROR(__xludf.DUMMYFUNCTION("""COMPUTED_VALUE"""),"Feminino")</f>
        <v>Feminino</v>
      </c>
      <c r="BF41" s="27" t="str">
        <f ca="1">IFERROR(__xludf.DUMMYFUNCTION("""COMPUTED_VALUE"""),"Heterossexual")</f>
        <v>Heterossexual</v>
      </c>
      <c r="BG41" s="27" t="str">
        <f ca="1">IFERROR(__xludf.DUMMYFUNCTION("""COMPUTED_VALUE"""),"Ensino Superior - Incompleto")</f>
        <v>Ensino Superior - Incompleto</v>
      </c>
      <c r="BH41" s="27"/>
      <c r="BI41" s="27" t="str">
        <f ca="1">IFERROR(__xludf.DUMMYFUNCTION("""COMPUTED_VALUE"""),"Graduação")</f>
        <v>Graduação</v>
      </c>
      <c r="BJ41" s="27" t="str">
        <f ca="1">IFERROR(__xludf.DUMMYFUNCTION("""COMPUTED_VALUE"""),"Privado")</f>
        <v>Privado</v>
      </c>
      <c r="BK41" s="27" t="str">
        <f ca="1">IFERROR(__xludf.DUMMYFUNCTION("""COMPUTED_VALUE"""),"rua das chacaras")</f>
        <v>rua das chacaras</v>
      </c>
      <c r="BL41" s="27">
        <f ca="1">IFERROR(__xludf.DUMMYFUNCTION("""COMPUTED_VALUE"""),50)</f>
        <v>50</v>
      </c>
      <c r="BM41" s="27" t="str">
        <f ca="1">IFERROR(__xludf.DUMMYFUNCTION("""COMPUTED_VALUE"""),"bloco 07 apt102")</f>
        <v>bloco 07 apt102</v>
      </c>
      <c r="BN41" s="27" t="str">
        <f ca="1">IFERROR(__xludf.DUMMYFUNCTION("""COMPUTED_VALUE"""),"Contagem")</f>
        <v>Contagem</v>
      </c>
      <c r="BO41" s="27" t="str">
        <f ca="1">IFERROR(__xludf.DUMMYFUNCTION("""COMPUTED_VALUE"""),"32187-585")</f>
        <v>32187-585</v>
      </c>
      <c r="BP41" s="27" t="str">
        <f ca="1">IFERROR(__xludf.DUMMYFUNCTION("""COMPUTED_VALUE"""),"MG")</f>
        <v>MG</v>
      </c>
      <c r="BQ41" s="27" t="str">
        <f ca="1">IFERROR(__xludf.DUMMYFUNCTION("""COMPUTED_VALUE"""),"Entre 1 até 3 salários mínimos")</f>
        <v>Entre 1 até 3 salários mínimos</v>
      </c>
      <c r="BR41" s="27" t="str">
        <f ca="1">IFERROR(__xludf.DUMMYFUNCTION("""COMPUTED_VALUE"""),"CLT")</f>
        <v>CLT</v>
      </c>
      <c r="BS41" s="27" t="str">
        <f ca="1">IFERROR(__xludf.DUMMYFUNCTION("""COMPUTED_VALUE"""),"Casa própria")</f>
        <v>Casa própria</v>
      </c>
      <c r="BT41" s="27">
        <f ca="1">IFERROR(__xludf.DUMMYFUNCTION("""COMPUTED_VALUE"""),5)</f>
        <v>5</v>
      </c>
      <c r="BU41" s="27"/>
      <c r="BV41" s="27"/>
      <c r="BW41" s="21" t="str">
        <f ca="1">IFERROR(__xludf.DUMMYFUNCTION("""COMPUTED_VALUE"""),"https://www.linkedin.com/in/debora-batista-04a18614a/")</f>
        <v>https://www.linkedin.com/in/debora-batista-04a18614a/</v>
      </c>
      <c r="BX41" s="21" t="str">
        <f ca="1">IFERROR(__xludf.DUMMYFUNCTION("""COMPUTED_VALUE"""),"https://www.instagram.com/deborabatistacis/")</f>
        <v>https://www.instagram.com/deborabatistacis/</v>
      </c>
      <c r="BY41" s="21" t="str">
        <f ca="1">IFERROR(__xludf.DUMMYFUNCTION("""COMPUTED_VALUE"""),"https://drive.google.com/open?id=1b4BnSDZahVdwCvx840gyqYE8BFruvPLE")</f>
        <v>https://drive.google.com/open?id=1b4BnSDZahVdwCvx840gyqYE8BFruvPLE</v>
      </c>
    </row>
    <row r="42" spans="1:77" ht="12.5" hidden="1" x14ac:dyDescent="0.25">
      <c r="A42" s="21" t="str">
        <f ca="1">IFERROR(__xludf.DUMMYFUNCTION("""COMPUTED_VALUE"""),"0014X00002VKCuiQAH")</f>
        <v>0014X00002VKCuiQAH</v>
      </c>
      <c r="B42" s="27" t="str">
        <f ca="1">IFERROR(__xludf.DUMMYFUNCTION("""COMPUTED_VALUE"""),"Fase Inicial")</f>
        <v>Fase Inicial</v>
      </c>
      <c r="C42" s="27" t="str">
        <f ca="1">IFERROR(__xludf.DUMMYFUNCTION("""COMPUTED_VALUE"""),"Fellow")</f>
        <v>Fellow</v>
      </c>
      <c r="D42" s="27" t="str">
        <f ca="1">IFERROR(__xludf.DUMMYFUNCTION("""COMPUTED_VALUE"""),"Ativo")</f>
        <v>Ativo</v>
      </c>
      <c r="E42" s="27" t="str">
        <f ca="1">IFERROR(__xludf.DUMMYFUNCTION("""COMPUTED_VALUE"""),"Associação Civil Projeto Juventude Esperança do Amanhã")</f>
        <v>Associação Civil Projeto Juventude Esperança do Amanhã</v>
      </c>
      <c r="F42" s="27" t="str">
        <f ca="1">IFERROR(__xludf.DUMMYFUNCTION("""COMPUTED_VALUE"""),"Flávia")</f>
        <v>Flávia</v>
      </c>
      <c r="G42" s="27" t="str">
        <f ca="1">IFERROR(__xludf.DUMMYFUNCTION("""COMPUTED_VALUE"""),"JEDA")</f>
        <v>JEDA</v>
      </c>
      <c r="H42" s="27" t="str">
        <f ca="1">IFERROR(__xludf.DUMMYFUNCTION("""COMPUTED_VALUE"""),"55.032.338/0001-17")</f>
        <v>55.032.338/0001-17</v>
      </c>
      <c r="I42" s="27" t="str">
        <f ca="1">IFERROR(__xludf.DUMMYFUNCTION("""COMPUTED_VALUE"""),"Roberto de Carvalho")</f>
        <v>Roberto de Carvalho</v>
      </c>
      <c r="J42" s="27" t="str">
        <f ca="1">IFERROR(__xludf.DUMMYFUNCTION("""COMPUTED_VALUE"""),"contato@jeda.org.br")</f>
        <v>contato@jeda.org.br</v>
      </c>
      <c r="K42" s="27" t="str">
        <f ca="1">IFERROR(__xludf.DUMMYFUNCTION("""COMPUTED_VALUE"""),"(11)4994-8884")</f>
        <v>(11)4994-8884</v>
      </c>
      <c r="L42" s="27" t="str">
        <f ca="1">IFERROR(__xludf.DUMMYFUNCTION("""COMPUTED_VALUE"""),"SP")</f>
        <v>SP</v>
      </c>
      <c r="M42" s="27" t="str">
        <f ca="1">IFERROR(__xludf.DUMMYFUNCTION("""COMPUTED_VALUE"""),"Rua Eduardo Monteiro")</f>
        <v>Rua Eduardo Monteiro</v>
      </c>
      <c r="N42" s="27" t="str">
        <f ca="1">IFERROR(__xludf.DUMMYFUNCTION("""COMPUTED_VALUE"""),"Jardim Bela Vista")</f>
        <v>Jardim Bela Vista</v>
      </c>
      <c r="O42" s="27">
        <f ca="1">IFERROR(__xludf.DUMMYFUNCTION("""COMPUTED_VALUE"""),946)</f>
        <v>946</v>
      </c>
      <c r="P42" s="27" t="str">
        <f ca="1">IFERROR(__xludf.DUMMYFUNCTION("""COMPUTED_VALUE"""),"Santo André")</f>
        <v>Santo André</v>
      </c>
      <c r="Q42" s="27"/>
      <c r="R42" s="27" t="str">
        <f ca="1">IFERROR(__xludf.DUMMYFUNCTION("""COMPUTED_VALUE"""),"09041-300")</f>
        <v>09041-300</v>
      </c>
      <c r="S42" s="27" t="str">
        <f ca="1">IFERROR(__xludf.DUMMYFUNCTION("""COMPUTED_VALUE"""),"atualmente não")</f>
        <v>atualmente não</v>
      </c>
      <c r="T42" s="27"/>
      <c r="U42" s="27" t="str">
        <f ca="1">IFERROR(__xludf.DUMMYFUNCTION("""COMPUTED_VALUE"""),"Crianças (6 a 12 anos), Adolescentes (12 aos 18 anos), Jovens (18 aos 24 anos)")</f>
        <v>Crianças (6 a 12 anos), Adolescentes (12 aos 18 anos), Jovens (18 aos 24 anos)</v>
      </c>
      <c r="V42" s="27" t="str">
        <f ca="1">IFERROR(__xludf.DUMMYFUNCTION("""COMPUTED_VALUE"""),"Moradores de Favelas")</f>
        <v>Moradores de Favelas</v>
      </c>
      <c r="W42" s="27">
        <f ca="1">IFERROR(__xludf.DUMMYFUNCTION("""COMPUTED_VALUE"""),5)</f>
        <v>5</v>
      </c>
      <c r="X42" s="27" t="str">
        <f ca="1">IFERROR(__xludf.DUMMYFUNCTION("""COMPUTED_VALUE"""),"Estamos em fase de reestruturação dos convênios com a prefeitura")</f>
        <v>Estamos em fase de reestruturação dos convênios com a prefeitura</v>
      </c>
      <c r="Y42" s="27"/>
      <c r="Z42" s="27">
        <f ca="1">IFERROR(__xludf.DUMMYFUNCTION("""COMPUTED_VALUE"""),0)</f>
        <v>0</v>
      </c>
      <c r="AA42" s="29">
        <f ca="1">IFERROR(__xludf.DUMMYFUNCTION("""COMPUTED_VALUE"""),30758)</f>
        <v>30758</v>
      </c>
      <c r="AB42" s="27" t="str">
        <f ca="1">IFERROR(__xludf.DUMMYFUNCTION("""COMPUTED_VALUE"""),"Sim")</f>
        <v>Sim</v>
      </c>
      <c r="AC42" s="27">
        <f ca="1">IFERROR(__xludf.DUMMYFUNCTION("""COMPUTED_VALUE"""),17)</f>
        <v>17</v>
      </c>
      <c r="AD42" s="27">
        <f ca="1">IFERROR(__xludf.DUMMYFUNCTION("""COMPUTED_VALUE"""),15)</f>
        <v>15</v>
      </c>
      <c r="AE42" s="27">
        <f ca="1">IFERROR(__xludf.DUMMYFUNCTION("""COMPUTED_VALUE"""),15)</f>
        <v>15</v>
      </c>
      <c r="AF42" s="27">
        <f ca="1">IFERROR(__xludf.DUMMYFUNCTION("""COMPUTED_VALUE"""),15)</f>
        <v>15</v>
      </c>
      <c r="AG42" s="27">
        <f ca="1">IFERROR(__xludf.DUMMYFUNCTION("""COMPUTED_VALUE"""),4)</f>
        <v>4</v>
      </c>
      <c r="AH42" s="27" t="str">
        <f ca="1">IFERROR(__xludf.DUMMYFUNCTION("""COMPUTED_VALUE"""),"Convênio Público, Eventos/Ações para captação, Outro(s), Doações")</f>
        <v>Convênio Público, Eventos/Ações para captação, Outro(s), Doações</v>
      </c>
      <c r="AI42" s="27" t="str">
        <f ca="1">IFERROR(__xludf.DUMMYFUNCTION("""COMPUTED_VALUE"""),"70% convenio publico, 5% eventos, 5%doações 20% outros")</f>
        <v>70% convenio publico, 5% eventos, 5%doações 20% outros</v>
      </c>
      <c r="AJ42" s="27" t="str">
        <f ca="1">IFERROR(__xludf.DUMMYFUNCTION("""COMPUTED_VALUE"""),"Não")</f>
        <v>Não</v>
      </c>
      <c r="AK42" s="27"/>
      <c r="AL42" s="21" t="str">
        <f ca="1">IFERROR(__xludf.DUMMYFUNCTION("""COMPUTED_VALUE"""),"0034X0000380O3i")</f>
        <v>0034X0000380O3i</v>
      </c>
      <c r="AM42" s="27" t="str">
        <f ca="1">IFERROR(__xludf.DUMMYFUNCTION("""COMPUTED_VALUE"""),"Gonçalves")</f>
        <v>Gonçalves</v>
      </c>
      <c r="AN42" s="27" t="str">
        <f ca="1">IFERROR(__xludf.DUMMYFUNCTION("""COMPUTED_VALUE"""),"Ativo")</f>
        <v>Ativo</v>
      </c>
      <c r="AO42" s="29">
        <f ca="1">IFERROR(__xludf.DUMMYFUNCTION("""COMPUTED_VALUE"""),44763)</f>
        <v>44763</v>
      </c>
      <c r="AP42" s="27">
        <f ca="1">IFERROR(__xludf.DUMMYFUNCTION("""COMPUTED_VALUE"""),2)</f>
        <v>2</v>
      </c>
      <c r="AQ42" s="27" t="str">
        <f ca="1">IFERROR(__xludf.DUMMYFUNCTION("""COMPUTED_VALUE"""),"Primeiro Semestre 2022")</f>
        <v>Primeiro Semestre 2022</v>
      </c>
      <c r="AR42" s="27" t="str">
        <f ca="1">IFERROR(__xludf.DUMMYFUNCTION("""COMPUTED_VALUE"""),"fgoncalves.fgd@gmail.com")</f>
        <v>fgoncalves.fgd@gmail.com</v>
      </c>
      <c r="AS42" s="27">
        <f ca="1">IFERROR(__xludf.DUMMYFUNCTION("""COMPUTED_VALUE"""),11998551096)</f>
        <v>11998551096</v>
      </c>
      <c r="AT42" s="30">
        <f ca="1">IFERROR(__xludf.DUMMYFUNCTION("""COMPUTED_VALUE"""),30267)</f>
        <v>30267</v>
      </c>
      <c r="AU42" s="27">
        <f ca="1">IFERROR(__xludf.DUMMYFUNCTION("""COMPUTED_VALUE"""),40)</f>
        <v>40</v>
      </c>
      <c r="AV42" s="27">
        <f ca="1">IFERROR(__xludf.DUMMYFUNCTION("""COMPUTED_VALUE"""),30984242813)</f>
        <v>30984242813</v>
      </c>
      <c r="AW42" s="27">
        <f ca="1">IFERROR(__xludf.DUMMYFUNCTION("""COMPUTED_VALUE"""),293449399)</f>
        <v>293449399</v>
      </c>
      <c r="AX42" s="27"/>
      <c r="AY42" s="27"/>
      <c r="AZ42" s="27" t="str">
        <f ca="1">IFERROR(__xludf.DUMMYFUNCTION("""COMPUTED_VALUE"""),"M")</f>
        <v>M</v>
      </c>
      <c r="BA42" s="27" t="str">
        <f ca="1">IFERROR(__xludf.DUMMYFUNCTION("""COMPUTED_VALUE"""),"Branca")</f>
        <v>Branca</v>
      </c>
      <c r="BB42" s="27"/>
      <c r="BC42" s="27"/>
      <c r="BD42" s="27" t="str">
        <f ca="1">IFERROR(__xludf.DUMMYFUNCTION("""COMPUTED_VALUE"""),"Meu nome é Flávia Gonçalves* tenho 39 anos* casada e com uma filha de 2 meses. Sou cirurgiã-dentista* professora universitária e pesquisadora*  trabalho com o desenvolvimento de biomateriais para odontologia. Sou diretora no JEDA a pouco mais de um ano* v"&amp;"oluntária* e tenho o desejo que possamos de fato* fazer alguma diferença positiva na sociedade* promovendo transformação social.")</f>
        <v>Meu nome é Flávia Gonçalves* tenho 39 anos* casada e com uma filha de 2 meses. Sou cirurgiã-dentista* professora universitária e pesquisadora*  trabalho com o desenvolvimento de biomateriais para odontologia. Sou diretora no JEDA a pouco mais de um ano* voluntária* e tenho o desejo que possamos de fato* fazer alguma diferença positiva na sociedade* promovendo transformação social.</v>
      </c>
      <c r="BE42" s="27" t="str">
        <f ca="1">IFERROR(__xludf.DUMMYFUNCTION("""COMPUTED_VALUE"""),"Feminino")</f>
        <v>Feminino</v>
      </c>
      <c r="BF42" s="27" t="str">
        <f ca="1">IFERROR(__xludf.DUMMYFUNCTION("""COMPUTED_VALUE"""),"Heterossexual")</f>
        <v>Heterossexual</v>
      </c>
      <c r="BG42" s="27"/>
      <c r="BH42" s="27" t="str">
        <f ca="1">IFERROR(__xludf.DUMMYFUNCTION("""COMPUTED_VALUE"""),"Público")</f>
        <v>Público</v>
      </c>
      <c r="BI42" s="27" t="str">
        <f ca="1">IFERROR(__xludf.DUMMYFUNCTION("""COMPUTED_VALUE"""),"Pós-Doutorado")</f>
        <v>Pós-Doutorado</v>
      </c>
      <c r="BJ42" s="27" t="str">
        <f ca="1">IFERROR(__xludf.DUMMYFUNCTION("""COMPUTED_VALUE"""),"Público")</f>
        <v>Público</v>
      </c>
      <c r="BK42" s="27" t="str">
        <f ca="1">IFERROR(__xludf.DUMMYFUNCTION("""COMPUTED_VALUE"""),"Rua Francisco Ferreira")</f>
        <v>Rua Francisco Ferreira</v>
      </c>
      <c r="BL42" s="27">
        <f ca="1">IFERROR(__xludf.DUMMYFUNCTION("""COMPUTED_VALUE"""),126)</f>
        <v>126</v>
      </c>
      <c r="BM42" s="27">
        <f ca="1">IFERROR(__xludf.DUMMYFUNCTION("""COMPUTED_VALUE"""),1)</f>
        <v>1</v>
      </c>
      <c r="BN42" s="27"/>
      <c r="BO42" s="27">
        <f ca="1">IFERROR(__xludf.DUMMYFUNCTION("""COMPUTED_VALUE"""),9175640)</f>
        <v>9175640</v>
      </c>
      <c r="BP42" s="27" t="str">
        <f ca="1">IFERROR(__xludf.DUMMYFUNCTION("""COMPUTED_VALUE"""),"SP")</f>
        <v>SP</v>
      </c>
      <c r="BQ42" s="27" t="str">
        <f ca="1">IFERROR(__xludf.DUMMYFUNCTION("""COMPUTED_VALUE"""),"De 3 até 5 salários mínimos")</f>
        <v>De 3 até 5 salários mínimos</v>
      </c>
      <c r="BR42" s="27" t="str">
        <f ca="1">IFERROR(__xludf.DUMMYFUNCTION("""COMPUTED_VALUE"""),"CLT")</f>
        <v>CLT</v>
      </c>
      <c r="BS42" s="27" t="str">
        <f ca="1">IFERROR(__xludf.DUMMYFUNCTION("""COMPUTED_VALUE"""),"Casa própria")</f>
        <v>Casa própria</v>
      </c>
      <c r="BT42" s="27">
        <f ca="1">IFERROR(__xludf.DUMMYFUNCTION("""COMPUTED_VALUE"""),3)</f>
        <v>3</v>
      </c>
      <c r="BU42" s="27" t="str">
        <f ca="1">IFERROR(__xludf.DUMMYFUNCTION("""COMPUTED_VALUE"""),"Não tem")</f>
        <v>Não tem</v>
      </c>
      <c r="BV42" s="27" t="str">
        <f ca="1">IFERROR(__xludf.DUMMYFUNCTION("""COMPUTED_VALUE"""),"Não")</f>
        <v>Não</v>
      </c>
      <c r="BW42" s="21" t="str">
        <f ca="1">IFERROR(__xludf.DUMMYFUNCTION("""COMPUTED_VALUE"""),"https://www.linkedin.com/in/flavia-goncalves-983320199/")</f>
        <v>https://www.linkedin.com/in/flavia-goncalves-983320199/</v>
      </c>
      <c r="BX42" s="21" t="str">
        <f ca="1">IFERROR(__xludf.DUMMYFUNCTION("""COMPUTED_VALUE"""),"https://www.instagram.com/dra_flavia_goncalves/")</f>
        <v>https://www.instagram.com/dra_flavia_goncalves/</v>
      </c>
      <c r="BY42" s="21" t="str">
        <f ca="1">IFERROR(__xludf.DUMMYFUNCTION("""COMPUTED_VALUE"""),"https://drive.google.com/open?id=1l9e5dMuuDvX7D1xI2UOLsF5PCW3ZRS7g")</f>
        <v>https://drive.google.com/open?id=1l9e5dMuuDvX7D1xI2UOLsF5PCW3ZRS7g</v>
      </c>
    </row>
    <row r="43" spans="1:77" ht="12.5" hidden="1" x14ac:dyDescent="0.25">
      <c r="A43" s="21" t="str">
        <f ca="1">IFERROR(__xludf.DUMMYFUNCTION("""COMPUTED_VALUE"""),"0014P00003SGWPiQAP")</f>
        <v>0014P00003SGWPiQAP</v>
      </c>
      <c r="B43" s="27" t="str">
        <f ca="1">IFERROR(__xludf.DUMMYFUNCTION("""COMPUTED_VALUE"""),"Fase Avançada")</f>
        <v>Fase Avançada</v>
      </c>
      <c r="C43" s="27" t="str">
        <f ca="1">IFERROR(__xludf.DUMMYFUNCTION("""COMPUTED_VALUE"""),"Acelerada")</f>
        <v>Acelerada</v>
      </c>
      <c r="D43" s="27" t="str">
        <f ca="1">IFERROR(__xludf.DUMMYFUNCTION("""COMPUTED_VALUE"""),"Ativo")</f>
        <v>Ativo</v>
      </c>
      <c r="E43" s="27" t="str">
        <f ca="1">IFERROR(__xludf.DUMMYFUNCTION("""COMPUTED_VALUE"""),"ASSOCIAÇÃO COLETIVO MOTIRÕ")</f>
        <v>ASSOCIAÇÃO COLETIVO MOTIRÕ</v>
      </c>
      <c r="F43" s="27" t="str">
        <f ca="1">IFERROR(__xludf.DUMMYFUNCTION("""COMPUTED_VALUE"""),"Flávio")</f>
        <v>Flávio</v>
      </c>
      <c r="G43" s="27" t="str">
        <f ca="1">IFERROR(__xludf.DUMMYFUNCTION("""COMPUTED_VALUE"""),"COLETIVO MOTIRÕ")</f>
        <v>COLETIVO MOTIRÕ</v>
      </c>
      <c r="H43" s="27" t="str">
        <f ca="1">IFERROR(__xludf.DUMMYFUNCTION("""COMPUTED_VALUE"""),"37.031.155/0001-03")</f>
        <v>37.031.155/0001-03</v>
      </c>
      <c r="I43" s="27" t="str">
        <f ca="1">IFERROR(__xludf.DUMMYFUNCTION("""COMPUTED_VALUE"""),"Flávio Almeida Batista")</f>
        <v>Flávio Almeida Batista</v>
      </c>
      <c r="J43" s="27" t="str">
        <f ca="1">IFERROR(__xludf.DUMMYFUNCTION("""COMPUTED_VALUE"""),"coletivomotirodf@gmail.com")</f>
        <v>coletivomotirodf@gmail.com</v>
      </c>
      <c r="K43" s="27" t="str">
        <f ca="1">IFERROR(__xludf.DUMMYFUNCTION("""COMPUTED_VALUE"""),"(61)99574-7001")</f>
        <v>(61)99574-7001</v>
      </c>
      <c r="L43" s="27" t="str">
        <f ca="1">IFERROR(__xludf.DUMMYFUNCTION("""COMPUTED_VALUE"""),"DF")</f>
        <v>DF</v>
      </c>
      <c r="M43" s="27" t="str">
        <f ca="1">IFERROR(__xludf.DUMMYFUNCTION("""COMPUTED_VALUE"""),"QN 501 CONJUNTO 16")</f>
        <v>QN 501 CONJUNTO 16</v>
      </c>
      <c r="N43" s="27" t="str">
        <f ca="1">IFERROR(__xludf.DUMMYFUNCTION("""COMPUTED_VALUE"""),"Samambaia Sul")</f>
        <v>Samambaia Sul</v>
      </c>
      <c r="O43" s="27" t="str">
        <f ca="1">IFERROR(__xludf.DUMMYFUNCTION("""COMPUTED_VALUE"""),"(61)99574-7001")</f>
        <v>(61)99574-7001</v>
      </c>
      <c r="P43" s="27" t="str">
        <f ca="1">IFERROR(__xludf.DUMMYFUNCTION("""COMPUTED_VALUE"""),"BRASÍLIA")</f>
        <v>BRASÍLIA</v>
      </c>
      <c r="Q43" s="27" t="str">
        <f ca="1">IFERROR(__xludf.DUMMYFUNCTION("""COMPUTED_VALUE"""),"Lotes 2/3")</f>
        <v>Lotes 2/3</v>
      </c>
      <c r="R43" s="27" t="str">
        <f ca="1">IFERROR(__xludf.DUMMYFUNCTION("""COMPUTED_VALUE"""),"72311-216")</f>
        <v>72311-216</v>
      </c>
      <c r="S43" s="27"/>
      <c r="T43" s="27" t="str">
        <f ca="1">IFERROR(__xludf.DUMMYFUNCTION("""COMPUTED_VALUE"""),"Esporte; Educação; Empregabilidade; Cultura; Qualificação Profissional; Empreendedorismo; Saúde")</f>
        <v>Esporte; Educação; Empregabilidade; Cultura; Qualificação Profissional; Empreendedorismo; Saúde</v>
      </c>
      <c r="U43" s="27" t="str">
        <f ca="1">IFERROR(__xludf.DUMMYFUNCTION("""COMPUTED_VALUE"""),"Crianças (6 a 12 anos); Adolescentes (12 aos 18 anos); Jovens (18 aos 24 anos); Adultos")</f>
        <v>Crianças (6 a 12 anos); Adolescentes (12 aos 18 anos); Jovens (18 aos 24 anos); Adultos</v>
      </c>
      <c r="V43" s="27" t="str">
        <f ca="1">IFERROR(__xludf.DUMMYFUNCTION("""COMPUTED_VALUE"""),"Moradores de Favelas")</f>
        <v>Moradores de Favelas</v>
      </c>
      <c r="W43" s="27">
        <f ca="1">IFERROR(__xludf.DUMMYFUNCTION("""COMPUTED_VALUE"""),5)</f>
        <v>5</v>
      </c>
      <c r="X43" s="27" t="str">
        <f ca="1">IFERROR(__xludf.DUMMYFUNCTION("""COMPUTED_VALUE"""),"Alunos da rede pública e comunidade")</f>
        <v>Alunos da rede pública e comunidade</v>
      </c>
      <c r="Y43" s="27">
        <f ca="1">IFERROR(__xludf.DUMMYFUNCTION("""COMPUTED_VALUE"""),980)</f>
        <v>980</v>
      </c>
      <c r="Z43" s="27">
        <f ca="1">IFERROR(__xludf.DUMMYFUNCTION("""COMPUTED_VALUE"""),9590)</f>
        <v>9590</v>
      </c>
      <c r="AA43" s="29">
        <f ca="1">IFERROR(__xludf.DUMMYFUNCTION("""COMPUTED_VALUE"""),42860)</f>
        <v>42860</v>
      </c>
      <c r="AB43" s="27" t="str">
        <f ca="1">IFERROR(__xludf.DUMMYFUNCTION("""COMPUTED_VALUE"""),"Sim")</f>
        <v>Sim</v>
      </c>
      <c r="AC43" s="27">
        <f ca="1">IFERROR(__xludf.DUMMYFUNCTION("""COMPUTED_VALUE"""),8)</f>
        <v>8</v>
      </c>
      <c r="AD43" s="27">
        <f ca="1">IFERROR(__xludf.DUMMYFUNCTION("""COMPUTED_VALUE"""),2)</f>
        <v>2</v>
      </c>
      <c r="AE43" s="27">
        <f ca="1">IFERROR(__xludf.DUMMYFUNCTION("""COMPUTED_VALUE"""),80)</f>
        <v>80</v>
      </c>
      <c r="AF43" s="27">
        <f ca="1">IFERROR(__xludf.DUMMYFUNCTION("""COMPUTED_VALUE"""),25)</f>
        <v>25</v>
      </c>
      <c r="AG43" s="27">
        <f ca="1">IFERROR(__xludf.DUMMYFUNCTION("""COMPUTED_VALUE"""),4)</f>
        <v>4</v>
      </c>
      <c r="AH43" s="27" t="str">
        <f ca="1">IFERROR(__xludf.DUMMYFUNCTION("""COMPUTED_VALUE"""),"Eventos/Ações para captação; Parceria iniciativa privada; Editais; Outro(s); Doações; Recursos próprios")</f>
        <v>Eventos/Ações para captação; Parceria iniciativa privada; Editais; Outro(s); Doações; Recursos próprios</v>
      </c>
      <c r="AI43" s="27" t="str">
        <f ca="1">IFERROR(__xludf.DUMMYFUNCTION("""COMPUTED_VALUE"""),"25% eventos - 25% pessoa física - 15% Empresas - 35% Igrejas")</f>
        <v>25% eventos - 25% pessoa física - 15% Empresas - 35% Igrejas</v>
      </c>
      <c r="AJ43" s="27" t="str">
        <f ca="1">IFERROR(__xludf.DUMMYFUNCTION("""COMPUTED_VALUE"""),"Não")</f>
        <v>Não</v>
      </c>
      <c r="AK43" s="27" t="str">
        <f ca="1">IFERROR(__xludf.DUMMYFUNCTION("""COMPUTED_VALUE"""),"Não")</f>
        <v>Não</v>
      </c>
      <c r="AL43" s="21" t="str">
        <f ca="1">IFERROR(__xludf.DUMMYFUNCTION("""COMPUTED_VALUE"""),"0034P000043fOnp")</f>
        <v>0034P000043fOnp</v>
      </c>
      <c r="AM43" s="27" t="str">
        <f ca="1">IFERROR(__xludf.DUMMYFUNCTION("""COMPUTED_VALUE"""),"Almeida Batista")</f>
        <v>Almeida Batista</v>
      </c>
      <c r="AN43" s="27" t="str">
        <f ca="1">IFERROR(__xludf.DUMMYFUNCTION("""COMPUTED_VALUE"""),"Ativo")</f>
        <v>Ativo</v>
      </c>
      <c r="AO43" s="29">
        <f ca="1">IFERROR(__xludf.DUMMYFUNCTION("""COMPUTED_VALUE"""),44432)</f>
        <v>44432</v>
      </c>
      <c r="AP43" s="27">
        <f ca="1">IFERROR(__xludf.DUMMYFUNCTION("""COMPUTED_VALUE"""),13)</f>
        <v>13</v>
      </c>
      <c r="AQ43" s="27" t="str">
        <f ca="1">IFERROR(__xludf.DUMMYFUNCTION("""COMPUTED_VALUE"""),"Primeiro Semestre 2021")</f>
        <v>Primeiro Semestre 2021</v>
      </c>
      <c r="AR43" s="27" t="str">
        <f ca="1">IFERROR(__xludf.DUMMYFUNCTION("""COMPUTED_VALUE"""),"flavioalmeidaf3@gmail.com")</f>
        <v>flavioalmeidaf3@gmail.com</v>
      </c>
      <c r="AS43" s="27" t="str">
        <f ca="1">IFERROR(__xludf.DUMMYFUNCTION("""COMPUTED_VALUE"""),"(61)99574-7001")</f>
        <v>(61)99574-7001</v>
      </c>
      <c r="AT43" s="29">
        <f ca="1">IFERROR(__xludf.DUMMYFUNCTION("""COMPUTED_VALUE"""),27401)</f>
        <v>27401</v>
      </c>
      <c r="AU43" s="27">
        <f ca="1">IFERROR(__xludf.DUMMYFUNCTION("""COMPUTED_VALUE"""),47)</f>
        <v>47</v>
      </c>
      <c r="AV43" s="27">
        <f ca="1">IFERROR(__xludf.DUMMYFUNCTION("""COMPUTED_VALUE"""),50572059191)</f>
        <v>50572059191</v>
      </c>
      <c r="AW43" s="27">
        <f ca="1">IFERROR(__xludf.DUMMYFUNCTION("""COMPUTED_VALUE"""),1277112)</f>
        <v>1277112</v>
      </c>
      <c r="AX43" s="27" t="str">
        <f ca="1">IFERROR(__xludf.DUMMYFUNCTION("""COMPUTED_VALUE"""),"Projetista Cadista")</f>
        <v>Projetista Cadista</v>
      </c>
      <c r="AY43" s="27" t="str">
        <f ca="1">IFERROR(__xludf.DUMMYFUNCTION("""COMPUTED_VALUE"""),"Autônomo")</f>
        <v>Autônomo</v>
      </c>
      <c r="AZ43" s="27" t="str">
        <f ca="1">IFERROR(__xludf.DUMMYFUNCTION("""COMPUTED_VALUE"""),"M")</f>
        <v>M</v>
      </c>
      <c r="BA43" s="27" t="str">
        <f ca="1">IFERROR(__xludf.DUMMYFUNCTION("""COMPUTED_VALUE"""),"Parda")</f>
        <v>Parda</v>
      </c>
      <c r="BB43" s="27"/>
      <c r="BC43" s="27" t="str">
        <f ca="1">IFERROR(__xludf.DUMMYFUNCTION("""COMPUTED_VALUE"""),"Sim")</f>
        <v>Sim</v>
      </c>
      <c r="BD43" s="27" t="str">
        <f ca="1">IFERROR(__xludf.DUMMYFUNCTION("""COMPUTED_VALUE"""),"Gestor de projetos sociais, desde 2008 trabalhando com famílias em situação de vulnerabilidade social e moradores em situação de rua, combatendo o uso de drogas e realizando a inclusão social. 
Diretor presidente na Associação Coletivo Motirõ, desde maio"&amp;" de 2018.
Do tupi-guarani, MOTIRÕ significa ""reunião de pessoas para colher ou construir algo juntos, uns ajudando os outros"".
Atuamos com projetos com foco na educação, esporte, cultura, qualificação e saúde mental nas as comunidades.")</f>
        <v>Gestor de projetos sociais, desde 2008 trabalhando com famílias em situação de vulnerabilidade social e moradores em situação de rua, combatendo o uso de drogas e realizando a inclusão social. 
Diretor presidente na Associação Coletivo Motirõ, desde maio de 2018.
Do tupi-guarani, MOTIRÕ significa "reunião de pessoas para colher ou construir algo juntos, uns ajudando os outros".
Atuamos com projetos com foco na educação, esporte, cultura, qualificação e saúde mental nas as comunidades.</v>
      </c>
      <c r="BE43" s="27" t="str">
        <f ca="1">IFERROR(__xludf.DUMMYFUNCTION("""COMPUTED_VALUE"""),"Masculino")</f>
        <v>Masculino</v>
      </c>
      <c r="BF43" s="27" t="str">
        <f ca="1">IFERROR(__xludf.DUMMYFUNCTION("""COMPUTED_VALUE"""),"Heterossexual")</f>
        <v>Heterossexual</v>
      </c>
      <c r="BG43" s="27" t="str">
        <f ca="1">IFERROR(__xludf.DUMMYFUNCTION("""COMPUTED_VALUE"""),"Ensino Superior - Completo")</f>
        <v>Ensino Superior - Completo</v>
      </c>
      <c r="BH43" s="27"/>
      <c r="BI43" s="27" t="str">
        <f ca="1">IFERROR(__xludf.DUMMYFUNCTION("""COMPUTED_VALUE"""),"Graduação")</f>
        <v>Graduação</v>
      </c>
      <c r="BJ43" s="27" t="str">
        <f ca="1">IFERROR(__xludf.DUMMYFUNCTION("""COMPUTED_VALUE"""),"Privado")</f>
        <v>Privado</v>
      </c>
      <c r="BK43" s="27" t="str">
        <f ca="1">IFERROR(__xludf.DUMMYFUNCTION("""COMPUTED_VALUE"""),"QN 501 Conjunto 16 lotes")</f>
        <v>QN 501 Conjunto 16 lotes</v>
      </c>
      <c r="BL43" s="33">
        <f ca="1">IFERROR(__xludf.DUMMYFUNCTION("""COMPUTED_VALUE"""),44622)</f>
        <v>44622</v>
      </c>
      <c r="BM43" s="27"/>
      <c r="BN43" s="27" t="str">
        <f ca="1">IFERROR(__xludf.DUMMYFUNCTION("""COMPUTED_VALUE"""),"BRASÍLIA")</f>
        <v>BRASÍLIA</v>
      </c>
      <c r="BO43" s="27" t="str">
        <f ca="1">IFERROR(__xludf.DUMMYFUNCTION("""COMPUTED_VALUE"""),"72311-216")</f>
        <v>72311-216</v>
      </c>
      <c r="BP43" s="27" t="str">
        <f ca="1">IFERROR(__xludf.DUMMYFUNCTION("""COMPUTED_VALUE"""),"DF")</f>
        <v>DF</v>
      </c>
      <c r="BQ43" s="27" t="str">
        <f ca="1">IFERROR(__xludf.DUMMYFUNCTION("""COMPUTED_VALUE"""),"De 3 até 5 salários mínimos")</f>
        <v>De 3 até 5 salários mínimos</v>
      </c>
      <c r="BR43" s="27" t="str">
        <f ca="1">IFERROR(__xludf.DUMMYFUNCTION("""COMPUTED_VALUE"""),"Trabalho informal")</f>
        <v>Trabalho informal</v>
      </c>
      <c r="BS43" s="27" t="str">
        <f ca="1">IFERROR(__xludf.DUMMYFUNCTION("""COMPUTED_VALUE"""),"Casa própria")</f>
        <v>Casa própria</v>
      </c>
      <c r="BT43" s="27">
        <f ca="1">IFERROR(__xludf.DUMMYFUNCTION("""COMPUTED_VALUE"""),4)</f>
        <v>4</v>
      </c>
      <c r="BU43" s="27"/>
      <c r="BV43" s="27"/>
      <c r="BW43" s="21" t="str">
        <f ca="1">IFERROR(__xludf.DUMMYFUNCTION("""COMPUTED_VALUE"""),"https://www.linkedin.com/in/fl%C3%A1vio-almeida-729a731ba/")</f>
        <v>https://www.linkedin.com/in/fl%C3%A1vio-almeida-729a731ba/</v>
      </c>
      <c r="BX43" s="21" t="str">
        <f ca="1">IFERROR(__xludf.DUMMYFUNCTION("""COMPUTED_VALUE"""),"https://www.instagram.com/flavioalmeidaf3/")</f>
        <v>https://www.instagram.com/flavioalmeidaf3/</v>
      </c>
      <c r="BY43" s="21" t="str">
        <f ca="1">IFERROR(__xludf.DUMMYFUNCTION("""COMPUTED_VALUE"""),"https://drive.google.com/open?id=1JKzcJkJTeqEu77Z1EPRvVpIVwSk9emuO")</f>
        <v>https://drive.google.com/open?id=1JKzcJkJTeqEu77Z1EPRvVpIVwSk9emuO</v>
      </c>
    </row>
    <row r="44" spans="1:77" ht="12.5" hidden="1" x14ac:dyDescent="0.25">
      <c r="A44" s="21" t="str">
        <f ca="1">IFERROR(__xludf.DUMMYFUNCTION("""COMPUTED_VALUE"""),"0014P00003YSp8kQAD")</f>
        <v>0014P00003YSp8kQAD</v>
      </c>
      <c r="B44" s="27" t="str">
        <f ca="1">IFERROR(__xludf.DUMMYFUNCTION("""COMPUTED_VALUE"""),"Fase Inicial")</f>
        <v>Fase Inicial</v>
      </c>
      <c r="C44" s="27" t="str">
        <f ca="1">IFERROR(__xludf.DUMMYFUNCTION("""COMPUTED_VALUE"""),"Fellow")</f>
        <v>Fellow</v>
      </c>
      <c r="D44" s="27" t="str">
        <f ca="1">IFERROR(__xludf.DUMMYFUNCTION("""COMPUTED_VALUE"""),"Ativo")</f>
        <v>Ativo</v>
      </c>
      <c r="E44" s="27" t="str">
        <f ca="1">IFERROR(__xludf.DUMMYFUNCTION("""COMPUTED_VALUE"""),"Associação Comunidade Solidária do Jardim São Bernardo")</f>
        <v>Associação Comunidade Solidária do Jardim São Bernardo</v>
      </c>
      <c r="F44" s="27" t="str">
        <f ca="1">IFERROR(__xludf.DUMMYFUNCTION("""COMPUTED_VALUE"""),"Alex")</f>
        <v>Alex</v>
      </c>
      <c r="G44" s="27"/>
      <c r="H44" s="27" t="str">
        <f ca="1">IFERROR(__xludf.DUMMYFUNCTION("""COMPUTED_VALUE"""),"06.324.463/0001-95")</f>
        <v>06.324.463/0001-95</v>
      </c>
      <c r="I44" s="27" t="str">
        <f ca="1">IFERROR(__xludf.DUMMYFUNCTION("""COMPUTED_VALUE"""),"Manoela Aparecida Dias Teodoro")</f>
        <v>Manoela Aparecida Dias Teodoro</v>
      </c>
      <c r="J44" s="27" t="str">
        <f ca="1">IFERROR(__xludf.DUMMYFUNCTION("""COMPUTED_VALUE"""),"associacaojardimsaobernardo@gmail.com")</f>
        <v>associacaojardimsaobernardo@gmail.com</v>
      </c>
      <c r="K44" s="27" t="str">
        <f ca="1">IFERROR(__xludf.DUMMYFUNCTION("""COMPUTED_VALUE"""),"(11)5929-3802")</f>
        <v>(11)5929-3802</v>
      </c>
      <c r="L44" s="27" t="str">
        <f ca="1">IFERROR(__xludf.DUMMYFUNCTION("""COMPUTED_VALUE"""),"SP")</f>
        <v>SP</v>
      </c>
      <c r="M44" s="27" t="str">
        <f ca="1">IFERROR(__xludf.DUMMYFUNCTION("""COMPUTED_VALUE"""),"Avenida João Amos Comenius 849")</f>
        <v>Avenida João Amos Comenius 849</v>
      </c>
      <c r="N44" s="27" t="str">
        <f ca="1">IFERROR(__xludf.DUMMYFUNCTION("""COMPUTED_VALUE"""),"Jardim São Bernardo")</f>
        <v>Jardim São Bernardo</v>
      </c>
      <c r="O44" s="27">
        <f ca="1">IFERROR(__xludf.DUMMYFUNCTION("""COMPUTED_VALUE"""),849)</f>
        <v>849</v>
      </c>
      <c r="P44" s="27" t="str">
        <f ca="1">IFERROR(__xludf.DUMMYFUNCTION("""COMPUTED_VALUE"""),"São Paulo")</f>
        <v>São Paulo</v>
      </c>
      <c r="Q44" s="27" t="str">
        <f ca="1">IFERROR(__xludf.DUMMYFUNCTION("""COMPUTED_VALUE"""),"Casa")</f>
        <v>Casa</v>
      </c>
      <c r="R44" s="27" t="str">
        <f ca="1">IFERROR(__xludf.DUMMYFUNCTION("""COMPUTED_VALUE"""),"04844-420")</f>
        <v>04844-420</v>
      </c>
      <c r="S44" s="27"/>
      <c r="T44" s="27" t="str">
        <f ca="1">IFERROR(__xludf.DUMMYFUNCTION("""COMPUTED_VALUE"""),"Esporte; Educação; Assistência Social; Cultura; Qualificação Profissional; Defesa de Direitos")</f>
        <v>Esporte; Educação; Assistência Social; Cultura; Qualificação Profissional; Defesa de Direitos</v>
      </c>
      <c r="U44"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44" s="27" t="str">
        <f ca="1">IFERROR(__xludf.DUMMYFUNCTION("""COMPUTED_VALUE"""),"Moradores de Favelas; Outros")</f>
        <v>Moradores de Favelas; Outros</v>
      </c>
      <c r="W44" s="27">
        <f ca="1">IFERROR(__xludf.DUMMYFUNCTION("""COMPUTED_VALUE"""),6)</f>
        <v>6</v>
      </c>
      <c r="X44" s="27"/>
      <c r="Y44" s="27"/>
      <c r="Z44" s="27">
        <f ca="1">IFERROR(__xludf.DUMMYFUNCTION("""COMPUTED_VALUE"""),1200)</f>
        <v>1200</v>
      </c>
      <c r="AA44" s="29">
        <f ca="1">IFERROR(__xludf.DUMMYFUNCTION("""COMPUTED_VALUE"""),37683)</f>
        <v>37683</v>
      </c>
      <c r="AB44" s="27" t="str">
        <f ca="1">IFERROR(__xludf.DUMMYFUNCTION("""COMPUTED_VALUE"""),"Sim")</f>
        <v>Sim</v>
      </c>
      <c r="AC44" s="27">
        <f ca="1">IFERROR(__xludf.DUMMYFUNCTION("""COMPUTED_VALUE"""),2)</f>
        <v>2</v>
      </c>
      <c r="AD44" s="27">
        <f ca="1">IFERROR(__xludf.DUMMYFUNCTION("""COMPUTED_VALUE"""),2)</f>
        <v>2</v>
      </c>
      <c r="AE44" s="27">
        <f ca="1">IFERROR(__xludf.DUMMYFUNCTION("""COMPUTED_VALUE"""),4)</f>
        <v>4</v>
      </c>
      <c r="AF44" s="27">
        <f ca="1">IFERROR(__xludf.DUMMYFUNCTION("""COMPUTED_VALUE"""),6)</f>
        <v>6</v>
      </c>
      <c r="AG44" s="27">
        <f ca="1">IFERROR(__xludf.DUMMYFUNCTION("""COMPUTED_VALUE"""),2)</f>
        <v>2</v>
      </c>
      <c r="AH44" s="27" t="str">
        <f ca="1">IFERROR(__xludf.DUMMYFUNCTION("""COMPUTED_VALUE"""),"Doações; Recursos próprios")</f>
        <v>Doações; Recursos próprios</v>
      </c>
      <c r="AI44" s="27" t="str">
        <f ca="1">IFERROR(__xludf.DUMMYFUNCTION("""COMPUTED_VALUE"""),"Nenhum")</f>
        <v>Nenhum</v>
      </c>
      <c r="AJ44" s="27"/>
      <c r="AK44" s="27"/>
      <c r="AL44" s="21" t="str">
        <f ca="1">IFERROR(__xludf.DUMMYFUNCTION("""COMPUTED_VALUE"""),"0034P000045kxjU")</f>
        <v>0034P000045kxjU</v>
      </c>
      <c r="AM44" s="27" t="str">
        <f ca="1">IFERROR(__xludf.DUMMYFUNCTION("""COMPUTED_VALUE"""),"De Arruda Teodoro")</f>
        <v>De Arruda Teodoro</v>
      </c>
      <c r="AN44" s="27" t="str">
        <f ca="1">IFERROR(__xludf.DUMMYFUNCTION("""COMPUTED_VALUE"""),"Ativo")</f>
        <v>Ativo</v>
      </c>
      <c r="AO44" s="30">
        <f ca="1">IFERROR(__xludf.DUMMYFUNCTION("""COMPUTED_VALUE"""),44551)</f>
        <v>44551</v>
      </c>
      <c r="AP44" s="27">
        <f ca="1">IFERROR(__xludf.DUMMYFUNCTION("""COMPUTED_VALUE"""),9)</f>
        <v>9</v>
      </c>
      <c r="AQ44" s="27" t="str">
        <f ca="1">IFERROR(__xludf.DUMMYFUNCTION("""COMPUTED_VALUE"""),"Segundo Semestre 2021")</f>
        <v>Segundo Semestre 2021</v>
      </c>
      <c r="AR44" s="27" t="str">
        <f ca="1">IFERROR(__xludf.DUMMYFUNCTION("""COMPUTED_VALUE"""),"alexteodoro.educacao@gmail.com")</f>
        <v>alexteodoro.educacao@gmail.com</v>
      </c>
      <c r="AS44" s="27" t="str">
        <f ca="1">IFERROR(__xludf.DUMMYFUNCTION("""COMPUTED_VALUE"""),"(11)96284-9017")</f>
        <v>(11)96284-9017</v>
      </c>
      <c r="AT44" s="29">
        <f ca="1">IFERROR(__xludf.DUMMYFUNCTION("""COMPUTED_VALUE"""),30035)</f>
        <v>30035</v>
      </c>
      <c r="AU44" s="27">
        <f ca="1">IFERROR(__xludf.DUMMYFUNCTION("""COMPUTED_VALUE"""),40)</f>
        <v>40</v>
      </c>
      <c r="AV44" s="27">
        <f ca="1">IFERROR(__xludf.DUMMYFUNCTION("""COMPUTED_VALUE"""),31102205800)</f>
        <v>31102205800</v>
      </c>
      <c r="AW44" s="27" t="str">
        <f ca="1">IFERROR(__xludf.DUMMYFUNCTION("""COMPUTED_VALUE"""),"41781769 -7")</f>
        <v>41781769 -7</v>
      </c>
      <c r="AX44" s="27"/>
      <c r="AY44" s="27"/>
      <c r="AZ44" s="27" t="str">
        <f ca="1">IFERROR(__xludf.DUMMYFUNCTION("""COMPUTED_VALUE"""),"G2")</f>
        <v>G2</v>
      </c>
      <c r="BA44" s="27" t="str">
        <f ca="1">IFERROR(__xludf.DUMMYFUNCTION("""COMPUTED_VALUE"""),"Preta")</f>
        <v>Preta</v>
      </c>
      <c r="BB44" s="27" t="str">
        <f ca="1">IFERROR(__xludf.DUMMYFUNCTION("""COMPUTED_VALUE"""),"Homem, cisgênero")</f>
        <v>Homem, cisgênero</v>
      </c>
      <c r="BC44" s="27" t="str">
        <f ca="1">IFERROR(__xludf.DUMMYFUNCTION("""COMPUTED_VALUE"""),"Não")</f>
        <v>Não</v>
      </c>
      <c r="BD44" s="27" t="str">
        <f ca="1">IFERROR(__xludf.DUMMYFUNCTION("""COMPUTED_VALUE"""),"Alex Teodoro , 39 anos , casado, pai de três filhos , pedagogo , ex-conselheiro tutelar e hoje assume a Presidência da Associação Jardim São Bernardo 
Sua maior luta é a defesa dos direitos da criança e do adolescente.")</f>
        <v>Alex Teodoro , 39 anos , casado, pai de três filhos , pedagogo , ex-conselheiro tutelar e hoje assume a Presidência da Associação Jardim São Bernardo 
Sua maior luta é a defesa dos direitos da criança e do adolescente.</v>
      </c>
      <c r="BE44" s="27"/>
      <c r="BF44" s="27" t="str">
        <f ca="1">IFERROR(__xludf.DUMMYFUNCTION("""COMPUTED_VALUE"""),"Heterossexual")</f>
        <v>Heterossexual</v>
      </c>
      <c r="BG44" s="27" t="str">
        <f ca="1">IFERROR(__xludf.DUMMYFUNCTION("""COMPUTED_VALUE"""),"Ensino Superior - Incompleto")</f>
        <v>Ensino Superior - Incompleto</v>
      </c>
      <c r="BH44" s="27" t="str">
        <f ca="1">IFERROR(__xludf.DUMMYFUNCTION("""COMPUTED_VALUE"""),"Público")</f>
        <v>Público</v>
      </c>
      <c r="BI44" s="27" t="str">
        <f ca="1">IFERROR(__xludf.DUMMYFUNCTION("""COMPUTED_VALUE"""),"Graduação")</f>
        <v>Graduação</v>
      </c>
      <c r="BJ44" s="27" t="str">
        <f ca="1">IFERROR(__xludf.DUMMYFUNCTION("""COMPUTED_VALUE"""),"Privado")</f>
        <v>Privado</v>
      </c>
      <c r="BK44" s="27" t="str">
        <f ca="1">IFERROR(__xludf.DUMMYFUNCTION("""COMPUTED_VALUE"""),"João Amos Comenius")</f>
        <v>João Amos Comenius</v>
      </c>
      <c r="BL44" s="27">
        <f ca="1">IFERROR(__xludf.DUMMYFUNCTION("""COMPUTED_VALUE"""),678)</f>
        <v>678</v>
      </c>
      <c r="BM44" s="27" t="str">
        <f ca="1">IFERROR(__xludf.DUMMYFUNCTION("""COMPUTED_VALUE"""),"Casa 4")</f>
        <v>Casa 4</v>
      </c>
      <c r="BN44" s="27" t="str">
        <f ca="1">IFERROR(__xludf.DUMMYFUNCTION("""COMPUTED_VALUE"""),"São Paulo")</f>
        <v>São Paulo</v>
      </c>
      <c r="BO44" s="27" t="str">
        <f ca="1">IFERROR(__xludf.DUMMYFUNCTION("""COMPUTED_VALUE"""),"04844-420")</f>
        <v>04844-420</v>
      </c>
      <c r="BP44" s="27" t="str">
        <f ca="1">IFERROR(__xludf.DUMMYFUNCTION("""COMPUTED_VALUE"""),"SP")</f>
        <v>SP</v>
      </c>
      <c r="BQ44" s="27" t="str">
        <f ca="1">IFERROR(__xludf.DUMMYFUNCTION("""COMPUTED_VALUE"""),"Entre 1 até 3 salários mínimos")</f>
        <v>Entre 1 até 3 salários mínimos</v>
      </c>
      <c r="BR44" s="27" t="str">
        <f ca="1">IFERROR(__xludf.DUMMYFUNCTION("""COMPUTED_VALUE"""),"Desempregado")</f>
        <v>Desempregado</v>
      </c>
      <c r="BS44" s="27" t="str">
        <f ca="1">IFERROR(__xludf.DUMMYFUNCTION("""COMPUTED_VALUE"""),"Aluguel")</f>
        <v>Aluguel</v>
      </c>
      <c r="BT44" s="27">
        <f ca="1">IFERROR(__xludf.DUMMYFUNCTION("""COMPUTED_VALUE"""),6)</f>
        <v>6</v>
      </c>
      <c r="BU44" s="27" t="str">
        <f ca="1">IFERROR(__xludf.DUMMYFUNCTION("""COMPUTED_VALUE"""),"Não tem")</f>
        <v>Não tem</v>
      </c>
      <c r="BV44" s="27"/>
      <c r="BW44" s="27" t="str">
        <f ca="1">IFERROR(__xludf.DUMMYFUNCTION("""COMPUTED_VALUE"""),"Não infornado")</f>
        <v>Não infornado</v>
      </c>
      <c r="BX44" s="21" t="str">
        <f ca="1">IFERROR(__xludf.DUMMYFUNCTION("""COMPUTED_VALUE"""),"https://instagram.com/ong_jardimsaobernardo?utm_medium=copy_link")</f>
        <v>https://instagram.com/ong_jardimsaobernardo?utm_medium=copy_link</v>
      </c>
      <c r="BY44" s="21" t="str">
        <f ca="1">IFERROR(__xludf.DUMMYFUNCTION("""COMPUTED_VALUE"""),"https://drive.google.com/open?id=1yvpmgaR7_4STXkh3M9QnI-8WTl4wX9hz")</f>
        <v>https://drive.google.com/open?id=1yvpmgaR7_4STXkh3M9QnI-8WTl4wX9hz</v>
      </c>
    </row>
    <row r="45" spans="1:77" ht="12.5" hidden="1" x14ac:dyDescent="0.25">
      <c r="A45" s="21" t="str">
        <f ca="1">IFERROR(__xludf.DUMMYFUNCTION("""COMPUTED_VALUE"""),"0014P00003YSp7UQAT")</f>
        <v>0014P00003YSp7UQAT</v>
      </c>
      <c r="B45" s="27" t="str">
        <f ca="1">IFERROR(__xludf.DUMMYFUNCTION("""COMPUTED_VALUE"""),"Fase Inicial")</f>
        <v>Fase Inicial</v>
      </c>
      <c r="C45" s="27" t="str">
        <f ca="1">IFERROR(__xludf.DUMMYFUNCTION("""COMPUTED_VALUE"""),"Fellow")</f>
        <v>Fellow</v>
      </c>
      <c r="D45" s="27" t="str">
        <f ca="1">IFERROR(__xludf.DUMMYFUNCTION("""COMPUTED_VALUE"""),"Ativo")</f>
        <v>Ativo</v>
      </c>
      <c r="E45" s="27" t="str">
        <f ca="1">IFERROR(__xludf.DUMMYFUNCTION("""COMPUTED_VALUE"""),"Associação comunitária de Agentes Ambientais")</f>
        <v>Associação comunitária de Agentes Ambientais</v>
      </c>
      <c r="F45" s="27" t="str">
        <f ca="1">IFERROR(__xludf.DUMMYFUNCTION("""COMPUTED_VALUE"""),"Elivânia")</f>
        <v>Elivânia</v>
      </c>
      <c r="G45" s="27" t="str">
        <f ca="1">IFERROR(__xludf.DUMMYFUNCTION("""COMPUTED_VALUE"""),"ACATAM")</f>
        <v>ACATAM</v>
      </c>
      <c r="H45" s="27" t="str">
        <f ca="1">IFERROR(__xludf.DUMMYFUNCTION("""COMPUTED_VALUE"""),"31.629.365/0001-03")</f>
        <v>31.629.365/0001-03</v>
      </c>
      <c r="I45" s="27" t="str">
        <f ca="1">IFERROR(__xludf.DUMMYFUNCTION("""COMPUTED_VALUE"""),"Tiago Bruno da Silva")</f>
        <v>Tiago Bruno da Silva</v>
      </c>
      <c r="J45" s="27" t="str">
        <f ca="1">IFERROR(__xludf.DUMMYFUNCTION("""COMPUTED_VALUE"""),"semearcampossales@gmail.com")</f>
        <v>semearcampossales@gmail.com</v>
      </c>
      <c r="K45" s="27" t="str">
        <f ca="1">IFERROR(__xludf.DUMMYFUNCTION("""COMPUTED_VALUE"""),"(88)99309-3510")</f>
        <v>(88)99309-3510</v>
      </c>
      <c r="L45" s="27" t="str">
        <f ca="1">IFERROR(__xludf.DUMMYFUNCTION("""COMPUTED_VALUE"""),"CE")</f>
        <v>CE</v>
      </c>
      <c r="M45" s="27" t="str">
        <f ca="1">IFERROR(__xludf.DUMMYFUNCTION("""COMPUTED_VALUE"""),"Travessa iguatu")</f>
        <v>Travessa iguatu</v>
      </c>
      <c r="N45" s="27" t="str">
        <f ca="1">IFERROR(__xludf.DUMMYFUNCTION("""COMPUTED_VALUE"""),"Ibura de baixo")</f>
        <v>Ibura de baixo</v>
      </c>
      <c r="O45" s="27">
        <f ca="1">IFERROR(__xludf.DUMMYFUNCTION("""COMPUTED_VALUE"""),80)</f>
        <v>80</v>
      </c>
      <c r="P45" s="27" t="str">
        <f ca="1">IFERROR(__xludf.DUMMYFUNCTION("""COMPUTED_VALUE"""),"Campos Sales")</f>
        <v>Campos Sales</v>
      </c>
      <c r="Q45" s="27"/>
      <c r="R45" s="27" t="str">
        <f ca="1">IFERROR(__xludf.DUMMYFUNCTION("""COMPUTED_VALUE"""),"63150-000")</f>
        <v>63150-000</v>
      </c>
      <c r="S45" s="27"/>
      <c r="T45" s="27" t="str">
        <f ca="1">IFERROR(__xludf.DUMMYFUNCTION("""COMPUTED_VALUE"""),"Educação; Saúde; Meio ambiente; Desenvolvimento comunitário; Outro(s)")</f>
        <v>Educação; Saúde; Meio ambiente; Desenvolvimento comunitário; Outro(s)</v>
      </c>
      <c r="U45" s="27" t="str">
        <f ca="1">IFERROR(__xludf.DUMMYFUNCTION("""COMPUTED_VALUE"""),"Jovens (18 aos 24 anos); Adultos")</f>
        <v>Jovens (18 aos 24 anos); Adultos</v>
      </c>
      <c r="V45" s="27" t="str">
        <f ca="1">IFERROR(__xludf.DUMMYFUNCTION("""COMPUTED_VALUE"""),"Moradores de Favelas; Pessoas em situação de rua; População LGBTQ+; Povos Indígenas; Quilombola; Afrodescendentes; Dependentes Químicos; Pessoas com Deficiência; Comunidade rural; Outros")</f>
        <v>Moradores de Favelas; Pessoas em situação de rua; População LGBTQ+; Povos Indígenas; Quilombola; Afrodescendentes; Dependentes Químicos; Pessoas com Deficiência; Comunidade rural; Outros</v>
      </c>
      <c r="W45" s="27">
        <f ca="1">IFERROR(__xludf.DUMMYFUNCTION("""COMPUTED_VALUE"""),3)</f>
        <v>3</v>
      </c>
      <c r="X45" s="27" t="str">
        <f ca="1">IFERROR(__xludf.DUMMYFUNCTION("""COMPUTED_VALUE"""),"Familias dos catadores  Adultos e criança e adolescentes das comunidades")</f>
        <v>Familias dos catadores  Adultos e criança e adolescentes das comunidades</v>
      </c>
      <c r="Y45" s="27"/>
      <c r="Z45" s="27">
        <f ca="1">IFERROR(__xludf.DUMMYFUNCTION("""COMPUTED_VALUE"""),210)</f>
        <v>210</v>
      </c>
      <c r="AA45" s="29">
        <f ca="1">IFERROR(__xludf.DUMMYFUNCTION("""COMPUTED_VALUE"""),43340)</f>
        <v>43340</v>
      </c>
      <c r="AB45" s="27" t="str">
        <f ca="1">IFERROR(__xludf.DUMMYFUNCTION("""COMPUTED_VALUE"""),"Sim")</f>
        <v>Sim</v>
      </c>
      <c r="AC45" s="27">
        <f ca="1">IFERROR(__xludf.DUMMYFUNCTION("""COMPUTED_VALUE"""),3)</f>
        <v>3</v>
      </c>
      <c r="AD45" s="27">
        <f ca="1">IFERROR(__xludf.DUMMYFUNCTION("""COMPUTED_VALUE"""),8)</f>
        <v>8</v>
      </c>
      <c r="AE45" s="27">
        <f ca="1">IFERROR(__xludf.DUMMYFUNCTION("""COMPUTED_VALUE"""),20)</f>
        <v>20</v>
      </c>
      <c r="AF45" s="27">
        <f ca="1">IFERROR(__xludf.DUMMYFUNCTION("""COMPUTED_VALUE"""),5)</f>
        <v>5</v>
      </c>
      <c r="AG45" s="27">
        <f ca="1">IFERROR(__xludf.DUMMYFUNCTION("""COMPUTED_VALUE"""),0)</f>
        <v>0</v>
      </c>
      <c r="AH45" s="27" t="str">
        <f ca="1">IFERROR(__xludf.DUMMYFUNCTION("""COMPUTED_VALUE"""),"Eventos/Ações para captação; Parceria iniciativa privada; Editais; Outro(s); Doações; Recursos próprios")</f>
        <v>Eventos/Ações para captação; Parceria iniciativa privada; Editais; Outro(s); Doações; Recursos próprios</v>
      </c>
      <c r="AI45" s="31">
        <f ca="1">IFERROR(__xludf.DUMMYFUNCTION("""COMPUTED_VALUE"""),1)</f>
        <v>1</v>
      </c>
      <c r="AJ45" s="27"/>
      <c r="AK45" s="27"/>
      <c r="AL45" s="21" t="str">
        <f ca="1">IFERROR(__xludf.DUMMYFUNCTION("""COMPUTED_VALUE"""),"0034P000045kxi5")</f>
        <v>0034P000045kxi5</v>
      </c>
      <c r="AM45" s="27" t="str">
        <f ca="1">IFERROR(__xludf.DUMMYFUNCTION("""COMPUTED_VALUE"""),"Tiago Bruno Da Silva")</f>
        <v>Tiago Bruno Da Silva</v>
      </c>
      <c r="AN45" s="27" t="str">
        <f ca="1">IFERROR(__xludf.DUMMYFUNCTION("""COMPUTED_VALUE"""),"Ativo")</f>
        <v>Ativo</v>
      </c>
      <c r="AO45" s="30">
        <f ca="1">IFERROR(__xludf.DUMMYFUNCTION("""COMPUTED_VALUE"""),44551)</f>
        <v>44551</v>
      </c>
      <c r="AP45" s="27">
        <f ca="1">IFERROR(__xludf.DUMMYFUNCTION("""COMPUTED_VALUE"""),9)</f>
        <v>9</v>
      </c>
      <c r="AQ45" s="27" t="str">
        <f ca="1">IFERROR(__xludf.DUMMYFUNCTION("""COMPUTED_VALUE"""),"Segundo Semestre 2021")</f>
        <v>Segundo Semestre 2021</v>
      </c>
      <c r="AR45" s="27" t="str">
        <f ca="1">IFERROR(__xludf.DUMMYFUNCTION("""COMPUTED_VALUE"""),"83125579vania@gmail.com")</f>
        <v>83125579vania@gmail.com</v>
      </c>
      <c r="AS45" s="27" t="str">
        <f ca="1">IFERROR(__xludf.DUMMYFUNCTION("""COMPUTED_VALUE"""),"(88)99309-3510")</f>
        <v>(88)99309-3510</v>
      </c>
      <c r="AT45" s="29">
        <f ca="1">IFERROR(__xludf.DUMMYFUNCTION("""COMPUTED_VALUE"""),32991)</f>
        <v>32991</v>
      </c>
      <c r="AU45" s="27">
        <f ca="1">IFERROR(__xludf.DUMMYFUNCTION("""COMPUTED_VALUE"""),32)</f>
        <v>32</v>
      </c>
      <c r="AV45" s="27">
        <f ca="1">IFERROR(__xludf.DUMMYFUNCTION("""COMPUTED_VALUE"""),5785614332)</f>
        <v>5785614332</v>
      </c>
      <c r="AW45" s="27">
        <f ca="1">IFERROR(__xludf.DUMMYFUNCTION("""COMPUTED_VALUE"""),20071779633)</f>
        <v>20071779633</v>
      </c>
      <c r="AX45" s="27"/>
      <c r="AY45" s="27"/>
      <c r="AZ45" s="27" t="str">
        <f ca="1">IFERROR(__xludf.DUMMYFUNCTION("""COMPUTED_VALUE"""),"G")</f>
        <v>G</v>
      </c>
      <c r="BA45" s="27" t="str">
        <f ca="1">IFERROR(__xludf.DUMMYFUNCTION("""COMPUTED_VALUE"""),"Preta")</f>
        <v>Preta</v>
      </c>
      <c r="BB45" s="27" t="str">
        <f ca="1">IFERROR(__xludf.DUMMYFUNCTION("""COMPUTED_VALUE"""),"Homem, transgênero")</f>
        <v>Homem, transgênero</v>
      </c>
      <c r="BC45" s="27" t="str">
        <f ca="1">IFERROR(__xludf.DUMMYFUNCTION("""COMPUTED_VALUE"""),"Sim")</f>
        <v>Sim</v>
      </c>
      <c r="BD45" s="27" t="str">
        <f ca="1">IFERROR(__xludf.DUMMYFUNCTION("""COMPUTED_VALUE"""),"Tiago Bruno da Silva, Negro, brasileiro, formado em saúde pública pela UVA, como especialidade em gestão Humana, estudante de liderança pela universidade Falcons, ceo da educação ambiental, ambientalista, e em busca de novos conhecimentos.")</f>
        <v>Tiago Bruno da Silva, Negro, brasileiro, formado em saúde pública pela UVA, como especialidade em gestão Humana, estudante de liderança pela universidade Falcons, ceo da educação ambiental, ambientalista, e em busca de novos conhecimentos.</v>
      </c>
      <c r="BE45" s="27"/>
      <c r="BF45" s="27" t="str">
        <f ca="1">IFERROR(__xludf.DUMMYFUNCTION("""COMPUTED_VALUE"""),"Homossexual")</f>
        <v>Homossexual</v>
      </c>
      <c r="BG45" s="27" t="str">
        <f ca="1">IFERROR(__xludf.DUMMYFUNCTION("""COMPUTED_VALUE"""),"Ensino Superior - Incompleto")</f>
        <v>Ensino Superior - Incompleto</v>
      </c>
      <c r="BH45" s="27" t="str">
        <f ca="1">IFERROR(__xludf.DUMMYFUNCTION("""COMPUTED_VALUE"""),"Privada")</f>
        <v>Privada</v>
      </c>
      <c r="BI45" s="27" t="str">
        <f ca="1">IFERROR(__xludf.DUMMYFUNCTION("""COMPUTED_VALUE"""),"Graduação")</f>
        <v>Graduação</v>
      </c>
      <c r="BJ45" s="27" t="str">
        <f ca="1">IFERROR(__xludf.DUMMYFUNCTION("""COMPUTED_VALUE"""),"Público")</f>
        <v>Público</v>
      </c>
      <c r="BK45" s="27" t="str">
        <f ca="1">IFERROR(__xludf.DUMMYFUNCTION("""COMPUTED_VALUE"""),"Rua da Lavanderia")</f>
        <v>Rua da Lavanderia</v>
      </c>
      <c r="BL45" s="27">
        <f ca="1">IFERROR(__xludf.DUMMYFUNCTION("""COMPUTED_VALUE"""),94)</f>
        <v>94</v>
      </c>
      <c r="BM45" s="27" t="str">
        <f ca="1">IFERROR(__xludf.DUMMYFUNCTION("""COMPUTED_VALUE"""),"Casa")</f>
        <v>Casa</v>
      </c>
      <c r="BN45" s="27" t="str">
        <f ca="1">IFERROR(__xludf.DUMMYFUNCTION("""COMPUTED_VALUE"""),"Campos Sales")</f>
        <v>Campos Sales</v>
      </c>
      <c r="BO45" s="27" t="str">
        <f ca="1">IFERROR(__xludf.DUMMYFUNCTION("""COMPUTED_VALUE"""),"63150-000")</f>
        <v>63150-000</v>
      </c>
      <c r="BP45" s="27" t="str">
        <f ca="1">IFERROR(__xludf.DUMMYFUNCTION("""COMPUTED_VALUE"""),"CE")</f>
        <v>CE</v>
      </c>
      <c r="BQ45" s="27" t="str">
        <f ca="1">IFERROR(__xludf.DUMMYFUNCTION("""COMPUTED_VALUE"""),"Entre 1 até 3 salários mínimos")</f>
        <v>Entre 1 até 3 salários mínimos</v>
      </c>
      <c r="BR45" s="27" t="str">
        <f ca="1">IFERROR(__xludf.DUMMYFUNCTION("""COMPUTED_VALUE"""),"Trabalho informal")</f>
        <v>Trabalho informal</v>
      </c>
      <c r="BS45" s="27" t="str">
        <f ca="1">IFERROR(__xludf.DUMMYFUNCTION("""COMPUTED_VALUE"""),"Aluguel")</f>
        <v>Aluguel</v>
      </c>
      <c r="BT45" s="27">
        <f ca="1">IFERROR(__xludf.DUMMYFUNCTION("""COMPUTED_VALUE"""),3)</f>
        <v>3</v>
      </c>
      <c r="BU45" s="27" t="str">
        <f ca="1">IFERROR(__xludf.DUMMYFUNCTION("""COMPUTED_VALUE"""),"Não tem")</f>
        <v>Não tem</v>
      </c>
      <c r="BV45" s="27"/>
      <c r="BW45" s="27"/>
      <c r="BX45" s="21" t="str">
        <f ca="1">IFERROR(__xludf.DUMMYFUNCTION("""COMPUTED_VALUE"""),"https://www.instagram.com/thiagobruno_medeirosilva/")</f>
        <v>https://www.instagram.com/thiagobruno_medeirosilva/</v>
      </c>
      <c r="BY45" s="21" t="str">
        <f ca="1">IFERROR(__xludf.DUMMYFUNCTION("""COMPUTED_VALUE"""),"https://drive.google.com/open?id=1Ece9Gn3YjBjv7zPMv3WJzuOfuTsEInmy")</f>
        <v>https://drive.google.com/open?id=1Ece9Gn3YjBjv7zPMv3WJzuOfuTsEInmy</v>
      </c>
    </row>
    <row r="46" spans="1:77" ht="12.5" hidden="1" x14ac:dyDescent="0.25">
      <c r="A46" s="21" t="str">
        <f ca="1">IFERROR(__xludf.DUMMYFUNCTION("""COMPUTED_VALUE"""),"0014X00002VKCvAQAX")</f>
        <v>0014X00002VKCvAQAX</v>
      </c>
      <c r="B46" s="27" t="str">
        <f ca="1">IFERROR(__xludf.DUMMYFUNCTION("""COMPUTED_VALUE"""),"Fase Inicial")</f>
        <v>Fase Inicial</v>
      </c>
      <c r="C46" s="27" t="str">
        <f ca="1">IFERROR(__xludf.DUMMYFUNCTION("""COMPUTED_VALUE"""),"Fellow")</f>
        <v>Fellow</v>
      </c>
      <c r="D46" s="27" t="str">
        <f ca="1">IFERROR(__xludf.DUMMYFUNCTION("""COMPUTED_VALUE"""),"Ativo")</f>
        <v>Ativo</v>
      </c>
      <c r="E46" s="27" t="str">
        <f ca="1">IFERROR(__xludf.DUMMYFUNCTION("""COMPUTED_VALUE"""),"Associação Comunitária de Construção Novo Amanhecer")</f>
        <v>Associação Comunitária de Construção Novo Amanhecer</v>
      </c>
      <c r="F46" s="27" t="str">
        <f ca="1">IFERROR(__xludf.DUMMYFUNCTION("""COMPUTED_VALUE"""),"Tâmara")</f>
        <v>Tâmara</v>
      </c>
      <c r="G46" s="27" t="str">
        <f ca="1">IFERROR(__xludf.DUMMYFUNCTION("""COMPUTED_VALUE"""),"NOVO AMANHECER")</f>
        <v>NOVO AMANHECER</v>
      </c>
      <c r="H46" s="27" t="str">
        <f ca="1">IFERROR(__xludf.DUMMYFUNCTION("""COMPUTED_VALUE"""),"03.942.369/0001-01")</f>
        <v>03.942.369/0001-01</v>
      </c>
      <c r="I46" s="27" t="str">
        <f ca="1">IFERROR(__xludf.DUMMYFUNCTION("""COMPUTED_VALUE"""),"EMERSON CARLOS BISPO RIBEIRO")</f>
        <v>EMERSON CARLOS BISPO RIBEIRO</v>
      </c>
      <c r="J46" s="27" t="str">
        <f ca="1">IFERROR(__xludf.DUMMYFUNCTION("""COMPUTED_VALUE"""),"associacaocomunitaria78@gmail.com")</f>
        <v>associacaocomunitaria78@gmail.com</v>
      </c>
      <c r="K46" s="27" t="str">
        <f ca="1">IFERROR(__xludf.DUMMYFUNCTION("""COMPUTED_VALUE"""),"(11)98143-1401")</f>
        <v>(11)98143-1401</v>
      </c>
      <c r="L46" s="27" t="str">
        <f ca="1">IFERROR(__xludf.DUMMYFUNCTION("""COMPUTED_VALUE"""),"SP")</f>
        <v>SP</v>
      </c>
      <c r="M46" s="27" t="str">
        <f ca="1">IFERROR(__xludf.DUMMYFUNCTION("""COMPUTED_VALUE"""),"Rua: Do Cobre 299")</f>
        <v>Rua: Do Cobre 299</v>
      </c>
      <c r="N46" s="27" t="str">
        <f ca="1">IFERROR(__xludf.DUMMYFUNCTION("""COMPUTED_VALUE"""),"Cidade Tiradentes")</f>
        <v>Cidade Tiradentes</v>
      </c>
      <c r="O46" s="27">
        <f ca="1">IFERROR(__xludf.DUMMYFUNCTION("""COMPUTED_VALUE"""),299)</f>
        <v>299</v>
      </c>
      <c r="P46" s="27" t="str">
        <f ca="1">IFERROR(__xludf.DUMMYFUNCTION("""COMPUTED_VALUE"""),"São Paulo")</f>
        <v>São Paulo</v>
      </c>
      <c r="Q46" s="27"/>
      <c r="R46" s="27" t="str">
        <f ca="1">IFERROR(__xludf.DUMMYFUNCTION("""COMPUTED_VALUE"""),"08490-003")</f>
        <v>08490-003</v>
      </c>
      <c r="S46" s="27" t="str">
        <f ca="1">IFERROR(__xludf.DUMMYFUNCTION("""COMPUTED_VALUE"""),"Não atendemos")</f>
        <v>Não atendemos</v>
      </c>
      <c r="T46" s="27"/>
      <c r="U46"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46" s="27" t="str">
        <f ca="1">IFERROR(__xludf.DUMMYFUNCTION("""COMPUTED_VALUE"""),"Moradores de Favelas, Pessoas em situação de rua, População LGBTQ+, Povos Indígenas, Dependentes Químicos, Pessoas com Deficiência, Egressos sistema carcerário, Outros")</f>
        <v>Moradores de Favelas, Pessoas em situação de rua, População LGBTQ+, Povos Indígenas, Dependentes Químicos, Pessoas com Deficiência, Egressos sistema carcerário, Outros</v>
      </c>
      <c r="W46" s="27">
        <f ca="1">IFERROR(__xludf.DUMMYFUNCTION("""COMPUTED_VALUE"""),2000)</f>
        <v>2000</v>
      </c>
      <c r="X46" s="27" t="str">
        <f ca="1">IFERROR(__xludf.DUMMYFUNCTION("""COMPUTED_VALUE"""),"Atendo também pessoas especiais.")</f>
        <v>Atendo também pessoas especiais.</v>
      </c>
      <c r="Y46" s="27"/>
      <c r="Z46" s="27">
        <f ca="1">IFERROR(__xludf.DUMMYFUNCTION("""COMPUTED_VALUE"""),35000)</f>
        <v>35000</v>
      </c>
      <c r="AA46" s="29">
        <f ca="1">IFERROR(__xludf.DUMMYFUNCTION("""COMPUTED_VALUE"""),36727)</f>
        <v>36727</v>
      </c>
      <c r="AB46" s="27" t="str">
        <f ca="1">IFERROR(__xludf.DUMMYFUNCTION("""COMPUTED_VALUE"""),"Sim")</f>
        <v>Sim</v>
      </c>
      <c r="AC46" s="27">
        <f ca="1">IFERROR(__xludf.DUMMYFUNCTION("""COMPUTED_VALUE"""),0)</f>
        <v>0</v>
      </c>
      <c r="AD46" s="27">
        <f ca="1">IFERROR(__xludf.DUMMYFUNCTION("""COMPUTED_VALUE"""),4000)</f>
        <v>4000</v>
      </c>
      <c r="AE46" s="27">
        <f ca="1">IFERROR(__xludf.DUMMYFUNCTION("""COMPUTED_VALUE"""),5)</f>
        <v>5</v>
      </c>
      <c r="AF46" s="27">
        <f ca="1">IFERROR(__xludf.DUMMYFUNCTION("""COMPUTED_VALUE"""),8)</f>
        <v>8</v>
      </c>
      <c r="AG46" s="27">
        <f ca="1">IFERROR(__xludf.DUMMYFUNCTION("""COMPUTED_VALUE"""),3)</f>
        <v>3</v>
      </c>
      <c r="AH46" s="27" t="str">
        <f ca="1">IFERROR(__xludf.DUMMYFUNCTION("""COMPUTED_VALUE"""),"Eventos/Ações para captação, Plataforma doação online - Pessoa Física, Doações")</f>
        <v>Eventos/Ações para captação, Plataforma doação online - Pessoa Física, Doações</v>
      </c>
      <c r="AI46" s="27">
        <f ca="1">IFERROR(__xludf.DUMMYFUNCTION("""COMPUTED_VALUE"""),25)</f>
        <v>25</v>
      </c>
      <c r="AJ46" s="27" t="str">
        <f ca="1">IFERROR(__xludf.DUMMYFUNCTION("""COMPUTED_VALUE"""),"Vamos iniciar esse ano")</f>
        <v>Vamos iniciar esse ano</v>
      </c>
      <c r="AK46" s="27"/>
      <c r="AL46" s="21" t="str">
        <f ca="1">IFERROR(__xludf.DUMMYFUNCTION("""COMPUTED_VALUE"""),"0034X0000380O5B")</f>
        <v>0034X0000380O5B</v>
      </c>
      <c r="AM46" s="27" t="str">
        <f ca="1">IFERROR(__xludf.DUMMYFUNCTION("""COMPUTED_VALUE"""),"Dos reis fernandes")</f>
        <v>Dos reis fernandes</v>
      </c>
      <c r="AN46" s="27" t="str">
        <f ca="1">IFERROR(__xludf.DUMMYFUNCTION("""COMPUTED_VALUE"""),"Ativo")</f>
        <v>Ativo</v>
      </c>
      <c r="AO46" s="27"/>
      <c r="AP46" s="27"/>
      <c r="AQ46" s="27" t="str">
        <f ca="1">IFERROR(__xludf.DUMMYFUNCTION("""COMPUTED_VALUE"""),"Primeiro Semestre 2022")</f>
        <v>Primeiro Semestre 2022</v>
      </c>
      <c r="AR46" s="27" t="str">
        <f ca="1">IFERROR(__xludf.DUMMYFUNCTION("""COMPUTED_VALUE"""),"tamarafernandes45@gmail.com")</f>
        <v>tamarafernandes45@gmail.com</v>
      </c>
      <c r="AS46" s="27">
        <f ca="1">IFERROR(__xludf.DUMMYFUNCTION("""COMPUTED_VALUE"""),11981431401)</f>
        <v>11981431401</v>
      </c>
      <c r="AT46" s="29">
        <f ca="1">IFERROR(__xludf.DUMMYFUNCTION("""COMPUTED_VALUE"""),30369)</f>
        <v>30369</v>
      </c>
      <c r="AU46" s="27">
        <f ca="1">IFERROR(__xludf.DUMMYFUNCTION("""COMPUTED_VALUE"""),39)</f>
        <v>39</v>
      </c>
      <c r="AV46" s="27">
        <f ca="1">IFERROR(__xludf.DUMMYFUNCTION("""COMPUTED_VALUE"""),31432534835)</f>
        <v>31432534835</v>
      </c>
      <c r="AW46" s="27">
        <f ca="1">IFERROR(__xludf.DUMMYFUNCTION("""COMPUTED_VALUE"""),347146314)</f>
        <v>347146314</v>
      </c>
      <c r="AX46" s="27"/>
      <c r="AY46" s="27"/>
      <c r="AZ46" s="27" t="str">
        <f ca="1">IFERROR(__xludf.DUMMYFUNCTION("""COMPUTED_VALUE"""),"M")</f>
        <v>M</v>
      </c>
      <c r="BA46" s="27" t="str">
        <f ca="1">IFERROR(__xludf.DUMMYFUNCTION("""COMPUTED_VALUE"""),"Branca")</f>
        <v>Branca</v>
      </c>
      <c r="BB46" s="27"/>
      <c r="BC46" s="27"/>
      <c r="BD46" s="27" t="str">
        <f ca="1">IFERROR(__xludf.DUMMYFUNCTION("""COMPUTED_VALUE"""),"Sou a Tamara tenho 38 anos sou casada tenho 04 filhos* estou na área social já deis do meus 14 anos pois acompanho o trabalho de minha mães* na ONG e hoje eu sou a representante legal da ONG dando continuidade ao trabalho social.")</f>
        <v>Sou a Tamara tenho 38 anos sou casada tenho 04 filhos* estou na área social já deis do meus 14 anos pois acompanho o trabalho de minha mães* na ONG e hoje eu sou a representante legal da ONG dando continuidade ao trabalho social.</v>
      </c>
      <c r="BE46" s="27" t="str">
        <f ca="1">IFERROR(__xludf.DUMMYFUNCTION("""COMPUTED_VALUE"""),"Feminino")</f>
        <v>Feminino</v>
      </c>
      <c r="BF46" s="27" t="str">
        <f ca="1">IFERROR(__xludf.DUMMYFUNCTION("""COMPUTED_VALUE"""),"Heterossexual")</f>
        <v>Heterossexual</v>
      </c>
      <c r="BG46" s="27"/>
      <c r="BH46" s="27" t="str">
        <f ca="1">IFERROR(__xludf.DUMMYFUNCTION("""COMPUTED_VALUE"""),"Público")</f>
        <v>Público</v>
      </c>
      <c r="BI46" s="27"/>
      <c r="BJ46" s="27"/>
      <c r="BK46" s="27" t="str">
        <f ca="1">IFERROR(__xludf.DUMMYFUNCTION("""COMPUTED_VALUE"""),"Rua: Marino Silvani")</f>
        <v>Rua: Marino Silvani</v>
      </c>
      <c r="BL46" s="27">
        <f ca="1">IFERROR(__xludf.DUMMYFUNCTION("""COMPUTED_VALUE"""),22)</f>
        <v>22</v>
      </c>
      <c r="BM46" s="27"/>
      <c r="BN46" s="27"/>
      <c r="BO46" s="27">
        <f ca="1">IFERROR(__xludf.DUMMYFUNCTION("""COMPUTED_VALUE"""),8280700)</f>
        <v>8280700</v>
      </c>
      <c r="BP46" s="27" t="str">
        <f ca="1">IFERROR(__xludf.DUMMYFUNCTION("""COMPUTED_VALUE"""),"SP")</f>
        <v>SP</v>
      </c>
      <c r="BQ46" s="27" t="str">
        <f ca="1">IFERROR(__xludf.DUMMYFUNCTION("""COMPUTED_VALUE"""),"Entre 1 até 3 salários mínimos")</f>
        <v>Entre 1 até 3 salários mínimos</v>
      </c>
      <c r="BR46" s="27" t="str">
        <f ca="1">IFERROR(__xludf.DUMMYFUNCTION("""COMPUTED_VALUE"""),"Desempregado")</f>
        <v>Desempregado</v>
      </c>
      <c r="BS46" s="27" t="str">
        <f ca="1">IFERROR(__xludf.DUMMYFUNCTION("""COMPUTED_VALUE"""),"Casa própria")</f>
        <v>Casa própria</v>
      </c>
      <c r="BT46" s="27">
        <f ca="1">IFERROR(__xludf.DUMMYFUNCTION("""COMPUTED_VALUE"""),4)</f>
        <v>4</v>
      </c>
      <c r="BU46" s="27" t="str">
        <f ca="1">IFERROR(__xludf.DUMMYFUNCTION("""COMPUTED_VALUE"""),"Não tem")</f>
        <v>Não tem</v>
      </c>
      <c r="BV46" s="27" t="str">
        <f ca="1">IFERROR(__xludf.DUMMYFUNCTION("""COMPUTED_VALUE"""),"Não")</f>
        <v>Não</v>
      </c>
      <c r="BW46" s="27"/>
      <c r="BX46" s="21" t="str">
        <f ca="1">IFERROR(__xludf.DUMMYFUNCTION("""COMPUTED_VALUE"""),"https://instagram.com/tamy7827?utm_medium=copy_link")</f>
        <v>https://instagram.com/tamy7827?utm_medium=copy_link</v>
      </c>
      <c r="BY46" s="21" t="str">
        <f ca="1">IFERROR(__xludf.DUMMYFUNCTION("""COMPUTED_VALUE"""),"https://drive.google.com/open?id=1hCbRZXvX9Iv2HQy29ZNQtYNkvqsc3ofA")</f>
        <v>https://drive.google.com/open?id=1hCbRZXvX9Iv2HQy29ZNQtYNkvqsc3ofA</v>
      </c>
    </row>
    <row r="47" spans="1:77" ht="12.5" hidden="1" x14ac:dyDescent="0.25">
      <c r="A47" s="21" t="str">
        <f ca="1">IFERROR(__xludf.DUMMYFUNCTION("""COMPUTED_VALUE"""),"0014P00003YSp9FQAT")</f>
        <v>0014P00003YSp9FQAT</v>
      </c>
      <c r="B47" s="27" t="str">
        <f ca="1">IFERROR(__xludf.DUMMYFUNCTION("""COMPUTED_VALUE"""),"Fase Inicial")</f>
        <v>Fase Inicial</v>
      </c>
      <c r="C47" s="27" t="str">
        <f ca="1">IFERROR(__xludf.DUMMYFUNCTION("""COMPUTED_VALUE"""),"Fellow")</f>
        <v>Fellow</v>
      </c>
      <c r="D47" s="27" t="str">
        <f ca="1">IFERROR(__xludf.DUMMYFUNCTION("""COMPUTED_VALUE"""),"Ativo")</f>
        <v>Ativo</v>
      </c>
      <c r="E47" s="27" t="str">
        <f ca="1">IFERROR(__xludf.DUMMYFUNCTION("""COMPUTED_VALUE"""),"Associação Comunitária Maria João de Deus")</f>
        <v>Associação Comunitária Maria João de Deus</v>
      </c>
      <c r="F47" s="27" t="str">
        <f ca="1">IFERROR(__xludf.DUMMYFUNCTION("""COMPUTED_VALUE"""),"Douglas")</f>
        <v>Douglas</v>
      </c>
      <c r="G47" s="27"/>
      <c r="H47" s="27" t="str">
        <f ca="1">IFERROR(__xludf.DUMMYFUNCTION("""COMPUTED_VALUE"""),"63.893.622/0001-06")</f>
        <v>63.893.622/0001-06</v>
      </c>
      <c r="I47" s="27" t="str">
        <f ca="1">IFERROR(__xludf.DUMMYFUNCTION("""COMPUTED_VALUE"""),"José Barlafante Scavazini")</f>
        <v>José Barlafante Scavazini</v>
      </c>
      <c r="J47" s="27" t="str">
        <f ca="1">IFERROR(__xludf.DUMMYFUNCTION("""COMPUTED_VALUE"""),"maria.joaodedeus@hotmail.com")</f>
        <v>maria.joaodedeus@hotmail.com</v>
      </c>
      <c r="K47" s="27" t="str">
        <f ca="1">IFERROR(__xludf.DUMMYFUNCTION("""COMPUTED_VALUE"""),"(17)99132-6851")</f>
        <v>(17)99132-6851</v>
      </c>
      <c r="L47" s="27" t="str">
        <f ca="1">IFERROR(__xludf.DUMMYFUNCTION("""COMPUTED_VALUE"""),"SP")</f>
        <v>SP</v>
      </c>
      <c r="M47" s="27" t="str">
        <f ca="1">IFERROR(__xludf.DUMMYFUNCTION("""COMPUTED_VALUE"""),"Avenida Jesus Torrecilha")</f>
        <v>Avenida Jesus Torrecilha</v>
      </c>
      <c r="N47" s="27" t="str">
        <f ca="1">IFERROR(__xludf.DUMMYFUNCTION("""COMPUTED_VALUE"""),"Jardim Ipanema")</f>
        <v>Jardim Ipanema</v>
      </c>
      <c r="O47" s="27">
        <f ca="1">IFERROR(__xludf.DUMMYFUNCTION("""COMPUTED_VALUE"""),1338)</f>
        <v>1338</v>
      </c>
      <c r="P47" s="27" t="str">
        <f ca="1">IFERROR(__xludf.DUMMYFUNCTION("""COMPUTED_VALUE"""),"Fernandópolis")</f>
        <v>Fernandópolis</v>
      </c>
      <c r="Q47" s="27"/>
      <c r="R47" s="27" t="str">
        <f ca="1">IFERROR(__xludf.DUMMYFUNCTION("""COMPUTED_VALUE"""),"15612-416")</f>
        <v>15612-416</v>
      </c>
      <c r="S47" s="27"/>
      <c r="T47" s="27" t="str">
        <f ca="1">IFERROR(__xludf.DUMMYFUNCTION("""COMPUTED_VALUE"""),"Esporte; Assistência Social; Cultura; Empreendedorismo; Meio ambiente; Defesa de Direitos; Desenvolvimento comunitário")</f>
        <v>Esporte; Assistência Social; Cultura; Empreendedorismo; Meio ambiente; Defesa de Direitos; Desenvolvimento comunitário</v>
      </c>
      <c r="U47" s="27" t="str">
        <f ca="1">IFERROR(__xludf.DUMMYFUNCTION("""COMPUTED_VALUE"""),"Bebês (0 a 1 ano e 6 meses); Crianças bem pequenas (1 ano e 7 meses até 3 anos e 11 meses); Crianças pequenas (4 anos a 5 anos e 11 meses); Crianças (6 a 12 anos); Adolescentes (12 aos 18 anos); Adultos")</f>
        <v>Bebês (0 a 1 ano e 6 meses); Crianças bem pequenas (1 ano e 7 meses até 3 anos e 11 meses); Crianças pequenas (4 anos a 5 anos e 11 meses); Crianças (6 a 12 anos); Adolescentes (12 aos 18 anos); Adultos</v>
      </c>
      <c r="V47" s="27" t="str">
        <f ca="1">IFERROR(__xludf.DUMMYFUNCTION("""COMPUTED_VALUE"""),"Moradores de Favelas")</f>
        <v>Moradores de Favelas</v>
      </c>
      <c r="W47" s="27">
        <f ca="1">IFERROR(__xludf.DUMMYFUNCTION("""COMPUTED_VALUE"""),3)</f>
        <v>3</v>
      </c>
      <c r="X47" s="27" t="str">
        <f ca="1">IFERROR(__xludf.DUMMYFUNCTION("""COMPUTED_VALUE"""),"São crianças adolescentes e seus familiares em situação de vulnerabilidade")</f>
        <v>São crianças adolescentes e seus familiares em situação de vulnerabilidade</v>
      </c>
      <c r="Y47" s="27"/>
      <c r="Z47" s="27">
        <f ca="1">IFERROR(__xludf.DUMMYFUNCTION("""COMPUTED_VALUE"""),200)</f>
        <v>200</v>
      </c>
      <c r="AA47" s="29">
        <f ca="1">IFERROR(__xludf.DUMMYFUNCTION("""COMPUTED_VALUE"""),33147)</f>
        <v>33147</v>
      </c>
      <c r="AB47" s="27" t="str">
        <f ca="1">IFERROR(__xludf.DUMMYFUNCTION("""COMPUTED_VALUE"""),"Sim")</f>
        <v>Sim</v>
      </c>
      <c r="AC47" s="27">
        <f ca="1">IFERROR(__xludf.DUMMYFUNCTION("""COMPUTED_VALUE"""),7)</f>
        <v>7</v>
      </c>
      <c r="AD47" s="27">
        <f ca="1">IFERROR(__xludf.DUMMYFUNCTION("""COMPUTED_VALUE"""),7)</f>
        <v>7</v>
      </c>
      <c r="AE47" s="27">
        <f ca="1">IFERROR(__xludf.DUMMYFUNCTION("""COMPUTED_VALUE"""),3)</f>
        <v>3</v>
      </c>
      <c r="AF47" s="27">
        <f ca="1">IFERROR(__xludf.DUMMYFUNCTION("""COMPUTED_VALUE"""),1)</f>
        <v>1</v>
      </c>
      <c r="AG47" s="27">
        <f ca="1">IFERROR(__xludf.DUMMYFUNCTION("""COMPUTED_VALUE"""),4)</f>
        <v>4</v>
      </c>
      <c r="AH47" s="27" t="str">
        <f ca="1">IFERROR(__xludf.DUMMYFUNCTION("""COMPUTED_VALUE"""),"Negócio Social; Convênio Público; Eventos/Ações para captação; Editais; Doações; Recursos próprios")</f>
        <v>Negócio Social; Convênio Público; Eventos/Ações para captação; Editais; Doações; Recursos próprios</v>
      </c>
      <c r="AI47" s="27" t="str">
        <f ca="1">IFERROR(__xludf.DUMMYFUNCTION("""COMPUTED_VALUE"""),"50% CMAS e CMDCA,  30% Negócios Social,  20% Eventos  e 10% Doadores")</f>
        <v>50% CMAS e CMDCA,  30% Negócios Social,  20% Eventos  e 10% Doadores</v>
      </c>
      <c r="AJ47" s="27"/>
      <c r="AK47" s="27"/>
      <c r="AL47" s="21" t="str">
        <f ca="1">IFERROR(__xludf.DUMMYFUNCTION("""COMPUTED_VALUE"""),"0034P000045kxjr")</f>
        <v>0034P000045kxjr</v>
      </c>
      <c r="AM47" s="27" t="str">
        <f ca="1">IFERROR(__xludf.DUMMYFUNCTION("""COMPUTED_VALUE"""),"Costa Martins")</f>
        <v>Costa Martins</v>
      </c>
      <c r="AN47" s="27" t="str">
        <f ca="1">IFERROR(__xludf.DUMMYFUNCTION("""COMPUTED_VALUE"""),"Ativo")</f>
        <v>Ativo</v>
      </c>
      <c r="AO47" s="30">
        <f ca="1">IFERROR(__xludf.DUMMYFUNCTION("""COMPUTED_VALUE"""),44551)</f>
        <v>44551</v>
      </c>
      <c r="AP47" s="27">
        <f ca="1">IFERROR(__xludf.DUMMYFUNCTION("""COMPUTED_VALUE"""),9)</f>
        <v>9</v>
      </c>
      <c r="AQ47" s="27" t="str">
        <f ca="1">IFERROR(__xludf.DUMMYFUNCTION("""COMPUTED_VALUE"""),"Segundo Semestre 2021")</f>
        <v>Segundo Semestre 2021</v>
      </c>
      <c r="AR47" s="27" t="str">
        <f ca="1">IFERROR(__xludf.DUMMYFUNCTION("""COMPUTED_VALUE"""),"douglascostamartins75@gmail.com")</f>
        <v>douglascostamartins75@gmail.com</v>
      </c>
      <c r="AS47" s="27" t="str">
        <f ca="1">IFERROR(__xludf.DUMMYFUNCTION("""COMPUTED_VALUE"""),"(17)99132-6851")</f>
        <v>(17)99132-6851</v>
      </c>
      <c r="AT47" s="29">
        <f ca="1">IFERROR(__xludf.DUMMYFUNCTION("""COMPUTED_VALUE"""),27398)</f>
        <v>27398</v>
      </c>
      <c r="AU47" s="27">
        <f ca="1">IFERROR(__xludf.DUMMYFUNCTION("""COMPUTED_VALUE"""),47)</f>
        <v>47</v>
      </c>
      <c r="AV47" s="27">
        <f ca="1">IFERROR(__xludf.DUMMYFUNCTION("""COMPUTED_VALUE"""),16972547806)</f>
        <v>16972547806</v>
      </c>
      <c r="AW47" s="27">
        <f ca="1">IFERROR(__xludf.DUMMYFUNCTION("""COMPUTED_VALUE"""),252836261)</f>
        <v>252836261</v>
      </c>
      <c r="AX47" s="27"/>
      <c r="AY47" s="27"/>
      <c r="AZ47" s="27" t="str">
        <f ca="1">IFERROR(__xludf.DUMMYFUNCTION("""COMPUTED_VALUE"""),"GG")</f>
        <v>GG</v>
      </c>
      <c r="BA47" s="27" t="str">
        <f ca="1">IFERROR(__xludf.DUMMYFUNCTION("""COMPUTED_VALUE"""),"Branca")</f>
        <v>Branca</v>
      </c>
      <c r="BB47" s="27" t="str">
        <f ca="1">IFERROR(__xludf.DUMMYFUNCTION("""COMPUTED_VALUE"""),"Outro(s)")</f>
        <v>Outro(s)</v>
      </c>
      <c r="BC47" s="27" t="str">
        <f ca="1">IFERROR(__xludf.DUMMYFUNCTION("""COMPUTED_VALUE"""),"Não")</f>
        <v>Não</v>
      </c>
      <c r="BD47" s="27" t="str">
        <f ca="1">IFERROR(__xludf.DUMMYFUNCTION("""COMPUTED_VALUE"""),"Sou Douglas casado com Maria do Carmo, pai do Lucas Isabella e Pedro Emmanuel, Engenheiro Agrônomo e Líder Social na Associação Comunitária Maria João de Deus no interior de São Paulo,  atuamos com crianças de zero a quinze anos na periferia de Fernandópo"&amp;"lis.")</f>
        <v>Sou Douglas casado com Maria do Carmo, pai do Lucas Isabella e Pedro Emmanuel, Engenheiro Agrônomo e Líder Social na Associação Comunitária Maria João de Deus no interior de São Paulo,  atuamos com crianças de zero a quinze anos na periferia de Fernandópolis.</v>
      </c>
      <c r="BE47" s="27"/>
      <c r="BF47" s="27" t="str">
        <f ca="1">IFERROR(__xludf.DUMMYFUNCTION("""COMPUTED_VALUE"""),"Heterossexual")</f>
        <v>Heterossexual</v>
      </c>
      <c r="BG47" s="27" t="str">
        <f ca="1">IFERROR(__xludf.DUMMYFUNCTION("""COMPUTED_VALUE"""),"Ensino Superior - Completo")</f>
        <v>Ensino Superior - Completo</v>
      </c>
      <c r="BH47" s="27" t="str">
        <f ca="1">IFERROR(__xludf.DUMMYFUNCTION("""COMPUTED_VALUE"""),"Privado")</f>
        <v>Privado</v>
      </c>
      <c r="BI47" s="27" t="str">
        <f ca="1">IFERROR(__xludf.DUMMYFUNCTION("""COMPUTED_VALUE"""),"Mestrado")</f>
        <v>Mestrado</v>
      </c>
      <c r="BJ47" s="27" t="str">
        <f ca="1">IFERROR(__xludf.DUMMYFUNCTION("""COMPUTED_VALUE"""),"Privado")</f>
        <v>Privado</v>
      </c>
      <c r="BK47" s="27" t="str">
        <f ca="1">IFERROR(__xludf.DUMMYFUNCTION("""COMPUTED_VALUE"""),"Artibano Mota")</f>
        <v>Artibano Mota</v>
      </c>
      <c r="BL47" s="27">
        <f ca="1">IFERROR(__xludf.DUMMYFUNCTION("""COMPUTED_VALUE"""),81)</f>
        <v>81</v>
      </c>
      <c r="BM47" s="27"/>
      <c r="BN47" s="27" t="str">
        <f ca="1">IFERROR(__xludf.DUMMYFUNCTION("""COMPUTED_VALUE"""),"Fernandópolis")</f>
        <v>Fernandópolis</v>
      </c>
      <c r="BO47" s="27" t="str">
        <f ca="1">IFERROR(__xludf.DUMMYFUNCTION("""COMPUTED_VALUE"""),"15610-354")</f>
        <v>15610-354</v>
      </c>
      <c r="BP47" s="27" t="str">
        <f ca="1">IFERROR(__xludf.DUMMYFUNCTION("""COMPUTED_VALUE"""),"SP")</f>
        <v>SP</v>
      </c>
      <c r="BQ47" s="27" t="str">
        <f ca="1">IFERROR(__xludf.DUMMYFUNCTION("""COMPUTED_VALUE"""),"De 3 até 5 salários mínimos")</f>
        <v>De 3 até 5 salários mínimos</v>
      </c>
      <c r="BR47" s="27" t="str">
        <f ca="1">IFERROR(__xludf.DUMMYFUNCTION("""COMPUTED_VALUE"""),"CLT")</f>
        <v>CLT</v>
      </c>
      <c r="BS47" s="27" t="str">
        <f ca="1">IFERROR(__xludf.DUMMYFUNCTION("""COMPUTED_VALUE"""),"Casa própria")</f>
        <v>Casa própria</v>
      </c>
      <c r="BT47" s="27">
        <f ca="1">IFERROR(__xludf.DUMMYFUNCTION("""COMPUTED_VALUE"""),6)</f>
        <v>6</v>
      </c>
      <c r="BU47" s="27" t="str">
        <f ca="1">IFERROR(__xludf.DUMMYFUNCTION("""COMPUTED_VALUE"""),"Não tem")</f>
        <v>Não tem</v>
      </c>
      <c r="BV47" s="27"/>
      <c r="BW47" s="21" t="str">
        <f ca="1">IFERROR(__xludf.DUMMYFUNCTION("""COMPUTED_VALUE"""),"https://www.linkedin.com/in/douglas-costa-martins-57b470214")</f>
        <v>https://www.linkedin.com/in/douglas-costa-martins-57b470214</v>
      </c>
      <c r="BX47" s="21" t="str">
        <f ca="1">IFERROR(__xludf.DUMMYFUNCTION("""COMPUTED_VALUE"""),"https://instagram.com/douglascostamartins?utm_medium=copy_link")</f>
        <v>https://instagram.com/douglascostamartins?utm_medium=copy_link</v>
      </c>
      <c r="BY47" s="21" t="str">
        <f ca="1">IFERROR(__xludf.DUMMYFUNCTION("""COMPUTED_VALUE"""),"https://drive.google.com/open?id=1u9UpjxpQETbNQ6ah3PYU11qE6TFnMDXM")</f>
        <v>https://drive.google.com/open?id=1u9UpjxpQETbNQ6ah3PYU11qE6TFnMDXM</v>
      </c>
    </row>
    <row r="48" spans="1:77" ht="12.5" hidden="1" x14ac:dyDescent="0.25">
      <c r="A48" s="21" t="str">
        <f ca="1">IFERROR(__xludf.DUMMYFUNCTION("""COMPUTED_VALUE"""),"0014X00002VKCqGQAX")</f>
        <v>0014X00002VKCqGQAX</v>
      </c>
      <c r="B48" s="27" t="str">
        <f ca="1">IFERROR(__xludf.DUMMYFUNCTION("""COMPUTED_VALUE"""),"Fase Inicial")</f>
        <v>Fase Inicial</v>
      </c>
      <c r="C48" s="27" t="str">
        <f ca="1">IFERROR(__xludf.DUMMYFUNCTION("""COMPUTED_VALUE"""),"Fellow")</f>
        <v>Fellow</v>
      </c>
      <c r="D48" s="27" t="str">
        <f ca="1">IFERROR(__xludf.DUMMYFUNCTION("""COMPUTED_VALUE"""),"Ativo")</f>
        <v>Ativo</v>
      </c>
      <c r="E48" s="27" t="str">
        <f ca="1">IFERROR(__xludf.DUMMYFUNCTION("""COMPUTED_VALUE"""),"ASSOCIAÇÃO COMUNITÁRIA NOSSA SENHORA DO CARMO")</f>
        <v>ASSOCIAÇÃO COMUNITÁRIA NOSSA SENHORA DO CARMO</v>
      </c>
      <c r="F48" s="27" t="str">
        <f ca="1">IFERROR(__xludf.DUMMYFUNCTION("""COMPUTED_VALUE"""),"MARCIO")</f>
        <v>MARCIO</v>
      </c>
      <c r="G48" s="27" t="str">
        <f ca="1">IFERROR(__xludf.DUMMYFUNCTION("""COMPUTED_VALUE"""),"O.S.C NOSSA SENHORA DO CARMO")</f>
        <v>O.S.C NOSSA SENHORA DO CARMO</v>
      </c>
      <c r="H48" s="27" t="str">
        <f ca="1">IFERROR(__xludf.DUMMYFUNCTION("""COMPUTED_VALUE"""),"06.101.787/0001-64")</f>
        <v>06.101.787/0001-64</v>
      </c>
      <c r="I48" s="27" t="str">
        <f ca="1">IFERROR(__xludf.DUMMYFUNCTION("""COMPUTED_VALUE"""),"MARIA JOSE FERNANDES ALVES")</f>
        <v>MARIA JOSE FERNANDES ALVES</v>
      </c>
      <c r="J48" s="27" t="str">
        <f ca="1">IFERROR(__xludf.DUMMYFUNCTION("""COMPUTED_VALUE"""),"nossasenhoraassociacao021@gmail.com")</f>
        <v>nossasenhoraassociacao021@gmail.com</v>
      </c>
      <c r="K48" s="27" t="str">
        <f ca="1">IFERROR(__xludf.DUMMYFUNCTION("""COMPUTED_VALUE"""),"(85)98991-5660")</f>
        <v>(85)98991-5660</v>
      </c>
      <c r="L48" s="27" t="str">
        <f ca="1">IFERROR(__xludf.DUMMYFUNCTION("""COMPUTED_VALUE"""),"CE")</f>
        <v>CE</v>
      </c>
      <c r="M48" s="27" t="str">
        <f ca="1">IFERROR(__xludf.DUMMYFUNCTION("""COMPUTED_VALUE"""),": RUA J CONJ. VILA VELHA IV")</f>
        <v>: RUA J CONJ. VILA VELHA IV</v>
      </c>
      <c r="N48" s="27" t="str">
        <f ca="1">IFERROR(__xludf.DUMMYFUNCTION("""COMPUTED_VALUE"""),"VILA VELHA")</f>
        <v>VILA VELHA</v>
      </c>
      <c r="O48" s="27">
        <f ca="1">IFERROR(__xludf.DUMMYFUNCTION("""COMPUTED_VALUE"""),103)</f>
        <v>103</v>
      </c>
      <c r="P48" s="27" t="str">
        <f ca="1">IFERROR(__xludf.DUMMYFUNCTION("""COMPUTED_VALUE"""),"Fortaleza")</f>
        <v>Fortaleza</v>
      </c>
      <c r="Q48" s="27"/>
      <c r="R48" s="27" t="str">
        <f ca="1">IFERROR(__xludf.DUMMYFUNCTION("""COMPUTED_VALUE"""),"60349-100")</f>
        <v>60349-100</v>
      </c>
      <c r="S48" s="27"/>
      <c r="T48" s="27"/>
      <c r="U48" s="27" t="str">
        <f ca="1">IFERROR(__xludf.DUMMYFUNCTION("""COMPUTED_VALUE"""),"Crianças (6 a 12 anos), Adolescentes (12 aos 18 anos), Jovens (18 aos 24 anos), Adultos, Idosos (60 anos ou mais)")</f>
        <v>Crianças (6 a 12 anos), Adolescentes (12 aos 18 anos), Jovens (18 aos 24 anos), Adultos, Idosos (60 anos ou mais)</v>
      </c>
      <c r="V48" s="27" t="str">
        <f ca="1">IFERROR(__xludf.DUMMYFUNCTION("""COMPUTED_VALUE"""),"Moradores de Favelas, Pessoas em situação de rua, Afrodescendentes")</f>
        <v>Moradores de Favelas, Pessoas em situação de rua, Afrodescendentes</v>
      </c>
      <c r="W48" s="27">
        <f ca="1">IFERROR(__xludf.DUMMYFUNCTION("""COMPUTED_VALUE"""),1)</f>
        <v>1</v>
      </c>
      <c r="X48" s="27"/>
      <c r="Y48" s="27"/>
      <c r="Z48" s="27">
        <f ca="1">IFERROR(__xludf.DUMMYFUNCTION("""COMPUTED_VALUE"""),0)</f>
        <v>0</v>
      </c>
      <c r="AA48" s="29">
        <f ca="1">IFERROR(__xludf.DUMMYFUNCTION("""COMPUTED_VALUE"""),37788)</f>
        <v>37788</v>
      </c>
      <c r="AB48" s="27" t="str">
        <f ca="1">IFERROR(__xludf.DUMMYFUNCTION("""COMPUTED_VALUE"""),"Sim")</f>
        <v>Sim</v>
      </c>
      <c r="AC48" s="27">
        <f ca="1">IFERROR(__xludf.DUMMYFUNCTION("""COMPUTED_VALUE"""),0)</f>
        <v>0</v>
      </c>
      <c r="AD48" s="27">
        <f ca="1">IFERROR(__xludf.DUMMYFUNCTION("""COMPUTED_VALUE"""),0)</f>
        <v>0</v>
      </c>
      <c r="AE48" s="27">
        <f ca="1">IFERROR(__xludf.DUMMYFUNCTION("""COMPUTED_VALUE"""),5)</f>
        <v>5</v>
      </c>
      <c r="AF48" s="27">
        <f ca="1">IFERROR(__xludf.DUMMYFUNCTION("""COMPUTED_VALUE"""),8)</f>
        <v>8</v>
      </c>
      <c r="AG48" s="27">
        <f ca="1">IFERROR(__xludf.DUMMYFUNCTION("""COMPUTED_VALUE"""),2)</f>
        <v>2</v>
      </c>
      <c r="AH48" s="27" t="str">
        <f ca="1">IFERROR(__xludf.DUMMYFUNCTION("""COMPUTED_VALUE"""),"Editais, Doações")</f>
        <v>Editais, Doações</v>
      </c>
      <c r="AI48" s="27">
        <f ca="1">IFERROR(__xludf.DUMMYFUNCTION("""COMPUTED_VALUE"""),0)</f>
        <v>0</v>
      </c>
      <c r="AJ48" s="27" t="str">
        <f ca="1">IFERROR(__xludf.DUMMYFUNCTION("""COMPUTED_VALUE"""),"Vamos iniciar esse ano")</f>
        <v>Vamos iniciar esse ano</v>
      </c>
      <c r="AK48" s="27"/>
      <c r="AL48" s="21" t="str">
        <f ca="1">IFERROR(__xludf.DUMMYFUNCTION("""COMPUTED_VALUE"""),"0034X0000380O3x")</f>
        <v>0034X0000380O3x</v>
      </c>
      <c r="AM48" s="27" t="str">
        <f ca="1">IFERROR(__xludf.DUMMYFUNCTION("""COMPUTED_VALUE"""),"Silva felix")</f>
        <v>Silva felix</v>
      </c>
      <c r="AN48" s="27" t="str">
        <f ca="1">IFERROR(__xludf.DUMMYFUNCTION("""COMPUTED_VALUE"""),"Ativo")</f>
        <v>Ativo</v>
      </c>
      <c r="AO48" s="29">
        <f ca="1">IFERROR(__xludf.DUMMYFUNCTION("""COMPUTED_VALUE"""),44763)</f>
        <v>44763</v>
      </c>
      <c r="AP48" s="27">
        <f ca="1">IFERROR(__xludf.DUMMYFUNCTION("""COMPUTED_VALUE"""),2)</f>
        <v>2</v>
      </c>
      <c r="AQ48" s="27" t="str">
        <f ca="1">IFERROR(__xludf.DUMMYFUNCTION("""COMPUTED_VALUE"""),"Primeiro Semestre 2022")</f>
        <v>Primeiro Semestre 2022</v>
      </c>
      <c r="AR48" s="27" t="str">
        <f ca="1">IFERROR(__xludf.DUMMYFUNCTION("""COMPUTED_VALUE"""),"marcio.felix1000@gmaiil.com")</f>
        <v>marcio.felix1000@gmaiil.com</v>
      </c>
      <c r="AS48" s="27" t="str">
        <f ca="1">IFERROR(__xludf.DUMMYFUNCTION("""COMPUTED_VALUE"""),"(85)98991-5660")</f>
        <v>(85)98991-5660</v>
      </c>
      <c r="AT48" s="29">
        <f ca="1">IFERROR(__xludf.DUMMYFUNCTION("""COMPUTED_VALUE"""),29305)</f>
        <v>29305</v>
      </c>
      <c r="AU48" s="27">
        <f ca="1">IFERROR(__xludf.DUMMYFUNCTION("""COMPUTED_VALUE"""),42)</f>
        <v>42</v>
      </c>
      <c r="AV48" s="27">
        <f ca="1">IFERROR(__xludf.DUMMYFUNCTION("""COMPUTED_VALUE"""),63015412353)</f>
        <v>63015412353</v>
      </c>
      <c r="AW48" s="27">
        <f ca="1">IFERROR(__xludf.DUMMYFUNCTION("""COMPUTED_VALUE"""),960025002547)</f>
        <v>960025002547</v>
      </c>
      <c r="AX48" s="27"/>
      <c r="AY48" s="27"/>
      <c r="AZ48" s="27" t="str">
        <f ca="1">IFERROR(__xludf.DUMMYFUNCTION("""COMPUTED_VALUE"""),"G2")</f>
        <v>G2</v>
      </c>
      <c r="BA48" s="27" t="str">
        <f ca="1">IFERROR(__xludf.DUMMYFUNCTION("""COMPUTED_VALUE"""),"Preta")</f>
        <v>Preta</v>
      </c>
      <c r="BB48" s="27"/>
      <c r="BC48" s="27"/>
      <c r="BD48" s="27" t="str">
        <f ca="1">IFERROR(__xludf.DUMMYFUNCTION("""COMPUTED_VALUE"""),"Mim chamo marcio felix sou formado em pedagogia pela  UVA - Universidade Estadual Vale do Acaraú - Sobral/CE, educador social,promotor cultural onde milito por todas as areas da cultura desde a produção cultural, realização de eventos culturais participaç"&amp;"ão em varios conselhos tanto estadual como municipal sou militante  da segurança alimentor e nutricional onde hoje faço parte de varios conselhos e lidero junto com minha diretoria e amigos a Associação Comunitaria Nossa Senhora do Carmo")</f>
        <v>Mim chamo marcio felix sou formado em pedagogia pela  UVA - Universidade Estadual Vale do Acaraú - Sobral/CE, educador social,promotor cultural onde milito por todas as areas da cultura desde a produção cultural, realização de eventos culturais participação em varios conselhos tanto estadual como municipal sou militante  da segurança alimentor e nutricional onde hoje faço parte de varios conselhos e lidero junto com minha diretoria e amigos a Associação Comunitaria Nossa Senhora do Carmo</v>
      </c>
      <c r="BE48" s="27" t="str">
        <f ca="1">IFERROR(__xludf.DUMMYFUNCTION("""COMPUTED_VALUE"""),"Homem, cisgênero")</f>
        <v>Homem, cisgênero</v>
      </c>
      <c r="BF48" s="27" t="str">
        <f ca="1">IFERROR(__xludf.DUMMYFUNCTION("""COMPUTED_VALUE"""),"Heterossexual")</f>
        <v>Heterossexual</v>
      </c>
      <c r="BG48" s="27" t="str">
        <f ca="1">IFERROR(__xludf.DUMMYFUNCTION("""COMPUTED_VALUE"""),"Ensino Superior - Completo")</f>
        <v>Ensino Superior - Completo</v>
      </c>
      <c r="BH48" s="27" t="str">
        <f ca="1">IFERROR(__xludf.DUMMYFUNCTION("""COMPUTED_VALUE"""),"Privado")</f>
        <v>Privado</v>
      </c>
      <c r="BI48" s="27" t="str">
        <f ca="1">IFERROR(__xludf.DUMMYFUNCTION("""COMPUTED_VALUE"""),"Graduação")</f>
        <v>Graduação</v>
      </c>
      <c r="BJ48" s="27" t="str">
        <f ca="1">IFERROR(__xludf.DUMMYFUNCTION("""COMPUTED_VALUE"""),"Público")</f>
        <v>Público</v>
      </c>
      <c r="BK48" s="27" t="str">
        <f ca="1">IFERROR(__xludf.DUMMYFUNCTION("""COMPUTED_VALUE"""),"rua carlos gondim")</f>
        <v>rua carlos gondim</v>
      </c>
      <c r="BL48" s="27">
        <f ca="1">IFERROR(__xludf.DUMMYFUNCTION("""COMPUTED_VALUE"""),800)</f>
        <v>800</v>
      </c>
      <c r="BM48" s="27"/>
      <c r="BN48" s="27" t="str">
        <f ca="1">IFERROR(__xludf.DUMMYFUNCTION("""COMPUTED_VALUE"""),"FORTALEZA")</f>
        <v>FORTALEZA</v>
      </c>
      <c r="BO48" s="27" t="str">
        <f ca="1">IFERROR(__xludf.DUMMYFUNCTION("""COMPUTED_VALUE"""),"60347-066")</f>
        <v>60347-066</v>
      </c>
      <c r="BP48" s="27" t="str">
        <f ca="1">IFERROR(__xludf.DUMMYFUNCTION("""COMPUTED_VALUE"""),"CE")</f>
        <v>CE</v>
      </c>
      <c r="BQ48" s="27" t="str">
        <f ca="1">IFERROR(__xludf.DUMMYFUNCTION("""COMPUTED_VALUE"""),"Entre 1 até 3 salários mínimos")</f>
        <v>Entre 1 até 3 salários mínimos</v>
      </c>
      <c r="BR48" s="27" t="str">
        <f ca="1">IFERROR(__xludf.DUMMYFUNCTION("""COMPUTED_VALUE"""),"CLT")</f>
        <v>CLT</v>
      </c>
      <c r="BS48" s="27" t="str">
        <f ca="1">IFERROR(__xludf.DUMMYFUNCTION("""COMPUTED_VALUE"""),"Casa cedida")</f>
        <v>Casa cedida</v>
      </c>
      <c r="BT48" s="27">
        <f ca="1">IFERROR(__xludf.DUMMYFUNCTION("""COMPUTED_VALUE"""),4)</f>
        <v>4</v>
      </c>
      <c r="BU48" s="27" t="str">
        <f ca="1">IFERROR(__xludf.DUMMYFUNCTION("""COMPUTED_VALUE"""),"Não tem")</f>
        <v>Não tem</v>
      </c>
      <c r="BV48" s="27" t="str">
        <f ca="1">IFERROR(__xludf.DUMMYFUNCTION("""COMPUTED_VALUE"""),"Não")</f>
        <v>Não</v>
      </c>
      <c r="BW48" s="27"/>
      <c r="BX48" s="21" t="str">
        <f ca="1">IFERROR(__xludf.DUMMYFUNCTION("""COMPUTED_VALUE"""),"https://www.instagram.com/marciofelix2012/")</f>
        <v>https://www.instagram.com/marciofelix2012/</v>
      </c>
      <c r="BY48" s="21" t="str">
        <f ca="1">IFERROR(__xludf.DUMMYFUNCTION("""COMPUTED_VALUE"""),"https://drive.google.com/open?id=1aVWsZuQKtwOb2equf8YECHz0D6mRdtSV")</f>
        <v>https://drive.google.com/open?id=1aVWsZuQKtwOb2equf8YECHz0D6mRdtSV</v>
      </c>
    </row>
    <row r="49" spans="1:77" ht="12.5" hidden="1" x14ac:dyDescent="0.25">
      <c r="A49" s="21" t="str">
        <f ca="1">IFERROR(__xludf.DUMMYFUNCTION("""COMPUTED_VALUE"""),"0014X00002VKCqZQAX")</f>
        <v>0014X00002VKCqZQAX</v>
      </c>
      <c r="B49" s="27" t="str">
        <f ca="1">IFERROR(__xludf.DUMMYFUNCTION("""COMPUTED_VALUE"""),"Fase Inicial")</f>
        <v>Fase Inicial</v>
      </c>
      <c r="C49" s="27" t="str">
        <f ca="1">IFERROR(__xludf.DUMMYFUNCTION("""COMPUTED_VALUE"""),"Fellow")</f>
        <v>Fellow</v>
      </c>
      <c r="D49" s="27" t="str">
        <f ca="1">IFERROR(__xludf.DUMMYFUNCTION("""COMPUTED_VALUE"""),"Ativo")</f>
        <v>Ativo</v>
      </c>
      <c r="E49" s="27" t="str">
        <f ca="1">IFERROR(__xludf.DUMMYFUNCTION("""COMPUTED_VALUE"""),"Associação Comunitaria Transformar")</f>
        <v>Associação Comunitaria Transformar</v>
      </c>
      <c r="F49" s="27" t="str">
        <f ca="1">IFERROR(__xludf.DUMMYFUNCTION("""COMPUTED_VALUE"""),"Anna")</f>
        <v>Anna</v>
      </c>
      <c r="G49" s="27" t="str">
        <f ca="1">IFERROR(__xludf.DUMMYFUNCTION("""COMPUTED_VALUE"""),"PROJETO SOCIAL SEMENTES DO FUTURO")</f>
        <v>PROJETO SOCIAL SEMENTES DO FUTURO</v>
      </c>
      <c r="H49" s="27" t="str">
        <f ca="1">IFERROR(__xludf.DUMMYFUNCTION("""COMPUTED_VALUE"""),"01.037.731/0001-74")</f>
        <v>01.037.731/0001-74</v>
      </c>
      <c r="I49" s="27" t="str">
        <f ca="1">IFERROR(__xludf.DUMMYFUNCTION("""COMPUTED_VALUE"""),"Marcionílio Antônio Aparecido")</f>
        <v>Marcionílio Antônio Aparecido</v>
      </c>
      <c r="J49" s="27"/>
      <c r="K49" s="27" t="str">
        <f ca="1">IFERROR(__xludf.DUMMYFUNCTION("""COMPUTED_VALUE"""),"(31)3596-6429")</f>
        <v>(31)3596-6429</v>
      </c>
      <c r="L49" s="27" t="str">
        <f ca="1">IFERROR(__xludf.DUMMYFUNCTION("""COMPUTED_VALUE"""),"MG")</f>
        <v>MG</v>
      </c>
      <c r="M49" s="27" t="str">
        <f ca="1">IFERROR(__xludf.DUMMYFUNCTION("""COMPUTED_VALUE"""),"Rua Cosmea")</f>
        <v>Rua Cosmea</v>
      </c>
      <c r="N49" s="27" t="str">
        <f ca="1">IFERROR(__xludf.DUMMYFUNCTION("""COMPUTED_VALUE"""),"Jardim Alterosas 2 seçao")</f>
        <v>Jardim Alterosas 2 seçao</v>
      </c>
      <c r="O49" s="27">
        <f ca="1">IFERROR(__xludf.DUMMYFUNCTION("""COMPUTED_VALUE"""),236)</f>
        <v>236</v>
      </c>
      <c r="P49" s="27" t="str">
        <f ca="1">IFERROR(__xludf.DUMMYFUNCTION("""COMPUTED_VALUE"""),"Betim")</f>
        <v>Betim</v>
      </c>
      <c r="Q49" s="27"/>
      <c r="R49" s="27" t="str">
        <f ca="1">IFERROR(__xludf.DUMMYFUNCTION("""COMPUTED_VALUE"""),"32673-074")</f>
        <v>32673-074</v>
      </c>
      <c r="S49" s="27" t="str">
        <f ca="1">IFERROR(__xludf.DUMMYFUNCTION("""COMPUTED_VALUE"""),"Horta comunitaria")</f>
        <v>Horta comunitaria</v>
      </c>
      <c r="T49" s="27"/>
      <c r="U49" s="27" t="str">
        <f ca="1">IFERROR(__xludf.DUMMYFUNCTION("""COMPUTED_VALUE"""),"Jovens (18 aos 24 anos), Adultos")</f>
        <v>Jovens (18 aos 24 anos), Adultos</v>
      </c>
      <c r="V49" s="27" t="str">
        <f ca="1">IFERROR(__xludf.DUMMYFUNCTION("""COMPUTED_VALUE"""),"Moradores de Favelas")</f>
        <v>Moradores de Favelas</v>
      </c>
      <c r="W49" s="27">
        <f ca="1">IFERROR(__xludf.DUMMYFUNCTION("""COMPUTED_VALUE"""),24)</f>
        <v>24</v>
      </c>
      <c r="X49" s="27"/>
      <c r="Y49" s="27"/>
      <c r="Z49" s="27">
        <f ca="1">IFERROR(__xludf.DUMMYFUNCTION("""COMPUTED_VALUE"""),200)</f>
        <v>200</v>
      </c>
      <c r="AA49" s="29">
        <f ca="1">IFERROR(__xludf.DUMMYFUNCTION("""COMPUTED_VALUE"""),35261)</f>
        <v>35261</v>
      </c>
      <c r="AB49" s="27" t="str">
        <f ca="1">IFERROR(__xludf.DUMMYFUNCTION("""COMPUTED_VALUE"""),"Sim")</f>
        <v>Sim</v>
      </c>
      <c r="AC49" s="27">
        <f ca="1">IFERROR(__xludf.DUMMYFUNCTION("""COMPUTED_VALUE"""),0)</f>
        <v>0</v>
      </c>
      <c r="AD49" s="27">
        <f ca="1">IFERROR(__xludf.DUMMYFUNCTION("""COMPUTED_VALUE"""),3)</f>
        <v>3</v>
      </c>
      <c r="AE49" s="27">
        <f ca="1">IFERROR(__xludf.DUMMYFUNCTION("""COMPUTED_VALUE"""),20)</f>
        <v>20</v>
      </c>
      <c r="AF49" s="27">
        <f ca="1">IFERROR(__xludf.DUMMYFUNCTION("""COMPUTED_VALUE"""),20)</f>
        <v>20</v>
      </c>
      <c r="AG49" s="27">
        <f ca="1">IFERROR(__xludf.DUMMYFUNCTION("""COMPUTED_VALUE"""),2)</f>
        <v>2</v>
      </c>
      <c r="AH49" s="27" t="str">
        <f ca="1">IFERROR(__xludf.DUMMYFUNCTION("""COMPUTED_VALUE"""),"Eventos/Ações para captação, Parceria iniciativa privada")</f>
        <v>Eventos/Ações para captação, Parceria iniciativa privada</v>
      </c>
      <c r="AI49" s="27" t="str">
        <f ca="1">IFERROR(__xludf.DUMMYFUNCTION("""COMPUTED_VALUE"""),"80% parceiros 20%eventos")</f>
        <v>80% parceiros 20%eventos</v>
      </c>
      <c r="AJ49" s="27" t="str">
        <f ca="1">IFERROR(__xludf.DUMMYFUNCTION("""COMPUTED_VALUE"""),"Não")</f>
        <v>Não</v>
      </c>
      <c r="AK49" s="27"/>
      <c r="AL49" s="21" t="str">
        <f ca="1">IFERROR(__xludf.DUMMYFUNCTION("""COMPUTED_VALUE"""),"0034X0000380O1Q")</f>
        <v>0034X0000380O1Q</v>
      </c>
      <c r="AM49" s="27" t="str">
        <f ca="1">IFERROR(__xludf.DUMMYFUNCTION("""COMPUTED_VALUE"""),"Carolina prado")</f>
        <v>Carolina prado</v>
      </c>
      <c r="AN49" s="27" t="str">
        <f ca="1">IFERROR(__xludf.DUMMYFUNCTION("""COMPUTED_VALUE"""),"Ativo")</f>
        <v>Ativo</v>
      </c>
      <c r="AO49" s="27"/>
      <c r="AP49" s="27"/>
      <c r="AQ49" s="27" t="str">
        <f ca="1">IFERROR(__xludf.DUMMYFUNCTION("""COMPUTED_VALUE"""),"Primeiro Semestre 2022")</f>
        <v>Primeiro Semestre 2022</v>
      </c>
      <c r="AR49" s="27" t="str">
        <f ca="1">IFERROR(__xludf.DUMMYFUNCTION("""COMPUTED_VALUE"""),"admannaprado@gmail.com")</f>
        <v>admannaprado@gmail.com</v>
      </c>
      <c r="AS49" s="27">
        <f ca="1">IFERROR(__xludf.DUMMYFUNCTION("""COMPUTED_VALUE"""),31984721542)</f>
        <v>31984721542</v>
      </c>
      <c r="AT49" s="29">
        <f ca="1">IFERROR(__xludf.DUMMYFUNCTION("""COMPUTED_VALUE"""),30864)</f>
        <v>30864</v>
      </c>
      <c r="AU49" s="27">
        <f ca="1">IFERROR(__xludf.DUMMYFUNCTION("""COMPUTED_VALUE"""),38)</f>
        <v>38</v>
      </c>
      <c r="AV49" s="27">
        <f ca="1">IFERROR(__xludf.DUMMYFUNCTION("""COMPUTED_VALUE"""),6601710660)</f>
        <v>6601710660</v>
      </c>
      <c r="AW49" s="27" t="str">
        <f ca="1">IFERROR(__xludf.DUMMYFUNCTION("""COMPUTED_VALUE"""),"MG8670725")</f>
        <v>MG8670725</v>
      </c>
      <c r="AX49" s="27"/>
      <c r="AY49" s="27"/>
      <c r="AZ49" s="27" t="str">
        <f ca="1">IFERROR(__xludf.DUMMYFUNCTION("""COMPUTED_VALUE"""),"G")</f>
        <v>G</v>
      </c>
      <c r="BA49" s="27" t="str">
        <f ca="1">IFERROR(__xludf.DUMMYFUNCTION("""COMPUTED_VALUE"""),"Parda")</f>
        <v>Parda</v>
      </c>
      <c r="BB49" s="27"/>
      <c r="BC49" s="27"/>
      <c r="BD49" s="27" t="str">
        <f ca="1">IFERROR(__xludf.DUMMYFUNCTION("""COMPUTED_VALUE"""),"Tenho 37 anos* um filho e casada* mineira de Betim (ao lado de BH/). 
Atuando com Consultoria Organizacional e instrutora de cursos de qualificação  nas áreas de: Processos* Qualidade* Gestão de Pessoas e Atendimento ao cliente.
Especialista em Gestão d"&amp;"a Saúde pelo Albert Einstein*  em Gestão de Negócios pela Fundação Dom Cabral e em Psicopedagogia Empresarial. Coach* Bacharel em Administração com ênfase em Recursos Humanos – CRA 38.345* Auditora líder em Gestão da Qualidade ISO9001:2015* certificado in"&amp;"ternacional (IRCA)  e Agente multiplicadora de treinamentos.
Experiência em atividades de implantação* certificação e manutenção de Sistema de Gestão Integrado (ISO 9001 e OHSAS 18001) e Programas de RH* Comunicação e Responsabilidade Social.
Coautora d"&amp;"os livros  #Eventos – gestão e produção (2015) e Gestão de Negócios da Prática (em andamento). Artigos no Portal dos Administradores.
Fundadora do Grupo Garra - Coaching para Mulheres.
Conteudista para cursos EAD e Videoaulas.
Atuação em vários projet"&amp;"os sociais desde 2008.")</f>
        <v>Tenho 37 anos* um filho e casada* mineira de Betim (ao lado de BH/). 
Atuando com Consultoria Organizacional e instrutora de cursos de qualificação  nas áreas de: Processos* Qualidade* Gestão de Pessoas e Atendimento ao cliente.
Especialista em Gestão da Saúde pelo Albert Einstein*  em Gestão de Negócios pela Fundação Dom Cabral e em Psicopedagogia Empresarial. Coach* Bacharel em Administração com ênfase em Recursos Humanos – CRA 38.345* Auditora líder em Gestão da Qualidade ISO9001:2015* certificado internacional (IRCA)  e Agente multiplicadora de treinamentos.
Experiência em atividades de implantação* certificação e manutenção de Sistema de Gestão Integrado (ISO 9001 e OHSAS 18001) e Programas de RH* Comunicação e Responsabilidade Social.
Coautora dos livros  #Eventos – gestão e produção (2015) e Gestão de Negócios da Prática (em andamento). Artigos no Portal dos Administradores.
Fundadora do Grupo Garra - Coaching para Mulheres.
Conteudista para cursos EAD e Videoaulas.
Atuação em vários projetos sociais desde 2008.</v>
      </c>
      <c r="BE49" s="27" t="str">
        <f ca="1">IFERROR(__xludf.DUMMYFUNCTION("""COMPUTED_VALUE"""),"Feminino")</f>
        <v>Feminino</v>
      </c>
      <c r="BF49" s="27" t="str">
        <f ca="1">IFERROR(__xludf.DUMMYFUNCTION("""COMPUTED_VALUE"""),"Heterossexual")</f>
        <v>Heterossexual</v>
      </c>
      <c r="BG49" s="27"/>
      <c r="BH49" s="27" t="str">
        <f ca="1">IFERROR(__xludf.DUMMYFUNCTION("""COMPUTED_VALUE"""),"Público")</f>
        <v>Público</v>
      </c>
      <c r="BI49" s="27" t="str">
        <f ca="1">IFERROR(__xludf.DUMMYFUNCTION("""COMPUTED_VALUE"""),"Pós-Graduação")</f>
        <v>Pós-Graduação</v>
      </c>
      <c r="BJ49" s="27" t="str">
        <f ca="1">IFERROR(__xludf.DUMMYFUNCTION("""COMPUTED_VALUE"""),"Privado")</f>
        <v>Privado</v>
      </c>
      <c r="BK49" s="27" t="str">
        <f ca="1">IFERROR(__xludf.DUMMYFUNCTION("""COMPUTED_VALUE"""),"RUA DISTRITO FEDERAL")</f>
        <v>RUA DISTRITO FEDERAL</v>
      </c>
      <c r="BL49" s="27">
        <f ca="1">IFERROR(__xludf.DUMMYFUNCTION("""COMPUTED_VALUE"""),165)</f>
        <v>165</v>
      </c>
      <c r="BM49" s="27"/>
      <c r="BN49" s="27"/>
      <c r="BO49" s="27" t="str">
        <f ca="1">IFERROR(__xludf.DUMMYFUNCTION("""COMPUTED_VALUE"""),"32672-044")</f>
        <v>32672-044</v>
      </c>
      <c r="BP49" s="27" t="str">
        <f ca="1">IFERROR(__xludf.DUMMYFUNCTION("""COMPUTED_VALUE"""),"MG")</f>
        <v>MG</v>
      </c>
      <c r="BQ49" s="27" t="str">
        <f ca="1">IFERROR(__xludf.DUMMYFUNCTION("""COMPUTED_VALUE"""),"Entre 1 até 3 salários mínimos")</f>
        <v>Entre 1 até 3 salários mínimos</v>
      </c>
      <c r="BR49" s="27" t="str">
        <f ca="1">IFERROR(__xludf.DUMMYFUNCTION("""COMPUTED_VALUE"""),"CLT")</f>
        <v>CLT</v>
      </c>
      <c r="BS49" s="27" t="str">
        <f ca="1">IFERROR(__xludf.DUMMYFUNCTION("""COMPUTED_VALUE"""),"Casa própria")</f>
        <v>Casa própria</v>
      </c>
      <c r="BT49" s="27">
        <f ca="1">IFERROR(__xludf.DUMMYFUNCTION("""COMPUTED_VALUE"""),3)</f>
        <v>3</v>
      </c>
      <c r="BU49" s="27" t="str">
        <f ca="1">IFERROR(__xludf.DUMMYFUNCTION("""COMPUTED_VALUE"""),"Não tem")</f>
        <v>Não tem</v>
      </c>
      <c r="BV49" s="27" t="str">
        <f ca="1">IFERROR(__xludf.DUMMYFUNCTION("""COMPUTED_VALUE"""),"Sim")</f>
        <v>Sim</v>
      </c>
      <c r="BW49" s="21" t="str">
        <f ca="1">IFERROR(__xludf.DUMMYFUNCTION("""COMPUTED_VALUE"""),"https://www.linkedin.com/in/anna-carolina-prado")</f>
        <v>https://www.linkedin.com/in/anna-carolina-prado</v>
      </c>
      <c r="BX49" s="27"/>
      <c r="BY49" s="21" t="str">
        <f ca="1">IFERROR(__xludf.DUMMYFUNCTION("""COMPUTED_VALUE"""),"https://drive.google.com/open?id=1kuKFqFzdXrEkPzUdcrBrkxyiRZSM9VWC")</f>
        <v>https://drive.google.com/open?id=1kuKFqFzdXrEkPzUdcrBrkxyiRZSM9VWC</v>
      </c>
    </row>
    <row r="50" spans="1:77" ht="12.5" hidden="1" x14ac:dyDescent="0.25">
      <c r="A50" s="21" t="str">
        <f ca="1">IFERROR(__xludf.DUMMYFUNCTION("""COMPUTED_VALUE"""),"0014X00002VKCtOQAX")</f>
        <v>0014X00002VKCtOQAX</v>
      </c>
      <c r="B50" s="27" t="str">
        <f ca="1">IFERROR(__xludf.DUMMYFUNCTION("""COMPUTED_VALUE"""),"Fase Inicial")</f>
        <v>Fase Inicial</v>
      </c>
      <c r="C50" s="27" t="str">
        <f ca="1">IFERROR(__xludf.DUMMYFUNCTION("""COMPUTED_VALUE"""),"Fellow")</f>
        <v>Fellow</v>
      </c>
      <c r="D50" s="27" t="str">
        <f ca="1">IFERROR(__xludf.DUMMYFUNCTION("""COMPUTED_VALUE"""),"Ativo")</f>
        <v>Ativo</v>
      </c>
      <c r="E50" s="27" t="str">
        <f ca="1">IFERROR(__xludf.DUMMYFUNCTION("""COMPUTED_VALUE"""),"associação comunitária união potengi")</f>
        <v>associação comunitária união potengi</v>
      </c>
      <c r="F50" s="27" t="str">
        <f ca="1">IFERROR(__xludf.DUMMYFUNCTION("""COMPUTED_VALUE"""),"Jaciane")</f>
        <v>Jaciane</v>
      </c>
      <c r="G50" s="27" t="str">
        <f ca="1">IFERROR(__xludf.DUMMYFUNCTION("""COMPUTED_VALUE"""),"ACUP")</f>
        <v>ACUP</v>
      </c>
      <c r="H50" s="27" t="str">
        <f ca="1">IFERROR(__xludf.DUMMYFUNCTION("""COMPUTED_VALUE"""),"08.518.525/0001-25")</f>
        <v>08.518.525/0001-25</v>
      </c>
      <c r="I50" s="27" t="str">
        <f ca="1">IFERROR(__xludf.DUMMYFUNCTION("""COMPUTED_VALUE"""),"MARIA JACQUELINE BEZERRA")</f>
        <v>MARIA JACQUELINE BEZERRA</v>
      </c>
      <c r="J50" s="27" t="str">
        <f ca="1">IFERROR(__xludf.DUMMYFUNCTION("""COMPUTED_VALUE"""),"uniaopotengi@gmail.com")</f>
        <v>uniaopotengi@gmail.com</v>
      </c>
      <c r="K50" s="27" t="str">
        <f ca="1">IFERROR(__xludf.DUMMYFUNCTION("""COMPUTED_VALUE"""),"(84)99454-3103")</f>
        <v>(84)99454-3103</v>
      </c>
      <c r="L50" s="27" t="str">
        <f ca="1">IFERROR(__xludf.DUMMYFUNCTION("""COMPUTED_VALUE"""),"RN")</f>
        <v>RN</v>
      </c>
      <c r="M50" s="27" t="str">
        <f ca="1">IFERROR(__xludf.DUMMYFUNCTION("""COMPUTED_VALUE"""),"RUA POTENGI")</f>
        <v>RUA POTENGI</v>
      </c>
      <c r="N50" s="27" t="str">
        <f ca="1">IFERROR(__xludf.DUMMYFUNCTION("""COMPUTED_VALUE"""),"CENTRO")</f>
        <v>CENTRO</v>
      </c>
      <c r="O50" s="27" t="str">
        <f ca="1">IFERROR(__xludf.DUMMYFUNCTION("""COMPUTED_VALUE"""),"51 A")</f>
        <v>51 A</v>
      </c>
      <c r="P50" s="27" t="str">
        <f ca="1">IFERROR(__xludf.DUMMYFUNCTION("""COMPUTED_VALUE"""),"SÃO PAULO DO POTENGI")</f>
        <v>SÃO PAULO DO POTENGI</v>
      </c>
      <c r="Q50" s="27"/>
      <c r="R50" s="27" t="str">
        <f ca="1">IFERROR(__xludf.DUMMYFUNCTION("""COMPUTED_VALUE"""),"59460-000")</f>
        <v>59460-000</v>
      </c>
      <c r="S50" s="27" t="str">
        <f ca="1">IFERROR(__xludf.DUMMYFUNCTION("""COMPUTED_VALUE"""),"1. Escola Paulina Nunes de Queiroz 
2. Estádio Municipal Augusto Gomes da Rocha")</f>
        <v>1. Escola Paulina Nunes de Queiroz 
2. Estádio Municipal Augusto Gomes da Rocha</v>
      </c>
      <c r="T50" s="27"/>
      <c r="U50" s="27" t="str">
        <f ca="1">IFERROR(__xludf.DUMMYFUNCTION("""COMPUTED_VALUE"""),"Crianças (6 a 12 anos), Adolescentes (12 aos 18 anos), Jovens (18 aos 24 anos), Adultos")</f>
        <v>Crianças (6 a 12 anos), Adolescentes (12 aos 18 anos), Jovens (18 aos 24 anos), Adultos</v>
      </c>
      <c r="V50" s="27" t="str">
        <f ca="1">IFERROR(__xludf.DUMMYFUNCTION("""COMPUTED_VALUE"""),"Pessoas em situação de rua, Dependentes Químicos, Comunidade rural, Outros")</f>
        <v>Pessoas em situação de rua, Dependentes Químicos, Comunidade rural, Outros</v>
      </c>
      <c r="W50" s="27">
        <f ca="1">IFERROR(__xludf.DUMMYFUNCTION("""COMPUTED_VALUE"""),3)</f>
        <v>3</v>
      </c>
      <c r="X50" s="27"/>
      <c r="Y50" s="27"/>
      <c r="Z50" s="27">
        <f ca="1">IFERROR(__xludf.DUMMYFUNCTION("""COMPUTED_VALUE"""),100)</f>
        <v>100</v>
      </c>
      <c r="AA50" s="29">
        <f ca="1">IFERROR(__xludf.DUMMYFUNCTION("""COMPUTED_VALUE"""),39052)</f>
        <v>39052</v>
      </c>
      <c r="AB50" s="27" t="str">
        <f ca="1">IFERROR(__xludf.DUMMYFUNCTION("""COMPUTED_VALUE"""),"Sim")</f>
        <v>Sim</v>
      </c>
      <c r="AC50" s="27">
        <f ca="1">IFERROR(__xludf.DUMMYFUNCTION("""COMPUTED_VALUE"""),0)</f>
        <v>0</v>
      </c>
      <c r="AD50" s="27">
        <f ca="1">IFERROR(__xludf.DUMMYFUNCTION("""COMPUTED_VALUE"""),3)</f>
        <v>3</v>
      </c>
      <c r="AE50" s="27">
        <f ca="1">IFERROR(__xludf.DUMMYFUNCTION("""COMPUTED_VALUE"""),10)</f>
        <v>10</v>
      </c>
      <c r="AF50" s="27">
        <f ca="1">IFERROR(__xludf.DUMMYFUNCTION("""COMPUTED_VALUE"""),3)</f>
        <v>3</v>
      </c>
      <c r="AG50" s="27">
        <f ca="1">IFERROR(__xludf.DUMMYFUNCTION("""COMPUTED_VALUE"""),2)</f>
        <v>2</v>
      </c>
      <c r="AH50" s="27" t="str">
        <f ca="1">IFERROR(__xludf.DUMMYFUNCTION("""COMPUTED_VALUE"""),"Parceria iniciativa privada, Doações")</f>
        <v>Parceria iniciativa privada, Doações</v>
      </c>
      <c r="AI50" s="27">
        <f ca="1">IFERROR(__xludf.DUMMYFUNCTION("""COMPUTED_VALUE"""),0)</f>
        <v>0</v>
      </c>
      <c r="AJ50" s="27" t="str">
        <f ca="1">IFERROR(__xludf.DUMMYFUNCTION("""COMPUTED_VALUE"""),"Vamos iniciar esse ano")</f>
        <v>Vamos iniciar esse ano</v>
      </c>
      <c r="AK50" s="27"/>
      <c r="AL50" s="21" t="str">
        <f ca="1">IFERROR(__xludf.DUMMYFUNCTION("""COMPUTED_VALUE"""),"0034X0000380O5g")</f>
        <v>0034X0000380O5g</v>
      </c>
      <c r="AM50" s="27" t="str">
        <f ca="1">IFERROR(__xludf.DUMMYFUNCTION("""COMPUTED_VALUE"""),"Costa damasceno lima roberto")</f>
        <v>Costa damasceno lima roberto</v>
      </c>
      <c r="AN50" s="27" t="str">
        <f ca="1">IFERROR(__xludf.DUMMYFUNCTION("""COMPUTED_VALUE"""),"Ativo")</f>
        <v>Ativo</v>
      </c>
      <c r="AO50" s="29">
        <f ca="1">IFERROR(__xludf.DUMMYFUNCTION("""COMPUTED_VALUE"""),44763)</f>
        <v>44763</v>
      </c>
      <c r="AP50" s="27">
        <f ca="1">IFERROR(__xludf.DUMMYFUNCTION("""COMPUTED_VALUE"""),2)</f>
        <v>2</v>
      </c>
      <c r="AQ50" s="27" t="str">
        <f ca="1">IFERROR(__xludf.DUMMYFUNCTION("""COMPUTED_VALUE"""),"Primeiro Semestre 2022")</f>
        <v>Primeiro Semestre 2022</v>
      </c>
      <c r="AR50" s="27" t="str">
        <f ca="1">IFERROR(__xludf.DUMMYFUNCTION("""COMPUTED_VALUE"""),"jaciane.cd@gmail.com")</f>
        <v>jaciane.cd@gmail.com</v>
      </c>
      <c r="AS50" s="27">
        <f ca="1">IFERROR(__xludf.DUMMYFUNCTION("""COMPUTED_VALUE"""),84994543103)</f>
        <v>84994543103</v>
      </c>
      <c r="AT50" s="29">
        <f ca="1">IFERROR(__xludf.DUMMYFUNCTION("""COMPUTED_VALUE"""),33516)</f>
        <v>33516</v>
      </c>
      <c r="AU50" s="27">
        <f ca="1">IFERROR(__xludf.DUMMYFUNCTION("""COMPUTED_VALUE"""),31)</f>
        <v>31</v>
      </c>
      <c r="AV50" s="27">
        <f ca="1">IFERROR(__xludf.DUMMYFUNCTION("""COMPUTED_VALUE"""),9555189463)</f>
        <v>9555189463</v>
      </c>
      <c r="AW50" s="27">
        <f ca="1">IFERROR(__xludf.DUMMYFUNCTION("""COMPUTED_VALUE"""),2438898)</f>
        <v>2438898</v>
      </c>
      <c r="AX50" s="27"/>
      <c r="AY50" s="27"/>
      <c r="AZ50" s="27" t="str">
        <f ca="1">IFERROR(__xludf.DUMMYFUNCTION("""COMPUTED_VALUE"""),"GG")</f>
        <v>GG</v>
      </c>
      <c r="BA50" s="27" t="str">
        <f ca="1">IFERROR(__xludf.DUMMYFUNCTION("""COMPUTED_VALUE"""),"Parda")</f>
        <v>Parda</v>
      </c>
      <c r="BB50" s="27"/>
      <c r="BC50" s="27"/>
      <c r="BD50" s="27" t="str">
        <f ca="1">IFERROR(__xludf.DUMMYFUNCTION("""COMPUTED_VALUE"""),"Ola * sou jaciane * licenciada em educação física* coach*  empreendedora social* diretora executiva da rede de ensino CIFOP* diretora da ong ACUP * mãe* esposa e sempre posta a servi.")</f>
        <v>Ola * sou jaciane * licenciada em educação física* coach*  empreendedora social* diretora executiva da rede de ensino CIFOP* diretora da ong ACUP * mãe* esposa e sempre posta a servi.</v>
      </c>
      <c r="BE50" s="27" t="str">
        <f ca="1">IFERROR(__xludf.DUMMYFUNCTION("""COMPUTED_VALUE"""),"Feminino")</f>
        <v>Feminino</v>
      </c>
      <c r="BF50" s="27" t="str">
        <f ca="1">IFERROR(__xludf.DUMMYFUNCTION("""COMPUTED_VALUE"""),"Heterossexual")</f>
        <v>Heterossexual</v>
      </c>
      <c r="BG50" s="27"/>
      <c r="BH50" s="27" t="str">
        <f ca="1">IFERROR(__xludf.DUMMYFUNCTION("""COMPUTED_VALUE"""),"Público")</f>
        <v>Público</v>
      </c>
      <c r="BI50" s="27" t="str">
        <f ca="1">IFERROR(__xludf.DUMMYFUNCTION("""COMPUTED_VALUE"""),"Graduação")</f>
        <v>Graduação</v>
      </c>
      <c r="BJ50" s="27" t="str">
        <f ca="1">IFERROR(__xludf.DUMMYFUNCTION("""COMPUTED_VALUE"""),"Privado")</f>
        <v>Privado</v>
      </c>
      <c r="BK50" s="27" t="str">
        <f ca="1">IFERROR(__xludf.DUMMYFUNCTION("""COMPUTED_VALUE"""),"rua são pedro")</f>
        <v>rua são pedro</v>
      </c>
      <c r="BL50" s="27">
        <f ca="1">IFERROR(__xludf.DUMMYFUNCTION("""COMPUTED_VALUE"""),481)</f>
        <v>481</v>
      </c>
      <c r="BM50" s="27"/>
      <c r="BN50" s="27"/>
      <c r="BO50" s="27">
        <f ca="1">IFERROR(__xludf.DUMMYFUNCTION("""COMPUTED_VALUE"""),59460000)</f>
        <v>59460000</v>
      </c>
      <c r="BP50" s="27" t="str">
        <f ca="1">IFERROR(__xludf.DUMMYFUNCTION("""COMPUTED_VALUE"""),"RN")</f>
        <v>RN</v>
      </c>
      <c r="BQ50" s="27" t="str">
        <f ca="1">IFERROR(__xludf.DUMMYFUNCTION("""COMPUTED_VALUE"""),"Entre 1 até 3 salários mínimos")</f>
        <v>Entre 1 até 3 salários mínimos</v>
      </c>
      <c r="BR50" s="27" t="str">
        <f ca="1">IFERROR(__xludf.DUMMYFUNCTION("""COMPUTED_VALUE"""),"MEI")</f>
        <v>MEI</v>
      </c>
      <c r="BS50" s="27" t="str">
        <f ca="1">IFERROR(__xludf.DUMMYFUNCTION("""COMPUTED_VALUE"""),"Casa própria")</f>
        <v>Casa própria</v>
      </c>
      <c r="BT50" s="27">
        <f ca="1">IFERROR(__xludf.DUMMYFUNCTION("""COMPUTED_VALUE"""),2)</f>
        <v>2</v>
      </c>
      <c r="BU50" s="27" t="str">
        <f ca="1">IFERROR(__xludf.DUMMYFUNCTION("""COMPUTED_VALUE"""),"Não tem")</f>
        <v>Não tem</v>
      </c>
      <c r="BV50" s="27" t="str">
        <f ca="1">IFERROR(__xludf.DUMMYFUNCTION("""COMPUTED_VALUE"""),"Não")</f>
        <v>Não</v>
      </c>
      <c r="BW50" s="27"/>
      <c r="BX50" s="27" t="str">
        <f ca="1">IFERROR(__xludf.DUMMYFUNCTION("""COMPUTED_VALUE"""),"jacylima.oficial")</f>
        <v>jacylima.oficial</v>
      </c>
      <c r="BY50" s="21" t="str">
        <f ca="1">IFERROR(__xludf.DUMMYFUNCTION("""COMPUTED_VALUE"""),"https://drive.google.com/open?id=1T-DFcSN06gNqxIw969HamOXmT9kVx_TF")</f>
        <v>https://drive.google.com/open?id=1T-DFcSN06gNqxIw969HamOXmT9kVx_TF</v>
      </c>
    </row>
    <row r="51" spans="1:77" ht="12.5" hidden="1" x14ac:dyDescent="0.25">
      <c r="A51" s="21" t="str">
        <f ca="1">IFERROR(__xludf.DUMMYFUNCTION("""COMPUTED_VALUE"""),"0014P00003YSp9rQAD")</f>
        <v>0014P00003YSp9rQAD</v>
      </c>
      <c r="B51" s="27" t="str">
        <f ca="1">IFERROR(__xludf.DUMMYFUNCTION("""COMPUTED_VALUE"""),"Fase Inicial")</f>
        <v>Fase Inicial</v>
      </c>
      <c r="C51" s="27" t="str">
        <f ca="1">IFERROR(__xludf.DUMMYFUNCTION("""COMPUTED_VALUE"""),"Fellow")</f>
        <v>Fellow</v>
      </c>
      <c r="D51" s="27" t="str">
        <f ca="1">IFERROR(__xludf.DUMMYFUNCTION("""COMPUTED_VALUE"""),"Ativo")</f>
        <v>Ativo</v>
      </c>
      <c r="E51" s="27" t="str">
        <f ca="1">IFERROR(__xludf.DUMMYFUNCTION("""COMPUTED_VALUE"""),"Associação Criança Feliz de Sorocaba")</f>
        <v>Associação Criança Feliz de Sorocaba</v>
      </c>
      <c r="F51" s="27" t="str">
        <f ca="1">IFERROR(__xludf.DUMMYFUNCTION("""COMPUTED_VALUE"""),"Luciana")</f>
        <v>Luciana</v>
      </c>
      <c r="G51" s="27"/>
      <c r="H51" s="27" t="str">
        <f ca="1">IFERROR(__xludf.DUMMYFUNCTION("""COMPUTED_VALUE"""),"12.207.727/0001-23")</f>
        <v>12.207.727/0001-23</v>
      </c>
      <c r="I51" s="27" t="str">
        <f ca="1">IFERROR(__xludf.DUMMYFUNCTION("""COMPUTED_VALUE"""),"Iara Gonçalves da Silva")</f>
        <v>Iara Gonçalves da Silva</v>
      </c>
      <c r="J51" s="27" t="str">
        <f ca="1">IFERROR(__xludf.DUMMYFUNCTION("""COMPUTED_VALUE"""),"ssocialasfeliz@gmail.com")</f>
        <v>ssocialasfeliz@gmail.com</v>
      </c>
      <c r="K51" s="27" t="str">
        <f ca="1">IFERROR(__xludf.DUMMYFUNCTION("""COMPUTED_VALUE"""),"(15)99109-1238")</f>
        <v>(15)99109-1238</v>
      </c>
      <c r="L51" s="27" t="str">
        <f ca="1">IFERROR(__xludf.DUMMYFUNCTION("""COMPUTED_VALUE"""),"SP")</f>
        <v>SP</v>
      </c>
      <c r="M51" s="27" t="str">
        <f ca="1">IFERROR(__xludf.DUMMYFUNCTION("""COMPUTED_VALUE"""),"Paes de Linhares")</f>
        <v>Paes de Linhares</v>
      </c>
      <c r="N51" s="27" t="str">
        <f ca="1">IFERROR(__xludf.DUMMYFUNCTION("""COMPUTED_VALUE"""),"Vila Fiori")</f>
        <v>Vila Fiori</v>
      </c>
      <c r="O51" s="27">
        <f ca="1">IFERROR(__xludf.DUMMYFUNCTION("""COMPUTED_VALUE"""),236)</f>
        <v>236</v>
      </c>
      <c r="P51" s="27" t="str">
        <f ca="1">IFERROR(__xludf.DUMMYFUNCTION("""COMPUTED_VALUE"""),"Sorocaba")</f>
        <v>Sorocaba</v>
      </c>
      <c r="Q51" s="27"/>
      <c r="R51" s="27" t="str">
        <f ca="1">IFERROR(__xludf.DUMMYFUNCTION("""COMPUTED_VALUE"""),"18073-630")</f>
        <v>18073-630</v>
      </c>
      <c r="S51" s="27"/>
      <c r="T51" s="27" t="str">
        <f ca="1">IFERROR(__xludf.DUMMYFUNCTION("""COMPUTED_VALUE"""),"Assistência Social")</f>
        <v>Assistência Social</v>
      </c>
      <c r="U51" s="27" t="str">
        <f ca="1">IFERROR(__xludf.DUMMYFUNCTION("""COMPUTED_VALUE"""),"Crianças (6 a 12 anos); Adolescentes (12 aos 18 anos)")</f>
        <v>Crianças (6 a 12 anos); Adolescentes (12 aos 18 anos)</v>
      </c>
      <c r="V51" s="27" t="str">
        <f ca="1">IFERROR(__xludf.DUMMYFUNCTION("""COMPUTED_VALUE"""),"Moradores de Favelas")</f>
        <v>Moradores de Favelas</v>
      </c>
      <c r="W51" s="27">
        <f ca="1">IFERROR(__xludf.DUMMYFUNCTION("""COMPUTED_VALUE"""),17)</f>
        <v>17</v>
      </c>
      <c r="X51" s="27" t="str">
        <f ca="1">IFERROR(__xludf.DUMMYFUNCTION("""COMPUTED_VALUE"""),"Atendemos toda a cidade porém nosso público assim como nossa ong está mais centralizado na Zona Norte da cidade.")</f>
        <v>Atendemos toda a cidade porém nosso público assim como nossa ong está mais centralizado na Zona Norte da cidade.</v>
      </c>
      <c r="Y51" s="27"/>
      <c r="Z51" s="27">
        <f ca="1">IFERROR(__xludf.DUMMYFUNCTION("""COMPUTED_VALUE"""),500)</f>
        <v>500</v>
      </c>
      <c r="AA51" s="29">
        <f ca="1">IFERROR(__xludf.DUMMYFUNCTION("""COMPUTED_VALUE"""),39943)</f>
        <v>39943</v>
      </c>
      <c r="AB51" s="27" t="str">
        <f ca="1">IFERROR(__xludf.DUMMYFUNCTION("""COMPUTED_VALUE"""),"Sim")</f>
        <v>Sim</v>
      </c>
      <c r="AC51" s="27">
        <f ca="1">IFERROR(__xludf.DUMMYFUNCTION("""COMPUTED_VALUE"""),7)</f>
        <v>7</v>
      </c>
      <c r="AD51" s="27">
        <f ca="1">IFERROR(__xludf.DUMMYFUNCTION("""COMPUTED_VALUE"""),7)</f>
        <v>7</v>
      </c>
      <c r="AE51" s="27">
        <f ca="1">IFERROR(__xludf.DUMMYFUNCTION("""COMPUTED_VALUE"""),3)</f>
        <v>3</v>
      </c>
      <c r="AF51" s="27">
        <f ca="1">IFERROR(__xludf.DUMMYFUNCTION("""COMPUTED_VALUE"""),3)</f>
        <v>3</v>
      </c>
      <c r="AG51" s="27">
        <f ca="1">IFERROR(__xludf.DUMMYFUNCTION("""COMPUTED_VALUE"""),3)</f>
        <v>3</v>
      </c>
      <c r="AH51" s="27" t="str">
        <f ca="1">IFERROR(__xludf.DUMMYFUNCTION("""COMPUTED_VALUE"""),"Lei de Incentivo; Convênio Público; Eventos/Ações para captação; Parceria iniciativa privada; Editais; Doações; FIA; Recursos próprios")</f>
        <v>Lei de Incentivo; Convênio Público; Eventos/Ações para captação; Parceria iniciativa privada; Editais; Doações; FIA; Recursos próprios</v>
      </c>
      <c r="AI51" s="27" t="str">
        <f ca="1">IFERROR(__xludf.DUMMYFUNCTION("""COMPUTED_VALUE"""),"São Projetos Diferentes 100% de Projetos FIA (CMDCA e Condeca), 80% Convênio Municipal")</f>
        <v>São Projetos Diferentes 100% de Projetos FIA (CMDCA e Condeca), 80% Convênio Municipal</v>
      </c>
      <c r="AJ51" s="27"/>
      <c r="AK51" s="27"/>
      <c r="AL51" s="21" t="str">
        <f ca="1">IFERROR(__xludf.DUMMYFUNCTION("""COMPUTED_VALUE"""),"0034P000045kxkT")</f>
        <v>0034P000045kxkT</v>
      </c>
      <c r="AM51" s="27" t="str">
        <f ca="1">IFERROR(__xludf.DUMMYFUNCTION("""COMPUTED_VALUE"""),"Mira Dos Santos")</f>
        <v>Mira Dos Santos</v>
      </c>
      <c r="AN51" s="27" t="str">
        <f ca="1">IFERROR(__xludf.DUMMYFUNCTION("""COMPUTED_VALUE"""),"Ativo")</f>
        <v>Ativo</v>
      </c>
      <c r="AO51" s="30">
        <f ca="1">IFERROR(__xludf.DUMMYFUNCTION("""COMPUTED_VALUE"""),44551)</f>
        <v>44551</v>
      </c>
      <c r="AP51" s="27">
        <f ca="1">IFERROR(__xludf.DUMMYFUNCTION("""COMPUTED_VALUE"""),9)</f>
        <v>9</v>
      </c>
      <c r="AQ51" s="27" t="str">
        <f ca="1">IFERROR(__xludf.DUMMYFUNCTION("""COMPUTED_VALUE"""),"Segundo Semestre 2021")</f>
        <v>Segundo Semestre 2021</v>
      </c>
      <c r="AR51" s="27" t="str">
        <f ca="1">IFERROR(__xludf.DUMMYFUNCTION("""COMPUTED_VALUE"""),"anaiculmira@gmail.com")</f>
        <v>anaiculmira@gmail.com</v>
      </c>
      <c r="AS51" s="27" t="str">
        <f ca="1">IFERROR(__xludf.DUMMYFUNCTION("""COMPUTED_VALUE"""),"(15)99109-1238")</f>
        <v>(15)99109-1238</v>
      </c>
      <c r="AT51" s="29">
        <f ca="1">IFERROR(__xludf.DUMMYFUNCTION("""COMPUTED_VALUE"""),28504)</f>
        <v>28504</v>
      </c>
      <c r="AU51" s="27">
        <f ca="1">IFERROR(__xludf.DUMMYFUNCTION("""COMPUTED_VALUE"""),44)</f>
        <v>44</v>
      </c>
      <c r="AV51" s="27">
        <f ca="1">IFERROR(__xludf.DUMMYFUNCTION("""COMPUTED_VALUE"""),27081779824)</f>
        <v>27081779824</v>
      </c>
      <c r="AW51" s="27">
        <f ca="1">IFERROR(__xludf.DUMMYFUNCTION("""COMPUTED_VALUE"""),282550331)</f>
        <v>282550331</v>
      </c>
      <c r="AX51" s="27"/>
      <c r="AY51" s="27"/>
      <c r="AZ51" s="27" t="str">
        <f ca="1">IFERROR(__xludf.DUMMYFUNCTION("""COMPUTED_VALUE"""),"G")</f>
        <v>G</v>
      </c>
      <c r="BA51" s="27" t="str">
        <f ca="1">IFERROR(__xludf.DUMMYFUNCTION("""COMPUTED_VALUE"""),"Branca")</f>
        <v>Branca</v>
      </c>
      <c r="BB51" s="27" t="str">
        <f ca="1">IFERROR(__xludf.DUMMYFUNCTION("""COMPUTED_VALUE"""),"Mulher, cisgênero")</f>
        <v>Mulher, cisgênero</v>
      </c>
      <c r="BC51" s="27" t="str">
        <f ca="1">IFERROR(__xludf.DUMMYFUNCTION("""COMPUTED_VALUE"""),"Sim")</f>
        <v>Sim</v>
      </c>
      <c r="BD51" s="27" t="str">
        <f ca="1">IFERROR(__xludf.DUMMYFUNCTION("""COMPUTED_VALUE"""),"Meu nome é Luciana Mira dos Santos, possuo a graduação em Serviço Social Sou uma das fundadoras de uma Osc de humanização hospitalar que utiliza a figura do palhaço para desenvolver suas ações, os SuperPalhaços. Hoje, trabalho na Associação Criança Feliz "&amp;"de Sorocaba, como assistente social e também com a elaboração de projetos. A ACFS atende crianças e adolescentes de 06 a 18 anos em situação de vulnerabilidade e risco social, com transtornos de aprendizagem.")</f>
        <v>Meu nome é Luciana Mira dos Santos, possuo a graduação em Serviço Social Sou uma das fundadoras de uma Osc de humanização hospitalar que utiliza a figura do palhaço para desenvolver suas ações, os SuperPalhaços. Hoje, trabalho na Associação Criança Feliz de Sorocaba, como assistente social e também com a elaboração de projetos. A ACFS atende crianças e adolescentes de 06 a 18 anos em situação de vulnerabilidade e risco social, com transtornos de aprendizagem.</v>
      </c>
      <c r="BE51" s="27"/>
      <c r="BF51" s="27" t="str">
        <f ca="1">IFERROR(__xludf.DUMMYFUNCTION("""COMPUTED_VALUE"""),"Heterossexual")</f>
        <v>Heterossexual</v>
      </c>
      <c r="BG51" s="27" t="str">
        <f ca="1">IFERROR(__xludf.DUMMYFUNCTION("""COMPUTED_VALUE"""),"Ensino Superior - Completo")</f>
        <v>Ensino Superior - Completo</v>
      </c>
      <c r="BH51" s="27"/>
      <c r="BI51" s="27" t="str">
        <f ca="1">IFERROR(__xludf.DUMMYFUNCTION("""COMPUTED_VALUE"""),"Pós-Graduação")</f>
        <v>Pós-Graduação</v>
      </c>
      <c r="BJ51" s="27" t="str">
        <f ca="1">IFERROR(__xludf.DUMMYFUNCTION("""COMPUTED_VALUE"""),"Privado")</f>
        <v>Privado</v>
      </c>
      <c r="BK51" s="27" t="str">
        <f ca="1">IFERROR(__xludf.DUMMYFUNCTION("""COMPUTED_VALUE"""),"Marilia")</f>
        <v>Marilia</v>
      </c>
      <c r="BL51" s="27">
        <f ca="1">IFERROR(__xludf.DUMMYFUNCTION("""COMPUTED_VALUE"""),277)</f>
        <v>277</v>
      </c>
      <c r="BM51" s="27"/>
      <c r="BN51" s="27" t="str">
        <f ca="1">IFERROR(__xludf.DUMMYFUNCTION("""COMPUTED_VALUE"""),"Sorocaba")</f>
        <v>Sorocaba</v>
      </c>
      <c r="BO51" s="27" t="str">
        <f ca="1">IFERROR(__xludf.DUMMYFUNCTION("""COMPUTED_VALUE"""),"18085-530")</f>
        <v>18085-530</v>
      </c>
      <c r="BP51" s="27" t="str">
        <f ca="1">IFERROR(__xludf.DUMMYFUNCTION("""COMPUTED_VALUE"""),"SP")</f>
        <v>SP</v>
      </c>
      <c r="BQ51" s="27" t="str">
        <f ca="1">IFERROR(__xludf.DUMMYFUNCTION("""COMPUTED_VALUE"""),"Entre 1 até 3 salários mínimos")</f>
        <v>Entre 1 até 3 salários mínimos</v>
      </c>
      <c r="BR51" s="27" t="str">
        <f ca="1">IFERROR(__xludf.DUMMYFUNCTION("""COMPUTED_VALUE"""),"CLT; Desempregado")</f>
        <v>CLT; Desempregado</v>
      </c>
      <c r="BS51" s="27" t="str">
        <f ca="1">IFERROR(__xludf.DUMMYFUNCTION("""COMPUTED_VALUE"""),"Casa própria")</f>
        <v>Casa própria</v>
      </c>
      <c r="BT51" s="27">
        <f ca="1">IFERROR(__xludf.DUMMYFUNCTION("""COMPUTED_VALUE"""),2)</f>
        <v>2</v>
      </c>
      <c r="BU51" s="27" t="str">
        <f ca="1">IFERROR(__xludf.DUMMYFUNCTION("""COMPUTED_VALUE"""),"Não tem")</f>
        <v>Não tem</v>
      </c>
      <c r="BV51" s="27"/>
      <c r="BW51" s="21" t="str">
        <f ca="1">IFERROR(__xludf.DUMMYFUNCTION("""COMPUTED_VALUE"""),"https://www.linkedin.com/in/luciana-mira-b97b34236/")</f>
        <v>https://www.linkedin.com/in/luciana-mira-b97b34236/</v>
      </c>
      <c r="BX51" s="21" t="str">
        <f ca="1">IFERROR(__xludf.DUMMYFUNCTION("""COMPUTED_VALUE"""),"https://instagram.com/miralucianah?igshid=YmMyMTA2M2Y=")</f>
        <v>https://instagram.com/miralucianah?igshid=YmMyMTA2M2Y=</v>
      </c>
      <c r="BY51" s="21" t="str">
        <f ca="1">IFERROR(__xludf.DUMMYFUNCTION("""COMPUTED_VALUE"""),"https://drive.google.com/open?id=1ztvguk7CYKaQV_XpTEEXr4TBWqPXhJc1")</f>
        <v>https://drive.google.com/open?id=1ztvguk7CYKaQV_XpTEEXr4TBWqPXhJc1</v>
      </c>
    </row>
    <row r="52" spans="1:77" ht="12.5" hidden="1" x14ac:dyDescent="0.25">
      <c r="A52" s="21" t="str">
        <f ca="1">IFERROR(__xludf.DUMMYFUNCTION("""COMPUTED_VALUE"""),"0014P00003AN2FkQAL")</f>
        <v>0014P00003AN2FkQAL</v>
      </c>
      <c r="B52" s="27" t="str">
        <f ca="1">IFERROR(__xludf.DUMMYFUNCTION("""COMPUTED_VALUE"""),"Fase Inicial")</f>
        <v>Fase Inicial</v>
      </c>
      <c r="C52" s="27" t="str">
        <f ca="1">IFERROR(__xludf.DUMMYFUNCTION("""COMPUTED_VALUE"""),"Acelerada")</f>
        <v>Acelerada</v>
      </c>
      <c r="D52" s="27" t="str">
        <f ca="1">IFERROR(__xludf.DUMMYFUNCTION("""COMPUTED_VALUE"""),"Ativo")</f>
        <v>Ativo</v>
      </c>
      <c r="E52" s="27" t="str">
        <f ca="1">IFERROR(__xludf.DUMMYFUNCTION("""COMPUTED_VALUE"""),"ASSOCIACAO CULTURAL, DESPORTIVA E DE ACAO SOCIAL REDE PROTAGONISTA")</f>
        <v>ASSOCIACAO CULTURAL, DESPORTIVA E DE ACAO SOCIAL REDE PROTAGONISTA</v>
      </c>
      <c r="F52" s="27" t="str">
        <f ca="1">IFERROR(__xludf.DUMMYFUNCTION("""COMPUTED_VALUE"""),"Gilmar")</f>
        <v>Gilmar</v>
      </c>
      <c r="G52" s="27" t="str">
        <f ca="1">IFERROR(__xludf.DUMMYFUNCTION("""COMPUTED_VALUE"""),"Rede Protagonista")</f>
        <v>Rede Protagonista</v>
      </c>
      <c r="H52" s="27" t="str">
        <f ca="1">IFERROR(__xludf.DUMMYFUNCTION("""COMPUTED_VALUE"""),"42.926.751/0001-83")</f>
        <v>42.926.751/0001-83</v>
      </c>
      <c r="I52" s="27"/>
      <c r="J52" s="27"/>
      <c r="K52" s="27" t="str">
        <f ca="1">IFERROR(__xludf.DUMMYFUNCTION("""COMPUTED_VALUE"""),"(27)99779-7663")</f>
        <v>(27)99779-7663</v>
      </c>
      <c r="L52" s="27" t="str">
        <f ca="1">IFERROR(__xludf.DUMMYFUNCTION("""COMPUTED_VALUE"""),"ES")</f>
        <v>ES</v>
      </c>
      <c r="M52" s="27" t="str">
        <f ca="1">IFERROR(__xludf.DUMMYFUNCTION("""COMPUTED_VALUE"""),"Rua Tancredo Neves")</f>
        <v>Rua Tancredo Neves</v>
      </c>
      <c r="N52" s="27"/>
      <c r="O52" s="27" t="str">
        <f ca="1">IFERROR(__xludf.DUMMYFUNCTION("""COMPUTED_VALUE"""),"(27)99790-7663")</f>
        <v>(27)99790-7663</v>
      </c>
      <c r="P52" s="27" t="str">
        <f ca="1">IFERROR(__xludf.DUMMYFUNCTION("""COMPUTED_VALUE"""),"Vitória")</f>
        <v>Vitória</v>
      </c>
      <c r="Q52" s="27"/>
      <c r="R52" s="27" t="str">
        <f ca="1">IFERROR(__xludf.DUMMYFUNCTION("""COMPUTED_VALUE"""),"29032-567")</f>
        <v>29032-567</v>
      </c>
      <c r="S52" s="27" t="str">
        <f ca="1">IFERROR(__xludf.DUMMYFUNCTION("""COMPUTED_VALUE"""),"Normalmente realizamos nossas atividades de polo cultural esportivo no CMEI e CRAS porém devido a pandemia não não estamos realizando atividades presenciais.")</f>
        <v>Normalmente realizamos nossas atividades de polo cultural esportivo no CMEI e CRAS porém devido a pandemia não não estamos realizando atividades presenciais.</v>
      </c>
      <c r="T52" s="27" t="str">
        <f ca="1">IFERROR(__xludf.DUMMYFUNCTION("""COMPUTED_VALUE"""),"Esporte; Educação; Empregabilidade; Cultura; Qualificação Profissional; Empreendedorismo; Saúde; Empoderamento Feminino; Negócios Sociais; Desenvolvimento comunitário")</f>
        <v>Esporte; Educação; Empregabilidade; Cultura; Qualificação Profissional; Empreendedorismo; Saúde; Empoderamento Feminino; Negócios Sociais; Desenvolvimento comunitário</v>
      </c>
      <c r="U52" s="27" t="str">
        <f ca="1">IFERROR(__xludf.DUMMYFUNCTION("""COMPUTED_VALUE"""),"Crianças (6 a 12 anos); Adolescentes (12 aos 18 anos); Jovens (18 aos 24 anos); Adultos; Idosos (60 anos ou mais)")</f>
        <v>Crianças (6 a 12 anos); Adolescentes (12 aos 18 anos); Jovens (18 aos 24 anos); Adultos; Idosos (60 anos ou mais)</v>
      </c>
      <c r="V52" s="27" t="str">
        <f ca="1">IFERROR(__xludf.DUMMYFUNCTION("""COMPUTED_VALUE"""),"Moradores de Favelas; Outros")</f>
        <v>Moradores de Favelas; Outros</v>
      </c>
      <c r="W52" s="27">
        <f ca="1">IFERROR(__xludf.DUMMYFUNCTION("""COMPUTED_VALUE"""),20)</f>
        <v>20</v>
      </c>
      <c r="X52" s="27"/>
      <c r="Y52" s="27"/>
      <c r="Z52" s="27"/>
      <c r="AA52" s="29">
        <f ca="1">IFERROR(__xludf.DUMMYFUNCTION("""COMPUTED_VALUE"""),43893)</f>
        <v>43893</v>
      </c>
      <c r="AB52" s="27" t="str">
        <f ca="1">IFERROR(__xludf.DUMMYFUNCTION("""COMPUTED_VALUE"""),"Não")</f>
        <v>Não</v>
      </c>
      <c r="AC52" s="27">
        <f ca="1">IFERROR(__xludf.DUMMYFUNCTION("""COMPUTED_VALUE"""),0)</f>
        <v>0</v>
      </c>
      <c r="AD52" s="27">
        <f ca="1">IFERROR(__xludf.DUMMYFUNCTION("""COMPUTED_VALUE"""),0)</f>
        <v>0</v>
      </c>
      <c r="AE52" s="27">
        <f ca="1">IFERROR(__xludf.DUMMYFUNCTION("""COMPUTED_VALUE"""),12)</f>
        <v>12</v>
      </c>
      <c r="AF52" s="27">
        <f ca="1">IFERROR(__xludf.DUMMYFUNCTION("""COMPUTED_VALUE"""),5)</f>
        <v>5</v>
      </c>
      <c r="AG52" s="27">
        <f ca="1">IFERROR(__xludf.DUMMYFUNCTION("""COMPUTED_VALUE"""),4)</f>
        <v>4</v>
      </c>
      <c r="AH52" s="27" t="str">
        <f ca="1">IFERROR(__xludf.DUMMYFUNCTION("""COMPUTED_VALUE"""),"Negócio Social; Eventos/Ações para captação; Plataforma doação online - Pessoa Física; Doações")</f>
        <v>Negócio Social; Eventos/Ações para captação; Plataforma doação online - Pessoa Física; Doações</v>
      </c>
      <c r="AI52" s="27" t="str">
        <f ca="1">IFERROR(__xludf.DUMMYFUNCTION("""COMPUTED_VALUE"""),"Doação online 30% Negócio social 80%")</f>
        <v>Doação online 30% Negócio social 80%</v>
      </c>
      <c r="AJ52" s="27" t="str">
        <f ca="1">IFERROR(__xludf.DUMMYFUNCTION("""COMPUTED_VALUE"""),"Não")</f>
        <v>Não</v>
      </c>
      <c r="AK52" s="27" t="str">
        <f ca="1">IFERROR(__xludf.DUMMYFUNCTION("""COMPUTED_VALUE"""),"Sim")</f>
        <v>Sim</v>
      </c>
      <c r="AL52" s="21" t="str">
        <f ca="1">IFERROR(__xludf.DUMMYFUNCTION("""COMPUTED_VALUE"""),"0034P00003maBVA")</f>
        <v>0034P00003maBVA</v>
      </c>
      <c r="AM52" s="27" t="str">
        <f ca="1">IFERROR(__xludf.DUMMYFUNCTION("""COMPUTED_VALUE"""),"Lima Dos Santos")</f>
        <v>Lima Dos Santos</v>
      </c>
      <c r="AN52" s="27" t="str">
        <f ca="1">IFERROR(__xludf.DUMMYFUNCTION("""COMPUTED_VALUE"""),"Ativo")</f>
        <v>Ativo</v>
      </c>
      <c r="AO52" s="30">
        <f ca="1">IFERROR(__xludf.DUMMYFUNCTION("""COMPUTED_VALUE"""),44151)</f>
        <v>44151</v>
      </c>
      <c r="AP52" s="27">
        <f ca="1">IFERROR(__xludf.DUMMYFUNCTION("""COMPUTED_VALUE"""),22)</f>
        <v>22</v>
      </c>
      <c r="AQ52" s="27" t="str">
        <f ca="1">IFERROR(__xludf.DUMMYFUNCTION("""COMPUTED_VALUE"""),"Primeiro Semestre 2020")</f>
        <v>Primeiro Semestre 2020</v>
      </c>
      <c r="AR52" s="27" t="str">
        <f ca="1">IFERROR(__xludf.DUMMYFUNCTION("""COMPUTED_VALUE"""),"gillmarsantoslima@hotmail.com")</f>
        <v>gillmarsantoslima@hotmail.com</v>
      </c>
      <c r="AS52" s="27" t="str">
        <f ca="1">IFERROR(__xludf.DUMMYFUNCTION("""COMPUTED_VALUE"""),"(27)99790-7663")</f>
        <v>(27)99790-7663</v>
      </c>
      <c r="AT52" s="29">
        <f ca="1">IFERROR(__xludf.DUMMYFUNCTION("""COMPUTED_VALUE"""),30128)</f>
        <v>30128</v>
      </c>
      <c r="AU52" s="27">
        <f ca="1">IFERROR(__xludf.DUMMYFUNCTION("""COMPUTED_VALUE"""),40)</f>
        <v>40</v>
      </c>
      <c r="AV52" s="27">
        <f ca="1">IFERROR(__xludf.DUMMYFUNCTION("""COMPUTED_VALUE"""),9208962784)</f>
        <v>9208962784</v>
      </c>
      <c r="AW52" s="27" t="str">
        <f ca="1">IFERROR(__xludf.DUMMYFUNCTION("""COMPUTED_VALUE"""),"1898098ES")</f>
        <v>1898098ES</v>
      </c>
      <c r="AX52" s="27" t="str">
        <f ca="1">IFERROR(__xludf.DUMMYFUNCTION("""COMPUTED_VALUE"""),"Educador Social")</f>
        <v>Educador Social</v>
      </c>
      <c r="AY52" s="27"/>
      <c r="AZ52" s="27" t="str">
        <f ca="1">IFERROR(__xludf.DUMMYFUNCTION("""COMPUTED_VALUE"""),"P")</f>
        <v>P</v>
      </c>
      <c r="BA52" s="27"/>
      <c r="BB52" s="27"/>
      <c r="BC52" s="27" t="str">
        <f ca="1">IFERROR(__xludf.DUMMYFUNCTION("""COMPUTED_VALUE"""),"Sim")</f>
        <v>Sim</v>
      </c>
      <c r="BD52" s="27" t="str">
        <f ca="1">IFERROR(__xludf.DUMMYFUNCTION("""COMPUTED_VALUE"""),"Gilmar Lima. CEO e fundador da Rede Protagonista. 
39 anos, quando criança era aluno do projeto social vale da Esperança, onde se desenvolveu e foi sua faculdade da vida. Desde 2000 vem atuando na comunidade através de ações para melhorar o desenvolvimen"&amp;"to da comunidade e levar oportunidades transformadoras para dentro das comunidades periféricas do ES.")</f>
        <v>Gilmar Lima. CEO e fundador da Rede Protagonista. 
39 anos, quando criança era aluno do projeto social vale da Esperança, onde se desenvolveu e foi sua faculdade da vida. Desde 2000 vem atuando na comunidade através de ações para melhorar o desenvolvimento da comunidade e levar oportunidades transformadoras para dentro das comunidades periféricas do ES.</v>
      </c>
      <c r="BE52" s="27"/>
      <c r="BF52" s="27"/>
      <c r="BG52" s="27" t="str">
        <f ca="1">IFERROR(__xludf.DUMMYFUNCTION("""COMPUTED_VALUE"""),"Ensino Fundamento - Completo")</f>
        <v>Ensino Fundamento - Completo</v>
      </c>
      <c r="BH52" s="27"/>
      <c r="BI52" s="27"/>
      <c r="BJ52" s="27"/>
      <c r="BK52" s="27" t="str">
        <f ca="1">IFERROR(__xludf.DUMMYFUNCTION("""COMPUTED_VALUE"""),"Rua Tancredo Neves")</f>
        <v>Rua Tancredo Neves</v>
      </c>
      <c r="BL52" s="27">
        <f ca="1">IFERROR(__xludf.DUMMYFUNCTION("""COMPUTED_VALUE"""),165)</f>
        <v>165</v>
      </c>
      <c r="BM52" s="27" t="str">
        <f ca="1">IFERROR(__xludf.DUMMYFUNCTION("""COMPUTED_VALUE"""),"Ao lado do estacionamento do CMEI Anizio Spindola Texeira")</f>
        <v>Ao lado do estacionamento do CMEI Anizio Spindola Texeira</v>
      </c>
      <c r="BN52" s="27" t="str">
        <f ca="1">IFERROR(__xludf.DUMMYFUNCTION("""COMPUTED_VALUE"""),"Vitória")</f>
        <v>Vitória</v>
      </c>
      <c r="BO52" s="27" t="str">
        <f ca="1">IFERROR(__xludf.DUMMYFUNCTION("""COMPUTED_VALUE"""),"29032-567")</f>
        <v>29032-567</v>
      </c>
      <c r="BP52" s="27" t="str">
        <f ca="1">IFERROR(__xludf.DUMMYFUNCTION("""COMPUTED_VALUE"""),"ES")</f>
        <v>ES</v>
      </c>
      <c r="BQ52" s="27" t="str">
        <f ca="1">IFERROR(__xludf.DUMMYFUNCTION("""COMPUTED_VALUE"""),"Entre 1 até 3 salários mínimos")</f>
        <v>Entre 1 até 3 salários mínimos</v>
      </c>
      <c r="BR52" s="27" t="str">
        <f ca="1">IFERROR(__xludf.DUMMYFUNCTION("""COMPUTED_VALUE"""),"Desempregado")</f>
        <v>Desempregado</v>
      </c>
      <c r="BS52" s="27" t="str">
        <f ca="1">IFERROR(__xludf.DUMMYFUNCTION("""COMPUTED_VALUE"""),"Casa cedida")</f>
        <v>Casa cedida</v>
      </c>
      <c r="BT52" s="27">
        <f ca="1">IFERROR(__xludf.DUMMYFUNCTION("""COMPUTED_VALUE"""),2)</f>
        <v>2</v>
      </c>
      <c r="BU52" s="27"/>
      <c r="BV52" s="27"/>
      <c r="BW52" s="21" t="str">
        <f ca="1">IFERROR(__xludf.DUMMYFUNCTION("""COMPUTED_VALUE"""),"https://www.linkedin.com/in/gilmar-lima-a34b45161")</f>
        <v>https://www.linkedin.com/in/gilmar-lima-a34b45161</v>
      </c>
      <c r="BX52" s="21" t="str">
        <f ca="1">IFERROR(__xludf.DUMMYFUNCTION("""COMPUTED_VALUE"""),"https://instagram.com/gilmarlimafoco?utm_medium=copy_link")</f>
        <v>https://instagram.com/gilmarlimafoco?utm_medium=copy_link</v>
      </c>
      <c r="BY52" s="21" t="str">
        <f ca="1">IFERROR(__xludf.DUMMYFUNCTION("""COMPUTED_VALUE"""),"https://drive.google.com/open?id=1WRxtyLgynDfR3A3pp3GuqarNaGfwgt-8")</f>
        <v>https://drive.google.com/open?id=1WRxtyLgynDfR3A3pp3GuqarNaGfwgt-8</v>
      </c>
    </row>
    <row r="53" spans="1:77" ht="12.5" hidden="1" x14ac:dyDescent="0.25">
      <c r="A53" s="21" t="str">
        <f ca="1">IFERROR(__xludf.DUMMYFUNCTION("""COMPUTED_VALUE"""),"0014P00003AN2GLQA1")</f>
        <v>0014P00003AN2GLQA1</v>
      </c>
      <c r="B53" s="27" t="str">
        <f ca="1">IFERROR(__xludf.DUMMYFUNCTION("""COMPUTED_VALUE"""),"Fase Estruturação")</f>
        <v>Fase Estruturação</v>
      </c>
      <c r="C53" s="27" t="str">
        <f ca="1">IFERROR(__xludf.DUMMYFUNCTION("""COMPUTED_VALUE"""),"Acelerada")</f>
        <v>Acelerada</v>
      </c>
      <c r="D53" s="27" t="str">
        <f ca="1">IFERROR(__xludf.DUMMYFUNCTION("""COMPUTED_VALUE"""),"Ativo")</f>
        <v>Ativo</v>
      </c>
      <c r="E53" s="27" t="str">
        <f ca="1">IFERROR(__xludf.DUMMYFUNCTION("""COMPUTED_VALUE"""),"Associação Cultural Arautos do Gueto")</f>
        <v>Associação Cultural Arautos do Gueto</v>
      </c>
      <c r="F53" s="27" t="str">
        <f ca="1">IFERROR(__xludf.DUMMYFUNCTION("""COMPUTED_VALUE"""),"Anderson")</f>
        <v>Anderson</v>
      </c>
      <c r="G53" s="27" t="str">
        <f ca="1">IFERROR(__xludf.DUMMYFUNCTION("""COMPUTED_VALUE"""),"ARAUTOS DO GUETO")</f>
        <v>ARAUTOS DO GUETO</v>
      </c>
      <c r="H53" s="27" t="str">
        <f ca="1">IFERROR(__xludf.DUMMYFUNCTION("""COMPUTED_VALUE"""),"04.027.134/0001-57")</f>
        <v>04.027.134/0001-57</v>
      </c>
      <c r="I53" s="27"/>
      <c r="J53" s="27" t="str">
        <f ca="1">IFERROR(__xludf.DUMMYFUNCTION("""COMPUTED_VALUE"""),"dodopercu@hotmail.com")</f>
        <v>dodopercu@hotmail.com</v>
      </c>
      <c r="K53" s="27" t="str">
        <f ca="1">IFERROR(__xludf.DUMMYFUNCTION("""COMPUTED_VALUE"""),"(31)99154-2939")</f>
        <v>(31)99154-2939</v>
      </c>
      <c r="L53" s="27" t="str">
        <f ca="1">IFERROR(__xludf.DUMMYFUNCTION("""COMPUTED_VALUE"""),"MG")</f>
        <v>MG</v>
      </c>
      <c r="M53" s="27" t="str">
        <f ca="1">IFERROR(__xludf.DUMMYFUNCTION("""COMPUTED_VALUE"""),"rua frança")</f>
        <v>rua frança</v>
      </c>
      <c r="N53" s="27"/>
      <c r="O53" s="27" t="str">
        <f ca="1">IFERROR(__xludf.DUMMYFUNCTION("""COMPUTED_VALUE"""),"(31)99154-2939")</f>
        <v>(31)99154-2939</v>
      </c>
      <c r="P53" s="27" t="str">
        <f ca="1">IFERROR(__xludf.DUMMYFUNCTION("""COMPUTED_VALUE"""),"belo horizonte")</f>
        <v>belo horizonte</v>
      </c>
      <c r="Q53" s="27"/>
      <c r="R53" s="27" t="str">
        <f ca="1">IFERROR(__xludf.DUMMYFUNCTION("""COMPUTED_VALUE"""),"30421-418")</f>
        <v>30421-418</v>
      </c>
      <c r="S53" s="27" t="str">
        <f ca="1">IFERROR(__xludf.DUMMYFUNCTION("""COMPUTED_VALUE"""),"Rua Oscar Trompowsky 1372 Grajaú  cep 30440000 vila São Jorge")</f>
        <v>Rua Oscar Trompowsky 1372 Grajaú  cep 30440000 vila São Jorge</v>
      </c>
      <c r="T53" s="27" t="str">
        <f ca="1">IFERROR(__xludf.DUMMYFUNCTION("""COMPUTED_VALUE"""),"Esporte; Educação; Empregabilidade; Cultura; Qualificação Profissional; Negócios Sociais; Apoio à gestão de organizações de Terceiro Setor; Assistência Psicológica; Desenvolvimento comunitário")</f>
        <v>Esporte; Educação; Empregabilidade; Cultura; Qualificação Profissional; Negócios Sociais; Apoio à gestão de organizações de Terceiro Setor; Assistência Psicológica; Desenvolvimento comunitário</v>
      </c>
      <c r="U53" s="27" t="str">
        <f ca="1">IFERROR(__xludf.DUMMYFUNCTION("""COMPUTED_VALUE"""),"Crianças (6 a 12 anos); Adolescentes (12 aos 18 anos); Jovens (18 aos 24 anos); Adultos; Idosos (60 anos ou mais)")</f>
        <v>Crianças (6 a 12 anos); Adolescentes (12 aos 18 anos); Jovens (18 aos 24 anos); Adultos; Idosos (60 anos ou mais)</v>
      </c>
      <c r="V53" s="27" t="str">
        <f ca="1">IFERROR(__xludf.DUMMYFUNCTION("""COMPUTED_VALUE"""),"Moradores de Favelas")</f>
        <v>Moradores de Favelas</v>
      </c>
      <c r="W53" s="27">
        <f ca="1">IFERROR(__xludf.DUMMYFUNCTION("""COMPUTED_VALUE"""),2)</f>
        <v>2</v>
      </c>
      <c r="X53" s="27"/>
      <c r="Y53" s="27"/>
      <c r="Z53" s="27"/>
      <c r="AA53" s="29">
        <f ca="1">IFERROR(__xludf.DUMMYFUNCTION("""COMPUTED_VALUE"""),35293)</f>
        <v>35293</v>
      </c>
      <c r="AB53" s="27" t="str">
        <f ca="1">IFERROR(__xludf.DUMMYFUNCTION("""COMPUTED_VALUE"""),"Sim")</f>
        <v>Sim</v>
      </c>
      <c r="AC53" s="27">
        <f ca="1">IFERROR(__xludf.DUMMYFUNCTION("""COMPUTED_VALUE"""),13)</f>
        <v>13</v>
      </c>
      <c r="AD53" s="27">
        <f ca="1">IFERROR(__xludf.DUMMYFUNCTION("""COMPUTED_VALUE"""),9)</f>
        <v>9</v>
      </c>
      <c r="AE53" s="27">
        <f ca="1">IFERROR(__xludf.DUMMYFUNCTION("""COMPUTED_VALUE"""),12)</f>
        <v>12</v>
      </c>
      <c r="AF53" s="27">
        <f ca="1">IFERROR(__xludf.DUMMYFUNCTION("""COMPUTED_VALUE"""),1)</f>
        <v>1</v>
      </c>
      <c r="AG53" s="27">
        <f ca="1">IFERROR(__xludf.DUMMYFUNCTION("""COMPUTED_VALUE"""),4)</f>
        <v>4</v>
      </c>
      <c r="AH53" s="27" t="str">
        <f ca="1">IFERROR(__xludf.DUMMYFUNCTION("""COMPUTED_VALUE"""),"Lei de Incentivo; Negócio Social; Eventos/Ações para captação; Plataforma doação online - Pessoa Física; Parceria iniciativa privada; Editais; Doações; Lei Rouanet")</f>
        <v>Lei de Incentivo; Negócio Social; Eventos/Ações para captação; Plataforma doação online - Pessoa Física; Parceria iniciativa privada; Editais; Doações; Lei Rouanet</v>
      </c>
      <c r="AI53" s="27" t="str">
        <f ca="1">IFERROR(__xludf.DUMMYFUNCTION("""COMPUTED_VALUE"""),"80% lei federal")</f>
        <v>80% lei federal</v>
      </c>
      <c r="AJ53" s="27" t="str">
        <f ca="1">IFERROR(__xludf.DUMMYFUNCTION("""COMPUTED_VALUE"""),"Sim")</f>
        <v>Sim</v>
      </c>
      <c r="AK53" s="27" t="str">
        <f ca="1">IFERROR(__xludf.DUMMYFUNCTION("""COMPUTED_VALUE"""),"Sim")</f>
        <v>Sim</v>
      </c>
      <c r="AL53" s="21" t="str">
        <f ca="1">IFERROR(__xludf.DUMMYFUNCTION("""COMPUTED_VALUE"""),"0034P00003maBVq")</f>
        <v>0034P00003maBVq</v>
      </c>
      <c r="AM53" s="27" t="str">
        <f ca="1">IFERROR(__xludf.DUMMYFUNCTION("""COMPUTED_VALUE"""),"Da Silva")</f>
        <v>Da Silva</v>
      </c>
      <c r="AN53" s="27" t="str">
        <f ca="1">IFERROR(__xludf.DUMMYFUNCTION("""COMPUTED_VALUE"""),"Ativo")</f>
        <v>Ativo</v>
      </c>
      <c r="AO53" s="29">
        <f ca="1">IFERROR(__xludf.DUMMYFUNCTION("""COMPUTED_VALUE"""),44075)</f>
        <v>44075</v>
      </c>
      <c r="AP53" s="27">
        <f ca="1">IFERROR(__xludf.DUMMYFUNCTION("""COMPUTED_VALUE"""),24)</f>
        <v>24</v>
      </c>
      <c r="AQ53" s="27" t="str">
        <f ca="1">IFERROR(__xludf.DUMMYFUNCTION("""COMPUTED_VALUE"""),"Segundo Semestre 2020")</f>
        <v>Segundo Semestre 2020</v>
      </c>
      <c r="AR53" s="27" t="str">
        <f ca="1">IFERROR(__xludf.DUMMYFUNCTION("""COMPUTED_VALUE"""),"dodopercu@hotmail.com")</f>
        <v>dodopercu@hotmail.com</v>
      </c>
      <c r="AS53" s="27" t="str">
        <f ca="1">IFERROR(__xludf.DUMMYFUNCTION("""COMPUTED_VALUE"""),"(31)99154-2939")</f>
        <v>(31)99154-2939</v>
      </c>
      <c r="AT53" s="29">
        <f ca="1">IFERROR(__xludf.DUMMYFUNCTION("""COMPUTED_VALUE"""),30420)</f>
        <v>30420</v>
      </c>
      <c r="AU53" s="27">
        <f ca="1">IFERROR(__xludf.DUMMYFUNCTION("""COMPUTED_VALUE"""),39)</f>
        <v>39</v>
      </c>
      <c r="AV53" s="27">
        <f ca="1">IFERROR(__xludf.DUMMYFUNCTION("""COMPUTED_VALUE"""),6219875656)</f>
        <v>6219875656</v>
      </c>
      <c r="AW53" s="27" t="str">
        <f ca="1">IFERROR(__xludf.DUMMYFUNCTION("""COMPUTED_VALUE"""),"Mg11671624")</f>
        <v>Mg11671624</v>
      </c>
      <c r="AX53" s="27" t="str">
        <f ca="1">IFERROR(__xludf.DUMMYFUNCTION("""COMPUTED_VALUE"""),"Formação em musica")</f>
        <v>Formação em musica</v>
      </c>
      <c r="AY53" s="27"/>
      <c r="AZ53" s="27" t="str">
        <f ca="1">IFERROR(__xludf.DUMMYFUNCTION("""COMPUTED_VALUE"""),"G1")</f>
        <v>G1</v>
      </c>
      <c r="BA53" s="27"/>
      <c r="BB53" s="27"/>
      <c r="BC53" s="27" t="str">
        <f ca="1">IFERROR(__xludf.DUMMYFUNCTION("""COMPUTED_VALUE"""),"Sim")</f>
        <v>Sim</v>
      </c>
      <c r="BD53" s="27" t="str">
        <f ca="1">IFERROR(__xludf.DUMMYFUNCTION("""COMPUTED_VALUE"""),"Nascido e criado no Morro das Pedras, região Oeste de Belo Horizonte, Anderson Silva também é conhecido por Dodó, pai da Isabella e da Isadora, marido da Ana Carolina, iniciou sua carreira musical com 8 anos de idade e aos 13 anos fundou o Grupo Cultural "&amp;"Arautos do Gueto, tocou com vários artistas mineiros, se tornou arte educador em percussão. Em 2020 entrou como acelerado na maior rede de lideres sociais do Brasil, a rede GERANDO FALCÕES. De um jovem sonhador e um jovem que vive seu sonho.")</f>
        <v>Nascido e criado no Morro das Pedras, região Oeste de Belo Horizonte, Anderson Silva também é conhecido por Dodó, pai da Isabella e da Isadora, marido da Ana Carolina, iniciou sua carreira musical com 8 anos de idade e aos 13 anos fundou o Grupo Cultural Arautos do Gueto, tocou com vários artistas mineiros, se tornou arte educador em percussão. Em 2020 entrou como acelerado na maior rede de lideres sociais do Brasil, a rede GERANDO FALCÕES. De um jovem sonhador e um jovem que vive seu sonho.</v>
      </c>
      <c r="BE53" s="27"/>
      <c r="BF53" s="27"/>
      <c r="BG53" s="27" t="str">
        <f ca="1">IFERROR(__xludf.DUMMYFUNCTION("""COMPUTED_VALUE"""),"Ensino Médio - Completo")</f>
        <v>Ensino Médio - Completo</v>
      </c>
      <c r="BH53" s="27"/>
      <c r="BI53" s="27"/>
      <c r="BJ53" s="27" t="str">
        <f ca="1">IFERROR(__xludf.DUMMYFUNCTION("""COMPUTED_VALUE"""),"Público")</f>
        <v>Público</v>
      </c>
      <c r="BK53" s="27" t="str">
        <f ca="1">IFERROR(__xludf.DUMMYFUNCTION("""COMPUTED_VALUE"""),"Rua marechal jofre")</f>
        <v>Rua marechal jofre</v>
      </c>
      <c r="BL53" s="27">
        <f ca="1">IFERROR(__xludf.DUMMYFUNCTION("""COMPUTED_VALUE"""),177)</f>
        <v>177</v>
      </c>
      <c r="BM53" s="27" t="str">
        <f ca="1">IFERROR(__xludf.DUMMYFUNCTION("""COMPUTED_VALUE"""),"apto 202")</f>
        <v>apto 202</v>
      </c>
      <c r="BN53" s="27" t="str">
        <f ca="1">IFERROR(__xludf.DUMMYFUNCTION("""COMPUTED_VALUE"""),"belo horizonte")</f>
        <v>belo horizonte</v>
      </c>
      <c r="BO53" s="27" t="str">
        <f ca="1">IFERROR(__xludf.DUMMYFUNCTION("""COMPUTED_VALUE"""),"30431-370")</f>
        <v>30431-370</v>
      </c>
      <c r="BP53" s="27" t="str">
        <f ca="1">IFERROR(__xludf.DUMMYFUNCTION("""COMPUTED_VALUE"""),"MG")</f>
        <v>MG</v>
      </c>
      <c r="BQ53" s="27" t="str">
        <f ca="1">IFERROR(__xludf.DUMMYFUNCTION("""COMPUTED_VALUE"""),"De 3 até 5 salários mínimos")</f>
        <v>De 3 até 5 salários mínimos</v>
      </c>
      <c r="BR53" s="27" t="str">
        <f ca="1">IFERROR(__xludf.DUMMYFUNCTION("""COMPUTED_VALUE"""),"CLT")</f>
        <v>CLT</v>
      </c>
      <c r="BS53" s="27" t="str">
        <f ca="1">IFERROR(__xludf.DUMMYFUNCTION("""COMPUTED_VALUE"""),"Aluguel")</f>
        <v>Aluguel</v>
      </c>
      <c r="BT53" s="27">
        <f ca="1">IFERROR(__xludf.DUMMYFUNCTION("""COMPUTED_VALUE"""),3)</f>
        <v>3</v>
      </c>
      <c r="BU53" s="27"/>
      <c r="BV53" s="27"/>
      <c r="BW53" s="27"/>
      <c r="BX53" s="21" t="str">
        <f ca="1">IFERROR(__xludf.DUMMYFUNCTION("""COMPUTED_VALUE"""),"https://instagram.com/dodo_silva.of?utm_medium=copy_link")</f>
        <v>https://instagram.com/dodo_silva.of?utm_medium=copy_link</v>
      </c>
      <c r="BY53" s="21" t="str">
        <f ca="1">IFERROR(__xludf.DUMMYFUNCTION("""COMPUTED_VALUE"""),"https://drive.google.com/open?id=1EKY3CYmJx8lpAODcH9_s8EHaiUhRnlGH")</f>
        <v>https://drive.google.com/open?id=1EKY3CYmJx8lpAODcH9_s8EHaiUhRnlGH</v>
      </c>
    </row>
    <row r="54" spans="1:77" ht="12.5" hidden="1" x14ac:dyDescent="0.25">
      <c r="A54" s="21" t="str">
        <f ca="1">IFERROR(__xludf.DUMMYFUNCTION("""COMPUTED_VALUE"""),"0014X00002VKCqPQAX")</f>
        <v>0014X00002VKCqPQAX</v>
      </c>
      <c r="B54" s="27" t="str">
        <f ca="1">IFERROR(__xludf.DUMMYFUNCTION("""COMPUTED_VALUE"""),"Fase Inicial")</f>
        <v>Fase Inicial</v>
      </c>
      <c r="C54" s="27" t="str">
        <f ca="1">IFERROR(__xludf.DUMMYFUNCTION("""COMPUTED_VALUE"""),"Fellow")</f>
        <v>Fellow</v>
      </c>
      <c r="D54" s="27" t="str">
        <f ca="1">IFERROR(__xludf.DUMMYFUNCTION("""COMPUTED_VALUE"""),"Ativo")</f>
        <v>Ativo</v>
      </c>
      <c r="E54" s="27" t="str">
        <f ca="1">IFERROR(__xludf.DUMMYFUNCTION("""COMPUTED_VALUE"""),"ASSOCIACAO CULTURAL BELEZA INTERIOR")</f>
        <v>ASSOCIACAO CULTURAL BELEZA INTERIOR</v>
      </c>
      <c r="F54" s="27" t="str">
        <f ca="1">IFERROR(__xludf.DUMMYFUNCTION("""COMPUTED_VALUE"""),"Paulo")</f>
        <v>Paulo</v>
      </c>
      <c r="G54" s="27" t="str">
        <f ca="1">IFERROR(__xludf.DUMMYFUNCTION("""COMPUTED_VALUE"""),"INSTITUTO BELEZA INTERIOR")</f>
        <v>INSTITUTO BELEZA INTERIOR</v>
      </c>
      <c r="H54" s="27" t="str">
        <f ca="1">IFERROR(__xludf.DUMMYFUNCTION("""COMPUTED_VALUE"""),"40.466.946/0001-62")</f>
        <v>40.466.946/0001-62</v>
      </c>
      <c r="I54" s="27" t="str">
        <f ca="1">IFERROR(__xludf.DUMMYFUNCTION("""COMPUTED_VALUE"""),"Paulo Mendes Silva")</f>
        <v>Paulo Mendes Silva</v>
      </c>
      <c r="J54" s="27" t="str">
        <f ca="1">IFERROR(__xludf.DUMMYFUNCTION("""COMPUTED_VALUE"""),"institutobelezainterior@gmail.com")</f>
        <v>institutobelezainterior@gmail.com</v>
      </c>
      <c r="K54" s="27" t="str">
        <f ca="1">IFERROR(__xludf.DUMMYFUNCTION("""COMPUTED_VALUE"""),"(88)99330-1110")</f>
        <v>(88)99330-1110</v>
      </c>
      <c r="L54" s="27" t="str">
        <f ca="1">IFERROR(__xludf.DUMMYFUNCTION("""COMPUTED_VALUE"""),"CE")</f>
        <v>CE</v>
      </c>
      <c r="M54" s="27" t="str">
        <f ca="1">IFERROR(__xludf.DUMMYFUNCTION("""COMPUTED_VALUE"""),"Projetada 01")</f>
        <v>Projetada 01</v>
      </c>
      <c r="N54" s="27" t="str">
        <f ca="1">IFERROR(__xludf.DUMMYFUNCTION("""COMPUTED_VALUE"""),"Nossa Senhora de Fátima")</f>
        <v>Nossa Senhora de Fátima</v>
      </c>
      <c r="O54" s="27">
        <f ca="1">IFERROR(__xludf.DUMMYFUNCTION("""COMPUTED_VALUE"""),268)</f>
        <v>268</v>
      </c>
      <c r="P54" s="27" t="str">
        <f ca="1">IFERROR(__xludf.DUMMYFUNCTION("""COMPUTED_VALUE"""),"Alto Santo - Ce")</f>
        <v>Alto Santo - Ce</v>
      </c>
      <c r="Q54" s="27"/>
      <c r="R54" s="27" t="str">
        <f ca="1">IFERROR(__xludf.DUMMYFUNCTION("""COMPUTED_VALUE"""),"62970-000")</f>
        <v>62970-000</v>
      </c>
      <c r="S54" s="27"/>
      <c r="T54" s="27"/>
      <c r="U54" s="27" t="str">
        <f ca="1">IFERROR(__xludf.DUMMYFUNCTION("""COMPUTED_VALUE"""),"Crianças (6 a 12 anos), Adolescentes (12 aos 18 anos)")</f>
        <v>Crianças (6 a 12 anos), Adolescentes (12 aos 18 anos)</v>
      </c>
      <c r="V54" s="27" t="str">
        <f ca="1">IFERROR(__xludf.DUMMYFUNCTION("""COMPUTED_VALUE"""),"Moradores de Favelas, População LGBTQ+, Povos Indígenas, Pessoas com Deficiência")</f>
        <v>Moradores de Favelas, População LGBTQ+, Povos Indígenas, Pessoas com Deficiência</v>
      </c>
      <c r="W54" s="27">
        <f ca="1">IFERROR(__xludf.DUMMYFUNCTION("""COMPUTED_VALUE"""),3)</f>
        <v>3</v>
      </c>
      <c r="X54" s="27" t="str">
        <f ca="1">IFERROR(__xludf.DUMMYFUNCTION("""COMPUTED_VALUE"""),"Em nossa região não temos locais com a denominação de favelas* então citeis três regiões onde atentemos e existe uma taxa de vulnerabilidades e violência maiores.")</f>
        <v>Em nossa região não temos locais com a denominação de favelas* então citeis três regiões onde atentemos e existe uma taxa de vulnerabilidades e violência maiores.</v>
      </c>
      <c r="Y54" s="27"/>
      <c r="Z54" s="27">
        <f ca="1">IFERROR(__xludf.DUMMYFUNCTION("""COMPUTED_VALUE"""),600)</f>
        <v>600</v>
      </c>
      <c r="AA54" s="29">
        <f ca="1">IFERROR(__xludf.DUMMYFUNCTION("""COMPUTED_VALUE"""),44200)</f>
        <v>44200</v>
      </c>
      <c r="AB54" s="27" t="str">
        <f ca="1">IFERROR(__xludf.DUMMYFUNCTION("""COMPUTED_VALUE"""),"Sim")</f>
        <v>Sim</v>
      </c>
      <c r="AC54" s="27">
        <f ca="1">IFERROR(__xludf.DUMMYFUNCTION("""COMPUTED_VALUE"""),5)</f>
        <v>5</v>
      </c>
      <c r="AD54" s="27">
        <f ca="1">IFERROR(__xludf.DUMMYFUNCTION("""COMPUTED_VALUE"""),8)</f>
        <v>8</v>
      </c>
      <c r="AE54" s="27">
        <f ca="1">IFERROR(__xludf.DUMMYFUNCTION("""COMPUTED_VALUE"""),0)</f>
        <v>0</v>
      </c>
      <c r="AF54" s="27">
        <f ca="1">IFERROR(__xludf.DUMMYFUNCTION("""COMPUTED_VALUE"""),0)</f>
        <v>0</v>
      </c>
      <c r="AG54" s="27">
        <f ca="1">IFERROR(__xludf.DUMMYFUNCTION("""COMPUTED_VALUE"""),2)</f>
        <v>2</v>
      </c>
      <c r="AH54" s="27" t="str">
        <f ca="1">IFERROR(__xludf.DUMMYFUNCTION("""COMPUTED_VALUE"""),"Doações, Recursos próprios")</f>
        <v>Doações, Recursos próprios</v>
      </c>
      <c r="AI54" s="27" t="str">
        <f ca="1">IFERROR(__xludf.DUMMYFUNCTION("""COMPUTED_VALUE"""),"15 % Financiamento Coletivo 85% Doação dos fundadores")</f>
        <v>15 % Financiamento Coletivo 85% Doação dos fundadores</v>
      </c>
      <c r="AJ54" s="27" t="str">
        <f ca="1">IFERROR(__xludf.DUMMYFUNCTION("""COMPUTED_VALUE"""),"Vamos iniciar esse ano")</f>
        <v>Vamos iniciar esse ano</v>
      </c>
      <c r="AK54" s="27"/>
      <c r="AL54" s="21" t="str">
        <f ca="1">IFERROR(__xludf.DUMMYFUNCTION("""COMPUTED_VALUE"""),"0034X0000380O2z")</f>
        <v>0034X0000380O2z</v>
      </c>
      <c r="AM54" s="27" t="str">
        <f ca="1">IFERROR(__xludf.DUMMYFUNCTION("""COMPUTED_VALUE"""),"Mendes silva")</f>
        <v>Mendes silva</v>
      </c>
      <c r="AN54" s="27" t="str">
        <f ca="1">IFERROR(__xludf.DUMMYFUNCTION("""COMPUTED_VALUE"""),"Ativo")</f>
        <v>Ativo</v>
      </c>
      <c r="AO54" s="29">
        <f ca="1">IFERROR(__xludf.DUMMYFUNCTION("""COMPUTED_VALUE"""),44763)</f>
        <v>44763</v>
      </c>
      <c r="AP54" s="27">
        <f ca="1">IFERROR(__xludf.DUMMYFUNCTION("""COMPUTED_VALUE"""),2)</f>
        <v>2</v>
      </c>
      <c r="AQ54" s="27" t="str">
        <f ca="1">IFERROR(__xludf.DUMMYFUNCTION("""COMPUTED_VALUE"""),"Primeiro Semestre 2022")</f>
        <v>Primeiro Semestre 2022</v>
      </c>
      <c r="AR54" s="27" t="str">
        <f ca="1">IFERROR(__xludf.DUMMYFUNCTION("""COMPUTED_VALUE"""),"paulomenndessilva@gmail.com")</f>
        <v>paulomenndessilva@gmail.com</v>
      </c>
      <c r="AS54" s="27" t="str">
        <f ca="1">IFERROR(__xludf.DUMMYFUNCTION("""COMPUTED_VALUE"""),"(88)99258-0676")</f>
        <v>(88)99258-0676</v>
      </c>
      <c r="AT54" s="30">
        <f ca="1">IFERROR(__xludf.DUMMYFUNCTION("""COMPUTED_VALUE"""),35387)</f>
        <v>35387</v>
      </c>
      <c r="AU54" s="27">
        <f ca="1">IFERROR(__xludf.DUMMYFUNCTION("""COMPUTED_VALUE"""),26)</f>
        <v>26</v>
      </c>
      <c r="AV54" s="27">
        <f ca="1">IFERROR(__xludf.DUMMYFUNCTION("""COMPUTED_VALUE"""),6338581370)</f>
        <v>6338581370</v>
      </c>
      <c r="AW54" s="27">
        <f ca="1">IFERROR(__xludf.DUMMYFUNCTION("""COMPUTED_VALUE"""),2005099012067)</f>
        <v>2005099012067</v>
      </c>
      <c r="AX54" s="27"/>
      <c r="AY54" s="27" t="str">
        <f ca="1">IFERROR(__xludf.DUMMYFUNCTION("""COMPUTED_VALUE"""),"Diretor, Líder Social")</f>
        <v>Diretor, Líder Social</v>
      </c>
      <c r="AZ54" s="27" t="str">
        <f ca="1">IFERROR(__xludf.DUMMYFUNCTION("""COMPUTED_VALUE"""),"G")</f>
        <v>G</v>
      </c>
      <c r="BA54" s="27" t="str">
        <f ca="1">IFERROR(__xludf.DUMMYFUNCTION("""COMPUTED_VALUE"""),"Amarela")</f>
        <v>Amarela</v>
      </c>
      <c r="BB54" s="27"/>
      <c r="BC54" s="27"/>
      <c r="BD54" s="27" t="str">
        <f ca="1">IFERROR(__xludf.DUMMYFUNCTION("""COMPUTED_VALUE"""),"Sou Paulo Mendes, tenho 25 anos, sou um cara extremamente sorridente, vibrante e apaixonando pelas pessoas e por minha cidade.")</f>
        <v>Sou Paulo Mendes, tenho 25 anos, sou um cara extremamente sorridente, vibrante e apaixonando pelas pessoas e por minha cidade.</v>
      </c>
      <c r="BE54" s="27" t="str">
        <f ca="1">IFERROR(__xludf.DUMMYFUNCTION("""COMPUTED_VALUE"""),"Homem, cisgênero")</f>
        <v>Homem, cisgênero</v>
      </c>
      <c r="BF54" s="27" t="str">
        <f ca="1">IFERROR(__xludf.DUMMYFUNCTION("""COMPUTED_VALUE"""),"Heterossexual")</f>
        <v>Heterossexual</v>
      </c>
      <c r="BG54" s="27" t="str">
        <f ca="1">IFERROR(__xludf.DUMMYFUNCTION("""COMPUTED_VALUE"""),"Ensino Médio - Completo")</f>
        <v>Ensino Médio - Completo</v>
      </c>
      <c r="BH54" s="27" t="str">
        <f ca="1">IFERROR(__xludf.DUMMYFUNCTION("""COMPUTED_VALUE"""),"Público")</f>
        <v>Público</v>
      </c>
      <c r="BI54" s="27"/>
      <c r="BJ54" s="27"/>
      <c r="BK54" s="27" t="str">
        <f ca="1">IFERROR(__xludf.DUMMYFUNCTION("""COMPUTED_VALUE"""),"Alípio Oliveira")</f>
        <v>Alípio Oliveira</v>
      </c>
      <c r="BL54" s="27">
        <f ca="1">IFERROR(__xludf.DUMMYFUNCTION("""COMPUTED_VALUE"""),61)</f>
        <v>61</v>
      </c>
      <c r="BM54" s="27"/>
      <c r="BN54" s="27" t="str">
        <f ca="1">IFERROR(__xludf.DUMMYFUNCTION("""COMPUTED_VALUE"""),"Alto Santo")</f>
        <v>Alto Santo</v>
      </c>
      <c r="BO54" s="27" t="str">
        <f ca="1">IFERROR(__xludf.DUMMYFUNCTION("""COMPUTED_VALUE"""),"62970-000")</f>
        <v>62970-000</v>
      </c>
      <c r="BP54" s="27" t="str">
        <f ca="1">IFERROR(__xludf.DUMMYFUNCTION("""COMPUTED_VALUE"""),"CE")</f>
        <v>CE</v>
      </c>
      <c r="BQ54" s="27" t="str">
        <f ca="1">IFERROR(__xludf.DUMMYFUNCTION("""COMPUTED_VALUE"""),"Entre 1 até 3 salários mínimos")</f>
        <v>Entre 1 até 3 salários mínimos</v>
      </c>
      <c r="BR54" s="27" t="str">
        <f ca="1">IFERROR(__xludf.DUMMYFUNCTION("""COMPUTED_VALUE"""),"MEI, Funcionário Público")</f>
        <v>MEI, Funcionário Público</v>
      </c>
      <c r="BS54" s="27" t="str">
        <f ca="1">IFERROR(__xludf.DUMMYFUNCTION("""COMPUTED_VALUE"""),"Casa própria")</f>
        <v>Casa própria</v>
      </c>
      <c r="BT54" s="27">
        <f ca="1">IFERROR(__xludf.DUMMYFUNCTION("""COMPUTED_VALUE"""),3)</f>
        <v>3</v>
      </c>
      <c r="BU54" s="27" t="str">
        <f ca="1">IFERROR(__xludf.DUMMYFUNCTION("""COMPUTED_VALUE"""),"Não tem")</f>
        <v>Não tem</v>
      </c>
      <c r="BV54" s="27" t="str">
        <f ca="1">IFERROR(__xludf.DUMMYFUNCTION("""COMPUTED_VALUE"""),"Não")</f>
        <v>Não</v>
      </c>
      <c r="BW54" s="27"/>
      <c r="BX54" s="21" t="str">
        <f ca="1">IFERROR(__xludf.DUMMYFUNCTION("""COMPUTED_VALUE"""),"https://instagram.com/paulomenndessilva?igshid=YmMyMTA2M2Y=")</f>
        <v>https://instagram.com/paulomenndessilva?igshid=YmMyMTA2M2Y=</v>
      </c>
      <c r="BY54" s="21" t="str">
        <f ca="1">IFERROR(__xludf.DUMMYFUNCTION("""COMPUTED_VALUE"""),"https://drive.google.com/open?id=11xStfQIHOB1A876zLCWO3380K6HrIHbA")</f>
        <v>https://drive.google.com/open?id=11xStfQIHOB1A876zLCWO3380K6HrIHbA</v>
      </c>
    </row>
    <row r="55" spans="1:77" ht="12.5" x14ac:dyDescent="0.25">
      <c r="A55" s="21" t="str">
        <f ca="1">IFERROR(__xludf.DUMMYFUNCTION("""COMPUTED_VALUE"""),"0014P00003AN2GFQA1")</f>
        <v>0014P00003AN2GFQA1</v>
      </c>
      <c r="B55" s="27" t="str">
        <f ca="1">IFERROR(__xludf.DUMMYFUNCTION("""COMPUTED_VALUE"""),"Fase Inicial")</f>
        <v>Fase Inicial</v>
      </c>
      <c r="C55" s="27" t="str">
        <f ca="1">IFERROR(__xludf.DUMMYFUNCTION("""COMPUTED_VALUE"""),"Fellow")</f>
        <v>Fellow</v>
      </c>
      <c r="D55" s="27" t="str">
        <f ca="1">IFERROR(__xludf.DUMMYFUNCTION("""COMPUTED_VALUE"""),"Ativo")</f>
        <v>Ativo</v>
      </c>
      <c r="E55" s="27" t="str">
        <f ca="1">IFERROR(__xludf.DUMMYFUNCTION("""COMPUTED_VALUE"""),"Associação Cultural Casa do Beco")</f>
        <v>Associação Cultural Casa do Beco</v>
      </c>
      <c r="F55" s="27" t="str">
        <f ca="1">IFERROR(__xludf.DUMMYFUNCTION("""COMPUTED_VALUE"""),"Nilton")</f>
        <v>Nilton</v>
      </c>
      <c r="G55" s="27"/>
      <c r="H55" s="27" t="str">
        <f ca="1">IFERROR(__xludf.DUMMYFUNCTION("""COMPUTED_VALUE"""),"04.589.342/0001-40")</f>
        <v>04.589.342/0001-40</v>
      </c>
      <c r="I55" s="27"/>
      <c r="J55" s="27"/>
      <c r="K55" s="27"/>
      <c r="L55" s="27" t="str">
        <f ca="1">IFERROR(__xludf.DUMMYFUNCTION("""COMPUTED_VALUE"""),"MG")</f>
        <v>MG</v>
      </c>
      <c r="M55" s="27" t="str">
        <f ca="1">IFERROR(__xludf.DUMMYFUNCTION("""COMPUTED_VALUE"""),"Avenida Artur Bernardes")</f>
        <v>Avenida Artur Bernardes</v>
      </c>
      <c r="N55" s="27"/>
      <c r="O55" s="27" t="str">
        <f ca="1">IFERROR(__xludf.DUMMYFUNCTION("""COMPUTED_VALUE"""),"(31)99944-3801")</f>
        <v>(31)99944-3801</v>
      </c>
      <c r="P55" s="27" t="str">
        <f ca="1">IFERROR(__xludf.DUMMYFUNCTION("""COMPUTED_VALUE"""),"Belo Horizonte")</f>
        <v>Belo Horizonte</v>
      </c>
      <c r="Q55" s="27"/>
      <c r="R55" s="27" t="str">
        <f ca="1">IFERROR(__xludf.DUMMYFUNCTION("""COMPUTED_VALUE"""),"30335-790")</f>
        <v>30335-790</v>
      </c>
      <c r="S55" s="27" t="str">
        <f ca="1">IFERROR(__xludf.DUMMYFUNCTION("""COMPUTED_VALUE"""),"Temos parcerias com 3 creches na comunidade com o Posto de saúde com o Cras e duas escolas (uma municipal e outra estadual) além de ter projetos junto com o museu de vilas e favelas local e as associações de bairros.")</f>
        <v>Temos parcerias com 3 creches na comunidade com o Posto de saúde com o Cras e duas escolas (uma municipal e outra estadual) além de ter projetos junto com o museu de vilas e favelas local e as associações de bairros.</v>
      </c>
      <c r="T55" s="27" t="str">
        <f ca="1">IFERROR(__xludf.DUMMYFUNCTION("""COMPUTED_VALUE"""),"Cultura; Apoio à gestão de organizações de Terceiro Setor")</f>
        <v>Cultura; Apoio à gestão de organizações de Terceiro Setor</v>
      </c>
      <c r="U55" s="27" t="str">
        <f ca="1">IFERROR(__xludf.DUMMYFUNCTION("""COMPUTED_VALUE"""),"Crianças (6 a 12 anos); Adolescentes (12 aos 18 anos); Jovens (18 aos 24 anos); Adultos; Idosos (60 anos ou mais)")</f>
        <v>Crianças (6 a 12 anos); Adolescentes (12 aos 18 anos); Jovens (18 aos 24 anos); Adultos; Idosos (60 anos ou mais)</v>
      </c>
      <c r="V55" s="27" t="str">
        <f ca="1">IFERROR(__xludf.DUMMYFUNCTION("""COMPUTED_VALUE"""),"Moradores de Favelas; População LGBTQ+; Afrodescendentes; Outros")</f>
        <v>Moradores de Favelas; População LGBTQ+; Afrodescendentes; Outros</v>
      </c>
      <c r="W55" s="27">
        <f ca="1">IFERROR(__xludf.DUMMYFUNCTION("""COMPUTED_VALUE"""),10)</f>
        <v>10</v>
      </c>
      <c r="X55" s="27" t="str">
        <f ca="1">IFERROR(__xludf.DUMMYFUNCTION("""COMPUTED_VALUE"""),"Temos 4 grupos culturais que trabalham com ações variadas (teatro dança intervenção com mulheres e cinema) além de disponibilização de oficinas artísticas para crianças jovens adultos e idosos das instituções parceiras. Fora as apresentações culturais que"&amp;" acontecem dentro da Casa nas instituições parceiras e nas ruas da comunidade e circulação artística na cidade.")</f>
        <v>Temos 4 grupos culturais que trabalham com ações variadas (teatro dança intervenção com mulheres e cinema) além de disponibilização de oficinas artísticas para crianças jovens adultos e idosos das instituções parceiras. Fora as apresentações culturais que acontecem dentro da Casa nas instituições parceiras e nas ruas da comunidade e circulação artística na cidade.</v>
      </c>
      <c r="Y55" s="27"/>
      <c r="Z55" s="27"/>
      <c r="AA55" s="29">
        <f ca="1">IFERROR(__xludf.DUMMYFUNCTION("""COMPUTED_VALUE"""),35065)</f>
        <v>35065</v>
      </c>
      <c r="AB55" s="27" t="str">
        <f ca="1">IFERROR(__xludf.DUMMYFUNCTION("""COMPUTED_VALUE"""),"Sim")</f>
        <v>Sim</v>
      </c>
      <c r="AC55" s="27">
        <f ca="1">IFERROR(__xludf.DUMMYFUNCTION("""COMPUTED_VALUE"""),23)</f>
        <v>23</v>
      </c>
      <c r="AD55" s="27">
        <f ca="1">IFERROR(__xludf.DUMMYFUNCTION("""COMPUTED_VALUE"""),36)</f>
        <v>36</v>
      </c>
      <c r="AE55" s="27">
        <f ca="1">IFERROR(__xludf.DUMMYFUNCTION("""COMPUTED_VALUE"""),83)</f>
        <v>83</v>
      </c>
      <c r="AF55" s="27">
        <f ca="1">IFERROR(__xludf.DUMMYFUNCTION("""COMPUTED_VALUE"""),73)</f>
        <v>73</v>
      </c>
      <c r="AG55" s="27">
        <f ca="1">IFERROR(__xludf.DUMMYFUNCTION("""COMPUTED_VALUE"""),4)</f>
        <v>4</v>
      </c>
      <c r="AH55" s="27" t="str">
        <f ca="1">IFERROR(__xludf.DUMMYFUNCTION("""COMPUTED_VALUE"""),"Lei de Incentivo; Eventos/Ações para captação; Plataforma doação online - Pessoa Física; Parceria iniciativa privada; Editais; Doações; Lei Municipal da Cultura; Lei Rouanet")</f>
        <v>Lei de Incentivo; Eventos/Ações para captação; Plataforma doação online - Pessoa Física; Parceria iniciativa privada; Editais; Doações; Lei Municipal da Cultura; Lei Rouanet</v>
      </c>
      <c r="AI55" s="27" t="str">
        <f ca="1">IFERROR(__xludf.DUMMYFUNCTION("""COMPUTED_VALUE"""),"Unimed (via Lei Rouanet) 69,6 MGS (Via Lei Municipal) 23,5 Sicoob (Via Lei Rouanet) 4,4 Doare (para comunidade) 2,5")</f>
        <v>Unimed (via Lei Rouanet) 69,6 MGS (Via Lei Municipal) 23,5 Sicoob (Via Lei Rouanet) 4,4 Doare (para comunidade) 2,5</v>
      </c>
      <c r="AJ55" s="27" t="str">
        <f ca="1">IFERROR(__xludf.DUMMYFUNCTION("""COMPUTED_VALUE"""),"Não")</f>
        <v>Não</v>
      </c>
      <c r="AK55" s="27" t="str">
        <f ca="1">IFERROR(__xludf.DUMMYFUNCTION("""COMPUTED_VALUE"""),"Não")</f>
        <v>Não</v>
      </c>
      <c r="AL55" s="21" t="str">
        <f ca="1">IFERROR(__xludf.DUMMYFUNCTION("""COMPUTED_VALUE"""),"0034P00003maBVj")</f>
        <v>0034P00003maBVj</v>
      </c>
      <c r="AM55" s="27" t="str">
        <f ca="1">IFERROR(__xludf.DUMMYFUNCTION("""COMPUTED_VALUE"""),"César Da Silva (Nil")</f>
        <v>César Da Silva (Nil</v>
      </c>
      <c r="AN55" s="27" t="str">
        <f ca="1">IFERROR(__xludf.DUMMYFUNCTION("""COMPUTED_VALUE"""),"Ativo")</f>
        <v>Ativo</v>
      </c>
      <c r="AO55" s="29">
        <f ca="1">IFERROR(__xludf.DUMMYFUNCTION("""COMPUTED_VALUE"""),44306)</f>
        <v>44306</v>
      </c>
      <c r="AP55" s="27">
        <f ca="1">IFERROR(__xludf.DUMMYFUNCTION("""COMPUTED_VALUE"""),17)</f>
        <v>17</v>
      </c>
      <c r="AQ55" s="27" t="str">
        <f ca="1">IFERROR(__xludf.DUMMYFUNCTION("""COMPUTED_VALUE"""),"Segundo Semestre 2020")</f>
        <v>Segundo Semestre 2020</v>
      </c>
      <c r="AR55" s="27" t="str">
        <f ca="1">IFERROR(__xludf.DUMMYFUNCTION("""COMPUTED_VALUE"""),"desenvolvimento.estrategico.beco@gmail.com")</f>
        <v>desenvolvimento.estrategico.beco@gmail.com</v>
      </c>
      <c r="AS55" s="27">
        <f ca="1">IFERROR(__xludf.DUMMYFUNCTION("""COMPUTED_VALUE"""),31999403487)</f>
        <v>31999403487</v>
      </c>
      <c r="AT55" s="29">
        <f ca="1">IFERROR(__xludf.DUMMYFUNCTION("""COMPUTED_VALUE"""),27954)</f>
        <v>27954</v>
      </c>
      <c r="AU55" s="27">
        <f ca="1">IFERROR(__xludf.DUMMYFUNCTION("""COMPUTED_VALUE"""),46)</f>
        <v>46</v>
      </c>
      <c r="AV55" s="27">
        <f ca="1">IFERROR(__xludf.DUMMYFUNCTION("""COMPUTED_VALUE"""),2881724698)</f>
        <v>2881724698</v>
      </c>
      <c r="AW55" s="27" t="str">
        <f ca="1">IFERROR(__xludf.DUMMYFUNCTION("""COMPUTED_VALUE"""),"MG8575410")</f>
        <v>MG8575410</v>
      </c>
      <c r="AX55" s="27" t="str">
        <f ca="1">IFERROR(__xludf.DUMMYFUNCTION("""COMPUTED_VALUE"""),"Bacharel em Administração e MBA em Marketing- Branding e Growth")</f>
        <v>Bacharel em Administração e MBA em Marketing- Branding e Growth</v>
      </c>
      <c r="AY55" s="27" t="str">
        <f ca="1">IFERROR(__xludf.DUMMYFUNCTION("""COMPUTED_VALUE"""),"Realizo um trabalho como autônomo no canal de mídias sociais ""Vista da Laje"" e também ofereço palestras remuneradas professor de")</f>
        <v>Realizo um trabalho como autônomo no canal de mídias sociais "Vista da Laje" e também ofereço palestras remuneradas professor de</v>
      </c>
      <c r="AZ55" s="27"/>
      <c r="BA55" s="27"/>
      <c r="BB55" s="27"/>
      <c r="BC55" s="27" t="str">
        <f ca="1">IFERROR(__xludf.DUMMYFUNCTION("""COMPUTED_VALUE"""),"Não")</f>
        <v>Não</v>
      </c>
      <c r="BD55" s="27"/>
      <c r="BE55" s="27"/>
      <c r="BF55" s="27"/>
      <c r="BG55" s="27"/>
      <c r="BH55" s="27"/>
      <c r="BI55" s="27"/>
      <c r="BJ55" s="27"/>
      <c r="BK55" s="27" t="str">
        <f ca="1">IFERROR(__xludf.DUMMYFUNCTION("""COMPUTED_VALUE"""),"Rua União")</f>
        <v>Rua União</v>
      </c>
      <c r="BL55" s="27">
        <f ca="1">IFERROR(__xludf.DUMMYFUNCTION("""COMPUTED_VALUE"""),101)</f>
        <v>101</v>
      </c>
      <c r="BM55" s="27"/>
      <c r="BN55" s="27" t="str">
        <f ca="1">IFERROR(__xludf.DUMMYFUNCTION("""COMPUTED_VALUE"""),"Belo Horizonte")</f>
        <v>Belo Horizonte</v>
      </c>
      <c r="BO55" s="27">
        <f ca="1">IFERROR(__xludf.DUMMYFUNCTION("""COMPUTED_VALUE"""),30335030)</f>
        <v>30335030</v>
      </c>
      <c r="BP55" s="27" t="str">
        <f ca="1">IFERROR(__xludf.DUMMYFUNCTION("""COMPUTED_VALUE"""),"MG")</f>
        <v>MG</v>
      </c>
      <c r="BQ55" s="27"/>
      <c r="BR55" s="27"/>
      <c r="BS55" s="27"/>
      <c r="BT55" s="27"/>
      <c r="BU55" s="27"/>
      <c r="BV55" s="27"/>
      <c r="BW55" s="27"/>
      <c r="BX55" s="27"/>
      <c r="BY55" s="27"/>
    </row>
    <row r="56" spans="1:77" ht="12.5" x14ac:dyDescent="0.25">
      <c r="A56" s="21" t="str">
        <f ca="1">IFERROR(__xludf.DUMMYFUNCTION("""COMPUTED_VALUE"""),"0014P00003AN2G6QAL")</f>
        <v>0014P00003AN2G6QAL</v>
      </c>
      <c r="B56" s="27" t="str">
        <f ca="1">IFERROR(__xludf.DUMMYFUNCTION("""COMPUTED_VALUE"""),"Fase Estruturação")</f>
        <v>Fase Estruturação</v>
      </c>
      <c r="C56" s="27" t="str">
        <f ca="1">IFERROR(__xludf.DUMMYFUNCTION("""COMPUTED_VALUE"""),"Acelerada")</f>
        <v>Acelerada</v>
      </c>
      <c r="D56" s="27" t="str">
        <f ca="1">IFERROR(__xludf.DUMMYFUNCTION("""COMPUTED_VALUE"""),"Ativo")</f>
        <v>Ativo</v>
      </c>
      <c r="E56" s="27" t="str">
        <f ca="1">IFERROR(__xludf.DUMMYFUNCTION("""COMPUTED_VALUE"""),"Associação Cultural de Educação Social e Artística - ACESA")</f>
        <v>Associação Cultural de Educação Social e Artística - ACESA</v>
      </c>
      <c r="F56" s="27" t="str">
        <f ca="1">IFERROR(__xludf.DUMMYFUNCTION("""COMPUTED_VALUE"""),"Lenir")</f>
        <v>Lenir</v>
      </c>
      <c r="G56" s="27" t="str">
        <f ca="1">IFERROR(__xludf.DUMMYFUNCTION("""COMPUTED_VALUE"""),"ACESA")</f>
        <v>ACESA</v>
      </c>
      <c r="H56" s="27" t="str">
        <f ca="1">IFERROR(__xludf.DUMMYFUNCTION("""COMPUTED_VALUE"""),"97.528.853/0001-32")</f>
        <v>97.528.853/0001-32</v>
      </c>
      <c r="I56" s="27"/>
      <c r="J56" s="27" t="str">
        <f ca="1">IFERROR(__xludf.DUMMYFUNCTION("""COMPUTED_VALUE"""),"castro.lenir@gmail.com")</f>
        <v>castro.lenir@gmail.com</v>
      </c>
      <c r="K56" s="27" t="str">
        <f ca="1">IFERROR(__xludf.DUMMYFUNCTION("""COMPUTED_VALUE"""),"(37)9198-8847")</f>
        <v>(37)9198-8847</v>
      </c>
      <c r="L56" s="27" t="str">
        <f ca="1">IFERROR(__xludf.DUMMYFUNCTION("""COMPUTED_VALUE"""),"MG")</f>
        <v>MG</v>
      </c>
      <c r="M56" s="27" t="str">
        <f ca="1">IFERROR(__xludf.DUMMYFUNCTION("""COMPUTED_VALUE"""),"Rua Espirito Santo")</f>
        <v>Rua Espirito Santo</v>
      </c>
      <c r="N56" s="27"/>
      <c r="O56" s="27" t="str">
        <f ca="1">IFERROR(__xludf.DUMMYFUNCTION("""COMPUTED_VALUE"""),"(37)99198-8847")</f>
        <v>(37)99198-8847</v>
      </c>
      <c r="P56" s="27" t="str">
        <f ca="1">IFERROR(__xludf.DUMMYFUNCTION("""COMPUTED_VALUE"""),"Divinópolis")</f>
        <v>Divinópolis</v>
      </c>
      <c r="Q56" s="27"/>
      <c r="R56" s="27" t="str">
        <f ca="1">IFERROR(__xludf.DUMMYFUNCTION("""COMPUTED_VALUE"""),"35500-030")</f>
        <v>35500-030</v>
      </c>
      <c r="S56" s="27" t="str">
        <f ca="1">IFERROR(__xludf.DUMMYFUNCTION("""COMPUTED_VALUE"""),"EM Antonieta Fonseca/ Rua Primo Batagline  410 / Quinta das Palmeiras CEP: 35.501.142. 
EM Sidney José de Oliveira/ Av. Anhangüera 1090 no bairro Jardim Candidés Divinópolis MG
EE Lauro Epifânio/ Av. Dolores de Aguiar Rabelo Bairro: Interlagos CEP: 355004"&amp;"91
EM Dr. Sebastião Gomes Guimarães/ Rua Bayssur  561-Maria Helena Divinópolis - MG CEP: 35500-374 
EM Padre João Bruno/ Avenida das Garças 311 Serra Verde Divinópolis - MG CEP: 35502-143
EM Padre Guarita/ R Tenente Marcio Bairro: Orion CEP: 35502426
EM P"&amp;"rof. Hermínia Gongozinho Rua Viriato Corrêa 2400 no Bairro Bela Vista- Divinópolis MG. 
Escola Municipal Professor Paulo Freire/ Rua Alzira Fonseca 441 no Bairro Davanuze na Divinópolis MG")</f>
        <v>EM Antonieta Fonseca/ Rua Primo Batagline  410 / Quinta das Palmeiras CEP: 35.501.142. 
EM Sidney José de Oliveira/ Av. Anhangüera 1090 no bairro Jardim Candidés Divinópolis MG
EE Lauro Epifânio/ Av. Dolores de Aguiar Rabelo Bairro: Interlagos CEP: 35500491
EM Dr. Sebastião Gomes Guimarães/ Rua Bayssur  561-Maria Helena Divinópolis - MG CEP: 35500-374 
EM Padre João Bruno/ Avenida das Garças 311 Serra Verde Divinópolis - MG CEP: 35502-143
EM Padre Guarita/ R Tenente Marcio Bairro: Orion CEP: 35502426
EM Prof. Hermínia Gongozinho Rua Viriato Corrêa 2400 no Bairro Bela Vista- Divinópolis MG. 
Escola Municipal Professor Paulo Freire/ Rua Alzira Fonseca 441 no Bairro Davanuze na Divinópolis MG</v>
      </c>
      <c r="T56" s="27" t="str">
        <f ca="1">IFERROR(__xludf.DUMMYFUNCTION("""COMPUTED_VALUE"""),"Assistência Social; Cultura; Qualificação Profissional; Assistência Psicológica")</f>
        <v>Assistência Social; Cultura; Qualificação Profissional; Assistência Psicológica</v>
      </c>
      <c r="U56" s="27" t="str">
        <f ca="1">IFERROR(__xludf.DUMMYFUNCTION("""COMPUTED_VALUE"""),"Crianças (6 a 12 anos); Adolescentes (12 aos 18 anos); Jovens (18 aos 24 anos); Idosos (60 anos ou mais)")</f>
        <v>Crianças (6 a 12 anos); Adolescentes (12 aos 18 anos); Jovens (18 aos 24 anos); Idosos (60 anos ou mais)</v>
      </c>
      <c r="V56" s="27" t="str">
        <f ca="1">IFERROR(__xludf.DUMMYFUNCTION("""COMPUTED_VALUE"""),"Moradores de Favelas; Afrodescendentes; Comunidade rural")</f>
        <v>Moradores de Favelas; Afrodescendentes; Comunidade rural</v>
      </c>
      <c r="W56" s="27">
        <f ca="1">IFERROR(__xludf.DUMMYFUNCTION("""COMPUTED_VALUE"""),10)</f>
        <v>10</v>
      </c>
      <c r="X56" s="27"/>
      <c r="Y56" s="27"/>
      <c r="Z56" s="27"/>
      <c r="AA56" s="29">
        <f ca="1">IFERROR(__xludf.DUMMYFUNCTION("""COMPUTED_VALUE"""),40731)</f>
        <v>40731</v>
      </c>
      <c r="AB56" s="27" t="str">
        <f ca="1">IFERROR(__xludf.DUMMYFUNCTION("""COMPUTED_VALUE"""),"Sim")</f>
        <v>Sim</v>
      </c>
      <c r="AC56" s="27">
        <f ca="1">IFERROR(__xludf.DUMMYFUNCTION("""COMPUTED_VALUE"""),11)</f>
        <v>11</v>
      </c>
      <c r="AD56" s="27">
        <f ca="1">IFERROR(__xludf.DUMMYFUNCTION("""COMPUTED_VALUE"""),8)</f>
        <v>8</v>
      </c>
      <c r="AE56" s="27">
        <f ca="1">IFERROR(__xludf.DUMMYFUNCTION("""COMPUTED_VALUE"""),0)</f>
        <v>0</v>
      </c>
      <c r="AF56" s="27">
        <f ca="1">IFERROR(__xludf.DUMMYFUNCTION("""COMPUTED_VALUE"""),0)</f>
        <v>0</v>
      </c>
      <c r="AG56" s="27">
        <f ca="1">IFERROR(__xludf.DUMMYFUNCTION("""COMPUTED_VALUE"""),3)</f>
        <v>3</v>
      </c>
      <c r="AH56" s="27" t="str">
        <f ca="1">IFERROR(__xludf.DUMMYFUNCTION("""COMPUTED_VALUE"""),"Lei de Incentivo; Parceria iniciativa privada; Outro(s)")</f>
        <v>Lei de Incentivo; Parceria iniciativa privada; Outro(s)</v>
      </c>
      <c r="AI56" s="27" t="str">
        <f ca="1">IFERROR(__xludf.DUMMYFUNCTION("""COMPUTED_VALUE"""),"43% Lei de Incentivo - 8% Tribunal Justiça e 49% iniciativa privada")</f>
        <v>43% Lei de Incentivo - 8% Tribunal Justiça e 49% iniciativa privada</v>
      </c>
      <c r="AJ56" s="27" t="str">
        <f ca="1">IFERROR(__xludf.DUMMYFUNCTION("""COMPUTED_VALUE"""),"Sim")</f>
        <v>Sim</v>
      </c>
      <c r="AK56" s="27" t="str">
        <f ca="1">IFERROR(__xludf.DUMMYFUNCTION("""COMPUTED_VALUE"""),"Não")</f>
        <v>Não</v>
      </c>
      <c r="AL56" s="21" t="str">
        <f ca="1">IFERROR(__xludf.DUMMYFUNCTION("""COMPUTED_VALUE"""),"0034P00003maBVa")</f>
        <v>0034P00003maBVa</v>
      </c>
      <c r="AM56" s="27" t="str">
        <f ca="1">IFERROR(__xludf.DUMMYFUNCTION("""COMPUTED_VALUE"""),"Ferreira De Castro")</f>
        <v>Ferreira De Castro</v>
      </c>
      <c r="AN56" s="27" t="str">
        <f ca="1">IFERROR(__xludf.DUMMYFUNCTION("""COMPUTED_VALUE"""),"Ativo")</f>
        <v>Ativo</v>
      </c>
      <c r="AO56" s="30">
        <f ca="1">IFERROR(__xludf.DUMMYFUNCTION("""COMPUTED_VALUE"""),44145)</f>
        <v>44145</v>
      </c>
      <c r="AP56" s="27">
        <f ca="1">IFERROR(__xludf.DUMMYFUNCTION("""COMPUTED_VALUE"""),22)</f>
        <v>22</v>
      </c>
      <c r="AQ56" s="27" t="str">
        <f ca="1">IFERROR(__xludf.DUMMYFUNCTION("""COMPUTED_VALUE"""),"Primeiro Semestre 2020")</f>
        <v>Primeiro Semestre 2020</v>
      </c>
      <c r="AR56" s="27" t="str">
        <f ca="1">IFERROR(__xludf.DUMMYFUNCTION("""COMPUTED_VALUE"""),"castro.lenir@gmail.com")</f>
        <v>castro.lenir@gmail.com</v>
      </c>
      <c r="AS56" s="27" t="str">
        <f ca="1">IFERROR(__xludf.DUMMYFUNCTION("""COMPUTED_VALUE"""),"(37)99198-8847")</f>
        <v>(37)99198-8847</v>
      </c>
      <c r="AT56" s="29">
        <f ca="1">IFERROR(__xludf.DUMMYFUNCTION("""COMPUTED_VALUE"""),22007)</f>
        <v>22007</v>
      </c>
      <c r="AU56" s="27">
        <f ca="1">IFERROR(__xludf.DUMMYFUNCTION("""COMPUTED_VALUE"""),62)</f>
        <v>62</v>
      </c>
      <c r="AV56" s="27">
        <f ca="1">IFERROR(__xludf.DUMMYFUNCTION("""COMPUTED_VALUE"""),3664345860)</f>
        <v>3664345860</v>
      </c>
      <c r="AW56" s="27" t="str">
        <f ca="1">IFERROR(__xludf.DUMMYFUNCTION("""COMPUTED_VALUE"""),"MG 7766051")</f>
        <v>MG 7766051</v>
      </c>
      <c r="AX56" s="27" t="str">
        <f ca="1">IFERROR(__xludf.DUMMYFUNCTION("""COMPUTED_VALUE"""),"Educadora Social- Produtora Cultural -Técnico em Administração .")</f>
        <v>Educadora Social- Produtora Cultural -Técnico em Administração .</v>
      </c>
      <c r="AY56" s="27"/>
      <c r="AZ56" s="27" t="str">
        <f ca="1">IFERROR(__xludf.DUMMYFUNCTION("""COMPUTED_VALUE"""),"P")</f>
        <v>P</v>
      </c>
      <c r="BA56" s="27"/>
      <c r="BB56" s="27"/>
      <c r="BC56" s="27" t="str">
        <f ca="1">IFERROR(__xludf.DUMMYFUNCTION("""COMPUTED_VALUE"""),"Sim")</f>
        <v>Sim</v>
      </c>
      <c r="BD56" s="27" t="str">
        <f ca="1">IFERROR(__xludf.DUMMYFUNCTION("""COMPUTED_VALUE"""),"Lenir de Castro, 62 anos, mineira, atriz, produtora Cultural, Líder Social e  Idealizadora do  Projeto Fazendo Arte  criado em 2003 com a intenção de melhorar a vida de Crianças e adolescentes em risco social.  Representou o Brasil em 9  países da América"&amp;" latina e Europa apresentando sua metodologia. foram Mais de 60  mil vidas transformadas.   também Fundadora da Instituição ACESA em 2011
Meu sonho é acabar com a desigualdade social e me fortalecer mais como uma Falcão.")</f>
        <v>Lenir de Castro, 62 anos, mineira, atriz, produtora Cultural, Líder Social e  Idealizadora do  Projeto Fazendo Arte  criado em 2003 com a intenção de melhorar a vida de Crianças e adolescentes em risco social.  Representou o Brasil em 9  países da América latina e Europa apresentando sua metodologia. foram Mais de 60  mil vidas transformadas.   também Fundadora da Instituição ACESA em 2011
Meu sonho é acabar com a desigualdade social e me fortalecer mais como uma Falcão.</v>
      </c>
      <c r="BE56" s="27"/>
      <c r="BF56" s="27"/>
      <c r="BG56" s="27" t="str">
        <f ca="1">IFERROR(__xludf.DUMMYFUNCTION("""COMPUTED_VALUE"""),"Ensino Médio - Completo")</f>
        <v>Ensino Médio - Completo</v>
      </c>
      <c r="BH56" s="27"/>
      <c r="BI56" s="27"/>
      <c r="BJ56" s="27"/>
      <c r="BK56" s="27" t="str">
        <f ca="1">IFERROR(__xludf.DUMMYFUNCTION("""COMPUTED_VALUE"""),"Rua Peru")</f>
        <v>Rua Peru</v>
      </c>
      <c r="BL56" s="27">
        <f ca="1">IFERROR(__xludf.DUMMYFUNCTION("""COMPUTED_VALUE"""),980)</f>
        <v>980</v>
      </c>
      <c r="BM56" s="27" t="str">
        <f ca="1">IFERROR(__xludf.DUMMYFUNCTION("""COMPUTED_VALUE"""),"casa")</f>
        <v>casa</v>
      </c>
      <c r="BN56" s="27" t="str">
        <f ca="1">IFERROR(__xludf.DUMMYFUNCTION("""COMPUTED_VALUE"""),"Divinópolis")</f>
        <v>Divinópolis</v>
      </c>
      <c r="BO56" s="27" t="str">
        <f ca="1">IFERROR(__xludf.DUMMYFUNCTION("""COMPUTED_VALUE"""),"35500-533")</f>
        <v>35500-533</v>
      </c>
      <c r="BP56" s="27" t="str">
        <f ca="1">IFERROR(__xludf.DUMMYFUNCTION("""COMPUTED_VALUE"""),"MG")</f>
        <v>MG</v>
      </c>
      <c r="BQ56" s="27" t="str">
        <f ca="1">IFERROR(__xludf.DUMMYFUNCTION("""COMPUTED_VALUE"""),"Acima de 5 salários mínimos")</f>
        <v>Acima de 5 salários mínimos</v>
      </c>
      <c r="BR56" s="27" t="str">
        <f ca="1">IFERROR(__xludf.DUMMYFUNCTION("""COMPUTED_VALUE"""),"CLT; MEI; Funcionário Público")</f>
        <v>CLT; MEI; Funcionário Público</v>
      </c>
      <c r="BS56" s="27" t="str">
        <f ca="1">IFERROR(__xludf.DUMMYFUNCTION("""COMPUTED_VALUE"""),"Casa própria")</f>
        <v>Casa própria</v>
      </c>
      <c r="BT56" s="27">
        <f ca="1">IFERROR(__xludf.DUMMYFUNCTION("""COMPUTED_VALUE"""),2)</f>
        <v>2</v>
      </c>
      <c r="BU56" s="27"/>
      <c r="BV56" s="27"/>
      <c r="BW56" s="27"/>
      <c r="BX56" s="21" t="str">
        <f ca="1">IFERROR(__xludf.DUMMYFUNCTION("""COMPUTED_VALUE"""),"https://instagram.com/castro.lenir?utm_medium=copy_link")</f>
        <v>https://instagram.com/castro.lenir?utm_medium=copy_link</v>
      </c>
      <c r="BY56" s="21" t="str">
        <f ca="1">IFERROR(__xludf.DUMMYFUNCTION("""COMPUTED_VALUE"""),"https://drive.google.com/open?id=19N-BAhI0QxbC20xGgfv22Lg2UarZ6gzl")</f>
        <v>https://drive.google.com/open?id=19N-BAhI0QxbC20xGgfv22Lg2UarZ6gzl</v>
      </c>
    </row>
    <row r="57" spans="1:77" ht="12.5" x14ac:dyDescent="0.25">
      <c r="A57" s="21" t="str">
        <f ca="1">IFERROR(__xludf.DUMMYFUNCTION("""COMPUTED_VALUE"""),"0014P00003SGWPaQAP")</f>
        <v>0014P00003SGWPaQAP</v>
      </c>
      <c r="B57" s="27" t="str">
        <f ca="1">IFERROR(__xludf.DUMMYFUNCTION("""COMPUTED_VALUE"""),"Fase Inicial")</f>
        <v>Fase Inicial</v>
      </c>
      <c r="C57" s="27" t="str">
        <f ca="1">IFERROR(__xludf.DUMMYFUNCTION("""COMPUTED_VALUE"""),"Fellow")</f>
        <v>Fellow</v>
      </c>
      <c r="D57" s="27" t="str">
        <f ca="1">IFERROR(__xludf.DUMMYFUNCTION("""COMPUTED_VALUE"""),"Ativo")</f>
        <v>Ativo</v>
      </c>
      <c r="E57" s="27" t="str">
        <f ca="1">IFERROR(__xludf.DUMMYFUNCTION("""COMPUTED_VALUE"""),"ASSOCIAÇÃO CULTURAL DESPORTIVA SAPUCAIENSE DE CAPOEIRA")</f>
        <v>ASSOCIAÇÃO CULTURAL DESPORTIVA SAPUCAIENSE DE CAPOEIRA</v>
      </c>
      <c r="F57" s="27" t="str">
        <f ca="1">IFERROR(__xludf.DUMMYFUNCTION("""COMPUTED_VALUE"""),"Elias")</f>
        <v>Elias</v>
      </c>
      <c r="G57" s="27" t="str">
        <f ca="1">IFERROR(__xludf.DUMMYFUNCTION("""COMPUTED_VALUE"""),"SAPUCAIENSE DE CAPOEIRA")</f>
        <v>SAPUCAIENSE DE CAPOEIRA</v>
      </c>
      <c r="H57" s="27" t="str">
        <f ca="1">IFERROR(__xludf.DUMMYFUNCTION("""COMPUTED_VALUE"""),"26.181.953/0001-97")</f>
        <v>26.181.953/0001-97</v>
      </c>
      <c r="I57" s="27" t="str">
        <f ca="1">IFERROR(__xludf.DUMMYFUNCTION("""COMPUTED_VALUE"""),"Elias Toio Farias Dos Santos")</f>
        <v>Elias Toio Farias Dos Santos</v>
      </c>
      <c r="J57" s="27" t="str">
        <f ca="1">IFERROR(__xludf.DUMMYFUNCTION("""COMPUTED_VALUE"""),"capoeira.acdsc@gmail.com")</f>
        <v>capoeira.acdsc@gmail.com</v>
      </c>
      <c r="K57" s="27" t="str">
        <f ca="1">IFERROR(__xludf.DUMMYFUNCTION("""COMPUTED_VALUE"""),"(51)98149-8022")</f>
        <v>(51)98149-8022</v>
      </c>
      <c r="L57" s="27" t="str">
        <f ca="1">IFERROR(__xludf.DUMMYFUNCTION("""COMPUTED_VALUE"""),"RS")</f>
        <v>RS</v>
      </c>
      <c r="M57" s="27" t="str">
        <f ca="1">IFERROR(__xludf.DUMMYFUNCTION("""COMPUTED_VALUE"""),"Francisco DE Assis SOARES (LOT JD América)")</f>
        <v>Francisco DE Assis SOARES (LOT JD América)</v>
      </c>
      <c r="N57" s="27" t="str">
        <f ca="1">IFERROR(__xludf.DUMMYFUNCTION("""COMPUTED_VALUE"""),"Lomba da Palmeira")</f>
        <v>Lomba da Palmeira</v>
      </c>
      <c r="O57" s="27" t="str">
        <f ca="1">IFERROR(__xludf.DUMMYFUNCTION("""COMPUTED_VALUE"""),"(51)9814-98022")</f>
        <v>(51)9814-98022</v>
      </c>
      <c r="P57" s="27" t="str">
        <f ca="1">IFERROR(__xludf.DUMMYFUNCTION("""COMPUTED_VALUE"""),"Sapucaia do Sul")</f>
        <v>Sapucaia do Sul</v>
      </c>
      <c r="Q57" s="27" t="str">
        <f ca="1">IFERROR(__xludf.DUMMYFUNCTION("""COMPUTED_VALUE"""),"Lot Jd américa")</f>
        <v>Lot Jd américa</v>
      </c>
      <c r="R57" s="27" t="str">
        <f ca="1">IFERROR(__xludf.DUMMYFUNCTION("""COMPUTED_VALUE"""),"93225-100")</f>
        <v>93225-100</v>
      </c>
      <c r="S57" s="27" t="str">
        <f ca="1">IFERROR(__xludf.DUMMYFUNCTION("""COMPUTED_VALUE"""),"Rua Evaldo da rosa 364 bairro sete CEP93224-440")</f>
        <v>Rua Evaldo da rosa 364 bairro sete CEP93224-440</v>
      </c>
      <c r="T57" s="27" t="str">
        <f ca="1">IFERROR(__xludf.DUMMYFUNCTION("""COMPUTED_VALUE"""),"Esporte; Educação; Cultura; Desenvolvimento comunitário")</f>
        <v>Esporte; Educação; Cultura; Desenvolvimento comunitário</v>
      </c>
      <c r="U57" s="27" t="str">
        <f ca="1">IFERROR(__xludf.DUMMYFUNCTION("""COMPUTED_VALUE"""),"Crianças pequenas (4 anos a 5 anos e 11 meses); Crianças (6 a 12 anos); Adolescentes (12 aos 18 anos)")</f>
        <v>Crianças pequenas (4 anos a 5 anos e 11 meses); Crianças (6 a 12 anos); Adolescentes (12 aos 18 anos)</v>
      </c>
      <c r="V57" s="27" t="str">
        <f ca="1">IFERROR(__xludf.DUMMYFUNCTION("""COMPUTED_VALUE"""),"Moradores de Favelas")</f>
        <v>Moradores de Favelas</v>
      </c>
      <c r="W57" s="27">
        <f ca="1">IFERROR(__xludf.DUMMYFUNCTION("""COMPUTED_VALUE"""),15)</f>
        <v>15</v>
      </c>
      <c r="X57" s="27"/>
      <c r="Y57" s="27">
        <f ca="1">IFERROR(__xludf.DUMMYFUNCTION("""COMPUTED_VALUE"""),110)</f>
        <v>110</v>
      </c>
      <c r="Z57" s="27">
        <f ca="1">IFERROR(__xludf.DUMMYFUNCTION("""COMPUTED_VALUE"""),110)</f>
        <v>110</v>
      </c>
      <c r="AA57" s="29">
        <f ca="1">IFERROR(__xludf.DUMMYFUNCTION("""COMPUTED_VALUE"""),42565)</f>
        <v>42565</v>
      </c>
      <c r="AB57" s="27" t="str">
        <f ca="1">IFERROR(__xludf.DUMMYFUNCTION("""COMPUTED_VALUE"""),"Sim")</f>
        <v>Sim</v>
      </c>
      <c r="AC57" s="27">
        <f ca="1">IFERROR(__xludf.DUMMYFUNCTION("""COMPUTED_VALUE"""),4)</f>
        <v>4</v>
      </c>
      <c r="AD57" s="27">
        <f ca="1">IFERROR(__xludf.DUMMYFUNCTION("""COMPUTED_VALUE"""),0)</f>
        <v>0</v>
      </c>
      <c r="AE57" s="27">
        <f ca="1">IFERROR(__xludf.DUMMYFUNCTION("""COMPUTED_VALUE"""),9)</f>
        <v>9</v>
      </c>
      <c r="AF57" s="27">
        <f ca="1">IFERROR(__xludf.DUMMYFUNCTION("""COMPUTED_VALUE"""),0)</f>
        <v>0</v>
      </c>
      <c r="AG57" s="27">
        <f ca="1">IFERROR(__xludf.DUMMYFUNCTION("""COMPUTED_VALUE"""),3)</f>
        <v>3</v>
      </c>
      <c r="AH57" s="27" t="str">
        <f ca="1">IFERROR(__xludf.DUMMYFUNCTION("""COMPUTED_VALUE"""),"Lei de Incentivo; Parceria iniciativa privada; Editais; Lei Estadual da Cultura; FIA")</f>
        <v>Lei de Incentivo; Parceria iniciativa privada; Editais; Lei Estadual da Cultura; FIA</v>
      </c>
      <c r="AI57" s="27" t="str">
        <f ca="1">IFERROR(__xludf.DUMMYFUNCTION("""COMPUTED_VALUE"""),"30% Lei de incentivo 50% Editais 20% Fundo comunitário")</f>
        <v>30% Lei de incentivo 50% Editais 20% Fundo comunitário</v>
      </c>
      <c r="AJ57" s="27" t="str">
        <f ca="1">IFERROR(__xludf.DUMMYFUNCTION("""COMPUTED_VALUE"""),"Não")</f>
        <v>Não</v>
      </c>
      <c r="AK57" s="27" t="str">
        <f ca="1">IFERROR(__xludf.DUMMYFUNCTION("""COMPUTED_VALUE"""),"Não")</f>
        <v>Não</v>
      </c>
      <c r="AL57" s="21" t="str">
        <f ca="1">IFERROR(__xludf.DUMMYFUNCTION("""COMPUTED_VALUE"""),"0034P000043fOnh")</f>
        <v>0034P000043fOnh</v>
      </c>
      <c r="AM57" s="27" t="str">
        <f ca="1">IFERROR(__xludf.DUMMYFUNCTION("""COMPUTED_VALUE"""),"Toio Farias Dos Santos")</f>
        <v>Toio Farias Dos Santos</v>
      </c>
      <c r="AN57" s="27" t="str">
        <f ca="1">IFERROR(__xludf.DUMMYFUNCTION("""COMPUTED_VALUE"""),"Ativo")</f>
        <v>Ativo</v>
      </c>
      <c r="AO57" s="29">
        <f ca="1">IFERROR(__xludf.DUMMYFUNCTION("""COMPUTED_VALUE"""),44432)</f>
        <v>44432</v>
      </c>
      <c r="AP57" s="27">
        <f ca="1">IFERROR(__xludf.DUMMYFUNCTION("""COMPUTED_VALUE"""),13)</f>
        <v>13</v>
      </c>
      <c r="AQ57" s="27" t="str">
        <f ca="1">IFERROR(__xludf.DUMMYFUNCTION("""COMPUTED_VALUE"""),"Primeiro Semestre 2021")</f>
        <v>Primeiro Semestre 2021</v>
      </c>
      <c r="AR57" s="27" t="str">
        <f ca="1">IFERROR(__xludf.DUMMYFUNCTION("""COMPUTED_VALUE"""),"tom.abadacapoeira@gmail.com")</f>
        <v>tom.abadacapoeira@gmail.com</v>
      </c>
      <c r="AS57" s="27" t="str">
        <f ca="1">IFERROR(__xludf.DUMMYFUNCTION("""COMPUTED_VALUE"""),"(51)9814-98022")</f>
        <v>(51)9814-98022</v>
      </c>
      <c r="AT57" s="29">
        <f ca="1">IFERROR(__xludf.DUMMYFUNCTION("""COMPUTED_VALUE"""),32407)</f>
        <v>32407</v>
      </c>
      <c r="AU57" s="27">
        <f ca="1">IFERROR(__xludf.DUMMYFUNCTION("""COMPUTED_VALUE"""),34)</f>
        <v>34</v>
      </c>
      <c r="AV57" s="27">
        <f ca="1">IFERROR(__xludf.DUMMYFUNCTION("""COMPUTED_VALUE"""),2467392074)</f>
        <v>2467392074</v>
      </c>
      <c r="AW57" s="27">
        <f ca="1">IFERROR(__xludf.DUMMYFUNCTION("""COMPUTED_VALUE"""),3075979884)</f>
        <v>3075979884</v>
      </c>
      <c r="AX57" s="27" t="str">
        <f ca="1">IFERROR(__xludf.DUMMYFUNCTION("""COMPUTED_VALUE"""),"Serviço Social")</f>
        <v>Serviço Social</v>
      </c>
      <c r="AY57" s="27"/>
      <c r="AZ57" s="27" t="str">
        <f ca="1">IFERROR(__xludf.DUMMYFUNCTION("""COMPUTED_VALUE"""),"GG")</f>
        <v>GG</v>
      </c>
      <c r="BA57" s="27" t="str">
        <f ca="1">IFERROR(__xludf.DUMMYFUNCTION("""COMPUTED_VALUE"""),"Preta")</f>
        <v>Preta</v>
      </c>
      <c r="BB57" s="27"/>
      <c r="BC57" s="27" t="str">
        <f ca="1">IFERROR(__xludf.DUMMYFUNCTION("""COMPUTED_VALUE"""),"Sim")</f>
        <v>Sim</v>
      </c>
      <c r="BD57" s="27" t="str">
        <f ca="1">IFERROR(__xludf.DUMMYFUNCTION("""COMPUTED_VALUE"""),"Meu nome é Elias-Tom, tenho 33 anos, faço Capoeira desde dos 6 anos, sou instrutor de capoeira, estudante de serviço social empreendedor social, com a motivação de liderar transformações.")</f>
        <v>Meu nome é Elias-Tom, tenho 33 anos, faço Capoeira desde dos 6 anos, sou instrutor de capoeira, estudante de serviço social empreendedor social, com a motivação de liderar transformações.</v>
      </c>
      <c r="BE57" s="27" t="str">
        <f ca="1">IFERROR(__xludf.DUMMYFUNCTION("""COMPUTED_VALUE"""),"Masculino")</f>
        <v>Masculino</v>
      </c>
      <c r="BF57" s="27" t="str">
        <f ca="1">IFERROR(__xludf.DUMMYFUNCTION("""COMPUTED_VALUE"""),"Heterossexual")</f>
        <v>Heterossexual</v>
      </c>
      <c r="BG57" s="27" t="str">
        <f ca="1">IFERROR(__xludf.DUMMYFUNCTION("""COMPUTED_VALUE"""),"Ensino Superior - Incompleto")</f>
        <v>Ensino Superior - Incompleto</v>
      </c>
      <c r="BH57" s="27"/>
      <c r="BI57" s="27" t="str">
        <f ca="1">IFERROR(__xludf.DUMMYFUNCTION("""COMPUTED_VALUE"""),"Graduação")</f>
        <v>Graduação</v>
      </c>
      <c r="BJ57" s="27" t="str">
        <f ca="1">IFERROR(__xludf.DUMMYFUNCTION("""COMPUTED_VALUE"""),"Privado")</f>
        <v>Privado</v>
      </c>
      <c r="BK57" s="27" t="str">
        <f ca="1">IFERROR(__xludf.DUMMYFUNCTION("""COMPUTED_VALUE"""),"Rosinha Joaquina")</f>
        <v>Rosinha Joaquina</v>
      </c>
      <c r="BL57" s="27">
        <f ca="1">IFERROR(__xludf.DUMMYFUNCTION("""COMPUTED_VALUE"""),619)</f>
        <v>619</v>
      </c>
      <c r="BM57" s="27"/>
      <c r="BN57" s="27" t="str">
        <f ca="1">IFERROR(__xludf.DUMMYFUNCTION("""COMPUTED_VALUE"""),"Sapucaia do Sul")</f>
        <v>Sapucaia do Sul</v>
      </c>
      <c r="BO57" s="27" t="str">
        <f ca="1">IFERROR(__xludf.DUMMYFUNCTION("""COMPUTED_VALUE"""),"93222-420")</f>
        <v>93222-420</v>
      </c>
      <c r="BP57" s="27" t="str">
        <f ca="1">IFERROR(__xludf.DUMMYFUNCTION("""COMPUTED_VALUE"""),"RS")</f>
        <v>RS</v>
      </c>
      <c r="BQ57" s="27" t="str">
        <f ca="1">IFERROR(__xludf.DUMMYFUNCTION("""COMPUTED_VALUE"""),"Entre 1 até 3 salários mínimos")</f>
        <v>Entre 1 até 3 salários mínimos</v>
      </c>
      <c r="BR57" s="27" t="str">
        <f ca="1">IFERROR(__xludf.DUMMYFUNCTION("""COMPUTED_VALUE"""),"CLT")</f>
        <v>CLT</v>
      </c>
      <c r="BS57" s="27" t="str">
        <f ca="1">IFERROR(__xludf.DUMMYFUNCTION("""COMPUTED_VALUE"""),"Casa própria")</f>
        <v>Casa própria</v>
      </c>
      <c r="BT57" s="27">
        <f ca="1">IFERROR(__xludf.DUMMYFUNCTION("""COMPUTED_VALUE"""),5)</f>
        <v>5</v>
      </c>
      <c r="BU57" s="27"/>
      <c r="BV57" s="27"/>
      <c r="BW57" s="21" t="str">
        <f ca="1">IFERROR(__xludf.DUMMYFUNCTION("""COMPUTED_VALUE"""),"https://instagram.com/tom_maiorcapoeira?utm_medium=copy_link")</f>
        <v>https://instagram.com/tom_maiorcapoeira?utm_medium=copy_link</v>
      </c>
      <c r="BX57" s="21" t="str">
        <f ca="1">IFERROR(__xludf.DUMMYFUNCTION("""COMPUTED_VALUE"""),"https://instagram.com/tom_maiorcapoeira?utm_medium=copy_link")</f>
        <v>https://instagram.com/tom_maiorcapoeira?utm_medium=copy_link</v>
      </c>
      <c r="BY57" s="21" t="str">
        <f ca="1">IFERROR(__xludf.DUMMYFUNCTION("""COMPUTED_VALUE"""),"https://drive.google.com/open?id=1yKXW_luhABrCjqiUS_lGWIKVsh0WDc4G")</f>
        <v>https://drive.google.com/open?id=1yKXW_luhABrCjqiUS_lGWIKVsh0WDc4G</v>
      </c>
    </row>
    <row r="58" spans="1:77" ht="12.5" x14ac:dyDescent="0.25">
      <c r="A58" s="21" t="str">
        <f ca="1">IFERROR(__xludf.DUMMYFUNCTION("""COMPUTED_VALUE"""),"0014P00003AN2FlQAL")</f>
        <v>0014P00003AN2FlQAL</v>
      </c>
      <c r="B58" s="27" t="str">
        <f ca="1">IFERROR(__xludf.DUMMYFUNCTION("""COMPUTED_VALUE"""),"Fase Estruturação")</f>
        <v>Fase Estruturação</v>
      </c>
      <c r="C58" s="27" t="str">
        <f ca="1">IFERROR(__xludf.DUMMYFUNCTION("""COMPUTED_VALUE"""),"Acelerada")</f>
        <v>Acelerada</v>
      </c>
      <c r="D58" s="27" t="str">
        <f ca="1">IFERROR(__xludf.DUMMYFUNCTION("""COMPUTED_VALUE"""),"Ativo")</f>
        <v>Ativo</v>
      </c>
      <c r="E58" s="27" t="str">
        <f ca="1">IFERROR(__xludf.DUMMYFUNCTION("""COMPUTED_VALUE"""),"Associação Cultural Educacional e Esportiva Na Ponta dos Pés")</f>
        <v>Associação Cultural Educacional e Esportiva Na Ponta dos Pés</v>
      </c>
      <c r="F58" s="27" t="str">
        <f ca="1">IFERROR(__xludf.DUMMYFUNCTION("""COMPUTED_VALUE"""),"Tuany")</f>
        <v>Tuany</v>
      </c>
      <c r="G58" s="27" t="str">
        <f ca="1">IFERROR(__xludf.DUMMYFUNCTION("""COMPUTED_VALUE"""),"NA PONTA DOS PÉS")</f>
        <v>NA PONTA DOS PÉS</v>
      </c>
      <c r="H58" s="27" t="str">
        <f ca="1">IFERROR(__xludf.DUMMYFUNCTION("""COMPUTED_VALUE"""),"40.653.539/0001-64")</f>
        <v>40.653.539/0001-64</v>
      </c>
      <c r="I58" s="27"/>
      <c r="J58" s="27" t="str">
        <f ca="1">IFERROR(__xludf.DUMMYFUNCTION("""COMPUTED_VALUE"""),"balletnapontadospes@gmail.com")</f>
        <v>balletnapontadospes@gmail.com</v>
      </c>
      <c r="K58" s="27" t="str">
        <f ca="1">IFERROR(__xludf.DUMMYFUNCTION("""COMPUTED_VALUE"""),"(21)97522-8269")</f>
        <v>(21)97522-8269</v>
      </c>
      <c r="L58" s="27" t="str">
        <f ca="1">IFERROR(__xludf.DUMMYFUNCTION("""COMPUTED_VALUE"""),"RJ")</f>
        <v>RJ</v>
      </c>
      <c r="M58" s="27" t="str">
        <f ca="1">IFERROR(__xludf.DUMMYFUNCTION("""COMPUTED_VALUE"""),"Rua Régio,669")</f>
        <v>Rua Régio,669</v>
      </c>
      <c r="N58" s="27"/>
      <c r="O58" s="27" t="str">
        <f ca="1">IFERROR(__xludf.DUMMYFUNCTION("""COMPUTED_VALUE"""),"(21)97522-8269")</f>
        <v>(21)97522-8269</v>
      </c>
      <c r="P58" s="27" t="str">
        <f ca="1">IFERROR(__xludf.DUMMYFUNCTION("""COMPUTED_VALUE"""),"Rio de Janeiro")</f>
        <v>Rio de Janeiro</v>
      </c>
      <c r="Q58" s="27"/>
      <c r="R58" s="27" t="str">
        <f ca="1">IFERROR(__xludf.DUMMYFUNCTION("""COMPUTED_VALUE"""),"21060-630")</f>
        <v>21060-630</v>
      </c>
      <c r="S58" s="27" t="str">
        <f ca="1">IFERROR(__xludf.DUMMYFUNCTION("""COMPUTED_VALUE"""),"não temos.")</f>
        <v>não temos.</v>
      </c>
      <c r="T58" s="27" t="str">
        <f ca="1">IFERROR(__xludf.DUMMYFUNCTION("""COMPUTED_VALUE"""),"Esporte; Educação; Assistência Social; Cultura; Qualificação Profissional; Meio ambiente; Empoderamento Feminino; Defesa de Direitos; Desenvolvimento comunitário")</f>
        <v>Esporte; Educação; Assistência Social; Cultura; Qualificação Profissional; Meio ambiente; Empoderamento Feminino; Defesa de Direitos; Desenvolvimento comunitário</v>
      </c>
      <c r="U58" s="27" t="str">
        <f ca="1">IFERROR(__xludf.DUMMYFUNCTION("""COMPUTED_VALUE"""),"Crianças bem pequenas (1 ano e 7 meses até 3 anos e 11 meses); Crianças pequenas (4 anos a 5 anos e 11 meses); Crianças (6 a 12 anos); Adolescentes (12 aos 18 anos); Jovens (18 aos 24 anos); Adultos")</f>
        <v>Crianças bem pequenas (1 ano e 7 meses até 3 anos e 11 meses); Crianças pequenas (4 anos a 5 anos e 11 meses); Crianças (6 a 12 anos); Adolescentes (12 aos 18 anos); Jovens (18 aos 24 anos); Adultos</v>
      </c>
      <c r="V58" s="27" t="str">
        <f ca="1">IFERROR(__xludf.DUMMYFUNCTION("""COMPUTED_VALUE"""),"Moradores de Favelas; População LGBTQ+; Afrodescendentes; Pessoas com Deficiência")</f>
        <v>Moradores de Favelas; População LGBTQ+; Afrodescendentes; Pessoas com Deficiência</v>
      </c>
      <c r="W58" s="27">
        <f ca="1">IFERROR(__xludf.DUMMYFUNCTION("""COMPUTED_VALUE"""),13)</f>
        <v>13</v>
      </c>
      <c r="X58" s="27" t="str">
        <f ca="1">IFERROR(__xludf.DUMMYFUNCTION("""COMPUTED_VALUE"""),"Não temos unidades em outras comunidades mas tenho alunos oriundos de outros favelas como Manguinhos Cruzeiro e Morro do Tuiuti")</f>
        <v>Não temos unidades em outras comunidades mas tenho alunos oriundos de outros favelas como Manguinhos Cruzeiro e Morro do Tuiuti</v>
      </c>
      <c r="Y58" s="27"/>
      <c r="Z58" s="27"/>
      <c r="AA58" s="29">
        <f ca="1">IFERROR(__xludf.DUMMYFUNCTION("""COMPUTED_VALUE"""),44075)</f>
        <v>44075</v>
      </c>
      <c r="AB58" s="27" t="str">
        <f ca="1">IFERROR(__xludf.DUMMYFUNCTION("""COMPUTED_VALUE"""),"Em processo")</f>
        <v>Em processo</v>
      </c>
      <c r="AC58" s="27">
        <f ca="1">IFERROR(__xludf.DUMMYFUNCTION("""COMPUTED_VALUE"""),9)</f>
        <v>9</v>
      </c>
      <c r="AD58" s="27">
        <f ca="1">IFERROR(__xludf.DUMMYFUNCTION("""COMPUTED_VALUE"""),0)</f>
        <v>0</v>
      </c>
      <c r="AE58" s="27">
        <f ca="1">IFERROR(__xludf.DUMMYFUNCTION("""COMPUTED_VALUE"""),4)</f>
        <v>4</v>
      </c>
      <c r="AF58" s="27">
        <f ca="1">IFERROR(__xludf.DUMMYFUNCTION("""COMPUTED_VALUE"""),0)</f>
        <v>0</v>
      </c>
      <c r="AG58" s="27">
        <f ca="1">IFERROR(__xludf.DUMMYFUNCTION("""COMPUTED_VALUE"""),5)</f>
        <v>5</v>
      </c>
      <c r="AH58" s="27" t="str">
        <f ca="1">IFERROR(__xludf.DUMMYFUNCTION("""COMPUTED_VALUE"""),"Lei de Incentivo; Eventos/Ações para captação; Plataforma doação online - Pessoa Física; Doações")</f>
        <v>Lei de Incentivo; Eventos/Ações para captação; Plataforma doação online - Pessoa Física; Doações</v>
      </c>
      <c r="AI58" s="27" t="str">
        <f ca="1">IFERROR(__xludf.DUMMYFUNCTION("""COMPUTED_VALUE"""),"56% Pix do bem; 4%bazar; 4% Benfeitoria; 3% campanha Internacional; 11% Pessoa Física; e 22% Pessoa Jurídica")</f>
        <v>56% Pix do bem; 4%bazar; 4% Benfeitoria; 3% campanha Internacional; 11% Pessoa Física; e 22% Pessoa Jurídica</v>
      </c>
      <c r="AJ58" s="27" t="str">
        <f ca="1">IFERROR(__xludf.DUMMYFUNCTION("""COMPUTED_VALUE"""),"Não")</f>
        <v>Não</v>
      </c>
      <c r="AK58" s="27" t="str">
        <f ca="1">IFERROR(__xludf.DUMMYFUNCTION("""COMPUTED_VALUE"""),"Não")</f>
        <v>Não</v>
      </c>
      <c r="AL58" s="21" t="str">
        <f ca="1">IFERROR(__xludf.DUMMYFUNCTION("""COMPUTED_VALUE"""),"0034P00003maBVC")</f>
        <v>0034P00003maBVC</v>
      </c>
      <c r="AM58" s="27" t="str">
        <f ca="1">IFERROR(__xludf.DUMMYFUNCTION("""COMPUTED_VALUE"""),"Tomaz Nascimento")</f>
        <v>Tomaz Nascimento</v>
      </c>
      <c r="AN58" s="27" t="str">
        <f ca="1">IFERROR(__xludf.DUMMYFUNCTION("""COMPUTED_VALUE"""),"Ativo")</f>
        <v>Ativo</v>
      </c>
      <c r="AO58" s="29">
        <f ca="1">IFERROR(__xludf.DUMMYFUNCTION("""COMPUTED_VALUE"""),44285)</f>
        <v>44285</v>
      </c>
      <c r="AP58" s="27">
        <f ca="1">IFERROR(__xludf.DUMMYFUNCTION("""COMPUTED_VALUE"""),18)</f>
        <v>18</v>
      </c>
      <c r="AQ58" s="27" t="str">
        <f ca="1">IFERROR(__xludf.DUMMYFUNCTION("""COMPUTED_VALUE"""),"Segundo Semestre 2020")</f>
        <v>Segundo Semestre 2020</v>
      </c>
      <c r="AR58" s="27" t="str">
        <f ca="1">IFERROR(__xludf.DUMMYFUNCTION("""COMPUTED_VALUE"""),"tuanynasc@napontadospes.com.br")</f>
        <v>tuanynasc@napontadospes.com.br</v>
      </c>
      <c r="AS58" s="27" t="str">
        <f ca="1">IFERROR(__xludf.DUMMYFUNCTION("""COMPUTED_VALUE"""),"(21)97522-8269")</f>
        <v>(21)97522-8269</v>
      </c>
      <c r="AT58" s="29">
        <f ca="1">IFERROR(__xludf.DUMMYFUNCTION("""COMPUTED_VALUE"""),34357)</f>
        <v>34357</v>
      </c>
      <c r="AU58" s="27">
        <f ca="1">IFERROR(__xludf.DUMMYFUNCTION("""COMPUTED_VALUE"""),28)</f>
        <v>28</v>
      </c>
      <c r="AV58" s="27">
        <f ca="1">IFERROR(__xludf.DUMMYFUNCTION("""COMPUTED_VALUE"""),15793840729)</f>
        <v>15793840729</v>
      </c>
      <c r="AW58" s="27">
        <f ca="1">IFERROR(__xludf.DUMMYFUNCTION("""COMPUTED_VALUE"""),266282367)</f>
        <v>266282367</v>
      </c>
      <c r="AX58" s="27" t="str">
        <f ca="1">IFERROR(__xludf.DUMMYFUNCTION("""COMPUTED_VALUE"""),"Educação Física Licenciada")</f>
        <v>Educação Física Licenciada</v>
      </c>
      <c r="AY58" s="27" t="str">
        <f ca="1">IFERROR(__xludf.DUMMYFUNCTION("""COMPUTED_VALUE"""),"Sou bailarina da Cia de Dança REC")</f>
        <v>Sou bailarina da Cia de Dança REC</v>
      </c>
      <c r="AZ58" s="27" t="str">
        <f ca="1">IFERROR(__xludf.DUMMYFUNCTION("""COMPUTED_VALUE"""),"P")</f>
        <v>P</v>
      </c>
      <c r="BA58" s="27"/>
      <c r="BB58" s="27"/>
      <c r="BC58" s="27" t="str">
        <f ca="1">IFERROR(__xludf.DUMMYFUNCTION("""COMPUTED_VALUE"""),"Sim")</f>
        <v>Sim</v>
      </c>
      <c r="BD58" s="27" t="str">
        <f ca="1">IFERROR(__xludf.DUMMYFUNCTION("""COMPUTED_VALUE"""),"Tuany Nascimento moradora do Morro do Adeus/Complexo do Alemão, a primeira mulher preta a construir uma escola de balé no alto da sua própria favela. A jovem de 28 anos é formada em educação física licenciada, bailarina da Cia Rec e  ganhadora da maior pr"&amp;"emiação feminina da América Latina em 2019 (Prêmio Cláudia 2019) na categoria Cultura, idealizou o projeto Na Ponta dos Pés aos 18 anos.")</f>
        <v>Tuany Nascimento moradora do Morro do Adeus/Complexo do Alemão, a primeira mulher preta a construir uma escola de balé no alto da sua própria favela. A jovem de 28 anos é formada em educação física licenciada, bailarina da Cia Rec e  ganhadora da maior premiação feminina da América Latina em 2019 (Prêmio Cláudia 2019) na categoria Cultura, idealizou o projeto Na Ponta dos Pés aos 18 anos.</v>
      </c>
      <c r="BE58" s="27"/>
      <c r="BF58" s="27"/>
      <c r="BG58" s="27" t="str">
        <f ca="1">IFERROR(__xludf.DUMMYFUNCTION("""COMPUTED_VALUE"""),"Ensino Superior - Completo")</f>
        <v>Ensino Superior - Completo</v>
      </c>
      <c r="BH58" s="27"/>
      <c r="BI58" s="27" t="str">
        <f ca="1">IFERROR(__xludf.DUMMYFUNCTION("""COMPUTED_VALUE"""),"Graduação")</f>
        <v>Graduação</v>
      </c>
      <c r="BJ58" s="27" t="str">
        <f ca="1">IFERROR(__xludf.DUMMYFUNCTION("""COMPUTED_VALUE"""),"Privado")</f>
        <v>Privado</v>
      </c>
      <c r="BK58" s="27" t="str">
        <f ca="1">IFERROR(__xludf.DUMMYFUNCTION("""COMPUTED_VALUE"""),"Rua Oricá,")</f>
        <v>Rua Oricá,</v>
      </c>
      <c r="BL58" s="27">
        <f ca="1">IFERROR(__xludf.DUMMYFUNCTION("""COMPUTED_VALUE"""),1250)</f>
        <v>1250</v>
      </c>
      <c r="BM58" s="27" t="str">
        <f ca="1">IFERROR(__xludf.DUMMYFUNCTION("""COMPUTED_VALUE"""),"casa 1250")</f>
        <v>casa 1250</v>
      </c>
      <c r="BN58" s="27" t="str">
        <f ca="1">IFERROR(__xludf.DUMMYFUNCTION("""COMPUTED_VALUE"""),"Rio de Janeiro")</f>
        <v>Rio de Janeiro</v>
      </c>
      <c r="BO58" s="27" t="str">
        <f ca="1">IFERROR(__xludf.DUMMYFUNCTION("""COMPUTED_VALUE"""),"21215-260")</f>
        <v>21215-260</v>
      </c>
      <c r="BP58" s="27" t="str">
        <f ca="1">IFERROR(__xludf.DUMMYFUNCTION("""COMPUTED_VALUE"""),"RJ")</f>
        <v>RJ</v>
      </c>
      <c r="BQ58" s="27" t="str">
        <f ca="1">IFERROR(__xludf.DUMMYFUNCTION("""COMPUTED_VALUE"""),"De 3 até 5 salários mínimos")</f>
        <v>De 3 até 5 salários mínimos</v>
      </c>
      <c r="BR58" s="27" t="str">
        <f ca="1">IFERROR(__xludf.DUMMYFUNCTION("""COMPUTED_VALUE"""),"MEI")</f>
        <v>MEI</v>
      </c>
      <c r="BS58" s="27" t="str">
        <f ca="1">IFERROR(__xludf.DUMMYFUNCTION("""COMPUTED_VALUE"""),"Aluguel")</f>
        <v>Aluguel</v>
      </c>
      <c r="BT58" s="27">
        <f ca="1">IFERROR(__xludf.DUMMYFUNCTION("""COMPUTED_VALUE"""),4)</f>
        <v>4</v>
      </c>
      <c r="BU58" s="27"/>
      <c r="BV58" s="27"/>
      <c r="BW58" s="27" t="str">
        <f ca="1">IFERROR(__xludf.DUMMYFUNCTION("""COMPUTED_VALUE"""),"Não tenho")</f>
        <v>Não tenho</v>
      </c>
      <c r="BX58" s="21" t="str">
        <f ca="1">IFERROR(__xludf.DUMMYFUNCTION("""COMPUTED_VALUE"""),"https://www.instagram.com/tuany_nascimentoo/")</f>
        <v>https://www.instagram.com/tuany_nascimentoo/</v>
      </c>
      <c r="BY58" s="21" t="str">
        <f ca="1">IFERROR(__xludf.DUMMYFUNCTION("""COMPUTED_VALUE"""),"https://drive.google.com/open?id=1Dw5zMvYnku585HPzOf1EfuBPYFd4oA0R")</f>
        <v>https://drive.google.com/open?id=1Dw5zMvYnku585HPzOf1EfuBPYFd4oA0R</v>
      </c>
    </row>
    <row r="59" spans="1:77" ht="12.5" hidden="1" x14ac:dyDescent="0.25">
      <c r="A59" s="21" t="str">
        <f ca="1">IFERROR(__xludf.DUMMYFUNCTION("""COMPUTED_VALUE"""),"0014P00003SGWPcQAP")</f>
        <v>0014P00003SGWPcQAP</v>
      </c>
      <c r="B59" s="27" t="str">
        <f ca="1">IFERROR(__xludf.DUMMYFUNCTION("""COMPUTED_VALUE"""),"Fase Inicial")</f>
        <v>Fase Inicial</v>
      </c>
      <c r="C59" s="27" t="str">
        <f ca="1">IFERROR(__xludf.DUMMYFUNCTION("""COMPUTED_VALUE"""),"Fellow")</f>
        <v>Fellow</v>
      </c>
      <c r="D59" s="27" t="str">
        <f ca="1">IFERROR(__xludf.DUMMYFUNCTION("""COMPUTED_VALUE"""),"Ativo")</f>
        <v>Ativo</v>
      </c>
      <c r="E59" s="27" t="str">
        <f ca="1">IFERROR(__xludf.DUMMYFUNCTION("""COMPUTED_VALUE"""),"ASSOCIAÇÃO CULTURAL E EDUCACIONAL VIOLETA ELIZ")</f>
        <v>ASSOCIAÇÃO CULTURAL E EDUCACIONAL VIOLETA ELIZ</v>
      </c>
      <c r="F59" s="27" t="str">
        <f ca="1">IFERROR(__xludf.DUMMYFUNCTION("""COMPUTED_VALUE"""),"Elizangela")</f>
        <v>Elizangela</v>
      </c>
      <c r="G59" s="27" t="str">
        <f ca="1">IFERROR(__xludf.DUMMYFUNCTION("""COMPUTED_VALUE"""),"ACEVE")</f>
        <v>ACEVE</v>
      </c>
      <c r="H59" s="27" t="str">
        <f ca="1">IFERROR(__xludf.DUMMYFUNCTION("""COMPUTED_VALUE"""),"23.398.031/0001-48")</f>
        <v>23.398.031/0001-48</v>
      </c>
      <c r="I59" s="27" t="str">
        <f ca="1">IFERROR(__xludf.DUMMYFUNCTION("""COMPUTED_VALUE"""),"Elizangela Maria Dos Santos")</f>
        <v>Elizangela Maria Dos Santos</v>
      </c>
      <c r="J59" s="27" t="str">
        <f ca="1">IFERROR(__xludf.DUMMYFUNCTION("""COMPUTED_VALUE"""),"ongasvioletas@gmail.com")</f>
        <v>ongasvioletas@gmail.com</v>
      </c>
      <c r="K59" s="27">
        <f ca="1">IFERROR(__xludf.DUMMYFUNCTION("""COMPUTED_VALUE"""),6434321958)</f>
        <v>6434321958</v>
      </c>
      <c r="L59" s="27" t="str">
        <f ca="1">IFERROR(__xludf.DUMMYFUNCTION("""COMPUTED_VALUE"""),"SP")</f>
        <v>SP</v>
      </c>
      <c r="M59" s="27" t="str">
        <f ca="1">IFERROR(__xludf.DUMMYFUNCTION("""COMPUTED_VALUE"""),"Rua 12 de Outubro 33")</f>
        <v>Rua 12 de Outubro 33</v>
      </c>
      <c r="N59" s="27" t="str">
        <f ca="1">IFERROR(__xludf.DUMMYFUNCTION("""COMPUTED_VALUE"""),"Jd Maria Rita")</f>
        <v>Jd Maria Rita</v>
      </c>
      <c r="O59" s="27" t="str">
        <f ca="1">IFERROR(__xludf.DUMMYFUNCTION("""COMPUTED_VALUE"""),"(11)96477-1181")</f>
        <v>(11)96477-1181</v>
      </c>
      <c r="P59" s="27" t="str">
        <f ca="1">IFERROR(__xludf.DUMMYFUNCTION("""COMPUTED_VALUE"""),"São Paulo")</f>
        <v>São Paulo</v>
      </c>
      <c r="Q59" s="27" t="str">
        <f ca="1">IFERROR(__xludf.DUMMYFUNCTION("""COMPUTED_VALUE"""),"Favela Morroda Mandioca")</f>
        <v>Favela Morroda Mandioca</v>
      </c>
      <c r="R59" s="27" t="str">
        <f ca="1">IFERROR(__xludf.DUMMYFUNCTION("""COMPUTED_VALUE"""),"04814-195")</f>
        <v>04814-195</v>
      </c>
      <c r="S59" s="27"/>
      <c r="T59" s="27" t="str">
        <f ca="1">IFERROR(__xludf.DUMMYFUNCTION("""COMPUTED_VALUE"""),"Esporte; Educação; Empreendedorismo")</f>
        <v>Esporte; Educação; Empreendedorismo</v>
      </c>
      <c r="U59" s="27" t="str">
        <f ca="1">IFERROR(__xludf.DUMMYFUNCTION("""COMPUTED_VALUE"""),"Crianças (6 a 12 anos); Jovens (18 aos 24 anos); Adultos")</f>
        <v>Crianças (6 a 12 anos); Jovens (18 aos 24 anos); Adultos</v>
      </c>
      <c r="V59" s="27" t="str">
        <f ca="1">IFERROR(__xludf.DUMMYFUNCTION("""COMPUTED_VALUE"""),"Moradores de Favelas")</f>
        <v>Moradores de Favelas</v>
      </c>
      <c r="W59" s="27">
        <f ca="1">IFERROR(__xludf.DUMMYFUNCTION("""COMPUTED_VALUE"""),3)</f>
        <v>3</v>
      </c>
      <c r="X59" s="27"/>
      <c r="Y59" s="27">
        <f ca="1">IFERROR(__xludf.DUMMYFUNCTION("""COMPUTED_VALUE"""),44)</f>
        <v>44</v>
      </c>
      <c r="Z59" s="27">
        <f ca="1">IFERROR(__xludf.DUMMYFUNCTION("""COMPUTED_VALUE"""),260)</f>
        <v>260</v>
      </c>
      <c r="AA59" s="29">
        <f ca="1">IFERROR(__xludf.DUMMYFUNCTION("""COMPUTED_VALUE"""),41749)</f>
        <v>41749</v>
      </c>
      <c r="AB59" s="27" t="str">
        <f ca="1">IFERROR(__xludf.DUMMYFUNCTION("""COMPUTED_VALUE"""),"Sim")</f>
        <v>Sim</v>
      </c>
      <c r="AC59" s="27">
        <f ca="1">IFERROR(__xludf.DUMMYFUNCTION("""COMPUTED_VALUE"""),0)</f>
        <v>0</v>
      </c>
      <c r="AD59" s="27">
        <f ca="1">IFERROR(__xludf.DUMMYFUNCTION("""COMPUTED_VALUE"""),0)</f>
        <v>0</v>
      </c>
      <c r="AE59" s="27">
        <f ca="1">IFERROR(__xludf.DUMMYFUNCTION("""COMPUTED_VALUE"""),0)</f>
        <v>0</v>
      </c>
      <c r="AF59" s="27">
        <f ca="1">IFERROR(__xludf.DUMMYFUNCTION("""COMPUTED_VALUE"""),0)</f>
        <v>0</v>
      </c>
      <c r="AG59" s="27">
        <f ca="1">IFERROR(__xludf.DUMMYFUNCTION("""COMPUTED_VALUE"""),0)</f>
        <v>0</v>
      </c>
      <c r="AH59" s="27" t="str">
        <f ca="1">IFERROR(__xludf.DUMMYFUNCTION("""COMPUTED_VALUE"""),"Outro(s); Doações")</f>
        <v>Outro(s); Doações</v>
      </c>
      <c r="AI59" s="27" t="str">
        <f ca="1">IFERROR(__xludf.DUMMYFUNCTION("""COMPUTED_VALUE"""),"Nao")</f>
        <v>Nao</v>
      </c>
      <c r="AJ59" s="27" t="str">
        <f ca="1">IFERROR(__xludf.DUMMYFUNCTION("""COMPUTED_VALUE"""),"Não")</f>
        <v>Não</v>
      </c>
      <c r="AK59" s="27" t="str">
        <f ca="1">IFERROR(__xludf.DUMMYFUNCTION("""COMPUTED_VALUE"""),"Não")</f>
        <v>Não</v>
      </c>
      <c r="AL59" s="21" t="str">
        <f ca="1">IFERROR(__xludf.DUMMYFUNCTION("""COMPUTED_VALUE"""),"0034P000043fOnj")</f>
        <v>0034P000043fOnj</v>
      </c>
      <c r="AM59" s="27" t="str">
        <f ca="1">IFERROR(__xludf.DUMMYFUNCTION("""COMPUTED_VALUE"""),"Santos")</f>
        <v>Santos</v>
      </c>
      <c r="AN59" s="27" t="str">
        <f ca="1">IFERROR(__xludf.DUMMYFUNCTION("""COMPUTED_VALUE"""),"Ativo")</f>
        <v>Ativo</v>
      </c>
      <c r="AO59" s="29">
        <f ca="1">IFERROR(__xludf.DUMMYFUNCTION("""COMPUTED_VALUE"""),44432)</f>
        <v>44432</v>
      </c>
      <c r="AP59" s="27">
        <f ca="1">IFERROR(__xludf.DUMMYFUNCTION("""COMPUTED_VALUE"""),13)</f>
        <v>13</v>
      </c>
      <c r="AQ59" s="27" t="str">
        <f ca="1">IFERROR(__xludf.DUMMYFUNCTION("""COMPUTED_VALUE"""),"Primeiro Semestre 2021")</f>
        <v>Primeiro Semestre 2021</v>
      </c>
      <c r="AR59" s="27" t="str">
        <f ca="1">IFERROR(__xludf.DUMMYFUNCTION("""COMPUTED_VALUE"""),"eliz_santos@outlook.com")</f>
        <v>eliz_santos@outlook.com</v>
      </c>
      <c r="AS59" s="27" t="str">
        <f ca="1">IFERROR(__xludf.DUMMYFUNCTION("""COMPUTED_VALUE"""),"(11)96477-1181")</f>
        <v>(11)96477-1181</v>
      </c>
      <c r="AT59" s="29">
        <f ca="1">IFERROR(__xludf.DUMMYFUNCTION("""COMPUTED_VALUE"""),28147)</f>
        <v>28147</v>
      </c>
      <c r="AU59" s="27">
        <f ca="1">IFERROR(__xludf.DUMMYFUNCTION("""COMPUTED_VALUE"""),45)</f>
        <v>45</v>
      </c>
      <c r="AV59" s="27">
        <f ca="1">IFERROR(__xludf.DUMMYFUNCTION("""COMPUTED_VALUE"""),26091876880)</f>
        <v>26091876880</v>
      </c>
      <c r="AW59" s="27">
        <f ca="1">IFERROR(__xludf.DUMMYFUNCTION("""COMPUTED_VALUE"""),376110636)</f>
        <v>376110636</v>
      </c>
      <c r="AX59" s="27" t="str">
        <f ca="1">IFERROR(__xludf.DUMMYFUNCTION("""COMPUTED_VALUE"""),"Bacharel Em Serviço Social")</f>
        <v>Bacharel Em Serviço Social</v>
      </c>
      <c r="AY59" s="27"/>
      <c r="AZ59" s="27" t="str">
        <f ca="1">IFERROR(__xludf.DUMMYFUNCTION("""COMPUTED_VALUE"""),"P")</f>
        <v>P</v>
      </c>
      <c r="BA59" s="27" t="str">
        <f ca="1">IFERROR(__xludf.DUMMYFUNCTION("""COMPUTED_VALUE"""),"Branca")</f>
        <v>Branca</v>
      </c>
      <c r="BB59" s="27"/>
      <c r="BC59" s="27" t="str">
        <f ca="1">IFERROR(__xludf.DUMMYFUNCTION("""COMPUTED_VALUE"""),"Sim")</f>
        <v>Sim</v>
      </c>
      <c r="BD59" s="27" t="str">
        <f ca="1">IFERROR(__xludf.DUMMYFUNCTION("""COMPUTED_VALUE"""),"Sou Elizângela Santos trabalhei 2 anos para rede GF acho que já me conhecem")</f>
        <v>Sou Elizângela Santos trabalhei 2 anos para rede GF acho que já me conhecem</v>
      </c>
      <c r="BE59" s="27" t="str">
        <f ca="1">IFERROR(__xludf.DUMMYFUNCTION("""COMPUTED_VALUE"""),"Feminino")</f>
        <v>Feminino</v>
      </c>
      <c r="BF59" s="27" t="str">
        <f ca="1">IFERROR(__xludf.DUMMYFUNCTION("""COMPUTED_VALUE"""),"Heterossexual")</f>
        <v>Heterossexual</v>
      </c>
      <c r="BG59" s="27" t="str">
        <f ca="1">IFERROR(__xludf.DUMMYFUNCTION("""COMPUTED_VALUE"""),"Ensino Superior - Completo")</f>
        <v>Ensino Superior - Completo</v>
      </c>
      <c r="BH59" s="27"/>
      <c r="BI59" s="27" t="str">
        <f ca="1">IFERROR(__xludf.DUMMYFUNCTION("""COMPUTED_VALUE"""),"Pós-Graduação")</f>
        <v>Pós-Graduação</v>
      </c>
      <c r="BJ59" s="27" t="str">
        <f ca="1">IFERROR(__xludf.DUMMYFUNCTION("""COMPUTED_VALUE"""),"Privado")</f>
        <v>Privado</v>
      </c>
      <c r="BK59" s="27" t="str">
        <f ca="1">IFERROR(__xludf.DUMMYFUNCTION("""COMPUTED_VALUE"""),"José Bonifácio")</f>
        <v>José Bonifácio</v>
      </c>
      <c r="BL59" s="27">
        <f ca="1">IFERROR(__xludf.DUMMYFUNCTION("""COMPUTED_VALUE"""),137)</f>
        <v>137</v>
      </c>
      <c r="BM59" s="27" t="str">
        <f ca="1">IFERROR(__xludf.DUMMYFUNCTION("""COMPUTED_VALUE"""),"Centro")</f>
        <v>Centro</v>
      </c>
      <c r="BN59" s="27" t="str">
        <f ca="1">IFERROR(__xludf.DUMMYFUNCTION("""COMPUTED_VALUE"""),"São Paulo")</f>
        <v>São Paulo</v>
      </c>
      <c r="BO59" s="27" t="str">
        <f ca="1">IFERROR(__xludf.DUMMYFUNCTION("""COMPUTED_VALUE"""),"00103-001")</f>
        <v>00103-001</v>
      </c>
      <c r="BP59" s="27" t="str">
        <f ca="1">IFERROR(__xludf.DUMMYFUNCTION("""COMPUTED_VALUE"""),"SP")</f>
        <v>SP</v>
      </c>
      <c r="BQ59" s="27" t="str">
        <f ca="1">IFERROR(__xludf.DUMMYFUNCTION("""COMPUTED_VALUE"""),"Entre 1 até 3 salários mínimos")</f>
        <v>Entre 1 até 3 salários mínimos</v>
      </c>
      <c r="BR59" s="27" t="str">
        <f ca="1">IFERROR(__xludf.DUMMYFUNCTION("""COMPUTED_VALUE"""),"Desempregado")</f>
        <v>Desempregado</v>
      </c>
      <c r="BS59" s="27" t="str">
        <f ca="1">IFERROR(__xludf.DUMMYFUNCTION("""COMPUTED_VALUE"""),"Ocupação/Invasão")</f>
        <v>Ocupação/Invasão</v>
      </c>
      <c r="BT59" s="27">
        <f ca="1">IFERROR(__xludf.DUMMYFUNCTION("""COMPUTED_VALUE"""),0)</f>
        <v>0</v>
      </c>
      <c r="BU59" s="27"/>
      <c r="BV59" s="27"/>
      <c r="BW59" s="21" t="str">
        <f ca="1">IFERROR(__xludf.DUMMYFUNCTION("""COMPUTED_VALUE"""),"https://www.linkedin.com/feed/")</f>
        <v>https://www.linkedin.com/feed/</v>
      </c>
      <c r="BX59" s="21" t="str">
        <f ca="1">IFERROR(__xludf.DUMMYFUNCTION("""COMPUTED_VALUE"""),"https://www.instagram.com/pretaeliz")</f>
        <v>https://www.instagram.com/pretaeliz</v>
      </c>
      <c r="BY59" s="21" t="str">
        <f ca="1">IFERROR(__xludf.DUMMYFUNCTION("""COMPUTED_VALUE"""),"https://drive.google.com/open?id=1-gtEyyewmK0c6XfyRnXDbXLS_8VKo2Rw")</f>
        <v>https://drive.google.com/open?id=1-gtEyyewmK0c6XfyRnXDbXLS_8VKo2Rw</v>
      </c>
    </row>
    <row r="60" spans="1:77" ht="12.5" hidden="1" x14ac:dyDescent="0.25">
      <c r="A60" s="21" t="str">
        <f ca="1">IFERROR(__xludf.DUMMYFUNCTION("""COMPUTED_VALUE"""),"0014X00002VKCu2QAH")</f>
        <v>0014X00002VKCu2QAH</v>
      </c>
      <c r="B60" s="27" t="str">
        <f ca="1">IFERROR(__xludf.DUMMYFUNCTION("""COMPUTED_VALUE"""),"Fase Inicial")</f>
        <v>Fase Inicial</v>
      </c>
      <c r="C60" s="27" t="str">
        <f ca="1">IFERROR(__xludf.DUMMYFUNCTION("""COMPUTED_VALUE"""),"Fellow")</f>
        <v>Fellow</v>
      </c>
      <c r="D60" s="27" t="str">
        <f ca="1">IFERROR(__xludf.DUMMYFUNCTION("""COMPUTED_VALUE"""),"Ativo")</f>
        <v>Ativo</v>
      </c>
      <c r="E60" s="27" t="str">
        <f ca="1">IFERROR(__xludf.DUMMYFUNCTION("""COMPUTED_VALUE"""),"Associação Cultural e Social Vila nova")</f>
        <v>Associação Cultural e Social Vila nova</v>
      </c>
      <c r="F60" s="27" t="str">
        <f ca="1">IFERROR(__xludf.DUMMYFUNCTION("""COMPUTED_VALUE"""),"Lucas")</f>
        <v>Lucas</v>
      </c>
      <c r="G60" s="27" t="str">
        <f ca="1">IFERROR(__xludf.DUMMYFUNCTION("""COMPUTED_VALUE"""),"ACSVN")</f>
        <v>ACSVN</v>
      </c>
      <c r="H60" s="27" t="str">
        <f ca="1">IFERROR(__xludf.DUMMYFUNCTION("""COMPUTED_VALUE"""),"29.104.976/0001-96")</f>
        <v>29.104.976/0001-96</v>
      </c>
      <c r="I60" s="27" t="str">
        <f ca="1">IFERROR(__xludf.DUMMYFUNCTION("""COMPUTED_VALUE"""),"Leandro Rubattino Portolan")</f>
        <v>Leandro Rubattino Portolan</v>
      </c>
      <c r="J60" s="27" t="str">
        <f ca="1">IFERROR(__xludf.DUMMYFUNCTION("""COMPUTED_VALUE"""),"acsvnadm@gmail.com")</f>
        <v>acsvnadm@gmail.com</v>
      </c>
      <c r="K60" s="27" t="str">
        <f ca="1">IFERROR(__xludf.DUMMYFUNCTION("""COMPUTED_VALUE"""),"(51)99407-5204")</f>
        <v>(51)99407-5204</v>
      </c>
      <c r="L60" s="27" t="str">
        <f ca="1">IFERROR(__xludf.DUMMYFUNCTION("""COMPUTED_VALUE"""),"RS")</f>
        <v>RS</v>
      </c>
      <c r="M60" s="27" t="str">
        <f ca="1">IFERROR(__xludf.DUMMYFUNCTION("""COMPUTED_VALUE"""),"Estrada João Salomoni 1340")</f>
        <v>Estrada João Salomoni 1340</v>
      </c>
      <c r="N60" s="27" t="str">
        <f ca="1">IFERROR(__xludf.DUMMYFUNCTION("""COMPUTED_VALUE"""),"Vila Nova")</f>
        <v>Vila Nova</v>
      </c>
      <c r="O60" s="27">
        <f ca="1">IFERROR(__xludf.DUMMYFUNCTION("""COMPUTED_VALUE"""),1340)</f>
        <v>1340</v>
      </c>
      <c r="P60" s="27" t="str">
        <f ca="1">IFERROR(__xludf.DUMMYFUNCTION("""COMPUTED_VALUE"""),"Porto Alegre")</f>
        <v>Porto Alegre</v>
      </c>
      <c r="Q60" s="27" t="str">
        <f ca="1">IFERROR(__xludf.DUMMYFUNCTION("""COMPUTED_VALUE"""),"centro de eventos ervino besson")</f>
        <v>centro de eventos ervino besson</v>
      </c>
      <c r="R60" s="27" t="str">
        <f ca="1">IFERROR(__xludf.DUMMYFUNCTION("""COMPUTED_VALUE"""),"91740-830")</f>
        <v>91740-830</v>
      </c>
      <c r="S60" s="27" t="str">
        <f ca="1">IFERROR(__xludf.DUMMYFUNCTION("""COMPUTED_VALUE"""),"sim, pizza do bem projeto da entidade.")</f>
        <v>sim, pizza do bem projeto da entidade.</v>
      </c>
      <c r="T60" s="27"/>
      <c r="U60" s="27" t="str">
        <f ca="1">IFERROR(__xludf.DUMMYFUNCTION("""COMPUTED_VALUE"""),"Crianças (6 a 12 anos), Adolescentes (12 aos 18 anos), Jovens (18 aos 24 anos), Adultos, Idosos (60 anos ou mais)")</f>
        <v>Crianças (6 a 12 anos), Adolescentes (12 aos 18 anos), Jovens (18 aos 24 anos), Adultos, Idosos (60 anos ou mais)</v>
      </c>
      <c r="V60" s="27" t="str">
        <f ca="1">IFERROR(__xludf.DUMMYFUNCTION("""COMPUTED_VALUE"""),"Moradores de Favelas, Dependentes Químicos, Pessoas com Deficiência")</f>
        <v>Moradores de Favelas, Dependentes Químicos, Pessoas com Deficiência</v>
      </c>
      <c r="W60" s="27">
        <f ca="1">IFERROR(__xludf.DUMMYFUNCTION("""COMPUTED_VALUE"""),1)</f>
        <v>1</v>
      </c>
      <c r="X60" s="27" t="str">
        <f ca="1">IFERROR(__xludf.DUMMYFUNCTION("""COMPUTED_VALUE"""),"90% em situação de vulnerabilidade social.")</f>
        <v>90% em situação de vulnerabilidade social.</v>
      </c>
      <c r="Y60" s="27"/>
      <c r="Z60" s="27">
        <f ca="1">IFERROR(__xludf.DUMMYFUNCTION("""COMPUTED_VALUE"""),300)</f>
        <v>300</v>
      </c>
      <c r="AA60" s="29">
        <f ca="1">IFERROR(__xludf.DUMMYFUNCTION("""COMPUTED_VALUE"""),42766)</f>
        <v>42766</v>
      </c>
      <c r="AB60" s="27" t="str">
        <f ca="1">IFERROR(__xludf.DUMMYFUNCTION("""COMPUTED_VALUE"""),"Sim")</f>
        <v>Sim</v>
      </c>
      <c r="AC60" s="27">
        <f ca="1">IFERROR(__xludf.DUMMYFUNCTION("""COMPUTED_VALUE"""),0)</f>
        <v>0</v>
      </c>
      <c r="AD60" s="27">
        <f ca="1">IFERROR(__xludf.DUMMYFUNCTION("""COMPUTED_VALUE"""),4)</f>
        <v>4</v>
      </c>
      <c r="AE60" s="27">
        <f ca="1">IFERROR(__xludf.DUMMYFUNCTION("""COMPUTED_VALUE"""),12)</f>
        <v>12</v>
      </c>
      <c r="AF60" s="27">
        <f ca="1">IFERROR(__xludf.DUMMYFUNCTION("""COMPUTED_VALUE"""),12)</f>
        <v>12</v>
      </c>
      <c r="AG60" s="27">
        <f ca="1">IFERROR(__xludf.DUMMYFUNCTION("""COMPUTED_VALUE"""),2)</f>
        <v>2</v>
      </c>
      <c r="AH60" s="27" t="str">
        <f ca="1">IFERROR(__xludf.DUMMYFUNCTION("""COMPUTED_VALUE"""),"Negócio Social, Outro(s)")</f>
        <v>Negócio Social, Outro(s)</v>
      </c>
      <c r="AI60" s="27" t="str">
        <f ca="1">IFERROR(__xludf.DUMMYFUNCTION("""COMPUTED_VALUE"""),"50% esporte - 25%pronas - 25%cultura")</f>
        <v>50% esporte - 25%pronas - 25%cultura</v>
      </c>
      <c r="AJ60" s="27" t="str">
        <f ca="1">IFERROR(__xludf.DUMMYFUNCTION("""COMPUTED_VALUE"""),"Vamos iniciar esse ano")</f>
        <v>Vamos iniciar esse ano</v>
      </c>
      <c r="AK60" s="27"/>
      <c r="AL60" s="21" t="str">
        <f ca="1">IFERROR(__xludf.DUMMYFUNCTION("""COMPUTED_VALUE"""),"0034X0000380O2W")</f>
        <v>0034X0000380O2W</v>
      </c>
      <c r="AM60" s="27" t="str">
        <f ca="1">IFERROR(__xludf.DUMMYFUNCTION("""COMPUTED_VALUE"""),"Duarte da silva")</f>
        <v>Duarte da silva</v>
      </c>
      <c r="AN60" s="27" t="str">
        <f ca="1">IFERROR(__xludf.DUMMYFUNCTION("""COMPUTED_VALUE"""),"Ativo")</f>
        <v>Ativo</v>
      </c>
      <c r="AO60" s="27"/>
      <c r="AP60" s="27"/>
      <c r="AQ60" s="27" t="str">
        <f ca="1">IFERROR(__xludf.DUMMYFUNCTION("""COMPUTED_VALUE"""),"Primeiro Semestre 2022")</f>
        <v>Primeiro Semestre 2022</v>
      </c>
      <c r="AR60" s="27" t="str">
        <f ca="1">IFERROR(__xludf.DUMMYFUNCTION("""COMPUTED_VALUE"""),"lucasubuntu2020@gmail.com")</f>
        <v>lucasubuntu2020@gmail.com</v>
      </c>
      <c r="AS60" s="27" t="str">
        <f ca="1">IFERROR(__xludf.DUMMYFUNCTION("""COMPUTED_VALUE"""),"(51)98486-8136")</f>
        <v>(51)98486-8136</v>
      </c>
      <c r="AT60" s="29">
        <f ca="1">IFERROR(__xludf.DUMMYFUNCTION("""COMPUTED_VALUE"""),31358)</f>
        <v>31358</v>
      </c>
      <c r="AU60" s="27">
        <f ca="1">IFERROR(__xludf.DUMMYFUNCTION("""COMPUTED_VALUE"""),37)</f>
        <v>37</v>
      </c>
      <c r="AV60" s="27">
        <f ca="1">IFERROR(__xludf.DUMMYFUNCTION("""COMPUTED_VALUE"""),862590086)</f>
        <v>862590086</v>
      </c>
      <c r="AW60" s="27">
        <f ca="1">IFERROR(__xludf.DUMMYFUNCTION("""COMPUTED_VALUE"""),2091900999)</f>
        <v>2091900999</v>
      </c>
      <c r="AX60" s="27"/>
      <c r="AY60" s="27" t="str">
        <f ca="1">IFERROR(__xludf.DUMMYFUNCTION("""COMPUTED_VALUE"""),"Fundador e diretor")</f>
        <v>Fundador e diretor</v>
      </c>
      <c r="AZ60" s="27" t="str">
        <f ca="1">IFERROR(__xludf.DUMMYFUNCTION("""COMPUTED_VALUE"""),"G")</f>
        <v>G</v>
      </c>
      <c r="BA60" s="27" t="str">
        <f ca="1">IFERROR(__xludf.DUMMYFUNCTION("""COMPUTED_VALUE"""),"Branca")</f>
        <v>Branca</v>
      </c>
      <c r="BB60" s="27"/>
      <c r="BC60" s="27"/>
      <c r="BD60" s="27" t="str">
        <f ca="1">IFERROR(__xludf.DUMMYFUNCTION("""COMPUTED_VALUE"""),"Desde os meus 15 anos trabalho com projeto social, mas a 7 anos atras resolvi profissionalizar isso, fundei a Associação Cultural e Social Vila Nova um intuito de oportunizar as pessoas principalmente os adolescentes da minha comunidade.
Hoje minha meta é"&amp;" poder ser remunerada para que eu possa dar exclusividade ao projeto e sim ter tempo para conseguir oportunizar o maior numero de pessoas que Deus me permitir.
Atendemos mais de 300 jovens e 200 adultos, ofertando oficinas e cursos gratuitos.")</f>
        <v>Desde os meus 15 anos trabalho com projeto social, mas a 7 anos atras resolvi profissionalizar isso, fundei a Associação Cultural e Social Vila Nova um intuito de oportunizar as pessoas principalmente os adolescentes da minha comunidade.
Hoje minha meta é poder ser remunerada para que eu possa dar exclusividade ao projeto e sim ter tempo para conseguir oportunizar o maior numero de pessoas que Deus me permitir.
Atendemos mais de 300 jovens e 200 adultos, ofertando oficinas e cursos gratuitos.</v>
      </c>
      <c r="BE60" s="27" t="str">
        <f ca="1">IFERROR(__xludf.DUMMYFUNCTION("""COMPUTED_VALUE"""),"Homem, cisgênero")</f>
        <v>Homem, cisgênero</v>
      </c>
      <c r="BF60" s="27" t="str">
        <f ca="1">IFERROR(__xludf.DUMMYFUNCTION("""COMPUTED_VALUE"""),"Heterossexual")</f>
        <v>Heterossexual</v>
      </c>
      <c r="BG60" s="27" t="str">
        <f ca="1">IFERROR(__xludf.DUMMYFUNCTION("""COMPUTED_VALUE"""),"Ensino Médio - Completo")</f>
        <v>Ensino Médio - Completo</v>
      </c>
      <c r="BH60" s="27" t="str">
        <f ca="1">IFERROR(__xludf.DUMMYFUNCTION("""COMPUTED_VALUE"""),"Público")</f>
        <v>Público</v>
      </c>
      <c r="BI60" s="27"/>
      <c r="BJ60" s="27"/>
      <c r="BK60" s="27" t="str">
        <f ca="1">IFERROR(__xludf.DUMMYFUNCTION("""COMPUTED_VALUE"""),"Aurora")</f>
        <v>Aurora</v>
      </c>
      <c r="BL60" s="27">
        <f ca="1">IFERROR(__xludf.DUMMYFUNCTION("""COMPUTED_VALUE"""),151)</f>
        <v>151</v>
      </c>
      <c r="BM60" s="27" t="str">
        <f ca="1">IFERROR(__xludf.DUMMYFUNCTION("""COMPUTED_VALUE"""),"casa")</f>
        <v>casa</v>
      </c>
      <c r="BN60" s="27" t="str">
        <f ca="1">IFERROR(__xludf.DUMMYFUNCTION("""COMPUTED_VALUE"""),"Porto Alegre")</f>
        <v>Porto Alegre</v>
      </c>
      <c r="BO60" s="27" t="str">
        <f ca="1">IFERROR(__xludf.DUMMYFUNCTION("""COMPUTED_VALUE"""),"91750-820")</f>
        <v>91750-820</v>
      </c>
      <c r="BP60" s="27" t="str">
        <f ca="1">IFERROR(__xludf.DUMMYFUNCTION("""COMPUTED_VALUE"""),"RS")</f>
        <v>RS</v>
      </c>
      <c r="BQ60" s="27" t="str">
        <f ca="1">IFERROR(__xludf.DUMMYFUNCTION("""COMPUTED_VALUE"""),"Entre 1 até 3 salários mínimos")</f>
        <v>Entre 1 até 3 salários mínimos</v>
      </c>
      <c r="BR60" s="27" t="str">
        <f ca="1">IFERROR(__xludf.DUMMYFUNCTION("""COMPUTED_VALUE"""),"Desempregado")</f>
        <v>Desempregado</v>
      </c>
      <c r="BS60" s="27" t="str">
        <f ca="1">IFERROR(__xludf.DUMMYFUNCTION("""COMPUTED_VALUE"""),"Casa própria")</f>
        <v>Casa própria</v>
      </c>
      <c r="BT60" s="27">
        <f ca="1">IFERROR(__xludf.DUMMYFUNCTION("""COMPUTED_VALUE"""),4)</f>
        <v>4</v>
      </c>
      <c r="BU60" s="27" t="str">
        <f ca="1">IFERROR(__xludf.DUMMYFUNCTION("""COMPUTED_VALUE"""),"Não tem")</f>
        <v>Não tem</v>
      </c>
      <c r="BV60" s="27" t="str">
        <f ca="1">IFERROR(__xludf.DUMMYFUNCTION("""COMPUTED_VALUE"""),"Não")</f>
        <v>Não</v>
      </c>
      <c r="BW60" s="27"/>
      <c r="BX60" s="21" t="str">
        <f ca="1">IFERROR(__xludf.DUMMYFUNCTION("""COMPUTED_VALUE"""),"https://www.instagram.com/lucas.duarte85/")</f>
        <v>https://www.instagram.com/lucas.duarte85/</v>
      </c>
      <c r="BY60" s="21" t="str">
        <f ca="1">IFERROR(__xludf.DUMMYFUNCTION("""COMPUTED_VALUE"""),"https://drive.google.com/open?id=1SzUFRV30O5IPwgN01E23-IjIH24vHzIN")</f>
        <v>https://drive.google.com/open?id=1SzUFRV30O5IPwgN01E23-IjIH24vHzIN</v>
      </c>
    </row>
    <row r="61" spans="1:77" ht="12.5" x14ac:dyDescent="0.25">
      <c r="A61" s="21" t="str">
        <f ca="1">IFERROR(__xludf.DUMMYFUNCTION("""COMPUTED_VALUE"""),"0014P00003AN2FWQA1")</f>
        <v>0014P00003AN2FWQA1</v>
      </c>
      <c r="B61" s="27" t="str">
        <f ca="1">IFERROR(__xludf.DUMMYFUNCTION("""COMPUTED_VALUE"""),"Fase Inicial")</f>
        <v>Fase Inicial</v>
      </c>
      <c r="C61" s="27" t="str">
        <f ca="1">IFERROR(__xludf.DUMMYFUNCTION("""COMPUTED_VALUE"""),"Fellow")</f>
        <v>Fellow</v>
      </c>
      <c r="D61" s="27" t="str">
        <f ca="1">IFERROR(__xludf.DUMMYFUNCTION("""COMPUTED_VALUE"""),"Ativo")</f>
        <v>Ativo</v>
      </c>
      <c r="E61" s="27" t="str">
        <f ca="1">IFERROR(__xludf.DUMMYFUNCTION("""COMPUTED_VALUE"""),"Associação Cultural Esportiva Social Amigos - ACESA")</f>
        <v>Associação Cultural Esportiva Social Amigos - ACESA</v>
      </c>
      <c r="F61" s="27" t="str">
        <f ca="1">IFERROR(__xludf.DUMMYFUNCTION("""COMPUTED_VALUE"""),"Fábio")</f>
        <v>Fábio</v>
      </c>
      <c r="G61" s="27"/>
      <c r="H61" s="27" t="str">
        <f ca="1">IFERROR(__xludf.DUMMYFUNCTION("""COMPUTED_VALUE"""),"14.810.743/0001-31")</f>
        <v>14.810.743/0001-31</v>
      </c>
      <c r="I61" s="27"/>
      <c r="J61" s="27"/>
      <c r="K61" s="27" t="str">
        <f ca="1">IFERROR(__xludf.DUMMYFUNCTION("""COMPUTED_VALUE"""),"(81)99542-5067")</f>
        <v>(81)99542-5067</v>
      </c>
      <c r="L61" s="27" t="str">
        <f ca="1">IFERROR(__xludf.DUMMYFUNCTION("""COMPUTED_VALUE"""),"PE")</f>
        <v>PE</v>
      </c>
      <c r="M61" s="27" t="str">
        <f ca="1">IFERROR(__xludf.DUMMYFUNCTION("""COMPUTED_VALUE"""),"Ria Alto da Conquista")</f>
        <v>Ria Alto da Conquista</v>
      </c>
      <c r="N61" s="27"/>
      <c r="O61" s="27" t="str">
        <f ca="1">IFERROR(__xludf.DUMMYFUNCTION("""COMPUTED_VALUE"""),"(81)99542-5067")</f>
        <v>(81)99542-5067</v>
      </c>
      <c r="P61" s="27" t="str">
        <f ca="1">IFERROR(__xludf.DUMMYFUNCTION("""COMPUTED_VALUE"""),"Recife")</f>
        <v>Recife</v>
      </c>
      <c r="Q61" s="27"/>
      <c r="R61" s="27" t="str">
        <f ca="1">IFERROR(__xludf.DUMMYFUNCTION("""COMPUTED_VALUE"""),"52080-360")</f>
        <v>52080-360</v>
      </c>
      <c r="S61" s="27" t="str">
        <f ca="1">IFERROR(__xludf.DUMMYFUNCTION("""COMPUTED_VALUE"""),"QUADRA DE ESPORTE EM FRENTE A ONG")</f>
        <v>QUADRA DE ESPORTE EM FRENTE A ONG</v>
      </c>
      <c r="T61" s="27" t="str">
        <f ca="1">IFERROR(__xludf.DUMMYFUNCTION("""COMPUTED_VALUE"""),"Esporte; Educação; Cultura; Empoderamento Feminino; Defesa de Direitos; Desenvolvimento comunitário")</f>
        <v>Esporte; Educação; Cultura; Empoderamento Feminino; Defesa de Direitos; Desenvolvimento comunitário</v>
      </c>
      <c r="U61"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61" s="27" t="str">
        <f ca="1">IFERROR(__xludf.DUMMYFUNCTION("""COMPUTED_VALUE"""),"Moradores de Favelas; População LGBTQ+")</f>
        <v>Moradores de Favelas; População LGBTQ+</v>
      </c>
      <c r="W61" s="27">
        <f ca="1">IFERROR(__xludf.DUMMYFUNCTION("""COMPUTED_VALUE"""),15)</f>
        <v>15</v>
      </c>
      <c r="X61" s="27" t="str">
        <f ca="1">IFERROR(__xludf.DUMMYFUNCTION("""COMPUTED_VALUE"""),"EMPODERAMENTO FEMININO")</f>
        <v>EMPODERAMENTO FEMININO</v>
      </c>
      <c r="Y61" s="27"/>
      <c r="Z61" s="27"/>
      <c r="AA61" s="30">
        <f ca="1">IFERROR(__xludf.DUMMYFUNCTION("""COMPUTED_VALUE"""),40866)</f>
        <v>40866</v>
      </c>
      <c r="AB61" s="27" t="str">
        <f ca="1">IFERROR(__xludf.DUMMYFUNCTION("""COMPUTED_VALUE"""),"Sim")</f>
        <v>Sim</v>
      </c>
      <c r="AC61" s="27">
        <f ca="1">IFERROR(__xludf.DUMMYFUNCTION("""COMPUTED_VALUE"""),2)</f>
        <v>2</v>
      </c>
      <c r="AD61" s="27">
        <f ca="1">IFERROR(__xludf.DUMMYFUNCTION("""COMPUTED_VALUE"""),2)</f>
        <v>2</v>
      </c>
      <c r="AE61" s="27">
        <f ca="1">IFERROR(__xludf.DUMMYFUNCTION("""COMPUTED_VALUE"""),8)</f>
        <v>8</v>
      </c>
      <c r="AF61" s="27">
        <f ca="1">IFERROR(__xludf.DUMMYFUNCTION("""COMPUTED_VALUE"""),3)</f>
        <v>3</v>
      </c>
      <c r="AG61" s="27">
        <f ca="1">IFERROR(__xludf.DUMMYFUNCTION("""COMPUTED_VALUE"""),2)</f>
        <v>2</v>
      </c>
      <c r="AH61" s="27" t="str">
        <f ca="1">IFERROR(__xludf.DUMMYFUNCTION("""COMPUTED_VALUE"""),"Eventos/Ações para captação; Parceria iniciativa privada; Recursos próprios")</f>
        <v>Eventos/Ações para captação; Parceria iniciativa privada; Recursos próprios</v>
      </c>
      <c r="AI61" s="27" t="str">
        <f ca="1">IFERROR(__xludf.DUMMYFUNCTION("""COMPUTED_VALUE"""),"Não")</f>
        <v>Não</v>
      </c>
      <c r="AJ61" s="27" t="str">
        <f ca="1">IFERROR(__xludf.DUMMYFUNCTION("""COMPUTED_VALUE"""),"Não")</f>
        <v>Não</v>
      </c>
      <c r="AK61" s="27" t="str">
        <f ca="1">IFERROR(__xludf.DUMMYFUNCTION("""COMPUTED_VALUE"""),"Não")</f>
        <v>Não</v>
      </c>
      <c r="AL61" s="21" t="str">
        <f ca="1">IFERROR(__xludf.DUMMYFUNCTION("""COMPUTED_VALUE"""),"0034P00003maBUw")</f>
        <v>0034P00003maBUw</v>
      </c>
      <c r="AM61" s="27" t="str">
        <f ca="1">IFERROR(__xludf.DUMMYFUNCTION("""COMPUTED_VALUE"""),"Rogério Rodrigues Da Silva")</f>
        <v>Rogério Rodrigues Da Silva</v>
      </c>
      <c r="AN61" s="27" t="str">
        <f ca="1">IFERROR(__xludf.DUMMYFUNCTION("""COMPUTED_VALUE"""),"Ativo")</f>
        <v>Ativo</v>
      </c>
      <c r="AO61" s="29">
        <f ca="1">IFERROR(__xludf.DUMMYFUNCTION("""COMPUTED_VALUE"""),44375)</f>
        <v>44375</v>
      </c>
      <c r="AP61" s="27">
        <f ca="1">IFERROR(__xludf.DUMMYFUNCTION("""COMPUTED_VALUE"""),15)</f>
        <v>15</v>
      </c>
      <c r="AQ61" s="27" t="str">
        <f ca="1">IFERROR(__xludf.DUMMYFUNCTION("""COMPUTED_VALUE"""),"Segundo Semestre 2020")</f>
        <v>Segundo Semestre 2020</v>
      </c>
      <c r="AR61" s="27" t="str">
        <f ca="1">IFERROR(__xludf.DUMMYFUNCTION("""COMPUTED_VALUE"""),"fabbiorrs@hotmail.com")</f>
        <v>fabbiorrs@hotmail.com</v>
      </c>
      <c r="AS61" s="27" t="str">
        <f ca="1">IFERROR(__xludf.DUMMYFUNCTION("""COMPUTED_VALUE"""),"(81)99542-5067")</f>
        <v>(81)99542-5067</v>
      </c>
      <c r="AT61" s="29">
        <f ca="1">IFERROR(__xludf.DUMMYFUNCTION("""COMPUTED_VALUE"""),22007)</f>
        <v>22007</v>
      </c>
      <c r="AU61" s="27">
        <f ca="1">IFERROR(__xludf.DUMMYFUNCTION("""COMPUTED_VALUE"""),62)</f>
        <v>62</v>
      </c>
      <c r="AV61" s="27">
        <f ca="1">IFERROR(__xludf.DUMMYFUNCTION("""COMPUTED_VALUE"""),735765499)</f>
        <v>735765499</v>
      </c>
      <c r="AW61" s="27">
        <f ca="1">IFERROR(__xludf.DUMMYFUNCTION("""COMPUTED_VALUE"""),4476690)</f>
        <v>4476690</v>
      </c>
      <c r="AX61" s="27" t="str">
        <f ca="1">IFERROR(__xludf.DUMMYFUNCTION("""COMPUTED_VALUE"""),"EDUCAÇÃO FÍSICA")</f>
        <v>EDUCAÇÃO FÍSICA</v>
      </c>
      <c r="AY61" s="27"/>
      <c r="AZ61" s="27" t="str">
        <f ca="1">IFERROR(__xludf.DUMMYFUNCTION("""COMPUTED_VALUE"""),"G")</f>
        <v>G</v>
      </c>
      <c r="BA61" s="27"/>
      <c r="BB61" s="27"/>
      <c r="BC61" s="27" t="str">
        <f ca="1">IFERROR(__xludf.DUMMYFUNCTION("""COMPUTED_VALUE"""),"Sim")</f>
        <v>Sim</v>
      </c>
      <c r="BD61" s="27" t="str">
        <f ca="1">IFERROR(__xludf.DUMMYFUNCTION("""COMPUTED_VALUE"""),"Empreendedor social,  presidente da ONG ACESA, articulador da Releitura- Bibliotecas Comunitárias em Redes, formado em Educação Física e  arte educadores")</f>
        <v>Empreendedor social,  presidente da ONG ACESA, articulador da Releitura- Bibliotecas Comunitárias em Redes, formado em Educação Física e  arte educadores</v>
      </c>
      <c r="BE61" s="27"/>
      <c r="BF61" s="27"/>
      <c r="BG61" s="27" t="str">
        <f ca="1">IFERROR(__xludf.DUMMYFUNCTION("""COMPUTED_VALUE"""),"Ensino Superior - Completo")</f>
        <v>Ensino Superior - Completo</v>
      </c>
      <c r="BH61" s="27"/>
      <c r="BI61" s="27" t="str">
        <f ca="1">IFERROR(__xludf.DUMMYFUNCTION("""COMPUTED_VALUE"""),"Graduação")</f>
        <v>Graduação</v>
      </c>
      <c r="BJ61" s="27" t="str">
        <f ca="1">IFERROR(__xludf.DUMMYFUNCTION("""COMPUTED_VALUE"""),"Privado")</f>
        <v>Privado</v>
      </c>
      <c r="BK61" s="27" t="str">
        <f ca="1">IFERROR(__xludf.DUMMYFUNCTION("""COMPUTED_VALUE"""),"Rua Artur Cerpa")</f>
        <v>Rua Artur Cerpa</v>
      </c>
      <c r="BL61" s="27">
        <f ca="1">IFERROR(__xludf.DUMMYFUNCTION("""COMPUTED_VALUE"""),13)</f>
        <v>13</v>
      </c>
      <c r="BM61" s="27">
        <f ca="1">IFERROR(__xludf.DUMMYFUNCTION("""COMPUTED_VALUE"""),101)</f>
        <v>101</v>
      </c>
      <c r="BN61" s="27" t="str">
        <f ca="1">IFERROR(__xludf.DUMMYFUNCTION("""COMPUTED_VALUE"""),"Recife")</f>
        <v>Recife</v>
      </c>
      <c r="BO61" s="27" t="str">
        <f ca="1">IFERROR(__xludf.DUMMYFUNCTION("""COMPUTED_VALUE"""),"53250-355")</f>
        <v>53250-355</v>
      </c>
      <c r="BP61" s="27" t="str">
        <f ca="1">IFERROR(__xludf.DUMMYFUNCTION("""COMPUTED_VALUE"""),"PE")</f>
        <v>PE</v>
      </c>
      <c r="BQ61" s="27" t="str">
        <f ca="1">IFERROR(__xludf.DUMMYFUNCTION("""COMPUTED_VALUE"""),"Entre 1 até 3 salários mínimos")</f>
        <v>Entre 1 até 3 salários mínimos</v>
      </c>
      <c r="BR61" s="27" t="str">
        <f ca="1">IFERROR(__xludf.DUMMYFUNCTION("""COMPUTED_VALUE"""),"MEI")</f>
        <v>MEI</v>
      </c>
      <c r="BS61" s="27" t="str">
        <f ca="1">IFERROR(__xludf.DUMMYFUNCTION("""COMPUTED_VALUE"""),"Aluguel")</f>
        <v>Aluguel</v>
      </c>
      <c r="BT61" s="27">
        <f ca="1">IFERROR(__xludf.DUMMYFUNCTION("""COMPUTED_VALUE"""),1)</f>
        <v>1</v>
      </c>
      <c r="BU61" s="27"/>
      <c r="BV61" s="27"/>
      <c r="BW61" s="27"/>
      <c r="BX61" s="21" t="str">
        <f ca="1">IFERROR(__xludf.DUMMYFUNCTION("""COMPUTED_VALUE"""),"https://instagram.com/acesaong?utm_medium=copy_link")</f>
        <v>https://instagram.com/acesaong?utm_medium=copy_link</v>
      </c>
      <c r="BY61" s="21" t="str">
        <f ca="1">IFERROR(__xludf.DUMMYFUNCTION("""COMPUTED_VALUE"""),"https://drive.google.com/open?id=1aT5Zp-0ZU4R8xA6SUmPvudXpAHz6zP6i")</f>
        <v>https://drive.google.com/open?id=1aT5Zp-0ZU4R8xA6SUmPvudXpAHz6zP6i</v>
      </c>
    </row>
    <row r="62" spans="1:77" ht="12.5" hidden="1" x14ac:dyDescent="0.25">
      <c r="A62" s="21" t="str">
        <f ca="1">IFERROR(__xludf.DUMMYFUNCTION("""COMPUTED_VALUE"""),"0014P00003SGWPQQA5")</f>
        <v>0014P00003SGWPQQA5</v>
      </c>
      <c r="B62" s="27" t="str">
        <f ca="1">IFERROR(__xludf.DUMMYFUNCTION("""COMPUTED_VALUE"""),"Fase Avançada")</f>
        <v>Fase Avançada</v>
      </c>
      <c r="C62" s="27" t="str">
        <f ca="1">IFERROR(__xludf.DUMMYFUNCTION("""COMPUTED_VALUE"""),"Acelerada")</f>
        <v>Acelerada</v>
      </c>
      <c r="D62" s="27" t="str">
        <f ca="1">IFERROR(__xludf.DUMMYFUNCTION("""COMPUTED_VALUE"""),"Ativo")</f>
        <v>Ativo</v>
      </c>
      <c r="E62" s="27" t="str">
        <f ca="1">IFERROR(__xludf.DUMMYFUNCTION("""COMPUTED_VALUE"""),"ASSOCIAÇÃO CULTURAL PISADA DO SERTÃO")</f>
        <v>ASSOCIAÇÃO CULTURAL PISADA DO SERTÃO</v>
      </c>
      <c r="F62" s="27" t="str">
        <f ca="1">IFERROR(__xludf.DUMMYFUNCTION("""COMPUTED_VALUE"""),"Ana")</f>
        <v>Ana</v>
      </c>
      <c r="G62" s="27" t="str">
        <f ca="1">IFERROR(__xludf.DUMMYFUNCTION("""COMPUTED_VALUE"""),"PISADA DO SERTÃO")</f>
        <v>PISADA DO SERTÃO</v>
      </c>
      <c r="H62" s="27" t="str">
        <f ca="1">IFERROR(__xludf.DUMMYFUNCTION("""COMPUTED_VALUE"""),"08.842.657/0001-08")</f>
        <v>08.842.657/0001-08</v>
      </c>
      <c r="I62" s="27" t="str">
        <f ca="1">IFERROR(__xludf.DUMMYFUNCTION("""COMPUTED_VALUE"""),"Ana Neiry De Moura Alves")</f>
        <v>Ana Neiry De Moura Alves</v>
      </c>
      <c r="J62" s="27" t="str">
        <f ca="1">IFERROR(__xludf.DUMMYFUNCTION("""COMPUTED_VALUE"""),"gestao@pisadadosertao.org")</f>
        <v>gestao@pisadadosertao.org</v>
      </c>
      <c r="K62" s="27" t="str">
        <f ca="1">IFERROR(__xludf.DUMMYFUNCTION("""COMPUTED_VALUE"""),"(83)99878-0123")</f>
        <v>(83)99878-0123</v>
      </c>
      <c r="L62" s="27" t="str">
        <f ca="1">IFERROR(__xludf.DUMMYFUNCTION("""COMPUTED_VALUE"""),"PB")</f>
        <v>PB</v>
      </c>
      <c r="M62" s="27" t="str">
        <f ca="1">IFERROR(__xludf.DUMMYFUNCTION("""COMPUTED_VALUE"""),"Rua Maria das Dores de Carvalho, 156")</f>
        <v>Rua Maria das Dores de Carvalho, 156</v>
      </c>
      <c r="N62" s="27" t="str">
        <f ca="1">IFERROR(__xludf.DUMMYFUNCTION("""COMPUTED_VALUE"""),"Centro")</f>
        <v>Centro</v>
      </c>
      <c r="O62" s="27" t="str">
        <f ca="1">IFERROR(__xludf.DUMMYFUNCTION("""COMPUTED_VALUE"""),"(83)99878-0123")</f>
        <v>(83)99878-0123</v>
      </c>
      <c r="P62" s="27" t="str">
        <f ca="1">IFERROR(__xludf.DUMMYFUNCTION("""COMPUTED_VALUE"""),"Poço de José de Moura")</f>
        <v>Poço de José de Moura</v>
      </c>
      <c r="Q62" s="27"/>
      <c r="R62" s="27" t="str">
        <f ca="1">IFERROR(__xludf.DUMMYFUNCTION("""COMPUTED_VALUE"""),"58908-000")</f>
        <v>58908-000</v>
      </c>
      <c r="S62" s="27"/>
      <c r="T62" s="27" t="str">
        <f ca="1">IFERROR(__xludf.DUMMYFUNCTION("""COMPUTED_VALUE"""),"Esporte; Educação; Empregabilidade; Assistência Social; Cultura; Qualificação Profissional; Empreendedorismo; Negócios Sociais; Desenvolvimento comunitário")</f>
        <v>Esporte; Educação; Empregabilidade; Assistência Social; Cultura; Qualificação Profissional; Empreendedorismo; Negócios Sociais; Desenvolvimento comunitário</v>
      </c>
      <c r="U62"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62" s="27" t="str">
        <f ca="1">IFERROR(__xludf.DUMMYFUNCTION("""COMPUTED_VALUE"""),"Quilombola; Afrodescendentes; Comunidade rural")</f>
        <v>Quilombola; Afrodescendentes; Comunidade rural</v>
      </c>
      <c r="W62" s="27">
        <f ca="1">IFERROR(__xludf.DUMMYFUNCTION("""COMPUTED_VALUE"""),15)</f>
        <v>15</v>
      </c>
      <c r="X62" s="27"/>
      <c r="Y62" s="27">
        <f ca="1">IFERROR(__xludf.DUMMYFUNCTION("""COMPUTED_VALUE"""),280)</f>
        <v>280</v>
      </c>
      <c r="Z62" s="27">
        <f ca="1">IFERROR(__xludf.DUMMYFUNCTION("""COMPUTED_VALUE"""),2100)</f>
        <v>2100</v>
      </c>
      <c r="AA62" s="29">
        <f ca="1">IFERROR(__xludf.DUMMYFUNCTION("""COMPUTED_VALUE"""),39391)</f>
        <v>39391</v>
      </c>
      <c r="AB62" s="27" t="str">
        <f ca="1">IFERROR(__xludf.DUMMYFUNCTION("""COMPUTED_VALUE"""),"Sim")</f>
        <v>Sim</v>
      </c>
      <c r="AC62" s="27">
        <f ca="1">IFERROR(__xludf.DUMMYFUNCTION("""COMPUTED_VALUE"""),32)</f>
        <v>32</v>
      </c>
      <c r="AD62" s="27">
        <f ca="1">IFERROR(__xludf.DUMMYFUNCTION("""COMPUTED_VALUE"""),26)</f>
        <v>26</v>
      </c>
      <c r="AE62" s="27">
        <f ca="1">IFERROR(__xludf.DUMMYFUNCTION("""COMPUTED_VALUE"""),8)</f>
        <v>8</v>
      </c>
      <c r="AF62" s="27">
        <f ca="1">IFERROR(__xludf.DUMMYFUNCTION("""COMPUTED_VALUE"""),6)</f>
        <v>6</v>
      </c>
      <c r="AG62" s="27">
        <f ca="1">IFERROR(__xludf.DUMMYFUNCTION("""COMPUTED_VALUE"""),4)</f>
        <v>4</v>
      </c>
      <c r="AH62" s="27" t="str">
        <f ca="1">IFERROR(__xludf.DUMMYFUNCTION("""COMPUTED_VALUE"""),"Negócio Social; Eventos/Ações para captação; Plataforma doação online - Pessoa Física; Parceria iniciativa privada; Editais")</f>
        <v>Negócio Social; Eventos/Ações para captação; Plataforma doação online - Pessoa Física; Parceria iniciativa privada; Editais</v>
      </c>
      <c r="AI62" s="27" t="str">
        <f ca="1">IFERROR(__xludf.DUMMYFUNCTION("""COMPUTED_VALUE"""),"Editais 82% Eventos 5% Plataforma de Doação 3% Iniciativa privada 10%")</f>
        <v>Editais 82% Eventos 5% Plataforma de Doação 3% Iniciativa privada 10%</v>
      </c>
      <c r="AJ62" s="27" t="str">
        <f ca="1">IFERROR(__xludf.DUMMYFUNCTION("""COMPUTED_VALUE"""),"Sim")</f>
        <v>Sim</v>
      </c>
      <c r="AK62" s="27" t="str">
        <f ca="1">IFERROR(__xludf.DUMMYFUNCTION("""COMPUTED_VALUE"""),"Não")</f>
        <v>Não</v>
      </c>
      <c r="AL62" s="21" t="str">
        <f ca="1">IFERROR(__xludf.DUMMYFUNCTION("""COMPUTED_VALUE"""),"0034P000043fOnY")</f>
        <v>0034P000043fOnY</v>
      </c>
      <c r="AM62" s="27" t="str">
        <f ca="1">IFERROR(__xludf.DUMMYFUNCTION("""COMPUTED_VALUE"""),"Neiry De Moura Alves")</f>
        <v>Neiry De Moura Alves</v>
      </c>
      <c r="AN62" s="27" t="str">
        <f ca="1">IFERROR(__xludf.DUMMYFUNCTION("""COMPUTED_VALUE"""),"Ativo")</f>
        <v>Ativo</v>
      </c>
      <c r="AO62" s="29">
        <f ca="1">IFERROR(__xludf.DUMMYFUNCTION("""COMPUTED_VALUE"""),44432)</f>
        <v>44432</v>
      </c>
      <c r="AP62" s="27">
        <f ca="1">IFERROR(__xludf.DUMMYFUNCTION("""COMPUTED_VALUE"""),13)</f>
        <v>13</v>
      </c>
      <c r="AQ62" s="27" t="str">
        <f ca="1">IFERROR(__xludf.DUMMYFUNCTION("""COMPUTED_VALUE"""),"Primeiro Semestre 2021")</f>
        <v>Primeiro Semestre 2021</v>
      </c>
      <c r="AR62" s="27" t="str">
        <f ca="1">IFERROR(__xludf.DUMMYFUNCTION("""COMPUTED_VALUE"""),"ananeiry@pisadadosertao.org")</f>
        <v>ananeiry@pisadadosertao.org</v>
      </c>
      <c r="AS62" s="27" t="str">
        <f ca="1">IFERROR(__xludf.DUMMYFUNCTION("""COMPUTED_VALUE"""),"(83)99878-0123")</f>
        <v>(83)99878-0123</v>
      </c>
      <c r="AT62" s="29">
        <f ca="1">IFERROR(__xludf.DUMMYFUNCTION("""COMPUTED_VALUE"""),29469)</f>
        <v>29469</v>
      </c>
      <c r="AU62" s="27">
        <f ca="1">IFERROR(__xludf.DUMMYFUNCTION("""COMPUTED_VALUE"""),42)</f>
        <v>42</v>
      </c>
      <c r="AV62" s="27">
        <f ca="1">IFERROR(__xludf.DUMMYFUNCTION("""COMPUTED_VALUE"""),3536228429)</f>
        <v>3536228429</v>
      </c>
      <c r="AW62" s="27">
        <f ca="1">IFERROR(__xludf.DUMMYFUNCTION("""COMPUTED_VALUE"""),2187640)</f>
        <v>2187640</v>
      </c>
      <c r="AX62" s="27" t="str">
        <f ca="1">IFERROR(__xludf.DUMMYFUNCTION("""COMPUTED_VALUE"""),"Licenciatura Plena Em Letras E Administração")</f>
        <v>Licenciatura Plena Em Letras E Administração</v>
      </c>
      <c r="AY62" s="27" t="str">
        <f ca="1">IFERROR(__xludf.DUMMYFUNCTION("""COMPUTED_VALUE"""),"Sou professora da rede municipal de educação em modalidade efetiva")</f>
        <v>Sou professora da rede municipal de educação em modalidade efetiva</v>
      </c>
      <c r="AZ62" s="27" t="str">
        <f ca="1">IFERROR(__xludf.DUMMYFUNCTION("""COMPUTED_VALUE"""),"P")</f>
        <v>P</v>
      </c>
      <c r="BA62" s="27" t="str">
        <f ca="1">IFERROR(__xludf.DUMMYFUNCTION("""COMPUTED_VALUE"""),"Parda")</f>
        <v>Parda</v>
      </c>
      <c r="BB62" s="27"/>
      <c r="BC62" s="27" t="str">
        <f ca="1">IFERROR(__xludf.DUMMYFUNCTION("""COMPUTED_VALUE"""),"Sim")</f>
        <v>Sim</v>
      </c>
      <c r="BD62" s="27" t="str">
        <f ca="1">IFERROR(__xludf.DUMMYFUNCTION("""COMPUTED_VALUE"""),"Mulher nordestina e sertaneja fundadora da Pisada do Sertão. Acredita no poder da educação para transformar a sociedade, aliada a cultura como vetor desse desenvolvimento. Formada em Licenciatura em Letras e Bacharel em Administração. 
É sonhadora e reali"&amp;"zadora, pois acredita que devemos construir no presente o futuro desejado. Sonha com o sertão como um território de oportunidades, no qual os jovens não precisem ir embora para realizar seus sonhos.")</f>
        <v>Mulher nordestina e sertaneja fundadora da Pisada do Sertão. Acredita no poder da educação para transformar a sociedade, aliada a cultura como vetor desse desenvolvimento. Formada em Licenciatura em Letras e Bacharel em Administração. 
É sonhadora e realizadora, pois acredita que devemos construir no presente o futuro desejado. Sonha com o sertão como um território de oportunidades, no qual os jovens não precisem ir embora para realizar seus sonhos.</v>
      </c>
      <c r="BE62" s="27" t="str">
        <f ca="1">IFERROR(__xludf.DUMMYFUNCTION("""COMPUTED_VALUE"""),"Feminino")</f>
        <v>Feminino</v>
      </c>
      <c r="BF62" s="27" t="str">
        <f ca="1">IFERROR(__xludf.DUMMYFUNCTION("""COMPUTED_VALUE"""),"Heterossexual")</f>
        <v>Heterossexual</v>
      </c>
      <c r="BG62" s="27" t="str">
        <f ca="1">IFERROR(__xludf.DUMMYFUNCTION("""COMPUTED_VALUE"""),"Ensino Superior - Completo")</f>
        <v>Ensino Superior - Completo</v>
      </c>
      <c r="BH62" s="27"/>
      <c r="BI62" s="27" t="str">
        <f ca="1">IFERROR(__xludf.DUMMYFUNCTION("""COMPUTED_VALUE"""),"Pós-Graduação")</f>
        <v>Pós-Graduação</v>
      </c>
      <c r="BJ62" s="27" t="str">
        <f ca="1">IFERROR(__xludf.DUMMYFUNCTION("""COMPUTED_VALUE"""),"Público")</f>
        <v>Público</v>
      </c>
      <c r="BK62" s="27" t="str">
        <f ca="1">IFERROR(__xludf.DUMMYFUNCTION("""COMPUTED_VALUE"""),"Antônio Gonçalves Pinheiro")</f>
        <v>Antônio Gonçalves Pinheiro</v>
      </c>
      <c r="BL62" s="27">
        <f ca="1">IFERROR(__xludf.DUMMYFUNCTION("""COMPUTED_VALUE"""),103)</f>
        <v>103</v>
      </c>
      <c r="BM62" s="27" t="str">
        <f ca="1">IFERROR(__xludf.DUMMYFUNCTION("""COMPUTED_VALUE"""),"centro")</f>
        <v>centro</v>
      </c>
      <c r="BN62" s="27" t="str">
        <f ca="1">IFERROR(__xludf.DUMMYFUNCTION("""COMPUTED_VALUE"""),"Poço de José de Moura")</f>
        <v>Poço de José de Moura</v>
      </c>
      <c r="BO62" s="27" t="str">
        <f ca="1">IFERROR(__xludf.DUMMYFUNCTION("""COMPUTED_VALUE"""),"58908-000")</f>
        <v>58908-000</v>
      </c>
      <c r="BP62" s="27" t="str">
        <f ca="1">IFERROR(__xludf.DUMMYFUNCTION("""COMPUTED_VALUE"""),"PB")</f>
        <v>PB</v>
      </c>
      <c r="BQ62" s="27" t="str">
        <f ca="1">IFERROR(__xludf.DUMMYFUNCTION("""COMPUTED_VALUE"""),"De 3 até 5 salários mínimos")</f>
        <v>De 3 até 5 salários mínimos</v>
      </c>
      <c r="BR62" s="27" t="str">
        <f ca="1">IFERROR(__xludf.DUMMYFUNCTION("""COMPUTED_VALUE"""),"Funcionário Público")</f>
        <v>Funcionário Público</v>
      </c>
      <c r="BS62" s="27" t="str">
        <f ca="1">IFERROR(__xludf.DUMMYFUNCTION("""COMPUTED_VALUE"""),"Casa própria")</f>
        <v>Casa própria</v>
      </c>
      <c r="BT62" s="27">
        <f ca="1">IFERROR(__xludf.DUMMYFUNCTION("""COMPUTED_VALUE"""),3)</f>
        <v>3</v>
      </c>
      <c r="BU62" s="27"/>
      <c r="BV62" s="27"/>
      <c r="BW62" s="27" t="str">
        <f ca="1">IFERROR(__xludf.DUMMYFUNCTION("""COMPUTED_VALUE"""),"Ana Neiry Moura")</f>
        <v>Ana Neiry Moura</v>
      </c>
      <c r="BX62" s="21" t="str">
        <f ca="1">IFERROR(__xludf.DUMMYFUNCTION("""COMPUTED_VALUE"""),"https://www.linkedin.com/in/ana-neiry-moura-a50781196")</f>
        <v>https://www.linkedin.com/in/ana-neiry-moura-a50781196</v>
      </c>
      <c r="BY62" s="21" t="str">
        <f ca="1">IFERROR(__xludf.DUMMYFUNCTION("""COMPUTED_VALUE"""),"https://drive.google.com/open?id=1TuH7oeOiV50eTT_bsxMw4LZa4Ed0wqbS")</f>
        <v>https://drive.google.com/open?id=1TuH7oeOiV50eTT_bsxMw4LZa4Ed0wqbS</v>
      </c>
    </row>
    <row r="63" spans="1:77" ht="12.5" hidden="1" x14ac:dyDescent="0.25">
      <c r="A63" s="21" t="str">
        <f ca="1">IFERROR(__xludf.DUMMYFUNCTION("""COMPUTED_VALUE"""),"0014X00002VKCrZQAX")</f>
        <v>0014X00002VKCrZQAX</v>
      </c>
      <c r="B63" s="27" t="str">
        <f ca="1">IFERROR(__xludf.DUMMYFUNCTION("""COMPUTED_VALUE"""),"Fase Estruturação")</f>
        <v>Fase Estruturação</v>
      </c>
      <c r="C63" s="27" t="str">
        <f ca="1">IFERROR(__xludf.DUMMYFUNCTION("""COMPUTED_VALUE"""),"Fellow")</f>
        <v>Fellow</v>
      </c>
      <c r="D63" s="27" t="str">
        <f ca="1">IFERROR(__xludf.DUMMYFUNCTION("""COMPUTED_VALUE"""),"Ativo")</f>
        <v>Ativo</v>
      </c>
      <c r="E63" s="27" t="str">
        <f ca="1">IFERROR(__xludf.DUMMYFUNCTION("""COMPUTED_VALUE"""),"Associação das Mulheres de Nazaré da Mata")</f>
        <v>Associação das Mulheres de Nazaré da Mata</v>
      </c>
      <c r="F63" s="27" t="str">
        <f ca="1">IFERROR(__xludf.DUMMYFUNCTION("""COMPUTED_VALUE"""),"Eliane")</f>
        <v>Eliane</v>
      </c>
      <c r="G63" s="27" t="str">
        <f ca="1">IFERROR(__xludf.DUMMYFUNCTION("""COMPUTED_VALUE"""),"AMUNAM")</f>
        <v>AMUNAM</v>
      </c>
      <c r="H63" s="27" t="str">
        <f ca="1">IFERROR(__xludf.DUMMYFUNCTION("""COMPUTED_VALUE"""),"12.813.226/0001-90")</f>
        <v>12.813.226/0001-90</v>
      </c>
      <c r="I63" s="27" t="str">
        <f ca="1">IFERROR(__xludf.DUMMYFUNCTION("""COMPUTED_VALUE"""),"Roberta de Araújo Silva")</f>
        <v>Roberta de Araújo Silva</v>
      </c>
      <c r="J63" s="27" t="str">
        <f ca="1">IFERROR(__xludf.DUMMYFUNCTION("""COMPUTED_VALUE"""),"amunam1988@gmail.com")</f>
        <v>amunam1988@gmail.com</v>
      </c>
      <c r="K63" s="27" t="str">
        <f ca="1">IFERROR(__xludf.DUMMYFUNCTION("""COMPUTED_VALUE"""),"(81)3633-1008")</f>
        <v>(81)3633-1008</v>
      </c>
      <c r="L63" s="27" t="str">
        <f ca="1">IFERROR(__xludf.DUMMYFUNCTION("""COMPUTED_VALUE"""),"PE")</f>
        <v>PE</v>
      </c>
      <c r="M63" s="27" t="str">
        <f ca="1">IFERROR(__xludf.DUMMYFUNCTION("""COMPUTED_VALUE"""),"Rua Cel Manoel Inácio")</f>
        <v>Rua Cel Manoel Inácio</v>
      </c>
      <c r="N63" s="27" t="str">
        <f ca="1">IFERROR(__xludf.DUMMYFUNCTION("""COMPUTED_VALUE"""),"Centro")</f>
        <v>Centro</v>
      </c>
      <c r="O63" s="27">
        <f ca="1">IFERROR(__xludf.DUMMYFUNCTION("""COMPUTED_VALUE"""),129)</f>
        <v>129</v>
      </c>
      <c r="P63" s="27" t="str">
        <f ca="1">IFERROR(__xludf.DUMMYFUNCTION("""COMPUTED_VALUE"""),"Nazaré da Mata")</f>
        <v>Nazaré da Mata</v>
      </c>
      <c r="Q63" s="27" t="str">
        <f ca="1">IFERROR(__xludf.DUMMYFUNCTION("""COMPUTED_VALUE"""),"casa")</f>
        <v>casa</v>
      </c>
      <c r="R63" s="27" t="str">
        <f ca="1">IFERROR(__xludf.DUMMYFUNCTION("""COMPUTED_VALUE"""),"55800-000")</f>
        <v>55800-000</v>
      </c>
      <c r="S63" s="27" t="str">
        <f ca="1">IFERROR(__xludf.DUMMYFUNCTION("""COMPUTED_VALUE"""),"Maioria das atividades são na Sede da AMUNAM em Nazaré da Mata, em parceria com escolas e comunidades,  porém temos trabalhos pontuais nas cidades de Buenos Aires, Itaquitinga, Vicencia ( distritos e Quilombo), Aliança, Carpina e Tracunhaém.")</f>
        <v>Maioria das atividades são na Sede da AMUNAM em Nazaré da Mata, em parceria com escolas e comunidades,  porém temos trabalhos pontuais nas cidades de Buenos Aires, Itaquitinga, Vicencia ( distritos e Quilombo), Aliança, Carpina e Tracunhaém.</v>
      </c>
      <c r="T63" s="27"/>
      <c r="U63" s="27" t="str">
        <f ca="1">IFERROR(__xludf.DUMMYFUNCTION("""COMPUTED_VALUE"""),"Crianças (6 a 12 anos), Adolescentes (12 aos 18 anos), Jovens (18 aos 24 anos), Adultos, Idosos (60 anos ou mais)")</f>
        <v>Crianças (6 a 12 anos), Adolescentes (12 aos 18 anos), Jovens (18 aos 24 anos), Adultos, Idosos (60 anos ou mais)</v>
      </c>
      <c r="V63" s="27" t="str">
        <f ca="1">IFERROR(__xludf.DUMMYFUNCTION("""COMPUTED_VALUE"""),"Moradores de Favelas, Quilombola, Comunidade rural, Outros")</f>
        <v>Moradores de Favelas, Quilombola, Comunidade rural, Outros</v>
      </c>
      <c r="W63" s="27">
        <f ca="1">IFERROR(__xludf.DUMMYFUNCTION("""COMPUTED_VALUE"""),1)</f>
        <v>1</v>
      </c>
      <c r="X63" s="27" t="str">
        <f ca="1">IFERROR(__xludf.DUMMYFUNCTION("""COMPUTED_VALUE"""),"O município é pequeno* a sede da instituição fica no centro que fácil acesso para todas as áreas* daí as  atividades acontecem na Sede da Instituição* que tem espaço e salas organizadas para o atendimento. Nao temos trabalhos especificos por favela* mas a"&amp;"tendemos a demanda das pessoas dos vários lugares.")</f>
        <v>O município é pequeno* a sede da instituição fica no centro que fácil acesso para todas as áreas* daí as  atividades acontecem na Sede da Instituição* que tem espaço e salas organizadas para o atendimento. Nao temos trabalhos especificos por favela* mas atendemos a demanda das pessoas dos vários lugares.</v>
      </c>
      <c r="Y63" s="27"/>
      <c r="Z63" s="27">
        <f ca="1">IFERROR(__xludf.DUMMYFUNCTION("""COMPUTED_VALUE"""),197)</f>
        <v>197</v>
      </c>
      <c r="AA63" s="29">
        <f ca="1">IFERROR(__xludf.DUMMYFUNCTION("""COMPUTED_VALUE"""),32165)</f>
        <v>32165</v>
      </c>
      <c r="AB63" s="27" t="str">
        <f ca="1">IFERROR(__xludf.DUMMYFUNCTION("""COMPUTED_VALUE"""),"Sim")</f>
        <v>Sim</v>
      </c>
      <c r="AC63" s="27">
        <f ca="1">IFERROR(__xludf.DUMMYFUNCTION("""COMPUTED_VALUE"""),5)</f>
        <v>5</v>
      </c>
      <c r="AD63" s="27">
        <f ca="1">IFERROR(__xludf.DUMMYFUNCTION("""COMPUTED_VALUE"""),15)</f>
        <v>15</v>
      </c>
      <c r="AE63" s="27">
        <f ca="1">IFERROR(__xludf.DUMMYFUNCTION("""COMPUTED_VALUE"""),10)</f>
        <v>10</v>
      </c>
      <c r="AF63" s="27">
        <f ca="1">IFERROR(__xludf.DUMMYFUNCTION("""COMPUTED_VALUE"""),10)</f>
        <v>10</v>
      </c>
      <c r="AG63" s="27">
        <f ca="1">IFERROR(__xludf.DUMMYFUNCTION("""COMPUTED_VALUE"""),7)</f>
        <v>7</v>
      </c>
      <c r="AH63" s="27" t="str">
        <f ca="1">IFERROR(__xludf.DUMMYFUNCTION("""COMPUTED_VALUE"""),"Convênio Público, Parceria iniciativa privada, Editais, Doações, Lei Estadual da Cultura, Lei Municipal da Cultura, Recursos próprios")</f>
        <v>Convênio Público, Parceria iniciativa privada, Editais, Doações, Lei Estadual da Cultura, Lei Municipal da Cultura, Recursos próprios</v>
      </c>
      <c r="AI63" s="27" t="str">
        <f ca="1">IFERROR(__xludf.DUMMYFUNCTION("""COMPUTED_VALUE"""),"Emenda Parlamentar 34% ; Apoio Cultural 20%; Natura 14%; Aluguel de Salas 13%; Grupos Culturais 9%; Prêmio 5%; Auxilio Emergencial 3%, outras receitas/doação 2%")</f>
        <v>Emenda Parlamentar 34% ; Apoio Cultural 20%; Natura 14%; Aluguel de Salas 13%; Grupos Culturais 9%; Prêmio 5%; Auxilio Emergencial 3%, outras receitas/doação 2%</v>
      </c>
      <c r="AJ63" s="27" t="str">
        <f ca="1">IFERROR(__xludf.DUMMYFUNCTION("""COMPUTED_VALUE"""),"Não")</f>
        <v>Não</v>
      </c>
      <c r="AK63" s="27"/>
      <c r="AL63" s="21" t="str">
        <f ca="1">IFERROR(__xludf.DUMMYFUNCTION("""COMPUTED_VALUE"""),"0034X0000380O0l")</f>
        <v>0034X0000380O0l</v>
      </c>
      <c r="AM63" s="27" t="str">
        <f ca="1">IFERROR(__xludf.DUMMYFUNCTION("""COMPUTED_VALUE"""),"Rodrigues de andrade ferreira")</f>
        <v>Rodrigues de andrade ferreira</v>
      </c>
      <c r="AN63" s="27" t="str">
        <f ca="1">IFERROR(__xludf.DUMMYFUNCTION("""COMPUTED_VALUE"""),"Ativo")</f>
        <v>Ativo</v>
      </c>
      <c r="AO63" s="29">
        <f ca="1">IFERROR(__xludf.DUMMYFUNCTION("""COMPUTED_VALUE"""),44763)</f>
        <v>44763</v>
      </c>
      <c r="AP63" s="27">
        <f ca="1">IFERROR(__xludf.DUMMYFUNCTION("""COMPUTED_VALUE"""),2)</f>
        <v>2</v>
      </c>
      <c r="AQ63" s="27" t="str">
        <f ca="1">IFERROR(__xludf.DUMMYFUNCTION("""COMPUTED_VALUE"""),"Primeiro Semestre 2022")</f>
        <v>Primeiro Semestre 2022</v>
      </c>
      <c r="AR63" s="27" t="str">
        <f ca="1">IFERROR(__xludf.DUMMYFUNCTION("""COMPUTED_VALUE"""),"elirodriguesandrade@outlook.com.br")</f>
        <v>elirodriguesandrade@outlook.com.br</v>
      </c>
      <c r="AS63" s="27">
        <f ca="1">IFERROR(__xludf.DUMMYFUNCTION("""COMPUTED_VALUE"""),81988442358)</f>
        <v>81988442358</v>
      </c>
      <c r="AT63" s="29">
        <f ca="1">IFERROR(__xludf.DUMMYFUNCTION("""COMPUTED_VALUE"""),20887)</f>
        <v>20887</v>
      </c>
      <c r="AU63" s="27">
        <f ca="1">IFERROR(__xludf.DUMMYFUNCTION("""COMPUTED_VALUE"""),65)</f>
        <v>65</v>
      </c>
      <c r="AV63" s="27">
        <f ca="1">IFERROR(__xludf.DUMMYFUNCTION("""COMPUTED_VALUE"""),12812889420)</f>
        <v>12812889420</v>
      </c>
      <c r="AW63" s="27" t="str">
        <f ca="1">IFERROR(__xludf.DUMMYFUNCTION("""COMPUTED_VALUE"""),"1.329.680 SDS")</f>
        <v>1.329.680 SDS</v>
      </c>
      <c r="AX63" s="27"/>
      <c r="AY63" s="27"/>
      <c r="AZ63" s="27" t="str">
        <f ca="1">IFERROR(__xludf.DUMMYFUNCTION("""COMPUTED_VALUE"""),"GG")</f>
        <v>GG</v>
      </c>
      <c r="BA63" s="27" t="str">
        <f ca="1">IFERROR(__xludf.DUMMYFUNCTION("""COMPUTED_VALUE"""),"Parda")</f>
        <v>Parda</v>
      </c>
      <c r="BB63" s="27"/>
      <c r="BC63" s="27"/>
      <c r="BD63" s="27" t="str">
        <f ca="1">IFERROR(__xludf.DUMMYFUNCTION("""COMPUTED_VALUE"""),"Eliane Rodrigues* casada* 64 anos* professora de formação* educadora social por opção* militante das causas sociais e das mulheres. Comecei minha  vida profissional aos 14 anos de idade* em 1972*  como voluntária do Sindicato dos Trabalhadores Rurais de N"&amp;"azaré da Mata* Tracunhaém e Buenos Aires - PE* coordenando o Grupo Jovem. 
Aos 16 anos tive minha CTPS* assinada e em 1988* idealizei  e fundei  a Associação das Mulheres de Nazaré da Mata* primeira instituição da Mata Norte do Estado de Pernambuco* a  tr"&amp;"abalhar o Protagonismo e o Enfrentamento da Violência Doméstica e Familiar de mulheres urbanas e rurais. 
Na Amunam* implantei  vários projetos voltados para o empoderamento feminino* com formação e cursos para autonomia financeira.
Para  as  crianças e a"&amp;"dolescentes* atividades complementares à escola( educação ambiental* leitura* sexualidade* cidadania...)
Para os jovens* cursos de Preparatório para Enem* Concursos e Mercado de Trabalho. Também implantei a unica Rádio Comunitária do Municipio* concession"&amp;"ada pelo Ministério das Comunicações* gerida por mulheres.
Na Cultura criamos o  Maracatu Feminino de  Baque Solto Coração Nazareno* o unico do mundo* também o Grupo Cultural Flores do Coco e a Ciranda Flores da Amunam.
Também no social* realizamos o casa"&amp;"mento comunitário* para os casais que não tem condições de arcar com as despesas do casamento civil. 
Nesses 34 anos* já deixamos nossa marca em 53 municipios do Estado de Pernambuco.
É salutar informar que todas as atividades são gratuitas. 
Minha dedica"&amp;"ção é exclusiva e minha história acaba se confundindo com a história da instituição.  Neste percursos tive grandes inspirações* minha mãe* a Rainha Sílvia da Suécia que tive a honra de recebê-la na Sede da Amunam* no ano de 2021* nos últimos anos Jorge Pa"&amp;"ulo Lemann* porque Sonhar Grande e Sonhar Pequeno* dá o mesmo Trabalho. 
Hoje* acompanho também*  o jovem Edu Lira* que vem construindo sua  história e transformando vidas.")</f>
        <v>Eliane Rodrigues* casada* 64 anos* professora de formação* educadora social por opção* militante das causas sociais e das mulheres. Comecei minha  vida profissional aos 14 anos de idade* em 1972*  como voluntária do Sindicato dos Trabalhadores Rurais de Nazaré da Mata* Tracunhaém e Buenos Aires - PE* coordenando o Grupo Jovem. 
Aos 16 anos tive minha CTPS* assinada e em 1988* idealizei  e fundei  a Associação das Mulheres de Nazaré da Mata* primeira instituição da Mata Norte do Estado de Pernambuco* a  trabalhar o Protagonismo e o Enfrentamento da Violência Doméstica e Familiar de mulheres urbanas e rurais. 
Na Amunam* implantei  vários projetos voltados para o empoderamento feminino* com formação e cursos para autonomia financeira.
Para  as  crianças e adolescentes* atividades complementares à escola( educação ambiental* leitura* sexualidade* cidadania...)
Para os jovens* cursos de Preparatório para Enem* Concursos e Mercado de Trabalho. Também implantei a unica Rádio Comunitária do Municipio* concessionada pelo Ministério das Comunicações* gerida por mulheres.
Na Cultura criamos o  Maracatu Feminino de  Baque Solto Coração Nazareno* o unico do mundo* também o Grupo Cultural Flores do Coco e a Ciranda Flores da Amunam.
Também no social* realizamos o casamento comunitário* para os casais que não tem condições de arcar com as despesas do casamento civil. 
Nesses 34 anos* já deixamos nossa marca em 53 municipios do Estado de Pernambuco.
É salutar informar que todas as atividades são gratuitas. 
Minha dedicação é exclusiva e minha história acaba se confundindo com a história da instituição.  Neste percursos tive grandes inspirações* minha mãe* a Rainha Sílvia da Suécia que tive a honra de recebê-la na Sede da Amunam* no ano de 2021* nos últimos anos Jorge Paulo Lemann* porque Sonhar Grande e Sonhar Pequeno* dá o mesmo Trabalho. 
Hoje* acompanho também*  o jovem Edu Lira* que vem construindo sua  história e transformando vidas.</v>
      </c>
      <c r="BE63" s="27" t="str">
        <f ca="1">IFERROR(__xludf.DUMMYFUNCTION("""COMPUTED_VALUE"""),"Feminino")</f>
        <v>Feminino</v>
      </c>
      <c r="BF63" s="27" t="str">
        <f ca="1">IFERROR(__xludf.DUMMYFUNCTION("""COMPUTED_VALUE"""),"Heterossexual")</f>
        <v>Heterossexual</v>
      </c>
      <c r="BG63" s="27"/>
      <c r="BH63" s="27" t="str">
        <f ca="1">IFERROR(__xludf.DUMMYFUNCTION("""COMPUTED_VALUE"""),"Privado")</f>
        <v>Privado</v>
      </c>
      <c r="BI63" s="27" t="str">
        <f ca="1">IFERROR(__xludf.DUMMYFUNCTION("""COMPUTED_VALUE"""),"Graduação")</f>
        <v>Graduação</v>
      </c>
      <c r="BJ63" s="27" t="str">
        <f ca="1">IFERROR(__xludf.DUMMYFUNCTION("""COMPUTED_VALUE"""),"Público")</f>
        <v>Público</v>
      </c>
      <c r="BK63" s="27" t="str">
        <f ca="1">IFERROR(__xludf.DUMMYFUNCTION("""COMPUTED_VALUE"""),"Rancho Santa Rita  Km 02")</f>
        <v>Rancho Santa Rita  Km 02</v>
      </c>
      <c r="BL63" s="27" t="str">
        <f ca="1">IFERROR(__xludf.DUMMYFUNCTION("""COMPUTED_VALUE"""),"S/N")</f>
        <v>S/N</v>
      </c>
      <c r="BM63" s="27"/>
      <c r="BN63" s="27"/>
      <c r="BO63" s="27" t="str">
        <f ca="1">IFERROR(__xludf.DUMMYFUNCTION("""COMPUTED_VALUE"""),"55800-000")</f>
        <v>55800-000</v>
      </c>
      <c r="BP63" s="27" t="str">
        <f ca="1">IFERROR(__xludf.DUMMYFUNCTION("""COMPUTED_VALUE"""),"PE")</f>
        <v>PE</v>
      </c>
      <c r="BQ63" s="27" t="str">
        <f ca="1">IFERROR(__xludf.DUMMYFUNCTION("""COMPUTED_VALUE"""),"De 3 até 5 salários mínimos")</f>
        <v>De 3 até 5 salários mínimos</v>
      </c>
      <c r="BR63" s="27" t="str">
        <f ca="1">IFERROR(__xludf.DUMMYFUNCTION("""COMPUTED_VALUE"""),"Trabalho informal")</f>
        <v>Trabalho informal</v>
      </c>
      <c r="BS63" s="27" t="str">
        <f ca="1">IFERROR(__xludf.DUMMYFUNCTION("""COMPUTED_VALUE"""),"Casa própria")</f>
        <v>Casa própria</v>
      </c>
      <c r="BT63" s="27">
        <f ca="1">IFERROR(__xludf.DUMMYFUNCTION("""COMPUTED_VALUE"""),3)</f>
        <v>3</v>
      </c>
      <c r="BU63" s="27" t="str">
        <f ca="1">IFERROR(__xludf.DUMMYFUNCTION("""COMPUTED_VALUE"""),"Não tem")</f>
        <v>Não tem</v>
      </c>
      <c r="BV63" s="27" t="str">
        <f ca="1">IFERROR(__xludf.DUMMYFUNCTION("""COMPUTED_VALUE"""),"Não")</f>
        <v>Não</v>
      </c>
      <c r="BW63" s="27"/>
      <c r="BX63" s="21" t="str">
        <f ca="1">IFERROR(__xludf.DUMMYFUNCTION("""COMPUTED_VALUE"""),"https://instagram.com/elianerodrigues9?utm_medium=copy_link")</f>
        <v>https://instagram.com/elianerodrigues9?utm_medium=copy_link</v>
      </c>
      <c r="BY63" s="21" t="str">
        <f ca="1">IFERROR(__xludf.DUMMYFUNCTION("""COMPUTED_VALUE"""),"https://drive.google.com/open?id=1N3nXPknJi3xNo9nvSfxyRzzl8__J5j6K")</f>
        <v>https://drive.google.com/open?id=1N3nXPknJi3xNo9nvSfxyRzzl8__J5j6K</v>
      </c>
    </row>
    <row r="64" spans="1:77" ht="12.5" hidden="1" x14ac:dyDescent="0.25">
      <c r="A64" s="21" t="str">
        <f ca="1">IFERROR(__xludf.DUMMYFUNCTION("""COMPUTED_VALUE"""),"0014P00003YSp9YQAT")</f>
        <v>0014P00003YSp9YQAT</v>
      </c>
      <c r="B64" s="27" t="str">
        <f ca="1">IFERROR(__xludf.DUMMYFUNCTION("""COMPUTED_VALUE"""),"Fase Inicial")</f>
        <v>Fase Inicial</v>
      </c>
      <c r="C64" s="27" t="str">
        <f ca="1">IFERROR(__xludf.DUMMYFUNCTION("""COMPUTED_VALUE"""),"Fellow")</f>
        <v>Fellow</v>
      </c>
      <c r="D64" s="27" t="str">
        <f ca="1">IFERROR(__xludf.DUMMYFUNCTION("""COMPUTED_VALUE"""),"Ativo")</f>
        <v>Ativo</v>
      </c>
      <c r="E64" s="27" t="str">
        <f ca="1">IFERROR(__xludf.DUMMYFUNCTION("""COMPUTED_VALUE"""),"Associação de apoio a Mães de Especiais- Instituto AME")</f>
        <v>Associação de apoio a Mães de Especiais- Instituto AME</v>
      </c>
      <c r="F64" s="27" t="str">
        <f ca="1">IFERROR(__xludf.DUMMYFUNCTION("""COMPUTED_VALUE"""),"Luciane")</f>
        <v>Luciane</v>
      </c>
      <c r="G64" s="27"/>
      <c r="H64" s="27" t="str">
        <f ca="1">IFERROR(__xludf.DUMMYFUNCTION("""COMPUTED_VALUE"""),"41.369.607/0001-20")</f>
        <v>41.369.607/0001-20</v>
      </c>
      <c r="I64" s="27" t="str">
        <f ca="1">IFERROR(__xludf.DUMMYFUNCTION("""COMPUTED_VALUE"""),"LUCIANE SOUZA BOMFIM")</f>
        <v>LUCIANE SOUZA BOMFIM</v>
      </c>
      <c r="J64" s="27" t="str">
        <f ca="1">IFERROR(__xludf.DUMMYFUNCTION("""COMPUTED_VALUE"""),"bomfim.luciane@gmail.com")</f>
        <v>bomfim.luciane@gmail.com</v>
      </c>
      <c r="K64" s="27" t="str">
        <f ca="1">IFERROR(__xludf.DUMMYFUNCTION("""COMPUTED_VALUE"""),"(11)96610-8060")</f>
        <v>(11)96610-8060</v>
      </c>
      <c r="L64" s="27" t="str">
        <f ca="1">IFERROR(__xludf.DUMMYFUNCTION("""COMPUTED_VALUE"""),"SP")</f>
        <v>SP</v>
      </c>
      <c r="M64" s="27" t="str">
        <f ca="1">IFERROR(__xludf.DUMMYFUNCTION("""COMPUTED_VALUE"""),"Estrada dos Galdinos")</f>
        <v>Estrada dos Galdinos</v>
      </c>
      <c r="N64" s="27" t="str">
        <f ca="1">IFERROR(__xludf.DUMMYFUNCTION("""COMPUTED_VALUE"""),"Barbacena")</f>
        <v>Barbacena</v>
      </c>
      <c r="O64" s="27">
        <f ca="1">IFERROR(__xludf.DUMMYFUNCTION("""COMPUTED_VALUE"""),250)</f>
        <v>250</v>
      </c>
      <c r="P64" s="27" t="str">
        <f ca="1">IFERROR(__xludf.DUMMYFUNCTION("""COMPUTED_VALUE"""),"cotia")</f>
        <v>cotia</v>
      </c>
      <c r="Q64" s="27" t="str">
        <f ca="1">IFERROR(__xludf.DUMMYFUNCTION("""COMPUTED_VALUE"""),"ap 16 bloco 2")</f>
        <v>ap 16 bloco 2</v>
      </c>
      <c r="R64" s="27" t="str">
        <f ca="1">IFERROR(__xludf.DUMMYFUNCTION("""COMPUTED_VALUE"""),"06710-400")</f>
        <v>06710-400</v>
      </c>
      <c r="S64" s="27"/>
      <c r="T64" s="27" t="str">
        <f ca="1">IFERROR(__xludf.DUMMYFUNCTION("""COMPUTED_VALUE"""),"Esporte; Assistência Social; Empreendedorismo; Empoderamento Feminino; Assistência Psicológica")</f>
        <v>Esporte; Assistência Social; Empreendedorismo; Empoderamento Feminino; Assistência Psicológica</v>
      </c>
      <c r="U64"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64" s="27" t="str">
        <f ca="1">IFERROR(__xludf.DUMMYFUNCTION("""COMPUTED_VALUE"""),"Pessoas com Deficiência")</f>
        <v>Pessoas com Deficiência</v>
      </c>
      <c r="W64" s="27">
        <f ca="1">IFERROR(__xludf.DUMMYFUNCTION("""COMPUTED_VALUE"""),3)</f>
        <v>3</v>
      </c>
      <c r="X64" s="27" t="str">
        <f ca="1">IFERROR(__xludf.DUMMYFUNCTION("""COMPUTED_VALUE"""),"Portadores de deficiência e seus familiares")</f>
        <v>Portadores de deficiência e seus familiares</v>
      </c>
      <c r="Y64" s="27"/>
      <c r="Z64" s="27">
        <f ca="1">IFERROR(__xludf.DUMMYFUNCTION("""COMPUTED_VALUE"""),500)</f>
        <v>500</v>
      </c>
      <c r="AA64" s="29">
        <f ca="1">IFERROR(__xludf.DUMMYFUNCTION("""COMPUTED_VALUE"""),44109)</f>
        <v>44109</v>
      </c>
      <c r="AB64" s="27" t="str">
        <f ca="1">IFERROR(__xludf.DUMMYFUNCTION("""COMPUTED_VALUE"""),"Sim")</f>
        <v>Sim</v>
      </c>
      <c r="AC64" s="27">
        <f ca="1">IFERROR(__xludf.DUMMYFUNCTION("""COMPUTED_VALUE"""),0)</f>
        <v>0</v>
      </c>
      <c r="AD64" s="27">
        <f ca="1">IFERROR(__xludf.DUMMYFUNCTION("""COMPUTED_VALUE"""),0)</f>
        <v>0</v>
      </c>
      <c r="AE64" s="27">
        <f ca="1">IFERROR(__xludf.DUMMYFUNCTION("""COMPUTED_VALUE"""),24)</f>
        <v>24</v>
      </c>
      <c r="AF64" s="27">
        <f ca="1">IFERROR(__xludf.DUMMYFUNCTION("""COMPUTED_VALUE"""),10)</f>
        <v>10</v>
      </c>
      <c r="AG64" s="27">
        <f ca="1">IFERROR(__xludf.DUMMYFUNCTION("""COMPUTED_VALUE"""),2)</f>
        <v>2</v>
      </c>
      <c r="AH64" s="27" t="str">
        <f ca="1">IFERROR(__xludf.DUMMYFUNCTION("""COMPUTED_VALUE"""),"Eventos/Ações para captação; Parceria iniciativa privada; Doações; Recursos próprios")</f>
        <v>Eventos/Ações para captação; Parceria iniciativa privada; Doações; Recursos próprios</v>
      </c>
      <c r="AI64" s="27" t="str">
        <f ca="1">IFERROR(__xludf.DUMMYFUNCTION("""COMPUTED_VALUE"""),"nenhuma")</f>
        <v>nenhuma</v>
      </c>
      <c r="AJ64" s="27"/>
      <c r="AK64" s="27"/>
      <c r="AL64" s="21" t="str">
        <f ca="1">IFERROR(__xludf.DUMMYFUNCTION("""COMPUTED_VALUE"""),"0034P000045kxkA")</f>
        <v>0034P000045kxkA</v>
      </c>
      <c r="AM64" s="27" t="str">
        <f ca="1">IFERROR(__xludf.DUMMYFUNCTION("""COMPUTED_VALUE"""),"Souza Bomfim")</f>
        <v>Souza Bomfim</v>
      </c>
      <c r="AN64" s="27" t="str">
        <f ca="1">IFERROR(__xludf.DUMMYFUNCTION("""COMPUTED_VALUE"""),"Ativo")</f>
        <v>Ativo</v>
      </c>
      <c r="AO64" s="30">
        <f ca="1">IFERROR(__xludf.DUMMYFUNCTION("""COMPUTED_VALUE"""),44551)</f>
        <v>44551</v>
      </c>
      <c r="AP64" s="27">
        <f ca="1">IFERROR(__xludf.DUMMYFUNCTION("""COMPUTED_VALUE"""),9)</f>
        <v>9</v>
      </c>
      <c r="AQ64" s="27" t="str">
        <f ca="1">IFERROR(__xludf.DUMMYFUNCTION("""COMPUTED_VALUE"""),"Segundo Semestre 2021")</f>
        <v>Segundo Semestre 2021</v>
      </c>
      <c r="AR64" s="27" t="str">
        <f ca="1">IFERROR(__xludf.DUMMYFUNCTION("""COMPUTED_VALUE"""),"bomfim.luciane@gmail.com")</f>
        <v>bomfim.luciane@gmail.com</v>
      </c>
      <c r="AS64" s="27" t="str">
        <f ca="1">IFERROR(__xludf.DUMMYFUNCTION("""COMPUTED_VALUE"""),"(11)96610-8060")</f>
        <v>(11)96610-8060</v>
      </c>
      <c r="AT64" s="29">
        <f ca="1">IFERROR(__xludf.DUMMYFUNCTION("""COMPUTED_VALUE"""),26795)</f>
        <v>26795</v>
      </c>
      <c r="AU64" s="27">
        <f ca="1">IFERROR(__xludf.DUMMYFUNCTION("""COMPUTED_VALUE"""),49)</f>
        <v>49</v>
      </c>
      <c r="AV64" s="27">
        <f ca="1">IFERROR(__xludf.DUMMYFUNCTION("""COMPUTED_VALUE"""),14500765808)</f>
        <v>14500765808</v>
      </c>
      <c r="AW64" s="27">
        <f ca="1">IFERROR(__xludf.DUMMYFUNCTION("""COMPUTED_VALUE"""),243711220)</f>
        <v>243711220</v>
      </c>
      <c r="AX64" s="27"/>
      <c r="AY64" s="27"/>
      <c r="AZ64" s="27" t="str">
        <f ca="1">IFERROR(__xludf.DUMMYFUNCTION("""COMPUTED_VALUE"""),"P")</f>
        <v>P</v>
      </c>
      <c r="BA64" s="27" t="str">
        <f ca="1">IFERROR(__xludf.DUMMYFUNCTION("""COMPUTED_VALUE"""),"Preta")</f>
        <v>Preta</v>
      </c>
      <c r="BB64" s="27" t="str">
        <f ca="1">IFERROR(__xludf.DUMMYFUNCTION("""COMPUTED_VALUE"""),"Mulher, cisgênero")</f>
        <v>Mulher, cisgênero</v>
      </c>
      <c r="BC64" s="27" t="str">
        <f ca="1">IFERROR(__xludf.DUMMYFUNCTION("""COMPUTED_VALUE"""),"Sim")</f>
        <v>Sim</v>
      </c>
      <c r="BD64" s="27" t="str">
        <f ca="1">IFERROR(__xludf.DUMMYFUNCTION("""COMPUTED_VALUE"""),"Eu sou a Luciane Bomfim,  filha de baianos, trabalhadores rurais que vieram tentar uma oportunidade na ""Cidade Grande"". Minha mãe analfabeta, meu pai alcóolatra. Morávamos em um barraco próximo a favela do São Pedro uma das mais violentas na época. 
Des"&amp;"de criança, eu tive que aprender a conviver com a exclusão por ser mulher, negra e moradora da periferia. Mas foi através da  maternidade atípica que encontrei forças para agir em favor da inclusão. Através do Instituto AME")</f>
        <v>Eu sou a Luciane Bomfim,  filha de baianos, trabalhadores rurais que vieram tentar uma oportunidade na "Cidade Grande". Minha mãe analfabeta, meu pai alcóolatra. Morávamos em um barraco próximo a favela do São Pedro uma das mais violentas na época. 
Desde criança, eu tive que aprender a conviver com a exclusão por ser mulher, negra e moradora da periferia. Mas foi através da  maternidade atípica que encontrei forças para agir em favor da inclusão. Através do Instituto AME</v>
      </c>
      <c r="BE64" s="27"/>
      <c r="BF64" s="27" t="str">
        <f ca="1">IFERROR(__xludf.DUMMYFUNCTION("""COMPUTED_VALUE"""),"Heterossexual")</f>
        <v>Heterossexual</v>
      </c>
      <c r="BG64" s="27" t="str">
        <f ca="1">IFERROR(__xludf.DUMMYFUNCTION("""COMPUTED_VALUE"""),"Ensino Superior - Completo")</f>
        <v>Ensino Superior - Completo</v>
      </c>
      <c r="BH64" s="27" t="str">
        <f ca="1">IFERROR(__xludf.DUMMYFUNCTION("""COMPUTED_VALUE"""),"Público")</f>
        <v>Público</v>
      </c>
      <c r="BI64" s="27" t="str">
        <f ca="1">IFERROR(__xludf.DUMMYFUNCTION("""COMPUTED_VALUE"""),"Pós-Graduação")</f>
        <v>Pós-Graduação</v>
      </c>
      <c r="BJ64" s="27" t="str">
        <f ca="1">IFERROR(__xludf.DUMMYFUNCTION("""COMPUTED_VALUE"""),"Privado")</f>
        <v>Privado</v>
      </c>
      <c r="BK64" s="27" t="str">
        <f ca="1">IFERROR(__xludf.DUMMYFUNCTION("""COMPUTED_VALUE"""),"Estrada dos Galdinos")</f>
        <v>Estrada dos Galdinos</v>
      </c>
      <c r="BL64" s="27">
        <f ca="1">IFERROR(__xludf.DUMMYFUNCTION("""COMPUTED_VALUE"""),250)</f>
        <v>250</v>
      </c>
      <c r="BM64" s="27" t="str">
        <f ca="1">IFERROR(__xludf.DUMMYFUNCTION("""COMPUTED_VALUE"""),"ap 16 bc 2")</f>
        <v>ap 16 bc 2</v>
      </c>
      <c r="BN64" s="27" t="str">
        <f ca="1">IFERROR(__xludf.DUMMYFUNCTION("""COMPUTED_VALUE"""),"cotia")</f>
        <v>cotia</v>
      </c>
      <c r="BO64" s="27" t="str">
        <f ca="1">IFERROR(__xludf.DUMMYFUNCTION("""COMPUTED_VALUE"""),"06410-400")</f>
        <v>06410-400</v>
      </c>
      <c r="BP64" s="27" t="str">
        <f ca="1">IFERROR(__xludf.DUMMYFUNCTION("""COMPUTED_VALUE"""),"SP")</f>
        <v>SP</v>
      </c>
      <c r="BQ64" s="27" t="str">
        <f ca="1">IFERROR(__xludf.DUMMYFUNCTION("""COMPUTED_VALUE"""),"Acima de 5 salários mínimos")</f>
        <v>Acima de 5 salários mínimos</v>
      </c>
      <c r="BR64" s="27" t="str">
        <f ca="1">IFERROR(__xludf.DUMMYFUNCTION("""COMPUTED_VALUE"""),"CLT")</f>
        <v>CLT</v>
      </c>
      <c r="BS64" s="27" t="str">
        <f ca="1">IFERROR(__xludf.DUMMYFUNCTION("""COMPUTED_VALUE"""),"Casa própria")</f>
        <v>Casa própria</v>
      </c>
      <c r="BT64" s="27">
        <f ca="1">IFERROR(__xludf.DUMMYFUNCTION("""COMPUTED_VALUE"""),3)</f>
        <v>3</v>
      </c>
      <c r="BU64" s="27" t="str">
        <f ca="1">IFERROR(__xludf.DUMMYFUNCTION("""COMPUTED_VALUE"""),"Não tem")</f>
        <v>Não tem</v>
      </c>
      <c r="BV64" s="27" t="str">
        <f ca="1">IFERROR(__xludf.DUMMYFUNCTION("""COMPUTED_VALUE"""),"Carne vermelha")</f>
        <v>Carne vermelha</v>
      </c>
      <c r="BW64" s="27" t="str">
        <f ca="1">IFERROR(__xludf.DUMMYFUNCTION("""COMPUTED_VALUE"""),"Nao tenho")</f>
        <v>Nao tenho</v>
      </c>
      <c r="BX64" s="27" t="str">
        <f ca="1">IFERROR(__xludf.DUMMYFUNCTION("""COMPUTED_VALUE"""),"Nao tenho")</f>
        <v>Nao tenho</v>
      </c>
      <c r="BY64" s="21" t="str">
        <f ca="1">IFERROR(__xludf.DUMMYFUNCTION("""COMPUTED_VALUE"""),"https://drive.google.com/open?id=1z3SgdU1kHKHG-_eJjqHvFpJBI03WjvaQ")</f>
        <v>https://drive.google.com/open?id=1z3SgdU1kHKHG-_eJjqHvFpJBI03WjvaQ</v>
      </c>
    </row>
    <row r="65" spans="1:77" ht="12.5" hidden="1" x14ac:dyDescent="0.25">
      <c r="A65" s="21" t="str">
        <f ca="1">IFERROR(__xludf.DUMMYFUNCTION("""COMPUTED_VALUE"""),"0014P00003YSp9HQAT")</f>
        <v>0014P00003YSp9HQAT</v>
      </c>
      <c r="B65" s="27" t="str">
        <f ca="1">IFERROR(__xludf.DUMMYFUNCTION("""COMPUTED_VALUE"""),"Fase Inicial")</f>
        <v>Fase Inicial</v>
      </c>
      <c r="C65" s="27" t="str">
        <f ca="1">IFERROR(__xludf.DUMMYFUNCTION("""COMPUTED_VALUE"""),"Fellow")</f>
        <v>Fellow</v>
      </c>
      <c r="D65" s="27" t="str">
        <f ca="1">IFERROR(__xludf.DUMMYFUNCTION("""COMPUTED_VALUE"""),"Ativo")</f>
        <v>Ativo</v>
      </c>
      <c r="E65" s="27" t="str">
        <f ca="1">IFERROR(__xludf.DUMMYFUNCTION("""COMPUTED_VALUE"""),"Associação de Apoio às Famílias Vulneráveis")</f>
        <v>Associação de Apoio às Famílias Vulneráveis</v>
      </c>
      <c r="F65" s="27" t="str">
        <f ca="1">IFERROR(__xludf.DUMMYFUNCTION("""COMPUTED_VALUE"""),"Janeide")</f>
        <v>Janeide</v>
      </c>
      <c r="G65" s="27"/>
      <c r="H65" s="27"/>
      <c r="I65" s="27" t="str">
        <f ca="1">IFERROR(__xludf.DUMMYFUNCTION("""COMPUTED_VALUE"""),"Janeide Barbosa da Silva")</f>
        <v>Janeide Barbosa da Silva</v>
      </c>
      <c r="J65" s="27" t="str">
        <f ca="1">IFERROR(__xludf.DUMMYFUNCTION("""COMPUTED_VALUE"""),"aafv.doacoes@gmail.com")</f>
        <v>aafv.doacoes@gmail.com</v>
      </c>
      <c r="K65" s="27" t="str">
        <f ca="1">IFERROR(__xludf.DUMMYFUNCTION("""COMPUTED_VALUE"""),"(11)98476-7740")</f>
        <v>(11)98476-7740</v>
      </c>
      <c r="L65" s="27" t="str">
        <f ca="1">IFERROR(__xludf.DUMMYFUNCTION("""COMPUTED_VALUE"""),"SP")</f>
        <v>SP</v>
      </c>
      <c r="M65" s="27" t="str">
        <f ca="1">IFERROR(__xludf.DUMMYFUNCTION("""COMPUTED_VALUE"""),"Avenida Laranja da China")</f>
        <v>Avenida Laranja da China</v>
      </c>
      <c r="N65" s="27" t="str">
        <f ca="1">IFERROR(__xludf.DUMMYFUNCTION("""COMPUTED_VALUE"""),"Jardim das Camélias")</f>
        <v>Jardim das Camélias</v>
      </c>
      <c r="O65" s="27">
        <f ca="1">IFERROR(__xludf.DUMMYFUNCTION("""COMPUTED_VALUE"""),700)</f>
        <v>700</v>
      </c>
      <c r="P65" s="27" t="str">
        <f ca="1">IFERROR(__xludf.DUMMYFUNCTION("""COMPUTED_VALUE"""),"São Paulo")</f>
        <v>São Paulo</v>
      </c>
      <c r="Q65" s="27"/>
      <c r="R65" s="27" t="str">
        <f ca="1">IFERROR(__xludf.DUMMYFUNCTION("""COMPUTED_VALUE"""),"08050-710")</f>
        <v>08050-710</v>
      </c>
      <c r="S65" s="27"/>
      <c r="T65" s="27" t="str">
        <f ca="1">IFERROR(__xludf.DUMMYFUNCTION("""COMPUTED_VALUE"""),"Assistência Social; Desenvolvimento comunitário")</f>
        <v>Assistência Social; Desenvolvimento comunitário</v>
      </c>
      <c r="U65"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65" s="27" t="str">
        <f ca="1">IFERROR(__xludf.DUMMYFUNCTION("""COMPUTED_VALUE"""),"Moradores de Favelas; Pessoas em situação de rua; Pessoas com Deficiência")</f>
        <v>Moradores de Favelas; Pessoas em situação de rua; Pessoas com Deficiência</v>
      </c>
      <c r="W65" s="27">
        <f ca="1">IFERROR(__xludf.DUMMYFUNCTION("""COMPUTED_VALUE"""),4)</f>
        <v>4</v>
      </c>
      <c r="X65" s="27"/>
      <c r="Y65" s="27"/>
      <c r="Z65" s="27">
        <f ca="1">IFERROR(__xludf.DUMMYFUNCTION("""COMPUTED_VALUE"""),200)</f>
        <v>200</v>
      </c>
      <c r="AA65" s="29">
        <f ca="1">IFERROR(__xludf.DUMMYFUNCTION("""COMPUTED_VALUE"""),43101)</f>
        <v>43101</v>
      </c>
      <c r="AB65" s="27" t="str">
        <f ca="1">IFERROR(__xludf.DUMMYFUNCTION("""COMPUTED_VALUE"""),"Não")</f>
        <v>Não</v>
      </c>
      <c r="AC65" s="27">
        <f ca="1">IFERROR(__xludf.DUMMYFUNCTION("""COMPUTED_VALUE"""),0)</f>
        <v>0</v>
      </c>
      <c r="AD65" s="27">
        <f ca="1">IFERROR(__xludf.DUMMYFUNCTION("""COMPUTED_VALUE"""),0)</f>
        <v>0</v>
      </c>
      <c r="AE65" s="27">
        <f ca="1">IFERROR(__xludf.DUMMYFUNCTION("""COMPUTED_VALUE"""),3)</f>
        <v>3</v>
      </c>
      <c r="AF65" s="27">
        <f ca="1">IFERROR(__xludf.DUMMYFUNCTION("""COMPUTED_VALUE"""),5)</f>
        <v>5</v>
      </c>
      <c r="AG65" s="27">
        <f ca="1">IFERROR(__xludf.DUMMYFUNCTION("""COMPUTED_VALUE"""),2)</f>
        <v>2</v>
      </c>
      <c r="AH65" s="27" t="str">
        <f ca="1">IFERROR(__xludf.DUMMYFUNCTION("""COMPUTED_VALUE"""),"Eventos/Ações para captação")</f>
        <v>Eventos/Ações para captação</v>
      </c>
      <c r="AI65" s="31">
        <f ca="1">IFERROR(__xludf.DUMMYFUNCTION("""COMPUTED_VALUE"""),1)</f>
        <v>1</v>
      </c>
      <c r="AJ65" s="27"/>
      <c r="AK65" s="27"/>
      <c r="AL65" s="21" t="str">
        <f ca="1">IFERROR(__xludf.DUMMYFUNCTION("""COMPUTED_VALUE"""),"0034P000045kxjt")</f>
        <v>0034P000045kxjt</v>
      </c>
      <c r="AM65" s="27" t="str">
        <f ca="1">IFERROR(__xludf.DUMMYFUNCTION("""COMPUTED_VALUE"""),"Barbosa Da Silva")</f>
        <v>Barbosa Da Silva</v>
      </c>
      <c r="AN65" s="27" t="str">
        <f ca="1">IFERROR(__xludf.DUMMYFUNCTION("""COMPUTED_VALUE"""),"Ativo")</f>
        <v>Ativo</v>
      </c>
      <c r="AO65" s="30">
        <f ca="1">IFERROR(__xludf.DUMMYFUNCTION("""COMPUTED_VALUE"""),44551)</f>
        <v>44551</v>
      </c>
      <c r="AP65" s="27">
        <f ca="1">IFERROR(__xludf.DUMMYFUNCTION("""COMPUTED_VALUE"""),9)</f>
        <v>9</v>
      </c>
      <c r="AQ65" s="27" t="str">
        <f ca="1">IFERROR(__xludf.DUMMYFUNCTION("""COMPUTED_VALUE"""),"Segundo Semestre 2021")</f>
        <v>Segundo Semestre 2021</v>
      </c>
      <c r="AR65" s="27" t="str">
        <f ca="1">IFERROR(__xludf.DUMMYFUNCTION("""COMPUTED_VALUE"""),"janeide2892@gmail.com")</f>
        <v>janeide2892@gmail.com</v>
      </c>
      <c r="AS65" s="27" t="str">
        <f ca="1">IFERROR(__xludf.DUMMYFUNCTION("""COMPUTED_VALUE"""),"(11)98476-7740")</f>
        <v>(11)98476-7740</v>
      </c>
      <c r="AT65" s="29">
        <f ca="1">IFERROR(__xludf.DUMMYFUNCTION("""COMPUTED_VALUE"""),29462)</f>
        <v>29462</v>
      </c>
      <c r="AU65" s="27">
        <f ca="1">IFERROR(__xludf.DUMMYFUNCTION("""COMPUTED_VALUE"""),42)</f>
        <v>42</v>
      </c>
      <c r="AV65" s="27">
        <f ca="1">IFERROR(__xludf.DUMMYFUNCTION("""COMPUTED_VALUE"""),32505289867)</f>
        <v>32505289867</v>
      </c>
      <c r="AW65" s="27">
        <f ca="1">IFERROR(__xludf.DUMMYFUNCTION("""COMPUTED_VALUE"""),372232486)</f>
        <v>372232486</v>
      </c>
      <c r="AX65" s="27"/>
      <c r="AY65" s="27"/>
      <c r="AZ65" s="27" t="str">
        <f ca="1">IFERROR(__xludf.DUMMYFUNCTION("""COMPUTED_VALUE"""),"EXG3")</f>
        <v>EXG3</v>
      </c>
      <c r="BA65" s="27" t="str">
        <f ca="1">IFERROR(__xludf.DUMMYFUNCTION("""COMPUTED_VALUE"""),"Branca")</f>
        <v>Branca</v>
      </c>
      <c r="BB65" s="27" t="str">
        <f ca="1">IFERROR(__xludf.DUMMYFUNCTION("""COMPUTED_VALUE"""),"Mulher, cisgênero")</f>
        <v>Mulher, cisgênero</v>
      </c>
      <c r="BC65" s="27" t="str">
        <f ca="1">IFERROR(__xludf.DUMMYFUNCTION("""COMPUTED_VALUE"""),"Sim")</f>
        <v>Sim</v>
      </c>
      <c r="BD65" s="27" t="str">
        <f ca="1">IFERROR(__xludf.DUMMYFUNCTION("""COMPUTED_VALUE"""),"Janeide Barbosa é uma mulher, mãe, empresária, sonhadora e líder comunitária. Atuando desde 2018 em sua comunidade, ela faz acontecer na vida dos moradores do Jardim das Camélias. 
Sua maior motivação para ser uma líder, foi seu filho com necessidades es"&amp;"peciais, que transformou seu olhar sobre o mundo e as dificuldades.")</f>
        <v>Janeide Barbosa é uma mulher, mãe, empresária, sonhadora e líder comunitária. Atuando desde 2018 em sua comunidade, ela faz acontecer na vida dos moradores do Jardim das Camélias. 
Sua maior motivação para ser uma líder, foi seu filho com necessidades especiais, que transformou seu olhar sobre o mundo e as dificuldades.</v>
      </c>
      <c r="BE65" s="27"/>
      <c r="BF65" s="27" t="str">
        <f ca="1">IFERROR(__xludf.DUMMYFUNCTION("""COMPUTED_VALUE"""),"Heterossexual")</f>
        <v>Heterossexual</v>
      </c>
      <c r="BG65" s="27" t="str">
        <f ca="1">IFERROR(__xludf.DUMMYFUNCTION("""COMPUTED_VALUE"""),"Ensino Médio - Completo")</f>
        <v>Ensino Médio - Completo</v>
      </c>
      <c r="BH65" s="27" t="str">
        <f ca="1">IFERROR(__xludf.DUMMYFUNCTION("""COMPUTED_VALUE"""),"Pública")</f>
        <v>Pública</v>
      </c>
      <c r="BI65" s="27"/>
      <c r="BJ65" s="27"/>
      <c r="BK65" s="27" t="str">
        <f ca="1">IFERROR(__xludf.DUMMYFUNCTION("""COMPUTED_VALUE"""),"Av. Laranja da china")</f>
        <v>Av. Laranja da china</v>
      </c>
      <c r="BL65" s="27">
        <f ca="1">IFERROR(__xludf.DUMMYFUNCTION("""COMPUTED_VALUE"""),700)</f>
        <v>700</v>
      </c>
      <c r="BM65" s="27"/>
      <c r="BN65" s="27" t="str">
        <f ca="1">IFERROR(__xludf.DUMMYFUNCTION("""COMPUTED_VALUE"""),"São Paulo")</f>
        <v>São Paulo</v>
      </c>
      <c r="BO65" s="27" t="str">
        <f ca="1">IFERROR(__xludf.DUMMYFUNCTION("""COMPUTED_VALUE"""),"08050-710")</f>
        <v>08050-710</v>
      </c>
      <c r="BP65" s="27" t="str">
        <f ca="1">IFERROR(__xludf.DUMMYFUNCTION("""COMPUTED_VALUE"""),"SP")</f>
        <v>SP</v>
      </c>
      <c r="BQ65" s="27" t="str">
        <f ca="1">IFERROR(__xludf.DUMMYFUNCTION("""COMPUTED_VALUE"""),"Entre 1 até 3 salários mínimos")</f>
        <v>Entre 1 até 3 salários mínimos</v>
      </c>
      <c r="BR65" s="27" t="str">
        <f ca="1">IFERROR(__xludf.DUMMYFUNCTION("""COMPUTED_VALUE"""),"Desempregado")</f>
        <v>Desempregado</v>
      </c>
      <c r="BS65" s="27" t="str">
        <f ca="1">IFERROR(__xludf.DUMMYFUNCTION("""COMPUTED_VALUE"""),"Aluguel")</f>
        <v>Aluguel</v>
      </c>
      <c r="BT65" s="27">
        <f ca="1">IFERROR(__xludf.DUMMYFUNCTION("""COMPUTED_VALUE"""),4)</f>
        <v>4</v>
      </c>
      <c r="BU65" s="27" t="str">
        <f ca="1">IFERROR(__xludf.DUMMYFUNCTION("""COMPUTED_VALUE"""),"Não tem")</f>
        <v>Não tem</v>
      </c>
      <c r="BV65" s="27"/>
      <c r="BW65" s="27"/>
      <c r="BX65" s="21" t="str">
        <f ca="1">IFERROR(__xludf.DUMMYFUNCTION("""COMPUTED_VALUE"""),"http://instagram.com/associacao.de.apoio.a.familia")</f>
        <v>http://instagram.com/associacao.de.apoio.a.familia</v>
      </c>
      <c r="BY65" s="21" t="str">
        <f ca="1">IFERROR(__xludf.DUMMYFUNCTION("""COMPUTED_VALUE"""),"https://drive.google.com/open?id=10ctxV8nMn9fVaTyawjHOr35WgafNvNJD")</f>
        <v>https://drive.google.com/open?id=10ctxV8nMn9fVaTyawjHOr35WgafNvNJD</v>
      </c>
    </row>
    <row r="66" spans="1:77" ht="12.5" hidden="1" x14ac:dyDescent="0.25">
      <c r="A66" s="21" t="str">
        <f ca="1">IFERROR(__xludf.DUMMYFUNCTION("""COMPUTED_VALUE"""),"0014X00002VKCp8QAH")</f>
        <v>0014X00002VKCp8QAH</v>
      </c>
      <c r="B66" s="27" t="str">
        <f ca="1">IFERROR(__xludf.DUMMYFUNCTION("""COMPUTED_VALUE"""),"Fase Inicial")</f>
        <v>Fase Inicial</v>
      </c>
      <c r="C66" s="27" t="str">
        <f ca="1">IFERROR(__xludf.DUMMYFUNCTION("""COMPUTED_VALUE"""),"Fellow")</f>
        <v>Fellow</v>
      </c>
      <c r="D66" s="27" t="str">
        <f ca="1">IFERROR(__xludf.DUMMYFUNCTION("""COMPUTED_VALUE"""),"Ativo")</f>
        <v>Ativo</v>
      </c>
      <c r="E66" s="27" t="str">
        <f ca="1">IFERROR(__xludf.DUMMYFUNCTION("""COMPUTED_VALUE"""),"ASSOCIAÇAO DE ARTESANATO E APICULTURA DOS POVOADOS TIGRE E JUNÇA")</f>
        <v>ASSOCIAÇAO DE ARTESANATO E APICULTURA DOS POVOADOS TIGRE E JUNÇA</v>
      </c>
      <c r="F66" s="27" t="str">
        <f ca="1">IFERROR(__xludf.DUMMYFUNCTION("""COMPUTED_VALUE"""),"DOMINGOS")</f>
        <v>DOMINGOS</v>
      </c>
      <c r="G66" s="27" t="str">
        <f ca="1">IFERROR(__xludf.DUMMYFUNCTION("""COMPUTED_VALUE"""),"AAAPTJ")</f>
        <v>AAAPTJ</v>
      </c>
      <c r="H66" s="27" t="str">
        <f ca="1">IFERROR(__xludf.DUMMYFUNCTION("""COMPUTED_VALUE"""),"06.172.719/0001-96")</f>
        <v>06.172.719/0001-96</v>
      </c>
      <c r="I66" s="27" t="str">
        <f ca="1">IFERROR(__xludf.DUMMYFUNCTION("""COMPUTED_VALUE"""),"IRACEMA DOS SANTOS LISBOA TEIXEIRA")</f>
        <v>IRACEMA DOS SANTOS LISBOA TEIXEIRA</v>
      </c>
      <c r="J66" s="27" t="str">
        <f ca="1">IFERROR(__xludf.DUMMYFUNCTION("""COMPUTED_VALUE"""),"aaaptjdm@gmail.com")</f>
        <v>aaaptjdm@gmail.com</v>
      </c>
      <c r="K66" s="27" t="str">
        <f ca="1">IFERROR(__xludf.DUMMYFUNCTION("""COMPUTED_VALUE"""),"(79)99901-3379")</f>
        <v>(79)99901-3379</v>
      </c>
      <c r="L66" s="27" t="str">
        <f ca="1">IFERROR(__xludf.DUMMYFUNCTION("""COMPUTED_VALUE"""),"SE")</f>
        <v>SE</v>
      </c>
      <c r="M66" s="27" t="str">
        <f ca="1">IFERROR(__xludf.DUMMYFUNCTION("""COMPUTED_VALUE"""),"Povoado Tigre")</f>
        <v>Povoado Tigre</v>
      </c>
      <c r="N66" s="27" t="str">
        <f ca="1">IFERROR(__xludf.DUMMYFUNCTION("""COMPUTED_VALUE"""),"Tigre")</f>
        <v>Tigre</v>
      </c>
      <c r="O66" s="27" t="str">
        <f ca="1">IFERROR(__xludf.DUMMYFUNCTION("""COMPUTED_VALUE"""),"S/N")</f>
        <v>S/N</v>
      </c>
      <c r="P66" s="27" t="str">
        <f ca="1">IFERROR(__xludf.DUMMYFUNCTION("""COMPUTED_VALUE"""),"PACATUBA")</f>
        <v>PACATUBA</v>
      </c>
      <c r="Q66" s="27" t="str">
        <f ca="1">IFERROR(__xludf.DUMMYFUNCTION("""COMPUTED_VALUE"""),"ZONA RURAL")</f>
        <v>ZONA RURAL</v>
      </c>
      <c r="R66" s="27" t="str">
        <f ca="1">IFERROR(__xludf.DUMMYFUNCTION("""COMPUTED_VALUE"""),"49970-000")</f>
        <v>49970-000</v>
      </c>
      <c r="S66" s="27" t="str">
        <f ca="1">IFERROR(__xludf.DUMMYFUNCTION("""COMPUTED_VALUE"""),"SIM, ESCOLAS E COMUNIDADAES ADJACENTES")</f>
        <v>SIM, ESCOLAS E COMUNIDADAES ADJACENTES</v>
      </c>
      <c r="T66" s="27"/>
      <c r="U66" s="27" t="str">
        <f ca="1">IFERROR(__xludf.DUMMYFUNCTION("""COMPUTED_VALUE"""),"Crianças (6 a 12 anos), Adolescentes (12 aos 18 anos), Jovens (18 aos 24 anos), Adultos")</f>
        <v>Crianças (6 a 12 anos), Adolescentes (12 aos 18 anos), Jovens (18 aos 24 anos), Adultos</v>
      </c>
      <c r="V66" s="27" t="str">
        <f ca="1">IFERROR(__xludf.DUMMYFUNCTION("""COMPUTED_VALUE"""),"Quilombola, Afrodescendentes, Ribeirinhos, Comunidade rural, Outros")</f>
        <v>Quilombola, Afrodescendentes, Ribeirinhos, Comunidade rural, Outros</v>
      </c>
      <c r="W66" s="27">
        <f ca="1">IFERROR(__xludf.DUMMYFUNCTION("""COMPUTED_VALUE"""),5)</f>
        <v>5</v>
      </c>
      <c r="X66" s="27" t="str">
        <f ca="1">IFERROR(__xludf.DUMMYFUNCTION("""COMPUTED_VALUE"""),"mulheres artesã* pescadores* jovens em situação de vulnerabilidade* agricultores da agricultura familiar* residentes em comunidades rurais")</f>
        <v>mulheres artesã* pescadores* jovens em situação de vulnerabilidade* agricultores da agricultura familiar* residentes em comunidades rurais</v>
      </c>
      <c r="Y66" s="27"/>
      <c r="Z66" s="27">
        <f ca="1">IFERROR(__xludf.DUMMYFUNCTION("""COMPUTED_VALUE"""),703)</f>
        <v>703</v>
      </c>
      <c r="AA66" s="29">
        <f ca="1">IFERROR(__xludf.DUMMYFUNCTION("""COMPUTED_VALUE"""),38069)</f>
        <v>38069</v>
      </c>
      <c r="AB66" s="27" t="str">
        <f ca="1">IFERROR(__xludf.DUMMYFUNCTION("""COMPUTED_VALUE"""),"Sim")</f>
        <v>Sim</v>
      </c>
      <c r="AC66" s="27">
        <f ca="1">IFERROR(__xludf.DUMMYFUNCTION("""COMPUTED_VALUE"""),2)</f>
        <v>2</v>
      </c>
      <c r="AD66" s="27">
        <f ca="1">IFERROR(__xludf.DUMMYFUNCTION("""COMPUTED_VALUE"""),5)</f>
        <v>5</v>
      </c>
      <c r="AE66" s="27">
        <f ca="1">IFERROR(__xludf.DUMMYFUNCTION("""COMPUTED_VALUE"""),5)</f>
        <v>5</v>
      </c>
      <c r="AF66" s="27">
        <f ca="1">IFERROR(__xludf.DUMMYFUNCTION("""COMPUTED_VALUE"""),3)</f>
        <v>3</v>
      </c>
      <c r="AG66" s="27">
        <f ca="1">IFERROR(__xludf.DUMMYFUNCTION("""COMPUTED_VALUE"""),2)</f>
        <v>2</v>
      </c>
      <c r="AH66" s="27" t="str">
        <f ca="1">IFERROR(__xludf.DUMMYFUNCTION("""COMPUTED_VALUE"""),"Editais, Doações")</f>
        <v>Editais, Doações</v>
      </c>
      <c r="AI66" s="27" t="str">
        <f ca="1">IFERROR(__xludf.DUMMYFUNCTION("""COMPUTED_VALUE"""),"50% EDITAIS, 50% DOAÇOES")</f>
        <v>50% EDITAIS, 50% DOAÇOES</v>
      </c>
      <c r="AJ66" s="27" t="str">
        <f ca="1">IFERROR(__xludf.DUMMYFUNCTION("""COMPUTED_VALUE"""),"Vamos iniciar esse ano")</f>
        <v>Vamos iniciar esse ano</v>
      </c>
      <c r="AK66" s="27"/>
      <c r="AL66" s="21" t="str">
        <f ca="1">IFERROR(__xludf.DUMMYFUNCTION("""COMPUTED_VALUE"""),"0034X0000380O1F")</f>
        <v>0034X0000380O1F</v>
      </c>
      <c r="AM66" s="27" t="str">
        <f ca="1">IFERROR(__xludf.DUMMYFUNCTION("""COMPUTED_VALUE"""),"Ferreira de lisboa filho")</f>
        <v>Ferreira de lisboa filho</v>
      </c>
      <c r="AN66" s="27" t="str">
        <f ca="1">IFERROR(__xludf.DUMMYFUNCTION("""COMPUTED_VALUE"""),"Ativo")</f>
        <v>Ativo</v>
      </c>
      <c r="AO66" s="29">
        <f ca="1">IFERROR(__xludf.DUMMYFUNCTION("""COMPUTED_VALUE"""),44763)</f>
        <v>44763</v>
      </c>
      <c r="AP66" s="27">
        <f ca="1">IFERROR(__xludf.DUMMYFUNCTION("""COMPUTED_VALUE"""),2)</f>
        <v>2</v>
      </c>
      <c r="AQ66" s="27" t="str">
        <f ca="1">IFERROR(__xludf.DUMMYFUNCTION("""COMPUTED_VALUE"""),"Primeiro Semestre 2022")</f>
        <v>Primeiro Semestre 2022</v>
      </c>
      <c r="AR66" s="27" t="str">
        <f ca="1">IFERROR(__xludf.DUMMYFUNCTION("""COMPUTED_VALUE"""),"lisboadomingos75@gmail.com")</f>
        <v>lisboadomingos75@gmail.com</v>
      </c>
      <c r="AS66" s="27" t="str">
        <f ca="1">IFERROR(__xludf.DUMMYFUNCTION("""COMPUTED_VALUE"""),"(79)99901-3379")</f>
        <v>(79)99901-3379</v>
      </c>
      <c r="AT66" s="29">
        <f ca="1">IFERROR(__xludf.DUMMYFUNCTION("""COMPUTED_VALUE"""),30786)</f>
        <v>30786</v>
      </c>
      <c r="AU66" s="27">
        <f ca="1">IFERROR(__xludf.DUMMYFUNCTION("""COMPUTED_VALUE"""),38)</f>
        <v>38</v>
      </c>
      <c r="AV66" s="27">
        <f ca="1">IFERROR(__xludf.DUMMYFUNCTION("""COMPUTED_VALUE"""),1549916513)</f>
        <v>1549916513</v>
      </c>
      <c r="AW66" s="27">
        <f ca="1">IFERROR(__xludf.DUMMYFUNCTION("""COMPUTED_VALUE"""),30709350)</f>
        <v>30709350</v>
      </c>
      <c r="AX66" s="27"/>
      <c r="AY66" s="27" t="str">
        <f ca="1">IFERROR(__xludf.DUMMYFUNCTION("""COMPUTED_VALUE"""),"CEO, VICE PRESIDENTE")</f>
        <v>CEO, VICE PRESIDENTE</v>
      </c>
      <c r="AZ66" s="27" t="str">
        <f ca="1">IFERROR(__xludf.DUMMYFUNCTION("""COMPUTED_VALUE"""),"M")</f>
        <v>M</v>
      </c>
      <c r="BA66" s="27" t="str">
        <f ca="1">IFERROR(__xludf.DUMMYFUNCTION("""COMPUTED_VALUE"""),"Preta")</f>
        <v>Preta</v>
      </c>
      <c r="BB66" s="27"/>
      <c r="BC66" s="27"/>
      <c r="BD66" s="27" t="str">
        <f ca="1">IFERROR(__xludf.DUMMYFUNCTION("""COMPUTED_VALUE"""),"Domingos Ferreira de Lisboa filho, 38 anos Empreendedor social,  produtor rural, Líder comunitário, CEO do Projeto Prosperar.se, engajado em promover o desenvolvimento socioeconômico sustentável, atuante na busca por projetos, programas e negócios voltado"&amp;"s a famílias em situação de  vulnerabilidade social, o que me motiva e fazer o bem")</f>
        <v>Domingos Ferreira de Lisboa filho, 38 anos Empreendedor social,  produtor rural, Líder comunitário, CEO do Projeto Prosperar.se, engajado em promover o desenvolvimento socioeconômico sustentável, atuante na busca por projetos, programas e negócios voltados a famílias em situação de  vulnerabilidade social, o que me motiva e fazer o bem</v>
      </c>
      <c r="BE66" s="27" t="str">
        <f ca="1">IFERROR(__xludf.DUMMYFUNCTION("""COMPUTED_VALUE"""),"Homem, cisgênero")</f>
        <v>Homem, cisgênero</v>
      </c>
      <c r="BF66" s="27" t="str">
        <f ca="1">IFERROR(__xludf.DUMMYFUNCTION("""COMPUTED_VALUE"""),"Heterossexual")</f>
        <v>Heterossexual</v>
      </c>
      <c r="BG66" s="27" t="str">
        <f ca="1">IFERROR(__xludf.DUMMYFUNCTION("""COMPUTED_VALUE"""),"Ensino Médio - Completo")</f>
        <v>Ensino Médio - Completo</v>
      </c>
      <c r="BH66" s="27" t="str">
        <f ca="1">IFERROR(__xludf.DUMMYFUNCTION("""COMPUTED_VALUE"""),"Público")</f>
        <v>Público</v>
      </c>
      <c r="BI66" s="27"/>
      <c r="BJ66" s="27"/>
      <c r="BK66" s="27" t="str">
        <f ca="1">IFERROR(__xludf.DUMMYFUNCTION("""COMPUTED_VALUE"""),"Povoado Tigre,")</f>
        <v>Povoado Tigre,</v>
      </c>
      <c r="BL66" s="27" t="str">
        <f ca="1">IFERROR(__xludf.DUMMYFUNCTION("""COMPUTED_VALUE"""),"s/n")</f>
        <v>s/n</v>
      </c>
      <c r="BM66" s="27" t="str">
        <f ca="1">IFERROR(__xludf.DUMMYFUNCTION("""COMPUTED_VALUE"""),"zona rural")</f>
        <v>zona rural</v>
      </c>
      <c r="BN66" s="27" t="str">
        <f ca="1">IFERROR(__xludf.DUMMYFUNCTION("""COMPUTED_VALUE"""),"Pacatuba")</f>
        <v>Pacatuba</v>
      </c>
      <c r="BO66" s="27" t="str">
        <f ca="1">IFERROR(__xludf.DUMMYFUNCTION("""COMPUTED_VALUE"""),"49970-000")</f>
        <v>49970-000</v>
      </c>
      <c r="BP66" s="27" t="str">
        <f ca="1">IFERROR(__xludf.DUMMYFUNCTION("""COMPUTED_VALUE"""),"SE")</f>
        <v>SE</v>
      </c>
      <c r="BQ66" s="27" t="str">
        <f ca="1">IFERROR(__xludf.DUMMYFUNCTION("""COMPUTED_VALUE"""),"De 3 até 5 salários mínimos")</f>
        <v>De 3 até 5 salários mínimos</v>
      </c>
      <c r="BR66" s="27" t="str">
        <f ca="1">IFERROR(__xludf.DUMMYFUNCTION("""COMPUTED_VALUE"""),"Trabalho informal, Desempregado")</f>
        <v>Trabalho informal, Desempregado</v>
      </c>
      <c r="BS66" s="27" t="str">
        <f ca="1">IFERROR(__xludf.DUMMYFUNCTION("""COMPUTED_VALUE"""),"Casa própria")</f>
        <v>Casa própria</v>
      </c>
      <c r="BT66" s="27">
        <f ca="1">IFERROR(__xludf.DUMMYFUNCTION("""COMPUTED_VALUE"""),5)</f>
        <v>5</v>
      </c>
      <c r="BU66" s="27" t="str">
        <f ca="1">IFERROR(__xludf.DUMMYFUNCTION("""COMPUTED_VALUE"""),"Não tem")</f>
        <v>Não tem</v>
      </c>
      <c r="BV66" s="27" t="str">
        <f ca="1">IFERROR(__xludf.DUMMYFUNCTION("""COMPUTED_VALUE"""),"Não")</f>
        <v>Não</v>
      </c>
      <c r="BW66" s="27"/>
      <c r="BX66" s="21" t="str">
        <f ca="1">IFERROR(__xludf.DUMMYFUNCTION("""COMPUTED_VALUE"""),"https://instagram.com/domingos_lisboa_?igshid=YmMyMTA2M2Y=")</f>
        <v>https://instagram.com/domingos_lisboa_?igshid=YmMyMTA2M2Y=</v>
      </c>
      <c r="BY66" s="21" t="str">
        <f ca="1">IFERROR(__xludf.DUMMYFUNCTION("""COMPUTED_VALUE"""),"https://drive.google.com/open?id=12bq2yNKMFgFevP4NOtpDE4zTZAdaOs0T")</f>
        <v>https://drive.google.com/open?id=12bq2yNKMFgFevP4NOtpDE4zTZAdaOs0T</v>
      </c>
    </row>
    <row r="67" spans="1:77" ht="12.5" hidden="1" x14ac:dyDescent="0.25">
      <c r="A67" s="21" t="str">
        <f ca="1">IFERROR(__xludf.DUMMYFUNCTION("""COMPUTED_VALUE"""),"0014P00003YSp7mQAD")</f>
        <v>0014P00003YSp7mQAD</v>
      </c>
      <c r="B67" s="27" t="str">
        <f ca="1">IFERROR(__xludf.DUMMYFUNCTION("""COMPUTED_VALUE"""),"Fase Inicial")</f>
        <v>Fase Inicial</v>
      </c>
      <c r="C67" s="27" t="str">
        <f ca="1">IFERROR(__xludf.DUMMYFUNCTION("""COMPUTED_VALUE"""),"Fellow")</f>
        <v>Fellow</v>
      </c>
      <c r="D67" s="27" t="str">
        <f ca="1">IFERROR(__xludf.DUMMYFUNCTION("""COMPUTED_VALUE"""),"Ativo")</f>
        <v>Ativo</v>
      </c>
      <c r="E67" s="27" t="str">
        <f ca="1">IFERROR(__xludf.DUMMYFUNCTION("""COMPUTED_VALUE"""),"Associação de Capoeira Muleki é Tu")</f>
        <v>Associação de Capoeira Muleki é Tu</v>
      </c>
      <c r="F67" s="27" t="str">
        <f ca="1">IFERROR(__xludf.DUMMYFUNCTION("""COMPUTED_VALUE"""),"Jorgenei")</f>
        <v>Jorgenei</v>
      </c>
      <c r="G67" s="27"/>
      <c r="H67" s="27" t="str">
        <f ca="1">IFERROR(__xludf.DUMMYFUNCTION("""COMPUTED_VALUE"""),"09.393.245/0001-09")</f>
        <v>09.393.245/0001-09</v>
      </c>
      <c r="I67" s="27" t="str">
        <f ca="1">IFERROR(__xludf.DUMMYFUNCTION("""COMPUTED_VALUE"""),"Cecilia Genevieve Thomaz")</f>
        <v>Cecilia Genevieve Thomaz</v>
      </c>
      <c r="J67" s="27" t="str">
        <f ca="1">IFERROR(__xludf.DUMMYFUNCTION("""COMPUTED_VALUE"""),"mulekietu@otmail.com")</f>
        <v>mulekietu@otmail.com</v>
      </c>
      <c r="K67" s="27" t="str">
        <f ca="1">IFERROR(__xludf.DUMMYFUNCTION("""COMPUTED_VALUE"""),"(71)99401-2220")</f>
        <v>(71)99401-2220</v>
      </c>
      <c r="L67" s="27" t="str">
        <f ca="1">IFERROR(__xludf.DUMMYFUNCTION("""COMPUTED_VALUE"""),"BA")</f>
        <v>BA</v>
      </c>
      <c r="M67" s="27" t="str">
        <f ca="1">IFERROR(__xludf.DUMMYFUNCTION("""COMPUTED_VALUE"""),"Praça da Aclamação")</f>
        <v>Praça da Aclamação</v>
      </c>
      <c r="N67" s="27" t="str">
        <f ca="1">IFERROR(__xludf.DUMMYFUNCTION("""COMPUTED_VALUE"""),"Centro histórico")</f>
        <v>Centro histórico</v>
      </c>
      <c r="O67" s="27">
        <f ca="1">IFERROR(__xludf.DUMMYFUNCTION("""COMPUTED_VALUE"""),1)</f>
        <v>1</v>
      </c>
      <c r="P67" s="27" t="str">
        <f ca="1">IFERROR(__xludf.DUMMYFUNCTION("""COMPUTED_VALUE"""),"Cachoeira")</f>
        <v>Cachoeira</v>
      </c>
      <c r="Q67" s="27" t="str">
        <f ca="1">IFERROR(__xludf.DUMMYFUNCTION("""COMPUTED_VALUE"""),"1º Andar")</f>
        <v>1º Andar</v>
      </c>
      <c r="R67" s="27" t="str">
        <f ca="1">IFERROR(__xludf.DUMMYFUNCTION("""COMPUTED_VALUE"""),"44300-000")</f>
        <v>44300-000</v>
      </c>
      <c r="S67" s="27"/>
      <c r="T67" s="27" t="str">
        <f ca="1">IFERROR(__xludf.DUMMYFUNCTION("""COMPUTED_VALUE"""),"Esporte; Educação; Empregabilidade; Cultura; Empreendedorismo; Negócios Sociais; Defesa de Direitos")</f>
        <v>Esporte; Educação; Empregabilidade; Cultura; Empreendedorismo; Negócios Sociais; Defesa de Direitos</v>
      </c>
      <c r="U67"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67" s="27" t="str">
        <f ca="1">IFERROR(__xludf.DUMMYFUNCTION("""COMPUTED_VALUE"""),"Moradores de Favelas; Pessoas em situação de rua; População LGBTQ+; Povos Indígenas; Quilombola; Afrodescendentes; Dependentes Químicos; Pessoas com Deficiência; Egressos sistema carcerário; Imigrantes; Refugiados; Ribeirinhos; Comunidade rural; Outros")</f>
        <v>Moradores de Favelas; Pessoas em situação de rua; População LGBTQ+; Povos Indígenas; Quilombola; Afrodescendentes; Dependentes Químicos; Pessoas com Deficiência; Egressos sistema carcerário; Imigrantes; Refugiados; Ribeirinhos; Comunidade rural; Outros</v>
      </c>
      <c r="W67" s="27">
        <f ca="1">IFERROR(__xludf.DUMMYFUNCTION("""COMPUTED_VALUE"""),20)</f>
        <v>20</v>
      </c>
      <c r="X67" s="27"/>
      <c r="Y67" s="27"/>
      <c r="Z67" s="27">
        <f ca="1">IFERROR(__xludf.DUMMYFUNCTION("""COMPUTED_VALUE"""),5000)</f>
        <v>5000</v>
      </c>
      <c r="AA67" s="29">
        <f ca="1">IFERROR(__xludf.DUMMYFUNCTION("""COMPUTED_VALUE"""),38728)</f>
        <v>38728</v>
      </c>
      <c r="AB67" s="27" t="str">
        <f ca="1">IFERROR(__xludf.DUMMYFUNCTION("""COMPUTED_VALUE"""),"Sim")</f>
        <v>Sim</v>
      </c>
      <c r="AC67" s="27">
        <f ca="1">IFERROR(__xludf.DUMMYFUNCTION("""COMPUTED_VALUE"""),5)</f>
        <v>5</v>
      </c>
      <c r="AD67" s="27">
        <f ca="1">IFERROR(__xludf.DUMMYFUNCTION("""COMPUTED_VALUE"""),10)</f>
        <v>10</v>
      </c>
      <c r="AE67" s="27">
        <f ca="1">IFERROR(__xludf.DUMMYFUNCTION("""COMPUTED_VALUE"""),6)</f>
        <v>6</v>
      </c>
      <c r="AF67" s="27">
        <f ca="1">IFERROR(__xludf.DUMMYFUNCTION("""COMPUTED_VALUE"""),12)</f>
        <v>12</v>
      </c>
      <c r="AG67" s="27">
        <f ca="1">IFERROR(__xludf.DUMMYFUNCTION("""COMPUTED_VALUE"""),4)</f>
        <v>4</v>
      </c>
      <c r="AH67" s="27" t="str">
        <f ca="1">IFERROR(__xludf.DUMMYFUNCTION("""COMPUTED_VALUE"""),"Recursos próprios")</f>
        <v>Recursos próprios</v>
      </c>
      <c r="AI67" s="31">
        <f ca="1">IFERROR(__xludf.DUMMYFUNCTION("""COMPUTED_VALUE"""),0.1)</f>
        <v>0.1</v>
      </c>
      <c r="AJ67" s="27"/>
      <c r="AK67" s="27"/>
      <c r="AL67" s="21" t="str">
        <f ca="1">IFERROR(__xludf.DUMMYFUNCTION("""COMPUTED_VALUE"""),"0034P000045kxiN")</f>
        <v>0034P000045kxiN</v>
      </c>
      <c r="AM67" s="27" t="str">
        <f ca="1">IFERROR(__xludf.DUMMYFUNCTION("""COMPUTED_VALUE"""),"Gomes Dos Santos")</f>
        <v>Gomes Dos Santos</v>
      </c>
      <c r="AN67" s="27" t="str">
        <f ca="1">IFERROR(__xludf.DUMMYFUNCTION("""COMPUTED_VALUE"""),"Ativo")</f>
        <v>Ativo</v>
      </c>
      <c r="AO67" s="30">
        <f ca="1">IFERROR(__xludf.DUMMYFUNCTION("""COMPUTED_VALUE"""),44551)</f>
        <v>44551</v>
      </c>
      <c r="AP67" s="27">
        <f ca="1">IFERROR(__xludf.DUMMYFUNCTION("""COMPUTED_VALUE"""),9)</f>
        <v>9</v>
      </c>
      <c r="AQ67" s="27" t="str">
        <f ca="1">IFERROR(__xludf.DUMMYFUNCTION("""COMPUTED_VALUE"""),"Segundo Semestre 2021")</f>
        <v>Segundo Semestre 2021</v>
      </c>
      <c r="AR67" s="27" t="str">
        <f ca="1">IFERROR(__xludf.DUMMYFUNCTION("""COMPUTED_VALUE"""),"neipontao@gmail.com")</f>
        <v>neipontao@gmail.com</v>
      </c>
      <c r="AS67" s="27" t="str">
        <f ca="1">IFERROR(__xludf.DUMMYFUNCTION("""COMPUTED_VALUE"""),"(71)99401-2220")</f>
        <v>(71)99401-2220</v>
      </c>
      <c r="AT67" s="30">
        <f ca="1">IFERROR(__xludf.DUMMYFUNCTION("""COMPUTED_VALUE"""),29878)</f>
        <v>29878</v>
      </c>
      <c r="AU67" s="27">
        <f ca="1">IFERROR(__xludf.DUMMYFUNCTION("""COMPUTED_VALUE"""),41)</f>
        <v>41</v>
      </c>
      <c r="AV67" s="27">
        <f ca="1">IFERROR(__xludf.DUMMYFUNCTION("""COMPUTED_VALUE"""),590014536)</f>
        <v>590014536</v>
      </c>
      <c r="AW67" s="27">
        <f ca="1">IFERROR(__xludf.DUMMYFUNCTION("""COMPUTED_VALUE"""),533376890)</f>
        <v>533376890</v>
      </c>
      <c r="AX67" s="27"/>
      <c r="AY67" s="27"/>
      <c r="AZ67" s="27" t="str">
        <f ca="1">IFERROR(__xludf.DUMMYFUNCTION("""COMPUTED_VALUE"""),"M")</f>
        <v>M</v>
      </c>
      <c r="BA67" s="27" t="str">
        <f ca="1">IFERROR(__xludf.DUMMYFUNCTION("""COMPUTED_VALUE"""),"Preta")</f>
        <v>Preta</v>
      </c>
      <c r="BB67" s="27" t="str">
        <f ca="1">IFERROR(__xludf.DUMMYFUNCTION("""COMPUTED_VALUE"""),"Homem, transgênero")</f>
        <v>Homem, transgênero</v>
      </c>
      <c r="BC67" s="27" t="str">
        <f ca="1">IFERROR(__xludf.DUMMYFUNCTION("""COMPUTED_VALUE"""),"Sim")</f>
        <v>Sim</v>
      </c>
      <c r="BD67" s="27" t="str">
        <f ca="1">IFERROR(__xludf.DUMMYFUNCTION("""COMPUTED_VALUE"""),"Nei Pontão 
Fundador e Coordenador do Ponto de Cultura do Estado da Bahia Muleki é Tu / Fundador, Vocalista e Cavaquinista da Banda Samba de Criol²o / Produtor Cultural / Músico Multi-instrumentista / Produtor Fonográfico / Compositor / Professor de Capoe"&amp;"ira / Representante do Grupo de Capoeira Ginga Mundo na Cidade de Cachoeira / Idealizador do Nzila Keuala - Capoeira e outras Manifestações Culturais, 1 curinga e 4 Damas, Música de Boteco / Coordenador de 3 Turnês Internacionais / Kambondu")</f>
        <v>Nei Pontão 
Fundador e Coordenador do Ponto de Cultura do Estado da Bahia Muleki é Tu / Fundador, Vocalista e Cavaquinista da Banda Samba de Criol²o / Produtor Cultural / Músico Multi-instrumentista / Produtor Fonográfico / Compositor / Professor de Capoeira / Representante do Grupo de Capoeira Ginga Mundo na Cidade de Cachoeira / Idealizador do Nzila Keuala - Capoeira e outras Manifestações Culturais, 1 curinga e 4 Damas, Música de Boteco / Coordenador de 3 Turnês Internacionais / Kambondu</v>
      </c>
      <c r="BE67" s="27"/>
      <c r="BF67" s="27" t="str">
        <f ca="1">IFERROR(__xludf.DUMMYFUNCTION("""COMPUTED_VALUE"""),"Heterossexual")</f>
        <v>Heterossexual</v>
      </c>
      <c r="BG67" s="27" t="str">
        <f ca="1">IFERROR(__xludf.DUMMYFUNCTION("""COMPUTED_VALUE"""),"Ensino Médio - Incompleto")</f>
        <v>Ensino Médio - Incompleto</v>
      </c>
      <c r="BH67" s="27" t="str">
        <f ca="1">IFERROR(__xludf.DUMMYFUNCTION("""COMPUTED_VALUE"""),"Pública")</f>
        <v>Pública</v>
      </c>
      <c r="BI67" s="27"/>
      <c r="BJ67" s="27"/>
      <c r="BK67" s="27" t="str">
        <f ca="1">IFERROR(__xludf.DUMMYFUNCTION("""COMPUTED_VALUE"""),"26 de Junho")</f>
        <v>26 de Junho</v>
      </c>
      <c r="BL67" s="27">
        <f ca="1">IFERROR(__xludf.DUMMYFUNCTION("""COMPUTED_VALUE"""),21)</f>
        <v>21</v>
      </c>
      <c r="BM67" s="27" t="str">
        <f ca="1">IFERROR(__xludf.DUMMYFUNCTION("""COMPUTED_VALUE"""),"Fabrica de Marmore")</f>
        <v>Fabrica de Marmore</v>
      </c>
      <c r="BN67" s="27" t="str">
        <f ca="1">IFERROR(__xludf.DUMMYFUNCTION("""COMPUTED_VALUE"""),"Cachoeira")</f>
        <v>Cachoeira</v>
      </c>
      <c r="BO67" s="27" t="str">
        <f ca="1">IFERROR(__xludf.DUMMYFUNCTION("""COMPUTED_VALUE"""),"44300-000")</f>
        <v>44300-000</v>
      </c>
      <c r="BP67" s="27" t="str">
        <f ca="1">IFERROR(__xludf.DUMMYFUNCTION("""COMPUTED_VALUE"""),"BA")</f>
        <v>BA</v>
      </c>
      <c r="BQ67" s="27" t="str">
        <f ca="1">IFERROR(__xludf.DUMMYFUNCTION("""COMPUTED_VALUE"""),"Entre 1 até 3 salários mínimos")</f>
        <v>Entre 1 até 3 salários mínimos</v>
      </c>
      <c r="BR67" s="27" t="str">
        <f ca="1">IFERROR(__xludf.DUMMYFUNCTION("""COMPUTED_VALUE"""),"CLT")</f>
        <v>CLT</v>
      </c>
      <c r="BS67" s="27" t="str">
        <f ca="1">IFERROR(__xludf.DUMMYFUNCTION("""COMPUTED_VALUE"""),"Casa própria")</f>
        <v>Casa própria</v>
      </c>
      <c r="BT67" s="27">
        <f ca="1">IFERROR(__xludf.DUMMYFUNCTION("""COMPUTED_VALUE"""),3)</f>
        <v>3</v>
      </c>
      <c r="BU67" s="27" t="str">
        <f ca="1">IFERROR(__xludf.DUMMYFUNCTION("""COMPUTED_VALUE"""),"Não tem")</f>
        <v>Não tem</v>
      </c>
      <c r="BV67" s="27"/>
      <c r="BW67" s="21" t="str">
        <f ca="1">IFERROR(__xludf.DUMMYFUNCTION("""COMPUTED_VALUE"""),"https://br.linkedin.com/in/nei-pont%C3%A3o-4745453b")</f>
        <v>https://br.linkedin.com/in/nei-pont%C3%A3o-4745453b</v>
      </c>
      <c r="BX67" s="21" t="str">
        <f ca="1">IFERROR(__xludf.DUMMYFUNCTION("""COMPUTED_VALUE"""),"https://www.instagram.com/neipontao/")</f>
        <v>https://www.instagram.com/neipontao/</v>
      </c>
      <c r="BY67" s="21" t="str">
        <f ca="1">IFERROR(__xludf.DUMMYFUNCTION("""COMPUTED_VALUE"""),"https://drive.google.com/open?id=1XKgrKR1BGz63HlSzzh56Z8OCaWRwZ6Bj")</f>
        <v>https://drive.google.com/open?id=1XKgrKR1BGz63HlSzzh56Z8OCaWRwZ6Bj</v>
      </c>
    </row>
    <row r="68" spans="1:77" ht="12.5" hidden="1" x14ac:dyDescent="0.25">
      <c r="A68" s="21" t="str">
        <f ca="1">IFERROR(__xludf.DUMMYFUNCTION("""COMPUTED_VALUE"""),"0014P00003YSp83QAD")</f>
        <v>0014P00003YSp83QAD</v>
      </c>
      <c r="B68" s="27" t="str">
        <f ca="1">IFERROR(__xludf.DUMMYFUNCTION("""COMPUTED_VALUE"""),"Fase Inicial")</f>
        <v>Fase Inicial</v>
      </c>
      <c r="C68" s="27" t="str">
        <f ca="1">IFERROR(__xludf.DUMMYFUNCTION("""COMPUTED_VALUE"""),"Fellow")</f>
        <v>Fellow</v>
      </c>
      <c r="D68" s="27" t="str">
        <f ca="1">IFERROR(__xludf.DUMMYFUNCTION("""COMPUTED_VALUE"""),"Ativo")</f>
        <v>Ativo</v>
      </c>
      <c r="E68" s="27" t="str">
        <f ca="1">IFERROR(__xludf.DUMMYFUNCTION("""COMPUTED_VALUE"""),"Associação de Cultura e Artes Casa de Bambas")</f>
        <v>Associação de Cultura e Artes Casa de Bambas</v>
      </c>
      <c r="F68" s="27" t="str">
        <f ca="1">IFERROR(__xludf.DUMMYFUNCTION("""COMPUTED_VALUE"""),"Janaina")</f>
        <v>Janaina</v>
      </c>
      <c r="G68" s="27"/>
      <c r="H68" s="27" t="str">
        <f ca="1">IFERROR(__xludf.DUMMYFUNCTION("""COMPUTED_VALUE"""),"37.648.198/0001-24")</f>
        <v>37.648.198/0001-24</v>
      </c>
      <c r="I68" s="27" t="str">
        <f ca="1">IFERROR(__xludf.DUMMYFUNCTION("""COMPUTED_VALUE"""),"José Romildo dos Santos")</f>
        <v>José Romildo dos Santos</v>
      </c>
      <c r="J68" s="27" t="str">
        <f ca="1">IFERROR(__xludf.DUMMYFUNCTION("""COMPUTED_VALUE"""),"aca.casadebambas@gmail.com")</f>
        <v>aca.casadebambas@gmail.com</v>
      </c>
      <c r="K68" s="27" t="str">
        <f ca="1">IFERROR(__xludf.DUMMYFUNCTION("""COMPUTED_VALUE"""),"(21)99591-5803")</f>
        <v>(21)99591-5803</v>
      </c>
      <c r="L68" s="27" t="str">
        <f ca="1">IFERROR(__xludf.DUMMYFUNCTION("""COMPUTED_VALUE"""),"RJ")</f>
        <v>RJ</v>
      </c>
      <c r="M68" s="27" t="str">
        <f ca="1">IFERROR(__xludf.DUMMYFUNCTION("""COMPUTED_VALUE"""),"Rua Clio")</f>
        <v>Rua Clio</v>
      </c>
      <c r="N68" s="27" t="str">
        <f ca="1">IFERROR(__xludf.DUMMYFUNCTION("""COMPUTED_VALUE"""),"Cordovil")</f>
        <v>Cordovil</v>
      </c>
      <c r="O68" s="27">
        <f ca="1">IFERROR(__xludf.DUMMYFUNCTION("""COMPUTED_VALUE"""),199)</f>
        <v>199</v>
      </c>
      <c r="P68" s="27" t="str">
        <f ca="1">IFERROR(__xludf.DUMMYFUNCTION("""COMPUTED_VALUE"""),"Rio de Janeiro")</f>
        <v>Rio de Janeiro</v>
      </c>
      <c r="Q68" s="27" t="str">
        <f ca="1">IFERROR(__xludf.DUMMYFUNCTION("""COMPUTED_VALUE"""),"Fundos")</f>
        <v>Fundos</v>
      </c>
      <c r="R68" s="27" t="str">
        <f ca="1">IFERROR(__xludf.DUMMYFUNCTION("""COMPUTED_VALUE"""),"21010-170")</f>
        <v>21010-170</v>
      </c>
      <c r="S68" s="27"/>
      <c r="T68" s="27" t="str">
        <f ca="1">IFERROR(__xludf.DUMMYFUNCTION("""COMPUTED_VALUE"""),"Cultura")</f>
        <v>Cultura</v>
      </c>
      <c r="U68"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68" s="27" t="str">
        <f ca="1">IFERROR(__xludf.DUMMYFUNCTION("""COMPUTED_VALUE"""),"Moradores de Favelas; Pessoas em situação de rua")</f>
        <v>Moradores de Favelas; Pessoas em situação de rua</v>
      </c>
      <c r="W68" s="27">
        <f ca="1">IFERROR(__xludf.DUMMYFUNCTION("""COMPUTED_VALUE"""),10)</f>
        <v>10</v>
      </c>
      <c r="X68" s="27" t="str">
        <f ca="1">IFERROR(__xludf.DUMMYFUNCTION("""COMPUTED_VALUE"""),"Atuamos com crianças e adolescentes em vulnerabilidade social priorizando àquelas que estão mais expostas ao trafico.")</f>
        <v>Atuamos com crianças e adolescentes em vulnerabilidade social priorizando àquelas que estão mais expostas ao trafico.</v>
      </c>
      <c r="Y68" s="27"/>
      <c r="Z68" s="27">
        <f ca="1">IFERROR(__xludf.DUMMYFUNCTION("""COMPUTED_VALUE"""),2000)</f>
        <v>2000</v>
      </c>
      <c r="AA68" s="30">
        <f ca="1">IFERROR(__xludf.DUMMYFUNCTION("""COMPUTED_VALUE"""),43822)</f>
        <v>43822</v>
      </c>
      <c r="AB68" s="27" t="str">
        <f ca="1">IFERROR(__xludf.DUMMYFUNCTION("""COMPUTED_VALUE"""),"Sim")</f>
        <v>Sim</v>
      </c>
      <c r="AC68" s="27">
        <f ca="1">IFERROR(__xludf.DUMMYFUNCTION("""COMPUTED_VALUE"""),3)</f>
        <v>3</v>
      </c>
      <c r="AD68" s="27">
        <f ca="1">IFERROR(__xludf.DUMMYFUNCTION("""COMPUTED_VALUE"""),3)</f>
        <v>3</v>
      </c>
      <c r="AE68" s="27">
        <f ca="1">IFERROR(__xludf.DUMMYFUNCTION("""COMPUTED_VALUE"""),12)</f>
        <v>12</v>
      </c>
      <c r="AF68" s="27">
        <f ca="1">IFERROR(__xludf.DUMMYFUNCTION("""COMPUTED_VALUE"""),5)</f>
        <v>5</v>
      </c>
      <c r="AG68" s="27">
        <f ca="1">IFERROR(__xludf.DUMMYFUNCTION("""COMPUTED_VALUE"""),3)</f>
        <v>3</v>
      </c>
      <c r="AH68" s="27" t="str">
        <f ca="1">IFERROR(__xludf.DUMMYFUNCTION("""COMPUTED_VALUE"""),"Editais; Doações; Recursos próprios")</f>
        <v>Editais; Doações; Recursos próprios</v>
      </c>
      <c r="AI68" s="27" t="str">
        <f ca="1">IFERROR(__xludf.DUMMYFUNCTION("""COMPUTED_VALUE"""),"50% doações / 25% recursos próprios / 25% editais")</f>
        <v>50% doações / 25% recursos próprios / 25% editais</v>
      </c>
      <c r="AJ68" s="27"/>
      <c r="AK68" s="27"/>
      <c r="AL68" s="21" t="str">
        <f ca="1">IFERROR(__xludf.DUMMYFUNCTION("""COMPUTED_VALUE"""),"0034P000045kxie")</f>
        <v>0034P000045kxie</v>
      </c>
      <c r="AM68" s="27" t="str">
        <f ca="1">IFERROR(__xludf.DUMMYFUNCTION("""COMPUTED_VALUE"""),"Bemvindo Dos Santos")</f>
        <v>Bemvindo Dos Santos</v>
      </c>
      <c r="AN68" s="27" t="str">
        <f ca="1">IFERROR(__xludf.DUMMYFUNCTION("""COMPUTED_VALUE"""),"Ativo")</f>
        <v>Ativo</v>
      </c>
      <c r="AO68" s="30">
        <f ca="1">IFERROR(__xludf.DUMMYFUNCTION("""COMPUTED_VALUE"""),44551)</f>
        <v>44551</v>
      </c>
      <c r="AP68" s="27">
        <f ca="1">IFERROR(__xludf.DUMMYFUNCTION("""COMPUTED_VALUE"""),9)</f>
        <v>9</v>
      </c>
      <c r="AQ68" s="27" t="str">
        <f ca="1">IFERROR(__xludf.DUMMYFUNCTION("""COMPUTED_VALUE"""),"Segundo Semestre 2021")</f>
        <v>Segundo Semestre 2021</v>
      </c>
      <c r="AR68" s="27" t="str">
        <f ca="1">IFERROR(__xludf.DUMMYFUNCTION("""COMPUTED_VALUE"""),"janainabemvindo@gmail.com")</f>
        <v>janainabemvindo@gmail.com</v>
      </c>
      <c r="AS68" s="27" t="str">
        <f ca="1">IFERROR(__xludf.DUMMYFUNCTION("""COMPUTED_VALUE"""),"(21)99591-5803")</f>
        <v>(21)99591-5803</v>
      </c>
      <c r="AT68" s="30">
        <f ca="1">IFERROR(__xludf.DUMMYFUNCTION("""COMPUTED_VALUE"""),30311)</f>
        <v>30311</v>
      </c>
      <c r="AU68" s="27">
        <f ca="1">IFERROR(__xludf.DUMMYFUNCTION("""COMPUTED_VALUE"""),40)</f>
        <v>40</v>
      </c>
      <c r="AV68" s="27">
        <f ca="1">IFERROR(__xludf.DUMMYFUNCTION("""COMPUTED_VALUE"""),9168799764)</f>
        <v>9168799764</v>
      </c>
      <c r="AW68" s="27" t="str">
        <f ca="1">IFERROR(__xludf.DUMMYFUNCTION("""COMPUTED_VALUE"""),"13191554-8")</f>
        <v>13191554-8</v>
      </c>
      <c r="AX68" s="27"/>
      <c r="AY68" s="27"/>
      <c r="AZ68" s="27" t="str">
        <f ca="1">IFERROR(__xludf.DUMMYFUNCTION("""COMPUTED_VALUE"""),"M")</f>
        <v>M</v>
      </c>
      <c r="BA68" s="27" t="str">
        <f ca="1">IFERROR(__xludf.DUMMYFUNCTION("""COMPUTED_VALUE"""),"Preta")</f>
        <v>Preta</v>
      </c>
      <c r="BB68" s="27" t="str">
        <f ca="1">IFERROR(__xludf.DUMMYFUNCTION("""COMPUTED_VALUE"""),"Mulher, cisgênero")</f>
        <v>Mulher, cisgênero</v>
      </c>
      <c r="BC68" s="27" t="str">
        <f ca="1">IFERROR(__xludf.DUMMYFUNCTION("""COMPUTED_VALUE"""),"Sim")</f>
        <v>Sim</v>
      </c>
      <c r="BD68" s="27" t="str">
        <f ca="1">IFERROR(__xludf.DUMMYFUNCTION("""COMPUTED_VALUE"""),"Sou Janaina Bemvindo, mas gosto ser chamada de Jana! 
Carioca da gema, mãe do Antônio, da Inae e da Hellen, esposa do Romildo (Mestre Jagunço), capoeirista, entusiasta da cultura popular brasileira, jornalista , gestora de RH e Produtora Cultural por form"&amp;"ação e empreendedora social por um propósito.
Já comandei uma autorizada de uma grande Empresa Telecom, mas encontrei meu lugar ao me por na gestão de uma organização social. Este trabalho me completa!")</f>
        <v>Sou Janaina Bemvindo, mas gosto ser chamada de Jana! 
Carioca da gema, mãe do Antônio, da Inae e da Hellen, esposa do Romildo (Mestre Jagunço), capoeirista, entusiasta da cultura popular brasileira, jornalista , gestora de RH e Produtora Cultural por formação e empreendedora social por um propósito.
Já comandei uma autorizada de uma grande Empresa Telecom, mas encontrei meu lugar ao me por na gestão de uma organização social. Este trabalho me completa!</v>
      </c>
      <c r="BE68" s="27"/>
      <c r="BF68" s="27" t="str">
        <f ca="1">IFERROR(__xludf.DUMMYFUNCTION("""COMPUTED_VALUE"""),"Heterossexual")</f>
        <v>Heterossexual</v>
      </c>
      <c r="BG68" s="27" t="str">
        <f ca="1">IFERROR(__xludf.DUMMYFUNCTION("""COMPUTED_VALUE"""),"Ensino Superior - Completo")</f>
        <v>Ensino Superior - Completo</v>
      </c>
      <c r="BH68" s="27" t="str">
        <f ca="1">IFERROR(__xludf.DUMMYFUNCTION("""COMPUTED_VALUE"""),"Privado")</f>
        <v>Privado</v>
      </c>
      <c r="BI68" s="27" t="str">
        <f ca="1">IFERROR(__xludf.DUMMYFUNCTION("""COMPUTED_VALUE"""),"Graduação")</f>
        <v>Graduação</v>
      </c>
      <c r="BJ68" s="27" t="str">
        <f ca="1">IFERROR(__xludf.DUMMYFUNCTION("""COMPUTED_VALUE"""),"Privado")</f>
        <v>Privado</v>
      </c>
      <c r="BK68" s="27" t="str">
        <f ca="1">IFERROR(__xludf.DUMMYFUNCTION("""COMPUTED_VALUE"""),"Estrada do Porto Velho")</f>
        <v>Estrada do Porto Velho</v>
      </c>
      <c r="BL68" s="27">
        <f ca="1">IFERROR(__xludf.DUMMYFUNCTION("""COMPUTED_VALUE"""),145)</f>
        <v>145</v>
      </c>
      <c r="BM68" s="27"/>
      <c r="BN68" s="27" t="str">
        <f ca="1">IFERROR(__xludf.DUMMYFUNCTION("""COMPUTED_VALUE"""),"Rio de Janeiro")</f>
        <v>Rio de Janeiro</v>
      </c>
      <c r="BO68" s="27" t="str">
        <f ca="1">IFERROR(__xludf.DUMMYFUNCTION("""COMPUTED_VALUE"""),"21012-140")</f>
        <v>21012-140</v>
      </c>
      <c r="BP68" s="27" t="str">
        <f ca="1">IFERROR(__xludf.DUMMYFUNCTION("""COMPUTED_VALUE"""),"RJ")</f>
        <v>RJ</v>
      </c>
      <c r="BQ68" s="27" t="str">
        <f ca="1">IFERROR(__xludf.DUMMYFUNCTION("""COMPUTED_VALUE"""),"Entre 1 até 3 salários mínimos")</f>
        <v>Entre 1 até 3 salários mínimos</v>
      </c>
      <c r="BR68" s="27" t="str">
        <f ca="1">IFERROR(__xludf.DUMMYFUNCTION("""COMPUTED_VALUE"""),"Trabalho informal")</f>
        <v>Trabalho informal</v>
      </c>
      <c r="BS68" s="27" t="str">
        <f ca="1">IFERROR(__xludf.DUMMYFUNCTION("""COMPUTED_VALUE"""),"Aluguel")</f>
        <v>Aluguel</v>
      </c>
      <c r="BT68" s="27">
        <f ca="1">IFERROR(__xludf.DUMMYFUNCTION("""COMPUTED_VALUE"""),5)</f>
        <v>5</v>
      </c>
      <c r="BU68" s="27" t="str">
        <f ca="1">IFERROR(__xludf.DUMMYFUNCTION("""COMPUTED_VALUE"""),"Não tem")</f>
        <v>Não tem</v>
      </c>
      <c r="BV68" s="27"/>
      <c r="BW68" s="27"/>
      <c r="BX68" s="27" t="str">
        <f ca="1">IFERROR(__xludf.DUMMYFUNCTION("""COMPUTED_VALUE"""),"@eujanabemvindo")</f>
        <v>@eujanabemvindo</v>
      </c>
      <c r="BY68" s="21" t="str">
        <f ca="1">IFERROR(__xludf.DUMMYFUNCTION("""COMPUTED_VALUE"""),"https://drive.google.com/open?id=1ciExeS93bvtZmp1KaSLHTt0GX_Dcaoj9")</f>
        <v>https://drive.google.com/open?id=1ciExeS93bvtZmp1KaSLHTt0GX_Dcaoj9</v>
      </c>
    </row>
    <row r="69" spans="1:77" ht="12.5" hidden="1" x14ac:dyDescent="0.25">
      <c r="A69" s="21" t="str">
        <f ca="1">IFERROR(__xludf.DUMMYFUNCTION("""COMPUTED_VALUE"""),"0014P00003SGWQBQA5")</f>
        <v>0014P00003SGWQBQA5</v>
      </c>
      <c r="B69" s="27" t="str">
        <f ca="1">IFERROR(__xludf.DUMMYFUNCTION("""COMPUTED_VALUE"""),"Fase Inicial")</f>
        <v>Fase Inicial</v>
      </c>
      <c r="C69" s="27" t="str">
        <f ca="1">IFERROR(__xludf.DUMMYFUNCTION("""COMPUTED_VALUE"""),"Fellow")</f>
        <v>Fellow</v>
      </c>
      <c r="D69" s="27" t="str">
        <f ca="1">IFERROR(__xludf.DUMMYFUNCTION("""COMPUTED_VALUE"""),"Ativo")</f>
        <v>Ativo</v>
      </c>
      <c r="E69" s="27" t="str">
        <f ca="1">IFERROR(__xludf.DUMMYFUNCTION("""COMPUTED_VALUE"""),"ASSOCIAÇÃO DE EDUCAÇÃO E ARTE")</f>
        <v>ASSOCIAÇÃO DE EDUCAÇÃO E ARTE</v>
      </c>
      <c r="F69" s="27" t="str">
        <f ca="1">IFERROR(__xludf.DUMMYFUNCTION("""COMPUTED_VALUE"""),"Sara")</f>
        <v>Sara</v>
      </c>
      <c r="G69" s="27" t="str">
        <f ca="1">IFERROR(__xludf.DUMMYFUNCTION("""COMPUTED_VALUE"""),"IAMA -EDUCAÇÃO E ARTE")</f>
        <v>IAMA -EDUCAÇÃO E ARTE</v>
      </c>
      <c r="H69" s="27" t="str">
        <f ca="1">IFERROR(__xludf.DUMMYFUNCTION("""COMPUTED_VALUE"""),"28.453.785/0001-68")</f>
        <v>28.453.785/0001-68</v>
      </c>
      <c r="I69" s="27" t="str">
        <f ca="1">IFERROR(__xludf.DUMMYFUNCTION("""COMPUTED_VALUE"""),"Sara Abreu Silva")</f>
        <v>Sara Abreu Silva</v>
      </c>
      <c r="J69" s="27" t="str">
        <f ca="1">IFERROR(__xludf.DUMMYFUNCTION("""COMPUTED_VALUE"""),"iamaoficial2020@gmail.com")</f>
        <v>iamaoficial2020@gmail.com</v>
      </c>
      <c r="K69" s="27" t="str">
        <f ca="1">IFERROR(__xludf.DUMMYFUNCTION("""COMPUTED_VALUE"""),"(98)8756-6267")</f>
        <v>(98)8756-6267</v>
      </c>
      <c r="L69" s="27" t="str">
        <f ca="1">IFERROR(__xludf.DUMMYFUNCTION("""COMPUTED_VALUE"""),"MA")</f>
        <v>MA</v>
      </c>
      <c r="M69" s="27" t="str">
        <f ca="1">IFERROR(__xludf.DUMMYFUNCTION("""COMPUTED_VALUE"""),"Rua 128, Quadra 117 Numero 14")</f>
        <v>Rua 128, Quadra 117 Numero 14</v>
      </c>
      <c r="N69" s="27" t="str">
        <f ca="1">IFERROR(__xludf.DUMMYFUNCTION("""COMPUTED_VALUE"""),"Maiobão")</f>
        <v>Maiobão</v>
      </c>
      <c r="O69" s="27" t="str">
        <f ca="1">IFERROR(__xludf.DUMMYFUNCTION("""COMPUTED_VALUE"""),"(98)98756-6267")</f>
        <v>(98)98756-6267</v>
      </c>
      <c r="P69" s="27" t="str">
        <f ca="1">IFERROR(__xludf.DUMMYFUNCTION("""COMPUTED_VALUE"""),"Paço do Lumiar")</f>
        <v>Paço do Lumiar</v>
      </c>
      <c r="Q69" s="27" t="str">
        <f ca="1">IFERROR(__xludf.DUMMYFUNCTION("""COMPUTED_VALUE"""),"Quadra 117")</f>
        <v>Quadra 117</v>
      </c>
      <c r="R69" s="27" t="str">
        <f ca="1">IFERROR(__xludf.DUMMYFUNCTION("""COMPUTED_VALUE"""),"65130-000")</f>
        <v>65130-000</v>
      </c>
      <c r="S69" s="27" t="str">
        <f ca="1">IFERROR(__xludf.DUMMYFUNCTION("""COMPUTED_VALUE"""),"Praça")</f>
        <v>Praça</v>
      </c>
      <c r="T69" s="27" t="str">
        <f ca="1">IFERROR(__xludf.DUMMYFUNCTION("""COMPUTED_VALUE"""),"Esporte; Educação; Assistência Social; Cultura; Qualificação Profissional; Empreendedorismo; Meio ambiente; Empoderamento Feminino; Negócios Sociais; Defesa de Direitos; Assistência Psicológica; Desenvolvimento comunitário")</f>
        <v>Esporte; Educação; Assistência Social; Cultura; Qualificação Profissional; Empreendedorismo; Meio ambiente; Empoderamento Feminino; Negócios Sociais; Defesa de Direitos; Assistência Psicológica; Desenvolvimento comunitário</v>
      </c>
      <c r="U69" s="27" t="str">
        <f ca="1">IFERROR(__xludf.DUMMYFUNCTION("""COMPUTED_VALUE"""),"Crianças bem pequenas (1 ano e 7 meses até 3 anos e 11 meses); Crianças pequenas (4 anos a 5 anos e 11 meses); Crianças (6 a 12 anos); Adolescentes (12 aos 18 anos)")</f>
        <v>Crianças bem pequenas (1 ano e 7 meses até 3 anos e 11 meses); Crianças pequenas (4 anos a 5 anos e 11 meses); Crianças (6 a 12 anos); Adolescentes (12 aos 18 anos)</v>
      </c>
      <c r="V69" s="27" t="str">
        <f ca="1">IFERROR(__xludf.DUMMYFUNCTION("""COMPUTED_VALUE"""),"Moradores de Favelas; Pessoas em situação de rua; Pessoas com Deficiência; Comunidade rural; Outros")</f>
        <v>Moradores de Favelas; Pessoas em situação de rua; Pessoas com Deficiência; Comunidade rural; Outros</v>
      </c>
      <c r="W69" s="27">
        <f ca="1">IFERROR(__xludf.DUMMYFUNCTION("""COMPUTED_VALUE"""),10)</f>
        <v>10</v>
      </c>
      <c r="X69" s="27"/>
      <c r="Y69" s="27">
        <f ca="1">IFERROR(__xludf.DUMMYFUNCTION("""COMPUTED_VALUE"""),140)</f>
        <v>140</v>
      </c>
      <c r="Z69" s="27">
        <f ca="1">IFERROR(__xludf.DUMMYFUNCTION("""COMPUTED_VALUE"""),773)</f>
        <v>773</v>
      </c>
      <c r="AA69" s="29">
        <f ca="1">IFERROR(__xludf.DUMMYFUNCTION("""COMPUTED_VALUE"""),42947)</f>
        <v>42947</v>
      </c>
      <c r="AB69" s="27" t="str">
        <f ca="1">IFERROR(__xludf.DUMMYFUNCTION("""COMPUTED_VALUE"""),"Sim")</f>
        <v>Sim</v>
      </c>
      <c r="AC69" s="27">
        <f ca="1">IFERROR(__xludf.DUMMYFUNCTION("""COMPUTED_VALUE"""),12)</f>
        <v>12</v>
      </c>
      <c r="AD69" s="27">
        <f ca="1">IFERROR(__xludf.DUMMYFUNCTION("""COMPUTED_VALUE"""),6)</f>
        <v>6</v>
      </c>
      <c r="AE69" s="27">
        <f ca="1">IFERROR(__xludf.DUMMYFUNCTION("""COMPUTED_VALUE"""),12)</f>
        <v>12</v>
      </c>
      <c r="AF69" s="27">
        <f ca="1">IFERROR(__xludf.DUMMYFUNCTION("""COMPUTED_VALUE"""),12)</f>
        <v>12</v>
      </c>
      <c r="AG69" s="27">
        <f ca="1">IFERROR(__xludf.DUMMYFUNCTION("""COMPUTED_VALUE"""),0)</f>
        <v>0</v>
      </c>
      <c r="AH69" s="27" t="str">
        <f ca="1">IFERROR(__xludf.DUMMYFUNCTION("""COMPUTED_VALUE"""),"Editais; Doações")</f>
        <v>Editais; Doações</v>
      </c>
      <c r="AI69" s="27">
        <f ca="1">IFERROR(__xludf.DUMMYFUNCTION("""COMPUTED_VALUE"""),0)</f>
        <v>0</v>
      </c>
      <c r="AJ69" s="27" t="str">
        <f ca="1">IFERROR(__xludf.DUMMYFUNCTION("""COMPUTED_VALUE"""),"Não")</f>
        <v>Não</v>
      </c>
      <c r="AK69" s="27" t="str">
        <f ca="1">IFERROR(__xludf.DUMMYFUNCTION("""COMPUTED_VALUE"""),"Sim")</f>
        <v>Sim</v>
      </c>
      <c r="AL69" s="21" t="str">
        <f ca="1">IFERROR(__xludf.DUMMYFUNCTION("""COMPUTED_VALUE"""),"0034P000043fOoC")</f>
        <v>0034P000043fOoC</v>
      </c>
      <c r="AM69" s="27" t="str">
        <f ca="1">IFERROR(__xludf.DUMMYFUNCTION("""COMPUTED_VALUE"""),"Abreu Silva")</f>
        <v>Abreu Silva</v>
      </c>
      <c r="AN69" s="27" t="str">
        <f ca="1">IFERROR(__xludf.DUMMYFUNCTION("""COMPUTED_VALUE"""),"Ativo")</f>
        <v>Ativo</v>
      </c>
      <c r="AO69" s="29">
        <f ca="1">IFERROR(__xludf.DUMMYFUNCTION("""COMPUTED_VALUE"""),44432)</f>
        <v>44432</v>
      </c>
      <c r="AP69" s="27">
        <f ca="1">IFERROR(__xludf.DUMMYFUNCTION("""COMPUTED_VALUE"""),13)</f>
        <v>13</v>
      </c>
      <c r="AQ69" s="27" t="str">
        <f ca="1">IFERROR(__xludf.DUMMYFUNCTION("""COMPUTED_VALUE"""),"Primeiro Semestre 2021")</f>
        <v>Primeiro Semestre 2021</v>
      </c>
      <c r="AR69" s="27" t="str">
        <f ca="1">IFERROR(__xludf.DUMMYFUNCTION("""COMPUTED_VALUE"""),"saraabreu.2016@gmail.com")</f>
        <v>saraabreu.2016@gmail.com</v>
      </c>
      <c r="AS69" s="27" t="str">
        <f ca="1">IFERROR(__xludf.DUMMYFUNCTION("""COMPUTED_VALUE"""),"(98)98756-6267")</f>
        <v>(98)98756-6267</v>
      </c>
      <c r="AT69" s="29">
        <f ca="1">IFERROR(__xludf.DUMMYFUNCTION("""COMPUTED_VALUE"""),27899)</f>
        <v>27899</v>
      </c>
      <c r="AU69" s="27">
        <f ca="1">IFERROR(__xludf.DUMMYFUNCTION("""COMPUTED_VALUE"""),46)</f>
        <v>46</v>
      </c>
      <c r="AV69" s="27">
        <f ca="1">IFERROR(__xludf.DUMMYFUNCTION("""COMPUTED_VALUE"""),63945541387)</f>
        <v>63945541387</v>
      </c>
      <c r="AW69" s="27">
        <f ca="1">IFERROR(__xludf.DUMMYFUNCTION("""COMPUTED_VALUE"""),198427948)</f>
        <v>198427948</v>
      </c>
      <c r="AX69" s="27" t="str">
        <f ca="1">IFERROR(__xludf.DUMMYFUNCTION("""COMPUTED_VALUE"""),"Pedagogia Psicopedagogia Saúde Mental Assistência Social Na Saúde E Escola")</f>
        <v>Pedagogia Psicopedagogia Saúde Mental Assistência Social Na Saúde E Escola</v>
      </c>
      <c r="AY69" s="27" t="str">
        <f ca="1">IFERROR(__xludf.DUMMYFUNCTION("""COMPUTED_VALUE"""),"Escola Comunitária Professor Cidinho Marques - Diretora")</f>
        <v>Escola Comunitária Professor Cidinho Marques - Diretora</v>
      </c>
      <c r="AZ69" s="27" t="str">
        <f ca="1">IFERROR(__xludf.DUMMYFUNCTION("""COMPUTED_VALUE"""),"M")</f>
        <v>M</v>
      </c>
      <c r="BA69" s="27" t="str">
        <f ca="1">IFERROR(__xludf.DUMMYFUNCTION("""COMPUTED_VALUE"""),"Amarela")</f>
        <v>Amarela</v>
      </c>
      <c r="BB69" s="27"/>
      <c r="BC69" s="27" t="str">
        <f ca="1">IFERROR(__xludf.DUMMYFUNCTION("""COMPUTED_VALUE"""),"Sim")</f>
        <v>Sim</v>
      </c>
      <c r="BD69" s="27" t="str">
        <f ca="1">IFERROR(__xludf.DUMMYFUNCTION("""COMPUTED_VALUE"""),"Sara Abreu Silva 
É Pedagoga, presidente da ONG IAMA-INSTITUTO de APRENDIZAGEM MESSY ABREU
Luta pelo mundo sem desigualdades sociais")</f>
        <v>Sara Abreu Silva 
É Pedagoga, presidente da ONG IAMA-INSTITUTO de APRENDIZAGEM MESSY ABREU
Luta pelo mundo sem desigualdades sociais</v>
      </c>
      <c r="BE69" s="27" t="str">
        <f ca="1">IFERROR(__xludf.DUMMYFUNCTION("""COMPUTED_VALUE"""),"Masculino")</f>
        <v>Masculino</v>
      </c>
      <c r="BF69" s="27" t="str">
        <f ca="1">IFERROR(__xludf.DUMMYFUNCTION("""COMPUTED_VALUE"""),"Heterossexual")</f>
        <v>Heterossexual</v>
      </c>
      <c r="BG69" s="27" t="str">
        <f ca="1">IFERROR(__xludf.DUMMYFUNCTION("""COMPUTED_VALUE"""),"Ensino Superior - Completo")</f>
        <v>Ensino Superior - Completo</v>
      </c>
      <c r="BH69" s="27"/>
      <c r="BI69" s="27" t="str">
        <f ca="1">IFERROR(__xludf.DUMMYFUNCTION("""COMPUTED_VALUE"""),"Pós-Graduação")</f>
        <v>Pós-Graduação</v>
      </c>
      <c r="BJ69" s="27" t="str">
        <f ca="1">IFERROR(__xludf.DUMMYFUNCTION("""COMPUTED_VALUE"""),"Privado")</f>
        <v>Privado</v>
      </c>
      <c r="BK69" s="27" t="str">
        <f ca="1">IFERROR(__xludf.DUMMYFUNCTION("""COMPUTED_VALUE"""),"Rua D Quadra 7")</f>
        <v>Rua D Quadra 7</v>
      </c>
      <c r="BL69" s="27">
        <f ca="1">IFERROR(__xludf.DUMMYFUNCTION("""COMPUTED_VALUE"""),14)</f>
        <v>14</v>
      </c>
      <c r="BM69" s="27"/>
      <c r="BN69" s="27" t="str">
        <f ca="1">IFERROR(__xludf.DUMMYFUNCTION("""COMPUTED_VALUE"""),"Paço do Lumiar")</f>
        <v>Paço do Lumiar</v>
      </c>
      <c r="BO69" s="27" t="str">
        <f ca="1">IFERROR(__xludf.DUMMYFUNCTION("""COMPUTED_VALUE"""),"65130-000")</f>
        <v>65130-000</v>
      </c>
      <c r="BP69" s="27" t="str">
        <f ca="1">IFERROR(__xludf.DUMMYFUNCTION("""COMPUTED_VALUE"""),"MA")</f>
        <v>MA</v>
      </c>
      <c r="BQ69" s="27" t="str">
        <f ca="1">IFERROR(__xludf.DUMMYFUNCTION("""COMPUTED_VALUE"""),"Entre 1 até 3 salários mínimos")</f>
        <v>Entre 1 até 3 salários mínimos</v>
      </c>
      <c r="BR69" s="27" t="str">
        <f ca="1">IFERROR(__xludf.DUMMYFUNCTION("""COMPUTED_VALUE"""),"Funcionário Público; Trabalho informal")</f>
        <v>Funcionário Público; Trabalho informal</v>
      </c>
      <c r="BS69" s="27" t="str">
        <f ca="1">IFERROR(__xludf.DUMMYFUNCTION("""COMPUTED_VALUE"""),"Casa própria")</f>
        <v>Casa própria</v>
      </c>
      <c r="BT69" s="27">
        <f ca="1">IFERROR(__xludf.DUMMYFUNCTION("""COMPUTED_VALUE"""),3)</f>
        <v>3</v>
      </c>
      <c r="BU69" s="27"/>
      <c r="BV69" s="27"/>
      <c r="BW69" s="21" t="str">
        <f ca="1">IFERROR(__xludf.DUMMYFUNCTION("""COMPUTED_VALUE"""),"https://www.instagram.com/p/CQXSEKlHgIM/?utm_medium=copy_link")</f>
        <v>https://www.instagram.com/p/CQXSEKlHgIM/?utm_medium=copy_link</v>
      </c>
      <c r="BX69" s="27" t="str">
        <f ca="1">IFERROR(__xludf.DUMMYFUNCTION("""COMPUTED_VALUE"""),"@oficialiama2022")</f>
        <v>@oficialiama2022</v>
      </c>
      <c r="BY69" s="21" t="str">
        <f ca="1">IFERROR(__xludf.DUMMYFUNCTION("""COMPUTED_VALUE"""),"https://drive.google.com/open?id=1avIcYCsxnm2gukfdoKNyoETt28xSY7oT")</f>
        <v>https://drive.google.com/open?id=1avIcYCsxnm2gukfdoKNyoETt28xSY7oT</v>
      </c>
    </row>
    <row r="70" spans="1:77" ht="12.5" hidden="1" x14ac:dyDescent="0.25">
      <c r="A70" s="21" t="str">
        <f ca="1">IFERROR(__xludf.DUMMYFUNCTION("""COMPUTED_VALUE"""),"0014X00002VKCplQAH")</f>
        <v>0014X00002VKCplQAH</v>
      </c>
      <c r="B70" s="27" t="str">
        <f ca="1">IFERROR(__xludf.DUMMYFUNCTION("""COMPUTED_VALUE"""),"Fase Inicial")</f>
        <v>Fase Inicial</v>
      </c>
      <c r="C70" s="27" t="str">
        <f ca="1">IFERROR(__xludf.DUMMYFUNCTION("""COMPUTED_VALUE"""),"Fellow")</f>
        <v>Fellow</v>
      </c>
      <c r="D70" s="27" t="str">
        <f ca="1">IFERROR(__xludf.DUMMYFUNCTION("""COMPUTED_VALUE"""),"Ativo")</f>
        <v>Ativo</v>
      </c>
      <c r="E70" s="27" t="str">
        <f ca="1">IFERROR(__xludf.DUMMYFUNCTION("""COMPUTED_VALUE"""),"Associação Deficiência Superando Limites - ADESUL")</f>
        <v>Associação Deficiência Superando Limites - ADESUL</v>
      </c>
      <c r="F70" s="27" t="str">
        <f ca="1">IFERROR(__xludf.DUMMYFUNCTION("""COMPUTED_VALUE"""),"Carla")</f>
        <v>Carla</v>
      </c>
      <c r="G70" s="27" t="str">
        <f ca="1">IFERROR(__xludf.DUMMYFUNCTION("""COMPUTED_VALUE"""),"ADESUL")</f>
        <v>ADESUL</v>
      </c>
      <c r="H70" s="27" t="str">
        <f ca="1">IFERROR(__xludf.DUMMYFUNCTION("""COMPUTED_VALUE"""),"23.101.883/0001-21")</f>
        <v>23.101.883/0001-21</v>
      </c>
      <c r="I70" s="27" t="str">
        <f ca="1">IFERROR(__xludf.DUMMYFUNCTION("""COMPUTED_VALUE"""),"Felipe Nogueira Catunda")</f>
        <v>Felipe Nogueira Catunda</v>
      </c>
      <c r="J70" s="27" t="str">
        <f ca="1">IFERROR(__xludf.DUMMYFUNCTION("""COMPUTED_VALUE"""),"adesulceara@adesul.org")</f>
        <v>adesulceara@adesul.org</v>
      </c>
      <c r="K70" s="27" t="str">
        <f ca="1">IFERROR(__xludf.DUMMYFUNCTION("""COMPUTED_VALUE"""),"(85)99217-2837")</f>
        <v>(85)99217-2837</v>
      </c>
      <c r="L70" s="27" t="str">
        <f ca="1">IFERROR(__xludf.DUMMYFUNCTION("""COMPUTED_VALUE"""),"CE")</f>
        <v>CE</v>
      </c>
      <c r="M70" s="27" t="str">
        <f ca="1">IFERROR(__xludf.DUMMYFUNCTION("""COMPUTED_VALUE"""),"Rua 37")</f>
        <v>Rua 37</v>
      </c>
      <c r="N70" s="27" t="str">
        <f ca="1">IFERROR(__xludf.DUMMYFUNCTION("""COMPUTED_VALUE"""),"Conjunto Jereissati")</f>
        <v>Conjunto Jereissati</v>
      </c>
      <c r="O70" s="27">
        <f ca="1">IFERROR(__xludf.DUMMYFUNCTION("""COMPUTED_VALUE"""),140)</f>
        <v>140</v>
      </c>
      <c r="P70" s="27" t="str">
        <f ca="1">IFERROR(__xludf.DUMMYFUNCTION("""COMPUTED_VALUE"""),"Maracanau")</f>
        <v>Maracanau</v>
      </c>
      <c r="Q70" s="27"/>
      <c r="R70" s="27" t="str">
        <f ca="1">IFERROR(__xludf.DUMMYFUNCTION("""COMPUTED_VALUE"""),"61900-630")</f>
        <v>61900-630</v>
      </c>
      <c r="S70" s="27" t="str">
        <f ca="1">IFERROR(__xludf.DUMMYFUNCTION("""COMPUTED_VALUE"""),"Praças, Estádios, clubes, escolas, quadras poliesportiva")</f>
        <v>Praças, Estádios, clubes, escolas, quadras poliesportiva</v>
      </c>
      <c r="T70" s="27"/>
      <c r="U70" s="27" t="str">
        <f ca="1">IFERROR(__xludf.DUMMYFUNCTION("""COMPUTED_VALUE"""),"Crianças (6 a 12 anos), Adolescentes (12 aos 18 anos), Jovens (18 aos 24 anos), Adultos")</f>
        <v>Crianças (6 a 12 anos), Adolescentes (12 aos 18 anos), Jovens (18 aos 24 anos), Adultos</v>
      </c>
      <c r="V70" s="27" t="str">
        <f ca="1">IFERROR(__xludf.DUMMYFUNCTION("""COMPUTED_VALUE"""),"Pessoas com Deficiência")</f>
        <v>Pessoas com Deficiência</v>
      </c>
      <c r="W70" s="27">
        <f ca="1">IFERROR(__xludf.DUMMYFUNCTION("""COMPUTED_VALUE"""),6)</f>
        <v>6</v>
      </c>
      <c r="X70" s="27" t="str">
        <f ca="1">IFERROR(__xludf.DUMMYFUNCTION("""COMPUTED_VALUE"""),"atendemos pessoas com deficiência física* intelectual* sensorial e múltipla")</f>
        <v>atendemos pessoas com deficiência física* intelectual* sensorial e múltipla</v>
      </c>
      <c r="Y70" s="27"/>
      <c r="Z70" s="27">
        <f ca="1">IFERROR(__xludf.DUMMYFUNCTION("""COMPUTED_VALUE"""),500)</f>
        <v>500</v>
      </c>
      <c r="AA70" s="29">
        <f ca="1">IFERROR(__xludf.DUMMYFUNCTION("""COMPUTED_VALUE"""),42195)</f>
        <v>42195</v>
      </c>
      <c r="AB70" s="27" t="str">
        <f ca="1">IFERROR(__xludf.DUMMYFUNCTION("""COMPUTED_VALUE"""),"Sim")</f>
        <v>Sim</v>
      </c>
      <c r="AC70" s="27">
        <f ca="1">IFERROR(__xludf.DUMMYFUNCTION("""COMPUTED_VALUE"""),20)</f>
        <v>20</v>
      </c>
      <c r="AD70" s="27">
        <f ca="1">IFERROR(__xludf.DUMMYFUNCTION("""COMPUTED_VALUE"""),26)</f>
        <v>26</v>
      </c>
      <c r="AE70" s="27">
        <f ca="1">IFERROR(__xludf.DUMMYFUNCTION("""COMPUTED_VALUE"""),8)</f>
        <v>8</v>
      </c>
      <c r="AF70" s="27">
        <f ca="1">IFERROR(__xludf.DUMMYFUNCTION("""COMPUTED_VALUE"""),8)</f>
        <v>8</v>
      </c>
      <c r="AG70" s="27">
        <f ca="1">IFERROR(__xludf.DUMMYFUNCTION("""COMPUTED_VALUE"""),2)</f>
        <v>2</v>
      </c>
      <c r="AH70" s="27" t="str">
        <f ca="1">IFERROR(__xludf.DUMMYFUNCTION("""COMPUTED_VALUE"""),"Lei Estadual do Esporte")</f>
        <v>Lei Estadual do Esporte</v>
      </c>
      <c r="AI70" s="27" t="str">
        <f ca="1">IFERROR(__xludf.DUMMYFUNCTION("""COMPUTED_VALUE"""),"100% Lei estadual do esporte")</f>
        <v>100% Lei estadual do esporte</v>
      </c>
      <c r="AJ70" s="27" t="str">
        <f ca="1">IFERROR(__xludf.DUMMYFUNCTION("""COMPUTED_VALUE"""),"Não")</f>
        <v>Não</v>
      </c>
      <c r="AK70" s="27"/>
      <c r="AL70" s="21" t="str">
        <f ca="1">IFERROR(__xludf.DUMMYFUNCTION("""COMPUTED_VALUE"""),"0034X0000380O1C")</f>
        <v>0034X0000380O1C</v>
      </c>
      <c r="AM70" s="27" t="str">
        <f ca="1">IFERROR(__xludf.DUMMYFUNCTION("""COMPUTED_VALUE"""),"Samya nogueira falcão")</f>
        <v>Samya nogueira falcão</v>
      </c>
      <c r="AN70" s="27" t="str">
        <f ca="1">IFERROR(__xludf.DUMMYFUNCTION("""COMPUTED_VALUE"""),"Ativo")</f>
        <v>Ativo</v>
      </c>
      <c r="AO70" s="29">
        <f ca="1">IFERROR(__xludf.DUMMYFUNCTION("""COMPUTED_VALUE"""),44763)</f>
        <v>44763</v>
      </c>
      <c r="AP70" s="27">
        <f ca="1">IFERROR(__xludf.DUMMYFUNCTION("""COMPUTED_VALUE"""),2)</f>
        <v>2</v>
      </c>
      <c r="AQ70" s="27" t="str">
        <f ca="1">IFERROR(__xludf.DUMMYFUNCTION("""COMPUTED_VALUE"""),"Primeiro Semestre 2022")</f>
        <v>Primeiro Semestre 2022</v>
      </c>
      <c r="AR70" s="27" t="str">
        <f ca="1">IFERROR(__xludf.DUMMYFUNCTION("""COMPUTED_VALUE"""),"ksamyaf@hotmail.com")</f>
        <v>ksamyaf@hotmail.com</v>
      </c>
      <c r="AS70" s="27" t="str">
        <f ca="1">IFERROR(__xludf.DUMMYFUNCTION("""COMPUTED_VALUE"""),"85 98809.3137")</f>
        <v>85 98809.3137</v>
      </c>
      <c r="AT70" s="29">
        <f ca="1">IFERROR(__xludf.DUMMYFUNCTION("""COMPUTED_VALUE"""),29345)</f>
        <v>29345</v>
      </c>
      <c r="AU70" s="27">
        <f ca="1">IFERROR(__xludf.DUMMYFUNCTION("""COMPUTED_VALUE"""),42)</f>
        <v>42</v>
      </c>
      <c r="AV70" s="27">
        <f ca="1">IFERROR(__xludf.DUMMYFUNCTION("""COMPUTED_VALUE"""),79739695353)</f>
        <v>79739695353</v>
      </c>
      <c r="AW70" s="27">
        <f ca="1">IFERROR(__xludf.DUMMYFUNCTION("""COMPUTED_VALUE"""),97002165441)</f>
        <v>97002165441</v>
      </c>
      <c r="AX70" s="27"/>
      <c r="AY70" s="27"/>
      <c r="AZ70" s="27" t="str">
        <f ca="1">IFERROR(__xludf.DUMMYFUNCTION("""COMPUTED_VALUE"""),"P")</f>
        <v>P</v>
      </c>
      <c r="BA70" s="27" t="str">
        <f ca="1">IFERROR(__xludf.DUMMYFUNCTION("""COMPUTED_VALUE"""),"Parda")</f>
        <v>Parda</v>
      </c>
      <c r="BB70" s="27"/>
      <c r="BC70" s="27"/>
      <c r="BD70" s="27" t="str">
        <f ca="1">IFERROR(__xludf.DUMMYFUNCTION("""COMPUTED_VALUE"""),"Sou professora de educação física há mais de 15 anos e me identifiquei com o esporte para pessoa com deficiência ainda na universidade. Durante anos trabalhei em algumas instituições para pessoa com deficiência e em 2018 entrei para a ADESUL* associação q"&amp;"ue trabalha o esporte para as pessoas com deficiência e temos também outras frentes de trabalho como nas áreas da saúde* educação* empregabilidade* serviços sociais e empreendedorismo. Sempre me identifiquei com o terceiro setor como também me preocupo co"&amp;"m as pessoas em situações de vulnerabilidade social* então na nossa associação nos preocupamos também com o entorno dos nossos locais de atividades* ajudamos com cestas* roupas e direcionamento para serviços como BPC* Auxilio emergencial ou outro tipo de "&amp;"bolsa financeira que tenham direito. Atualmente nossa associação atende diretamente mais de 300 pessoas com deficiência e consequentemente melhoramos a vida de toda a família daquela pessoa com deficiência. Hoje sou treinadora de atletismo e voleibol sent"&amp;"ado e trabalhamos com sonhos* sonho de oportunizar as pessoas com deficiência melhores condições de viver em sociedade e também de serem protagonistas das suas próprias histórias.")</f>
        <v>Sou professora de educação física há mais de 15 anos e me identifiquei com o esporte para pessoa com deficiência ainda na universidade. Durante anos trabalhei em algumas instituições para pessoa com deficiência e em 2018 entrei para a ADESUL* associação que trabalha o esporte para as pessoas com deficiência e temos também outras frentes de trabalho como nas áreas da saúde* educação* empregabilidade* serviços sociais e empreendedorismo. Sempre me identifiquei com o terceiro setor como também me preocupo com as pessoas em situações de vulnerabilidade social* então na nossa associação nos preocupamos também com o entorno dos nossos locais de atividades* ajudamos com cestas* roupas e direcionamento para serviços como BPC* Auxilio emergencial ou outro tipo de bolsa financeira que tenham direito. Atualmente nossa associação atende diretamente mais de 300 pessoas com deficiência e consequentemente melhoramos a vida de toda a família daquela pessoa com deficiência. Hoje sou treinadora de atletismo e voleibol sentado e trabalhamos com sonhos* sonho de oportunizar as pessoas com deficiência melhores condições de viver em sociedade e também de serem protagonistas das suas próprias histórias.</v>
      </c>
      <c r="BE70" s="27" t="str">
        <f ca="1">IFERROR(__xludf.DUMMYFUNCTION("""COMPUTED_VALUE"""),"Feminino")</f>
        <v>Feminino</v>
      </c>
      <c r="BF70" s="27" t="str">
        <f ca="1">IFERROR(__xludf.DUMMYFUNCTION("""COMPUTED_VALUE"""),"Homossexual")</f>
        <v>Homossexual</v>
      </c>
      <c r="BG70" s="27"/>
      <c r="BH70" s="27" t="str">
        <f ca="1">IFERROR(__xludf.DUMMYFUNCTION("""COMPUTED_VALUE"""),"Público")</f>
        <v>Público</v>
      </c>
      <c r="BI70" s="27" t="str">
        <f ca="1">IFERROR(__xludf.DUMMYFUNCTION("""COMPUTED_VALUE"""),"Mestrado")</f>
        <v>Mestrado</v>
      </c>
      <c r="BJ70" s="27" t="str">
        <f ca="1">IFERROR(__xludf.DUMMYFUNCTION("""COMPUTED_VALUE"""),"Público")</f>
        <v>Público</v>
      </c>
      <c r="BK70" s="27" t="str">
        <f ca="1">IFERROR(__xludf.DUMMYFUNCTION("""COMPUTED_VALUE"""),"Rua José Cavalcante Sobrinho")</f>
        <v>Rua José Cavalcante Sobrinho</v>
      </c>
      <c r="BL70" s="27">
        <f ca="1">IFERROR(__xludf.DUMMYFUNCTION("""COMPUTED_VALUE"""),120)</f>
        <v>120</v>
      </c>
      <c r="BM70" s="27"/>
      <c r="BN70" s="27"/>
      <c r="BO70" s="27" t="str">
        <f ca="1">IFERROR(__xludf.DUMMYFUNCTION("""COMPUTED_VALUE"""),"60871-640")</f>
        <v>60871-640</v>
      </c>
      <c r="BP70" s="27" t="str">
        <f ca="1">IFERROR(__xludf.DUMMYFUNCTION("""COMPUTED_VALUE"""),"CE")</f>
        <v>CE</v>
      </c>
      <c r="BQ70" s="27" t="str">
        <f ca="1">IFERROR(__xludf.DUMMYFUNCTION("""COMPUTED_VALUE"""),"De 3 até 5 salários mínimos")</f>
        <v>De 3 até 5 salários mínimos</v>
      </c>
      <c r="BR70" s="27" t="str">
        <f ca="1">IFERROR(__xludf.DUMMYFUNCTION("""COMPUTED_VALUE"""),"MEI")</f>
        <v>MEI</v>
      </c>
      <c r="BS70" s="27" t="str">
        <f ca="1">IFERROR(__xludf.DUMMYFUNCTION("""COMPUTED_VALUE"""),"Casa própria")</f>
        <v>Casa própria</v>
      </c>
      <c r="BT70" s="27">
        <f ca="1">IFERROR(__xludf.DUMMYFUNCTION("""COMPUTED_VALUE"""),1)</f>
        <v>1</v>
      </c>
      <c r="BU70" s="27" t="str">
        <f ca="1">IFERROR(__xludf.DUMMYFUNCTION("""COMPUTED_VALUE"""),"Não tem")</f>
        <v>Não tem</v>
      </c>
      <c r="BV70" s="27" t="str">
        <f ca="1">IFERROR(__xludf.DUMMYFUNCTION("""COMPUTED_VALUE"""),"Não")</f>
        <v>Não</v>
      </c>
      <c r="BW70" s="27"/>
      <c r="BX70" s="21" t="str">
        <f ca="1">IFERROR(__xludf.DUMMYFUNCTION("""COMPUTED_VALUE"""),"https://www.instagram.com/carla.samya.f/")</f>
        <v>https://www.instagram.com/carla.samya.f/</v>
      </c>
      <c r="BY70" s="21" t="str">
        <f ca="1">IFERROR(__xludf.DUMMYFUNCTION("""COMPUTED_VALUE"""),"https://drive.google.com/open?id=1Z9_JhppkZ2Wj4c8OIrfad1jLgFYg_3LK")</f>
        <v>https://drive.google.com/open?id=1Z9_JhppkZ2Wj4c8OIrfad1jLgFYg_3LK</v>
      </c>
    </row>
    <row r="71" spans="1:77" ht="12.5" hidden="1" x14ac:dyDescent="0.25">
      <c r="A71" s="21" t="str">
        <f ca="1">IFERROR(__xludf.DUMMYFUNCTION("""COMPUTED_VALUE"""),"0014X00002OEuaoQAD")</f>
        <v>0014X00002OEuaoQAD</v>
      </c>
      <c r="B71" s="27" t="str">
        <f ca="1">IFERROR(__xludf.DUMMYFUNCTION("""COMPUTED_VALUE"""),"Fase Inicial")</f>
        <v>Fase Inicial</v>
      </c>
      <c r="C71" s="27" t="str">
        <f ca="1">IFERROR(__xludf.DUMMYFUNCTION("""COMPUTED_VALUE"""),"Fellow")</f>
        <v>Fellow</v>
      </c>
      <c r="D71" s="27" t="str">
        <f ca="1">IFERROR(__xludf.DUMMYFUNCTION("""COMPUTED_VALUE"""),"Ativo")</f>
        <v>Ativo</v>
      </c>
      <c r="E71" s="27" t="str">
        <f ca="1">IFERROR(__xludf.DUMMYFUNCTION("""COMPUTED_VALUE"""),"Associação de Lazer Esporte Educação e Cultura - LEEC")</f>
        <v>Associação de Lazer Esporte Educação e Cultura - LEEC</v>
      </c>
      <c r="F71" s="27" t="str">
        <f ca="1">IFERROR(__xludf.DUMMYFUNCTION("""COMPUTED_VALUE"""),"Daniele")</f>
        <v>Daniele</v>
      </c>
      <c r="G71" s="27"/>
      <c r="H71" s="27" t="str">
        <f ca="1">IFERROR(__xludf.DUMMYFUNCTION("""COMPUTED_VALUE"""),"11.707.026/0001-90")</f>
        <v>11.707.026/0001-90</v>
      </c>
      <c r="I71" s="27" t="str">
        <f ca="1">IFERROR(__xludf.DUMMYFUNCTION("""COMPUTED_VALUE"""),"Allan Vicente")</f>
        <v>Allan Vicente</v>
      </c>
      <c r="J71" s="27" t="str">
        <f ca="1">IFERROR(__xludf.DUMMYFUNCTION("""COMPUTED_VALUE"""),"organizacaoleec@gmail.com")</f>
        <v>organizacaoleec@gmail.com</v>
      </c>
      <c r="K71" s="27" t="str">
        <f ca="1">IFERROR(__xludf.DUMMYFUNCTION("""COMPUTED_VALUE"""),"(13)99732-8040")</f>
        <v>(13)99732-8040</v>
      </c>
      <c r="L71" s="27" t="str">
        <f ca="1">IFERROR(__xludf.DUMMYFUNCTION("""COMPUTED_VALUE"""),"SP")</f>
        <v>SP</v>
      </c>
      <c r="M71" s="27" t="str">
        <f ca="1">IFERROR(__xludf.DUMMYFUNCTION("""COMPUTED_VALUE"""),"Maria Cristina")</f>
        <v>Maria Cristina</v>
      </c>
      <c r="N71" s="27" t="str">
        <f ca="1">IFERROR(__xludf.DUMMYFUNCTION("""COMPUTED_VALUE"""),"Jd. Casqueiro")</f>
        <v>Jd. Casqueiro</v>
      </c>
      <c r="O71" s="27">
        <f ca="1">IFERROR(__xludf.DUMMYFUNCTION("""COMPUTED_VALUE"""),843)</f>
        <v>843</v>
      </c>
      <c r="P71" s="27" t="str">
        <f ca="1">IFERROR(__xludf.DUMMYFUNCTION("""COMPUTED_VALUE"""),"Cubatão")</f>
        <v>Cubatão</v>
      </c>
      <c r="Q71" s="27" t="str">
        <f ca="1">IFERROR(__xludf.DUMMYFUNCTION("""COMPUTED_VALUE"""),"ap 24 - residencia")</f>
        <v>ap 24 - residencia</v>
      </c>
      <c r="R71" s="27" t="str">
        <f ca="1">IFERROR(__xludf.DUMMYFUNCTION("""COMPUTED_VALUE"""),"11533-160")</f>
        <v>11533-160</v>
      </c>
      <c r="S71" s="27"/>
      <c r="T71" s="27" t="str">
        <f ca="1">IFERROR(__xludf.DUMMYFUNCTION("""COMPUTED_VALUE"""),"Esporte")</f>
        <v>Esporte</v>
      </c>
      <c r="U71" s="27" t="str">
        <f ca="1">IFERROR(__xludf.DUMMYFUNCTION("""COMPUTED_VALUE"""),"Crianças (6 a 12 anos); Adolescentes (12 aos 18 anos); Jovens (18 aos 24 anos); Adultos")</f>
        <v>Crianças (6 a 12 anos); Adolescentes (12 aos 18 anos); Jovens (18 aos 24 anos); Adultos</v>
      </c>
      <c r="V71" s="27" t="str">
        <f ca="1">IFERROR(__xludf.DUMMYFUNCTION("""COMPUTED_VALUE"""),"Moradores de Favelas")</f>
        <v>Moradores de Favelas</v>
      </c>
      <c r="W71" s="27">
        <f ca="1">IFERROR(__xludf.DUMMYFUNCTION("""COMPUTED_VALUE"""),3)</f>
        <v>3</v>
      </c>
      <c r="X71" s="27"/>
      <c r="Y71" s="27"/>
      <c r="Z71" s="27"/>
      <c r="AA71" s="29">
        <f ca="1">IFERROR(__xludf.DUMMYFUNCTION("""COMPUTED_VALUE"""),40454)</f>
        <v>40454</v>
      </c>
      <c r="AB71" s="27" t="str">
        <f ca="1">IFERROR(__xludf.DUMMYFUNCTION("""COMPUTED_VALUE"""),"Sim")</f>
        <v>Sim</v>
      </c>
      <c r="AC71" s="27">
        <f ca="1">IFERROR(__xludf.DUMMYFUNCTION("""COMPUTED_VALUE"""),0)</f>
        <v>0</v>
      </c>
      <c r="AD71" s="27">
        <f ca="1">IFERROR(__xludf.DUMMYFUNCTION("""COMPUTED_VALUE"""),0)</f>
        <v>0</v>
      </c>
      <c r="AE71" s="27">
        <f ca="1">IFERROR(__xludf.DUMMYFUNCTION("""COMPUTED_VALUE"""),8)</f>
        <v>8</v>
      </c>
      <c r="AF71" s="27">
        <f ca="1">IFERROR(__xludf.DUMMYFUNCTION("""COMPUTED_VALUE"""),8)</f>
        <v>8</v>
      </c>
      <c r="AG71" s="27">
        <f ca="1">IFERROR(__xludf.DUMMYFUNCTION("""COMPUTED_VALUE"""),2)</f>
        <v>2</v>
      </c>
      <c r="AH71" s="27" t="str">
        <f ca="1">IFERROR(__xludf.DUMMYFUNCTION("""COMPUTED_VALUE"""),"Eventos/Ações para captação")</f>
        <v>Eventos/Ações para captação</v>
      </c>
      <c r="AI71" s="27">
        <f ca="1">IFERROR(__xludf.DUMMYFUNCTION("""COMPUTED_VALUE"""),0)</f>
        <v>0</v>
      </c>
      <c r="AJ71" s="27"/>
      <c r="AK71" s="27"/>
      <c r="AL71" s="21" t="str">
        <f ca="1">IFERROR(__xludf.DUMMYFUNCTION("""COMPUTED_VALUE"""),"0034X0000315PQx")</f>
        <v>0034X0000315PQx</v>
      </c>
      <c r="AM71" s="27" t="str">
        <f ca="1">IFERROR(__xludf.DUMMYFUNCTION("""COMPUTED_VALUE"""),"Buruaem Moreira")</f>
        <v>Buruaem Moreira</v>
      </c>
      <c r="AN71" s="27" t="str">
        <f ca="1">IFERROR(__xludf.DUMMYFUNCTION("""COMPUTED_VALUE"""),"Ativo")</f>
        <v>Ativo</v>
      </c>
      <c r="AO71" s="30">
        <f ca="1">IFERROR(__xludf.DUMMYFUNCTION("""COMPUTED_VALUE"""),44551)</f>
        <v>44551</v>
      </c>
      <c r="AP71" s="27">
        <f ca="1">IFERROR(__xludf.DUMMYFUNCTION("""COMPUTED_VALUE"""),9)</f>
        <v>9</v>
      </c>
      <c r="AQ71" s="27" t="str">
        <f ca="1">IFERROR(__xludf.DUMMYFUNCTION("""COMPUTED_VALUE"""),"Segundo Semestre 2021")</f>
        <v>Segundo Semestre 2021</v>
      </c>
      <c r="AR71" s="27" t="str">
        <f ca="1">IFERROR(__xludf.DUMMYFUNCTION("""COMPUTED_VALUE"""),"dannyburu@gmail.com")</f>
        <v>dannyburu@gmail.com</v>
      </c>
      <c r="AS71" s="27" t="str">
        <f ca="1">IFERROR(__xludf.DUMMYFUNCTION("""COMPUTED_VALUE"""),"(13)99732-8040")</f>
        <v>(13)99732-8040</v>
      </c>
      <c r="AT71" s="29">
        <f ca="1">IFERROR(__xludf.DUMMYFUNCTION("""COMPUTED_VALUE"""),30042)</f>
        <v>30042</v>
      </c>
      <c r="AU71" s="27">
        <f ca="1">IFERROR(__xludf.DUMMYFUNCTION("""COMPUTED_VALUE"""),40)</f>
        <v>40</v>
      </c>
      <c r="AV71" s="27">
        <f ca="1">IFERROR(__xludf.DUMMYFUNCTION("""COMPUTED_VALUE"""),30541241850)</f>
        <v>30541241850</v>
      </c>
      <c r="AW71" s="27">
        <f ca="1">IFERROR(__xludf.DUMMYFUNCTION("""COMPUTED_VALUE"""),284857324)</f>
        <v>284857324</v>
      </c>
      <c r="AX71" s="27"/>
      <c r="AY71" s="27"/>
      <c r="AZ71" s="27" t="str">
        <f ca="1">IFERROR(__xludf.DUMMYFUNCTION("""COMPUTED_VALUE"""),"M")</f>
        <v>M</v>
      </c>
      <c r="BA71" s="27" t="str">
        <f ca="1">IFERROR(__xludf.DUMMYFUNCTION("""COMPUTED_VALUE"""),"Preta")</f>
        <v>Preta</v>
      </c>
      <c r="BB71" s="27" t="str">
        <f ca="1">IFERROR(__xludf.DUMMYFUNCTION("""COMPUTED_VALUE"""),"Outro(s)")</f>
        <v>Outro(s)</v>
      </c>
      <c r="BC71" s="27" t="str">
        <f ca="1">IFERROR(__xludf.DUMMYFUNCTION("""COMPUTED_VALUE"""),"Não")</f>
        <v>Não</v>
      </c>
      <c r="BD71" s="27" t="str">
        <f ca="1">IFERROR(__xludf.DUMMYFUNCTION("""COMPUTED_VALUE"""),"Empresária, Cubatense, 40 anos sócia fundadora da organização Leec.")</f>
        <v>Empresária, Cubatense, 40 anos sócia fundadora da organização Leec.</v>
      </c>
      <c r="BE71" s="27"/>
      <c r="BF71" s="27" t="str">
        <f ca="1">IFERROR(__xludf.DUMMYFUNCTION("""COMPUTED_VALUE"""),"Heterossexual")</f>
        <v>Heterossexual</v>
      </c>
      <c r="BG71" s="27" t="str">
        <f ca="1">IFERROR(__xludf.DUMMYFUNCTION("""COMPUTED_VALUE"""),"Ensino Superior - Incompleto")</f>
        <v>Ensino Superior - Incompleto</v>
      </c>
      <c r="BH71" s="27" t="str">
        <f ca="1">IFERROR(__xludf.DUMMYFUNCTION("""COMPUTED_VALUE"""),"Privado")</f>
        <v>Privado</v>
      </c>
      <c r="BI71" s="27" t="str">
        <f ca="1">IFERROR(__xludf.DUMMYFUNCTION("""COMPUTED_VALUE"""),"Graduação")</f>
        <v>Graduação</v>
      </c>
      <c r="BJ71" s="27" t="str">
        <f ca="1">IFERROR(__xludf.DUMMYFUNCTION("""COMPUTED_VALUE"""),"Privado")</f>
        <v>Privado</v>
      </c>
      <c r="BK71" s="27" t="str">
        <f ca="1">IFERROR(__xludf.DUMMYFUNCTION("""COMPUTED_VALUE"""),"Rua Maria do Carmo")</f>
        <v>Rua Maria do Carmo</v>
      </c>
      <c r="BL71" s="27">
        <f ca="1">IFERROR(__xludf.DUMMYFUNCTION("""COMPUTED_VALUE"""),843)</f>
        <v>843</v>
      </c>
      <c r="BM71" s="27">
        <f ca="1">IFERROR(__xludf.DUMMYFUNCTION("""COMPUTED_VALUE"""),24)</f>
        <v>24</v>
      </c>
      <c r="BN71" s="27" t="str">
        <f ca="1">IFERROR(__xludf.DUMMYFUNCTION("""COMPUTED_VALUE"""),"Cubatão")</f>
        <v>Cubatão</v>
      </c>
      <c r="BO71" s="27" t="str">
        <f ca="1">IFERROR(__xludf.DUMMYFUNCTION("""COMPUTED_VALUE"""),"11530-040")</f>
        <v>11530-040</v>
      </c>
      <c r="BP71" s="27" t="str">
        <f ca="1">IFERROR(__xludf.DUMMYFUNCTION("""COMPUTED_VALUE"""),"SP")</f>
        <v>SP</v>
      </c>
      <c r="BQ71" s="27" t="str">
        <f ca="1">IFERROR(__xludf.DUMMYFUNCTION("""COMPUTED_VALUE"""),"De 3 até 5 salários mínimos")</f>
        <v>De 3 até 5 salários mínimos</v>
      </c>
      <c r="BR71" s="27"/>
      <c r="BS71" s="27" t="str">
        <f ca="1">IFERROR(__xludf.DUMMYFUNCTION("""COMPUTED_VALUE"""),"Casa própria")</f>
        <v>Casa própria</v>
      </c>
      <c r="BT71" s="27">
        <f ca="1">IFERROR(__xludf.DUMMYFUNCTION("""COMPUTED_VALUE"""),1)</f>
        <v>1</v>
      </c>
      <c r="BU71" s="27"/>
      <c r="BV71" s="27" t="str">
        <f ca="1">IFERROR(__xludf.DUMMYFUNCTION("""COMPUTED_VALUE"""),"Intolerância a lactose")</f>
        <v>Intolerância a lactose</v>
      </c>
      <c r="BW71" s="21" t="str">
        <f ca="1">IFERROR(__xludf.DUMMYFUNCTION("""COMPUTED_VALUE"""),"https://www.linkedin.com/in/danyburu")</f>
        <v>https://www.linkedin.com/in/danyburu</v>
      </c>
      <c r="BX71" s="21" t="str">
        <f ca="1">IFERROR(__xludf.DUMMYFUNCTION("""COMPUTED_VALUE"""),"https://www.instagram.com/danyburu")</f>
        <v>https://www.instagram.com/danyburu</v>
      </c>
      <c r="BY71" s="21" t="str">
        <f ca="1">IFERROR(__xludf.DUMMYFUNCTION("""COMPUTED_VALUE"""),"https://drive.google.com/open?id=1ytSSF_6lXRM9WwPNS8Tj06WwhDxuGH4V")</f>
        <v>https://drive.google.com/open?id=1ytSSF_6lXRM9WwPNS8Tj06WwhDxuGH4V</v>
      </c>
    </row>
    <row r="72" spans="1:77" ht="12.5" hidden="1" x14ac:dyDescent="0.25">
      <c r="A72" s="21" t="str">
        <f ca="1">IFERROR(__xludf.DUMMYFUNCTION("""COMPUTED_VALUE"""),"0014X00002VKCsIQAX")</f>
        <v>0014X00002VKCsIQAX</v>
      </c>
      <c r="B72" s="27" t="str">
        <f ca="1">IFERROR(__xludf.DUMMYFUNCTION("""COMPUTED_VALUE"""),"Fase Inicial")</f>
        <v>Fase Inicial</v>
      </c>
      <c r="C72" s="27" t="str">
        <f ca="1">IFERROR(__xludf.DUMMYFUNCTION("""COMPUTED_VALUE"""),"Fellow")</f>
        <v>Fellow</v>
      </c>
      <c r="D72" s="27" t="str">
        <f ca="1">IFERROR(__xludf.DUMMYFUNCTION("""COMPUTED_VALUE"""),"Ativo")</f>
        <v>Ativo</v>
      </c>
      <c r="E72" s="27" t="str">
        <f ca="1">IFERROR(__xludf.DUMMYFUNCTION("""COMPUTED_VALUE"""),"Associação de Moradores da Rua Travassos")</f>
        <v>Associação de Moradores da Rua Travassos</v>
      </c>
      <c r="F72" s="27" t="str">
        <f ca="1">IFERROR(__xludf.DUMMYFUNCTION("""COMPUTED_VALUE"""),"Alex")</f>
        <v>Alex</v>
      </c>
      <c r="G72" s="27" t="str">
        <f ca="1">IFERROR(__xludf.DUMMYFUNCTION("""COMPUTED_VALUE"""),"NAIF-NÚCLEO DE APOIO INTEGRAL A FAMÍLIA")</f>
        <v>NAIF-NÚCLEO DE APOIO INTEGRAL A FAMÍLIA</v>
      </c>
      <c r="H72" s="27" t="str">
        <f ca="1">IFERROR(__xludf.DUMMYFUNCTION("""COMPUTED_VALUE"""),"07.880.831/0001-44")</f>
        <v>07.880.831/0001-44</v>
      </c>
      <c r="I72" s="27" t="str">
        <f ca="1">IFERROR(__xludf.DUMMYFUNCTION("""COMPUTED_VALUE"""),"Alex Pereira de Souza")</f>
        <v>Alex Pereira de Souza</v>
      </c>
      <c r="J72" s="27" t="str">
        <f ca="1">IFERROR(__xludf.DUMMYFUNCTION("""COMPUTED_VALUE"""),"adm@institutonaif.org")</f>
        <v>adm@institutonaif.org</v>
      </c>
      <c r="K72" s="27" t="str">
        <f ca="1">IFERROR(__xludf.DUMMYFUNCTION("""COMPUTED_VALUE"""),"(21)97991-0227")</f>
        <v>(21)97991-0227</v>
      </c>
      <c r="L72" s="27" t="str">
        <f ca="1">IFERROR(__xludf.DUMMYFUNCTION("""COMPUTED_VALUE"""),"RJ")</f>
        <v>RJ</v>
      </c>
      <c r="M72" s="27" t="str">
        <f ca="1">IFERROR(__xludf.DUMMYFUNCTION("""COMPUTED_VALUE"""),"Rua Edgar Aquino Duarte")</f>
        <v>Rua Edgar Aquino Duarte</v>
      </c>
      <c r="N72" s="27" t="str">
        <f ca="1">IFERROR(__xludf.DUMMYFUNCTION("""COMPUTED_VALUE"""),"Paciência")</f>
        <v>Paciência</v>
      </c>
      <c r="O72" s="27">
        <f ca="1">IFERROR(__xludf.DUMMYFUNCTION("""COMPUTED_VALUE"""),79)</f>
        <v>79</v>
      </c>
      <c r="P72" s="27" t="str">
        <f ca="1">IFERROR(__xludf.DUMMYFUNCTION("""COMPUTED_VALUE"""),"Rio de Janeiro")</f>
        <v>Rio de Janeiro</v>
      </c>
      <c r="Q72" s="27" t="str">
        <f ca="1">IFERROR(__xludf.DUMMYFUNCTION("""COMPUTED_VALUE"""),"Urucânia")</f>
        <v>Urucânia</v>
      </c>
      <c r="R72" s="27" t="str">
        <f ca="1">IFERROR(__xludf.DUMMYFUNCTION("""COMPUTED_VALUE"""),"23573-210")</f>
        <v>23573-210</v>
      </c>
      <c r="S72" s="27"/>
      <c r="T72" s="27"/>
      <c r="U72"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72" s="27" t="str">
        <f ca="1">IFERROR(__xludf.DUMMYFUNCTION("""COMPUTED_VALUE"""),"Moradores de Favelas, Dependentes Químicos")</f>
        <v>Moradores de Favelas, Dependentes Químicos</v>
      </c>
      <c r="W72" s="27">
        <f ca="1">IFERROR(__xludf.DUMMYFUNCTION("""COMPUTED_VALUE"""),2)</f>
        <v>2</v>
      </c>
      <c r="X72" s="27" t="str">
        <f ca="1">IFERROR(__xludf.DUMMYFUNCTION("""COMPUTED_VALUE"""),"Trabalhamos com prevenção de suicídio")</f>
        <v>Trabalhamos com prevenção de suicídio</v>
      </c>
      <c r="Y72" s="27"/>
      <c r="Z72" s="27">
        <f ca="1">IFERROR(__xludf.DUMMYFUNCTION("""COMPUTED_VALUE"""),890)</f>
        <v>890</v>
      </c>
      <c r="AA72" s="29">
        <f ca="1">IFERROR(__xludf.DUMMYFUNCTION("""COMPUTED_VALUE"""),38755)</f>
        <v>38755</v>
      </c>
      <c r="AB72" s="27" t="str">
        <f ca="1">IFERROR(__xludf.DUMMYFUNCTION("""COMPUTED_VALUE"""),"Sim")</f>
        <v>Sim</v>
      </c>
      <c r="AC72" s="27">
        <f ca="1">IFERROR(__xludf.DUMMYFUNCTION("""COMPUTED_VALUE"""),0)</f>
        <v>0</v>
      </c>
      <c r="AD72" s="27">
        <f ca="1">IFERROR(__xludf.DUMMYFUNCTION("""COMPUTED_VALUE"""),4)</f>
        <v>4</v>
      </c>
      <c r="AE72" s="27">
        <f ca="1">IFERROR(__xludf.DUMMYFUNCTION("""COMPUTED_VALUE"""),4)</f>
        <v>4</v>
      </c>
      <c r="AF72" s="27">
        <f ca="1">IFERROR(__xludf.DUMMYFUNCTION("""COMPUTED_VALUE"""),2)</f>
        <v>2</v>
      </c>
      <c r="AG72" s="27">
        <f ca="1">IFERROR(__xludf.DUMMYFUNCTION("""COMPUTED_VALUE"""),1)</f>
        <v>1</v>
      </c>
      <c r="AH72" s="27" t="str">
        <f ca="1">IFERROR(__xludf.DUMMYFUNCTION("""COMPUTED_VALUE"""),"Recursos próprios")</f>
        <v>Recursos próprios</v>
      </c>
      <c r="AI72" s="27">
        <f ca="1">IFERROR(__xludf.DUMMYFUNCTION("""COMPUTED_VALUE"""),0)</f>
        <v>0</v>
      </c>
      <c r="AJ72" s="27" t="str">
        <f ca="1">IFERROR(__xludf.DUMMYFUNCTION("""COMPUTED_VALUE"""),"Vamos iniciar esse ano")</f>
        <v>Vamos iniciar esse ano</v>
      </c>
      <c r="AK72" s="27"/>
      <c r="AL72" s="21" t="str">
        <f ca="1">IFERROR(__xludf.DUMMYFUNCTION("""COMPUTED_VALUE"""),"0034X0000380O13")</f>
        <v>0034X0000380O13</v>
      </c>
      <c r="AM72" s="27" t="str">
        <f ca="1">IFERROR(__xludf.DUMMYFUNCTION("""COMPUTED_VALUE"""),"Pereira de souza")</f>
        <v>Pereira de souza</v>
      </c>
      <c r="AN72" s="27" t="str">
        <f ca="1">IFERROR(__xludf.DUMMYFUNCTION("""COMPUTED_VALUE"""),"Ativo")</f>
        <v>Ativo</v>
      </c>
      <c r="AO72" s="29">
        <f ca="1">IFERROR(__xludf.DUMMYFUNCTION("""COMPUTED_VALUE"""),44763)</f>
        <v>44763</v>
      </c>
      <c r="AP72" s="27">
        <f ca="1">IFERROR(__xludf.DUMMYFUNCTION("""COMPUTED_VALUE"""),2)</f>
        <v>2</v>
      </c>
      <c r="AQ72" s="27" t="str">
        <f ca="1">IFERROR(__xludf.DUMMYFUNCTION("""COMPUTED_VALUE"""),"Primeiro Semestre 2022")</f>
        <v>Primeiro Semestre 2022</v>
      </c>
      <c r="AR72" s="27" t="str">
        <f ca="1">IFERROR(__xludf.DUMMYFUNCTION("""COMPUTED_VALUE"""),"diretor@institutonaif.org")</f>
        <v>diretor@institutonaif.org</v>
      </c>
      <c r="AS72" s="27" t="str">
        <f ca="1">IFERROR(__xludf.DUMMYFUNCTION("""COMPUTED_VALUE"""),"(21)96672-5979")</f>
        <v>(21)96672-5979</v>
      </c>
      <c r="AT72" s="30">
        <f ca="1">IFERROR(__xludf.DUMMYFUNCTION("""COMPUTED_VALUE"""),28788)</f>
        <v>28788</v>
      </c>
      <c r="AU72" s="27">
        <f ca="1">IFERROR(__xludf.DUMMYFUNCTION("""COMPUTED_VALUE"""),44)</f>
        <v>44</v>
      </c>
      <c r="AV72" s="27">
        <f ca="1">IFERROR(__xludf.DUMMYFUNCTION("""COMPUTED_VALUE"""),5721460784)</f>
        <v>5721460784</v>
      </c>
      <c r="AW72" s="27">
        <f ca="1">IFERROR(__xludf.DUMMYFUNCTION("""COMPUTED_VALUE"""),128618782)</f>
        <v>128618782</v>
      </c>
      <c r="AX72" s="27"/>
      <c r="AY72" s="27" t="str">
        <f ca="1">IFERROR(__xludf.DUMMYFUNCTION("""COMPUTED_VALUE"""),"Diretor Executivo")</f>
        <v>Diretor Executivo</v>
      </c>
      <c r="AZ72" s="27" t="str">
        <f ca="1">IFERROR(__xludf.DUMMYFUNCTION("""COMPUTED_VALUE"""),"GG")</f>
        <v>GG</v>
      </c>
      <c r="BA72" s="27" t="str">
        <f ca="1">IFERROR(__xludf.DUMMYFUNCTION("""COMPUTED_VALUE"""),"Preta")</f>
        <v>Preta</v>
      </c>
      <c r="BB72" s="27"/>
      <c r="BC72" s="27"/>
      <c r="BD72" s="27" t="str">
        <f ca="1">IFERROR(__xludf.DUMMYFUNCTION("""COMPUTED_VALUE"""),"Alex Pereira
Fundador do @institutonaif 
Diretor Executivo e Empreendedor Social")</f>
        <v>Alex Pereira
Fundador do @institutonaif 
Diretor Executivo e Empreendedor Social</v>
      </c>
      <c r="BE72" s="27" t="str">
        <f ca="1">IFERROR(__xludf.DUMMYFUNCTION("""COMPUTED_VALUE"""),"Homem, cisgênero")</f>
        <v>Homem, cisgênero</v>
      </c>
      <c r="BF72" s="27" t="str">
        <f ca="1">IFERROR(__xludf.DUMMYFUNCTION("""COMPUTED_VALUE"""),"Heterossexual")</f>
        <v>Heterossexual</v>
      </c>
      <c r="BG72" s="27" t="str">
        <f ca="1">IFERROR(__xludf.DUMMYFUNCTION("""COMPUTED_VALUE"""),"Ensino Superior - Incompleto")</f>
        <v>Ensino Superior - Incompleto</v>
      </c>
      <c r="BH72" s="27" t="str">
        <f ca="1">IFERROR(__xludf.DUMMYFUNCTION("""COMPUTED_VALUE"""),"Público")</f>
        <v>Público</v>
      </c>
      <c r="BI72" s="27" t="str">
        <f ca="1">IFERROR(__xludf.DUMMYFUNCTION("""COMPUTED_VALUE"""),"Graduação")</f>
        <v>Graduação</v>
      </c>
      <c r="BJ72" s="27" t="str">
        <f ca="1">IFERROR(__xludf.DUMMYFUNCTION("""COMPUTED_VALUE"""),"Público")</f>
        <v>Público</v>
      </c>
      <c r="BK72" s="27" t="str">
        <f ca="1">IFERROR(__xludf.DUMMYFUNCTION("""COMPUTED_VALUE"""),"Rua Edgar Aquino Duarte")</f>
        <v>Rua Edgar Aquino Duarte</v>
      </c>
      <c r="BL72" s="27">
        <f ca="1">IFERROR(__xludf.DUMMYFUNCTION("""COMPUTED_VALUE"""),95)</f>
        <v>95</v>
      </c>
      <c r="BM72" s="27" t="str">
        <f ca="1">IFERROR(__xludf.DUMMYFUNCTION("""COMPUTED_VALUE"""),"Urucânia")</f>
        <v>Urucânia</v>
      </c>
      <c r="BN72" s="27" t="str">
        <f ca="1">IFERROR(__xludf.DUMMYFUNCTION("""COMPUTED_VALUE"""),"Rio de Janeiro")</f>
        <v>Rio de Janeiro</v>
      </c>
      <c r="BO72" s="27" t="str">
        <f ca="1">IFERROR(__xludf.DUMMYFUNCTION("""COMPUTED_VALUE"""),"23573-210")</f>
        <v>23573-210</v>
      </c>
      <c r="BP72" s="27" t="str">
        <f ca="1">IFERROR(__xludf.DUMMYFUNCTION("""COMPUTED_VALUE"""),"RJ")</f>
        <v>RJ</v>
      </c>
      <c r="BQ72" s="27" t="str">
        <f ca="1">IFERROR(__xludf.DUMMYFUNCTION("""COMPUTED_VALUE"""),"Entre 1 até 3 salários mínimos")</f>
        <v>Entre 1 até 3 salários mínimos</v>
      </c>
      <c r="BR72" s="27" t="str">
        <f ca="1">IFERROR(__xludf.DUMMYFUNCTION("""COMPUTED_VALUE"""),"Trabalho informal")</f>
        <v>Trabalho informal</v>
      </c>
      <c r="BS72" s="27" t="str">
        <f ca="1">IFERROR(__xludf.DUMMYFUNCTION("""COMPUTED_VALUE"""),"Aluguel")</f>
        <v>Aluguel</v>
      </c>
      <c r="BT72" s="27">
        <f ca="1">IFERROR(__xludf.DUMMYFUNCTION("""COMPUTED_VALUE"""),2)</f>
        <v>2</v>
      </c>
      <c r="BU72" s="27" t="str">
        <f ca="1">IFERROR(__xludf.DUMMYFUNCTION("""COMPUTED_VALUE"""),"Não tem")</f>
        <v>Não tem</v>
      </c>
      <c r="BV72" s="27" t="str">
        <f ca="1">IFERROR(__xludf.DUMMYFUNCTION("""COMPUTED_VALUE"""),"Não")</f>
        <v>Não</v>
      </c>
      <c r="BW72" s="27"/>
      <c r="BX72" s="27"/>
      <c r="BY72" s="21" t="str">
        <f ca="1">IFERROR(__xludf.DUMMYFUNCTION("""COMPUTED_VALUE"""),"https://drive.google.com/open?id=1eofNdRdJGywYOGiJuT9mypy5nEtT8myB")</f>
        <v>https://drive.google.com/open?id=1eofNdRdJGywYOGiJuT9mypy5nEtT8myB</v>
      </c>
    </row>
    <row r="73" spans="1:77" ht="12.5" hidden="1" x14ac:dyDescent="0.25">
      <c r="A73" s="21" t="str">
        <f ca="1">IFERROR(__xludf.DUMMYFUNCTION("""COMPUTED_VALUE"""),"0014X00002VKCv9QAH")</f>
        <v>0014X00002VKCv9QAH</v>
      </c>
      <c r="B73" s="27" t="str">
        <f ca="1">IFERROR(__xludf.DUMMYFUNCTION("""COMPUTED_VALUE"""),"Fase Inicial")</f>
        <v>Fase Inicial</v>
      </c>
      <c r="C73" s="27" t="str">
        <f ca="1">IFERROR(__xludf.DUMMYFUNCTION("""COMPUTED_VALUE"""),"Fellow")</f>
        <v>Fellow</v>
      </c>
      <c r="D73" s="27" t="str">
        <f ca="1">IFERROR(__xludf.DUMMYFUNCTION("""COMPUTED_VALUE"""),"Ativo")</f>
        <v>Ativo</v>
      </c>
      <c r="E73" s="27" t="str">
        <f ca="1">IFERROR(__xludf.DUMMYFUNCTION("""COMPUTED_VALUE"""),"Associação de Moradores de Monte Cristo")</f>
        <v>Associação de Moradores de Monte Cristo</v>
      </c>
      <c r="F73" s="27" t="str">
        <f ca="1">IFERROR(__xludf.DUMMYFUNCTION("""COMPUTED_VALUE"""),"Silvaneide")</f>
        <v>Silvaneide</v>
      </c>
      <c r="G73" s="27" t="str">
        <f ca="1">IFERROR(__xludf.DUMMYFUNCTION("""COMPUTED_VALUE"""),"ASSOCIAÇÃO DE MORADORES MONTE CRISTO")</f>
        <v>ASSOCIAÇÃO DE MORADORES MONTE CRISTO</v>
      </c>
      <c r="H73" s="27" t="str">
        <f ca="1">IFERROR(__xludf.DUMMYFUNCTION("""COMPUTED_VALUE"""),"21.360.660/0001-53")</f>
        <v>21.360.660/0001-53</v>
      </c>
      <c r="I73" s="27" t="str">
        <f ca="1">IFERROR(__xludf.DUMMYFUNCTION("""COMPUTED_VALUE"""),"SILVANEIDE MARTINS DA SILVA")</f>
        <v>SILVANEIDE MARTINS DA SILVA</v>
      </c>
      <c r="J73" s="27" t="str">
        <f ca="1">IFERROR(__xludf.DUMMYFUNCTION("""COMPUTED_VALUE"""),"associacaomontecristo21@gmail.com")</f>
        <v>associacaomontecristo21@gmail.com</v>
      </c>
      <c r="K73" s="27" t="str">
        <f ca="1">IFERROR(__xludf.DUMMYFUNCTION("""COMPUTED_VALUE"""),"(11)98189-0065")</f>
        <v>(11)98189-0065</v>
      </c>
      <c r="L73" s="27" t="str">
        <f ca="1">IFERROR(__xludf.DUMMYFUNCTION("""COMPUTED_VALUE"""),"SP")</f>
        <v>SP</v>
      </c>
      <c r="M73" s="27" t="str">
        <f ca="1">IFERROR(__xludf.DUMMYFUNCTION("""COMPUTED_VALUE"""),"ERUA MANOEL DE OLIVEIRA RAMOS")</f>
        <v>ERUA MANOEL DE OLIVEIRA RAMOS</v>
      </c>
      <c r="N73" s="27" t="str">
        <f ca="1">IFERROR(__xludf.DUMMYFUNCTION("""COMPUTED_VALUE"""),"CONJUNTO HABITACIONAL SITIO CONCEIÇÃO")</f>
        <v>CONJUNTO HABITACIONAL SITIO CONCEIÇÃO</v>
      </c>
      <c r="O73" s="27">
        <f ca="1">IFERROR(__xludf.DUMMYFUNCTION("""COMPUTED_VALUE"""),322)</f>
        <v>322</v>
      </c>
      <c r="P73" s="27" t="str">
        <f ca="1">IFERROR(__xludf.DUMMYFUNCTION("""COMPUTED_VALUE"""),"SÃO PAULO")</f>
        <v>SÃO PAULO</v>
      </c>
      <c r="Q73" s="27" t="str">
        <f ca="1">IFERROR(__xludf.DUMMYFUNCTION("""COMPUTED_VALUE"""),"A")</f>
        <v>A</v>
      </c>
      <c r="R73" s="27" t="str">
        <f ca="1">IFERROR(__xludf.DUMMYFUNCTION("""COMPUTED_VALUE"""),"08473-050")</f>
        <v>08473-050</v>
      </c>
      <c r="S73" s="27"/>
      <c r="T73" s="27"/>
      <c r="U73" s="27" t="str">
        <f ca="1">IFERROR(__xludf.DUMMYFUNCTION("""COMPUTED_VALUE"""),"Crianças bem pequenas (1 ano e 7 meses até 3 anos e 11 meses), Crianças pequenas (4 anos a 5 anos e 11 meses), Adolescentes (12 aos 18 anos), Jovens (18 aos 24 anos), Adultos, Idosos (60 anos ou mais)")</f>
        <v>Crianças bem pequenas (1 ano e 7 meses até 3 anos e 11 meses), Crianças pequenas (4 anos a 5 anos e 11 meses), Adolescentes (12 aos 18 anos), Jovens (18 aos 24 anos), Adultos, Idosos (60 anos ou mais)</v>
      </c>
      <c r="V73" s="27" t="str">
        <f ca="1">IFERROR(__xludf.DUMMYFUNCTION("""COMPUTED_VALUE"""),"Moradores de Favelas")</f>
        <v>Moradores de Favelas</v>
      </c>
      <c r="W73" s="27">
        <f ca="1">IFERROR(__xludf.DUMMYFUNCTION("""COMPUTED_VALUE"""),2)</f>
        <v>2</v>
      </c>
      <c r="X73" s="27" t="str">
        <f ca="1">IFERROR(__xludf.DUMMYFUNCTION("""COMPUTED_VALUE"""),"Atendemos moradores de rua e pessoas da comunidade que não tem cadastro conosco")</f>
        <v>Atendemos moradores de rua e pessoas da comunidade que não tem cadastro conosco</v>
      </c>
      <c r="Y73" s="27"/>
      <c r="Z73" s="27">
        <f ca="1">IFERROR(__xludf.DUMMYFUNCTION("""COMPUTED_VALUE"""),300)</f>
        <v>300</v>
      </c>
      <c r="AA73" s="29">
        <f ca="1">IFERROR(__xludf.DUMMYFUNCTION("""COMPUTED_VALUE"""),41836)</f>
        <v>41836</v>
      </c>
      <c r="AB73" s="27" t="str">
        <f ca="1">IFERROR(__xludf.DUMMYFUNCTION("""COMPUTED_VALUE"""),"Sim")</f>
        <v>Sim</v>
      </c>
      <c r="AC73" s="27">
        <f ca="1">IFERROR(__xludf.DUMMYFUNCTION("""COMPUTED_VALUE"""),0)</f>
        <v>0</v>
      </c>
      <c r="AD73" s="27">
        <f ca="1">IFERROR(__xludf.DUMMYFUNCTION("""COMPUTED_VALUE"""),3)</f>
        <v>3</v>
      </c>
      <c r="AE73" s="27">
        <f ca="1">IFERROR(__xludf.DUMMYFUNCTION("""COMPUTED_VALUE"""),10)</f>
        <v>10</v>
      </c>
      <c r="AF73" s="27">
        <f ca="1">IFERROR(__xludf.DUMMYFUNCTION("""COMPUTED_VALUE"""),10)</f>
        <v>10</v>
      </c>
      <c r="AG73" s="27">
        <f ca="1">IFERROR(__xludf.DUMMYFUNCTION("""COMPUTED_VALUE"""),4)</f>
        <v>4</v>
      </c>
      <c r="AH73" s="27" t="str">
        <f ca="1">IFERROR(__xludf.DUMMYFUNCTION("""COMPUTED_VALUE"""),"Doações")</f>
        <v>Doações</v>
      </c>
      <c r="AI73" s="27">
        <f ca="1">IFERROR(__xludf.DUMMYFUNCTION("""COMPUTED_VALUE"""),0)</f>
        <v>0</v>
      </c>
      <c r="AJ73" s="27" t="str">
        <f ca="1">IFERROR(__xludf.DUMMYFUNCTION("""COMPUTED_VALUE"""),"Vamos iniciar esse ano")</f>
        <v>Vamos iniciar esse ano</v>
      </c>
      <c r="AK73" s="27"/>
      <c r="AL73" s="21" t="str">
        <f ca="1">IFERROR(__xludf.DUMMYFUNCTION("""COMPUTED_VALUE"""),"0034X0000380O6O")</f>
        <v>0034X0000380O6O</v>
      </c>
      <c r="AM73" s="27" t="str">
        <f ca="1">IFERROR(__xludf.DUMMYFUNCTION("""COMPUTED_VALUE"""),"Martins da silva")</f>
        <v>Martins da silva</v>
      </c>
      <c r="AN73" s="27" t="str">
        <f ca="1">IFERROR(__xludf.DUMMYFUNCTION("""COMPUTED_VALUE"""),"Ativo")</f>
        <v>Ativo</v>
      </c>
      <c r="AO73" s="29">
        <f ca="1">IFERROR(__xludf.DUMMYFUNCTION("""COMPUTED_VALUE"""),44763)</f>
        <v>44763</v>
      </c>
      <c r="AP73" s="27">
        <f ca="1">IFERROR(__xludf.DUMMYFUNCTION("""COMPUTED_VALUE"""),2)</f>
        <v>2</v>
      </c>
      <c r="AQ73" s="27" t="str">
        <f ca="1">IFERROR(__xludf.DUMMYFUNCTION("""COMPUTED_VALUE"""),"Primeiro Semestre 2022")</f>
        <v>Primeiro Semestre 2022</v>
      </c>
      <c r="AR73" s="27" t="str">
        <f ca="1">IFERROR(__xludf.DUMMYFUNCTION("""COMPUTED_VALUE"""),"silvanneidemartins@gmail.com")</f>
        <v>silvanneidemartins@gmail.com</v>
      </c>
      <c r="AS73" s="27" t="str">
        <f ca="1">IFERROR(__xludf.DUMMYFUNCTION("""COMPUTED_VALUE"""),"11 98189-0065")</f>
        <v>11 98189-0065</v>
      </c>
      <c r="AT73" s="30">
        <f ca="1">IFERROR(__xludf.DUMMYFUNCTION("""COMPUTED_VALUE"""),29212)</f>
        <v>29212</v>
      </c>
      <c r="AU73" s="27">
        <f ca="1">IFERROR(__xludf.DUMMYFUNCTION("""COMPUTED_VALUE"""),43)</f>
        <v>43</v>
      </c>
      <c r="AV73" s="27">
        <f ca="1">IFERROR(__xludf.DUMMYFUNCTION("""COMPUTED_VALUE"""),22359094858)</f>
        <v>22359094858</v>
      </c>
      <c r="AW73" s="27" t="str">
        <f ca="1">IFERROR(__xludf.DUMMYFUNCTION("""COMPUTED_VALUE"""),"36.814.321-1")</f>
        <v>36.814.321-1</v>
      </c>
      <c r="AX73" s="27"/>
      <c r="AY73" s="27"/>
      <c r="AZ73" s="27" t="str">
        <f ca="1">IFERROR(__xludf.DUMMYFUNCTION("""COMPUTED_VALUE"""),"M")</f>
        <v>M</v>
      </c>
      <c r="BA73" s="27" t="str">
        <f ca="1">IFERROR(__xludf.DUMMYFUNCTION("""COMPUTED_VALUE"""),"Parda")</f>
        <v>Parda</v>
      </c>
      <c r="BB73" s="27"/>
      <c r="BC73" s="27"/>
      <c r="BD73" s="27" t="str">
        <f ca="1">IFERROR(__xludf.DUMMYFUNCTION("""COMPUTED_VALUE"""),"Tenho como meta na minha vida *ajudar pessoas e tornar aminha comunidade um bom lugar para se viver.")</f>
        <v>Tenho como meta na minha vida *ajudar pessoas e tornar aminha comunidade um bom lugar para se viver.</v>
      </c>
      <c r="BE73" s="27" t="str">
        <f ca="1">IFERROR(__xludf.DUMMYFUNCTION("""COMPUTED_VALUE"""),"Feminino")</f>
        <v>Feminino</v>
      </c>
      <c r="BF73" s="27" t="str">
        <f ca="1">IFERROR(__xludf.DUMMYFUNCTION("""COMPUTED_VALUE"""),"Heterossexual")</f>
        <v>Heterossexual</v>
      </c>
      <c r="BG73" s="27"/>
      <c r="BH73" s="27" t="str">
        <f ca="1">IFERROR(__xludf.DUMMYFUNCTION("""COMPUTED_VALUE"""),"Público")</f>
        <v>Público</v>
      </c>
      <c r="BI73" s="27"/>
      <c r="BJ73" s="27"/>
      <c r="BK73" s="27" t="str">
        <f ca="1">IFERROR(__xludf.DUMMYFUNCTION("""COMPUTED_VALUE"""),"Estrada Manoel de Oliveira Ramos")</f>
        <v>Estrada Manoel de Oliveira Ramos</v>
      </c>
      <c r="BL73" s="27" t="str">
        <f ca="1">IFERROR(__xludf.DUMMYFUNCTION("""COMPUTED_VALUE"""),"322-A")</f>
        <v>322-A</v>
      </c>
      <c r="BM73" s="27"/>
      <c r="BN73" s="27"/>
      <c r="BO73" s="27" t="str">
        <f ca="1">IFERROR(__xludf.DUMMYFUNCTION("""COMPUTED_VALUE"""),"08736-050")</f>
        <v>08736-050</v>
      </c>
      <c r="BP73" s="27" t="str">
        <f ca="1">IFERROR(__xludf.DUMMYFUNCTION("""COMPUTED_VALUE"""),"SP")</f>
        <v>SP</v>
      </c>
      <c r="BQ73" s="27" t="str">
        <f ca="1">IFERROR(__xludf.DUMMYFUNCTION("""COMPUTED_VALUE"""),"Entre 1 até 3 salários mínimos")</f>
        <v>Entre 1 até 3 salários mínimos</v>
      </c>
      <c r="BR73" s="27" t="str">
        <f ca="1">IFERROR(__xludf.DUMMYFUNCTION("""COMPUTED_VALUE"""),"Trabalho informal")</f>
        <v>Trabalho informal</v>
      </c>
      <c r="BS73" s="27" t="str">
        <f ca="1">IFERROR(__xludf.DUMMYFUNCTION("""COMPUTED_VALUE"""),"Casa própria")</f>
        <v>Casa própria</v>
      </c>
      <c r="BT73" s="27">
        <f ca="1">IFERROR(__xludf.DUMMYFUNCTION("""COMPUTED_VALUE"""),3)</f>
        <v>3</v>
      </c>
      <c r="BU73" s="27" t="str">
        <f ca="1">IFERROR(__xludf.DUMMYFUNCTION("""COMPUTED_VALUE"""),"Não tem")</f>
        <v>Não tem</v>
      </c>
      <c r="BV73" s="27" t="str">
        <f ca="1">IFERROR(__xludf.DUMMYFUNCTION("""COMPUTED_VALUE"""),"Não")</f>
        <v>Não</v>
      </c>
      <c r="BW73" s="27"/>
      <c r="BX73" s="27"/>
      <c r="BY73" s="21" t="str">
        <f ca="1">IFERROR(__xludf.DUMMYFUNCTION("""COMPUTED_VALUE"""),"https://drive.google.com/open?id=15bopVaqw2uyOnMBBXcQTw-L-5AEnTxfN")</f>
        <v>https://drive.google.com/open?id=15bopVaqw2uyOnMBBXcQTw-L-5AEnTxfN</v>
      </c>
    </row>
    <row r="74" spans="1:77" ht="12.5" hidden="1" x14ac:dyDescent="0.25">
      <c r="A74" s="21" t="str">
        <f ca="1">IFERROR(__xludf.DUMMYFUNCTION("""COMPUTED_VALUE"""),"0014X00002VKCqjQAH")</f>
        <v>0014X00002VKCqjQAH</v>
      </c>
      <c r="B74" s="27" t="str">
        <f ca="1">IFERROR(__xludf.DUMMYFUNCTION("""COMPUTED_VALUE"""),"Fase Inicial")</f>
        <v>Fase Inicial</v>
      </c>
      <c r="C74" s="27" t="str">
        <f ca="1">IFERROR(__xludf.DUMMYFUNCTION("""COMPUTED_VALUE"""),"Fellow")</f>
        <v>Fellow</v>
      </c>
      <c r="D74" s="27" t="str">
        <f ca="1">IFERROR(__xludf.DUMMYFUNCTION("""COMPUTED_VALUE"""),"Ativo")</f>
        <v>Ativo</v>
      </c>
      <c r="E74" s="27" t="str">
        <f ca="1">IFERROR(__xludf.DUMMYFUNCTION("""COMPUTED_VALUE"""),"Associação de Moradores do Bairro Alvorada")</f>
        <v>Associação de Moradores do Bairro Alvorada</v>
      </c>
      <c r="F74" s="27" t="str">
        <f ca="1">IFERROR(__xludf.DUMMYFUNCTION("""COMPUTED_VALUE"""),"Flaviane")</f>
        <v>Flaviane</v>
      </c>
      <c r="G74" s="27" t="str">
        <f ca="1">IFERROR(__xludf.DUMMYFUNCTION("""COMPUTED_VALUE"""),"ASSOCIAÇÃO DE MORADORES DO BAIRRO ALVORADA")</f>
        <v>ASSOCIAÇÃO DE MORADORES DO BAIRRO ALVORADA</v>
      </c>
      <c r="H74" s="27" t="str">
        <f ca="1">IFERROR(__xludf.DUMMYFUNCTION("""COMPUTED_VALUE"""),"21.238.746/0001-08")</f>
        <v>21.238.746/0001-08</v>
      </c>
      <c r="I74" s="27" t="str">
        <f ca="1">IFERROR(__xludf.DUMMYFUNCTION("""COMPUTED_VALUE"""),"Flaviane Vieira de Oliveira Mendonça")</f>
        <v>Flaviane Vieira de Oliveira Mendonça</v>
      </c>
      <c r="J74" s="27" t="str">
        <f ca="1">IFERROR(__xludf.DUMMYFUNCTION("""COMPUTED_VALUE"""),"diretoriaamba21@gmail.com")</f>
        <v>diretoriaamba21@gmail.com</v>
      </c>
      <c r="K74" s="27" t="str">
        <f ca="1">IFERROR(__xludf.DUMMYFUNCTION("""COMPUTED_VALUE"""),"(34)99695-8816")</f>
        <v>(34)99695-8816</v>
      </c>
      <c r="L74" s="27" t="str">
        <f ca="1">IFERROR(__xludf.DUMMYFUNCTION("""COMPUTED_VALUE"""),"MG")</f>
        <v>MG</v>
      </c>
      <c r="M74" s="27" t="str">
        <f ca="1">IFERROR(__xludf.DUMMYFUNCTION("""COMPUTED_VALUE"""),"Rua Edesio Fernandes de Morais  n 71")</f>
        <v>Rua Edesio Fernandes de Morais  n 71</v>
      </c>
      <c r="N74" s="27" t="str">
        <f ca="1">IFERROR(__xludf.DUMMYFUNCTION("""COMPUTED_VALUE"""),"Alvorada")</f>
        <v>Alvorada</v>
      </c>
      <c r="O74" s="27">
        <f ca="1">IFERROR(__xludf.DUMMYFUNCTION("""COMPUTED_VALUE"""),71)</f>
        <v>71</v>
      </c>
      <c r="P74" s="27" t="str">
        <f ca="1">IFERROR(__xludf.DUMMYFUNCTION("""COMPUTED_VALUE"""),"Uberlândia")</f>
        <v>Uberlândia</v>
      </c>
      <c r="Q74" s="27"/>
      <c r="R74" s="27" t="str">
        <f ca="1">IFERROR(__xludf.DUMMYFUNCTION("""COMPUTED_VALUE"""),"38407-096")</f>
        <v>38407-096</v>
      </c>
      <c r="S74" s="27"/>
      <c r="T74" s="27"/>
      <c r="U74" s="27" t="str">
        <f ca="1">IFERROR(__xludf.DUMMYFUNCTION("""COMPUTED_VALUE"""),"Crianças (6 a 12 anos), Adolescentes (12 aos 18 anos), Jovens (18 aos 24 anos), Adultos, Idosos (60 anos ou mais)")</f>
        <v>Crianças (6 a 12 anos), Adolescentes (12 aos 18 anos), Jovens (18 aos 24 anos), Adultos, Idosos (60 anos ou mais)</v>
      </c>
      <c r="V74" s="27" t="str">
        <f ca="1">IFERROR(__xludf.DUMMYFUNCTION("""COMPUTED_VALUE"""),"Moradores de Favelas, Pessoas em situação de rua, Pessoas com Deficiência")</f>
        <v>Moradores de Favelas, Pessoas em situação de rua, Pessoas com Deficiência</v>
      </c>
      <c r="W74" s="27">
        <f ca="1">IFERROR(__xludf.DUMMYFUNCTION("""COMPUTED_VALUE"""),10)</f>
        <v>10</v>
      </c>
      <c r="X74" s="27" t="str">
        <f ca="1">IFERROR(__xludf.DUMMYFUNCTION("""COMPUTED_VALUE"""),"A muitos anos lutamos junto a comunidade para dar apoio as famílias de vulnerabilidade social mas durante a pandemia diminuiu muito as doações que chegavam até nós por isso agradeço a oportunidade de fazer parte da família gerando falcons para assim junto"&amp;"s darmos continuidade ao atendimento as famílias carentes.")</f>
        <v>A muitos anos lutamos junto a comunidade para dar apoio as famílias de vulnerabilidade social mas durante a pandemia diminuiu muito as doações que chegavam até nós por isso agradeço a oportunidade de fazer parte da família gerando falcons para assim juntos darmos continuidade ao atendimento as famílias carentes.</v>
      </c>
      <c r="Y74" s="27"/>
      <c r="Z74" s="27">
        <f ca="1">IFERROR(__xludf.DUMMYFUNCTION("""COMPUTED_VALUE"""),10)</f>
        <v>10</v>
      </c>
      <c r="AA74" s="29">
        <f ca="1">IFERROR(__xludf.DUMMYFUNCTION("""COMPUTED_VALUE"""),30339)</f>
        <v>30339</v>
      </c>
      <c r="AB74" s="27" t="str">
        <f ca="1">IFERROR(__xludf.DUMMYFUNCTION("""COMPUTED_VALUE"""),"Sim")</f>
        <v>Sim</v>
      </c>
      <c r="AC74" s="27">
        <f ca="1">IFERROR(__xludf.DUMMYFUNCTION("""COMPUTED_VALUE"""),0)</f>
        <v>0</v>
      </c>
      <c r="AD74" s="27">
        <f ca="1">IFERROR(__xludf.DUMMYFUNCTION("""COMPUTED_VALUE"""),4)</f>
        <v>4</v>
      </c>
      <c r="AE74" s="27">
        <f ca="1">IFERROR(__xludf.DUMMYFUNCTION("""COMPUTED_VALUE"""),6)</f>
        <v>6</v>
      </c>
      <c r="AF74" s="27">
        <f ca="1">IFERROR(__xludf.DUMMYFUNCTION("""COMPUTED_VALUE"""),3)</f>
        <v>3</v>
      </c>
      <c r="AG74" s="27">
        <f ca="1">IFERROR(__xludf.DUMMYFUNCTION("""COMPUTED_VALUE"""),5)</f>
        <v>5</v>
      </c>
      <c r="AH74" s="27" t="str">
        <f ca="1">IFERROR(__xludf.DUMMYFUNCTION("""COMPUTED_VALUE"""),"Eventos/Ações para captação, Parceria iniciativa privada, Outro(s), Doações")</f>
        <v>Eventos/Ações para captação, Parceria iniciativa privada, Outro(s), Doações</v>
      </c>
      <c r="AI74" s="27">
        <f ca="1">IFERROR(__xludf.DUMMYFUNCTION("""COMPUTED_VALUE"""),1)</f>
        <v>1</v>
      </c>
      <c r="AJ74" s="27" t="str">
        <f ca="1">IFERROR(__xludf.DUMMYFUNCTION("""COMPUTED_VALUE"""),"Vamos iniciar esse ano")</f>
        <v>Vamos iniciar esse ano</v>
      </c>
      <c r="AK74" s="27"/>
      <c r="AL74" s="21" t="str">
        <f ca="1">IFERROR(__xludf.DUMMYFUNCTION("""COMPUTED_VALUE"""),"0034X0000380O11")</f>
        <v>0034X0000380O11</v>
      </c>
      <c r="AM74" s="27" t="str">
        <f ca="1">IFERROR(__xludf.DUMMYFUNCTION("""COMPUTED_VALUE"""),"Vieira de oliveira mendonça")</f>
        <v>Vieira de oliveira mendonça</v>
      </c>
      <c r="AN74" s="27" t="str">
        <f ca="1">IFERROR(__xludf.DUMMYFUNCTION("""COMPUTED_VALUE"""),"Ativo")</f>
        <v>Ativo</v>
      </c>
      <c r="AO74" s="29">
        <f ca="1">IFERROR(__xludf.DUMMYFUNCTION("""COMPUTED_VALUE"""),44763)</f>
        <v>44763</v>
      </c>
      <c r="AP74" s="27">
        <f ca="1">IFERROR(__xludf.DUMMYFUNCTION("""COMPUTED_VALUE"""),2)</f>
        <v>2</v>
      </c>
      <c r="AQ74" s="27" t="str">
        <f ca="1">IFERROR(__xludf.DUMMYFUNCTION("""COMPUTED_VALUE"""),"Primeiro Semestre 2022")</f>
        <v>Primeiro Semestre 2022</v>
      </c>
      <c r="AR74" s="27" t="str">
        <f ca="1">IFERROR(__xludf.DUMMYFUNCTION("""COMPUTED_VALUE"""),"flavianevo@gmail.com")</f>
        <v>flavianevo@gmail.com</v>
      </c>
      <c r="AS74" s="27">
        <f ca="1">IFERROR(__xludf.DUMMYFUNCTION("""COMPUTED_VALUE"""),34996958816)</f>
        <v>34996958816</v>
      </c>
      <c r="AT74" s="29">
        <f ca="1">IFERROR(__xludf.DUMMYFUNCTION("""COMPUTED_VALUE"""),29867)</f>
        <v>29867</v>
      </c>
      <c r="AU74" s="27">
        <f ca="1">IFERROR(__xludf.DUMMYFUNCTION("""COMPUTED_VALUE"""),41)</f>
        <v>41</v>
      </c>
      <c r="AV74" s="27">
        <f ca="1">IFERROR(__xludf.DUMMYFUNCTION("""COMPUTED_VALUE"""),6006780674)</f>
        <v>6006780674</v>
      </c>
      <c r="AW74" s="27" t="str">
        <f ca="1">IFERROR(__xludf.DUMMYFUNCTION("""COMPUTED_VALUE"""),"MG13.208.499")</f>
        <v>MG13.208.499</v>
      </c>
      <c r="AX74" s="27"/>
      <c r="AY74" s="27"/>
      <c r="AZ74" s="27" t="str">
        <f ca="1">IFERROR(__xludf.DUMMYFUNCTION("""COMPUTED_VALUE"""),"G")</f>
        <v>G</v>
      </c>
      <c r="BA74" s="27" t="str">
        <f ca="1">IFERROR(__xludf.DUMMYFUNCTION("""COMPUTED_VALUE"""),"Branca")</f>
        <v>Branca</v>
      </c>
      <c r="BB74" s="27"/>
      <c r="BC74" s="27"/>
      <c r="BD74" s="27" t="str">
        <f ca="1">IFERROR(__xludf.DUMMYFUNCTION("""COMPUTED_VALUE"""),"Flaviane Vieira nascida em Caratinga-MG no dia 10 de agosto de 1981.Sou a segunda filha de uma família de 3 irmãos* filha de João Vieira Levino (falecido) e Maria Julia de Oliveira Vieira uma família simples que sempre nos ensinou a Amar o próximo como a "&amp;"si mesmo* Casada com Luciano Alves Mendonça a 16 anos tendo uma filha Anna Laura de 13 anos. Ainda na juventude fui líder em vários conselhos estudantis sempre a frente liderando.Com muitas dificuldades após o termino do ensino médio tentei me engreçar na"&amp;" faculdade publica como não tinha muitas condições mas infelizmente não consegui assim fiz a faculdade de Pedagogia na Faculdade Unopar*finalizando fiz uma Pós em Pedagogia Social para atender melhor a nossa comunidade.Sempre me tornando uma liderança na "&amp;"minha comunidade assim fui presidente da Associação dos Moradores do Bairro Alvorada por 2 mandatos após finalizei e estava só com minhas ajudas ao próximo junto da minha família mas a comunidade sempre pedindo para voltar a ser a presidente do bairro* en"&amp;"tão agora em 2021 voltei a ser presidente do bairro onde temos muitas dificuldades após a pandemia com varias famílias passando por dificuldades financeiras e fome* então me vi que precisava estar mas atuante no momento para dar continuidade ao atendiment"&amp;"o as famílias mais necessitadas. Assim me tornando exemplo para muitas mulheres e a toda a comunidade.")</f>
        <v>Flaviane Vieira nascida em Caratinga-MG no dia 10 de agosto de 1981.Sou a segunda filha de uma família de 3 irmãos* filha de João Vieira Levino (falecido) e Maria Julia de Oliveira Vieira uma família simples que sempre nos ensinou a Amar o próximo como a si mesmo* Casada com Luciano Alves Mendonça a 16 anos tendo uma filha Anna Laura de 13 anos. Ainda na juventude fui líder em vários conselhos estudantis sempre a frente liderando.Com muitas dificuldades após o termino do ensino médio tentei me engreçar na faculdade publica como não tinha muitas condições mas infelizmente não consegui assim fiz a faculdade de Pedagogia na Faculdade Unopar*finalizando fiz uma Pós em Pedagogia Social para atender melhor a nossa comunidade.Sempre me tornando uma liderança na minha comunidade assim fui presidente da Associação dos Moradores do Bairro Alvorada por 2 mandatos após finalizei e estava só com minhas ajudas ao próximo junto da minha família mas a comunidade sempre pedindo para voltar a ser a presidente do bairro* então agora em 2021 voltei a ser presidente do bairro onde temos muitas dificuldades após a pandemia com varias famílias passando por dificuldades financeiras e fome* então me vi que precisava estar mas atuante no momento para dar continuidade ao atendimento as famílias mais necessitadas. Assim me tornando exemplo para muitas mulheres e a toda a comunidade.</v>
      </c>
      <c r="BE74" s="27" t="str">
        <f ca="1">IFERROR(__xludf.DUMMYFUNCTION("""COMPUTED_VALUE"""),"Feminino")</f>
        <v>Feminino</v>
      </c>
      <c r="BF74" s="27" t="str">
        <f ca="1">IFERROR(__xludf.DUMMYFUNCTION("""COMPUTED_VALUE"""),"Heterossexual")</f>
        <v>Heterossexual</v>
      </c>
      <c r="BG74" s="27"/>
      <c r="BH74" s="27" t="str">
        <f ca="1">IFERROR(__xludf.DUMMYFUNCTION("""COMPUTED_VALUE"""),"Público")</f>
        <v>Público</v>
      </c>
      <c r="BI74" s="27" t="str">
        <f ca="1">IFERROR(__xludf.DUMMYFUNCTION("""COMPUTED_VALUE"""),"Graduação")</f>
        <v>Graduação</v>
      </c>
      <c r="BJ74" s="27" t="str">
        <f ca="1">IFERROR(__xludf.DUMMYFUNCTION("""COMPUTED_VALUE"""),"Privado")</f>
        <v>Privado</v>
      </c>
      <c r="BK74" s="27" t="str">
        <f ca="1">IFERROR(__xludf.DUMMYFUNCTION("""COMPUTED_VALUE"""),"Rua José Jorge Lemes")</f>
        <v>Rua José Jorge Lemes</v>
      </c>
      <c r="BL74" s="27">
        <f ca="1">IFERROR(__xludf.DUMMYFUNCTION("""COMPUTED_VALUE"""),161)</f>
        <v>161</v>
      </c>
      <c r="BM74" s="27"/>
      <c r="BN74" s="27"/>
      <c r="BO74" s="27" t="str">
        <f ca="1">IFERROR(__xludf.DUMMYFUNCTION("""COMPUTED_VALUE"""),"38407-096")</f>
        <v>38407-096</v>
      </c>
      <c r="BP74" s="27" t="str">
        <f ca="1">IFERROR(__xludf.DUMMYFUNCTION("""COMPUTED_VALUE"""),"MG")</f>
        <v>MG</v>
      </c>
      <c r="BQ74" s="27" t="str">
        <f ca="1">IFERROR(__xludf.DUMMYFUNCTION("""COMPUTED_VALUE"""),"Entre 1 até 3 salários mínimos")</f>
        <v>Entre 1 até 3 salários mínimos</v>
      </c>
      <c r="BR74" s="27" t="str">
        <f ca="1">IFERROR(__xludf.DUMMYFUNCTION("""COMPUTED_VALUE"""),"CLT")</f>
        <v>CLT</v>
      </c>
      <c r="BS74" s="27" t="str">
        <f ca="1">IFERROR(__xludf.DUMMYFUNCTION("""COMPUTED_VALUE"""),"Casa própria")</f>
        <v>Casa própria</v>
      </c>
      <c r="BT74" s="27">
        <f ca="1">IFERROR(__xludf.DUMMYFUNCTION("""COMPUTED_VALUE"""),3)</f>
        <v>3</v>
      </c>
      <c r="BU74" s="27" t="str">
        <f ca="1">IFERROR(__xludf.DUMMYFUNCTION("""COMPUTED_VALUE"""),"Não tem")</f>
        <v>Não tem</v>
      </c>
      <c r="BV74" s="27" t="str">
        <f ca="1">IFERROR(__xludf.DUMMYFUNCTION("""COMPUTED_VALUE"""),"Sim")</f>
        <v>Sim</v>
      </c>
      <c r="BW74" s="27"/>
      <c r="BX74" s="27" t="str">
        <f ca="1">IFERROR(__xludf.DUMMYFUNCTION("""COMPUTED_VALUE"""),"associacao.m.b.alvorada")</f>
        <v>associacao.m.b.alvorada</v>
      </c>
      <c r="BY74" s="21" t="str">
        <f ca="1">IFERROR(__xludf.DUMMYFUNCTION("""COMPUTED_VALUE"""),"https://drive.google.com/open?id=16Rwt9yHGLKMghRSy-Z73wPESlShzmg-a")</f>
        <v>https://drive.google.com/open?id=16Rwt9yHGLKMghRSy-Z73wPESlShzmg-a</v>
      </c>
    </row>
    <row r="75" spans="1:77" ht="12.5" x14ac:dyDescent="0.25">
      <c r="A75" s="21" t="str">
        <f ca="1">IFERROR(__xludf.DUMMYFUNCTION("""COMPUTED_VALUE"""),"0014X00002VKCtqQAH")</f>
        <v>0014X00002VKCtqQAH</v>
      </c>
      <c r="B75" s="27"/>
      <c r="C75" s="27" t="str">
        <f ca="1">IFERROR(__xludf.DUMMYFUNCTION("""COMPUTED_VALUE"""),"Fellow")</f>
        <v>Fellow</v>
      </c>
      <c r="D75" s="27" t="str">
        <f ca="1">IFERROR(__xludf.DUMMYFUNCTION("""COMPUTED_VALUE"""),"Ativo")</f>
        <v>Ativo</v>
      </c>
      <c r="E75" s="27" t="str">
        <f ca="1">IFERROR(__xludf.DUMMYFUNCTION("""COMPUTED_VALUE"""),"Associação de Moradores do Jardim Nemari e Vila Martins")</f>
        <v>Associação de Moradores do Jardim Nemari e Vila Martins</v>
      </c>
      <c r="F75" s="27" t="str">
        <f ca="1">IFERROR(__xludf.DUMMYFUNCTION("""COMPUTED_VALUE"""),"Diego")</f>
        <v>Diego</v>
      </c>
      <c r="G75" s="27" t="str">
        <f ca="1">IFERROR(__xludf.DUMMYFUNCTION("""COMPUTED_VALUE"""),"ASSOCIAÇÃO DOS MORADORES DO JARDIM NEMARI E VILA MARTINS.")</f>
        <v>ASSOCIAÇÃO DOS MORADORES DO JARDIM NEMARI E VILA MARTINS.</v>
      </c>
      <c r="H75" s="27"/>
      <c r="I75" s="27" t="str">
        <f ca="1">IFERROR(__xludf.DUMMYFUNCTION("""COMPUTED_VALUE"""),"Diego Rafael Cordeiro Dambiski")</f>
        <v>Diego Rafael Cordeiro Dambiski</v>
      </c>
      <c r="J75" s="27"/>
      <c r="K75" s="27"/>
      <c r="L75" s="27" t="str">
        <f ca="1">IFERROR(__xludf.DUMMYFUNCTION("""COMPUTED_VALUE"""),"PR")</f>
        <v>PR</v>
      </c>
      <c r="M75" s="27" t="str">
        <f ca="1">IFERROR(__xludf.DUMMYFUNCTION("""COMPUTED_VALUE"""),"Rodovia BR-277")</f>
        <v>Rodovia BR-277</v>
      </c>
      <c r="N75" s="27" t="str">
        <f ca="1">IFERROR(__xludf.DUMMYFUNCTION("""COMPUTED_VALUE"""),"Borda do Campo")</f>
        <v>Borda do Campo</v>
      </c>
      <c r="O75" s="27">
        <f ca="1">IFERROR(__xludf.DUMMYFUNCTION("""COMPUTED_VALUE"""),4)</f>
        <v>4</v>
      </c>
      <c r="P75" s="27" t="str">
        <f ca="1">IFERROR(__xludf.DUMMYFUNCTION("""COMPUTED_VALUE"""),"São José dos Pinhais")</f>
        <v>São José dos Pinhais</v>
      </c>
      <c r="Q75" s="27"/>
      <c r="R75" s="27" t="str">
        <f ca="1">IFERROR(__xludf.DUMMYFUNCTION("""COMPUTED_VALUE"""),"83075-000")</f>
        <v>83075-000</v>
      </c>
      <c r="S75" s="27"/>
      <c r="T75" s="27"/>
      <c r="U75" s="27"/>
      <c r="V75" s="27"/>
      <c r="W75" s="27">
        <f ca="1">IFERROR(__xludf.DUMMYFUNCTION("""COMPUTED_VALUE"""),5)</f>
        <v>5</v>
      </c>
      <c r="X75" s="27"/>
      <c r="Y75" s="27"/>
      <c r="Z75" s="27">
        <f ca="1">IFERROR(__xludf.DUMMYFUNCTION("""COMPUTED_VALUE"""),500)</f>
        <v>500</v>
      </c>
      <c r="AA75" s="30">
        <f ca="1">IFERROR(__xludf.DUMMYFUNCTION("""COMPUTED_VALUE"""),44529)</f>
        <v>44529</v>
      </c>
      <c r="AB75" s="27" t="str">
        <f ca="1">IFERROR(__xludf.DUMMYFUNCTION("""COMPUTED_VALUE"""),"Sim")</f>
        <v>Sim</v>
      </c>
      <c r="AC75" s="27">
        <f ca="1">IFERROR(__xludf.DUMMYFUNCTION("""COMPUTED_VALUE"""),0)</f>
        <v>0</v>
      </c>
      <c r="AD75" s="27"/>
      <c r="AE75" s="27">
        <f ca="1">IFERROR(__xludf.DUMMYFUNCTION("""COMPUTED_VALUE"""),13)</f>
        <v>13</v>
      </c>
      <c r="AF75" s="27"/>
      <c r="AG75" s="27">
        <f ca="1">IFERROR(__xludf.DUMMYFUNCTION("""COMPUTED_VALUE"""),0)</f>
        <v>0</v>
      </c>
      <c r="AH75" s="27"/>
      <c r="AI75" s="27"/>
      <c r="AJ75" s="27"/>
      <c r="AK75" s="27"/>
      <c r="AL75" s="21" t="str">
        <f ca="1">IFERROR(__xludf.DUMMYFUNCTION("""COMPUTED_VALUE"""),"0034X0000380O5d")</f>
        <v>0034X0000380O5d</v>
      </c>
      <c r="AM75" s="27" t="str">
        <f ca="1">IFERROR(__xludf.DUMMYFUNCTION("""COMPUTED_VALUE"""),"Rafael cordeiro dambiski")</f>
        <v>Rafael cordeiro dambiski</v>
      </c>
      <c r="AN75" s="27" t="str">
        <f ca="1">IFERROR(__xludf.DUMMYFUNCTION("""COMPUTED_VALUE"""),"Ativo")</f>
        <v>Ativo</v>
      </c>
      <c r="AO75" s="29">
        <f ca="1">IFERROR(__xludf.DUMMYFUNCTION("""COMPUTED_VALUE"""),44763)</f>
        <v>44763</v>
      </c>
      <c r="AP75" s="27">
        <f ca="1">IFERROR(__xludf.DUMMYFUNCTION("""COMPUTED_VALUE"""),2)</f>
        <v>2</v>
      </c>
      <c r="AQ75" s="27" t="str">
        <f ca="1">IFERROR(__xludf.DUMMYFUNCTION("""COMPUTED_VALUE"""),"Primeiro Semestre 2022")</f>
        <v>Primeiro Semestre 2022</v>
      </c>
      <c r="AR75" s="27" t="str">
        <f ca="1">IFERROR(__xludf.DUMMYFUNCTION("""COMPUTED_VALUE"""),"diego_nemari@outlook.com")</f>
        <v>diego_nemari@outlook.com</v>
      </c>
      <c r="AS75" s="27">
        <f ca="1">IFERROR(__xludf.DUMMYFUNCTION("""COMPUTED_VALUE"""),41987944035)</f>
        <v>41987944035</v>
      </c>
      <c r="AT75" s="29">
        <f ca="1">IFERROR(__xludf.DUMMYFUNCTION("""COMPUTED_VALUE"""),32719)</f>
        <v>32719</v>
      </c>
      <c r="AU75" s="27">
        <f ca="1">IFERROR(__xludf.DUMMYFUNCTION("""COMPUTED_VALUE"""),33)</f>
        <v>33</v>
      </c>
      <c r="AV75" s="27">
        <f ca="1">IFERROR(__xludf.DUMMYFUNCTION("""COMPUTED_VALUE"""),6945898962)</f>
        <v>6945898962</v>
      </c>
      <c r="AW75" s="27">
        <f ca="1">IFERROR(__xludf.DUMMYFUNCTION("""COMPUTED_VALUE"""),100160650)</f>
        <v>100160650</v>
      </c>
      <c r="AX75" s="27"/>
      <c r="AY75" s="27"/>
      <c r="AZ75" s="27" t="str">
        <f ca="1">IFERROR(__xludf.DUMMYFUNCTION("""COMPUTED_VALUE"""),"G")</f>
        <v>G</v>
      </c>
      <c r="BA75" s="27" t="str">
        <f ca="1">IFERROR(__xludf.DUMMYFUNCTION("""COMPUTED_VALUE"""),"Branca")</f>
        <v>Branca</v>
      </c>
      <c r="BB75" s="27"/>
      <c r="BC75" s="27"/>
      <c r="BD75" s="27" t="str">
        <f ca="1">IFERROR(__xludf.DUMMYFUNCTION("""COMPUTED_VALUE"""),"Tenho 32 anos* pai de 5 filhos* sou motorista* estudo Ciências políticas* estou como presidente da associação de moradores do bairro* faça parte de mais alguma projetos* federações e ONG's.")</f>
        <v>Tenho 32 anos* pai de 5 filhos* sou motorista* estudo Ciências políticas* estou como presidente da associação de moradores do bairro* faça parte de mais alguma projetos* federações e ONG's.</v>
      </c>
      <c r="BE75" s="27" t="str">
        <f ca="1">IFERROR(__xludf.DUMMYFUNCTION("""COMPUTED_VALUE"""),"Masculino")</f>
        <v>Masculino</v>
      </c>
      <c r="BF75" s="27" t="str">
        <f ca="1">IFERROR(__xludf.DUMMYFUNCTION("""COMPUTED_VALUE"""),"Heterossexual")</f>
        <v>Heterossexual</v>
      </c>
      <c r="BG75" s="27"/>
      <c r="BH75" s="27" t="str">
        <f ca="1">IFERROR(__xludf.DUMMYFUNCTION("""COMPUTED_VALUE"""),"Público")</f>
        <v>Público</v>
      </c>
      <c r="BI75" s="27" t="str">
        <f ca="1">IFERROR(__xludf.DUMMYFUNCTION("""COMPUTED_VALUE"""),"Graduação")</f>
        <v>Graduação</v>
      </c>
      <c r="BJ75" s="27" t="str">
        <f ca="1">IFERROR(__xludf.DUMMYFUNCTION("""COMPUTED_VALUE"""),"Privado")</f>
        <v>Privado</v>
      </c>
      <c r="BK75" s="27" t="str">
        <f ca="1">IFERROR(__xludf.DUMMYFUNCTION("""COMPUTED_VALUE"""),"Rua Euclides Bandeira")</f>
        <v>Rua Euclides Bandeira</v>
      </c>
      <c r="BL75" s="27">
        <f ca="1">IFERROR(__xludf.DUMMYFUNCTION("""COMPUTED_VALUE"""),519)</f>
        <v>519</v>
      </c>
      <c r="BM75" s="27"/>
      <c r="BN75" s="27"/>
      <c r="BO75" s="27">
        <f ca="1">IFERROR(__xludf.DUMMYFUNCTION("""COMPUTED_VALUE"""),83075288)</f>
        <v>83075288</v>
      </c>
      <c r="BP75" s="27" t="str">
        <f ca="1">IFERROR(__xludf.DUMMYFUNCTION("""COMPUTED_VALUE"""),"PR")</f>
        <v>PR</v>
      </c>
      <c r="BQ75" s="27" t="str">
        <f ca="1">IFERROR(__xludf.DUMMYFUNCTION("""COMPUTED_VALUE"""),"Entre 1 até 3 salários mínimos")</f>
        <v>Entre 1 até 3 salários mínimos</v>
      </c>
      <c r="BR75" s="27" t="str">
        <f ca="1">IFERROR(__xludf.DUMMYFUNCTION("""COMPUTED_VALUE"""),"Trabalho informal")</f>
        <v>Trabalho informal</v>
      </c>
      <c r="BS75" s="27" t="str">
        <f ca="1">IFERROR(__xludf.DUMMYFUNCTION("""COMPUTED_VALUE"""),"Aluguel")</f>
        <v>Aluguel</v>
      </c>
      <c r="BT75" s="27">
        <f ca="1">IFERROR(__xludf.DUMMYFUNCTION("""COMPUTED_VALUE"""),8)</f>
        <v>8</v>
      </c>
      <c r="BU75" s="27" t="str">
        <f ca="1">IFERROR(__xludf.DUMMYFUNCTION("""COMPUTED_VALUE"""),"Não tem")</f>
        <v>Não tem</v>
      </c>
      <c r="BV75" s="27" t="str">
        <f ca="1">IFERROR(__xludf.DUMMYFUNCTION("""COMPUTED_VALUE"""),"Não")</f>
        <v>Não</v>
      </c>
      <c r="BW75" s="27"/>
      <c r="BX75" s="27"/>
      <c r="BY75" s="21" t="str">
        <f ca="1">IFERROR(__xludf.DUMMYFUNCTION("""COMPUTED_VALUE"""),"https://drive.google.com/open?id=1I5b07gaWLpz8Ng73UwluLcV7QfYbgZHM")</f>
        <v>https://drive.google.com/open?id=1I5b07gaWLpz8Ng73UwluLcV7QfYbgZHM</v>
      </c>
    </row>
    <row r="76" spans="1:77" ht="12.5" x14ac:dyDescent="0.25">
      <c r="A76" s="21" t="str">
        <f ca="1">IFERROR(__xludf.DUMMYFUNCTION("""COMPUTED_VALUE"""),"0014P00003AN2G7QAL")</f>
        <v>0014P00003AN2G7QAL</v>
      </c>
      <c r="B76" s="27" t="str">
        <f ca="1">IFERROR(__xludf.DUMMYFUNCTION("""COMPUTED_VALUE"""),"Fase Inicial")</f>
        <v>Fase Inicial</v>
      </c>
      <c r="C76" s="27" t="str">
        <f ca="1">IFERROR(__xludf.DUMMYFUNCTION("""COMPUTED_VALUE"""),"Fellow")</f>
        <v>Fellow</v>
      </c>
      <c r="D76" s="27" t="str">
        <f ca="1">IFERROR(__xludf.DUMMYFUNCTION("""COMPUTED_VALUE"""),"Ativo")</f>
        <v>Ativo</v>
      </c>
      <c r="E76" s="27" t="str">
        <f ca="1">IFERROR(__xludf.DUMMYFUNCTION("""COMPUTED_VALUE"""),"Associação de Mulheres de Atitude e Compromisso Social")</f>
        <v>Associação de Mulheres de Atitude e Compromisso Social</v>
      </c>
      <c r="F76" s="27" t="str">
        <f ca="1">IFERROR(__xludf.DUMMYFUNCTION("""COMPUTED_VALUE"""),"Nilcimar")</f>
        <v>Nilcimar</v>
      </c>
      <c r="G76" s="27"/>
      <c r="H76" s="27" t="str">
        <f ca="1">IFERROR(__xludf.DUMMYFUNCTION("""COMPUTED_VALUE"""),"24.119.219/0001-72")</f>
        <v>24.119.219/0001-72</v>
      </c>
      <c r="I76" s="27"/>
      <c r="J76" s="27"/>
      <c r="K76" s="27" t="str">
        <f ca="1">IFERROR(__xludf.DUMMYFUNCTION("""COMPUTED_VALUE"""),"(21)99807-8422")</f>
        <v>(21)99807-8422</v>
      </c>
      <c r="L76" s="27" t="str">
        <f ca="1">IFERROR(__xludf.DUMMYFUNCTION("""COMPUTED_VALUE"""),"RJ")</f>
        <v>RJ</v>
      </c>
      <c r="M76" s="27" t="str">
        <f ca="1">IFERROR(__xludf.DUMMYFUNCTION("""COMPUTED_VALUE"""),"Travessa Presidente Kennedy")</f>
        <v>Travessa Presidente Kennedy</v>
      </c>
      <c r="N76" s="27"/>
      <c r="O76" s="27" t="str">
        <f ca="1">IFERROR(__xludf.DUMMYFUNCTION("""COMPUTED_VALUE"""),"(21)9980-78422")</f>
        <v>(21)9980-78422</v>
      </c>
      <c r="P76" s="27" t="str">
        <f ca="1">IFERROR(__xludf.DUMMYFUNCTION("""COMPUTED_VALUE"""),"Duque de Caxias")</f>
        <v>Duque de Caxias</v>
      </c>
      <c r="Q76" s="27"/>
      <c r="R76" s="27" t="str">
        <f ca="1">IFERROR(__xludf.DUMMYFUNCTION("""COMPUTED_VALUE"""),"25045-010")</f>
        <v>25045-010</v>
      </c>
      <c r="S76" s="27" t="str">
        <f ca="1">IFERROR(__xludf.DUMMYFUNCTION("""COMPUTED_VALUE"""),"Cine Oscarito  R Santo Elias 16480-000 Duque de Caxias R.J
Salão do Ricardo Rua Eunice Weaver Lote 17 Quadra F  Parque  Alvorada Duque de Caxias R.J")</f>
        <v>Cine Oscarito  R Santo Elias 16480-000 Duque de Caxias R.J
Salão do Ricardo Rua Eunice Weaver Lote 17 Quadra F  Parque  Alvorada Duque de Caxias R.J</v>
      </c>
      <c r="T76" s="27" t="str">
        <f ca="1">IFERROR(__xludf.DUMMYFUNCTION("""COMPUTED_VALUE"""),"Esporte; Educação; Assistência Social; Cultura; Empreendedorismo; Saúde; Empoderamento Feminino")</f>
        <v>Esporte; Educação; Assistência Social; Cultura; Empreendedorismo; Saúde; Empoderamento Feminino</v>
      </c>
      <c r="U76"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76" s="27" t="str">
        <f ca="1">IFERROR(__xludf.DUMMYFUNCTION("""COMPUTED_VALUE"""),"Moradores de Favelas; Outros")</f>
        <v>Moradores de Favelas; Outros</v>
      </c>
      <c r="W76" s="27">
        <f ca="1">IFERROR(__xludf.DUMMYFUNCTION("""COMPUTED_VALUE"""),4)</f>
        <v>4</v>
      </c>
      <c r="X76" s="27" t="str">
        <f ca="1">IFERROR(__xludf.DUMMYFUNCTION("""COMPUTED_VALUE"""),"Atendemos mulheres vitimas de violência domestica catadoras de reciclagem e família em situação de vulnerabilidade social.")</f>
        <v>Atendemos mulheres vitimas de violência domestica catadoras de reciclagem e família em situação de vulnerabilidade social.</v>
      </c>
      <c r="Y76" s="27"/>
      <c r="Z76" s="27"/>
      <c r="AA76" s="29">
        <f ca="1">IFERROR(__xludf.DUMMYFUNCTION("""COMPUTED_VALUE"""),41898)</f>
        <v>41898</v>
      </c>
      <c r="AB76" s="27" t="str">
        <f ca="1">IFERROR(__xludf.DUMMYFUNCTION("""COMPUTED_VALUE"""),"Sim")</f>
        <v>Sim</v>
      </c>
      <c r="AC76" s="27">
        <f ca="1">IFERROR(__xludf.DUMMYFUNCTION("""COMPUTED_VALUE"""),3)</f>
        <v>3</v>
      </c>
      <c r="AD76" s="27">
        <f ca="1">IFERROR(__xludf.DUMMYFUNCTION("""COMPUTED_VALUE"""),3)</f>
        <v>3</v>
      </c>
      <c r="AE76" s="27">
        <f ca="1">IFERROR(__xludf.DUMMYFUNCTION("""COMPUTED_VALUE"""),12)</f>
        <v>12</v>
      </c>
      <c r="AF76" s="27">
        <f ca="1">IFERROR(__xludf.DUMMYFUNCTION("""COMPUTED_VALUE"""),12)</f>
        <v>12</v>
      </c>
      <c r="AG76" s="27">
        <f ca="1">IFERROR(__xludf.DUMMYFUNCTION("""COMPUTED_VALUE"""),1)</f>
        <v>1</v>
      </c>
      <c r="AH76" s="27" t="str">
        <f ca="1">IFERROR(__xludf.DUMMYFUNCTION("""COMPUTED_VALUE"""),"Convênio Público; Parceria iniciativa privada; Editais; Doações; Recursos próprios")</f>
        <v>Convênio Público; Parceria iniciativa privada; Editais; Doações; Recursos próprios</v>
      </c>
      <c r="AI76" s="27" t="str">
        <f ca="1">IFERROR(__xludf.DUMMYFUNCTION("""COMPUTED_VALUE"""),"Convênio público 50%  Projetos Empresas 50%")</f>
        <v>Convênio público 50%  Projetos Empresas 50%</v>
      </c>
      <c r="AJ76" s="27" t="str">
        <f ca="1">IFERROR(__xludf.DUMMYFUNCTION("""COMPUTED_VALUE"""),"Sim")</f>
        <v>Sim</v>
      </c>
      <c r="AK76" s="27" t="str">
        <f ca="1">IFERROR(__xludf.DUMMYFUNCTION("""COMPUTED_VALUE"""),"Sim")</f>
        <v>Sim</v>
      </c>
      <c r="AL76" s="21" t="str">
        <f ca="1">IFERROR(__xludf.DUMMYFUNCTION("""COMPUTED_VALUE"""),"0034P00003maBVb")</f>
        <v>0034P00003maBVb</v>
      </c>
      <c r="AM76" s="27" t="str">
        <f ca="1">IFERROR(__xludf.DUMMYFUNCTION("""COMPUTED_VALUE"""),"Nill Santos")</f>
        <v>Nill Santos</v>
      </c>
      <c r="AN76" s="27" t="str">
        <f ca="1">IFERROR(__xludf.DUMMYFUNCTION("""COMPUTED_VALUE"""),"Ativo")</f>
        <v>Ativo</v>
      </c>
      <c r="AO76" s="29">
        <f ca="1">IFERROR(__xludf.DUMMYFUNCTION("""COMPUTED_VALUE"""),44236)</f>
        <v>44236</v>
      </c>
      <c r="AP76" s="27">
        <f ca="1">IFERROR(__xludf.DUMMYFUNCTION("""COMPUTED_VALUE"""),19)</f>
        <v>19</v>
      </c>
      <c r="AQ76" s="27" t="str">
        <f ca="1">IFERROR(__xludf.DUMMYFUNCTION("""COMPUTED_VALUE"""),"Segundo Semestre 2020")</f>
        <v>Segundo Semestre 2020</v>
      </c>
      <c r="AR76" s="27" t="str">
        <f ca="1">IFERROR(__xludf.DUMMYFUNCTION("""COMPUTED_VALUE"""),"amacmulheres@gmail.com")</f>
        <v>amacmulheres@gmail.com</v>
      </c>
      <c r="AS76" s="27" t="str">
        <f ca="1">IFERROR(__xludf.DUMMYFUNCTION("""COMPUTED_VALUE"""),"(21)9980-78422")</f>
        <v>(21)9980-78422</v>
      </c>
      <c r="AT76" s="30">
        <f ca="1">IFERROR(__xludf.DUMMYFUNCTION("""COMPUTED_VALUE"""),25916)</f>
        <v>25916</v>
      </c>
      <c r="AU76" s="27">
        <f ca="1">IFERROR(__xludf.DUMMYFUNCTION("""COMPUTED_VALUE"""),52)</f>
        <v>52</v>
      </c>
      <c r="AV76" s="27">
        <f ca="1">IFERROR(__xludf.DUMMYFUNCTION("""COMPUTED_VALUE"""),98204467753)</f>
        <v>98204467753</v>
      </c>
      <c r="AW76" s="27">
        <f ca="1">IFERROR(__xludf.DUMMYFUNCTION("""COMPUTED_VALUE"""),82982901)</f>
        <v>82982901</v>
      </c>
      <c r="AX76" s="27" t="str">
        <f ca="1">IFERROR(__xludf.DUMMYFUNCTION("""COMPUTED_VALUE"""),"Empreendedora Social")</f>
        <v>Empreendedora Social</v>
      </c>
      <c r="AY76" s="27"/>
      <c r="AZ76" s="27" t="str">
        <f ca="1">IFERROR(__xludf.DUMMYFUNCTION("""COMPUTED_VALUE"""),"M")</f>
        <v>M</v>
      </c>
      <c r="BA76" s="27"/>
      <c r="BB76" s="27"/>
      <c r="BC76" s="27" t="str">
        <f ca="1">IFERROR(__xludf.DUMMYFUNCTION("""COMPUTED_VALUE"""),"Sim")</f>
        <v>Sim</v>
      </c>
      <c r="BD76" s="27" t="str">
        <f ca="1">IFERROR(__xludf.DUMMYFUNCTION("""COMPUTED_VALUE"""),"Me chamo Nill Santos, tenho 51 anos, três filhos, e sou casada. Sou empreendedora e mobilizadora Social, palestrante e presidente da AMAC. Depois de sair de um relacionamento abusivo e com depressão resolvi criar um projeto de futebol com as crianças da c"&amp;"omunidade em 2011, passei a realizar rodas de conversa sobre violência doméstica, Hoje temos uma sede na comunidade do Dick da vila Alzira.")</f>
        <v>Me chamo Nill Santos, tenho 51 anos, três filhos, e sou casada. Sou empreendedora e mobilizadora Social, palestrante e presidente da AMAC. Depois de sair de um relacionamento abusivo e com depressão resolvi criar um projeto de futebol com as crianças da comunidade em 2011, passei a realizar rodas de conversa sobre violência doméstica, Hoje temos uma sede na comunidade do Dick da vila Alzira.</v>
      </c>
      <c r="BE76" s="27"/>
      <c r="BF76" s="27"/>
      <c r="BG76" s="27" t="str">
        <f ca="1">IFERROR(__xludf.DUMMYFUNCTION("""COMPUTED_VALUE"""),"Ensino Médio - Completo")</f>
        <v>Ensino Médio - Completo</v>
      </c>
      <c r="BH76" s="27"/>
      <c r="BI76" s="27"/>
      <c r="BJ76" s="27"/>
      <c r="BK76" s="27" t="str">
        <f ca="1">IFERROR(__xludf.DUMMYFUNCTION("""COMPUTED_VALUE"""),"Rua Manoel da Rocha Mendes")</f>
        <v>Rua Manoel da Rocha Mendes</v>
      </c>
      <c r="BL76" s="27">
        <f ca="1">IFERROR(__xludf.DUMMYFUNCTION("""COMPUTED_VALUE"""),52)</f>
        <v>52</v>
      </c>
      <c r="BM76" s="27"/>
      <c r="BN76" s="27" t="str">
        <f ca="1">IFERROR(__xludf.DUMMYFUNCTION("""COMPUTED_VALUE"""),"Duque de Caxias")</f>
        <v>Duque de Caxias</v>
      </c>
      <c r="BO76" s="27" t="str">
        <f ca="1">IFERROR(__xludf.DUMMYFUNCTION("""COMPUTED_VALUE"""),"25045-485")</f>
        <v>25045-485</v>
      </c>
      <c r="BP76" s="27" t="str">
        <f ca="1">IFERROR(__xludf.DUMMYFUNCTION("""COMPUTED_VALUE"""),"RJ")</f>
        <v>RJ</v>
      </c>
      <c r="BQ76" s="27" t="str">
        <f ca="1">IFERROR(__xludf.DUMMYFUNCTION("""COMPUTED_VALUE"""),"Entre 1 até 3 salários mínimos")</f>
        <v>Entre 1 até 3 salários mínimos</v>
      </c>
      <c r="BR76" s="27" t="str">
        <f ca="1">IFERROR(__xludf.DUMMYFUNCTION("""COMPUTED_VALUE"""),"Funcionário Público")</f>
        <v>Funcionário Público</v>
      </c>
      <c r="BS76" s="27" t="str">
        <f ca="1">IFERROR(__xludf.DUMMYFUNCTION("""COMPUTED_VALUE"""),"Casa própria")</f>
        <v>Casa própria</v>
      </c>
      <c r="BT76" s="27">
        <f ca="1">IFERROR(__xludf.DUMMYFUNCTION("""COMPUTED_VALUE"""),3)</f>
        <v>3</v>
      </c>
      <c r="BU76" s="27"/>
      <c r="BV76" s="27" t="str">
        <f ca="1">IFERROR(__xludf.DUMMYFUNCTION("""COMPUTED_VALUE"""),"Frutos do Mar")</f>
        <v>Frutos do Mar</v>
      </c>
      <c r="BW76" s="21" t="str">
        <f ca="1">IFERROR(__xludf.DUMMYFUNCTION("""COMPUTED_VALUE"""),"linkedin.com/in/nill-santos-a7b99b183")</f>
        <v>linkedin.com/in/nill-santos-a7b99b183</v>
      </c>
      <c r="BX76" s="27" t="str">
        <f ca="1">IFERROR(__xludf.DUMMYFUNCTION("""COMPUTED_VALUE"""),"@nillsantosamac")</f>
        <v>@nillsantosamac</v>
      </c>
      <c r="BY76" s="21" t="str">
        <f ca="1">IFERROR(__xludf.DUMMYFUNCTION("""COMPUTED_VALUE"""),"https://drive.google.com/open?id=1RkfNYXBtUuIL9pgGN80itoRssZCq91VG")</f>
        <v>https://drive.google.com/open?id=1RkfNYXBtUuIL9pgGN80itoRssZCq91VG</v>
      </c>
    </row>
    <row r="77" spans="1:77" ht="12.5" hidden="1" x14ac:dyDescent="0.25">
      <c r="A77" s="21" t="str">
        <f ca="1">IFERROR(__xludf.DUMMYFUNCTION("""COMPUTED_VALUE"""),"0014P00003SGWPmQAP")</f>
        <v>0014P00003SGWPmQAP</v>
      </c>
      <c r="B77" s="27" t="str">
        <f ca="1">IFERROR(__xludf.DUMMYFUNCTION("""COMPUTED_VALUE"""),"Fase Inicial")</f>
        <v>Fase Inicial</v>
      </c>
      <c r="C77" s="27" t="str">
        <f ca="1">IFERROR(__xludf.DUMMYFUNCTION("""COMPUTED_VALUE"""),"Fellow")</f>
        <v>Fellow</v>
      </c>
      <c r="D77" s="27" t="str">
        <f ca="1">IFERROR(__xludf.DUMMYFUNCTION("""COMPUTED_VALUE"""),"Ativo")</f>
        <v>Ativo</v>
      </c>
      <c r="E77" s="27" t="str">
        <f ca="1">IFERROR(__xludf.DUMMYFUNCTION("""COMPUTED_VALUE"""),"ASSOCIAÇAO DE MULHERES EMPODERADAS DO MONTE CRISTO")</f>
        <v>ASSOCIAÇAO DE MULHERES EMPODERADAS DO MONTE CRISTO</v>
      </c>
      <c r="F77" s="27" t="str">
        <f ca="1">IFERROR(__xludf.DUMMYFUNCTION("""COMPUTED_VALUE"""),"Jaqueline")</f>
        <v>Jaqueline</v>
      </c>
      <c r="G77" s="27" t="str">
        <f ca="1">IFERROR(__xludf.DUMMYFUNCTION("""COMPUTED_VALUE"""),"MULHERES EMPODERADAS")</f>
        <v>MULHERES EMPODERADAS</v>
      </c>
      <c r="H77" s="27" t="str">
        <f ca="1">IFERROR(__xludf.DUMMYFUNCTION("""COMPUTED_VALUE"""),"39.919.773/0001-01")</f>
        <v>39.919.773/0001-01</v>
      </c>
      <c r="I77" s="27" t="str">
        <f ca="1">IFERROR(__xludf.DUMMYFUNCTION("""COMPUTED_VALUE"""),"Jaqueline De Sousa Ribeiro")</f>
        <v>Jaqueline De Sousa Ribeiro</v>
      </c>
      <c r="J77" s="27" t="str">
        <f ca="1">IFERROR(__xludf.DUMMYFUNCTION("""COMPUTED_VALUE"""),"associacaomulheresempreendem@gmail.com")</f>
        <v>associacaomulheresempreendem@gmail.com</v>
      </c>
      <c r="K77" s="27" t="str">
        <f ca="1">IFERROR(__xludf.DUMMYFUNCTION("""COMPUTED_VALUE"""),"(48)98812-1209")</f>
        <v>(48)98812-1209</v>
      </c>
      <c r="L77" s="27" t="str">
        <f ca="1">IFERROR(__xludf.DUMMYFUNCTION("""COMPUTED_VALUE"""),"SC")</f>
        <v>SC</v>
      </c>
      <c r="M77" s="27" t="str">
        <f ca="1">IFERROR(__xludf.DUMMYFUNCTION("""COMPUTED_VALUE"""),"Travessa maria salete dutra")</f>
        <v>Travessa maria salete dutra</v>
      </c>
      <c r="N77" s="27" t="str">
        <f ca="1">IFERROR(__xludf.DUMMYFUNCTION("""COMPUTED_VALUE"""),"MONTE CRISTO")</f>
        <v>MONTE CRISTO</v>
      </c>
      <c r="O77" s="27" t="str">
        <f ca="1">IFERROR(__xludf.DUMMYFUNCTION("""COMPUTED_VALUE"""),"(48)8812-1209")</f>
        <v>(48)8812-1209</v>
      </c>
      <c r="P77" s="27" t="str">
        <f ca="1">IFERROR(__xludf.DUMMYFUNCTION("""COMPUTED_VALUE"""),"Florianópolis")</f>
        <v>Florianópolis</v>
      </c>
      <c r="Q77" s="27" t="str">
        <f ca="1">IFERROR(__xludf.DUMMYFUNCTION("""COMPUTED_VALUE"""),"BAIRRO EDUCADOR")</f>
        <v>BAIRRO EDUCADOR</v>
      </c>
      <c r="R77" s="27" t="str">
        <f ca="1">IFERROR(__xludf.DUMMYFUNCTION("""COMPUTED_VALUE"""),"88090-575")</f>
        <v>88090-575</v>
      </c>
      <c r="S77" s="27" t="str">
        <f ca="1">IFERROR(__xludf.DUMMYFUNCTION("""COMPUTED_VALUE"""),"TRAVESSA MARIA SALETE DUTRA MACHADO 127")</f>
        <v>TRAVESSA MARIA SALETE DUTRA MACHADO 127</v>
      </c>
      <c r="T77" s="27" t="str">
        <f ca="1">IFERROR(__xludf.DUMMYFUNCTION("""COMPUTED_VALUE"""),"Educação; Assistência Social; Qualificação Profissional; Empreendedorismo; Empoderamento Feminino; Negócios Sociais")</f>
        <v>Educação; Assistência Social; Qualificação Profissional; Empreendedorismo; Empoderamento Feminino; Negócios Sociais</v>
      </c>
      <c r="U77" s="27" t="str">
        <f ca="1">IFERROR(__xludf.DUMMYFUNCTION("""COMPUTED_VALUE"""),"Jovens (18 aos 24 anos); Adultos; Idosos (60 anos ou mais)")</f>
        <v>Jovens (18 aos 24 anos); Adultos; Idosos (60 anos ou mais)</v>
      </c>
      <c r="V77" s="27" t="str">
        <f ca="1">IFERROR(__xludf.DUMMYFUNCTION("""COMPUTED_VALUE"""),"Moradores de Favelas; População LGBTQ+; Afrodescendentes; Egressos sistema carcerário; Imigrantes; Refugiados")</f>
        <v>Moradores de Favelas; População LGBTQ+; Afrodescendentes; Egressos sistema carcerário; Imigrantes; Refugiados</v>
      </c>
      <c r="W77" s="27">
        <f ca="1">IFERROR(__xludf.DUMMYFUNCTION("""COMPUTED_VALUE"""),20)</f>
        <v>20</v>
      </c>
      <c r="X77" s="27" t="str">
        <f ca="1">IFERROR(__xludf.DUMMYFUNCTION("""COMPUTED_VALUE"""),"NAO SAO NOSSO PUBLICO ESPECIFICOMAS ATENDEMOS INDIGENAS E EGRESSOS")</f>
        <v>NAO SAO NOSSO PUBLICO ESPECIFICOMAS ATENDEMOS INDIGENAS E EGRESSOS</v>
      </c>
      <c r="Y77" s="27">
        <f ca="1">IFERROR(__xludf.DUMMYFUNCTION("""COMPUTED_VALUE"""),37)</f>
        <v>37</v>
      </c>
      <c r="Z77" s="27">
        <f ca="1">IFERROR(__xludf.DUMMYFUNCTION("""COMPUTED_VALUE"""),17685)</f>
        <v>17685</v>
      </c>
      <c r="AA77" s="29">
        <f ca="1">IFERROR(__xludf.DUMMYFUNCTION("""COMPUTED_VALUE"""),44088)</f>
        <v>44088</v>
      </c>
      <c r="AB77" s="27" t="str">
        <f ca="1">IFERROR(__xludf.DUMMYFUNCTION("""COMPUTED_VALUE"""),"Sim")</f>
        <v>Sim</v>
      </c>
      <c r="AC77" s="27">
        <f ca="1">IFERROR(__xludf.DUMMYFUNCTION("""COMPUTED_VALUE"""),2)</f>
        <v>2</v>
      </c>
      <c r="AD77" s="27">
        <f ca="1">IFERROR(__xludf.DUMMYFUNCTION("""COMPUTED_VALUE"""),0)</f>
        <v>0</v>
      </c>
      <c r="AE77" s="27">
        <f ca="1">IFERROR(__xludf.DUMMYFUNCTION("""COMPUTED_VALUE"""),17)</f>
        <v>17</v>
      </c>
      <c r="AF77" s="27">
        <f ca="1">IFERROR(__xludf.DUMMYFUNCTION("""COMPUTED_VALUE"""),12)</f>
        <v>12</v>
      </c>
      <c r="AG77" s="27">
        <f ca="1">IFERROR(__xludf.DUMMYFUNCTION("""COMPUTED_VALUE"""),4)</f>
        <v>4</v>
      </c>
      <c r="AH77" s="27" t="str">
        <f ca="1">IFERROR(__xludf.DUMMYFUNCTION("""COMPUTED_VALUE"""),"Negócio Social; Eventos/Ações para captação; Plataforma doação online - Pessoa Física; Editais")</f>
        <v>Negócio Social; Eventos/Ações para captação; Plataforma doação online - Pessoa Física; Editais</v>
      </c>
      <c r="AI77" s="27" t="str">
        <f ca="1">IFERROR(__xludf.DUMMYFUNCTION("""COMPUTED_VALUE"""),"50%50%")</f>
        <v>50%50%</v>
      </c>
      <c r="AJ77" s="27" t="str">
        <f ca="1">IFERROR(__xludf.DUMMYFUNCTION("""COMPUTED_VALUE"""),"Não")</f>
        <v>Não</v>
      </c>
      <c r="AK77" s="27" t="str">
        <f ca="1">IFERROR(__xludf.DUMMYFUNCTION("""COMPUTED_VALUE"""),"Não")</f>
        <v>Não</v>
      </c>
      <c r="AL77" s="21" t="str">
        <f ca="1">IFERROR(__xludf.DUMMYFUNCTION("""COMPUTED_VALUE"""),"0034P000043fOnt")</f>
        <v>0034P000043fOnt</v>
      </c>
      <c r="AM77" s="27" t="str">
        <f ca="1">IFERROR(__xludf.DUMMYFUNCTION("""COMPUTED_VALUE"""),"De Sousa Ribeiro")</f>
        <v>De Sousa Ribeiro</v>
      </c>
      <c r="AN77" s="27" t="str">
        <f ca="1">IFERROR(__xludf.DUMMYFUNCTION("""COMPUTED_VALUE"""),"Ativo")</f>
        <v>Ativo</v>
      </c>
      <c r="AO77" s="29">
        <f ca="1">IFERROR(__xludf.DUMMYFUNCTION("""COMPUTED_VALUE"""),44432)</f>
        <v>44432</v>
      </c>
      <c r="AP77" s="27">
        <f ca="1">IFERROR(__xludf.DUMMYFUNCTION("""COMPUTED_VALUE"""),13)</f>
        <v>13</v>
      </c>
      <c r="AQ77" s="27" t="str">
        <f ca="1">IFERROR(__xludf.DUMMYFUNCTION("""COMPUTED_VALUE"""),"Primeiro Semestre 2021")</f>
        <v>Primeiro Semestre 2021</v>
      </c>
      <c r="AR77" s="27" t="str">
        <f ca="1">IFERROR(__xludf.DUMMYFUNCTION("""COMPUTED_VALUE"""),"jacksousa1989@gmail.com")</f>
        <v>jacksousa1989@gmail.com</v>
      </c>
      <c r="AS77" s="27" t="str">
        <f ca="1">IFERROR(__xludf.DUMMYFUNCTION("""COMPUTED_VALUE"""),"(48)8812-1209")</f>
        <v>(48)8812-1209</v>
      </c>
      <c r="AT77" s="29">
        <f ca="1">IFERROR(__xludf.DUMMYFUNCTION("""COMPUTED_VALUE"""),32536)</f>
        <v>32536</v>
      </c>
      <c r="AU77" s="27">
        <f ca="1">IFERROR(__xludf.DUMMYFUNCTION("""COMPUTED_VALUE"""),33)</f>
        <v>33</v>
      </c>
      <c r="AV77" s="27">
        <f ca="1">IFERROR(__xludf.DUMMYFUNCTION("""COMPUTED_VALUE"""),99848422234)</f>
        <v>99848422234</v>
      </c>
      <c r="AW77" s="27">
        <f ca="1">IFERROR(__xludf.DUMMYFUNCTION("""COMPUTED_VALUE"""),7545646)</f>
        <v>7545646</v>
      </c>
      <c r="AX77" s="27"/>
      <c r="AY77" s="27"/>
      <c r="AZ77" s="27" t="str">
        <f ca="1">IFERROR(__xludf.DUMMYFUNCTION("""COMPUTED_VALUE"""),"EXG3")</f>
        <v>EXG3</v>
      </c>
      <c r="BA77" s="27" t="str">
        <f ca="1">IFERROR(__xludf.DUMMYFUNCTION("""COMPUTED_VALUE"""),"Branca")</f>
        <v>Branca</v>
      </c>
      <c r="BB77" s="27"/>
      <c r="BC77" s="27" t="str">
        <f ca="1">IFERROR(__xludf.DUMMYFUNCTION("""COMPUTED_VALUE"""),"Sim")</f>
        <v>Sim</v>
      </c>
      <c r="BD77" s="27" t="str">
        <f ca="1">IFERROR(__xludf.DUMMYFUNCTION("""COMPUTED_VALUE"""),"Sou a jack que vive a vida com alegria e energia 
Que não tira o sorriso do rosto ,que luta para acabar com a desigualdade social do lugar que me acolheu e me deu tantas oportunidades, sou  a mãe dos 5 filhos na terra e do anjo no céu, que sonha alto e gr"&amp;"ande ,que acredita no poder do amor ,e que vive todo dia o conto de fadas ,sim o conto de fadas existe todos os dias .
Fundadora da associação de mulheres empoderadas, que acredita na transformação por meio da oportunidade.")</f>
        <v>Sou a jack que vive a vida com alegria e energia 
Que não tira o sorriso do rosto ,que luta para acabar com a desigualdade social do lugar que me acolheu e me deu tantas oportunidades, sou  a mãe dos 5 filhos na terra e do anjo no céu, que sonha alto e grande ,que acredita no poder do amor ,e que vive todo dia o conto de fadas ,sim o conto de fadas existe todos os dias .
Fundadora da associação de mulheres empoderadas, que acredita na transformação por meio da oportunidade.</v>
      </c>
      <c r="BE77" s="27" t="str">
        <f ca="1">IFERROR(__xludf.DUMMYFUNCTION("""COMPUTED_VALUE"""),"Feminino")</f>
        <v>Feminino</v>
      </c>
      <c r="BF77" s="27" t="str">
        <f ca="1">IFERROR(__xludf.DUMMYFUNCTION("""COMPUTED_VALUE"""),"Heterossexual")</f>
        <v>Heterossexual</v>
      </c>
      <c r="BG77" s="27" t="str">
        <f ca="1">IFERROR(__xludf.DUMMYFUNCTION("""COMPUTED_VALUE"""),"Ensino Médio - Completo")</f>
        <v>Ensino Médio - Completo</v>
      </c>
      <c r="BH77" s="27"/>
      <c r="BI77" s="27"/>
      <c r="BJ77" s="27"/>
      <c r="BK77" s="27" t="str">
        <f ca="1">IFERROR(__xludf.DUMMYFUNCTION("""COMPUTED_VALUE"""),"Servidão Anjo Gabriel")</f>
        <v>Servidão Anjo Gabriel</v>
      </c>
      <c r="BL77" s="27">
        <f ca="1">IFERROR(__xludf.DUMMYFUNCTION("""COMPUTED_VALUE"""),89)</f>
        <v>89</v>
      </c>
      <c r="BM77" s="27" t="str">
        <f ca="1">IFERROR(__xludf.DUMMYFUNCTION("""COMPUTED_VALUE"""),"Casa")</f>
        <v>Casa</v>
      </c>
      <c r="BN77" s="27" t="str">
        <f ca="1">IFERROR(__xludf.DUMMYFUNCTION("""COMPUTED_VALUE"""),"Florianópolis")</f>
        <v>Florianópolis</v>
      </c>
      <c r="BO77" s="27" t="str">
        <f ca="1">IFERROR(__xludf.DUMMYFUNCTION("""COMPUTED_VALUE"""),"88090-578")</f>
        <v>88090-578</v>
      </c>
      <c r="BP77" s="27" t="str">
        <f ca="1">IFERROR(__xludf.DUMMYFUNCTION("""COMPUTED_VALUE"""),"SC")</f>
        <v>SC</v>
      </c>
      <c r="BQ77" s="27" t="str">
        <f ca="1">IFERROR(__xludf.DUMMYFUNCTION("""COMPUTED_VALUE"""),"Entre 1 até 3 salários mínimos")</f>
        <v>Entre 1 até 3 salários mínimos</v>
      </c>
      <c r="BR77" s="27" t="str">
        <f ca="1">IFERROR(__xludf.DUMMYFUNCTION("""COMPUTED_VALUE"""),"CLT")</f>
        <v>CLT</v>
      </c>
      <c r="BS77" s="27" t="str">
        <f ca="1">IFERROR(__xludf.DUMMYFUNCTION("""COMPUTED_VALUE"""),"Casa própria")</f>
        <v>Casa própria</v>
      </c>
      <c r="BT77" s="27">
        <f ca="1">IFERROR(__xludf.DUMMYFUNCTION("""COMPUTED_VALUE"""),7)</f>
        <v>7</v>
      </c>
      <c r="BU77" s="27"/>
      <c r="BV77" s="27"/>
      <c r="BW77" s="21" t="str">
        <f ca="1">IFERROR(__xludf.DUMMYFUNCTION("""COMPUTED_VALUE"""),"https://www.linkedin.com/in/jaqueline-ribeiro-5265751ab")</f>
        <v>https://www.linkedin.com/in/jaqueline-ribeiro-5265751ab</v>
      </c>
      <c r="BX77" s="27" t="str">
        <f ca="1">IFERROR(__xludf.DUMMYFUNCTION("""COMPUTED_VALUE"""),"Estou no Instagram como @jacksousa25. Instale o aplicativo para seguir minhas fotos e vídeos. https://www.instagram.com/invites/contact/?utm_source=ig_contact_invite&amp;utm_medium=user_system_sheet&amp;utm_content=hdgjth⁸")</f>
        <v>Estou no Instagram como @jacksousa25. Instale o aplicativo para seguir minhas fotos e vídeos. https://www.instagram.com/invites/contact/?utm_source=ig_contact_invite&amp;utm_medium=user_system_sheet&amp;utm_content=hdgjth⁸</v>
      </c>
      <c r="BY77" s="21" t="str">
        <f ca="1">IFERROR(__xludf.DUMMYFUNCTION("""COMPUTED_VALUE"""),"https://drive.google.com/open?id=12ACJNZM-_xQE_XPZsWU4x1rlI_3_zRCB")</f>
        <v>https://drive.google.com/open?id=12ACJNZM-_xQE_XPZsWU4x1rlI_3_zRCB</v>
      </c>
    </row>
    <row r="78" spans="1:77" ht="12.5" hidden="1" x14ac:dyDescent="0.25">
      <c r="A78" s="21" t="str">
        <f ca="1">IFERROR(__xludf.DUMMYFUNCTION("""COMPUTED_VALUE"""),"0014X00002VKCs5QAH")</f>
        <v>0014X00002VKCs5QAH</v>
      </c>
      <c r="B78" s="27" t="str">
        <f ca="1">IFERROR(__xludf.DUMMYFUNCTION("""COMPUTED_VALUE"""),"Fase Inicial")</f>
        <v>Fase Inicial</v>
      </c>
      <c r="C78" s="27" t="str">
        <f ca="1">IFERROR(__xludf.DUMMYFUNCTION("""COMPUTED_VALUE"""),"Fellow")</f>
        <v>Fellow</v>
      </c>
      <c r="D78" s="27" t="str">
        <f ca="1">IFERROR(__xludf.DUMMYFUNCTION("""COMPUTED_VALUE"""),"Ativo")</f>
        <v>Ativo</v>
      </c>
      <c r="E78" s="27" t="str">
        <f ca="1">IFERROR(__xludf.DUMMYFUNCTION("""COMPUTED_VALUE"""),"Associação de Mulheres Negras do Acre e seus Apoiadores")</f>
        <v>Associação de Mulheres Negras do Acre e seus Apoiadores</v>
      </c>
      <c r="F78" s="27" t="str">
        <f ca="1">IFERROR(__xludf.DUMMYFUNCTION("""COMPUTED_VALUE"""),"Roselene")</f>
        <v>Roselene</v>
      </c>
      <c r="G78" s="27" t="str">
        <f ca="1">IFERROR(__xludf.DUMMYFUNCTION("""COMPUTED_VALUE"""),"NEGRITUDE")</f>
        <v>NEGRITUDE</v>
      </c>
      <c r="H78" s="27" t="str">
        <f ca="1">IFERROR(__xludf.DUMMYFUNCTION("""COMPUTED_VALUE"""),"24.576.049/0001-55")</f>
        <v>24.576.049/0001-55</v>
      </c>
      <c r="I78" s="27" t="str">
        <f ca="1">IFERROR(__xludf.DUMMYFUNCTION("""COMPUTED_VALUE"""),"Almerinda de Souza Cunha Oliveira")</f>
        <v>Almerinda de Souza Cunha Oliveira</v>
      </c>
      <c r="J78" s="27" t="str">
        <f ca="1">IFERROR(__xludf.DUMMYFUNCTION("""COMPUTED_VALUE"""),"associacaomulheresnegrasac@gmail.com")</f>
        <v>associacaomulheresnegrasac@gmail.com</v>
      </c>
      <c r="K78" s="27" t="str">
        <f ca="1">IFERROR(__xludf.DUMMYFUNCTION("""COMPUTED_VALUE"""),"(68)99239-5903")</f>
        <v>(68)99239-5903</v>
      </c>
      <c r="L78" s="27" t="str">
        <f ca="1">IFERROR(__xludf.DUMMYFUNCTION("""COMPUTED_VALUE"""),"AC")</f>
        <v>AC</v>
      </c>
      <c r="M78" s="27" t="str">
        <f ca="1">IFERROR(__xludf.DUMMYFUNCTION("""COMPUTED_VALUE"""),"Rua São Peregrino")</f>
        <v>Rua São Peregrino</v>
      </c>
      <c r="N78" s="27" t="str">
        <f ca="1">IFERROR(__xludf.DUMMYFUNCTION("""COMPUTED_VALUE"""),"Floresta")</f>
        <v>Floresta</v>
      </c>
      <c r="O78" s="27">
        <f ca="1">IFERROR(__xludf.DUMMYFUNCTION("""COMPUTED_VALUE"""),94)</f>
        <v>94</v>
      </c>
      <c r="P78" s="27" t="str">
        <f ca="1">IFERROR(__xludf.DUMMYFUNCTION("""COMPUTED_VALUE"""),"Rio Branco")</f>
        <v>Rio Branco</v>
      </c>
      <c r="Q78" s="27"/>
      <c r="R78" s="27" t="str">
        <f ca="1">IFERROR(__xludf.DUMMYFUNCTION("""COMPUTED_VALUE"""),"69911-349")</f>
        <v>69911-349</v>
      </c>
      <c r="S78" s="27" t="str">
        <f ca="1">IFERROR(__xludf.DUMMYFUNCTION("""COMPUTED_VALUE"""),"Sim")</f>
        <v>Sim</v>
      </c>
      <c r="T78" s="27"/>
      <c r="U78" s="27" t="str">
        <f ca="1">IFERROR(__xludf.DUMMYFUNCTION("""COMPUTED_VALUE"""),"Adultos")</f>
        <v>Adultos</v>
      </c>
      <c r="V78" s="27" t="str">
        <f ca="1">IFERROR(__xludf.DUMMYFUNCTION("""COMPUTED_VALUE"""),"Moradores de Favelas, Afrodescendentes, Outros")</f>
        <v>Moradores de Favelas, Afrodescendentes, Outros</v>
      </c>
      <c r="W78" s="27">
        <f ca="1">IFERROR(__xludf.DUMMYFUNCTION("""COMPUTED_VALUE"""),28)</f>
        <v>28</v>
      </c>
      <c r="X78" s="27" t="str">
        <f ca="1">IFERROR(__xludf.DUMMYFUNCTION("""COMPUTED_VALUE"""),"Mulheres Negras em situação de vulnerabilidade social.")</f>
        <v>Mulheres Negras em situação de vulnerabilidade social.</v>
      </c>
      <c r="Y78" s="27"/>
      <c r="Z78" s="27">
        <f ca="1">IFERROR(__xludf.DUMMYFUNCTION("""COMPUTED_VALUE"""),1150)</f>
        <v>1150</v>
      </c>
      <c r="AA78" s="29">
        <f ca="1">IFERROR(__xludf.DUMMYFUNCTION("""COMPUTED_VALUE"""),42234)</f>
        <v>42234</v>
      </c>
      <c r="AB78" s="27" t="str">
        <f ca="1">IFERROR(__xludf.DUMMYFUNCTION("""COMPUTED_VALUE"""),"Sim")</f>
        <v>Sim</v>
      </c>
      <c r="AC78" s="27">
        <f ca="1">IFERROR(__xludf.DUMMYFUNCTION("""COMPUTED_VALUE"""),0)</f>
        <v>0</v>
      </c>
      <c r="AD78" s="27">
        <f ca="1">IFERROR(__xludf.DUMMYFUNCTION("""COMPUTED_VALUE"""),0)</f>
        <v>0</v>
      </c>
      <c r="AE78" s="27">
        <f ca="1">IFERROR(__xludf.DUMMYFUNCTION("""COMPUTED_VALUE"""),0)</f>
        <v>0</v>
      </c>
      <c r="AF78" s="27">
        <f ca="1">IFERROR(__xludf.DUMMYFUNCTION("""COMPUTED_VALUE"""),0)</f>
        <v>0</v>
      </c>
      <c r="AG78" s="27">
        <f ca="1">IFERROR(__xludf.DUMMYFUNCTION("""COMPUTED_VALUE"""),2)</f>
        <v>2</v>
      </c>
      <c r="AH78" s="27" t="str">
        <f ca="1">IFERROR(__xludf.DUMMYFUNCTION("""COMPUTED_VALUE"""),"Editais")</f>
        <v>Editais</v>
      </c>
      <c r="AI78" s="27" t="str">
        <f ca="1">IFERROR(__xludf.DUMMYFUNCTION("""COMPUTED_VALUE"""),"100% editais")</f>
        <v>100% editais</v>
      </c>
      <c r="AJ78" s="27" t="str">
        <f ca="1">IFERROR(__xludf.DUMMYFUNCTION("""COMPUTED_VALUE"""),"Não")</f>
        <v>Não</v>
      </c>
      <c r="AK78" s="27"/>
      <c r="AL78" s="21" t="str">
        <f ca="1">IFERROR(__xludf.DUMMYFUNCTION("""COMPUTED_VALUE"""),"0034X0000380O2u")</f>
        <v>0034X0000380O2u</v>
      </c>
      <c r="AM78" s="27" t="str">
        <f ca="1">IFERROR(__xludf.DUMMYFUNCTION("""COMPUTED_VALUE"""),"Maria de lima")</f>
        <v>Maria de lima</v>
      </c>
      <c r="AN78" s="27" t="str">
        <f ca="1">IFERROR(__xludf.DUMMYFUNCTION("""COMPUTED_VALUE"""),"Ativo")</f>
        <v>Ativo</v>
      </c>
      <c r="AO78" s="27"/>
      <c r="AP78" s="27"/>
      <c r="AQ78" s="27" t="str">
        <f ca="1">IFERROR(__xludf.DUMMYFUNCTION("""COMPUTED_VALUE"""),"Primeiro Semestre 2022")</f>
        <v>Primeiro Semestre 2022</v>
      </c>
      <c r="AR78" s="27" t="str">
        <f ca="1">IFERROR(__xludf.DUMMYFUNCTION("""COMPUTED_VALUE"""),"limaroselene170@gmail.com")</f>
        <v>limaroselene170@gmail.com</v>
      </c>
      <c r="AS78" s="27">
        <f ca="1">IFERROR(__xludf.DUMMYFUNCTION("""COMPUTED_VALUE"""),68999712438)</f>
        <v>68999712438</v>
      </c>
      <c r="AT78" s="29">
        <f ca="1">IFERROR(__xludf.DUMMYFUNCTION("""COMPUTED_VALUE"""),27167)</f>
        <v>27167</v>
      </c>
      <c r="AU78" s="27">
        <f ca="1">IFERROR(__xludf.DUMMYFUNCTION("""COMPUTED_VALUE"""),48)</f>
        <v>48</v>
      </c>
      <c r="AV78" s="27">
        <f ca="1">IFERROR(__xludf.DUMMYFUNCTION("""COMPUTED_VALUE"""),39145697272)</f>
        <v>39145697272</v>
      </c>
      <c r="AW78" s="27">
        <f ca="1">IFERROR(__xludf.DUMMYFUNCTION("""COMPUTED_VALUE"""),223783)</f>
        <v>223783</v>
      </c>
      <c r="AX78" s="27"/>
      <c r="AY78" s="27"/>
      <c r="AZ78" s="27" t="str">
        <f ca="1">IFERROR(__xludf.DUMMYFUNCTION("""COMPUTED_VALUE"""),"G")</f>
        <v>G</v>
      </c>
      <c r="BA78" s="27" t="str">
        <f ca="1">IFERROR(__xludf.DUMMYFUNCTION("""COMPUTED_VALUE"""),"Parda")</f>
        <v>Parda</v>
      </c>
      <c r="BB78" s="27"/>
      <c r="BC78" s="27"/>
      <c r="BD78" s="27" t="str">
        <f ca="1">IFERROR(__xludf.DUMMYFUNCTION("""COMPUTED_VALUE"""),"Roselene Maria de Lima* brasileira* acreana* 47 anos* católica praticante*  casada* mãe de 04 filhos e avó de 02 netos. Técnica em Agroecologia* Estudante de Gestão Pública* militante de Direitos Humanos* Diretora Executiva da Associação de Mulheres Negra"&amp;"s do Acre e seus Apoiadores* Coordenadora de EPS da Cáritas da Diocese de Rio Branca* Conselheira do Conselho Municipal de Promoção da Igualdade Racial* Conselheira do Conselho Municipal dos Direitos da Mulher* Conselheira do Fórum Estadual de Saúde do Ac"&amp;"re* Membro do GT MROSC/Ac.")</f>
        <v>Roselene Maria de Lima* brasileira* acreana* 47 anos* católica praticante*  casada* mãe de 04 filhos e avó de 02 netos. Técnica em Agroecologia* Estudante de Gestão Pública* militante de Direitos Humanos* Diretora Executiva da Associação de Mulheres Negras do Acre e seus Apoiadores* Coordenadora de EPS da Cáritas da Diocese de Rio Branca* Conselheira do Conselho Municipal de Promoção da Igualdade Racial* Conselheira do Conselho Municipal dos Direitos da Mulher* Conselheira do Fórum Estadual de Saúde do Acre* Membro do GT MROSC/Ac.</v>
      </c>
      <c r="BE78" s="27" t="str">
        <f ca="1">IFERROR(__xludf.DUMMYFUNCTION("""COMPUTED_VALUE"""),"Feminino")</f>
        <v>Feminino</v>
      </c>
      <c r="BF78" s="27" t="str">
        <f ca="1">IFERROR(__xludf.DUMMYFUNCTION("""COMPUTED_VALUE"""),"Heterossexual")</f>
        <v>Heterossexual</v>
      </c>
      <c r="BG78" s="27"/>
      <c r="BH78" s="27" t="str">
        <f ca="1">IFERROR(__xludf.DUMMYFUNCTION("""COMPUTED_VALUE"""),"Público")</f>
        <v>Público</v>
      </c>
      <c r="BI78" s="27"/>
      <c r="BJ78" s="27"/>
      <c r="BK78" s="27" t="str">
        <f ca="1">IFERROR(__xludf.DUMMYFUNCTION("""COMPUTED_VALUE"""),"Estrada do São Francisco")</f>
        <v>Estrada do São Francisco</v>
      </c>
      <c r="BL78" s="27">
        <f ca="1">IFERROR(__xludf.DUMMYFUNCTION("""COMPUTED_VALUE"""),1853)</f>
        <v>1853</v>
      </c>
      <c r="BM78" s="27"/>
      <c r="BN78" s="27"/>
      <c r="BO78" s="27">
        <f ca="1">IFERROR(__xludf.DUMMYFUNCTION("""COMPUTED_VALUE"""),69901815)</f>
        <v>69901815</v>
      </c>
      <c r="BP78" s="27" t="str">
        <f ca="1">IFERROR(__xludf.DUMMYFUNCTION("""COMPUTED_VALUE"""),"AC")</f>
        <v>AC</v>
      </c>
      <c r="BQ78" s="27" t="str">
        <f ca="1">IFERROR(__xludf.DUMMYFUNCTION("""COMPUTED_VALUE"""),"Entre 1 até 3 salários mínimos")</f>
        <v>Entre 1 até 3 salários mínimos</v>
      </c>
      <c r="BR78" s="27" t="str">
        <f ca="1">IFERROR(__xludf.DUMMYFUNCTION("""COMPUTED_VALUE"""),"Desempregado")</f>
        <v>Desempregado</v>
      </c>
      <c r="BS78" s="27" t="str">
        <f ca="1">IFERROR(__xludf.DUMMYFUNCTION("""COMPUTED_VALUE"""),"Casa própria")</f>
        <v>Casa própria</v>
      </c>
      <c r="BT78" s="27">
        <f ca="1">IFERROR(__xludf.DUMMYFUNCTION("""COMPUTED_VALUE"""),5)</f>
        <v>5</v>
      </c>
      <c r="BU78" s="27" t="str">
        <f ca="1">IFERROR(__xludf.DUMMYFUNCTION("""COMPUTED_VALUE"""),"Não tem")</f>
        <v>Não tem</v>
      </c>
      <c r="BV78" s="27" t="str">
        <f ca="1">IFERROR(__xludf.DUMMYFUNCTION("""COMPUTED_VALUE"""),"Não")</f>
        <v>Não</v>
      </c>
      <c r="BW78" s="27"/>
      <c r="BX78" s="27"/>
      <c r="BY78" s="21" t="str">
        <f ca="1">IFERROR(__xludf.DUMMYFUNCTION("""COMPUTED_VALUE"""),"https://drive.google.com/open?id=1FZ---GTUeueSKfGN6xgMGrb5LUcOgZMA")</f>
        <v>https://drive.google.com/open?id=1FZ---GTUeueSKfGN6xgMGrb5LUcOgZMA</v>
      </c>
    </row>
    <row r="79" spans="1:77" ht="12.5" hidden="1" x14ac:dyDescent="0.25">
      <c r="A79" s="21" t="str">
        <f ca="1">IFERROR(__xludf.DUMMYFUNCTION("""COMPUTED_VALUE"""),"0014P00003YSp97QAD")</f>
        <v>0014P00003YSp97QAD</v>
      </c>
      <c r="B79" s="27" t="str">
        <f ca="1">IFERROR(__xludf.DUMMYFUNCTION("""COMPUTED_VALUE"""),"Fase Estruturação")</f>
        <v>Fase Estruturação</v>
      </c>
      <c r="C79" s="27" t="str">
        <f ca="1">IFERROR(__xludf.DUMMYFUNCTION("""COMPUTED_VALUE"""),"Fellow")</f>
        <v>Fellow</v>
      </c>
      <c r="D79" s="27" t="str">
        <f ca="1">IFERROR(__xludf.DUMMYFUNCTION("""COMPUTED_VALUE"""),"Ativo")</f>
        <v>Ativo</v>
      </c>
      <c r="E79" s="27" t="str">
        <f ca="1">IFERROR(__xludf.DUMMYFUNCTION("""COMPUTED_VALUE"""),"Associação de Proteção à Infância Vovô Vitorino")</f>
        <v>Associação de Proteção à Infância Vovô Vitorino</v>
      </c>
      <c r="F79" s="27" t="str">
        <f ca="1">IFERROR(__xludf.DUMMYFUNCTION("""COMPUTED_VALUE"""),"Maria")</f>
        <v>Maria</v>
      </c>
      <c r="G79" s="27"/>
      <c r="H79" s="27" t="str">
        <f ca="1">IFERROR(__xludf.DUMMYFUNCTION("""COMPUTED_VALUE"""),"00.300.943/0001-30")</f>
        <v>00.300.943/0001-30</v>
      </c>
      <c r="I79" s="27" t="str">
        <f ca="1">IFERROR(__xludf.DUMMYFUNCTION("""COMPUTED_VALUE"""),"Livercina Xavier")</f>
        <v>Livercina Xavier</v>
      </c>
      <c r="J79" s="27" t="str">
        <f ca="1">IFERROR(__xludf.DUMMYFUNCTION("""COMPUTED_VALUE"""),"associacaovovovitorino@gmail.com")</f>
        <v>associacaovovovitorino@gmail.com</v>
      </c>
      <c r="K79" s="27" t="str">
        <f ca="1">IFERROR(__xludf.DUMMYFUNCTION("""COMPUTED_VALUE"""),"(41)98455-1787")</f>
        <v>(41)98455-1787</v>
      </c>
      <c r="L79" s="27" t="str">
        <f ca="1">IFERROR(__xludf.DUMMYFUNCTION("""COMPUTED_VALUE"""),"PR")</f>
        <v>PR</v>
      </c>
      <c r="M79" s="27" t="str">
        <f ca="1">IFERROR(__xludf.DUMMYFUNCTION("""COMPUTED_VALUE"""),"Rua Tenente coronel Manoel Eufrásio de Assumpção")</f>
        <v>Rua Tenente coronel Manoel Eufrásio de Assumpção</v>
      </c>
      <c r="N79" s="27" t="str">
        <f ca="1">IFERROR(__xludf.DUMMYFUNCTION("""COMPUTED_VALUE"""),"Tatuquara")</f>
        <v>Tatuquara</v>
      </c>
      <c r="O79" s="27">
        <f ca="1">IFERROR(__xludf.DUMMYFUNCTION("""COMPUTED_VALUE"""),288)</f>
        <v>288</v>
      </c>
      <c r="P79" s="27" t="str">
        <f ca="1">IFERROR(__xludf.DUMMYFUNCTION("""COMPUTED_VALUE"""),"Curitiba")</f>
        <v>Curitiba</v>
      </c>
      <c r="Q79" s="27"/>
      <c r="R79" s="27" t="str">
        <f ca="1">IFERROR(__xludf.DUMMYFUNCTION("""COMPUTED_VALUE"""),"81480-206")</f>
        <v>81480-206</v>
      </c>
      <c r="S79" s="27"/>
      <c r="T79" s="27" t="str">
        <f ca="1">IFERROR(__xludf.DUMMYFUNCTION("""COMPUTED_VALUE"""),"Educação; Assistência Social; Qualificação Profissional; Meio ambiente; Defesa de Direitos; Desenvolvimento comunitário")</f>
        <v>Educação; Assistência Social; Qualificação Profissional; Meio ambiente; Defesa de Direitos; Desenvolvimento comunitário</v>
      </c>
      <c r="U79" s="27" t="str">
        <f ca="1">IFERROR(__xludf.DUMMYFUNCTION("""COMPUTED_VALUE"""),"Crianças (6 a 12 anos); Jovens (18 aos 24 anos); Adultos; Idosos (60 anos ou mais)")</f>
        <v>Crianças (6 a 12 anos); Jovens (18 aos 24 anos); Adultos; Idosos (60 anos ou mais)</v>
      </c>
      <c r="V79" s="27" t="str">
        <f ca="1">IFERROR(__xludf.DUMMYFUNCTION("""COMPUTED_VALUE"""),"Moradores de Favelas; Povos Indígenas")</f>
        <v>Moradores de Favelas; Povos Indígenas</v>
      </c>
      <c r="W79" s="27">
        <f ca="1">IFERROR(__xludf.DUMMYFUNCTION("""COMPUTED_VALUE"""),10)</f>
        <v>10</v>
      </c>
      <c r="X79" s="27"/>
      <c r="Y79" s="27"/>
      <c r="Z79" s="27">
        <f ca="1">IFERROR(__xludf.DUMMYFUNCTION("""COMPUTED_VALUE"""),28000)</f>
        <v>28000</v>
      </c>
      <c r="AA79" s="29">
        <f ca="1">IFERROR(__xludf.DUMMYFUNCTION("""COMPUTED_VALUE"""),34555)</f>
        <v>34555</v>
      </c>
      <c r="AB79" s="27" t="str">
        <f ca="1">IFERROR(__xludf.DUMMYFUNCTION("""COMPUTED_VALUE"""),"Sim")</f>
        <v>Sim</v>
      </c>
      <c r="AC79" s="27">
        <f ca="1">IFERROR(__xludf.DUMMYFUNCTION("""COMPUTED_VALUE"""),5)</f>
        <v>5</v>
      </c>
      <c r="AD79" s="27">
        <f ca="1">IFERROR(__xludf.DUMMYFUNCTION("""COMPUTED_VALUE"""),5)</f>
        <v>5</v>
      </c>
      <c r="AE79" s="27">
        <f ca="1">IFERROR(__xludf.DUMMYFUNCTION("""COMPUTED_VALUE"""),25)</f>
        <v>25</v>
      </c>
      <c r="AF79" s="27">
        <f ca="1">IFERROR(__xludf.DUMMYFUNCTION("""COMPUTED_VALUE"""),25)</f>
        <v>25</v>
      </c>
      <c r="AG79" s="27">
        <f ca="1">IFERROR(__xludf.DUMMYFUNCTION("""COMPUTED_VALUE"""),3)</f>
        <v>3</v>
      </c>
      <c r="AH79" s="27" t="str">
        <f ca="1">IFERROR(__xludf.DUMMYFUNCTION("""COMPUTED_VALUE"""),"Negócio Social; Parceria iniciativa privada; Doações")</f>
        <v>Negócio Social; Parceria iniciativa privada; Doações</v>
      </c>
      <c r="AI79" s="27">
        <f ca="1">IFERROR(__xludf.DUMMYFUNCTION("""COMPUTED_VALUE"""),0)</f>
        <v>0</v>
      </c>
      <c r="AJ79" s="27"/>
      <c r="AK79" s="27"/>
      <c r="AL79" s="21" t="str">
        <f ca="1">IFERROR(__xludf.DUMMYFUNCTION("""COMPUTED_VALUE"""),"0034P000045kxjj")</f>
        <v>0034P000045kxjj</v>
      </c>
      <c r="AM79" s="27" t="str">
        <f ca="1">IFERROR(__xludf.DUMMYFUNCTION("""COMPUTED_VALUE"""),"Júlia Xavier")</f>
        <v>Júlia Xavier</v>
      </c>
      <c r="AN79" s="27" t="str">
        <f ca="1">IFERROR(__xludf.DUMMYFUNCTION("""COMPUTED_VALUE"""),"Ativo")</f>
        <v>Ativo</v>
      </c>
      <c r="AO79" s="30">
        <f ca="1">IFERROR(__xludf.DUMMYFUNCTION("""COMPUTED_VALUE"""),44551)</f>
        <v>44551</v>
      </c>
      <c r="AP79" s="27">
        <f ca="1">IFERROR(__xludf.DUMMYFUNCTION("""COMPUTED_VALUE"""),9)</f>
        <v>9</v>
      </c>
      <c r="AQ79" s="27" t="str">
        <f ca="1">IFERROR(__xludf.DUMMYFUNCTION("""COMPUTED_VALUE"""),"Segundo Semestre 2021")</f>
        <v>Segundo Semestre 2021</v>
      </c>
      <c r="AR79" s="27" t="str">
        <f ca="1">IFERROR(__xludf.DUMMYFUNCTION("""COMPUTED_VALUE"""),"mariajuliadovovovitorino@gmail.com")</f>
        <v>mariajuliadovovovitorino@gmail.com</v>
      </c>
      <c r="AS79" s="27" t="str">
        <f ca="1">IFERROR(__xludf.DUMMYFUNCTION("""COMPUTED_VALUE"""),"(41)98455-1787")</f>
        <v>(41)98455-1787</v>
      </c>
      <c r="AT79" s="30">
        <f ca="1">IFERROR(__xludf.DUMMYFUNCTION("""COMPUTED_VALUE"""),23698)</f>
        <v>23698</v>
      </c>
      <c r="AU79" s="27">
        <f ca="1">IFERROR(__xludf.DUMMYFUNCTION("""COMPUTED_VALUE"""),58)</f>
        <v>58</v>
      </c>
      <c r="AV79" s="27">
        <f ca="1">IFERROR(__xludf.DUMMYFUNCTION("""COMPUTED_VALUE"""),53173376900)</f>
        <v>53173376900</v>
      </c>
      <c r="AW79" s="27">
        <f ca="1">IFERROR(__xludf.DUMMYFUNCTION("""COMPUTED_VALUE"""),40539460)</f>
        <v>40539460</v>
      </c>
      <c r="AX79" s="27"/>
      <c r="AY79" s="27"/>
      <c r="AZ79" s="27" t="str">
        <f ca="1">IFERROR(__xludf.DUMMYFUNCTION("""COMPUTED_VALUE"""),"G")</f>
        <v>G</v>
      </c>
      <c r="BA79" s="27" t="str">
        <f ca="1">IFERROR(__xludf.DUMMYFUNCTION("""COMPUTED_VALUE"""),"Branca")</f>
        <v>Branca</v>
      </c>
      <c r="BB79" s="27" t="str">
        <f ca="1">IFERROR(__xludf.DUMMYFUNCTION("""COMPUTED_VALUE"""),"Mulher, cisgênero")</f>
        <v>Mulher, cisgênero</v>
      </c>
      <c r="BC79" s="27" t="str">
        <f ca="1">IFERROR(__xludf.DUMMYFUNCTION("""COMPUTED_VALUE"""),"Sim")</f>
        <v>Sim</v>
      </c>
      <c r="BD79" s="27" t="str">
        <f ca="1">IFERROR(__xludf.DUMMYFUNCTION("""COMPUTED_VALUE"""),"Maria Júlia assistente social, pedagoga e historiadora, coordenadora de projetos, 30 anos no terceiro setor, amo muito o que faço.")</f>
        <v>Maria Júlia assistente social, pedagoga e historiadora, coordenadora de projetos, 30 anos no terceiro setor, amo muito o que faço.</v>
      </c>
      <c r="BE79" s="27"/>
      <c r="BF79" s="27" t="str">
        <f ca="1">IFERROR(__xludf.DUMMYFUNCTION("""COMPUTED_VALUE"""),"Heterossexual")</f>
        <v>Heterossexual</v>
      </c>
      <c r="BG79" s="27" t="str">
        <f ca="1">IFERROR(__xludf.DUMMYFUNCTION("""COMPUTED_VALUE"""),"Ensino Superior - Completo")</f>
        <v>Ensino Superior - Completo</v>
      </c>
      <c r="BH79" s="27" t="str">
        <f ca="1">IFERROR(__xludf.DUMMYFUNCTION("""COMPUTED_VALUE"""),"Público")</f>
        <v>Público</v>
      </c>
      <c r="BI79" s="27" t="str">
        <f ca="1">IFERROR(__xludf.DUMMYFUNCTION("""COMPUTED_VALUE"""),"Pós-Graduação")</f>
        <v>Pós-Graduação</v>
      </c>
      <c r="BJ79" s="27" t="str">
        <f ca="1">IFERROR(__xludf.DUMMYFUNCTION("""COMPUTED_VALUE"""),"Privado")</f>
        <v>Privado</v>
      </c>
      <c r="BK79" s="27" t="str">
        <f ca="1">IFERROR(__xludf.DUMMYFUNCTION("""COMPUTED_VALUE"""),"Rua Tenente coronel Manoel Eufrásio de Assumpção")</f>
        <v>Rua Tenente coronel Manoel Eufrásio de Assumpção</v>
      </c>
      <c r="BL79" s="27">
        <f ca="1">IFERROR(__xludf.DUMMYFUNCTION("""COMPUTED_VALUE"""),288)</f>
        <v>288</v>
      </c>
      <c r="BM79" s="27" t="str">
        <f ca="1">IFERROR(__xludf.DUMMYFUNCTION("""COMPUTED_VALUE"""),"Jardim da ordem")</f>
        <v>Jardim da ordem</v>
      </c>
      <c r="BN79" s="27" t="str">
        <f ca="1">IFERROR(__xludf.DUMMYFUNCTION("""COMPUTED_VALUE"""),"Curitiba")</f>
        <v>Curitiba</v>
      </c>
      <c r="BO79" s="27" t="str">
        <f ca="1">IFERROR(__xludf.DUMMYFUNCTION("""COMPUTED_VALUE"""),"81480-206")</f>
        <v>81480-206</v>
      </c>
      <c r="BP79" s="27" t="str">
        <f ca="1">IFERROR(__xludf.DUMMYFUNCTION("""COMPUTED_VALUE"""),"PR")</f>
        <v>PR</v>
      </c>
      <c r="BQ79" s="27" t="str">
        <f ca="1">IFERROR(__xludf.DUMMYFUNCTION("""COMPUTED_VALUE"""),"De 3 até 5 salários mínimos")</f>
        <v>De 3 até 5 salários mínimos</v>
      </c>
      <c r="BR79" s="27" t="str">
        <f ca="1">IFERROR(__xludf.DUMMYFUNCTION("""COMPUTED_VALUE"""),"CLT")</f>
        <v>CLT</v>
      </c>
      <c r="BS79" s="27" t="str">
        <f ca="1">IFERROR(__xludf.DUMMYFUNCTION("""COMPUTED_VALUE"""),"Casa própria")</f>
        <v>Casa própria</v>
      </c>
      <c r="BT79" s="27">
        <f ca="1">IFERROR(__xludf.DUMMYFUNCTION("""COMPUTED_VALUE"""),0)</f>
        <v>0</v>
      </c>
      <c r="BU79" s="27" t="str">
        <f ca="1">IFERROR(__xludf.DUMMYFUNCTION("""COMPUTED_VALUE"""),"Não tem")</f>
        <v>Não tem</v>
      </c>
      <c r="BV79" s="27"/>
      <c r="BW79" s="27"/>
      <c r="BX79" s="27"/>
      <c r="BY79" s="21" t="str">
        <f ca="1">IFERROR(__xludf.DUMMYFUNCTION("""COMPUTED_VALUE"""),"https://drive.google.com/open?id=1_UbojC7Fh8veCvRc0lsyvMkEKEaqBwfy")</f>
        <v>https://drive.google.com/open?id=1_UbojC7Fh8veCvRc0lsyvMkEKEaqBwfy</v>
      </c>
    </row>
    <row r="80" spans="1:77" ht="12.5" hidden="1" x14ac:dyDescent="0.25">
      <c r="A80" s="21" t="str">
        <f ca="1">IFERROR(__xludf.DUMMYFUNCTION("""COMPUTED_VALUE"""),"0014P00003SGWPtQAP")</f>
        <v>0014P00003SGWPtQAP</v>
      </c>
      <c r="B80" s="27" t="str">
        <f ca="1">IFERROR(__xludf.DUMMYFUNCTION("""COMPUTED_VALUE"""),"Fase Inicial")</f>
        <v>Fase Inicial</v>
      </c>
      <c r="C80" s="27" t="str">
        <f ca="1">IFERROR(__xludf.DUMMYFUNCTION("""COMPUTED_VALUE"""),"Fellow")</f>
        <v>Fellow</v>
      </c>
      <c r="D80" s="27" t="str">
        <f ca="1">IFERROR(__xludf.DUMMYFUNCTION("""COMPUTED_VALUE"""),"Ativo")</f>
        <v>Ativo</v>
      </c>
      <c r="E80" s="27" t="str">
        <f ca="1">IFERROR(__xludf.DUMMYFUNCTION("""COMPUTED_VALUE"""),"ASSOCIAÇÃO DESPERTAR SABEDORIA NO SOL NASCETE")</f>
        <v>ASSOCIAÇÃO DESPERTAR SABEDORIA NO SOL NASCETE</v>
      </c>
      <c r="F80" s="27" t="str">
        <f ca="1">IFERROR(__xludf.DUMMYFUNCTION("""COMPUTED_VALUE"""),"Margarida")</f>
        <v>Margarida</v>
      </c>
      <c r="G80" s="27" t="str">
        <f ca="1">IFERROR(__xludf.DUMMYFUNCTION("""COMPUTED_VALUE"""),"DESPERTAR")</f>
        <v>DESPERTAR</v>
      </c>
      <c r="H80" s="27" t="str">
        <f ca="1">IFERROR(__xludf.DUMMYFUNCTION("""COMPUTED_VALUE"""),"07.287.987/0001-46")</f>
        <v>07.287.987/0001-46</v>
      </c>
      <c r="I80" s="27" t="str">
        <f ca="1">IFERROR(__xludf.DUMMYFUNCTION("""COMPUTED_VALUE"""),"Margarida Minervina Da Silva")</f>
        <v>Margarida Minervina Da Silva</v>
      </c>
      <c r="J80" s="27" t="str">
        <f ca="1">IFERROR(__xludf.DUMMYFUNCTION("""COMPUTED_VALUE"""),"margaridash@gmail.com")</f>
        <v>margaridash@gmail.com</v>
      </c>
      <c r="K80" s="27" t="str">
        <f ca="1">IFERROR(__xludf.DUMMYFUNCTION("""COMPUTED_VALUE"""),"(61)8585-9130")</f>
        <v>(61)8585-9130</v>
      </c>
      <c r="L80" s="27" t="str">
        <f ca="1">IFERROR(__xludf.DUMMYFUNCTION("""COMPUTED_VALUE"""),"DF")</f>
        <v>DF</v>
      </c>
      <c r="M80" s="27" t="str">
        <f ca="1">IFERROR(__xludf.DUMMYFUNCTION("""COMPUTED_VALUE"""),"quadra f")</f>
        <v>quadra f</v>
      </c>
      <c r="N80" s="27" t="str">
        <f ca="1">IFERROR(__xludf.DUMMYFUNCTION("""COMPUTED_VALUE"""),"Sol Nascente")</f>
        <v>Sol Nascente</v>
      </c>
      <c r="O80" s="27" t="str">
        <f ca="1">IFERROR(__xludf.DUMMYFUNCTION("""COMPUTED_VALUE"""),"(61)8585-9130")</f>
        <v>(61)8585-9130</v>
      </c>
      <c r="P80" s="27" t="str">
        <f ca="1">IFERROR(__xludf.DUMMYFUNCTION("""COMPUTED_VALUE"""),"Sol Nascente")</f>
        <v>Sol Nascente</v>
      </c>
      <c r="Q80" s="27"/>
      <c r="R80" s="27" t="str">
        <f ca="1">IFERROR(__xludf.DUMMYFUNCTION("""COMPUTED_VALUE"""),"72236-800")</f>
        <v>72236-800</v>
      </c>
      <c r="S80" s="27"/>
      <c r="T80" s="27" t="str">
        <f ca="1">IFERROR(__xludf.DUMMYFUNCTION("""COMPUTED_VALUE"""),"Educação; Assistência Social; Cultura")</f>
        <v>Educação; Assistência Social; Cultura</v>
      </c>
      <c r="U80"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80" s="27" t="str">
        <f ca="1">IFERROR(__xludf.DUMMYFUNCTION("""COMPUTED_VALUE"""),"Moradores de Favelas; Outros")</f>
        <v>Moradores de Favelas; Outros</v>
      </c>
      <c r="W80" s="27">
        <f ca="1">IFERROR(__xludf.DUMMYFUNCTION("""COMPUTED_VALUE"""),5)</f>
        <v>5</v>
      </c>
      <c r="X80" s="27" t="str">
        <f ca="1">IFERROR(__xludf.DUMMYFUNCTION("""COMPUTED_VALUE"""),"Atendemos crianças jovens e adultos na área educacional especificamente no Sol Nascente Trecho III. Já na área assistencial o atendimento e maior e vai para muitas outras R.As (Regiões Administrativas)")</f>
        <v>Atendemos crianças jovens e adultos na área educacional especificamente no Sol Nascente Trecho III. Já na área assistencial o atendimento e maior e vai para muitas outras R.As (Regiões Administrativas)</v>
      </c>
      <c r="Y80" s="27">
        <f ca="1">IFERROR(__xludf.DUMMYFUNCTION("""COMPUTED_VALUE"""),3000)</f>
        <v>3000</v>
      </c>
      <c r="Z80" s="27">
        <f ca="1">IFERROR(__xludf.DUMMYFUNCTION("""COMPUTED_VALUE"""),5500)</f>
        <v>5500</v>
      </c>
      <c r="AA80" s="29">
        <f ca="1">IFERROR(__xludf.DUMMYFUNCTION("""COMPUTED_VALUE"""),38144)</f>
        <v>38144</v>
      </c>
      <c r="AB80" s="27" t="str">
        <f ca="1">IFERROR(__xludf.DUMMYFUNCTION("""COMPUTED_VALUE"""),"Sim")</f>
        <v>Sim</v>
      </c>
      <c r="AC80" s="27">
        <f ca="1">IFERROR(__xludf.DUMMYFUNCTION("""COMPUTED_VALUE"""),3)</f>
        <v>3</v>
      </c>
      <c r="AD80" s="27">
        <f ca="1">IFERROR(__xludf.DUMMYFUNCTION("""COMPUTED_VALUE"""),3)</f>
        <v>3</v>
      </c>
      <c r="AE80" s="27">
        <f ca="1">IFERROR(__xludf.DUMMYFUNCTION("""COMPUTED_VALUE"""),15)</f>
        <v>15</v>
      </c>
      <c r="AF80" s="27">
        <f ca="1">IFERROR(__xludf.DUMMYFUNCTION("""COMPUTED_VALUE"""),15)</f>
        <v>15</v>
      </c>
      <c r="AG80" s="27">
        <f ca="1">IFERROR(__xludf.DUMMYFUNCTION("""COMPUTED_VALUE"""),0)</f>
        <v>0</v>
      </c>
      <c r="AH80" s="27" t="str">
        <f ca="1">IFERROR(__xludf.DUMMYFUNCTION("""COMPUTED_VALUE"""),"Editais; Outro(s); Recursos próprios")</f>
        <v>Editais; Outro(s); Recursos próprios</v>
      </c>
      <c r="AI80" s="27" t="str">
        <f ca="1">IFERROR(__xludf.DUMMYFUNCTION("""COMPUTED_VALUE"""),"100% de valores de doação")</f>
        <v>100% de valores de doação</v>
      </c>
      <c r="AJ80" s="27" t="str">
        <f ca="1">IFERROR(__xludf.DUMMYFUNCTION("""COMPUTED_VALUE"""),"Sim")</f>
        <v>Sim</v>
      </c>
      <c r="AK80" s="27" t="str">
        <f ca="1">IFERROR(__xludf.DUMMYFUNCTION("""COMPUTED_VALUE"""),"Não")</f>
        <v>Não</v>
      </c>
      <c r="AL80" s="21" t="str">
        <f ca="1">IFERROR(__xludf.DUMMYFUNCTION("""COMPUTED_VALUE"""),"0034P000043fPDl")</f>
        <v>0034P000043fPDl</v>
      </c>
      <c r="AM80" s="27" t="str">
        <f ca="1">IFERROR(__xludf.DUMMYFUNCTION("""COMPUTED_VALUE"""),"Minervina Da Silva")</f>
        <v>Minervina Da Silva</v>
      </c>
      <c r="AN80" s="27" t="str">
        <f ca="1">IFERROR(__xludf.DUMMYFUNCTION("""COMPUTED_VALUE"""),"Ativo")</f>
        <v>Ativo</v>
      </c>
      <c r="AO80" s="29">
        <f ca="1">IFERROR(__xludf.DUMMYFUNCTION("""COMPUTED_VALUE"""),44432)</f>
        <v>44432</v>
      </c>
      <c r="AP80" s="27">
        <f ca="1">IFERROR(__xludf.DUMMYFUNCTION("""COMPUTED_VALUE"""),13)</f>
        <v>13</v>
      </c>
      <c r="AQ80" s="27" t="str">
        <f ca="1">IFERROR(__xludf.DUMMYFUNCTION("""COMPUTED_VALUE"""),"Primeiro Semestre 2021")</f>
        <v>Primeiro Semestre 2021</v>
      </c>
      <c r="AR80" s="27" t="str">
        <f ca="1">IFERROR(__xludf.DUMMYFUNCTION("""COMPUTED_VALUE"""),"margaridash@gmail.com")</f>
        <v>margaridash@gmail.com</v>
      </c>
      <c r="AS80" s="27" t="str">
        <f ca="1">IFERROR(__xludf.DUMMYFUNCTION("""COMPUTED_VALUE"""),"(61)8585-9130")</f>
        <v>(61)8585-9130</v>
      </c>
      <c r="AT80" s="30">
        <f ca="1">IFERROR(__xludf.DUMMYFUNCTION("""COMPUTED_VALUE"""),26595)</f>
        <v>26595</v>
      </c>
      <c r="AU80" s="27">
        <f ca="1">IFERROR(__xludf.DUMMYFUNCTION("""COMPUTED_VALUE"""),50)</f>
        <v>50</v>
      </c>
      <c r="AV80" s="27">
        <f ca="1">IFERROR(__xludf.DUMMYFUNCTION("""COMPUTED_VALUE"""),49008650363)</f>
        <v>49008650363</v>
      </c>
      <c r="AW80" s="27">
        <f ca="1">IFERROR(__xludf.DUMMYFUNCTION("""COMPUTED_VALUE"""),2167447)</f>
        <v>2167447</v>
      </c>
      <c r="AX80" s="27" t="str">
        <f ca="1">IFERROR(__xludf.DUMMYFUNCTION("""COMPUTED_VALUE"""),"Assistente Social E Pedagogia.")</f>
        <v>Assistente Social E Pedagogia.</v>
      </c>
      <c r="AY80" s="27"/>
      <c r="AZ80" s="27" t="str">
        <f ca="1">IFERROR(__xludf.DUMMYFUNCTION("""COMPUTED_VALUE"""),"G")</f>
        <v>G</v>
      </c>
      <c r="BA80" s="27" t="str">
        <f ca="1">IFERROR(__xludf.DUMMYFUNCTION("""COMPUTED_VALUE"""),"Preta")</f>
        <v>Preta</v>
      </c>
      <c r="BB80" s="27"/>
      <c r="BC80" s="27" t="str">
        <f ca="1">IFERROR(__xludf.DUMMYFUNCTION("""COMPUTED_VALUE"""),"Sim")</f>
        <v>Sim</v>
      </c>
      <c r="BD80" s="27" t="str">
        <f ca="1">IFERROR(__xludf.DUMMYFUNCTION("""COMPUTED_VALUE"""),"Saí do nordeste para tentar um vida na capital do nosso país, achei que não havia favela em Brasília. Meu ex-marido não se adaptou e fiquei sozinha com dois filhos pequenos. Sem dinheiro, não me fiz de rogado, trabalhei no serviço de limpeza urbana e empr"&amp;"egada doméstica. Fiz o possível para criar os meus filhos. O único lugar que pude comprar um terreno foi no Sol Nascente, hoje considerado a maior favela da América Latina. E assim, comecei a cuidar de crianças.  Nascendo a ADSSN.")</f>
        <v>Saí do nordeste para tentar um vida na capital do nosso país, achei que não havia favela em Brasília. Meu ex-marido não se adaptou e fiquei sozinha com dois filhos pequenos. Sem dinheiro, não me fiz de rogado, trabalhei no serviço de limpeza urbana e empregada doméstica. Fiz o possível para criar os meus filhos. O único lugar que pude comprar um terreno foi no Sol Nascente, hoje considerado a maior favela da América Latina. E assim, comecei a cuidar de crianças.  Nascendo a ADSSN.</v>
      </c>
      <c r="BE80" s="27" t="str">
        <f ca="1">IFERROR(__xludf.DUMMYFUNCTION("""COMPUTED_VALUE"""),"Feminino")</f>
        <v>Feminino</v>
      </c>
      <c r="BF80" s="27" t="str">
        <f ca="1">IFERROR(__xludf.DUMMYFUNCTION("""COMPUTED_VALUE"""),"Heterossexual")</f>
        <v>Heterossexual</v>
      </c>
      <c r="BG80" s="27" t="str">
        <f ca="1">IFERROR(__xludf.DUMMYFUNCTION("""COMPUTED_VALUE"""),"Ensino Superior - Completo")</f>
        <v>Ensino Superior - Completo</v>
      </c>
      <c r="BH80" s="27"/>
      <c r="BI80" s="27" t="str">
        <f ca="1">IFERROR(__xludf.DUMMYFUNCTION("""COMPUTED_VALUE"""),"Graduação")</f>
        <v>Graduação</v>
      </c>
      <c r="BJ80" s="27" t="str">
        <f ca="1">IFERROR(__xludf.DUMMYFUNCTION("""COMPUTED_VALUE"""),"Privado")</f>
        <v>Privado</v>
      </c>
      <c r="BK80" s="27" t="str">
        <f ca="1">IFERROR(__xludf.DUMMYFUNCTION("""COMPUTED_VALUE"""),"Quadra F")</f>
        <v>Quadra F</v>
      </c>
      <c r="BL80" s="27">
        <f ca="1">IFERROR(__xludf.DUMMYFUNCTION("""COMPUTED_VALUE"""),12)</f>
        <v>12</v>
      </c>
      <c r="BM80" s="27" t="str">
        <f ca="1">IFERROR(__xludf.DUMMYFUNCTION("""COMPUTED_VALUE"""),"Chocará 05")</f>
        <v>Chocará 05</v>
      </c>
      <c r="BN80" s="27" t="str">
        <f ca="1">IFERROR(__xludf.DUMMYFUNCTION("""COMPUTED_VALUE"""),"Sol Nascente")</f>
        <v>Sol Nascente</v>
      </c>
      <c r="BO80" s="27" t="str">
        <f ca="1">IFERROR(__xludf.DUMMYFUNCTION("""COMPUTED_VALUE"""),"72236-800")</f>
        <v>72236-800</v>
      </c>
      <c r="BP80" s="27" t="str">
        <f ca="1">IFERROR(__xludf.DUMMYFUNCTION("""COMPUTED_VALUE"""),"DF")</f>
        <v>DF</v>
      </c>
      <c r="BQ80" s="27" t="str">
        <f ca="1">IFERROR(__xludf.DUMMYFUNCTION("""COMPUTED_VALUE"""),"Entre 1 até 3 salários mínimos")</f>
        <v>Entre 1 até 3 salários mínimos</v>
      </c>
      <c r="BR80" s="27" t="str">
        <f ca="1">IFERROR(__xludf.DUMMYFUNCTION("""COMPUTED_VALUE"""),"CLT; MEI; Trabalho informal; Desempregado")</f>
        <v>CLT; MEI; Trabalho informal; Desempregado</v>
      </c>
      <c r="BS80" s="27" t="str">
        <f ca="1">IFERROR(__xludf.DUMMYFUNCTION("""COMPUTED_VALUE"""),"Casa própria")</f>
        <v>Casa própria</v>
      </c>
      <c r="BT80" s="27">
        <f ca="1">IFERROR(__xludf.DUMMYFUNCTION("""COMPUTED_VALUE"""),4)</f>
        <v>4</v>
      </c>
      <c r="BU80" s="27"/>
      <c r="BV80" s="27"/>
      <c r="BW80" s="21" t="str">
        <f ca="1">IFERROR(__xludf.DUMMYFUNCTION("""COMPUTED_VALUE"""),"https://www.linkedin.com/in/margarida-minervina-da-silva-790661169")</f>
        <v>https://www.linkedin.com/in/margarida-minervina-da-silva-790661169</v>
      </c>
      <c r="BX80" s="21" t="str">
        <f ca="1">IFERROR(__xludf.DUMMYFUNCTION("""COMPUTED_VALUE"""),"https://instagram.com/margaridamilech?igshid=YmMyMTA2M2Y=")</f>
        <v>https://instagram.com/margaridamilech?igshid=YmMyMTA2M2Y=</v>
      </c>
      <c r="BY80" s="21" t="str">
        <f ca="1">IFERROR(__xludf.DUMMYFUNCTION("""COMPUTED_VALUE"""),"https://drive.google.com/open?id=1DIeaX3NqyOOH23coh_ArwkyIHy-jRA-R")</f>
        <v>https://drive.google.com/open?id=1DIeaX3NqyOOH23coh_ArwkyIHy-jRA-R</v>
      </c>
    </row>
    <row r="81" spans="1:77" ht="12.5" hidden="1" x14ac:dyDescent="0.25">
      <c r="A81" s="21" t="str">
        <f ca="1">IFERROR(__xludf.DUMMYFUNCTION("""COMPUTED_VALUE"""),"0014P00003YSm8CQAT")</f>
        <v>0014P00003YSm8CQAT</v>
      </c>
      <c r="B81" s="27" t="str">
        <f ca="1">IFERROR(__xludf.DUMMYFUNCTION("""COMPUTED_VALUE"""),"Fase Inicial")</f>
        <v>Fase Inicial</v>
      </c>
      <c r="C81" s="27" t="str">
        <f ca="1">IFERROR(__xludf.DUMMYFUNCTION("""COMPUTED_VALUE"""),"Fellow")</f>
        <v>Fellow</v>
      </c>
      <c r="D81" s="27" t="str">
        <f ca="1">IFERROR(__xludf.DUMMYFUNCTION("""COMPUTED_VALUE"""),"Ativo")</f>
        <v>Ativo</v>
      </c>
      <c r="E81" s="27" t="str">
        <f ca="1">IFERROR(__xludf.DUMMYFUNCTION("""COMPUTED_VALUE"""),"ASSOCIAÇÃO DESPORTIVA E SOCIO CULTURAL CELEIRO DE BAMBAS")</f>
        <v>ASSOCIAÇÃO DESPORTIVA E SOCIO CULTURAL CELEIRO DE BAMBAS</v>
      </c>
      <c r="F81" s="27" t="str">
        <f ca="1">IFERROR(__xludf.DUMMYFUNCTION("""COMPUTED_VALUE"""),"Adilma")</f>
        <v>Adilma</v>
      </c>
      <c r="G81" s="27" t="str">
        <f ca="1">IFERROR(__xludf.DUMMYFUNCTION("""COMPUTED_VALUE"""),"CELEIRO")</f>
        <v>CELEIRO</v>
      </c>
      <c r="H81" s="27" t="str">
        <f ca="1">IFERROR(__xludf.DUMMYFUNCTION("""COMPUTED_VALUE"""),"26.050.190/0001-45")</f>
        <v>26.050.190/0001-45</v>
      </c>
      <c r="I81" s="27" t="str">
        <f ca="1">IFERROR(__xludf.DUMMYFUNCTION("""COMPUTED_VALUE"""),"Adilma Maria")</f>
        <v>Adilma Maria</v>
      </c>
      <c r="J81" s="27" t="str">
        <f ca="1">IFERROR(__xludf.DUMMYFUNCTION("""COMPUTED_VALUE"""),"ongceleirodebambas@gmail.com")</f>
        <v>ongceleirodebambas@gmail.com</v>
      </c>
      <c r="K81" s="27" t="str">
        <f ca="1">IFERROR(__xludf.DUMMYFUNCTION("""COMPUTED_VALUE"""),"(81)8854-1441")</f>
        <v>(81)8854-1441</v>
      </c>
      <c r="L81" s="27" t="str">
        <f ca="1">IFERROR(__xludf.DUMMYFUNCTION("""COMPUTED_VALUE"""),"PE")</f>
        <v>PE</v>
      </c>
      <c r="M81" s="27" t="str">
        <f ca="1">IFERROR(__xludf.DUMMYFUNCTION("""COMPUTED_VALUE"""),"Rua senador Thomaz lobo")</f>
        <v>Rua senador Thomaz lobo</v>
      </c>
      <c r="N81" s="27" t="str">
        <f ca="1">IFERROR(__xludf.DUMMYFUNCTION("""COMPUTED_VALUE"""),"AREIAS")</f>
        <v>AREIAS</v>
      </c>
      <c r="O81" s="27" t="str">
        <f ca="1">IFERROR(__xludf.DUMMYFUNCTION("""COMPUTED_VALUE"""),"(81)98854-1441")</f>
        <v>(81)98854-1441</v>
      </c>
      <c r="P81" s="27" t="str">
        <f ca="1">IFERROR(__xludf.DUMMYFUNCTION("""COMPUTED_VALUE"""),"Recife")</f>
        <v>Recife</v>
      </c>
      <c r="Q81" s="27"/>
      <c r="R81" s="27" t="str">
        <f ca="1">IFERROR(__xludf.DUMMYFUNCTION("""COMPUTED_VALUE"""),"50860-390")</f>
        <v>50860-390</v>
      </c>
      <c r="S81" s="27" t="str">
        <f ca="1">IFERROR(__xludf.DUMMYFUNCTION("""COMPUTED_VALUE"""),"ACADEMIA DA SAUDE CEP:50860-020 CAMPO DA COMUNIDADE CEP:50860-240 E CEP:50860-260")</f>
        <v>ACADEMIA DA SAUDE CEP:50860-020 CAMPO DA COMUNIDADE CEP:50860-240 E CEP:50860-260</v>
      </c>
      <c r="T81" s="27" t="str">
        <f ca="1">IFERROR(__xludf.DUMMYFUNCTION("""COMPUTED_VALUE"""),"Esporte; Educação; Assistência Social; Cultura")</f>
        <v>Esporte; Educação; Assistência Social; Cultura</v>
      </c>
      <c r="U81" s="27" t="str">
        <f ca="1">IFERROR(__xludf.DUMMYFUNCTION("""COMPUTED_VALUE"""),"Crianças (6 a 12 anos); Adolescentes (12 aos 18 anos); Jovens (18 aos 24 anos); Adultos")</f>
        <v>Crianças (6 a 12 anos); Adolescentes (12 aos 18 anos); Jovens (18 aos 24 anos); Adultos</v>
      </c>
      <c r="V81" s="27" t="str">
        <f ca="1">IFERROR(__xludf.DUMMYFUNCTION("""COMPUTED_VALUE"""),"Moradores de Favelas; Ribeirinhos")</f>
        <v>Moradores de Favelas; Ribeirinhos</v>
      </c>
      <c r="W81" s="27">
        <f ca="1">IFERROR(__xludf.DUMMYFUNCTION("""COMPUTED_VALUE"""),10)</f>
        <v>10</v>
      </c>
      <c r="X81" s="27"/>
      <c r="Y81" s="27">
        <f ca="1">IFERROR(__xludf.DUMMYFUNCTION("""COMPUTED_VALUE"""),67)</f>
        <v>67</v>
      </c>
      <c r="Z81" s="27">
        <f ca="1">IFERROR(__xludf.DUMMYFUNCTION("""COMPUTED_VALUE"""),184)</f>
        <v>184</v>
      </c>
      <c r="AA81" s="29">
        <f ca="1">IFERROR(__xludf.DUMMYFUNCTION("""COMPUTED_VALUE"""),42371)</f>
        <v>42371</v>
      </c>
      <c r="AB81" s="27" t="str">
        <f ca="1">IFERROR(__xludf.DUMMYFUNCTION("""COMPUTED_VALUE"""),"Sim")</f>
        <v>Sim</v>
      </c>
      <c r="AC81" s="27">
        <f ca="1">IFERROR(__xludf.DUMMYFUNCTION("""COMPUTED_VALUE"""),8)</f>
        <v>8</v>
      </c>
      <c r="AD81" s="27">
        <f ca="1">IFERROR(__xludf.DUMMYFUNCTION("""COMPUTED_VALUE"""),2)</f>
        <v>2</v>
      </c>
      <c r="AE81" s="27">
        <f ca="1">IFERROR(__xludf.DUMMYFUNCTION("""COMPUTED_VALUE"""),8)</f>
        <v>8</v>
      </c>
      <c r="AF81" s="27">
        <f ca="1">IFERROR(__xludf.DUMMYFUNCTION("""COMPUTED_VALUE"""),2)</f>
        <v>2</v>
      </c>
      <c r="AG81" s="27">
        <f ca="1">IFERROR(__xludf.DUMMYFUNCTION("""COMPUTED_VALUE"""),2)</f>
        <v>2</v>
      </c>
      <c r="AH81" s="27" t="str">
        <f ca="1">IFERROR(__xludf.DUMMYFUNCTION("""COMPUTED_VALUE"""),"Editais; Doações")</f>
        <v>Editais; Doações</v>
      </c>
      <c r="AI81" s="27">
        <f ca="1">IFERROR(__xludf.DUMMYFUNCTION("""COMPUTED_VALUE"""),89)</f>
        <v>89</v>
      </c>
      <c r="AJ81" s="27" t="str">
        <f ca="1">IFERROR(__xludf.DUMMYFUNCTION("""COMPUTED_VALUE"""),"Sim")</f>
        <v>Sim</v>
      </c>
      <c r="AK81" s="27" t="str">
        <f ca="1">IFERROR(__xludf.DUMMYFUNCTION("""COMPUTED_VALUE"""),"Sim")</f>
        <v>Sim</v>
      </c>
      <c r="AL81" s="21" t="str">
        <f ca="1">IFERROR(__xludf.DUMMYFUNCTION("""COMPUTED_VALUE"""),"0034P000045knPD")</f>
        <v>0034P000045knPD</v>
      </c>
      <c r="AM81" s="27" t="str">
        <f ca="1">IFERROR(__xludf.DUMMYFUNCTION("""COMPUTED_VALUE"""),"Maria Gonçalves")</f>
        <v>Maria Gonçalves</v>
      </c>
      <c r="AN81" s="27" t="str">
        <f ca="1">IFERROR(__xludf.DUMMYFUNCTION("""COMPUTED_VALUE"""),"Ativo")</f>
        <v>Ativo</v>
      </c>
      <c r="AO81" s="29">
        <f ca="1">IFERROR(__xludf.DUMMYFUNCTION("""COMPUTED_VALUE"""),44432)</f>
        <v>44432</v>
      </c>
      <c r="AP81" s="27">
        <f ca="1">IFERROR(__xludf.DUMMYFUNCTION("""COMPUTED_VALUE"""),13)</f>
        <v>13</v>
      </c>
      <c r="AQ81" s="27" t="str">
        <f ca="1">IFERROR(__xludf.DUMMYFUNCTION("""COMPUTED_VALUE"""),"Primeiro Semestre 2021")</f>
        <v>Primeiro Semestre 2021</v>
      </c>
      <c r="AR81" s="27" t="str">
        <f ca="1">IFERROR(__xludf.DUMMYFUNCTION("""COMPUTED_VALUE"""),"adilmagoncalves2021@gmail.com")</f>
        <v>adilmagoncalves2021@gmail.com</v>
      </c>
      <c r="AS81" s="27" t="str">
        <f ca="1">IFERROR(__xludf.DUMMYFUNCTION("""COMPUTED_VALUE"""),"(81)98854-1441")</f>
        <v>(81)98854-1441</v>
      </c>
      <c r="AT81" s="30">
        <f ca="1">IFERROR(__xludf.DUMMYFUNCTION("""COMPUTED_VALUE"""),27710)</f>
        <v>27710</v>
      </c>
      <c r="AU81" s="27">
        <f ca="1">IFERROR(__xludf.DUMMYFUNCTION("""COMPUTED_VALUE"""),47)</f>
        <v>47</v>
      </c>
      <c r="AV81" s="27">
        <f ca="1">IFERROR(__xludf.DUMMYFUNCTION("""COMPUTED_VALUE"""),2174142490)</f>
        <v>2174142490</v>
      </c>
      <c r="AW81" s="27">
        <f ca="1">IFERROR(__xludf.DUMMYFUNCTION("""COMPUTED_VALUE"""),4694518)</f>
        <v>4694518</v>
      </c>
      <c r="AX81" s="27" t="str">
        <f ca="1">IFERROR(__xludf.DUMMYFUNCTION("""COMPUTED_VALUE"""),"Serviço Social")</f>
        <v>Serviço Social</v>
      </c>
      <c r="AY81" s="27"/>
      <c r="AZ81" s="27" t="str">
        <f ca="1">IFERROR(__xludf.DUMMYFUNCTION("""COMPUTED_VALUE"""),"M")</f>
        <v>M</v>
      </c>
      <c r="BA81" s="27"/>
      <c r="BB81" s="27"/>
      <c r="BC81" s="27" t="str">
        <f ca="1">IFERROR(__xludf.DUMMYFUNCTION("""COMPUTED_VALUE"""),"Sim")</f>
        <v>Sim</v>
      </c>
      <c r="BD81" s="27" t="str">
        <f ca="1">IFERROR(__xludf.DUMMYFUNCTION("""COMPUTED_VALUE"""),"Nascida no dia 11/12/1975,  Recife/PE. Sou a sexta filha de um casal que teve oito filhos com muita dificuldade, viloencia e algolismo. Aos meus 10 anos eles se separam e foram reconstruir outra família. Ficando eu e meus três irmãos. Sair de casa aos 16 "&amp;"anos, e meu namorado com  19 tivemos nosso primeiro filho. Hoje casada a 30 anos, concluindo a faculdade em  Serviço Social, pais de dois filhos e uma neta. Moro  na mesma favela que em 2012 abrimos nossa ONG, criando possibilidades.")</f>
        <v>Nascida no dia 11/12/1975,  Recife/PE. Sou a sexta filha de um casal que teve oito filhos com muita dificuldade, viloencia e algolismo. Aos meus 10 anos eles se separam e foram reconstruir outra família. Ficando eu e meus três irmãos. Sair de casa aos 16 anos, e meu namorado com  19 tivemos nosso primeiro filho. Hoje casada a 30 anos, concluindo a faculdade em  Serviço Social, pais de dois filhos e uma neta. Moro  na mesma favela que em 2012 abrimos nossa ONG, criando possibilidades.</v>
      </c>
      <c r="BE81" s="27"/>
      <c r="BF81" s="27"/>
      <c r="BG81" s="27" t="str">
        <f ca="1">IFERROR(__xludf.DUMMYFUNCTION("""COMPUTED_VALUE"""),"Ensino Superior - Completo")</f>
        <v>Ensino Superior - Completo</v>
      </c>
      <c r="BH81" s="27"/>
      <c r="BI81" s="27" t="str">
        <f ca="1">IFERROR(__xludf.DUMMYFUNCTION("""COMPUTED_VALUE"""),"Graduação")</f>
        <v>Graduação</v>
      </c>
      <c r="BJ81" s="27" t="str">
        <f ca="1">IFERROR(__xludf.DUMMYFUNCTION("""COMPUTED_VALUE"""),"Privado")</f>
        <v>Privado</v>
      </c>
      <c r="BK81" s="27" t="str">
        <f ca="1">IFERROR(__xludf.DUMMYFUNCTION("""COMPUTED_VALUE"""),"Rua dos prazeres")</f>
        <v>Rua dos prazeres</v>
      </c>
      <c r="BL81" s="27">
        <f ca="1">IFERROR(__xludf.DUMMYFUNCTION("""COMPUTED_VALUE"""),65)</f>
        <v>65</v>
      </c>
      <c r="BM81" s="27"/>
      <c r="BN81" s="27" t="str">
        <f ca="1">IFERROR(__xludf.DUMMYFUNCTION("""COMPUTED_VALUE"""),"Recife")</f>
        <v>Recife</v>
      </c>
      <c r="BO81" s="27" t="str">
        <f ca="1">IFERROR(__xludf.DUMMYFUNCTION("""COMPUTED_VALUE"""),"50860-240")</f>
        <v>50860-240</v>
      </c>
      <c r="BP81" s="27" t="str">
        <f ca="1">IFERROR(__xludf.DUMMYFUNCTION("""COMPUTED_VALUE"""),"PE")</f>
        <v>PE</v>
      </c>
      <c r="BQ81" s="27" t="str">
        <f ca="1">IFERROR(__xludf.DUMMYFUNCTION("""COMPUTED_VALUE"""),"Entre 1 até 3 salários mínimos")</f>
        <v>Entre 1 até 3 salários mínimos</v>
      </c>
      <c r="BR81" s="27" t="str">
        <f ca="1">IFERROR(__xludf.DUMMYFUNCTION("""COMPUTED_VALUE"""),"Trabalho informal")</f>
        <v>Trabalho informal</v>
      </c>
      <c r="BS81" s="27" t="str">
        <f ca="1">IFERROR(__xludf.DUMMYFUNCTION("""COMPUTED_VALUE"""),"Ocupação/Invasão")</f>
        <v>Ocupação/Invasão</v>
      </c>
      <c r="BT81" s="27">
        <f ca="1">IFERROR(__xludf.DUMMYFUNCTION("""COMPUTED_VALUE"""),5)</f>
        <v>5</v>
      </c>
      <c r="BU81" s="27"/>
      <c r="BV81" s="27"/>
      <c r="BW81" s="27" t="str">
        <f ca="1">IFERROR(__xludf.DUMMYFUNCTION("""COMPUTED_VALUE"""),"https://www.linkedin.com/in/adilma-gonçalves-0726a2215/")</f>
        <v>https://www.linkedin.com/in/adilma-gonçalves-0726a2215/</v>
      </c>
      <c r="BX81" s="21" t="str">
        <f ca="1">IFERROR(__xludf.DUMMYFUNCTION("""COMPUTED_VALUE"""),"https://instagram.com/adilmadaong?utm_medium=copy_link")</f>
        <v>https://instagram.com/adilmadaong?utm_medium=copy_link</v>
      </c>
      <c r="BY81" s="21" t="str">
        <f ca="1">IFERROR(__xludf.DUMMYFUNCTION("""COMPUTED_VALUE"""),"https://drive.google.com/open?id=1UEfAJhTvSofIwvU0ljef0BsUyWDyn5vo")</f>
        <v>https://drive.google.com/open?id=1UEfAJhTvSofIwvU0ljef0BsUyWDyn5vo</v>
      </c>
    </row>
    <row r="82" spans="1:77" ht="12.5" x14ac:dyDescent="0.25">
      <c r="A82" s="21" t="str">
        <f ca="1">IFERROR(__xludf.DUMMYFUNCTION("""COMPUTED_VALUE"""),"0014X00002VKCtUQAX")</f>
        <v>0014X00002VKCtUQAX</v>
      </c>
      <c r="B82" s="27"/>
      <c r="C82" s="27" t="str">
        <f ca="1">IFERROR(__xludf.DUMMYFUNCTION("""COMPUTED_VALUE"""),"Fellow")</f>
        <v>Fellow</v>
      </c>
      <c r="D82" s="27" t="str">
        <f ca="1">IFERROR(__xludf.DUMMYFUNCTION("""COMPUTED_VALUE"""),"Ativo")</f>
        <v>Ativo</v>
      </c>
      <c r="E82" s="27" t="str">
        <f ca="1">IFERROR(__xludf.DUMMYFUNCTION("""COMPUTED_VALUE"""),"Associação de surf da praia de Miami e Areia Preta")</f>
        <v>Associação de surf da praia de Miami e Areia Preta</v>
      </c>
      <c r="F82" s="27" t="str">
        <f ca="1">IFERROR(__xludf.DUMMYFUNCTION("""COMPUTED_VALUE"""),"Julianderson")</f>
        <v>Julianderson</v>
      </c>
      <c r="G82" s="27" t="str">
        <f ca="1">IFERROR(__xludf.DUMMYFUNCTION("""COMPUTED_VALUE"""),"ASMAP")</f>
        <v>ASMAP</v>
      </c>
      <c r="H82" s="27" t="str">
        <f ca="1">IFERROR(__xludf.DUMMYFUNCTION("""COMPUTED_VALUE"""),"45.025.886/0001-66")</f>
        <v>45.025.886/0001-66</v>
      </c>
      <c r="I82" s="27" t="str">
        <f ca="1">IFERROR(__xludf.DUMMYFUNCTION("""COMPUTED_VALUE"""),"Julianderson pereira da Silva")</f>
        <v>Julianderson pereira da Silva</v>
      </c>
      <c r="J82" s="27" t="str">
        <f ca="1">IFERROR(__xludf.DUMMYFUNCTION("""COMPUTED_VALUE"""),"juliandersonbodyboardpotiguar2@gmail.com")</f>
        <v>juliandersonbodyboardpotiguar2@gmail.com</v>
      </c>
      <c r="K82" s="27">
        <f ca="1">IFERROR(__xludf.DUMMYFUNCTION("""COMPUTED_VALUE"""),84991515376)</f>
        <v>84991515376</v>
      </c>
      <c r="L82" s="27" t="str">
        <f ca="1">IFERROR(__xludf.DUMMYFUNCTION("""COMPUTED_VALUE"""),"RN")</f>
        <v>RN</v>
      </c>
      <c r="M82" s="27" t="str">
        <f ca="1">IFERROR(__xludf.DUMMYFUNCTION("""COMPUTED_VALUE"""),"Rua Guanabara")</f>
        <v>Rua Guanabara</v>
      </c>
      <c r="N82" s="27" t="str">
        <f ca="1">IFERROR(__xludf.DUMMYFUNCTION("""COMPUTED_VALUE"""),"Mãe Luiza")</f>
        <v>Mãe Luiza</v>
      </c>
      <c r="O82" s="27">
        <f ca="1">IFERROR(__xludf.DUMMYFUNCTION("""COMPUTED_VALUE"""),357)</f>
        <v>357</v>
      </c>
      <c r="P82" s="27" t="str">
        <f ca="1">IFERROR(__xludf.DUMMYFUNCTION("""COMPUTED_VALUE"""),"Natal")</f>
        <v>Natal</v>
      </c>
      <c r="Q82" s="27"/>
      <c r="R82" s="27" t="str">
        <f ca="1">IFERROR(__xludf.DUMMYFUNCTION("""COMPUTED_VALUE"""),"59014-180")</f>
        <v>59014-180</v>
      </c>
      <c r="S82" s="27"/>
      <c r="T82" s="27"/>
      <c r="U82" s="27"/>
      <c r="V82" s="27"/>
      <c r="W82" s="27">
        <f ca="1">IFERROR(__xludf.DUMMYFUNCTION("""COMPUTED_VALUE"""),3)</f>
        <v>3</v>
      </c>
      <c r="X82" s="27" t="str">
        <f ca="1">IFERROR(__xludf.DUMMYFUNCTION("""COMPUTED_VALUE"""),"As pessoas que são atendidas pela pela pelo nosso trabalho aqui na comunidade elas têm uma característica em comum que é tem algum familiar com vício de drogas álcool não ter não ter o ensino médio completo em casa então falta um suporte necessário para a"&amp;"s crianças e adolescentes aqui da comunidade e em relação ao pessoal adulto da terceira idade já é mais selecionada essa superação e depressão ansiedade a idosos que ficam sobrecarregada tomando conta dos seus netos que os filhos ou morreram ou tem envolv"&amp;"imento com albinismo E essas oficinas consegue reconstruir um pouco a dignidade deles. Dando um espaço de falar e oportunidade de companheirismo social.")</f>
        <v>As pessoas que são atendidas pela pela pelo nosso trabalho aqui na comunidade elas têm uma característica em comum que é tem algum familiar com vício de drogas álcool não ter não ter o ensino médio completo em casa então falta um suporte necessário para as crianças e adolescentes aqui da comunidade e em relação ao pessoal adulto da terceira idade já é mais selecionada essa superação e depressão ansiedade a idosos que ficam sobrecarregada tomando conta dos seus netos que os filhos ou morreram ou tem envolvimento com albinismo E essas oficinas consegue reconstruir um pouco a dignidade deles. Dando um espaço de falar e oportunidade de companheirismo social.</v>
      </c>
      <c r="Y82" s="27"/>
      <c r="Z82" s="27">
        <f ca="1">IFERROR(__xludf.DUMMYFUNCTION("""COMPUTED_VALUE"""),300)</f>
        <v>300</v>
      </c>
      <c r="AA82" s="30">
        <f ca="1">IFERROR(__xludf.DUMMYFUNCTION("""COMPUTED_VALUE"""),44552)</f>
        <v>44552</v>
      </c>
      <c r="AB82" s="27" t="str">
        <f ca="1">IFERROR(__xludf.DUMMYFUNCTION("""COMPUTED_VALUE"""),"Sim")</f>
        <v>Sim</v>
      </c>
      <c r="AC82" s="27">
        <f ca="1">IFERROR(__xludf.DUMMYFUNCTION("""COMPUTED_VALUE"""),0)</f>
        <v>0</v>
      </c>
      <c r="AD82" s="27"/>
      <c r="AE82" s="27">
        <f ca="1">IFERROR(__xludf.DUMMYFUNCTION("""COMPUTED_VALUE"""),8)</f>
        <v>8</v>
      </c>
      <c r="AF82" s="27"/>
      <c r="AG82" s="27">
        <f ca="1">IFERROR(__xludf.DUMMYFUNCTION("""COMPUTED_VALUE"""),0)</f>
        <v>0</v>
      </c>
      <c r="AH82" s="27"/>
      <c r="AI82" s="27"/>
      <c r="AJ82" s="27" t="str">
        <f ca="1">IFERROR(__xludf.DUMMYFUNCTION("""COMPUTED_VALUE"""),"Não")</f>
        <v>Não</v>
      </c>
      <c r="AK82" s="27"/>
      <c r="AL82" s="21" t="str">
        <f ca="1">IFERROR(__xludf.DUMMYFUNCTION("""COMPUTED_VALUE"""),"0034X0000380O2O")</f>
        <v>0034X0000380O2O</v>
      </c>
      <c r="AM82" s="27" t="str">
        <f ca="1">IFERROR(__xludf.DUMMYFUNCTION("""COMPUTED_VALUE"""),"Pereira da silva")</f>
        <v>Pereira da silva</v>
      </c>
      <c r="AN82" s="27" t="str">
        <f ca="1">IFERROR(__xludf.DUMMYFUNCTION("""COMPUTED_VALUE"""),"Ativo")</f>
        <v>Ativo</v>
      </c>
      <c r="AO82" s="29">
        <f ca="1">IFERROR(__xludf.DUMMYFUNCTION("""COMPUTED_VALUE"""),44763)</f>
        <v>44763</v>
      </c>
      <c r="AP82" s="27">
        <f ca="1">IFERROR(__xludf.DUMMYFUNCTION("""COMPUTED_VALUE"""),2)</f>
        <v>2</v>
      </c>
      <c r="AQ82" s="27" t="str">
        <f ca="1">IFERROR(__xludf.DUMMYFUNCTION("""COMPUTED_VALUE"""),"Primeiro Semestre 2022")</f>
        <v>Primeiro Semestre 2022</v>
      </c>
      <c r="AR82" s="27" t="str">
        <f ca="1">IFERROR(__xludf.DUMMYFUNCTION("""COMPUTED_VALUE"""),"juliandersonbodyboardpotiguar2@gmail.com")</f>
        <v>juliandersonbodyboardpotiguar2@gmail.com</v>
      </c>
      <c r="AS82" s="27">
        <f ca="1">IFERROR(__xludf.DUMMYFUNCTION("""COMPUTED_VALUE"""),84991515376)</f>
        <v>84991515376</v>
      </c>
      <c r="AT82" s="30">
        <f ca="1">IFERROR(__xludf.DUMMYFUNCTION("""COMPUTED_VALUE"""),32476)</f>
        <v>32476</v>
      </c>
      <c r="AU82" s="27">
        <f ca="1">IFERROR(__xludf.DUMMYFUNCTION("""COMPUTED_VALUE"""),34)</f>
        <v>34</v>
      </c>
      <c r="AV82" s="27">
        <f ca="1">IFERROR(__xludf.DUMMYFUNCTION("""COMPUTED_VALUE"""),7175182481)</f>
        <v>7175182481</v>
      </c>
      <c r="AW82" s="27">
        <f ca="1">IFERROR(__xludf.DUMMYFUNCTION("""COMPUTED_VALUE"""),2326055)</f>
        <v>2326055</v>
      </c>
      <c r="AX82" s="27"/>
      <c r="AY82" s="27"/>
      <c r="AZ82" s="27" t="str">
        <f ca="1">IFERROR(__xludf.DUMMYFUNCTION("""COMPUTED_VALUE"""),"G")</f>
        <v>G</v>
      </c>
      <c r="BA82" s="27" t="str">
        <f ca="1">IFERROR(__xludf.DUMMYFUNCTION("""COMPUTED_VALUE"""),"Parda")</f>
        <v>Parda</v>
      </c>
      <c r="BB82" s="27"/>
      <c r="BC82" s="27"/>
      <c r="BD82" s="27" t="str">
        <f ca="1">IFERROR(__xludf.DUMMYFUNCTION("""COMPUTED_VALUE"""),"Sou julianderson* cara apaixonado pelo esporte pelo Bodyboarding* pelo Surf* pela natureza* Tenho 33 anos* pai da Júlia tem 8 anos* casado* cara que gosta de viajar principalmente para os campeonatos e levar a molecada né da nova geração do esporte no qua"&amp;"l venho trabalhando em projetos sócias* usando o esporte como ferramenta de inclusão social alguns anos aqui na minha comunidade. sou de Natal Rio Grande do Norte especificamente do bairro de Mãe Luíza* Tenho 33 anos* gosta de vários tipos de música* gost"&amp;"o de assistir filmes e  principalmente séries documentais filmes baseado em histórias reais* flamenguista* americano e nordestino de corpo e alma!")</f>
        <v>Sou julianderson* cara apaixonado pelo esporte pelo Bodyboarding* pelo Surf* pela natureza* Tenho 33 anos* pai da Júlia tem 8 anos* casado* cara que gosta de viajar principalmente para os campeonatos e levar a molecada né da nova geração do esporte no qual venho trabalhando em projetos sócias* usando o esporte como ferramenta de inclusão social alguns anos aqui na minha comunidade. sou de Natal Rio Grande do Norte especificamente do bairro de Mãe Luíza* Tenho 33 anos* gosta de vários tipos de música* gosto de assistir filmes e  principalmente séries documentais filmes baseado em histórias reais* flamenguista* americano e nordestino de corpo e alma!</v>
      </c>
      <c r="BE82" s="27" t="str">
        <f ca="1">IFERROR(__xludf.DUMMYFUNCTION("""COMPUTED_VALUE"""),"Masculino")</f>
        <v>Masculino</v>
      </c>
      <c r="BF82" s="27" t="str">
        <f ca="1">IFERROR(__xludf.DUMMYFUNCTION("""COMPUTED_VALUE"""),"Heterossexual")</f>
        <v>Heterossexual</v>
      </c>
      <c r="BG82" s="27"/>
      <c r="BH82" s="27" t="str">
        <f ca="1">IFERROR(__xludf.DUMMYFUNCTION("""COMPUTED_VALUE"""),"Público")</f>
        <v>Público</v>
      </c>
      <c r="BI82" s="27"/>
      <c r="BJ82" s="27"/>
      <c r="BK82" s="27" t="str">
        <f ca="1">IFERROR(__xludf.DUMMYFUNCTION("""COMPUTED_VALUE"""),"Rua São Francisco")</f>
        <v>Rua São Francisco</v>
      </c>
      <c r="BL82" s="27">
        <f ca="1">IFERROR(__xludf.DUMMYFUNCTION("""COMPUTED_VALUE"""),395)</f>
        <v>395</v>
      </c>
      <c r="BM82" s="27"/>
      <c r="BN82" s="27"/>
      <c r="BO82" s="27" t="str">
        <f ca="1">IFERROR(__xludf.DUMMYFUNCTION("""COMPUTED_VALUE"""),"59014-250")</f>
        <v>59014-250</v>
      </c>
      <c r="BP82" s="27" t="str">
        <f ca="1">IFERROR(__xludf.DUMMYFUNCTION("""COMPUTED_VALUE"""),"RN")</f>
        <v>RN</v>
      </c>
      <c r="BQ82" s="27" t="str">
        <f ca="1">IFERROR(__xludf.DUMMYFUNCTION("""COMPUTED_VALUE"""),"Entre 1 até 3 salários mínimos")</f>
        <v>Entre 1 até 3 salários mínimos</v>
      </c>
      <c r="BR82" s="27" t="str">
        <f ca="1">IFERROR(__xludf.DUMMYFUNCTION("""COMPUTED_VALUE"""),"Desempregado")</f>
        <v>Desempregado</v>
      </c>
      <c r="BS82" s="27" t="str">
        <f ca="1">IFERROR(__xludf.DUMMYFUNCTION("""COMPUTED_VALUE"""),"Aluguel")</f>
        <v>Aluguel</v>
      </c>
      <c r="BT82" s="27">
        <f ca="1">IFERROR(__xludf.DUMMYFUNCTION("""COMPUTED_VALUE"""),3)</f>
        <v>3</v>
      </c>
      <c r="BU82" s="27" t="str">
        <f ca="1">IFERROR(__xludf.DUMMYFUNCTION("""COMPUTED_VALUE"""),"Ansiedade")</f>
        <v>Ansiedade</v>
      </c>
      <c r="BV82" s="27" t="str">
        <f ca="1">IFERROR(__xludf.DUMMYFUNCTION("""COMPUTED_VALUE"""),"Não")</f>
        <v>Não</v>
      </c>
      <c r="BW82" s="27"/>
      <c r="BX82" s="21" t="str">
        <f ca="1">IFERROR(__xludf.DUMMYFUNCTION("""COMPUTED_VALUE"""),"https://instagram.com/julianderson_bodyboard?utm_medium=copy_link")</f>
        <v>https://instagram.com/julianderson_bodyboard?utm_medium=copy_link</v>
      </c>
      <c r="BY82" s="27"/>
    </row>
    <row r="83" spans="1:77" ht="12.5" hidden="1" x14ac:dyDescent="0.25">
      <c r="A83" s="21" t="str">
        <f ca="1">IFERROR(__xludf.DUMMYFUNCTION("""COMPUTED_VALUE"""),"0014X00002VKCtWQAX")</f>
        <v>0014X00002VKCtWQAX</v>
      </c>
      <c r="B83" s="27" t="str">
        <f ca="1">IFERROR(__xludf.DUMMYFUNCTION("""COMPUTED_VALUE"""),"Fase Inicial")</f>
        <v>Fase Inicial</v>
      </c>
      <c r="C83" s="27" t="str">
        <f ca="1">IFERROR(__xludf.DUMMYFUNCTION("""COMPUTED_VALUE"""),"Fellow")</f>
        <v>Fellow</v>
      </c>
      <c r="D83" s="27" t="str">
        <f ca="1">IFERROR(__xludf.DUMMYFUNCTION("""COMPUTED_VALUE"""),"Ativo")</f>
        <v>Ativo</v>
      </c>
      <c r="E83" s="27" t="str">
        <f ca="1">IFERROR(__xludf.DUMMYFUNCTION("""COMPUTED_VALUE"""),"ASSOCIAÇÃO DE TEATRO ARTES E YOGA")</f>
        <v>ASSOCIAÇÃO DE TEATRO ARTES E YOGA</v>
      </c>
      <c r="F83" s="27" t="str">
        <f ca="1">IFERROR(__xludf.DUMMYFUNCTION("""COMPUTED_VALUE"""),"Magno")</f>
        <v>Magno</v>
      </c>
      <c r="G83" s="27" t="str">
        <f ca="1">IFERROR(__xludf.DUMMYFUNCTION("""COMPUTED_VALUE"""),"ARTYOGAPB")</f>
        <v>ARTYOGAPB</v>
      </c>
      <c r="H83" s="27" t="str">
        <f ca="1">IFERROR(__xludf.DUMMYFUNCTION("""COMPUTED_VALUE"""),"10.734.234/0001-16")</f>
        <v>10.734.234/0001-16</v>
      </c>
      <c r="I83" s="27" t="str">
        <f ca="1">IFERROR(__xludf.DUMMYFUNCTION("""COMPUTED_VALUE"""),"ANGEL ALMEIDA DA SILVA")</f>
        <v>ANGEL ALMEIDA DA SILVA</v>
      </c>
      <c r="J83" s="27" t="str">
        <f ca="1">IFERROR(__xludf.DUMMYFUNCTION("""COMPUTED_VALUE"""),"angelalmeida2005@hotmail.com")</f>
        <v>angelalmeida2005@hotmail.com</v>
      </c>
      <c r="K83" s="27" t="str">
        <f ca="1">IFERROR(__xludf.DUMMYFUNCTION("""COMPUTED_VALUE"""),"(83)98736-5577")</f>
        <v>(83)98736-5577</v>
      </c>
      <c r="L83" s="27" t="str">
        <f ca="1">IFERROR(__xludf.DUMMYFUNCTION("""COMPUTED_VALUE"""),"PB")</f>
        <v>PB</v>
      </c>
      <c r="M83" s="27" t="str">
        <f ca="1">IFERROR(__xludf.DUMMYFUNCTION("""COMPUTED_VALUE"""),"RUA JOSÉ MESQUISTA,")</f>
        <v>RUA JOSÉ MESQUISTA,</v>
      </c>
      <c r="N83" s="27" t="str">
        <f ca="1">IFERROR(__xludf.DUMMYFUNCTION("""COMPUTED_VALUE"""),"13 DE MAIO")</f>
        <v>13 DE MAIO</v>
      </c>
      <c r="O83" s="27">
        <f ca="1">IFERROR(__xludf.DUMMYFUNCTION("""COMPUTED_VALUE"""),553)</f>
        <v>553</v>
      </c>
      <c r="P83" s="27" t="str">
        <f ca="1">IFERROR(__xludf.DUMMYFUNCTION("""COMPUTED_VALUE"""),"JOÃO PESSOA")</f>
        <v>JOÃO PESSOA</v>
      </c>
      <c r="Q83" s="27" t="str">
        <f ca="1">IFERROR(__xludf.DUMMYFUNCTION("""COMPUTED_VALUE"""),"CASA")</f>
        <v>CASA</v>
      </c>
      <c r="R83" s="27" t="str">
        <f ca="1">IFERROR(__xludf.DUMMYFUNCTION("""COMPUTED_VALUE"""),"58025-330")</f>
        <v>58025-330</v>
      </c>
      <c r="S83" s="27" t="str">
        <f ca="1">IFERROR(__xludf.DUMMYFUNCTION("""COMPUTED_VALUE"""),"Sim ( entrega de alimentos moradores de rua)")</f>
        <v>Sim ( entrega de alimentos moradores de rua)</v>
      </c>
      <c r="T83" s="27"/>
      <c r="U83" s="27" t="str">
        <f ca="1">IFERROR(__xludf.DUMMYFUNCTION("""COMPUTED_VALUE"""),"Crianças (6 a 12 anos), Adolescentes (12 aos 18 anos), Jovens (18 aos 24 anos), Adultos, Idosos (60 anos ou mais)")</f>
        <v>Crianças (6 a 12 anos), Adolescentes (12 aos 18 anos), Jovens (18 aos 24 anos), Adultos, Idosos (60 anos ou mais)</v>
      </c>
      <c r="V83" s="27" t="str">
        <f ca="1">IFERROR(__xludf.DUMMYFUNCTION("""COMPUTED_VALUE"""),"Moradores de Favelas, Pessoas em situação de rua, População LGBTQ+")</f>
        <v>Moradores de Favelas, Pessoas em situação de rua, População LGBTQ+</v>
      </c>
      <c r="W83" s="27">
        <f ca="1">IFERROR(__xludf.DUMMYFUNCTION("""COMPUTED_VALUE"""),5)</f>
        <v>5</v>
      </c>
      <c r="X83" s="27"/>
      <c r="Y83" s="27"/>
      <c r="Z83" s="27">
        <f ca="1">IFERROR(__xludf.DUMMYFUNCTION("""COMPUTED_VALUE"""),800)</f>
        <v>800</v>
      </c>
      <c r="AA83" s="29">
        <f ca="1">IFERROR(__xludf.DUMMYFUNCTION("""COMPUTED_VALUE"""),30882)</f>
        <v>30882</v>
      </c>
      <c r="AB83" s="27" t="str">
        <f ca="1">IFERROR(__xludf.DUMMYFUNCTION("""COMPUTED_VALUE"""),"Sim")</f>
        <v>Sim</v>
      </c>
      <c r="AC83" s="27">
        <f ca="1">IFERROR(__xludf.DUMMYFUNCTION("""COMPUTED_VALUE"""),0)</f>
        <v>0</v>
      </c>
      <c r="AD83" s="27">
        <f ca="1">IFERROR(__xludf.DUMMYFUNCTION("""COMPUTED_VALUE"""),7)</f>
        <v>7</v>
      </c>
      <c r="AE83" s="27">
        <f ca="1">IFERROR(__xludf.DUMMYFUNCTION("""COMPUTED_VALUE"""),7)</f>
        <v>7</v>
      </c>
      <c r="AF83" s="27">
        <f ca="1">IFERROR(__xludf.DUMMYFUNCTION("""COMPUTED_VALUE"""),7)</f>
        <v>7</v>
      </c>
      <c r="AG83" s="27">
        <f ca="1">IFERROR(__xludf.DUMMYFUNCTION("""COMPUTED_VALUE"""),4)</f>
        <v>4</v>
      </c>
      <c r="AH83" s="27" t="str">
        <f ca="1">IFERROR(__xludf.DUMMYFUNCTION("""COMPUTED_VALUE"""),"Eventos/Ações para captação, Outro(s), Doações, Recursos próprios")</f>
        <v>Eventos/Ações para captação, Outro(s), Doações, Recursos próprios</v>
      </c>
      <c r="AI83" s="27">
        <f ca="1">IFERROR(__xludf.DUMMYFUNCTION("""COMPUTED_VALUE"""),0)</f>
        <v>0</v>
      </c>
      <c r="AJ83" s="27" t="str">
        <f ca="1">IFERROR(__xludf.DUMMYFUNCTION("""COMPUTED_VALUE"""),"Não")</f>
        <v>Não</v>
      </c>
      <c r="AK83" s="27"/>
      <c r="AL83" s="21" t="str">
        <f ca="1">IFERROR(__xludf.DUMMYFUNCTION("""COMPUTED_VALUE"""),"0034X0000380O1l")</f>
        <v>0034X0000380O1l</v>
      </c>
      <c r="AM83" s="27" t="str">
        <f ca="1">IFERROR(__xludf.DUMMYFUNCTION("""COMPUTED_VALUE"""),"França da silva")</f>
        <v>França da silva</v>
      </c>
      <c r="AN83" s="27" t="str">
        <f ca="1">IFERROR(__xludf.DUMMYFUNCTION("""COMPUTED_VALUE"""),"Ativo")</f>
        <v>Ativo</v>
      </c>
      <c r="AO83" s="29">
        <f ca="1">IFERROR(__xludf.DUMMYFUNCTION("""COMPUTED_VALUE"""),44763)</f>
        <v>44763</v>
      </c>
      <c r="AP83" s="27">
        <f ca="1">IFERROR(__xludf.DUMMYFUNCTION("""COMPUTED_VALUE"""),2)</f>
        <v>2</v>
      </c>
      <c r="AQ83" s="27" t="str">
        <f ca="1">IFERROR(__xludf.DUMMYFUNCTION("""COMPUTED_VALUE"""),"Primeiro Semestre 2022")</f>
        <v>Primeiro Semestre 2022</v>
      </c>
      <c r="AR83" s="27" t="str">
        <f ca="1">IFERROR(__xludf.DUMMYFUNCTION("""COMPUTED_VALUE"""),"magnofranca518@gmail.com")</f>
        <v>magnofranca518@gmail.com</v>
      </c>
      <c r="AS83" s="27" t="str">
        <f ca="1">IFERROR(__xludf.DUMMYFUNCTION("""COMPUTED_VALUE"""),"(83)98825-0153")</f>
        <v>(83)98825-0153</v>
      </c>
      <c r="AT83" s="29">
        <f ca="1">IFERROR(__xludf.DUMMYFUNCTION("""COMPUTED_VALUE"""),30871)</f>
        <v>30871</v>
      </c>
      <c r="AU83" s="27">
        <f ca="1">IFERROR(__xludf.DUMMYFUNCTION("""COMPUTED_VALUE"""),38)</f>
        <v>38</v>
      </c>
      <c r="AV83" s="27">
        <f ca="1">IFERROR(__xludf.DUMMYFUNCTION("""COMPUTED_VALUE"""),5275593422)</f>
        <v>5275593422</v>
      </c>
      <c r="AW83" s="27">
        <f ca="1">IFERROR(__xludf.DUMMYFUNCTION("""COMPUTED_VALUE"""),2916089)</f>
        <v>2916089</v>
      </c>
      <c r="AX83" s="27"/>
      <c r="AY83" s="27" t="str">
        <f ca="1">IFERROR(__xludf.DUMMYFUNCTION("""COMPUTED_VALUE"""),"Tesoureiro")</f>
        <v>Tesoureiro</v>
      </c>
      <c r="AZ83" s="27" t="str">
        <f ca="1">IFERROR(__xludf.DUMMYFUNCTION("""COMPUTED_VALUE"""),"G")</f>
        <v>G</v>
      </c>
      <c r="BA83" s="27" t="str">
        <f ca="1">IFERROR(__xludf.DUMMYFUNCTION("""COMPUTED_VALUE"""),"Preta")</f>
        <v>Preta</v>
      </c>
      <c r="BB83" s="27"/>
      <c r="BC83" s="27"/>
      <c r="BD83" s="27" t="str">
        <f ca="1">IFERROR(__xludf.DUMMYFUNCTION("""COMPUTED_VALUE"""),"Graduado em Pedagogia pela Universidade Estadual do Vale do Acaraú - UVA Estado do Ceará(2014), Cursando Jornalismo (Bacharelado) pela Universidade Federal da Paraíba. Líder social pela Falcons University, C0-Fundador da Associação ARTYÔGAPB, Foi Vice-Pre"&amp;"sidente da Associação Santo Dias, atualmente é tesoureiro da Associação dos Amigos e Residentes do Jardim 13 de Maio (Gestão 2021-2025), colaborando no desenvolvimento de Projetos socioculturais em Organizações Não Governamentais de João Pessoa.")</f>
        <v>Graduado em Pedagogia pela Universidade Estadual do Vale do Acaraú - UVA Estado do Ceará(2014), Cursando Jornalismo (Bacharelado) pela Universidade Federal da Paraíba. Líder social pela Falcons University, C0-Fundador da Associação ARTYÔGAPB, Foi Vice-Presidente da Associação Santo Dias, atualmente é tesoureiro da Associação dos Amigos e Residentes do Jardim 13 de Maio (Gestão 2021-2025), colaborando no desenvolvimento de Projetos socioculturais em Organizações Não Governamentais de João Pessoa.</v>
      </c>
      <c r="BE83" s="27" t="str">
        <f ca="1">IFERROR(__xludf.DUMMYFUNCTION("""COMPUTED_VALUE"""),"Homem, cisgênero")</f>
        <v>Homem, cisgênero</v>
      </c>
      <c r="BF83" s="27" t="str">
        <f ca="1">IFERROR(__xludf.DUMMYFUNCTION("""COMPUTED_VALUE"""),"Heterossexual")</f>
        <v>Heterossexual</v>
      </c>
      <c r="BG83" s="27" t="str">
        <f ca="1">IFERROR(__xludf.DUMMYFUNCTION("""COMPUTED_VALUE"""),"Ensino Superior - Completo")</f>
        <v>Ensino Superior - Completo</v>
      </c>
      <c r="BH83" s="27" t="str">
        <f ca="1">IFERROR(__xludf.DUMMYFUNCTION("""COMPUTED_VALUE"""),"Público")</f>
        <v>Público</v>
      </c>
      <c r="BI83" s="27" t="str">
        <f ca="1">IFERROR(__xludf.DUMMYFUNCTION("""COMPUTED_VALUE"""),"Graduação")</f>
        <v>Graduação</v>
      </c>
      <c r="BJ83" s="27" t="str">
        <f ca="1">IFERROR(__xludf.DUMMYFUNCTION("""COMPUTED_VALUE"""),"Privado")</f>
        <v>Privado</v>
      </c>
      <c r="BK83" s="27" t="str">
        <f ca="1">IFERROR(__xludf.DUMMYFUNCTION("""COMPUTED_VALUE"""),"Rua Saldanha da Gama")</f>
        <v>Rua Saldanha da Gama</v>
      </c>
      <c r="BL83" s="27">
        <f ca="1">IFERROR(__xludf.DUMMYFUNCTION("""COMPUTED_VALUE"""),170)</f>
        <v>170</v>
      </c>
      <c r="BM83" s="27" t="str">
        <f ca="1">IFERROR(__xludf.DUMMYFUNCTION("""COMPUTED_VALUE"""),"APTO 202")</f>
        <v>APTO 202</v>
      </c>
      <c r="BN83" s="27" t="str">
        <f ca="1">IFERROR(__xludf.DUMMYFUNCTION("""COMPUTED_VALUE"""),"João Pessoa")</f>
        <v>João Pessoa</v>
      </c>
      <c r="BO83" s="27" t="str">
        <f ca="1">IFERROR(__xludf.DUMMYFUNCTION("""COMPUTED_VALUE"""),"58020-240")</f>
        <v>58020-240</v>
      </c>
      <c r="BP83" s="27" t="str">
        <f ca="1">IFERROR(__xludf.DUMMYFUNCTION("""COMPUTED_VALUE"""),"PB")</f>
        <v>PB</v>
      </c>
      <c r="BQ83" s="27" t="str">
        <f ca="1">IFERROR(__xludf.DUMMYFUNCTION("""COMPUTED_VALUE"""),"Entre 1 até 3 salários mínimos")</f>
        <v>Entre 1 até 3 salários mínimos</v>
      </c>
      <c r="BR83" s="27" t="str">
        <f ca="1">IFERROR(__xludf.DUMMYFUNCTION("""COMPUTED_VALUE"""),"Trabalho informal")</f>
        <v>Trabalho informal</v>
      </c>
      <c r="BS83" s="27" t="str">
        <f ca="1">IFERROR(__xludf.DUMMYFUNCTION("""COMPUTED_VALUE"""),"Aluguel")</f>
        <v>Aluguel</v>
      </c>
      <c r="BT83" s="27">
        <f ca="1">IFERROR(__xludf.DUMMYFUNCTION("""COMPUTED_VALUE"""),4)</f>
        <v>4</v>
      </c>
      <c r="BU83" s="27" t="str">
        <f ca="1">IFERROR(__xludf.DUMMYFUNCTION("""COMPUTED_VALUE"""),"Não tem")</f>
        <v>Não tem</v>
      </c>
      <c r="BV83" s="27" t="str">
        <f ca="1">IFERROR(__xludf.DUMMYFUNCTION("""COMPUTED_VALUE"""),"Não")</f>
        <v>Não</v>
      </c>
      <c r="BW83" s="27"/>
      <c r="BX83" s="27" t="str">
        <f ca="1">IFERROR(__xludf.DUMMYFUNCTION("""COMPUTED_VALUE"""),"@magnofranca1984")</f>
        <v>@magnofranca1984</v>
      </c>
      <c r="BY83" s="21" t="str">
        <f ca="1">IFERROR(__xludf.DUMMYFUNCTION("""COMPUTED_VALUE"""),"https://drive.google.com/open?id=1INyDHbav6rDUxOgHptfEvB-HuzSAa2fQ")</f>
        <v>https://drive.google.com/open?id=1INyDHbav6rDUxOgHptfEvB-HuzSAa2fQ</v>
      </c>
    </row>
    <row r="84" spans="1:77" ht="12.5" hidden="1" x14ac:dyDescent="0.25">
      <c r="A84" s="21" t="str">
        <f ca="1">IFERROR(__xludf.DUMMYFUNCTION("""COMPUTED_VALUE"""),"0014X00002VKCsoQAH")</f>
        <v>0014X00002VKCsoQAH</v>
      </c>
      <c r="B84" s="27" t="str">
        <f ca="1">IFERROR(__xludf.DUMMYFUNCTION("""COMPUTED_VALUE"""),"Fase Inicial")</f>
        <v>Fase Inicial</v>
      </c>
      <c r="C84" s="27" t="str">
        <f ca="1">IFERROR(__xludf.DUMMYFUNCTION("""COMPUTED_VALUE"""),"Fellow")</f>
        <v>Fellow</v>
      </c>
      <c r="D84" s="27" t="str">
        <f ca="1">IFERROR(__xludf.DUMMYFUNCTION("""COMPUTED_VALUE"""),"Ativo")</f>
        <v>Ativo</v>
      </c>
      <c r="E84" s="27" t="str">
        <f ca="1">IFERROR(__xludf.DUMMYFUNCTION("""COMPUTED_VALUE"""),"ASSOCIACAO DIAMANTES NA COZINHA")</f>
        <v>ASSOCIACAO DIAMANTES NA COZINHA</v>
      </c>
      <c r="F84" s="27" t="str">
        <f ca="1">IFERROR(__xludf.DUMMYFUNCTION("""COMPUTED_VALUE"""),"Luiz")</f>
        <v>Luiz</v>
      </c>
      <c r="G84" s="27" t="str">
        <f ca="1">IFERROR(__xludf.DUMMYFUNCTION("""COMPUTED_VALUE"""),"DIAMANTES NA COZINHA")</f>
        <v>DIAMANTES NA COZINHA</v>
      </c>
      <c r="H84" s="27" t="str">
        <f ca="1">IFERROR(__xludf.DUMMYFUNCTION("""COMPUTED_VALUE"""),"30.286.499/0001-06")</f>
        <v>30.286.499/0001-06</v>
      </c>
      <c r="I84" s="27" t="str">
        <f ca="1">IFERROR(__xludf.DUMMYFUNCTION("""COMPUTED_VALUE"""),"João Augusto dos Santos Batista")</f>
        <v>João Augusto dos Santos Batista</v>
      </c>
      <c r="J84" s="27" t="str">
        <f ca="1">IFERROR(__xludf.DUMMYFUNCTION("""COMPUTED_VALUE"""),"comercial@diamantesnacozinha.org")</f>
        <v>comercial@diamantesnacozinha.org</v>
      </c>
      <c r="K84" s="27" t="str">
        <f ca="1">IFERROR(__xludf.DUMMYFUNCTION("""COMPUTED_VALUE"""),"(21)96778-4107")</f>
        <v>(21)96778-4107</v>
      </c>
      <c r="L84" s="27" t="str">
        <f ca="1">IFERROR(__xludf.DUMMYFUNCTION("""COMPUTED_VALUE"""),"RJ")</f>
        <v>RJ</v>
      </c>
      <c r="M84" s="27" t="str">
        <f ca="1">IFERROR(__xludf.DUMMYFUNCTION("""COMPUTED_VALUE"""),"Rua Lopes da Cruz")</f>
        <v>Rua Lopes da Cruz</v>
      </c>
      <c r="N84" s="27" t="str">
        <f ca="1">IFERROR(__xludf.DUMMYFUNCTION("""COMPUTED_VALUE"""),"Meier")</f>
        <v>Meier</v>
      </c>
      <c r="O84" s="27">
        <f ca="1">IFERROR(__xludf.DUMMYFUNCTION("""COMPUTED_VALUE"""),322)</f>
        <v>322</v>
      </c>
      <c r="P84" s="27" t="str">
        <f ca="1">IFERROR(__xludf.DUMMYFUNCTION("""COMPUTED_VALUE"""),"Rio de Janeiro")</f>
        <v>Rio de Janeiro</v>
      </c>
      <c r="Q84" s="27"/>
      <c r="R84" s="27" t="str">
        <f ca="1">IFERROR(__xludf.DUMMYFUNCTION("""COMPUTED_VALUE"""),"20720-170")</f>
        <v>20720-170</v>
      </c>
      <c r="S84" s="27" t="str">
        <f ca="1">IFERROR(__xludf.DUMMYFUNCTION("""COMPUTED_VALUE"""),"Sim, utilizamos espaços de parceiros que proporcione atividades didáticas (salas de aula) e práticas (cozinhas).")</f>
        <v>Sim, utilizamos espaços de parceiros que proporcione atividades didáticas (salas de aula) e práticas (cozinhas).</v>
      </c>
      <c r="T84" s="27"/>
      <c r="U84" s="27" t="str">
        <f ca="1">IFERROR(__xludf.DUMMYFUNCTION("""COMPUTED_VALUE"""),"Jovens (18 aos 24 anos), Adultos, Idosos (60 anos ou mais)")</f>
        <v>Jovens (18 aos 24 anos), Adultos, Idosos (60 anos ou mais)</v>
      </c>
      <c r="V84" s="27" t="str">
        <f ca="1">IFERROR(__xludf.DUMMYFUNCTION("""COMPUTED_VALUE"""),"Moradores de Favelas, População LGBTQ+, Povos Indígenas, Quilombola, Afrodescendentes, Outros")</f>
        <v>Moradores de Favelas, População LGBTQ+, Povos Indígenas, Quilombola, Afrodescendentes, Outros</v>
      </c>
      <c r="W84" s="27">
        <f ca="1">IFERROR(__xludf.DUMMYFUNCTION("""COMPUTED_VALUE"""),2)</f>
        <v>2</v>
      </c>
      <c r="X84" s="27" t="str">
        <f ca="1">IFERROR(__xludf.DUMMYFUNCTION("""COMPUTED_VALUE"""),"Nosso público é voltado para pessoas em vulnerabilidades social dentre outras questões* por tanto* como inicialmente nossas aulas eram presenciais* não nos limitamos a determinada comunidade.")</f>
        <v>Nosso público é voltado para pessoas em vulnerabilidades social dentre outras questões* por tanto* como inicialmente nossas aulas eram presenciais* não nos limitamos a determinada comunidade.</v>
      </c>
      <c r="Y84" s="27"/>
      <c r="Z84" s="27">
        <f ca="1">IFERROR(__xludf.DUMMYFUNCTION("""COMPUTED_VALUE"""),2000)</f>
        <v>2000</v>
      </c>
      <c r="AA84" s="29">
        <f ca="1">IFERROR(__xludf.DUMMYFUNCTION("""COMPUTED_VALUE"""),43196)</f>
        <v>43196</v>
      </c>
      <c r="AB84" s="27" t="str">
        <f ca="1">IFERROR(__xludf.DUMMYFUNCTION("""COMPUTED_VALUE"""),"Sim")</f>
        <v>Sim</v>
      </c>
      <c r="AC84" s="27">
        <f ca="1">IFERROR(__xludf.DUMMYFUNCTION("""COMPUTED_VALUE"""),0)</f>
        <v>0</v>
      </c>
      <c r="AD84" s="27">
        <f ca="1">IFERROR(__xludf.DUMMYFUNCTION("""COMPUTED_VALUE"""),5)</f>
        <v>5</v>
      </c>
      <c r="AE84" s="27">
        <f ca="1">IFERROR(__xludf.DUMMYFUNCTION("""COMPUTED_VALUE"""),5)</f>
        <v>5</v>
      </c>
      <c r="AF84" s="27">
        <f ca="1">IFERROR(__xludf.DUMMYFUNCTION("""COMPUTED_VALUE"""),5)</f>
        <v>5</v>
      </c>
      <c r="AG84" s="27">
        <f ca="1">IFERROR(__xludf.DUMMYFUNCTION("""COMPUTED_VALUE"""),5)</f>
        <v>5</v>
      </c>
      <c r="AH84" s="27" t="str">
        <f ca="1">IFERROR(__xludf.DUMMYFUNCTION("""COMPUTED_VALUE"""),"Eventos/Ações para captação, Parceria iniciativa privada, Outro(s), Doações, Recursos próprios")</f>
        <v>Eventos/Ações para captação, Parceria iniciativa privada, Outro(s), Doações, Recursos próprios</v>
      </c>
      <c r="AI84" s="27">
        <f ca="1">IFERROR(__xludf.DUMMYFUNCTION("""COMPUTED_VALUE"""),20)</f>
        <v>20</v>
      </c>
      <c r="AJ84" s="27" t="str">
        <f ca="1">IFERROR(__xludf.DUMMYFUNCTION("""COMPUTED_VALUE"""),"Não")</f>
        <v>Não</v>
      </c>
      <c r="AK84" s="27"/>
      <c r="AL84" s="21" t="str">
        <f ca="1">IFERROR(__xludf.DUMMYFUNCTION("""COMPUTED_VALUE"""),"0034X0000380O2m")</f>
        <v>0034X0000380O2m</v>
      </c>
      <c r="AM84" s="27" t="str">
        <f ca="1">IFERROR(__xludf.DUMMYFUNCTION("""COMPUTED_VALUE"""),"Carlos de souza junior")</f>
        <v>Carlos de souza junior</v>
      </c>
      <c r="AN84" s="27" t="str">
        <f ca="1">IFERROR(__xludf.DUMMYFUNCTION("""COMPUTED_VALUE"""),"Ativo")</f>
        <v>Ativo</v>
      </c>
      <c r="AO84" s="27"/>
      <c r="AP84" s="27"/>
      <c r="AQ84" s="27" t="str">
        <f ca="1">IFERROR(__xludf.DUMMYFUNCTION("""COMPUTED_VALUE"""),"Primeiro Semestre 2022")</f>
        <v>Primeiro Semestre 2022</v>
      </c>
      <c r="AR84" s="27" t="str">
        <f ca="1">IFERROR(__xludf.DUMMYFUNCTION("""COMPUTED_VALUE"""),"comercial@diamantesnacozinha.org")</f>
        <v>comercial@diamantesnacozinha.org</v>
      </c>
      <c r="AS84" s="27" t="str">
        <f ca="1">IFERROR(__xludf.DUMMYFUNCTION("""COMPUTED_VALUE"""),"(21)96778-4107")</f>
        <v>(21)96778-4107</v>
      </c>
      <c r="AT84" s="29">
        <f ca="1">IFERROR(__xludf.DUMMYFUNCTION("""COMPUTED_VALUE"""),26765)</f>
        <v>26765</v>
      </c>
      <c r="AU84" s="27">
        <f ca="1">IFERROR(__xludf.DUMMYFUNCTION("""COMPUTED_VALUE"""),49)</f>
        <v>49</v>
      </c>
      <c r="AV84" s="27">
        <f ca="1">IFERROR(__xludf.DUMMYFUNCTION("""COMPUTED_VALUE"""),360313728)</f>
        <v>360313728</v>
      </c>
      <c r="AW84" s="27">
        <f ca="1">IFERROR(__xludf.DUMMYFUNCTION("""COMPUTED_VALUE"""),93730737)</f>
        <v>93730737</v>
      </c>
      <c r="AX84" s="27"/>
      <c r="AY84" s="27" t="str">
        <f ca="1">IFERROR(__xludf.DUMMYFUNCTION("""COMPUTED_VALUE"""),"Diretor")</f>
        <v>Diretor</v>
      </c>
      <c r="AZ84" s="27" t="str">
        <f ca="1">IFERROR(__xludf.DUMMYFUNCTION("""COMPUTED_VALUE"""),"G")</f>
        <v>G</v>
      </c>
      <c r="BA84" s="27" t="str">
        <f ca="1">IFERROR(__xludf.DUMMYFUNCTION("""COMPUTED_VALUE"""),"Branca")</f>
        <v>Branca</v>
      </c>
      <c r="BB84" s="27"/>
      <c r="BC84" s="27"/>
      <c r="BD84" s="27" t="str">
        <f ca="1">IFERROR(__xludf.DUMMYFUNCTION("""COMPUTED_VALUE"""),"Casado com a Adriana há 22 anos pai do Luã e da Luísa, iniciei minha jornada profissional empreendendo como gestor de recursos humanos prestando serviços de recrutamento, seleção, treinamento e desenvolvimento. Após quebrar duas vezes, sigo empreendendo n"&amp;"a área de representação comercial e consultoria para pequenas e médias empresas. Formado em administração de recursos humanos com MBA em gestão comercial pela UFRJ, hoje também atuo na direção do Projeto social Diamantes na Cozinha.")</f>
        <v>Casado com a Adriana há 22 anos pai do Luã e da Luísa, iniciei minha jornada profissional empreendendo como gestor de recursos humanos prestando serviços de recrutamento, seleção, treinamento e desenvolvimento. Após quebrar duas vezes, sigo empreendendo na área de representação comercial e consultoria para pequenas e médias empresas. Formado em administração de recursos humanos com MBA em gestão comercial pela UFRJ, hoje também atuo na direção do Projeto social Diamantes na Cozinha.</v>
      </c>
      <c r="BE84" s="27" t="str">
        <f ca="1">IFERROR(__xludf.DUMMYFUNCTION("""COMPUTED_VALUE"""),"Homem, cisgênero")</f>
        <v>Homem, cisgênero</v>
      </c>
      <c r="BF84" s="27" t="str">
        <f ca="1">IFERROR(__xludf.DUMMYFUNCTION("""COMPUTED_VALUE"""),"Heterossexual")</f>
        <v>Heterossexual</v>
      </c>
      <c r="BG84" s="27" t="str">
        <f ca="1">IFERROR(__xludf.DUMMYFUNCTION("""COMPUTED_VALUE"""),"Ensino Superior - Completo")</f>
        <v>Ensino Superior - Completo</v>
      </c>
      <c r="BH84" s="27" t="str">
        <f ca="1">IFERROR(__xludf.DUMMYFUNCTION("""COMPUTED_VALUE"""),"Privado")</f>
        <v>Privado</v>
      </c>
      <c r="BI84" s="27" t="str">
        <f ca="1">IFERROR(__xludf.DUMMYFUNCTION("""COMPUTED_VALUE"""),"Pós-Graduação")</f>
        <v>Pós-Graduação</v>
      </c>
      <c r="BJ84" s="27" t="str">
        <f ca="1">IFERROR(__xludf.DUMMYFUNCTION("""COMPUTED_VALUE"""),"Privado")</f>
        <v>Privado</v>
      </c>
      <c r="BK84" s="27" t="str">
        <f ca="1">IFERROR(__xludf.DUMMYFUNCTION("""COMPUTED_VALUE"""),"Amapurus")</f>
        <v>Amapurus</v>
      </c>
      <c r="BL84" s="27">
        <f ca="1">IFERROR(__xludf.DUMMYFUNCTION("""COMPUTED_VALUE"""),297)</f>
        <v>297</v>
      </c>
      <c r="BM84" s="27" t="str">
        <f ca="1">IFERROR(__xludf.DUMMYFUNCTION("""COMPUTED_VALUE"""),"Bloco 4 Apto 102")</f>
        <v>Bloco 4 Apto 102</v>
      </c>
      <c r="BN84" s="27" t="str">
        <f ca="1">IFERROR(__xludf.DUMMYFUNCTION("""COMPUTED_VALUE"""),"Rio de Janeiro")</f>
        <v>Rio de Janeiro</v>
      </c>
      <c r="BO84" s="27" t="str">
        <f ca="1">IFERROR(__xludf.DUMMYFUNCTION("""COMPUTED_VALUE"""),"21920-120")</f>
        <v>21920-120</v>
      </c>
      <c r="BP84" s="27" t="str">
        <f ca="1">IFERROR(__xludf.DUMMYFUNCTION("""COMPUTED_VALUE"""),"RJ")</f>
        <v>RJ</v>
      </c>
      <c r="BQ84" s="27" t="str">
        <f ca="1">IFERROR(__xludf.DUMMYFUNCTION("""COMPUTED_VALUE"""),"Acima de 5 salários mínimos")</f>
        <v>Acima de 5 salários mínimos</v>
      </c>
      <c r="BR84" s="27" t="str">
        <f ca="1">IFERROR(__xludf.DUMMYFUNCTION("""COMPUTED_VALUE"""),"MEI, Funcionário Público")</f>
        <v>MEI, Funcionário Público</v>
      </c>
      <c r="BS84" s="27" t="str">
        <f ca="1">IFERROR(__xludf.DUMMYFUNCTION("""COMPUTED_VALUE"""),"Casa própria")</f>
        <v>Casa própria</v>
      </c>
      <c r="BT84" s="27">
        <f ca="1">IFERROR(__xludf.DUMMYFUNCTION("""COMPUTED_VALUE"""),4)</f>
        <v>4</v>
      </c>
      <c r="BU84" s="27" t="str">
        <f ca="1">IFERROR(__xludf.DUMMYFUNCTION("""COMPUTED_VALUE"""),"Não tem")</f>
        <v>Não tem</v>
      </c>
      <c r="BV84" s="27" t="str">
        <f ca="1">IFERROR(__xludf.DUMMYFUNCTION("""COMPUTED_VALUE"""),"Não")</f>
        <v>Não</v>
      </c>
      <c r="BW84" s="21" t="str">
        <f ca="1">IFERROR(__xludf.DUMMYFUNCTION("""COMPUTED_VALUE"""),"https://www.linkedin.com/in/souluizjr/")</f>
        <v>https://www.linkedin.com/in/souluizjr/</v>
      </c>
      <c r="BX84" s="21" t="str">
        <f ca="1">IFERROR(__xludf.DUMMYFUNCTION("""COMPUTED_VALUE"""),"https://www.instagram.com/souluizjr/")</f>
        <v>https://www.instagram.com/souluizjr/</v>
      </c>
      <c r="BY84" s="21" t="str">
        <f ca="1">IFERROR(__xludf.DUMMYFUNCTION("""COMPUTED_VALUE"""),"https://drive.google.com/open?id=1Rn7yzOY7D1rUE0MVucmQ7s9RkkSmkuW7")</f>
        <v>https://drive.google.com/open?id=1Rn7yzOY7D1rUE0MVucmQ7s9RkkSmkuW7</v>
      </c>
    </row>
    <row r="85" spans="1:77" ht="12.5" hidden="1" x14ac:dyDescent="0.25">
      <c r="A85" s="21" t="str">
        <f ca="1">IFERROR(__xludf.DUMMYFUNCTION("""COMPUTED_VALUE"""),"0014X00002VKCtYQAX")</f>
        <v>0014X00002VKCtYQAX</v>
      </c>
      <c r="B85" s="27" t="str">
        <f ca="1">IFERROR(__xludf.DUMMYFUNCTION("""COMPUTED_VALUE"""),"Fase Inicial")</f>
        <v>Fase Inicial</v>
      </c>
      <c r="C85" s="27" t="str">
        <f ca="1">IFERROR(__xludf.DUMMYFUNCTION("""COMPUTED_VALUE"""),"Fellow")</f>
        <v>Fellow</v>
      </c>
      <c r="D85" s="27" t="str">
        <f ca="1">IFERROR(__xludf.DUMMYFUNCTION("""COMPUTED_VALUE"""),"Ativo")</f>
        <v>Ativo</v>
      </c>
      <c r="E85" s="27" t="str">
        <f ca="1">IFERROR(__xludf.DUMMYFUNCTION("""COMPUTED_VALUE"""),"ASSOCIACAO DO APICULTORES E PRODUTORES DE MEL DO POTENGI")</f>
        <v>ASSOCIACAO DO APICULTORES E PRODUTORES DE MEL DO POTENGI</v>
      </c>
      <c r="F85" s="27" t="str">
        <f ca="1">IFERROR(__xludf.DUMMYFUNCTION("""COMPUTED_VALUE"""),"Maria")</f>
        <v>Maria</v>
      </c>
      <c r="G85" s="27" t="str">
        <f ca="1">IFERROR(__xludf.DUMMYFUNCTION("""COMPUTED_VALUE"""),"INSTITUTO APROMEP")</f>
        <v>INSTITUTO APROMEP</v>
      </c>
      <c r="H85" s="27" t="str">
        <f ca="1">IFERROR(__xludf.DUMMYFUNCTION("""COMPUTED_VALUE"""),"04.377.349/0001-06")</f>
        <v>04.377.349/0001-06</v>
      </c>
      <c r="I85" s="27" t="str">
        <f ca="1">IFERROR(__xludf.DUMMYFUNCTION("""COMPUTED_VALUE"""),"Maria De Fátima Bezerra")</f>
        <v>Maria De Fátima Bezerra</v>
      </c>
      <c r="J85" s="27" t="str">
        <f ca="1">IFERROR(__xludf.DUMMYFUNCTION("""COMPUTED_VALUE"""),"bezerra.fatima.st@gmail.com")</f>
        <v>bezerra.fatima.st@gmail.com</v>
      </c>
      <c r="K85" s="27" t="str">
        <f ca="1">IFERROR(__xludf.DUMMYFUNCTION("""COMPUTED_VALUE"""),"(84)99417-1920")</f>
        <v>(84)99417-1920</v>
      </c>
      <c r="L85" s="27" t="str">
        <f ca="1">IFERROR(__xludf.DUMMYFUNCTION("""COMPUTED_VALUE"""),"RN")</f>
        <v>RN</v>
      </c>
      <c r="M85" s="27" t="str">
        <f ca="1">IFERROR(__xludf.DUMMYFUNCTION("""COMPUTED_VALUE"""),"Rua Padre Ramiro Varela")</f>
        <v>Rua Padre Ramiro Varela</v>
      </c>
      <c r="N85" s="27" t="str">
        <f ca="1">IFERROR(__xludf.DUMMYFUNCTION("""COMPUTED_VALUE"""),"centro")</f>
        <v>centro</v>
      </c>
      <c r="O85" s="27">
        <f ca="1">IFERROR(__xludf.DUMMYFUNCTION("""COMPUTED_VALUE"""),453)</f>
        <v>453</v>
      </c>
      <c r="P85" s="27" t="str">
        <f ca="1">IFERROR(__xludf.DUMMYFUNCTION("""COMPUTED_VALUE"""),"São Tomé")</f>
        <v>São Tomé</v>
      </c>
      <c r="Q85" s="27"/>
      <c r="R85" s="27" t="str">
        <f ca="1">IFERROR(__xludf.DUMMYFUNCTION("""COMPUTED_VALUE"""),"59400-000")</f>
        <v>59400-000</v>
      </c>
      <c r="S85" s="27" t="str">
        <f ca="1">IFERROR(__xludf.DUMMYFUNCTION("""COMPUTED_VALUE"""),"escolas, comunidades rurais e espaços urbanos.")</f>
        <v>escolas, comunidades rurais e espaços urbanos.</v>
      </c>
      <c r="T85" s="27"/>
      <c r="U85" s="27" t="str">
        <f ca="1">IFERROR(__xludf.DUMMYFUNCTION("""COMPUTED_VALUE"""),"Crianças (6 a 12 anos), Adolescentes (12 aos 18 anos), Jovens (18 aos 24 anos), Adultos, Idosos (60 anos ou mais)")</f>
        <v>Crianças (6 a 12 anos), Adolescentes (12 aos 18 anos), Jovens (18 aos 24 anos), Adultos, Idosos (60 anos ou mais)</v>
      </c>
      <c r="V85" s="27" t="str">
        <f ca="1">IFERROR(__xludf.DUMMYFUNCTION("""COMPUTED_VALUE"""),"Moradores de Favelas, Quilombola, Comunidade rural")</f>
        <v>Moradores de Favelas, Quilombola, Comunidade rural</v>
      </c>
      <c r="W85" s="27">
        <f ca="1">IFERROR(__xludf.DUMMYFUNCTION("""COMPUTED_VALUE"""),30)</f>
        <v>30</v>
      </c>
      <c r="X85" s="27" t="str">
        <f ca="1">IFERROR(__xludf.DUMMYFUNCTION("""COMPUTED_VALUE"""),"ATENDEMOS AS COMUNIDADES EM ESPECIALIDADES A TODA A FAMILIA")</f>
        <v>ATENDEMOS AS COMUNIDADES EM ESPECIALIDADES A TODA A FAMILIA</v>
      </c>
      <c r="Y85" s="27"/>
      <c r="Z85" s="27">
        <f ca="1">IFERROR(__xludf.DUMMYFUNCTION("""COMPUTED_VALUE"""),600)</f>
        <v>600</v>
      </c>
      <c r="AA85" s="30">
        <f ca="1">IFERROR(__xludf.DUMMYFUNCTION("""COMPUTED_VALUE"""),36860)</f>
        <v>36860</v>
      </c>
      <c r="AB85" s="27" t="str">
        <f ca="1">IFERROR(__xludf.DUMMYFUNCTION("""COMPUTED_VALUE"""),"Não")</f>
        <v>Não</v>
      </c>
      <c r="AC85" s="27">
        <f ca="1">IFERROR(__xludf.DUMMYFUNCTION("""COMPUTED_VALUE"""),3)</f>
        <v>3</v>
      </c>
      <c r="AD85" s="27">
        <f ca="1">IFERROR(__xludf.DUMMYFUNCTION("""COMPUTED_VALUE"""),0)</f>
        <v>0</v>
      </c>
      <c r="AE85" s="27">
        <f ca="1">IFERROR(__xludf.DUMMYFUNCTION("""COMPUTED_VALUE"""),6)</f>
        <v>6</v>
      </c>
      <c r="AF85" s="27">
        <f ca="1">IFERROR(__xludf.DUMMYFUNCTION("""COMPUTED_VALUE"""),1)</f>
        <v>1</v>
      </c>
      <c r="AG85" s="27">
        <f ca="1">IFERROR(__xludf.DUMMYFUNCTION("""COMPUTED_VALUE"""),2)</f>
        <v>2</v>
      </c>
      <c r="AH85" s="27" t="str">
        <f ca="1">IFERROR(__xludf.DUMMYFUNCTION("""COMPUTED_VALUE"""),"Eventos/Ações para captação, Recursos próprios")</f>
        <v>Eventos/Ações para captação, Recursos próprios</v>
      </c>
      <c r="AI85" s="27">
        <f ca="1">IFERROR(__xludf.DUMMYFUNCTION("""COMPUTED_VALUE"""),2)</f>
        <v>2</v>
      </c>
      <c r="AJ85" s="27" t="str">
        <f ca="1">IFERROR(__xludf.DUMMYFUNCTION("""COMPUTED_VALUE"""),"Não")</f>
        <v>Não</v>
      </c>
      <c r="AK85" s="27"/>
      <c r="AL85" s="21" t="str">
        <f ca="1">IFERROR(__xludf.DUMMYFUNCTION("""COMPUTED_VALUE"""),"0034X0000380O1T")</f>
        <v>0034X0000380O1T</v>
      </c>
      <c r="AM85" s="27" t="str">
        <f ca="1">IFERROR(__xludf.DUMMYFUNCTION("""COMPUTED_VALUE"""),"De fatima bezerra")</f>
        <v>De fatima bezerra</v>
      </c>
      <c r="AN85" s="27" t="str">
        <f ca="1">IFERROR(__xludf.DUMMYFUNCTION("""COMPUTED_VALUE"""),"Ativo")</f>
        <v>Ativo</v>
      </c>
      <c r="AO85" s="29">
        <f ca="1">IFERROR(__xludf.DUMMYFUNCTION("""COMPUTED_VALUE"""),44763)</f>
        <v>44763</v>
      </c>
      <c r="AP85" s="27">
        <f ca="1">IFERROR(__xludf.DUMMYFUNCTION("""COMPUTED_VALUE"""),2)</f>
        <v>2</v>
      </c>
      <c r="AQ85" s="27" t="str">
        <f ca="1">IFERROR(__xludf.DUMMYFUNCTION("""COMPUTED_VALUE"""),"Primeiro Semestre 2022")</f>
        <v>Primeiro Semestre 2022</v>
      </c>
      <c r="AR85" s="27" t="str">
        <f ca="1">IFERROR(__xludf.DUMMYFUNCTION("""COMPUTED_VALUE"""),"bezerra.fatima.st@gmail.com")</f>
        <v>bezerra.fatima.st@gmail.com</v>
      </c>
      <c r="AS85" s="27" t="str">
        <f ca="1">IFERROR(__xludf.DUMMYFUNCTION("""COMPUTED_VALUE"""),"(84) 994171920")</f>
        <v>(84) 994171920</v>
      </c>
      <c r="AT85" s="29">
        <f ca="1">IFERROR(__xludf.DUMMYFUNCTION("""COMPUTED_VALUE"""),25386)</f>
        <v>25386</v>
      </c>
      <c r="AU85" s="27">
        <f ca="1">IFERROR(__xludf.DUMMYFUNCTION("""COMPUTED_VALUE"""),53)</f>
        <v>53</v>
      </c>
      <c r="AV85" s="27">
        <f ca="1">IFERROR(__xludf.DUMMYFUNCTION("""COMPUTED_VALUE"""),2971794466)</f>
        <v>2971794466</v>
      </c>
      <c r="AW85" s="27">
        <f ca="1">IFERROR(__xludf.DUMMYFUNCTION("""COMPUTED_VALUE"""),1217748)</f>
        <v>1217748</v>
      </c>
      <c r="AX85" s="27"/>
      <c r="AY85" s="27"/>
      <c r="AZ85" s="27" t="str">
        <f ca="1">IFERROR(__xludf.DUMMYFUNCTION("""COMPUTED_VALUE"""),"G")</f>
        <v>G</v>
      </c>
      <c r="BA85" s="27" t="str">
        <f ca="1">IFERROR(__xludf.DUMMYFUNCTION("""COMPUTED_VALUE"""),"Parda")</f>
        <v>Parda</v>
      </c>
      <c r="BB85" s="27"/>
      <c r="BC85" s="27"/>
      <c r="BD85" s="27" t="str">
        <f ca="1">IFERROR(__xludf.DUMMYFUNCTION("""COMPUTED_VALUE"""),"Comecei minha historia de Lider em uma comunidade de familias bastantes carentes* onde eu era a parte que ajudava na organização das familias com orientações e começamos buscar aos poderes publicos nossos direitos* conseguir como representanta ir buscar p"&amp;"rojetos como a busca de construções de reservatorios de agua não so na  inha comunidade Quixaba* mas tambem fui no ano de 2003 a voz do municipio em busca de percerias com ongs* e programas  sociais para beneficiar grupos de familias comunitarias com melh"&amp;"orias hidricas e de moradia digna. Hoje continuo na organização de familias de comunidades carentes com orientações em busca de mudança para nesse país termos vidas dignas e acredito na organização e buscas de direitos a saúde* moradia* agua* alimentos e "&amp;"tudo que pode levar um ser humano a sair da miseria e ser um cidadão de bem. sou ccordenadora da organização FORUM DE ASSOCIAÇOES DE SÃO TOMÉ! mulher* mae de dois filhos criados praticamente sem o pai* sou divorciada com muito orgulho de lutar por vidas d"&amp;"ignas.")</f>
        <v>Comecei minha historia de Lider em uma comunidade de familias bastantes carentes* onde eu era a parte que ajudava na organização das familias com orientações e começamos buscar aos poderes publicos nossos direitos* conseguir como representanta ir buscar projetos como a busca de construções de reservatorios de agua não so na  inha comunidade Quixaba* mas tambem fui no ano de 2003 a voz do municipio em busca de percerias com ongs* e programas  sociais para beneficiar grupos de familias comunitarias com melhorias hidricas e de moradia digna. Hoje continuo na organização de familias de comunidades carentes com orientações em busca de mudança para nesse país termos vidas dignas e acredito na organização e buscas de direitos a saúde* moradia* agua* alimentos e tudo que pode levar um ser humano a sair da miseria e ser um cidadão de bem. sou ccordenadora da organização FORUM DE ASSOCIAÇOES DE SÃO TOMÉ! mulher* mae de dois filhos criados praticamente sem o pai* sou divorciada com muito orgulho de lutar por vidas dignas.</v>
      </c>
      <c r="BE85" s="27" t="str">
        <f ca="1">IFERROR(__xludf.DUMMYFUNCTION("""COMPUTED_VALUE"""),"Feminino")</f>
        <v>Feminino</v>
      </c>
      <c r="BF85" s="27" t="str">
        <f ca="1">IFERROR(__xludf.DUMMYFUNCTION("""COMPUTED_VALUE"""),"Heterossexual")</f>
        <v>Heterossexual</v>
      </c>
      <c r="BG85" s="27"/>
      <c r="BH85" s="27" t="str">
        <f ca="1">IFERROR(__xludf.DUMMYFUNCTION("""COMPUTED_VALUE"""),"Público")</f>
        <v>Público</v>
      </c>
      <c r="BI85" s="27"/>
      <c r="BJ85" s="27"/>
      <c r="BK85" s="27" t="str">
        <f ca="1">IFERROR(__xludf.DUMMYFUNCTION("""COMPUTED_VALUE"""),"Rua Cremildo Crinario de Araújo")</f>
        <v>Rua Cremildo Crinario de Araújo</v>
      </c>
      <c r="BL85" s="27">
        <f ca="1">IFERROR(__xludf.DUMMYFUNCTION("""COMPUTED_VALUE"""),1120)</f>
        <v>1120</v>
      </c>
      <c r="BM85" s="27"/>
      <c r="BN85" s="27"/>
      <c r="BO85" s="27" t="str">
        <f ca="1">IFERROR(__xludf.DUMMYFUNCTION("""COMPUTED_VALUE"""),"59400-000")</f>
        <v>59400-000</v>
      </c>
      <c r="BP85" s="27" t="str">
        <f ca="1">IFERROR(__xludf.DUMMYFUNCTION("""COMPUTED_VALUE"""),"RN")</f>
        <v>RN</v>
      </c>
      <c r="BQ85" s="27" t="str">
        <f ca="1">IFERROR(__xludf.DUMMYFUNCTION("""COMPUTED_VALUE"""),"Entre 1 até 3 salários mínimos")</f>
        <v>Entre 1 até 3 salários mínimos</v>
      </c>
      <c r="BR85" s="27" t="str">
        <f ca="1">IFERROR(__xludf.DUMMYFUNCTION("""COMPUTED_VALUE"""),"Funcionário Público")</f>
        <v>Funcionário Público</v>
      </c>
      <c r="BS85" s="27" t="str">
        <f ca="1">IFERROR(__xludf.DUMMYFUNCTION("""COMPUTED_VALUE"""),"Casa própria")</f>
        <v>Casa própria</v>
      </c>
      <c r="BT85" s="27">
        <f ca="1">IFERROR(__xludf.DUMMYFUNCTION("""COMPUTED_VALUE"""),2)</f>
        <v>2</v>
      </c>
      <c r="BU85" s="27" t="str">
        <f ca="1">IFERROR(__xludf.DUMMYFUNCTION("""COMPUTED_VALUE"""),"Não tem")</f>
        <v>Não tem</v>
      </c>
      <c r="BV85" s="27" t="str">
        <f ca="1">IFERROR(__xludf.DUMMYFUNCTION("""COMPUTED_VALUE"""),"Não")</f>
        <v>Não</v>
      </c>
      <c r="BW85" s="27"/>
      <c r="BX85" s="27"/>
      <c r="BY85" s="21" t="str">
        <f ca="1">IFERROR(__xludf.DUMMYFUNCTION("""COMPUTED_VALUE"""),"https://drive.google.com/open?id=1o_tbqI4lMFvpdlvxgXC4x6WFXH5dNxbE")</f>
        <v>https://drive.google.com/open?id=1o_tbqI4lMFvpdlvxgXC4x6WFXH5dNxbE</v>
      </c>
    </row>
    <row r="86" spans="1:77" ht="12.5" hidden="1" x14ac:dyDescent="0.25">
      <c r="A86" s="21" t="str">
        <f ca="1">IFERROR(__xludf.DUMMYFUNCTION("""COMPUTED_VALUE"""),"0014X00002PUOUaQAP")</f>
        <v>0014X00002PUOUaQAP</v>
      </c>
      <c r="B86" s="27" t="str">
        <f ca="1">IFERROR(__xludf.DUMMYFUNCTION("""COMPUTED_VALUE"""),"Fase Inicial")</f>
        <v>Fase Inicial</v>
      </c>
      <c r="C86" s="27" t="str">
        <f ca="1">IFERROR(__xludf.DUMMYFUNCTION("""COMPUTED_VALUE"""),"Fellow")</f>
        <v>Fellow</v>
      </c>
      <c r="D86" s="27" t="str">
        <f ca="1">IFERROR(__xludf.DUMMYFUNCTION("""COMPUTED_VALUE"""),"Ativo")</f>
        <v>Ativo</v>
      </c>
      <c r="E86" s="27" t="str">
        <f ca="1">IFERROR(__xludf.DUMMYFUNCTION("""COMPUTED_VALUE"""),"ASSOCIAÇÃO DO MORRO PARA O RINGUE")</f>
        <v>ASSOCIAÇÃO DO MORRO PARA O RINGUE</v>
      </c>
      <c r="F86" s="27" t="str">
        <f ca="1">IFERROR(__xludf.DUMMYFUNCTION("""COMPUTED_VALUE"""),"Bruna")</f>
        <v>Bruna</v>
      </c>
      <c r="G86" s="27" t="str">
        <f ca="1">IFERROR(__xludf.DUMMYFUNCTION("""COMPUTED_VALUE"""),"MORRO PARA O RINGUE")</f>
        <v>MORRO PARA O RINGUE</v>
      </c>
      <c r="H86" s="27" t="str">
        <f ca="1">IFERROR(__xludf.DUMMYFUNCTION("""COMPUTED_VALUE"""),"39.698.455/0001-68")</f>
        <v>39.698.455/0001-68</v>
      </c>
      <c r="I86" s="27"/>
      <c r="J86" s="27"/>
      <c r="K86" s="27" t="str">
        <f ca="1">IFERROR(__xludf.DUMMYFUNCTION("""COMPUTED_VALUE"""),"(21)96707-6513")</f>
        <v>(21)96707-6513</v>
      </c>
      <c r="L86" s="27" t="str">
        <f ca="1">IFERROR(__xludf.DUMMYFUNCTION("""COMPUTED_VALUE"""),"RJ")</f>
        <v>RJ</v>
      </c>
      <c r="M86" s="27" t="str">
        <f ca="1">IFERROR(__xludf.DUMMYFUNCTION("""COMPUTED_VALUE"""),"Rua pereira lopes")</f>
        <v>Rua pereira lopes</v>
      </c>
      <c r="N86" s="27" t="str">
        <f ca="1">IFERROR(__xludf.DUMMYFUNCTION("""COMPUTED_VALUE"""),"Benfica")</f>
        <v>Benfica</v>
      </c>
      <c r="O86" s="27" t="str">
        <f ca="1">IFERROR(__xludf.DUMMYFUNCTION("""COMPUTED_VALUE"""),"(21)96707-6513")</f>
        <v>(21)96707-6513</v>
      </c>
      <c r="P86" s="27" t="str">
        <f ca="1">IFERROR(__xludf.DUMMYFUNCTION("""COMPUTED_VALUE"""),"rio de janeiro")</f>
        <v>rio de janeiro</v>
      </c>
      <c r="Q86" s="27"/>
      <c r="R86" s="27" t="str">
        <f ca="1">IFERROR(__xludf.DUMMYFUNCTION("""COMPUTED_VALUE"""),"20920-330")</f>
        <v>20920-330</v>
      </c>
      <c r="S86" s="27"/>
      <c r="T86" s="27" t="str">
        <f ca="1">IFERROR(__xludf.DUMMYFUNCTION("""COMPUTED_VALUE"""),"Esporte; Educação")</f>
        <v>Esporte; Educação</v>
      </c>
      <c r="U86" s="27" t="str">
        <f ca="1">IFERROR(__xludf.DUMMYFUNCTION("""COMPUTED_VALUE"""),"Crianças (6 a 12 anos); Adolescentes (12 aos 18 anos); Adultos")</f>
        <v>Crianças (6 a 12 anos); Adolescentes (12 aos 18 anos); Adultos</v>
      </c>
      <c r="V86" s="27" t="str">
        <f ca="1">IFERROR(__xludf.DUMMYFUNCTION("""COMPUTED_VALUE"""),"Moradores de Favelas")</f>
        <v>Moradores de Favelas</v>
      </c>
      <c r="W86" s="27">
        <f ca="1">IFERROR(__xludf.DUMMYFUNCTION("""COMPUTED_VALUE"""),4)</f>
        <v>4</v>
      </c>
      <c r="X86" s="27" t="str">
        <f ca="1">IFERROR(__xludf.DUMMYFUNCTION("""COMPUTED_VALUE"""),"Atendemos algumas crianças especiais intelectuais")</f>
        <v>Atendemos algumas crianças especiais intelectuais</v>
      </c>
      <c r="Y86" s="27"/>
      <c r="Z86" s="27"/>
      <c r="AA86" s="27"/>
      <c r="AB86" s="27" t="str">
        <f ca="1">IFERROR(__xludf.DUMMYFUNCTION("""COMPUTED_VALUE"""),"Sim")</f>
        <v>Sim</v>
      </c>
      <c r="AC86" s="27">
        <f ca="1">IFERROR(__xludf.DUMMYFUNCTION("""COMPUTED_VALUE"""),2)</f>
        <v>2</v>
      </c>
      <c r="AD86" s="27">
        <f ca="1">IFERROR(__xludf.DUMMYFUNCTION("""COMPUTED_VALUE"""),2)</f>
        <v>2</v>
      </c>
      <c r="AE86" s="27">
        <f ca="1">IFERROR(__xludf.DUMMYFUNCTION("""COMPUTED_VALUE"""),6)</f>
        <v>6</v>
      </c>
      <c r="AF86" s="27">
        <f ca="1">IFERROR(__xludf.DUMMYFUNCTION("""COMPUTED_VALUE"""),2)</f>
        <v>2</v>
      </c>
      <c r="AG86" s="27">
        <f ca="1">IFERROR(__xludf.DUMMYFUNCTION("""COMPUTED_VALUE"""),2)</f>
        <v>2</v>
      </c>
      <c r="AH86" s="27" t="str">
        <f ca="1">IFERROR(__xludf.DUMMYFUNCTION("""COMPUTED_VALUE"""),"Recursos próprios")</f>
        <v>Recursos próprios</v>
      </c>
      <c r="AI86" s="27"/>
      <c r="AJ86" s="27" t="str">
        <f ca="1">IFERROR(__xludf.DUMMYFUNCTION("""COMPUTED_VALUE"""),"Vamos iniciar esse ano")</f>
        <v>Vamos iniciar esse ano</v>
      </c>
      <c r="AK86" s="27" t="str">
        <f ca="1">IFERROR(__xludf.DUMMYFUNCTION("""COMPUTED_VALUE"""),"Sim")</f>
        <v>Sim</v>
      </c>
      <c r="AL86" s="21" t="str">
        <f ca="1">IFERROR(__xludf.DUMMYFUNCTION("""COMPUTED_VALUE"""),"0034X000032Hs00")</f>
        <v>0034X000032Hs00</v>
      </c>
      <c r="AM86" s="27" t="str">
        <f ca="1">IFERROR(__xludf.DUMMYFUNCTION("""COMPUTED_VALUE"""),"Costa Mendes Da Silva")</f>
        <v>Costa Mendes Da Silva</v>
      </c>
      <c r="AN86" s="27" t="str">
        <f ca="1">IFERROR(__xludf.DUMMYFUNCTION("""COMPUTED_VALUE"""),"Ativo")</f>
        <v>Ativo</v>
      </c>
      <c r="AO86" s="30">
        <f ca="1">IFERROR(__xludf.DUMMYFUNCTION("""COMPUTED_VALUE"""),44487)</f>
        <v>44487</v>
      </c>
      <c r="AP86" s="27">
        <f ca="1">IFERROR(__xludf.DUMMYFUNCTION("""COMPUTED_VALUE"""),11)</f>
        <v>11</v>
      </c>
      <c r="AQ86" s="27" t="str">
        <f ca="1">IFERROR(__xludf.DUMMYFUNCTION("""COMPUTED_VALUE"""),"Segundo Semestre 2020")</f>
        <v>Segundo Semestre 2020</v>
      </c>
      <c r="AR86" s="27" t="str">
        <f ca="1">IFERROR(__xludf.DUMMYFUNCTION("""COMPUTED_VALUE"""),"brunnamendes138@gmail.com")</f>
        <v>brunnamendes138@gmail.com</v>
      </c>
      <c r="AS86" s="27" t="str">
        <f ca="1">IFERROR(__xludf.DUMMYFUNCTION("""COMPUTED_VALUE"""),"(21)96707-6513")</f>
        <v>(21)96707-6513</v>
      </c>
      <c r="AT86" s="29">
        <f ca="1">IFERROR(__xludf.DUMMYFUNCTION("""COMPUTED_VALUE"""),35163)</f>
        <v>35163</v>
      </c>
      <c r="AU86" s="27">
        <f ca="1">IFERROR(__xludf.DUMMYFUNCTION("""COMPUTED_VALUE"""),26)</f>
        <v>26</v>
      </c>
      <c r="AV86" s="27">
        <f ca="1">IFERROR(__xludf.DUMMYFUNCTION("""COMPUTED_VALUE"""),15678185799)</f>
        <v>15678185799</v>
      </c>
      <c r="AW86" s="27">
        <f ca="1">IFERROR(__xludf.DUMMYFUNCTION("""COMPUTED_VALUE"""),285033130)</f>
        <v>285033130</v>
      </c>
      <c r="AX86" s="27" t="str">
        <f ca="1">IFERROR(__xludf.DUMMYFUNCTION("""COMPUTED_VALUE"""),"Curso de Treinadora de Boxe")</f>
        <v>Curso de Treinadora de Boxe</v>
      </c>
      <c r="AY86" s="27"/>
      <c r="AZ86" s="27" t="str">
        <f ca="1">IFERROR(__xludf.DUMMYFUNCTION("""COMPUTED_VALUE"""),"P")</f>
        <v>P</v>
      </c>
      <c r="BA86" s="27"/>
      <c r="BB86" s="27"/>
      <c r="BC86" s="27" t="str">
        <f ca="1">IFERROR(__xludf.DUMMYFUNCTION("""COMPUTED_VALUE"""),"Sim")</f>
        <v>Sim</v>
      </c>
      <c r="BD86" s="27" t="str">
        <f ca="1">IFERROR(__xludf.DUMMYFUNCTION("""COMPUTED_VALUE"""),"Sou Bruna Mendes 25 anos, mãe de duas meninas, Helô de 6 anos e Valentina Luz de 2 anos, esposa do Gláucio e apaixonada por esportes, em especial Artes Marciais. Acredito que a educação aliado ao esporte é TRANSFORMAÇÃO SOCIAL.")</f>
        <v>Sou Bruna Mendes 25 anos, mãe de duas meninas, Helô de 6 anos e Valentina Luz de 2 anos, esposa do Gláucio e apaixonada por esportes, em especial Artes Marciais. Acredito que a educação aliado ao esporte é TRANSFORMAÇÃO SOCIAL.</v>
      </c>
      <c r="BE86" s="27" t="str">
        <f ca="1">IFERROR(__xludf.DUMMYFUNCTION("""COMPUTED_VALUE"""),"Feminino")</f>
        <v>Feminino</v>
      </c>
      <c r="BF86" s="27"/>
      <c r="BG86" s="27" t="str">
        <f ca="1">IFERROR(__xludf.DUMMYFUNCTION("""COMPUTED_VALUE"""),"Ensino Superior - Incompleto")</f>
        <v>Ensino Superior - Incompleto</v>
      </c>
      <c r="BH86" s="27"/>
      <c r="BI86" s="27" t="str">
        <f ca="1">IFERROR(__xludf.DUMMYFUNCTION("""COMPUTED_VALUE"""),"Graduação")</f>
        <v>Graduação</v>
      </c>
      <c r="BJ86" s="27" t="str">
        <f ca="1">IFERROR(__xludf.DUMMYFUNCTION("""COMPUTED_VALUE"""),"Privado")</f>
        <v>Privado</v>
      </c>
      <c r="BK86" s="27" t="str">
        <f ca="1">IFERROR(__xludf.DUMMYFUNCTION("""COMPUTED_VALUE"""),"Celio nascimento")</f>
        <v>Celio nascimento</v>
      </c>
      <c r="BL86" s="27">
        <f ca="1">IFERROR(__xludf.DUMMYFUNCTION("""COMPUTED_VALUE"""),48)</f>
        <v>48</v>
      </c>
      <c r="BM86" s="27" t="str">
        <f ca="1">IFERROR(__xludf.DUMMYFUNCTION("""COMPUTED_VALUE"""),"casa")</f>
        <v>casa</v>
      </c>
      <c r="BN86" s="27" t="str">
        <f ca="1">IFERROR(__xludf.DUMMYFUNCTION("""COMPUTED_VALUE"""),"rio de janeiro")</f>
        <v>rio de janeiro</v>
      </c>
      <c r="BO86" s="27" t="str">
        <f ca="1">IFERROR(__xludf.DUMMYFUNCTION("""COMPUTED_VALUE"""),"20930-050")</f>
        <v>20930-050</v>
      </c>
      <c r="BP86" s="27" t="str">
        <f ca="1">IFERROR(__xludf.DUMMYFUNCTION("""COMPUTED_VALUE"""),"RJ")</f>
        <v>RJ</v>
      </c>
      <c r="BQ86" s="27" t="str">
        <f ca="1">IFERROR(__xludf.DUMMYFUNCTION("""COMPUTED_VALUE"""),"Entre 1 até 3 salários mínimos")</f>
        <v>Entre 1 até 3 salários mínimos</v>
      </c>
      <c r="BR86" s="27" t="str">
        <f ca="1">IFERROR(__xludf.DUMMYFUNCTION("""COMPUTED_VALUE"""),"Trabalho informal")</f>
        <v>Trabalho informal</v>
      </c>
      <c r="BS86" s="27" t="str">
        <f ca="1">IFERROR(__xludf.DUMMYFUNCTION("""COMPUTED_VALUE"""),"Aluguel")</f>
        <v>Aluguel</v>
      </c>
      <c r="BT86" s="27">
        <f ca="1">IFERROR(__xludf.DUMMYFUNCTION("""COMPUTED_VALUE"""),9)</f>
        <v>9</v>
      </c>
      <c r="BU86" s="27"/>
      <c r="BV86" s="27" t="str">
        <f ca="1">IFERROR(__xludf.DUMMYFUNCTION("""COMPUTED_VALUE"""),"Intolerância a lactose")</f>
        <v>Intolerância a lactose</v>
      </c>
      <c r="BW86" s="27"/>
      <c r="BX86" s="21" t="str">
        <f ca="1">IFERROR(__xludf.DUMMYFUNCTION("""COMPUTED_VALUE"""),"https://www.instagram.com/p/Ca0wX3FO9f4/?utm_medium=copy_link")</f>
        <v>https://www.instagram.com/p/Ca0wX3FO9f4/?utm_medium=copy_link</v>
      </c>
      <c r="BY86" s="21" t="str">
        <f ca="1">IFERROR(__xludf.DUMMYFUNCTION("""COMPUTED_VALUE"""),"https://drive.google.com/open?id=1DKY-InFZXUqBBZyOmp_kqN5PD8sCjywv")</f>
        <v>https://drive.google.com/open?id=1DKY-InFZXUqBBZyOmp_kqN5PD8sCjywv</v>
      </c>
    </row>
    <row r="87" spans="1:77" ht="12.5" hidden="1" x14ac:dyDescent="0.25">
      <c r="A87" s="21" t="str">
        <f ca="1">IFERROR(__xludf.DUMMYFUNCTION("""COMPUTED_VALUE"""),"0014X00002VKCp5QAH")</f>
        <v>0014X00002VKCp5QAH</v>
      </c>
      <c r="B87" s="27" t="str">
        <f ca="1">IFERROR(__xludf.DUMMYFUNCTION("""COMPUTED_VALUE"""),"Fase Inicial")</f>
        <v>Fase Inicial</v>
      </c>
      <c r="C87" s="27" t="str">
        <f ca="1">IFERROR(__xludf.DUMMYFUNCTION("""COMPUTED_VALUE"""),"Fellow")</f>
        <v>Fellow</v>
      </c>
      <c r="D87" s="27" t="str">
        <f ca="1">IFERROR(__xludf.DUMMYFUNCTION("""COMPUTED_VALUE"""),"Ativo")</f>
        <v>Ativo</v>
      </c>
      <c r="E87" s="27" t="str">
        <f ca="1">IFERROR(__xludf.DUMMYFUNCTION("""COMPUTED_VALUE"""),"Associação dos cuidadores de pessoas em situação de vulnerabilidade na Bahia")</f>
        <v>Associação dos cuidadores de pessoas em situação de vulnerabilidade na Bahia</v>
      </c>
      <c r="F87" s="27" t="str">
        <f ca="1">IFERROR(__xludf.DUMMYFUNCTION("""COMPUTED_VALUE"""),"Daiane")</f>
        <v>Daiane</v>
      </c>
      <c r="G87" s="27" t="str">
        <f ca="1">IFERROR(__xludf.DUMMYFUNCTION("""COMPUTED_VALUE"""),"ACPSVB")</f>
        <v>ACPSVB</v>
      </c>
      <c r="H87" s="27"/>
      <c r="I87" s="27" t="str">
        <f ca="1">IFERROR(__xludf.DUMMYFUNCTION("""COMPUTED_VALUE"""),"Daiane dos Santos pires")</f>
        <v>Daiane dos Santos pires</v>
      </c>
      <c r="J87" s="27" t="str">
        <f ca="1">IFERROR(__xludf.DUMMYFUNCTION("""COMPUTED_VALUE"""),"ong.acpsvb01@gmail.com")</f>
        <v>ong.acpsvb01@gmail.com</v>
      </c>
      <c r="K87" s="27" t="str">
        <f ca="1">IFERROR(__xludf.DUMMYFUNCTION("""COMPUTED_VALUE"""),"(71)99664-5706")</f>
        <v>(71)99664-5706</v>
      </c>
      <c r="L87" s="27" t="str">
        <f ca="1">IFERROR(__xludf.DUMMYFUNCTION("""COMPUTED_VALUE"""),"BA")</f>
        <v>BA</v>
      </c>
      <c r="M87" s="27" t="str">
        <f ca="1">IFERROR(__xludf.DUMMYFUNCTION("""COMPUTED_VALUE"""),"Rua  caminho 2 n 37c")</f>
        <v>Rua  caminho 2 n 37c</v>
      </c>
      <c r="N87" s="27" t="str">
        <f ca="1">IFERROR(__xludf.DUMMYFUNCTION("""COMPUTED_VALUE"""),"Jardim Santo inacio")</f>
        <v>Jardim Santo inacio</v>
      </c>
      <c r="O87" s="27" t="str">
        <f ca="1">IFERROR(__xludf.DUMMYFUNCTION("""COMPUTED_VALUE"""),"37C")</f>
        <v>37C</v>
      </c>
      <c r="P87" s="27" t="str">
        <f ca="1">IFERROR(__xludf.DUMMYFUNCTION("""COMPUTED_VALUE"""),"Salvador")</f>
        <v>Salvador</v>
      </c>
      <c r="Q87" s="27" t="str">
        <f ca="1">IFERROR(__xludf.DUMMYFUNCTION("""COMPUTED_VALUE"""),"1andar")</f>
        <v>1andar</v>
      </c>
      <c r="R87" s="27" t="str">
        <f ca="1">IFERROR(__xludf.DUMMYFUNCTION("""COMPUTED_VALUE"""),"41231-115")</f>
        <v>41231-115</v>
      </c>
      <c r="S87" s="27" t="str">
        <f ca="1">IFERROR(__xludf.DUMMYFUNCTION("""COMPUTED_VALUE"""),"Temos núcleo  em outros bairros")</f>
        <v>Temos núcleo  em outros bairros</v>
      </c>
      <c r="T87" s="27"/>
      <c r="U87"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87" s="27" t="str">
        <f ca="1">IFERROR(__xludf.DUMMYFUNCTION("""COMPUTED_VALUE"""),"Moradores de Favelas, Pessoas em situação de rua, População LGBTQ+, Povos Indígenas, Quilombola, Afrodescendentes, Dependentes Químicos, Pessoas com Deficiência, Imigrantes, Refugiados, Ribeirinhos, Comunidade rural")</f>
        <v>Moradores de Favelas, Pessoas em situação de rua, População LGBTQ+, Povos Indígenas, Quilombola, Afrodescendentes, Dependentes Químicos, Pessoas com Deficiência, Imigrantes, Refugiados, Ribeirinhos, Comunidade rural</v>
      </c>
      <c r="W87" s="27">
        <f ca="1">IFERROR(__xludf.DUMMYFUNCTION("""COMPUTED_VALUE"""),39)</f>
        <v>39</v>
      </c>
      <c r="X87" s="27" t="str">
        <f ca="1">IFERROR(__xludf.DUMMYFUNCTION("""COMPUTED_VALUE"""),"Atendemos 39 comunidades em situação de rua")</f>
        <v>Atendemos 39 comunidades em situação de rua</v>
      </c>
      <c r="Y87" s="27"/>
      <c r="Z87" s="27">
        <f ca="1">IFERROR(__xludf.DUMMYFUNCTION("""COMPUTED_VALUE"""),15)</f>
        <v>15</v>
      </c>
      <c r="AA87" s="29">
        <f ca="1">IFERROR(__xludf.DUMMYFUNCTION("""COMPUTED_VALUE"""),41443)</f>
        <v>41443</v>
      </c>
      <c r="AB87" s="27" t="str">
        <f ca="1">IFERROR(__xludf.DUMMYFUNCTION("""COMPUTED_VALUE"""),"Sim")</f>
        <v>Sim</v>
      </c>
      <c r="AC87" s="27">
        <f ca="1">IFERROR(__xludf.DUMMYFUNCTION("""COMPUTED_VALUE"""),0)</f>
        <v>0</v>
      </c>
      <c r="AD87" s="27">
        <f ca="1">IFERROR(__xludf.DUMMYFUNCTION("""COMPUTED_VALUE"""),16)</f>
        <v>16</v>
      </c>
      <c r="AE87" s="27">
        <f ca="1">IFERROR(__xludf.DUMMYFUNCTION("""COMPUTED_VALUE"""),27)</f>
        <v>27</v>
      </c>
      <c r="AF87" s="27">
        <f ca="1">IFERROR(__xludf.DUMMYFUNCTION("""COMPUTED_VALUE"""),16)</f>
        <v>16</v>
      </c>
      <c r="AG87" s="27">
        <f ca="1">IFERROR(__xludf.DUMMYFUNCTION("""COMPUTED_VALUE"""),8)</f>
        <v>8</v>
      </c>
      <c r="AH87" s="27" t="str">
        <f ca="1">IFERROR(__xludf.DUMMYFUNCTION("""COMPUTED_VALUE"""),"Lei de Incentivo, Negócio Social, Eventos/Ações para captação, Plataforma doação online - Pessoa Física, Parceria iniciativa privada, Outro(s), Doações, Recursos próprios")</f>
        <v>Lei de Incentivo, Negócio Social, Eventos/Ações para captação, Plataforma doação online - Pessoa Física, Parceria iniciativa privada, Outro(s), Doações, Recursos próprios</v>
      </c>
      <c r="AI87" s="27" t="str">
        <f ca="1">IFERROR(__xludf.DUMMYFUNCTION("""COMPUTED_VALUE"""),"50% plataformas  doações  online/25% incetivo parceria privado 25% eventos  e açoes")</f>
        <v>50% plataformas  doações  online/25% incetivo parceria privado 25% eventos  e açoes</v>
      </c>
      <c r="AJ87" s="27" t="str">
        <f ca="1">IFERROR(__xludf.DUMMYFUNCTION("""COMPUTED_VALUE"""),"Sim")</f>
        <v>Sim</v>
      </c>
      <c r="AK87" s="27"/>
      <c r="AL87" s="21" t="str">
        <f ca="1">IFERROR(__xludf.DUMMYFUNCTION("""COMPUTED_VALUE"""),"0034X0000380O6Q")</f>
        <v>0034X0000380O6Q</v>
      </c>
      <c r="AM87" s="27" t="str">
        <f ca="1">IFERROR(__xludf.DUMMYFUNCTION("""COMPUTED_VALUE"""),"Dos santos pires")</f>
        <v>Dos santos pires</v>
      </c>
      <c r="AN87" s="27" t="str">
        <f ca="1">IFERROR(__xludf.DUMMYFUNCTION("""COMPUTED_VALUE"""),"Ativo")</f>
        <v>Ativo</v>
      </c>
      <c r="AO87" s="29">
        <f ca="1">IFERROR(__xludf.DUMMYFUNCTION("""COMPUTED_VALUE"""),44763)</f>
        <v>44763</v>
      </c>
      <c r="AP87" s="27">
        <f ca="1">IFERROR(__xludf.DUMMYFUNCTION("""COMPUTED_VALUE"""),2)</f>
        <v>2</v>
      </c>
      <c r="AQ87" s="27" t="str">
        <f ca="1">IFERROR(__xludf.DUMMYFUNCTION("""COMPUTED_VALUE"""),"Primeiro Semestre 2022")</f>
        <v>Primeiro Semestre 2022</v>
      </c>
      <c r="AR87" s="27" t="str">
        <f ca="1">IFERROR(__xludf.DUMMYFUNCTION("""COMPUTED_VALUE"""),"shamah1473@gmail.com")</f>
        <v>shamah1473@gmail.com</v>
      </c>
      <c r="AS87" s="27" t="str">
        <f ca="1">IFERROR(__xludf.DUMMYFUNCTION("""COMPUTED_VALUE"""),"71 98501-5206")</f>
        <v>71 98501-5206</v>
      </c>
      <c r="AT87" s="29">
        <f ca="1">IFERROR(__xludf.DUMMYFUNCTION("""COMPUTED_VALUE"""),31674)</f>
        <v>31674</v>
      </c>
      <c r="AU87" s="27">
        <f ca="1">IFERROR(__xludf.DUMMYFUNCTION("""COMPUTED_VALUE"""),36)</f>
        <v>36</v>
      </c>
      <c r="AV87" s="27">
        <f ca="1">IFERROR(__xludf.DUMMYFUNCTION("""COMPUTED_VALUE"""),3443440533)</f>
        <v>3443440533</v>
      </c>
      <c r="AW87" s="27">
        <f ca="1">IFERROR(__xludf.DUMMYFUNCTION("""COMPUTED_VALUE"""),817587748)</f>
        <v>817587748</v>
      </c>
      <c r="AX87" s="27"/>
      <c r="AY87" s="27"/>
      <c r="AZ87" s="27" t="str">
        <f ca="1">IFERROR(__xludf.DUMMYFUNCTION("""COMPUTED_VALUE"""),"GG")</f>
        <v>GG</v>
      </c>
      <c r="BA87" s="27" t="str">
        <f ca="1">IFERROR(__xludf.DUMMYFUNCTION("""COMPUTED_VALUE"""),"Parda")</f>
        <v>Parda</v>
      </c>
      <c r="BB87" s="27"/>
      <c r="BC87" s="27"/>
      <c r="BD87" s="27" t="str">
        <f ca="1">IFERROR(__xludf.DUMMYFUNCTION("""COMPUTED_VALUE"""),"Daiane pires 35 anos* casada graduada em enfermagem*  mãe de 3 meninas* 9 anos de trabalho  social")</f>
        <v>Daiane pires 35 anos* casada graduada em enfermagem*  mãe de 3 meninas* 9 anos de trabalho  social</v>
      </c>
      <c r="BE87" s="27" t="str">
        <f ca="1">IFERROR(__xludf.DUMMYFUNCTION("""COMPUTED_VALUE"""),"Feminino")</f>
        <v>Feminino</v>
      </c>
      <c r="BF87" s="27" t="str">
        <f ca="1">IFERROR(__xludf.DUMMYFUNCTION("""COMPUTED_VALUE"""),"Heterossexual")</f>
        <v>Heterossexual</v>
      </c>
      <c r="BG87" s="27"/>
      <c r="BH87" s="27" t="str">
        <f ca="1">IFERROR(__xludf.DUMMYFUNCTION("""COMPUTED_VALUE"""),"Público")</f>
        <v>Público</v>
      </c>
      <c r="BI87" s="27" t="str">
        <f ca="1">IFERROR(__xludf.DUMMYFUNCTION("""COMPUTED_VALUE"""),"Graduação")</f>
        <v>Graduação</v>
      </c>
      <c r="BJ87" s="27" t="str">
        <f ca="1">IFERROR(__xludf.DUMMYFUNCTION("""COMPUTED_VALUE"""),"Privado")</f>
        <v>Privado</v>
      </c>
      <c r="BK87" s="27" t="str">
        <f ca="1">IFERROR(__xludf.DUMMYFUNCTION("""COMPUTED_VALUE"""),"Rua b caminho 2")</f>
        <v>Rua b caminho 2</v>
      </c>
      <c r="BL87" s="27">
        <f ca="1">IFERROR(__xludf.DUMMYFUNCTION("""COMPUTED_VALUE"""),10)</f>
        <v>10</v>
      </c>
      <c r="BM87" s="27"/>
      <c r="BN87" s="27"/>
      <c r="BO87" s="27" t="str">
        <f ca="1">IFERROR(__xludf.DUMMYFUNCTION("""COMPUTED_VALUE"""),"41231-115")</f>
        <v>41231-115</v>
      </c>
      <c r="BP87" s="27" t="str">
        <f ca="1">IFERROR(__xludf.DUMMYFUNCTION("""COMPUTED_VALUE"""),"BA")</f>
        <v>BA</v>
      </c>
      <c r="BQ87" s="27" t="str">
        <f ca="1">IFERROR(__xludf.DUMMYFUNCTION("""COMPUTED_VALUE"""),"Entre 1 até 3 salários mínimos")</f>
        <v>Entre 1 até 3 salários mínimos</v>
      </c>
      <c r="BR87" s="27" t="str">
        <f ca="1">IFERROR(__xludf.DUMMYFUNCTION("""COMPUTED_VALUE"""),"Desempregado")</f>
        <v>Desempregado</v>
      </c>
      <c r="BS87" s="27" t="str">
        <f ca="1">IFERROR(__xludf.DUMMYFUNCTION("""COMPUTED_VALUE"""),"Aluguel")</f>
        <v>Aluguel</v>
      </c>
      <c r="BT87" s="27">
        <f ca="1">IFERROR(__xludf.DUMMYFUNCTION("""COMPUTED_VALUE"""),5)</f>
        <v>5</v>
      </c>
      <c r="BU87" s="27" t="str">
        <f ca="1">IFERROR(__xludf.DUMMYFUNCTION("""COMPUTED_VALUE"""),"Não tem")</f>
        <v>Não tem</v>
      </c>
      <c r="BV87" s="27" t="str">
        <f ca="1">IFERROR(__xludf.DUMMYFUNCTION("""COMPUTED_VALUE"""),"Não")</f>
        <v>Não</v>
      </c>
      <c r="BW87" s="27"/>
      <c r="BX87" s="21" t="str">
        <f ca="1">IFERROR(__xludf.DUMMYFUNCTION("""COMPUTED_VALUE"""),"https://instagram.com/__daydias?utm_medium=copy_link")</f>
        <v>https://instagram.com/__daydias?utm_medium=copy_link</v>
      </c>
      <c r="BY87" s="21" t="str">
        <f ca="1">IFERROR(__xludf.DUMMYFUNCTION("""COMPUTED_VALUE"""),"https://drive.google.com/open?id=1C6ewJpuHyQUU-kJqMvL2-fOTMl9fp52d")</f>
        <v>https://drive.google.com/open?id=1C6ewJpuHyQUU-kJqMvL2-fOTMl9fp52d</v>
      </c>
    </row>
    <row r="88" spans="1:77" ht="12.5" hidden="1" x14ac:dyDescent="0.25">
      <c r="A88" s="21" t="str">
        <f ca="1">IFERROR(__xludf.DUMMYFUNCTION("""COMPUTED_VALUE"""),"0014X00002VKCtHQAX")</f>
        <v>0014X00002VKCtHQAX</v>
      </c>
      <c r="B88" s="27" t="str">
        <f ca="1">IFERROR(__xludf.DUMMYFUNCTION("""COMPUTED_VALUE"""),"Fase Inicial")</f>
        <v>Fase Inicial</v>
      </c>
      <c r="C88" s="27" t="str">
        <f ca="1">IFERROR(__xludf.DUMMYFUNCTION("""COMPUTED_VALUE"""),"Fellow")</f>
        <v>Fellow</v>
      </c>
      <c r="D88" s="27" t="str">
        <f ca="1">IFERROR(__xludf.DUMMYFUNCTION("""COMPUTED_VALUE"""),"Ativo")</f>
        <v>Ativo</v>
      </c>
      <c r="E88" s="27" t="str">
        <f ca="1">IFERROR(__xludf.DUMMYFUNCTION("""COMPUTED_VALUE"""),"Associação dos Moradores da Comunidade do Bairro Zita Cunha")</f>
        <v>Associação dos Moradores da Comunidade do Bairro Zita Cunha</v>
      </c>
      <c r="F88" s="27" t="str">
        <f ca="1">IFERROR(__xludf.DUMMYFUNCTION("""COMPUTED_VALUE"""),"Chirlêi")</f>
        <v>Chirlêi</v>
      </c>
      <c r="G88" s="27" t="str">
        <f ca="1">IFERROR(__xludf.DUMMYFUNCTION("""COMPUTED_VALUE"""),"AMCBZITACUNHA")</f>
        <v>AMCBZITACUNHA</v>
      </c>
      <c r="H88" s="27" t="str">
        <f ca="1">IFERROR(__xludf.DUMMYFUNCTION("""COMPUTED_VALUE"""),"41.424.691/0001-38")</f>
        <v>41.424.691/0001-38</v>
      </c>
      <c r="I88" s="27" t="str">
        <f ca="1">IFERROR(__xludf.DUMMYFUNCTION("""COMPUTED_VALUE"""),"Silvana de Fátima Farias dos Anjos")</f>
        <v>Silvana de Fátima Farias dos Anjos</v>
      </c>
      <c r="J88" s="27" t="str">
        <f ca="1">IFERROR(__xludf.DUMMYFUNCTION("""COMPUTED_VALUE"""),"amcbzitacunha@gmail.com")</f>
        <v>amcbzitacunha@gmail.com</v>
      </c>
      <c r="K88" s="27" t="str">
        <f ca="1">IFERROR(__xludf.DUMMYFUNCTION("""COMPUTED_VALUE"""),"(00)0000-0000")</f>
        <v>(00)0000-0000</v>
      </c>
      <c r="L88" s="27" t="str">
        <f ca="1">IFERROR(__xludf.DUMMYFUNCTION("""COMPUTED_VALUE"""),"PA")</f>
        <v>PA</v>
      </c>
      <c r="M88" s="27" t="str">
        <f ca="1">IFERROR(__xludf.DUMMYFUNCTION("""COMPUTED_VALUE"""),"Valdir Rodrigues")</f>
        <v>Valdir Rodrigues</v>
      </c>
      <c r="N88" s="27" t="str">
        <f ca="1">IFERROR(__xludf.DUMMYFUNCTION("""COMPUTED_VALUE"""),"Zita Cunha")</f>
        <v>Zita Cunha</v>
      </c>
      <c r="O88" s="27">
        <f ca="1">IFERROR(__xludf.DUMMYFUNCTION("""COMPUTED_VALUE"""),388)</f>
        <v>388</v>
      </c>
      <c r="P88" s="27" t="str">
        <f ca="1">IFERROR(__xludf.DUMMYFUNCTION("""COMPUTED_VALUE"""),"Barcarena")</f>
        <v>Barcarena</v>
      </c>
      <c r="Q88" s="27"/>
      <c r="R88" s="27" t="str">
        <f ca="1">IFERROR(__xludf.DUMMYFUNCTION("""COMPUTED_VALUE"""),"68445-000")</f>
        <v>68445-000</v>
      </c>
      <c r="S88" s="27"/>
      <c r="T88" s="27"/>
      <c r="U88" s="27" t="str">
        <f ca="1">IFERROR(__xludf.DUMMYFUNCTION("""COMPUTED_VALUE"""),"Crianças (6 a 12 anos), Adolescentes (12 aos 18 anos), Jovens (18 aos 24 anos), Adultos, Idosos (60 anos ou mais)")</f>
        <v>Crianças (6 a 12 anos), Adolescentes (12 aos 18 anos), Jovens (18 aos 24 anos), Adultos, Idosos (60 anos ou mais)</v>
      </c>
      <c r="V88" s="27" t="str">
        <f ca="1">IFERROR(__xludf.DUMMYFUNCTION("""COMPUTED_VALUE"""),"Moradores de Favelas, Comunidade rural")</f>
        <v>Moradores de Favelas, Comunidade rural</v>
      </c>
      <c r="W88" s="27">
        <f ca="1">IFERROR(__xludf.DUMMYFUNCTION("""COMPUTED_VALUE"""),4)</f>
        <v>4</v>
      </c>
      <c r="X88" s="27" t="str">
        <f ca="1">IFERROR(__xludf.DUMMYFUNCTION("""COMPUTED_VALUE"""),"Trabalhamos com artesãs e trabalho manuais")</f>
        <v>Trabalhamos com artesãs e trabalho manuais</v>
      </c>
      <c r="Y88" s="27"/>
      <c r="Z88" s="27">
        <f ca="1">IFERROR(__xludf.DUMMYFUNCTION("""COMPUTED_VALUE"""),0)</f>
        <v>0</v>
      </c>
      <c r="AA88" s="30">
        <f ca="1">IFERROR(__xludf.DUMMYFUNCTION("""COMPUTED_VALUE"""),43799)</f>
        <v>43799</v>
      </c>
      <c r="AB88" s="27" t="str">
        <f ca="1">IFERROR(__xludf.DUMMYFUNCTION("""COMPUTED_VALUE"""),"Sim")</f>
        <v>Sim</v>
      </c>
      <c r="AC88" s="27">
        <f ca="1">IFERROR(__xludf.DUMMYFUNCTION("""COMPUTED_VALUE"""),0)</f>
        <v>0</v>
      </c>
      <c r="AD88" s="27">
        <f ca="1">IFERROR(__xludf.DUMMYFUNCTION("""COMPUTED_VALUE"""),12)</f>
        <v>12</v>
      </c>
      <c r="AE88" s="27">
        <f ca="1">IFERROR(__xludf.DUMMYFUNCTION("""COMPUTED_VALUE"""),12)</f>
        <v>12</v>
      </c>
      <c r="AF88" s="27">
        <f ca="1">IFERROR(__xludf.DUMMYFUNCTION("""COMPUTED_VALUE"""),12)</f>
        <v>12</v>
      </c>
      <c r="AG88" s="27">
        <f ca="1">IFERROR(__xludf.DUMMYFUNCTION("""COMPUTED_VALUE"""),3)</f>
        <v>3</v>
      </c>
      <c r="AH88" s="27" t="str">
        <f ca="1">IFERROR(__xludf.DUMMYFUNCTION("""COMPUTED_VALUE"""),"Eventos/Ações para captação, Editais, Doações")</f>
        <v>Eventos/Ações para captação, Editais, Doações</v>
      </c>
      <c r="AI88" s="27" t="str">
        <f ca="1">IFERROR(__xludf.DUMMYFUNCTION("""COMPUTED_VALUE"""),"Doaçoes 70%  - eventos 20% edital 10%")</f>
        <v>Doaçoes 70%  - eventos 20% edital 10%</v>
      </c>
      <c r="AJ88" s="27" t="str">
        <f ca="1">IFERROR(__xludf.DUMMYFUNCTION("""COMPUTED_VALUE"""),"Não")</f>
        <v>Não</v>
      </c>
      <c r="AK88" s="27"/>
      <c r="AL88" s="21" t="str">
        <f ca="1">IFERROR(__xludf.DUMMYFUNCTION("""COMPUTED_VALUE"""),"0034X0000380O5n")</f>
        <v>0034X0000380O5n</v>
      </c>
      <c r="AM88" s="27" t="str">
        <f ca="1">IFERROR(__xludf.DUMMYFUNCTION("""COMPUTED_VALUE"""),"Da conceição dos santos borges")</f>
        <v>Da conceição dos santos borges</v>
      </c>
      <c r="AN88" s="27" t="str">
        <f ca="1">IFERROR(__xludf.DUMMYFUNCTION("""COMPUTED_VALUE"""),"Ativo")</f>
        <v>Ativo</v>
      </c>
      <c r="AO88" s="29">
        <f ca="1">IFERROR(__xludf.DUMMYFUNCTION("""COMPUTED_VALUE"""),44763)</f>
        <v>44763</v>
      </c>
      <c r="AP88" s="27">
        <f ca="1">IFERROR(__xludf.DUMMYFUNCTION("""COMPUTED_VALUE"""),2)</f>
        <v>2</v>
      </c>
      <c r="AQ88" s="27" t="str">
        <f ca="1">IFERROR(__xludf.DUMMYFUNCTION("""COMPUTED_VALUE"""),"Primeiro Semestre 2022")</f>
        <v>Primeiro Semestre 2022</v>
      </c>
      <c r="AR88" s="27" t="str">
        <f ca="1">IFERROR(__xludf.DUMMYFUNCTION("""COMPUTED_VALUE"""),"chirlei.sborges@gmail.com")</f>
        <v>chirlei.sborges@gmail.com</v>
      </c>
      <c r="AS88" s="27" t="str">
        <f ca="1">IFERROR(__xludf.DUMMYFUNCTION("""COMPUTED_VALUE"""),"(91)993555461")</f>
        <v>(91)993555461</v>
      </c>
      <c r="AT88" s="29">
        <f ca="1">IFERROR(__xludf.DUMMYFUNCTION("""COMPUTED_VALUE"""),27371)</f>
        <v>27371</v>
      </c>
      <c r="AU88" s="27">
        <f ca="1">IFERROR(__xludf.DUMMYFUNCTION("""COMPUTED_VALUE"""),48)</f>
        <v>48</v>
      </c>
      <c r="AV88" s="27">
        <f ca="1">IFERROR(__xludf.DUMMYFUNCTION("""COMPUTED_VALUE"""),37108980215)</f>
        <v>37108980215</v>
      </c>
      <c r="AW88" s="27">
        <f ca="1">IFERROR(__xludf.DUMMYFUNCTION("""COMPUTED_VALUE"""),2682322)</f>
        <v>2682322</v>
      </c>
      <c r="AX88" s="27"/>
      <c r="AY88" s="27"/>
      <c r="AZ88" s="27" t="str">
        <f ca="1">IFERROR(__xludf.DUMMYFUNCTION("""COMPUTED_VALUE"""),"M")</f>
        <v>M</v>
      </c>
      <c r="BA88" s="27" t="str">
        <f ca="1">IFERROR(__xludf.DUMMYFUNCTION("""COMPUTED_VALUE"""),"Preta")</f>
        <v>Preta</v>
      </c>
      <c r="BB88" s="27"/>
      <c r="BC88" s="27"/>
      <c r="BD88" s="27" t="str">
        <f ca="1">IFERROR(__xludf.DUMMYFUNCTION("""COMPUTED_VALUE"""),"Natural de Curralinho. Morei até aos 31 anos em Breves. Na minha juventude sonhei em ser jogador de futebol ou professor. Não conseguir realizar. Em 2006, vir para Barcarena, onde formei família. Pai de 4 filhos. Funcionário Público concursado, atuando co"&amp;"mo agente de vigilância. Residente e domiciliado no Bairro Zita Cunha. Por conta dos descasos do poder público e de seus representantes e vendo a necessidade da comunidade, resolvi ser mobilizador social. Lutar por educação, saúde e et...")</f>
        <v>Natural de Curralinho. Morei até aos 31 anos em Breves. Na minha juventude sonhei em ser jogador de futebol ou professor. Não conseguir realizar. Em 2006, vir para Barcarena, onde formei família. Pai de 4 filhos. Funcionário Público concursado, atuando como agente de vigilância. Residente e domiciliado no Bairro Zita Cunha. Por conta dos descasos do poder público e de seus representantes e vendo a necessidade da comunidade, resolvi ser mobilizador social. Lutar por educação, saúde e et...</v>
      </c>
      <c r="BE88" s="27" t="str">
        <f ca="1">IFERROR(__xludf.DUMMYFUNCTION("""COMPUTED_VALUE"""),"Homem, cisgênero")</f>
        <v>Homem, cisgênero</v>
      </c>
      <c r="BF88" s="27" t="str">
        <f ca="1">IFERROR(__xludf.DUMMYFUNCTION("""COMPUTED_VALUE"""),"Heterossexual")</f>
        <v>Heterossexual</v>
      </c>
      <c r="BG88" s="27" t="str">
        <f ca="1">IFERROR(__xludf.DUMMYFUNCTION("""COMPUTED_VALUE"""),"Ensino Superior - Incompleto")</f>
        <v>Ensino Superior - Incompleto</v>
      </c>
      <c r="BH88" s="27" t="str">
        <f ca="1">IFERROR(__xludf.DUMMYFUNCTION("""COMPUTED_VALUE"""),"Público")</f>
        <v>Público</v>
      </c>
      <c r="BI88" s="27" t="str">
        <f ca="1">IFERROR(__xludf.DUMMYFUNCTION("""COMPUTED_VALUE"""),"Graduação")</f>
        <v>Graduação</v>
      </c>
      <c r="BJ88" s="27"/>
      <c r="BK88" s="27" t="str">
        <f ca="1">IFERROR(__xludf.DUMMYFUNCTION("""COMPUTED_VALUE"""),"Valdir Rodrigues")</f>
        <v>Valdir Rodrigues</v>
      </c>
      <c r="BL88" s="27">
        <f ca="1">IFERROR(__xludf.DUMMYFUNCTION("""COMPUTED_VALUE"""),400)</f>
        <v>400</v>
      </c>
      <c r="BM88" s="27"/>
      <c r="BN88" s="27" t="str">
        <f ca="1">IFERROR(__xludf.DUMMYFUNCTION("""COMPUTED_VALUE"""),"Barcarena")</f>
        <v>Barcarena</v>
      </c>
      <c r="BO88" s="27" t="str">
        <f ca="1">IFERROR(__xludf.DUMMYFUNCTION("""COMPUTED_VALUE"""),"68445-000")</f>
        <v>68445-000</v>
      </c>
      <c r="BP88" s="27" t="str">
        <f ca="1">IFERROR(__xludf.DUMMYFUNCTION("""COMPUTED_VALUE"""),"PA")</f>
        <v>PA</v>
      </c>
      <c r="BQ88" s="27" t="str">
        <f ca="1">IFERROR(__xludf.DUMMYFUNCTION("""COMPUTED_VALUE"""),"Entre 1 até 3 salários mínimos")</f>
        <v>Entre 1 até 3 salários mínimos</v>
      </c>
      <c r="BR88" s="27" t="str">
        <f ca="1">IFERROR(__xludf.DUMMYFUNCTION("""COMPUTED_VALUE"""),"Funcionário Público")</f>
        <v>Funcionário Público</v>
      </c>
      <c r="BS88" s="27" t="str">
        <f ca="1">IFERROR(__xludf.DUMMYFUNCTION("""COMPUTED_VALUE"""),"Casa própria")</f>
        <v>Casa própria</v>
      </c>
      <c r="BT88" s="27">
        <f ca="1">IFERROR(__xludf.DUMMYFUNCTION("""COMPUTED_VALUE"""),5)</f>
        <v>5</v>
      </c>
      <c r="BU88" s="27" t="str">
        <f ca="1">IFERROR(__xludf.DUMMYFUNCTION("""COMPUTED_VALUE"""),"Não tem")</f>
        <v>Não tem</v>
      </c>
      <c r="BV88" s="27" t="str">
        <f ca="1">IFERROR(__xludf.DUMMYFUNCTION("""COMPUTED_VALUE"""),"Não")</f>
        <v>Não</v>
      </c>
      <c r="BW88" s="27"/>
      <c r="BX88" s="27" t="str">
        <f ca="1">IFERROR(__xludf.DUMMYFUNCTION("""COMPUTED_VALUE"""),"@chirleiborges7")</f>
        <v>@chirleiborges7</v>
      </c>
      <c r="BY88" s="21" t="str">
        <f ca="1">IFERROR(__xludf.DUMMYFUNCTION("""COMPUTED_VALUE"""),"https://drive.google.com/open?id=1ZzfyDwvCqv6eBSmjT9tb0eFED9uqwRC4")</f>
        <v>https://drive.google.com/open?id=1ZzfyDwvCqv6eBSmjT9tb0eFED9uqwRC4</v>
      </c>
    </row>
    <row r="89" spans="1:77" ht="12.5" hidden="1" x14ac:dyDescent="0.25">
      <c r="A89" s="21" t="str">
        <f ca="1">IFERROR(__xludf.DUMMYFUNCTION("""COMPUTED_VALUE"""),"0014X00002VKCr8QAH")</f>
        <v>0014X00002VKCr8QAH</v>
      </c>
      <c r="B89" s="27" t="str">
        <f ca="1">IFERROR(__xludf.DUMMYFUNCTION("""COMPUTED_VALUE"""),"Fase Avançada")</f>
        <v>Fase Avançada</v>
      </c>
      <c r="C89" s="27" t="str">
        <f ca="1">IFERROR(__xludf.DUMMYFUNCTION("""COMPUTED_VALUE"""),"Fellow")</f>
        <v>Fellow</v>
      </c>
      <c r="D89" s="27" t="str">
        <f ca="1">IFERROR(__xludf.DUMMYFUNCTION("""COMPUTED_VALUE"""),"Ativo")</f>
        <v>Ativo</v>
      </c>
      <c r="E89" s="27" t="str">
        <f ca="1">IFERROR(__xludf.DUMMYFUNCTION("""COMPUTED_VALUE"""),"Associação DOS REUMÁTICOS DE UBERLÂNDIA E REGIÃO - ARUR")</f>
        <v>Associação DOS REUMÁTICOS DE UBERLÂNDIA E REGIÃO - ARUR</v>
      </c>
      <c r="F89" s="27" t="str">
        <f ca="1">IFERROR(__xludf.DUMMYFUNCTION("""COMPUTED_VALUE"""),"Nilma")</f>
        <v>Nilma</v>
      </c>
      <c r="G89" s="27" t="str">
        <f ca="1">IFERROR(__xludf.DUMMYFUNCTION("""COMPUTED_VALUE"""),"ARUR")</f>
        <v>ARUR</v>
      </c>
      <c r="H89" s="27" t="str">
        <f ca="1">IFERROR(__xludf.DUMMYFUNCTION("""COMPUTED_VALUE"""),"01.411.315/0001-94")</f>
        <v>01.411.315/0001-94</v>
      </c>
      <c r="I89" s="27" t="str">
        <f ca="1">IFERROR(__xludf.DUMMYFUNCTION("""COMPUTED_VALUE"""),"Nilma Rodrigues de Oliveira")</f>
        <v>Nilma Rodrigues de Oliveira</v>
      </c>
      <c r="J89" s="27" t="str">
        <f ca="1">IFERROR(__xludf.DUMMYFUNCTION("""COMPUTED_VALUE"""),"arur.uberlandia@gmail.com")</f>
        <v>arur.uberlandia@gmail.com</v>
      </c>
      <c r="K89" s="27" t="str">
        <f ca="1">IFERROR(__xludf.DUMMYFUNCTION("""COMPUTED_VALUE"""),"(34)3225-0783")</f>
        <v>(34)3225-0783</v>
      </c>
      <c r="L89" s="27" t="str">
        <f ca="1">IFERROR(__xludf.DUMMYFUNCTION("""COMPUTED_VALUE"""),"MG")</f>
        <v>MG</v>
      </c>
      <c r="M89" s="27" t="str">
        <f ca="1">IFERROR(__xludf.DUMMYFUNCTION("""COMPUTED_VALUE"""),"Avenida Israel 400")</f>
        <v>Avenida Israel 400</v>
      </c>
      <c r="N89" s="27" t="str">
        <f ca="1">IFERROR(__xludf.DUMMYFUNCTION("""COMPUTED_VALUE"""),"Laranjeiras")</f>
        <v>Laranjeiras</v>
      </c>
      <c r="O89" s="27">
        <f ca="1">IFERROR(__xludf.DUMMYFUNCTION("""COMPUTED_VALUE"""),400)</f>
        <v>400</v>
      </c>
      <c r="P89" s="27" t="str">
        <f ca="1">IFERROR(__xludf.DUMMYFUNCTION("""COMPUTED_VALUE"""),"Uberlândia")</f>
        <v>Uberlândia</v>
      </c>
      <c r="Q89" s="27" t="str">
        <f ca="1">IFERROR(__xludf.DUMMYFUNCTION("""COMPUTED_VALUE"""),"Galpão")</f>
        <v>Galpão</v>
      </c>
      <c r="R89" s="27" t="str">
        <f ca="1">IFERROR(__xludf.DUMMYFUNCTION("""COMPUTED_VALUE"""),"30410-264")</f>
        <v>30410-264</v>
      </c>
      <c r="S89" s="27" t="str">
        <f ca="1">IFERROR(__xludf.DUMMYFUNCTION("""COMPUTED_VALUE"""),"Não")</f>
        <v>Não</v>
      </c>
      <c r="T89" s="27"/>
      <c r="U89" s="27" t="str">
        <f ca="1">IFERROR(__xludf.DUMMYFUNCTION("""COMPUTED_VALUE"""),"Adolescentes (12 aos 18 anos), Jovens (18 aos 24 anos), Adultos, Idosos (60 anos ou mais)")</f>
        <v>Adolescentes (12 aos 18 anos), Jovens (18 aos 24 anos), Adultos, Idosos (60 anos ou mais)</v>
      </c>
      <c r="V89" s="27" t="str">
        <f ca="1">IFERROR(__xludf.DUMMYFUNCTION("""COMPUTED_VALUE"""),"Moradores de Favelas, Pessoas em situação de rua, Pessoas com Deficiência")</f>
        <v>Moradores de Favelas, Pessoas em situação de rua, Pessoas com Deficiência</v>
      </c>
      <c r="W89" s="27">
        <f ca="1">IFERROR(__xludf.DUMMYFUNCTION("""COMPUTED_VALUE"""),2)</f>
        <v>2</v>
      </c>
      <c r="X89" s="27" t="str">
        <f ca="1">IFERROR(__xludf.DUMMYFUNCTION("""COMPUTED_VALUE"""),"ATENDEMOS FAMÍLIAS EM SITUAÇÃO DE VULNERABILIDADE SOCIAL E PESSOAS COM DOENÇAS REUMÁTICA GRAVE E COMORBIDADES GRAVES.")</f>
        <v>ATENDEMOS FAMÍLIAS EM SITUAÇÃO DE VULNERABILIDADE SOCIAL E PESSOAS COM DOENÇAS REUMÁTICA GRAVE E COMORBIDADES GRAVES.</v>
      </c>
      <c r="Y89" s="27"/>
      <c r="Z89" s="27">
        <f ca="1">IFERROR(__xludf.DUMMYFUNCTION("""COMPUTED_VALUE"""),230)</f>
        <v>230</v>
      </c>
      <c r="AA89" s="29">
        <f ca="1">IFERROR(__xludf.DUMMYFUNCTION("""COMPUTED_VALUE"""),35300)</f>
        <v>35300</v>
      </c>
      <c r="AB89" s="27" t="str">
        <f ca="1">IFERROR(__xludf.DUMMYFUNCTION("""COMPUTED_VALUE"""),"Sim")</f>
        <v>Sim</v>
      </c>
      <c r="AC89" s="27">
        <f ca="1">IFERROR(__xludf.DUMMYFUNCTION("""COMPUTED_VALUE"""),9)</f>
        <v>9</v>
      </c>
      <c r="AD89" s="27">
        <f ca="1">IFERROR(__xludf.DUMMYFUNCTION("""COMPUTED_VALUE"""),2)</f>
        <v>2</v>
      </c>
      <c r="AE89" s="27">
        <f ca="1">IFERROR(__xludf.DUMMYFUNCTION("""COMPUTED_VALUE"""),11)</f>
        <v>11</v>
      </c>
      <c r="AF89" s="27">
        <f ca="1">IFERROR(__xludf.DUMMYFUNCTION("""COMPUTED_VALUE"""),5)</f>
        <v>5</v>
      </c>
      <c r="AG89" s="27">
        <f ca="1">IFERROR(__xludf.DUMMYFUNCTION("""COMPUTED_VALUE"""),4)</f>
        <v>4</v>
      </c>
      <c r="AH89" s="27" t="str">
        <f ca="1">IFERROR(__xludf.DUMMYFUNCTION("""COMPUTED_VALUE"""),"Convênio Público, Eventos/Ações para captação, Parceria iniciativa privada, Recursos próprios")</f>
        <v>Convênio Público, Eventos/Ações para captação, Parceria iniciativa privada, Recursos próprios</v>
      </c>
      <c r="AI89" s="27" t="str">
        <f ca="1">IFERROR(__xludf.DUMMYFUNCTION("""COMPUTED_VALUE"""),"Convênio público 30% 40% iniciativa privada 20% recursos próprios 10%eventos")</f>
        <v>Convênio público 30% 40% iniciativa privada 20% recursos próprios 10%eventos</v>
      </c>
      <c r="AJ89" s="27" t="str">
        <f ca="1">IFERROR(__xludf.DUMMYFUNCTION("""COMPUTED_VALUE"""),"Não")</f>
        <v>Não</v>
      </c>
      <c r="AK89" s="27"/>
      <c r="AL89" s="21" t="str">
        <f ca="1">IFERROR(__xludf.DUMMYFUNCTION("""COMPUTED_VALUE"""),"0034X0000380O0n")</f>
        <v>0034X0000380O0n</v>
      </c>
      <c r="AM89" s="27" t="str">
        <f ca="1">IFERROR(__xludf.DUMMYFUNCTION("""COMPUTED_VALUE"""),"Rodrigues de oliveira")</f>
        <v>Rodrigues de oliveira</v>
      </c>
      <c r="AN89" s="27" t="str">
        <f ca="1">IFERROR(__xludf.DUMMYFUNCTION("""COMPUTED_VALUE"""),"Ativo")</f>
        <v>Ativo</v>
      </c>
      <c r="AO89" s="29">
        <f ca="1">IFERROR(__xludf.DUMMYFUNCTION("""COMPUTED_VALUE"""),44763)</f>
        <v>44763</v>
      </c>
      <c r="AP89" s="27">
        <f ca="1">IFERROR(__xludf.DUMMYFUNCTION("""COMPUTED_VALUE"""),2)</f>
        <v>2</v>
      </c>
      <c r="AQ89" s="27" t="str">
        <f ca="1">IFERROR(__xludf.DUMMYFUNCTION("""COMPUTED_VALUE"""),"Primeiro Semestre 2022")</f>
        <v>Primeiro Semestre 2022</v>
      </c>
      <c r="AR89" s="27" t="str">
        <f ca="1">IFERROR(__xludf.DUMMYFUNCTION("""COMPUTED_VALUE"""),"arur.uberlandia@gmail.com")</f>
        <v>arur.uberlandia@gmail.com</v>
      </c>
      <c r="AS89" s="27" t="str">
        <f ca="1">IFERROR(__xludf.DUMMYFUNCTION("""COMPUTED_VALUE"""),"34 988381933")</f>
        <v>34 988381933</v>
      </c>
      <c r="AT89" s="29">
        <f ca="1">IFERROR(__xludf.DUMMYFUNCTION("""COMPUTED_VALUE"""),20573)</f>
        <v>20573</v>
      </c>
      <c r="AU89" s="27">
        <f ca="1">IFERROR(__xludf.DUMMYFUNCTION("""COMPUTED_VALUE"""),66)</f>
        <v>66</v>
      </c>
      <c r="AV89" s="27">
        <f ca="1">IFERROR(__xludf.DUMMYFUNCTION("""COMPUTED_VALUE"""),56036167687)</f>
        <v>56036167687</v>
      </c>
      <c r="AW89" s="27" t="str">
        <f ca="1">IFERROR(__xludf.DUMMYFUNCTION("""COMPUTED_VALUE"""),"MG 2.108.264")</f>
        <v>MG 2.108.264</v>
      </c>
      <c r="AX89" s="27"/>
      <c r="AY89" s="27"/>
      <c r="AZ89" s="27" t="str">
        <f ca="1">IFERROR(__xludf.DUMMYFUNCTION("""COMPUTED_VALUE"""),"G")</f>
        <v>G</v>
      </c>
      <c r="BA89" s="27" t="str">
        <f ca="1">IFERROR(__xludf.DUMMYFUNCTION("""COMPUTED_VALUE"""),"Parda")</f>
        <v>Parda</v>
      </c>
      <c r="BB89" s="27"/>
      <c r="BC89" s="27"/>
      <c r="BD89" s="27" t="str">
        <f ca="1">IFERROR(__xludf.DUMMYFUNCTION("""COMPUTED_VALUE"""),"MINI BIO
Sou Nilma Rodrigues de Oliveira* filha de José Rodrigues Vieira e de Luzia da Silva Vieira* venho de uma família de quatro irmãos desde muito pequeno* me doía profundamente às necessidades básicas das pessoas em vulnerabilidade. O exemplo: aos o"&amp;"ito anos no entorno de minha casa tinha um andarilho conhecido por Piruvira e desde que o vi pela primeira vez ele nunca mais sentiu fome ou frio meus pais sempre me permitiam dar a ele o necessário. Pedi ao Pe. Nilo Trabuquine que permitisse que ele dorm"&amp;"isse dentro da igreja. Desde então me ingressei ao universo que me permite transformar vidas.
Formação: Normal Pedagógico e Administração de Empresas*  atuei como promotora de vendas por anos na Empresa Daya Internacional de Cosméticos até a aposentadoria"&amp;".
Casei em 06 de maio de 1984 vivo um casamento de muita cumplicidade* amor e muita compreensão com minhas ausências (as vezes) por causa de meu trabalho. E uma parceria incondicional com a causa da ARUR. Como fruto do meu casamento tivemos apenas um filh"&amp;"o* Daniel que me deu uma filha postiça - Kelly e uma belíssima neta – Emanuel.  Em resumo sou uma pessoa feliz* realizada e grata a DEUS pela vida que me proporciona*
Em 1994 já com sintomas de muitas dores (12 anos) conheci Dr. Roberto Ranza reumatologis"&amp;"ta que fez meu diagnóstico e iniciou meu tratamento. Ele me convidou para participar de um projeto para pessoas com doenças reumáticas que foi o divisor de águas  em minha vida.
No momento que encerrou o projeto não conseguia me ver ser o apoio e as terap"&amp;"ias do projeto. Nasce então a ARUR em 23 de agosto de 1996 e um grande desejo que poder oferecer a mais pessoas os benefícios recebidos pelo projeto.
A ARUR É HOJE PARA MIM O PULSAR DE MEU CORAÇÃO  a cada olhar das pessoas atendidas e ou assistidas por nó"&amp;"s enche meu coração de alegria e vontade de poder atender cada dia mais pessoas.
Esse é um breve resumo de minha vida. 
GRATIDÃO PELA VIDA.")</f>
        <v>MINI BIO
Sou Nilma Rodrigues de Oliveira* filha de José Rodrigues Vieira e de Luzia da Silva Vieira* venho de uma família de quatro irmãos desde muito pequeno* me doía profundamente às necessidades básicas das pessoas em vulnerabilidade. O exemplo: aos oito anos no entorno de minha casa tinha um andarilho conhecido por Piruvira e desde que o vi pela primeira vez ele nunca mais sentiu fome ou frio meus pais sempre me permitiam dar a ele o necessário. Pedi ao Pe. Nilo Trabuquine que permitisse que ele dormisse dentro da igreja. Desde então me ingressei ao universo que me permite transformar vidas.
Formação: Normal Pedagógico e Administração de Empresas*  atuei como promotora de vendas por anos na Empresa Daya Internacional de Cosméticos até a aposentadoria.
Casei em 06 de maio de 1984 vivo um casamento de muita cumplicidade* amor e muita compreensão com minhas ausências (as vezes) por causa de meu trabalho. E uma parceria incondicional com a causa da ARUR. Como fruto do meu casamento tivemos apenas um filho* Daniel que me deu uma filha postiça - Kelly e uma belíssima neta – Emanuel.  Em resumo sou uma pessoa feliz* realizada e grata a DEUS pela vida que me proporciona*
Em 1994 já com sintomas de muitas dores (12 anos) conheci Dr. Roberto Ranza reumatologista que fez meu diagnóstico e iniciou meu tratamento. Ele me convidou para participar de um projeto para pessoas com doenças reumáticas que foi o divisor de águas  em minha vida.
No momento que encerrou o projeto não conseguia me ver ser o apoio e as terapias do projeto. Nasce então a ARUR em 23 de agosto de 1996 e um grande desejo que poder oferecer a mais pessoas os benefícios recebidos pelo projeto.
A ARUR É HOJE PARA MIM O PULSAR DE MEU CORAÇÃO  a cada olhar das pessoas atendidas e ou assistidas por nós enche meu coração de alegria e vontade de poder atender cada dia mais pessoas.
Esse é um breve resumo de minha vida. 
GRATIDÃO PELA VIDA.</v>
      </c>
      <c r="BE89" s="27" t="str">
        <f ca="1">IFERROR(__xludf.DUMMYFUNCTION("""COMPUTED_VALUE"""),"Feminino")</f>
        <v>Feminino</v>
      </c>
      <c r="BF89" s="27" t="str">
        <f ca="1">IFERROR(__xludf.DUMMYFUNCTION("""COMPUTED_VALUE"""),"Heterossexual")</f>
        <v>Heterossexual</v>
      </c>
      <c r="BG89" s="27"/>
      <c r="BH89" s="27" t="str">
        <f ca="1">IFERROR(__xludf.DUMMYFUNCTION("""COMPUTED_VALUE"""),"Público")</f>
        <v>Público</v>
      </c>
      <c r="BI89" s="27" t="str">
        <f ca="1">IFERROR(__xludf.DUMMYFUNCTION("""COMPUTED_VALUE"""),"Graduação")</f>
        <v>Graduação</v>
      </c>
      <c r="BJ89" s="27" t="str">
        <f ca="1">IFERROR(__xludf.DUMMYFUNCTION("""COMPUTED_VALUE"""),"Público")</f>
        <v>Público</v>
      </c>
      <c r="BK89" s="27" t="str">
        <f ca="1">IFERROR(__xludf.DUMMYFUNCTION("""COMPUTED_VALUE"""),"RUA ALFREDO MAXIMIANO ALVES")</f>
        <v>RUA ALFREDO MAXIMIANO ALVES</v>
      </c>
      <c r="BL89" s="27">
        <f ca="1">IFERROR(__xludf.DUMMYFUNCTION("""COMPUTED_VALUE"""),121)</f>
        <v>121</v>
      </c>
      <c r="BM89" s="27"/>
      <c r="BN89" s="27"/>
      <c r="BO89" s="27">
        <f ca="1">IFERROR(__xludf.DUMMYFUNCTION("""COMPUTED_VALUE"""),38410156)</f>
        <v>38410156</v>
      </c>
      <c r="BP89" s="27" t="str">
        <f ca="1">IFERROR(__xludf.DUMMYFUNCTION("""COMPUTED_VALUE"""),"MG")</f>
        <v>MG</v>
      </c>
      <c r="BQ89" s="27" t="str">
        <f ca="1">IFERROR(__xludf.DUMMYFUNCTION("""COMPUTED_VALUE"""),"Entre 1 até 3 salários mínimos")</f>
        <v>Entre 1 até 3 salários mínimos</v>
      </c>
      <c r="BR89" s="27" t="str">
        <f ca="1">IFERROR(__xludf.DUMMYFUNCTION("""COMPUTED_VALUE"""),"CLT")</f>
        <v>CLT</v>
      </c>
      <c r="BS89" s="27" t="str">
        <f ca="1">IFERROR(__xludf.DUMMYFUNCTION("""COMPUTED_VALUE"""),"Casa própria")</f>
        <v>Casa própria</v>
      </c>
      <c r="BT89" s="27">
        <f ca="1">IFERROR(__xludf.DUMMYFUNCTION("""COMPUTED_VALUE"""),2)</f>
        <v>2</v>
      </c>
      <c r="BU89" s="27" t="str">
        <f ca="1">IFERROR(__xludf.DUMMYFUNCTION("""COMPUTED_VALUE"""),"Deficiência física")</f>
        <v>Deficiência física</v>
      </c>
      <c r="BV89" s="27" t="str">
        <f ca="1">IFERROR(__xludf.DUMMYFUNCTION("""COMPUTED_VALUE"""),"Sim")</f>
        <v>Sim</v>
      </c>
      <c r="BW89" s="21" t="str">
        <f ca="1">IFERROR(__xludf.DUMMYFUNCTION("""COMPUTED_VALUE"""),"http://linkedin.com/in/nilma-rodrigues-b1022a35")</f>
        <v>http://linkedin.com/in/nilma-rodrigues-b1022a35</v>
      </c>
      <c r="BX89" s="21" t="str">
        <f ca="1">IFERROR(__xludf.DUMMYFUNCTION("""COMPUTED_VALUE"""),"https://instagram.com/arur.uberlandia?utm_medium=copy_link")</f>
        <v>https://instagram.com/arur.uberlandia?utm_medium=copy_link</v>
      </c>
      <c r="BY89" s="21" t="str">
        <f ca="1">IFERROR(__xludf.DUMMYFUNCTION("""COMPUTED_VALUE"""),"https://drive.google.com/open?id=1ZfaGtCC4qFo1os5_ixtgg4i1Gg3KwztB")</f>
        <v>https://drive.google.com/open?id=1ZfaGtCC4qFo1os5_ixtgg4i1Gg3KwztB</v>
      </c>
    </row>
    <row r="90" spans="1:77" ht="12.5" hidden="1" x14ac:dyDescent="0.25">
      <c r="A90" s="21" t="str">
        <f ca="1">IFERROR(__xludf.DUMMYFUNCTION("""COMPUTED_VALUE"""),"0014X00002VKCuvQAH")</f>
        <v>0014X00002VKCuvQAH</v>
      </c>
      <c r="B90" s="27" t="str">
        <f ca="1">IFERROR(__xludf.DUMMYFUNCTION("""COMPUTED_VALUE"""),"Fase Avançada")</f>
        <v>Fase Avançada</v>
      </c>
      <c r="C90" s="27" t="str">
        <f ca="1">IFERROR(__xludf.DUMMYFUNCTION("""COMPUTED_VALUE"""),"Fellow")</f>
        <v>Fellow</v>
      </c>
      <c r="D90" s="27" t="str">
        <f ca="1">IFERROR(__xludf.DUMMYFUNCTION("""COMPUTED_VALUE"""),"Ativo")</f>
        <v>Ativo</v>
      </c>
      <c r="E90" s="27" t="str">
        <f ca="1">IFERROR(__xludf.DUMMYFUNCTION("""COMPUTED_VALUE"""),"Associação Educacional* Cultural e Social Aprender")</f>
        <v>Associação Educacional* Cultural e Social Aprender</v>
      </c>
      <c r="F90" s="27" t="str">
        <f ca="1">IFERROR(__xludf.DUMMYFUNCTION("""COMPUTED_VALUE"""),"Maura")</f>
        <v>Maura</v>
      </c>
      <c r="G90" s="27" t="str">
        <f ca="1">IFERROR(__xludf.DUMMYFUNCTION("""COMPUTED_VALUE"""),"ASSOCIAÇÃO APRENDER")</f>
        <v>ASSOCIAÇÃO APRENDER</v>
      </c>
      <c r="H90" s="27" t="str">
        <f ca="1">IFERROR(__xludf.DUMMYFUNCTION("""COMPUTED_VALUE"""),"22.952.747/0001-82")</f>
        <v>22.952.747/0001-82</v>
      </c>
      <c r="I90" s="27" t="str">
        <f ca="1">IFERROR(__xludf.DUMMYFUNCTION("""COMPUTED_VALUE"""),"José Hozano Pereira Passos")</f>
        <v>José Hozano Pereira Passos</v>
      </c>
      <c r="J90" s="27" t="str">
        <f ca="1">IFERROR(__xludf.DUMMYFUNCTION("""COMPUTED_VALUE"""),"aecsaprender@gmail.com")</f>
        <v>aecsaprender@gmail.com</v>
      </c>
      <c r="K90" s="27" t="str">
        <f ca="1">IFERROR(__xludf.DUMMYFUNCTION("""COMPUTED_VALUE"""),"(11)4285-0858")</f>
        <v>(11)4285-0858</v>
      </c>
      <c r="L90" s="27" t="str">
        <f ca="1">IFERROR(__xludf.DUMMYFUNCTION("""COMPUTED_VALUE"""),"SP")</f>
        <v>SP</v>
      </c>
      <c r="M90" s="27" t="str">
        <f ca="1">IFERROR(__xludf.DUMMYFUNCTION("""COMPUTED_VALUE"""),"Rua Waldomiro Silveira")</f>
        <v>Rua Waldomiro Silveira</v>
      </c>
      <c r="N90" s="27" t="str">
        <f ca="1">IFERROR(__xludf.DUMMYFUNCTION("""COMPUTED_VALUE"""),"Parque Marengo")</f>
        <v>Parque Marengo</v>
      </c>
      <c r="O90" s="27">
        <f ca="1">IFERROR(__xludf.DUMMYFUNCTION("""COMPUTED_VALUE"""),7)</f>
        <v>7</v>
      </c>
      <c r="P90" s="27" t="str">
        <f ca="1">IFERROR(__xludf.DUMMYFUNCTION("""COMPUTED_VALUE"""),"Itaquaquecetuba")</f>
        <v>Itaquaquecetuba</v>
      </c>
      <c r="Q90" s="27"/>
      <c r="R90" s="27" t="str">
        <f ca="1">IFERROR(__xludf.DUMMYFUNCTION("""COMPUTED_VALUE"""),"08594-340")</f>
        <v>08594-340</v>
      </c>
      <c r="S90" s="27" t="str">
        <f ca="1">IFERROR(__xludf.DUMMYFUNCTION("""COMPUTED_VALUE"""),"Sim. Atendemos 5 cras e 3 creches em bairros diferentes em Itaquaquecetuba")</f>
        <v>Sim. Atendemos 5 cras e 3 creches em bairros diferentes em Itaquaquecetuba</v>
      </c>
      <c r="T90" s="27"/>
      <c r="U90" s="27" t="str">
        <f ca="1">IFERROR(__xludf.DUMMYFUNCTION("""COMPUTED_VALUE"""),"bebês (1 a 1ano e 6 meses), Crianças bem pequenas (1 ano e 7 meses até 3 anos e 11 meses), Adolescentes (12 aos 18 anos), Adultos, Idosos (60 anos ou mais)")</f>
        <v>bebês (1 a 1ano e 6 meses), Crianças bem pequenas (1 ano e 7 meses até 3 anos e 11 meses), Adolescentes (12 aos 18 anos), Adultos, Idosos (60 anos ou mais)</v>
      </c>
      <c r="V90" s="27" t="str">
        <f ca="1">IFERROR(__xludf.DUMMYFUNCTION("""COMPUTED_VALUE"""),"Moradores de Favelas, Afrodescendentes, Pessoas com Deficiência, Outros")</f>
        <v>Moradores de Favelas, Afrodescendentes, Pessoas com Deficiência, Outros</v>
      </c>
      <c r="W90" s="27">
        <f ca="1">IFERROR(__xludf.DUMMYFUNCTION("""COMPUTED_VALUE"""),1)</f>
        <v>1</v>
      </c>
      <c r="X90" s="27"/>
      <c r="Y90" s="27"/>
      <c r="Z90" s="27">
        <f ca="1">IFERROR(__xludf.DUMMYFUNCTION("""COMPUTED_VALUE"""),300)</f>
        <v>300</v>
      </c>
      <c r="AA90" s="29">
        <f ca="1">IFERROR(__xludf.DUMMYFUNCTION("""COMPUTED_VALUE"""),42190)</f>
        <v>42190</v>
      </c>
      <c r="AB90" s="27" t="str">
        <f ca="1">IFERROR(__xludf.DUMMYFUNCTION("""COMPUTED_VALUE"""),"Sim")</f>
        <v>Sim</v>
      </c>
      <c r="AC90" s="27">
        <f ca="1">IFERROR(__xludf.DUMMYFUNCTION("""COMPUTED_VALUE"""),44)</f>
        <v>44</v>
      </c>
      <c r="AD90" s="27">
        <f ca="1">IFERROR(__xludf.DUMMYFUNCTION("""COMPUTED_VALUE"""),32)</f>
        <v>32</v>
      </c>
      <c r="AE90" s="27">
        <f ca="1">IFERROR(__xludf.DUMMYFUNCTION("""COMPUTED_VALUE"""),10)</f>
        <v>10</v>
      </c>
      <c r="AF90" s="27">
        <f ca="1">IFERROR(__xludf.DUMMYFUNCTION("""COMPUTED_VALUE"""),3)</f>
        <v>3</v>
      </c>
      <c r="AG90" s="27">
        <f ca="1">IFERROR(__xludf.DUMMYFUNCTION("""COMPUTED_VALUE"""),6)</f>
        <v>6</v>
      </c>
      <c r="AH90" s="27" t="str">
        <f ca="1">IFERROR(__xludf.DUMMYFUNCTION("""COMPUTED_VALUE"""),"Lei de Incentivo, Convênio Público, Eventos/Ações para captação, Parceria iniciativa privada, Editais, Doações")</f>
        <v>Lei de Incentivo, Convênio Público, Eventos/Ações para captação, Parceria iniciativa privada, Editais, Doações</v>
      </c>
      <c r="AI90" s="27" t="str">
        <f ca="1">IFERROR(__xludf.DUMMYFUNCTION("""COMPUTED_VALUE"""),"lei de Incentivo 10% Convênio Público 70% Eventos/Ações para captação 5% Parceria iniciativa privada 5% Editais 5% Doações 5%")</f>
        <v>lei de Incentivo 10% Convênio Público 70% Eventos/Ações para captação 5% Parceria iniciativa privada 5% Editais 5% Doações 5%</v>
      </c>
      <c r="AJ90" s="27" t="str">
        <f ca="1">IFERROR(__xludf.DUMMYFUNCTION("""COMPUTED_VALUE"""),"Não")</f>
        <v>Não</v>
      </c>
      <c r="AK90" s="27"/>
      <c r="AL90" s="21" t="str">
        <f ca="1">IFERROR(__xludf.DUMMYFUNCTION("""COMPUTED_VALUE"""),"0034X0000380O3p")</f>
        <v>0034X0000380O3p</v>
      </c>
      <c r="AM90" s="27" t="str">
        <f ca="1">IFERROR(__xludf.DUMMYFUNCTION("""COMPUTED_VALUE"""),"Dina guedes passos")</f>
        <v>Dina guedes passos</v>
      </c>
      <c r="AN90" s="27" t="str">
        <f ca="1">IFERROR(__xludf.DUMMYFUNCTION("""COMPUTED_VALUE"""),"Ativo")</f>
        <v>Ativo</v>
      </c>
      <c r="AO90" s="29">
        <f ca="1">IFERROR(__xludf.DUMMYFUNCTION("""COMPUTED_VALUE"""),44763)</f>
        <v>44763</v>
      </c>
      <c r="AP90" s="27">
        <f ca="1">IFERROR(__xludf.DUMMYFUNCTION("""COMPUTED_VALUE"""),2)</f>
        <v>2</v>
      </c>
      <c r="AQ90" s="27" t="str">
        <f ca="1">IFERROR(__xludf.DUMMYFUNCTION("""COMPUTED_VALUE"""),"Primeiro Semestre 2022")</f>
        <v>Primeiro Semestre 2022</v>
      </c>
      <c r="AR90" s="27" t="str">
        <f ca="1">IFERROR(__xludf.DUMMYFUNCTION("""COMPUTED_VALUE"""),"mauradinagp@gmail.com")</f>
        <v>mauradinagp@gmail.com</v>
      </c>
      <c r="AS90" s="27">
        <f ca="1">IFERROR(__xludf.DUMMYFUNCTION("""COMPUTED_VALUE"""),11981358248)</f>
        <v>11981358248</v>
      </c>
      <c r="AT90" s="29">
        <f ca="1">IFERROR(__xludf.DUMMYFUNCTION("""COMPUTED_VALUE"""),26926)</f>
        <v>26926</v>
      </c>
      <c r="AU90" s="27">
        <f ca="1">IFERROR(__xludf.DUMMYFUNCTION("""COMPUTED_VALUE"""),49)</f>
        <v>49</v>
      </c>
      <c r="AV90" s="27">
        <f ca="1">IFERROR(__xludf.DUMMYFUNCTION("""COMPUTED_VALUE"""),19474980888)</f>
        <v>19474980888</v>
      </c>
      <c r="AW90" s="27">
        <f ca="1">IFERROR(__xludf.DUMMYFUNCTION("""COMPUTED_VALUE"""),241770191)</f>
        <v>241770191</v>
      </c>
      <c r="AX90" s="27"/>
      <c r="AY90" s="27"/>
      <c r="AZ90" s="27" t="str">
        <f ca="1">IFERROR(__xludf.DUMMYFUNCTION("""COMPUTED_VALUE"""),"G2")</f>
        <v>G2</v>
      </c>
      <c r="BA90" s="27" t="str">
        <f ca="1">IFERROR(__xludf.DUMMYFUNCTION("""COMPUTED_VALUE"""),"Branca")</f>
        <v>Branca</v>
      </c>
      <c r="BB90" s="27"/>
      <c r="BC90" s="27"/>
      <c r="BD90" s="27" t="str">
        <f ca="1">IFERROR(__xludf.DUMMYFUNCTION("""COMPUTED_VALUE"""),"Pedagoga* casada a 26 anos* dois filhos adultos (20 e 21 anos)* educadora a 33 anos* diretora pedagógica em creche subvencionada* gestora de projetos sociais* líder em uma comunidade muito carente* conselheira municipal de direitos das crianças e adolesce"&amp;"ntes de Itaquaquecetuba.  Amo a educação  e luto constantemente por oportunidades e respeito para o território onde atuo.")</f>
        <v>Pedagoga* casada a 26 anos* dois filhos adultos (20 e 21 anos)* educadora a 33 anos* diretora pedagógica em creche subvencionada* gestora de projetos sociais* líder em uma comunidade muito carente* conselheira municipal de direitos das crianças e adolescentes de Itaquaquecetuba.  Amo a educação  e luto constantemente por oportunidades e respeito para o território onde atuo.</v>
      </c>
      <c r="BE90" s="27" t="str">
        <f ca="1">IFERROR(__xludf.DUMMYFUNCTION("""COMPUTED_VALUE"""),"Feminino")</f>
        <v>Feminino</v>
      </c>
      <c r="BF90" s="27" t="str">
        <f ca="1">IFERROR(__xludf.DUMMYFUNCTION("""COMPUTED_VALUE"""),"Heterossexual")</f>
        <v>Heterossexual</v>
      </c>
      <c r="BG90" s="27"/>
      <c r="BH90" s="27" t="str">
        <f ca="1">IFERROR(__xludf.DUMMYFUNCTION("""COMPUTED_VALUE"""),"Público")</f>
        <v>Público</v>
      </c>
      <c r="BI90" s="27" t="str">
        <f ca="1">IFERROR(__xludf.DUMMYFUNCTION("""COMPUTED_VALUE"""),"Graduação")</f>
        <v>Graduação</v>
      </c>
      <c r="BJ90" s="27" t="str">
        <f ca="1">IFERROR(__xludf.DUMMYFUNCTION("""COMPUTED_VALUE"""),"Privado")</f>
        <v>Privado</v>
      </c>
      <c r="BK90" s="27" t="str">
        <f ca="1">IFERROR(__xludf.DUMMYFUNCTION("""COMPUTED_VALUE"""),"Rua Formosa")</f>
        <v>Rua Formosa</v>
      </c>
      <c r="BL90" s="27">
        <f ca="1">IFERROR(__xludf.DUMMYFUNCTION("""COMPUTED_VALUE"""),467)</f>
        <v>467</v>
      </c>
      <c r="BM90" s="27"/>
      <c r="BN90" s="27"/>
      <c r="BO90" s="27">
        <f ca="1">IFERROR(__xludf.DUMMYFUNCTION("""COMPUTED_VALUE"""),8693150)</f>
        <v>8693150</v>
      </c>
      <c r="BP90" s="27" t="str">
        <f ca="1">IFERROR(__xludf.DUMMYFUNCTION("""COMPUTED_VALUE"""),"SP")</f>
        <v>SP</v>
      </c>
      <c r="BQ90" s="27" t="str">
        <f ca="1">IFERROR(__xludf.DUMMYFUNCTION("""COMPUTED_VALUE"""),"De 3 até 5 salários mínimos")</f>
        <v>De 3 até 5 salários mínimos</v>
      </c>
      <c r="BR90" s="27" t="str">
        <f ca="1">IFERROR(__xludf.DUMMYFUNCTION("""COMPUTED_VALUE"""),"CLT")</f>
        <v>CLT</v>
      </c>
      <c r="BS90" s="27" t="str">
        <f ca="1">IFERROR(__xludf.DUMMYFUNCTION("""COMPUTED_VALUE"""),"Aluguel")</f>
        <v>Aluguel</v>
      </c>
      <c r="BT90" s="27">
        <f ca="1">IFERROR(__xludf.DUMMYFUNCTION("""COMPUTED_VALUE"""),3)</f>
        <v>3</v>
      </c>
      <c r="BU90" s="27" t="str">
        <f ca="1">IFERROR(__xludf.DUMMYFUNCTION("""COMPUTED_VALUE"""),"Não tem")</f>
        <v>Não tem</v>
      </c>
      <c r="BV90" s="27" t="str">
        <f ca="1">IFERROR(__xludf.DUMMYFUNCTION("""COMPUTED_VALUE"""),"Não")</f>
        <v>Não</v>
      </c>
      <c r="BW90" s="27"/>
      <c r="BX90" s="27"/>
      <c r="BY90" s="21" t="str">
        <f ca="1">IFERROR(__xludf.DUMMYFUNCTION("""COMPUTED_VALUE"""),"https://drive.google.com/open?id=1sWpcgSLrIiiyuvcqUYmBWRvc4AN4ngMr")</f>
        <v>https://drive.google.com/open?id=1sWpcgSLrIiiyuvcqUYmBWRvc4AN4ngMr</v>
      </c>
    </row>
    <row r="91" spans="1:77" ht="12.5" hidden="1" x14ac:dyDescent="0.25">
      <c r="A91" s="21" t="str">
        <f ca="1">IFERROR(__xludf.DUMMYFUNCTION("""COMPUTED_VALUE"""),"0014P00003YSp7sQAD")</f>
        <v>0014P00003YSp7sQAD</v>
      </c>
      <c r="B91" s="27" t="str">
        <f ca="1">IFERROR(__xludf.DUMMYFUNCTION("""COMPUTED_VALUE"""),"Fase Inicial")</f>
        <v>Fase Inicial</v>
      </c>
      <c r="C91" s="27" t="str">
        <f ca="1">IFERROR(__xludf.DUMMYFUNCTION("""COMPUTED_VALUE"""),"Acelerada")</f>
        <v>Acelerada</v>
      </c>
      <c r="D91" s="27" t="str">
        <f ca="1">IFERROR(__xludf.DUMMYFUNCTION("""COMPUTED_VALUE"""),"Ativo")</f>
        <v>Ativo</v>
      </c>
      <c r="E91" s="27" t="str">
        <f ca="1">IFERROR(__xludf.DUMMYFUNCTION("""COMPUTED_VALUE"""),"Associação Educacional Esportiva e Social Voz Ativa")</f>
        <v>Associação Educacional Esportiva e Social Voz Ativa</v>
      </c>
      <c r="F91" s="27" t="str">
        <f ca="1">IFERROR(__xludf.DUMMYFUNCTION("""COMPUTED_VALUE"""),"Girleno")</f>
        <v>Girleno</v>
      </c>
      <c r="G91" s="27" t="str">
        <f ca="1">IFERROR(__xludf.DUMMYFUNCTION("""COMPUTED_VALUE"""),"AEESVA")</f>
        <v>AEESVA</v>
      </c>
      <c r="H91" s="27" t="str">
        <f ca="1">IFERROR(__xludf.DUMMYFUNCTION("""COMPUTED_VALUE"""),"27.740.250/0001-14")</f>
        <v>27.740.250/0001-14</v>
      </c>
      <c r="I91" s="27" t="str">
        <f ca="1">IFERROR(__xludf.DUMMYFUNCTION("""COMPUTED_VALUE"""),"Lucas Alencar Martins")</f>
        <v>Lucas Alencar Martins</v>
      </c>
      <c r="J91" s="27" t="str">
        <f ca="1">IFERROR(__xludf.DUMMYFUNCTION("""COMPUTED_VALUE"""),"girlenobarbosa@bol.com.br")</f>
        <v>girlenobarbosa@bol.com.br</v>
      </c>
      <c r="K91" s="27" t="str">
        <f ca="1">IFERROR(__xludf.DUMMYFUNCTION("""COMPUTED_VALUE"""),"(92)98206-9585")</f>
        <v>(92)98206-9585</v>
      </c>
      <c r="L91" s="27" t="str">
        <f ca="1">IFERROR(__xludf.DUMMYFUNCTION("""COMPUTED_VALUE"""),"AM")</f>
        <v>AM</v>
      </c>
      <c r="M91" s="27" t="str">
        <f ca="1">IFERROR(__xludf.DUMMYFUNCTION("""COMPUTED_VALUE"""),"Rua 175 77")</f>
        <v>Rua 175 77</v>
      </c>
      <c r="N91" s="27" t="str">
        <f ca="1">IFERROR(__xludf.DUMMYFUNCTION("""COMPUTED_VALUE"""),"Cidade Nova 3- Novo Aleixo")</f>
        <v>Cidade Nova 3- Novo Aleixo</v>
      </c>
      <c r="O91" s="27">
        <f ca="1">IFERROR(__xludf.DUMMYFUNCTION("""COMPUTED_VALUE"""),77)</f>
        <v>77</v>
      </c>
      <c r="P91" s="27" t="str">
        <f ca="1">IFERROR(__xludf.DUMMYFUNCTION("""COMPUTED_VALUE"""),"MANAUS")</f>
        <v>MANAUS</v>
      </c>
      <c r="Q91" s="27" t="str">
        <f ca="1">IFERROR(__xludf.DUMMYFUNCTION("""COMPUTED_VALUE"""),"Cidade Nova 3 - Núcleo 15")</f>
        <v>Cidade Nova 3 - Núcleo 15</v>
      </c>
      <c r="R91" s="27" t="str">
        <f ca="1">IFERROR(__xludf.DUMMYFUNCTION("""COMPUTED_VALUE"""),"69098-060")</f>
        <v>69098-060</v>
      </c>
      <c r="S91" s="27"/>
      <c r="T91" s="27" t="str">
        <f ca="1">IFERROR(__xludf.DUMMYFUNCTION("""COMPUTED_VALUE"""),"Esporte; Educação; Empregabilidade; Assistência Social; Cultura; Qualificação Profissional; Meio ambiente; Assistência Psicológica")</f>
        <v>Esporte; Educação; Empregabilidade; Assistência Social; Cultura; Qualificação Profissional; Meio ambiente; Assistência Psicológica</v>
      </c>
      <c r="U91" s="27" t="str">
        <f ca="1">IFERROR(__xludf.DUMMYFUNCTION("""COMPUTED_VALUE"""),"Crianças (6 a 12 anos); Adolescentes (12 aos 18 anos); Jovens (18 aos 24 anos); Adultos")</f>
        <v>Crianças (6 a 12 anos); Adolescentes (12 aos 18 anos); Jovens (18 aos 24 anos); Adultos</v>
      </c>
      <c r="V91" s="27" t="str">
        <f ca="1">IFERROR(__xludf.DUMMYFUNCTION("""COMPUTED_VALUE"""),"Moradores de Favelas; Pessoas em situação de rua; População LGBTQ+; Pessoas com Deficiência; Imigrantes; Ribeirinhos")</f>
        <v>Moradores de Favelas; Pessoas em situação de rua; População LGBTQ+; Pessoas com Deficiência; Imigrantes; Ribeirinhos</v>
      </c>
      <c r="W91" s="27">
        <f ca="1">IFERROR(__xludf.DUMMYFUNCTION("""COMPUTED_VALUE"""),3)</f>
        <v>3</v>
      </c>
      <c r="X91" s="27"/>
      <c r="Y91" s="27"/>
      <c r="Z91" s="27">
        <f ca="1">IFERROR(__xludf.DUMMYFUNCTION("""COMPUTED_VALUE"""),300)</f>
        <v>300</v>
      </c>
      <c r="AA91" s="29">
        <f ca="1">IFERROR(__xludf.DUMMYFUNCTION("""COMPUTED_VALUE"""),42952)</f>
        <v>42952</v>
      </c>
      <c r="AB91" s="27" t="str">
        <f ca="1">IFERROR(__xludf.DUMMYFUNCTION("""COMPUTED_VALUE"""),"Sim")</f>
        <v>Sim</v>
      </c>
      <c r="AC91" s="27">
        <f ca="1">IFERROR(__xludf.DUMMYFUNCTION("""COMPUTED_VALUE"""),12)</f>
        <v>12</v>
      </c>
      <c r="AD91" s="27">
        <f ca="1">IFERROR(__xludf.DUMMYFUNCTION("""COMPUTED_VALUE"""),6)</f>
        <v>6</v>
      </c>
      <c r="AE91" s="27">
        <f ca="1">IFERROR(__xludf.DUMMYFUNCTION("""COMPUTED_VALUE"""),12)</f>
        <v>12</v>
      </c>
      <c r="AF91" s="27">
        <f ca="1">IFERROR(__xludf.DUMMYFUNCTION("""COMPUTED_VALUE"""),8)</f>
        <v>8</v>
      </c>
      <c r="AG91" s="27">
        <f ca="1">IFERROR(__xludf.DUMMYFUNCTION("""COMPUTED_VALUE"""),3)</f>
        <v>3</v>
      </c>
      <c r="AH91" s="27" t="str">
        <f ca="1">IFERROR(__xludf.DUMMYFUNCTION("""COMPUTED_VALUE"""),"Negócio Social; Editais; Doações")</f>
        <v>Negócio Social; Editais; Doações</v>
      </c>
      <c r="AI91" s="27" t="str">
        <f ca="1">IFERROR(__xludf.DUMMYFUNCTION("""COMPUTED_VALUE"""),"70%  EDITAL 30% DOAÇÃO")</f>
        <v>70%  EDITAL 30% DOAÇÃO</v>
      </c>
      <c r="AJ91" s="27"/>
      <c r="AK91" s="27"/>
      <c r="AL91" s="21" t="str">
        <f ca="1">IFERROR(__xludf.DUMMYFUNCTION("""COMPUTED_VALUE"""),"0034P000045kxiT")</f>
        <v>0034P000045kxiT</v>
      </c>
      <c r="AM91" s="27" t="str">
        <f ca="1">IFERROR(__xludf.DUMMYFUNCTION("""COMPUTED_VALUE"""),"Menezes Barbosa")</f>
        <v>Menezes Barbosa</v>
      </c>
      <c r="AN91" s="27" t="str">
        <f ca="1">IFERROR(__xludf.DUMMYFUNCTION("""COMPUTED_VALUE"""),"Ativo")</f>
        <v>Ativo</v>
      </c>
      <c r="AO91" s="30">
        <f ca="1">IFERROR(__xludf.DUMMYFUNCTION("""COMPUTED_VALUE"""),44551)</f>
        <v>44551</v>
      </c>
      <c r="AP91" s="27">
        <f ca="1">IFERROR(__xludf.DUMMYFUNCTION("""COMPUTED_VALUE"""),9)</f>
        <v>9</v>
      </c>
      <c r="AQ91" s="27" t="str">
        <f ca="1">IFERROR(__xludf.DUMMYFUNCTION("""COMPUTED_VALUE"""),"Segundo Semestre 2021")</f>
        <v>Segundo Semestre 2021</v>
      </c>
      <c r="AR91" s="27" t="str">
        <f ca="1">IFERROR(__xludf.DUMMYFUNCTION("""COMPUTED_VALUE"""),"girlenobarbosa@bol.com.br")</f>
        <v>girlenobarbosa@bol.com.br</v>
      </c>
      <c r="AS91" s="27" t="str">
        <f ca="1">IFERROR(__xludf.DUMMYFUNCTION("""COMPUTED_VALUE"""),"(92)98206-9585")</f>
        <v>(92)98206-9585</v>
      </c>
      <c r="AT91" s="29">
        <f ca="1">IFERROR(__xludf.DUMMYFUNCTION("""COMPUTED_VALUE"""),24538)</f>
        <v>24538</v>
      </c>
      <c r="AU91" s="27">
        <f ca="1">IFERROR(__xludf.DUMMYFUNCTION("""COMPUTED_VALUE"""),55)</f>
        <v>55</v>
      </c>
      <c r="AV91" s="27">
        <f ca="1">IFERROR(__xludf.DUMMYFUNCTION("""COMPUTED_VALUE"""),28412630297)</f>
        <v>28412630297</v>
      </c>
      <c r="AW91" s="27">
        <f ca="1">IFERROR(__xludf.DUMMYFUNCTION("""COMPUTED_VALUE"""),7833768)</f>
        <v>7833768</v>
      </c>
      <c r="AX91" s="27"/>
      <c r="AY91" s="27"/>
      <c r="AZ91" s="27" t="str">
        <f ca="1">IFERROR(__xludf.DUMMYFUNCTION("""COMPUTED_VALUE"""),"G1")</f>
        <v>G1</v>
      </c>
      <c r="BA91" s="27" t="str">
        <f ca="1">IFERROR(__xludf.DUMMYFUNCTION("""COMPUTED_VALUE"""),"Parda")</f>
        <v>Parda</v>
      </c>
      <c r="BB91" s="27" t="str">
        <f ca="1">IFERROR(__xludf.DUMMYFUNCTION("""COMPUTED_VALUE"""),"Homem, cisgênero")</f>
        <v>Homem, cisgênero</v>
      </c>
      <c r="BC91" s="27" t="str">
        <f ca="1">IFERROR(__xludf.DUMMYFUNCTION("""COMPUTED_VALUE"""),"Sim")</f>
        <v>Sim</v>
      </c>
      <c r="BD91" s="27" t="str">
        <f ca="1">IFERROR(__xludf.DUMMYFUNCTION("""COMPUTED_VALUE"""),"Profeesor, responssavél da Associação Educacional Voz Ativa, pós graduado em Educação Pobreza e Desiguadade Social,  casado , pai de treas filhos.
Faço parte da rede de lideres da Fundação Lemann, Craitivos da Escola e União Brasil.")</f>
        <v>Profeesor, responssavél da Associação Educacional Voz Ativa, pós graduado em Educação Pobreza e Desiguadade Social,  casado , pai de treas filhos.
Faço parte da rede de lideres da Fundação Lemann, Craitivos da Escola e União Brasil.</v>
      </c>
      <c r="BE91" s="27"/>
      <c r="BF91" s="27" t="str">
        <f ca="1">IFERROR(__xludf.DUMMYFUNCTION("""COMPUTED_VALUE"""),"Heterossexual")</f>
        <v>Heterossexual</v>
      </c>
      <c r="BG91" s="27" t="str">
        <f ca="1">IFERROR(__xludf.DUMMYFUNCTION("""COMPUTED_VALUE"""),"Ensino Superior - Completo")</f>
        <v>Ensino Superior - Completo</v>
      </c>
      <c r="BH91" s="27" t="str">
        <f ca="1">IFERROR(__xludf.DUMMYFUNCTION("""COMPUTED_VALUE"""),"Público")</f>
        <v>Público</v>
      </c>
      <c r="BI91" s="27" t="str">
        <f ca="1">IFERROR(__xludf.DUMMYFUNCTION("""COMPUTED_VALUE"""),"Pós-Graduação")</f>
        <v>Pós-Graduação</v>
      </c>
      <c r="BJ91" s="27" t="str">
        <f ca="1">IFERROR(__xludf.DUMMYFUNCTION("""COMPUTED_VALUE"""),"Público")</f>
        <v>Público</v>
      </c>
      <c r="BK91" s="27" t="str">
        <f ca="1">IFERROR(__xludf.DUMMYFUNCTION("""COMPUTED_VALUE"""),"Rua 175")</f>
        <v>Rua 175</v>
      </c>
      <c r="BL91" s="27">
        <f ca="1">IFERROR(__xludf.DUMMYFUNCTION("""COMPUTED_VALUE"""),77)</f>
        <v>77</v>
      </c>
      <c r="BM91" s="27" t="str">
        <f ca="1">IFERROR(__xludf.DUMMYFUNCTION("""COMPUTED_VALUE"""),"Cidade Nova 3")</f>
        <v>Cidade Nova 3</v>
      </c>
      <c r="BN91" s="27" t="str">
        <f ca="1">IFERROR(__xludf.DUMMYFUNCTION("""COMPUTED_VALUE"""),"MANAUS")</f>
        <v>MANAUS</v>
      </c>
      <c r="BO91" s="27" t="str">
        <f ca="1">IFERROR(__xludf.DUMMYFUNCTION("""COMPUTED_VALUE"""),"69098-060")</f>
        <v>69098-060</v>
      </c>
      <c r="BP91" s="27" t="str">
        <f ca="1">IFERROR(__xludf.DUMMYFUNCTION("""COMPUTED_VALUE"""),"AM")</f>
        <v>AM</v>
      </c>
      <c r="BQ91" s="27" t="str">
        <f ca="1">IFERROR(__xludf.DUMMYFUNCTION("""COMPUTED_VALUE"""),"Acima de 5 salários mínimos")</f>
        <v>Acima de 5 salários mínimos</v>
      </c>
      <c r="BR91" s="27" t="str">
        <f ca="1">IFERROR(__xludf.DUMMYFUNCTION("""COMPUTED_VALUE"""),"Trabalho informal")</f>
        <v>Trabalho informal</v>
      </c>
      <c r="BS91" s="27" t="str">
        <f ca="1">IFERROR(__xludf.DUMMYFUNCTION("""COMPUTED_VALUE"""),"Casa cedida")</f>
        <v>Casa cedida</v>
      </c>
      <c r="BT91" s="27">
        <f ca="1">IFERROR(__xludf.DUMMYFUNCTION("""COMPUTED_VALUE"""),4)</f>
        <v>4</v>
      </c>
      <c r="BU91" s="27" t="str">
        <f ca="1">IFERROR(__xludf.DUMMYFUNCTION("""COMPUTED_VALUE"""),"Deficiência física")</f>
        <v>Deficiência física</v>
      </c>
      <c r="BV91" s="27"/>
      <c r="BW91" s="21" t="str">
        <f ca="1">IFERROR(__xludf.DUMMYFUNCTION("""COMPUTED_VALUE"""),"https://www.facebook.com/professorgirleno1252/?ref=pages_you_manage")</f>
        <v>https://www.facebook.com/professorgirleno1252/?ref=pages_you_manage</v>
      </c>
      <c r="BX91" s="27" t="str">
        <f ca="1">IFERROR(__xludf.DUMMYFUNCTION("""COMPUTED_VALUE"""),"aeva.vozativa")</f>
        <v>aeva.vozativa</v>
      </c>
      <c r="BY91" s="21" t="str">
        <f ca="1">IFERROR(__xludf.DUMMYFUNCTION("""COMPUTED_VALUE"""),"https://drive.google.com/open?id=1-yhuPECC0S6LQZMkVrL4__fXQKLfOkYa")</f>
        <v>https://drive.google.com/open?id=1-yhuPECC0S6LQZMkVrL4__fXQKLfOkYa</v>
      </c>
    </row>
    <row r="92" spans="1:77" ht="12.5" hidden="1" x14ac:dyDescent="0.25">
      <c r="A92" s="21" t="str">
        <f ca="1">IFERROR(__xludf.DUMMYFUNCTION("""COMPUTED_VALUE"""),"0014X00002VKCteQAH")</f>
        <v>0014X00002VKCteQAH</v>
      </c>
      <c r="B92" s="27" t="str">
        <f ca="1">IFERROR(__xludf.DUMMYFUNCTION("""COMPUTED_VALUE"""),"Fase Inicial")</f>
        <v>Fase Inicial</v>
      </c>
      <c r="C92" s="27" t="str">
        <f ca="1">IFERROR(__xludf.DUMMYFUNCTION("""COMPUTED_VALUE"""),"Fellow")</f>
        <v>Fellow</v>
      </c>
      <c r="D92" s="27" t="str">
        <f ca="1">IFERROR(__xludf.DUMMYFUNCTION("""COMPUTED_VALUE"""),"Ativo")</f>
        <v>Ativo</v>
      </c>
      <c r="E92" s="27" t="str">
        <f ca="1">IFERROR(__xludf.DUMMYFUNCTION("""COMPUTED_VALUE"""),"Associação Elas Podem RN")</f>
        <v>Associação Elas Podem RN</v>
      </c>
      <c r="F92" s="27" t="str">
        <f ca="1">IFERROR(__xludf.DUMMYFUNCTION("""COMPUTED_VALUE"""),"Wilaneide")</f>
        <v>Wilaneide</v>
      </c>
      <c r="G92" s="27" t="str">
        <f ca="1">IFERROR(__xludf.DUMMYFUNCTION("""COMPUTED_VALUE"""),"ELAS PODEM")</f>
        <v>ELAS PODEM</v>
      </c>
      <c r="H92" s="27"/>
      <c r="I92" s="27" t="str">
        <f ca="1">IFERROR(__xludf.DUMMYFUNCTION("""COMPUTED_VALUE"""),"Wilaneide da Silva Campos")</f>
        <v>Wilaneide da Silva Campos</v>
      </c>
      <c r="J92" s="27" t="str">
        <f ca="1">IFERROR(__xludf.DUMMYFUNCTION("""COMPUTED_VALUE"""),"willa.natal@yahoo.com.br")</f>
        <v>willa.natal@yahoo.com.br</v>
      </c>
      <c r="K92" s="27" t="str">
        <f ca="1">IFERROR(__xludf.DUMMYFUNCTION("""COMPUTED_VALUE"""),"(84)98877-6684")</f>
        <v>(84)98877-6684</v>
      </c>
      <c r="L92" s="27" t="str">
        <f ca="1">IFERROR(__xludf.DUMMYFUNCTION("""COMPUTED_VALUE"""),"RN")</f>
        <v>RN</v>
      </c>
      <c r="M92" s="27" t="str">
        <f ca="1">IFERROR(__xludf.DUMMYFUNCTION("""COMPUTED_VALUE"""),"Rua Estevão Felismino")</f>
        <v>Rua Estevão Felismino</v>
      </c>
      <c r="N92" s="27" t="str">
        <f ca="1">IFERROR(__xludf.DUMMYFUNCTION("""COMPUTED_VALUE"""),"Cabeceiras")</f>
        <v>Cabeceiras</v>
      </c>
      <c r="O92" s="27">
        <f ca="1">IFERROR(__xludf.DUMMYFUNCTION("""COMPUTED_VALUE"""),254)</f>
        <v>254</v>
      </c>
      <c r="P92" s="27" t="str">
        <f ca="1">IFERROR(__xludf.DUMMYFUNCTION("""COMPUTED_VALUE"""),"Tibau do sul")</f>
        <v>Tibau do sul</v>
      </c>
      <c r="Q92" s="27" t="str">
        <f ca="1">IFERROR(__xludf.DUMMYFUNCTION("""COMPUTED_VALUE"""),"Casa")</f>
        <v>Casa</v>
      </c>
      <c r="R92" s="27" t="str">
        <f ca="1">IFERROR(__xludf.DUMMYFUNCTION("""COMPUTED_VALUE"""),"59178-000")</f>
        <v>59178-000</v>
      </c>
      <c r="S92" s="27" t="str">
        <f ca="1">IFERROR(__xludf.DUMMYFUNCTION("""COMPUTED_VALUE"""),"Escolas, praças, ginásios")</f>
        <v>Escolas, praças, ginásios</v>
      </c>
      <c r="T92" s="27"/>
      <c r="U92" s="27" t="str">
        <f ca="1">IFERROR(__xludf.DUMMYFUNCTION("""COMPUTED_VALUE"""),"Crianças (6 a 12 anos), Adolescentes (12 aos 18 anos), Jovens (18 aos 24 anos), Adultos, Idosos (60 anos ou mais)")</f>
        <v>Crianças (6 a 12 anos), Adolescentes (12 aos 18 anos), Jovens (18 aos 24 anos), Adultos, Idosos (60 anos ou mais)</v>
      </c>
      <c r="V92" s="27" t="str">
        <f ca="1">IFERROR(__xludf.DUMMYFUNCTION("""COMPUTED_VALUE"""),"Moradores de Favelas, Pessoas em situação de rua, População LGBTQ+, Povos Indígenas, Quilombola, Afrodescendentes, Pessoas com Deficiência, Comunidade rural")</f>
        <v>Moradores de Favelas, Pessoas em situação de rua, População LGBTQ+, Povos Indígenas, Quilombola, Afrodescendentes, Pessoas com Deficiência, Comunidade rural</v>
      </c>
      <c r="W92" s="27">
        <f ca="1">IFERROR(__xludf.DUMMYFUNCTION("""COMPUTED_VALUE"""),4)</f>
        <v>4</v>
      </c>
      <c r="X92" s="27" t="str">
        <f ca="1">IFERROR(__xludf.DUMMYFUNCTION("""COMPUTED_VALUE"""),"Nossas ações sociais são desenvolvidas nós Municípios de Tibau do Sul* Goianinha* canguaretama* Baía Formosa* vila flor* Macau* Maxaranguape e zona norte de Natal.")</f>
        <v>Nossas ações sociais são desenvolvidas nós Municípios de Tibau do Sul* Goianinha* canguaretama* Baía Formosa* vila flor* Macau* Maxaranguape e zona norte de Natal.</v>
      </c>
      <c r="Y92" s="27"/>
      <c r="Z92" s="27">
        <f ca="1">IFERROR(__xludf.DUMMYFUNCTION("""COMPUTED_VALUE"""),300)</f>
        <v>300</v>
      </c>
      <c r="AA92" s="29">
        <f ca="1">IFERROR(__xludf.DUMMYFUNCTION("""COMPUTED_VALUE"""),43944)</f>
        <v>43944</v>
      </c>
      <c r="AB92" s="27" t="str">
        <f ca="1">IFERROR(__xludf.DUMMYFUNCTION("""COMPUTED_VALUE"""),"Não")</f>
        <v>Não</v>
      </c>
      <c r="AC92" s="27">
        <f ca="1">IFERROR(__xludf.DUMMYFUNCTION("""COMPUTED_VALUE"""),0)</f>
        <v>0</v>
      </c>
      <c r="AD92" s="27">
        <f ca="1">IFERROR(__xludf.DUMMYFUNCTION("""COMPUTED_VALUE"""),4)</f>
        <v>4</v>
      </c>
      <c r="AE92" s="27">
        <f ca="1">IFERROR(__xludf.DUMMYFUNCTION("""COMPUTED_VALUE"""),4)</f>
        <v>4</v>
      </c>
      <c r="AF92" s="27">
        <f ca="1">IFERROR(__xludf.DUMMYFUNCTION("""COMPUTED_VALUE"""),3)</f>
        <v>3</v>
      </c>
      <c r="AG92" s="27">
        <f ca="1">IFERROR(__xludf.DUMMYFUNCTION("""COMPUTED_VALUE"""),4)</f>
        <v>4</v>
      </c>
      <c r="AH92" s="27" t="str">
        <f ca="1">IFERROR(__xludf.DUMMYFUNCTION("""COMPUTED_VALUE"""),"Eventos/Ações para captação, Parceria iniciativa privada, Doações, Recursos próprios")</f>
        <v>Eventos/Ações para captação, Parceria iniciativa privada, Doações, Recursos próprios</v>
      </c>
      <c r="AI92" s="27">
        <f ca="1">IFERROR(__xludf.DUMMYFUNCTION("""COMPUTED_VALUE"""),0)</f>
        <v>0</v>
      </c>
      <c r="AJ92" s="27" t="str">
        <f ca="1">IFERROR(__xludf.DUMMYFUNCTION("""COMPUTED_VALUE"""),"Sim")</f>
        <v>Sim</v>
      </c>
      <c r="AK92" s="27"/>
      <c r="AL92" s="21" t="str">
        <f ca="1">IFERROR(__xludf.DUMMYFUNCTION("""COMPUTED_VALUE"""),"0034X0000380O6E")</f>
        <v>0034X0000380O6E</v>
      </c>
      <c r="AM92" s="27" t="str">
        <f ca="1">IFERROR(__xludf.DUMMYFUNCTION("""COMPUTED_VALUE"""),"Da silva campos")</f>
        <v>Da silva campos</v>
      </c>
      <c r="AN92" s="27" t="str">
        <f ca="1">IFERROR(__xludf.DUMMYFUNCTION("""COMPUTED_VALUE"""),"Ativo")</f>
        <v>Ativo</v>
      </c>
      <c r="AO92" s="29">
        <f ca="1">IFERROR(__xludf.DUMMYFUNCTION("""COMPUTED_VALUE"""),44763)</f>
        <v>44763</v>
      </c>
      <c r="AP92" s="27">
        <f ca="1">IFERROR(__xludf.DUMMYFUNCTION("""COMPUTED_VALUE"""),2)</f>
        <v>2</v>
      </c>
      <c r="AQ92" s="27" t="str">
        <f ca="1">IFERROR(__xludf.DUMMYFUNCTION("""COMPUTED_VALUE"""),"Primeiro Semestre 2022")</f>
        <v>Primeiro Semestre 2022</v>
      </c>
      <c r="AR92" s="27" t="str">
        <f ca="1">IFERROR(__xludf.DUMMYFUNCTION("""COMPUTED_VALUE"""),"willa.natal@yahoo.com.br")</f>
        <v>willa.natal@yahoo.com.br</v>
      </c>
      <c r="AS92" s="27">
        <f ca="1">IFERROR(__xludf.DUMMYFUNCTION("""COMPUTED_VALUE"""),84988776684)</f>
        <v>84988776684</v>
      </c>
      <c r="AT92" s="29">
        <f ca="1">IFERROR(__xludf.DUMMYFUNCTION("""COMPUTED_VALUE"""),27507)</f>
        <v>27507</v>
      </c>
      <c r="AU92" s="27">
        <f ca="1">IFERROR(__xludf.DUMMYFUNCTION("""COMPUTED_VALUE"""),47)</f>
        <v>47</v>
      </c>
      <c r="AV92" s="27">
        <f ca="1">IFERROR(__xludf.DUMMYFUNCTION("""COMPUTED_VALUE"""),96964944400)</f>
        <v>96964944400</v>
      </c>
      <c r="AW92" s="27">
        <f ca="1">IFERROR(__xludf.DUMMYFUNCTION("""COMPUTED_VALUE"""),1466133)</f>
        <v>1466133</v>
      </c>
      <c r="AX92" s="27"/>
      <c r="AY92" s="27"/>
      <c r="AZ92" s="27" t="str">
        <f ca="1">IFERROR(__xludf.DUMMYFUNCTION("""COMPUTED_VALUE"""),"M")</f>
        <v>M</v>
      </c>
      <c r="BA92" s="27" t="str">
        <f ca="1">IFERROR(__xludf.DUMMYFUNCTION("""COMPUTED_VALUE"""),"Preta")</f>
        <v>Preta</v>
      </c>
      <c r="BB92" s="27"/>
      <c r="BC92" s="27"/>
      <c r="BD92" s="27" t="str">
        <f ca="1">IFERROR(__xludf.DUMMYFUNCTION("""COMPUTED_VALUE"""),"Ex moradora de rua* mãe* empreendedora* destemida. A minha luto é contra a desigualdade social e contra a violência sobre a mulher.")</f>
        <v>Ex moradora de rua* mãe* empreendedora* destemida. A minha luto é contra a desigualdade social e contra a violência sobre a mulher.</v>
      </c>
      <c r="BE92" s="27" t="str">
        <f ca="1">IFERROR(__xludf.DUMMYFUNCTION("""COMPUTED_VALUE"""),"Feminino")</f>
        <v>Feminino</v>
      </c>
      <c r="BF92" s="27" t="str">
        <f ca="1">IFERROR(__xludf.DUMMYFUNCTION("""COMPUTED_VALUE"""),"Heterossexual")</f>
        <v>Heterossexual</v>
      </c>
      <c r="BG92" s="27"/>
      <c r="BH92" s="27" t="str">
        <f ca="1">IFERROR(__xludf.DUMMYFUNCTION("""COMPUTED_VALUE"""),"Público")</f>
        <v>Público</v>
      </c>
      <c r="BI92" s="27" t="str">
        <f ca="1">IFERROR(__xludf.DUMMYFUNCTION("""COMPUTED_VALUE"""),"Graduação")</f>
        <v>Graduação</v>
      </c>
      <c r="BJ92" s="27" t="str">
        <f ca="1">IFERROR(__xludf.DUMMYFUNCTION("""COMPUTED_VALUE"""),"Público")</f>
        <v>Público</v>
      </c>
      <c r="BK92" s="27" t="str">
        <f ca="1">IFERROR(__xludf.DUMMYFUNCTION("""COMPUTED_VALUE"""),"Rua Estevão Felismino")</f>
        <v>Rua Estevão Felismino</v>
      </c>
      <c r="BL92" s="27">
        <f ca="1">IFERROR(__xludf.DUMMYFUNCTION("""COMPUTED_VALUE"""),87)</f>
        <v>87</v>
      </c>
      <c r="BM92" s="27"/>
      <c r="BN92" s="27"/>
      <c r="BO92" s="27">
        <f ca="1">IFERROR(__xludf.DUMMYFUNCTION("""COMPUTED_VALUE"""),59178000)</f>
        <v>59178000</v>
      </c>
      <c r="BP92" s="27" t="str">
        <f ca="1">IFERROR(__xludf.DUMMYFUNCTION("""COMPUTED_VALUE"""),"RN")</f>
        <v>RN</v>
      </c>
      <c r="BQ92" s="27" t="str">
        <f ca="1">IFERROR(__xludf.DUMMYFUNCTION("""COMPUTED_VALUE"""),"De 3 até 5 salários mínimos")</f>
        <v>De 3 até 5 salários mínimos</v>
      </c>
      <c r="BR92" s="27" t="str">
        <f ca="1">IFERROR(__xludf.DUMMYFUNCTION("""COMPUTED_VALUE"""),"Funcionário Público")</f>
        <v>Funcionário Público</v>
      </c>
      <c r="BS92" s="27" t="str">
        <f ca="1">IFERROR(__xludf.DUMMYFUNCTION("""COMPUTED_VALUE"""),"Casa própria")</f>
        <v>Casa própria</v>
      </c>
      <c r="BT92" s="27">
        <f ca="1">IFERROR(__xludf.DUMMYFUNCTION("""COMPUTED_VALUE"""),4)</f>
        <v>4</v>
      </c>
      <c r="BU92" s="27" t="str">
        <f ca="1">IFERROR(__xludf.DUMMYFUNCTION("""COMPUTED_VALUE"""),"Não tem")</f>
        <v>Não tem</v>
      </c>
      <c r="BV92" s="27" t="str">
        <f ca="1">IFERROR(__xludf.DUMMYFUNCTION("""COMPUTED_VALUE"""),"Não")</f>
        <v>Não</v>
      </c>
      <c r="BW92" s="27"/>
      <c r="BX92" s="21" t="str">
        <f ca="1">IFERROR(__xludf.DUMMYFUNCTION("""COMPUTED_VALUE"""),"https://instagram.com/wilaneide_campos?utm_medium=copy_link")</f>
        <v>https://instagram.com/wilaneide_campos?utm_medium=copy_link</v>
      </c>
      <c r="BY92" s="21" t="str">
        <f ca="1">IFERROR(__xludf.DUMMYFUNCTION("""COMPUTED_VALUE"""),"https://drive.google.com/open?id=1qF_q3i7AnClc4oqp_gKB6lgkDG7w_U29")</f>
        <v>https://drive.google.com/open?id=1qF_q3i7AnClc4oqp_gKB6lgkDG7w_U29</v>
      </c>
    </row>
    <row r="93" spans="1:77" ht="12.5" hidden="1" x14ac:dyDescent="0.25">
      <c r="A93" s="21" t="str">
        <f ca="1">IFERROR(__xludf.DUMMYFUNCTION("""COMPUTED_VALUE"""),"0014P00003YSp9MQAT")</f>
        <v>0014P00003YSp9MQAT</v>
      </c>
      <c r="B93" s="27" t="str">
        <f ca="1">IFERROR(__xludf.DUMMYFUNCTION("""COMPUTED_VALUE"""),"Fase Inicial")</f>
        <v>Fase Inicial</v>
      </c>
      <c r="C93" s="27" t="str">
        <f ca="1">IFERROR(__xludf.DUMMYFUNCTION("""COMPUTED_VALUE"""),"Fellow")</f>
        <v>Fellow</v>
      </c>
      <c r="D93" s="27" t="str">
        <f ca="1">IFERROR(__xludf.DUMMYFUNCTION("""COMPUTED_VALUE"""),"Ativo")</f>
        <v>Ativo</v>
      </c>
      <c r="E93" s="27" t="str">
        <f ca="1">IFERROR(__xludf.DUMMYFUNCTION("""COMPUTED_VALUE"""),"Associacao Elisabeth Bruyere")</f>
        <v>Associacao Elisabeth Bruyere</v>
      </c>
      <c r="F93" s="27" t="str">
        <f ca="1">IFERROR(__xludf.DUMMYFUNCTION("""COMPUTED_VALUE"""),"Dayana")</f>
        <v>Dayana</v>
      </c>
      <c r="G93" s="27"/>
      <c r="H93" s="27">
        <f ca="1">IFERROR(__xludf.DUMMYFUNCTION("""COMPUTED_VALUE"""),15628953000176)</f>
        <v>15628953000176</v>
      </c>
      <c r="I93" s="27" t="str">
        <f ca="1">IFERROR(__xludf.DUMMYFUNCTION("""COMPUTED_VALUE"""),"Sebastiana Fátima Pereira")</f>
        <v>Sebastiana Fátima Pereira</v>
      </c>
      <c r="J93" s="27" t="str">
        <f ca="1">IFERROR(__xludf.DUMMYFUNCTION("""COMPUTED_VALUE"""),"elisabethbruyere@yahoo.com.br")</f>
        <v>elisabethbruyere@yahoo.com.br</v>
      </c>
      <c r="K93" s="27" t="str">
        <f ca="1">IFERROR(__xludf.DUMMYFUNCTION("""COMPUTED_VALUE"""),"1195941-7586")</f>
        <v>1195941-7586</v>
      </c>
      <c r="L93" s="27" t="str">
        <f ca="1">IFERROR(__xludf.DUMMYFUNCTION("""COMPUTED_VALUE"""),"SP")</f>
        <v>SP</v>
      </c>
      <c r="M93" s="27" t="str">
        <f ca="1">IFERROR(__xludf.DUMMYFUNCTION("""COMPUTED_VALUE"""),"Rua Pinhão")</f>
        <v>Rua Pinhão</v>
      </c>
      <c r="N93" s="27" t="str">
        <f ca="1">IFERROR(__xludf.DUMMYFUNCTION("""COMPUTED_VALUE"""),"Jardim Santa Maria")</f>
        <v>Jardim Santa Maria</v>
      </c>
      <c r="O93" s="27">
        <f ca="1">IFERROR(__xludf.DUMMYFUNCTION("""COMPUTED_VALUE"""),161)</f>
        <v>161</v>
      </c>
      <c r="P93" s="27" t="str">
        <f ca="1">IFERROR(__xludf.DUMMYFUNCTION("""COMPUTED_VALUE"""),"Guarulhos")</f>
        <v>Guarulhos</v>
      </c>
      <c r="Q93" s="27"/>
      <c r="R93" s="27">
        <f ca="1">IFERROR(__xludf.DUMMYFUNCTION("""COMPUTED_VALUE"""),7273220)</f>
        <v>7273220</v>
      </c>
      <c r="S93" s="27"/>
      <c r="T93" s="27" t="str">
        <f ca="1">IFERROR(__xludf.DUMMYFUNCTION("""COMPUTED_VALUE"""),"Assistência Social")</f>
        <v>Assistência Social</v>
      </c>
      <c r="U93" s="27"/>
      <c r="V93" s="27"/>
      <c r="W93" s="27">
        <f ca="1">IFERROR(__xludf.DUMMYFUNCTION("""COMPUTED_VALUE"""),1)</f>
        <v>1</v>
      </c>
      <c r="X93" s="27"/>
      <c r="Y93" s="27"/>
      <c r="Z93" s="27">
        <f ca="1">IFERROR(__xludf.DUMMYFUNCTION("""COMPUTED_VALUE"""),100)</f>
        <v>100</v>
      </c>
      <c r="AA93" s="29">
        <f ca="1">IFERROR(__xludf.DUMMYFUNCTION("""COMPUTED_VALUE"""),41044)</f>
        <v>41044</v>
      </c>
      <c r="AB93" s="27" t="str">
        <f ca="1">IFERROR(__xludf.DUMMYFUNCTION("""COMPUTED_VALUE"""),"Sim")</f>
        <v>Sim</v>
      </c>
      <c r="AC93" s="27">
        <f ca="1">IFERROR(__xludf.DUMMYFUNCTION("""COMPUTED_VALUE"""),2)</f>
        <v>2</v>
      </c>
      <c r="AD93" s="27"/>
      <c r="AE93" s="27">
        <f ca="1">IFERROR(__xludf.DUMMYFUNCTION("""COMPUTED_VALUE"""),0)</f>
        <v>0</v>
      </c>
      <c r="AF93" s="27"/>
      <c r="AG93" s="27">
        <f ca="1">IFERROR(__xludf.DUMMYFUNCTION("""COMPUTED_VALUE"""),2)</f>
        <v>2</v>
      </c>
      <c r="AH93" s="27"/>
      <c r="AI93" s="27"/>
      <c r="AJ93" s="27"/>
      <c r="AK93" s="27"/>
      <c r="AL93" s="21" t="str">
        <f ca="1">IFERROR(__xludf.DUMMYFUNCTION("""COMPUTED_VALUE"""),"0034X0000390McC")</f>
        <v>0034X0000390McC</v>
      </c>
      <c r="AM93" s="27" t="str">
        <f ca="1">IFERROR(__xludf.DUMMYFUNCTION("""COMPUTED_VALUE"""),"Aparecida Domingues")</f>
        <v>Aparecida Domingues</v>
      </c>
      <c r="AN93" s="27" t="str">
        <f ca="1">IFERROR(__xludf.DUMMYFUNCTION("""COMPUTED_VALUE"""),"Ativo")</f>
        <v>Ativo</v>
      </c>
      <c r="AO93" s="30">
        <f ca="1">IFERROR(__xludf.DUMMYFUNCTION("""COMPUTED_VALUE"""),44551)</f>
        <v>44551</v>
      </c>
      <c r="AP93" s="27">
        <f ca="1">IFERROR(__xludf.DUMMYFUNCTION("""COMPUTED_VALUE"""),9)</f>
        <v>9</v>
      </c>
      <c r="AQ93" s="27" t="str">
        <f ca="1">IFERROR(__xludf.DUMMYFUNCTION("""COMPUTED_VALUE"""),"Segundo Semestre 2021")</f>
        <v>Segundo Semestre 2021</v>
      </c>
      <c r="AR93" s="27" t="str">
        <f ca="1">IFERROR(__xludf.DUMMYFUNCTION("""COMPUTED_VALUE"""),"elisabethbruyere@yahoo.com.br")</f>
        <v>elisabethbruyere@yahoo.com.br</v>
      </c>
      <c r="AS93" s="27" t="str">
        <f ca="1">IFERROR(__xludf.DUMMYFUNCTION("""COMPUTED_VALUE"""),"1195941-7586")</f>
        <v>1195941-7586</v>
      </c>
      <c r="AT93" s="29">
        <f ca="1">IFERROR(__xludf.DUMMYFUNCTION("""COMPUTED_VALUE"""),35975)</f>
        <v>35975</v>
      </c>
      <c r="AU93" s="27">
        <f ca="1">IFERROR(__xludf.DUMMYFUNCTION("""COMPUTED_VALUE"""),24)</f>
        <v>24</v>
      </c>
      <c r="AV93" s="27">
        <f ca="1">IFERROR(__xludf.DUMMYFUNCTION("""COMPUTED_VALUE"""),37318930885)</f>
        <v>37318930885</v>
      </c>
      <c r="AW93" s="27">
        <f ca="1">IFERROR(__xludf.DUMMYFUNCTION("""COMPUTED_VALUE"""),395550269)</f>
        <v>395550269</v>
      </c>
      <c r="AX93" s="27"/>
      <c r="AY93" s="27"/>
      <c r="AZ93" s="27" t="str">
        <f ca="1">IFERROR(__xludf.DUMMYFUNCTION("""COMPUTED_VALUE"""),"M")</f>
        <v>M</v>
      </c>
      <c r="BA93" s="27" t="str">
        <f ca="1">IFERROR(__xludf.DUMMYFUNCTION("""COMPUTED_VALUE"""),"Branca")</f>
        <v>Branca</v>
      </c>
      <c r="BB93" s="27" t="str">
        <f ca="1">IFERROR(__xludf.DUMMYFUNCTION("""COMPUTED_VALUE"""),"Mulher, cisgênero")</f>
        <v>Mulher, cisgênero</v>
      </c>
      <c r="BC93" s="27" t="str">
        <f ca="1">IFERROR(__xludf.DUMMYFUNCTION("""COMPUTED_VALUE"""),"Não")</f>
        <v>Não</v>
      </c>
      <c r="BD93" s="27" t="str">
        <f ca="1">IFERROR(__xludf.DUMMYFUNCTION("""COMPUTED_VALUE"""),"Sou representante da Associação Elisabeth Bruyere, atuava diretamente lá dando aulas de Educação Física para as crianças cadastradas e acompanhava de perto a evolução da periferia ao redor")</f>
        <v>Sou representante da Associação Elisabeth Bruyere, atuava diretamente lá dando aulas de Educação Física para as crianças cadastradas e acompanhava de perto a evolução da periferia ao redor</v>
      </c>
      <c r="BE93" s="27" t="str">
        <f ca="1">IFERROR(__xludf.DUMMYFUNCTION("""COMPUTED_VALUE"""),"Feminino")</f>
        <v>Feminino</v>
      </c>
      <c r="BF93" s="27"/>
      <c r="BG93" s="27" t="str">
        <f ca="1">IFERROR(__xludf.DUMMYFUNCTION("""COMPUTED_VALUE"""),"Ensino Médio - Completo")</f>
        <v>Ensino Médio - Completo</v>
      </c>
      <c r="BH93" s="27"/>
      <c r="BI93" s="27" t="str">
        <f ca="1">IFERROR(__xludf.DUMMYFUNCTION("""COMPUTED_VALUE"""),"Graduação")</f>
        <v>Graduação</v>
      </c>
      <c r="BJ93" s="27" t="str">
        <f ca="1">IFERROR(__xludf.DUMMYFUNCTION("""COMPUTED_VALUE"""),"Privado")</f>
        <v>Privado</v>
      </c>
      <c r="BK93" s="27" t="str">
        <f ca="1">IFERROR(__xludf.DUMMYFUNCTION("""COMPUTED_VALUE"""),"Rua Juramento 428")</f>
        <v>Rua Juramento 428</v>
      </c>
      <c r="BL93" s="27">
        <f ca="1">IFERROR(__xludf.DUMMYFUNCTION("""COMPUTED_VALUE"""),428)</f>
        <v>428</v>
      </c>
      <c r="BM93" s="27"/>
      <c r="BN93" s="27" t="str">
        <f ca="1">IFERROR(__xludf.DUMMYFUNCTION("""COMPUTED_VALUE"""),"Guarulhos")</f>
        <v>Guarulhos</v>
      </c>
      <c r="BO93" s="27" t="str">
        <f ca="1">IFERROR(__xludf.DUMMYFUNCTION("""COMPUTED_VALUE"""),"07243-010")</f>
        <v>07243-010</v>
      </c>
      <c r="BP93" s="27" t="str">
        <f ca="1">IFERROR(__xludf.DUMMYFUNCTION("""COMPUTED_VALUE"""),"SP")</f>
        <v>SP</v>
      </c>
      <c r="BQ93" s="27" t="str">
        <f ca="1">IFERROR(__xludf.DUMMYFUNCTION("""COMPUTED_VALUE"""),"Entre 1 até 3 salários mínimos")</f>
        <v>Entre 1 até 3 salários mínimos</v>
      </c>
      <c r="BR93" s="27"/>
      <c r="BS93" s="27" t="str">
        <f ca="1">IFERROR(__xludf.DUMMYFUNCTION("""COMPUTED_VALUE"""),"Casa própria")</f>
        <v>Casa própria</v>
      </c>
      <c r="BT93" s="27">
        <f ca="1">IFERROR(__xludf.DUMMYFUNCTION("""COMPUTED_VALUE"""),3)</f>
        <v>3</v>
      </c>
      <c r="BU93" s="27" t="str">
        <f ca="1">IFERROR(__xludf.DUMMYFUNCTION("""COMPUTED_VALUE"""),"Não tem")</f>
        <v>Não tem</v>
      </c>
      <c r="BV93" s="27" t="str">
        <f ca="1">IFERROR(__xludf.DUMMYFUNCTION("""COMPUTED_VALUE"""),"Não, não tenho nenhuma restrição alimentar")</f>
        <v>Não, não tenho nenhuma restrição alimentar</v>
      </c>
      <c r="BW93" s="27"/>
      <c r="BX93" s="27"/>
      <c r="BY93" s="27"/>
    </row>
    <row r="94" spans="1:77" ht="12.5" hidden="1" x14ac:dyDescent="0.25">
      <c r="A94" s="21" t="str">
        <f ca="1">IFERROR(__xludf.DUMMYFUNCTION("""COMPUTED_VALUE"""),"0014P00003AN72DQAT")</f>
        <v>0014P00003AN72DQAT</v>
      </c>
      <c r="B94" s="27" t="str">
        <f ca="1">IFERROR(__xludf.DUMMYFUNCTION("""COMPUTED_VALUE"""),"Fase Avançada")</f>
        <v>Fase Avançada</v>
      </c>
      <c r="C94" s="27" t="str">
        <f ca="1">IFERROR(__xludf.DUMMYFUNCTION("""COMPUTED_VALUE"""),"Fellow")</f>
        <v>Fellow</v>
      </c>
      <c r="D94" s="27" t="str">
        <f ca="1">IFERROR(__xludf.DUMMYFUNCTION("""COMPUTED_VALUE"""),"Ativo")</f>
        <v>Ativo</v>
      </c>
      <c r="E94" s="27" t="str">
        <f ca="1">IFERROR(__xludf.DUMMYFUNCTION("""COMPUTED_VALUE"""),"Associação EMAÚS")</f>
        <v>Associação EMAÚS</v>
      </c>
      <c r="F94" s="27" t="str">
        <f ca="1">IFERROR(__xludf.DUMMYFUNCTION("""COMPUTED_VALUE"""),"Maria")</f>
        <v>Maria</v>
      </c>
      <c r="G94" s="27"/>
      <c r="H94" s="27" t="str">
        <f ca="1">IFERROR(__xludf.DUMMYFUNCTION("""COMPUTED_VALUE"""),"07.686.471/0001-44")</f>
        <v>07.686.471/0001-44</v>
      </c>
      <c r="I94" s="27"/>
      <c r="J94" s="27"/>
      <c r="K94" s="27" t="str">
        <f ca="1">IFERROR(__xludf.DUMMYFUNCTION("""COMPUTED_VALUE"""),"(11)97140-6017")</f>
        <v>(11)97140-6017</v>
      </c>
      <c r="L94" s="27" t="str">
        <f ca="1">IFERROR(__xludf.DUMMYFUNCTION("""COMPUTED_VALUE"""),"SP")</f>
        <v>SP</v>
      </c>
      <c r="M94" s="27" t="str">
        <f ca="1">IFERROR(__xludf.DUMMYFUNCTION("""COMPUTED_VALUE"""),"Estrada do Furuyama")</f>
        <v>Estrada do Furuyama</v>
      </c>
      <c r="N94" s="27"/>
      <c r="O94" s="27" t="str">
        <f ca="1">IFERROR(__xludf.DUMMYFUNCTION("""COMPUTED_VALUE"""),"(11)97140-6017")</f>
        <v>(11)97140-6017</v>
      </c>
      <c r="P94" s="27" t="str">
        <f ca="1">IFERROR(__xludf.DUMMYFUNCTION("""COMPUTED_VALUE"""),"Suzano")</f>
        <v>Suzano</v>
      </c>
      <c r="Q94" s="27"/>
      <c r="R94" s="27" t="str">
        <f ca="1">IFERROR(__xludf.DUMMYFUNCTION("""COMPUTED_VALUE"""),"08694-101")</f>
        <v>08694-101</v>
      </c>
      <c r="S94" s="27"/>
      <c r="T94" s="27" t="str">
        <f ca="1">IFERROR(__xludf.DUMMYFUNCTION("""COMPUTED_VALUE"""),"Esporte; Educação; Cultura; Qualificação Profissional")</f>
        <v>Esporte; Educação; Cultura; Qualificação Profissional</v>
      </c>
      <c r="U94" s="27" t="str">
        <f ca="1">IFERROR(__xludf.DUMMYFUNCTION("""COMPUTED_VALUE"""),"Crianças (6 a 12 anos); Adolescentes (12 aos 18 anos); Jovens (18 aos 24 anos); Adultos")</f>
        <v>Crianças (6 a 12 anos); Adolescentes (12 aos 18 anos); Jovens (18 aos 24 anos); Adultos</v>
      </c>
      <c r="V94" s="27" t="str">
        <f ca="1">IFERROR(__xludf.DUMMYFUNCTION("""COMPUTED_VALUE"""),"Moradores de Favelas")</f>
        <v>Moradores de Favelas</v>
      </c>
      <c r="W94" s="27">
        <f ca="1">IFERROR(__xludf.DUMMYFUNCTION("""COMPUTED_VALUE"""),7)</f>
        <v>7</v>
      </c>
      <c r="X94" s="27" t="str">
        <f ca="1">IFERROR(__xludf.DUMMYFUNCTION("""COMPUTED_VALUE"""),"600 pessoas")</f>
        <v>600 pessoas</v>
      </c>
      <c r="Y94" s="27"/>
      <c r="Z94" s="27"/>
      <c r="AA94" s="29">
        <f ca="1">IFERROR(__xludf.DUMMYFUNCTION("""COMPUTED_VALUE"""),38600)</f>
        <v>38600</v>
      </c>
      <c r="AB94" s="27" t="str">
        <f ca="1">IFERROR(__xludf.DUMMYFUNCTION("""COMPUTED_VALUE"""),"Sim")</f>
        <v>Sim</v>
      </c>
      <c r="AC94" s="27">
        <f ca="1">IFERROR(__xludf.DUMMYFUNCTION("""COMPUTED_VALUE"""),35)</f>
        <v>35</v>
      </c>
      <c r="AD94" s="27">
        <f ca="1">IFERROR(__xludf.DUMMYFUNCTION("""COMPUTED_VALUE"""),28)</f>
        <v>28</v>
      </c>
      <c r="AE94" s="27">
        <f ca="1">IFERROR(__xludf.DUMMYFUNCTION("""COMPUTED_VALUE"""),30)</f>
        <v>30</v>
      </c>
      <c r="AF94" s="27">
        <f ca="1">IFERROR(__xludf.DUMMYFUNCTION("""COMPUTED_VALUE"""),20)</f>
        <v>20</v>
      </c>
      <c r="AG94" s="27">
        <f ca="1">IFERROR(__xludf.DUMMYFUNCTION("""COMPUTED_VALUE"""),5)</f>
        <v>5</v>
      </c>
      <c r="AH94" s="27" t="str">
        <f ca="1">IFERROR(__xludf.DUMMYFUNCTION("""COMPUTED_VALUE"""),"Lei de Incentivo; Eventos/Ações para captação; Parceria iniciativa privada; Doações; Lei Estadual do Esporte; Recursos próprios")</f>
        <v>Lei de Incentivo; Eventos/Ações para captação; Parceria iniciativa privada; Doações; Lei Estadual do Esporte; Recursos próprios</v>
      </c>
      <c r="AI94" s="27" t="str">
        <f ca="1">IFERROR(__xludf.DUMMYFUNCTION("""COMPUTED_VALUE"""),"20% para cada")</f>
        <v>20% para cada</v>
      </c>
      <c r="AJ94" s="27" t="str">
        <f ca="1">IFERROR(__xludf.DUMMYFUNCTION("""COMPUTED_VALUE"""),"Não")</f>
        <v>Não</v>
      </c>
      <c r="AK94" s="27" t="str">
        <f ca="1">IFERROR(__xludf.DUMMYFUNCTION("""COMPUTED_VALUE"""),"Sim")</f>
        <v>Sim</v>
      </c>
      <c r="AL94" s="21" t="str">
        <f ca="1">IFERROR(__xludf.DUMMYFUNCTION("""COMPUTED_VALUE"""),"0034P00003maEuB")</f>
        <v>0034P00003maEuB</v>
      </c>
      <c r="AM94" s="27" t="str">
        <f ca="1">IFERROR(__xludf.DUMMYFUNCTION("""COMPUTED_VALUE"""),"Alves Viana")</f>
        <v>Alves Viana</v>
      </c>
      <c r="AN94" s="27" t="str">
        <f ca="1">IFERROR(__xludf.DUMMYFUNCTION("""COMPUTED_VALUE"""),"Ativo")</f>
        <v>Ativo</v>
      </c>
      <c r="AO94" s="30">
        <f ca="1">IFERROR(__xludf.DUMMYFUNCTION("""COMPUTED_VALUE"""),44151)</f>
        <v>44151</v>
      </c>
      <c r="AP94" s="27">
        <f ca="1">IFERROR(__xludf.DUMMYFUNCTION("""COMPUTED_VALUE"""),22)</f>
        <v>22</v>
      </c>
      <c r="AQ94" s="27" t="str">
        <f ca="1">IFERROR(__xludf.DUMMYFUNCTION("""COMPUTED_VALUE"""),"Primeiro Semestre 2020")</f>
        <v>Primeiro Semestre 2020</v>
      </c>
      <c r="AR94" s="27" t="str">
        <f ca="1">IFERROR(__xludf.DUMMYFUNCTION("""COMPUTED_VALUE"""),"maria.viana@institutoemaus.org.br")</f>
        <v>maria.viana@institutoemaus.org.br</v>
      </c>
      <c r="AS94" s="27" t="str">
        <f ca="1">IFERROR(__xludf.DUMMYFUNCTION("""COMPUTED_VALUE"""),"(11)97140-6017")</f>
        <v>(11)97140-6017</v>
      </c>
      <c r="AT94" s="29">
        <f ca="1">IFERROR(__xludf.DUMMYFUNCTION("""COMPUTED_VALUE"""),26935)</f>
        <v>26935</v>
      </c>
      <c r="AU94" s="27">
        <f ca="1">IFERROR(__xludf.DUMMYFUNCTION("""COMPUTED_VALUE"""),49)</f>
        <v>49</v>
      </c>
      <c r="AV94" s="27">
        <f ca="1">IFERROR(__xludf.DUMMYFUNCTION("""COMPUTED_VALUE"""),9518046859)</f>
        <v>9518046859</v>
      </c>
      <c r="AW94" s="27">
        <f ca="1">IFERROR(__xludf.DUMMYFUNCTION("""COMPUTED_VALUE"""),226050919)</f>
        <v>226050919</v>
      </c>
      <c r="AX94" s="27" t="str">
        <f ca="1">IFERROR(__xludf.DUMMYFUNCTION("""COMPUTED_VALUE"""),"Comunicação Social e Teologia")</f>
        <v>Comunicação Social e Teologia</v>
      </c>
      <c r="AY94" s="27"/>
      <c r="AZ94" s="27" t="str">
        <f ca="1">IFERROR(__xludf.DUMMYFUNCTION("""COMPUTED_VALUE"""),"M")</f>
        <v>M</v>
      </c>
      <c r="BA94" s="27"/>
      <c r="BB94" s="27"/>
      <c r="BC94" s="27" t="str">
        <f ca="1">IFERROR(__xludf.DUMMYFUNCTION("""COMPUTED_VALUE"""),"Sim")</f>
        <v>Sim</v>
      </c>
      <c r="BD94" s="27" t="str">
        <f ca="1">IFERROR(__xludf.DUMMYFUNCTION("""COMPUTED_VALUE"""),"Idealizadora do Instituto Emaus juntamento com Padre Ademir, atentos a dor d emuitas pessoas vulnerabilidade e invisíveis na sociedade. Criando pontes entre voluntários e usuários fomentando a solidariedade e a transformação social.")</f>
        <v>Idealizadora do Instituto Emaus juntamento com Padre Ademir, atentos a dor d emuitas pessoas vulnerabilidade e invisíveis na sociedade. Criando pontes entre voluntários e usuários fomentando a solidariedade e a transformação social.</v>
      </c>
      <c r="BE94" s="27"/>
      <c r="BF94" s="27"/>
      <c r="BG94" s="27" t="str">
        <f ca="1">IFERROR(__xludf.DUMMYFUNCTION("""COMPUTED_VALUE"""),"Ensino Superior - Completo")</f>
        <v>Ensino Superior - Completo</v>
      </c>
      <c r="BH94" s="27"/>
      <c r="BI94" s="27" t="str">
        <f ca="1">IFERROR(__xludf.DUMMYFUNCTION("""COMPUTED_VALUE"""),"Mestrado")</f>
        <v>Mestrado</v>
      </c>
      <c r="BJ94" s="27" t="str">
        <f ca="1">IFERROR(__xludf.DUMMYFUNCTION("""COMPUTED_VALUE"""),"Privado")</f>
        <v>Privado</v>
      </c>
      <c r="BK94" s="27" t="str">
        <f ca="1">IFERROR(__xludf.DUMMYFUNCTION("""COMPUTED_VALUE"""),"Maria Helena")</f>
        <v>Maria Helena</v>
      </c>
      <c r="BL94" s="27">
        <f ca="1">IFERROR(__xludf.DUMMYFUNCTION("""COMPUTED_VALUE"""),176)</f>
        <v>176</v>
      </c>
      <c r="BM94" s="27"/>
      <c r="BN94" s="27" t="str">
        <f ca="1">IFERROR(__xludf.DUMMYFUNCTION("""COMPUTED_VALUE"""),"Suzano")</f>
        <v>Suzano</v>
      </c>
      <c r="BO94" s="27" t="str">
        <f ca="1">IFERROR(__xludf.DUMMYFUNCTION("""COMPUTED_VALUE"""),"08560-210")</f>
        <v>08560-210</v>
      </c>
      <c r="BP94" s="27" t="str">
        <f ca="1">IFERROR(__xludf.DUMMYFUNCTION("""COMPUTED_VALUE"""),"SP")</f>
        <v>SP</v>
      </c>
      <c r="BQ94" s="27" t="str">
        <f ca="1">IFERROR(__xludf.DUMMYFUNCTION("""COMPUTED_VALUE"""),"Entre 1 até 3 salários mínimos")</f>
        <v>Entre 1 até 3 salários mínimos</v>
      </c>
      <c r="BR94" s="27" t="str">
        <f ca="1">IFERROR(__xludf.DUMMYFUNCTION("""COMPUTED_VALUE"""),"Trabalho informal")</f>
        <v>Trabalho informal</v>
      </c>
      <c r="BS94" s="27" t="str">
        <f ca="1">IFERROR(__xludf.DUMMYFUNCTION("""COMPUTED_VALUE"""),"Casa própria")</f>
        <v>Casa própria</v>
      </c>
      <c r="BT94" s="27">
        <f ca="1">IFERROR(__xludf.DUMMYFUNCTION("""COMPUTED_VALUE"""),1)</f>
        <v>1</v>
      </c>
      <c r="BU94" s="27"/>
      <c r="BV94" s="27"/>
      <c r="BW94" s="27" t="str">
        <f ca="1">IFERROR(__xludf.DUMMYFUNCTION("""COMPUTED_VALUE"""),"Não tenho")</f>
        <v>Não tenho</v>
      </c>
      <c r="BX94" s="27" t="str">
        <f ca="1">IFERROR(__xludf.DUMMYFUNCTION("""COMPUTED_VALUE"""),"Só o da Associação")</f>
        <v>Só o da Associação</v>
      </c>
      <c r="BY94" s="21" t="str">
        <f ca="1">IFERROR(__xludf.DUMMYFUNCTION("""COMPUTED_VALUE"""),"https://drive.google.com/open?id=1F0qWftRinH5tEMXSP6o8b_yxlIb_wmg8")</f>
        <v>https://drive.google.com/open?id=1F0qWftRinH5tEMXSP6o8b_yxlIb_wmg8</v>
      </c>
    </row>
    <row r="95" spans="1:77" ht="12.5" x14ac:dyDescent="0.25">
      <c r="A95" s="21" t="str">
        <f ca="1">IFERROR(__xludf.DUMMYFUNCTION("""COMPUTED_VALUE"""),"0014X00002VKCvEQAX")</f>
        <v>0014X00002VKCvEQAX</v>
      </c>
      <c r="B95" s="27"/>
      <c r="C95" s="27" t="str">
        <f ca="1">IFERROR(__xludf.DUMMYFUNCTION("""COMPUTED_VALUE"""),"Fellow")</f>
        <v>Fellow</v>
      </c>
      <c r="D95" s="27" t="str">
        <f ca="1">IFERROR(__xludf.DUMMYFUNCTION("""COMPUTED_VALUE"""),"Ativo")</f>
        <v>Ativo</v>
      </c>
      <c r="E95" s="27" t="str">
        <f ca="1">IFERROR(__xludf.DUMMYFUNCTION("""COMPUTED_VALUE"""),"Associação Ensinando a Pescar")</f>
        <v>Associação Ensinando a Pescar</v>
      </c>
      <c r="F95" s="27" t="str">
        <f ca="1">IFERROR(__xludf.DUMMYFUNCTION("""COMPUTED_VALUE"""),"Vanessa")</f>
        <v>Vanessa</v>
      </c>
      <c r="G95" s="27" t="str">
        <f ca="1">IFERROR(__xludf.DUMMYFUNCTION("""COMPUTED_VALUE"""),"COMPLEXO JARDIM ELBA")</f>
        <v>COMPLEXO JARDIM ELBA</v>
      </c>
      <c r="H95" s="27"/>
      <c r="I95" s="27" t="str">
        <f ca="1">IFERROR(__xludf.DUMMYFUNCTION("""COMPUTED_VALUE"""),"Renan de Oliveira Manoel")</f>
        <v>Renan de Oliveira Manoel</v>
      </c>
      <c r="J95" s="27" t="str">
        <f ca="1">IFERROR(__xludf.DUMMYFUNCTION("""COMPUTED_VALUE"""),"complexojardimelba@gmail.com")</f>
        <v>complexojardimelba@gmail.com</v>
      </c>
      <c r="K95" s="27"/>
      <c r="L95" s="27" t="str">
        <f ca="1">IFERROR(__xludf.DUMMYFUNCTION("""COMPUTED_VALUE"""),"SP")</f>
        <v>SP</v>
      </c>
      <c r="M95" s="27" t="str">
        <f ca="1">IFERROR(__xludf.DUMMYFUNCTION("""COMPUTED_VALUE"""),"Rua Migue Borja")</f>
        <v>Rua Migue Borja</v>
      </c>
      <c r="N95" s="27" t="str">
        <f ca="1">IFERROR(__xludf.DUMMYFUNCTION("""COMPUTED_VALUE"""),"Vila Cardoso Franco")</f>
        <v>Vila Cardoso Franco</v>
      </c>
      <c r="O95" s="27">
        <f ca="1">IFERROR(__xludf.DUMMYFUNCTION("""COMPUTED_VALUE"""),126)</f>
        <v>126</v>
      </c>
      <c r="P95" s="27" t="str">
        <f ca="1">IFERROR(__xludf.DUMMYFUNCTION("""COMPUTED_VALUE"""),"São Paulo")</f>
        <v>São Paulo</v>
      </c>
      <c r="Q95" s="27"/>
      <c r="R95" s="27">
        <f ca="1">IFERROR(__xludf.DUMMYFUNCTION("""COMPUTED_VALUE"""),3978130)</f>
        <v>3978130</v>
      </c>
      <c r="S95" s="27"/>
      <c r="T95" s="27"/>
      <c r="U95" s="27"/>
      <c r="V95" s="27"/>
      <c r="W95" s="27">
        <f ca="1">IFERROR(__xludf.DUMMYFUNCTION("""COMPUTED_VALUE"""),11)</f>
        <v>11</v>
      </c>
      <c r="X95" s="27"/>
      <c r="Y95" s="27"/>
      <c r="Z95" s="27">
        <f ca="1">IFERROR(__xludf.DUMMYFUNCTION("""COMPUTED_VALUE"""),5000)</f>
        <v>5000</v>
      </c>
      <c r="AA95" s="29">
        <f ca="1">IFERROR(__xludf.DUMMYFUNCTION("""COMPUTED_VALUE"""),40912)</f>
        <v>40912</v>
      </c>
      <c r="AB95" s="27" t="str">
        <f ca="1">IFERROR(__xludf.DUMMYFUNCTION("""COMPUTED_VALUE"""),"Sim")</f>
        <v>Sim</v>
      </c>
      <c r="AC95" s="27"/>
      <c r="AD95" s="27"/>
      <c r="AE95" s="27">
        <f ca="1">IFERROR(__xludf.DUMMYFUNCTION("""COMPUTED_VALUE"""),16)</f>
        <v>16</v>
      </c>
      <c r="AF95" s="27"/>
      <c r="AG95" s="27">
        <f ca="1">IFERROR(__xludf.DUMMYFUNCTION("""COMPUTED_VALUE"""),2)</f>
        <v>2</v>
      </c>
      <c r="AH95" s="27"/>
      <c r="AI95" s="27" t="str">
        <f ca="1">IFERROR(__xludf.DUMMYFUNCTION("""COMPUTED_VALUE"""),"70% - 30%")</f>
        <v>70% - 30%</v>
      </c>
      <c r="AJ95" s="27" t="str">
        <f ca="1">IFERROR(__xludf.DUMMYFUNCTION("""COMPUTED_VALUE"""),"Sim")</f>
        <v>Sim</v>
      </c>
      <c r="AK95" s="27"/>
      <c r="AL95" s="21" t="str">
        <f ca="1">IFERROR(__xludf.DUMMYFUNCTION("""COMPUTED_VALUE"""),"0034X0000380O41")</f>
        <v>0034X0000380O41</v>
      </c>
      <c r="AM95" s="27" t="str">
        <f ca="1">IFERROR(__xludf.DUMMYFUNCTION("""COMPUTED_VALUE"""),"Brasileiro gama")</f>
        <v>Brasileiro gama</v>
      </c>
      <c r="AN95" s="27" t="str">
        <f ca="1">IFERROR(__xludf.DUMMYFUNCTION("""COMPUTED_VALUE"""),"Ativo")</f>
        <v>Ativo</v>
      </c>
      <c r="AO95" s="29">
        <f ca="1">IFERROR(__xludf.DUMMYFUNCTION("""COMPUTED_VALUE"""),44763)</f>
        <v>44763</v>
      </c>
      <c r="AP95" s="27">
        <f ca="1">IFERROR(__xludf.DUMMYFUNCTION("""COMPUTED_VALUE"""),2)</f>
        <v>2</v>
      </c>
      <c r="AQ95" s="27" t="str">
        <f ca="1">IFERROR(__xludf.DUMMYFUNCTION("""COMPUTED_VALUE"""),"Primeiro Semestre 2022")</f>
        <v>Primeiro Semestre 2022</v>
      </c>
      <c r="AR95" s="27" t="str">
        <f ca="1">IFERROR(__xludf.DUMMYFUNCTION("""COMPUTED_VALUE"""),"vbgamalemann@gmail.com")</f>
        <v>vbgamalemann@gmail.com</v>
      </c>
      <c r="AS95" s="27">
        <f ca="1">IFERROR(__xludf.DUMMYFUNCTION("""COMPUTED_VALUE"""),11999349438)</f>
        <v>11999349438</v>
      </c>
      <c r="AT95" s="29">
        <f ca="1">IFERROR(__xludf.DUMMYFUNCTION("""COMPUTED_VALUE"""),28987)</f>
        <v>28987</v>
      </c>
      <c r="AU95" s="27">
        <f ca="1">IFERROR(__xludf.DUMMYFUNCTION("""COMPUTED_VALUE"""),43)</f>
        <v>43</v>
      </c>
      <c r="AV95" s="27">
        <f ca="1">IFERROR(__xludf.DUMMYFUNCTION("""COMPUTED_VALUE"""),28977294819)</f>
        <v>28977294819</v>
      </c>
      <c r="AW95" s="27" t="str">
        <f ca="1">IFERROR(__xludf.DUMMYFUNCTION("""COMPUTED_VALUE"""),"30.294.108-3")</f>
        <v>30.294.108-3</v>
      </c>
      <c r="AX95" s="27"/>
      <c r="AY95" s="27"/>
      <c r="AZ95" s="27" t="str">
        <f ca="1">IFERROR(__xludf.DUMMYFUNCTION("""COMPUTED_VALUE"""),"G")</f>
        <v>G</v>
      </c>
      <c r="BA95" s="27" t="str">
        <f ca="1">IFERROR(__xludf.DUMMYFUNCTION("""COMPUTED_VALUE"""),"Branca")</f>
        <v>Branca</v>
      </c>
      <c r="BB95" s="27"/>
      <c r="BC95" s="27"/>
      <c r="BD95" s="27" t="str">
        <f ca="1">IFERROR(__xludf.DUMMYFUNCTION("""COMPUTED_VALUE"""),"Sou Vanessa Gama* psicóloga* pedagoga* concluinte de um MBA em Gestão Escolar pela USP. Estou à frente de um projeto Social no Jardim Elba desde 2012* atuo como coordenadora dos projetos educacional e vice-presidente da ONG. Gosto muito de ler* sou mãe da"&amp;" Mariana. 
E acredito que só a educação de qualidade pode diminuir a desigualdade que vem de berço....")</f>
        <v>Sou Vanessa Gama* psicóloga* pedagoga* concluinte de um MBA em Gestão Escolar pela USP. Estou à frente de um projeto Social no Jardim Elba desde 2012* atuo como coordenadora dos projetos educacional e vice-presidente da ONG. Gosto muito de ler* sou mãe da Mariana. 
E acredito que só a educação de qualidade pode diminuir a desigualdade que vem de berço....</v>
      </c>
      <c r="BE95" s="27" t="str">
        <f ca="1">IFERROR(__xludf.DUMMYFUNCTION("""COMPUTED_VALUE"""),"Feminino")</f>
        <v>Feminino</v>
      </c>
      <c r="BF95" s="27" t="str">
        <f ca="1">IFERROR(__xludf.DUMMYFUNCTION("""COMPUTED_VALUE"""),"Heterossexual")</f>
        <v>Heterossexual</v>
      </c>
      <c r="BG95" s="27"/>
      <c r="BH95" s="27" t="str">
        <f ca="1">IFERROR(__xludf.DUMMYFUNCTION("""COMPUTED_VALUE"""),"Público")</f>
        <v>Público</v>
      </c>
      <c r="BI95" s="27" t="str">
        <f ca="1">IFERROR(__xludf.DUMMYFUNCTION("""COMPUTED_VALUE"""),"Pós-Graduação")</f>
        <v>Pós-Graduação</v>
      </c>
      <c r="BJ95" s="27" t="str">
        <f ca="1">IFERROR(__xludf.DUMMYFUNCTION("""COMPUTED_VALUE"""),"Privado")</f>
        <v>Privado</v>
      </c>
      <c r="BK95" s="27" t="str">
        <f ca="1">IFERROR(__xludf.DUMMYFUNCTION("""COMPUTED_VALUE"""),"RUA LOMBARDA")</f>
        <v>RUA LOMBARDA</v>
      </c>
      <c r="BL95" s="27">
        <f ca="1">IFERROR(__xludf.DUMMYFUNCTION("""COMPUTED_VALUE"""),10)</f>
        <v>10</v>
      </c>
      <c r="BM95" s="27"/>
      <c r="BN95" s="27"/>
      <c r="BO95" s="27">
        <f ca="1">IFERROR(__xludf.DUMMYFUNCTION("""COMPUTED_VALUE"""),9271150)</f>
        <v>9271150</v>
      </c>
      <c r="BP95" s="27" t="str">
        <f ca="1">IFERROR(__xludf.DUMMYFUNCTION("""COMPUTED_VALUE"""),"SP")</f>
        <v>SP</v>
      </c>
      <c r="BQ95" s="27" t="str">
        <f ca="1">IFERROR(__xludf.DUMMYFUNCTION("""COMPUTED_VALUE"""),"De 3 até 5 salários mínimos")</f>
        <v>De 3 até 5 salários mínimos</v>
      </c>
      <c r="BR95" s="27" t="str">
        <f ca="1">IFERROR(__xludf.DUMMYFUNCTION("""COMPUTED_VALUE"""),"CLT")</f>
        <v>CLT</v>
      </c>
      <c r="BS95" s="27" t="str">
        <f ca="1">IFERROR(__xludf.DUMMYFUNCTION("""COMPUTED_VALUE"""),"Casa própria")</f>
        <v>Casa própria</v>
      </c>
      <c r="BT95" s="27">
        <f ca="1">IFERROR(__xludf.DUMMYFUNCTION("""COMPUTED_VALUE"""),4)</f>
        <v>4</v>
      </c>
      <c r="BU95" s="27" t="str">
        <f ca="1">IFERROR(__xludf.DUMMYFUNCTION("""COMPUTED_VALUE"""),"Não tem")</f>
        <v>Não tem</v>
      </c>
      <c r="BV95" s="27" t="str">
        <f ca="1">IFERROR(__xludf.DUMMYFUNCTION("""COMPUTED_VALUE"""),"Não")</f>
        <v>Não</v>
      </c>
      <c r="BW95" s="27"/>
      <c r="BX95" s="27"/>
      <c r="BY95" s="27"/>
    </row>
    <row r="96" spans="1:77" ht="12.5" x14ac:dyDescent="0.25">
      <c r="A96" s="21" t="str">
        <f ca="1">IFERROR(__xludf.DUMMYFUNCTION("""COMPUTED_VALUE"""),"0014P00003SGWPlQAP")</f>
        <v>0014P00003SGWPlQAP</v>
      </c>
      <c r="B96" s="27" t="str">
        <f ca="1">IFERROR(__xludf.DUMMYFUNCTION("""COMPUTED_VALUE"""),"Fase Inicial")</f>
        <v>Fase Inicial</v>
      </c>
      <c r="C96" s="27" t="str">
        <f ca="1">IFERROR(__xludf.DUMMYFUNCTION("""COMPUTED_VALUE"""),"Fellow")</f>
        <v>Fellow</v>
      </c>
      <c r="D96" s="27" t="str">
        <f ca="1">IFERROR(__xludf.DUMMYFUNCTION("""COMPUTED_VALUE"""),"Ativo")</f>
        <v>Ativo</v>
      </c>
      <c r="E96" s="27" t="str">
        <f ca="1">IFERROR(__xludf.DUMMYFUNCTION("""COMPUTED_VALUE"""),"ASSOCIAÇÃO ESPERANÇA E DESTINO")</f>
        <v>ASSOCIAÇÃO ESPERANÇA E DESTINO</v>
      </c>
      <c r="F96" s="27" t="str">
        <f ca="1">IFERROR(__xludf.DUMMYFUNCTION("""COMPUTED_VALUE"""),"Graziella")</f>
        <v>Graziella</v>
      </c>
      <c r="G96" s="27" t="str">
        <f ca="1">IFERROR(__xludf.DUMMYFUNCTION("""COMPUTED_VALUE"""),"ESPERANÇA E DESTINO")</f>
        <v>ESPERANÇA E DESTINO</v>
      </c>
      <c r="H96" s="27" t="str">
        <f ca="1">IFERROR(__xludf.DUMMYFUNCTION("""COMPUTED_VALUE"""),"29.180.829/0001-03")</f>
        <v>29.180.829/0001-03</v>
      </c>
      <c r="I96" s="27" t="str">
        <f ca="1">IFERROR(__xludf.DUMMYFUNCTION("""COMPUTED_VALUE"""),"Graziella Porfirio")</f>
        <v>Graziella Porfirio</v>
      </c>
      <c r="J96" s="27" t="str">
        <f ca="1">IFERROR(__xludf.DUMMYFUNCTION("""COMPUTED_VALUE"""),"esperancaedestino@gmail.com")</f>
        <v>esperancaedestino@gmail.com</v>
      </c>
      <c r="K96" s="27" t="str">
        <f ca="1">IFERROR(__xludf.DUMMYFUNCTION("""COMPUTED_VALUE"""),"(11)99673-1642")</f>
        <v>(11)99673-1642</v>
      </c>
      <c r="L96" s="27" t="str">
        <f ca="1">IFERROR(__xludf.DUMMYFUNCTION("""COMPUTED_VALUE"""),"SP")</f>
        <v>SP</v>
      </c>
      <c r="M96" s="27" t="str">
        <f ca="1">IFERROR(__xludf.DUMMYFUNCTION("""COMPUTED_VALUE"""),"Rua Israel Gonçalvez Cruz")</f>
        <v>Rua Israel Gonçalvez Cruz</v>
      </c>
      <c r="N96" s="27" t="str">
        <f ca="1">IFERROR(__xludf.DUMMYFUNCTION("""COMPUTED_VALUE"""),"Jardim Maite")</f>
        <v>Jardim Maite</v>
      </c>
      <c r="O96" s="27">
        <f ca="1">IFERROR(__xludf.DUMMYFUNCTION("""COMPUTED_VALUE"""),35)</f>
        <v>35</v>
      </c>
      <c r="P96" s="27" t="str">
        <f ca="1">IFERROR(__xludf.DUMMYFUNCTION("""COMPUTED_VALUE"""),"Suzano")</f>
        <v>Suzano</v>
      </c>
      <c r="Q96" s="27"/>
      <c r="R96" s="27">
        <f ca="1">IFERROR(__xludf.DUMMYFUNCTION("""COMPUTED_VALUE"""),8616585)</f>
        <v>8616585</v>
      </c>
      <c r="S96" s="27"/>
      <c r="T96" s="27" t="str">
        <f ca="1">IFERROR(__xludf.DUMMYFUNCTION("""COMPUTED_VALUE"""),"Educação; Assistência Social; Cultura; Empreendedorismo")</f>
        <v>Educação; Assistência Social; Cultura; Empreendedorismo</v>
      </c>
      <c r="U96" s="27" t="str">
        <f ca="1">IFERROR(__xludf.DUMMYFUNCTION("""COMPUTED_VALUE"""),"Crianças (6 a 12 anos); Adolescentes (12 aos 18 anos)")</f>
        <v>Crianças (6 a 12 anos); Adolescentes (12 aos 18 anos)</v>
      </c>
      <c r="V96" s="27"/>
      <c r="W96" s="27">
        <f ca="1">IFERROR(__xludf.DUMMYFUNCTION("""COMPUTED_VALUE"""),4)</f>
        <v>4</v>
      </c>
      <c r="X96" s="27"/>
      <c r="Y96" s="27">
        <f ca="1">IFERROR(__xludf.DUMMYFUNCTION("""COMPUTED_VALUE"""),150)</f>
        <v>150</v>
      </c>
      <c r="Z96" s="27">
        <f ca="1">IFERROR(__xludf.DUMMYFUNCTION("""COMPUTED_VALUE"""),1500)</f>
        <v>1500</v>
      </c>
      <c r="AA96" s="30">
        <f ca="1">IFERROR(__xludf.DUMMYFUNCTION("""COMPUTED_VALUE"""),43060)</f>
        <v>43060</v>
      </c>
      <c r="AB96" s="27" t="str">
        <f ca="1">IFERROR(__xludf.DUMMYFUNCTION("""COMPUTED_VALUE"""),"Sim")</f>
        <v>Sim</v>
      </c>
      <c r="AC96" s="27">
        <f ca="1">IFERROR(__xludf.DUMMYFUNCTION("""COMPUTED_VALUE"""),0)</f>
        <v>0</v>
      </c>
      <c r="AD96" s="27"/>
      <c r="AE96" s="27">
        <f ca="1">IFERROR(__xludf.DUMMYFUNCTION("""COMPUTED_VALUE"""),8)</f>
        <v>8</v>
      </c>
      <c r="AF96" s="27"/>
      <c r="AG96" s="27">
        <f ca="1">IFERROR(__xludf.DUMMYFUNCTION("""COMPUTED_VALUE"""),1)</f>
        <v>1</v>
      </c>
      <c r="AH96" s="27" t="str">
        <f ca="1">IFERROR(__xludf.DUMMYFUNCTION("""COMPUTED_VALUE"""),"Eventos/Ações para captação; Plataforma doação online - Pessoa Física")</f>
        <v>Eventos/Ações para captação; Plataforma doação online - Pessoa Física</v>
      </c>
      <c r="AI96" s="27" t="str">
        <f ca="1">IFERROR(__xludf.DUMMYFUNCTION("""COMPUTED_VALUE"""),"100% doações")</f>
        <v>100% doações</v>
      </c>
      <c r="AJ96" s="27" t="str">
        <f ca="1">IFERROR(__xludf.DUMMYFUNCTION("""COMPUTED_VALUE"""),"Sim")</f>
        <v>Sim</v>
      </c>
      <c r="AK96" s="27" t="str">
        <f ca="1">IFERROR(__xludf.DUMMYFUNCTION("""COMPUTED_VALUE"""),"Não")</f>
        <v>Não</v>
      </c>
      <c r="AL96" s="21" t="str">
        <f ca="1">IFERROR(__xludf.DUMMYFUNCTION("""COMPUTED_VALUE"""),"0034P000043fOns")</f>
        <v>0034P000043fOns</v>
      </c>
      <c r="AM96" s="27" t="str">
        <f ca="1">IFERROR(__xludf.DUMMYFUNCTION("""COMPUTED_VALUE"""),"Graziella Porfirio da Silva Baptista")</f>
        <v>Graziella Porfirio da Silva Baptista</v>
      </c>
      <c r="AN96" s="27" t="str">
        <f ca="1">IFERROR(__xludf.DUMMYFUNCTION("""COMPUTED_VALUE"""),"Ativo")</f>
        <v>Ativo</v>
      </c>
      <c r="AO96" s="29">
        <f ca="1">IFERROR(__xludf.DUMMYFUNCTION("""COMPUTED_VALUE"""),44432)</f>
        <v>44432</v>
      </c>
      <c r="AP96" s="27">
        <f ca="1">IFERROR(__xludf.DUMMYFUNCTION("""COMPUTED_VALUE"""),13)</f>
        <v>13</v>
      </c>
      <c r="AQ96" s="27" t="str">
        <f ca="1">IFERROR(__xludf.DUMMYFUNCTION("""COMPUTED_VALUE"""),"Primeiro Semestre 2021")</f>
        <v>Primeiro Semestre 2021</v>
      </c>
      <c r="AR96" s="27" t="str">
        <f ca="1">IFERROR(__xludf.DUMMYFUNCTION("""COMPUTED_VALUE"""),"esperancaedestino@gmail.com")</f>
        <v>esperancaedestino@gmail.com</v>
      </c>
      <c r="AS96" s="27" t="str">
        <f ca="1">IFERROR(__xludf.DUMMYFUNCTION("""COMPUTED_VALUE"""),"(11)99673-1642")</f>
        <v>(11)99673-1642</v>
      </c>
      <c r="AT96" s="30">
        <f ca="1">IFERROR(__xludf.DUMMYFUNCTION("""COMPUTED_VALUE"""),29546)</f>
        <v>29546</v>
      </c>
      <c r="AU96" s="27">
        <f ca="1">IFERROR(__xludf.DUMMYFUNCTION("""COMPUTED_VALUE"""),42)</f>
        <v>42</v>
      </c>
      <c r="AV96" s="27">
        <f ca="1">IFERROR(__xludf.DUMMYFUNCTION("""COMPUTED_VALUE"""),29736308863)</f>
        <v>29736308863</v>
      </c>
      <c r="AW96" s="27">
        <f ca="1">IFERROR(__xludf.DUMMYFUNCTION("""COMPUTED_VALUE"""),292876221)</f>
        <v>292876221</v>
      </c>
      <c r="AX96" s="27" t="str">
        <f ca="1">IFERROR(__xludf.DUMMYFUNCTION("""COMPUTED_VALUE"""),"Graduada Em Pedagogia")</f>
        <v>Graduada Em Pedagogia</v>
      </c>
      <c r="AY96" s="27"/>
      <c r="AZ96" s="27" t="str">
        <f ca="1">IFERROR(__xludf.DUMMYFUNCTION("""COMPUTED_VALUE"""),"M")</f>
        <v>M</v>
      </c>
      <c r="BA96" s="27" t="str">
        <f ca="1">IFERROR(__xludf.DUMMYFUNCTION("""COMPUTED_VALUE"""),"Parda")</f>
        <v>Parda</v>
      </c>
      <c r="BB96" s="27"/>
      <c r="BC96" s="27" t="str">
        <f ca="1">IFERROR(__xludf.DUMMYFUNCTION("""COMPUTED_VALUE"""),"Sim")</f>
        <v>Sim</v>
      </c>
      <c r="BD96" s="27" t="str">
        <f ca="1">IFERROR(__xludf.DUMMYFUNCTION("""COMPUTED_VALUE"""),"Sou Grazi, tenho 41 anos, mamãe do Davi Israel e da Debora, as duas pessoas que me ensinam que a vida é feita de momentos, de escolhas e que me inspiram a deixar um legado nessa terra. Sou Pedagoga por profissão e gestora social por insistencia, tenho gra"&amp;"ndes sonhos, e vou realizar todos eles com Esperança e Destino. Gosto de corrida de rua, é meu momento de conexão comigo, acredito em Deus e na força do teu poder em minha vida..")</f>
        <v>Sou Grazi, tenho 41 anos, mamãe do Davi Israel e da Debora, as duas pessoas que me ensinam que a vida é feita de momentos, de escolhas e que me inspiram a deixar um legado nessa terra. Sou Pedagoga por profissão e gestora social por insistencia, tenho grandes sonhos, e vou realizar todos eles com Esperança e Destino. Gosto de corrida de rua, é meu momento de conexão comigo, acredito em Deus e na força do teu poder em minha vida..</v>
      </c>
      <c r="BE96" s="27" t="str">
        <f ca="1">IFERROR(__xludf.DUMMYFUNCTION("""COMPUTED_VALUE"""),"Feminino")</f>
        <v>Feminino</v>
      </c>
      <c r="BF96" s="27" t="str">
        <f ca="1">IFERROR(__xludf.DUMMYFUNCTION("""COMPUTED_VALUE"""),"Heterossexual")</f>
        <v>Heterossexual</v>
      </c>
      <c r="BG96" s="27" t="str">
        <f ca="1">IFERROR(__xludf.DUMMYFUNCTION("""COMPUTED_VALUE"""),"Ensino Superior - Completo")</f>
        <v>Ensino Superior - Completo</v>
      </c>
      <c r="BH96" s="27"/>
      <c r="BI96" s="27" t="str">
        <f ca="1">IFERROR(__xludf.DUMMYFUNCTION("""COMPUTED_VALUE"""),"Graduação")</f>
        <v>Graduação</v>
      </c>
      <c r="BJ96" s="27" t="str">
        <f ca="1">IFERROR(__xludf.DUMMYFUNCTION("""COMPUTED_VALUE"""),"Privado")</f>
        <v>Privado</v>
      </c>
      <c r="BK96" s="27" t="str">
        <f ca="1">IFERROR(__xludf.DUMMYFUNCTION("""COMPUTED_VALUE"""),"Rua Antonio Augusto Claro")</f>
        <v>Rua Antonio Augusto Claro</v>
      </c>
      <c r="BL96" s="27">
        <f ca="1">IFERROR(__xludf.DUMMYFUNCTION("""COMPUTED_VALUE"""),751)</f>
        <v>751</v>
      </c>
      <c r="BM96" s="27"/>
      <c r="BN96" s="27" t="str">
        <f ca="1">IFERROR(__xludf.DUMMYFUNCTION("""COMPUTED_VALUE"""),"Suzano")</f>
        <v>Suzano</v>
      </c>
      <c r="BO96" s="27" t="str">
        <f ca="1">IFERROR(__xludf.DUMMYFUNCTION("""COMPUTED_VALUE"""),"08676-190")</f>
        <v>08676-190</v>
      </c>
      <c r="BP96" s="27" t="str">
        <f ca="1">IFERROR(__xludf.DUMMYFUNCTION("""COMPUTED_VALUE"""),"SP")</f>
        <v>SP</v>
      </c>
      <c r="BQ96" s="27" t="str">
        <f ca="1">IFERROR(__xludf.DUMMYFUNCTION("""COMPUTED_VALUE"""),"Entre 1 até 3 salários mínimos")</f>
        <v>Entre 1 até 3 salários mínimos</v>
      </c>
      <c r="BR96" s="27" t="str">
        <f ca="1">IFERROR(__xludf.DUMMYFUNCTION("""COMPUTED_VALUE"""),"Desempregado")</f>
        <v>Desempregado</v>
      </c>
      <c r="BS96" s="27" t="str">
        <f ca="1">IFERROR(__xludf.DUMMYFUNCTION("""COMPUTED_VALUE"""),"Casa própria")</f>
        <v>Casa própria</v>
      </c>
      <c r="BT96" s="27">
        <f ca="1">IFERROR(__xludf.DUMMYFUNCTION("""COMPUTED_VALUE"""),2)</f>
        <v>2</v>
      </c>
      <c r="BU96" s="27"/>
      <c r="BV96" s="27"/>
      <c r="BW96" s="21" t="str">
        <f ca="1">IFERROR(__xludf.DUMMYFUNCTION("""COMPUTED_VALUE"""),"https://www.linkedin.com/in/graziella-porfirio-263b68190/")</f>
        <v>https://www.linkedin.com/in/graziella-porfirio-263b68190/</v>
      </c>
      <c r="BX96" s="21" t="str">
        <f ca="1">IFERROR(__xludf.DUMMYFUNCTION("""COMPUTED_VALUE"""),"https://instagram.com/grazi_porfirio?igshid=YmMyMTA2M2Y=")</f>
        <v>https://instagram.com/grazi_porfirio?igshid=YmMyMTA2M2Y=</v>
      </c>
      <c r="BY96" s="21" t="str">
        <f ca="1">IFERROR(__xludf.DUMMYFUNCTION("""COMPUTED_VALUE"""),"https://drive.google.com/open?id=1j_c5zG_-8ONLfMZ5dwYyxoYOZW4-SWPZ")</f>
        <v>https://drive.google.com/open?id=1j_c5zG_-8ONLfMZ5dwYyxoYOZW4-SWPZ</v>
      </c>
    </row>
    <row r="97" spans="1:77" ht="12.5" hidden="1" x14ac:dyDescent="0.25">
      <c r="A97" s="21" t="str">
        <f ca="1">IFERROR(__xludf.DUMMYFUNCTION("""COMPUTED_VALUE"""),"0014X00002VKCr6QAH")</f>
        <v>0014X00002VKCr6QAH</v>
      </c>
      <c r="B97" s="27" t="str">
        <f ca="1">IFERROR(__xludf.DUMMYFUNCTION("""COMPUTED_VALUE"""),"Fase Estruturação")</f>
        <v>Fase Estruturação</v>
      </c>
      <c r="C97" s="27" t="str">
        <f ca="1">IFERROR(__xludf.DUMMYFUNCTION("""COMPUTED_VALUE"""),"Fellow")</f>
        <v>Fellow</v>
      </c>
      <c r="D97" s="27" t="str">
        <f ca="1">IFERROR(__xludf.DUMMYFUNCTION("""COMPUTED_VALUE"""),"Ativo")</f>
        <v>Ativo</v>
      </c>
      <c r="E97" s="27" t="str">
        <f ca="1">IFERROR(__xludf.DUMMYFUNCTION("""COMPUTED_VALUE"""),"Associação Esporte e Vida")</f>
        <v>Associação Esporte e Vida</v>
      </c>
      <c r="F97" s="27" t="str">
        <f ca="1">IFERROR(__xludf.DUMMYFUNCTION("""COMPUTED_VALUE"""),"Myrian")</f>
        <v>Myrian</v>
      </c>
      <c r="G97" s="27" t="str">
        <f ca="1">IFERROR(__xludf.DUMMYFUNCTION("""COMPUTED_VALUE"""),"ASSOCIAÇÃO ESPORTE E VIDA")</f>
        <v>ASSOCIAÇÃO ESPORTE E VIDA</v>
      </c>
      <c r="H97" s="27" t="str">
        <f ca="1">IFERROR(__xludf.DUMMYFUNCTION("""COMPUTED_VALUE"""),"05.117.522/0001-91")</f>
        <v>05.117.522/0001-91</v>
      </c>
      <c r="I97" s="27" t="str">
        <f ca="1">IFERROR(__xludf.DUMMYFUNCTION("""COMPUTED_VALUE"""),"Ricardo Alan Ribeiro Macedo")</f>
        <v>Ricardo Alan Ribeiro Macedo</v>
      </c>
      <c r="J97" s="27" t="str">
        <f ca="1">IFERROR(__xludf.DUMMYFUNCTION("""COMPUTED_VALUE"""),"associacaoesporteevida@gmail.com")</f>
        <v>associacaoesporteevida@gmail.com</v>
      </c>
      <c r="K97" s="27" t="str">
        <f ca="1">IFERROR(__xludf.DUMMYFUNCTION("""COMPUTED_VALUE"""),"(61)98222-2752")</f>
        <v>(61)98222-2752</v>
      </c>
      <c r="L97" s="27" t="str">
        <f ca="1">IFERROR(__xludf.DUMMYFUNCTION("""COMPUTED_VALUE"""),"DF")</f>
        <v>DF</v>
      </c>
      <c r="M97" s="27" t="str">
        <f ca="1">IFERROR(__xludf.DUMMYFUNCTION("""COMPUTED_VALUE"""),"Vila Rabelo quadra 4 Avenida central lote 145")</f>
        <v>Vila Rabelo quadra 4 Avenida central lote 145</v>
      </c>
      <c r="N97" s="27" t="str">
        <f ca="1">IFERROR(__xludf.DUMMYFUNCTION("""COMPUTED_VALUE"""),"Sobradinho 2")</f>
        <v>Sobradinho 2</v>
      </c>
      <c r="O97" s="27">
        <f ca="1">IFERROR(__xludf.DUMMYFUNCTION("""COMPUTED_VALUE"""),145)</f>
        <v>145</v>
      </c>
      <c r="P97" s="27" t="str">
        <f ca="1">IFERROR(__xludf.DUMMYFUNCTION("""COMPUTED_VALUE"""),"Brasília")</f>
        <v>Brasília</v>
      </c>
      <c r="Q97" s="27" t="str">
        <f ca="1">IFERROR(__xludf.DUMMYFUNCTION("""COMPUTED_VALUE"""),"Quadra central edifício Poly Center* sala 110 - Sobradinho - DF")</f>
        <v>Quadra central edifício Poly Center* sala 110 - Sobradinho - DF</v>
      </c>
      <c r="R97" s="27" t="str">
        <f ca="1">IFERROR(__xludf.DUMMYFUNCTION("""COMPUTED_VALUE"""),"73070-055")</f>
        <v>73070-055</v>
      </c>
      <c r="S97" s="27" t="str">
        <f ca="1">IFERROR(__xludf.DUMMYFUNCTION("""COMPUTED_VALUE"""),"Campo de futebol das cidades de atuação  e ONGs parceiras MDCS")</f>
        <v>Campo de futebol das cidades de atuação  e ONGs parceiras MDCS</v>
      </c>
      <c r="T97" s="27"/>
      <c r="U97"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97" s="27" t="str">
        <f ca="1">IFERROR(__xludf.DUMMYFUNCTION("""COMPUTED_VALUE"""),"Moradores de Favelas, Pessoas em situação de rua, População LGBTQ+, Dependentes Químicos, Pessoas com Deficiência, Egressos sistema carcerário")</f>
        <v>Moradores de Favelas, Pessoas em situação de rua, População LGBTQ+, Dependentes Químicos, Pessoas com Deficiência, Egressos sistema carcerário</v>
      </c>
      <c r="W97" s="27">
        <f ca="1">IFERROR(__xludf.DUMMYFUNCTION("""COMPUTED_VALUE"""),5)</f>
        <v>5</v>
      </c>
      <c r="X97" s="27" t="str">
        <f ca="1">IFERROR(__xludf.DUMMYFUNCTION("""COMPUTED_VALUE"""),"Adultos e jovens em situação de vulnerabilidade em busca de qualificação e oportunidade.")</f>
        <v>Adultos e jovens em situação de vulnerabilidade em busca de qualificação e oportunidade.</v>
      </c>
      <c r="Y97" s="27"/>
      <c r="Z97" s="27">
        <f ca="1">IFERROR(__xludf.DUMMYFUNCTION("""COMPUTED_VALUE"""),1000)</f>
        <v>1000</v>
      </c>
      <c r="AA97" s="29">
        <f ca="1">IFERROR(__xludf.DUMMYFUNCTION("""COMPUTED_VALUE"""),37329)</f>
        <v>37329</v>
      </c>
      <c r="AB97" s="27" t="str">
        <f ca="1">IFERROR(__xludf.DUMMYFUNCTION("""COMPUTED_VALUE"""),"Sim")</f>
        <v>Sim</v>
      </c>
      <c r="AC97" s="27">
        <f ca="1">IFERROR(__xludf.DUMMYFUNCTION("""COMPUTED_VALUE"""),7)</f>
        <v>7</v>
      </c>
      <c r="AD97" s="27">
        <f ca="1">IFERROR(__xludf.DUMMYFUNCTION("""COMPUTED_VALUE"""),10)</f>
        <v>10</v>
      </c>
      <c r="AE97" s="27">
        <f ca="1">IFERROR(__xludf.DUMMYFUNCTION("""COMPUTED_VALUE"""),10)</f>
        <v>10</v>
      </c>
      <c r="AF97" s="27">
        <f ca="1">IFERROR(__xludf.DUMMYFUNCTION("""COMPUTED_VALUE"""),10)</f>
        <v>10</v>
      </c>
      <c r="AG97" s="27">
        <f ca="1">IFERROR(__xludf.DUMMYFUNCTION("""COMPUTED_VALUE"""),5)</f>
        <v>5</v>
      </c>
      <c r="AH97" s="27" t="str">
        <f ca="1">IFERROR(__xludf.DUMMYFUNCTION("""COMPUTED_VALUE"""),"Lei de Incentivo, Convênio Público, Parceria iniciativa privada, Editais, Doações")</f>
        <v>Lei de Incentivo, Convênio Público, Parceria iniciativa privada, Editais, Doações</v>
      </c>
      <c r="AI97" s="27" t="str">
        <f ca="1">IFERROR(__xludf.DUMMYFUNCTION("""COMPUTED_VALUE"""),"95 % Lei de incentivo ao esporte")</f>
        <v>95 % Lei de incentivo ao esporte</v>
      </c>
      <c r="AJ97" s="27" t="str">
        <f ca="1">IFERROR(__xludf.DUMMYFUNCTION("""COMPUTED_VALUE"""),"Não")</f>
        <v>Não</v>
      </c>
      <c r="AK97" s="27"/>
      <c r="AL97" s="21" t="str">
        <f ca="1">IFERROR(__xludf.DUMMYFUNCTION("""COMPUTED_VALUE"""),"0034X0000380O6B")</f>
        <v>0034X0000380O6B</v>
      </c>
      <c r="AM97" s="27" t="str">
        <f ca="1">IFERROR(__xludf.DUMMYFUNCTION("""COMPUTED_VALUE"""),"Renatha silveira macedo")</f>
        <v>Renatha silveira macedo</v>
      </c>
      <c r="AN97" s="27" t="str">
        <f ca="1">IFERROR(__xludf.DUMMYFUNCTION("""COMPUTED_VALUE"""),"Ativo")</f>
        <v>Ativo</v>
      </c>
      <c r="AO97" s="29">
        <f ca="1">IFERROR(__xludf.DUMMYFUNCTION("""COMPUTED_VALUE"""),44763)</f>
        <v>44763</v>
      </c>
      <c r="AP97" s="27">
        <f ca="1">IFERROR(__xludf.DUMMYFUNCTION("""COMPUTED_VALUE"""),2)</f>
        <v>2</v>
      </c>
      <c r="AQ97" s="27" t="str">
        <f ca="1">IFERROR(__xludf.DUMMYFUNCTION("""COMPUTED_VALUE"""),"Primeiro Semestre 2022")</f>
        <v>Primeiro Semestre 2022</v>
      </c>
      <c r="AR97" s="27" t="str">
        <f ca="1">IFERROR(__xludf.DUMMYFUNCTION("""COMPUTED_VALUE"""),"myrian.silveira@yahoo.com.br")</f>
        <v>myrian.silveira@yahoo.com.br</v>
      </c>
      <c r="AS97" s="27">
        <f ca="1">IFERROR(__xludf.DUMMYFUNCTION("""COMPUTED_VALUE"""),61999422752)</f>
        <v>61999422752</v>
      </c>
      <c r="AT97" s="29">
        <f ca="1">IFERROR(__xludf.DUMMYFUNCTION("""COMPUTED_VALUE"""),30336)</f>
        <v>30336</v>
      </c>
      <c r="AU97" s="27">
        <f ca="1">IFERROR(__xludf.DUMMYFUNCTION("""COMPUTED_VALUE"""),39)</f>
        <v>39</v>
      </c>
      <c r="AV97" s="27">
        <f ca="1">IFERROR(__xludf.DUMMYFUNCTION("""COMPUTED_VALUE"""),266512119)</f>
        <v>266512119</v>
      </c>
      <c r="AW97" s="27">
        <f ca="1">IFERROR(__xludf.DUMMYFUNCTION("""COMPUTED_VALUE"""),2269043)</f>
        <v>2269043</v>
      </c>
      <c r="AX97" s="27"/>
      <c r="AY97" s="27"/>
      <c r="AZ97" s="27" t="str">
        <f ca="1">IFERROR(__xludf.DUMMYFUNCTION("""COMPUTED_VALUE"""),"M")</f>
        <v>M</v>
      </c>
      <c r="BA97" s="27" t="str">
        <f ca="1">IFERROR(__xludf.DUMMYFUNCTION("""COMPUTED_VALUE"""),"Branca")</f>
        <v>Branca</v>
      </c>
      <c r="BB97" s="27"/>
      <c r="BC97" s="27"/>
      <c r="BD97" s="27" t="str">
        <f ca="1">IFERROR(__xludf.DUMMYFUNCTION("""COMPUTED_VALUE"""),"38 anos* atuando há 7 no terceiro setor* assistente social* apaixonada por pessoas e articuladora! Acredito na força do trabalho em Rede!")</f>
        <v>38 anos* atuando há 7 no terceiro setor* assistente social* apaixonada por pessoas e articuladora! Acredito na força do trabalho em Rede!</v>
      </c>
      <c r="BE97" s="27" t="str">
        <f ca="1">IFERROR(__xludf.DUMMYFUNCTION("""COMPUTED_VALUE"""),"Feminino")</f>
        <v>Feminino</v>
      </c>
      <c r="BF97" s="27" t="str">
        <f ca="1">IFERROR(__xludf.DUMMYFUNCTION("""COMPUTED_VALUE"""),"Heterossexual")</f>
        <v>Heterossexual</v>
      </c>
      <c r="BG97" s="27"/>
      <c r="BH97" s="27" t="str">
        <f ca="1">IFERROR(__xludf.DUMMYFUNCTION("""COMPUTED_VALUE"""),"Privado")</f>
        <v>Privado</v>
      </c>
      <c r="BI97" s="27" t="str">
        <f ca="1">IFERROR(__xludf.DUMMYFUNCTION("""COMPUTED_VALUE"""),"Graduação")</f>
        <v>Graduação</v>
      </c>
      <c r="BJ97" s="27" t="str">
        <f ca="1">IFERROR(__xludf.DUMMYFUNCTION("""COMPUTED_VALUE"""),"Privado")</f>
        <v>Privado</v>
      </c>
      <c r="BK97" s="27" t="str">
        <f ca="1">IFERROR(__xludf.DUMMYFUNCTION("""COMPUTED_VALUE"""),"Quadra 2 conjunto E12 casa 01")</f>
        <v>Quadra 2 conjunto E12 casa 01</v>
      </c>
      <c r="BL97" s="27" t="str">
        <f ca="1">IFERROR(__xludf.DUMMYFUNCTION("""COMPUTED_VALUE"""),"casa 01")</f>
        <v>casa 01</v>
      </c>
      <c r="BM97" s="27"/>
      <c r="BN97" s="27"/>
      <c r="BO97" s="27">
        <f ca="1">IFERROR(__xludf.DUMMYFUNCTION("""COMPUTED_VALUE"""),73015612)</f>
        <v>73015612</v>
      </c>
      <c r="BP97" s="27" t="str">
        <f ca="1">IFERROR(__xludf.DUMMYFUNCTION("""COMPUTED_VALUE"""),"DF")</f>
        <v>DF</v>
      </c>
      <c r="BQ97" s="27" t="str">
        <f ca="1">IFERROR(__xludf.DUMMYFUNCTION("""COMPUTED_VALUE"""),"Acima de 5 salários mínimos")</f>
        <v>Acima de 5 salários mínimos</v>
      </c>
      <c r="BR97" s="27" t="str">
        <f ca="1">IFERROR(__xludf.DUMMYFUNCTION("""COMPUTED_VALUE"""),"MEI")</f>
        <v>MEI</v>
      </c>
      <c r="BS97" s="27" t="str">
        <f ca="1">IFERROR(__xludf.DUMMYFUNCTION("""COMPUTED_VALUE"""),"Casa própria")</f>
        <v>Casa própria</v>
      </c>
      <c r="BT97" s="27">
        <f ca="1">IFERROR(__xludf.DUMMYFUNCTION("""COMPUTED_VALUE"""),4)</f>
        <v>4</v>
      </c>
      <c r="BU97" s="27" t="str">
        <f ca="1">IFERROR(__xludf.DUMMYFUNCTION("""COMPUTED_VALUE"""),"Não tem")</f>
        <v>Não tem</v>
      </c>
      <c r="BV97" s="27" t="str">
        <f ca="1">IFERROR(__xludf.DUMMYFUNCTION("""COMPUTED_VALUE"""),"Não")</f>
        <v>Não</v>
      </c>
      <c r="BW97" s="27"/>
      <c r="BX97" s="27"/>
      <c r="BY97" s="21" t="str">
        <f ca="1">IFERROR(__xludf.DUMMYFUNCTION("""COMPUTED_VALUE"""),"https://drive.google.com/open?id=1tS-Qu0P5tKLGVVIQ0NO2Ggi4TDstN7L8")</f>
        <v>https://drive.google.com/open?id=1tS-Qu0P5tKLGVVIQ0NO2Ggi4TDstN7L8</v>
      </c>
    </row>
    <row r="98" spans="1:77" ht="12.5" hidden="1" x14ac:dyDescent="0.25">
      <c r="A98" s="21" t="str">
        <f ca="1">IFERROR(__xludf.DUMMYFUNCTION("""COMPUTED_VALUE"""),"0014X00002VKCsdQAH")</f>
        <v>0014X00002VKCsdQAH</v>
      </c>
      <c r="B98" s="27" t="str">
        <f ca="1">IFERROR(__xludf.DUMMYFUNCTION("""COMPUTED_VALUE"""),"Fase Inicial")</f>
        <v>Fase Inicial</v>
      </c>
      <c r="C98" s="27" t="str">
        <f ca="1">IFERROR(__xludf.DUMMYFUNCTION("""COMPUTED_VALUE"""),"Fellow")</f>
        <v>Fellow</v>
      </c>
      <c r="D98" s="27" t="str">
        <f ca="1">IFERROR(__xludf.DUMMYFUNCTION("""COMPUTED_VALUE"""),"Ativo")</f>
        <v>Ativo</v>
      </c>
      <c r="E98" s="27" t="str">
        <f ca="1">IFERROR(__xludf.DUMMYFUNCTION("""COMPUTED_VALUE"""),"Associação Esportiva cultural e Educacional Instituto Igor Chatubinha")</f>
        <v>Associação Esportiva cultural e Educacional Instituto Igor Chatubinha</v>
      </c>
      <c r="F98" s="27" t="str">
        <f ca="1">IFERROR(__xludf.DUMMYFUNCTION("""COMPUTED_VALUE"""),"Igor")</f>
        <v>Igor</v>
      </c>
      <c r="G98" s="27" t="str">
        <f ca="1">IFERROR(__xludf.DUMMYFUNCTION("""COMPUTED_VALUE"""),"INSTITUTO IGOR CHATUBINHA")</f>
        <v>INSTITUTO IGOR CHATUBINHA</v>
      </c>
      <c r="H98" s="27"/>
      <c r="I98" s="27" t="str">
        <f ca="1">IFERROR(__xludf.DUMMYFUNCTION("""COMPUTED_VALUE"""),"Flávio Batista da Silva")</f>
        <v>Flávio Batista da Silva</v>
      </c>
      <c r="J98" s="27" t="str">
        <f ca="1">IFERROR(__xludf.DUMMYFUNCTION("""COMPUTED_VALUE"""),"institutoigorchatubinha@gmail.com")</f>
        <v>institutoigorchatubinha@gmail.com</v>
      </c>
      <c r="K98" s="27" t="str">
        <f ca="1">IFERROR(__xludf.DUMMYFUNCTION("""COMPUTED_VALUE"""),"(84)99443-6470")</f>
        <v>(84)99443-6470</v>
      </c>
      <c r="L98" s="27" t="str">
        <f ca="1">IFERROR(__xludf.DUMMYFUNCTION("""COMPUTED_VALUE"""),"RN")</f>
        <v>RN</v>
      </c>
      <c r="M98" s="27" t="str">
        <f ca="1">IFERROR(__xludf.DUMMYFUNCTION("""COMPUTED_VALUE"""),"Santa Paula")</f>
        <v>Santa Paula</v>
      </c>
      <c r="N98" s="27" t="str">
        <f ca="1">IFERROR(__xludf.DUMMYFUNCTION("""COMPUTED_VALUE"""),"Comunidade")</f>
        <v>Comunidade</v>
      </c>
      <c r="O98" s="27">
        <f ca="1">IFERROR(__xludf.DUMMYFUNCTION("""COMPUTED_VALUE"""),0)</f>
        <v>0</v>
      </c>
      <c r="P98" s="27" t="str">
        <f ca="1">IFERROR(__xludf.DUMMYFUNCTION("""COMPUTED_VALUE"""),"Ceará mirim")</f>
        <v>Ceará mirim</v>
      </c>
      <c r="Q98" s="27" t="str">
        <f ca="1">IFERROR(__xludf.DUMMYFUNCTION("""COMPUTED_VALUE"""),"Espaço cultural")</f>
        <v>Espaço cultural</v>
      </c>
      <c r="R98" s="27" t="str">
        <f ca="1">IFERROR(__xludf.DUMMYFUNCTION("""COMPUTED_VALUE"""),"59570-000")</f>
        <v>59570-000</v>
      </c>
      <c r="S98" s="27" t="str">
        <f ca="1">IFERROR(__xludf.DUMMYFUNCTION("""COMPUTED_VALUE"""),"Escolas e ginásio de esportes")</f>
        <v>Escolas e ginásio de esportes</v>
      </c>
      <c r="T98" s="27" t="str">
        <f ca="1">IFERROR(__xludf.DUMMYFUNCTION("""COMPUTED_VALUE"""),"Esporte")</f>
        <v>Esporte</v>
      </c>
      <c r="U98"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98" s="27" t="str">
        <f ca="1">IFERROR(__xludf.DUMMYFUNCTION("""COMPUTED_VALUE"""),"Moradores de Favelas, Comunidade rural")</f>
        <v>Moradores de Favelas, Comunidade rural</v>
      </c>
      <c r="W98" s="27">
        <f ca="1">IFERROR(__xludf.DUMMYFUNCTION("""COMPUTED_VALUE"""),4)</f>
        <v>4</v>
      </c>
      <c r="X98" s="27" t="str">
        <f ca="1">IFERROR(__xludf.DUMMYFUNCTION("""COMPUTED_VALUE"""),"Jovens e adultos da comunidade")</f>
        <v>Jovens e adultos da comunidade</v>
      </c>
      <c r="Y98" s="27"/>
      <c r="Z98" s="27">
        <f ca="1">IFERROR(__xludf.DUMMYFUNCTION("""COMPUTED_VALUE"""),0)</f>
        <v>0</v>
      </c>
      <c r="AA98" s="29">
        <f ca="1">IFERROR(__xludf.DUMMYFUNCTION("""COMPUTED_VALUE"""),37444)</f>
        <v>37444</v>
      </c>
      <c r="AB98" s="27" t="str">
        <f ca="1">IFERROR(__xludf.DUMMYFUNCTION("""COMPUTED_VALUE"""),"Não")</f>
        <v>Não</v>
      </c>
      <c r="AC98" s="27">
        <f ca="1">IFERROR(__xludf.DUMMYFUNCTION("""COMPUTED_VALUE"""),0)</f>
        <v>0</v>
      </c>
      <c r="AD98" s="27">
        <f ca="1">IFERROR(__xludf.DUMMYFUNCTION("""COMPUTED_VALUE"""),5)</f>
        <v>5</v>
      </c>
      <c r="AE98" s="27">
        <f ca="1">IFERROR(__xludf.DUMMYFUNCTION("""COMPUTED_VALUE"""),15)</f>
        <v>15</v>
      </c>
      <c r="AF98" s="27">
        <f ca="1">IFERROR(__xludf.DUMMYFUNCTION("""COMPUTED_VALUE"""),12)</f>
        <v>12</v>
      </c>
      <c r="AG98" s="27">
        <f ca="1">IFERROR(__xludf.DUMMYFUNCTION("""COMPUTED_VALUE"""),2)</f>
        <v>2</v>
      </c>
      <c r="AH98" s="27" t="str">
        <f ca="1">IFERROR(__xludf.DUMMYFUNCTION("""COMPUTED_VALUE"""),"Eventos/Ações para captação, Outro(s)")</f>
        <v>Eventos/Ações para captação, Outro(s)</v>
      </c>
      <c r="AI98" s="27">
        <f ca="1">IFERROR(__xludf.DUMMYFUNCTION("""COMPUTED_VALUE"""),2)</f>
        <v>2</v>
      </c>
      <c r="AJ98" s="27" t="str">
        <f ca="1">IFERROR(__xludf.DUMMYFUNCTION("""COMPUTED_VALUE"""),"Vamos iniciar esse ano")</f>
        <v>Vamos iniciar esse ano</v>
      </c>
      <c r="AK98" s="27"/>
      <c r="AL98" s="21" t="str">
        <f ca="1">IFERROR(__xludf.DUMMYFUNCTION("""COMPUTED_VALUE"""),"0034X0000380O3y")</f>
        <v>0034X0000380O3y</v>
      </c>
      <c r="AM98" s="27" t="str">
        <f ca="1">IFERROR(__xludf.DUMMYFUNCTION("""COMPUTED_VALUE"""),"Veiga fernandes")</f>
        <v>Veiga fernandes</v>
      </c>
      <c r="AN98" s="27" t="str">
        <f ca="1">IFERROR(__xludf.DUMMYFUNCTION("""COMPUTED_VALUE"""),"Ativo")</f>
        <v>Ativo</v>
      </c>
      <c r="AO98" s="29">
        <f ca="1">IFERROR(__xludf.DUMMYFUNCTION("""COMPUTED_VALUE"""),44763)</f>
        <v>44763</v>
      </c>
      <c r="AP98" s="27">
        <f ca="1">IFERROR(__xludf.DUMMYFUNCTION("""COMPUTED_VALUE"""),2)</f>
        <v>2</v>
      </c>
      <c r="AQ98" s="27" t="str">
        <f ca="1">IFERROR(__xludf.DUMMYFUNCTION("""COMPUTED_VALUE"""),"Primeiro Semestre 2022")</f>
        <v>Primeiro Semestre 2022</v>
      </c>
      <c r="AR98" s="27" t="str">
        <f ca="1">IFERROR(__xludf.DUMMYFUNCTION("""COMPUTED_VALUE"""),"igorfernandes586@yahoo.com.br")</f>
        <v>igorfernandes586@yahoo.com.br</v>
      </c>
      <c r="AS98" s="27" t="str">
        <f ca="1">IFERROR(__xludf.DUMMYFUNCTION("""COMPUTED_VALUE"""),"(21)97908-4032")</f>
        <v>(21)97908-4032</v>
      </c>
      <c r="AT98" s="30">
        <f ca="1">IFERROR(__xludf.DUMMYFUNCTION("""COMPUTED_VALUE"""),32476)</f>
        <v>32476</v>
      </c>
      <c r="AU98" s="27">
        <f ca="1">IFERROR(__xludf.DUMMYFUNCTION("""COMPUTED_VALUE"""),34)</f>
        <v>34</v>
      </c>
      <c r="AV98" s="27">
        <f ca="1">IFERROR(__xludf.DUMMYFUNCTION("""COMPUTED_VALUE"""),12720833738)</f>
        <v>12720833738</v>
      </c>
      <c r="AW98" s="27">
        <f ca="1">IFERROR(__xludf.DUMMYFUNCTION("""COMPUTED_VALUE"""),209894849)</f>
        <v>209894849</v>
      </c>
      <c r="AX98" s="27"/>
      <c r="AY98" s="27" t="str">
        <f ca="1">IFERROR(__xludf.DUMMYFUNCTION("""COMPUTED_VALUE"""),"Dono")</f>
        <v>Dono</v>
      </c>
      <c r="AZ98" s="27" t="str">
        <f ca="1">IFERROR(__xludf.DUMMYFUNCTION("""COMPUTED_VALUE"""),"GG")</f>
        <v>GG</v>
      </c>
      <c r="BA98" s="27" t="str">
        <f ca="1">IFERROR(__xludf.DUMMYFUNCTION("""COMPUTED_VALUE"""),"Branca")</f>
        <v>Branca</v>
      </c>
      <c r="BB98" s="27"/>
      <c r="BC98" s="27"/>
      <c r="BD98" s="27" t="str">
        <f ca="1">IFERROR(__xludf.DUMMYFUNCTION("""COMPUTED_VALUE"""),"Sou Ígor Veiga Fernandes conhecido no mundo da luta como Igor Chatubinha , faixa preta , 1º dan de luta livre.
Iniciei em projeto social com nove anos de idade e a cada dia a luta foi transformando a minha vida, O tempo que eu dedicava ao esporte era tamb"&amp;"ém um tempo onde aprendi a valores, O esporte fez com que eu não trilhasse caminhos errados.Hoje viva incansável luta de proporcionar a criança e adolescente do complexo da Penha e suas famílias uma nova perspectiva de vida .")</f>
        <v>Sou Ígor Veiga Fernandes conhecido no mundo da luta como Igor Chatubinha , faixa preta , 1º dan de luta livre.
Iniciei em projeto social com nove anos de idade e a cada dia a luta foi transformando a minha vida, O tempo que eu dedicava ao esporte era também um tempo onde aprendi a valores, O esporte fez com que eu não trilhasse caminhos errados.Hoje viva incansável luta de proporcionar a criança e adolescente do complexo da Penha e suas famílias uma nova perspectiva de vida .</v>
      </c>
      <c r="BE98" s="27" t="str">
        <f ca="1">IFERROR(__xludf.DUMMYFUNCTION("""COMPUTED_VALUE"""),"Homem, cisgênero")</f>
        <v>Homem, cisgênero</v>
      </c>
      <c r="BF98" s="27" t="str">
        <f ca="1">IFERROR(__xludf.DUMMYFUNCTION("""COMPUTED_VALUE"""),"Heterossexual")</f>
        <v>Heterossexual</v>
      </c>
      <c r="BG98" s="27" t="str">
        <f ca="1">IFERROR(__xludf.DUMMYFUNCTION("""COMPUTED_VALUE"""),"Ensino Médio - Completo")</f>
        <v>Ensino Médio - Completo</v>
      </c>
      <c r="BH98" s="27" t="str">
        <f ca="1">IFERROR(__xludf.DUMMYFUNCTION("""COMPUTED_VALUE"""),"Público")</f>
        <v>Público</v>
      </c>
      <c r="BI98" s="27"/>
      <c r="BJ98" s="27"/>
      <c r="BK98" s="27" t="str">
        <f ca="1">IFERROR(__xludf.DUMMYFUNCTION("""COMPUTED_VALUE"""),"avenida Brás de pina")</f>
        <v>avenida Brás de pina</v>
      </c>
      <c r="BL98" s="27">
        <f ca="1">IFERROR(__xludf.DUMMYFUNCTION("""COMPUTED_VALUE"""),685)</f>
        <v>685</v>
      </c>
      <c r="BM98" s="27" t="str">
        <f ca="1">IFERROR(__xludf.DUMMYFUNCTION("""COMPUTED_VALUE"""),"Apartamento 303")</f>
        <v>Apartamento 303</v>
      </c>
      <c r="BN98" s="27" t="str">
        <f ca="1">IFERROR(__xludf.DUMMYFUNCTION("""COMPUTED_VALUE"""),"Rio de Janeiro")</f>
        <v>Rio de Janeiro</v>
      </c>
      <c r="BO98" s="27" t="str">
        <f ca="1">IFERROR(__xludf.DUMMYFUNCTION("""COMPUTED_VALUE"""),"21210-673")</f>
        <v>21210-673</v>
      </c>
      <c r="BP98" s="27" t="str">
        <f ca="1">IFERROR(__xludf.DUMMYFUNCTION("""COMPUTED_VALUE"""),"RJ")</f>
        <v>RJ</v>
      </c>
      <c r="BQ98" s="27" t="str">
        <f ca="1">IFERROR(__xludf.DUMMYFUNCTION("""COMPUTED_VALUE"""),"Entre 1 até 3 salários mínimos")</f>
        <v>Entre 1 até 3 salários mínimos</v>
      </c>
      <c r="BR98" s="27" t="str">
        <f ca="1">IFERROR(__xludf.DUMMYFUNCTION("""COMPUTED_VALUE"""),"Trabalho informal")</f>
        <v>Trabalho informal</v>
      </c>
      <c r="BS98" s="27" t="str">
        <f ca="1">IFERROR(__xludf.DUMMYFUNCTION("""COMPUTED_VALUE"""),"Aluguel")</f>
        <v>Aluguel</v>
      </c>
      <c r="BT98" s="27">
        <f ca="1">IFERROR(__xludf.DUMMYFUNCTION("""COMPUTED_VALUE"""),3)</f>
        <v>3</v>
      </c>
      <c r="BU98" s="27" t="str">
        <f ca="1">IFERROR(__xludf.DUMMYFUNCTION("""COMPUTED_VALUE"""),"Não tem")</f>
        <v>Não tem</v>
      </c>
      <c r="BV98" s="27" t="str">
        <f ca="1">IFERROR(__xludf.DUMMYFUNCTION("""COMPUTED_VALUE"""),"Não")</f>
        <v>Não</v>
      </c>
      <c r="BW98" s="27"/>
      <c r="BX98" s="21" t="str">
        <f ca="1">IFERROR(__xludf.DUMMYFUNCTION("""COMPUTED_VALUE"""),"https://instagram.com/igorchatubinha?igshid=YmMyMTA2M2Y=")</f>
        <v>https://instagram.com/igorchatubinha?igshid=YmMyMTA2M2Y=</v>
      </c>
      <c r="BY98" s="21" t="str">
        <f ca="1">IFERROR(__xludf.DUMMYFUNCTION("""COMPUTED_VALUE"""),"https://drive.google.com/open?id=15OtN6zsJgny46ska-ahOvVZaNPHSlklt")</f>
        <v>https://drive.google.com/open?id=15OtN6zsJgny46ska-ahOvVZaNPHSlklt</v>
      </c>
    </row>
    <row r="99" spans="1:77" ht="12.5" hidden="1" x14ac:dyDescent="0.25">
      <c r="A99" s="21" t="str">
        <f ca="1">IFERROR(__xludf.DUMMYFUNCTION("""COMPUTED_VALUE"""),"0014P00003AN2GJQA1")</f>
        <v>0014P00003AN2GJQA1</v>
      </c>
      <c r="B99" s="27" t="str">
        <f ca="1">IFERROR(__xludf.DUMMYFUNCTION("""COMPUTED_VALUE"""),"Fase Estruturação")</f>
        <v>Fase Estruturação</v>
      </c>
      <c r="C99" s="27" t="str">
        <f ca="1">IFERROR(__xludf.DUMMYFUNCTION("""COMPUTED_VALUE"""),"Acelerada")</f>
        <v>Acelerada</v>
      </c>
      <c r="D99" s="27" t="str">
        <f ca="1">IFERROR(__xludf.DUMMYFUNCTION("""COMPUTED_VALUE"""),"Ativo")</f>
        <v>Ativo</v>
      </c>
      <c r="E99" s="27" t="str">
        <f ca="1">IFERROR(__xludf.DUMMYFUNCTION("""COMPUTED_VALUE"""),"Associação Esportiva Cultural e e Educacional Abraço Campeão")</f>
        <v>Associação Esportiva Cultural e e Educacional Abraço Campeão</v>
      </c>
      <c r="F99" s="27" t="str">
        <f ca="1">IFERROR(__xludf.DUMMYFUNCTION("""COMPUTED_VALUE"""),"Alan")</f>
        <v>Alan</v>
      </c>
      <c r="G99" s="27" t="str">
        <f ca="1">IFERROR(__xludf.DUMMYFUNCTION("""COMPUTED_VALUE"""),"ABRAÇO CAMPEÃO")</f>
        <v>ABRAÇO CAMPEÃO</v>
      </c>
      <c r="H99" s="27" t="str">
        <f ca="1">IFERROR(__xludf.DUMMYFUNCTION("""COMPUTED_VALUE"""),"21.218.528/0001-50")</f>
        <v>21.218.528/0001-50</v>
      </c>
      <c r="I99" s="27"/>
      <c r="J99" s="27" t="str">
        <f ca="1">IFERROR(__xludf.DUMMYFUNCTION("""COMPUTED_VALUE"""),"abracocampeao@gmail.com")</f>
        <v>abracocampeao@gmail.com</v>
      </c>
      <c r="K99" s="27" t="str">
        <f ca="1">IFERROR(__xludf.DUMMYFUNCTION("""COMPUTED_VALUE"""),"(21)9689-29016")</f>
        <v>(21)9689-29016</v>
      </c>
      <c r="L99" s="27" t="str">
        <f ca="1">IFERROR(__xludf.DUMMYFUNCTION("""COMPUTED_VALUE"""),"RJ")</f>
        <v>RJ</v>
      </c>
      <c r="M99" s="27" t="str">
        <f ca="1">IFERROR(__xludf.DUMMYFUNCTION("""COMPUTED_VALUE"""),"Rua ozeias mota 48")</f>
        <v>Rua ozeias mota 48</v>
      </c>
      <c r="N99" s="27"/>
      <c r="O99" s="27" t="str">
        <f ca="1">IFERROR(__xludf.DUMMYFUNCTION("""COMPUTED_VALUE"""),"(21)96892-9016")</f>
        <v>(21)96892-9016</v>
      </c>
      <c r="P99" s="27" t="str">
        <f ca="1">IFERROR(__xludf.DUMMYFUNCTION("""COMPUTED_VALUE"""),"Rio de janeiro")</f>
        <v>Rio de janeiro</v>
      </c>
      <c r="Q99" s="27"/>
      <c r="R99" s="27" t="str">
        <f ca="1">IFERROR(__xludf.DUMMYFUNCTION("""COMPUTED_VALUE"""),"21061-050")</f>
        <v>21061-050</v>
      </c>
      <c r="S99" s="27" t="str">
        <f ca="1">IFERROR(__xludf.DUMMYFUNCTION("""COMPUTED_VALUE"""),"R. Ardiria 119 - Olaria Rio de Janeiro - RJ 21071-030 ( konteiner )")</f>
        <v>R. Ardiria 119 - Olaria Rio de Janeiro - RJ 21071-030 ( konteiner )</v>
      </c>
      <c r="T99" s="27" t="str">
        <f ca="1">IFERROR(__xludf.DUMMYFUNCTION("""COMPUTED_VALUE"""),"Esporte; Educação; Empregabilidade; Assistência Social; Qualificação Profissional; Defesa de Direitos; Assistência Psicológica")</f>
        <v>Esporte; Educação; Empregabilidade; Assistência Social; Qualificação Profissional; Defesa de Direitos; Assistência Psicológica</v>
      </c>
      <c r="U99" s="27" t="str">
        <f ca="1">IFERROR(__xludf.DUMMYFUNCTION("""COMPUTED_VALUE"""),"Crianças (6 a 12 anos); Adolescentes (12 aos 18 anos); Jovens (18 aos 24 anos); Adultos")</f>
        <v>Crianças (6 a 12 anos); Adolescentes (12 aos 18 anos); Jovens (18 aos 24 anos); Adultos</v>
      </c>
      <c r="V99" s="27" t="str">
        <f ca="1">IFERROR(__xludf.DUMMYFUNCTION("""COMPUTED_VALUE"""),"Moradores de Favelas; Pessoas em situação de rua; População LGBTQ+; Afrodescendentes")</f>
        <v>Moradores de Favelas; Pessoas em situação de rua; População LGBTQ+; Afrodescendentes</v>
      </c>
      <c r="W99" s="27">
        <f ca="1">IFERROR(__xludf.DUMMYFUNCTION("""COMPUTED_VALUE"""),2)</f>
        <v>2</v>
      </c>
      <c r="X99" s="27"/>
      <c r="Y99" s="27"/>
      <c r="Z99" s="27"/>
      <c r="AA99" s="30">
        <f ca="1">IFERROR(__xludf.DUMMYFUNCTION("""COMPUTED_VALUE"""),41922)</f>
        <v>41922</v>
      </c>
      <c r="AB99" s="27" t="str">
        <f ca="1">IFERROR(__xludf.DUMMYFUNCTION("""COMPUTED_VALUE"""),"Sim")</f>
        <v>Sim</v>
      </c>
      <c r="AC99" s="27">
        <f ca="1">IFERROR(__xludf.DUMMYFUNCTION("""COMPUTED_VALUE"""),10)</f>
        <v>10</v>
      </c>
      <c r="AD99" s="27">
        <f ca="1">IFERROR(__xludf.DUMMYFUNCTION("""COMPUTED_VALUE"""),7)</f>
        <v>7</v>
      </c>
      <c r="AE99" s="27">
        <f ca="1">IFERROR(__xludf.DUMMYFUNCTION("""COMPUTED_VALUE"""),3)</f>
        <v>3</v>
      </c>
      <c r="AF99" s="27">
        <f ca="1">IFERROR(__xludf.DUMMYFUNCTION("""COMPUTED_VALUE"""),3)</f>
        <v>3</v>
      </c>
      <c r="AG99" s="27">
        <f ca="1">IFERROR(__xludf.DUMMYFUNCTION("""COMPUTED_VALUE"""),2)</f>
        <v>2</v>
      </c>
      <c r="AH99" s="27" t="str">
        <f ca="1">IFERROR(__xludf.DUMMYFUNCTION("""COMPUTED_VALUE"""),"Lei de Incentivo; Eventos/Ações para captação; Plataforma doação online - Pessoa Física; Parceria iniciativa privada; Editais; Doações; Lei Estadual da Cultura; Lei Estadual do Esporte; Lei Federal do Esporte; Recursos próprios")</f>
        <v>Lei de Incentivo; Eventos/Ações para captação; Plataforma doação online - Pessoa Física; Parceria iniciativa privada; Editais; Doações; Lei Estadual da Cultura; Lei Estadual do Esporte; Lei Federal do Esporte; Recursos próprios</v>
      </c>
      <c r="AI99" s="27" t="str">
        <f ca="1">IFERROR(__xludf.DUMMYFUNCTION("""COMPUTED_VALUE"""),"Doações On Line: 10% Negocios sociais : 0 Convenio publico : 0 projetos e empresas 90%")</f>
        <v>Doações On Line: 10% Negocios sociais : 0 Convenio publico : 0 projetos e empresas 90%</v>
      </c>
      <c r="AJ99" s="27" t="str">
        <f ca="1">IFERROR(__xludf.DUMMYFUNCTION("""COMPUTED_VALUE"""),"Não")</f>
        <v>Não</v>
      </c>
      <c r="AK99" s="27" t="str">
        <f ca="1">IFERROR(__xludf.DUMMYFUNCTION("""COMPUTED_VALUE"""),"Não")</f>
        <v>Não</v>
      </c>
      <c r="AL99" s="21" t="str">
        <f ca="1">IFERROR(__xludf.DUMMYFUNCTION("""COMPUTED_VALUE"""),"0034P00003maBVo")</f>
        <v>0034P00003maBVo</v>
      </c>
      <c r="AM99" s="27" t="str">
        <f ca="1">IFERROR(__xludf.DUMMYFUNCTION("""COMPUTED_VALUE"""),"Luiz Duarte")</f>
        <v>Luiz Duarte</v>
      </c>
      <c r="AN99" s="27" t="str">
        <f ca="1">IFERROR(__xludf.DUMMYFUNCTION("""COMPUTED_VALUE"""),"Ativo")</f>
        <v>Ativo</v>
      </c>
      <c r="AO99" s="29">
        <f ca="1">IFERROR(__xludf.DUMMYFUNCTION("""COMPUTED_VALUE"""),44075)</f>
        <v>44075</v>
      </c>
      <c r="AP99" s="27">
        <f ca="1">IFERROR(__xludf.DUMMYFUNCTION("""COMPUTED_VALUE"""),24)</f>
        <v>24</v>
      </c>
      <c r="AQ99" s="27" t="str">
        <f ca="1">IFERROR(__xludf.DUMMYFUNCTION("""COMPUTED_VALUE"""),"Primeiro Semestre 2020")</f>
        <v>Primeiro Semestre 2020</v>
      </c>
      <c r="AR99" s="27" t="str">
        <f ca="1">IFERROR(__xludf.DUMMYFUNCTION("""COMPUTED_VALUE"""),"alanduartegerandofalcoes@gmail.com")</f>
        <v>alanduartegerandofalcoes@gmail.com</v>
      </c>
      <c r="AS99" s="27" t="str">
        <f ca="1">IFERROR(__xludf.DUMMYFUNCTION("""COMPUTED_VALUE"""),"(21)96892-9016")</f>
        <v>(21)96892-9016</v>
      </c>
      <c r="AT99" s="29">
        <f ca="1">IFERROR(__xludf.DUMMYFUNCTION("""COMPUTED_VALUE"""),32177)</f>
        <v>32177</v>
      </c>
      <c r="AU99" s="27">
        <f ca="1">IFERROR(__xludf.DUMMYFUNCTION("""COMPUTED_VALUE"""),34)</f>
        <v>34</v>
      </c>
      <c r="AV99" s="27">
        <f ca="1">IFERROR(__xludf.DUMMYFUNCTION("""COMPUTED_VALUE"""),13059740771)</f>
        <v>13059740771</v>
      </c>
      <c r="AW99" s="27">
        <f ca="1">IFERROR(__xludf.DUMMYFUNCTION("""COMPUTED_VALUE"""),239966807)</f>
        <v>239966807</v>
      </c>
      <c r="AX99" s="27" t="str">
        <f ca="1">IFERROR(__xludf.DUMMYFUNCTION("""COMPUTED_VALUE"""),"Educação Física")</f>
        <v>Educação Física</v>
      </c>
      <c r="AY99" s="27"/>
      <c r="AZ99" s="27" t="str">
        <f ca="1">IFERROR(__xludf.DUMMYFUNCTION("""COMPUTED_VALUE"""),"XG")</f>
        <v>XG</v>
      </c>
      <c r="BA99" s="27"/>
      <c r="BB99" s="27"/>
      <c r="BC99" s="27" t="str">
        <f ca="1">IFERROR(__xludf.DUMMYFUNCTION("""COMPUTED_VALUE"""),"Sim")</f>
        <v>Sim</v>
      </c>
      <c r="BD99" s="27" t="str">
        <f ca="1">IFERROR(__xludf.DUMMYFUNCTION("""COMPUTED_VALUE"""),"Alan Duarte, nasceu e cresceu no Complexo do Alemão. Sua infância e adolescência foi marcada por uma guerra intensa entre gangues rivais, polícia e BOPE. Os inúmeros tiroteios pelo qual ele passou muitas vezes mataram amigos e familiares, além daqueles qu"&amp;"e se envolveram diretamente com o crime. O aliciamento de crianças e jovens pelo tráfico sempre foi muito forte. Ao ter sua vida transformada por um projeto social que usou a luta, Alan resolveu trazer o mesmo benefício para sua comunidade.")</f>
        <v>Alan Duarte, nasceu e cresceu no Complexo do Alemão. Sua infância e adolescência foi marcada por uma guerra intensa entre gangues rivais, polícia e BOPE. Os inúmeros tiroteios pelo qual ele passou muitas vezes mataram amigos e familiares, além daqueles que se envolveram diretamente com o crime. O aliciamento de crianças e jovens pelo tráfico sempre foi muito forte. Ao ter sua vida transformada por um projeto social que usou a luta, Alan resolveu trazer o mesmo benefício para sua comunidade.</v>
      </c>
      <c r="BE99" s="27" t="str">
        <f ca="1">IFERROR(__xludf.DUMMYFUNCTION("""COMPUTED_VALUE"""),"Masculino")</f>
        <v>Masculino</v>
      </c>
      <c r="BF99" s="27"/>
      <c r="BG99" s="27" t="str">
        <f ca="1">IFERROR(__xludf.DUMMYFUNCTION("""COMPUTED_VALUE"""),"Ensino Superior - Incompleto")</f>
        <v>Ensino Superior - Incompleto</v>
      </c>
      <c r="BH99" s="27"/>
      <c r="BI99" s="27" t="str">
        <f ca="1">IFERROR(__xludf.DUMMYFUNCTION("""COMPUTED_VALUE"""),"Graduação")</f>
        <v>Graduação</v>
      </c>
      <c r="BJ99" s="27" t="str">
        <f ca="1">IFERROR(__xludf.DUMMYFUNCTION("""COMPUTED_VALUE"""),"Privado")</f>
        <v>Privado</v>
      </c>
      <c r="BK99" s="27" t="str">
        <f ca="1">IFERROR(__xludf.DUMMYFUNCTION("""COMPUTED_VALUE"""),"Av itaoca")</f>
        <v>Av itaoca</v>
      </c>
      <c r="BL99" s="27">
        <f ca="1">IFERROR(__xludf.DUMMYFUNCTION("""COMPUTED_VALUE"""),339)</f>
        <v>339</v>
      </c>
      <c r="BM99" s="27" t="str">
        <f ca="1">IFERROR(__xludf.DUMMYFUNCTION("""COMPUTED_VALUE"""),"sobrado")</f>
        <v>sobrado</v>
      </c>
      <c r="BN99" s="27" t="str">
        <f ca="1">IFERROR(__xludf.DUMMYFUNCTION("""COMPUTED_VALUE"""),"Rio de janeiro")</f>
        <v>Rio de janeiro</v>
      </c>
      <c r="BO99" s="27" t="str">
        <f ca="1">IFERROR(__xludf.DUMMYFUNCTION("""COMPUTED_VALUE"""),"21061-771")</f>
        <v>21061-771</v>
      </c>
      <c r="BP99" s="27" t="str">
        <f ca="1">IFERROR(__xludf.DUMMYFUNCTION("""COMPUTED_VALUE"""),"RJ")</f>
        <v>RJ</v>
      </c>
      <c r="BQ99" s="27" t="str">
        <f ca="1">IFERROR(__xludf.DUMMYFUNCTION("""COMPUTED_VALUE"""),"De 3 até 5 salários mínimos")</f>
        <v>De 3 até 5 salários mínimos</v>
      </c>
      <c r="BR99" s="27" t="str">
        <f ca="1">IFERROR(__xludf.DUMMYFUNCTION("""COMPUTED_VALUE"""),"CLT; MEI")</f>
        <v>CLT; MEI</v>
      </c>
      <c r="BS99" s="27" t="str">
        <f ca="1">IFERROR(__xludf.DUMMYFUNCTION("""COMPUTED_VALUE"""),"Aluguel")</f>
        <v>Aluguel</v>
      </c>
      <c r="BT99" s="27">
        <f ca="1">IFERROR(__xludf.DUMMYFUNCTION("""COMPUTED_VALUE"""),3)</f>
        <v>3</v>
      </c>
      <c r="BU99" s="27"/>
      <c r="BV99" s="27"/>
      <c r="BW99" s="21" t="str">
        <f ca="1">IFERROR(__xludf.DUMMYFUNCTION("""COMPUTED_VALUE"""),"https://www.linkedin.com/feed/?trk=BR-SEM_google-adwords_Jordan-brand-sign-up")</f>
        <v>https://www.linkedin.com/feed/?trk=BR-SEM_google-adwords_Jordan-brand-sign-up</v>
      </c>
      <c r="BX99" s="27" t="str">
        <f ca="1">IFERROR(__xludf.DUMMYFUNCTION("""COMPUTED_VALUE"""),"@alanluizduarte")</f>
        <v>@alanluizduarte</v>
      </c>
      <c r="BY99" s="21" t="str">
        <f ca="1">IFERROR(__xludf.DUMMYFUNCTION("""COMPUTED_VALUE"""),"https://drive.google.com/open?id=1h1qlCUFI58Js3zwIeCCbE0rzom-YW0cT")</f>
        <v>https://drive.google.com/open?id=1h1qlCUFI58Js3zwIeCCbE0rzom-YW0cT</v>
      </c>
    </row>
    <row r="100" spans="1:77" ht="12.5" x14ac:dyDescent="0.25">
      <c r="A100" s="21" t="str">
        <f ca="1">IFERROR(__xludf.DUMMYFUNCTION("""COMPUTED_VALUE"""),"0014P00003AN2FfQAL")</f>
        <v>0014P00003AN2FfQAL</v>
      </c>
      <c r="B100" s="27" t="str">
        <f ca="1">IFERROR(__xludf.DUMMYFUNCTION("""COMPUTED_VALUE"""),"Fase Inicial")</f>
        <v>Fase Inicial</v>
      </c>
      <c r="C100" s="27" t="str">
        <f ca="1">IFERROR(__xludf.DUMMYFUNCTION("""COMPUTED_VALUE"""),"Fellow")</f>
        <v>Fellow</v>
      </c>
      <c r="D100" s="27" t="str">
        <f ca="1">IFERROR(__xludf.DUMMYFUNCTION("""COMPUTED_VALUE"""),"Ativo")</f>
        <v>Ativo</v>
      </c>
      <c r="E100" s="27" t="str">
        <f ca="1">IFERROR(__xludf.DUMMYFUNCTION("""COMPUTED_VALUE"""),"ASSOCIACAO ESPORTIVA TRANSFORMACAO")</f>
        <v>ASSOCIACAO ESPORTIVA TRANSFORMACAO</v>
      </c>
      <c r="F100" s="27" t="str">
        <f ca="1">IFERROR(__xludf.DUMMYFUNCTION("""COMPUTED_VALUE"""),"Marcus")</f>
        <v>Marcus</v>
      </c>
      <c r="G100" s="27" t="str">
        <f ca="1">IFERROR(__xludf.DUMMYFUNCTION("""COMPUTED_VALUE"""),"TRANSFORMACAO")</f>
        <v>TRANSFORMACAO</v>
      </c>
      <c r="H100" s="27" t="str">
        <f ca="1">IFERROR(__xludf.DUMMYFUNCTION("""COMPUTED_VALUE"""),"43.060.820/0001-81")</f>
        <v>43.060.820/0001-81</v>
      </c>
      <c r="I100" s="27" t="str">
        <f ca="1">IFERROR(__xludf.DUMMYFUNCTION("""COMPUTED_VALUE"""),"Marcus Vinicius Do Nascimento")</f>
        <v>Marcus Vinicius Do Nascimento</v>
      </c>
      <c r="J100" s="27" t="str">
        <f ca="1">IFERROR(__xludf.DUMMYFUNCTION("""COMPUTED_VALUE"""),"transformacao.tsc@hotmail.com")</f>
        <v>transformacao.tsc@hotmail.com</v>
      </c>
      <c r="K100" s="27" t="str">
        <f ca="1">IFERROR(__xludf.DUMMYFUNCTION("""COMPUTED_VALUE"""),"(31)97507-3440")</f>
        <v>(31)97507-3440</v>
      </c>
      <c r="L100" s="27" t="str">
        <f ca="1">IFERROR(__xludf.DUMMYFUNCTION("""COMPUTED_VALUE"""),"MG")</f>
        <v>MG</v>
      </c>
      <c r="M100" s="27" t="str">
        <f ca="1">IFERROR(__xludf.DUMMYFUNCTION("""COMPUTED_VALUE"""),"Rua serenata 14")</f>
        <v>Rua serenata 14</v>
      </c>
      <c r="N100" s="27" t="str">
        <f ca="1">IFERROR(__xludf.DUMMYFUNCTION("""COMPUTED_VALUE"""),"serra")</f>
        <v>serra</v>
      </c>
      <c r="O100" s="27" t="str">
        <f ca="1">IFERROR(__xludf.DUMMYFUNCTION("""COMPUTED_VALUE"""),"(31)97507-3440")</f>
        <v>(31)97507-3440</v>
      </c>
      <c r="P100" s="27" t="str">
        <f ca="1">IFERROR(__xludf.DUMMYFUNCTION("""COMPUTED_VALUE"""),"Belo Horizonte")</f>
        <v>Belo Horizonte</v>
      </c>
      <c r="Q100" s="27" t="str">
        <f ca="1">IFERROR(__xludf.DUMMYFUNCTION("""COMPUTED_VALUE"""),"casa")</f>
        <v>casa</v>
      </c>
      <c r="R100" s="27" t="str">
        <f ca="1">IFERROR(__xludf.DUMMYFUNCTION("""COMPUTED_VALUE"""),"30250-000")</f>
        <v>30250-000</v>
      </c>
      <c r="S100" s="27" t="str">
        <f ca="1">IFERROR(__xludf.DUMMYFUNCTION("""COMPUTED_VALUE"""),"Rua Castelo Novo 1001 - Santa Efigênia Belo Horizonte - MG 30260-380 
Praça do Cafezal - Santana do Cafezal
Belo Horizonte - MG
30260-600
R. Dr. Camilo 578 - Serra Belo Horizonte - MG 30240-090")</f>
        <v>Rua Castelo Novo 1001 - Santa Efigênia Belo Horizonte - MG 30260-380 
Praça do Cafezal - Santana do Cafezal
Belo Horizonte - MG
30260-600
R. Dr. Camilo 578 - Serra Belo Horizonte - MG 30240-090</v>
      </c>
      <c r="T100" s="27" t="str">
        <f ca="1">IFERROR(__xludf.DUMMYFUNCTION("""COMPUTED_VALUE"""),"Esporte; Educação; Empregabilidade; Assistência Social; Qualificação Profissional; Empreendedorismo; Negócios Sociais; Assistência Psicológica")</f>
        <v>Esporte; Educação; Empregabilidade; Assistência Social; Qualificação Profissional; Empreendedorismo; Negócios Sociais; Assistência Psicológica</v>
      </c>
      <c r="U100" s="27" t="str">
        <f ca="1">IFERROR(__xludf.DUMMYFUNCTION("""COMPUTED_VALUE"""),"Crianças (6 a 12 anos); Adolescentes (12 aos 18 anos)")</f>
        <v>Crianças (6 a 12 anos); Adolescentes (12 aos 18 anos)</v>
      </c>
      <c r="V100" s="27" t="str">
        <f ca="1">IFERROR(__xludf.DUMMYFUNCTION("""COMPUTED_VALUE"""),"Moradores de Favelas; Afrodescendentes")</f>
        <v>Moradores de Favelas; Afrodescendentes</v>
      </c>
      <c r="W100" s="27">
        <f ca="1">IFERROR(__xludf.DUMMYFUNCTION("""COMPUTED_VALUE"""),8)</f>
        <v>8</v>
      </c>
      <c r="X100" s="27"/>
      <c r="Y100" s="27">
        <f ca="1">IFERROR(__xludf.DUMMYFUNCTION("""COMPUTED_VALUE"""),230)</f>
        <v>230</v>
      </c>
      <c r="Z100" s="27">
        <f ca="1">IFERROR(__xludf.DUMMYFUNCTION("""COMPUTED_VALUE"""),700)</f>
        <v>700</v>
      </c>
      <c r="AA100" s="29">
        <f ca="1">IFERROR(__xludf.DUMMYFUNCTION("""COMPUTED_VALUE"""),42129)</f>
        <v>42129</v>
      </c>
      <c r="AB100" s="27" t="str">
        <f ca="1">IFERROR(__xludf.DUMMYFUNCTION("""COMPUTED_VALUE"""),"Sim")</f>
        <v>Sim</v>
      </c>
      <c r="AC100" s="27">
        <f ca="1">IFERROR(__xludf.DUMMYFUNCTION("""COMPUTED_VALUE"""),0)</f>
        <v>0</v>
      </c>
      <c r="AD100" s="27">
        <f ca="1">IFERROR(__xludf.DUMMYFUNCTION("""COMPUTED_VALUE"""),0)</f>
        <v>0</v>
      </c>
      <c r="AE100" s="27">
        <f ca="1">IFERROR(__xludf.DUMMYFUNCTION("""COMPUTED_VALUE"""),4)</f>
        <v>4</v>
      </c>
      <c r="AF100" s="27">
        <f ca="1">IFERROR(__xludf.DUMMYFUNCTION("""COMPUTED_VALUE"""),9)</f>
        <v>9</v>
      </c>
      <c r="AG100" s="27">
        <f ca="1">IFERROR(__xludf.DUMMYFUNCTION("""COMPUTED_VALUE"""),1)</f>
        <v>1</v>
      </c>
      <c r="AH100" s="27" t="str">
        <f ca="1">IFERROR(__xludf.DUMMYFUNCTION("""COMPUTED_VALUE"""),"Negócio Social; Eventos/Ações para captação; Parceria iniciativa privada; Recursos próprios")</f>
        <v>Negócio Social; Eventos/Ações para captação; Parceria iniciativa privada; Recursos próprios</v>
      </c>
      <c r="AI100" s="27" t="str">
        <f ca="1">IFERROR(__xludf.DUMMYFUNCTION("""COMPUTED_VALUE"""),"100% eventos e acoes para captcao")</f>
        <v>100% eventos e acoes para captcao</v>
      </c>
      <c r="AJ100" s="27" t="str">
        <f ca="1">IFERROR(__xludf.DUMMYFUNCTION("""COMPUTED_VALUE"""),"Não")</f>
        <v>Não</v>
      </c>
      <c r="AK100" s="27" t="str">
        <f ca="1">IFERROR(__xludf.DUMMYFUNCTION("""COMPUTED_VALUE"""),"Não")</f>
        <v>Não</v>
      </c>
      <c r="AL100" s="21" t="str">
        <f ca="1">IFERROR(__xludf.DUMMYFUNCTION("""COMPUTED_VALUE"""),"0034P00003maBV5")</f>
        <v>0034P00003maBV5</v>
      </c>
      <c r="AM100" s="27" t="str">
        <f ca="1">IFERROR(__xludf.DUMMYFUNCTION("""COMPUTED_VALUE"""),"Vinicius Do Nascimento")</f>
        <v>Vinicius Do Nascimento</v>
      </c>
      <c r="AN100" s="27" t="str">
        <f ca="1">IFERROR(__xludf.DUMMYFUNCTION("""COMPUTED_VALUE"""),"Ativo")</f>
        <v>Ativo</v>
      </c>
      <c r="AO100" s="29">
        <f ca="1">IFERROR(__xludf.DUMMYFUNCTION("""COMPUTED_VALUE"""),44239)</f>
        <v>44239</v>
      </c>
      <c r="AP100" s="27">
        <f ca="1">IFERROR(__xludf.DUMMYFUNCTION("""COMPUTED_VALUE"""),19)</f>
        <v>19</v>
      </c>
      <c r="AQ100" s="27" t="str">
        <f ca="1">IFERROR(__xludf.DUMMYFUNCTION("""COMPUTED_VALUE"""),"Primeiro Semestre 2021")</f>
        <v>Primeiro Semestre 2021</v>
      </c>
      <c r="AR100" s="27" t="str">
        <f ca="1">IFERROR(__xludf.DUMMYFUNCTION("""COMPUTED_VALUE"""),"markim.transformacao@gmail.com")</f>
        <v>markim.transformacao@gmail.com</v>
      </c>
      <c r="AS100" s="27" t="str">
        <f ca="1">IFERROR(__xludf.DUMMYFUNCTION("""COMPUTED_VALUE"""),"(31)97507-3440")</f>
        <v>(31)97507-3440</v>
      </c>
      <c r="AT100" s="29">
        <f ca="1">IFERROR(__xludf.DUMMYFUNCTION("""COMPUTED_VALUE"""),29738)</f>
        <v>29738</v>
      </c>
      <c r="AU100" s="27">
        <f ca="1">IFERROR(__xludf.DUMMYFUNCTION("""COMPUTED_VALUE"""),41)</f>
        <v>41</v>
      </c>
      <c r="AV100" s="27">
        <f ca="1">IFERROR(__xludf.DUMMYFUNCTION("""COMPUTED_VALUE"""),4314983698)</f>
        <v>4314983698</v>
      </c>
      <c r="AW100" s="27">
        <f ca="1">IFERROR(__xludf.DUMMYFUNCTION("""COMPUTED_VALUE"""),10312267)</f>
        <v>10312267</v>
      </c>
      <c r="AX100" s="27" t="str">
        <f ca="1">IFERROR(__xludf.DUMMYFUNCTION("""COMPUTED_VALUE"""),"Bacharel Em Teologia")</f>
        <v>Bacharel Em Teologia</v>
      </c>
      <c r="AY100" s="27" t="str">
        <f ca="1">IFERROR(__xludf.DUMMYFUNCTION("""COMPUTED_VALUE"""),"empreendedor social (mei)")</f>
        <v>empreendedor social (mei)</v>
      </c>
      <c r="AZ100" s="27" t="str">
        <f ca="1">IFERROR(__xludf.DUMMYFUNCTION("""COMPUTED_VALUE"""),"M")</f>
        <v>M</v>
      </c>
      <c r="BA100" s="27"/>
      <c r="BB100" s="27"/>
      <c r="BC100" s="27" t="str">
        <f ca="1">IFERROR(__xludf.DUMMYFUNCTION("""COMPUTED_VALUE"""),"Sim")</f>
        <v>Sim</v>
      </c>
      <c r="BD100" s="27" t="str">
        <f ca="1">IFERROR(__xludf.DUMMYFUNCTION("""COMPUTED_VALUE"""),"Transformado para transformar, não consigo falar do Marcus sem falar de transformação, porque nasci na favela, sem estrutura familiar e sem condições financeiras, fui criado no meio de um caos e mesmo com grandes chances de dar errado, Deus fez da certo e"&amp;" não só fez dar certo como tem me feito agente de transformação para mais de 200 famílias aqui na comunidade, sou inspetor de qualidade em equipamentos industriais e mecânico de manutenção, sou pai de um lindo filho de 11 anos e casado a 14 anos")</f>
        <v>Transformado para transformar, não consigo falar do Marcus sem falar de transformação, porque nasci na favela, sem estrutura familiar e sem condições financeiras, fui criado no meio de um caos e mesmo com grandes chances de dar errado, Deus fez da certo e não só fez dar certo como tem me feito agente de transformação para mais de 200 famílias aqui na comunidade, sou inspetor de qualidade em equipamentos industriais e mecânico de manutenção, sou pai de um lindo filho de 11 anos e casado a 14 anos</v>
      </c>
      <c r="BE100" s="27"/>
      <c r="BF100" s="27"/>
      <c r="BG100" s="27" t="str">
        <f ca="1">IFERROR(__xludf.DUMMYFUNCTION("""COMPUTED_VALUE"""),"Ensino Superior - Completo")</f>
        <v>Ensino Superior - Completo</v>
      </c>
      <c r="BH100" s="27"/>
      <c r="BI100" s="27" t="str">
        <f ca="1">IFERROR(__xludf.DUMMYFUNCTION("""COMPUTED_VALUE"""),"Graduação")</f>
        <v>Graduação</v>
      </c>
      <c r="BJ100" s="27" t="str">
        <f ca="1">IFERROR(__xludf.DUMMYFUNCTION("""COMPUTED_VALUE"""),"Privado")</f>
        <v>Privado</v>
      </c>
      <c r="BK100" s="27" t="str">
        <f ca="1">IFERROR(__xludf.DUMMYFUNCTION("""COMPUTED_VALUE"""),"Rua serenata")</f>
        <v>Rua serenata</v>
      </c>
      <c r="BL100" s="27">
        <f ca="1">IFERROR(__xludf.DUMMYFUNCTION("""COMPUTED_VALUE"""),14)</f>
        <v>14</v>
      </c>
      <c r="BM100" s="27" t="str">
        <f ca="1">IFERROR(__xludf.DUMMYFUNCTION("""COMPUTED_VALUE"""),"Casa em cima do açougue do Paulo")</f>
        <v>Casa em cima do açougue do Paulo</v>
      </c>
      <c r="BN100" s="27" t="str">
        <f ca="1">IFERROR(__xludf.DUMMYFUNCTION("""COMPUTED_VALUE"""),"Belo Horizonte")</f>
        <v>Belo Horizonte</v>
      </c>
      <c r="BO100" s="27" t="str">
        <f ca="1">IFERROR(__xludf.DUMMYFUNCTION("""COMPUTED_VALUE"""),"30260-580")</f>
        <v>30260-580</v>
      </c>
      <c r="BP100" s="27" t="str">
        <f ca="1">IFERROR(__xludf.DUMMYFUNCTION("""COMPUTED_VALUE"""),"MG")</f>
        <v>MG</v>
      </c>
      <c r="BQ100" s="27" t="str">
        <f ca="1">IFERROR(__xludf.DUMMYFUNCTION("""COMPUTED_VALUE"""),"Entre 1 até 3 salários mínimos")</f>
        <v>Entre 1 até 3 salários mínimos</v>
      </c>
      <c r="BR100" s="27" t="str">
        <f ca="1">IFERROR(__xludf.DUMMYFUNCTION("""COMPUTED_VALUE"""),"MEI")</f>
        <v>MEI</v>
      </c>
      <c r="BS100" s="27" t="str">
        <f ca="1">IFERROR(__xludf.DUMMYFUNCTION("""COMPUTED_VALUE"""),"Aluguel")</f>
        <v>Aluguel</v>
      </c>
      <c r="BT100" s="27">
        <f ca="1">IFERROR(__xludf.DUMMYFUNCTION("""COMPUTED_VALUE"""),3)</f>
        <v>3</v>
      </c>
      <c r="BU100" s="27"/>
      <c r="BV100" s="27"/>
      <c r="BW100" s="21" t="str">
        <f ca="1">IFERROR(__xludf.DUMMYFUNCTION("""COMPUTED_VALUE"""),"https://www.linkedin.com/in/marcus-vinicius-do-nascimento-a0ab634b")</f>
        <v>https://www.linkedin.com/in/marcus-vinicius-do-nascimento-a0ab634b</v>
      </c>
      <c r="BX100" s="21" t="str">
        <f ca="1">IFERROR(__xludf.DUMMYFUNCTION("""COMPUTED_VALUE"""),"https://www.instagram.com/reel/CbyAZQEu3ls/?utm_medium=copy_link")</f>
        <v>https://www.instagram.com/reel/CbyAZQEu3ls/?utm_medium=copy_link</v>
      </c>
      <c r="BY100" s="21" t="str">
        <f ca="1">IFERROR(__xludf.DUMMYFUNCTION("""COMPUTED_VALUE"""),"https://drive.google.com/open?id=10XvDRwTJMfsKkC0kFu7xTWh5ePdPnqvW")</f>
        <v>https://drive.google.com/open?id=10XvDRwTJMfsKkC0kFu7xTWh5ePdPnqvW</v>
      </c>
    </row>
    <row r="101" spans="1:77" ht="12.5" hidden="1" x14ac:dyDescent="0.25">
      <c r="A101" s="21" t="str">
        <f ca="1">IFERROR(__xludf.DUMMYFUNCTION("""COMPUTED_VALUE"""),"0014X00002VKCspQAH")</f>
        <v>0014X00002VKCspQAH</v>
      </c>
      <c r="B101" s="27" t="str">
        <f ca="1">IFERROR(__xludf.DUMMYFUNCTION("""COMPUTED_VALUE"""),"Fase Inicial")</f>
        <v>Fase Inicial</v>
      </c>
      <c r="C101" s="27" t="str">
        <f ca="1">IFERROR(__xludf.DUMMYFUNCTION("""COMPUTED_VALUE"""),"Fellow")</f>
        <v>Fellow</v>
      </c>
      <c r="D101" s="27" t="str">
        <f ca="1">IFERROR(__xludf.DUMMYFUNCTION("""COMPUTED_VALUE"""),"Ativo")</f>
        <v>Ativo</v>
      </c>
      <c r="E101" s="27" t="str">
        <f ca="1">IFERROR(__xludf.DUMMYFUNCTION("""COMPUTED_VALUE"""),"Associação Estrelas do Amanhã")</f>
        <v>Associação Estrelas do Amanhã</v>
      </c>
      <c r="F101" s="27" t="str">
        <f ca="1">IFERROR(__xludf.DUMMYFUNCTION("""COMPUTED_VALUE"""),"Maicon")</f>
        <v>Maicon</v>
      </c>
      <c r="G101" s="27" t="str">
        <f ca="1">IFERROR(__xludf.DUMMYFUNCTION("""COMPUTED_VALUE"""),"PROJETO ESTRELAS DO AMANHÃ")</f>
        <v>PROJETO ESTRELAS DO AMANHÃ</v>
      </c>
      <c r="H101" s="27" t="str">
        <f ca="1">IFERROR(__xludf.DUMMYFUNCTION("""COMPUTED_VALUE"""),"22.982.478/0001-05")</f>
        <v>22.982.478/0001-05</v>
      </c>
      <c r="I101" s="27" t="str">
        <f ca="1">IFERROR(__xludf.DUMMYFUNCTION("""COMPUTED_VALUE"""),"Simone Marinho da Silva")</f>
        <v>Simone Marinho da Silva</v>
      </c>
      <c r="J101" s="27" t="str">
        <f ca="1">IFERROR(__xludf.DUMMYFUNCTION("""COMPUTED_VALUE"""),"estrelasdoamanhaprojeto@gmail.com")</f>
        <v>estrelasdoamanhaprojeto@gmail.com</v>
      </c>
      <c r="K101" s="27" t="str">
        <f ca="1">IFERROR(__xludf.DUMMYFUNCTION("""COMPUTED_VALUE"""),"(21)96832-4001")</f>
        <v>(21)96832-4001</v>
      </c>
      <c r="L101" s="27" t="str">
        <f ca="1">IFERROR(__xludf.DUMMYFUNCTION("""COMPUTED_VALUE"""),"RJ")</f>
        <v>RJ</v>
      </c>
      <c r="M101" s="27" t="str">
        <f ca="1">IFERROR(__xludf.DUMMYFUNCTION("""COMPUTED_VALUE"""),"Avenida dom Hélder câmara")</f>
        <v>Avenida dom Hélder câmara</v>
      </c>
      <c r="N101" s="27" t="str">
        <f ca="1">IFERROR(__xludf.DUMMYFUNCTION("""COMPUTED_VALUE"""),"Benfica")</f>
        <v>Benfica</v>
      </c>
      <c r="O101" s="27">
        <f ca="1">IFERROR(__xludf.DUMMYFUNCTION("""COMPUTED_VALUE"""),1184)</f>
        <v>1184</v>
      </c>
      <c r="P101" s="27" t="str">
        <f ca="1">IFERROR(__xludf.DUMMYFUNCTION("""COMPUTED_VALUE"""),"Rio de janeiro")</f>
        <v>Rio de janeiro</v>
      </c>
      <c r="Q101" s="27" t="str">
        <f ca="1">IFERROR(__xludf.DUMMYFUNCTION("""COMPUTED_VALUE"""),"Vila Nova")</f>
        <v>Vila Nova</v>
      </c>
      <c r="R101" s="27" t="str">
        <f ca="1">IFERROR(__xludf.DUMMYFUNCTION("""COMPUTED_VALUE"""),"20973-012")</f>
        <v>20973-012</v>
      </c>
      <c r="S101" s="27" t="str">
        <f ca="1">IFERROR(__xludf.DUMMYFUNCTION("""COMPUTED_VALUE"""),"Esporte na Quadra de Esportes próximo")</f>
        <v>Esporte na Quadra de Esportes próximo</v>
      </c>
      <c r="T101" s="27"/>
      <c r="U101"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101" s="27" t="str">
        <f ca="1">IFERROR(__xludf.DUMMYFUNCTION("""COMPUTED_VALUE"""),"Moradores de Favelas, Pessoas em situação de rua, População LGBTQ+, Quilombola, Afrodescendentes, Dependentes Químicos, Pessoas com Deficiência")</f>
        <v>Moradores de Favelas, Pessoas em situação de rua, População LGBTQ+, Quilombola, Afrodescendentes, Dependentes Químicos, Pessoas com Deficiência</v>
      </c>
      <c r="W101" s="27">
        <f ca="1">IFERROR(__xludf.DUMMYFUNCTION("""COMPUTED_VALUE"""),10)</f>
        <v>10</v>
      </c>
      <c r="X101" s="27"/>
      <c r="Y101" s="27"/>
      <c r="Z101" s="27">
        <f ca="1">IFERROR(__xludf.DUMMYFUNCTION("""COMPUTED_VALUE"""),210)</f>
        <v>210</v>
      </c>
      <c r="AA101" s="29">
        <f ca="1">IFERROR(__xludf.DUMMYFUNCTION("""COMPUTED_VALUE"""),42216)</f>
        <v>42216</v>
      </c>
      <c r="AB101" s="27" t="str">
        <f ca="1">IFERROR(__xludf.DUMMYFUNCTION("""COMPUTED_VALUE"""),"Sim")</f>
        <v>Sim</v>
      </c>
      <c r="AC101" s="27">
        <f ca="1">IFERROR(__xludf.DUMMYFUNCTION("""COMPUTED_VALUE"""),0)</f>
        <v>0</v>
      </c>
      <c r="AD101" s="27">
        <f ca="1">IFERROR(__xludf.DUMMYFUNCTION("""COMPUTED_VALUE"""),4)</f>
        <v>4</v>
      </c>
      <c r="AE101" s="27">
        <f ca="1">IFERROR(__xludf.DUMMYFUNCTION("""COMPUTED_VALUE"""),9)</f>
        <v>9</v>
      </c>
      <c r="AF101" s="27">
        <f ca="1">IFERROR(__xludf.DUMMYFUNCTION("""COMPUTED_VALUE"""),4)</f>
        <v>4</v>
      </c>
      <c r="AG101" s="27">
        <f ca="1">IFERROR(__xludf.DUMMYFUNCTION("""COMPUTED_VALUE"""),3)</f>
        <v>3</v>
      </c>
      <c r="AH101" s="27" t="str">
        <f ca="1">IFERROR(__xludf.DUMMYFUNCTION("""COMPUTED_VALUE"""),"Editais, Doações, Recursos próprios")</f>
        <v>Editais, Doações, Recursos próprios</v>
      </c>
      <c r="AI101" s="27">
        <f ca="1">IFERROR(__xludf.DUMMYFUNCTION("""COMPUTED_VALUE"""),0)</f>
        <v>0</v>
      </c>
      <c r="AJ101" s="27" t="str">
        <f ca="1">IFERROR(__xludf.DUMMYFUNCTION("""COMPUTED_VALUE"""),"Não")</f>
        <v>Não</v>
      </c>
      <c r="AK101" s="27"/>
      <c r="AL101" s="21" t="str">
        <f ca="1">IFERROR(__xludf.DUMMYFUNCTION("""COMPUTED_VALUE"""),"0034X0000380O65")</f>
        <v>0034X0000380O65</v>
      </c>
      <c r="AM101" s="27" t="str">
        <f ca="1">IFERROR(__xludf.DUMMYFUNCTION("""COMPUTED_VALUE"""),"Justino de jesus")</f>
        <v>Justino de jesus</v>
      </c>
      <c r="AN101" s="27" t="str">
        <f ca="1">IFERROR(__xludf.DUMMYFUNCTION("""COMPUTED_VALUE"""),"Ativo")</f>
        <v>Ativo</v>
      </c>
      <c r="AO101" s="29">
        <f ca="1">IFERROR(__xludf.DUMMYFUNCTION("""COMPUTED_VALUE"""),44763)</f>
        <v>44763</v>
      </c>
      <c r="AP101" s="27">
        <f ca="1">IFERROR(__xludf.DUMMYFUNCTION("""COMPUTED_VALUE"""),2)</f>
        <v>2</v>
      </c>
      <c r="AQ101" s="27" t="str">
        <f ca="1">IFERROR(__xludf.DUMMYFUNCTION("""COMPUTED_VALUE"""),"Primeiro Semestre 2022")</f>
        <v>Primeiro Semestre 2022</v>
      </c>
      <c r="AR101" s="27" t="str">
        <f ca="1">IFERROR(__xludf.DUMMYFUNCTION("""COMPUTED_VALUE"""),"maicon.justino@outlook.com")</f>
        <v>maicon.justino@outlook.com</v>
      </c>
      <c r="AS101" s="27" t="str">
        <f ca="1">IFERROR(__xludf.DUMMYFUNCTION("""COMPUTED_VALUE"""),"(21)96832-4001")</f>
        <v>(21)96832-4001</v>
      </c>
      <c r="AT101" s="29">
        <f ca="1">IFERROR(__xludf.DUMMYFUNCTION("""COMPUTED_VALUE"""),33549)</f>
        <v>33549</v>
      </c>
      <c r="AU101" s="27">
        <f ca="1">IFERROR(__xludf.DUMMYFUNCTION("""COMPUTED_VALUE"""),31)</f>
        <v>31</v>
      </c>
      <c r="AV101" s="27">
        <f ca="1">IFERROR(__xludf.DUMMYFUNCTION("""COMPUTED_VALUE"""),13326599773)</f>
        <v>13326599773</v>
      </c>
      <c r="AW101" s="27">
        <f ca="1">IFERROR(__xludf.DUMMYFUNCTION("""COMPUTED_VALUE"""),217409663)</f>
        <v>217409663</v>
      </c>
      <c r="AX101" s="27"/>
      <c r="AY101" s="27" t="str">
        <f ca="1">IFERROR(__xludf.DUMMYFUNCTION("""COMPUTED_VALUE"""),"Vice presidente")</f>
        <v>Vice presidente</v>
      </c>
      <c r="AZ101" s="27" t="str">
        <f ca="1">IFERROR(__xludf.DUMMYFUNCTION("""COMPUTED_VALUE"""),"G")</f>
        <v>G</v>
      </c>
      <c r="BA101" s="27" t="str">
        <f ca="1">IFERROR(__xludf.DUMMYFUNCTION("""COMPUTED_VALUE"""),"Preta")</f>
        <v>Preta</v>
      </c>
      <c r="BB101" s="27"/>
      <c r="BC101" s="27"/>
      <c r="BD101" s="27" t="str">
        <f ca="1">IFERROR(__xludf.DUMMYFUNCTION("""COMPUTED_VALUE"""),"Nascido na Comunidade de Manguinhos .Maicon Justino tem 30 anos . Pai adotivo do príncipe Lucca . Tem 6 irmãos . Infelizmente perdeu 2 para o tráfico . Maicon é Educador infantil e fundador do Projeto Estrelas do amanhã que a 7 anos , Realiza um trabalho "&amp;"social com crianças e jovens da comunidade . Educação , Esporte, Cultura e lazer .
Maicon acredita que a Educação transforma . E só através da Educação podemos contribuir na vida dessas crianças que vivem em situação vulnerável.")</f>
        <v>Nascido na Comunidade de Manguinhos .Maicon Justino tem 30 anos . Pai adotivo do príncipe Lucca . Tem 6 irmãos . Infelizmente perdeu 2 para o tráfico . Maicon é Educador infantil e fundador do Projeto Estrelas do amanhã que a 7 anos , Realiza um trabalho social com crianças e jovens da comunidade . Educação , Esporte, Cultura e lazer .
Maicon acredita que a Educação transforma . E só através da Educação podemos contribuir na vida dessas crianças que vivem em situação vulnerável.</v>
      </c>
      <c r="BE101" s="27" t="str">
        <f ca="1">IFERROR(__xludf.DUMMYFUNCTION("""COMPUTED_VALUE"""),"Outro(s)")</f>
        <v>Outro(s)</v>
      </c>
      <c r="BF101" s="27" t="str">
        <f ca="1">IFERROR(__xludf.DUMMYFUNCTION("""COMPUTED_VALUE"""),"Homossexual")</f>
        <v>Homossexual</v>
      </c>
      <c r="BG101" s="27" t="str">
        <f ca="1">IFERROR(__xludf.DUMMYFUNCTION("""COMPUTED_VALUE"""),"Ensino Médio - Completo")</f>
        <v>Ensino Médio - Completo</v>
      </c>
      <c r="BH101" s="27" t="str">
        <f ca="1">IFERROR(__xludf.DUMMYFUNCTION("""COMPUTED_VALUE"""),"Público")</f>
        <v>Público</v>
      </c>
      <c r="BI101" s="27" t="str">
        <f ca="1">IFERROR(__xludf.DUMMYFUNCTION("""COMPUTED_VALUE"""),"Graduação")</f>
        <v>Graduação</v>
      </c>
      <c r="BJ101" s="27"/>
      <c r="BK101" s="27" t="str">
        <f ca="1">IFERROR(__xludf.DUMMYFUNCTION("""COMPUTED_VALUE"""),"Avenida dom Hélder câmara")</f>
        <v>Avenida dom Hélder câmara</v>
      </c>
      <c r="BL101" s="27">
        <f ca="1">IFERROR(__xludf.DUMMYFUNCTION("""COMPUTED_VALUE"""),1184)</f>
        <v>1184</v>
      </c>
      <c r="BM101" s="27" t="str">
        <f ca="1">IFERROR(__xludf.DUMMYFUNCTION("""COMPUTED_VALUE"""),"Bloco 06 apt 229")</f>
        <v>Bloco 06 apt 229</v>
      </c>
      <c r="BN101" s="27" t="str">
        <f ca="1">IFERROR(__xludf.DUMMYFUNCTION("""COMPUTED_VALUE"""),"Rio de janeiro")</f>
        <v>Rio de janeiro</v>
      </c>
      <c r="BO101" s="27" t="str">
        <f ca="1">IFERROR(__xludf.DUMMYFUNCTION("""COMPUTED_VALUE"""),"20973-012")</f>
        <v>20973-012</v>
      </c>
      <c r="BP101" s="27" t="str">
        <f ca="1">IFERROR(__xludf.DUMMYFUNCTION("""COMPUTED_VALUE"""),"RJ")</f>
        <v>RJ</v>
      </c>
      <c r="BQ101" s="27" t="str">
        <f ca="1">IFERROR(__xludf.DUMMYFUNCTION("""COMPUTED_VALUE"""),"Entre 1 até 3 salários mínimos")</f>
        <v>Entre 1 até 3 salários mínimos</v>
      </c>
      <c r="BR101" s="27" t="str">
        <f ca="1">IFERROR(__xludf.DUMMYFUNCTION("""COMPUTED_VALUE"""),"MEI")</f>
        <v>MEI</v>
      </c>
      <c r="BS101" s="27" t="str">
        <f ca="1">IFERROR(__xludf.DUMMYFUNCTION("""COMPUTED_VALUE"""),"Casa própria")</f>
        <v>Casa própria</v>
      </c>
      <c r="BT101" s="27">
        <f ca="1">IFERROR(__xludf.DUMMYFUNCTION("""COMPUTED_VALUE"""),3)</f>
        <v>3</v>
      </c>
      <c r="BU101" s="27" t="str">
        <f ca="1">IFERROR(__xludf.DUMMYFUNCTION("""COMPUTED_VALUE"""),"Não tem")</f>
        <v>Não tem</v>
      </c>
      <c r="BV101" s="27" t="str">
        <f ca="1">IFERROR(__xludf.DUMMYFUNCTION("""COMPUTED_VALUE"""),"Não")</f>
        <v>Não</v>
      </c>
      <c r="BW101" s="27"/>
      <c r="BX101" s="21" t="str">
        <f ca="1">IFERROR(__xludf.DUMMYFUNCTION("""COMPUTED_VALUE"""),"https://www.instagram.com/invites/contact/?i=1ppbywg2xzncw&amp;utm_content=n1qcaj6")</f>
        <v>https://www.instagram.com/invites/contact/?i=1ppbywg2xzncw&amp;utm_content=n1qcaj6</v>
      </c>
      <c r="BY101" s="21" t="str">
        <f ca="1">IFERROR(__xludf.DUMMYFUNCTION("""COMPUTED_VALUE"""),"https://drive.google.com/open?id=1Iu738Axk0nHFBsolrozWt-jg78cfgSSG")</f>
        <v>https://drive.google.com/open?id=1Iu738Axk0nHFBsolrozWt-jg78cfgSSG</v>
      </c>
    </row>
    <row r="102" spans="1:77" ht="12.5" hidden="1" x14ac:dyDescent="0.25">
      <c r="A102" s="21" t="str">
        <f ca="1">IFERROR(__xludf.DUMMYFUNCTION("""COMPUTED_VALUE"""),"0014P00003YSp98QAD")</f>
        <v>0014P00003YSp98QAD</v>
      </c>
      <c r="B102" s="27" t="str">
        <f ca="1">IFERROR(__xludf.DUMMYFUNCTION("""COMPUTED_VALUE"""),"Fase Inicial")</f>
        <v>Fase Inicial</v>
      </c>
      <c r="C102" s="27" t="str">
        <f ca="1">IFERROR(__xludf.DUMMYFUNCTION("""COMPUTED_VALUE"""),"Fellow")</f>
        <v>Fellow</v>
      </c>
      <c r="D102" s="27" t="str">
        <f ca="1">IFERROR(__xludf.DUMMYFUNCTION("""COMPUTED_VALUE"""),"Ativo")</f>
        <v>Ativo</v>
      </c>
      <c r="E102" s="27" t="str">
        <f ca="1">IFERROR(__xludf.DUMMYFUNCTION("""COMPUTED_VALUE"""),"Associação Ethos Sustentável")</f>
        <v>Associação Ethos Sustentável</v>
      </c>
      <c r="F102" s="27" t="str">
        <f ca="1">IFERROR(__xludf.DUMMYFUNCTION("""COMPUTED_VALUE"""),"Wagner")</f>
        <v>Wagner</v>
      </c>
      <c r="G102" s="27"/>
      <c r="H102" s="27" t="str">
        <f ca="1">IFERROR(__xludf.DUMMYFUNCTION("""COMPUTED_VALUE"""),"28.888.059/0001-87")</f>
        <v>28.888.059/0001-87</v>
      </c>
      <c r="I102" s="27" t="str">
        <f ca="1">IFERROR(__xludf.DUMMYFUNCTION("""COMPUTED_VALUE"""),"WAGNER GONÇALVES RAMALHO")</f>
        <v>WAGNER GONÇALVES RAMALHO</v>
      </c>
      <c r="J102" s="27" t="str">
        <f ca="1">IFERROR(__xludf.DUMMYFUNCTION("""COMPUTED_VALUE"""),"contato.ethossustentavel@gmail.com")</f>
        <v>contato.ethossustentavel@gmail.com</v>
      </c>
      <c r="K102" s="27" t="str">
        <f ca="1">IFERROR(__xludf.DUMMYFUNCTION("""COMPUTED_VALUE"""),"(11)98228-2504")</f>
        <v>(11)98228-2504</v>
      </c>
      <c r="L102" s="27" t="str">
        <f ca="1">IFERROR(__xludf.DUMMYFUNCTION("""COMPUTED_VALUE"""),"SP")</f>
        <v>SP</v>
      </c>
      <c r="M102" s="27" t="str">
        <f ca="1">IFERROR(__xludf.DUMMYFUNCTION("""COMPUTED_VALUE"""),"ANGELO ALUIZIO")</f>
        <v>ANGELO ALUIZIO</v>
      </c>
      <c r="N102" s="27" t="str">
        <f ca="1">IFERROR(__xludf.DUMMYFUNCTION("""COMPUTED_VALUE"""),"Parque Vitória")</f>
        <v>Parque Vitória</v>
      </c>
      <c r="O102" s="27">
        <f ca="1">IFERROR(__xludf.DUMMYFUNCTION("""COMPUTED_VALUE"""),285)</f>
        <v>285</v>
      </c>
      <c r="P102" s="27" t="str">
        <f ca="1">IFERROR(__xludf.DUMMYFUNCTION("""COMPUTED_VALUE"""),"SÃO PAULO")</f>
        <v>SÃO PAULO</v>
      </c>
      <c r="Q102" s="27" t="str">
        <f ca="1">IFERROR(__xludf.DUMMYFUNCTION("""COMPUTED_VALUE"""),"Casa 03")</f>
        <v>Casa 03</v>
      </c>
      <c r="R102" s="27" t="str">
        <f ca="1">IFERROR(__xludf.DUMMYFUNCTION("""COMPUTED_VALUE"""),"02276-100")</f>
        <v>02276-100</v>
      </c>
      <c r="S102" s="27"/>
      <c r="T102" s="27" t="str">
        <f ca="1">IFERROR(__xludf.DUMMYFUNCTION("""COMPUTED_VALUE"""),"Educação; Assistência Social; Cultura; Qualificação Profissional; Empreendedorismo; Meio ambiente; Negócios Sociais; Defesa de Direitos; Desenvolvimento comunitário")</f>
        <v>Educação; Assistência Social; Cultura; Qualificação Profissional; Empreendedorismo; Meio ambiente; Negócios Sociais; Defesa de Direitos; Desenvolvimento comunitário</v>
      </c>
      <c r="U102"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102" s="27" t="str">
        <f ca="1">IFERROR(__xludf.DUMMYFUNCTION("""COMPUTED_VALUE"""),"Moradores de Favelas; Povos Indígenas; Afrodescendentes")</f>
        <v>Moradores de Favelas; Povos Indígenas; Afrodescendentes</v>
      </c>
      <c r="W102" s="27">
        <f ca="1">IFERROR(__xludf.DUMMYFUNCTION("""COMPUTED_VALUE"""),15)</f>
        <v>15</v>
      </c>
      <c r="X102" s="27"/>
      <c r="Y102" s="27"/>
      <c r="Z102" s="27">
        <f ca="1">IFERROR(__xludf.DUMMYFUNCTION("""COMPUTED_VALUE"""),4000)</f>
        <v>4000</v>
      </c>
      <c r="AA102" s="29">
        <f ca="1">IFERROR(__xludf.DUMMYFUNCTION("""COMPUTED_VALUE"""),42965)</f>
        <v>42965</v>
      </c>
      <c r="AB102" s="27" t="str">
        <f ca="1">IFERROR(__xludf.DUMMYFUNCTION("""COMPUTED_VALUE"""),"Sim")</f>
        <v>Sim</v>
      </c>
      <c r="AC102" s="27">
        <f ca="1">IFERROR(__xludf.DUMMYFUNCTION("""COMPUTED_VALUE"""),5)</f>
        <v>5</v>
      </c>
      <c r="AD102" s="27">
        <f ca="1">IFERROR(__xludf.DUMMYFUNCTION("""COMPUTED_VALUE"""),5)</f>
        <v>5</v>
      </c>
      <c r="AE102" s="27">
        <f ca="1">IFERROR(__xludf.DUMMYFUNCTION("""COMPUTED_VALUE"""),11)</f>
        <v>11</v>
      </c>
      <c r="AF102" s="27">
        <f ca="1">IFERROR(__xludf.DUMMYFUNCTION("""COMPUTED_VALUE"""),11)</f>
        <v>11</v>
      </c>
      <c r="AG102" s="27">
        <f ca="1">IFERROR(__xludf.DUMMYFUNCTION("""COMPUTED_VALUE"""),2)</f>
        <v>2</v>
      </c>
      <c r="AH102" s="27" t="str">
        <f ca="1">IFERROR(__xludf.DUMMYFUNCTION("""COMPUTED_VALUE"""),"Doações")</f>
        <v>Doações</v>
      </c>
      <c r="AI102" s="27" t="str">
        <f ca="1">IFERROR(__xludf.DUMMYFUNCTION("""COMPUTED_VALUE"""),"NÃO TEMOS")</f>
        <v>NÃO TEMOS</v>
      </c>
      <c r="AJ102" s="27"/>
      <c r="AK102" s="27"/>
      <c r="AL102" s="21" t="str">
        <f ca="1">IFERROR(__xludf.DUMMYFUNCTION("""COMPUTED_VALUE"""),"0034P000045kxjk")</f>
        <v>0034P000045kxjk</v>
      </c>
      <c r="AM102" s="27" t="str">
        <f ca="1">IFERROR(__xludf.DUMMYFUNCTION("""COMPUTED_VALUE"""),"Gonçalves Ramalho")</f>
        <v>Gonçalves Ramalho</v>
      </c>
      <c r="AN102" s="27" t="str">
        <f ca="1">IFERROR(__xludf.DUMMYFUNCTION("""COMPUTED_VALUE"""),"Ativo")</f>
        <v>Ativo</v>
      </c>
      <c r="AO102" s="30">
        <f ca="1">IFERROR(__xludf.DUMMYFUNCTION("""COMPUTED_VALUE"""),44551)</f>
        <v>44551</v>
      </c>
      <c r="AP102" s="27">
        <f ca="1">IFERROR(__xludf.DUMMYFUNCTION("""COMPUTED_VALUE"""),9)</f>
        <v>9</v>
      </c>
      <c r="AQ102" s="27" t="str">
        <f ca="1">IFERROR(__xludf.DUMMYFUNCTION("""COMPUTED_VALUE"""),"Segundo Semestre 2021")</f>
        <v>Segundo Semestre 2021</v>
      </c>
      <c r="AR102" s="27" t="str">
        <f ca="1">IFERROR(__xludf.DUMMYFUNCTION("""COMPUTED_VALUE"""),"pratoverde@gmail.com")</f>
        <v>pratoverde@gmail.com</v>
      </c>
      <c r="AS102" s="27" t="str">
        <f ca="1">IFERROR(__xludf.DUMMYFUNCTION("""COMPUTED_VALUE"""),"(11)98228-2504")</f>
        <v>(11)98228-2504</v>
      </c>
      <c r="AT102" s="29">
        <f ca="1">IFERROR(__xludf.DUMMYFUNCTION("""COMPUTED_VALUE"""),29246)</f>
        <v>29246</v>
      </c>
      <c r="AU102" s="27">
        <f ca="1">IFERROR(__xludf.DUMMYFUNCTION("""COMPUTED_VALUE"""),42)</f>
        <v>42</v>
      </c>
      <c r="AV102" s="27">
        <f ca="1">IFERROR(__xludf.DUMMYFUNCTION("""COMPUTED_VALUE"""),30744352835)</f>
        <v>30744352835</v>
      </c>
      <c r="AW102" s="27">
        <f ca="1">IFERROR(__xludf.DUMMYFUNCTION("""COMPUTED_VALUE"""),301359349)</f>
        <v>301359349</v>
      </c>
      <c r="AX102" s="27"/>
      <c r="AY102" s="27"/>
      <c r="AZ102" s="27" t="str">
        <f ca="1">IFERROR(__xludf.DUMMYFUNCTION("""COMPUTED_VALUE"""),"G")</f>
        <v>G</v>
      </c>
      <c r="BA102" s="27" t="str">
        <f ca="1">IFERROR(__xludf.DUMMYFUNCTION("""COMPUTED_VALUE"""),"Preta")</f>
        <v>Preta</v>
      </c>
      <c r="BB102" s="27" t="str">
        <f ca="1">IFERROR(__xludf.DUMMYFUNCTION("""COMPUTED_VALUE"""),"Homem, cisgênero")</f>
        <v>Homem, cisgênero</v>
      </c>
      <c r="BC102" s="27" t="str">
        <f ca="1">IFERROR(__xludf.DUMMYFUNCTION("""COMPUTED_VALUE"""),"Sim")</f>
        <v>Sim</v>
      </c>
      <c r="BD102" s="27" t="str">
        <f ca="1">IFERROR(__xludf.DUMMYFUNCTION("""COMPUTED_VALUE"""),"Formado em Gestão Ambiental e Geografia formações complementares em arte dramática, jardinagem e geografia política e meio ambiente. Prof. de Geografia e Conselheiro Meio Ambiente, Desenvolvimento Sustentável e Cultura de Paz. Coor. do Prato Verde Sustent"&amp;"ável, projeto premiado pela Assoc. Brasileira dos Profissionais pelo Desenvolvimento Sustentável em 2018.")</f>
        <v>Formado em Gestão Ambiental e Geografia formações complementares em arte dramática, jardinagem e geografia política e meio ambiente. Prof. de Geografia e Conselheiro Meio Ambiente, Desenvolvimento Sustentável e Cultura de Paz. Coor. do Prato Verde Sustentável, projeto premiado pela Assoc. Brasileira dos Profissionais pelo Desenvolvimento Sustentável em 2018.</v>
      </c>
      <c r="BE102" s="27"/>
      <c r="BF102" s="27" t="str">
        <f ca="1">IFERROR(__xludf.DUMMYFUNCTION("""COMPUTED_VALUE"""),"Heterossexual")</f>
        <v>Heterossexual</v>
      </c>
      <c r="BG102" s="27" t="str">
        <f ca="1">IFERROR(__xludf.DUMMYFUNCTION("""COMPUTED_VALUE"""),"Ensino Superior - Completo")</f>
        <v>Ensino Superior - Completo</v>
      </c>
      <c r="BH102" s="27" t="str">
        <f ca="1">IFERROR(__xludf.DUMMYFUNCTION("""COMPUTED_VALUE"""),"Público")</f>
        <v>Público</v>
      </c>
      <c r="BI102" s="27" t="str">
        <f ca="1">IFERROR(__xludf.DUMMYFUNCTION("""COMPUTED_VALUE"""),"Graduação")</f>
        <v>Graduação</v>
      </c>
      <c r="BJ102" s="27" t="str">
        <f ca="1">IFERROR(__xludf.DUMMYFUNCTION("""COMPUTED_VALUE"""),"Privado")</f>
        <v>Privado</v>
      </c>
      <c r="BK102" s="27" t="str">
        <f ca="1">IFERROR(__xludf.DUMMYFUNCTION("""COMPUTED_VALUE"""),"RUA ANGELO ALUIZIO")</f>
        <v>RUA ANGELO ALUIZIO</v>
      </c>
      <c r="BL102" s="27">
        <f ca="1">IFERROR(__xludf.DUMMYFUNCTION("""COMPUTED_VALUE"""),99)</f>
        <v>99</v>
      </c>
      <c r="BM102" s="27" t="str">
        <f ca="1">IFERROR(__xludf.DUMMYFUNCTION("""COMPUTED_VALUE"""),"APTO 42")</f>
        <v>APTO 42</v>
      </c>
      <c r="BN102" s="27" t="str">
        <f ca="1">IFERROR(__xludf.DUMMYFUNCTION("""COMPUTED_VALUE"""),"SÃO PAULO")</f>
        <v>SÃO PAULO</v>
      </c>
      <c r="BO102" s="27" t="str">
        <f ca="1">IFERROR(__xludf.DUMMYFUNCTION("""COMPUTED_VALUE"""),"02276-100")</f>
        <v>02276-100</v>
      </c>
      <c r="BP102" s="27" t="str">
        <f ca="1">IFERROR(__xludf.DUMMYFUNCTION("""COMPUTED_VALUE"""),"SP")</f>
        <v>SP</v>
      </c>
      <c r="BQ102" s="27" t="str">
        <f ca="1">IFERROR(__xludf.DUMMYFUNCTION("""COMPUTED_VALUE"""),"Entre 1 até 3 salários mínimos")</f>
        <v>Entre 1 até 3 salários mínimos</v>
      </c>
      <c r="BR102" s="27" t="str">
        <f ca="1">IFERROR(__xludf.DUMMYFUNCTION("""COMPUTED_VALUE"""),"Desempregado")</f>
        <v>Desempregado</v>
      </c>
      <c r="BS102" s="27" t="str">
        <f ca="1">IFERROR(__xludf.DUMMYFUNCTION("""COMPUTED_VALUE"""),"Aluguel")</f>
        <v>Aluguel</v>
      </c>
      <c r="BT102" s="27">
        <f ca="1">IFERROR(__xludf.DUMMYFUNCTION("""COMPUTED_VALUE"""),3)</f>
        <v>3</v>
      </c>
      <c r="BU102" s="27" t="str">
        <f ca="1">IFERROR(__xludf.DUMMYFUNCTION("""COMPUTED_VALUE"""),"Não tem")</f>
        <v>Não tem</v>
      </c>
      <c r="BV102" s="27" t="str">
        <f ca="1">IFERROR(__xludf.DUMMYFUNCTION("""COMPUTED_VALUE"""),"Frutos do Mar")</f>
        <v>Frutos do Mar</v>
      </c>
      <c r="BW102" s="21" t="str">
        <f ca="1">IFERROR(__xludf.DUMMYFUNCTION("""COMPUTED_VALUE"""),"https://www.linkedin.com/in/wagner-ramalho-6783251b2/")</f>
        <v>https://www.linkedin.com/in/wagner-ramalho-6783251b2/</v>
      </c>
      <c r="BX102" s="21" t="str">
        <f ca="1">IFERROR(__xludf.DUMMYFUNCTION("""COMPUTED_VALUE"""),"https://www.instagram.com/wagnerramalhoguaranikaiowa/")</f>
        <v>https://www.instagram.com/wagnerramalhoguaranikaiowa/</v>
      </c>
      <c r="BY102" s="21" t="str">
        <f ca="1">IFERROR(__xludf.DUMMYFUNCTION("""COMPUTED_VALUE"""),"https://drive.google.com/open?id=1vkqrEIZc5-jqLocz1G84drs8n9Dl53G3")</f>
        <v>https://drive.google.com/open?id=1vkqrEIZc5-jqLocz1G84drs8n9Dl53G3</v>
      </c>
    </row>
    <row r="103" spans="1:77" ht="12.5" x14ac:dyDescent="0.25">
      <c r="A103" s="21" t="str">
        <f ca="1">IFERROR(__xludf.DUMMYFUNCTION("""COMPUTED_VALUE"""),"0014P00003AN2GHQA1")</f>
        <v>0014P00003AN2GHQA1</v>
      </c>
      <c r="B103" s="27" t="str">
        <f ca="1">IFERROR(__xludf.DUMMYFUNCTION("""COMPUTED_VALUE"""),"Fase Inicial")</f>
        <v>Fase Inicial</v>
      </c>
      <c r="C103" s="27" t="str">
        <f ca="1">IFERROR(__xludf.DUMMYFUNCTION("""COMPUTED_VALUE"""),"Fellow")</f>
        <v>Fellow</v>
      </c>
      <c r="D103" s="27" t="str">
        <f ca="1">IFERROR(__xludf.DUMMYFUNCTION("""COMPUTED_VALUE"""),"Ativo")</f>
        <v>Ativo</v>
      </c>
      <c r="E103" s="27" t="str">
        <f ca="1">IFERROR(__xludf.DUMMYFUNCTION("""COMPUTED_VALUE"""),"Associação Futuro Campeão")</f>
        <v>Associação Futuro Campeão</v>
      </c>
      <c r="F103" s="27" t="str">
        <f ca="1">IFERROR(__xludf.DUMMYFUNCTION("""COMPUTED_VALUE"""),"Alexandre")</f>
        <v>Alexandre</v>
      </c>
      <c r="G103" s="27"/>
      <c r="H103" s="27" t="str">
        <f ca="1">IFERROR(__xludf.DUMMYFUNCTION("""COMPUTED_VALUE"""),"33.157.518/0001-92")</f>
        <v>33.157.518/0001-92</v>
      </c>
      <c r="I103" s="27"/>
      <c r="J103" s="27"/>
      <c r="K103" s="27" t="str">
        <f ca="1">IFERROR(__xludf.DUMMYFUNCTION("""COMPUTED_VALUE"""),"(84)98824-0254")</f>
        <v>(84)98824-0254</v>
      </c>
      <c r="L103" s="27" t="str">
        <f ca="1">IFERROR(__xludf.DUMMYFUNCTION("""COMPUTED_VALUE"""),"RN")</f>
        <v>RN</v>
      </c>
      <c r="M103" s="27" t="str">
        <f ca="1">IFERROR(__xludf.DUMMYFUNCTION("""COMPUTED_VALUE"""),"Rua Raimundo Chaves")</f>
        <v>Rua Raimundo Chaves</v>
      </c>
      <c r="N103" s="27"/>
      <c r="O103" s="27" t="str">
        <f ca="1">IFERROR(__xludf.DUMMYFUNCTION("""COMPUTED_VALUE"""),"(84)98824-0254")</f>
        <v>(84)98824-0254</v>
      </c>
      <c r="P103" s="27" t="str">
        <f ca="1">IFERROR(__xludf.DUMMYFUNCTION("""COMPUTED_VALUE"""),"Natal")</f>
        <v>Natal</v>
      </c>
      <c r="Q103" s="27"/>
      <c r="R103" s="27" t="str">
        <f ca="1">IFERROR(__xludf.DUMMYFUNCTION("""COMPUTED_VALUE"""),"59064-390")</f>
        <v>59064-390</v>
      </c>
      <c r="S103" s="27"/>
      <c r="T103" s="27" t="str">
        <f ca="1">IFERROR(__xludf.DUMMYFUNCTION("""COMPUTED_VALUE"""),"Esporte; Educação; Qualificação Profissional; Empoderamento Feminino; Defesa de Direitos; Assistência Psicológica; Desenvolvimento comunitário")</f>
        <v>Esporte; Educação; Qualificação Profissional; Empoderamento Feminino; Defesa de Direitos; Assistência Psicológica; Desenvolvimento comunitário</v>
      </c>
      <c r="U103"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103" s="27" t="str">
        <f ca="1">IFERROR(__xludf.DUMMYFUNCTION("""COMPUTED_VALUE"""),"Moradores de Favelas; Afrodescendentes; Dependentes Químicos; Pessoas com Deficiência; Comunidade rural")</f>
        <v>Moradores de Favelas; Afrodescendentes; Dependentes Químicos; Pessoas com Deficiência; Comunidade rural</v>
      </c>
      <c r="W103" s="27">
        <f ca="1">IFERROR(__xludf.DUMMYFUNCTION("""COMPUTED_VALUE"""),5)</f>
        <v>5</v>
      </c>
      <c r="X103" s="27"/>
      <c r="Y103" s="27"/>
      <c r="Z103" s="27"/>
      <c r="AA103" s="29">
        <f ca="1">IFERROR(__xludf.DUMMYFUNCTION("""COMPUTED_VALUE"""),43016)</f>
        <v>43016</v>
      </c>
      <c r="AB103" s="27" t="str">
        <f ca="1">IFERROR(__xludf.DUMMYFUNCTION("""COMPUTED_VALUE"""),"Sim")</f>
        <v>Sim</v>
      </c>
      <c r="AC103" s="27">
        <f ca="1">IFERROR(__xludf.DUMMYFUNCTION("""COMPUTED_VALUE"""),2)</f>
        <v>2</v>
      </c>
      <c r="AD103" s="27">
        <f ca="1">IFERROR(__xludf.DUMMYFUNCTION("""COMPUTED_VALUE"""),2)</f>
        <v>2</v>
      </c>
      <c r="AE103" s="27">
        <f ca="1">IFERROR(__xludf.DUMMYFUNCTION("""COMPUTED_VALUE"""),5)</f>
        <v>5</v>
      </c>
      <c r="AF103" s="27">
        <f ca="1">IFERROR(__xludf.DUMMYFUNCTION("""COMPUTED_VALUE"""),2)</f>
        <v>2</v>
      </c>
      <c r="AG103" s="27">
        <f ca="1">IFERROR(__xludf.DUMMYFUNCTION("""COMPUTED_VALUE"""),2)</f>
        <v>2</v>
      </c>
      <c r="AH103" s="27" t="str">
        <f ca="1">IFERROR(__xludf.DUMMYFUNCTION("""COMPUTED_VALUE"""),"Negócio Social; Convênio Público; Eventos/Ações para captação; Plataforma doação online - Pessoa Física; Parceria iniciativa privada; Outro(s); Doações; FIA")</f>
        <v>Negócio Social; Convênio Público; Eventos/Ações para captação; Plataforma doação online - Pessoa Física; Parceria iniciativa privada; Outro(s); Doações; FIA</v>
      </c>
      <c r="AI103" s="27" t="str">
        <f ca="1">IFERROR(__xludf.DUMMYFUNCTION("""COMPUTED_VALUE"""),"PROJETO EMPRESAS 70% DOAÇAO DE AMIGOS 30%")</f>
        <v>PROJETO EMPRESAS 70% DOAÇAO DE AMIGOS 30%</v>
      </c>
      <c r="AJ103" s="27" t="str">
        <f ca="1">IFERROR(__xludf.DUMMYFUNCTION("""COMPUTED_VALUE"""),"Não")</f>
        <v>Não</v>
      </c>
      <c r="AK103" s="27" t="str">
        <f ca="1">IFERROR(__xludf.DUMMYFUNCTION("""COMPUTED_VALUE"""),"Não")</f>
        <v>Não</v>
      </c>
      <c r="AL103" s="21" t="str">
        <f ca="1">IFERROR(__xludf.DUMMYFUNCTION("""COMPUTED_VALUE"""),"0034P00003maBVm")</f>
        <v>0034P00003maBVm</v>
      </c>
      <c r="AM103" s="27" t="str">
        <f ca="1">IFERROR(__xludf.DUMMYFUNCTION("""COMPUTED_VALUE"""),"Magno Batista Ferreira")</f>
        <v>Magno Batista Ferreira</v>
      </c>
      <c r="AN103" s="27" t="str">
        <f ca="1">IFERROR(__xludf.DUMMYFUNCTION("""COMPUTED_VALUE"""),"Ativo")</f>
        <v>Ativo</v>
      </c>
      <c r="AO103" s="29">
        <f ca="1">IFERROR(__xludf.DUMMYFUNCTION("""COMPUTED_VALUE"""),44375)</f>
        <v>44375</v>
      </c>
      <c r="AP103" s="27">
        <f ca="1">IFERROR(__xludf.DUMMYFUNCTION("""COMPUTED_VALUE"""),15)</f>
        <v>15</v>
      </c>
      <c r="AQ103" s="27" t="str">
        <f ca="1">IFERROR(__xludf.DUMMYFUNCTION("""COMPUTED_VALUE"""),"Segundo Semestre 2020")</f>
        <v>Segundo Semestre 2020</v>
      </c>
      <c r="AR103" s="27" t="str">
        <f ca="1">IFERROR(__xludf.DUMMYFUNCTION("""COMPUTED_VALUE"""),"alexandrejdnagashima@gmail.com")</f>
        <v>alexandrejdnagashima@gmail.com</v>
      </c>
      <c r="AS103" s="27" t="str">
        <f ca="1">IFERROR(__xludf.DUMMYFUNCTION("""COMPUTED_VALUE"""),"(84)98824-0254")</f>
        <v>(84)98824-0254</v>
      </c>
      <c r="AT103" s="30">
        <f ca="1">IFERROR(__xludf.DUMMYFUNCTION("""COMPUTED_VALUE"""),27717)</f>
        <v>27717</v>
      </c>
      <c r="AU103" s="27">
        <f ca="1">IFERROR(__xludf.DUMMYFUNCTION("""COMPUTED_VALUE"""),47)</f>
        <v>47</v>
      </c>
      <c r="AV103" s="27">
        <f ca="1">IFERROR(__xludf.DUMMYFUNCTION("""COMPUTED_VALUE"""),2126717402)</f>
        <v>2126717402</v>
      </c>
      <c r="AW103" s="27" t="str">
        <f ca="1">IFERROR(__xludf.DUMMYFUNCTION("""COMPUTED_VALUE"""),"1522154 SSP/RN")</f>
        <v>1522154 SSP/RN</v>
      </c>
      <c r="AX103" s="27" t="str">
        <f ca="1">IFERROR(__xludf.DUMMYFUNCTION("""COMPUTED_VALUE"""),"EDUCAÇÃO FÍSICA - PÓS GRADUAÇÃO EM EDUCAÇÃO FÍSICA ESCOLAR")</f>
        <v>EDUCAÇÃO FÍSICA - PÓS GRADUAÇÃO EM EDUCAÇÃO FÍSICA ESCOLAR</v>
      </c>
      <c r="AY103" s="27" t="str">
        <f ca="1">IFERROR(__xludf.DUMMYFUNCTION("""COMPUTED_VALUE"""),"PROFESSOR DE ESCOLA PARTICULAR")</f>
        <v>PROFESSOR DE ESCOLA PARTICULAR</v>
      </c>
      <c r="AZ103" s="27" t="str">
        <f ca="1">IFERROR(__xludf.DUMMYFUNCTION("""COMPUTED_VALUE"""),"GG")</f>
        <v>GG</v>
      </c>
      <c r="BA103" s="27"/>
      <c r="BB103" s="27"/>
      <c r="BC103" s="27" t="str">
        <f ca="1">IFERROR(__xludf.DUMMYFUNCTION("""COMPUTED_VALUE"""),"Não")</f>
        <v>Não</v>
      </c>
      <c r="BD103" s="27" t="str">
        <f ca="1">IFERROR(__xludf.DUMMYFUNCTION("""COMPUTED_VALUE"""),"Filho de um pedreiro e uma empregada doméstica , morador de periferias da cidade de Natal/RN, estudou nas escolas públicas e conseguiu passar no vestibular para a universidade Estadual do RN, fez especialização em educação física escola na Universidade fe"&amp;"deral do RN. Foi no Esporte que conseguiu alcançar os seus objetivos, foi no judo que fez a sua carreira profissional. Hoje faz o trabalho com crianças e jovens através do
Ensino das artes marciais.")</f>
        <v>Filho de um pedreiro e uma empregada doméstica , morador de periferias da cidade de Natal/RN, estudou nas escolas públicas e conseguiu passar no vestibular para a universidade Estadual do RN, fez especialização em educação física escola na Universidade federal do RN. Foi no Esporte que conseguiu alcançar os seus objetivos, foi no judo que fez a sua carreira profissional. Hoje faz o trabalho com crianças e jovens através do
Ensino das artes marciais.</v>
      </c>
      <c r="BE103" s="27"/>
      <c r="BF103" s="27"/>
      <c r="BG103" s="27" t="str">
        <f ca="1">IFERROR(__xludf.DUMMYFUNCTION("""COMPUTED_VALUE"""),"Ensino Superior - Completo")</f>
        <v>Ensino Superior - Completo</v>
      </c>
      <c r="BH103" s="27"/>
      <c r="BI103" s="27" t="str">
        <f ca="1">IFERROR(__xludf.DUMMYFUNCTION("""COMPUTED_VALUE"""),"Pós-Graduação")</f>
        <v>Pós-Graduação</v>
      </c>
      <c r="BJ103" s="27" t="str">
        <f ca="1">IFERROR(__xludf.DUMMYFUNCTION("""COMPUTED_VALUE"""),"Público")</f>
        <v>Público</v>
      </c>
      <c r="BK103" s="27" t="str">
        <f ca="1">IFERROR(__xludf.DUMMYFUNCTION("""COMPUTED_VALUE"""),"Rua Manoel de castro")</f>
        <v>Rua Manoel de castro</v>
      </c>
      <c r="BL103" s="27">
        <f ca="1">IFERROR(__xludf.DUMMYFUNCTION("""COMPUTED_VALUE"""),292)</f>
        <v>292</v>
      </c>
      <c r="BM103" s="27"/>
      <c r="BN103" s="27" t="str">
        <f ca="1">IFERROR(__xludf.DUMMYFUNCTION("""COMPUTED_VALUE"""),"Natal")</f>
        <v>Natal</v>
      </c>
      <c r="BO103" s="27" t="str">
        <f ca="1">IFERROR(__xludf.DUMMYFUNCTION("""COMPUTED_VALUE"""),"59070-700")</f>
        <v>59070-700</v>
      </c>
      <c r="BP103" s="27" t="str">
        <f ca="1">IFERROR(__xludf.DUMMYFUNCTION("""COMPUTED_VALUE"""),"RN")</f>
        <v>RN</v>
      </c>
      <c r="BQ103" s="27" t="str">
        <f ca="1">IFERROR(__xludf.DUMMYFUNCTION("""COMPUTED_VALUE"""),"Entre 1 até 3 salários mínimos")</f>
        <v>Entre 1 até 3 salários mínimos</v>
      </c>
      <c r="BR103" s="27" t="str">
        <f ca="1">IFERROR(__xludf.DUMMYFUNCTION("""COMPUTED_VALUE"""),"Desempregado")</f>
        <v>Desempregado</v>
      </c>
      <c r="BS103" s="27" t="str">
        <f ca="1">IFERROR(__xludf.DUMMYFUNCTION("""COMPUTED_VALUE"""),"Casa própria")</f>
        <v>Casa própria</v>
      </c>
      <c r="BT103" s="27">
        <f ca="1">IFERROR(__xludf.DUMMYFUNCTION("""COMPUTED_VALUE"""),4)</f>
        <v>4</v>
      </c>
      <c r="BU103" s="27"/>
      <c r="BV103" s="27"/>
      <c r="BW103" s="27"/>
      <c r="BX103" s="27" t="str">
        <f ca="1">IFERROR(__xludf.DUMMYFUNCTION("""COMPUTED_VALUE"""),"@alexandresensey")</f>
        <v>@alexandresensey</v>
      </c>
      <c r="BY103" s="21" t="str">
        <f ca="1">IFERROR(__xludf.DUMMYFUNCTION("""COMPUTED_VALUE"""),"https://drive.google.com/open?id=1CU1IEK8P-Xbi3pJFi5C5NqoN5412bsr5")</f>
        <v>https://drive.google.com/open?id=1CU1IEK8P-Xbi3pJFi5C5NqoN5412bsr5</v>
      </c>
    </row>
    <row r="104" spans="1:77" ht="12.5" hidden="1" x14ac:dyDescent="0.25">
      <c r="A104" s="21" t="str">
        <f ca="1">IFERROR(__xludf.DUMMYFUNCTION("""COMPUTED_VALUE"""),"0014P00003YSp9WQAT")</f>
        <v>0014P00003YSp9WQAT</v>
      </c>
      <c r="B104" s="27" t="str">
        <f ca="1">IFERROR(__xludf.DUMMYFUNCTION("""COMPUTED_VALUE"""),"Fase Inicial")</f>
        <v>Fase Inicial</v>
      </c>
      <c r="C104" s="27" t="str">
        <f ca="1">IFERROR(__xludf.DUMMYFUNCTION("""COMPUTED_VALUE"""),"Fellow")</f>
        <v>Fellow</v>
      </c>
      <c r="D104" s="27" t="str">
        <f ca="1">IFERROR(__xludf.DUMMYFUNCTION("""COMPUTED_VALUE"""),"Ativo")</f>
        <v>Ativo</v>
      </c>
      <c r="E104" s="27" t="str">
        <f ca="1">IFERROR(__xludf.DUMMYFUNCTION("""COMPUTED_VALUE"""),"ASSOCIACAO GIBI ESPORTE E EDUCACAO")</f>
        <v>ASSOCIACAO GIBI ESPORTE E EDUCACAO</v>
      </c>
      <c r="F104" s="27" t="str">
        <f ca="1">IFERROR(__xludf.DUMMYFUNCTION("""COMPUTED_VALUE"""),"Eduardo")</f>
        <v>Eduardo</v>
      </c>
      <c r="G104" s="27"/>
      <c r="H104" s="27" t="str">
        <f ca="1">IFERROR(__xludf.DUMMYFUNCTION("""COMPUTED_VALUE"""),"32.308.584/0001-53")</f>
        <v>32.308.584/0001-53</v>
      </c>
      <c r="I104" s="27" t="str">
        <f ca="1">IFERROR(__xludf.DUMMYFUNCTION("""COMPUTED_VALUE"""),"Antonio Cruz de Jesus")</f>
        <v>Antonio Cruz de Jesus</v>
      </c>
      <c r="J104" s="27" t="str">
        <f ca="1">IFERROR(__xludf.DUMMYFUNCTION("""COMPUTED_VALUE"""),"administrador@gibiesporteeducacao.org.br")</f>
        <v>administrador@gibiesporteeducacao.org.br</v>
      </c>
      <c r="K104" s="27" t="str">
        <f ca="1">IFERROR(__xludf.DUMMYFUNCTION("""COMPUTED_VALUE"""),"(11)96566-5248")</f>
        <v>(11)96566-5248</v>
      </c>
      <c r="L104" s="27" t="str">
        <f ca="1">IFERROR(__xludf.DUMMYFUNCTION("""COMPUTED_VALUE"""),"SP")</f>
        <v>SP</v>
      </c>
      <c r="M104" s="27" t="str">
        <f ca="1">IFERROR(__xludf.DUMMYFUNCTION("""COMPUTED_VALUE"""),"RUA SATI NAKAMURA, 200")</f>
        <v>RUA SATI NAKAMURA, 200</v>
      </c>
      <c r="N104" s="27" t="str">
        <f ca="1">IFERROR(__xludf.DUMMYFUNCTION("""COMPUTED_VALUE"""),"São Judas")</f>
        <v>São Judas</v>
      </c>
      <c r="O104" s="27">
        <f ca="1">IFERROR(__xludf.DUMMYFUNCTION("""COMPUTED_VALUE"""),200)</f>
        <v>200</v>
      </c>
      <c r="P104" s="27" t="str">
        <f ca="1">IFERROR(__xludf.DUMMYFUNCTION("""COMPUTED_VALUE"""),"Taboão da Serra")</f>
        <v>Taboão da Serra</v>
      </c>
      <c r="Q104" s="27"/>
      <c r="R104" s="27" t="str">
        <f ca="1">IFERROR(__xludf.DUMMYFUNCTION("""COMPUTED_VALUE"""),"06786-480")</f>
        <v>06786-480</v>
      </c>
      <c r="S104" s="27"/>
      <c r="T104" s="27" t="str">
        <f ca="1">IFERROR(__xludf.DUMMYFUNCTION("""COMPUTED_VALUE"""),"Esporte; Educação; Assistência Social; Cultura")</f>
        <v>Esporte; Educação; Assistência Social; Cultura</v>
      </c>
      <c r="U104"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104" s="27" t="str">
        <f ca="1">IFERROR(__xludf.DUMMYFUNCTION("""COMPUTED_VALUE"""),"Moradores de Favelas; Pessoas em situação de rua; População LGBTQ+; Povos Indígenas; Quilombola; Afrodescendentes; Dependentes Químicos; Pessoas com Deficiência; Egressos sistema carcerário; Imigrantes; Refugiados; Ribeirinhos; Comunidade rural; Outros")</f>
        <v>Moradores de Favelas; Pessoas em situação de rua; População LGBTQ+; Povos Indígenas; Quilombola; Afrodescendentes; Dependentes Químicos; Pessoas com Deficiência; Egressos sistema carcerário; Imigrantes; Refugiados; Ribeirinhos; Comunidade rural; Outros</v>
      </c>
      <c r="W104" s="27">
        <f ca="1">IFERROR(__xludf.DUMMYFUNCTION("""COMPUTED_VALUE"""),10)</f>
        <v>10</v>
      </c>
      <c r="X104" s="27"/>
      <c r="Y104" s="27"/>
      <c r="Z104" s="27">
        <f ca="1">IFERROR(__xludf.DUMMYFUNCTION("""COMPUTED_VALUE"""),320)</f>
        <v>320</v>
      </c>
      <c r="AA104" s="29">
        <f ca="1">IFERROR(__xludf.DUMMYFUNCTION("""COMPUTED_VALUE"""),43293)</f>
        <v>43293</v>
      </c>
      <c r="AB104" s="27" t="str">
        <f ca="1">IFERROR(__xludf.DUMMYFUNCTION("""COMPUTED_VALUE"""),"Sim")</f>
        <v>Sim</v>
      </c>
      <c r="AC104" s="27">
        <f ca="1">IFERROR(__xludf.DUMMYFUNCTION("""COMPUTED_VALUE"""),0)</f>
        <v>0</v>
      </c>
      <c r="AD104" s="27">
        <f ca="1">IFERROR(__xludf.DUMMYFUNCTION("""COMPUTED_VALUE"""),0)</f>
        <v>0</v>
      </c>
      <c r="AE104" s="27">
        <f ca="1">IFERROR(__xludf.DUMMYFUNCTION("""COMPUTED_VALUE"""),12)</f>
        <v>12</v>
      </c>
      <c r="AF104" s="27">
        <f ca="1">IFERROR(__xludf.DUMMYFUNCTION("""COMPUTED_VALUE"""),5)</f>
        <v>5</v>
      </c>
      <c r="AG104" s="27">
        <f ca="1">IFERROR(__xludf.DUMMYFUNCTION("""COMPUTED_VALUE"""),4)</f>
        <v>4</v>
      </c>
      <c r="AH104" s="27" t="str">
        <f ca="1">IFERROR(__xludf.DUMMYFUNCTION("""COMPUTED_VALUE"""),"Lei de Incentivo; Editais; Doações; Lei Estadual da Cultura; Lei Municipal da Cultura; Lei Estadual do Esporte; Lei Federal do Esporte; Recursos próprios")</f>
        <v>Lei de Incentivo; Editais; Doações; Lei Estadual da Cultura; Lei Municipal da Cultura; Lei Estadual do Esporte; Lei Federal do Esporte; Recursos próprios</v>
      </c>
      <c r="AI104" s="31">
        <f ca="1">IFERROR(__xludf.DUMMYFUNCTION("""COMPUTED_VALUE"""),0)</f>
        <v>0</v>
      </c>
      <c r="AJ104" s="27"/>
      <c r="AK104" s="27"/>
      <c r="AL104" s="21" t="str">
        <f ca="1">IFERROR(__xludf.DUMMYFUNCTION("""COMPUTED_VALUE"""),"0034P000045kxk8")</f>
        <v>0034P000045kxk8</v>
      </c>
      <c r="AM104" s="27" t="str">
        <f ca="1">IFERROR(__xludf.DUMMYFUNCTION("""COMPUTED_VALUE"""),"De Jesus Santos")</f>
        <v>De Jesus Santos</v>
      </c>
      <c r="AN104" s="27" t="str">
        <f ca="1">IFERROR(__xludf.DUMMYFUNCTION("""COMPUTED_VALUE"""),"Ativo")</f>
        <v>Ativo</v>
      </c>
      <c r="AO104" s="30">
        <f ca="1">IFERROR(__xludf.DUMMYFUNCTION("""COMPUTED_VALUE"""),44551)</f>
        <v>44551</v>
      </c>
      <c r="AP104" s="27">
        <f ca="1">IFERROR(__xludf.DUMMYFUNCTION("""COMPUTED_VALUE"""),9)</f>
        <v>9</v>
      </c>
      <c r="AQ104" s="27" t="str">
        <f ca="1">IFERROR(__xludf.DUMMYFUNCTION("""COMPUTED_VALUE"""),"Segundo Semestre 2021")</f>
        <v>Segundo Semestre 2021</v>
      </c>
      <c r="AR104" s="27" t="str">
        <f ca="1">IFERROR(__xludf.DUMMYFUNCTION("""COMPUTED_VALUE"""),"administrador@gibiesporteeducacao.org.br")</f>
        <v>administrador@gibiesporteeducacao.org.br</v>
      </c>
      <c r="AS104" s="27" t="str">
        <f ca="1">IFERROR(__xludf.DUMMYFUNCTION("""COMPUTED_VALUE"""),"(11)98931-6491")</f>
        <v>(11)98931-6491</v>
      </c>
      <c r="AT104" s="29">
        <f ca="1">IFERROR(__xludf.DUMMYFUNCTION("""COMPUTED_VALUE"""),35267)</f>
        <v>35267</v>
      </c>
      <c r="AU104" s="27">
        <f ca="1">IFERROR(__xludf.DUMMYFUNCTION("""COMPUTED_VALUE"""),26)</f>
        <v>26</v>
      </c>
      <c r="AV104" s="27">
        <f ca="1">IFERROR(__xludf.DUMMYFUNCTION("""COMPUTED_VALUE"""),44709525838)</f>
        <v>44709525838</v>
      </c>
      <c r="AW104" s="27">
        <f ca="1">IFERROR(__xludf.DUMMYFUNCTION("""COMPUTED_VALUE"""),453787599)</f>
        <v>453787599</v>
      </c>
      <c r="AX104" s="27"/>
      <c r="AY104" s="27"/>
      <c r="AZ104" s="27" t="str">
        <f ca="1">IFERROR(__xludf.DUMMYFUNCTION("""COMPUTED_VALUE"""),"G")</f>
        <v>G</v>
      </c>
      <c r="BA104" s="27" t="str">
        <f ca="1">IFERROR(__xludf.DUMMYFUNCTION("""COMPUTED_VALUE"""),"Preta")</f>
        <v>Preta</v>
      </c>
      <c r="BB104" s="27" t="str">
        <f ca="1">IFERROR(__xludf.DUMMYFUNCTION("""COMPUTED_VALUE"""),"Homem, cisgênero")</f>
        <v>Homem, cisgênero</v>
      </c>
      <c r="BC104" s="27" t="str">
        <f ca="1">IFERROR(__xludf.DUMMYFUNCTION("""COMPUTED_VALUE"""),"Sim")</f>
        <v>Sim</v>
      </c>
      <c r="BD104" s="27" t="str">
        <f ca="1">IFERROR(__xludf.DUMMYFUNCTION("""COMPUTED_VALUE"""),"Empreendedor Social e Administrador - Sou de Taboão da Serra - SP")</f>
        <v>Empreendedor Social e Administrador - Sou de Taboão da Serra - SP</v>
      </c>
      <c r="BE104" s="27"/>
      <c r="BF104" s="27" t="str">
        <f ca="1">IFERROR(__xludf.DUMMYFUNCTION("""COMPUTED_VALUE"""),"Heterossexual")</f>
        <v>Heterossexual</v>
      </c>
      <c r="BG104" s="27" t="str">
        <f ca="1">IFERROR(__xludf.DUMMYFUNCTION("""COMPUTED_VALUE"""),"Ensino Superior - Completo")</f>
        <v>Ensino Superior - Completo</v>
      </c>
      <c r="BH104" s="27" t="str">
        <f ca="1">IFERROR(__xludf.DUMMYFUNCTION("""COMPUTED_VALUE"""),"Público")</f>
        <v>Público</v>
      </c>
      <c r="BI104" s="27" t="str">
        <f ca="1">IFERROR(__xludf.DUMMYFUNCTION("""COMPUTED_VALUE"""),"Graduação")</f>
        <v>Graduação</v>
      </c>
      <c r="BJ104" s="27" t="str">
        <f ca="1">IFERROR(__xludf.DUMMYFUNCTION("""COMPUTED_VALUE"""),"Privado")</f>
        <v>Privado</v>
      </c>
      <c r="BK104" s="27" t="str">
        <f ca="1">IFERROR(__xludf.DUMMYFUNCTION("""COMPUTED_VALUE"""),"Guararema")</f>
        <v>Guararema</v>
      </c>
      <c r="BL104" s="27">
        <f ca="1">IFERROR(__xludf.DUMMYFUNCTION("""COMPUTED_VALUE"""),11)</f>
        <v>11</v>
      </c>
      <c r="BM104" s="27" t="str">
        <f ca="1">IFERROR(__xludf.DUMMYFUNCTION("""COMPUTED_VALUE"""),"Casa 4")</f>
        <v>Casa 4</v>
      </c>
      <c r="BN104" s="27" t="str">
        <f ca="1">IFERROR(__xludf.DUMMYFUNCTION("""COMPUTED_VALUE"""),"Taboão da Serra")</f>
        <v>Taboão da Serra</v>
      </c>
      <c r="BO104" s="27" t="str">
        <f ca="1">IFERROR(__xludf.DUMMYFUNCTION("""COMPUTED_VALUE"""),"06786-410")</f>
        <v>06786-410</v>
      </c>
      <c r="BP104" s="27" t="str">
        <f ca="1">IFERROR(__xludf.DUMMYFUNCTION("""COMPUTED_VALUE"""),"SP")</f>
        <v>SP</v>
      </c>
      <c r="BQ104" s="27" t="str">
        <f ca="1">IFERROR(__xludf.DUMMYFUNCTION("""COMPUTED_VALUE"""),"Entre 1 até 3 salários mínimos")</f>
        <v>Entre 1 até 3 salários mínimos</v>
      </c>
      <c r="BR104" s="27" t="str">
        <f ca="1">IFERROR(__xludf.DUMMYFUNCTION("""COMPUTED_VALUE"""),"Trabalho informal")</f>
        <v>Trabalho informal</v>
      </c>
      <c r="BS104" s="27" t="str">
        <f ca="1">IFERROR(__xludf.DUMMYFUNCTION("""COMPUTED_VALUE"""),"Aluguel")</f>
        <v>Aluguel</v>
      </c>
      <c r="BT104" s="27">
        <f ca="1">IFERROR(__xludf.DUMMYFUNCTION("""COMPUTED_VALUE"""),1)</f>
        <v>1</v>
      </c>
      <c r="BU104" s="27" t="str">
        <f ca="1">IFERROR(__xludf.DUMMYFUNCTION("""COMPUTED_VALUE"""),"Não tem")</f>
        <v>Não tem</v>
      </c>
      <c r="BV104" s="27"/>
      <c r="BW104" s="21" t="str">
        <f ca="1">IFERROR(__xludf.DUMMYFUNCTION("""COMPUTED_VALUE"""),"https://br.linkedin.com/in/eduardo-de-jesus-santos-aa554a11a")</f>
        <v>https://br.linkedin.com/in/eduardo-de-jesus-santos-aa554a11a</v>
      </c>
      <c r="BX104" s="21" t="str">
        <f ca="1">IFERROR(__xludf.DUMMYFUNCTION("""COMPUTED_VALUE"""),"https://www.instagram.com/dhujesus/")</f>
        <v>https://www.instagram.com/dhujesus/</v>
      </c>
      <c r="BY104" s="21" t="str">
        <f ca="1">IFERROR(__xludf.DUMMYFUNCTION("""COMPUTED_VALUE"""),"https://drive.google.com/open?id=1k4ZYioVvl1zheiSss8wPkYSzfL12DhI2")</f>
        <v>https://drive.google.com/open?id=1k4ZYioVvl1zheiSss8wPkYSzfL12DhI2</v>
      </c>
    </row>
    <row r="105" spans="1:77" ht="12.5" x14ac:dyDescent="0.25">
      <c r="A105" s="21" t="str">
        <f ca="1">IFERROR(__xludf.DUMMYFUNCTION("""COMPUTED_VALUE"""),"0014P00003SGWPfQAP")</f>
        <v>0014P00003SGWPfQAP</v>
      </c>
      <c r="B105" s="27" t="str">
        <f ca="1">IFERROR(__xludf.DUMMYFUNCTION("""COMPUTED_VALUE"""),"Fase Inicial")</f>
        <v>Fase Inicial</v>
      </c>
      <c r="C105" s="27" t="str">
        <f ca="1">IFERROR(__xludf.DUMMYFUNCTION("""COMPUTED_VALUE"""),"Fellow")</f>
        <v>Fellow</v>
      </c>
      <c r="D105" s="27" t="str">
        <f ca="1">IFERROR(__xludf.DUMMYFUNCTION("""COMPUTED_VALUE"""),"Ativo")</f>
        <v>Ativo</v>
      </c>
      <c r="E105" s="27" t="str">
        <f ca="1">IFERROR(__xludf.DUMMYFUNCTION("""COMPUTED_VALUE"""),"ASSOCIAÇÃO GRUPO DE ASSISTÊNCIA INTEGRAL À INFÂNCIA E ADOLESCÊNCIA")</f>
        <v>ASSOCIAÇÃO GRUPO DE ASSISTÊNCIA INTEGRAL À INFÂNCIA E ADOLESCÊNCIA</v>
      </c>
      <c r="F105" s="27" t="str">
        <f ca="1">IFERROR(__xludf.DUMMYFUNCTION("""COMPUTED_VALUE"""),"Francilaine")</f>
        <v>Francilaine</v>
      </c>
      <c r="G105" s="27" t="str">
        <f ca="1">IFERROR(__xludf.DUMMYFUNCTION("""COMPUTED_VALUE"""),"GRUPO DE ASSISTÊNCIA")</f>
        <v>GRUPO DE ASSISTÊNCIA</v>
      </c>
      <c r="H105" s="27" t="str">
        <f ca="1">IFERROR(__xludf.DUMMYFUNCTION("""COMPUTED_VALUE"""),"18.451.148/0001-08")</f>
        <v>18.451.148/0001-08</v>
      </c>
      <c r="I105" s="27" t="str">
        <f ca="1">IFERROR(__xludf.DUMMYFUNCTION("""COMPUTED_VALUE"""),"Francilaine Nunes Araújo Melo")</f>
        <v>Francilaine Nunes Araújo Melo</v>
      </c>
      <c r="J105" s="27" t="str">
        <f ca="1">IFERROR(__xludf.DUMMYFUNCTION("""COMPUTED_VALUE"""),"institutogaiia@gmail.com")</f>
        <v>institutogaiia@gmail.com</v>
      </c>
      <c r="K105" s="27" t="str">
        <f ca="1">IFERROR(__xludf.DUMMYFUNCTION("""COMPUTED_VALUE"""),"(32)9932-1867")</f>
        <v>(32)9932-1867</v>
      </c>
      <c r="L105" s="27" t="str">
        <f ca="1">IFERROR(__xludf.DUMMYFUNCTION("""COMPUTED_VALUE"""),"MG")</f>
        <v>MG</v>
      </c>
      <c r="M105" s="27" t="str">
        <f ca="1">IFERROR(__xludf.DUMMYFUNCTION("""COMPUTED_VALUE"""),"Rua Aurelino Costa, 210")</f>
        <v>Rua Aurelino Costa, 210</v>
      </c>
      <c r="N105" s="27" t="str">
        <f ca="1">IFERROR(__xludf.DUMMYFUNCTION("""COMPUTED_VALUE"""),"São Francisco")</f>
        <v>São Francisco</v>
      </c>
      <c r="O105" s="27" t="str">
        <f ca="1">IFERROR(__xludf.DUMMYFUNCTION("""COMPUTED_VALUE"""),"(32)99150-3670")</f>
        <v>(32)99150-3670</v>
      </c>
      <c r="P105" s="27" t="str">
        <f ca="1">IFERROR(__xludf.DUMMYFUNCTION("""COMPUTED_VALUE"""),"Carandai")</f>
        <v>Carandai</v>
      </c>
      <c r="Q105" s="27"/>
      <c r="R105" s="27" t="str">
        <f ca="1">IFERROR(__xludf.DUMMYFUNCTION("""COMPUTED_VALUE"""),"36280-003")</f>
        <v>36280-003</v>
      </c>
      <c r="S105" s="27"/>
      <c r="T105" s="27" t="str">
        <f ca="1">IFERROR(__xludf.DUMMYFUNCTION("""COMPUTED_VALUE"""),"Esporte; Educação; Assistência Social; Cultura")</f>
        <v>Esporte; Educação; Assistência Social; Cultura</v>
      </c>
      <c r="U105" s="27" t="str">
        <f ca="1">IFERROR(__xludf.DUMMYFUNCTION("""COMPUTED_VALUE"""),"Crianças pequenas (4 anos a 5 anos e 11 meses); Crianças (6 a 12 anos); Adolescentes (12 aos 18 anos); Jovens (18 aos 24 anos)")</f>
        <v>Crianças pequenas (4 anos a 5 anos e 11 meses); Crianças (6 a 12 anos); Adolescentes (12 aos 18 anos); Jovens (18 aos 24 anos)</v>
      </c>
      <c r="V105" s="27" t="str">
        <f ca="1">IFERROR(__xludf.DUMMYFUNCTION("""COMPUTED_VALUE"""),"Outros")</f>
        <v>Outros</v>
      </c>
      <c r="W105" s="27">
        <f ca="1">IFERROR(__xludf.DUMMYFUNCTION("""COMPUTED_VALUE"""),30)</f>
        <v>30</v>
      </c>
      <c r="X105" s="27" t="str">
        <f ca="1">IFERROR(__xludf.DUMMYFUNCTION("""COMPUTED_VALUE"""),"Pessoas em situação de vulnerabilidade social")</f>
        <v>Pessoas em situação de vulnerabilidade social</v>
      </c>
      <c r="Y105" s="27">
        <f ca="1">IFERROR(__xludf.DUMMYFUNCTION("""COMPUTED_VALUE"""),100)</f>
        <v>100</v>
      </c>
      <c r="Z105" s="27">
        <f ca="1">IFERROR(__xludf.DUMMYFUNCTION("""COMPUTED_VALUE"""),1600)</f>
        <v>1600</v>
      </c>
      <c r="AA105" s="29">
        <f ca="1">IFERROR(__xludf.DUMMYFUNCTION("""COMPUTED_VALUE"""),41392)</f>
        <v>41392</v>
      </c>
      <c r="AB105" s="27" t="str">
        <f ca="1">IFERROR(__xludf.DUMMYFUNCTION("""COMPUTED_VALUE"""),"Sim")</f>
        <v>Sim</v>
      </c>
      <c r="AC105" s="27">
        <f ca="1">IFERROR(__xludf.DUMMYFUNCTION("""COMPUTED_VALUE"""),0)</f>
        <v>0</v>
      </c>
      <c r="AD105" s="27">
        <f ca="1">IFERROR(__xludf.DUMMYFUNCTION("""COMPUTED_VALUE"""),0)</f>
        <v>0</v>
      </c>
      <c r="AE105" s="27">
        <f ca="1">IFERROR(__xludf.DUMMYFUNCTION("""COMPUTED_VALUE"""),8)</f>
        <v>8</v>
      </c>
      <c r="AF105" s="27">
        <f ca="1">IFERROR(__xludf.DUMMYFUNCTION("""COMPUTED_VALUE"""),2)</f>
        <v>2</v>
      </c>
      <c r="AG105" s="27">
        <f ca="1">IFERROR(__xludf.DUMMYFUNCTION("""COMPUTED_VALUE"""),3)</f>
        <v>3</v>
      </c>
      <c r="AH105" s="27" t="str">
        <f ca="1">IFERROR(__xludf.DUMMYFUNCTION("""COMPUTED_VALUE"""),"Eventos/Ações para captação; Parceria iniciativa privada; Doações; Lei Municipal da Cultura; FIA")</f>
        <v>Eventos/Ações para captação; Parceria iniciativa privada; Doações; Lei Municipal da Cultura; FIA</v>
      </c>
      <c r="AI105" s="27" t="str">
        <f ca="1">IFERROR(__xludf.DUMMYFUNCTION("""COMPUTED_VALUE"""),"FIA 50%, Lei Municipal da Cultura 10%, doações MP 10%, captação de recursos PF 30%")</f>
        <v>FIA 50%, Lei Municipal da Cultura 10%, doações MP 10%, captação de recursos PF 30%</v>
      </c>
      <c r="AJ105" s="27" t="str">
        <f ca="1">IFERROR(__xludf.DUMMYFUNCTION("""COMPUTED_VALUE"""),"Não")</f>
        <v>Não</v>
      </c>
      <c r="AK105" s="27" t="str">
        <f ca="1">IFERROR(__xludf.DUMMYFUNCTION("""COMPUTED_VALUE"""),"Não")</f>
        <v>Não</v>
      </c>
      <c r="AL105" s="21" t="str">
        <f ca="1">IFERROR(__xludf.DUMMYFUNCTION("""COMPUTED_VALUE"""),"0034P000043fOnm")</f>
        <v>0034P000043fOnm</v>
      </c>
      <c r="AM105" s="27" t="str">
        <f ca="1">IFERROR(__xludf.DUMMYFUNCTION("""COMPUTED_VALUE"""),"N|Unes Araújo Melo")</f>
        <v>N|Unes Araújo Melo</v>
      </c>
      <c r="AN105" s="27" t="str">
        <f ca="1">IFERROR(__xludf.DUMMYFUNCTION("""COMPUTED_VALUE"""),"Ativo")</f>
        <v>Ativo</v>
      </c>
      <c r="AO105" s="29">
        <f ca="1">IFERROR(__xludf.DUMMYFUNCTION("""COMPUTED_VALUE"""),44432)</f>
        <v>44432</v>
      </c>
      <c r="AP105" s="27">
        <f ca="1">IFERROR(__xludf.DUMMYFUNCTION("""COMPUTED_VALUE"""),13)</f>
        <v>13</v>
      </c>
      <c r="AQ105" s="27" t="str">
        <f ca="1">IFERROR(__xludf.DUMMYFUNCTION("""COMPUTED_VALUE"""),"Primeiro Semestre 2021")</f>
        <v>Primeiro Semestre 2021</v>
      </c>
      <c r="AR105" s="27" t="str">
        <f ca="1">IFERROR(__xludf.DUMMYFUNCTION("""COMPUTED_VALUE"""),"laineasocial@gmail.com")</f>
        <v>laineasocial@gmail.com</v>
      </c>
      <c r="AS105" s="27" t="str">
        <f ca="1">IFERROR(__xludf.DUMMYFUNCTION("""COMPUTED_VALUE"""),"(32)99150-3670")</f>
        <v>(32)99150-3670</v>
      </c>
      <c r="AT105" s="29">
        <f ca="1">IFERROR(__xludf.DUMMYFUNCTION("""COMPUTED_VALUE"""),28038)</f>
        <v>28038</v>
      </c>
      <c r="AU105" s="27">
        <f ca="1">IFERROR(__xludf.DUMMYFUNCTION("""COMPUTED_VALUE"""),46)</f>
        <v>46</v>
      </c>
      <c r="AV105" s="27">
        <f ca="1">IFERROR(__xludf.DUMMYFUNCTION("""COMPUTED_VALUE"""),3020000629)</f>
        <v>3020000629</v>
      </c>
      <c r="AW105" s="27">
        <f ca="1">IFERROR(__xludf.DUMMYFUNCTION("""COMPUTED_VALUE"""),385871582)</f>
        <v>385871582</v>
      </c>
      <c r="AX105" s="27" t="str">
        <f ca="1">IFERROR(__xludf.DUMMYFUNCTION("""COMPUTED_VALUE"""),"Serviço Social Gestão De Políticas Públicas E Sociais")</f>
        <v>Serviço Social Gestão De Políticas Públicas E Sociais</v>
      </c>
      <c r="AY105" s="27" t="str">
        <f ca="1">IFERROR(__xludf.DUMMYFUNCTION("""COMPUTED_VALUE"""),"Prefeitura de Carandaí e APAE")</f>
        <v>Prefeitura de Carandaí e APAE</v>
      </c>
      <c r="AZ105" s="27" t="str">
        <f ca="1">IFERROR(__xludf.DUMMYFUNCTION("""COMPUTED_VALUE"""),"P")</f>
        <v>P</v>
      </c>
      <c r="BA105" s="27" t="str">
        <f ca="1">IFERROR(__xludf.DUMMYFUNCTION("""COMPUTED_VALUE"""),"Preta")</f>
        <v>Preta</v>
      </c>
      <c r="BB105" s="27"/>
      <c r="BC105" s="27" t="str">
        <f ca="1">IFERROR(__xludf.DUMMYFUNCTION("""COMPUTED_VALUE"""),"Não")</f>
        <v>Não</v>
      </c>
      <c r="BD105" s="27" t="str">
        <f ca="1">IFERROR(__xludf.DUMMYFUNCTION("""COMPUTED_VALUE"""),"Casada há 23 anos, mãe de dois filhos adolescentes. Assistente social na prefeitura municipal de Carandai e na APAE, assistente social e coordenadora do centro dia de referência para pessoas com deficiência, cofundadora e atual presidente do Instituto GAI"&amp;"IA.")</f>
        <v>Casada há 23 anos, mãe de dois filhos adolescentes. Assistente social na prefeitura municipal de Carandai e na APAE, assistente social e coordenadora do centro dia de referência para pessoas com deficiência, cofundadora e atual presidente do Instituto GAIIA.</v>
      </c>
      <c r="BE105" s="27" t="str">
        <f ca="1">IFERROR(__xludf.DUMMYFUNCTION("""COMPUTED_VALUE"""),"Feminino")</f>
        <v>Feminino</v>
      </c>
      <c r="BF105" s="27" t="str">
        <f ca="1">IFERROR(__xludf.DUMMYFUNCTION("""COMPUTED_VALUE"""),"Heterossexual")</f>
        <v>Heterossexual</v>
      </c>
      <c r="BG105" s="27" t="str">
        <f ca="1">IFERROR(__xludf.DUMMYFUNCTION("""COMPUTED_VALUE"""),"Ensino Superior - Completo")</f>
        <v>Ensino Superior - Completo</v>
      </c>
      <c r="BH105" s="27"/>
      <c r="BI105" s="27" t="str">
        <f ca="1">IFERROR(__xludf.DUMMYFUNCTION("""COMPUTED_VALUE"""),"Pós-Graduação")</f>
        <v>Pós-Graduação</v>
      </c>
      <c r="BJ105" s="27" t="str">
        <f ca="1">IFERROR(__xludf.DUMMYFUNCTION("""COMPUTED_VALUE"""),"Privado")</f>
        <v>Privado</v>
      </c>
      <c r="BK105" s="27" t="str">
        <f ca="1">IFERROR(__xludf.DUMMYFUNCTION("""COMPUTED_VALUE"""),"Juca Fonseca")</f>
        <v>Juca Fonseca</v>
      </c>
      <c r="BL105" s="27">
        <f ca="1">IFERROR(__xludf.DUMMYFUNCTION("""COMPUTED_VALUE"""),79)</f>
        <v>79</v>
      </c>
      <c r="BM105" s="27">
        <f ca="1">IFERROR(__xludf.DUMMYFUNCTION("""COMPUTED_VALUE"""),301)</f>
        <v>301</v>
      </c>
      <c r="BN105" s="27" t="str">
        <f ca="1">IFERROR(__xludf.DUMMYFUNCTION("""COMPUTED_VALUE"""),"Carandai")</f>
        <v>Carandai</v>
      </c>
      <c r="BO105" s="27" t="str">
        <f ca="1">IFERROR(__xludf.DUMMYFUNCTION("""COMPUTED_VALUE"""),"36284-085")</f>
        <v>36284-085</v>
      </c>
      <c r="BP105" s="27" t="str">
        <f ca="1">IFERROR(__xludf.DUMMYFUNCTION("""COMPUTED_VALUE"""),"MG")</f>
        <v>MG</v>
      </c>
      <c r="BQ105" s="27" t="str">
        <f ca="1">IFERROR(__xludf.DUMMYFUNCTION("""COMPUTED_VALUE"""),"Acima de 5 salários mínimos")</f>
        <v>Acima de 5 salários mínimos</v>
      </c>
      <c r="BR105" s="27" t="str">
        <f ca="1">IFERROR(__xludf.DUMMYFUNCTION("""COMPUTED_VALUE"""),"CLT; Funcionário Público")</f>
        <v>CLT; Funcionário Público</v>
      </c>
      <c r="BS105" s="27" t="str">
        <f ca="1">IFERROR(__xludf.DUMMYFUNCTION("""COMPUTED_VALUE"""),"Aluguel")</f>
        <v>Aluguel</v>
      </c>
      <c r="BT105" s="27">
        <f ca="1">IFERROR(__xludf.DUMMYFUNCTION("""COMPUTED_VALUE"""),4)</f>
        <v>4</v>
      </c>
      <c r="BU105" s="27"/>
      <c r="BV105" s="27"/>
      <c r="BW105" s="21" t="str">
        <f ca="1">IFERROR(__xludf.DUMMYFUNCTION("""COMPUTED_VALUE"""),"https://www.linkedin.com/in/francilaine-melo-856922212")</f>
        <v>https://www.linkedin.com/in/francilaine-melo-856922212</v>
      </c>
      <c r="BX105" s="27" t="str">
        <f ca="1">IFERROR(__xludf.DUMMYFUNCTION("""COMPUTED_VALUE"""),"francilaine_melo")</f>
        <v>francilaine_melo</v>
      </c>
      <c r="BY105" s="21" t="str">
        <f ca="1">IFERROR(__xludf.DUMMYFUNCTION("""COMPUTED_VALUE"""),"https://drive.google.com/open?id=16IYy5qXBrxY-OwS5phXTVQvS2aEbgIna")</f>
        <v>https://drive.google.com/open?id=16IYy5qXBrxY-OwS5phXTVQvS2aEbgIna</v>
      </c>
    </row>
    <row r="106" spans="1:77" ht="12.5" hidden="1" x14ac:dyDescent="0.25">
      <c r="A106" s="21" t="str">
        <f ca="1">IFERROR(__xludf.DUMMYFUNCTION("""COMPUTED_VALUE"""),"0014P00003YSp8zQAD")</f>
        <v>0014P00003YSp8zQAD</v>
      </c>
      <c r="B106" s="27" t="str">
        <f ca="1">IFERROR(__xludf.DUMMYFUNCTION("""COMPUTED_VALUE"""),"Fase Inicial")</f>
        <v>Fase Inicial</v>
      </c>
      <c r="C106" s="27" t="str">
        <f ca="1">IFERROR(__xludf.DUMMYFUNCTION("""COMPUTED_VALUE"""),"Fellow")</f>
        <v>Fellow</v>
      </c>
      <c r="D106" s="27" t="str">
        <f ca="1">IFERROR(__xludf.DUMMYFUNCTION("""COMPUTED_VALUE"""),"Ativo")</f>
        <v>Ativo</v>
      </c>
      <c r="E106" s="27" t="str">
        <f ca="1">IFERROR(__xludf.DUMMYFUNCTION("""COMPUTED_VALUE"""),"Associaçao Infancia e Familia")</f>
        <v>Associaçao Infancia e Familia</v>
      </c>
      <c r="F106" s="27" t="str">
        <f ca="1">IFERROR(__xludf.DUMMYFUNCTION("""COMPUTED_VALUE"""),"Monalisa")</f>
        <v>Monalisa</v>
      </c>
      <c r="G106" s="27"/>
      <c r="H106" s="27" t="str">
        <f ca="1">IFERROR(__xludf.DUMMYFUNCTION("""COMPUTED_VALUE"""),"06.192.162/0001-55")</f>
        <v>06.192.162/0001-55</v>
      </c>
      <c r="I106" s="27" t="str">
        <f ca="1">IFERROR(__xludf.DUMMYFUNCTION("""COMPUTED_VALUE"""),"Robson Diego Pontes")</f>
        <v>Robson Diego Pontes</v>
      </c>
      <c r="J106" s="27" t="str">
        <f ca="1">IFERROR(__xludf.DUMMYFUNCTION("""COMPUTED_VALUE"""),"associacaoinfam@gmail.com")</f>
        <v>associacaoinfam@gmail.com</v>
      </c>
      <c r="K106" s="27" t="str">
        <f ca="1">IFERROR(__xludf.DUMMYFUNCTION("""COMPUTED_VALUE"""),"(11)94681-1387")</f>
        <v>(11)94681-1387</v>
      </c>
      <c r="L106" s="27" t="str">
        <f ca="1">IFERROR(__xludf.DUMMYFUNCTION("""COMPUTED_VALUE"""),"SP")</f>
        <v>SP</v>
      </c>
      <c r="M106" s="27" t="str">
        <f ca="1">IFERROR(__xludf.DUMMYFUNCTION("""COMPUTED_VALUE"""),"Major Boa Ventura")</f>
        <v>Major Boa Ventura</v>
      </c>
      <c r="N106" s="27" t="str">
        <f ca="1">IFERROR(__xludf.DUMMYFUNCTION("""COMPUTED_VALUE"""),"Vila nhocune")</f>
        <v>Vila nhocune</v>
      </c>
      <c r="O106" s="27">
        <f ca="1">IFERROR(__xludf.DUMMYFUNCTION("""COMPUTED_VALUE"""),807)</f>
        <v>807</v>
      </c>
      <c r="P106" s="27" t="str">
        <f ca="1">IFERROR(__xludf.DUMMYFUNCTION("""COMPUTED_VALUE"""),"São Paulo")</f>
        <v>São Paulo</v>
      </c>
      <c r="Q106" s="27" t="str">
        <f ca="1">IFERROR(__xludf.DUMMYFUNCTION("""COMPUTED_VALUE"""),"Casa")</f>
        <v>Casa</v>
      </c>
      <c r="R106" s="27" t="str">
        <f ca="1">IFERROR(__xludf.DUMMYFUNCTION("""COMPUTED_VALUE"""),"03569-030")</f>
        <v>03569-030</v>
      </c>
      <c r="S106" s="27"/>
      <c r="T106" s="27" t="str">
        <f ca="1">IFERROR(__xludf.DUMMYFUNCTION("""COMPUTED_VALUE"""),"Esporte; Educação; Assistência Social; Cultura; Qualificação Profissional; Empoderamento Feminino")</f>
        <v>Esporte; Educação; Assistência Social; Cultura; Qualificação Profissional; Empoderamento Feminino</v>
      </c>
      <c r="U106"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106" s="27" t="str">
        <f ca="1">IFERROR(__xludf.DUMMYFUNCTION("""COMPUTED_VALUE"""),"Moradores de Favelas; Pessoas em situação de rua")</f>
        <v>Moradores de Favelas; Pessoas em situação de rua</v>
      </c>
      <c r="W106" s="27">
        <f ca="1">IFERROR(__xludf.DUMMYFUNCTION("""COMPUTED_VALUE"""),4)</f>
        <v>4</v>
      </c>
      <c r="X106" s="27"/>
      <c r="Y106" s="27"/>
      <c r="Z106" s="27">
        <f ca="1">IFERROR(__xludf.DUMMYFUNCTION("""COMPUTED_VALUE"""),350)</f>
        <v>350</v>
      </c>
      <c r="AA106" s="29">
        <f ca="1">IFERROR(__xludf.DUMMYFUNCTION("""COMPUTED_VALUE"""),38079)</f>
        <v>38079</v>
      </c>
      <c r="AB106" s="27" t="str">
        <f ca="1">IFERROR(__xludf.DUMMYFUNCTION("""COMPUTED_VALUE"""),"Sim")</f>
        <v>Sim</v>
      </c>
      <c r="AC106" s="27">
        <f ca="1">IFERROR(__xludf.DUMMYFUNCTION("""COMPUTED_VALUE"""),10)</f>
        <v>10</v>
      </c>
      <c r="AD106" s="27">
        <f ca="1">IFERROR(__xludf.DUMMYFUNCTION("""COMPUTED_VALUE"""),4)</f>
        <v>4</v>
      </c>
      <c r="AE106" s="27">
        <f ca="1">IFERROR(__xludf.DUMMYFUNCTION("""COMPUTED_VALUE"""),15)</f>
        <v>15</v>
      </c>
      <c r="AF106" s="27">
        <f ca="1">IFERROR(__xludf.DUMMYFUNCTION("""COMPUTED_VALUE"""),8)</f>
        <v>8</v>
      </c>
      <c r="AG106" s="27">
        <f ca="1">IFERROR(__xludf.DUMMYFUNCTION("""COMPUTED_VALUE"""),2)</f>
        <v>2</v>
      </c>
      <c r="AH106" s="27" t="str">
        <f ca="1">IFERROR(__xludf.DUMMYFUNCTION("""COMPUTED_VALUE"""),"Doações; Recursos próprios")</f>
        <v>Doações; Recursos próprios</v>
      </c>
      <c r="AI106" s="27" t="str">
        <f ca="1">IFERROR(__xludf.DUMMYFUNCTION("""COMPUTED_VALUE"""),"Nao temos")</f>
        <v>Nao temos</v>
      </c>
      <c r="AJ106" s="27"/>
      <c r="AK106" s="27"/>
      <c r="AL106" s="21" t="str">
        <f ca="1">IFERROR(__xludf.DUMMYFUNCTION("""COMPUTED_VALUE"""),"0034P000045kxjb")</f>
        <v>0034P000045kxjb</v>
      </c>
      <c r="AM106" s="27" t="str">
        <f ca="1">IFERROR(__xludf.DUMMYFUNCTION("""COMPUTED_VALUE"""),"Costa Silva")</f>
        <v>Costa Silva</v>
      </c>
      <c r="AN106" s="27" t="str">
        <f ca="1">IFERROR(__xludf.DUMMYFUNCTION("""COMPUTED_VALUE"""),"Ativo")</f>
        <v>Ativo</v>
      </c>
      <c r="AO106" s="30">
        <f ca="1">IFERROR(__xludf.DUMMYFUNCTION("""COMPUTED_VALUE"""),44551)</f>
        <v>44551</v>
      </c>
      <c r="AP106" s="27">
        <f ca="1">IFERROR(__xludf.DUMMYFUNCTION("""COMPUTED_VALUE"""),9)</f>
        <v>9</v>
      </c>
      <c r="AQ106" s="27" t="str">
        <f ca="1">IFERROR(__xludf.DUMMYFUNCTION("""COMPUTED_VALUE"""),"Segundo Semestre 2021")</f>
        <v>Segundo Semestre 2021</v>
      </c>
      <c r="AR106" s="27" t="str">
        <f ca="1">IFERROR(__xludf.DUMMYFUNCTION("""COMPUTED_VALUE"""),"pedagogamonalisa@gmail.com")</f>
        <v>pedagogamonalisa@gmail.com</v>
      </c>
      <c r="AS106" s="27" t="str">
        <f ca="1">IFERROR(__xludf.DUMMYFUNCTION("""COMPUTED_VALUE"""),"(11)94681-1387")</f>
        <v>(11)94681-1387</v>
      </c>
      <c r="AT106" s="30">
        <f ca="1">IFERROR(__xludf.DUMMYFUNCTION("""COMPUTED_VALUE"""),30296)</f>
        <v>30296</v>
      </c>
      <c r="AU106" s="27">
        <f ca="1">IFERROR(__xludf.DUMMYFUNCTION("""COMPUTED_VALUE"""),40)</f>
        <v>40</v>
      </c>
      <c r="AV106" s="27">
        <f ca="1">IFERROR(__xludf.DUMMYFUNCTION("""COMPUTED_VALUE"""),31108360840)</f>
        <v>31108360840</v>
      </c>
      <c r="AW106" s="27" t="str">
        <f ca="1">IFERROR(__xludf.DUMMYFUNCTION("""COMPUTED_VALUE"""),"34148846x")</f>
        <v>34148846x</v>
      </c>
      <c r="AX106" s="27"/>
      <c r="AY106" s="27"/>
      <c r="AZ106" s="27" t="str">
        <f ca="1">IFERROR(__xludf.DUMMYFUNCTION("""COMPUTED_VALUE"""),"G")</f>
        <v>G</v>
      </c>
      <c r="BA106" s="27" t="str">
        <f ca="1">IFERROR(__xludf.DUMMYFUNCTION("""COMPUTED_VALUE"""),"Preta")</f>
        <v>Preta</v>
      </c>
      <c r="BB106" s="27" t="str">
        <f ca="1">IFERROR(__xludf.DUMMYFUNCTION("""COMPUTED_VALUE"""),"Mulher, cisgênero")</f>
        <v>Mulher, cisgênero</v>
      </c>
      <c r="BC106" s="27" t="str">
        <f ca="1">IFERROR(__xludf.DUMMYFUNCTION("""COMPUTED_VALUE"""),"Não")</f>
        <v>Não</v>
      </c>
      <c r="BD106" s="27" t="str">
        <f ca="1">IFERROR(__xludf.DUMMYFUNCTION("""COMPUTED_VALUE"""),"Monalisa , evangélica 39 anos fundadora da Associação Infância e Familia , Formada em Pedagogia atualmente trabalho como Coordenadora Pedagógica em um Centro de Educação Infantil em período integral.
Exerço a função de líder comunitária pela Infam.
Agora "&amp;"Fellow da GF.")</f>
        <v>Monalisa , evangélica 39 anos fundadora da Associação Infância e Familia , Formada em Pedagogia atualmente trabalho como Coordenadora Pedagógica em um Centro de Educação Infantil em período integral.
Exerço a função de líder comunitária pela Infam.
Agora Fellow da GF.</v>
      </c>
      <c r="BE106" s="27"/>
      <c r="BF106" s="27" t="str">
        <f ca="1">IFERROR(__xludf.DUMMYFUNCTION("""COMPUTED_VALUE"""),"Heterossexual")</f>
        <v>Heterossexual</v>
      </c>
      <c r="BG106" s="27" t="str">
        <f ca="1">IFERROR(__xludf.DUMMYFUNCTION("""COMPUTED_VALUE"""),"Ensino Superior - Completo")</f>
        <v>Ensino Superior - Completo</v>
      </c>
      <c r="BH106" s="27"/>
      <c r="BI106" s="27" t="str">
        <f ca="1">IFERROR(__xludf.DUMMYFUNCTION("""COMPUTED_VALUE"""),"Graduação")</f>
        <v>Graduação</v>
      </c>
      <c r="BJ106" s="27" t="str">
        <f ca="1">IFERROR(__xludf.DUMMYFUNCTION("""COMPUTED_VALUE"""),"Privado")</f>
        <v>Privado</v>
      </c>
      <c r="BK106" s="27" t="str">
        <f ca="1">IFERROR(__xludf.DUMMYFUNCTION("""COMPUTED_VALUE"""),"Rua Alto Araguaia")</f>
        <v>Rua Alto Araguaia</v>
      </c>
      <c r="BL106" s="27">
        <f ca="1">IFERROR(__xludf.DUMMYFUNCTION("""COMPUTED_VALUE"""),147)</f>
        <v>147</v>
      </c>
      <c r="BM106" s="27" t="str">
        <f ca="1">IFERROR(__xludf.DUMMYFUNCTION("""COMPUTED_VALUE"""),"Casa")</f>
        <v>Casa</v>
      </c>
      <c r="BN106" s="27" t="str">
        <f ca="1">IFERROR(__xludf.DUMMYFUNCTION("""COMPUTED_VALUE"""),"Sao Paulo")</f>
        <v>Sao Paulo</v>
      </c>
      <c r="BO106" s="27" t="str">
        <f ca="1">IFERROR(__xludf.DUMMYFUNCTION("""COMPUTED_VALUE"""),"03561-060")</f>
        <v>03561-060</v>
      </c>
      <c r="BP106" s="27" t="str">
        <f ca="1">IFERROR(__xludf.DUMMYFUNCTION("""COMPUTED_VALUE"""),"SP")</f>
        <v>SP</v>
      </c>
      <c r="BQ106" s="27" t="str">
        <f ca="1">IFERROR(__xludf.DUMMYFUNCTION("""COMPUTED_VALUE"""),"Entre 1 até 3 salários mínimos")</f>
        <v>Entre 1 até 3 salários mínimos</v>
      </c>
      <c r="BR106" s="27" t="str">
        <f ca="1">IFERROR(__xludf.DUMMYFUNCTION("""COMPUTED_VALUE"""),"Trabalho informal; Desempregado")</f>
        <v>Trabalho informal; Desempregado</v>
      </c>
      <c r="BS106" s="27" t="str">
        <f ca="1">IFERROR(__xludf.DUMMYFUNCTION("""COMPUTED_VALUE"""),"Casa cedida")</f>
        <v>Casa cedida</v>
      </c>
      <c r="BT106" s="27">
        <f ca="1">IFERROR(__xludf.DUMMYFUNCTION("""COMPUTED_VALUE"""),2)</f>
        <v>2</v>
      </c>
      <c r="BU106" s="27" t="str">
        <f ca="1">IFERROR(__xludf.DUMMYFUNCTION("""COMPUTED_VALUE"""),"Não tem")</f>
        <v>Não tem</v>
      </c>
      <c r="BV106" s="27"/>
      <c r="BW106" s="27"/>
      <c r="BX106" s="27" t="str">
        <f ca="1">IFERROR(__xludf.DUMMYFUNCTION("""COMPUTED_VALUE"""),"infam.associacao")</f>
        <v>infam.associacao</v>
      </c>
      <c r="BY106" s="21" t="str">
        <f ca="1">IFERROR(__xludf.DUMMYFUNCTION("""COMPUTED_VALUE"""),"https://drive.google.com/open?id=1hNKiHNXNVBUVNa-9i0cn26bPYHXyIEzf")</f>
        <v>https://drive.google.com/open?id=1hNKiHNXNVBUVNa-9i0cn26bPYHXyIEzf</v>
      </c>
    </row>
    <row r="107" spans="1:77" ht="12.5" hidden="1" x14ac:dyDescent="0.25">
      <c r="A107" s="21" t="str">
        <f ca="1">IFERROR(__xludf.DUMMYFUNCTION("""COMPUTED_VALUE"""),"0014P00003YSp8UQAT")</f>
        <v>0014P00003YSp8UQAT</v>
      </c>
      <c r="B107" s="27" t="str">
        <f ca="1">IFERROR(__xludf.DUMMYFUNCTION("""COMPUTED_VALUE"""),"Fase Inicial")</f>
        <v>Fase Inicial</v>
      </c>
      <c r="C107" s="27" t="str">
        <f ca="1">IFERROR(__xludf.DUMMYFUNCTION("""COMPUTED_VALUE"""),"Fellow")</f>
        <v>Fellow</v>
      </c>
      <c r="D107" s="27" t="str">
        <f ca="1">IFERROR(__xludf.DUMMYFUNCTION("""COMPUTED_VALUE"""),"Ativo")</f>
        <v>Ativo</v>
      </c>
      <c r="E107" s="27" t="str">
        <f ca="1">IFERROR(__xludf.DUMMYFUNCTION("""COMPUTED_VALUE"""),"Associação Instituto de Mulheres Negras Herdeiras de Candaces")</f>
        <v>Associação Instituto de Mulheres Negras Herdeiras de Candaces</v>
      </c>
      <c r="F107" s="27" t="str">
        <f ca="1">IFERROR(__xludf.DUMMYFUNCTION("""COMPUTED_VALUE"""),"Mara")</f>
        <v>Mara</v>
      </c>
      <c r="G107" s="27"/>
      <c r="H107" s="27" t="str">
        <f ca="1">IFERROR(__xludf.DUMMYFUNCTION("""COMPUTED_VALUE"""),"09.333.189/0001-09")</f>
        <v>09.333.189/0001-09</v>
      </c>
      <c r="I107" s="27" t="str">
        <f ca="1">IFERROR(__xludf.DUMMYFUNCTION("""COMPUTED_VALUE"""),"Francinice Alves Canela")</f>
        <v>Francinice Alves Canela</v>
      </c>
      <c r="J107" s="27" t="str">
        <f ca="1">IFERROR(__xludf.DUMMYFUNCTION("""COMPUTED_VALUE"""),"herdeirasdecandaces@gmail.com")</f>
        <v>herdeirasdecandaces@gmail.com</v>
      </c>
      <c r="K107" s="27" t="str">
        <f ca="1">IFERROR(__xludf.DUMMYFUNCTION("""COMPUTED_VALUE"""),"(21)99400-6895")</f>
        <v>(21)99400-6895</v>
      </c>
      <c r="L107" s="27" t="str">
        <f ca="1">IFERROR(__xludf.DUMMYFUNCTION("""COMPUTED_VALUE"""),"RJ")</f>
        <v>RJ</v>
      </c>
      <c r="M107" s="27" t="str">
        <f ca="1">IFERROR(__xludf.DUMMYFUNCTION("""COMPUTED_VALUE"""),"Rua Laguna, 153")</f>
        <v>Rua Laguna, 153</v>
      </c>
      <c r="N107" s="27" t="str">
        <f ca="1">IFERROR(__xludf.DUMMYFUNCTION("""COMPUTED_VALUE"""),"Santa Amélia")</f>
        <v>Santa Amélia</v>
      </c>
      <c r="O107" s="27">
        <f ca="1">IFERROR(__xludf.DUMMYFUNCTION("""COMPUTED_VALUE"""),153)</f>
        <v>153</v>
      </c>
      <c r="P107" s="27" t="str">
        <f ca="1">IFERROR(__xludf.DUMMYFUNCTION("""COMPUTED_VALUE"""),"Belford Roxo")</f>
        <v>Belford Roxo</v>
      </c>
      <c r="Q107" s="27" t="str">
        <f ca="1">IFERROR(__xludf.DUMMYFUNCTION("""COMPUTED_VALUE"""),"Sobrado")</f>
        <v>Sobrado</v>
      </c>
      <c r="R107" s="27" t="str">
        <f ca="1">IFERROR(__xludf.DUMMYFUNCTION("""COMPUTED_VALUE"""),"26116-620")</f>
        <v>26116-620</v>
      </c>
      <c r="S107" s="27"/>
      <c r="T107" s="27" t="str">
        <f ca="1">IFERROR(__xludf.DUMMYFUNCTION("""COMPUTED_VALUE"""),"Educação; Cultura; Qualificação Profissional; Empreendedorismo; Saúde; Empoderamento Feminino; Apoio à gestão de organizações de Terceiro Setor; Defesa de Direitos; Assistência Psicológica; Desenvolvimento comunitário")</f>
        <v>Educação; Cultura; Qualificação Profissional; Empreendedorismo; Saúde; Empoderamento Feminino; Apoio à gestão de organizações de Terceiro Setor; Defesa de Direitos; Assistência Psicológica; Desenvolvimento comunitário</v>
      </c>
      <c r="U107" s="27" t="str">
        <f ca="1">IFERROR(__xludf.DUMMYFUNCTION("""COMPUTED_VALUE"""),"Adolescentes (12 aos 18 anos); Jovens (18 aos 24 anos); Adultos; Idosos (60 anos ou mais)")</f>
        <v>Adolescentes (12 aos 18 anos); Jovens (18 aos 24 anos); Adultos; Idosos (60 anos ou mais)</v>
      </c>
      <c r="V107" s="27" t="str">
        <f ca="1">IFERROR(__xludf.DUMMYFUNCTION("""COMPUTED_VALUE"""),"Moradores de Favelas; População LGBTQ+; Afrodescendentes")</f>
        <v>Moradores de Favelas; População LGBTQ+; Afrodescendentes</v>
      </c>
      <c r="W107" s="27">
        <f ca="1">IFERROR(__xludf.DUMMYFUNCTION("""COMPUTED_VALUE"""),5)</f>
        <v>5</v>
      </c>
      <c r="X107" s="27" t="str">
        <f ca="1">IFERROR(__xludf.DUMMYFUNCTION("""COMPUTED_VALUE"""),"A grande maioria são mulheres e jovens negros")</f>
        <v>A grande maioria são mulheres e jovens negros</v>
      </c>
      <c r="Y107" s="27"/>
      <c r="Z107" s="27">
        <f ca="1">IFERROR(__xludf.DUMMYFUNCTION("""COMPUTED_VALUE"""),200)</f>
        <v>200</v>
      </c>
      <c r="AA107" s="29">
        <f ca="1">IFERROR(__xludf.DUMMYFUNCTION("""COMPUTED_VALUE"""),39846)</f>
        <v>39846</v>
      </c>
      <c r="AB107" s="27" t="str">
        <f ca="1">IFERROR(__xludf.DUMMYFUNCTION("""COMPUTED_VALUE"""),"Sim")</f>
        <v>Sim</v>
      </c>
      <c r="AC107" s="27">
        <f ca="1">IFERROR(__xludf.DUMMYFUNCTION("""COMPUTED_VALUE"""),0)</f>
        <v>0</v>
      </c>
      <c r="AD107" s="27">
        <f ca="1">IFERROR(__xludf.DUMMYFUNCTION("""COMPUTED_VALUE"""),0)</f>
        <v>0</v>
      </c>
      <c r="AE107" s="27">
        <f ca="1">IFERROR(__xludf.DUMMYFUNCTION("""COMPUTED_VALUE"""),3)</f>
        <v>3</v>
      </c>
      <c r="AF107" s="27">
        <f ca="1">IFERROR(__xludf.DUMMYFUNCTION("""COMPUTED_VALUE"""),0)</f>
        <v>0</v>
      </c>
      <c r="AG107" s="27">
        <f ca="1">IFERROR(__xludf.DUMMYFUNCTION("""COMPUTED_VALUE"""),3)</f>
        <v>3</v>
      </c>
      <c r="AH107" s="27" t="str">
        <f ca="1">IFERROR(__xludf.DUMMYFUNCTION("""COMPUTED_VALUE"""),"Plataforma doação online - Pessoa Física; Recursos próprios")</f>
        <v>Plataforma doação online - Pessoa Física; Recursos próprios</v>
      </c>
      <c r="AI107" s="27">
        <f ca="1">IFERROR(__xludf.DUMMYFUNCTION("""COMPUTED_VALUE"""),0)</f>
        <v>0</v>
      </c>
      <c r="AJ107" s="27"/>
      <c r="AK107" s="27"/>
      <c r="AL107" s="21" t="str">
        <f ca="1">IFERROR(__xludf.DUMMYFUNCTION("""COMPUTED_VALUE"""),"0034P000045kxj5")</f>
        <v>0034P000045kxj5</v>
      </c>
      <c r="AM107" s="27" t="str">
        <f ca="1">IFERROR(__xludf.DUMMYFUNCTION("""COMPUTED_VALUE"""),"Cláudia Ribeiro Ezequiel")</f>
        <v>Cláudia Ribeiro Ezequiel</v>
      </c>
      <c r="AN107" s="27" t="str">
        <f ca="1">IFERROR(__xludf.DUMMYFUNCTION("""COMPUTED_VALUE"""),"Ativo")</f>
        <v>Ativo</v>
      </c>
      <c r="AO107" s="30">
        <f ca="1">IFERROR(__xludf.DUMMYFUNCTION("""COMPUTED_VALUE"""),44551)</f>
        <v>44551</v>
      </c>
      <c r="AP107" s="27">
        <f ca="1">IFERROR(__xludf.DUMMYFUNCTION("""COMPUTED_VALUE"""),9)</f>
        <v>9</v>
      </c>
      <c r="AQ107" s="27" t="str">
        <f ca="1">IFERROR(__xludf.DUMMYFUNCTION("""COMPUTED_VALUE"""),"Segundo Semestre 2021")</f>
        <v>Segundo Semestre 2021</v>
      </c>
      <c r="AR107" s="27" t="str">
        <f ca="1">IFERROR(__xludf.DUMMYFUNCTION("""COMPUTED_VALUE"""),"herdeirasdecandaces@gmail.com")</f>
        <v>herdeirasdecandaces@gmail.com</v>
      </c>
      <c r="AS107" s="27" t="str">
        <f ca="1">IFERROR(__xludf.DUMMYFUNCTION("""COMPUTED_VALUE"""),"(21)99400-6895")</f>
        <v>(21)99400-6895</v>
      </c>
      <c r="AT107" s="29">
        <f ca="1">IFERROR(__xludf.DUMMYFUNCTION("""COMPUTED_VALUE"""),26492)</f>
        <v>26492</v>
      </c>
      <c r="AU107" s="27">
        <f ca="1">IFERROR(__xludf.DUMMYFUNCTION("""COMPUTED_VALUE"""),50)</f>
        <v>50</v>
      </c>
      <c r="AV107" s="27">
        <f ca="1">IFERROR(__xludf.DUMMYFUNCTION("""COMPUTED_VALUE"""),2740122780)</f>
        <v>2740122780</v>
      </c>
      <c r="AW107" s="27">
        <f ca="1">IFERROR(__xludf.DUMMYFUNCTION("""COMPUTED_VALUE"""),105966089)</f>
        <v>105966089</v>
      </c>
      <c r="AX107" s="27"/>
      <c r="AY107" s="27"/>
      <c r="AZ107" s="27" t="str">
        <f ca="1">IFERROR(__xludf.DUMMYFUNCTION("""COMPUTED_VALUE"""),"GG")</f>
        <v>GG</v>
      </c>
      <c r="BA107" s="27" t="str">
        <f ca="1">IFERROR(__xludf.DUMMYFUNCTION("""COMPUTED_VALUE"""),"Preta")</f>
        <v>Preta</v>
      </c>
      <c r="BB107" s="27" t="str">
        <f ca="1">IFERROR(__xludf.DUMMYFUNCTION("""COMPUTED_VALUE"""),"Mulher, cisgênero")</f>
        <v>Mulher, cisgênero</v>
      </c>
      <c r="BC107" s="27" t="str">
        <f ca="1">IFERROR(__xludf.DUMMYFUNCTION("""COMPUTED_VALUE"""),"Não")</f>
        <v>Não</v>
      </c>
      <c r="BD107" s="27" t="str">
        <f ca="1">IFERROR(__xludf.DUMMYFUNCTION("""COMPUTED_VALUE"""),"Sou Mara Ribeiro, moradora do município de B Roxo, na Baixada Fluminense, Professora, Graduada em Letras, com Licenciatura Plena em Língua Portuguesa, com Habilitação em Língua Estrangeira - Inglês e Literaturas; Especialista em Educação das Relações Étni"&amp;"co-Raciais no Ensino Básico - EREREBÁ – Colégio Pedro II; Co - Fundadora e Vice – Presidenta do Instituto de Mulheres Negras Herdeiras de Candaces; Conselheira Municipal dos Direitos da Mulher de Belford Roxo")</f>
        <v>Sou Mara Ribeiro, moradora do município de B Roxo, na Baixada Fluminense, Professora, Graduada em Letras, com Licenciatura Plena em Língua Portuguesa, com Habilitação em Língua Estrangeira - Inglês e Literaturas; Especialista em Educação das Relações Étnico-Raciais no Ensino Básico - EREREBÁ – Colégio Pedro II; Co - Fundadora e Vice – Presidenta do Instituto de Mulheres Negras Herdeiras de Candaces; Conselheira Municipal dos Direitos da Mulher de Belford Roxo</v>
      </c>
      <c r="BE107" s="27"/>
      <c r="BF107" s="27" t="str">
        <f ca="1">IFERROR(__xludf.DUMMYFUNCTION("""COMPUTED_VALUE"""),"Heterossexual")</f>
        <v>Heterossexual</v>
      </c>
      <c r="BG107" s="27" t="str">
        <f ca="1">IFERROR(__xludf.DUMMYFUNCTION("""COMPUTED_VALUE"""),"Ensino Superior - Completo")</f>
        <v>Ensino Superior - Completo</v>
      </c>
      <c r="BH107" s="27" t="str">
        <f ca="1">IFERROR(__xludf.DUMMYFUNCTION("""COMPUTED_VALUE"""),"Público")</f>
        <v>Público</v>
      </c>
      <c r="BI107" s="27" t="str">
        <f ca="1">IFERROR(__xludf.DUMMYFUNCTION("""COMPUTED_VALUE"""),"Pós-Graduação")</f>
        <v>Pós-Graduação</v>
      </c>
      <c r="BJ107" s="27" t="str">
        <f ca="1">IFERROR(__xludf.DUMMYFUNCTION("""COMPUTED_VALUE"""),"Público")</f>
        <v>Público</v>
      </c>
      <c r="BK107" s="27" t="str">
        <f ca="1">IFERROR(__xludf.DUMMYFUNCTION("""COMPUTED_VALUE"""),"Laguna")</f>
        <v>Laguna</v>
      </c>
      <c r="BL107" s="27">
        <f ca="1">IFERROR(__xludf.DUMMYFUNCTION("""COMPUTED_VALUE"""),153)</f>
        <v>153</v>
      </c>
      <c r="BM107" s="27"/>
      <c r="BN107" s="27" t="str">
        <f ca="1">IFERROR(__xludf.DUMMYFUNCTION("""COMPUTED_VALUE"""),"Belford Roxo")</f>
        <v>Belford Roxo</v>
      </c>
      <c r="BO107" s="27" t="str">
        <f ca="1">IFERROR(__xludf.DUMMYFUNCTION("""COMPUTED_VALUE"""),"26116-620")</f>
        <v>26116-620</v>
      </c>
      <c r="BP107" s="27" t="str">
        <f ca="1">IFERROR(__xludf.DUMMYFUNCTION("""COMPUTED_VALUE"""),"RJ")</f>
        <v>RJ</v>
      </c>
      <c r="BQ107" s="27" t="str">
        <f ca="1">IFERROR(__xludf.DUMMYFUNCTION("""COMPUTED_VALUE"""),"De 3 até 5 salários mínimos")</f>
        <v>De 3 até 5 salários mínimos</v>
      </c>
      <c r="BR107" s="27" t="str">
        <f ca="1">IFERROR(__xludf.DUMMYFUNCTION("""COMPUTED_VALUE"""),"Funcionário Público")</f>
        <v>Funcionário Público</v>
      </c>
      <c r="BS107" s="27" t="str">
        <f ca="1">IFERROR(__xludf.DUMMYFUNCTION("""COMPUTED_VALUE"""),"Casa própria")</f>
        <v>Casa própria</v>
      </c>
      <c r="BT107" s="27">
        <f ca="1">IFERROR(__xludf.DUMMYFUNCTION("""COMPUTED_VALUE"""),2)</f>
        <v>2</v>
      </c>
      <c r="BU107" s="27" t="str">
        <f ca="1">IFERROR(__xludf.DUMMYFUNCTION("""COMPUTED_VALUE"""),"Não tem")</f>
        <v>Não tem</v>
      </c>
      <c r="BV107" s="27" t="str">
        <f ca="1">IFERROR(__xludf.DUMMYFUNCTION("""COMPUTED_VALUE"""),"Alimentos muito gordurosos")</f>
        <v>Alimentos muito gordurosos</v>
      </c>
      <c r="BW107" s="21" t="str">
        <f ca="1">IFERROR(__xludf.DUMMYFUNCTION("""COMPUTED_VALUE"""),"www.linkedin.com/mararibeirosocial.rj")</f>
        <v>www.linkedin.com/mararibeirosocial.rj</v>
      </c>
      <c r="BX107" s="21" t="str">
        <f ca="1">IFERROR(__xludf.DUMMYFUNCTION("""COMPUTED_VALUE"""),"www.instagram.com/mararibeirorj")</f>
        <v>www.instagram.com/mararibeirorj</v>
      </c>
      <c r="BY107" s="21" t="str">
        <f ca="1">IFERROR(__xludf.DUMMYFUNCTION("""COMPUTED_VALUE"""),"https://drive.google.com/open?id=1WXCYkzMdFZYxaU475d8DQTf44nlW1gf1")</f>
        <v>https://drive.google.com/open?id=1WXCYkzMdFZYxaU475d8DQTf44nlW1gf1</v>
      </c>
    </row>
    <row r="108" spans="1:77" ht="12.5" hidden="1" x14ac:dyDescent="0.25">
      <c r="A108" s="21" t="str">
        <f ca="1">IFERROR(__xludf.DUMMYFUNCTION("""COMPUTED_VALUE"""),"0014X00002VKCqTQAX")</f>
        <v>0014X00002VKCqTQAX</v>
      </c>
      <c r="B108" s="27" t="str">
        <f ca="1">IFERROR(__xludf.DUMMYFUNCTION("""COMPUTED_VALUE"""),"Fase Inicial")</f>
        <v>Fase Inicial</v>
      </c>
      <c r="C108" s="27" t="str">
        <f ca="1">IFERROR(__xludf.DUMMYFUNCTION("""COMPUTED_VALUE"""),"Fellow")</f>
        <v>Fellow</v>
      </c>
      <c r="D108" s="27" t="str">
        <f ca="1">IFERROR(__xludf.DUMMYFUNCTION("""COMPUTED_VALUE"""),"Ativo")</f>
        <v>Ativo</v>
      </c>
      <c r="E108" s="27" t="str">
        <f ca="1">IFERROR(__xludf.DUMMYFUNCTION("""COMPUTED_VALUE"""),"Associação Integrando e Construindo o Conhecimento-AICC")</f>
        <v>Associação Integrando e Construindo o Conhecimento-AICC</v>
      </c>
      <c r="F108" s="27" t="str">
        <f ca="1">IFERROR(__xludf.DUMMYFUNCTION("""COMPUTED_VALUE"""),"Sílvia")</f>
        <v>Sílvia</v>
      </c>
      <c r="G108" s="27" t="str">
        <f ca="1">IFERROR(__xludf.DUMMYFUNCTION("""COMPUTED_VALUE"""),"ONG AICC")</f>
        <v>ONG AICC</v>
      </c>
      <c r="H108" s="27" t="str">
        <f ca="1">IFERROR(__xludf.DUMMYFUNCTION("""COMPUTED_VALUE"""),"08.612.978/0001-16")</f>
        <v>08.612.978/0001-16</v>
      </c>
      <c r="I108" s="27" t="str">
        <f ca="1">IFERROR(__xludf.DUMMYFUNCTION("""COMPUTED_VALUE"""),"Paulo George Lucas Correia")</f>
        <v>Paulo George Lucas Correia</v>
      </c>
      <c r="J108" s="27" t="str">
        <f ca="1">IFERROR(__xludf.DUMMYFUNCTION("""COMPUTED_VALUE"""),"ongaicc@gmail.com")</f>
        <v>ongaicc@gmail.com</v>
      </c>
      <c r="K108" s="27" t="str">
        <f ca="1">IFERROR(__xludf.DUMMYFUNCTION("""COMPUTED_VALUE"""),"(85)2130-7440")</f>
        <v>(85)2130-7440</v>
      </c>
      <c r="L108" s="27" t="str">
        <f ca="1">IFERROR(__xludf.DUMMYFUNCTION("""COMPUTED_VALUE"""),"CE")</f>
        <v>CE</v>
      </c>
      <c r="M108" s="27" t="str">
        <f ca="1">IFERROR(__xludf.DUMMYFUNCTION("""COMPUTED_VALUE"""),"Rua Edmilson Bezerra de Mendonça")</f>
        <v>Rua Edmilson Bezerra de Mendonça</v>
      </c>
      <c r="N108" s="27" t="str">
        <f ca="1">IFERROR(__xludf.DUMMYFUNCTION("""COMPUTED_VALUE"""),"Aldeia Park")</f>
        <v>Aldeia Park</v>
      </c>
      <c r="O108" s="27" t="str">
        <f ca="1">IFERROR(__xludf.DUMMYFUNCTION("""COMPUTED_VALUE"""),"558 B")</f>
        <v>558 B</v>
      </c>
      <c r="P108" s="27" t="str">
        <f ca="1">IFERROR(__xludf.DUMMYFUNCTION("""COMPUTED_VALUE"""),"Pacajus")</f>
        <v>Pacajus</v>
      </c>
      <c r="Q108" s="27"/>
      <c r="R108" s="27" t="str">
        <f ca="1">IFERROR(__xludf.DUMMYFUNCTION("""COMPUTED_VALUE"""),"62870-000")</f>
        <v>62870-000</v>
      </c>
      <c r="S108" s="27" t="str">
        <f ca="1">IFERROR(__xludf.DUMMYFUNCTION("""COMPUTED_VALUE"""),"Sim.")</f>
        <v>Sim.</v>
      </c>
      <c r="T108" s="27"/>
      <c r="U108" s="27" t="str">
        <f ca="1">IFERROR(__xludf.DUMMYFUNCTION("""COMPUTED_VALUE"""),"Crianças (6 a 12 anos), Adolescentes (12 aos 18 anos), Jovens (18 aos 24 anos), Adultos, Idosos (60 anos ou mais)")</f>
        <v>Crianças (6 a 12 anos), Adolescentes (12 aos 18 anos), Jovens (18 aos 24 anos), Adultos, Idosos (60 anos ou mais)</v>
      </c>
      <c r="V108" s="27" t="str">
        <f ca="1">IFERROR(__xludf.DUMMYFUNCTION("""COMPUTED_VALUE"""),"Moradores de Favelas, População LGBTQ+, Afrodescendentes, Outros")</f>
        <v>Moradores de Favelas, População LGBTQ+, Afrodescendentes, Outros</v>
      </c>
      <c r="W108" s="27">
        <f ca="1">IFERROR(__xludf.DUMMYFUNCTION("""COMPUTED_VALUE"""),6)</f>
        <v>6</v>
      </c>
      <c r="X108" s="27" t="str">
        <f ca="1">IFERROR(__xludf.DUMMYFUNCTION("""COMPUTED_VALUE"""),"Pessoas em situação de vulnerabilidade social* agravada pela Covid 19")</f>
        <v>Pessoas em situação de vulnerabilidade social* agravada pela Covid 19</v>
      </c>
      <c r="Y108" s="27"/>
      <c r="Z108" s="27">
        <f ca="1">IFERROR(__xludf.DUMMYFUNCTION("""COMPUTED_VALUE"""),250)</f>
        <v>250</v>
      </c>
      <c r="AA108" s="30">
        <f ca="1">IFERROR(__xludf.DUMMYFUNCTION("""COMPUTED_VALUE"""),39078)</f>
        <v>39078</v>
      </c>
      <c r="AB108" s="27" t="str">
        <f ca="1">IFERROR(__xludf.DUMMYFUNCTION("""COMPUTED_VALUE"""),"Sim")</f>
        <v>Sim</v>
      </c>
      <c r="AC108" s="27">
        <f ca="1">IFERROR(__xludf.DUMMYFUNCTION("""COMPUTED_VALUE"""),0)</f>
        <v>0</v>
      </c>
      <c r="AD108" s="27">
        <f ca="1">IFERROR(__xludf.DUMMYFUNCTION("""COMPUTED_VALUE"""),0)</f>
        <v>0</v>
      </c>
      <c r="AE108" s="27">
        <f ca="1">IFERROR(__xludf.DUMMYFUNCTION("""COMPUTED_VALUE"""),10)</f>
        <v>10</v>
      </c>
      <c r="AF108" s="27">
        <f ca="1">IFERROR(__xludf.DUMMYFUNCTION("""COMPUTED_VALUE"""),10)</f>
        <v>10</v>
      </c>
      <c r="AG108" s="27">
        <f ca="1">IFERROR(__xludf.DUMMYFUNCTION("""COMPUTED_VALUE"""),4)</f>
        <v>4</v>
      </c>
      <c r="AH108" s="27" t="str">
        <f ca="1">IFERROR(__xludf.DUMMYFUNCTION("""COMPUTED_VALUE"""),"Parceria iniciativa privada, Editais, Doações, Lei Municipal da Cultura")</f>
        <v>Parceria iniciativa privada, Editais, Doações, Lei Municipal da Cultura</v>
      </c>
      <c r="AI108" s="27" t="str">
        <f ca="1">IFERROR(__xludf.DUMMYFUNCTION("""COMPUTED_VALUE"""),"Lei Municipal de Cultura 25%, Doações 50%, Editais 10%,Parceria com a Iniciativa Privada 15%")</f>
        <v>Lei Municipal de Cultura 25%, Doações 50%, Editais 10%,Parceria com a Iniciativa Privada 15%</v>
      </c>
      <c r="AJ108" s="27" t="str">
        <f ca="1">IFERROR(__xludf.DUMMYFUNCTION("""COMPUTED_VALUE"""),"Não")</f>
        <v>Não</v>
      </c>
      <c r="AK108" s="27"/>
      <c r="AL108" s="21" t="str">
        <f ca="1">IFERROR(__xludf.DUMMYFUNCTION("""COMPUTED_VALUE"""),"0034X0000380O3v")</f>
        <v>0034X0000380O3v</v>
      </c>
      <c r="AM108" s="27" t="str">
        <f ca="1">IFERROR(__xludf.DUMMYFUNCTION("""COMPUTED_VALUE"""),"Maria de paiva")</f>
        <v>Maria de paiva</v>
      </c>
      <c r="AN108" s="27" t="str">
        <f ca="1">IFERROR(__xludf.DUMMYFUNCTION("""COMPUTED_VALUE"""),"Ativo")</f>
        <v>Ativo</v>
      </c>
      <c r="AO108" s="29">
        <f ca="1">IFERROR(__xludf.DUMMYFUNCTION("""COMPUTED_VALUE"""),44763)</f>
        <v>44763</v>
      </c>
      <c r="AP108" s="27">
        <f ca="1">IFERROR(__xludf.DUMMYFUNCTION("""COMPUTED_VALUE"""),2)</f>
        <v>2</v>
      </c>
      <c r="AQ108" s="27" t="str">
        <f ca="1">IFERROR(__xludf.DUMMYFUNCTION("""COMPUTED_VALUE"""),"Primeiro Semestre 2022")</f>
        <v>Primeiro Semestre 2022</v>
      </c>
      <c r="AR108" s="27" t="str">
        <f ca="1">IFERROR(__xludf.DUMMYFUNCTION("""COMPUTED_VALUE"""),"ongaicc@gmail.com")</f>
        <v>ongaicc@gmail.com</v>
      </c>
      <c r="AS108" s="27">
        <f ca="1">IFERROR(__xludf.DUMMYFUNCTION("""COMPUTED_VALUE"""),85991824021)</f>
        <v>85991824021</v>
      </c>
      <c r="AT108" s="29">
        <f ca="1">IFERROR(__xludf.DUMMYFUNCTION("""COMPUTED_VALUE"""),28431)</f>
        <v>28431</v>
      </c>
      <c r="AU108" s="27">
        <f ca="1">IFERROR(__xludf.DUMMYFUNCTION("""COMPUTED_VALUE"""),45)</f>
        <v>45</v>
      </c>
      <c r="AV108" s="27">
        <f ca="1">IFERROR(__xludf.DUMMYFUNCTION("""COMPUTED_VALUE"""),50359479391)</f>
        <v>50359479391</v>
      </c>
      <c r="AW108" s="27">
        <f ca="1">IFERROR(__xludf.DUMMYFUNCTION("""COMPUTED_VALUE"""),182777989)</f>
        <v>182777989</v>
      </c>
      <c r="AX108" s="27"/>
      <c r="AY108" s="27"/>
      <c r="AZ108" s="27" t="str">
        <f ca="1">IFERROR(__xludf.DUMMYFUNCTION("""COMPUTED_VALUE"""),"GG")</f>
        <v>GG</v>
      </c>
      <c r="BA108" s="27" t="str">
        <f ca="1">IFERROR(__xludf.DUMMYFUNCTION("""COMPUTED_VALUE"""),"Parda")</f>
        <v>Parda</v>
      </c>
      <c r="BB108" s="27"/>
      <c r="BC108" s="27"/>
      <c r="BD108" s="27" t="str">
        <f ca="1">IFERROR(__xludf.DUMMYFUNCTION("""COMPUTED_VALUE"""),"Sou Sílvia Maria de Paiva* amo Cinema* Música e Estudar* tecer Redes* ser Ponte. Faço parte de um grupo de pessoas que usam sua criatividade* inteligência e força para mudar e  tornar o Mundo melhor hoje* ajudando pessoas a se engajarem e serem as protago"&amp;"nistas dessa mudança*contribuindo para diminuição das desigualdades*por mais justiça e garantia de direitos.")</f>
        <v>Sou Sílvia Maria de Paiva* amo Cinema* Música e Estudar* tecer Redes* ser Ponte. Faço parte de um grupo de pessoas que usam sua criatividade* inteligência e força para mudar e  tornar o Mundo melhor hoje* ajudando pessoas a se engajarem e serem as protagonistas dessa mudança*contribuindo para diminuição das desigualdades*por mais justiça e garantia de direitos.</v>
      </c>
      <c r="BE108" s="27" t="str">
        <f ca="1">IFERROR(__xludf.DUMMYFUNCTION("""COMPUTED_VALUE"""),"Feminino")</f>
        <v>Feminino</v>
      </c>
      <c r="BF108" s="27" t="str">
        <f ca="1">IFERROR(__xludf.DUMMYFUNCTION("""COMPUTED_VALUE"""),"Heterossexual")</f>
        <v>Heterossexual</v>
      </c>
      <c r="BG108" s="27"/>
      <c r="BH108" s="27" t="str">
        <f ca="1">IFERROR(__xludf.DUMMYFUNCTION("""COMPUTED_VALUE"""),"Público")</f>
        <v>Público</v>
      </c>
      <c r="BI108" s="27" t="str">
        <f ca="1">IFERROR(__xludf.DUMMYFUNCTION("""COMPUTED_VALUE"""),"Pós-Graduação")</f>
        <v>Pós-Graduação</v>
      </c>
      <c r="BJ108" s="27" t="str">
        <f ca="1">IFERROR(__xludf.DUMMYFUNCTION("""COMPUTED_VALUE"""),"Público")</f>
        <v>Público</v>
      </c>
      <c r="BK108" s="27" t="str">
        <f ca="1">IFERROR(__xludf.DUMMYFUNCTION("""COMPUTED_VALUE"""),"Rua Edmílson Bezerra de Mendonça")</f>
        <v>Rua Edmílson Bezerra de Mendonça</v>
      </c>
      <c r="BL108" s="27">
        <f ca="1">IFERROR(__xludf.DUMMYFUNCTION("""COMPUTED_VALUE"""),558)</f>
        <v>558</v>
      </c>
      <c r="BM108" s="27"/>
      <c r="BN108" s="27"/>
      <c r="BO108" s="27">
        <f ca="1">IFERROR(__xludf.DUMMYFUNCTION("""COMPUTED_VALUE"""),62870000)</f>
        <v>62870000</v>
      </c>
      <c r="BP108" s="27" t="str">
        <f ca="1">IFERROR(__xludf.DUMMYFUNCTION("""COMPUTED_VALUE"""),"CE")</f>
        <v>CE</v>
      </c>
      <c r="BQ108" s="27" t="str">
        <f ca="1">IFERROR(__xludf.DUMMYFUNCTION("""COMPUTED_VALUE"""),"Entre 1 até 3 salários mínimos")</f>
        <v>Entre 1 até 3 salários mínimos</v>
      </c>
      <c r="BR108" s="27" t="str">
        <f ca="1">IFERROR(__xludf.DUMMYFUNCTION("""COMPUTED_VALUE"""),"Trabalho informal")</f>
        <v>Trabalho informal</v>
      </c>
      <c r="BS108" s="27" t="str">
        <f ca="1">IFERROR(__xludf.DUMMYFUNCTION("""COMPUTED_VALUE"""),"Casa própria")</f>
        <v>Casa própria</v>
      </c>
      <c r="BT108" s="27">
        <f ca="1">IFERROR(__xludf.DUMMYFUNCTION("""COMPUTED_VALUE"""),2)</f>
        <v>2</v>
      </c>
      <c r="BU108" s="27" t="str">
        <f ca="1">IFERROR(__xludf.DUMMYFUNCTION("""COMPUTED_VALUE"""),"Não tem")</f>
        <v>Não tem</v>
      </c>
      <c r="BV108" s="27" t="str">
        <f ca="1">IFERROR(__xludf.DUMMYFUNCTION("""COMPUTED_VALUE"""),"Não")</f>
        <v>Não</v>
      </c>
      <c r="BW108" s="27"/>
      <c r="BX108" s="21" t="str">
        <f ca="1">IFERROR(__xludf.DUMMYFUNCTION("""COMPUTED_VALUE"""),"https://www.instagram.com/silvinhapaiva/")</f>
        <v>https://www.instagram.com/silvinhapaiva/</v>
      </c>
      <c r="BY108" s="21" t="str">
        <f ca="1">IFERROR(__xludf.DUMMYFUNCTION("""COMPUTED_VALUE"""),"https://drive.google.com/open?id=1vuLk358vkIHig3nagLGkukl7iEYRTVDv")</f>
        <v>https://drive.google.com/open?id=1vuLk358vkIHig3nagLGkukl7iEYRTVDv</v>
      </c>
    </row>
    <row r="109" spans="1:77" ht="12.5" hidden="1" x14ac:dyDescent="0.25">
      <c r="A109" s="21" t="str">
        <f ca="1">IFERROR(__xludf.DUMMYFUNCTION("""COMPUTED_VALUE"""),"0014P00003YSp7RQAT")</f>
        <v>0014P00003YSp7RQAT</v>
      </c>
      <c r="B109" s="27" t="str">
        <f ca="1">IFERROR(__xludf.DUMMYFUNCTION("""COMPUTED_VALUE"""),"Fase Inicial")</f>
        <v>Fase Inicial</v>
      </c>
      <c r="C109" s="27" t="str">
        <f ca="1">IFERROR(__xludf.DUMMYFUNCTION("""COMPUTED_VALUE"""),"Fellow")</f>
        <v>Fellow</v>
      </c>
      <c r="D109" s="27" t="str">
        <f ca="1">IFERROR(__xludf.DUMMYFUNCTION("""COMPUTED_VALUE"""),"Ativo")</f>
        <v>Ativo</v>
      </c>
      <c r="E109" s="27" t="str">
        <f ca="1">IFERROR(__xludf.DUMMYFUNCTION("""COMPUTED_VALUE"""),"ASSOCIAÇÃO INTERNACIONAL DE CAPOEIRA OS BAMBAS DO SOL NASCENTE DE SALVADOR")</f>
        <v>ASSOCIAÇÃO INTERNACIONAL DE CAPOEIRA OS BAMBAS DO SOL NASCENTE DE SALVADOR</v>
      </c>
      <c r="F109" s="27" t="str">
        <f ca="1">IFERROR(__xludf.DUMMYFUNCTION("""COMPUTED_VALUE"""),"Teodoro")</f>
        <v>Teodoro</v>
      </c>
      <c r="G109" s="27"/>
      <c r="H109" s="27">
        <f ca="1">IFERROR(__xludf.DUMMYFUNCTION("""COMPUTED_VALUE"""),5544365000109)</f>
        <v>5544365000109</v>
      </c>
      <c r="I109" s="27" t="str">
        <f ca="1">IFERROR(__xludf.DUMMYFUNCTION("""COMPUTED_VALUE"""),"TEODORO FRANCISCO AZEVEDO NETO")</f>
        <v>TEODORO FRANCISCO AZEVEDO NETO</v>
      </c>
      <c r="J109" s="27" t="str">
        <f ca="1">IFERROR(__xludf.DUMMYFUNCTION("""COMPUTED_VALUE"""),"bambadosolnascente@yahoo.com.br")</f>
        <v>bambadosolnascente@yahoo.com.br</v>
      </c>
      <c r="K109" s="27">
        <f ca="1">IFERROR(__xludf.DUMMYFUNCTION("""COMPUTED_VALUE"""),7132123656)</f>
        <v>7132123656</v>
      </c>
      <c r="L109" s="27" t="str">
        <f ca="1">IFERROR(__xludf.DUMMYFUNCTION("""COMPUTED_VALUE"""),"BA")</f>
        <v>BA</v>
      </c>
      <c r="M109" s="27" t="str">
        <f ca="1">IFERROR(__xludf.DUMMYFUNCTION("""COMPUTED_VALUE"""),"AVENIDA SÃO ROQUE")</f>
        <v>AVENIDA SÃO ROQUE</v>
      </c>
      <c r="N109" s="27" t="str">
        <f ca="1">IFERROR(__xludf.DUMMYFUNCTION("""COMPUTED_VALUE"""),"URUGUAI")</f>
        <v>URUGUAI</v>
      </c>
      <c r="O109" s="27">
        <f ca="1">IFERROR(__xludf.DUMMYFUNCTION("""COMPUTED_VALUE"""),88)</f>
        <v>88</v>
      </c>
      <c r="P109" s="27" t="str">
        <f ca="1">IFERROR(__xludf.DUMMYFUNCTION("""COMPUTED_VALUE"""),"SALVADOR")</f>
        <v>SALVADOR</v>
      </c>
      <c r="Q109" s="27" t="str">
        <f ca="1">IFERROR(__xludf.DUMMYFUNCTION("""COMPUTED_VALUE"""),"CASA")</f>
        <v>CASA</v>
      </c>
      <c r="R109" s="27" t="str">
        <f ca="1">IFERROR(__xludf.DUMMYFUNCTION("""COMPUTED_VALUE"""),"40450-355")</f>
        <v>40450-355</v>
      </c>
      <c r="S109" s="27"/>
      <c r="T109" s="27"/>
      <c r="U109" s="27"/>
      <c r="V109" s="27"/>
      <c r="W109" s="27">
        <f ca="1">IFERROR(__xludf.DUMMYFUNCTION("""COMPUTED_VALUE"""),6)</f>
        <v>6</v>
      </c>
      <c r="X109" s="27"/>
      <c r="Y109" s="27"/>
      <c r="Z109" s="27">
        <f ca="1">IFERROR(__xludf.DUMMYFUNCTION("""COMPUTED_VALUE"""),200)</f>
        <v>200</v>
      </c>
      <c r="AA109" s="29">
        <f ca="1">IFERROR(__xludf.DUMMYFUNCTION("""COMPUTED_VALUE"""),37644)</f>
        <v>37644</v>
      </c>
      <c r="AB109" s="27" t="str">
        <f ca="1">IFERROR(__xludf.DUMMYFUNCTION("""COMPUTED_VALUE"""),"Sim")</f>
        <v>Sim</v>
      </c>
      <c r="AC109" s="27">
        <f ca="1">IFERROR(__xludf.DUMMYFUNCTION("""COMPUTED_VALUE"""),1)</f>
        <v>1</v>
      </c>
      <c r="AD109" s="27"/>
      <c r="AE109" s="27">
        <f ca="1">IFERROR(__xludf.DUMMYFUNCTION("""COMPUTED_VALUE"""),8)</f>
        <v>8</v>
      </c>
      <c r="AF109" s="27"/>
      <c r="AG109" s="27">
        <f ca="1">IFERROR(__xludf.DUMMYFUNCTION("""COMPUTED_VALUE"""),2)</f>
        <v>2</v>
      </c>
      <c r="AH109" s="27"/>
      <c r="AI109" s="27"/>
      <c r="AJ109" s="27"/>
      <c r="AK109" s="27"/>
      <c r="AL109" s="21" t="str">
        <f ca="1">IFERROR(__xludf.DUMMYFUNCTION("""COMPUTED_VALUE"""),"0034P000045kxi2")</f>
        <v>0034P000045kxi2</v>
      </c>
      <c r="AM109" s="27" t="str">
        <f ca="1">IFERROR(__xludf.DUMMYFUNCTION("""COMPUTED_VALUE"""),"Azevedo Neto")</f>
        <v>Azevedo Neto</v>
      </c>
      <c r="AN109" s="27" t="str">
        <f ca="1">IFERROR(__xludf.DUMMYFUNCTION("""COMPUTED_VALUE"""),"Ativo")</f>
        <v>Ativo</v>
      </c>
      <c r="AO109" s="30">
        <f ca="1">IFERROR(__xludf.DUMMYFUNCTION("""COMPUTED_VALUE"""),44551)</f>
        <v>44551</v>
      </c>
      <c r="AP109" s="27">
        <f ca="1">IFERROR(__xludf.DUMMYFUNCTION("""COMPUTED_VALUE"""),9)</f>
        <v>9</v>
      </c>
      <c r="AQ109" s="27" t="str">
        <f ca="1">IFERROR(__xludf.DUMMYFUNCTION("""COMPUTED_VALUE"""),"Segundo Semestre 2021")</f>
        <v>Segundo Semestre 2021</v>
      </c>
      <c r="AR109" s="27" t="str">
        <f ca="1">IFERROR(__xludf.DUMMYFUNCTION("""COMPUTED_VALUE"""),"teodorocapoeira@gmail.com")</f>
        <v>teodorocapoeira@gmail.com</v>
      </c>
      <c r="AS109" s="27">
        <f ca="1">IFERROR(__xludf.DUMMYFUNCTION("""COMPUTED_VALUE"""),71988088327)</f>
        <v>71988088327</v>
      </c>
      <c r="AT109" s="29">
        <f ca="1">IFERROR(__xludf.DUMMYFUNCTION("""COMPUTED_VALUE"""),27960)</f>
        <v>27960</v>
      </c>
      <c r="AU109" s="27">
        <f ca="1">IFERROR(__xludf.DUMMYFUNCTION("""COMPUTED_VALUE"""),46)</f>
        <v>46</v>
      </c>
      <c r="AV109" s="27">
        <f ca="1">IFERROR(__xludf.DUMMYFUNCTION("""COMPUTED_VALUE"""),77696522515)</f>
        <v>77696522515</v>
      </c>
      <c r="AW109" s="27">
        <f ca="1">IFERROR(__xludf.DUMMYFUNCTION("""COMPUTED_VALUE"""),484058509)</f>
        <v>484058509</v>
      </c>
      <c r="AX109" s="27"/>
      <c r="AY109" s="27"/>
      <c r="AZ109" s="27" t="str">
        <f ca="1">IFERROR(__xludf.DUMMYFUNCTION("""COMPUTED_VALUE"""),"G")</f>
        <v>G</v>
      </c>
      <c r="BA109" s="27" t="str">
        <f ca="1">IFERROR(__xludf.DUMMYFUNCTION("""COMPUTED_VALUE"""),"Preta")</f>
        <v>Preta</v>
      </c>
      <c r="BB109" s="27"/>
      <c r="BC109" s="27" t="str">
        <f ca="1">IFERROR(__xludf.DUMMYFUNCTION("""COMPUTED_VALUE"""),"Sim")</f>
        <v>Sim</v>
      </c>
      <c r="BD109" s="27" t="str">
        <f ca="1">IFERROR(__xludf.DUMMYFUNCTION("""COMPUTED_VALUE"""),"Mestre Teodoro Francisco Azevedo Neto; Nasceu em 19 de julho de 1976 em Salvador Bahia;; Filho de: Mariléia Times Oliveira e Silvio Francisco Azevedo;;  iniciou na capoeira com 13 anos sendo aluno do grande Mestre Pedro Pé de Ferro – In memorian; Seu nome"&amp;" de guerra era Maestro;; mas a pedido do próprio foi trocado para Mestre Teodoro; Fundou o grupo em 2003 com o nome Associação Internacional de Capoeira Os Bambas do Sol Nascente;; com objetivo de implantar um projeto social que ocupasse a mente de crianç"&amp;"as e adolescentes ociosos oferecendo atividades socio culturais em contra turnos escolares;")</f>
        <v>Mestre Teodoro Francisco Azevedo Neto; Nasceu em 19 de julho de 1976 em Salvador Bahia;; Filho de: Mariléia Times Oliveira e Silvio Francisco Azevedo;;  iniciou na capoeira com 13 anos sendo aluno do grande Mestre Pedro Pé de Ferro – In memorian; Seu nome de guerra era Maestro;; mas a pedido do próprio foi trocado para Mestre Teodoro; Fundou o grupo em 2003 com o nome Associação Internacional de Capoeira Os Bambas do Sol Nascente;; com objetivo de implantar um projeto social que ocupasse a mente de crianças e adolescentes ociosos oferecendo atividades socio culturais em contra turnos escolares;</v>
      </c>
      <c r="BE109" s="27"/>
      <c r="BF109" s="27"/>
      <c r="BG109" s="27" t="str">
        <f ca="1">IFERROR(__xludf.DUMMYFUNCTION("""COMPUTED_VALUE"""),"Ensino Superior - Incompleto")</f>
        <v>Ensino Superior - Incompleto</v>
      </c>
      <c r="BH109" s="27" t="str">
        <f ca="1">IFERROR(__xludf.DUMMYFUNCTION("""COMPUTED_VALUE"""),"Público")</f>
        <v>Público</v>
      </c>
      <c r="BI109" s="27" t="str">
        <f ca="1">IFERROR(__xludf.DUMMYFUNCTION("""COMPUTED_VALUE"""),"Graduação")</f>
        <v>Graduação</v>
      </c>
      <c r="BJ109" s="27" t="str">
        <f ca="1">IFERROR(__xludf.DUMMYFUNCTION("""COMPUTED_VALUE"""),"Privado")</f>
        <v>Privado</v>
      </c>
      <c r="BK109" s="27" t="str">
        <f ca="1">IFERROR(__xludf.DUMMYFUNCTION("""COMPUTED_VALUE"""),"RUA PAPA CLEMENTE X;")</f>
        <v>RUA PAPA CLEMENTE X;</v>
      </c>
      <c r="BL109" s="27">
        <f ca="1">IFERROR(__xludf.DUMMYFUNCTION("""COMPUTED_VALUE"""),61)</f>
        <v>61</v>
      </c>
      <c r="BM109" s="27" t="str">
        <f ca="1">IFERROR(__xludf.DUMMYFUNCTION("""COMPUTED_VALUE"""),"CASA")</f>
        <v>CASA</v>
      </c>
      <c r="BN109" s="27" t="str">
        <f ca="1">IFERROR(__xludf.DUMMYFUNCTION("""COMPUTED_VALUE"""),"SALVADOR")</f>
        <v>SALVADOR</v>
      </c>
      <c r="BO109" s="27">
        <f ca="1">IFERROR(__xludf.DUMMYFUNCTION("""COMPUTED_VALUE"""),40450575)</f>
        <v>40450575</v>
      </c>
      <c r="BP109" s="27" t="str">
        <f ca="1">IFERROR(__xludf.DUMMYFUNCTION("""COMPUTED_VALUE"""),"BA")</f>
        <v>BA</v>
      </c>
      <c r="BQ109" s="27"/>
      <c r="BR109" s="27"/>
      <c r="BS109" s="27"/>
      <c r="BT109" s="27"/>
      <c r="BU109" s="27" t="str">
        <f ca="1">IFERROR(__xludf.DUMMYFUNCTION("""COMPUTED_VALUE"""),"Não tem")</f>
        <v>Não tem</v>
      </c>
      <c r="BV109" s="27"/>
      <c r="BW109" s="27"/>
      <c r="BX109" s="21" t="str">
        <f ca="1">IFERROR(__xludf.DUMMYFUNCTION("""COMPUTED_VALUE"""),"https://www.instagram.com/teodoromestre/")</f>
        <v>https://www.instagram.com/teodoromestre/</v>
      </c>
      <c r="BY109" s="21" t="str">
        <f ca="1">IFERROR(__xludf.DUMMYFUNCTION("""COMPUTED_VALUE"""),"https://drive.google.com/open?id=1yAAeHBAT6BO0GDR_tu-UAM5HRhOMV9n4")</f>
        <v>https://drive.google.com/open?id=1yAAeHBAT6BO0GDR_tu-UAM5HRhOMV9n4</v>
      </c>
    </row>
    <row r="110" spans="1:77" ht="12.5" hidden="1" x14ac:dyDescent="0.25">
      <c r="A110" s="21" t="str">
        <f ca="1">IFERROR(__xludf.DUMMYFUNCTION("""COMPUTED_VALUE"""),"0014X00002VKCqtQAH")</f>
        <v>0014X00002VKCqtQAH</v>
      </c>
      <c r="B110" s="27" t="str">
        <f ca="1">IFERROR(__xludf.DUMMYFUNCTION("""COMPUTED_VALUE"""),"Fase Inicial")</f>
        <v>Fase Inicial</v>
      </c>
      <c r="C110" s="27" t="str">
        <f ca="1">IFERROR(__xludf.DUMMYFUNCTION("""COMPUTED_VALUE"""),"Fellow")</f>
        <v>Fellow</v>
      </c>
      <c r="D110" s="27" t="str">
        <f ca="1">IFERROR(__xludf.DUMMYFUNCTION("""COMPUTED_VALUE"""),"Ativo")</f>
        <v>Ativo</v>
      </c>
      <c r="E110" s="27" t="str">
        <f ca="1">IFERROR(__xludf.DUMMYFUNCTION("""COMPUTED_VALUE"""),"ASSOCIAÇÃO ITAMAR PARA PROMOÇÃO DE ESPORTES E CULTURA NA FAVELA")</f>
        <v>ASSOCIAÇÃO ITAMAR PARA PROMOÇÃO DE ESPORTES E CULTURA NA FAVELA</v>
      </c>
      <c r="F110" s="27" t="str">
        <f ca="1">IFERROR(__xludf.DUMMYFUNCTION("""COMPUTED_VALUE"""),"Laudilene")</f>
        <v>Laudilene</v>
      </c>
      <c r="G110" s="27" t="str">
        <f ca="1">IFERROR(__xludf.DUMMYFUNCTION("""COMPUTED_VALUE"""),"PROJETO ITAMAR")</f>
        <v>PROJETO ITAMAR</v>
      </c>
      <c r="H110" s="27" t="str">
        <f ca="1">IFERROR(__xludf.DUMMYFUNCTION("""COMPUTED_VALUE"""),"30.577.024/0001-79")</f>
        <v>30.577.024/0001-79</v>
      </c>
      <c r="I110" s="27" t="str">
        <f ca="1">IFERROR(__xludf.DUMMYFUNCTION("""COMPUTED_VALUE"""),"laudilene fernanda benevides")</f>
        <v>laudilene fernanda benevides</v>
      </c>
      <c r="J110" s="27" t="str">
        <f ca="1">IFERROR(__xludf.DUMMYFUNCTION("""COMPUTED_VALUE"""),"projetoitamarbh@gmail.com")</f>
        <v>projetoitamarbh@gmail.com</v>
      </c>
      <c r="K110" s="27" t="str">
        <f ca="1">IFERROR(__xludf.DUMMYFUNCTION("""COMPUTED_VALUE"""),"(31)99151-2901")</f>
        <v>(31)99151-2901</v>
      </c>
      <c r="L110" s="27" t="str">
        <f ca="1">IFERROR(__xludf.DUMMYFUNCTION("""COMPUTED_VALUE"""),"MG")</f>
        <v>MG</v>
      </c>
      <c r="M110" s="27" t="str">
        <f ca="1">IFERROR(__xludf.DUMMYFUNCTION("""COMPUTED_VALUE"""),"serenata")</f>
        <v>serenata</v>
      </c>
      <c r="N110" s="27" t="str">
        <f ca="1">IFERROR(__xludf.DUMMYFUNCTION("""COMPUTED_VALUE"""),"serra")</f>
        <v>serra</v>
      </c>
      <c r="O110" s="27">
        <f ca="1">IFERROR(__xludf.DUMMYFUNCTION("""COMPUTED_VALUE"""),63)</f>
        <v>63</v>
      </c>
      <c r="P110" s="27" t="str">
        <f ca="1">IFERROR(__xludf.DUMMYFUNCTION("""COMPUTED_VALUE"""),"belo horizonte")</f>
        <v>belo horizonte</v>
      </c>
      <c r="Q110" s="27" t="str">
        <f ca="1">IFERROR(__xludf.DUMMYFUNCTION("""COMPUTED_VALUE"""),"rua")</f>
        <v>rua</v>
      </c>
      <c r="R110" s="27" t="str">
        <f ca="1">IFERROR(__xludf.DUMMYFUNCTION("""COMPUTED_VALUE"""),"30250-000")</f>
        <v>30250-000</v>
      </c>
      <c r="S110" s="27" t="str">
        <f ca="1">IFERROR(__xludf.DUMMYFUNCTION("""COMPUTED_VALUE"""),"sim,centro cultural")</f>
        <v>sim,centro cultural</v>
      </c>
      <c r="T110" s="27"/>
      <c r="U110" s="27" t="str">
        <f ca="1">IFERROR(__xludf.DUMMYFUNCTION("""COMPUTED_VALUE"""),"Crianças (6 a 12 anos), Adolescentes (12 aos 18 anos), Jovens (18 aos 24 anos), Adultos, Idosos (60 anos ou mais)")</f>
        <v>Crianças (6 a 12 anos), Adolescentes (12 aos 18 anos), Jovens (18 aos 24 anos), Adultos, Idosos (60 anos ou mais)</v>
      </c>
      <c r="V110" s="27" t="str">
        <f ca="1">IFERROR(__xludf.DUMMYFUNCTION("""COMPUTED_VALUE"""),"Moradores de Favelas")</f>
        <v>Moradores de Favelas</v>
      </c>
      <c r="W110" s="27">
        <f ca="1">IFERROR(__xludf.DUMMYFUNCTION("""COMPUTED_VALUE"""),2)</f>
        <v>2</v>
      </c>
      <c r="X110" s="27"/>
      <c r="Y110" s="27"/>
      <c r="Z110" s="27">
        <f ca="1">IFERROR(__xludf.DUMMYFUNCTION("""COMPUTED_VALUE"""),90)</f>
        <v>90</v>
      </c>
      <c r="AA110" s="29">
        <f ca="1">IFERROR(__xludf.DUMMYFUNCTION("""COMPUTED_VALUE"""),43248)</f>
        <v>43248</v>
      </c>
      <c r="AB110" s="27" t="str">
        <f ca="1">IFERROR(__xludf.DUMMYFUNCTION("""COMPUTED_VALUE"""),"Sim")</f>
        <v>Sim</v>
      </c>
      <c r="AC110" s="27">
        <f ca="1">IFERROR(__xludf.DUMMYFUNCTION("""COMPUTED_VALUE"""),0)</f>
        <v>0</v>
      </c>
      <c r="AD110" s="27">
        <f ca="1">IFERROR(__xludf.DUMMYFUNCTION("""COMPUTED_VALUE"""),7)</f>
        <v>7</v>
      </c>
      <c r="AE110" s="27">
        <f ca="1">IFERROR(__xludf.DUMMYFUNCTION("""COMPUTED_VALUE"""),7)</f>
        <v>7</v>
      </c>
      <c r="AF110" s="27">
        <f ca="1">IFERROR(__xludf.DUMMYFUNCTION("""COMPUTED_VALUE"""),7)</f>
        <v>7</v>
      </c>
      <c r="AG110" s="27">
        <f ca="1">IFERROR(__xludf.DUMMYFUNCTION("""COMPUTED_VALUE"""),3)</f>
        <v>3</v>
      </c>
      <c r="AH110" s="27" t="str">
        <f ca="1">IFERROR(__xludf.DUMMYFUNCTION("""COMPUTED_VALUE"""),"Eventos/Ações para captação, Doações, Recursos próprios")</f>
        <v>Eventos/Ações para captação, Doações, Recursos próprios</v>
      </c>
      <c r="AI110" s="27" t="str">
        <f ca="1">IFERROR(__xludf.DUMMYFUNCTION("""COMPUTED_VALUE"""),"95% recursos proprios")</f>
        <v>95% recursos proprios</v>
      </c>
      <c r="AJ110" s="27" t="str">
        <f ca="1">IFERROR(__xludf.DUMMYFUNCTION("""COMPUTED_VALUE"""),"Não")</f>
        <v>Não</v>
      </c>
      <c r="AK110" s="27"/>
      <c r="AL110" s="21" t="str">
        <f ca="1">IFERROR(__xludf.DUMMYFUNCTION("""COMPUTED_VALUE"""),"0034X0000380O4c")</f>
        <v>0034X0000380O4c</v>
      </c>
      <c r="AM110" s="27" t="str">
        <f ca="1">IFERROR(__xludf.DUMMYFUNCTION("""COMPUTED_VALUE"""),"Fernanda benevides")</f>
        <v>Fernanda benevides</v>
      </c>
      <c r="AN110" s="27" t="str">
        <f ca="1">IFERROR(__xludf.DUMMYFUNCTION("""COMPUTED_VALUE"""),"Ativo")</f>
        <v>Ativo</v>
      </c>
      <c r="AO110" s="29">
        <f ca="1">IFERROR(__xludf.DUMMYFUNCTION("""COMPUTED_VALUE"""),44763)</f>
        <v>44763</v>
      </c>
      <c r="AP110" s="27">
        <f ca="1">IFERROR(__xludf.DUMMYFUNCTION("""COMPUTED_VALUE"""),2)</f>
        <v>2</v>
      </c>
      <c r="AQ110" s="27" t="str">
        <f ca="1">IFERROR(__xludf.DUMMYFUNCTION("""COMPUTED_VALUE"""),"Primeiro Semestre 2022")</f>
        <v>Primeiro Semestre 2022</v>
      </c>
      <c r="AR110" s="27" t="str">
        <f ca="1">IFERROR(__xludf.DUMMYFUNCTION("""COMPUTED_VALUE"""),"laufb29@yahoo.com")</f>
        <v>laufb29@yahoo.com</v>
      </c>
      <c r="AS110" s="27">
        <f ca="1">IFERROR(__xludf.DUMMYFUNCTION("""COMPUTED_VALUE"""),31991512901)</f>
        <v>31991512901</v>
      </c>
      <c r="AT110" s="30">
        <f ca="1">IFERROR(__xludf.DUMMYFUNCTION("""COMPUTED_VALUE"""),29584)</f>
        <v>29584</v>
      </c>
      <c r="AU110" s="27">
        <f ca="1">IFERROR(__xludf.DUMMYFUNCTION("""COMPUTED_VALUE"""),42)</f>
        <v>42</v>
      </c>
      <c r="AV110" s="27">
        <f ca="1">IFERROR(__xludf.DUMMYFUNCTION("""COMPUTED_VALUE"""),15217441640)</f>
        <v>15217441640</v>
      </c>
      <c r="AW110" s="27" t="str">
        <f ca="1">IFERROR(__xludf.DUMMYFUNCTION("""COMPUTED_VALUE"""),"MG-11.419.609")</f>
        <v>MG-11.419.609</v>
      </c>
      <c r="AX110" s="27"/>
      <c r="AY110" s="27"/>
      <c r="AZ110" s="27" t="str">
        <f ca="1">IFERROR(__xludf.DUMMYFUNCTION("""COMPUTED_VALUE"""),"G")</f>
        <v>G</v>
      </c>
      <c r="BA110" s="27" t="str">
        <f ca="1">IFERROR(__xludf.DUMMYFUNCTION("""COMPUTED_VALUE"""),"Preta")</f>
        <v>Preta</v>
      </c>
      <c r="BB110" s="27"/>
      <c r="BC110" s="27"/>
      <c r="BD110" s="27" t="str">
        <f ca="1">IFERROR(__xludf.DUMMYFUNCTION("""COMPUTED_VALUE"""),"MEU NOME É LAUDILENE FERNANDA TENHO 41 ANOS* TENHO 2 FILHOS* SOU MICROEMPREENDEDORA* E COORDENADORA VOLUNTARIA NO PROJETO ITAMAR* MORO NO AGLOMERADO A 23 ANOS* DESTES 11 ANOS ATUEI DIRETAMENTE DENTRO DAS VILAS E FAVELAS COMO ENCARREGADA DE LIMPEZA URBANA*"&amp;" CONHECENDO BEM A REALIDADE DE CADA VILA")</f>
        <v>MEU NOME É LAUDILENE FERNANDA TENHO 41 ANOS* TENHO 2 FILHOS* SOU MICROEMPREENDEDORA* E COORDENADORA VOLUNTARIA NO PROJETO ITAMAR* MORO NO AGLOMERADO A 23 ANOS* DESTES 11 ANOS ATUEI DIRETAMENTE DENTRO DAS VILAS E FAVELAS COMO ENCARREGADA DE LIMPEZA URBANA* CONHECENDO BEM A REALIDADE DE CADA VILA</v>
      </c>
      <c r="BE110" s="27" t="str">
        <f ca="1">IFERROR(__xludf.DUMMYFUNCTION("""COMPUTED_VALUE"""),"Feminino")</f>
        <v>Feminino</v>
      </c>
      <c r="BF110" s="27" t="str">
        <f ca="1">IFERROR(__xludf.DUMMYFUNCTION("""COMPUTED_VALUE"""),"Heterossexual")</f>
        <v>Heterossexual</v>
      </c>
      <c r="BG110" s="27"/>
      <c r="BH110" s="27" t="str">
        <f ca="1">IFERROR(__xludf.DUMMYFUNCTION("""COMPUTED_VALUE"""),"Público")</f>
        <v>Público</v>
      </c>
      <c r="BI110" s="27"/>
      <c r="BJ110" s="27"/>
      <c r="BK110" s="27" t="str">
        <f ca="1">IFERROR(__xludf.DUMMYFUNCTION("""COMPUTED_VALUE"""),"BECO FELICIDADE")</f>
        <v>BECO FELICIDADE</v>
      </c>
      <c r="BL110" s="27">
        <f ca="1">IFERROR(__xludf.DUMMYFUNCTION("""COMPUTED_VALUE"""),101)</f>
        <v>101</v>
      </c>
      <c r="BM110" s="27"/>
      <c r="BN110" s="27"/>
      <c r="BO110" s="27">
        <f ca="1">IFERROR(__xludf.DUMMYFUNCTION("""COMPUTED_VALUE"""),30250230)</f>
        <v>30250230</v>
      </c>
      <c r="BP110" s="27" t="str">
        <f ca="1">IFERROR(__xludf.DUMMYFUNCTION("""COMPUTED_VALUE"""),"MG")</f>
        <v>MG</v>
      </c>
      <c r="BQ110" s="27" t="str">
        <f ca="1">IFERROR(__xludf.DUMMYFUNCTION("""COMPUTED_VALUE"""),"Entre 1 até 3 salários mínimos")</f>
        <v>Entre 1 até 3 salários mínimos</v>
      </c>
      <c r="BR110" s="27" t="str">
        <f ca="1">IFERROR(__xludf.DUMMYFUNCTION("""COMPUTED_VALUE"""),"Funcionário Público")</f>
        <v>Funcionário Público</v>
      </c>
      <c r="BS110" s="27" t="str">
        <f ca="1">IFERROR(__xludf.DUMMYFUNCTION("""COMPUTED_VALUE"""),"Casa própria")</f>
        <v>Casa própria</v>
      </c>
      <c r="BT110" s="27">
        <f ca="1">IFERROR(__xludf.DUMMYFUNCTION("""COMPUTED_VALUE"""),1)</f>
        <v>1</v>
      </c>
      <c r="BU110" s="27" t="str">
        <f ca="1">IFERROR(__xludf.DUMMYFUNCTION("""COMPUTED_VALUE"""),"Não tem")</f>
        <v>Não tem</v>
      </c>
      <c r="BV110" s="27" t="str">
        <f ca="1">IFERROR(__xludf.DUMMYFUNCTION("""COMPUTED_VALUE"""),"Não")</f>
        <v>Não</v>
      </c>
      <c r="BW110" s="27"/>
      <c r="BX110" s="27"/>
      <c r="BY110" s="21" t="str">
        <f ca="1">IFERROR(__xludf.DUMMYFUNCTION("""COMPUTED_VALUE"""),"https://drive.google.com/open?id=14HL6cJqBiU-3e08McYyiZ1-MQtYIJt2Q")</f>
        <v>https://drive.google.com/open?id=14HL6cJqBiU-3e08McYyiZ1-MQtYIJt2Q</v>
      </c>
    </row>
    <row r="111" spans="1:77" ht="12.5" hidden="1" x14ac:dyDescent="0.25">
      <c r="A111" s="21" t="str">
        <f ca="1">IFERROR(__xludf.DUMMYFUNCTION("""COMPUTED_VALUE"""),"0014X00002VKCu1QAH")</f>
        <v>0014X00002VKCu1QAH</v>
      </c>
      <c r="B111" s="27" t="str">
        <f ca="1">IFERROR(__xludf.DUMMYFUNCTION("""COMPUTED_VALUE"""),"Fase Inicial")</f>
        <v>Fase Inicial</v>
      </c>
      <c r="C111" s="27" t="str">
        <f ca="1">IFERROR(__xludf.DUMMYFUNCTION("""COMPUTED_VALUE"""),"Fellow")</f>
        <v>Fellow</v>
      </c>
      <c r="D111" s="27" t="str">
        <f ca="1">IFERROR(__xludf.DUMMYFUNCTION("""COMPUTED_VALUE"""),"Ativo")</f>
        <v>Ativo</v>
      </c>
      <c r="E111" s="27" t="str">
        <f ca="1">IFERROR(__xludf.DUMMYFUNCTION("""COMPUTED_VALUE"""),"ASSOCIACAO IYD BRASIL")</f>
        <v>ASSOCIACAO IYD BRASIL</v>
      </c>
      <c r="F111" s="27" t="str">
        <f ca="1">IFERROR(__xludf.DUMMYFUNCTION("""COMPUTED_VALUE"""),"Júlia")</f>
        <v>Júlia</v>
      </c>
      <c r="G111" s="27" t="str">
        <f ca="1">IFERROR(__xludf.DUMMYFUNCTION("""COMPUTED_VALUE"""),"IYD BRASIL")</f>
        <v>IYD BRASIL</v>
      </c>
      <c r="H111" s="27" t="str">
        <f ca="1">IFERROR(__xludf.DUMMYFUNCTION("""COMPUTED_VALUE"""),"41.269.223/0001-36")</f>
        <v>41.269.223/0001-36</v>
      </c>
      <c r="I111" s="27" t="str">
        <f ca="1">IFERROR(__xludf.DUMMYFUNCTION("""COMPUTED_VALUE"""),"ERNESTO FERREIRA VASCONCELLOS")</f>
        <v>ERNESTO FERREIRA VASCONCELLOS</v>
      </c>
      <c r="J111" s="27" t="str">
        <f ca="1">IFERROR(__xludf.DUMMYFUNCTION("""COMPUTED_VALUE"""),"oi@iydbrasil.com")</f>
        <v>oi@iydbrasil.com</v>
      </c>
      <c r="K111" s="27" t="str">
        <f ca="1">IFERROR(__xludf.DUMMYFUNCTION("""COMPUTED_VALUE"""),"(51)99891-1952")</f>
        <v>(51)99891-1952</v>
      </c>
      <c r="L111" s="27" t="str">
        <f ca="1">IFERROR(__xludf.DUMMYFUNCTION("""COMPUTED_VALUE"""),"RS")</f>
        <v>RS</v>
      </c>
      <c r="M111" s="27"/>
      <c r="N111" s="27" t="str">
        <f ca="1">IFERROR(__xludf.DUMMYFUNCTION("""COMPUTED_VALUE"""),"não possuimos espaço físico")</f>
        <v>não possuimos espaço físico</v>
      </c>
      <c r="O111" s="27" t="str">
        <f ca="1">IFERROR(__xludf.DUMMYFUNCTION("""COMPUTED_VALUE"""),"não possuimos espaço físico")</f>
        <v>não possuimos espaço físico</v>
      </c>
      <c r="P111" s="27" t="str">
        <f ca="1">IFERROR(__xludf.DUMMYFUNCTION("""COMPUTED_VALUE"""),"Santa Maria")</f>
        <v>Santa Maria</v>
      </c>
      <c r="Q111" s="27" t="str">
        <f ca="1">IFERROR(__xludf.DUMMYFUNCTION("""COMPUTED_VALUE"""),"APT 601")</f>
        <v>APT 601</v>
      </c>
      <c r="R111" s="27" t="str">
        <f ca="1">IFERROR(__xludf.DUMMYFUNCTION("""COMPUTED_VALUE"""),"00000-000")</f>
        <v>00000-000</v>
      </c>
      <c r="S111" s="27"/>
      <c r="T111" s="27"/>
      <c r="U111" s="27" t="str">
        <f ca="1">IFERROR(__xludf.DUMMYFUNCTION("""COMPUTED_VALUE"""),"Jovens (18 aos 24 anos)")</f>
        <v>Jovens (18 aos 24 anos)</v>
      </c>
      <c r="V111" s="27" t="str">
        <f ca="1">IFERROR(__xludf.DUMMYFUNCTION("""COMPUTED_VALUE"""),"Moradores de Favelas, Pessoas em situação de rua, População LGBTQ+, Povos Indígenas, Quilombola, Afrodescendentes, Dependentes Químicos, Pessoas com Deficiência, Egressos sistema carcerário, Imigrantes, Refugiados, Ribeirinhos, Comunidade rural")</f>
        <v>Moradores de Favelas, Pessoas em situação de rua, População LGBTQ+, Povos Indígenas, Quilombola, Afrodescendentes, Dependentes Químicos, Pessoas com Deficiência, Egressos sistema carcerário, Imigrantes, Refugiados, Ribeirinhos, Comunidade rural</v>
      </c>
      <c r="W111" s="27">
        <f ca="1">IFERROR(__xludf.DUMMYFUNCTION("""COMPUTED_VALUE"""),232)</f>
        <v>232</v>
      </c>
      <c r="X111" s="27" t="str">
        <f ca="1">IFERROR(__xludf.DUMMYFUNCTION("""COMPUTED_VALUE"""),"Somos um movimento que possui embaixadores regionais e locais que atuam diretamente com os jovens que realizam as atividades para o dia da juventude* por isso temos uma grande capilaridade no Brasil todo.")</f>
        <v>Somos um movimento que possui embaixadores regionais e locais que atuam diretamente com os jovens que realizam as atividades para o dia da juventude* por isso temos uma grande capilaridade no Brasil todo.</v>
      </c>
      <c r="Y111" s="27"/>
      <c r="Z111" s="27">
        <f ca="1">IFERROR(__xludf.DUMMYFUNCTION("""COMPUTED_VALUE"""),600000)</f>
        <v>600000</v>
      </c>
      <c r="AA111" s="30">
        <f ca="1">IFERROR(__xludf.DUMMYFUNCTION("""COMPUTED_VALUE"""),44164)</f>
        <v>44164</v>
      </c>
      <c r="AB111" s="27" t="str">
        <f ca="1">IFERROR(__xludf.DUMMYFUNCTION("""COMPUTED_VALUE"""),"Sim")</f>
        <v>Sim</v>
      </c>
      <c r="AC111" s="27">
        <f ca="1">IFERROR(__xludf.DUMMYFUNCTION("""COMPUTED_VALUE"""),0)</f>
        <v>0</v>
      </c>
      <c r="AD111" s="27">
        <f ca="1">IFERROR(__xludf.DUMMYFUNCTION("""COMPUTED_VALUE"""),30)</f>
        <v>30</v>
      </c>
      <c r="AE111" s="27">
        <f ca="1">IFERROR(__xludf.DUMMYFUNCTION("""COMPUTED_VALUE"""),25)</f>
        <v>25</v>
      </c>
      <c r="AF111" s="27">
        <f ca="1">IFERROR(__xludf.DUMMYFUNCTION("""COMPUTED_VALUE"""),30)</f>
        <v>30</v>
      </c>
      <c r="AG111" s="27">
        <f ca="1">IFERROR(__xludf.DUMMYFUNCTION("""COMPUTED_VALUE"""),3)</f>
        <v>3</v>
      </c>
      <c r="AH111" s="27" t="str">
        <f ca="1">IFERROR(__xludf.DUMMYFUNCTION("""COMPUTED_VALUE"""),"Eventos/Ações para captação, Plataforma doação online - Pessoa Física, Editais")</f>
        <v>Eventos/Ações para captação, Plataforma doação online - Pessoa Física, Editais</v>
      </c>
      <c r="AI111" s="27">
        <f ca="1">IFERROR(__xludf.DUMMYFUNCTION("""COMPUTED_VALUE"""),0)</f>
        <v>0</v>
      </c>
      <c r="AJ111" s="27" t="str">
        <f ca="1">IFERROR(__xludf.DUMMYFUNCTION("""COMPUTED_VALUE"""),"Sim")</f>
        <v>Sim</v>
      </c>
      <c r="AK111" s="27"/>
      <c r="AL111" s="21" t="str">
        <f ca="1">IFERROR(__xludf.DUMMYFUNCTION("""COMPUTED_VALUE"""),"0034X0000380O2v")</f>
        <v>0034X0000380O2v</v>
      </c>
      <c r="AM111" s="27" t="str">
        <f ca="1">IFERROR(__xludf.DUMMYFUNCTION("""COMPUTED_VALUE"""),"Saldanha goulart")</f>
        <v>Saldanha goulart</v>
      </c>
      <c r="AN111" s="27" t="str">
        <f ca="1">IFERROR(__xludf.DUMMYFUNCTION("""COMPUTED_VALUE"""),"Ativo")</f>
        <v>Ativo</v>
      </c>
      <c r="AO111" s="29">
        <f ca="1">IFERROR(__xludf.DUMMYFUNCTION("""COMPUTED_VALUE"""),44763)</f>
        <v>44763</v>
      </c>
      <c r="AP111" s="27">
        <f ca="1">IFERROR(__xludf.DUMMYFUNCTION("""COMPUTED_VALUE"""),2)</f>
        <v>2</v>
      </c>
      <c r="AQ111" s="27" t="str">
        <f ca="1">IFERROR(__xludf.DUMMYFUNCTION("""COMPUTED_VALUE"""),"Primeiro Semestre 2022")</f>
        <v>Primeiro Semestre 2022</v>
      </c>
      <c r="AR111" s="27" t="str">
        <f ca="1">IFERROR(__xludf.DUMMYFUNCTION("""COMPUTED_VALUE"""),"juliasaldanhagoulart@gmail.com")</f>
        <v>juliasaldanhagoulart@gmail.com</v>
      </c>
      <c r="AS111" s="27">
        <f ca="1">IFERROR(__xludf.DUMMYFUNCTION("""COMPUTED_VALUE"""),51998691550)</f>
        <v>51998691550</v>
      </c>
      <c r="AT111" s="29">
        <f ca="1">IFERROR(__xludf.DUMMYFUNCTION("""COMPUTED_VALUE"""),36032)</f>
        <v>36032</v>
      </c>
      <c r="AU111" s="27">
        <f ca="1">IFERROR(__xludf.DUMMYFUNCTION("""COMPUTED_VALUE"""),24)</f>
        <v>24</v>
      </c>
      <c r="AV111" s="27">
        <f ca="1">IFERROR(__xludf.DUMMYFUNCTION("""COMPUTED_VALUE"""),2631937058)</f>
        <v>2631937058</v>
      </c>
      <c r="AW111" s="27">
        <f ca="1">IFERROR(__xludf.DUMMYFUNCTION("""COMPUTED_VALUE"""),3098809001)</f>
        <v>3098809001</v>
      </c>
      <c r="AX111" s="27"/>
      <c r="AY111" s="27"/>
      <c r="AZ111" s="27" t="str">
        <f ca="1">IFERROR(__xludf.DUMMYFUNCTION("""COMPUTED_VALUE"""),"M")</f>
        <v>M</v>
      </c>
      <c r="BA111" s="27" t="str">
        <f ca="1">IFERROR(__xludf.DUMMYFUNCTION("""COMPUTED_VALUE"""),"Branca")</f>
        <v>Branca</v>
      </c>
      <c r="BB111" s="27"/>
      <c r="BC111" s="27"/>
      <c r="BD111" s="27" t="str">
        <f ca="1">IFERROR(__xludf.DUMMYFUNCTION("""COMPUTED_VALUE"""),"Sou jornalista e fotógrafa* apaixonada por voluntariado e projetos sociais. Atualmente* faço parte da equipe de voluntário do IYD Brasil* como líder de comunicação e do time de marketing do Instituto Weducare* duas instituições sem fins lucrativos que lid"&amp;"am com a juventude e as necessidades desses jovens* seja na educação ou em outras temáticas.
Acredito muito no poder da comunicação para mudar a realidade e termos uma sociedade melhor* por isso tenha me capacitado e tentado direcionar a minha carreira p"&amp;"ara a área de impacto.")</f>
        <v>Sou jornalista e fotógrafa* apaixonada por voluntariado e projetos sociais. Atualmente* faço parte da equipe de voluntário do IYD Brasil* como líder de comunicação e do time de marketing do Instituto Weducare* duas instituições sem fins lucrativos que lidam com a juventude e as necessidades desses jovens* seja na educação ou em outras temáticas.
Acredito muito no poder da comunicação para mudar a realidade e termos uma sociedade melhor* por isso tenha me capacitado e tentado direcionar a minha carreira para a área de impacto.</v>
      </c>
      <c r="BE111" s="27" t="str">
        <f ca="1">IFERROR(__xludf.DUMMYFUNCTION("""COMPUTED_VALUE"""),"Feminino")</f>
        <v>Feminino</v>
      </c>
      <c r="BF111" s="27" t="str">
        <f ca="1">IFERROR(__xludf.DUMMYFUNCTION("""COMPUTED_VALUE"""),"Bissexual")</f>
        <v>Bissexual</v>
      </c>
      <c r="BG111" s="27"/>
      <c r="BH111" s="27" t="str">
        <f ca="1">IFERROR(__xludf.DUMMYFUNCTION("""COMPUTED_VALUE"""),"Privado")</f>
        <v>Privado</v>
      </c>
      <c r="BI111" s="27" t="str">
        <f ca="1">IFERROR(__xludf.DUMMYFUNCTION("""COMPUTED_VALUE"""),"Graduação")</f>
        <v>Graduação</v>
      </c>
      <c r="BJ111" s="27" t="str">
        <f ca="1">IFERROR(__xludf.DUMMYFUNCTION("""COMPUTED_VALUE"""),"Público")</f>
        <v>Público</v>
      </c>
      <c r="BK111" s="27" t="str">
        <f ca="1">IFERROR(__xludf.DUMMYFUNCTION("""COMPUTED_VALUE"""),"Rua Risieri Mafacioli")</f>
        <v>Rua Risieri Mafacioli</v>
      </c>
      <c r="BL111" s="27" t="str">
        <f ca="1">IFERROR(__xludf.DUMMYFUNCTION("""COMPUTED_VALUE"""),"33 apto 905")</f>
        <v>33 apto 905</v>
      </c>
      <c r="BM111" s="27"/>
      <c r="BN111" s="27" t="str">
        <f ca="1">IFERROR(__xludf.DUMMYFUNCTION("""COMPUTED_VALUE"""),"Santa Maria")</f>
        <v>Santa Maria</v>
      </c>
      <c r="BO111" s="27">
        <f ca="1">IFERROR(__xludf.DUMMYFUNCTION("""COMPUTED_VALUE"""),97010410)</f>
        <v>97010410</v>
      </c>
      <c r="BP111" s="27" t="str">
        <f ca="1">IFERROR(__xludf.DUMMYFUNCTION("""COMPUTED_VALUE"""),"RS")</f>
        <v>RS</v>
      </c>
      <c r="BQ111" s="27" t="str">
        <f ca="1">IFERROR(__xludf.DUMMYFUNCTION("""COMPUTED_VALUE"""),"Entre 1 até 3 salários mínimos")</f>
        <v>Entre 1 até 3 salários mínimos</v>
      </c>
      <c r="BR111" s="27" t="str">
        <f ca="1">IFERROR(__xludf.DUMMYFUNCTION("""COMPUTED_VALUE"""),"MEI")</f>
        <v>MEI</v>
      </c>
      <c r="BS111" s="27" t="str">
        <f ca="1">IFERROR(__xludf.DUMMYFUNCTION("""COMPUTED_VALUE"""),"Aluguel")</f>
        <v>Aluguel</v>
      </c>
      <c r="BT111" s="27">
        <f ca="1">IFERROR(__xludf.DUMMYFUNCTION("""COMPUTED_VALUE"""),1)</f>
        <v>1</v>
      </c>
      <c r="BU111" s="27" t="str">
        <f ca="1">IFERROR(__xludf.DUMMYFUNCTION("""COMPUTED_VALUE"""),"Ansiedade")</f>
        <v>Ansiedade</v>
      </c>
      <c r="BV111" s="27" t="str">
        <f ca="1">IFERROR(__xludf.DUMMYFUNCTION("""COMPUTED_VALUE"""),"Não")</f>
        <v>Não</v>
      </c>
      <c r="BW111" s="21" t="str">
        <f ca="1">IFERROR(__xludf.DUMMYFUNCTION("""COMPUTED_VALUE"""),"www.linkedin.com/in/juliasgoulart")</f>
        <v>www.linkedin.com/in/juliasgoulart</v>
      </c>
      <c r="BX111" s="21" t="str">
        <f ca="1">IFERROR(__xludf.DUMMYFUNCTION("""COMPUTED_VALUE"""),"www.instagram.com/juliasgoulart")</f>
        <v>www.instagram.com/juliasgoulart</v>
      </c>
      <c r="BY111" s="21" t="str">
        <f ca="1">IFERROR(__xludf.DUMMYFUNCTION("""COMPUTED_VALUE"""),"https://drive.google.com/open?id=1XHU-NepH1WwzgMqf_Vh1td87fyy0WcJl")</f>
        <v>https://drive.google.com/open?id=1XHU-NepH1WwzgMqf_Vh1td87fyy0WcJl</v>
      </c>
    </row>
    <row r="112" spans="1:77" ht="12.5" hidden="1" x14ac:dyDescent="0.25">
      <c r="A112" s="21" t="str">
        <f ca="1">IFERROR(__xludf.DUMMYFUNCTION("""COMPUTED_VALUE"""),"0014P00003YSpAKQA1")</f>
        <v>0014P00003YSpAKQA1</v>
      </c>
      <c r="B112" s="27" t="str">
        <f ca="1">IFERROR(__xludf.DUMMYFUNCTION("""COMPUTED_VALUE"""),"Fase Inicial")</f>
        <v>Fase Inicial</v>
      </c>
      <c r="C112" s="27" t="str">
        <f ca="1">IFERROR(__xludf.DUMMYFUNCTION("""COMPUTED_VALUE"""),"Fellow")</f>
        <v>Fellow</v>
      </c>
      <c r="D112" s="27" t="str">
        <f ca="1">IFERROR(__xludf.DUMMYFUNCTION("""COMPUTED_VALUE"""),"Ativo")</f>
        <v>Ativo</v>
      </c>
      <c r="E112" s="27" t="str">
        <f ca="1">IFERROR(__xludf.DUMMYFUNCTION("""COMPUTED_VALUE"""),"Associação Jogando Pelo Reino")</f>
        <v>Associação Jogando Pelo Reino</v>
      </c>
      <c r="F112" s="27" t="str">
        <f ca="1">IFERROR(__xludf.DUMMYFUNCTION("""COMPUTED_VALUE"""),"João")</f>
        <v>João</v>
      </c>
      <c r="G112" s="27"/>
      <c r="H112" s="27" t="str">
        <f ca="1">IFERROR(__xludf.DUMMYFUNCTION("""COMPUTED_VALUE"""),"39.521.186/0001-60")</f>
        <v>39.521.186/0001-60</v>
      </c>
      <c r="I112" s="27" t="str">
        <f ca="1">IFERROR(__xludf.DUMMYFUNCTION("""COMPUTED_VALUE"""),"Jose Arimateia da Costa Araujo")</f>
        <v>Jose Arimateia da Costa Araujo</v>
      </c>
      <c r="J112" s="27" t="str">
        <f ca="1">IFERROR(__xludf.DUMMYFUNCTION("""COMPUTED_VALUE"""),"institutojogandopeloreino@gmail.com")</f>
        <v>institutojogandopeloreino@gmail.com</v>
      </c>
      <c r="K112" s="27" t="str">
        <f ca="1">IFERROR(__xludf.DUMMYFUNCTION("""COMPUTED_VALUE"""),"(61)99187-9454")</f>
        <v>(61)99187-9454</v>
      </c>
      <c r="L112" s="27" t="str">
        <f ca="1">IFERROR(__xludf.DUMMYFUNCTION("""COMPUTED_VALUE"""),"GO")</f>
        <v>GO</v>
      </c>
      <c r="M112" s="27" t="str">
        <f ca="1">IFERROR(__xludf.DUMMYFUNCTION("""COMPUTED_VALUE"""),"CR 10 Bloco B Apto 708")</f>
        <v>CR 10 Bloco B Apto 708</v>
      </c>
      <c r="N112" s="27" t="str">
        <f ca="1">IFERROR(__xludf.DUMMYFUNCTION("""COMPUTED_VALUE"""),"Parque Santa Rita de Cássia")</f>
        <v>Parque Santa Rita de Cássia</v>
      </c>
      <c r="O112" s="27">
        <f ca="1">IFERROR(__xludf.DUMMYFUNCTION("""COMPUTED_VALUE"""),9)</f>
        <v>9</v>
      </c>
      <c r="P112" s="27" t="str">
        <f ca="1">IFERROR(__xludf.DUMMYFUNCTION("""COMPUTED_VALUE"""),"Valparaíso de Goiás")</f>
        <v>Valparaíso de Goiás</v>
      </c>
      <c r="Q112" s="27"/>
      <c r="R112" s="27" t="str">
        <f ca="1">IFERROR(__xludf.DUMMYFUNCTION("""COMPUTED_VALUE"""),"72872-794")</f>
        <v>72872-794</v>
      </c>
      <c r="S112" s="27"/>
      <c r="T112" s="27" t="str">
        <f ca="1">IFERROR(__xludf.DUMMYFUNCTION("""COMPUTED_VALUE"""),"Esporte; Educação; Assistência Social; Cultura; Saúde")</f>
        <v>Esporte; Educação; Assistência Social; Cultura; Saúde</v>
      </c>
      <c r="U112" s="27" t="str">
        <f ca="1">IFERROR(__xludf.DUMMYFUNCTION("""COMPUTED_VALUE"""),"Crianças (6 a 12 anos); Adolescentes (12 aos 18 anos); Jovens (18 aos 24 anos); Adultos; Idosos (60 anos ou mais)")</f>
        <v>Crianças (6 a 12 anos); Adolescentes (12 aos 18 anos); Jovens (18 aos 24 anos); Adultos; Idosos (60 anos ou mais)</v>
      </c>
      <c r="V112" s="27" t="str">
        <f ca="1">IFERROR(__xludf.DUMMYFUNCTION("""COMPUTED_VALUE"""),"Moradores de Favelas")</f>
        <v>Moradores de Favelas</v>
      </c>
      <c r="W112" s="27">
        <f ca="1">IFERROR(__xludf.DUMMYFUNCTION("""COMPUTED_VALUE"""),3)</f>
        <v>3</v>
      </c>
      <c r="X112" s="27"/>
      <c r="Y112" s="27"/>
      <c r="Z112" s="27">
        <f ca="1">IFERROR(__xludf.DUMMYFUNCTION("""COMPUTED_VALUE"""),50)</f>
        <v>50</v>
      </c>
      <c r="AA112" s="30">
        <f ca="1">IFERROR(__xludf.DUMMYFUNCTION("""COMPUTED_VALUE"""),43092)</f>
        <v>43092</v>
      </c>
      <c r="AB112" s="27" t="str">
        <f ca="1">IFERROR(__xludf.DUMMYFUNCTION("""COMPUTED_VALUE"""),"Sim")</f>
        <v>Sim</v>
      </c>
      <c r="AC112" s="27">
        <f ca="1">IFERROR(__xludf.DUMMYFUNCTION("""COMPUTED_VALUE"""),0)</f>
        <v>0</v>
      </c>
      <c r="AD112" s="27">
        <f ca="1">IFERROR(__xludf.DUMMYFUNCTION("""COMPUTED_VALUE"""),0)</f>
        <v>0</v>
      </c>
      <c r="AE112" s="27">
        <f ca="1">IFERROR(__xludf.DUMMYFUNCTION("""COMPUTED_VALUE"""),2)</f>
        <v>2</v>
      </c>
      <c r="AF112" s="27">
        <f ca="1">IFERROR(__xludf.DUMMYFUNCTION("""COMPUTED_VALUE"""),0)</f>
        <v>0</v>
      </c>
      <c r="AG112" s="27">
        <f ca="1">IFERROR(__xludf.DUMMYFUNCTION("""COMPUTED_VALUE"""),2)</f>
        <v>2</v>
      </c>
      <c r="AH112" s="27" t="str">
        <f ca="1">IFERROR(__xludf.DUMMYFUNCTION("""COMPUTED_VALUE"""),"Eventos/Ações para captação; Doações")</f>
        <v>Eventos/Ações para captação; Doações</v>
      </c>
      <c r="AI112" s="31">
        <f ca="1">IFERROR(__xludf.DUMMYFUNCTION("""COMPUTED_VALUE"""),0)</f>
        <v>0</v>
      </c>
      <c r="AJ112" s="27"/>
      <c r="AK112" s="27"/>
      <c r="AL112" s="21" t="str">
        <f ca="1">IFERROR(__xludf.DUMMYFUNCTION("""COMPUTED_VALUE"""),"0034P000045kxkw")</f>
        <v>0034P000045kxkw</v>
      </c>
      <c r="AM112" s="27" t="str">
        <f ca="1">IFERROR(__xludf.DUMMYFUNCTION("""COMPUTED_VALUE"""),"Pedro Gabriel Fernandes")</f>
        <v>Pedro Gabriel Fernandes</v>
      </c>
      <c r="AN112" s="27" t="str">
        <f ca="1">IFERROR(__xludf.DUMMYFUNCTION("""COMPUTED_VALUE"""),"Ativo")</f>
        <v>Ativo</v>
      </c>
      <c r="AO112" s="30">
        <f ca="1">IFERROR(__xludf.DUMMYFUNCTION("""COMPUTED_VALUE"""),44551)</f>
        <v>44551</v>
      </c>
      <c r="AP112" s="27">
        <f ca="1">IFERROR(__xludf.DUMMYFUNCTION("""COMPUTED_VALUE"""),9)</f>
        <v>9</v>
      </c>
      <c r="AQ112" s="27" t="str">
        <f ca="1">IFERROR(__xludf.DUMMYFUNCTION("""COMPUTED_VALUE"""),"Segundo Semestre 2021")</f>
        <v>Segundo Semestre 2021</v>
      </c>
      <c r="AR112" s="27" t="str">
        <f ca="1">IFERROR(__xludf.DUMMYFUNCTION("""COMPUTED_VALUE"""),"jpgabriel.fernandes@gmail.com")</f>
        <v>jpgabriel.fernandes@gmail.com</v>
      </c>
      <c r="AS112" s="27" t="str">
        <f ca="1">IFERROR(__xludf.DUMMYFUNCTION("""COMPUTED_VALUE"""),"(61)99300-7089")</f>
        <v>(61)99300-7089</v>
      </c>
      <c r="AT112" s="29">
        <f ca="1">IFERROR(__xludf.DUMMYFUNCTION("""COMPUTED_VALUE"""),35114)</f>
        <v>35114</v>
      </c>
      <c r="AU112" s="27">
        <f ca="1">IFERROR(__xludf.DUMMYFUNCTION("""COMPUTED_VALUE"""),26)</f>
        <v>26</v>
      </c>
      <c r="AV112" s="27">
        <f ca="1">IFERROR(__xludf.DUMMYFUNCTION("""COMPUTED_VALUE"""),5316810171)</f>
        <v>5316810171</v>
      </c>
      <c r="AW112" s="27">
        <f ca="1">IFERROR(__xludf.DUMMYFUNCTION("""COMPUTED_VALUE"""),3284649)</f>
        <v>3284649</v>
      </c>
      <c r="AX112" s="27"/>
      <c r="AY112" s="27"/>
      <c r="AZ112" s="27" t="str">
        <f ca="1">IFERROR(__xludf.DUMMYFUNCTION("""COMPUTED_VALUE"""),"P")</f>
        <v>P</v>
      </c>
      <c r="BA112" s="27" t="str">
        <f ca="1">IFERROR(__xludf.DUMMYFUNCTION("""COMPUTED_VALUE"""),"Branca")</f>
        <v>Branca</v>
      </c>
      <c r="BB112" s="27" t="str">
        <f ca="1">IFERROR(__xludf.DUMMYFUNCTION("""COMPUTED_VALUE"""),"Homem, cisgênero")</f>
        <v>Homem, cisgênero</v>
      </c>
      <c r="BC112" s="27" t="str">
        <f ca="1">IFERROR(__xludf.DUMMYFUNCTION("""COMPUTED_VALUE"""),"Não")</f>
        <v>Não</v>
      </c>
      <c r="BD112" s="27" t="str">
        <f ca="1">IFERROR(__xludf.DUMMYFUNCTION("""COMPUTED_VALUE"""),"26 anos, Valparaíso de Goiás, empreendedor e estudante administração de empresas.")</f>
        <v>26 anos, Valparaíso de Goiás, empreendedor e estudante administração de empresas.</v>
      </c>
      <c r="BE112" s="27"/>
      <c r="BF112" s="27" t="str">
        <f ca="1">IFERROR(__xludf.DUMMYFUNCTION("""COMPUTED_VALUE"""),"Heterossexual")</f>
        <v>Heterossexual</v>
      </c>
      <c r="BG112" s="27" t="str">
        <f ca="1">IFERROR(__xludf.DUMMYFUNCTION("""COMPUTED_VALUE"""),"Ensino Superior - Incompleto")</f>
        <v>Ensino Superior - Incompleto</v>
      </c>
      <c r="BH112" s="27" t="str">
        <f ca="1">IFERROR(__xludf.DUMMYFUNCTION("""COMPUTED_VALUE"""),"Público")</f>
        <v>Público</v>
      </c>
      <c r="BI112" s="27" t="str">
        <f ca="1">IFERROR(__xludf.DUMMYFUNCTION("""COMPUTED_VALUE"""),"Graduação")</f>
        <v>Graduação</v>
      </c>
      <c r="BJ112" s="27" t="str">
        <f ca="1">IFERROR(__xludf.DUMMYFUNCTION("""COMPUTED_VALUE"""),"Privado")</f>
        <v>Privado</v>
      </c>
      <c r="BK112" s="27" t="str">
        <f ca="1">IFERROR(__xludf.DUMMYFUNCTION("""COMPUTED_VALUE"""),"CR 10 Bloco C Apto")</f>
        <v>CR 10 Bloco C Apto</v>
      </c>
      <c r="BL112" s="27">
        <f ca="1">IFERROR(__xludf.DUMMYFUNCTION("""COMPUTED_VALUE"""),708)</f>
        <v>708</v>
      </c>
      <c r="BM112" s="27"/>
      <c r="BN112" s="27" t="str">
        <f ca="1">IFERROR(__xludf.DUMMYFUNCTION("""COMPUTED_VALUE"""),"Valparaíso de Goiás")</f>
        <v>Valparaíso de Goiás</v>
      </c>
      <c r="BO112" s="27" t="str">
        <f ca="1">IFERROR(__xludf.DUMMYFUNCTION("""COMPUTED_VALUE"""),"72872-794")</f>
        <v>72872-794</v>
      </c>
      <c r="BP112" s="27" t="str">
        <f ca="1">IFERROR(__xludf.DUMMYFUNCTION("""COMPUTED_VALUE"""),"GO")</f>
        <v>GO</v>
      </c>
      <c r="BQ112" s="27" t="str">
        <f ca="1">IFERROR(__xludf.DUMMYFUNCTION("""COMPUTED_VALUE"""),"Acima de 5 salários mínimos")</f>
        <v>Acima de 5 salários mínimos</v>
      </c>
      <c r="BR112" s="27" t="str">
        <f ca="1">IFERROR(__xludf.DUMMYFUNCTION("""COMPUTED_VALUE"""),"Trabalho informal")</f>
        <v>Trabalho informal</v>
      </c>
      <c r="BS112" s="27" t="str">
        <f ca="1">IFERROR(__xludf.DUMMYFUNCTION("""COMPUTED_VALUE"""),"Casa própria")</f>
        <v>Casa própria</v>
      </c>
      <c r="BT112" s="27">
        <f ca="1">IFERROR(__xludf.DUMMYFUNCTION("""COMPUTED_VALUE"""),1)</f>
        <v>1</v>
      </c>
      <c r="BU112" s="27" t="str">
        <f ca="1">IFERROR(__xludf.DUMMYFUNCTION("""COMPUTED_VALUE"""),"Não tem")</f>
        <v>Não tem</v>
      </c>
      <c r="BV112" s="27"/>
      <c r="BW112" s="27"/>
      <c r="BX112" s="21" t="str">
        <f ca="1">IFERROR(__xludf.DUMMYFUNCTION("""COMPUTED_VALUE"""),"https://instagram.com/gfernand_s?igshid=YmMyMTA2M2Y=")</f>
        <v>https://instagram.com/gfernand_s?igshid=YmMyMTA2M2Y=</v>
      </c>
      <c r="BY112" s="21" t="str">
        <f ca="1">IFERROR(__xludf.DUMMYFUNCTION("""COMPUTED_VALUE"""),"https://drive.google.com/open?id=1CFZ13sshI8_sczLZpd7M7iM8WVUxmUy8")</f>
        <v>https://drive.google.com/open?id=1CFZ13sshI8_sczLZpd7M7iM8WVUxmUy8</v>
      </c>
    </row>
    <row r="113" spans="1:77" ht="12.5" x14ac:dyDescent="0.25">
      <c r="A113" s="21" t="str">
        <f ca="1">IFERROR(__xludf.DUMMYFUNCTION("""COMPUTED_VALUE"""),"0014P00003SGWPUQA5")</f>
        <v>0014P00003SGWPUQA5</v>
      </c>
      <c r="B113" s="27" t="str">
        <f ca="1">IFERROR(__xludf.DUMMYFUNCTION("""COMPUTED_VALUE"""),"Fase Inicial")</f>
        <v>Fase Inicial</v>
      </c>
      <c r="C113" s="27" t="str">
        <f ca="1">IFERROR(__xludf.DUMMYFUNCTION("""COMPUTED_VALUE"""),"Fellow")</f>
        <v>Fellow</v>
      </c>
      <c r="D113" s="27" t="str">
        <f ca="1">IFERROR(__xludf.DUMMYFUNCTION("""COMPUTED_VALUE"""),"Ativo")</f>
        <v>Ativo</v>
      </c>
      <c r="E113" s="27" t="str">
        <f ca="1">IFERROR(__xludf.DUMMYFUNCTION("""COMPUTED_VALUE"""),"ASSOCIAÇÃO LACRE DO BEM")</f>
        <v>ASSOCIAÇÃO LACRE DO BEM</v>
      </c>
      <c r="F113" s="27" t="str">
        <f ca="1">IFERROR(__xludf.DUMMYFUNCTION("""COMPUTED_VALUE"""),"Ivete")</f>
        <v>Ivete</v>
      </c>
      <c r="G113" s="27" t="str">
        <f ca="1">IFERROR(__xludf.DUMMYFUNCTION("""COMPUTED_VALUE"""),"LACRE DO BEM")</f>
        <v>LACRE DO BEM</v>
      </c>
      <c r="H113" s="27" t="str">
        <f ca="1">IFERROR(__xludf.DUMMYFUNCTION("""COMPUTED_VALUE"""),"24.8390008/0001-04")</f>
        <v>24.8390008/0001-04</v>
      </c>
      <c r="I113" s="27" t="str">
        <f ca="1">IFERROR(__xludf.DUMMYFUNCTION("""COMPUTED_VALUE"""),"Fábio Páscoa Praxedes")</f>
        <v>Fábio Páscoa Praxedes</v>
      </c>
      <c r="J113" s="27" t="str">
        <f ca="1">IFERROR(__xludf.DUMMYFUNCTION("""COMPUTED_VALUE"""),"contato@lacredobem.org.br")</f>
        <v>contato@lacredobem.org.br</v>
      </c>
      <c r="K113" s="27" t="str">
        <f ca="1">IFERROR(__xludf.DUMMYFUNCTION("""COMPUTED_VALUE"""),"(31)99608-8314")</f>
        <v>(31)99608-8314</v>
      </c>
      <c r="L113" s="27" t="str">
        <f ca="1">IFERROR(__xludf.DUMMYFUNCTION("""COMPUTED_VALUE"""),"MG")</f>
        <v>MG</v>
      </c>
      <c r="M113" s="27" t="str">
        <f ca="1">IFERROR(__xludf.DUMMYFUNCTION("""COMPUTED_VALUE"""),"João Ramalho nº 21 loja 2")</f>
        <v>João Ramalho nº 21 loja 2</v>
      </c>
      <c r="N113" s="27" t="str">
        <f ca="1">IFERROR(__xludf.DUMMYFUNCTION("""COMPUTED_VALUE"""),"Novo Glória")</f>
        <v>Novo Glória</v>
      </c>
      <c r="O113" s="27" t="str">
        <f ca="1">IFERROR(__xludf.DUMMYFUNCTION("""COMPUTED_VALUE"""),"(31)99608-8314")</f>
        <v>(31)99608-8314</v>
      </c>
      <c r="P113" s="27" t="str">
        <f ca="1">IFERROR(__xludf.DUMMYFUNCTION("""COMPUTED_VALUE"""),"Belo Horizonte")</f>
        <v>Belo Horizonte</v>
      </c>
      <c r="Q113" s="27" t="str">
        <f ca="1">IFERROR(__xludf.DUMMYFUNCTION("""COMPUTED_VALUE"""),"loja 2")</f>
        <v>loja 2</v>
      </c>
      <c r="R113" s="27" t="str">
        <f ca="1">IFERROR(__xludf.DUMMYFUNCTION("""COMPUTED_VALUE"""),"30880-310")</f>
        <v>30880-310</v>
      </c>
      <c r="S113" s="27" t="str">
        <f ca="1">IFERROR(__xludf.DUMMYFUNCTION("""COMPUTED_VALUE"""),"Rua Efigênio Cândido da Rocha 130 Bairro Inconfidência - BH -MG CEP 30820-510")</f>
        <v>Rua Efigênio Cândido da Rocha 130 Bairro Inconfidência - BH -MG CEP 30820-510</v>
      </c>
      <c r="T113" s="27" t="str">
        <f ca="1">IFERROR(__xludf.DUMMYFUNCTION("""COMPUTED_VALUE"""),"Educação; Saúde; Meio ambiente; Defesa de Direitos")</f>
        <v>Educação; Saúde; Meio ambiente; Defesa de Direitos</v>
      </c>
      <c r="U113" s="27" t="str">
        <f ca="1">IFERROR(__xludf.DUMMYFUNCTION("""COMPUTED_VALUE"""),"Crianças (6 a 12 anos); Adolescentes (12 aos 18 anos); Jovens (18 aos 24 anos); Adultos; Idosos (60 anos ou mais)")</f>
        <v>Crianças (6 a 12 anos); Adolescentes (12 aos 18 anos); Jovens (18 aos 24 anos); Adultos; Idosos (60 anos ou mais)</v>
      </c>
      <c r="V113" s="27" t="str">
        <f ca="1">IFERROR(__xludf.DUMMYFUNCTION("""COMPUTED_VALUE"""),"Pessoas com Deficiência")</f>
        <v>Pessoas com Deficiência</v>
      </c>
      <c r="W113" s="27">
        <f ca="1">IFERROR(__xludf.DUMMYFUNCTION("""COMPUTED_VALUE"""),7)</f>
        <v>7</v>
      </c>
      <c r="X113" s="27" t="str">
        <f ca="1">IFERROR(__xludf.DUMMYFUNCTION("""COMPUTED_VALUE"""),"Nossas Oficinas de Recicláveis e Palestras são realizadas em Centros de Educação Ambiental Virada Cultural Escolas e Museus  devido a pandemia fizemos algumas ações virtual.")</f>
        <v>Nossas Oficinas de Recicláveis e Palestras são realizadas em Centros de Educação Ambiental Virada Cultural Escolas e Museus  devido a pandemia fizemos algumas ações virtual.</v>
      </c>
      <c r="Y113" s="27">
        <f ca="1">IFERROR(__xludf.DUMMYFUNCTION("""COMPUTED_VALUE"""),520)</f>
        <v>520</v>
      </c>
      <c r="Z113" s="27">
        <f ca="1">IFERROR(__xludf.DUMMYFUNCTION("""COMPUTED_VALUE"""),2500)</f>
        <v>2500</v>
      </c>
      <c r="AA113" s="29">
        <f ca="1">IFERROR(__xludf.DUMMYFUNCTION("""COMPUTED_VALUE"""),42509)</f>
        <v>42509</v>
      </c>
      <c r="AB113" s="27" t="str">
        <f ca="1">IFERROR(__xludf.DUMMYFUNCTION("""COMPUTED_VALUE"""),"Sim")</f>
        <v>Sim</v>
      </c>
      <c r="AC113" s="27">
        <f ca="1">IFERROR(__xludf.DUMMYFUNCTION("""COMPUTED_VALUE"""),0)</f>
        <v>0</v>
      </c>
      <c r="AD113" s="27">
        <f ca="1">IFERROR(__xludf.DUMMYFUNCTION("""COMPUTED_VALUE"""),0)</f>
        <v>0</v>
      </c>
      <c r="AE113" s="27">
        <f ca="1">IFERROR(__xludf.DUMMYFUNCTION("""COMPUTED_VALUE"""),15)</f>
        <v>15</v>
      </c>
      <c r="AF113" s="27">
        <f ca="1">IFERROR(__xludf.DUMMYFUNCTION("""COMPUTED_VALUE"""),5)</f>
        <v>5</v>
      </c>
      <c r="AG113" s="27">
        <f ca="1">IFERROR(__xludf.DUMMYFUNCTION("""COMPUTED_VALUE"""),5)</f>
        <v>5</v>
      </c>
      <c r="AH113" s="27" t="str">
        <f ca="1">IFERROR(__xludf.DUMMYFUNCTION("""COMPUTED_VALUE"""),"Negócio Social; Eventos/Ações para captação; Parceria iniciativa privada; Doações; Recursos próprios")</f>
        <v>Negócio Social; Eventos/Ações para captação; Parceria iniciativa privada; Doações; Recursos próprios</v>
      </c>
      <c r="AI113" s="27" t="str">
        <f ca="1">IFERROR(__xludf.DUMMYFUNCTION("""COMPUTED_VALUE"""),"negócio social 80%")</f>
        <v>negócio social 80%</v>
      </c>
      <c r="AJ113" s="27" t="str">
        <f ca="1">IFERROR(__xludf.DUMMYFUNCTION("""COMPUTED_VALUE"""),"Não")</f>
        <v>Não</v>
      </c>
      <c r="AK113" s="27" t="str">
        <f ca="1">IFERROR(__xludf.DUMMYFUNCTION("""COMPUTED_VALUE"""),"Não")</f>
        <v>Não</v>
      </c>
      <c r="AL113" s="21" t="str">
        <f ca="1">IFERROR(__xludf.DUMMYFUNCTION("""COMPUTED_VALUE"""),"0034P000043fOnb")</f>
        <v>0034P000043fOnb</v>
      </c>
      <c r="AM113" s="27" t="str">
        <f ca="1">IFERROR(__xludf.DUMMYFUNCTION("""COMPUTED_VALUE"""),"Rodrigues De Macedo")</f>
        <v>Rodrigues De Macedo</v>
      </c>
      <c r="AN113" s="27" t="str">
        <f ca="1">IFERROR(__xludf.DUMMYFUNCTION("""COMPUTED_VALUE"""),"Ativo")</f>
        <v>Ativo</v>
      </c>
      <c r="AO113" s="29">
        <f ca="1">IFERROR(__xludf.DUMMYFUNCTION("""COMPUTED_VALUE"""),44432)</f>
        <v>44432</v>
      </c>
      <c r="AP113" s="27">
        <f ca="1">IFERROR(__xludf.DUMMYFUNCTION("""COMPUTED_VALUE"""),13)</f>
        <v>13</v>
      </c>
      <c r="AQ113" s="27" t="str">
        <f ca="1">IFERROR(__xludf.DUMMYFUNCTION("""COMPUTED_VALUE"""),"Primeiro Semestre 2021")</f>
        <v>Primeiro Semestre 2021</v>
      </c>
      <c r="AR113" s="27" t="str">
        <f ca="1">IFERROR(__xludf.DUMMYFUNCTION("""COMPUTED_VALUE"""),"lacredobem@gmail.com")</f>
        <v>lacredobem@gmail.com</v>
      </c>
      <c r="AS113" s="27" t="str">
        <f ca="1">IFERROR(__xludf.DUMMYFUNCTION("""COMPUTED_VALUE"""),"(31)99608-8314")</f>
        <v>(31)99608-8314</v>
      </c>
      <c r="AT113" s="29">
        <f ca="1">IFERROR(__xludf.DUMMYFUNCTION("""COMPUTED_VALUE"""),26268)</f>
        <v>26268</v>
      </c>
      <c r="AU113" s="27">
        <f ca="1">IFERROR(__xludf.DUMMYFUNCTION("""COMPUTED_VALUE"""),51)</f>
        <v>51</v>
      </c>
      <c r="AV113" s="27">
        <f ca="1">IFERROR(__xludf.DUMMYFUNCTION("""COMPUTED_VALUE"""),78120187687)</f>
        <v>78120187687</v>
      </c>
      <c r="AW113" s="27">
        <f ca="1">IFERROR(__xludf.DUMMYFUNCTION("""COMPUTED_VALUE"""),4198456)</f>
        <v>4198456</v>
      </c>
      <c r="AX113" s="27" t="str">
        <f ca="1">IFERROR(__xludf.DUMMYFUNCTION("""COMPUTED_VALUE"""),"Administração - Gestão Do Varejo")</f>
        <v>Administração - Gestão Do Varejo</v>
      </c>
      <c r="AY113" s="27"/>
      <c r="AZ113" s="27" t="str">
        <f ca="1">IFERROR(__xludf.DUMMYFUNCTION("""COMPUTED_VALUE"""),"G")</f>
        <v>G</v>
      </c>
      <c r="BA113" s="27" t="str">
        <f ca="1">IFERROR(__xludf.DUMMYFUNCTION("""COMPUTED_VALUE"""),"Preta")</f>
        <v>Preta</v>
      </c>
      <c r="BB113" s="27"/>
      <c r="BC113" s="27" t="str">
        <f ca="1">IFERROR(__xludf.DUMMYFUNCTION("""COMPUTED_VALUE"""),"Sim")</f>
        <v>Sim</v>
      </c>
      <c r="BD113" s="27" t="str">
        <f ca="1">IFERROR(__xludf.DUMMYFUNCTION("""COMPUTED_VALUE"""),"Sou Gestora Social da Associação Lacre do Bem, formada em Administração de Empresas, Pós Graduação em Gestão do Varejo, casada, mãe de 2 meninas, artista plástica.")</f>
        <v>Sou Gestora Social da Associação Lacre do Bem, formada em Administração de Empresas, Pós Graduação em Gestão do Varejo, casada, mãe de 2 meninas, artista plástica.</v>
      </c>
      <c r="BE113" s="27" t="str">
        <f ca="1">IFERROR(__xludf.DUMMYFUNCTION("""COMPUTED_VALUE"""),"Feminino")</f>
        <v>Feminino</v>
      </c>
      <c r="BF113" s="27" t="str">
        <f ca="1">IFERROR(__xludf.DUMMYFUNCTION("""COMPUTED_VALUE"""),"Heterossexual")</f>
        <v>Heterossexual</v>
      </c>
      <c r="BG113" s="27" t="str">
        <f ca="1">IFERROR(__xludf.DUMMYFUNCTION("""COMPUTED_VALUE"""),"Ensino Superior - Completo")</f>
        <v>Ensino Superior - Completo</v>
      </c>
      <c r="BH113" s="27"/>
      <c r="BI113" s="27" t="str">
        <f ca="1">IFERROR(__xludf.DUMMYFUNCTION("""COMPUTED_VALUE"""),"Pós-Graduação")</f>
        <v>Pós-Graduação</v>
      </c>
      <c r="BJ113" s="27" t="str">
        <f ca="1">IFERROR(__xludf.DUMMYFUNCTION("""COMPUTED_VALUE"""),"Privado")</f>
        <v>Privado</v>
      </c>
      <c r="BK113" s="27" t="str">
        <f ca="1">IFERROR(__xludf.DUMMYFUNCTION("""COMPUTED_VALUE"""),"Padre Nóbrega")</f>
        <v>Padre Nóbrega</v>
      </c>
      <c r="BL113" s="27">
        <f ca="1">IFERROR(__xludf.DUMMYFUNCTION("""COMPUTED_VALUE"""),118)</f>
        <v>118</v>
      </c>
      <c r="BM113" s="27" t="str">
        <f ca="1">IFERROR(__xludf.DUMMYFUNCTION("""COMPUTED_VALUE"""),"apto 701")</f>
        <v>apto 701</v>
      </c>
      <c r="BN113" s="27" t="str">
        <f ca="1">IFERROR(__xludf.DUMMYFUNCTION("""COMPUTED_VALUE"""),"Belo Horizonte")</f>
        <v>Belo Horizonte</v>
      </c>
      <c r="BO113" s="27" t="str">
        <f ca="1">IFERROR(__xludf.DUMMYFUNCTION("""COMPUTED_VALUE"""),"30730-230")</f>
        <v>30730-230</v>
      </c>
      <c r="BP113" s="27" t="str">
        <f ca="1">IFERROR(__xludf.DUMMYFUNCTION("""COMPUTED_VALUE"""),"MG")</f>
        <v>MG</v>
      </c>
      <c r="BQ113" s="27" t="str">
        <f ca="1">IFERROR(__xludf.DUMMYFUNCTION("""COMPUTED_VALUE"""),"De 3 até 5 salários mínimos")</f>
        <v>De 3 até 5 salários mínimos</v>
      </c>
      <c r="BR113" s="27" t="str">
        <f ca="1">IFERROR(__xludf.DUMMYFUNCTION("""COMPUTED_VALUE"""),"MEI")</f>
        <v>MEI</v>
      </c>
      <c r="BS113" s="27" t="str">
        <f ca="1">IFERROR(__xludf.DUMMYFUNCTION("""COMPUTED_VALUE"""),"Casa própria")</f>
        <v>Casa própria</v>
      </c>
      <c r="BT113" s="27">
        <f ca="1">IFERROR(__xludf.DUMMYFUNCTION("""COMPUTED_VALUE"""),4)</f>
        <v>4</v>
      </c>
      <c r="BU113" s="27"/>
      <c r="BV113" s="27"/>
      <c r="BW113" s="21" t="str">
        <f ca="1">IFERROR(__xludf.DUMMYFUNCTION("""COMPUTED_VALUE"""),"https://www.linkedin.com/in/ivette-rodrigues-de-macedo-8070bb120/")</f>
        <v>https://www.linkedin.com/in/ivette-rodrigues-de-macedo-8070bb120/</v>
      </c>
      <c r="BX113" s="21" t="str">
        <f ca="1">IFERROR(__xludf.DUMMYFUNCTION("""COMPUTED_VALUE"""),"https://instagram.com/ivette.macedo?utm_medium=copy_link")</f>
        <v>https://instagram.com/ivette.macedo?utm_medium=copy_link</v>
      </c>
      <c r="BY113" s="21" t="str">
        <f ca="1">IFERROR(__xludf.DUMMYFUNCTION("""COMPUTED_VALUE"""),"https://drive.google.com/open?id=1Uq4uWmvj39wquK7N7NutG5SWepmVaT7s")</f>
        <v>https://drive.google.com/open?id=1Uq4uWmvj39wquK7N7NutG5SWepmVaT7s</v>
      </c>
    </row>
    <row r="114" spans="1:77" ht="12.5" hidden="1" x14ac:dyDescent="0.25">
      <c r="A114" s="21" t="str">
        <f ca="1">IFERROR(__xludf.DUMMYFUNCTION("""COMPUTED_VALUE"""),"0014X00002VKCtAQAX")</f>
        <v>0014X00002VKCtAQAX</v>
      </c>
      <c r="B114" s="27" t="str">
        <f ca="1">IFERROR(__xludf.DUMMYFUNCTION("""COMPUTED_VALUE"""),"Fase Inicial")</f>
        <v>Fase Inicial</v>
      </c>
      <c r="C114" s="27" t="str">
        <f ca="1">IFERROR(__xludf.DUMMYFUNCTION("""COMPUTED_VALUE"""),"Fellow")</f>
        <v>Fellow</v>
      </c>
      <c r="D114" s="27" t="str">
        <f ca="1">IFERROR(__xludf.DUMMYFUNCTION("""COMPUTED_VALUE"""),"Ativo")</f>
        <v>Ativo</v>
      </c>
      <c r="E114" s="27" t="str">
        <f ca="1">IFERROR(__xludf.DUMMYFUNCTION("""COMPUTED_VALUE"""),"Associação Ler e Saber na Comunidade")</f>
        <v>Associação Ler e Saber na Comunidade</v>
      </c>
      <c r="F114" s="27" t="str">
        <f ca="1">IFERROR(__xludf.DUMMYFUNCTION("""COMPUTED_VALUE"""),"Vanessa")</f>
        <v>Vanessa</v>
      </c>
      <c r="G114" s="27" t="str">
        <f ca="1">IFERROR(__xludf.DUMMYFUNCTION("""COMPUTED_VALUE"""),"LER E SABER NA COMUNIDADE")</f>
        <v>LER E SABER NA COMUNIDADE</v>
      </c>
      <c r="H114" s="27" t="str">
        <f ca="1">IFERROR(__xludf.DUMMYFUNCTION("""COMPUTED_VALUE"""),"24.585.346/0001-67")</f>
        <v>24.585.346/0001-67</v>
      </c>
      <c r="I114" s="27" t="str">
        <f ca="1">IFERROR(__xludf.DUMMYFUNCTION("""COMPUTED_VALUE"""),"Vanessa Regina Ribeiro de Oliveira dos Santos")</f>
        <v>Vanessa Regina Ribeiro de Oliveira dos Santos</v>
      </c>
      <c r="J114" s="27" t="str">
        <f ca="1">IFERROR(__xludf.DUMMYFUNCTION("""COMPUTED_VALUE"""),"leresabernacomunidade@gmail.com")</f>
        <v>leresabernacomunidade@gmail.com</v>
      </c>
      <c r="K114" s="27" t="str">
        <f ca="1">IFERROR(__xludf.DUMMYFUNCTION("""COMPUTED_VALUE"""),"(21)97514-0032")</f>
        <v>(21)97514-0032</v>
      </c>
      <c r="L114" s="27" t="str">
        <f ca="1">IFERROR(__xludf.DUMMYFUNCTION("""COMPUTED_VALUE"""),"RJ")</f>
        <v>RJ</v>
      </c>
      <c r="M114" s="27" t="str">
        <f ca="1">IFERROR(__xludf.DUMMYFUNCTION("""COMPUTED_VALUE"""),"Rua Vila Queiroz")</f>
        <v>Rua Vila Queiroz</v>
      </c>
      <c r="N114" s="27" t="str">
        <f ca="1">IFERROR(__xludf.DUMMYFUNCTION("""COMPUTED_VALUE"""),"Madureira")</f>
        <v>Madureira</v>
      </c>
      <c r="O114" s="27">
        <f ca="1">IFERROR(__xludf.DUMMYFUNCTION("""COMPUTED_VALUE"""),70)</f>
        <v>70</v>
      </c>
      <c r="P114" s="27" t="str">
        <f ca="1">IFERROR(__xludf.DUMMYFUNCTION("""COMPUTED_VALUE"""),"Rio de Janeiro")</f>
        <v>Rio de Janeiro</v>
      </c>
      <c r="Q114" s="27"/>
      <c r="R114" s="27" t="str">
        <f ca="1">IFERROR(__xludf.DUMMYFUNCTION("""COMPUTED_VALUE"""),"21360-180")</f>
        <v>21360-180</v>
      </c>
      <c r="S114" s="27" t="str">
        <f ca="1">IFERROR(__xludf.DUMMYFUNCTION("""COMPUTED_VALUE"""),"Temos uma parceria com a Associação de Moradores do morro da Congonha e eles possuem uma quadra coberta onde nós fazemos as atividades de dança, música e futsal.")</f>
        <v>Temos uma parceria com a Associação de Moradores do morro da Congonha e eles possuem uma quadra coberta onde nós fazemos as atividades de dança, música e futsal.</v>
      </c>
      <c r="T114" s="27"/>
      <c r="U114" s="27" t="str">
        <f ca="1">IFERROR(__xludf.DUMMYFUNCTION("""COMPUTED_VALUE"""),"Crianças (6 a 12 anos), Adolescentes (12 aos 18 anos), Jovens (18 aos 24 anos), Adultos")</f>
        <v>Crianças (6 a 12 anos), Adolescentes (12 aos 18 anos), Jovens (18 aos 24 anos), Adultos</v>
      </c>
      <c r="V114" s="27" t="str">
        <f ca="1">IFERROR(__xludf.DUMMYFUNCTION("""COMPUTED_VALUE"""),"Moradores de Favelas")</f>
        <v>Moradores de Favelas</v>
      </c>
      <c r="W114" s="27">
        <f ca="1">IFERROR(__xludf.DUMMYFUNCTION("""COMPUTED_VALUE"""),1)</f>
        <v>1</v>
      </c>
      <c r="X114" s="27"/>
      <c r="Y114" s="27"/>
      <c r="Z114" s="27">
        <f ca="1">IFERROR(__xludf.DUMMYFUNCTION("""COMPUTED_VALUE"""),59)</f>
        <v>59</v>
      </c>
      <c r="AA114" s="29">
        <f ca="1">IFERROR(__xludf.DUMMYFUNCTION("""COMPUTED_VALUE"""),42471)</f>
        <v>42471</v>
      </c>
      <c r="AB114" s="27" t="str">
        <f ca="1">IFERROR(__xludf.DUMMYFUNCTION("""COMPUTED_VALUE"""),"Sim")</f>
        <v>Sim</v>
      </c>
      <c r="AC114" s="27">
        <f ca="1">IFERROR(__xludf.DUMMYFUNCTION("""COMPUTED_VALUE"""),0)</f>
        <v>0</v>
      </c>
      <c r="AD114" s="27">
        <f ca="1">IFERROR(__xludf.DUMMYFUNCTION("""COMPUTED_VALUE"""),4)</f>
        <v>4</v>
      </c>
      <c r="AE114" s="27">
        <f ca="1">IFERROR(__xludf.DUMMYFUNCTION("""COMPUTED_VALUE"""),6)</f>
        <v>6</v>
      </c>
      <c r="AF114" s="27">
        <f ca="1">IFERROR(__xludf.DUMMYFUNCTION("""COMPUTED_VALUE"""),4)</f>
        <v>4</v>
      </c>
      <c r="AG114" s="27">
        <f ca="1">IFERROR(__xludf.DUMMYFUNCTION("""COMPUTED_VALUE"""),3)</f>
        <v>3</v>
      </c>
      <c r="AH114" s="27" t="str">
        <f ca="1">IFERROR(__xludf.DUMMYFUNCTION("""COMPUTED_VALUE"""),"Plataforma doação online - Pessoa Física, Editais")</f>
        <v>Plataforma doação online - Pessoa Física, Editais</v>
      </c>
      <c r="AI114" s="27">
        <f ca="1">IFERROR(__xludf.DUMMYFUNCTION("""COMPUTED_VALUE"""),0)</f>
        <v>0</v>
      </c>
      <c r="AJ114" s="27" t="str">
        <f ca="1">IFERROR(__xludf.DUMMYFUNCTION("""COMPUTED_VALUE"""),"Vamos iniciar esse ano")</f>
        <v>Vamos iniciar esse ano</v>
      </c>
      <c r="AK114" s="27"/>
      <c r="AL114" s="21" t="str">
        <f ca="1">IFERROR(__xludf.DUMMYFUNCTION("""COMPUTED_VALUE"""),"0034X0000380O5O")</f>
        <v>0034X0000380O5O</v>
      </c>
      <c r="AM114" s="27" t="str">
        <f ca="1">IFERROR(__xludf.DUMMYFUNCTION("""COMPUTED_VALUE"""),"Regina ribeiro de oliveira dos santos")</f>
        <v>Regina ribeiro de oliveira dos santos</v>
      </c>
      <c r="AN114" s="27" t="str">
        <f ca="1">IFERROR(__xludf.DUMMYFUNCTION("""COMPUTED_VALUE"""),"Ativo")</f>
        <v>Ativo</v>
      </c>
      <c r="AO114" s="27"/>
      <c r="AP114" s="27"/>
      <c r="AQ114" s="27" t="str">
        <f ca="1">IFERROR(__xludf.DUMMYFUNCTION("""COMPUTED_VALUE"""),"Primeiro Semestre 2022")</f>
        <v>Primeiro Semestre 2022</v>
      </c>
      <c r="AR114" s="27" t="str">
        <f ca="1">IFERROR(__xludf.DUMMYFUNCTION("""COMPUTED_VALUE"""),"vanessadaya@gmail.com")</f>
        <v>vanessadaya@gmail.com</v>
      </c>
      <c r="AS114" s="27">
        <f ca="1">IFERROR(__xludf.DUMMYFUNCTION("""COMPUTED_VALUE"""),21975140032)</f>
        <v>21975140032</v>
      </c>
      <c r="AT114" s="29">
        <f ca="1">IFERROR(__xludf.DUMMYFUNCTION("""COMPUTED_VALUE"""),29322)</f>
        <v>29322</v>
      </c>
      <c r="AU114" s="27">
        <f ca="1">IFERROR(__xludf.DUMMYFUNCTION("""COMPUTED_VALUE"""),42)</f>
        <v>42</v>
      </c>
      <c r="AV114" s="27">
        <f ca="1">IFERROR(__xludf.DUMMYFUNCTION("""COMPUTED_VALUE"""),8963165728)</f>
        <v>8963165728</v>
      </c>
      <c r="AW114" s="27" t="str">
        <f ca="1">IFERROR(__xludf.DUMMYFUNCTION("""COMPUTED_VALUE"""),"10.998.870-9")</f>
        <v>10.998.870-9</v>
      </c>
      <c r="AX114" s="27"/>
      <c r="AY114" s="27"/>
      <c r="AZ114" s="27" t="str">
        <f ca="1">IFERROR(__xludf.DUMMYFUNCTION("""COMPUTED_VALUE"""),"G")</f>
        <v>G</v>
      </c>
      <c r="BA114" s="27" t="str">
        <f ca="1">IFERROR(__xludf.DUMMYFUNCTION("""COMPUTED_VALUE"""),"Preta")</f>
        <v>Preta</v>
      </c>
      <c r="BB114" s="27"/>
      <c r="BC114" s="27"/>
      <c r="BD114" s="27" t="str">
        <f ca="1">IFERROR(__xludf.DUMMYFUNCTION("""COMPUTED_VALUE"""),"Empreendedora social* articuladora cultural e 
fundadora do Ler e Saber na Comunidade* projeto social de incentivo à leitura* acesso ao livro infantil e Biblioteca comunitária no morro da Congonha em Madureira.")</f>
        <v>Empreendedora social* articuladora cultural e 
fundadora do Ler e Saber na Comunidade* projeto social de incentivo à leitura* acesso ao livro infantil e Biblioteca comunitária no morro da Congonha em Madureira.</v>
      </c>
      <c r="BE114" s="27" t="str">
        <f ca="1">IFERROR(__xludf.DUMMYFUNCTION("""COMPUTED_VALUE"""),"Feminino")</f>
        <v>Feminino</v>
      </c>
      <c r="BF114" s="27" t="str">
        <f ca="1">IFERROR(__xludf.DUMMYFUNCTION("""COMPUTED_VALUE"""),"Heterossexual")</f>
        <v>Heterossexual</v>
      </c>
      <c r="BG114" s="27"/>
      <c r="BH114" s="27" t="str">
        <f ca="1">IFERROR(__xludf.DUMMYFUNCTION("""COMPUTED_VALUE"""),"Público")</f>
        <v>Público</v>
      </c>
      <c r="BI114" s="27"/>
      <c r="BJ114" s="27"/>
      <c r="BK114" s="27" t="str">
        <f ca="1">IFERROR(__xludf.DUMMYFUNCTION("""COMPUTED_VALUE"""),"Rua Alberto de Carvalho")</f>
        <v>Rua Alberto de Carvalho</v>
      </c>
      <c r="BL114" s="27">
        <f ca="1">IFERROR(__xludf.DUMMYFUNCTION("""COMPUTED_VALUE"""),106)</f>
        <v>106</v>
      </c>
      <c r="BM114" s="27"/>
      <c r="BN114" s="27"/>
      <c r="BO114" s="27">
        <f ca="1">IFERROR(__xludf.DUMMYFUNCTION("""COMPUTED_VALUE"""),21340370)</f>
        <v>21340370</v>
      </c>
      <c r="BP114" s="27" t="str">
        <f ca="1">IFERROR(__xludf.DUMMYFUNCTION("""COMPUTED_VALUE"""),"RJ")</f>
        <v>RJ</v>
      </c>
      <c r="BQ114" s="27" t="str">
        <f ca="1">IFERROR(__xludf.DUMMYFUNCTION("""COMPUTED_VALUE"""),"Entre 1 até 3 salários mínimos")</f>
        <v>Entre 1 até 3 salários mínimos</v>
      </c>
      <c r="BR114" s="27" t="str">
        <f ca="1">IFERROR(__xludf.DUMMYFUNCTION("""COMPUTED_VALUE"""),"Trabalho informal")</f>
        <v>Trabalho informal</v>
      </c>
      <c r="BS114" s="27" t="str">
        <f ca="1">IFERROR(__xludf.DUMMYFUNCTION("""COMPUTED_VALUE"""),"Casa cedida")</f>
        <v>Casa cedida</v>
      </c>
      <c r="BT114" s="27">
        <f ca="1">IFERROR(__xludf.DUMMYFUNCTION("""COMPUTED_VALUE"""),4)</f>
        <v>4</v>
      </c>
      <c r="BU114" s="27" t="str">
        <f ca="1">IFERROR(__xludf.DUMMYFUNCTION("""COMPUTED_VALUE"""),"Não tem")</f>
        <v>Não tem</v>
      </c>
      <c r="BV114" s="27" t="str">
        <f ca="1">IFERROR(__xludf.DUMMYFUNCTION("""COMPUTED_VALUE"""),"Não")</f>
        <v>Não</v>
      </c>
      <c r="BW114" s="27"/>
      <c r="BX114" s="21" t="str">
        <f ca="1">IFERROR(__xludf.DUMMYFUNCTION("""COMPUTED_VALUE"""),"https://www.instagram.com/vanessadaya04/")</f>
        <v>https://www.instagram.com/vanessadaya04/</v>
      </c>
      <c r="BY114" s="21" t="str">
        <f ca="1">IFERROR(__xludf.DUMMYFUNCTION("""COMPUTED_VALUE"""),"https://drive.google.com/open?id=1kHA3ufOwb0v3HUfbgNM9dxqw8i37GE1r")</f>
        <v>https://drive.google.com/open?id=1kHA3ufOwb0v3HUfbgNM9dxqw8i37GE1r</v>
      </c>
    </row>
    <row r="115" spans="1:77" ht="12.5" hidden="1" x14ac:dyDescent="0.25">
      <c r="A115" s="21" t="str">
        <f ca="1">IFERROR(__xludf.DUMMYFUNCTION("""COMPUTED_VALUE"""),"0014X00002VKCsVQAX")</f>
        <v>0014X00002VKCsVQAX</v>
      </c>
      <c r="B115" s="27" t="str">
        <f ca="1">IFERROR(__xludf.DUMMYFUNCTION("""COMPUTED_VALUE"""),"Fase Inicial")</f>
        <v>Fase Inicial</v>
      </c>
      <c r="C115" s="27" t="str">
        <f ca="1">IFERROR(__xludf.DUMMYFUNCTION("""COMPUTED_VALUE"""),"Fellow")</f>
        <v>Fellow</v>
      </c>
      <c r="D115" s="27" t="str">
        <f ca="1">IFERROR(__xludf.DUMMYFUNCTION("""COMPUTED_VALUE"""),"Ativo")</f>
        <v>Ativo</v>
      </c>
      <c r="E115" s="27" t="str">
        <f ca="1">IFERROR(__xludf.DUMMYFUNCTION("""COMPUTED_VALUE"""),"Associação Livre - Centro de Formação e Transformação Social (Transformar)")</f>
        <v>Associação Livre - Centro de Formação e Transformação Social (Transformar)</v>
      </c>
      <c r="F115" s="27" t="str">
        <f ca="1">IFERROR(__xludf.DUMMYFUNCTION("""COMPUTED_VALUE"""),"Ellis")</f>
        <v>Ellis</v>
      </c>
      <c r="G115" s="27" t="str">
        <f ca="1">IFERROR(__xludf.DUMMYFUNCTION("""COMPUTED_VALUE"""),"TRANSFORMAR")</f>
        <v>TRANSFORMAR</v>
      </c>
      <c r="H115" s="27" t="str">
        <f ca="1">IFERROR(__xludf.DUMMYFUNCTION("""COMPUTED_VALUE"""),"07.234.854/0001-81")</f>
        <v>07.234.854/0001-81</v>
      </c>
      <c r="I115" s="27" t="str">
        <f ca="1">IFERROR(__xludf.DUMMYFUNCTION("""COMPUTED_VALUE"""),"Sergio Paulo de Almeida Pereira Junior")</f>
        <v>Sergio Paulo de Almeida Pereira Junior</v>
      </c>
      <c r="J115" s="27" t="str">
        <f ca="1">IFERROR(__xludf.DUMMYFUNCTION("""COMPUTED_VALUE"""),"transformar.comunica@gmail.com")</f>
        <v>transformar.comunica@gmail.com</v>
      </c>
      <c r="K115" s="27" t="str">
        <f ca="1">IFERROR(__xludf.DUMMYFUNCTION("""COMPUTED_VALUE"""),"(21)98533-9761")</f>
        <v>(21)98533-9761</v>
      </c>
      <c r="L115" s="27" t="str">
        <f ca="1">IFERROR(__xludf.DUMMYFUNCTION("""COMPUTED_VALUE"""),"RJ")</f>
        <v>RJ</v>
      </c>
      <c r="M115" s="27" t="str">
        <f ca="1">IFERROR(__xludf.DUMMYFUNCTION("""COMPUTED_VALUE"""),"Rua Grajaú")</f>
        <v>Rua Grajaú</v>
      </c>
      <c r="N115" s="27" t="str">
        <f ca="1">IFERROR(__xludf.DUMMYFUNCTION("""COMPUTED_VALUE"""),"Grajaú")</f>
        <v>Grajaú</v>
      </c>
      <c r="O115" s="27">
        <f ca="1">IFERROR(__xludf.DUMMYFUNCTION("""COMPUTED_VALUE"""),61)</f>
        <v>61</v>
      </c>
      <c r="P115" s="27" t="str">
        <f ca="1">IFERROR(__xludf.DUMMYFUNCTION("""COMPUTED_VALUE"""),"Rio de Janeiro")</f>
        <v>Rio de Janeiro</v>
      </c>
      <c r="Q115" s="27" t="str">
        <f ca="1">IFERROR(__xludf.DUMMYFUNCTION("""COMPUTED_VALUE"""),"Fundos")</f>
        <v>Fundos</v>
      </c>
      <c r="R115" s="27" t="str">
        <f ca="1">IFERROR(__xludf.DUMMYFUNCTION("""COMPUTED_VALUE"""),"20561-142")</f>
        <v>20561-142</v>
      </c>
      <c r="S115" s="27" t="str">
        <f ca="1">IFERROR(__xludf.DUMMYFUNCTION("""COMPUTED_VALUE"""),"Anjos da Tia Stellinha, Arena Carioca Abelardo Barbosa (Chacrinha)")</f>
        <v>Anjos da Tia Stellinha, Arena Carioca Abelardo Barbosa (Chacrinha)</v>
      </c>
      <c r="T115" s="27"/>
      <c r="U115" s="27" t="str">
        <f ca="1">IFERROR(__xludf.DUMMYFUNCTION("""COMPUTED_VALUE"""),"Crianças (6 a 12 anos), Adolescentes (12 aos 18 anos), Jovens (18 aos 24 anos), Adultos, Idosos (60 anos ou mais)")</f>
        <v>Crianças (6 a 12 anos), Adolescentes (12 aos 18 anos), Jovens (18 aos 24 anos), Adultos, Idosos (60 anos ou mais)</v>
      </c>
      <c r="V115" s="27" t="str">
        <f ca="1">IFERROR(__xludf.DUMMYFUNCTION("""COMPUTED_VALUE"""),"Moradores de Favelas, Afrodescendentes, Pessoas com Deficiência")</f>
        <v>Moradores de Favelas, Afrodescendentes, Pessoas com Deficiência</v>
      </c>
      <c r="W115" s="27">
        <f ca="1">IFERROR(__xludf.DUMMYFUNCTION("""COMPUTED_VALUE"""),3105)</f>
        <v>3105</v>
      </c>
      <c r="X115" s="27"/>
      <c r="Y115" s="27"/>
      <c r="Z115" s="27">
        <f ca="1">IFERROR(__xludf.DUMMYFUNCTION("""COMPUTED_VALUE"""),48)</f>
        <v>48</v>
      </c>
      <c r="AA115" s="29">
        <f ca="1">IFERROR(__xludf.DUMMYFUNCTION("""COMPUTED_VALUE"""),38359)</f>
        <v>38359</v>
      </c>
      <c r="AB115" s="27" t="str">
        <f ca="1">IFERROR(__xludf.DUMMYFUNCTION("""COMPUTED_VALUE"""),"Sim")</f>
        <v>Sim</v>
      </c>
      <c r="AC115" s="27">
        <f ca="1">IFERROR(__xludf.DUMMYFUNCTION("""COMPUTED_VALUE"""),0)</f>
        <v>0</v>
      </c>
      <c r="AD115" s="27">
        <f ca="1">IFERROR(__xludf.DUMMYFUNCTION("""COMPUTED_VALUE"""),2)</f>
        <v>2</v>
      </c>
      <c r="AE115" s="27">
        <f ca="1">IFERROR(__xludf.DUMMYFUNCTION("""COMPUTED_VALUE"""),13)</f>
        <v>13</v>
      </c>
      <c r="AF115" s="27">
        <f ca="1">IFERROR(__xludf.DUMMYFUNCTION("""COMPUTED_VALUE"""),13)</f>
        <v>13</v>
      </c>
      <c r="AG115" s="27">
        <f ca="1">IFERROR(__xludf.DUMMYFUNCTION("""COMPUTED_VALUE"""),3)</f>
        <v>3</v>
      </c>
      <c r="AH115" s="27" t="str">
        <f ca="1">IFERROR(__xludf.DUMMYFUNCTION("""COMPUTED_VALUE"""),"Lei de Incentivo, Doações, Recursos próprios")</f>
        <v>Lei de Incentivo, Doações, Recursos próprios</v>
      </c>
      <c r="AI115" s="27" t="str">
        <f ca="1">IFERROR(__xludf.DUMMYFUNCTION("""COMPUTED_VALUE"""),"40% Lei Municipal de Cultura (ISS); 10% Doações; 50% Recursos Próprios")</f>
        <v>40% Lei Municipal de Cultura (ISS); 10% Doações; 50% Recursos Próprios</v>
      </c>
      <c r="AJ115" s="27" t="str">
        <f ca="1">IFERROR(__xludf.DUMMYFUNCTION("""COMPUTED_VALUE"""),"Não")</f>
        <v>Não</v>
      </c>
      <c r="AK115" s="27"/>
      <c r="AL115" s="21" t="str">
        <f ca="1">IFERROR(__xludf.DUMMYFUNCTION("""COMPUTED_VALUE"""),"0034X0000380O0o")</f>
        <v>0034X0000380O0o</v>
      </c>
      <c r="AM115" s="27" t="str">
        <f ca="1">IFERROR(__xludf.DUMMYFUNCTION("""COMPUTED_VALUE"""),"Regina dos santos amorim")</f>
        <v>Regina dos santos amorim</v>
      </c>
      <c r="AN115" s="27" t="str">
        <f ca="1">IFERROR(__xludf.DUMMYFUNCTION("""COMPUTED_VALUE"""),"Ativo")</f>
        <v>Ativo</v>
      </c>
      <c r="AO115" s="29">
        <f ca="1">IFERROR(__xludf.DUMMYFUNCTION("""COMPUTED_VALUE"""),44763)</f>
        <v>44763</v>
      </c>
      <c r="AP115" s="27">
        <f ca="1">IFERROR(__xludf.DUMMYFUNCTION("""COMPUTED_VALUE"""),2)</f>
        <v>2</v>
      </c>
      <c r="AQ115" s="27" t="str">
        <f ca="1">IFERROR(__xludf.DUMMYFUNCTION("""COMPUTED_VALUE"""),"Primeiro Semestre 2022")</f>
        <v>Primeiro Semestre 2022</v>
      </c>
      <c r="AR115" s="27" t="str">
        <f ca="1">IFERROR(__xludf.DUMMYFUNCTION("""COMPUTED_VALUE"""),"ellis.amorim6@gmail.com")</f>
        <v>ellis.amorim6@gmail.com</v>
      </c>
      <c r="AS115" s="27">
        <f ca="1">IFERROR(__xludf.DUMMYFUNCTION("""COMPUTED_VALUE"""),21985339761)</f>
        <v>21985339761</v>
      </c>
      <c r="AT115" s="29">
        <f ca="1">IFERROR(__xludf.DUMMYFUNCTION("""COMPUTED_VALUE"""),24274)</f>
        <v>24274</v>
      </c>
      <c r="AU115" s="27">
        <f ca="1">IFERROR(__xludf.DUMMYFUNCTION("""COMPUTED_VALUE"""),56)</f>
        <v>56</v>
      </c>
      <c r="AV115" s="27">
        <f ca="1">IFERROR(__xludf.DUMMYFUNCTION("""COMPUTED_VALUE"""),86389211791)</f>
        <v>86389211791</v>
      </c>
      <c r="AW115" s="27" t="str">
        <f ca="1">IFERROR(__xludf.DUMMYFUNCTION("""COMPUTED_VALUE"""),"07127702-4")</f>
        <v>07127702-4</v>
      </c>
      <c r="AX115" s="27"/>
      <c r="AY115" s="27"/>
      <c r="AZ115" s="27" t="str">
        <f ca="1">IFERROR(__xludf.DUMMYFUNCTION("""COMPUTED_VALUE"""),"GG")</f>
        <v>GG</v>
      </c>
      <c r="BA115" s="27" t="str">
        <f ca="1">IFERROR(__xludf.DUMMYFUNCTION("""COMPUTED_VALUE"""),"Parda")</f>
        <v>Parda</v>
      </c>
      <c r="BB115" s="27"/>
      <c r="BC115" s="27"/>
      <c r="BD115" s="27" t="str">
        <f ca="1">IFERROR(__xludf.DUMMYFUNCTION("""COMPUTED_VALUE"""),"Ellis Regina dos Santos Amorim - Sou empreendedora social atuando há 23 anos no terceiro setor* atualmente coordenadora da organização da sociedade civil Associação Livre - Centro de Formação e Transformação Social (Transformar). Atuo na área de elaboraçã"&amp;"o* mobilização de recursos e gestão de projetos socioculturais. Criadora e gestora dos projetos socioculturais: - Mãos que Criam Tecendo o Futuro (Valorização do artesanato brasileiro desenvolvido com adolescentes de 14 a 16 anos em Madureira - 2001), - C"&amp;"rescer e Aprender Brincando (Valorização do Brincar desenvolvido com crianças e adolescentes de 4 a 14 anos em Pedra de Guaratiba – 2009/2013), - Projeto Reciclavida (Oficinas de artesanato focadas no reaproveitamento de material reciclável* voltadas para"&amp;" mulheres residentes em Pedra de Guaratiba – 2010/2014), Nossas Histórias (Valorização da História Local de comunidades empobrecidas de Pedra de Guaratiba desenvolvido com crianças e adolescentes de 4 a 14 anos – 2012/2015), - Cantar e Contar Clementina –"&amp;" Outra Forma de Aprender (Resgate da vida e obra da cantora Clementina de Jesus* visando à promoção da cultura negra e valorização da autoestima de crianças e adolescentes de comunidades empobrecidas do RJ desenvolvido com crianças de 4 a 6 anos – 2014/20"&amp;"15), - Criadora e gestora do evento Coisas de Preto* voltado à valorização da cultura negra junto a crianças* adolescentes* educadores e responsáveis* realizado de 2012 a 2015 no mês da Consciência Negra* na Arena Cultural Abelardo Barbosa* em Pedra de Gu"&amp;"aratiba, - Coautora e supervisora do projeto Batuque Legal (Valorização do samba carioca* desenvolvido com crianças e adolescentes de 4 a 16 anos no Engenho Novo e Pedra de Guaratiba – 2016/até atualmente), Autora e gestora do projeto Trançando a Vida (La"&amp;"nçado em 05/08/2021), - Assessora Cultural no projeto Piano Interativo – Uma Nota a Cada Passo em 2019.")</f>
        <v>Ellis Regina dos Santos Amorim - Sou empreendedora social atuando há 23 anos no terceiro setor* atualmente coordenadora da organização da sociedade civil Associação Livre - Centro de Formação e Transformação Social (Transformar). Atuo na área de elaboração* mobilização de recursos e gestão de projetos socioculturais. Criadora e gestora dos projetos socioculturais: - Mãos que Criam Tecendo o Futuro (Valorização do artesanato brasileiro desenvolvido com adolescentes de 14 a 16 anos em Madureira - 2001), - Crescer e Aprender Brincando (Valorização do Brincar desenvolvido com crianças e adolescentes de 4 a 14 anos em Pedra de Guaratiba – 2009/2013), - Projeto Reciclavida (Oficinas de artesanato focadas no reaproveitamento de material reciclável* voltadas para mulheres residentes em Pedra de Guaratiba – 2010/2014), Nossas Histórias (Valorização da História Local de comunidades empobrecidas de Pedra de Guaratiba desenvolvido com crianças e adolescentes de 4 a 14 anos – 2012/2015), - Cantar e Contar Clementina – Outra Forma de Aprender (Resgate da vida e obra da cantora Clementina de Jesus* visando à promoção da cultura negra e valorização da autoestima de crianças e adolescentes de comunidades empobrecidas do RJ desenvolvido com crianças de 4 a 6 anos – 2014/2015), - Criadora e gestora do evento Coisas de Preto* voltado à valorização da cultura negra junto a crianças* adolescentes* educadores e responsáveis* realizado de 2012 a 2015 no mês da Consciência Negra* na Arena Cultural Abelardo Barbosa* em Pedra de Guaratiba, - Coautora e supervisora do projeto Batuque Legal (Valorização do samba carioca* desenvolvido com crianças e adolescentes de 4 a 16 anos no Engenho Novo e Pedra de Guaratiba – 2016/até atualmente), Autora e gestora do projeto Trançando a Vida (Lançado em 05/08/2021), - Assessora Cultural no projeto Piano Interativo – Uma Nota a Cada Passo em 2019.</v>
      </c>
      <c r="BE115" s="27" t="str">
        <f ca="1">IFERROR(__xludf.DUMMYFUNCTION("""COMPUTED_VALUE"""),"Feminino")</f>
        <v>Feminino</v>
      </c>
      <c r="BF115" s="27" t="str">
        <f ca="1">IFERROR(__xludf.DUMMYFUNCTION("""COMPUTED_VALUE"""),"Heterossexual")</f>
        <v>Heterossexual</v>
      </c>
      <c r="BG115" s="27"/>
      <c r="BH115" s="27" t="str">
        <f ca="1">IFERROR(__xludf.DUMMYFUNCTION("""COMPUTED_VALUE"""),"Público")</f>
        <v>Público</v>
      </c>
      <c r="BI115" s="27"/>
      <c r="BJ115" s="27"/>
      <c r="BK115" s="27" t="str">
        <f ca="1">IFERROR(__xludf.DUMMYFUNCTION("""COMPUTED_VALUE"""),"Rua Grajaú")</f>
        <v>Rua Grajaú</v>
      </c>
      <c r="BL115" s="27">
        <f ca="1">IFERROR(__xludf.DUMMYFUNCTION("""COMPUTED_VALUE"""),61)</f>
        <v>61</v>
      </c>
      <c r="BM115" s="27"/>
      <c r="BN115" s="27"/>
      <c r="BO115" s="27" t="str">
        <f ca="1">IFERROR(__xludf.DUMMYFUNCTION("""COMPUTED_VALUE"""),"20561-142")</f>
        <v>20561-142</v>
      </c>
      <c r="BP115" s="27" t="str">
        <f ca="1">IFERROR(__xludf.DUMMYFUNCTION("""COMPUTED_VALUE"""),"RJ")</f>
        <v>RJ</v>
      </c>
      <c r="BQ115" s="27" t="str">
        <f ca="1">IFERROR(__xludf.DUMMYFUNCTION("""COMPUTED_VALUE"""),"Entre 1 até 3 salários mínimos")</f>
        <v>Entre 1 até 3 salários mínimos</v>
      </c>
      <c r="BR115" s="27" t="str">
        <f ca="1">IFERROR(__xludf.DUMMYFUNCTION("""COMPUTED_VALUE"""),"Trabalho informal")</f>
        <v>Trabalho informal</v>
      </c>
      <c r="BS115" s="27" t="str">
        <f ca="1">IFERROR(__xludf.DUMMYFUNCTION("""COMPUTED_VALUE"""),"Aluguel")</f>
        <v>Aluguel</v>
      </c>
      <c r="BT115" s="27">
        <f ca="1">IFERROR(__xludf.DUMMYFUNCTION("""COMPUTED_VALUE"""),3)</f>
        <v>3</v>
      </c>
      <c r="BU115" s="27" t="str">
        <f ca="1">IFERROR(__xludf.DUMMYFUNCTION("""COMPUTED_VALUE"""),"Baixa visão")</f>
        <v>Baixa visão</v>
      </c>
      <c r="BV115" s="27" t="str">
        <f ca="1">IFERROR(__xludf.DUMMYFUNCTION("""COMPUTED_VALUE"""),"Não")</f>
        <v>Não</v>
      </c>
      <c r="BW115" s="27"/>
      <c r="BX115" s="27"/>
      <c r="BY115" s="21" t="str">
        <f ca="1">IFERROR(__xludf.DUMMYFUNCTION("""COMPUTED_VALUE"""),"https://drive.google.com/open?id=1W-RbqETXkXuAJWTN4ENjH2eqhMKhtjy9")</f>
        <v>https://drive.google.com/open?id=1W-RbqETXkXuAJWTN4ENjH2eqhMKhtjy9</v>
      </c>
    </row>
    <row r="116" spans="1:77" ht="12.5" hidden="1" x14ac:dyDescent="0.25">
      <c r="A116" s="21" t="str">
        <f ca="1">IFERROR(__xludf.DUMMYFUNCTION("""COMPUTED_VALUE"""),"0014X00002VKCv3QAH")</f>
        <v>0014X00002VKCv3QAH</v>
      </c>
      <c r="B116" s="27" t="str">
        <f ca="1">IFERROR(__xludf.DUMMYFUNCTION("""COMPUTED_VALUE"""),"Fase Inicial")</f>
        <v>Fase Inicial</v>
      </c>
      <c r="C116" s="27" t="str">
        <f ca="1">IFERROR(__xludf.DUMMYFUNCTION("""COMPUTED_VALUE"""),"Fellow")</f>
        <v>Fellow</v>
      </c>
      <c r="D116" s="27" t="str">
        <f ca="1">IFERROR(__xludf.DUMMYFUNCTION("""COMPUTED_VALUE"""),"Ativo")</f>
        <v>Ativo</v>
      </c>
      <c r="E116" s="27" t="str">
        <f ca="1">IFERROR(__xludf.DUMMYFUNCTION("""COMPUTED_VALUE"""),"Associação Lyra")</f>
        <v>Associação Lyra</v>
      </c>
      <c r="F116" s="27" t="str">
        <f ca="1">IFERROR(__xludf.DUMMYFUNCTION("""COMPUTED_VALUE"""),"Pablo")</f>
        <v>Pablo</v>
      </c>
      <c r="G116" s="27" t="str">
        <f ca="1">IFERROR(__xludf.DUMMYFUNCTION("""COMPUTED_VALUE"""),"ASSOCIAÇÃO LYRA")</f>
        <v>ASSOCIAÇÃO LYRA</v>
      </c>
      <c r="H116" s="27" t="str">
        <f ca="1">IFERROR(__xludf.DUMMYFUNCTION("""COMPUTED_VALUE"""),"41.994.323/0001-25")</f>
        <v>41.994.323/0001-25</v>
      </c>
      <c r="I116" s="27" t="str">
        <f ca="1">IFERROR(__xludf.DUMMYFUNCTION("""COMPUTED_VALUE"""),"Pablo Rodrigo da Silva Lima")</f>
        <v>Pablo Rodrigo da Silva Lima</v>
      </c>
      <c r="J116" s="27" t="str">
        <f ca="1">IFERROR(__xludf.DUMMYFUNCTION("""COMPUTED_VALUE"""),"associacaolyra@gmail.com")</f>
        <v>associacaolyra@gmail.com</v>
      </c>
      <c r="K116" s="27" t="str">
        <f ca="1">IFERROR(__xludf.DUMMYFUNCTION("""COMPUTED_VALUE"""),"(11)97239-0856")</f>
        <v>(11)97239-0856</v>
      </c>
      <c r="L116" s="27" t="str">
        <f ca="1">IFERROR(__xludf.DUMMYFUNCTION("""COMPUTED_VALUE"""),"SP")</f>
        <v>SP</v>
      </c>
      <c r="M116" s="27" t="str">
        <f ca="1">IFERROR(__xludf.DUMMYFUNCTION("""COMPUTED_VALUE"""),"Rua Vênus")</f>
        <v>Rua Vênus</v>
      </c>
      <c r="N116" s="27" t="str">
        <f ca="1">IFERROR(__xludf.DUMMYFUNCTION("""COMPUTED_VALUE"""),"Vila Formosa")</f>
        <v>Vila Formosa</v>
      </c>
      <c r="O116" s="27">
        <f ca="1">IFERROR(__xludf.DUMMYFUNCTION("""COMPUTED_VALUE"""),462)</f>
        <v>462</v>
      </c>
      <c r="P116" s="27" t="str">
        <f ca="1">IFERROR(__xludf.DUMMYFUNCTION("""COMPUTED_VALUE"""),"São Paulo")</f>
        <v>São Paulo</v>
      </c>
      <c r="Q116" s="27" t="str">
        <f ca="1">IFERROR(__xludf.DUMMYFUNCTION("""COMPUTED_VALUE"""),"Salão emprestado da Igreja Pentecostal Remanescente de Israel")</f>
        <v>Salão emprestado da Igreja Pentecostal Remanescente de Israel</v>
      </c>
      <c r="R116" s="27" t="str">
        <f ca="1">IFERROR(__xludf.DUMMYFUNCTION("""COMPUTED_VALUE"""),"03362-060")</f>
        <v>03362-060</v>
      </c>
      <c r="S116" s="27" t="str">
        <f ca="1">IFERROR(__xludf.DUMMYFUNCTION("""COMPUTED_VALUE"""),"Só as atividades em espaços abertos próximo da própria comunidade mesmo.")</f>
        <v>Só as atividades em espaços abertos próximo da própria comunidade mesmo.</v>
      </c>
      <c r="T116" s="27"/>
      <c r="U116" s="27" t="str">
        <f ca="1">IFERROR(__xludf.DUMMYFUNCTION("""COMPUTED_VALUE"""),"bebês (1 a 1ano e 6 meses), Crianças bem pequenas (1 ano e 7 meses até 3 anos e 11 meses), Crianças pequenas (4 anos a 5 anos e 11 meses), Crianças (6 a 12 anos), Adolescentes (12 aos 18 anos), Jovens (18 aos 24 anos), Adultos")</f>
        <v>bebês (1 a 1ano e 6 meses), Crianças bem pequenas (1 ano e 7 meses até 3 anos e 11 meses), Crianças pequenas (4 anos a 5 anos e 11 meses), Crianças (6 a 12 anos), Adolescentes (12 aos 18 anos), Jovens (18 aos 24 anos), Adultos</v>
      </c>
      <c r="V116" s="27" t="str">
        <f ca="1">IFERROR(__xludf.DUMMYFUNCTION("""COMPUTED_VALUE"""),"Moradores de Favelas")</f>
        <v>Moradores de Favelas</v>
      </c>
      <c r="W116" s="27">
        <f ca="1">IFERROR(__xludf.DUMMYFUNCTION("""COMPUTED_VALUE"""),2)</f>
        <v>2</v>
      </c>
      <c r="X116" s="27" t="str">
        <f ca="1">IFERROR(__xludf.DUMMYFUNCTION("""COMPUTED_VALUE"""),"O público alvo são gestantes em situação de vulnerabilidade social* porém o projeto tem aberturas e realiza ações com as famílias no geral.")</f>
        <v>O público alvo são gestantes em situação de vulnerabilidade social* porém o projeto tem aberturas e realiza ações com as famílias no geral.</v>
      </c>
      <c r="Y116" s="27"/>
      <c r="Z116" s="27">
        <f ca="1">IFERROR(__xludf.DUMMYFUNCTION("""COMPUTED_VALUE"""),120)</f>
        <v>120</v>
      </c>
      <c r="AA116" s="29">
        <f ca="1">IFERROR(__xludf.DUMMYFUNCTION("""COMPUTED_VALUE"""),43979)</f>
        <v>43979</v>
      </c>
      <c r="AB116" s="27" t="str">
        <f ca="1">IFERROR(__xludf.DUMMYFUNCTION("""COMPUTED_VALUE"""),"Sim")</f>
        <v>Sim</v>
      </c>
      <c r="AC116" s="27">
        <f ca="1">IFERROR(__xludf.DUMMYFUNCTION("""COMPUTED_VALUE"""),0)</f>
        <v>0</v>
      </c>
      <c r="AD116" s="27">
        <f ca="1">IFERROR(__xludf.DUMMYFUNCTION("""COMPUTED_VALUE"""),8)</f>
        <v>8</v>
      </c>
      <c r="AE116" s="27">
        <f ca="1">IFERROR(__xludf.DUMMYFUNCTION("""COMPUTED_VALUE"""),8)</f>
        <v>8</v>
      </c>
      <c r="AF116" s="27">
        <f ca="1">IFERROR(__xludf.DUMMYFUNCTION("""COMPUTED_VALUE"""),8)</f>
        <v>8</v>
      </c>
      <c r="AG116" s="27">
        <f ca="1">IFERROR(__xludf.DUMMYFUNCTION("""COMPUTED_VALUE"""),3)</f>
        <v>3</v>
      </c>
      <c r="AH116" s="27" t="str">
        <f ca="1">IFERROR(__xludf.DUMMYFUNCTION("""COMPUTED_VALUE"""),"Parceria iniciativa privada, Editais, Doações")</f>
        <v>Parceria iniciativa privada, Editais, Doações</v>
      </c>
      <c r="AI116" s="27" t="str">
        <f ca="1">IFERROR(__xludf.DUMMYFUNCTION("""COMPUTED_VALUE"""),"100% Garantia de Direitos")</f>
        <v>100% Garantia de Direitos</v>
      </c>
      <c r="AJ116" s="27" t="str">
        <f ca="1">IFERROR(__xludf.DUMMYFUNCTION("""COMPUTED_VALUE"""),"Vamos iniciar esse ano")</f>
        <v>Vamos iniciar esse ano</v>
      </c>
      <c r="AK116" s="27"/>
      <c r="AL116" s="21" t="str">
        <f ca="1">IFERROR(__xludf.DUMMYFUNCTION("""COMPUTED_VALUE"""),"0034X0000380O0b")</f>
        <v>0034X0000380O0b</v>
      </c>
      <c r="AM116" s="27" t="str">
        <f ca="1">IFERROR(__xludf.DUMMYFUNCTION("""COMPUTED_VALUE"""),"Rodrigo da silva lima")</f>
        <v>Rodrigo da silva lima</v>
      </c>
      <c r="AN116" s="27" t="str">
        <f ca="1">IFERROR(__xludf.DUMMYFUNCTION("""COMPUTED_VALUE"""),"Ativo")</f>
        <v>Ativo</v>
      </c>
      <c r="AO116" s="29">
        <f ca="1">IFERROR(__xludf.DUMMYFUNCTION("""COMPUTED_VALUE"""),44763)</f>
        <v>44763</v>
      </c>
      <c r="AP116" s="27">
        <f ca="1">IFERROR(__xludf.DUMMYFUNCTION("""COMPUTED_VALUE"""),2)</f>
        <v>2</v>
      </c>
      <c r="AQ116" s="27" t="str">
        <f ca="1">IFERROR(__xludf.DUMMYFUNCTION("""COMPUTED_VALUE"""),"Primeiro Semestre 2022")</f>
        <v>Primeiro Semestre 2022</v>
      </c>
      <c r="AR116" s="27" t="str">
        <f ca="1">IFERROR(__xludf.DUMMYFUNCTION("""COMPUTED_VALUE"""),"pedagogo.lima27@gmail.com")</f>
        <v>pedagogo.lima27@gmail.com</v>
      </c>
      <c r="AS116" s="27" t="str">
        <f ca="1">IFERROR(__xludf.DUMMYFUNCTION("""COMPUTED_VALUE"""),"(11)97239-0856")</f>
        <v>(11)97239-0856</v>
      </c>
      <c r="AT116" s="29">
        <f ca="1">IFERROR(__xludf.DUMMYFUNCTION("""COMPUTED_VALUE"""),33257)</f>
        <v>33257</v>
      </c>
      <c r="AU116" s="27">
        <f ca="1">IFERROR(__xludf.DUMMYFUNCTION("""COMPUTED_VALUE"""),31)</f>
        <v>31</v>
      </c>
      <c r="AV116" s="27">
        <f ca="1">IFERROR(__xludf.DUMMYFUNCTION("""COMPUTED_VALUE"""),36397616851)</f>
        <v>36397616851</v>
      </c>
      <c r="AW116" s="27">
        <f ca="1">IFERROR(__xludf.DUMMYFUNCTION("""COMPUTED_VALUE"""),47325962)</f>
        <v>47325962</v>
      </c>
      <c r="AX116" s="27"/>
      <c r="AY116" s="27" t="str">
        <f ca="1">IFERROR(__xludf.DUMMYFUNCTION("""COMPUTED_VALUE"""),"Presidente")</f>
        <v>Presidente</v>
      </c>
      <c r="AZ116" s="27" t="str">
        <f ca="1">IFERROR(__xludf.DUMMYFUNCTION("""COMPUTED_VALUE"""),"GG")</f>
        <v>GG</v>
      </c>
      <c r="BA116" s="27" t="str">
        <f ca="1">IFERROR(__xludf.DUMMYFUNCTION("""COMPUTED_VALUE"""),"Preta")</f>
        <v>Preta</v>
      </c>
      <c r="BB116" s="27"/>
      <c r="BC116" s="27"/>
      <c r="BD116" s="27" t="str">
        <f ca="1">IFERROR(__xludf.DUMMYFUNCTION("""COMPUTED_VALUE"""),"Formado em Pedagogia, com especialização em Psicopedagogia e atuante na área social, tendo 15 anos de caminhada e trabalho sólido, buscando com responsabilidade social fazer a diferença na vida das pessoas.")</f>
        <v>Formado em Pedagogia, com especialização em Psicopedagogia e atuante na área social, tendo 15 anos de caminhada e trabalho sólido, buscando com responsabilidade social fazer a diferença na vida das pessoas.</v>
      </c>
      <c r="BE116" s="27" t="str">
        <f ca="1">IFERROR(__xludf.DUMMYFUNCTION("""COMPUTED_VALUE"""),"Homem, cisgênero")</f>
        <v>Homem, cisgênero</v>
      </c>
      <c r="BF116" s="27" t="str">
        <f ca="1">IFERROR(__xludf.DUMMYFUNCTION("""COMPUTED_VALUE"""),"Homossexual")</f>
        <v>Homossexual</v>
      </c>
      <c r="BG116" s="27" t="str">
        <f ca="1">IFERROR(__xludf.DUMMYFUNCTION("""COMPUTED_VALUE"""),"Ensino Superior - Completo")</f>
        <v>Ensino Superior - Completo</v>
      </c>
      <c r="BH116" s="27" t="str">
        <f ca="1">IFERROR(__xludf.DUMMYFUNCTION("""COMPUTED_VALUE"""),"Público")</f>
        <v>Público</v>
      </c>
      <c r="BI116" s="27" t="str">
        <f ca="1">IFERROR(__xludf.DUMMYFUNCTION("""COMPUTED_VALUE"""),"Pós-Graduação")</f>
        <v>Pós-Graduação</v>
      </c>
      <c r="BJ116" s="27" t="str">
        <f ca="1">IFERROR(__xludf.DUMMYFUNCTION("""COMPUTED_VALUE"""),"Público")</f>
        <v>Público</v>
      </c>
      <c r="BK116" s="27" t="str">
        <f ca="1">IFERROR(__xludf.DUMMYFUNCTION("""COMPUTED_VALUE"""),"Rua Manuel Rodrigues da Rocha, Vila Curuçá")</f>
        <v>Rua Manuel Rodrigues da Rocha, Vila Curuçá</v>
      </c>
      <c r="BL116" s="27">
        <f ca="1">IFERROR(__xludf.DUMMYFUNCTION("""COMPUTED_VALUE"""),347)</f>
        <v>347</v>
      </c>
      <c r="BM116" s="27" t="str">
        <f ca="1">IFERROR(__xludf.DUMMYFUNCTION("""COMPUTED_VALUE"""),"Apartamento 11 BLOCO 1")</f>
        <v>Apartamento 11 BLOCO 1</v>
      </c>
      <c r="BN116" s="27" t="str">
        <f ca="1">IFERROR(__xludf.DUMMYFUNCTION("""COMPUTED_VALUE"""),"São Paulo")</f>
        <v>São Paulo</v>
      </c>
      <c r="BO116" s="27" t="str">
        <f ca="1">IFERROR(__xludf.DUMMYFUNCTION("""COMPUTED_VALUE"""),"08150-060")</f>
        <v>08150-060</v>
      </c>
      <c r="BP116" s="27" t="str">
        <f ca="1">IFERROR(__xludf.DUMMYFUNCTION("""COMPUTED_VALUE"""),"SP")</f>
        <v>SP</v>
      </c>
      <c r="BQ116" s="27" t="str">
        <f ca="1">IFERROR(__xludf.DUMMYFUNCTION("""COMPUTED_VALUE"""),"De 3 até 5 salários mínimos")</f>
        <v>De 3 até 5 salários mínimos</v>
      </c>
      <c r="BR116" s="27" t="str">
        <f ca="1">IFERROR(__xludf.DUMMYFUNCTION("""COMPUTED_VALUE"""),"CLT")</f>
        <v>CLT</v>
      </c>
      <c r="BS116" s="27" t="str">
        <f ca="1">IFERROR(__xludf.DUMMYFUNCTION("""COMPUTED_VALUE"""),"Aluguel")</f>
        <v>Aluguel</v>
      </c>
      <c r="BT116" s="27">
        <f ca="1">IFERROR(__xludf.DUMMYFUNCTION("""COMPUTED_VALUE"""),1)</f>
        <v>1</v>
      </c>
      <c r="BU116" s="27" t="str">
        <f ca="1">IFERROR(__xludf.DUMMYFUNCTION("""COMPUTED_VALUE"""),"Não tem")</f>
        <v>Não tem</v>
      </c>
      <c r="BV116" s="27" t="str">
        <f ca="1">IFERROR(__xludf.DUMMYFUNCTION("""COMPUTED_VALUE"""),"Não")</f>
        <v>Não</v>
      </c>
      <c r="BW116" s="21" t="str">
        <f ca="1">IFERROR(__xludf.DUMMYFUNCTION("""COMPUTED_VALUE"""),"https://www.linkedin.com/in/pablo-lima-03848b103/")</f>
        <v>https://www.linkedin.com/in/pablo-lima-03848b103/</v>
      </c>
      <c r="BX116" s="21" t="str">
        <f ca="1">IFERROR(__xludf.DUMMYFUNCTION("""COMPUTED_VALUE"""),"https://www.instagram.com/pablytto_28/")</f>
        <v>https://www.instagram.com/pablytto_28/</v>
      </c>
      <c r="BY116" s="21" t="str">
        <f ca="1">IFERROR(__xludf.DUMMYFUNCTION("""COMPUTED_VALUE"""),"https://drive.google.com/open?id=1fwwoX-CiBbIU-FfUN-XybkGTBiW5DwYN")</f>
        <v>https://drive.google.com/open?id=1fwwoX-CiBbIU-FfUN-XybkGTBiW5DwYN</v>
      </c>
    </row>
    <row r="117" spans="1:77" ht="12.5" hidden="1" x14ac:dyDescent="0.25">
      <c r="A117" s="21" t="str">
        <f ca="1">IFERROR(__xludf.DUMMYFUNCTION("""COMPUTED_VALUE"""),"0014X00002VKCugQAH")</f>
        <v>0014X00002VKCugQAH</v>
      </c>
      <c r="B117" s="27" t="str">
        <f ca="1">IFERROR(__xludf.DUMMYFUNCTION("""COMPUTED_VALUE"""),"Fase Inicial")</f>
        <v>Fase Inicial</v>
      </c>
      <c r="C117" s="27" t="str">
        <f ca="1">IFERROR(__xludf.DUMMYFUNCTION("""COMPUTED_VALUE"""),"Fellow")</f>
        <v>Fellow</v>
      </c>
      <c r="D117" s="27" t="str">
        <f ca="1">IFERROR(__xludf.DUMMYFUNCTION("""COMPUTED_VALUE"""),"Ativo")</f>
        <v>Ativo</v>
      </c>
      <c r="E117" s="27" t="str">
        <f ca="1">IFERROR(__xludf.DUMMYFUNCTION("""COMPUTED_VALUE"""),"ASSOCIAÇÃO MAIS HUMANOS")</f>
        <v>ASSOCIAÇÃO MAIS HUMANOS</v>
      </c>
      <c r="F117" s="27" t="str">
        <f ca="1">IFERROR(__xludf.DUMMYFUNCTION("""COMPUTED_VALUE"""),"Elizabete")</f>
        <v>Elizabete</v>
      </c>
      <c r="G117" s="27" t="str">
        <f ca="1">IFERROR(__xludf.DUMMYFUNCTION("""COMPUTED_VALUE"""),"MAIS HUMANOS")</f>
        <v>MAIS HUMANOS</v>
      </c>
      <c r="H117" s="27"/>
      <c r="I117" s="27" t="str">
        <f ca="1">IFERROR(__xludf.DUMMYFUNCTION("""COMPUTED_VALUE"""),"Elizabete Assunção da Silva")</f>
        <v>Elizabete Assunção da Silva</v>
      </c>
      <c r="J117" s="27" t="str">
        <f ca="1">IFERROR(__xludf.DUMMYFUNCTION("""COMPUTED_VALUE"""),"associacaomaishumanos@gmail.com")</f>
        <v>associacaomaishumanos@gmail.com</v>
      </c>
      <c r="K117" s="27" t="str">
        <f ca="1">IFERROR(__xludf.DUMMYFUNCTION("""COMPUTED_VALUE"""),"(11)98282-5798")</f>
        <v>(11)98282-5798</v>
      </c>
      <c r="L117" s="27" t="str">
        <f ca="1">IFERROR(__xludf.DUMMYFUNCTION("""COMPUTED_VALUE"""),"SP")</f>
        <v>SP</v>
      </c>
      <c r="M117" s="27" t="str">
        <f ca="1">IFERROR(__xludf.DUMMYFUNCTION("""COMPUTED_VALUE"""),"Na rua")</f>
        <v>Na rua</v>
      </c>
      <c r="N117" s="27" t="str">
        <f ca="1">IFERROR(__xludf.DUMMYFUNCTION("""COMPUTED_VALUE"""),"Nas ruas")</f>
        <v>Nas ruas</v>
      </c>
      <c r="O117" s="27">
        <f ca="1">IFERROR(__xludf.DUMMYFUNCTION("""COMPUTED_VALUE"""),2000)</f>
        <v>2000</v>
      </c>
      <c r="P117" s="27" t="str">
        <f ca="1">IFERROR(__xludf.DUMMYFUNCTION("""COMPUTED_VALUE"""),"Suzano")</f>
        <v>Suzano</v>
      </c>
      <c r="Q117" s="27" t="str">
        <f ca="1">IFERROR(__xludf.DUMMYFUNCTION("""COMPUTED_VALUE"""),"(endereço fiscal )")</f>
        <v>(endereço fiscal )</v>
      </c>
      <c r="R117" s="27" t="str">
        <f ca="1">IFERROR(__xludf.DUMMYFUNCTION("""COMPUTED_VALUE"""),"08664-005")</f>
        <v>08664-005</v>
      </c>
      <c r="S117" s="27"/>
      <c r="T117" s="27"/>
      <c r="U117" s="27" t="str">
        <f ca="1">IFERROR(__xludf.DUMMYFUNCTION("""COMPUTED_VALUE"""),"Crianças (6 a 12 anos), Adolescentes (12 aos 18 anos), Jovens (18 aos 24 anos), Adultos, Idosos (60 anos ou mais)")</f>
        <v>Crianças (6 a 12 anos), Adolescentes (12 aos 18 anos), Jovens (18 aos 24 anos), Adultos, Idosos (60 anos ou mais)</v>
      </c>
      <c r="V117" s="27" t="str">
        <f ca="1">IFERROR(__xludf.DUMMYFUNCTION("""COMPUTED_VALUE"""),"Moradores de Favelas, Pessoas em situação de rua")</f>
        <v>Moradores de Favelas, Pessoas em situação de rua</v>
      </c>
      <c r="W117" s="27">
        <f ca="1">IFERROR(__xludf.DUMMYFUNCTION("""COMPUTED_VALUE"""),100)</f>
        <v>100</v>
      </c>
      <c r="X117" s="27" t="str">
        <f ca="1">IFERROR(__xludf.DUMMYFUNCTION("""COMPUTED_VALUE"""),"a ong está sem endereço * portanto desenvolvemos atividades levando arte e cultura em casa espaço disponivel no momento")</f>
        <v>a ong está sem endereço * portanto desenvolvemos atividades levando arte e cultura em casa espaço disponivel no momento</v>
      </c>
      <c r="Y117" s="27"/>
      <c r="Z117" s="27">
        <f ca="1">IFERROR(__xludf.DUMMYFUNCTION("""COMPUTED_VALUE"""),100)</f>
        <v>100</v>
      </c>
      <c r="AA117" s="29">
        <f ca="1">IFERROR(__xludf.DUMMYFUNCTION("""COMPUTED_VALUE"""),44562)</f>
        <v>44562</v>
      </c>
      <c r="AB117" s="27" t="str">
        <f ca="1">IFERROR(__xludf.DUMMYFUNCTION("""COMPUTED_VALUE"""),"Não")</f>
        <v>Não</v>
      </c>
      <c r="AC117" s="27">
        <f ca="1">IFERROR(__xludf.DUMMYFUNCTION("""COMPUTED_VALUE"""),0)</f>
        <v>0</v>
      </c>
      <c r="AD117" s="27">
        <f ca="1">IFERROR(__xludf.DUMMYFUNCTION("""COMPUTED_VALUE"""),5)</f>
        <v>5</v>
      </c>
      <c r="AE117" s="27">
        <f ca="1">IFERROR(__xludf.DUMMYFUNCTION("""COMPUTED_VALUE"""),5)</f>
        <v>5</v>
      </c>
      <c r="AF117" s="27">
        <f ca="1">IFERROR(__xludf.DUMMYFUNCTION("""COMPUTED_VALUE"""),5)</f>
        <v>5</v>
      </c>
      <c r="AG117" s="27">
        <f ca="1">IFERROR(__xludf.DUMMYFUNCTION("""COMPUTED_VALUE"""),2)</f>
        <v>2</v>
      </c>
      <c r="AH117" s="27" t="str">
        <f ca="1">IFERROR(__xludf.DUMMYFUNCTION("""COMPUTED_VALUE"""),"Outro(s), Doações, Recursos próprios")</f>
        <v>Outro(s), Doações, Recursos próprios</v>
      </c>
      <c r="AI117" s="27">
        <f ca="1">IFERROR(__xludf.DUMMYFUNCTION("""COMPUTED_VALUE"""),0)</f>
        <v>0</v>
      </c>
      <c r="AJ117" s="27" t="str">
        <f ca="1">IFERROR(__xludf.DUMMYFUNCTION("""COMPUTED_VALUE"""),"Vamos iniciar esse ano")</f>
        <v>Vamos iniciar esse ano</v>
      </c>
      <c r="AK117" s="27"/>
      <c r="AL117" s="21" t="str">
        <f ca="1">IFERROR(__xludf.DUMMYFUNCTION("""COMPUTED_VALUE"""),"0034X0000380O3Z")</f>
        <v>0034X0000380O3Z</v>
      </c>
      <c r="AM117" s="27" t="str">
        <f ca="1">IFERROR(__xludf.DUMMYFUNCTION("""COMPUTED_VALUE"""),"Assunção da silva")</f>
        <v>Assunção da silva</v>
      </c>
      <c r="AN117" s="27" t="str">
        <f ca="1">IFERROR(__xludf.DUMMYFUNCTION("""COMPUTED_VALUE"""),"Ativo")</f>
        <v>Ativo</v>
      </c>
      <c r="AO117" s="29">
        <f ca="1">IFERROR(__xludf.DUMMYFUNCTION("""COMPUTED_VALUE"""),44763)</f>
        <v>44763</v>
      </c>
      <c r="AP117" s="27">
        <f ca="1">IFERROR(__xludf.DUMMYFUNCTION("""COMPUTED_VALUE"""),2)</f>
        <v>2</v>
      </c>
      <c r="AQ117" s="27" t="str">
        <f ca="1">IFERROR(__xludf.DUMMYFUNCTION("""COMPUTED_VALUE"""),"Primeiro Semestre 2022")</f>
        <v>Primeiro Semestre 2022</v>
      </c>
      <c r="AR117" s="27" t="str">
        <f ca="1">IFERROR(__xludf.DUMMYFUNCTION("""COMPUTED_VALUE"""),"eliassuncaosilva@gmail.com")</f>
        <v>eliassuncaosilva@gmail.com</v>
      </c>
      <c r="AS117" s="27">
        <f ca="1">IFERROR(__xludf.DUMMYFUNCTION("""COMPUTED_VALUE"""),11982825798)</f>
        <v>11982825798</v>
      </c>
      <c r="AT117" s="29">
        <f ca="1">IFERROR(__xludf.DUMMYFUNCTION("""COMPUTED_VALUE"""),32778)</f>
        <v>32778</v>
      </c>
      <c r="AU117" s="27">
        <f ca="1">IFERROR(__xludf.DUMMYFUNCTION("""COMPUTED_VALUE"""),33)</f>
        <v>33</v>
      </c>
      <c r="AV117" s="27">
        <f ca="1">IFERROR(__xludf.DUMMYFUNCTION("""COMPUTED_VALUE"""),38076265819)</f>
        <v>38076265819</v>
      </c>
      <c r="AW117" s="27" t="str">
        <f ca="1">IFERROR(__xludf.DUMMYFUNCTION("""COMPUTED_VALUE"""),"46632945-3")</f>
        <v>46632945-3</v>
      </c>
      <c r="AX117" s="27"/>
      <c r="AY117" s="27"/>
      <c r="AZ117" s="27" t="str">
        <f ca="1">IFERROR(__xludf.DUMMYFUNCTION("""COMPUTED_VALUE"""),"M")</f>
        <v>M</v>
      </c>
      <c r="BA117" s="27" t="str">
        <f ca="1">IFERROR(__xludf.DUMMYFUNCTION("""COMPUTED_VALUE"""),"Parda")</f>
        <v>Parda</v>
      </c>
      <c r="BB117" s="27"/>
      <c r="BC117" s="27"/>
      <c r="BD117" s="27" t="str">
        <f ca="1">IFERROR(__xludf.DUMMYFUNCTION("""COMPUTED_VALUE"""),"Inscrita no Conselho Regional de Contabilidade do Estado
de São Paulo sob nº 300348/O-2 e Pós Graduada em
Gestão Tributária pela Faculdade Trevisan Escola de
Negócios.
Contadora há mais de 7 anos e possuídora de excelentes
resultados em Inovação nas impla"&amp;"ntações de processos
com foco em gestão condominial. Além de uma larga
experiência nas áreas de: Gerência* Administração*
Comercial e Financeira.")</f>
        <v>Inscrita no Conselho Regional de Contabilidade do Estado
de São Paulo sob nº 300348/O-2 e Pós Graduada em
Gestão Tributária pela Faculdade Trevisan Escola de
Negócios.
Contadora há mais de 7 anos e possuídora de excelentes
resultados em Inovação nas implantações de processos
com foco em gestão condominial. Além de uma larga
experiência nas áreas de: Gerência* Administração*
Comercial e Financeira.</v>
      </c>
      <c r="BE117" s="27" t="str">
        <f ca="1">IFERROR(__xludf.DUMMYFUNCTION("""COMPUTED_VALUE"""),"Feminino")</f>
        <v>Feminino</v>
      </c>
      <c r="BF117" s="27" t="str">
        <f ca="1">IFERROR(__xludf.DUMMYFUNCTION("""COMPUTED_VALUE"""),"Heterossexual")</f>
        <v>Heterossexual</v>
      </c>
      <c r="BG117" s="27"/>
      <c r="BH117" s="27" t="str">
        <f ca="1">IFERROR(__xludf.DUMMYFUNCTION("""COMPUTED_VALUE"""),"Privado")</f>
        <v>Privado</v>
      </c>
      <c r="BI117" s="27" t="str">
        <f ca="1">IFERROR(__xludf.DUMMYFUNCTION("""COMPUTED_VALUE"""),"Pós-Graduação")</f>
        <v>Pós-Graduação</v>
      </c>
      <c r="BJ117" s="27" t="str">
        <f ca="1">IFERROR(__xludf.DUMMYFUNCTION("""COMPUTED_VALUE"""),"Privado")</f>
        <v>Privado</v>
      </c>
      <c r="BK117" s="27" t="str">
        <f ca="1">IFERROR(__xludf.DUMMYFUNCTION("""COMPUTED_VALUE"""),"ESTRADA DOS FERNANDES")</f>
        <v>ESTRADA DOS FERNANDES</v>
      </c>
      <c r="BL117" s="27" t="str">
        <f ca="1">IFERROR(__xludf.DUMMYFUNCTION("""COMPUTED_VALUE"""),"2.000 - ap 403 bl 13")</f>
        <v>2.000 - ap 403 bl 13</v>
      </c>
      <c r="BM117" s="27">
        <f ca="1">IFERROR(__xludf.DUMMYFUNCTION("""COMPUTED_VALUE"""),403)</f>
        <v>403</v>
      </c>
      <c r="BN117" s="27"/>
      <c r="BO117" s="27">
        <f ca="1">IFERROR(__xludf.DUMMYFUNCTION("""COMPUTED_VALUE"""),8664005)</f>
        <v>8664005</v>
      </c>
      <c r="BP117" s="27" t="str">
        <f ca="1">IFERROR(__xludf.DUMMYFUNCTION("""COMPUTED_VALUE"""),"SP")</f>
        <v>SP</v>
      </c>
      <c r="BQ117" s="27" t="str">
        <f ca="1">IFERROR(__xludf.DUMMYFUNCTION("""COMPUTED_VALUE"""),"De 3 até 5 salários mínimos")</f>
        <v>De 3 até 5 salários mínimos</v>
      </c>
      <c r="BR117" s="27" t="str">
        <f ca="1">IFERROR(__xludf.DUMMYFUNCTION("""COMPUTED_VALUE"""),"Trabalho informal")</f>
        <v>Trabalho informal</v>
      </c>
      <c r="BS117" s="27" t="str">
        <f ca="1">IFERROR(__xludf.DUMMYFUNCTION("""COMPUTED_VALUE"""),"Casa própria")</f>
        <v>Casa própria</v>
      </c>
      <c r="BT117" s="27">
        <f ca="1">IFERROR(__xludf.DUMMYFUNCTION("""COMPUTED_VALUE"""),2)</f>
        <v>2</v>
      </c>
      <c r="BU117" s="27" t="str">
        <f ca="1">IFERROR(__xludf.DUMMYFUNCTION("""COMPUTED_VALUE"""),"Não tem")</f>
        <v>Não tem</v>
      </c>
      <c r="BV117" s="27" t="str">
        <f ca="1">IFERROR(__xludf.DUMMYFUNCTION("""COMPUTED_VALUE"""),"Não")</f>
        <v>Não</v>
      </c>
      <c r="BW117" s="27"/>
      <c r="BX117" s="27"/>
      <c r="BY117" s="27"/>
    </row>
    <row r="118" spans="1:77" ht="12.5" hidden="1" x14ac:dyDescent="0.25">
      <c r="A118" s="21" t="str">
        <f ca="1">IFERROR(__xludf.DUMMYFUNCTION("""COMPUTED_VALUE"""),"0014X00002VKCqQQAX")</f>
        <v>0014X00002VKCqQQAX</v>
      </c>
      <c r="B118" s="27" t="str">
        <f ca="1">IFERROR(__xludf.DUMMYFUNCTION("""COMPUTED_VALUE"""),"Fase Inicial")</f>
        <v>Fase Inicial</v>
      </c>
      <c r="C118" s="27" t="str">
        <f ca="1">IFERROR(__xludf.DUMMYFUNCTION("""COMPUTED_VALUE"""),"Fellow")</f>
        <v>Fellow</v>
      </c>
      <c r="D118" s="27" t="str">
        <f ca="1">IFERROR(__xludf.DUMMYFUNCTION("""COMPUTED_VALUE"""),"Ativo")</f>
        <v>Ativo</v>
      </c>
      <c r="E118" s="27" t="str">
        <f ca="1">IFERROR(__xludf.DUMMYFUNCTION("""COMPUTED_VALUE"""),"ASSOCIACAO MANA - ACOES QUE TRANSFORMAM VIDAS")</f>
        <v>ASSOCIACAO MANA - ACOES QUE TRANSFORMAM VIDAS</v>
      </c>
      <c r="F118" s="27" t="str">
        <f ca="1">IFERROR(__xludf.DUMMYFUNCTION("""COMPUTED_VALUE"""),"Rafael")</f>
        <v>Rafael</v>
      </c>
      <c r="G118" s="27" t="str">
        <f ca="1">IFERROR(__xludf.DUMMYFUNCTION("""COMPUTED_VALUE"""),"ASSOCIAÇÃO MANÁ")</f>
        <v>ASSOCIAÇÃO MANÁ</v>
      </c>
      <c r="H118" s="27" t="str">
        <f ca="1">IFERROR(__xludf.DUMMYFUNCTION("""COMPUTED_VALUE"""),"12.631.278/0001-46")</f>
        <v>12.631.278/0001-46</v>
      </c>
      <c r="I118" s="27" t="str">
        <f ca="1">IFERROR(__xludf.DUMMYFUNCTION("""COMPUTED_VALUE"""),"Rafael Araripe da Silva")</f>
        <v>Rafael Araripe da Silva</v>
      </c>
      <c r="J118" s="27" t="str">
        <f ca="1">IFERROR(__xludf.DUMMYFUNCTION("""COMPUTED_VALUE"""),"institutotmj@gmail.com")</f>
        <v>institutotmj@gmail.com</v>
      </c>
      <c r="K118" s="27" t="str">
        <f ca="1">IFERROR(__xludf.DUMMYFUNCTION("""COMPUTED_VALUE"""),"(85)99621-2458")</f>
        <v>(85)99621-2458</v>
      </c>
      <c r="L118" s="27" t="str">
        <f ca="1">IFERROR(__xludf.DUMMYFUNCTION("""COMPUTED_VALUE"""),"CE")</f>
        <v>CE</v>
      </c>
      <c r="M118" s="27" t="str">
        <f ca="1">IFERROR(__xludf.DUMMYFUNCTION("""COMPUTED_VALUE"""),"Rua Aprendizes Marinheiros")</f>
        <v>Rua Aprendizes Marinheiros</v>
      </c>
      <c r="N118" s="27" t="str">
        <f ca="1">IFERROR(__xludf.DUMMYFUNCTION("""COMPUTED_VALUE"""),"Moura Brasil")</f>
        <v>Moura Brasil</v>
      </c>
      <c r="O118" s="27">
        <f ca="1">IFERROR(__xludf.DUMMYFUNCTION("""COMPUTED_VALUE"""),344)</f>
        <v>344</v>
      </c>
      <c r="P118" s="27" t="str">
        <f ca="1">IFERROR(__xludf.DUMMYFUNCTION("""COMPUTED_VALUE"""),"Fortaleza")</f>
        <v>Fortaleza</v>
      </c>
      <c r="Q118" s="27"/>
      <c r="R118" s="27" t="str">
        <f ca="1">IFERROR(__xludf.DUMMYFUNCTION("""COMPUTED_VALUE"""),"60010-040")</f>
        <v>60010-040</v>
      </c>
      <c r="S118" s="27" t="str">
        <f ca="1">IFERROR(__xludf.DUMMYFUNCTION("""COMPUTED_VALUE"""),"Igreja Revival, Praia, Praças e Escola do bairro.")</f>
        <v>Igreja Revival, Praia, Praças e Escola do bairro.</v>
      </c>
      <c r="T118" s="27"/>
      <c r="U118"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118" s="27" t="str">
        <f ca="1">IFERROR(__xludf.DUMMYFUNCTION("""COMPUTED_VALUE"""),"Moradores de Favelas, Pessoas em situação de rua, População LGBTQ+, Povos Indígenas, Afrodescendentes, Dependentes Químicos, Pessoas com Deficiência, Egressos sistema carcerário")</f>
        <v>Moradores de Favelas, Pessoas em situação de rua, População LGBTQ+, Povos Indígenas, Afrodescendentes, Dependentes Químicos, Pessoas com Deficiência, Egressos sistema carcerário</v>
      </c>
      <c r="W118" s="27">
        <f ca="1">IFERROR(__xludf.DUMMYFUNCTION("""COMPUTED_VALUE"""),1)</f>
        <v>1</v>
      </c>
      <c r="X118" s="27"/>
      <c r="Y118" s="27"/>
      <c r="Z118" s="27">
        <f ca="1">IFERROR(__xludf.DUMMYFUNCTION("""COMPUTED_VALUE"""),50)</f>
        <v>50</v>
      </c>
      <c r="AA118" s="29">
        <f ca="1">IFERROR(__xludf.DUMMYFUNCTION("""COMPUTED_VALUE"""),44587)</f>
        <v>44587</v>
      </c>
      <c r="AB118" s="27" t="str">
        <f ca="1">IFERROR(__xludf.DUMMYFUNCTION("""COMPUTED_VALUE"""),"Sim")</f>
        <v>Sim</v>
      </c>
      <c r="AC118" s="27">
        <f ca="1">IFERROR(__xludf.DUMMYFUNCTION("""COMPUTED_VALUE"""),0)</f>
        <v>0</v>
      </c>
      <c r="AD118" s="27">
        <f ca="1">IFERROR(__xludf.DUMMYFUNCTION("""COMPUTED_VALUE"""),2)</f>
        <v>2</v>
      </c>
      <c r="AE118" s="27">
        <f ca="1">IFERROR(__xludf.DUMMYFUNCTION("""COMPUTED_VALUE"""),2)</f>
        <v>2</v>
      </c>
      <c r="AF118" s="27">
        <f ca="1">IFERROR(__xludf.DUMMYFUNCTION("""COMPUTED_VALUE"""),2)</f>
        <v>2</v>
      </c>
      <c r="AG118" s="27">
        <f ca="1">IFERROR(__xludf.DUMMYFUNCTION("""COMPUTED_VALUE"""),2)</f>
        <v>2</v>
      </c>
      <c r="AH118" s="27" t="str">
        <f ca="1">IFERROR(__xludf.DUMMYFUNCTION("""COMPUTED_VALUE"""),"Parceria iniciativa privada, Doações")</f>
        <v>Parceria iniciativa privada, Doações</v>
      </c>
      <c r="AI118" s="27">
        <f ca="1">IFERROR(__xludf.DUMMYFUNCTION("""COMPUTED_VALUE"""),0)</f>
        <v>0</v>
      </c>
      <c r="AJ118" s="27" t="str">
        <f ca="1">IFERROR(__xludf.DUMMYFUNCTION("""COMPUTED_VALUE"""),"Vamos iniciar esse ano")</f>
        <v>Vamos iniciar esse ano</v>
      </c>
      <c r="AK118" s="27"/>
      <c r="AL118" s="21" t="str">
        <f ca="1">IFERROR(__xludf.DUMMYFUNCTION("""COMPUTED_VALUE"""),"0034X0000380O5l")</f>
        <v>0034X0000380O5l</v>
      </c>
      <c r="AM118" s="27" t="str">
        <f ca="1">IFERROR(__xludf.DUMMYFUNCTION("""COMPUTED_VALUE"""),"Araripe da silva")</f>
        <v>Araripe da silva</v>
      </c>
      <c r="AN118" s="27" t="str">
        <f ca="1">IFERROR(__xludf.DUMMYFUNCTION("""COMPUTED_VALUE"""),"Ativo")</f>
        <v>Ativo</v>
      </c>
      <c r="AO118" s="29">
        <f ca="1">IFERROR(__xludf.DUMMYFUNCTION("""COMPUTED_VALUE"""),44763)</f>
        <v>44763</v>
      </c>
      <c r="AP118" s="27">
        <f ca="1">IFERROR(__xludf.DUMMYFUNCTION("""COMPUTED_VALUE"""),2)</f>
        <v>2</v>
      </c>
      <c r="AQ118" s="27" t="str">
        <f ca="1">IFERROR(__xludf.DUMMYFUNCTION("""COMPUTED_VALUE"""),"Primeiro Semestre 2022")</f>
        <v>Primeiro Semestre 2022</v>
      </c>
      <c r="AR118" s="27" t="str">
        <f ca="1">IFERROR(__xludf.DUMMYFUNCTION("""COMPUTED_VALUE"""),"rafaelararipesilva@gmail.com")</f>
        <v>rafaelararipesilva@gmail.com</v>
      </c>
      <c r="AS118" s="27" t="str">
        <f ca="1">IFERROR(__xludf.DUMMYFUNCTION("""COMPUTED_VALUE"""),"(85)99621-2458")</f>
        <v>(85)99621-2458</v>
      </c>
      <c r="AT118" s="29">
        <f ca="1">IFERROR(__xludf.DUMMYFUNCTION("""COMPUTED_VALUE"""),34086)</f>
        <v>34086</v>
      </c>
      <c r="AU118" s="27">
        <f ca="1">IFERROR(__xludf.DUMMYFUNCTION("""COMPUTED_VALUE"""),29)</f>
        <v>29</v>
      </c>
      <c r="AV118" s="27">
        <f ca="1">IFERROR(__xludf.DUMMYFUNCTION("""COMPUTED_VALUE"""),3779489341)</f>
        <v>3779489341</v>
      </c>
      <c r="AW118" s="27">
        <f ca="1">IFERROR(__xludf.DUMMYFUNCTION("""COMPUTED_VALUE"""),2003009077656)</f>
        <v>2003009077656</v>
      </c>
      <c r="AX118" s="27"/>
      <c r="AY118" s="27"/>
      <c r="AZ118" s="27" t="str">
        <f ca="1">IFERROR(__xludf.DUMMYFUNCTION("""COMPUTED_VALUE"""),"M")</f>
        <v>M</v>
      </c>
      <c r="BA118" s="27" t="str">
        <f ca="1">IFERROR(__xludf.DUMMYFUNCTION("""COMPUTED_VALUE"""),"Prefiro não declarar")</f>
        <v>Prefiro não declarar</v>
      </c>
      <c r="BB118" s="27"/>
      <c r="BC118" s="27"/>
      <c r="BD118" s="27" t="str">
        <f ca="1">IFERROR(__xludf.DUMMYFUNCTION("""COMPUTED_VALUE"""),"Tenho 29 anos, estou formando em Tecnólogo em Gestão Pública, natural de Fortaleza, moro no bairro Moura Brasil, o bairro com menor IDH da cidade, onde também é sediada a conhecida como ""cracolândia"" de Fortaleza. Comecei a fazer trabalho social desde 2"&amp;"012 na comunidade onde acabei expandindo para outros bairros da cidade.")</f>
        <v>Tenho 29 anos, estou formando em Tecnólogo em Gestão Pública, natural de Fortaleza, moro no bairro Moura Brasil, o bairro com menor IDH da cidade, onde também é sediada a conhecida como "cracolândia" de Fortaleza. Comecei a fazer trabalho social desde 2012 na comunidade onde acabei expandindo para outros bairros da cidade.</v>
      </c>
      <c r="BE118" s="27" t="str">
        <f ca="1">IFERROR(__xludf.DUMMYFUNCTION("""COMPUTED_VALUE"""),"Homem, cisgênero")</f>
        <v>Homem, cisgênero</v>
      </c>
      <c r="BF118" s="27" t="str">
        <f ca="1">IFERROR(__xludf.DUMMYFUNCTION("""COMPUTED_VALUE"""),"Bissexual")</f>
        <v>Bissexual</v>
      </c>
      <c r="BG118" s="27" t="str">
        <f ca="1">IFERROR(__xludf.DUMMYFUNCTION("""COMPUTED_VALUE"""),"Ensino Superior - Incompleto")</f>
        <v>Ensino Superior - Incompleto</v>
      </c>
      <c r="BH118" s="27" t="str">
        <f ca="1">IFERROR(__xludf.DUMMYFUNCTION("""COMPUTED_VALUE"""),"Público")</f>
        <v>Público</v>
      </c>
      <c r="BI118" s="27" t="str">
        <f ca="1">IFERROR(__xludf.DUMMYFUNCTION("""COMPUTED_VALUE"""),"Graduação")</f>
        <v>Graduação</v>
      </c>
      <c r="BJ118" s="27"/>
      <c r="BK118" s="27" t="str">
        <f ca="1">IFERROR(__xludf.DUMMYFUNCTION("""COMPUTED_VALUE"""),"Rua Aprendizes Marinheiros")</f>
        <v>Rua Aprendizes Marinheiros</v>
      </c>
      <c r="BL118" s="27">
        <f ca="1">IFERROR(__xludf.DUMMYFUNCTION("""COMPUTED_VALUE"""),344)</f>
        <v>344</v>
      </c>
      <c r="BM118" s="27"/>
      <c r="BN118" s="27" t="str">
        <f ca="1">IFERROR(__xludf.DUMMYFUNCTION("""COMPUTED_VALUE"""),"Fortaleza")</f>
        <v>Fortaleza</v>
      </c>
      <c r="BO118" s="27" t="str">
        <f ca="1">IFERROR(__xludf.DUMMYFUNCTION("""COMPUTED_VALUE"""),"60010-040")</f>
        <v>60010-040</v>
      </c>
      <c r="BP118" s="27" t="str">
        <f ca="1">IFERROR(__xludf.DUMMYFUNCTION("""COMPUTED_VALUE"""),"CE")</f>
        <v>CE</v>
      </c>
      <c r="BQ118" s="27" t="str">
        <f ca="1">IFERROR(__xludf.DUMMYFUNCTION("""COMPUTED_VALUE"""),"Entre 1 até 3 salários mínimos")</f>
        <v>Entre 1 até 3 salários mínimos</v>
      </c>
      <c r="BR118" s="27" t="str">
        <f ca="1">IFERROR(__xludf.DUMMYFUNCTION("""COMPUTED_VALUE"""),"CLT")</f>
        <v>CLT</v>
      </c>
      <c r="BS118" s="27" t="str">
        <f ca="1">IFERROR(__xludf.DUMMYFUNCTION("""COMPUTED_VALUE"""),"Casa própria")</f>
        <v>Casa própria</v>
      </c>
      <c r="BT118" s="27">
        <f ca="1">IFERROR(__xludf.DUMMYFUNCTION("""COMPUTED_VALUE"""),1)</f>
        <v>1</v>
      </c>
      <c r="BU118" s="27" t="str">
        <f ca="1">IFERROR(__xludf.DUMMYFUNCTION("""COMPUTED_VALUE"""),"Não tem")</f>
        <v>Não tem</v>
      </c>
      <c r="BV118" s="27" t="str">
        <f ca="1">IFERROR(__xludf.DUMMYFUNCTION("""COMPUTED_VALUE"""),"Não")</f>
        <v>Não</v>
      </c>
      <c r="BW118" s="27"/>
      <c r="BX118" s="21" t="str">
        <f ca="1">IFERROR(__xludf.DUMMYFUNCTION("""COMPUTED_VALUE"""),"https://www.instagram.com/rafaels085/")</f>
        <v>https://www.instagram.com/rafaels085/</v>
      </c>
      <c r="BY118" s="21" t="str">
        <f ca="1">IFERROR(__xludf.DUMMYFUNCTION("""COMPUTED_VALUE"""),"https://drive.google.com/open?id=1WU3jsP8P0IRYoVnD3lbFyEmSuqkcsGfn")</f>
        <v>https://drive.google.com/open?id=1WU3jsP8P0IRYoVnD3lbFyEmSuqkcsGfn</v>
      </c>
    </row>
    <row r="119" spans="1:77" ht="12.5" hidden="1" x14ac:dyDescent="0.25">
      <c r="A119" s="21" t="str">
        <f ca="1">IFERROR(__xludf.DUMMYFUNCTION("""COMPUTED_VALUE"""),"0014X00002VKCuMQAX")</f>
        <v>0014X00002VKCuMQAX</v>
      </c>
      <c r="B119" s="27" t="str">
        <f ca="1">IFERROR(__xludf.DUMMYFUNCTION("""COMPUTED_VALUE"""),"Fase Inicial")</f>
        <v>Fase Inicial</v>
      </c>
      <c r="C119" s="27" t="str">
        <f ca="1">IFERROR(__xludf.DUMMYFUNCTION("""COMPUTED_VALUE"""),"Fellow")</f>
        <v>Fellow</v>
      </c>
      <c r="D119" s="27" t="str">
        <f ca="1">IFERROR(__xludf.DUMMYFUNCTION("""COMPUTED_VALUE"""),"Ativo")</f>
        <v>Ativo</v>
      </c>
      <c r="E119" s="27" t="str">
        <f ca="1">IFERROR(__xludf.DUMMYFUNCTION("""COMPUTED_VALUE"""),"Associação mão no arado")</f>
        <v>Associação mão no arado</v>
      </c>
      <c r="F119" s="27" t="str">
        <f ca="1">IFERROR(__xludf.DUMMYFUNCTION("""COMPUTED_VALUE"""),"Ana")</f>
        <v>Ana</v>
      </c>
      <c r="G119" s="27" t="str">
        <f ca="1">IFERROR(__xludf.DUMMYFUNCTION("""COMPUTED_VALUE"""),"MÃO NO ARADO")</f>
        <v>MÃO NO ARADO</v>
      </c>
      <c r="H119" s="27" t="str">
        <f ca="1">IFERROR(__xludf.DUMMYFUNCTION("""COMPUTED_VALUE"""),"18.824.829/0001-74")</f>
        <v>18.824.829/0001-74</v>
      </c>
      <c r="I119" s="27" t="str">
        <f ca="1">IFERROR(__xludf.DUMMYFUNCTION("""COMPUTED_VALUE"""),"Roseli machado Ribeiro")</f>
        <v>Roseli machado Ribeiro</v>
      </c>
      <c r="J119" s="27" t="str">
        <f ca="1">IFERROR(__xludf.DUMMYFUNCTION("""COMPUTED_VALUE"""),"associacaomaonoarado@gmail.com")</f>
        <v>associacaomaonoarado@gmail.com</v>
      </c>
      <c r="K119" s="27" t="str">
        <f ca="1">IFERROR(__xludf.DUMMYFUNCTION("""COMPUTED_VALUE"""),"(11)2305-8654")</f>
        <v>(11)2305-8654</v>
      </c>
      <c r="L119" s="27" t="str">
        <f ca="1">IFERROR(__xludf.DUMMYFUNCTION("""COMPUTED_VALUE"""),"SP")</f>
        <v>SP</v>
      </c>
      <c r="M119" s="27" t="str">
        <f ca="1">IFERROR(__xludf.DUMMYFUNCTION("""COMPUTED_VALUE"""),"Rua fraiburgo")</f>
        <v>Rua fraiburgo</v>
      </c>
      <c r="N119" s="27" t="str">
        <f ca="1">IFERROR(__xludf.DUMMYFUNCTION("""COMPUTED_VALUE"""),"Mudamos recentemente para cidade líder")</f>
        <v>Mudamos recentemente para cidade líder</v>
      </c>
      <c r="O119" s="27">
        <f ca="1">IFERROR(__xludf.DUMMYFUNCTION("""COMPUTED_VALUE"""),16)</f>
        <v>16</v>
      </c>
      <c r="P119" s="27" t="str">
        <f ca="1">IFERROR(__xludf.DUMMYFUNCTION("""COMPUTED_VALUE"""),"São Paulo")</f>
        <v>São Paulo</v>
      </c>
      <c r="Q119" s="27"/>
      <c r="R119" s="27" t="str">
        <f ca="1">IFERROR(__xludf.DUMMYFUNCTION("""COMPUTED_VALUE"""),"08280-500")</f>
        <v>08280-500</v>
      </c>
      <c r="S119" s="27"/>
      <c r="T119" s="27"/>
      <c r="U119" s="27" t="str">
        <f ca="1">IFERROR(__xludf.DUMMYFUNCTION("""COMPUTED_VALUE"""),"Crianças (6 a 12 anos), Adolescentes (12 aos 18 anos), Jovens (18 aos 24 anos), Adultos, Idosos (60 anos ou mais)")</f>
        <v>Crianças (6 a 12 anos), Adolescentes (12 aos 18 anos), Jovens (18 aos 24 anos), Adultos, Idosos (60 anos ou mais)</v>
      </c>
      <c r="V119" s="27" t="str">
        <f ca="1">IFERROR(__xludf.DUMMYFUNCTION("""COMPUTED_VALUE"""),"Moradores de Favelas, População LGBTQ+, Afrodescendentes, Pessoas com Deficiência")</f>
        <v>Moradores de Favelas, População LGBTQ+, Afrodescendentes, Pessoas com Deficiência</v>
      </c>
      <c r="W119" s="27">
        <f ca="1">IFERROR(__xludf.DUMMYFUNCTION("""COMPUTED_VALUE"""),750)</f>
        <v>750</v>
      </c>
      <c r="X119" s="27"/>
      <c r="Y119" s="27"/>
      <c r="Z119" s="27">
        <f ca="1">IFERROR(__xludf.DUMMYFUNCTION("""COMPUTED_VALUE"""),1500)</f>
        <v>1500</v>
      </c>
      <c r="AA119" s="29">
        <f ca="1">IFERROR(__xludf.DUMMYFUNCTION("""COMPUTED_VALUE"""),41495)</f>
        <v>41495</v>
      </c>
      <c r="AB119" s="27" t="str">
        <f ca="1">IFERROR(__xludf.DUMMYFUNCTION("""COMPUTED_VALUE"""),"Sim")</f>
        <v>Sim</v>
      </c>
      <c r="AC119" s="27">
        <f ca="1">IFERROR(__xludf.DUMMYFUNCTION("""COMPUTED_VALUE"""),0)</f>
        <v>0</v>
      </c>
      <c r="AD119" s="27">
        <f ca="1">IFERROR(__xludf.DUMMYFUNCTION("""COMPUTED_VALUE"""),8)</f>
        <v>8</v>
      </c>
      <c r="AE119" s="27">
        <f ca="1">IFERROR(__xludf.DUMMYFUNCTION("""COMPUTED_VALUE"""),20)</f>
        <v>20</v>
      </c>
      <c r="AF119" s="27">
        <f ca="1">IFERROR(__xludf.DUMMYFUNCTION("""COMPUTED_VALUE"""),20)</f>
        <v>20</v>
      </c>
      <c r="AG119" s="27">
        <f ca="1">IFERROR(__xludf.DUMMYFUNCTION("""COMPUTED_VALUE"""),7)</f>
        <v>7</v>
      </c>
      <c r="AH119" s="27" t="str">
        <f ca="1">IFERROR(__xludf.DUMMYFUNCTION("""COMPUTED_VALUE"""),"Eventos/Ações para captação, Plataforma doação online - Pessoa Física, Parceria iniciativa privada, Editais, Doações, Lei Estadual da Cultura, Lei Municipal da Cultura")</f>
        <v>Eventos/Ações para captação, Plataforma doação online - Pessoa Física, Parceria iniciativa privada, Editais, Doações, Lei Estadual da Cultura, Lei Municipal da Cultura</v>
      </c>
      <c r="AI119" s="27" t="str">
        <f ca="1">IFERROR(__xludf.DUMMYFUNCTION("""COMPUTED_VALUE"""),"25% lei municipal da cultura")</f>
        <v>25% lei municipal da cultura</v>
      </c>
      <c r="AJ119" s="27" t="str">
        <f ca="1">IFERROR(__xludf.DUMMYFUNCTION("""COMPUTED_VALUE"""),"Sim")</f>
        <v>Sim</v>
      </c>
      <c r="AK119" s="27"/>
      <c r="AL119" s="21" t="str">
        <f ca="1">IFERROR(__xludf.DUMMYFUNCTION("""COMPUTED_VALUE"""),"0034X0000380O5v")</f>
        <v>0034X0000380O5v</v>
      </c>
      <c r="AM119" s="27" t="str">
        <f ca="1">IFERROR(__xludf.DUMMYFUNCTION("""COMPUTED_VALUE"""),"Paula ribeiro")</f>
        <v>Paula ribeiro</v>
      </c>
      <c r="AN119" s="27" t="str">
        <f ca="1">IFERROR(__xludf.DUMMYFUNCTION("""COMPUTED_VALUE"""),"Ativo")</f>
        <v>Ativo</v>
      </c>
      <c r="AO119" s="29">
        <f ca="1">IFERROR(__xludf.DUMMYFUNCTION("""COMPUTED_VALUE"""),44763)</f>
        <v>44763</v>
      </c>
      <c r="AP119" s="27">
        <f ca="1">IFERROR(__xludf.DUMMYFUNCTION("""COMPUTED_VALUE"""),2)</f>
        <v>2</v>
      </c>
      <c r="AQ119" s="27" t="str">
        <f ca="1">IFERROR(__xludf.DUMMYFUNCTION("""COMPUTED_VALUE"""),"Primeiro Semestre 2022")</f>
        <v>Primeiro Semestre 2022</v>
      </c>
      <c r="AR119" s="27" t="str">
        <f ca="1">IFERROR(__xludf.DUMMYFUNCTION("""COMPUTED_VALUE"""),"coordenacaomaonoardo@gmail.com")</f>
        <v>coordenacaomaonoardo@gmail.com</v>
      </c>
      <c r="AS119" s="27" t="str">
        <f ca="1">IFERROR(__xludf.DUMMYFUNCTION("""COMPUTED_VALUE"""),"(11)94078-3222")</f>
        <v>(11)94078-3222</v>
      </c>
      <c r="AT119" s="29">
        <f ca="1">IFERROR(__xludf.DUMMYFUNCTION("""COMPUTED_VALUE"""),29014)</f>
        <v>29014</v>
      </c>
      <c r="AU119" s="27">
        <f ca="1">IFERROR(__xludf.DUMMYFUNCTION("""COMPUTED_VALUE"""),43)</f>
        <v>43</v>
      </c>
      <c r="AV119" s="27">
        <f ca="1">IFERROR(__xludf.DUMMYFUNCTION("""COMPUTED_VALUE"""),21922523828)</f>
        <v>21922523828</v>
      </c>
      <c r="AW119" s="27">
        <f ca="1">IFERROR(__xludf.DUMMYFUNCTION("""COMPUTED_VALUE"""),288950951)</f>
        <v>288950951</v>
      </c>
      <c r="AX119" s="27"/>
      <c r="AY119" s="27" t="str">
        <f ca="1">IFERROR(__xludf.DUMMYFUNCTION("""COMPUTED_VALUE"""),"Líder Social")</f>
        <v>Líder Social</v>
      </c>
      <c r="AZ119" s="27" t="str">
        <f ca="1">IFERROR(__xludf.DUMMYFUNCTION("""COMPUTED_VALUE"""),"GG")</f>
        <v>GG</v>
      </c>
      <c r="BA119" s="27" t="str">
        <f ca="1">IFERROR(__xludf.DUMMYFUNCTION("""COMPUTED_VALUE"""),"Preta")</f>
        <v>Preta</v>
      </c>
      <c r="BB119" s="27"/>
      <c r="BC119" s="27"/>
      <c r="BD119" s="27" t="str">
        <f ca="1">IFERROR(__xludf.DUMMYFUNCTION("""COMPUTED_VALUE"""),"Me chamo Ana Paula Ribeiro tenho 43 anos ,sou de são Paulo sou uma líder social na região leste .atuo no meu trabalho social a 23 anos trazendo o empoderamento social , engajando as oficinas cultural, sporte, educação e lazer..")</f>
        <v>Me chamo Ana Paula Ribeiro tenho 43 anos ,sou de são Paulo sou uma líder social na região leste .atuo no meu trabalho social a 23 anos trazendo o empoderamento social , engajando as oficinas cultural, sporte, educação e lazer..</v>
      </c>
      <c r="BE119" s="27" t="str">
        <f ca="1">IFERROR(__xludf.DUMMYFUNCTION("""COMPUTED_VALUE"""),"Mulher, transgênero")</f>
        <v>Mulher, transgênero</v>
      </c>
      <c r="BF119" s="27" t="str">
        <f ca="1">IFERROR(__xludf.DUMMYFUNCTION("""COMPUTED_VALUE"""),"Heterossexual")</f>
        <v>Heterossexual</v>
      </c>
      <c r="BG119" s="27" t="str">
        <f ca="1">IFERROR(__xludf.DUMMYFUNCTION("""COMPUTED_VALUE"""),"Ensino Superior - Completo")</f>
        <v>Ensino Superior - Completo</v>
      </c>
      <c r="BH119" s="27" t="str">
        <f ca="1">IFERROR(__xludf.DUMMYFUNCTION("""COMPUTED_VALUE"""),"Público")</f>
        <v>Público</v>
      </c>
      <c r="BI119" s="27" t="str">
        <f ca="1">IFERROR(__xludf.DUMMYFUNCTION("""COMPUTED_VALUE"""),"Pós-Graduação")</f>
        <v>Pós-Graduação</v>
      </c>
      <c r="BJ119" s="27" t="str">
        <f ca="1">IFERROR(__xludf.DUMMYFUNCTION("""COMPUTED_VALUE"""),"Privado")</f>
        <v>Privado</v>
      </c>
      <c r="BK119" s="27" t="str">
        <f ca="1">IFERROR(__xludf.DUMMYFUNCTION("""COMPUTED_VALUE"""),"Rua Rio uruu número")</f>
        <v>Rua Rio uruu número</v>
      </c>
      <c r="BL119" s="27">
        <f ca="1">IFERROR(__xludf.DUMMYFUNCTION("""COMPUTED_VALUE"""),58)</f>
        <v>58</v>
      </c>
      <c r="BM119" s="27" t="str">
        <f ca="1">IFERROR(__xludf.DUMMYFUNCTION("""COMPUTED_VALUE"""),"Casa 8")</f>
        <v>Casa 8</v>
      </c>
      <c r="BN119" s="27" t="str">
        <f ca="1">IFERROR(__xludf.DUMMYFUNCTION("""COMPUTED_VALUE"""),"São Paulo")</f>
        <v>São Paulo</v>
      </c>
      <c r="BO119" s="27" t="str">
        <f ca="1">IFERROR(__xludf.DUMMYFUNCTION("""COMPUTED_VALUE"""),"08215-580")</f>
        <v>08215-580</v>
      </c>
      <c r="BP119" s="27" t="str">
        <f ca="1">IFERROR(__xludf.DUMMYFUNCTION("""COMPUTED_VALUE"""),"SP")</f>
        <v>SP</v>
      </c>
      <c r="BQ119" s="27" t="str">
        <f ca="1">IFERROR(__xludf.DUMMYFUNCTION("""COMPUTED_VALUE"""),"Entre 1 até 3 salários mínimos")</f>
        <v>Entre 1 até 3 salários mínimos</v>
      </c>
      <c r="BR119" s="27" t="str">
        <f ca="1">IFERROR(__xludf.DUMMYFUNCTION("""COMPUTED_VALUE"""),"Trabalho informal")</f>
        <v>Trabalho informal</v>
      </c>
      <c r="BS119" s="27" t="str">
        <f ca="1">IFERROR(__xludf.DUMMYFUNCTION("""COMPUTED_VALUE"""),"Casa própria")</f>
        <v>Casa própria</v>
      </c>
      <c r="BT119" s="27">
        <f ca="1">IFERROR(__xludf.DUMMYFUNCTION("""COMPUTED_VALUE"""),2)</f>
        <v>2</v>
      </c>
      <c r="BU119" s="27" t="str">
        <f ca="1">IFERROR(__xludf.DUMMYFUNCTION("""COMPUTED_VALUE"""),"Não tem")</f>
        <v>Não tem</v>
      </c>
      <c r="BV119" s="27" t="str">
        <f ca="1">IFERROR(__xludf.DUMMYFUNCTION("""COMPUTED_VALUE"""),"Não")</f>
        <v>Não</v>
      </c>
      <c r="BW119" s="27"/>
      <c r="BX119" s="27" t="str">
        <f ca="1">IFERROR(__xludf.DUMMYFUNCTION("""COMPUTED_VALUE"""),"@negraRara")</f>
        <v>@negraRara</v>
      </c>
      <c r="BY119" s="21" t="str">
        <f ca="1">IFERROR(__xludf.DUMMYFUNCTION("""COMPUTED_VALUE"""),"https://drive.google.com/open?id=1TPONM5_mA8YyulITWmDE8J2mZ_E_Z0lg")</f>
        <v>https://drive.google.com/open?id=1TPONM5_mA8YyulITWmDE8J2mZ_E_Z0lg</v>
      </c>
    </row>
    <row r="120" spans="1:77" ht="12.5" hidden="1" x14ac:dyDescent="0.25">
      <c r="A120" s="21" t="str">
        <f ca="1">IFERROR(__xludf.DUMMYFUNCTION("""COMPUTED_VALUE"""),"0014P00003AN2h4QAD")</f>
        <v>0014P00003AN2h4QAD</v>
      </c>
      <c r="B120" s="27" t="str">
        <f ca="1">IFERROR(__xludf.DUMMYFUNCTION("""COMPUTED_VALUE"""),"Fase Estruturação")</f>
        <v>Fase Estruturação</v>
      </c>
      <c r="C120" s="27" t="str">
        <f ca="1">IFERROR(__xludf.DUMMYFUNCTION("""COMPUTED_VALUE"""),"Fellow")</f>
        <v>Fellow</v>
      </c>
      <c r="D120" s="27" t="str">
        <f ca="1">IFERROR(__xludf.DUMMYFUNCTION("""COMPUTED_VALUE"""),"Ativo")</f>
        <v>Ativo</v>
      </c>
      <c r="E120" s="27" t="str">
        <f ca="1">IFERROR(__xludf.DUMMYFUNCTION("""COMPUTED_VALUE"""),"Associação Meninos da Aracy")</f>
        <v>Associação Meninos da Aracy</v>
      </c>
      <c r="F120" s="27" t="str">
        <f ca="1">IFERROR(__xludf.DUMMYFUNCTION("""COMPUTED_VALUE"""),"Nilton")</f>
        <v>Nilton</v>
      </c>
      <c r="G120" s="27" t="str">
        <f ca="1">IFERROR(__xludf.DUMMYFUNCTION("""COMPUTED_VALUE"""),"AMA Itirapina")</f>
        <v>AMA Itirapina</v>
      </c>
      <c r="H120" s="27" t="str">
        <f ca="1">IFERROR(__xludf.DUMMYFUNCTION("""COMPUTED_VALUE"""),"09.048.763/0001-87")</f>
        <v>09.048.763/0001-87</v>
      </c>
      <c r="I120" s="27"/>
      <c r="J120" s="27"/>
      <c r="K120" s="27" t="str">
        <f ca="1">IFERROR(__xludf.DUMMYFUNCTION("""COMPUTED_VALUE"""),"(16)98133-7692")</f>
        <v>(16)98133-7692</v>
      </c>
      <c r="L120" s="27" t="str">
        <f ca="1">IFERROR(__xludf.DUMMYFUNCTION("""COMPUTED_VALUE"""),"SP")</f>
        <v>SP</v>
      </c>
      <c r="M120" s="27" t="str">
        <f ca="1">IFERROR(__xludf.DUMMYFUNCTION("""COMPUTED_VALUE"""),"Três")</f>
        <v>Três</v>
      </c>
      <c r="N120" s="27"/>
      <c r="O120" s="27" t="str">
        <f ca="1">IFERROR(__xludf.DUMMYFUNCTION("""COMPUTED_VALUE"""),"(16)98133-7692")</f>
        <v>(16)98133-7692</v>
      </c>
      <c r="P120" s="27" t="str">
        <f ca="1">IFERROR(__xludf.DUMMYFUNCTION("""COMPUTED_VALUE"""),"Itirapina")</f>
        <v>Itirapina</v>
      </c>
      <c r="Q120" s="27"/>
      <c r="R120" s="27" t="str">
        <f ca="1">IFERROR(__xludf.DUMMYFUNCTION("""COMPUTED_VALUE"""),"13530-000")</f>
        <v>13530-000</v>
      </c>
      <c r="S120" s="27" t="str">
        <f ca="1">IFERROR(__xludf.DUMMYFUNCTION("""COMPUTED_VALUE"""),"No momento não temos atividades em outros espaços.")</f>
        <v>No momento não temos atividades em outros espaços.</v>
      </c>
      <c r="T120" s="27" t="str">
        <f ca="1">IFERROR(__xludf.DUMMYFUNCTION("""COMPUTED_VALUE"""),"Educação; Assistência Social; Cultura; Meio ambiente; Ciência e Tecnologia; Desenvolvimento comunitário")</f>
        <v>Educação; Assistência Social; Cultura; Meio ambiente; Ciência e Tecnologia; Desenvolvimento comunitário</v>
      </c>
      <c r="U120" s="27" t="str">
        <f ca="1">IFERROR(__xludf.DUMMYFUNCTION("""COMPUTED_VALUE"""),"Crianças (6 a 12 anos); Adolescentes (12 aos 18 anos)")</f>
        <v>Crianças (6 a 12 anos); Adolescentes (12 aos 18 anos)</v>
      </c>
      <c r="V120" s="27" t="str">
        <f ca="1">IFERROR(__xludf.DUMMYFUNCTION("""COMPUTED_VALUE"""),"Afrodescendentes; Outros")</f>
        <v>Afrodescendentes; Outros</v>
      </c>
      <c r="W120" s="27">
        <f ca="1">IFERROR(__xludf.DUMMYFUNCTION("""COMPUTED_VALUE"""),1)</f>
        <v>1</v>
      </c>
      <c r="X120" s="27"/>
      <c r="Y120" s="27"/>
      <c r="Z120" s="27"/>
      <c r="AA120" s="29">
        <f ca="1">IFERROR(__xludf.DUMMYFUNCTION("""COMPUTED_VALUE"""),39189)</f>
        <v>39189</v>
      </c>
      <c r="AB120" s="27" t="str">
        <f ca="1">IFERROR(__xludf.DUMMYFUNCTION("""COMPUTED_VALUE"""),"Sim")</f>
        <v>Sim</v>
      </c>
      <c r="AC120" s="27">
        <f ca="1">IFERROR(__xludf.DUMMYFUNCTION("""COMPUTED_VALUE"""),10)</f>
        <v>10</v>
      </c>
      <c r="AD120" s="27">
        <f ca="1">IFERROR(__xludf.DUMMYFUNCTION("""COMPUTED_VALUE"""),10)</f>
        <v>10</v>
      </c>
      <c r="AE120" s="27">
        <f ca="1">IFERROR(__xludf.DUMMYFUNCTION("""COMPUTED_VALUE"""),4)</f>
        <v>4</v>
      </c>
      <c r="AF120" s="27">
        <f ca="1">IFERROR(__xludf.DUMMYFUNCTION("""COMPUTED_VALUE"""),3)</f>
        <v>3</v>
      </c>
      <c r="AG120" s="27">
        <f ca="1">IFERROR(__xludf.DUMMYFUNCTION("""COMPUTED_VALUE"""),6)</f>
        <v>6</v>
      </c>
      <c r="AH120" s="27" t="str">
        <f ca="1">IFERROR(__xludf.DUMMYFUNCTION("""COMPUTED_VALUE"""),"Negócio Social; Convênio Público; Parceria iniciativa privada; Editais; Doações")</f>
        <v>Negócio Social; Convênio Público; Parceria iniciativa privada; Editais; Doações</v>
      </c>
      <c r="AI120" s="27" t="str">
        <f ca="1">IFERROR(__xludf.DUMMYFUNCTION("""COMPUTED_VALUE"""),"65% Convênio 18%Edital 9%Negócio Social 5%Iniciativa Privada 1%Doações")</f>
        <v>65% Convênio 18%Edital 9%Negócio Social 5%Iniciativa Privada 1%Doações</v>
      </c>
      <c r="AJ120" s="27" t="str">
        <f ca="1">IFERROR(__xludf.DUMMYFUNCTION("""COMPUTED_VALUE"""),"Não")</f>
        <v>Não</v>
      </c>
      <c r="AK120" s="27" t="str">
        <f ca="1">IFERROR(__xludf.DUMMYFUNCTION("""COMPUTED_VALUE"""),"Sim")</f>
        <v>Sim</v>
      </c>
      <c r="AL120" s="21" t="str">
        <f ca="1">IFERROR(__xludf.DUMMYFUNCTION("""COMPUTED_VALUE"""),"0034P00003maBVB")</f>
        <v>0034P00003maBVB</v>
      </c>
      <c r="AM120" s="27" t="str">
        <f ca="1">IFERROR(__xludf.DUMMYFUNCTION("""COMPUTED_VALUE"""),"José Sales Sávio")</f>
        <v>José Sales Sávio</v>
      </c>
      <c r="AN120" s="27" t="str">
        <f ca="1">IFERROR(__xludf.DUMMYFUNCTION("""COMPUTED_VALUE"""),"Ativo")</f>
        <v>Ativo</v>
      </c>
      <c r="AO120" s="29">
        <f ca="1">IFERROR(__xludf.DUMMYFUNCTION("""COMPUTED_VALUE"""),44230)</f>
        <v>44230</v>
      </c>
      <c r="AP120" s="27">
        <f ca="1">IFERROR(__xludf.DUMMYFUNCTION("""COMPUTED_VALUE"""),19)</f>
        <v>19</v>
      </c>
      <c r="AQ120" s="27" t="str">
        <f ca="1">IFERROR(__xludf.DUMMYFUNCTION("""COMPUTED_VALUE"""),"Segundo Semestre 2020")</f>
        <v>Segundo Semestre 2020</v>
      </c>
      <c r="AR120" s="27" t="str">
        <f ca="1">IFERROR(__xludf.DUMMYFUNCTION("""COMPUTED_VALUE"""),"nilton.savio@amaitirapina.org.br")</f>
        <v>nilton.savio@amaitirapina.org.br</v>
      </c>
      <c r="AS120" s="27" t="str">
        <f ca="1">IFERROR(__xludf.DUMMYFUNCTION("""COMPUTED_VALUE"""),"(16)98133-7692")</f>
        <v>(16)98133-7692</v>
      </c>
      <c r="AT120" s="29">
        <f ca="1">IFERROR(__xludf.DUMMYFUNCTION("""COMPUTED_VALUE"""),33515)</f>
        <v>33515</v>
      </c>
      <c r="AU120" s="27">
        <f ca="1">IFERROR(__xludf.DUMMYFUNCTION("""COMPUTED_VALUE"""),31)</f>
        <v>31</v>
      </c>
      <c r="AV120" s="27">
        <f ca="1">IFERROR(__xludf.DUMMYFUNCTION("""COMPUTED_VALUE"""),39668565819)</f>
        <v>39668565819</v>
      </c>
      <c r="AW120" s="27">
        <f ca="1">IFERROR(__xludf.DUMMYFUNCTION("""COMPUTED_VALUE"""),474263976)</f>
        <v>474263976</v>
      </c>
      <c r="AX120" s="27" t="str">
        <f ca="1">IFERROR(__xludf.DUMMYFUNCTION("""COMPUTED_VALUE"""),"Ciências Humanas")</f>
        <v>Ciências Humanas</v>
      </c>
      <c r="AY120" s="27" t="str">
        <f ca="1">IFERROR(__xludf.DUMMYFUNCTION("""COMPUTED_VALUE"""),"No momento eu estou desempregado no seguro-desemprego.")</f>
        <v>No momento eu estou desempregado no seguro-desemprego.</v>
      </c>
      <c r="AZ120" s="27" t="str">
        <f ca="1">IFERROR(__xludf.DUMMYFUNCTION("""COMPUTED_VALUE"""),"GG")</f>
        <v>GG</v>
      </c>
      <c r="BA120" s="27"/>
      <c r="BB120" s="27"/>
      <c r="BC120" s="27" t="str">
        <f ca="1">IFERROR(__xludf.DUMMYFUNCTION("""COMPUTED_VALUE"""),"Sim")</f>
        <v>Sim</v>
      </c>
      <c r="BD120" s="27" t="str">
        <f ca="1">IFERROR(__xludf.DUMMYFUNCTION("""COMPUTED_VALUE"""),"Sou papai do Francisco, esposo da Jéssica, professor e diretor geral na AMA Itirapina.")</f>
        <v>Sou papai do Francisco, esposo da Jéssica, professor e diretor geral na AMA Itirapina.</v>
      </c>
      <c r="BE120" s="27"/>
      <c r="BF120" s="27"/>
      <c r="BG120" s="27" t="str">
        <f ca="1">IFERROR(__xludf.DUMMYFUNCTION("""COMPUTED_VALUE"""),"Ensino Superior - Completo")</f>
        <v>Ensino Superior - Completo</v>
      </c>
      <c r="BH120" s="27"/>
      <c r="BI120" s="27" t="str">
        <f ca="1">IFERROR(__xludf.DUMMYFUNCTION("""COMPUTED_VALUE"""),"Mestrado")</f>
        <v>Mestrado</v>
      </c>
      <c r="BJ120" s="27" t="str">
        <f ca="1">IFERROR(__xludf.DUMMYFUNCTION("""COMPUTED_VALUE"""),"Público")</f>
        <v>Público</v>
      </c>
      <c r="BK120" s="27" t="str">
        <f ca="1">IFERROR(__xludf.DUMMYFUNCTION("""COMPUTED_VALUE"""),"Tupiniquins")</f>
        <v>Tupiniquins</v>
      </c>
      <c r="BL120" s="27">
        <f ca="1">IFERROR(__xludf.DUMMYFUNCTION("""COMPUTED_VALUE"""),88)</f>
        <v>88</v>
      </c>
      <c r="BM120" s="27"/>
      <c r="BN120" s="27" t="str">
        <f ca="1">IFERROR(__xludf.DUMMYFUNCTION("""COMPUTED_VALUE"""),"Itirapina")</f>
        <v>Itirapina</v>
      </c>
      <c r="BO120" s="27" t="str">
        <f ca="1">IFERROR(__xludf.DUMMYFUNCTION("""COMPUTED_VALUE"""),"13530-000")</f>
        <v>13530-000</v>
      </c>
      <c r="BP120" s="27" t="str">
        <f ca="1">IFERROR(__xludf.DUMMYFUNCTION("""COMPUTED_VALUE"""),"SP")</f>
        <v>SP</v>
      </c>
      <c r="BQ120" s="27" t="str">
        <f ca="1">IFERROR(__xludf.DUMMYFUNCTION("""COMPUTED_VALUE"""),"Entre 1 até 3 salários mínimos")</f>
        <v>Entre 1 até 3 salários mínimos</v>
      </c>
      <c r="BR120" s="27" t="str">
        <f ca="1">IFERROR(__xludf.DUMMYFUNCTION("""COMPUTED_VALUE"""),"CLT")</f>
        <v>CLT</v>
      </c>
      <c r="BS120" s="27" t="str">
        <f ca="1">IFERROR(__xludf.DUMMYFUNCTION("""COMPUTED_VALUE"""),"Casa cedida")</f>
        <v>Casa cedida</v>
      </c>
      <c r="BT120" s="27">
        <f ca="1">IFERROR(__xludf.DUMMYFUNCTION("""COMPUTED_VALUE"""),3)</f>
        <v>3</v>
      </c>
      <c r="BU120" s="27"/>
      <c r="BV120" s="27"/>
      <c r="BW120" s="21" t="str">
        <f ca="1">IFERROR(__xludf.DUMMYFUNCTION("""COMPUTED_VALUE"""),"https://www.linkedin.com/in/nilton-sales-s%C3%A1vio-876357172/")</f>
        <v>https://www.linkedin.com/in/nilton-sales-s%C3%A1vio-876357172/</v>
      </c>
      <c r="BX120" s="21" t="str">
        <f ca="1">IFERROR(__xludf.DUMMYFUNCTION("""COMPUTED_VALUE"""),"https://www.instagram.com/nsalessavio/")</f>
        <v>https://www.instagram.com/nsalessavio/</v>
      </c>
      <c r="BY120" s="21" t="str">
        <f ca="1">IFERROR(__xludf.DUMMYFUNCTION("""COMPUTED_VALUE"""),"https://drive.google.com/open?id=1DeK0x2m-rWiqPmGPO-v-09b41HlSzC8u")</f>
        <v>https://drive.google.com/open?id=1DeK0x2m-rWiqPmGPO-v-09b41HlSzC8u</v>
      </c>
    </row>
    <row r="121" spans="1:77" ht="12.5" hidden="1" x14ac:dyDescent="0.25">
      <c r="A121" s="21" t="str">
        <f ca="1">IFERROR(__xludf.DUMMYFUNCTION("""COMPUTED_VALUE"""),"0014P00003YSp9AQAT")</f>
        <v>0014P00003YSp9AQAT</v>
      </c>
      <c r="B121" s="27" t="str">
        <f ca="1">IFERROR(__xludf.DUMMYFUNCTION("""COMPUTED_VALUE"""),"Fase Inicial")</f>
        <v>Fase Inicial</v>
      </c>
      <c r="C121" s="27" t="str">
        <f ca="1">IFERROR(__xludf.DUMMYFUNCTION("""COMPUTED_VALUE"""),"Fellow")</f>
        <v>Fellow</v>
      </c>
      <c r="D121" s="27" t="str">
        <f ca="1">IFERROR(__xludf.DUMMYFUNCTION("""COMPUTED_VALUE"""),"Ativo")</f>
        <v>Ativo</v>
      </c>
      <c r="E121" s="27" t="str">
        <f ca="1">IFERROR(__xludf.DUMMYFUNCTION("""COMPUTED_VALUE"""),"Associação Missão em Ação Social - AMEAS")</f>
        <v>Associação Missão em Ação Social - AMEAS</v>
      </c>
      <c r="F121" s="27" t="str">
        <f ca="1">IFERROR(__xludf.DUMMYFUNCTION("""COMPUTED_VALUE"""),"Valeria")</f>
        <v>Valeria</v>
      </c>
      <c r="G121" s="27"/>
      <c r="H121" s="27" t="str">
        <f ca="1">IFERROR(__xludf.DUMMYFUNCTION("""COMPUTED_VALUE"""),"27.682.482/0001-63")</f>
        <v>27.682.482/0001-63</v>
      </c>
      <c r="I121" s="27" t="str">
        <f ca="1">IFERROR(__xludf.DUMMYFUNCTION("""COMPUTED_VALUE"""),"Valeria de Oliveira")</f>
        <v>Valeria de Oliveira</v>
      </c>
      <c r="J121" s="27" t="str">
        <f ca="1">IFERROR(__xludf.DUMMYFUNCTION("""COMPUTED_VALUE"""),"assocameas@gmail.com")</f>
        <v>assocameas@gmail.com</v>
      </c>
      <c r="K121" s="27" t="str">
        <f ca="1">IFERROR(__xludf.DUMMYFUNCTION("""COMPUTED_VALUE"""),"(11)99019-6543")</f>
        <v>(11)99019-6543</v>
      </c>
      <c r="L121" s="27" t="str">
        <f ca="1">IFERROR(__xludf.DUMMYFUNCTION("""COMPUTED_VALUE"""),"SP")</f>
        <v>SP</v>
      </c>
      <c r="M121" s="27" t="str">
        <f ca="1">IFERROR(__xludf.DUMMYFUNCTION("""COMPUTED_VALUE"""),"Rua Dardo Rocha 56")</f>
        <v>Rua Dardo Rocha 56</v>
      </c>
      <c r="N121" s="27" t="str">
        <f ca="1">IFERROR(__xludf.DUMMYFUNCTION("""COMPUTED_VALUE"""),"Jardim Damasceno")</f>
        <v>Jardim Damasceno</v>
      </c>
      <c r="O121" s="27">
        <f ca="1">IFERROR(__xludf.DUMMYFUNCTION("""COMPUTED_VALUE"""),56)</f>
        <v>56</v>
      </c>
      <c r="P121" s="27" t="str">
        <f ca="1">IFERROR(__xludf.DUMMYFUNCTION("""COMPUTED_VALUE"""),"São Paulo")</f>
        <v>São Paulo</v>
      </c>
      <c r="Q121" s="27" t="str">
        <f ca="1">IFERROR(__xludf.DUMMYFUNCTION("""COMPUTED_VALUE"""),"Salão")</f>
        <v>Salão</v>
      </c>
      <c r="R121" s="27" t="str">
        <f ca="1">IFERROR(__xludf.DUMMYFUNCTION("""COMPUTED_VALUE"""),"02879-160")</f>
        <v>02879-160</v>
      </c>
      <c r="S121" s="27"/>
      <c r="T121" s="27" t="str">
        <f ca="1">IFERROR(__xludf.DUMMYFUNCTION("""COMPUTED_VALUE"""),"Educação; Empregabilidade; Assistência Social; Cultura; Qualificação Profissional; Empreendedorismo; Saúde")</f>
        <v>Educação; Empregabilidade; Assistência Social; Cultura; Qualificação Profissional; Empreendedorismo; Saúde</v>
      </c>
      <c r="U121" s="27" t="str">
        <f ca="1">IFERROR(__xludf.DUMMYFUNCTION("""COMPUTED_VALUE"""),"Crianças (6 a 12 anos); Adolescentes (12 aos 18 anos); Jovens (18 aos 24 anos); Adultos; Idosos (60 anos ou mais)")</f>
        <v>Crianças (6 a 12 anos); Adolescentes (12 aos 18 anos); Jovens (18 aos 24 anos); Adultos; Idosos (60 anos ou mais)</v>
      </c>
      <c r="V121" s="27" t="str">
        <f ca="1">IFERROR(__xludf.DUMMYFUNCTION("""COMPUTED_VALUE"""),"Moradores de Favelas; População LGBTQ+; Dependentes Químicos; Pessoas com Deficiência")</f>
        <v>Moradores de Favelas; População LGBTQ+; Dependentes Químicos; Pessoas com Deficiência</v>
      </c>
      <c r="W121" s="27">
        <f ca="1">IFERROR(__xludf.DUMMYFUNCTION("""COMPUTED_VALUE"""),0)</f>
        <v>0</v>
      </c>
      <c r="X121" s="27"/>
      <c r="Y121" s="27"/>
      <c r="Z121" s="27">
        <f ca="1">IFERROR(__xludf.DUMMYFUNCTION("""COMPUTED_VALUE"""),400)</f>
        <v>400</v>
      </c>
      <c r="AA121" s="30">
        <f ca="1">IFERROR(__xludf.DUMMYFUNCTION("""COMPUTED_VALUE"""),42671)</f>
        <v>42671</v>
      </c>
      <c r="AB121" s="27" t="str">
        <f ca="1">IFERROR(__xludf.DUMMYFUNCTION("""COMPUTED_VALUE"""),"Sim")</f>
        <v>Sim</v>
      </c>
      <c r="AC121" s="27">
        <f ca="1">IFERROR(__xludf.DUMMYFUNCTION("""COMPUTED_VALUE"""),0)</f>
        <v>0</v>
      </c>
      <c r="AD121" s="27">
        <f ca="1">IFERROR(__xludf.DUMMYFUNCTION("""COMPUTED_VALUE"""),0)</f>
        <v>0</v>
      </c>
      <c r="AE121" s="27">
        <f ca="1">IFERROR(__xludf.DUMMYFUNCTION("""COMPUTED_VALUE"""),0)</f>
        <v>0</v>
      </c>
      <c r="AF121" s="27">
        <f ca="1">IFERROR(__xludf.DUMMYFUNCTION("""COMPUTED_VALUE"""),3)</f>
        <v>3</v>
      </c>
      <c r="AG121" s="27">
        <f ca="1">IFERROR(__xludf.DUMMYFUNCTION("""COMPUTED_VALUE"""),2)</f>
        <v>2</v>
      </c>
      <c r="AH121" s="27" t="str">
        <f ca="1">IFERROR(__xludf.DUMMYFUNCTION("""COMPUTED_VALUE"""),"Doações; Recursos próprios")</f>
        <v>Doações; Recursos próprios</v>
      </c>
      <c r="AI121" s="27" t="str">
        <f ca="1">IFERROR(__xludf.DUMMYFUNCTION("""COMPUTED_VALUE"""),"não")</f>
        <v>não</v>
      </c>
      <c r="AJ121" s="27"/>
      <c r="AK121" s="27"/>
      <c r="AL121" s="21" t="str">
        <f ca="1">IFERROR(__xludf.DUMMYFUNCTION("""COMPUTED_VALUE"""),"0034P000045kxjm")</f>
        <v>0034P000045kxjm</v>
      </c>
      <c r="AM121" s="27" t="str">
        <f ca="1">IFERROR(__xludf.DUMMYFUNCTION("""COMPUTED_VALUE"""),"Valeria De Oliveira")</f>
        <v>Valeria De Oliveira</v>
      </c>
      <c r="AN121" s="27" t="str">
        <f ca="1">IFERROR(__xludf.DUMMYFUNCTION("""COMPUTED_VALUE"""),"Ativo")</f>
        <v>Ativo</v>
      </c>
      <c r="AO121" s="30">
        <f ca="1">IFERROR(__xludf.DUMMYFUNCTION("""COMPUTED_VALUE"""),44551)</f>
        <v>44551</v>
      </c>
      <c r="AP121" s="27">
        <f ca="1">IFERROR(__xludf.DUMMYFUNCTION("""COMPUTED_VALUE"""),9)</f>
        <v>9</v>
      </c>
      <c r="AQ121" s="27" t="str">
        <f ca="1">IFERROR(__xludf.DUMMYFUNCTION("""COMPUTED_VALUE"""),"Segundo Semestre 2021")</f>
        <v>Segundo Semestre 2021</v>
      </c>
      <c r="AR121" s="27" t="str">
        <f ca="1">IFERROR(__xludf.DUMMYFUNCTION("""COMPUTED_VALUE"""),"assocameas@gmail.com")</f>
        <v>assocameas@gmail.com</v>
      </c>
      <c r="AS121" s="27" t="str">
        <f ca="1">IFERROR(__xludf.DUMMYFUNCTION("""COMPUTED_VALUE"""),"(11)99019-6543")</f>
        <v>(11)99019-6543</v>
      </c>
      <c r="AT121" s="29">
        <f ca="1">IFERROR(__xludf.DUMMYFUNCTION("""COMPUTED_VALUE"""),27513)</f>
        <v>27513</v>
      </c>
      <c r="AU121" s="27">
        <f ca="1">IFERROR(__xludf.DUMMYFUNCTION("""COMPUTED_VALUE"""),47)</f>
        <v>47</v>
      </c>
      <c r="AV121" s="27">
        <f ca="1">IFERROR(__xludf.DUMMYFUNCTION("""COMPUTED_VALUE"""),25034844842)</f>
        <v>25034844842</v>
      </c>
      <c r="AW121" s="27" t="str">
        <f ca="1">IFERROR(__xludf.DUMMYFUNCTION("""COMPUTED_VALUE"""),"30937244-6")</f>
        <v>30937244-6</v>
      </c>
      <c r="AX121" s="27"/>
      <c r="AY121" s="27"/>
      <c r="AZ121" s="27" t="str">
        <f ca="1">IFERROR(__xludf.DUMMYFUNCTION("""COMPUTED_VALUE"""),"M")</f>
        <v>M</v>
      </c>
      <c r="BA121" s="27" t="str">
        <f ca="1">IFERROR(__xludf.DUMMYFUNCTION("""COMPUTED_VALUE"""),"Parda")</f>
        <v>Parda</v>
      </c>
      <c r="BB121" s="27" t="str">
        <f ca="1">IFERROR(__xludf.DUMMYFUNCTION("""COMPUTED_VALUE"""),"Mulher, cisgênero")</f>
        <v>Mulher, cisgênero</v>
      </c>
      <c r="BC121" s="27" t="str">
        <f ca="1">IFERROR(__xludf.DUMMYFUNCTION("""COMPUTED_VALUE"""),"Sim")</f>
        <v>Sim</v>
      </c>
      <c r="BD121" s="27" t="str">
        <f ca="1">IFERROR(__xludf.DUMMYFUNCTION("""COMPUTED_VALUE"""),"Sou Valéria de Oliveira, 46 anos, casada, mãe, fundadora da Associação Missão em Ação Social - AMEAS,ducadora sócioeducativa, empreendedora social e líder pastoral. Tudo originou-se no ano de 1997 onde começei a dar os primeiros passos na área sócial onde"&amp;" me levou a fundar a ASSOCIAÇÃO AMEAS em 2013.")</f>
        <v>Sou Valéria de Oliveira, 46 anos, casada, mãe, fundadora da Associação Missão em Ação Social - AMEAS,ducadora sócioeducativa, empreendedora social e líder pastoral. Tudo originou-se no ano de 1997 onde começei a dar os primeiros passos na área sócial onde me levou a fundar a ASSOCIAÇÃO AMEAS em 2013.</v>
      </c>
      <c r="BE121" s="27"/>
      <c r="BF121" s="27" t="str">
        <f ca="1">IFERROR(__xludf.DUMMYFUNCTION("""COMPUTED_VALUE"""),"Heterossexual")</f>
        <v>Heterossexual</v>
      </c>
      <c r="BG121" s="27" t="str">
        <f ca="1">IFERROR(__xludf.DUMMYFUNCTION("""COMPUTED_VALUE"""),"Ensino Médio - Completo")</f>
        <v>Ensino Médio - Completo</v>
      </c>
      <c r="BH121" s="27" t="str">
        <f ca="1">IFERROR(__xludf.DUMMYFUNCTION("""COMPUTED_VALUE"""),"Pública")</f>
        <v>Pública</v>
      </c>
      <c r="BI121" s="27"/>
      <c r="BJ121" s="27"/>
      <c r="BK121" s="27" t="str">
        <f ca="1">IFERROR(__xludf.DUMMYFUNCTION("""COMPUTED_VALUE"""),"Dardo Rocha")</f>
        <v>Dardo Rocha</v>
      </c>
      <c r="BL121" s="27">
        <f ca="1">IFERROR(__xludf.DUMMYFUNCTION("""COMPUTED_VALUE"""),56)</f>
        <v>56</v>
      </c>
      <c r="BM121" s="27" t="str">
        <f ca="1">IFERROR(__xludf.DUMMYFUNCTION("""COMPUTED_VALUE"""),"Salão")</f>
        <v>Salão</v>
      </c>
      <c r="BN121" s="27" t="str">
        <f ca="1">IFERROR(__xludf.DUMMYFUNCTION("""COMPUTED_VALUE"""),"São Paulo")</f>
        <v>São Paulo</v>
      </c>
      <c r="BO121" s="27" t="str">
        <f ca="1">IFERROR(__xludf.DUMMYFUNCTION("""COMPUTED_VALUE"""),"02879-160")</f>
        <v>02879-160</v>
      </c>
      <c r="BP121" s="27" t="str">
        <f ca="1">IFERROR(__xludf.DUMMYFUNCTION("""COMPUTED_VALUE"""),"SP")</f>
        <v>SP</v>
      </c>
      <c r="BQ121" s="27" t="str">
        <f ca="1">IFERROR(__xludf.DUMMYFUNCTION("""COMPUTED_VALUE"""),"Entre 1 até 3 salários mínimos")</f>
        <v>Entre 1 até 3 salários mínimos</v>
      </c>
      <c r="BR121" s="27" t="str">
        <f ca="1">IFERROR(__xludf.DUMMYFUNCTION("""COMPUTED_VALUE"""),"CLT")</f>
        <v>CLT</v>
      </c>
      <c r="BS121" s="27" t="str">
        <f ca="1">IFERROR(__xludf.DUMMYFUNCTION("""COMPUTED_VALUE"""),"Casa cedida")</f>
        <v>Casa cedida</v>
      </c>
      <c r="BT121" s="27">
        <f ca="1">IFERROR(__xludf.DUMMYFUNCTION("""COMPUTED_VALUE"""),4)</f>
        <v>4</v>
      </c>
      <c r="BU121" s="27" t="str">
        <f ca="1">IFERROR(__xludf.DUMMYFUNCTION("""COMPUTED_VALUE"""),"Não tem")</f>
        <v>Não tem</v>
      </c>
      <c r="BV121" s="27" t="str">
        <f ca="1">IFERROR(__xludf.DUMMYFUNCTION("""COMPUTED_VALUE"""),"alimentos gordurosos")</f>
        <v>alimentos gordurosos</v>
      </c>
      <c r="BW121" s="21" t="str">
        <f ca="1">IFERROR(__xludf.DUMMYFUNCTION("""COMPUTED_VALUE"""),"https://www.linkedin.com/in/valeria-oliveira-campelo-32716964")</f>
        <v>https://www.linkedin.com/in/valeria-oliveira-campelo-32716964</v>
      </c>
      <c r="BX121" s="21" t="str">
        <f ca="1">IFERROR(__xludf.DUMMYFUNCTION("""COMPUTED_VALUE"""),"https://instagram.com/ameasoficial?utm_medium=copy_link")</f>
        <v>https://instagram.com/ameasoficial?utm_medium=copy_link</v>
      </c>
      <c r="BY121" s="21" t="str">
        <f ca="1">IFERROR(__xludf.DUMMYFUNCTION("""COMPUTED_VALUE"""),"https://drive.google.com/open?id=1YX1oCdV1-fvX_FfEEC9aunyzpGYhmqEi")</f>
        <v>https://drive.google.com/open?id=1YX1oCdV1-fvX_FfEEC9aunyzpGYhmqEi</v>
      </c>
    </row>
    <row r="122" spans="1:77" ht="12.5" x14ac:dyDescent="0.25">
      <c r="A122" s="21" t="str">
        <f ca="1">IFERROR(__xludf.DUMMYFUNCTION("""COMPUTED_VALUE"""),"0014P00003SGWQ9QAP")</f>
        <v>0014P00003SGWQ9QAP</v>
      </c>
      <c r="B122" s="27" t="str">
        <f ca="1">IFERROR(__xludf.DUMMYFUNCTION("""COMPUTED_VALUE"""),"Fase Estruturação")</f>
        <v>Fase Estruturação</v>
      </c>
      <c r="C122" s="27" t="str">
        <f ca="1">IFERROR(__xludf.DUMMYFUNCTION("""COMPUTED_VALUE"""),"Fellow")</f>
        <v>Fellow</v>
      </c>
      <c r="D122" s="27" t="str">
        <f ca="1">IFERROR(__xludf.DUMMYFUNCTION("""COMPUTED_VALUE"""),"Ativo")</f>
        <v>Ativo</v>
      </c>
      <c r="E122" s="27" t="str">
        <f ca="1">IFERROR(__xludf.DUMMYFUNCTION("""COMPUTED_VALUE"""),"ASSOCIAÇÃO MISSÃO INTENSIDADE")</f>
        <v>ASSOCIAÇÃO MISSÃO INTENSIDADE</v>
      </c>
      <c r="F122" s="27" t="str">
        <f ca="1">IFERROR(__xludf.DUMMYFUNCTION("""COMPUTED_VALUE"""),"Rodrigo")</f>
        <v>Rodrigo</v>
      </c>
      <c r="G122" s="27" t="str">
        <f ca="1">IFERROR(__xludf.DUMMYFUNCTION("""COMPUTED_VALUE"""),"INTENSIDADE")</f>
        <v>INTENSIDADE</v>
      </c>
      <c r="H122" s="27" t="str">
        <f ca="1">IFERROR(__xludf.DUMMYFUNCTION("""COMPUTED_VALUE"""),"27.706.612/0001-50")</f>
        <v>27.706.612/0001-50</v>
      </c>
      <c r="I122" s="27" t="str">
        <f ca="1">IFERROR(__xludf.DUMMYFUNCTION("""COMPUTED_VALUE"""),"Rodrigo De Souza")</f>
        <v>Rodrigo De Souza</v>
      </c>
      <c r="J122" s="27" t="str">
        <f ca="1">IFERROR(__xludf.DUMMYFUNCTION("""COMPUTED_VALUE"""),"contato@missaointensidade.org.br")</f>
        <v>contato@missaointensidade.org.br</v>
      </c>
      <c r="K122" s="27" t="str">
        <f ca="1">IFERROR(__xludf.DUMMYFUNCTION("""COMPUTED_VALUE"""),"(11)7657-9996")</f>
        <v>(11)7657-9996</v>
      </c>
      <c r="L122" s="27" t="str">
        <f ca="1">IFERROR(__xludf.DUMMYFUNCTION("""COMPUTED_VALUE"""),"SP")</f>
        <v>SP</v>
      </c>
      <c r="M122" s="27" t="str">
        <f ca="1">IFERROR(__xludf.DUMMYFUNCTION("""COMPUTED_VALUE"""),"Paulo Ono")</f>
        <v>Paulo Ono</v>
      </c>
      <c r="N122" s="27" t="str">
        <f ca="1">IFERROR(__xludf.DUMMYFUNCTION("""COMPUTED_VALUE"""),"Residencial Novo Horizonte")</f>
        <v>Residencial Novo Horizonte</v>
      </c>
      <c r="O122" s="27" t="str">
        <f ca="1">IFERROR(__xludf.DUMMYFUNCTION("""COMPUTED_VALUE"""),"(11)99661-1025")</f>
        <v>(11)99661-1025</v>
      </c>
      <c r="P122" s="27" t="str">
        <f ca="1">IFERROR(__xludf.DUMMYFUNCTION("""COMPUTED_VALUE"""),"Mogi das Cruzes")</f>
        <v>Mogi das Cruzes</v>
      </c>
      <c r="Q122" s="27"/>
      <c r="R122" s="27" t="str">
        <f ca="1">IFERROR(__xludf.DUMMYFUNCTION("""COMPUTED_VALUE"""),"08772-560")</f>
        <v>08772-560</v>
      </c>
      <c r="S122" s="27"/>
      <c r="T122" s="27" t="str">
        <f ca="1">IFERROR(__xludf.DUMMYFUNCTION("""COMPUTED_VALUE"""),"Esporte; Empregabilidade; Cultura; Qualificação Profissional")</f>
        <v>Esporte; Empregabilidade; Cultura; Qualificação Profissional</v>
      </c>
      <c r="U122" s="27" t="str">
        <f ca="1">IFERROR(__xludf.DUMMYFUNCTION("""COMPUTED_VALUE"""),"Crianças pequenas (4 anos a 5 anos e 11 meses); Crianças (6 a 12 anos); Adolescentes (12 aos 18 anos); Jovens (18 aos 24 anos)")</f>
        <v>Crianças pequenas (4 anos a 5 anos e 11 meses); Crianças (6 a 12 anos); Adolescentes (12 aos 18 anos); Jovens (18 aos 24 anos)</v>
      </c>
      <c r="V122" s="27" t="str">
        <f ca="1">IFERROR(__xludf.DUMMYFUNCTION("""COMPUTED_VALUE"""),"Moradores de Favelas")</f>
        <v>Moradores de Favelas</v>
      </c>
      <c r="W122" s="27">
        <f ca="1">IFERROR(__xludf.DUMMYFUNCTION("""COMPUTED_VALUE"""),1)</f>
        <v>1</v>
      </c>
      <c r="X122" s="27" t="str">
        <f ca="1">IFERROR(__xludf.DUMMYFUNCTION("""COMPUTED_VALUE"""),"Estamos em uma área de divisa de municípios Mogi das Cruzes Itaquaquecetuba e Suzano. Devido a essa questão geográfica atendemos um porcentagem de alunos dessas cidades além da falta de estrutura geral por se tratar de região de divisa.")</f>
        <v>Estamos em uma área de divisa de municípios Mogi das Cruzes Itaquaquecetuba e Suzano. Devido a essa questão geográfica atendemos um porcentagem de alunos dessas cidades além da falta de estrutura geral por se tratar de região de divisa.</v>
      </c>
      <c r="Y122" s="27">
        <f ca="1">IFERROR(__xludf.DUMMYFUNCTION("""COMPUTED_VALUE"""),160)</f>
        <v>160</v>
      </c>
      <c r="Z122" s="27">
        <f ca="1">IFERROR(__xludf.DUMMYFUNCTION("""COMPUTED_VALUE"""),1100)</f>
        <v>1100</v>
      </c>
      <c r="AA122" s="29">
        <f ca="1">IFERROR(__xludf.DUMMYFUNCTION("""COMPUTED_VALUE"""),42063)</f>
        <v>42063</v>
      </c>
      <c r="AB122" s="27" t="str">
        <f ca="1">IFERROR(__xludf.DUMMYFUNCTION("""COMPUTED_VALUE"""),"Sim")</f>
        <v>Sim</v>
      </c>
      <c r="AC122" s="27">
        <f ca="1">IFERROR(__xludf.DUMMYFUNCTION("""COMPUTED_VALUE"""),5)</f>
        <v>5</v>
      </c>
      <c r="AD122" s="27">
        <f ca="1">IFERROR(__xludf.DUMMYFUNCTION("""COMPUTED_VALUE"""),8)</f>
        <v>8</v>
      </c>
      <c r="AE122" s="27">
        <f ca="1">IFERROR(__xludf.DUMMYFUNCTION("""COMPUTED_VALUE"""),30)</f>
        <v>30</v>
      </c>
      <c r="AF122" s="27">
        <f ca="1">IFERROR(__xludf.DUMMYFUNCTION("""COMPUTED_VALUE"""),50)</f>
        <v>50</v>
      </c>
      <c r="AG122" s="27">
        <f ca="1">IFERROR(__xludf.DUMMYFUNCTION("""COMPUTED_VALUE"""),3)</f>
        <v>3</v>
      </c>
      <c r="AH122" s="27" t="str">
        <f ca="1">IFERROR(__xludf.DUMMYFUNCTION("""COMPUTED_VALUE"""),"Negócio Social; Plataforma doação online - Pessoa Física; Parceria iniciativa privada; Lei Municipal da Cultura")</f>
        <v>Negócio Social; Plataforma doação online - Pessoa Física; Parceria iniciativa privada; Lei Municipal da Cultura</v>
      </c>
      <c r="AI122" s="27" t="str">
        <f ca="1">IFERROR(__xludf.DUMMYFUNCTION("""COMPUTED_VALUE"""),"PF 10%, PJ 25%, LIC municipal 50%, Negócio 15%")</f>
        <v>PF 10%, PJ 25%, LIC municipal 50%, Negócio 15%</v>
      </c>
      <c r="AJ122" s="27" t="str">
        <f ca="1">IFERROR(__xludf.DUMMYFUNCTION("""COMPUTED_VALUE"""),"Não")</f>
        <v>Não</v>
      </c>
      <c r="AK122" s="27" t="str">
        <f ca="1">IFERROR(__xludf.DUMMYFUNCTION("""COMPUTED_VALUE"""),"Não")</f>
        <v>Não</v>
      </c>
      <c r="AL122" s="21" t="str">
        <f ca="1">IFERROR(__xludf.DUMMYFUNCTION("""COMPUTED_VALUE"""),"0034P000043fOoA")</f>
        <v>0034P000043fOoA</v>
      </c>
      <c r="AM122" s="27" t="str">
        <f ca="1">IFERROR(__xludf.DUMMYFUNCTION("""COMPUTED_VALUE"""),"De Souza")</f>
        <v>De Souza</v>
      </c>
      <c r="AN122" s="27" t="str">
        <f ca="1">IFERROR(__xludf.DUMMYFUNCTION("""COMPUTED_VALUE"""),"Ativo")</f>
        <v>Ativo</v>
      </c>
      <c r="AO122" s="29">
        <f ca="1">IFERROR(__xludf.DUMMYFUNCTION("""COMPUTED_VALUE"""),44432)</f>
        <v>44432</v>
      </c>
      <c r="AP122" s="27">
        <f ca="1">IFERROR(__xludf.DUMMYFUNCTION("""COMPUTED_VALUE"""),13)</f>
        <v>13</v>
      </c>
      <c r="AQ122" s="27" t="str">
        <f ca="1">IFERROR(__xludf.DUMMYFUNCTION("""COMPUTED_VALUE"""),"Primeiro Semestre 2021")</f>
        <v>Primeiro Semestre 2021</v>
      </c>
      <c r="AR122" s="27" t="str">
        <f ca="1">IFERROR(__xludf.DUMMYFUNCTION("""COMPUTED_VALUE"""),"professorrodrigao@hotmail.com")</f>
        <v>professorrodrigao@hotmail.com</v>
      </c>
      <c r="AS122" s="27" t="str">
        <f ca="1">IFERROR(__xludf.DUMMYFUNCTION("""COMPUTED_VALUE"""),"(11)99661-1025")</f>
        <v>(11)99661-1025</v>
      </c>
      <c r="AT122" s="29">
        <f ca="1">IFERROR(__xludf.DUMMYFUNCTION("""COMPUTED_VALUE"""),30168)</f>
        <v>30168</v>
      </c>
      <c r="AU122" s="27">
        <f ca="1">IFERROR(__xludf.DUMMYFUNCTION("""COMPUTED_VALUE"""),40)</f>
        <v>40</v>
      </c>
      <c r="AV122" s="27">
        <f ca="1">IFERROR(__xludf.DUMMYFUNCTION("""COMPUTED_VALUE"""),5228039627)</f>
        <v>5228039627</v>
      </c>
      <c r="AW122" s="27">
        <f ca="1">IFERROR(__xludf.DUMMYFUNCTION("""COMPUTED_VALUE"""),589540415)</f>
        <v>589540415</v>
      </c>
      <c r="AX122" s="27" t="str">
        <f ca="1">IFERROR(__xludf.DUMMYFUNCTION("""COMPUTED_VALUE"""),"Educação Fisica")</f>
        <v>Educação Fisica</v>
      </c>
      <c r="AY122" s="27" t="str">
        <f ca="1">IFERROR(__xludf.DUMMYFUNCTION("""COMPUTED_VALUE"""),"AMAC ( Associação Mogiana de Ações para a Cidadania) Educador físico.")</f>
        <v>AMAC ( Associação Mogiana de Ações para a Cidadania) Educador físico.</v>
      </c>
      <c r="AZ122" s="27" t="str">
        <f ca="1">IFERROR(__xludf.DUMMYFUNCTION("""COMPUTED_VALUE"""),"G")</f>
        <v>G</v>
      </c>
      <c r="BA122" s="27" t="str">
        <f ca="1">IFERROR(__xludf.DUMMYFUNCTION("""COMPUTED_VALUE"""),"Preta")</f>
        <v>Preta</v>
      </c>
      <c r="BB122" s="27"/>
      <c r="BC122" s="27" t="str">
        <f ca="1">IFERROR(__xludf.DUMMYFUNCTION("""COMPUTED_VALUE"""),"Não")</f>
        <v>Não</v>
      </c>
      <c r="BD122" s="27" t="str">
        <f ca="1">IFERROR(__xludf.DUMMYFUNCTION("""COMPUTED_VALUE"""),"Após nascer, crescer e viver os vários desafios de se morar na periferia com uma família disfuncional consegui fazer faculdade, pós graduação, casar, ter dois filhos, comprar minha casa, meu carro e ser referencial para crianças, adolescentes e jovens de "&amp;"periferia. Casado, pai, professor, missionário, empreendedor social fundador e diretor na ONG Missão Intensidade. Não é uma questão de ter é uma questão de ser!")</f>
        <v>Após nascer, crescer e viver os vários desafios de se morar na periferia com uma família disfuncional consegui fazer faculdade, pós graduação, casar, ter dois filhos, comprar minha casa, meu carro e ser referencial para crianças, adolescentes e jovens de periferia. Casado, pai, professor, missionário, empreendedor social fundador e diretor na ONG Missão Intensidade. Não é uma questão de ter é uma questão de ser!</v>
      </c>
      <c r="BE122" s="27" t="str">
        <f ca="1">IFERROR(__xludf.DUMMYFUNCTION("""COMPUTED_VALUE"""),"Masculino")</f>
        <v>Masculino</v>
      </c>
      <c r="BF122" s="27" t="str">
        <f ca="1">IFERROR(__xludf.DUMMYFUNCTION("""COMPUTED_VALUE"""),"Heterossexual")</f>
        <v>Heterossexual</v>
      </c>
      <c r="BG122" s="27" t="str">
        <f ca="1">IFERROR(__xludf.DUMMYFUNCTION("""COMPUTED_VALUE"""),"Ensino Superior - Completo")</f>
        <v>Ensino Superior - Completo</v>
      </c>
      <c r="BH122" s="27"/>
      <c r="BI122" s="27" t="str">
        <f ca="1">IFERROR(__xludf.DUMMYFUNCTION("""COMPUTED_VALUE"""),"Pós-Graduação")</f>
        <v>Pós-Graduação</v>
      </c>
      <c r="BJ122" s="27" t="str">
        <f ca="1">IFERROR(__xludf.DUMMYFUNCTION("""COMPUTED_VALUE"""),"Privado")</f>
        <v>Privado</v>
      </c>
      <c r="BK122" s="27" t="str">
        <f ca="1">IFERROR(__xludf.DUMMYFUNCTION("""COMPUTED_VALUE"""),"Maria Piedade da Silva")</f>
        <v>Maria Piedade da Silva</v>
      </c>
      <c r="BL122" s="27">
        <f ca="1">IFERROR(__xludf.DUMMYFUNCTION("""COMPUTED_VALUE"""),225)</f>
        <v>225</v>
      </c>
      <c r="BM122" s="27"/>
      <c r="BN122" s="27" t="str">
        <f ca="1">IFERROR(__xludf.DUMMYFUNCTION("""COMPUTED_VALUE"""),"Mogi das Cruzes")</f>
        <v>Mogi das Cruzes</v>
      </c>
      <c r="BO122" s="27" t="str">
        <f ca="1">IFERROR(__xludf.DUMMYFUNCTION("""COMPUTED_VALUE"""),"08720-390")</f>
        <v>08720-390</v>
      </c>
      <c r="BP122" s="27" t="str">
        <f ca="1">IFERROR(__xludf.DUMMYFUNCTION("""COMPUTED_VALUE"""),"SP")</f>
        <v>SP</v>
      </c>
      <c r="BQ122" s="27" t="str">
        <f ca="1">IFERROR(__xludf.DUMMYFUNCTION("""COMPUTED_VALUE"""),"De 3 até 5 salários mínimos")</f>
        <v>De 3 até 5 salários mínimos</v>
      </c>
      <c r="BR122" s="27" t="str">
        <f ca="1">IFERROR(__xludf.DUMMYFUNCTION("""COMPUTED_VALUE"""),"MEI; Funcionário Público")</f>
        <v>MEI; Funcionário Público</v>
      </c>
      <c r="BS122" s="27" t="str">
        <f ca="1">IFERROR(__xludf.DUMMYFUNCTION("""COMPUTED_VALUE"""),"Casa própria")</f>
        <v>Casa própria</v>
      </c>
      <c r="BT122" s="27">
        <f ca="1">IFERROR(__xludf.DUMMYFUNCTION("""COMPUTED_VALUE"""),4)</f>
        <v>4</v>
      </c>
      <c r="BU122" s="27"/>
      <c r="BV122" s="27"/>
      <c r="BW122" s="21" t="str">
        <f ca="1">IFERROR(__xludf.DUMMYFUNCTION("""COMPUTED_VALUE"""),"https://www.linkedin.com/feed/?trk=homepage-basic_google-one-tap-submit")</f>
        <v>https://www.linkedin.com/feed/?trk=homepage-basic_google-one-tap-submit</v>
      </c>
      <c r="BX122" s="21" t="str">
        <f ca="1">IFERROR(__xludf.DUMMYFUNCTION("""COMPUTED_VALUE"""),"https://www.instagram.com/invites/contact/?i=38p196ub57as&amp;utm_content=x51893")</f>
        <v>https://www.instagram.com/invites/contact/?i=38p196ub57as&amp;utm_content=x51893</v>
      </c>
      <c r="BY122" s="21" t="str">
        <f ca="1">IFERROR(__xludf.DUMMYFUNCTION("""COMPUTED_VALUE"""),"https://drive.google.com/open?id=1Xa9gr2KQpqkvkHJU3j16rvZTr6G3yksI")</f>
        <v>https://drive.google.com/open?id=1Xa9gr2KQpqkvkHJU3j16rvZTr6G3yksI</v>
      </c>
    </row>
    <row r="123" spans="1:77" ht="12.5" hidden="1" x14ac:dyDescent="0.25">
      <c r="A123" s="21" t="str">
        <f ca="1">IFERROR(__xludf.DUMMYFUNCTION("""COMPUTED_VALUE"""),"0014X00002VKCrWQAX")</f>
        <v>0014X00002VKCrWQAX</v>
      </c>
      <c r="B123" s="27" t="str">
        <f ca="1">IFERROR(__xludf.DUMMYFUNCTION("""COMPUTED_VALUE"""),"Fase Estruturação")</f>
        <v>Fase Estruturação</v>
      </c>
      <c r="C123" s="27" t="str">
        <f ca="1">IFERROR(__xludf.DUMMYFUNCTION("""COMPUTED_VALUE"""),"Fellow")</f>
        <v>Fellow</v>
      </c>
      <c r="D123" s="27" t="str">
        <f ca="1">IFERROR(__xludf.DUMMYFUNCTION("""COMPUTED_VALUE"""),"Ativo")</f>
        <v>Ativo</v>
      </c>
      <c r="E123" s="27" t="str">
        <f ca="1">IFERROR(__xludf.DUMMYFUNCTION("""COMPUTED_VALUE"""),"ASSOCIAÇÃO MÚSICA AMIGOS SOLIDÁRIOS AMAS")</f>
        <v>ASSOCIAÇÃO MÚSICA AMIGOS SOLIDÁRIOS AMAS</v>
      </c>
      <c r="F123" s="27" t="str">
        <f ca="1">IFERROR(__xludf.DUMMYFUNCTION("""COMPUTED_VALUE"""),"Derineudo")</f>
        <v>Derineudo</v>
      </c>
      <c r="G123" s="27" t="str">
        <f ca="1">IFERROR(__xludf.DUMMYFUNCTION("""COMPUTED_VALUE"""),"ASSOCIAÇÃO MÚSICA AMIGOS SOLIDÁRIOS AMAS")</f>
        <v>ASSOCIAÇÃO MÚSICA AMIGOS SOLIDÁRIOS AMAS</v>
      </c>
      <c r="H123" s="27" t="str">
        <f ca="1">IFERROR(__xludf.DUMMYFUNCTION("""COMPUTED_VALUE"""),"30.471.045/0001-05")</f>
        <v>30.471.045/0001-05</v>
      </c>
      <c r="I123" s="27" t="str">
        <f ca="1">IFERROR(__xludf.DUMMYFUNCTION("""COMPUTED_VALUE"""),"Derineudo de Souza dos Santos")</f>
        <v>Derineudo de Souza dos Santos</v>
      </c>
      <c r="J123" s="27" t="str">
        <f ca="1">IFERROR(__xludf.DUMMYFUNCTION("""COMPUTED_VALUE"""),"amigossolidariosac@gmail.com")</f>
        <v>amigossolidariosac@gmail.com</v>
      </c>
      <c r="K123" s="27" t="str">
        <f ca="1">IFERROR(__xludf.DUMMYFUNCTION("""COMPUTED_VALUE"""),"(68)99963-1368")</f>
        <v>(68)99963-1368</v>
      </c>
      <c r="L123" s="27" t="str">
        <f ca="1">IFERROR(__xludf.DUMMYFUNCTION("""COMPUTED_VALUE"""),"AC")</f>
        <v>AC</v>
      </c>
      <c r="M123" s="27" t="str">
        <f ca="1">IFERROR(__xludf.DUMMYFUNCTION("""COMPUTED_VALUE"""),"Rua W11")</f>
        <v>Rua W11</v>
      </c>
      <c r="N123" s="27" t="str">
        <f ca="1">IFERROR(__xludf.DUMMYFUNCTION("""COMPUTED_VALUE"""),"Conjunto Tucumã")</f>
        <v>Conjunto Tucumã</v>
      </c>
      <c r="O123" s="27">
        <f ca="1">IFERROR(__xludf.DUMMYFUNCTION("""COMPUTED_VALUE"""),140)</f>
        <v>140</v>
      </c>
      <c r="P123" s="27" t="str">
        <f ca="1">IFERROR(__xludf.DUMMYFUNCTION("""COMPUTED_VALUE"""),"Rio Branco")</f>
        <v>Rio Branco</v>
      </c>
      <c r="Q123" s="27"/>
      <c r="R123" s="27" t="str">
        <f ca="1">IFERROR(__xludf.DUMMYFUNCTION("""COMPUTED_VALUE"""),"69919-742")</f>
        <v>69919-742</v>
      </c>
      <c r="S123" s="27" t="str">
        <f ca="1">IFERROR(__xludf.DUMMYFUNCTION("""COMPUTED_VALUE"""),"Bairro Aroeira, Juarez Távora, Jequitibá, Adalberto Sena, Mocinha Magalhães, Tucumã, Rui Lino")</f>
        <v>Bairro Aroeira, Juarez Távora, Jequitibá, Adalberto Sena, Mocinha Magalhães, Tucumã, Rui Lino</v>
      </c>
      <c r="T123" s="27"/>
      <c r="U123" s="27" t="str">
        <f ca="1">IFERROR(__xludf.DUMMYFUNCTION("""COMPUTED_VALUE"""),"Crianças (6 a 12 anos), Adolescentes (12 aos 18 anos), Jovens (18 aos 24 anos)")</f>
        <v>Crianças (6 a 12 anos), Adolescentes (12 aos 18 anos), Jovens (18 aos 24 anos)</v>
      </c>
      <c r="V123" s="27" t="str">
        <f ca="1">IFERROR(__xludf.DUMMYFUNCTION("""COMPUTED_VALUE"""),"Moradores de Favelas")</f>
        <v>Moradores de Favelas</v>
      </c>
      <c r="W123" s="27">
        <f ca="1">IFERROR(__xludf.DUMMYFUNCTION("""COMPUTED_VALUE"""),8)</f>
        <v>8</v>
      </c>
      <c r="X123" s="27"/>
      <c r="Y123" s="27"/>
      <c r="Z123" s="27">
        <f ca="1">IFERROR(__xludf.DUMMYFUNCTION("""COMPUTED_VALUE"""),850)</f>
        <v>850</v>
      </c>
      <c r="AA123" s="29">
        <f ca="1">IFERROR(__xludf.DUMMYFUNCTION("""COMPUTED_VALUE"""),43227)</f>
        <v>43227</v>
      </c>
      <c r="AB123" s="27" t="str">
        <f ca="1">IFERROR(__xludf.DUMMYFUNCTION("""COMPUTED_VALUE"""),"Sim")</f>
        <v>Sim</v>
      </c>
      <c r="AC123" s="27">
        <f ca="1">IFERROR(__xludf.DUMMYFUNCTION("""COMPUTED_VALUE"""),700)</f>
        <v>700</v>
      </c>
      <c r="AD123" s="27">
        <f ca="1">IFERROR(__xludf.DUMMYFUNCTION("""COMPUTED_VALUE"""),700)</f>
        <v>700</v>
      </c>
      <c r="AE123" s="27">
        <f ca="1">IFERROR(__xludf.DUMMYFUNCTION("""COMPUTED_VALUE"""),150)</f>
        <v>150</v>
      </c>
      <c r="AF123" s="27">
        <f ca="1">IFERROR(__xludf.DUMMYFUNCTION("""COMPUTED_VALUE"""),120)</f>
        <v>120</v>
      </c>
      <c r="AG123" s="27">
        <f ca="1">IFERROR(__xludf.DUMMYFUNCTION("""COMPUTED_VALUE"""),3)</f>
        <v>3</v>
      </c>
      <c r="AH123" s="27" t="str">
        <f ca="1">IFERROR(__xludf.DUMMYFUNCTION("""COMPUTED_VALUE"""),"Doações")</f>
        <v>Doações</v>
      </c>
      <c r="AI123" s="27" t="str">
        <f ca="1">IFERROR(__xludf.DUMMYFUNCTION("""COMPUTED_VALUE"""),"100% doação")</f>
        <v>100% doação</v>
      </c>
      <c r="AJ123" s="27" t="str">
        <f ca="1">IFERROR(__xludf.DUMMYFUNCTION("""COMPUTED_VALUE"""),"Não")</f>
        <v>Não</v>
      </c>
      <c r="AK123" s="27"/>
      <c r="AL123" s="21" t="str">
        <f ca="1">IFERROR(__xludf.DUMMYFUNCTION("""COMPUTED_VALUE"""),"0034X0000380O4S")</f>
        <v>0034X0000380O4S</v>
      </c>
      <c r="AM123" s="27" t="str">
        <f ca="1">IFERROR(__xludf.DUMMYFUNCTION("""COMPUTED_VALUE"""),"De souza dos santos")</f>
        <v>De souza dos santos</v>
      </c>
      <c r="AN123" s="27" t="str">
        <f ca="1">IFERROR(__xludf.DUMMYFUNCTION("""COMPUTED_VALUE"""),"Ativo")</f>
        <v>Ativo</v>
      </c>
      <c r="AO123" s="27"/>
      <c r="AP123" s="27"/>
      <c r="AQ123" s="27" t="str">
        <f ca="1">IFERROR(__xludf.DUMMYFUNCTION("""COMPUTED_VALUE"""),"Primeiro Semestre 2022")</f>
        <v>Primeiro Semestre 2022</v>
      </c>
      <c r="AR123" s="27" t="str">
        <f ca="1">IFERROR(__xludf.DUMMYFUNCTION("""COMPUTED_VALUE"""),"souzaderineudo@gmail.com")</f>
        <v>souzaderineudo@gmail.com</v>
      </c>
      <c r="AS123" s="27" t="str">
        <f ca="1">IFERROR(__xludf.DUMMYFUNCTION("""COMPUTED_VALUE"""),"(68)99963-1368")</f>
        <v>(68)99963-1368</v>
      </c>
      <c r="AT123" s="29">
        <f ca="1">IFERROR(__xludf.DUMMYFUNCTION("""COMPUTED_VALUE"""),31328)</f>
        <v>31328</v>
      </c>
      <c r="AU123" s="27">
        <f ca="1">IFERROR(__xludf.DUMMYFUNCTION("""COMPUTED_VALUE"""),37)</f>
        <v>37</v>
      </c>
      <c r="AV123" s="27">
        <f ca="1">IFERROR(__xludf.DUMMYFUNCTION("""COMPUTED_VALUE"""),83672222291)</f>
        <v>83672222291</v>
      </c>
      <c r="AW123" s="27">
        <f ca="1">IFERROR(__xludf.DUMMYFUNCTION("""COMPUTED_VALUE"""),310722273185)</f>
        <v>310722273185</v>
      </c>
      <c r="AX123" s="27"/>
      <c r="AY123" s="27" t="str">
        <f ca="1">IFERROR(__xludf.DUMMYFUNCTION("""COMPUTED_VALUE"""),"Presidente")</f>
        <v>Presidente</v>
      </c>
      <c r="AZ123" s="27" t="str">
        <f ca="1">IFERROR(__xludf.DUMMYFUNCTION("""COMPUTED_VALUE"""),"M")</f>
        <v>M</v>
      </c>
      <c r="BA123" s="27" t="str">
        <f ca="1">IFERROR(__xludf.DUMMYFUNCTION("""COMPUTED_VALUE"""),"Preta")</f>
        <v>Preta</v>
      </c>
      <c r="BB123" s="27"/>
      <c r="BC123" s="27"/>
      <c r="BD123" s="27" t="str">
        <f ca="1">IFERROR(__xludf.DUMMYFUNCTION("""COMPUTED_VALUE"""),"Chamo-me Derineudo de Souza dos Santos, tenho 36 anos, sou casado e tenho um filho. Sou policial militar e presidente da Associação Música Amigos Solidários. Nossa instituição atende mais de 850 jovens da capital, em diversos bairros periféricos, com aula"&amp;"s de música, ballet, futsal, atletismo, ginástica rítmica e informática.")</f>
        <v>Chamo-me Derineudo de Souza dos Santos, tenho 36 anos, sou casado e tenho um filho. Sou policial militar e presidente da Associação Música Amigos Solidários. Nossa instituição atende mais de 850 jovens da capital, em diversos bairros periféricos, com aulas de música, ballet, futsal, atletismo, ginástica rítmica e informática.</v>
      </c>
      <c r="BE123" s="27" t="str">
        <f ca="1">IFERROR(__xludf.DUMMYFUNCTION("""COMPUTED_VALUE"""),"Homem, cisgênero")</f>
        <v>Homem, cisgênero</v>
      </c>
      <c r="BF123" s="27" t="str">
        <f ca="1">IFERROR(__xludf.DUMMYFUNCTION("""COMPUTED_VALUE"""),"Homossexual")</f>
        <v>Homossexual</v>
      </c>
      <c r="BG123" s="27" t="str">
        <f ca="1">IFERROR(__xludf.DUMMYFUNCTION("""COMPUTED_VALUE"""),"Ensino Superior - Completo")</f>
        <v>Ensino Superior - Completo</v>
      </c>
      <c r="BH123" s="27" t="str">
        <f ca="1">IFERROR(__xludf.DUMMYFUNCTION("""COMPUTED_VALUE"""),"Público")</f>
        <v>Público</v>
      </c>
      <c r="BI123" s="27" t="str">
        <f ca="1">IFERROR(__xludf.DUMMYFUNCTION("""COMPUTED_VALUE"""),"Graduação")</f>
        <v>Graduação</v>
      </c>
      <c r="BJ123" s="27" t="str">
        <f ca="1">IFERROR(__xludf.DUMMYFUNCTION("""COMPUTED_VALUE"""),"Privado")</f>
        <v>Privado</v>
      </c>
      <c r="BK123" s="27" t="str">
        <f ca="1">IFERROR(__xludf.DUMMYFUNCTION("""COMPUTED_VALUE"""),"N2")</f>
        <v>N2</v>
      </c>
      <c r="BL123" s="27">
        <f ca="1">IFERROR(__xludf.DUMMYFUNCTION("""COMPUTED_VALUE"""),146)</f>
        <v>146</v>
      </c>
      <c r="BM123" s="27"/>
      <c r="BN123" s="27" t="str">
        <f ca="1">IFERROR(__xludf.DUMMYFUNCTION("""COMPUTED_VALUE"""),"Rio Branco")</f>
        <v>Rio Branco</v>
      </c>
      <c r="BO123" s="27" t="str">
        <f ca="1">IFERROR(__xludf.DUMMYFUNCTION("""COMPUTED_VALUE"""),"69919-817")</f>
        <v>69919-817</v>
      </c>
      <c r="BP123" s="27" t="str">
        <f ca="1">IFERROR(__xludf.DUMMYFUNCTION("""COMPUTED_VALUE"""),"AC")</f>
        <v>AC</v>
      </c>
      <c r="BQ123" s="27" t="str">
        <f ca="1">IFERROR(__xludf.DUMMYFUNCTION("""COMPUTED_VALUE"""),"De 3 até 5 salários mínimos")</f>
        <v>De 3 até 5 salários mínimos</v>
      </c>
      <c r="BR123" s="27" t="str">
        <f ca="1">IFERROR(__xludf.DUMMYFUNCTION("""COMPUTED_VALUE"""),"Trabalho informal")</f>
        <v>Trabalho informal</v>
      </c>
      <c r="BS123" s="27" t="str">
        <f ca="1">IFERROR(__xludf.DUMMYFUNCTION("""COMPUTED_VALUE"""),"Aluguel")</f>
        <v>Aluguel</v>
      </c>
      <c r="BT123" s="27">
        <f ca="1">IFERROR(__xludf.DUMMYFUNCTION("""COMPUTED_VALUE"""),4)</f>
        <v>4</v>
      </c>
      <c r="BU123" s="27" t="str">
        <f ca="1">IFERROR(__xludf.DUMMYFUNCTION("""COMPUTED_VALUE"""),"Não tem")</f>
        <v>Não tem</v>
      </c>
      <c r="BV123" s="27" t="str">
        <f ca="1">IFERROR(__xludf.DUMMYFUNCTION("""COMPUTED_VALUE"""),"Não")</f>
        <v>Não</v>
      </c>
      <c r="BW123" s="27"/>
      <c r="BX123" s="21" t="str">
        <f ca="1">IFERROR(__xludf.DUMMYFUNCTION("""COMPUTED_VALUE"""),"https://instagram.com/derineudo?igshid=YmMyMTA2M2Y=")</f>
        <v>https://instagram.com/derineudo?igshid=YmMyMTA2M2Y=</v>
      </c>
      <c r="BY123" s="21" t="str">
        <f ca="1">IFERROR(__xludf.DUMMYFUNCTION("""COMPUTED_VALUE"""),"https://drive.google.com/open?id=1krRXhYM_OgGPfYWbO4IhS1o96TfQ-GP8")</f>
        <v>https://drive.google.com/open?id=1krRXhYM_OgGPfYWbO4IhS1o96TfQ-GP8</v>
      </c>
    </row>
    <row r="124" spans="1:77" ht="12.5" x14ac:dyDescent="0.25">
      <c r="A124" s="21" t="str">
        <f ca="1">IFERROR(__xludf.DUMMYFUNCTION("""COMPUTED_VALUE"""),"0014P00003AN2FXQA1")</f>
        <v>0014P00003AN2FXQA1</v>
      </c>
      <c r="B124" s="27" t="str">
        <f ca="1">IFERROR(__xludf.DUMMYFUNCTION("""COMPUTED_VALUE"""),"Fase Estruturação")</f>
        <v>Fase Estruturação</v>
      </c>
      <c r="C124" s="27" t="str">
        <f ca="1">IFERROR(__xludf.DUMMYFUNCTION("""COMPUTED_VALUE"""),"Fellow")</f>
        <v>Fellow</v>
      </c>
      <c r="D124" s="27" t="str">
        <f ca="1">IFERROR(__xludf.DUMMYFUNCTION("""COMPUTED_VALUE"""),"Ativo")</f>
        <v>Ativo</v>
      </c>
      <c r="E124" s="27" t="str">
        <f ca="1">IFERROR(__xludf.DUMMYFUNCTION("""COMPUTED_VALUE"""),"Associação Música de Bairro")</f>
        <v>Associação Música de Bairro</v>
      </c>
      <c r="F124" s="27" t="str">
        <f ca="1">IFERROR(__xludf.DUMMYFUNCTION("""COMPUTED_VALUE"""),"Rafael")</f>
        <v>Rafael</v>
      </c>
      <c r="G124" s="27" t="str">
        <f ca="1">IFERROR(__xludf.DUMMYFUNCTION("""COMPUTED_VALUE"""),"Mirante Cultural")</f>
        <v>Mirante Cultural</v>
      </c>
      <c r="H124" s="27" t="str">
        <f ca="1">IFERROR(__xludf.DUMMYFUNCTION("""COMPUTED_VALUE"""),"25.464.731.0001-19")</f>
        <v>25.464.731.0001-19</v>
      </c>
      <c r="I124" s="27"/>
      <c r="J124" s="27"/>
      <c r="K124" s="27"/>
      <c r="L124" s="27" t="str">
        <f ca="1">IFERROR(__xludf.DUMMYFUNCTION("""COMPUTED_VALUE"""),"SP")</f>
        <v>SP</v>
      </c>
      <c r="M124" s="27" t="str">
        <f ca="1">IFERROR(__xludf.DUMMYFUNCTION("""COMPUTED_VALUE"""),"Rua Vicente Antônio de Oliveira 202")</f>
        <v>Rua Vicente Antônio de Oliveira 202</v>
      </c>
      <c r="N124" s="27" t="str">
        <f ca="1">IFERROR(__xludf.DUMMYFUNCTION("""COMPUTED_VALUE"""),"Vila Mirante")</f>
        <v>Vila Mirante</v>
      </c>
      <c r="O124" s="27" t="str">
        <f ca="1">IFERROR(__xludf.DUMMYFUNCTION("""COMPUTED_VALUE"""),"(11)96018-4046")</f>
        <v>(11)96018-4046</v>
      </c>
      <c r="P124" s="27" t="str">
        <f ca="1">IFERROR(__xludf.DUMMYFUNCTION("""COMPUTED_VALUE"""),"São Paulo")</f>
        <v>São Paulo</v>
      </c>
      <c r="Q124" s="27"/>
      <c r="R124" s="27" t="str">
        <f ca="1">IFERROR(__xludf.DUMMYFUNCTION("""COMPUTED_VALUE"""),"02955-080")</f>
        <v>02955-080</v>
      </c>
      <c r="S124" s="27"/>
      <c r="T124" s="27" t="str">
        <f ca="1">IFERROR(__xludf.DUMMYFUNCTION("""COMPUTED_VALUE"""),"Educação; Cultura")</f>
        <v>Educação; Cultura</v>
      </c>
      <c r="U124" s="27" t="str">
        <f ca="1">IFERROR(__xludf.DUMMYFUNCTION("""COMPUTED_VALUE"""),"Crianças (6 a 12 anos); Adolescentes (12 aos 18 anos); Jovens (18 aos 24 anos)")</f>
        <v>Crianças (6 a 12 anos); Adolescentes (12 aos 18 anos); Jovens (18 aos 24 anos)</v>
      </c>
      <c r="V124" s="27" t="str">
        <f ca="1">IFERROR(__xludf.DUMMYFUNCTION("""COMPUTED_VALUE"""),"Moradores de Favelas")</f>
        <v>Moradores de Favelas</v>
      </c>
      <c r="W124" s="27">
        <f ca="1">IFERROR(__xludf.DUMMYFUNCTION("""COMPUTED_VALUE"""),7)</f>
        <v>7</v>
      </c>
      <c r="X124" s="27"/>
      <c r="Y124" s="27"/>
      <c r="Z124" s="27"/>
      <c r="AA124" s="29">
        <f ca="1">IFERROR(__xludf.DUMMYFUNCTION("""COMPUTED_VALUE"""),42590)</f>
        <v>42590</v>
      </c>
      <c r="AB124" s="27" t="str">
        <f ca="1">IFERROR(__xludf.DUMMYFUNCTION("""COMPUTED_VALUE"""),"Sim")</f>
        <v>Sim</v>
      </c>
      <c r="AC124" s="27">
        <f ca="1">IFERROR(__xludf.DUMMYFUNCTION("""COMPUTED_VALUE"""),8)</f>
        <v>8</v>
      </c>
      <c r="AD124" s="27">
        <f ca="1">IFERROR(__xludf.DUMMYFUNCTION("""COMPUTED_VALUE"""),8)</f>
        <v>8</v>
      </c>
      <c r="AE124" s="27">
        <f ca="1">IFERROR(__xludf.DUMMYFUNCTION("""COMPUTED_VALUE"""),10)</f>
        <v>10</v>
      </c>
      <c r="AF124" s="27">
        <f ca="1">IFERROR(__xludf.DUMMYFUNCTION("""COMPUTED_VALUE"""),20)</f>
        <v>20</v>
      </c>
      <c r="AG124" s="27">
        <f ca="1">IFERROR(__xludf.DUMMYFUNCTION("""COMPUTED_VALUE"""),3)</f>
        <v>3</v>
      </c>
      <c r="AH124" s="27" t="str">
        <f ca="1">IFERROR(__xludf.DUMMYFUNCTION("""COMPUTED_VALUE"""),"Lei de Incentivo; Editais; Doações")</f>
        <v>Lei de Incentivo; Editais; Doações</v>
      </c>
      <c r="AI124" s="27" t="str">
        <f ca="1">IFERROR(__xludf.DUMMYFUNCTION("""COMPUTED_VALUE"""),"Lei de incentivo 60%; Editais 35%; Doações 5%")</f>
        <v>Lei de incentivo 60%; Editais 35%; Doações 5%</v>
      </c>
      <c r="AJ124" s="27" t="str">
        <f ca="1">IFERROR(__xludf.DUMMYFUNCTION("""COMPUTED_VALUE"""),"Não")</f>
        <v>Não</v>
      </c>
      <c r="AK124" s="27" t="str">
        <f ca="1">IFERROR(__xludf.DUMMYFUNCTION("""COMPUTED_VALUE"""),"Não")</f>
        <v>Não</v>
      </c>
      <c r="AL124" s="21" t="str">
        <f ca="1">IFERROR(__xludf.DUMMYFUNCTION("""COMPUTED_VALUE"""),"0034P00003maBUx")</f>
        <v>0034P00003maBUx</v>
      </c>
      <c r="AM124" s="27" t="str">
        <f ca="1">IFERROR(__xludf.DUMMYFUNCTION("""COMPUTED_VALUE"""),"Da Silva Ferreira")</f>
        <v>Da Silva Ferreira</v>
      </c>
      <c r="AN124" s="27" t="str">
        <f ca="1">IFERROR(__xludf.DUMMYFUNCTION("""COMPUTED_VALUE"""),"Ativo")</f>
        <v>Ativo</v>
      </c>
      <c r="AO124" s="29">
        <f ca="1">IFERROR(__xludf.DUMMYFUNCTION("""COMPUTED_VALUE"""),44375)</f>
        <v>44375</v>
      </c>
      <c r="AP124" s="27">
        <f ca="1">IFERROR(__xludf.DUMMYFUNCTION("""COMPUTED_VALUE"""),15)</f>
        <v>15</v>
      </c>
      <c r="AQ124" s="27" t="str">
        <f ca="1">IFERROR(__xludf.DUMMYFUNCTION("""COMPUTED_VALUE"""),"Segundo Semestre 2020")</f>
        <v>Segundo Semestre 2020</v>
      </c>
      <c r="AR124" s="27" t="str">
        <f ca="1">IFERROR(__xludf.DUMMYFUNCTION("""COMPUTED_VALUE"""),"rafael.ferreira@mirantecultural.com.br")</f>
        <v>rafael.ferreira@mirantecultural.com.br</v>
      </c>
      <c r="AS124" s="27" t="str">
        <f ca="1">IFERROR(__xludf.DUMMYFUNCTION("""COMPUTED_VALUE"""),"(11)96018-4046")</f>
        <v>(11)96018-4046</v>
      </c>
      <c r="AT124" s="30">
        <f ca="1">IFERROR(__xludf.DUMMYFUNCTION("""COMPUTED_VALUE"""),33236)</f>
        <v>33236</v>
      </c>
      <c r="AU124" s="27">
        <f ca="1">IFERROR(__xludf.DUMMYFUNCTION("""COMPUTED_VALUE"""),32)</f>
        <v>32</v>
      </c>
      <c r="AV124" s="27">
        <f ca="1">IFERROR(__xludf.DUMMYFUNCTION("""COMPUTED_VALUE"""),39091613831)</f>
        <v>39091613831</v>
      </c>
      <c r="AW124" s="27">
        <f ca="1">IFERROR(__xludf.DUMMYFUNCTION("""COMPUTED_VALUE"""),493101986)</f>
        <v>493101986</v>
      </c>
      <c r="AX124" s="27" t="str">
        <f ca="1">IFERROR(__xludf.DUMMYFUNCTION("""COMPUTED_VALUE"""),"Educação- Música- Teologia.")</f>
        <v>Educação- Música- Teologia.</v>
      </c>
      <c r="AY124" s="27"/>
      <c r="AZ124" s="27" t="str">
        <f ca="1">IFERROR(__xludf.DUMMYFUNCTION("""COMPUTED_VALUE"""),"G")</f>
        <v>G</v>
      </c>
      <c r="BA124" s="27"/>
      <c r="BB124" s="27"/>
      <c r="BC124" s="27" t="str">
        <f ca="1">IFERROR(__xludf.DUMMYFUNCTION("""COMPUTED_VALUE"""),"Sim")</f>
        <v>Sim</v>
      </c>
      <c r="BD124" s="27" t="str">
        <f ca="1">IFERROR(__xludf.DUMMYFUNCTION("""COMPUTED_VALUE"""),"Rafael Ferreira, 31 anos, Pedagogo, Missionário e Empreendedor Social.")</f>
        <v>Rafael Ferreira, 31 anos, Pedagogo, Missionário e Empreendedor Social.</v>
      </c>
      <c r="BE124" s="27"/>
      <c r="BF124" s="27"/>
      <c r="BG124" s="27" t="str">
        <f ca="1">IFERROR(__xludf.DUMMYFUNCTION("""COMPUTED_VALUE"""),"Ensino Superior - Completo")</f>
        <v>Ensino Superior - Completo</v>
      </c>
      <c r="BH124" s="27"/>
      <c r="BI124" s="27" t="str">
        <f ca="1">IFERROR(__xludf.DUMMYFUNCTION("""COMPUTED_VALUE"""),"Graduação")</f>
        <v>Graduação</v>
      </c>
      <c r="BJ124" s="27" t="str">
        <f ca="1">IFERROR(__xludf.DUMMYFUNCTION("""COMPUTED_VALUE"""),"Público")</f>
        <v>Público</v>
      </c>
      <c r="BK124" s="27" t="str">
        <f ca="1">IFERROR(__xludf.DUMMYFUNCTION("""COMPUTED_VALUE"""),"Joaquim Ribeiro")</f>
        <v>Joaquim Ribeiro</v>
      </c>
      <c r="BL124" s="27">
        <f ca="1">IFERROR(__xludf.DUMMYFUNCTION("""COMPUTED_VALUE"""),194)</f>
        <v>194</v>
      </c>
      <c r="BM124" s="27"/>
      <c r="BN124" s="27" t="str">
        <f ca="1">IFERROR(__xludf.DUMMYFUNCTION("""COMPUTED_VALUE"""),"São Paulo")</f>
        <v>São Paulo</v>
      </c>
      <c r="BO124" s="27" t="str">
        <f ca="1">IFERROR(__xludf.DUMMYFUNCTION("""COMPUTED_VALUE"""),"02809-000")</f>
        <v>02809-000</v>
      </c>
      <c r="BP124" s="27" t="str">
        <f ca="1">IFERROR(__xludf.DUMMYFUNCTION("""COMPUTED_VALUE"""),"SP")</f>
        <v>SP</v>
      </c>
      <c r="BQ124" s="27" t="str">
        <f ca="1">IFERROR(__xludf.DUMMYFUNCTION("""COMPUTED_VALUE"""),"Entre 1 até 3 salários mínimos")</f>
        <v>Entre 1 até 3 salários mínimos</v>
      </c>
      <c r="BR124" s="27" t="str">
        <f ca="1">IFERROR(__xludf.DUMMYFUNCTION("""COMPUTED_VALUE"""),"MEI")</f>
        <v>MEI</v>
      </c>
      <c r="BS124" s="27" t="str">
        <f ca="1">IFERROR(__xludf.DUMMYFUNCTION("""COMPUTED_VALUE"""),"Casa cedida")</f>
        <v>Casa cedida</v>
      </c>
      <c r="BT124" s="27">
        <f ca="1">IFERROR(__xludf.DUMMYFUNCTION("""COMPUTED_VALUE"""),4)</f>
        <v>4</v>
      </c>
      <c r="BU124" s="27"/>
      <c r="BV124" s="27"/>
      <c r="BW124" s="27"/>
      <c r="BX124" s="27"/>
      <c r="BY124" s="27"/>
    </row>
    <row r="125" spans="1:77" ht="12.5" hidden="1" x14ac:dyDescent="0.25">
      <c r="A125" s="21" t="str">
        <f ca="1">IFERROR(__xludf.DUMMYFUNCTION("""COMPUTED_VALUE"""),"0014P00003YSp7bQAD")</f>
        <v>0014P00003YSp7bQAD</v>
      </c>
      <c r="B125" s="27" t="str">
        <f ca="1">IFERROR(__xludf.DUMMYFUNCTION("""COMPUTED_VALUE"""),"Fase Inicial")</f>
        <v>Fase Inicial</v>
      </c>
      <c r="C125" s="27" t="str">
        <f ca="1">IFERROR(__xludf.DUMMYFUNCTION("""COMPUTED_VALUE"""),"Fellow")</f>
        <v>Fellow</v>
      </c>
      <c r="D125" s="27" t="str">
        <f ca="1">IFERROR(__xludf.DUMMYFUNCTION("""COMPUTED_VALUE"""),"Ativo")</f>
        <v>Ativo</v>
      </c>
      <c r="E125" s="27" t="str">
        <f ca="1">IFERROR(__xludf.DUMMYFUNCTION("""COMPUTED_VALUE"""),"Associação Nossa Casa Mãe África Estudos e Comunicação")</f>
        <v>Associação Nossa Casa Mãe África Estudos e Comunicação</v>
      </c>
      <c r="F125" s="27" t="str">
        <f ca="1">IFERROR(__xludf.DUMMYFUNCTION("""COMPUTED_VALUE"""),"José")</f>
        <v>José</v>
      </c>
      <c r="G125" s="27"/>
      <c r="H125" s="27" t="str">
        <f ca="1">IFERROR(__xludf.DUMMYFUNCTION("""COMPUTED_VALUE"""),"11.335.192/0001-03")</f>
        <v>11.335.192/0001-03</v>
      </c>
      <c r="I125" s="27" t="str">
        <f ca="1">IFERROR(__xludf.DUMMYFUNCTION("""COMPUTED_VALUE"""),"Sislaine Dias Simões da Silva")</f>
        <v>Sislaine Dias Simões da Silva</v>
      </c>
      <c r="J125" s="27" t="str">
        <f ca="1">IFERROR(__xludf.DUMMYFUNCTION("""COMPUTED_VALUE"""),"maeafricaoficial@gmail.com")</f>
        <v>maeafricaoficial@gmail.com</v>
      </c>
      <c r="K125" s="27" t="str">
        <f ca="1">IFERROR(__xludf.DUMMYFUNCTION("""COMPUTED_VALUE"""),"(85)98568-1081")</f>
        <v>(85)98568-1081</v>
      </c>
      <c r="L125" s="27" t="str">
        <f ca="1">IFERROR(__xludf.DUMMYFUNCTION("""COMPUTED_VALUE"""),"CE")</f>
        <v>CE</v>
      </c>
      <c r="M125" s="27" t="str">
        <f ca="1">IFERROR(__xludf.DUMMYFUNCTION("""COMPUTED_VALUE"""),"Rua Medelim, 3311")</f>
        <v>Rua Medelim, 3311</v>
      </c>
      <c r="N125" s="27" t="str">
        <f ca="1">IFERROR(__xludf.DUMMYFUNCTION("""COMPUTED_VALUE"""),"Granja Lisboa")</f>
        <v>Granja Lisboa</v>
      </c>
      <c r="O125" s="27">
        <f ca="1">IFERROR(__xludf.DUMMYFUNCTION("""COMPUTED_VALUE"""),3335)</f>
        <v>3335</v>
      </c>
      <c r="P125" s="27" t="str">
        <f ca="1">IFERROR(__xludf.DUMMYFUNCTION("""COMPUTED_VALUE"""),"Fortaleza")</f>
        <v>Fortaleza</v>
      </c>
      <c r="Q125" s="27" t="str">
        <f ca="1">IFERROR(__xludf.DUMMYFUNCTION("""COMPUTED_VALUE"""),"casa B")</f>
        <v>casa B</v>
      </c>
      <c r="R125" s="27" t="str">
        <f ca="1">IFERROR(__xludf.DUMMYFUNCTION("""COMPUTED_VALUE"""),"60540-000")</f>
        <v>60540-000</v>
      </c>
      <c r="S125" s="27"/>
      <c r="T125" s="27" t="str">
        <f ca="1">IFERROR(__xludf.DUMMYFUNCTION("""COMPUTED_VALUE"""),"Educação; Empregabilidade; Assistência Social; Cultura; Qualificação Profissional; Empreendedorismo; Meio ambiente; Empoderamento Feminino; Negócios Sociais; Defesa de Direitos; Outro(s)")</f>
        <v>Educação; Empregabilidade; Assistência Social; Cultura; Qualificação Profissional; Empreendedorismo; Meio ambiente; Empoderamento Feminino; Negócios Sociais; Defesa de Direitos; Outro(s)</v>
      </c>
      <c r="U125" s="27" t="str">
        <f ca="1">IFERROR(__xludf.DUMMYFUNCTION("""COMPUTED_VALUE"""),"Crianças bem pequenas (1 ano e 7 meses até 3 anos e 11 meses); Crianças pequenas (4 anos a 5 anos e 11 meses); Crianças (6 a 12 anos); Adolescentes (12 aos 18 anos); Adultos")</f>
        <v>Crianças bem pequenas (1 ano e 7 meses até 3 anos e 11 meses); Crianças pequenas (4 anos a 5 anos e 11 meses); Crianças (6 a 12 anos); Adolescentes (12 aos 18 anos); Adultos</v>
      </c>
      <c r="V125" s="27" t="str">
        <f ca="1">IFERROR(__xludf.DUMMYFUNCTION("""COMPUTED_VALUE"""),"Moradores de Favelas; População LGBTQ+; Afrodescendentes; Pessoas com Deficiência; Outros")</f>
        <v>Moradores de Favelas; População LGBTQ+; Afrodescendentes; Pessoas com Deficiência; Outros</v>
      </c>
      <c r="W125" s="27">
        <f ca="1">IFERROR(__xludf.DUMMYFUNCTION("""COMPUTED_VALUE"""),5)</f>
        <v>5</v>
      </c>
      <c r="X125" s="27" t="str">
        <f ca="1">IFERROR(__xludf.DUMMYFUNCTION("""COMPUTED_VALUE"""),"Desempregados jovens mulheres.")</f>
        <v>Desempregados jovens mulheres.</v>
      </c>
      <c r="Y125" s="27"/>
      <c r="Z125" s="27">
        <f ca="1">IFERROR(__xludf.DUMMYFUNCTION("""COMPUTED_VALUE"""),5000)</f>
        <v>5000</v>
      </c>
      <c r="AA125" s="29">
        <f ca="1">IFERROR(__xludf.DUMMYFUNCTION("""COMPUTED_VALUE"""),39283)</f>
        <v>39283</v>
      </c>
      <c r="AB125" s="27" t="str">
        <f ca="1">IFERROR(__xludf.DUMMYFUNCTION("""COMPUTED_VALUE"""),"Sim")</f>
        <v>Sim</v>
      </c>
      <c r="AC125" s="27">
        <f ca="1">IFERROR(__xludf.DUMMYFUNCTION("""COMPUTED_VALUE"""),40)</f>
        <v>40</v>
      </c>
      <c r="AD125" s="27">
        <f ca="1">IFERROR(__xludf.DUMMYFUNCTION("""COMPUTED_VALUE"""),8)</f>
        <v>8</v>
      </c>
      <c r="AE125" s="27">
        <f ca="1">IFERROR(__xludf.DUMMYFUNCTION("""COMPUTED_VALUE"""),40)</f>
        <v>40</v>
      </c>
      <c r="AF125" s="27">
        <f ca="1">IFERROR(__xludf.DUMMYFUNCTION("""COMPUTED_VALUE"""),25)</f>
        <v>25</v>
      </c>
      <c r="AG125" s="27">
        <f ca="1">IFERROR(__xludf.DUMMYFUNCTION("""COMPUTED_VALUE"""),2)</f>
        <v>2</v>
      </c>
      <c r="AH125" s="27" t="str">
        <f ca="1">IFERROR(__xludf.DUMMYFUNCTION("""COMPUTED_VALUE"""),"Parceria iniciativa privada; Outro(s); Doações")</f>
        <v>Parceria iniciativa privada; Outro(s); Doações</v>
      </c>
      <c r="AI125" s="27">
        <f ca="1">IFERROR(__xludf.DUMMYFUNCTION("""COMPUTED_VALUE"""),2)</f>
        <v>2</v>
      </c>
      <c r="AJ125" s="27"/>
      <c r="AK125" s="27"/>
      <c r="AL125" s="21" t="str">
        <f ca="1">IFERROR(__xludf.DUMMYFUNCTION("""COMPUTED_VALUE"""),"0034P000045kxiC")</f>
        <v>0034P000045kxiC</v>
      </c>
      <c r="AM125" s="27" t="str">
        <f ca="1">IFERROR(__xludf.DUMMYFUNCTION("""COMPUTED_VALUE"""),"Carlos Veneranda Da Silva")</f>
        <v>Carlos Veneranda Da Silva</v>
      </c>
      <c r="AN125" s="27" t="str">
        <f ca="1">IFERROR(__xludf.DUMMYFUNCTION("""COMPUTED_VALUE"""),"Ativo")</f>
        <v>Ativo</v>
      </c>
      <c r="AO125" s="30">
        <f ca="1">IFERROR(__xludf.DUMMYFUNCTION("""COMPUTED_VALUE"""),44551)</f>
        <v>44551</v>
      </c>
      <c r="AP125" s="27">
        <f ca="1">IFERROR(__xludf.DUMMYFUNCTION("""COMPUTED_VALUE"""),9)</f>
        <v>9</v>
      </c>
      <c r="AQ125" s="27" t="str">
        <f ca="1">IFERROR(__xludf.DUMMYFUNCTION("""COMPUTED_VALUE"""),"Segundo Semestre 2021")</f>
        <v>Segundo Semestre 2021</v>
      </c>
      <c r="AR125" s="27" t="str">
        <f ca="1">IFERROR(__xludf.DUMMYFUNCTION("""COMPUTED_VALUE"""),"carlosveneranda@gmail.com")</f>
        <v>carlosveneranda@gmail.com</v>
      </c>
      <c r="AS125" s="27" t="str">
        <f ca="1">IFERROR(__xludf.DUMMYFUNCTION("""COMPUTED_VALUE"""),"(85)98568-1081")</f>
        <v>(85)98568-1081</v>
      </c>
      <c r="AT125" s="29">
        <f ca="1">IFERROR(__xludf.DUMMYFUNCTION("""COMPUTED_VALUE"""),19925)</f>
        <v>19925</v>
      </c>
      <c r="AU125" s="27">
        <f ca="1">IFERROR(__xludf.DUMMYFUNCTION("""COMPUTED_VALUE"""),68)</f>
        <v>68</v>
      </c>
      <c r="AV125" s="27">
        <f ca="1">IFERROR(__xludf.DUMMYFUNCTION("""COMPUTED_VALUE"""),7663870468)</f>
        <v>7663870468</v>
      </c>
      <c r="AW125" s="27">
        <f ca="1">IFERROR(__xludf.DUMMYFUNCTION("""COMPUTED_VALUE"""),98010174100)</f>
        <v>98010174100</v>
      </c>
      <c r="AX125" s="27"/>
      <c r="AY125" s="27"/>
      <c r="AZ125" s="27" t="str">
        <f ca="1">IFERROR(__xludf.DUMMYFUNCTION("""COMPUTED_VALUE"""),"XG")</f>
        <v>XG</v>
      </c>
      <c r="BA125" s="27" t="str">
        <f ca="1">IFERROR(__xludf.DUMMYFUNCTION("""COMPUTED_VALUE"""),"Parda")</f>
        <v>Parda</v>
      </c>
      <c r="BB125" s="27" t="str">
        <f ca="1">IFERROR(__xludf.DUMMYFUNCTION("""COMPUTED_VALUE"""),"Homem, cisgênero")</f>
        <v>Homem, cisgênero</v>
      </c>
      <c r="BC125" s="27" t="str">
        <f ca="1">IFERROR(__xludf.DUMMYFUNCTION("""COMPUTED_VALUE"""),"Sim")</f>
        <v>Sim</v>
      </c>
      <c r="BD125" s="21" t="str">
        <f ca="1">IFERROR(__xludf.DUMMYFUNCTION("""COMPUTED_VALUE"""),"https://drive.google.com/file/d/1yyWVo6-zEvSPLdaGus3hnUphF-01kGcV/view?usp=sharing")</f>
        <v>https://drive.google.com/file/d/1yyWVo6-zEvSPLdaGus3hnUphF-01kGcV/view?usp=sharing</v>
      </c>
      <c r="BE125" s="27"/>
      <c r="BF125" s="27" t="str">
        <f ca="1">IFERROR(__xludf.DUMMYFUNCTION("""COMPUTED_VALUE"""),"Heterossexual")</f>
        <v>Heterossexual</v>
      </c>
      <c r="BG125" s="27" t="str">
        <f ca="1">IFERROR(__xludf.DUMMYFUNCTION("""COMPUTED_VALUE"""),"Ensino Fundamental - Incompleto")</f>
        <v>Ensino Fundamental - Incompleto</v>
      </c>
      <c r="BH125" s="27" t="str">
        <f ca="1">IFERROR(__xludf.DUMMYFUNCTION("""COMPUTED_VALUE"""),"Privada")</f>
        <v>Privada</v>
      </c>
      <c r="BI125" s="27" t="str">
        <f ca="1">IFERROR(__xludf.DUMMYFUNCTION("""COMPUTED_VALUE"""),"Graduação")</f>
        <v>Graduação</v>
      </c>
      <c r="BJ125" s="27" t="str">
        <f ca="1">IFERROR(__xludf.DUMMYFUNCTION("""COMPUTED_VALUE"""),"Privado")</f>
        <v>Privado</v>
      </c>
      <c r="BK125" s="27" t="str">
        <f ca="1">IFERROR(__xludf.DUMMYFUNCTION("""COMPUTED_VALUE"""),"Rua Granja São Francisco")</f>
        <v>Rua Granja São Francisco</v>
      </c>
      <c r="BL125" s="27">
        <f ca="1">IFERROR(__xludf.DUMMYFUNCTION("""COMPUTED_VALUE"""),564)</f>
        <v>564</v>
      </c>
      <c r="BM125" s="27" t="str">
        <f ca="1">IFERROR(__xludf.DUMMYFUNCTION("""COMPUTED_VALUE"""),"Casa")</f>
        <v>Casa</v>
      </c>
      <c r="BN125" s="27" t="str">
        <f ca="1">IFERROR(__xludf.DUMMYFUNCTION("""COMPUTED_VALUE"""),"Fortaleza")</f>
        <v>Fortaleza</v>
      </c>
      <c r="BO125" s="27" t="str">
        <f ca="1">IFERROR(__xludf.DUMMYFUNCTION("""COMPUTED_VALUE"""),"60830-155")</f>
        <v>60830-155</v>
      </c>
      <c r="BP125" s="27" t="str">
        <f ca="1">IFERROR(__xludf.DUMMYFUNCTION("""COMPUTED_VALUE"""),"CE")</f>
        <v>CE</v>
      </c>
      <c r="BQ125" s="27" t="str">
        <f ca="1">IFERROR(__xludf.DUMMYFUNCTION("""COMPUTED_VALUE"""),"De 3 até 5 salários mínimos")</f>
        <v>De 3 até 5 salários mínimos</v>
      </c>
      <c r="BR125" s="27" t="str">
        <f ca="1">IFERROR(__xludf.DUMMYFUNCTION("""COMPUTED_VALUE"""),"CLT")</f>
        <v>CLT</v>
      </c>
      <c r="BS125" s="27" t="str">
        <f ca="1">IFERROR(__xludf.DUMMYFUNCTION("""COMPUTED_VALUE"""),"Casa própria")</f>
        <v>Casa própria</v>
      </c>
      <c r="BT125" s="27">
        <f ca="1">IFERROR(__xludf.DUMMYFUNCTION("""COMPUTED_VALUE"""),4)</f>
        <v>4</v>
      </c>
      <c r="BU125" s="27" t="str">
        <f ca="1">IFERROR(__xludf.DUMMYFUNCTION("""COMPUTED_VALUE"""),"Não tem")</f>
        <v>Não tem</v>
      </c>
      <c r="BV125" s="27"/>
      <c r="BW125" s="27"/>
      <c r="BX125" s="27" t="str">
        <f ca="1">IFERROR(__xludf.DUMMYFUNCTION("""COMPUTED_VALUE"""),"@carlosveneranda")</f>
        <v>@carlosveneranda</v>
      </c>
      <c r="BY125" s="21" t="str">
        <f ca="1">IFERROR(__xludf.DUMMYFUNCTION("""COMPUTED_VALUE"""),"https://drive.google.com/open?id=1QEjlMADsuWE6DtKaz5gbbpdtDrTR18Yk")</f>
        <v>https://drive.google.com/open?id=1QEjlMADsuWE6DtKaz5gbbpdtDrTR18Yk</v>
      </c>
    </row>
    <row r="126" spans="1:77" ht="12.5" hidden="1" x14ac:dyDescent="0.25">
      <c r="A126" s="21" t="str">
        <f ca="1">IFERROR(__xludf.DUMMYFUNCTION("""COMPUTED_VALUE"""),"0014X00002VKCqAQAX")</f>
        <v>0014X00002VKCqAQAX</v>
      </c>
      <c r="B126" s="27" t="str">
        <f ca="1">IFERROR(__xludf.DUMMYFUNCTION("""COMPUTED_VALUE"""),"Fase Inicial")</f>
        <v>Fase Inicial</v>
      </c>
      <c r="C126" s="27" t="str">
        <f ca="1">IFERROR(__xludf.DUMMYFUNCTION("""COMPUTED_VALUE"""),"Fellow")</f>
        <v>Fellow</v>
      </c>
      <c r="D126" s="27" t="str">
        <f ca="1">IFERROR(__xludf.DUMMYFUNCTION("""COMPUTED_VALUE"""),"Ativo")</f>
        <v>Ativo</v>
      </c>
      <c r="E126" s="27" t="str">
        <f ca="1">IFERROR(__xludf.DUMMYFUNCTION("""COMPUTED_VALUE"""),"Associação Núcleo de Educação Comunitária do Coroadinho")</f>
        <v>Associação Núcleo de Educação Comunitária do Coroadinho</v>
      </c>
      <c r="F126" s="27" t="str">
        <f ca="1">IFERROR(__xludf.DUMMYFUNCTION("""COMPUTED_VALUE"""),"Larissa")</f>
        <v>Larissa</v>
      </c>
      <c r="G126" s="27" t="str">
        <f ca="1">IFERROR(__xludf.DUMMYFUNCTION("""COMPUTED_VALUE"""),"NEDUC")</f>
        <v>NEDUC</v>
      </c>
      <c r="H126" s="27" t="str">
        <f ca="1">IFERROR(__xludf.DUMMYFUNCTION("""COMPUTED_VALUE"""),"35.219.050/0001-49")</f>
        <v>35.219.050/0001-49</v>
      </c>
      <c r="I126" s="27" t="str">
        <f ca="1">IFERROR(__xludf.DUMMYFUNCTION("""COMPUTED_VALUE"""),"Christiane Teixeira Mendes")</f>
        <v>Christiane Teixeira Mendes</v>
      </c>
      <c r="J126" s="27"/>
      <c r="K126" s="27" t="str">
        <f ca="1">IFERROR(__xludf.DUMMYFUNCTION("""COMPUTED_VALUE"""),"(98)93300-2815")</f>
        <v>(98)93300-2815</v>
      </c>
      <c r="L126" s="27" t="str">
        <f ca="1">IFERROR(__xludf.DUMMYFUNCTION("""COMPUTED_VALUE"""),"MA")</f>
        <v>MA</v>
      </c>
      <c r="M126" s="27" t="str">
        <f ca="1">IFERROR(__xludf.DUMMYFUNCTION("""COMPUTED_VALUE"""),"Avenida Amalia Saldanha")</f>
        <v>Avenida Amalia Saldanha</v>
      </c>
      <c r="N126" s="27" t="str">
        <f ca="1">IFERROR(__xludf.DUMMYFUNCTION("""COMPUTED_VALUE"""),"Coroadinho")</f>
        <v>Coroadinho</v>
      </c>
      <c r="O126" s="27" t="str">
        <f ca="1">IFERROR(__xludf.DUMMYFUNCTION("""COMPUTED_VALUE"""),"Sn")</f>
        <v>Sn</v>
      </c>
      <c r="P126" s="27" t="str">
        <f ca="1">IFERROR(__xludf.DUMMYFUNCTION("""COMPUTED_VALUE"""),"São Luís")</f>
        <v>São Luís</v>
      </c>
      <c r="Q126" s="27"/>
      <c r="R126" s="27" t="str">
        <f ca="1">IFERROR(__xludf.DUMMYFUNCTION("""COMPUTED_VALUE"""),"65040-210")</f>
        <v>65040-210</v>
      </c>
      <c r="S126" s="27" t="str">
        <f ca="1">IFERROR(__xludf.DUMMYFUNCTION("""COMPUTED_VALUE"""),"Reforço Escolar, aulas de música e Ballet")</f>
        <v>Reforço Escolar, aulas de música e Ballet</v>
      </c>
      <c r="T126" s="27"/>
      <c r="U126"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126" s="27" t="str">
        <f ca="1">IFERROR(__xludf.DUMMYFUNCTION("""COMPUTED_VALUE"""),"Moradores de Favelas, População LGBTQ+, Povos Indígenas, Quilombola, Afrodescendentes, Pessoas com Deficiência, Egressos sistema carcerário")</f>
        <v>Moradores de Favelas, População LGBTQ+, Povos Indígenas, Quilombola, Afrodescendentes, Pessoas com Deficiência, Egressos sistema carcerário</v>
      </c>
      <c r="W126" s="27">
        <f ca="1">IFERROR(__xludf.DUMMYFUNCTION("""COMPUTED_VALUE"""),1)</f>
        <v>1</v>
      </c>
      <c r="X126" s="27" t="str">
        <f ca="1">IFERROR(__xludf.DUMMYFUNCTION("""COMPUTED_VALUE"""),"Público: moradores do coradinho* vulneraveis econômicamente* em sua maioria mulheres* negras ou afrodescente com idade entre 25 e 55 anos* com baixa escolaridade.")</f>
        <v>Público: moradores do coradinho* vulneraveis econômicamente* em sua maioria mulheres* negras ou afrodescente com idade entre 25 e 55 anos* com baixa escolaridade.</v>
      </c>
      <c r="Y126" s="27"/>
      <c r="Z126" s="27">
        <f ca="1">IFERROR(__xludf.DUMMYFUNCTION("""COMPUTED_VALUE"""),270)</f>
        <v>270</v>
      </c>
      <c r="AA126" s="29">
        <f ca="1">IFERROR(__xludf.DUMMYFUNCTION("""COMPUTED_VALUE"""),42077)</f>
        <v>42077</v>
      </c>
      <c r="AB126" s="27" t="str">
        <f ca="1">IFERROR(__xludf.DUMMYFUNCTION("""COMPUTED_VALUE"""),"Sim")</f>
        <v>Sim</v>
      </c>
      <c r="AC126" s="27">
        <f ca="1">IFERROR(__xludf.DUMMYFUNCTION("""COMPUTED_VALUE"""),7)</f>
        <v>7</v>
      </c>
      <c r="AD126" s="27">
        <f ca="1">IFERROR(__xludf.DUMMYFUNCTION("""COMPUTED_VALUE"""),4)</f>
        <v>4</v>
      </c>
      <c r="AE126" s="27">
        <f ca="1">IFERROR(__xludf.DUMMYFUNCTION("""COMPUTED_VALUE"""),20)</f>
        <v>20</v>
      </c>
      <c r="AF126" s="27">
        <f ca="1">IFERROR(__xludf.DUMMYFUNCTION("""COMPUTED_VALUE"""),20)</f>
        <v>20</v>
      </c>
      <c r="AG126" s="27">
        <f ca="1">IFERROR(__xludf.DUMMYFUNCTION("""COMPUTED_VALUE"""),4)</f>
        <v>4</v>
      </c>
      <c r="AH126" s="27" t="str">
        <f ca="1">IFERROR(__xludf.DUMMYFUNCTION("""COMPUTED_VALUE"""),"Eventos/Ações para captação, Editais, Outro(s), Doações")</f>
        <v>Eventos/Ações para captação, Editais, Outro(s), Doações</v>
      </c>
      <c r="AI126" s="27" t="str">
        <f ca="1">IFERROR(__xludf.DUMMYFUNCTION("""COMPUTED_VALUE"""),"Sem participar")</f>
        <v>Sem participar</v>
      </c>
      <c r="AJ126" s="27" t="str">
        <f ca="1">IFERROR(__xludf.DUMMYFUNCTION("""COMPUTED_VALUE"""),"Não")</f>
        <v>Não</v>
      </c>
      <c r="AK126" s="27"/>
      <c r="AL126" s="21" t="str">
        <f ca="1">IFERROR(__xludf.DUMMYFUNCTION("""COMPUTED_VALUE"""),"0034X0000380O4H")</f>
        <v>0034X0000380O4H</v>
      </c>
      <c r="AM126" s="27" t="str">
        <f ca="1">IFERROR(__xludf.DUMMYFUNCTION("""COMPUTED_VALUE"""),"Colins santos")</f>
        <v>Colins santos</v>
      </c>
      <c r="AN126" s="27" t="str">
        <f ca="1">IFERROR(__xludf.DUMMYFUNCTION("""COMPUTED_VALUE"""),"Ativo")</f>
        <v>Ativo</v>
      </c>
      <c r="AO126" s="29">
        <f ca="1">IFERROR(__xludf.DUMMYFUNCTION("""COMPUTED_VALUE"""),44763)</f>
        <v>44763</v>
      </c>
      <c r="AP126" s="27">
        <f ca="1">IFERROR(__xludf.DUMMYFUNCTION("""COMPUTED_VALUE"""),2)</f>
        <v>2</v>
      </c>
      <c r="AQ126" s="27" t="str">
        <f ca="1">IFERROR(__xludf.DUMMYFUNCTION("""COMPUTED_VALUE"""),"Primeiro Semestre 2022")</f>
        <v>Primeiro Semestre 2022</v>
      </c>
      <c r="AR126" s="27" t="str">
        <f ca="1">IFERROR(__xludf.DUMMYFUNCTION("""COMPUTED_VALUE"""),"larissacolins23@gmail.com")</f>
        <v>larissacolins23@gmail.com</v>
      </c>
      <c r="AS126" s="27">
        <f ca="1">IFERROR(__xludf.DUMMYFUNCTION("""COMPUTED_VALUE"""),98983502377)</f>
        <v>98983502377</v>
      </c>
      <c r="AT126" s="29">
        <f ca="1">IFERROR(__xludf.DUMMYFUNCTION("""COMPUTED_VALUE"""),33743)</f>
        <v>33743</v>
      </c>
      <c r="AU126" s="27">
        <f ca="1">IFERROR(__xludf.DUMMYFUNCTION("""COMPUTED_VALUE"""),30)</f>
        <v>30</v>
      </c>
      <c r="AV126" s="27">
        <f ca="1">IFERROR(__xludf.DUMMYFUNCTION("""COMPUTED_VALUE"""),5401837330)</f>
        <v>5401837330</v>
      </c>
      <c r="AW126" s="27">
        <f ca="1">IFERROR(__xludf.DUMMYFUNCTION("""COMPUTED_VALUE"""),200963920025)</f>
        <v>200963920025</v>
      </c>
      <c r="AX126" s="27"/>
      <c r="AY126" s="27"/>
      <c r="AZ126" s="27" t="str">
        <f ca="1">IFERROR(__xludf.DUMMYFUNCTION("""COMPUTED_VALUE"""),"G")</f>
        <v>G</v>
      </c>
      <c r="BA126" s="27" t="str">
        <f ca="1">IFERROR(__xludf.DUMMYFUNCTION("""COMPUTED_VALUE"""),"Branca")</f>
        <v>Branca</v>
      </c>
      <c r="BB126" s="27"/>
      <c r="BC126" s="27"/>
      <c r="BD126" s="27" t="str">
        <f ca="1">IFERROR(__xludf.DUMMYFUNCTION("""COMPUTED_VALUE"""),"Meu nome é Larissa Colins Santos * tenho 29 anos sou nascida e criada na comunidade do Coroadinho*4° maior favela do país situada na cidade de São Luís no estado do Maranhão * sou formada em secretariado Executivo pela faculdade Pitágoras no Maranhão* ten"&amp;"ho 4 irmãos* 5 sobrinhos e atualmente estou em um relacionamento sério .")</f>
        <v>Meu nome é Larissa Colins Santos * tenho 29 anos sou nascida e criada na comunidade do Coroadinho*4° maior favela do país situada na cidade de São Luís no estado do Maranhão * sou formada em secretariado Executivo pela faculdade Pitágoras no Maranhão* tenho 4 irmãos* 5 sobrinhos e atualmente estou em um relacionamento sério .</v>
      </c>
      <c r="BE126" s="27" t="str">
        <f ca="1">IFERROR(__xludf.DUMMYFUNCTION("""COMPUTED_VALUE"""),"Feminino")</f>
        <v>Feminino</v>
      </c>
      <c r="BF126" s="27" t="str">
        <f ca="1">IFERROR(__xludf.DUMMYFUNCTION("""COMPUTED_VALUE"""),"Heterossexual")</f>
        <v>Heterossexual</v>
      </c>
      <c r="BG126" s="27"/>
      <c r="BH126" s="27" t="str">
        <f ca="1">IFERROR(__xludf.DUMMYFUNCTION("""COMPUTED_VALUE"""),"Público")</f>
        <v>Público</v>
      </c>
      <c r="BI126" s="27" t="str">
        <f ca="1">IFERROR(__xludf.DUMMYFUNCTION("""COMPUTED_VALUE"""),"Graduação")</f>
        <v>Graduação</v>
      </c>
      <c r="BJ126" s="27" t="str">
        <f ca="1">IFERROR(__xludf.DUMMYFUNCTION("""COMPUTED_VALUE"""),"Privado")</f>
        <v>Privado</v>
      </c>
      <c r="BK126" s="27" t="str">
        <f ca="1">IFERROR(__xludf.DUMMYFUNCTION("""COMPUTED_VALUE"""),"Rua da Felicidade")</f>
        <v>Rua da Felicidade</v>
      </c>
      <c r="BL126" s="27">
        <f ca="1">IFERROR(__xludf.DUMMYFUNCTION("""COMPUTED_VALUE"""),47)</f>
        <v>47</v>
      </c>
      <c r="BM126" s="27"/>
      <c r="BN126" s="27"/>
      <c r="BO126" s="27">
        <f ca="1">IFERROR(__xludf.DUMMYFUNCTION("""COMPUTED_VALUE"""),65040560)</f>
        <v>65040560</v>
      </c>
      <c r="BP126" s="27" t="str">
        <f ca="1">IFERROR(__xludf.DUMMYFUNCTION("""COMPUTED_VALUE"""),"MA")</f>
        <v>MA</v>
      </c>
      <c r="BQ126" s="27" t="str">
        <f ca="1">IFERROR(__xludf.DUMMYFUNCTION("""COMPUTED_VALUE"""),"De 3 até 5 salários mínimos")</f>
        <v>De 3 até 5 salários mínimos</v>
      </c>
      <c r="BR126" s="27" t="str">
        <f ca="1">IFERROR(__xludf.DUMMYFUNCTION("""COMPUTED_VALUE"""),"CLT")</f>
        <v>CLT</v>
      </c>
      <c r="BS126" s="27" t="str">
        <f ca="1">IFERROR(__xludf.DUMMYFUNCTION("""COMPUTED_VALUE"""),"Casa própria")</f>
        <v>Casa própria</v>
      </c>
      <c r="BT126" s="27">
        <f ca="1">IFERROR(__xludf.DUMMYFUNCTION("""COMPUTED_VALUE"""),8)</f>
        <v>8</v>
      </c>
      <c r="BU126" s="27" t="str">
        <f ca="1">IFERROR(__xludf.DUMMYFUNCTION("""COMPUTED_VALUE"""),"Não tem")</f>
        <v>Não tem</v>
      </c>
      <c r="BV126" s="27" t="str">
        <f ca="1">IFERROR(__xludf.DUMMYFUNCTION("""COMPUTED_VALUE"""),"Não")</f>
        <v>Não</v>
      </c>
      <c r="BW126" s="27"/>
      <c r="BX126" s="21" t="str">
        <f ca="1">IFERROR(__xludf.DUMMYFUNCTION("""COMPUTED_VALUE"""),"https://www.instagram.com/p/CVO2cw2D7cS/?utm_medium=copy_link")</f>
        <v>https://www.instagram.com/p/CVO2cw2D7cS/?utm_medium=copy_link</v>
      </c>
      <c r="BY126" s="21" t="str">
        <f ca="1">IFERROR(__xludf.DUMMYFUNCTION("""COMPUTED_VALUE"""),"https://drive.google.com/open?id=1cpz2rPcnWbNs-8wibYDK4X6iIpgHF9j8")</f>
        <v>https://drive.google.com/open?id=1cpz2rPcnWbNs-8wibYDK4X6iIpgHF9j8</v>
      </c>
    </row>
    <row r="127" spans="1:77" ht="12.5" x14ac:dyDescent="0.25">
      <c r="A127" s="21" t="str">
        <f ca="1">IFERROR(__xludf.DUMMYFUNCTION("""COMPUTED_VALUE"""),"0014X00002QTry4QAD")</f>
        <v>0014X00002QTry4QAD</v>
      </c>
      <c r="B127" s="27" t="str">
        <f ca="1">IFERROR(__xludf.DUMMYFUNCTION("""COMPUTED_VALUE"""),"Fase Inicial")</f>
        <v>Fase Inicial</v>
      </c>
      <c r="C127" s="27" t="str">
        <f ca="1">IFERROR(__xludf.DUMMYFUNCTION("""COMPUTED_VALUE"""),"Acelerada")</f>
        <v>Acelerada</v>
      </c>
      <c r="D127" s="27" t="str">
        <f ca="1">IFERROR(__xludf.DUMMYFUNCTION("""COMPUTED_VALUE"""),"Ativo")</f>
        <v>Ativo</v>
      </c>
      <c r="E127" s="27" t="str">
        <f ca="1">IFERROR(__xludf.DUMMYFUNCTION("""COMPUTED_VALUE"""),"ASSOCIACAO O APRISCO")</f>
        <v>ASSOCIACAO O APRISCO</v>
      </c>
      <c r="F127" s="27" t="str">
        <f ca="1">IFERROR(__xludf.DUMMYFUNCTION("""COMPUTED_VALUE"""),"Washington")</f>
        <v>Washington</v>
      </c>
      <c r="G127" s="27" t="str">
        <f ca="1">IFERROR(__xludf.DUMMYFUNCTION("""COMPUTED_VALUE"""),"ASSOCIACAO O APRISCO")</f>
        <v>ASSOCIACAO O APRISCO</v>
      </c>
      <c r="H127" s="27" t="str">
        <f ca="1">IFERROR(__xludf.DUMMYFUNCTION("""COMPUTED_VALUE"""),"45.217.322/0001-25")</f>
        <v>45.217.322/0001-25</v>
      </c>
      <c r="I127" s="27" t="str">
        <f ca="1">IFERROR(__xludf.DUMMYFUNCTION("""COMPUTED_VALUE"""),"Washington Tadeu da Silva")</f>
        <v>Washington Tadeu da Silva</v>
      </c>
      <c r="J127" s="27" t="str">
        <f ca="1">IFERROR(__xludf.DUMMYFUNCTION("""COMPUTED_VALUE"""),"adm.aprisco@outlook.com.br")</f>
        <v>adm.aprisco@outlook.com.br</v>
      </c>
      <c r="K127" s="27" t="str">
        <f ca="1">IFERROR(__xludf.DUMMYFUNCTION("""COMPUTED_VALUE"""),"(21)96437-3072")</f>
        <v>(21)96437-3072</v>
      </c>
      <c r="L127" s="27" t="str">
        <f ca="1">IFERROR(__xludf.DUMMYFUNCTION("""COMPUTED_VALUE"""),"RJ")</f>
        <v>RJ</v>
      </c>
      <c r="M127" s="27" t="str">
        <f ca="1">IFERROR(__xludf.DUMMYFUNCTION("""COMPUTED_VALUE"""),"Xavantes Lt28 Qd75")</f>
        <v>Xavantes Lt28 Qd75</v>
      </c>
      <c r="N127" s="27"/>
      <c r="O127" s="27"/>
      <c r="P127" s="27" t="str">
        <f ca="1">IFERROR(__xludf.DUMMYFUNCTION("""COMPUTED_VALUE"""),"Itaguaí")</f>
        <v>Itaguaí</v>
      </c>
      <c r="Q127" s="27"/>
      <c r="R127" s="27" t="str">
        <f ca="1">IFERROR(__xludf.DUMMYFUNCTION("""COMPUTED_VALUE"""),"23811-560")</f>
        <v>23811-560</v>
      </c>
      <c r="S127" s="27"/>
      <c r="T127" s="27" t="str">
        <f ca="1">IFERROR(__xludf.DUMMYFUNCTION("""COMPUTED_VALUE"""),"Esporte; Educação; Assistência Social; Cultura; Meio ambiente; Empoderamento Feminino; Desenvolvimento comunitário; Outro(s)")</f>
        <v>Esporte; Educação; Assistência Social; Cultura; Meio ambiente; Empoderamento Feminino; Desenvolvimento comunitário; Outro(s)</v>
      </c>
      <c r="U127"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127" s="27" t="str">
        <f ca="1">IFERROR(__xludf.DUMMYFUNCTION("""COMPUTED_VALUE"""),"Moradores de Favelas; Pessoas em situação de rua; Afrodescendentes; Dependentes Químicos; Egressos sistema carcerário; Comunidade rural; Outros")</f>
        <v>Moradores de Favelas; Pessoas em situação de rua; Afrodescendentes; Dependentes Químicos; Egressos sistema carcerário; Comunidade rural; Outros</v>
      </c>
      <c r="W127" s="27">
        <f ca="1">IFERROR(__xludf.DUMMYFUNCTION("""COMPUTED_VALUE"""),4)</f>
        <v>4</v>
      </c>
      <c r="X127" s="27"/>
      <c r="Y127" s="27"/>
      <c r="Z127" s="27"/>
      <c r="AA127" s="29">
        <f ca="1">IFERROR(__xludf.DUMMYFUNCTION("""COMPUTED_VALUE"""),41854)</f>
        <v>41854</v>
      </c>
      <c r="AB127" s="27"/>
      <c r="AC127" s="27">
        <f ca="1">IFERROR(__xludf.DUMMYFUNCTION("""COMPUTED_VALUE"""),0)</f>
        <v>0</v>
      </c>
      <c r="AD127" s="27">
        <f ca="1">IFERROR(__xludf.DUMMYFUNCTION("""COMPUTED_VALUE"""),0)</f>
        <v>0</v>
      </c>
      <c r="AE127" s="27">
        <f ca="1">IFERROR(__xludf.DUMMYFUNCTION("""COMPUTED_VALUE"""),20)</f>
        <v>20</v>
      </c>
      <c r="AF127" s="27">
        <f ca="1">IFERROR(__xludf.DUMMYFUNCTION("""COMPUTED_VALUE"""),20)</f>
        <v>20</v>
      </c>
      <c r="AG127" s="27">
        <f ca="1">IFERROR(__xludf.DUMMYFUNCTION("""COMPUTED_VALUE"""),3)</f>
        <v>3</v>
      </c>
      <c r="AH127" s="27" t="str">
        <f ca="1">IFERROR(__xludf.DUMMYFUNCTION("""COMPUTED_VALUE"""),"Eventos/Ações para captação; Outro(s); Doações; Recursos próprios")</f>
        <v>Eventos/Ações para captação; Outro(s); Doações; Recursos próprios</v>
      </c>
      <c r="AI127" s="27" t="str">
        <f ca="1">IFERROR(__xludf.DUMMYFUNCTION("""COMPUTED_VALUE"""),"15% recursos proprios 15%outros 50% doação 20% arrecadação")</f>
        <v>15% recursos proprios 15%outros 50% doação 20% arrecadação</v>
      </c>
      <c r="AJ127" s="27"/>
      <c r="AK127" s="27"/>
      <c r="AL127" s="21" t="str">
        <f ca="1">IFERROR(__xludf.DUMMYFUNCTION("""COMPUTED_VALUE"""),"0034X0000340kpL")</f>
        <v>0034X0000340kpL</v>
      </c>
      <c r="AM127" s="27" t="str">
        <f ca="1">IFERROR(__xludf.DUMMYFUNCTION("""COMPUTED_VALUE"""),"Da Silva")</f>
        <v>Da Silva</v>
      </c>
      <c r="AN127" s="27" t="str">
        <f ca="1">IFERROR(__xludf.DUMMYFUNCTION("""COMPUTED_VALUE"""),"Ativo")</f>
        <v>Ativo</v>
      </c>
      <c r="AO127" s="30">
        <f ca="1">IFERROR(__xludf.DUMMYFUNCTION("""COMPUTED_VALUE"""),44551)</f>
        <v>44551</v>
      </c>
      <c r="AP127" s="27">
        <f ca="1">IFERROR(__xludf.DUMMYFUNCTION("""COMPUTED_VALUE"""),9)</f>
        <v>9</v>
      </c>
      <c r="AQ127" s="27" t="str">
        <f ca="1">IFERROR(__xludf.DUMMYFUNCTION("""COMPUTED_VALUE"""),"Segundo Semestre 2021")</f>
        <v>Segundo Semestre 2021</v>
      </c>
      <c r="AR127" s="27" t="str">
        <f ca="1">IFERROR(__xludf.DUMMYFUNCTION("""COMPUTED_VALUE"""),"oaprisco.liderwashington@outlook.com")</f>
        <v>oaprisco.liderwashington@outlook.com</v>
      </c>
      <c r="AS127" s="27" t="str">
        <f ca="1">IFERROR(__xludf.DUMMYFUNCTION("""COMPUTED_VALUE"""),"(21)96437-3072")</f>
        <v>(21)96437-3072</v>
      </c>
      <c r="AT127" s="30">
        <f ca="1">IFERROR(__xludf.DUMMYFUNCTION("""COMPUTED_VALUE"""),28791)</f>
        <v>28791</v>
      </c>
      <c r="AU127" s="27">
        <f ca="1">IFERROR(__xludf.DUMMYFUNCTION("""COMPUTED_VALUE"""),44)</f>
        <v>44</v>
      </c>
      <c r="AV127" s="27">
        <f ca="1">IFERROR(__xludf.DUMMYFUNCTION("""COMPUTED_VALUE"""),7894648701)</f>
        <v>7894648701</v>
      </c>
      <c r="AW127" s="27">
        <f ca="1">IFERROR(__xludf.DUMMYFUNCTION("""COMPUTED_VALUE"""),119860435)</f>
        <v>119860435</v>
      </c>
      <c r="AX127" s="27"/>
      <c r="AY127" s="27" t="str">
        <f ca="1">IFERROR(__xludf.DUMMYFUNCTION("""COMPUTED_VALUE"""),"CEO Fundador da associação o  aprisco")</f>
        <v>CEO Fundador da associação o  aprisco</v>
      </c>
      <c r="AZ127" s="27" t="str">
        <f ca="1">IFERROR(__xludf.DUMMYFUNCTION("""COMPUTED_VALUE"""),"GG")</f>
        <v>GG</v>
      </c>
      <c r="BA127" s="27" t="str">
        <f ca="1">IFERROR(__xludf.DUMMYFUNCTION("""COMPUTED_VALUE"""),"Preta")</f>
        <v>Preta</v>
      </c>
      <c r="BB127" s="27" t="str">
        <f ca="1">IFERROR(__xludf.DUMMYFUNCTION("""COMPUTED_VALUE"""),"Homem, cisgênero")</f>
        <v>Homem, cisgênero</v>
      </c>
      <c r="BC127" s="27" t="str">
        <f ca="1">IFERROR(__xludf.DUMMYFUNCTION("""COMPUTED_VALUE"""),"Sim")</f>
        <v>Sim</v>
      </c>
      <c r="BD127" s="27" t="str">
        <f ca="1">IFERROR(__xludf.DUMMYFUNCTION("""COMPUTED_VALUE"""),"Meu nome é Washington Tadeu da silva,
Sou empreendedor social tenho 43 anos, gestor e  fundador da associação o aprisco um projeto que agrega, reúne, organiza e promover ações com objetivo de resgatar vidas. Uma instituição do 3º setor  situada no morro d"&amp;"o sase, Itaguaí,Rj
Fui dependente químico, dos 13 aos 22 anos de idade. Em 2010 com muito esforço conclui meus estudos  cursando minha Faculdade.")</f>
        <v>Meu nome é Washington Tadeu da silva,
Sou empreendedor social tenho 43 anos, gestor e  fundador da associação o aprisco um projeto que agrega, reúne, organiza e promover ações com objetivo de resgatar vidas. Uma instituição do 3º setor  situada no morro do sase, Itaguaí,Rj
Fui dependente químico, dos 13 aos 22 anos de idade. Em 2010 com muito esforço conclui meus estudos  cursando minha Faculdade.</v>
      </c>
      <c r="BE127" s="27" t="str">
        <f ca="1">IFERROR(__xludf.DUMMYFUNCTION("""COMPUTED_VALUE"""),"Masculino")</f>
        <v>Masculino</v>
      </c>
      <c r="BF127" s="27" t="str">
        <f ca="1">IFERROR(__xludf.DUMMYFUNCTION("""COMPUTED_VALUE"""),"Heterossexual")</f>
        <v>Heterossexual</v>
      </c>
      <c r="BG127" s="27" t="str">
        <f ca="1">IFERROR(__xludf.DUMMYFUNCTION("""COMPUTED_VALUE"""),"Ensino Superior - Completo")</f>
        <v>Ensino Superior - Completo</v>
      </c>
      <c r="BH127" s="27"/>
      <c r="BI127" s="27" t="str">
        <f ca="1">IFERROR(__xludf.DUMMYFUNCTION("""COMPUTED_VALUE"""),"Graduação")</f>
        <v>Graduação</v>
      </c>
      <c r="BJ127" s="27" t="str">
        <f ca="1">IFERROR(__xludf.DUMMYFUNCTION("""COMPUTED_VALUE"""),"Privado")</f>
        <v>Privado</v>
      </c>
      <c r="BK127" s="27" t="str">
        <f ca="1">IFERROR(__xludf.DUMMYFUNCTION("""COMPUTED_VALUE"""),"Coronel costa pereira")</f>
        <v>Coronel costa pereira</v>
      </c>
      <c r="BL127" s="27" t="str">
        <f ca="1">IFERROR(__xludf.DUMMYFUNCTION("""COMPUTED_VALUE"""),"260 FT")</f>
        <v>260 FT</v>
      </c>
      <c r="BM127" s="27"/>
      <c r="BN127" s="27" t="str">
        <f ca="1">IFERROR(__xludf.DUMMYFUNCTION("""COMPUTED_VALUE"""),"Itaguaí")</f>
        <v>Itaguaí</v>
      </c>
      <c r="BO127" s="27" t="str">
        <f ca="1">IFERROR(__xludf.DUMMYFUNCTION("""COMPUTED_VALUE"""),"23815-040")</f>
        <v>23815-040</v>
      </c>
      <c r="BP127" s="27" t="str">
        <f ca="1">IFERROR(__xludf.DUMMYFUNCTION("""COMPUTED_VALUE"""),"RJ")</f>
        <v>RJ</v>
      </c>
      <c r="BQ127" s="27" t="str">
        <f ca="1">IFERROR(__xludf.DUMMYFUNCTION("""COMPUTED_VALUE"""),"Entre 1 até 3 salários mínimos")</f>
        <v>Entre 1 até 3 salários mínimos</v>
      </c>
      <c r="BR127" s="27" t="str">
        <f ca="1">IFERROR(__xludf.DUMMYFUNCTION("""COMPUTED_VALUE"""),"Desempregado")</f>
        <v>Desempregado</v>
      </c>
      <c r="BS127" s="27" t="str">
        <f ca="1">IFERROR(__xludf.DUMMYFUNCTION("""COMPUTED_VALUE"""),"Casa própria")</f>
        <v>Casa própria</v>
      </c>
      <c r="BT127" s="27">
        <f ca="1">IFERROR(__xludf.DUMMYFUNCTION("""COMPUTED_VALUE"""),4)</f>
        <v>4</v>
      </c>
      <c r="BU127" s="27"/>
      <c r="BV127" s="27"/>
      <c r="BW127" s="27" t="str">
        <f ca="1">IFERROR(__xludf.DUMMYFUNCTION("""COMPUTED_VALUE"""),"Não utiliza desda plataforma.")</f>
        <v>Não utiliza desda plataforma.</v>
      </c>
      <c r="BX127" s="21" t="str">
        <f ca="1">IFERROR(__xludf.DUMMYFUNCTION("""COMPUTED_VALUE"""),"https://instagram.com/washington.tadeu.1?utm_medium=copy_link")</f>
        <v>https://instagram.com/washington.tadeu.1?utm_medium=copy_link</v>
      </c>
      <c r="BY127" s="21" t="str">
        <f ca="1">IFERROR(__xludf.DUMMYFUNCTION("""COMPUTED_VALUE"""),"https://drive.google.com/open?id=10WLmah_jIu_mOuDf9rNcoZ2JYVUTpoKa")</f>
        <v>https://drive.google.com/open?id=10WLmah_jIu_mOuDf9rNcoZ2JYVUTpoKa</v>
      </c>
    </row>
    <row r="128" spans="1:77" ht="12.5" x14ac:dyDescent="0.25">
      <c r="A128" s="21" t="str">
        <f ca="1">IFERROR(__xludf.DUMMYFUNCTION("""COMPUTED_VALUE"""),"0014P00003SGWQ4QAP")</f>
        <v>0014P00003SGWQ4QAP</v>
      </c>
      <c r="B128" s="27" t="str">
        <f ca="1">IFERROR(__xludf.DUMMYFUNCTION("""COMPUTED_VALUE"""),"Fase Inicial")</f>
        <v>Fase Inicial</v>
      </c>
      <c r="C128" s="27" t="str">
        <f ca="1">IFERROR(__xludf.DUMMYFUNCTION("""COMPUTED_VALUE"""),"Fellow")</f>
        <v>Fellow</v>
      </c>
      <c r="D128" s="27" t="str">
        <f ca="1">IFERROR(__xludf.DUMMYFUNCTION("""COMPUTED_VALUE"""),"Ativo")</f>
        <v>Ativo</v>
      </c>
      <c r="E128" s="27" t="str">
        <f ca="1">IFERROR(__xludf.DUMMYFUNCTION("""COMPUTED_VALUE"""),"ASSOCIACAO OFICINA DO ESPORTE DE PIRAUBA")</f>
        <v>ASSOCIACAO OFICINA DO ESPORTE DE PIRAUBA</v>
      </c>
      <c r="F128" s="27" t="str">
        <f ca="1">IFERROR(__xludf.DUMMYFUNCTION("""COMPUTED_VALUE"""),"Johnny")</f>
        <v>Johnny</v>
      </c>
      <c r="G128" s="27" t="str">
        <f ca="1">IFERROR(__xludf.DUMMYFUNCTION("""COMPUTED_VALUE"""),"OFICINA DO ESPORTE")</f>
        <v>OFICINA DO ESPORTE</v>
      </c>
      <c r="H128" s="27" t="str">
        <f ca="1">IFERROR(__xludf.DUMMYFUNCTION("""COMPUTED_VALUE"""),"36.179.541/0001-76")</f>
        <v>36.179.541/0001-76</v>
      </c>
      <c r="I128" s="27" t="str">
        <f ca="1">IFERROR(__xludf.DUMMYFUNCTION("""COMPUTED_VALUE"""),"Johnny Santana")</f>
        <v>Johnny Santana</v>
      </c>
      <c r="J128" s="27" t="str">
        <f ca="1">IFERROR(__xludf.DUMMYFUNCTION("""COMPUTED_VALUE"""),"projetooficinadoesporte@gmail.com")</f>
        <v>projetooficinadoesporte@gmail.com</v>
      </c>
      <c r="K128" s="27" t="str">
        <f ca="1">IFERROR(__xludf.DUMMYFUNCTION("""COMPUTED_VALUE"""),"(32)99936-1572")</f>
        <v>(32)99936-1572</v>
      </c>
      <c r="L128" s="27" t="str">
        <f ca="1">IFERROR(__xludf.DUMMYFUNCTION("""COMPUTED_VALUE"""),"MG")</f>
        <v>MG</v>
      </c>
      <c r="M128" s="27" t="str">
        <f ca="1">IFERROR(__xludf.DUMMYFUNCTION("""COMPUTED_VALUE"""),"RUA ALZIRA HORTÊNCIA")</f>
        <v>RUA ALZIRA HORTÊNCIA</v>
      </c>
      <c r="N128" s="27" t="str">
        <f ca="1">IFERROR(__xludf.DUMMYFUNCTION("""COMPUTED_VALUE"""),"CENTRO")</f>
        <v>CENTRO</v>
      </c>
      <c r="O128" s="27" t="str">
        <f ca="1">IFERROR(__xludf.DUMMYFUNCTION("""COMPUTED_VALUE"""),"(32)99928-2607")</f>
        <v>(32)99928-2607</v>
      </c>
      <c r="P128" s="27" t="str">
        <f ca="1">IFERROR(__xludf.DUMMYFUNCTION("""COMPUTED_VALUE"""),"PIRAUBA")</f>
        <v>PIRAUBA</v>
      </c>
      <c r="Q128" s="27"/>
      <c r="R128" s="27" t="str">
        <f ca="1">IFERROR(__xludf.DUMMYFUNCTION("""COMPUTED_VALUE"""),"36170-000")</f>
        <v>36170-000</v>
      </c>
      <c r="S128" s="27" t="str">
        <f ca="1">IFERROR(__xludf.DUMMYFUNCTION("""COMPUTED_VALUE"""),"Avenida Progresso 111 CEP: 36.170-000 Escola Municipal Ibrahim Gomes Caputo - Bairro Piraubinha")</f>
        <v>Avenida Progresso 111 CEP: 36.170-000 Escola Municipal Ibrahim Gomes Caputo - Bairro Piraubinha</v>
      </c>
      <c r="T128" s="27" t="str">
        <f ca="1">IFERROR(__xludf.DUMMYFUNCTION("""COMPUTED_VALUE"""),"Esporte; Educação; Assistência Social; Cultura; Saúde; Assistência Psicológica")</f>
        <v>Esporte; Educação; Assistência Social; Cultura; Saúde; Assistência Psicológica</v>
      </c>
      <c r="U128" s="27" t="str">
        <f ca="1">IFERROR(__xludf.DUMMYFUNCTION("""COMPUTED_VALUE"""),"Crianças (6 a 12 anos); Adolescentes (12 aos 18 anos)")</f>
        <v>Crianças (6 a 12 anos); Adolescentes (12 aos 18 anos)</v>
      </c>
      <c r="V128" s="27" t="str">
        <f ca="1">IFERROR(__xludf.DUMMYFUNCTION("""COMPUTED_VALUE"""),"Moradores de Favelas; Outros")</f>
        <v>Moradores de Favelas; Outros</v>
      </c>
      <c r="W128" s="27">
        <f ca="1">IFERROR(__xludf.DUMMYFUNCTION("""COMPUTED_VALUE"""),9)</f>
        <v>9</v>
      </c>
      <c r="X128" s="27" t="str">
        <f ca="1">IFERROR(__xludf.DUMMYFUNCTION("""COMPUTED_VALUE"""),"Atendemos todas os públicos infantis e juvenis que necessitam dos serviços oferecidos pela ONG independentemente da situação financeira.")</f>
        <v>Atendemos todas os públicos infantis e juvenis que necessitam dos serviços oferecidos pela ONG independentemente da situação financeira.</v>
      </c>
      <c r="Y128" s="27">
        <f ca="1">IFERROR(__xludf.DUMMYFUNCTION("""COMPUTED_VALUE"""),75)</f>
        <v>75</v>
      </c>
      <c r="Z128" s="27">
        <f ca="1">IFERROR(__xludf.DUMMYFUNCTION("""COMPUTED_VALUE"""),1500)</f>
        <v>1500</v>
      </c>
      <c r="AA128" s="29">
        <f ca="1">IFERROR(__xludf.DUMMYFUNCTION("""COMPUTED_VALUE"""),42476)</f>
        <v>42476</v>
      </c>
      <c r="AB128" s="27" t="str">
        <f ca="1">IFERROR(__xludf.DUMMYFUNCTION("""COMPUTED_VALUE"""),"Sim")</f>
        <v>Sim</v>
      </c>
      <c r="AC128" s="27">
        <f ca="1">IFERROR(__xludf.DUMMYFUNCTION("""COMPUTED_VALUE"""),0)</f>
        <v>0</v>
      </c>
      <c r="AD128" s="27">
        <f ca="1">IFERROR(__xludf.DUMMYFUNCTION("""COMPUTED_VALUE"""),12)</f>
        <v>12</v>
      </c>
      <c r="AE128" s="27">
        <f ca="1">IFERROR(__xludf.DUMMYFUNCTION("""COMPUTED_VALUE"""),12)</f>
        <v>12</v>
      </c>
      <c r="AF128" s="27">
        <f ca="1">IFERROR(__xludf.DUMMYFUNCTION("""COMPUTED_VALUE"""),12)</f>
        <v>12</v>
      </c>
      <c r="AG128" s="27">
        <f ca="1">IFERROR(__xludf.DUMMYFUNCTION("""COMPUTED_VALUE"""),4)</f>
        <v>4</v>
      </c>
      <c r="AH128" s="27" t="str">
        <f ca="1">IFERROR(__xludf.DUMMYFUNCTION("""COMPUTED_VALUE"""),"Eventos/Ações para captação; Doações; Recursos próprios")</f>
        <v>Eventos/Ações para captação; Doações; Recursos próprios</v>
      </c>
      <c r="AI128" s="27" t="str">
        <f ca="1">IFERROR(__xludf.DUMMYFUNCTION("""COMPUTED_VALUE"""),"ATUALMENTE 70% DOAÇÕES, 30%RECURSOS,  PRÓPRIOS,")</f>
        <v>ATUALMENTE 70% DOAÇÕES, 30%RECURSOS,  PRÓPRIOS,</v>
      </c>
      <c r="AJ128" s="27" t="str">
        <f ca="1">IFERROR(__xludf.DUMMYFUNCTION("""COMPUTED_VALUE"""),"Não")</f>
        <v>Não</v>
      </c>
      <c r="AK128" s="27" t="str">
        <f ca="1">IFERROR(__xludf.DUMMYFUNCTION("""COMPUTED_VALUE"""),"Não")</f>
        <v>Não</v>
      </c>
      <c r="AL128" s="21" t="str">
        <f ca="1">IFERROR(__xludf.DUMMYFUNCTION("""COMPUTED_VALUE"""),"0034P000043fOo5")</f>
        <v>0034P000043fOo5</v>
      </c>
      <c r="AM128" s="27" t="str">
        <f ca="1">IFERROR(__xludf.DUMMYFUNCTION("""COMPUTED_VALUE"""),"Santana")</f>
        <v>Santana</v>
      </c>
      <c r="AN128" s="27" t="str">
        <f ca="1">IFERROR(__xludf.DUMMYFUNCTION("""COMPUTED_VALUE"""),"Ativo")</f>
        <v>Ativo</v>
      </c>
      <c r="AO128" s="29">
        <f ca="1">IFERROR(__xludf.DUMMYFUNCTION("""COMPUTED_VALUE"""),44432)</f>
        <v>44432</v>
      </c>
      <c r="AP128" s="27">
        <f ca="1">IFERROR(__xludf.DUMMYFUNCTION("""COMPUTED_VALUE"""),13)</f>
        <v>13</v>
      </c>
      <c r="AQ128" s="27" t="str">
        <f ca="1">IFERROR(__xludf.DUMMYFUNCTION("""COMPUTED_VALUE"""),"Primeiro Semestre 2021")</f>
        <v>Primeiro Semestre 2021</v>
      </c>
      <c r="AR128" s="27" t="str">
        <f ca="1">IFERROR(__xludf.DUMMYFUNCTION("""COMPUTED_VALUE"""),"johnnysantana22@gmail.com")</f>
        <v>johnnysantana22@gmail.com</v>
      </c>
      <c r="AS128" s="27" t="str">
        <f ca="1">IFERROR(__xludf.DUMMYFUNCTION("""COMPUTED_VALUE"""),"(32)99928-2607")</f>
        <v>(32)99928-2607</v>
      </c>
      <c r="AT128" s="29">
        <f ca="1">IFERROR(__xludf.DUMMYFUNCTION("""COMPUTED_VALUE"""),32655)</f>
        <v>32655</v>
      </c>
      <c r="AU128" s="27">
        <f ca="1">IFERROR(__xludf.DUMMYFUNCTION("""COMPUTED_VALUE"""),33)</f>
        <v>33</v>
      </c>
      <c r="AV128" s="27">
        <f ca="1">IFERROR(__xludf.DUMMYFUNCTION("""COMPUTED_VALUE"""),7977813661)</f>
        <v>7977813661</v>
      </c>
      <c r="AW128" s="27">
        <f ca="1">IFERROR(__xludf.DUMMYFUNCTION("""COMPUTED_VALUE"""),13477160)</f>
        <v>13477160</v>
      </c>
      <c r="AX128" s="27" t="str">
        <f ca="1">IFERROR(__xludf.DUMMYFUNCTION("""COMPUTED_VALUE"""),"Educação ( Matemática E Educação Física)")</f>
        <v>Educação ( Matemática E Educação Física)</v>
      </c>
      <c r="AY128" s="27" t="str">
        <f ca="1">IFERROR(__xludf.DUMMYFUNCTION("""COMPUTED_VALUE"""),"Prefeitura Municipal de Piraúba - Fiscal de tributos")</f>
        <v>Prefeitura Municipal de Piraúba - Fiscal de tributos</v>
      </c>
      <c r="AZ128" s="27" t="str">
        <f ca="1">IFERROR(__xludf.DUMMYFUNCTION("""COMPUTED_VALUE"""),"M")</f>
        <v>M</v>
      </c>
      <c r="BA128" s="27" t="str">
        <f ca="1">IFERROR(__xludf.DUMMYFUNCTION("""COMPUTED_VALUE"""),"Preta")</f>
        <v>Preta</v>
      </c>
      <c r="BB128" s="27"/>
      <c r="BC128" s="27" t="str">
        <f ca="1">IFERROR(__xludf.DUMMYFUNCTION("""COMPUTED_VALUE"""),"Não")</f>
        <v>Não</v>
      </c>
      <c r="BD128" s="27" t="str">
        <f ca="1">IFERROR(__xludf.DUMMYFUNCTION("""COMPUTED_VALUE"""),"Meu nome é Johnny Santana, sou noivo da Ju e filho da Dona Diquinha, nasci em São Paulo em 27 de maio de 1989, atualmente moro na cidade de Piraúba, interior da zona da mata de Minas Gerais há 20 anos. Sou voluntário/co-fundador do Oficina do Esporte, um "&amp;"projeto social que há 6  anos atende crianças e adolescentes oferecendo gratuitamente esporte, educação e cultura juntamente com ações de serviço social.")</f>
        <v>Meu nome é Johnny Santana, sou noivo da Ju e filho da Dona Diquinha, nasci em São Paulo em 27 de maio de 1989, atualmente moro na cidade de Piraúba, interior da zona da mata de Minas Gerais há 20 anos. Sou voluntário/co-fundador do Oficina do Esporte, um projeto social que há 6  anos atende crianças e adolescentes oferecendo gratuitamente esporte, educação e cultura juntamente com ações de serviço social.</v>
      </c>
      <c r="BE128" s="27" t="str">
        <f ca="1">IFERROR(__xludf.DUMMYFUNCTION("""COMPUTED_VALUE"""),"Masculino")</f>
        <v>Masculino</v>
      </c>
      <c r="BF128" s="27" t="str">
        <f ca="1">IFERROR(__xludf.DUMMYFUNCTION("""COMPUTED_VALUE"""),"Heterossexual")</f>
        <v>Heterossexual</v>
      </c>
      <c r="BG128" s="27" t="str">
        <f ca="1">IFERROR(__xludf.DUMMYFUNCTION("""COMPUTED_VALUE"""),"Ensino Superior - Completo")</f>
        <v>Ensino Superior - Completo</v>
      </c>
      <c r="BH128" s="27"/>
      <c r="BI128" s="27" t="str">
        <f ca="1">IFERROR(__xludf.DUMMYFUNCTION("""COMPUTED_VALUE"""),"Pós-Graduação")</f>
        <v>Pós-Graduação</v>
      </c>
      <c r="BJ128" s="27" t="str">
        <f ca="1">IFERROR(__xludf.DUMMYFUNCTION("""COMPUTED_VALUE"""),"Público")</f>
        <v>Público</v>
      </c>
      <c r="BK128" s="27" t="str">
        <f ca="1">IFERROR(__xludf.DUMMYFUNCTION("""COMPUTED_VALUE"""),"LEITO DA ANTIGA LINHA FÉRREA")</f>
        <v>LEITO DA ANTIGA LINHA FÉRREA</v>
      </c>
      <c r="BL128" s="27">
        <f ca="1">IFERROR(__xludf.DUMMYFUNCTION("""COMPUTED_VALUE"""),80)</f>
        <v>80</v>
      </c>
      <c r="BM128" s="27"/>
      <c r="BN128" s="27" t="str">
        <f ca="1">IFERROR(__xludf.DUMMYFUNCTION("""COMPUTED_VALUE"""),"PIRAUBA")</f>
        <v>PIRAUBA</v>
      </c>
      <c r="BO128" s="27" t="str">
        <f ca="1">IFERROR(__xludf.DUMMYFUNCTION("""COMPUTED_VALUE"""),"36170-000")</f>
        <v>36170-000</v>
      </c>
      <c r="BP128" s="27" t="str">
        <f ca="1">IFERROR(__xludf.DUMMYFUNCTION("""COMPUTED_VALUE"""),"MG")</f>
        <v>MG</v>
      </c>
      <c r="BQ128" s="27" t="str">
        <f ca="1">IFERROR(__xludf.DUMMYFUNCTION("""COMPUTED_VALUE"""),"Entre 1 até 3 salários mínimos")</f>
        <v>Entre 1 até 3 salários mínimos</v>
      </c>
      <c r="BR128" s="27" t="str">
        <f ca="1">IFERROR(__xludf.DUMMYFUNCTION("""COMPUTED_VALUE"""),"Trabalho informal")</f>
        <v>Trabalho informal</v>
      </c>
      <c r="BS128" s="27" t="str">
        <f ca="1">IFERROR(__xludf.DUMMYFUNCTION("""COMPUTED_VALUE"""),"Aluguel")</f>
        <v>Aluguel</v>
      </c>
      <c r="BT128" s="27">
        <f ca="1">IFERROR(__xludf.DUMMYFUNCTION("""COMPUTED_VALUE"""),3)</f>
        <v>3</v>
      </c>
      <c r="BU128" s="27"/>
      <c r="BV128" s="27"/>
      <c r="BW128" s="21" t="str">
        <f ca="1">IFERROR(__xludf.DUMMYFUNCTION("""COMPUTED_VALUE"""),"https://www.linkedin.com/in/johnny-santana-014aa0216/")</f>
        <v>https://www.linkedin.com/in/johnny-santana-014aa0216/</v>
      </c>
      <c r="BX128" s="27" t="str">
        <f ca="1">IFERROR(__xludf.DUMMYFUNCTION("""COMPUTED_VALUE"""),"@johnnysantana89")</f>
        <v>@johnnysantana89</v>
      </c>
      <c r="BY128" s="21" t="str">
        <f ca="1">IFERROR(__xludf.DUMMYFUNCTION("""COMPUTED_VALUE"""),"https://drive.google.com/open?id=14xpruNU-JEMcPzizwIYGukmehxhTWnS4")</f>
        <v>https://drive.google.com/open?id=14xpruNU-JEMcPzizwIYGukmehxhTWnS4</v>
      </c>
    </row>
    <row r="129" spans="1:77" ht="12.5" hidden="1" x14ac:dyDescent="0.25">
      <c r="A129" s="21" t="str">
        <f ca="1">IFERROR(__xludf.DUMMYFUNCTION("""COMPUTED_VALUE"""),"0014X00002VKCuwQAH")</f>
        <v>0014X00002VKCuwQAH</v>
      </c>
      <c r="B129" s="27" t="str">
        <f ca="1">IFERROR(__xludf.DUMMYFUNCTION("""COMPUTED_VALUE"""),"Fase Inicial")</f>
        <v>Fase Inicial</v>
      </c>
      <c r="C129" s="27" t="str">
        <f ca="1">IFERROR(__xludf.DUMMYFUNCTION("""COMPUTED_VALUE"""),"Fellow")</f>
        <v>Fellow</v>
      </c>
      <c r="D129" s="27" t="str">
        <f ca="1">IFERROR(__xludf.DUMMYFUNCTION("""COMPUTED_VALUE"""),"Ativo")</f>
        <v>Ativo</v>
      </c>
      <c r="E129" s="27" t="str">
        <f ca="1">IFERROR(__xludf.DUMMYFUNCTION("""COMPUTED_VALUE"""),"Associação ONG Do Riso")</f>
        <v>Associação ONG Do Riso</v>
      </c>
      <c r="F129" s="27" t="str">
        <f ca="1">IFERROR(__xludf.DUMMYFUNCTION("""COMPUTED_VALUE"""),"Mayara")</f>
        <v>Mayara</v>
      </c>
      <c r="G129" s="27" t="str">
        <f ca="1">IFERROR(__xludf.DUMMYFUNCTION("""COMPUTED_VALUE"""),"DORISO")</f>
        <v>DORISO</v>
      </c>
      <c r="H129" s="27" t="str">
        <f ca="1">IFERROR(__xludf.DUMMYFUNCTION("""COMPUTED_VALUE"""),"43.188.000/0001-70")</f>
        <v>43.188.000/0001-70</v>
      </c>
      <c r="I129" s="27" t="str">
        <f ca="1">IFERROR(__xludf.DUMMYFUNCTION("""COMPUTED_VALUE"""),"Mayara barbosa de Oliveira")</f>
        <v>Mayara barbosa de Oliveira</v>
      </c>
      <c r="J129" s="27" t="str">
        <f ca="1">IFERROR(__xludf.DUMMYFUNCTION("""COMPUTED_VALUE"""),"dorisosince2019@gmail.com")</f>
        <v>dorisosince2019@gmail.com</v>
      </c>
      <c r="K129" s="27" t="str">
        <f ca="1">IFERROR(__xludf.DUMMYFUNCTION("""COMPUTED_VALUE"""),"(11)95690-0721")</f>
        <v>(11)95690-0721</v>
      </c>
      <c r="L129" s="27" t="str">
        <f ca="1">IFERROR(__xludf.DUMMYFUNCTION("""COMPUTED_VALUE"""),"SP")</f>
        <v>SP</v>
      </c>
      <c r="M129" s="27" t="str">
        <f ca="1">IFERROR(__xludf.DUMMYFUNCTION("""COMPUTED_VALUE"""),"Ria Thomaz Anotnio Villani")</f>
        <v>Ria Thomaz Anotnio Villani</v>
      </c>
      <c r="N129" s="27" t="str">
        <f ca="1">IFERROR(__xludf.DUMMYFUNCTION("""COMPUTED_VALUE"""),"Vila Santa maria")</f>
        <v>Vila Santa maria</v>
      </c>
      <c r="O129" s="27">
        <f ca="1">IFERROR(__xludf.DUMMYFUNCTION("""COMPUTED_VALUE"""),427)</f>
        <v>427</v>
      </c>
      <c r="P129" s="27" t="str">
        <f ca="1">IFERROR(__xludf.DUMMYFUNCTION("""COMPUTED_VALUE"""),"São Paulo")</f>
        <v>São Paulo</v>
      </c>
      <c r="Q129" s="27" t="str">
        <f ca="1">IFERROR(__xludf.DUMMYFUNCTION("""COMPUTED_VALUE"""),"casa")</f>
        <v>casa</v>
      </c>
      <c r="R129" s="27" t="str">
        <f ca="1">IFERROR(__xludf.DUMMYFUNCTION("""COMPUTED_VALUE"""),"02562-000")</f>
        <v>02562-000</v>
      </c>
      <c r="S129" s="27" t="str">
        <f ca="1">IFERROR(__xludf.DUMMYFUNCTION("""COMPUTED_VALUE"""),"Feira solidaria")</f>
        <v>Feira solidaria</v>
      </c>
      <c r="T129" s="27"/>
      <c r="U129" s="27" t="str">
        <f ca="1">IFERROR(__xludf.DUMMYFUNCTION("""COMPUTED_VALUE"""),"Jovens (18 aos 24 anos)")</f>
        <v>Jovens (18 aos 24 anos)</v>
      </c>
      <c r="V129" s="27" t="str">
        <f ca="1">IFERROR(__xludf.DUMMYFUNCTION("""COMPUTED_VALUE"""),"Moradores de Favelas")</f>
        <v>Moradores de Favelas</v>
      </c>
      <c r="W129" s="27">
        <f ca="1">IFERROR(__xludf.DUMMYFUNCTION("""COMPUTED_VALUE"""),1)</f>
        <v>1</v>
      </c>
      <c r="X129" s="27" t="str">
        <f ca="1">IFERROR(__xludf.DUMMYFUNCTION("""COMPUTED_VALUE"""),"POP Rua")</f>
        <v>POP Rua</v>
      </c>
      <c r="Y129" s="27"/>
      <c r="Z129" s="27">
        <f ca="1">IFERROR(__xludf.DUMMYFUNCTION("""COMPUTED_VALUE"""),250)</f>
        <v>250</v>
      </c>
      <c r="AA129" s="29">
        <f ca="1">IFERROR(__xludf.DUMMYFUNCTION("""COMPUTED_VALUE"""),43497)</f>
        <v>43497</v>
      </c>
      <c r="AB129" s="27" t="str">
        <f ca="1">IFERROR(__xludf.DUMMYFUNCTION("""COMPUTED_VALUE"""),"Sim")</f>
        <v>Sim</v>
      </c>
      <c r="AC129" s="27">
        <f ca="1">IFERROR(__xludf.DUMMYFUNCTION("""COMPUTED_VALUE"""),0)</f>
        <v>0</v>
      </c>
      <c r="AD129" s="27">
        <f ca="1">IFERROR(__xludf.DUMMYFUNCTION("""COMPUTED_VALUE"""),5)</f>
        <v>5</v>
      </c>
      <c r="AE129" s="27">
        <f ca="1">IFERROR(__xludf.DUMMYFUNCTION("""COMPUTED_VALUE"""),30)</f>
        <v>30</v>
      </c>
      <c r="AF129" s="27">
        <f ca="1">IFERROR(__xludf.DUMMYFUNCTION("""COMPUTED_VALUE"""),20)</f>
        <v>20</v>
      </c>
      <c r="AG129" s="27">
        <f ca="1">IFERROR(__xludf.DUMMYFUNCTION("""COMPUTED_VALUE"""),2)</f>
        <v>2</v>
      </c>
      <c r="AH129" s="27" t="str">
        <f ca="1">IFERROR(__xludf.DUMMYFUNCTION("""COMPUTED_VALUE"""),"Plataforma doação online - Pessoa Física, Doações")</f>
        <v>Plataforma doação online - Pessoa Física, Doações</v>
      </c>
      <c r="AI129" s="27" t="str">
        <f ca="1">IFERROR(__xludf.DUMMYFUNCTION("""COMPUTED_VALUE"""),"0.5")</f>
        <v>0.5</v>
      </c>
      <c r="AJ129" s="27" t="str">
        <f ca="1">IFERROR(__xludf.DUMMYFUNCTION("""COMPUTED_VALUE"""),"Não")</f>
        <v>Não</v>
      </c>
      <c r="AK129" s="27"/>
      <c r="AL129" s="21" t="str">
        <f ca="1">IFERROR(__xludf.DUMMYFUNCTION("""COMPUTED_VALUE"""),"0034X0000380O33")</f>
        <v>0034X0000380O33</v>
      </c>
      <c r="AM129" s="27" t="str">
        <f ca="1">IFERROR(__xludf.DUMMYFUNCTION("""COMPUTED_VALUE"""),"Barbosa de oliveira")</f>
        <v>Barbosa de oliveira</v>
      </c>
      <c r="AN129" s="27" t="str">
        <f ca="1">IFERROR(__xludf.DUMMYFUNCTION("""COMPUTED_VALUE"""),"Ativo")</f>
        <v>Ativo</v>
      </c>
      <c r="AO129" s="29">
        <f ca="1">IFERROR(__xludf.DUMMYFUNCTION("""COMPUTED_VALUE"""),44763)</f>
        <v>44763</v>
      </c>
      <c r="AP129" s="27">
        <f ca="1">IFERROR(__xludf.DUMMYFUNCTION("""COMPUTED_VALUE"""),2)</f>
        <v>2</v>
      </c>
      <c r="AQ129" s="27" t="str">
        <f ca="1">IFERROR(__xludf.DUMMYFUNCTION("""COMPUTED_VALUE"""),"Primeiro Semestre 2022")</f>
        <v>Primeiro Semestre 2022</v>
      </c>
      <c r="AR129" s="27" t="str">
        <f ca="1">IFERROR(__xludf.DUMMYFUNCTION("""COMPUTED_VALUE"""),"socialmayara.barbosa@gmail.com")</f>
        <v>socialmayara.barbosa@gmail.com</v>
      </c>
      <c r="AS129" s="27">
        <f ca="1">IFERROR(__xludf.DUMMYFUNCTION("""COMPUTED_VALUE"""),11958396082)</f>
        <v>11958396082</v>
      </c>
      <c r="AT129" s="29">
        <f ca="1">IFERROR(__xludf.DUMMYFUNCTION("""COMPUTED_VALUE"""),32399)</f>
        <v>32399</v>
      </c>
      <c r="AU129" s="27">
        <f ca="1">IFERROR(__xludf.DUMMYFUNCTION("""COMPUTED_VALUE"""),34)</f>
        <v>34</v>
      </c>
      <c r="AV129" s="27">
        <f ca="1">IFERROR(__xludf.DUMMYFUNCTION("""COMPUTED_VALUE"""),36535127869)</f>
        <v>36535127869</v>
      </c>
      <c r="AW129" s="27">
        <f ca="1">IFERROR(__xludf.DUMMYFUNCTION("""COMPUTED_VALUE"""),448941235)</f>
        <v>448941235</v>
      </c>
      <c r="AX129" s="27"/>
      <c r="AY129" s="27"/>
      <c r="AZ129" s="27" t="str">
        <f ca="1">IFERROR(__xludf.DUMMYFUNCTION("""COMPUTED_VALUE"""),"G")</f>
        <v>G</v>
      </c>
      <c r="BA129" s="27" t="str">
        <f ca="1">IFERROR(__xludf.DUMMYFUNCTION("""COMPUTED_VALUE"""),"Preta")</f>
        <v>Preta</v>
      </c>
      <c r="BB129" s="27"/>
      <c r="BC129" s="27"/>
      <c r="BD129" s="27" t="str">
        <f ca="1">IFERROR(__xludf.DUMMYFUNCTION("""COMPUTED_VALUE"""),"Bacharel em Serviço Social pela FMU* sempre tive aptidão e muito amor pelo serviço social* a caridade e um olhar humanizado ao próximo. Mãe de 2* irmã de 6 e nascida em uma familia com hirstórico de muita militância de temas raciais e igualitarios* aos 16"&amp;" anos me tornei voluntária em um centro de acolhida em São Paulo onde pude compreender um pouco sobre caridade* direitos* e sociedade. Aos 27 anos fundei a ONG DoRiso (informalmente) e hoje trabalho com assitencia a comunidades carentes e POP RUA.")</f>
        <v>Bacharel em Serviço Social pela FMU* sempre tive aptidão e muito amor pelo serviço social* a caridade e um olhar humanizado ao próximo. Mãe de 2* irmã de 6 e nascida em uma familia com hirstórico de muita militância de temas raciais e igualitarios* aos 16 anos me tornei voluntária em um centro de acolhida em São Paulo onde pude compreender um pouco sobre caridade* direitos* e sociedade. Aos 27 anos fundei a ONG DoRiso (informalmente) e hoje trabalho com assitencia a comunidades carentes e POP RUA.</v>
      </c>
      <c r="BE129" s="27" t="str">
        <f ca="1">IFERROR(__xludf.DUMMYFUNCTION("""COMPUTED_VALUE"""),"Feminino")</f>
        <v>Feminino</v>
      </c>
      <c r="BF129" s="27" t="str">
        <f ca="1">IFERROR(__xludf.DUMMYFUNCTION("""COMPUTED_VALUE"""),"Heterossexual")</f>
        <v>Heterossexual</v>
      </c>
      <c r="BG129" s="27"/>
      <c r="BH129" s="27" t="str">
        <f ca="1">IFERROR(__xludf.DUMMYFUNCTION("""COMPUTED_VALUE"""),"Privado")</f>
        <v>Privado</v>
      </c>
      <c r="BI129" s="27" t="str">
        <f ca="1">IFERROR(__xludf.DUMMYFUNCTION("""COMPUTED_VALUE"""),"Pós-Graduação")</f>
        <v>Pós-Graduação</v>
      </c>
      <c r="BJ129" s="27" t="str">
        <f ca="1">IFERROR(__xludf.DUMMYFUNCTION("""COMPUTED_VALUE"""),"Privado")</f>
        <v>Privado</v>
      </c>
      <c r="BK129" s="27" t="str">
        <f ca="1">IFERROR(__xludf.DUMMYFUNCTION("""COMPUTED_VALUE"""),"Rua Eduardo Luiz trindade")</f>
        <v>Rua Eduardo Luiz trindade</v>
      </c>
      <c r="BL129" s="27">
        <f ca="1">IFERROR(__xludf.DUMMYFUNCTION("""COMPUTED_VALUE"""),438)</f>
        <v>438</v>
      </c>
      <c r="BM129" s="27"/>
      <c r="BN129" s="27"/>
      <c r="BO129" s="27">
        <f ca="1">IFERROR(__xludf.DUMMYFUNCTION("""COMPUTED_VALUE"""),2566010)</f>
        <v>2566010</v>
      </c>
      <c r="BP129" s="27" t="str">
        <f ca="1">IFERROR(__xludf.DUMMYFUNCTION("""COMPUTED_VALUE"""),"SP")</f>
        <v>SP</v>
      </c>
      <c r="BQ129" s="27" t="str">
        <f ca="1">IFERROR(__xludf.DUMMYFUNCTION("""COMPUTED_VALUE"""),"Entre 1 até 3 salários mínimos")</f>
        <v>Entre 1 até 3 salários mínimos</v>
      </c>
      <c r="BR129" s="27" t="str">
        <f ca="1">IFERROR(__xludf.DUMMYFUNCTION("""COMPUTED_VALUE"""),"CLT")</f>
        <v>CLT</v>
      </c>
      <c r="BS129" s="27" t="str">
        <f ca="1">IFERROR(__xludf.DUMMYFUNCTION("""COMPUTED_VALUE"""),"Aluguel")</f>
        <v>Aluguel</v>
      </c>
      <c r="BT129" s="27">
        <f ca="1">IFERROR(__xludf.DUMMYFUNCTION("""COMPUTED_VALUE"""),2)</f>
        <v>2</v>
      </c>
      <c r="BU129" s="27" t="str">
        <f ca="1">IFERROR(__xludf.DUMMYFUNCTION("""COMPUTED_VALUE"""),"Não tem")</f>
        <v>Não tem</v>
      </c>
      <c r="BV129" s="27" t="str">
        <f ca="1">IFERROR(__xludf.DUMMYFUNCTION("""COMPUTED_VALUE"""),"Sim")</f>
        <v>Sim</v>
      </c>
      <c r="BW129" s="21" t="str">
        <f ca="1">IFERROR(__xludf.DUMMYFUNCTION("""COMPUTED_VALUE"""),"https://www.linkedin.com/in/mayara-barbosa-de-oliveira-266639b0/")</f>
        <v>https://www.linkedin.com/in/mayara-barbosa-de-oliveira-266639b0/</v>
      </c>
      <c r="BX129" s="27"/>
      <c r="BY129" s="21" t="str">
        <f ca="1">IFERROR(__xludf.DUMMYFUNCTION("""COMPUTED_VALUE"""),"https://drive.google.com/open?id=1aJOwgvCji1tbZXxgShJ7oLmk_XZW3NHQ")</f>
        <v>https://drive.google.com/open?id=1aJOwgvCji1tbZXxgShJ7oLmk_XZW3NHQ</v>
      </c>
    </row>
    <row r="130" spans="1:77" ht="12.5" hidden="1" x14ac:dyDescent="0.25">
      <c r="A130" s="21" t="str">
        <f ca="1">IFERROR(__xludf.DUMMYFUNCTION("""COMPUTED_VALUE"""),"0014X00002VKCp7QAH")</f>
        <v>0014X00002VKCp7QAH</v>
      </c>
      <c r="B130" s="27" t="str">
        <f ca="1">IFERROR(__xludf.DUMMYFUNCTION("""COMPUTED_VALUE"""),"Fase Inicial")</f>
        <v>Fase Inicial</v>
      </c>
      <c r="C130" s="27" t="str">
        <f ca="1">IFERROR(__xludf.DUMMYFUNCTION("""COMPUTED_VALUE"""),"Fellow")</f>
        <v>Fellow</v>
      </c>
      <c r="D130" s="27" t="str">
        <f ca="1">IFERROR(__xludf.DUMMYFUNCTION("""COMPUTED_VALUE"""),"Ativo")</f>
        <v>Ativo</v>
      </c>
      <c r="E130" s="27" t="str">
        <f ca="1">IFERROR(__xludf.DUMMYFUNCTION("""COMPUTED_VALUE"""),"ASSOCIAÇÃO PADRE PAULO TONUCCI")</f>
        <v>ASSOCIAÇÃO PADRE PAULO TONUCCI</v>
      </c>
      <c r="F130" s="27" t="str">
        <f ca="1">IFERROR(__xludf.DUMMYFUNCTION("""COMPUTED_VALUE"""),"Dayse")</f>
        <v>Dayse</v>
      </c>
      <c r="G130" s="27" t="str">
        <f ca="1">IFERROR(__xludf.DUMMYFUNCTION("""COMPUTED_VALUE"""),"ESPAÇO EDUCATIVO PADRE PAULO TONUCCI")</f>
        <v>ESPAÇO EDUCATIVO PADRE PAULO TONUCCI</v>
      </c>
      <c r="H130" s="27" t="str">
        <f ca="1">IFERROR(__xludf.DUMMYFUNCTION("""COMPUTED_VALUE"""),"04.767.123/0001-03")</f>
        <v>04.767.123/0001-03</v>
      </c>
      <c r="I130" s="27" t="str">
        <f ca="1">IFERROR(__xludf.DUMMYFUNCTION("""COMPUTED_VALUE"""),"Maria Augusta Pinto Portugal Melo")</f>
        <v>Maria Augusta Pinto Portugal Melo</v>
      </c>
      <c r="J130" s="27" t="str">
        <f ca="1">IFERROR(__xludf.DUMMYFUNCTION("""COMPUTED_VALUE"""),"apptonucci@hotmail.com")</f>
        <v>apptonucci@hotmail.com</v>
      </c>
      <c r="K130" s="27" t="str">
        <f ca="1">IFERROR(__xludf.DUMMYFUNCTION("""COMPUTED_VALUE"""),"(73)98137-3711")</f>
        <v>(73)98137-3711</v>
      </c>
      <c r="L130" s="27" t="str">
        <f ca="1">IFERROR(__xludf.DUMMYFUNCTION("""COMPUTED_VALUE"""),"BA")</f>
        <v>BA</v>
      </c>
      <c r="M130" s="27" t="str">
        <f ca="1">IFERROR(__xludf.DUMMYFUNCTION("""COMPUTED_VALUE"""),"U")</f>
        <v>U</v>
      </c>
      <c r="N130" s="27" t="str">
        <f ca="1">IFERROR(__xludf.DUMMYFUNCTION("""COMPUTED_VALUE"""),"Monte Cristo")</f>
        <v>Monte Cristo</v>
      </c>
      <c r="O130" s="27">
        <f ca="1">IFERROR(__xludf.DUMMYFUNCTION("""COMPUTED_VALUE"""),65)</f>
        <v>65</v>
      </c>
      <c r="P130" s="27" t="str">
        <f ca="1">IFERROR(__xludf.DUMMYFUNCTION("""COMPUTED_VALUE"""),"Itabuna")</f>
        <v>Itabuna</v>
      </c>
      <c r="Q130" s="27" t="str">
        <f ca="1">IFERROR(__xludf.DUMMYFUNCTION("""COMPUTED_VALUE"""),"Prédio")</f>
        <v>Prédio</v>
      </c>
      <c r="R130" s="27" t="str">
        <f ca="1">IFERROR(__xludf.DUMMYFUNCTION("""COMPUTED_VALUE"""),"45604-511")</f>
        <v>45604-511</v>
      </c>
      <c r="S130" s="27" t="str">
        <f ca="1">IFERROR(__xludf.DUMMYFUNCTION("""COMPUTED_VALUE"""),"Não")</f>
        <v>Não</v>
      </c>
      <c r="T130" s="27"/>
      <c r="U130" s="27" t="str">
        <f ca="1">IFERROR(__xludf.DUMMYFUNCTION("""COMPUTED_VALUE"""),"Crianças pequenas (4 anos a 5 anos e 11 meses), Crianças (6 a 12 anos), Adolescentes (12 aos 18 anos), Jovens (18 aos 24 anos)")</f>
        <v>Crianças pequenas (4 anos a 5 anos e 11 meses), Crianças (6 a 12 anos), Adolescentes (12 aos 18 anos), Jovens (18 aos 24 anos)</v>
      </c>
      <c r="V130" s="27" t="str">
        <f ca="1">IFERROR(__xludf.DUMMYFUNCTION("""COMPUTED_VALUE"""),"Outros")</f>
        <v>Outros</v>
      </c>
      <c r="W130" s="27">
        <f ca="1">IFERROR(__xludf.DUMMYFUNCTION("""COMPUTED_VALUE"""),2)</f>
        <v>2</v>
      </c>
      <c r="X130" s="27" t="str">
        <f ca="1">IFERROR(__xludf.DUMMYFUNCTION("""COMPUTED_VALUE"""),"Localidades circunvizinhas aos bairros Monte Cristo e Nova Califórnia")</f>
        <v>Localidades circunvizinhas aos bairros Monte Cristo e Nova Califórnia</v>
      </c>
      <c r="Y130" s="27"/>
      <c r="Z130" s="27">
        <f ca="1">IFERROR(__xludf.DUMMYFUNCTION("""COMPUTED_VALUE"""),120)</f>
        <v>120</v>
      </c>
      <c r="AA130" s="29">
        <f ca="1">IFERROR(__xludf.DUMMYFUNCTION("""COMPUTED_VALUE"""),36979)</f>
        <v>36979</v>
      </c>
      <c r="AB130" s="27" t="str">
        <f ca="1">IFERROR(__xludf.DUMMYFUNCTION("""COMPUTED_VALUE"""),"Sim")</f>
        <v>Sim</v>
      </c>
      <c r="AC130" s="27">
        <f ca="1">IFERROR(__xludf.DUMMYFUNCTION("""COMPUTED_VALUE"""),4)</f>
        <v>4</v>
      </c>
      <c r="AD130" s="27">
        <f ca="1">IFERROR(__xludf.DUMMYFUNCTION("""COMPUTED_VALUE"""),18)</f>
        <v>18</v>
      </c>
      <c r="AE130" s="27">
        <f ca="1">IFERROR(__xludf.DUMMYFUNCTION("""COMPUTED_VALUE"""),3)</f>
        <v>3</v>
      </c>
      <c r="AF130" s="27">
        <f ca="1">IFERROR(__xludf.DUMMYFUNCTION("""COMPUTED_VALUE"""),3)</f>
        <v>3</v>
      </c>
      <c r="AG130" s="27">
        <f ca="1">IFERROR(__xludf.DUMMYFUNCTION("""COMPUTED_VALUE"""),3)</f>
        <v>3</v>
      </c>
      <c r="AH130" s="27" t="str">
        <f ca="1">IFERROR(__xludf.DUMMYFUNCTION("""COMPUTED_VALUE"""),"Eventos/Ações para captação, Outro(s), Doações")</f>
        <v>Eventos/Ações para captação, Outro(s), Doações</v>
      </c>
      <c r="AI130" s="27" t="str">
        <f ca="1">IFERROR(__xludf.DUMMYFUNCTION("""COMPUTED_VALUE"""),"Outros 93% doações 5% eventos 2%")</f>
        <v>Outros 93% doações 5% eventos 2%</v>
      </c>
      <c r="AJ130" s="27" t="str">
        <f ca="1">IFERROR(__xludf.DUMMYFUNCTION("""COMPUTED_VALUE"""),"Sim")</f>
        <v>Sim</v>
      </c>
      <c r="AK130" s="27"/>
      <c r="AL130" s="21" t="str">
        <f ca="1">IFERROR(__xludf.DUMMYFUNCTION("""COMPUTED_VALUE"""),"0034X0000380O3b")</f>
        <v>0034X0000380O3b</v>
      </c>
      <c r="AM130" s="27" t="str">
        <f ca="1">IFERROR(__xludf.DUMMYFUNCTION("""COMPUTED_VALUE"""),"Portugal melo")</f>
        <v>Portugal melo</v>
      </c>
      <c r="AN130" s="27" t="str">
        <f ca="1">IFERROR(__xludf.DUMMYFUNCTION("""COMPUTED_VALUE"""),"Ativo")</f>
        <v>Ativo</v>
      </c>
      <c r="AO130" s="29">
        <f ca="1">IFERROR(__xludf.DUMMYFUNCTION("""COMPUTED_VALUE"""),44763)</f>
        <v>44763</v>
      </c>
      <c r="AP130" s="27">
        <f ca="1">IFERROR(__xludf.DUMMYFUNCTION("""COMPUTED_VALUE"""),2)</f>
        <v>2</v>
      </c>
      <c r="AQ130" s="27" t="str">
        <f ca="1">IFERROR(__xludf.DUMMYFUNCTION("""COMPUTED_VALUE"""),"Primeiro Semestre 2022")</f>
        <v>Primeiro Semestre 2022</v>
      </c>
      <c r="AR130" s="27" t="str">
        <f ca="1">IFERROR(__xludf.DUMMYFUNCTION("""COMPUTED_VALUE"""),"dayseportugalmelo@gmail.com")</f>
        <v>dayseportugalmelo@gmail.com</v>
      </c>
      <c r="AS130" s="27">
        <f ca="1">IFERROR(__xludf.DUMMYFUNCTION("""COMPUTED_VALUE"""),73988597871)</f>
        <v>73988597871</v>
      </c>
      <c r="AT130" s="29">
        <f ca="1">IFERROR(__xludf.DUMMYFUNCTION("""COMPUTED_VALUE"""),29729)</f>
        <v>29729</v>
      </c>
      <c r="AU130" s="27">
        <f ca="1">IFERROR(__xludf.DUMMYFUNCTION("""COMPUTED_VALUE"""),41)</f>
        <v>41</v>
      </c>
      <c r="AV130" s="27">
        <f ca="1">IFERROR(__xludf.DUMMYFUNCTION("""COMPUTED_VALUE"""),21761574)</f>
        <v>21761574</v>
      </c>
      <c r="AW130" s="27">
        <f ca="1">IFERROR(__xludf.DUMMYFUNCTION("""COMPUTED_VALUE"""),1014288479)</f>
        <v>1014288479</v>
      </c>
      <c r="AX130" s="27"/>
      <c r="AY130" s="27"/>
      <c r="AZ130" s="27" t="str">
        <f ca="1">IFERROR(__xludf.DUMMYFUNCTION("""COMPUTED_VALUE"""),"M")</f>
        <v>M</v>
      </c>
      <c r="BA130" s="27" t="str">
        <f ca="1">IFERROR(__xludf.DUMMYFUNCTION("""COMPUTED_VALUE"""),"Parda")</f>
        <v>Parda</v>
      </c>
      <c r="BB130" s="27"/>
      <c r="BC130" s="27"/>
      <c r="BD130" s="27" t="str">
        <f ca="1">IFERROR(__xludf.DUMMYFUNCTION("""COMPUTED_VALUE"""),"Dayse* brasileira* 40 anos graduada em Administração. Atua há 19 anos em uma instituição sem fins lucrativos que assiste crianças e adolescentes em vulnerabilidade social na cidade de Itabuna-Ba. Na instituição contribuo com o setor administrativo* elabor"&amp;"ação de projetos para captar recursos* na coordenação de projetos* entre outros serviços, contribuindo com o desenvolvimento da instituição.")</f>
        <v>Dayse* brasileira* 40 anos graduada em Administração. Atua há 19 anos em uma instituição sem fins lucrativos que assiste crianças e adolescentes em vulnerabilidade social na cidade de Itabuna-Ba. Na instituição contribuo com o setor administrativo* elaboração de projetos para captar recursos* na coordenação de projetos* entre outros serviços, contribuindo com o desenvolvimento da instituição.</v>
      </c>
      <c r="BE130" s="27" t="str">
        <f ca="1">IFERROR(__xludf.DUMMYFUNCTION("""COMPUTED_VALUE"""),"Feminino")</f>
        <v>Feminino</v>
      </c>
      <c r="BF130" s="27" t="str">
        <f ca="1">IFERROR(__xludf.DUMMYFUNCTION("""COMPUTED_VALUE"""),"Heterossexual")</f>
        <v>Heterossexual</v>
      </c>
      <c r="BG130" s="27"/>
      <c r="BH130" s="27" t="str">
        <f ca="1">IFERROR(__xludf.DUMMYFUNCTION("""COMPUTED_VALUE"""),"Público")</f>
        <v>Público</v>
      </c>
      <c r="BI130" s="27" t="str">
        <f ca="1">IFERROR(__xludf.DUMMYFUNCTION("""COMPUTED_VALUE"""),"Graduação")</f>
        <v>Graduação</v>
      </c>
      <c r="BJ130" s="27" t="str">
        <f ca="1">IFERROR(__xludf.DUMMYFUNCTION("""COMPUTED_VALUE"""),"Privado")</f>
        <v>Privado</v>
      </c>
      <c r="BK130" s="27" t="str">
        <f ca="1">IFERROR(__xludf.DUMMYFUNCTION("""COMPUTED_VALUE"""),"Rua São José")</f>
        <v>Rua São José</v>
      </c>
      <c r="BL130" s="27">
        <f ca="1">IFERROR(__xludf.DUMMYFUNCTION("""COMPUTED_VALUE"""),977)</f>
        <v>977</v>
      </c>
      <c r="BM130" s="27"/>
      <c r="BN130" s="27"/>
      <c r="BO130" s="27">
        <f ca="1">IFERROR(__xludf.DUMMYFUNCTION("""COMPUTED_VALUE"""),45604050)</f>
        <v>45604050</v>
      </c>
      <c r="BP130" s="27" t="str">
        <f ca="1">IFERROR(__xludf.DUMMYFUNCTION("""COMPUTED_VALUE"""),"BA")</f>
        <v>BA</v>
      </c>
      <c r="BQ130" s="27" t="str">
        <f ca="1">IFERROR(__xludf.DUMMYFUNCTION("""COMPUTED_VALUE"""),"Entre 1 até 3 salários mínimos")</f>
        <v>Entre 1 até 3 salários mínimos</v>
      </c>
      <c r="BR130" s="27" t="str">
        <f ca="1">IFERROR(__xludf.DUMMYFUNCTION("""COMPUTED_VALUE"""),"CLT")</f>
        <v>CLT</v>
      </c>
      <c r="BS130" s="27" t="str">
        <f ca="1">IFERROR(__xludf.DUMMYFUNCTION("""COMPUTED_VALUE"""),"Casa própria")</f>
        <v>Casa própria</v>
      </c>
      <c r="BT130" s="27">
        <f ca="1">IFERROR(__xludf.DUMMYFUNCTION("""COMPUTED_VALUE"""),2)</f>
        <v>2</v>
      </c>
      <c r="BU130" s="27" t="str">
        <f ca="1">IFERROR(__xludf.DUMMYFUNCTION("""COMPUTED_VALUE"""),"Não tem")</f>
        <v>Não tem</v>
      </c>
      <c r="BV130" s="27" t="str">
        <f ca="1">IFERROR(__xludf.DUMMYFUNCTION("""COMPUTED_VALUE"""),"Não")</f>
        <v>Não</v>
      </c>
      <c r="BW130" s="27"/>
      <c r="BX130" s="27"/>
      <c r="BY130" s="21" t="str">
        <f ca="1">IFERROR(__xludf.DUMMYFUNCTION("""COMPUTED_VALUE"""),"https://drive.google.com/open?id=1zlMUS59KAGgi8gYTm8WS8kTrxqUfAjl5")</f>
        <v>https://drive.google.com/open?id=1zlMUS59KAGgi8gYTm8WS8kTrxqUfAjl5</v>
      </c>
    </row>
    <row r="131" spans="1:77" ht="12.5" hidden="1" x14ac:dyDescent="0.25">
      <c r="A131" s="21" t="str">
        <f ca="1">IFERROR(__xludf.DUMMYFUNCTION("""COMPUTED_VALUE"""),"0014X00002VKCpcQAH")</f>
        <v>0014X00002VKCpcQAH</v>
      </c>
      <c r="B131" s="27" t="str">
        <f ca="1">IFERROR(__xludf.DUMMYFUNCTION("""COMPUTED_VALUE"""),"Fase Inicial")</f>
        <v>Fase Inicial</v>
      </c>
      <c r="C131" s="27" t="str">
        <f ca="1">IFERROR(__xludf.DUMMYFUNCTION("""COMPUTED_VALUE"""),"Fellow")</f>
        <v>Fellow</v>
      </c>
      <c r="D131" s="27" t="str">
        <f ca="1">IFERROR(__xludf.DUMMYFUNCTION("""COMPUTED_VALUE"""),"Ativo")</f>
        <v>Ativo</v>
      </c>
      <c r="E131" s="27" t="str">
        <f ca="1">IFERROR(__xludf.DUMMYFUNCTION("""COMPUTED_VALUE"""),"Associação parceiros da alegria")</f>
        <v>Associação parceiros da alegria</v>
      </c>
      <c r="F131" s="27" t="str">
        <f ca="1">IFERROR(__xludf.DUMMYFUNCTION("""COMPUTED_VALUE"""),"Tâmara")</f>
        <v>Tâmara</v>
      </c>
      <c r="G131" s="27" t="str">
        <f ca="1">IFERROR(__xludf.DUMMYFUNCTION("""COMPUTED_VALUE"""),"ONG PARCEIROS DA ALEGRIA")</f>
        <v>ONG PARCEIROS DA ALEGRIA</v>
      </c>
      <c r="H131" s="27" t="str">
        <f ca="1">IFERROR(__xludf.DUMMYFUNCTION("""COMPUTED_VALUE"""),"40.969.609/0001-98")</f>
        <v>40.969.609/0001-98</v>
      </c>
      <c r="I131" s="27" t="str">
        <f ca="1">IFERROR(__xludf.DUMMYFUNCTION("""COMPUTED_VALUE"""),"Tâmara sales silva olivieri")</f>
        <v>Tâmara sales silva olivieri</v>
      </c>
      <c r="J131" s="27" t="str">
        <f ca="1">IFERROR(__xludf.DUMMYFUNCTION("""COMPUTED_VALUE"""),"ongparceirosdaalegria@gmail.com")</f>
        <v>ongparceirosdaalegria@gmail.com</v>
      </c>
      <c r="K131" s="27" t="str">
        <f ca="1">IFERROR(__xludf.DUMMYFUNCTION("""COMPUTED_VALUE"""),"(71)98731-3084")</f>
        <v>(71)98731-3084</v>
      </c>
      <c r="L131" s="27" t="str">
        <f ca="1">IFERROR(__xludf.DUMMYFUNCTION("""COMPUTED_VALUE"""),"BA")</f>
        <v>BA</v>
      </c>
      <c r="M131" s="27" t="str">
        <f ca="1">IFERROR(__xludf.DUMMYFUNCTION("""COMPUTED_VALUE"""),"Rua Simão sobral")</f>
        <v>Rua Simão sobral</v>
      </c>
      <c r="N131" s="27" t="str">
        <f ca="1">IFERROR(__xludf.DUMMYFUNCTION("""COMPUTED_VALUE"""),"MASSARANDUBA")</f>
        <v>MASSARANDUBA</v>
      </c>
      <c r="O131" s="27">
        <f ca="1">IFERROR(__xludf.DUMMYFUNCTION("""COMPUTED_VALUE"""),96)</f>
        <v>96</v>
      </c>
      <c r="P131" s="27" t="str">
        <f ca="1">IFERROR(__xludf.DUMMYFUNCTION("""COMPUTED_VALUE"""),"SALVADOR")</f>
        <v>SALVADOR</v>
      </c>
      <c r="Q131" s="27" t="str">
        <f ca="1">IFERROR(__xludf.DUMMYFUNCTION("""COMPUTED_VALUE"""),"casa")</f>
        <v>casa</v>
      </c>
      <c r="R131" s="27" t="str">
        <f ca="1">IFERROR(__xludf.DUMMYFUNCTION("""COMPUTED_VALUE"""),"40435-160")</f>
        <v>40435-160</v>
      </c>
      <c r="S131" s="27"/>
      <c r="T131" s="27"/>
      <c r="U131" s="27" t="str">
        <f ca="1">IFERROR(__xludf.DUMMYFUNCTION("""COMPUTED_VALUE"""),"Crianças (6 a 12 anos), Adolescentes (12 aos 18 anos), Jovens (18 aos 24 anos), Adultos")</f>
        <v>Crianças (6 a 12 anos), Adolescentes (12 aos 18 anos), Jovens (18 aos 24 anos), Adultos</v>
      </c>
      <c r="V131" s="27" t="str">
        <f ca="1">IFERROR(__xludf.DUMMYFUNCTION("""COMPUTED_VALUE"""),"Moradores de Favelas, Pessoas em situação de rua, Pessoas com Deficiência")</f>
        <v>Moradores de Favelas, Pessoas em situação de rua, Pessoas com Deficiência</v>
      </c>
      <c r="W131" s="27">
        <f ca="1">IFERROR(__xludf.DUMMYFUNCTION("""COMPUTED_VALUE"""),2)</f>
        <v>2</v>
      </c>
      <c r="X131" s="27"/>
      <c r="Y131" s="27"/>
      <c r="Z131" s="27">
        <f ca="1">IFERROR(__xludf.DUMMYFUNCTION("""COMPUTED_VALUE"""),20)</f>
        <v>20</v>
      </c>
      <c r="AA131" s="30">
        <f ca="1">IFERROR(__xludf.DUMMYFUNCTION("""COMPUTED_VALUE"""),44176)</f>
        <v>44176</v>
      </c>
      <c r="AB131" s="27" t="str">
        <f ca="1">IFERROR(__xludf.DUMMYFUNCTION("""COMPUTED_VALUE"""),"Sim")</f>
        <v>Sim</v>
      </c>
      <c r="AC131" s="27">
        <f ca="1">IFERROR(__xludf.DUMMYFUNCTION("""COMPUTED_VALUE"""),0)</f>
        <v>0</v>
      </c>
      <c r="AD131" s="27">
        <f ca="1">IFERROR(__xludf.DUMMYFUNCTION("""COMPUTED_VALUE"""),80)</f>
        <v>80</v>
      </c>
      <c r="AE131" s="27">
        <f ca="1">IFERROR(__xludf.DUMMYFUNCTION("""COMPUTED_VALUE"""),8)</f>
        <v>8</v>
      </c>
      <c r="AF131" s="27">
        <f ca="1">IFERROR(__xludf.DUMMYFUNCTION("""COMPUTED_VALUE"""),18)</f>
        <v>18</v>
      </c>
      <c r="AG131" s="27">
        <f ca="1">IFERROR(__xludf.DUMMYFUNCTION("""COMPUTED_VALUE"""),2)</f>
        <v>2</v>
      </c>
      <c r="AH131" s="27" t="str">
        <f ca="1">IFERROR(__xludf.DUMMYFUNCTION("""COMPUTED_VALUE"""),"Eventos/Ações para captação, Parceria iniciativa privada")</f>
        <v>Eventos/Ações para captação, Parceria iniciativa privada</v>
      </c>
      <c r="AI131" s="27">
        <f ca="1">IFERROR(__xludf.DUMMYFUNCTION("""COMPUTED_VALUE"""),0)</f>
        <v>0</v>
      </c>
      <c r="AJ131" s="27" t="str">
        <f ca="1">IFERROR(__xludf.DUMMYFUNCTION("""COMPUTED_VALUE"""),"Vamos iniciar esse ano")</f>
        <v>Vamos iniciar esse ano</v>
      </c>
      <c r="AK131" s="27"/>
      <c r="AL131" s="21" t="str">
        <f ca="1">IFERROR(__xludf.DUMMYFUNCTION("""COMPUTED_VALUE"""),"0034X0000380O1i")</f>
        <v>0034X0000380O1i</v>
      </c>
      <c r="AM131" s="27" t="str">
        <f ca="1">IFERROR(__xludf.DUMMYFUNCTION("""COMPUTED_VALUE"""),"Sales silva olivieri")</f>
        <v>Sales silva olivieri</v>
      </c>
      <c r="AN131" s="27" t="str">
        <f ca="1">IFERROR(__xludf.DUMMYFUNCTION("""COMPUTED_VALUE"""),"Ativo")</f>
        <v>Ativo</v>
      </c>
      <c r="AO131" s="29">
        <f ca="1">IFERROR(__xludf.DUMMYFUNCTION("""COMPUTED_VALUE"""),44763)</f>
        <v>44763</v>
      </c>
      <c r="AP131" s="27">
        <f ca="1">IFERROR(__xludf.DUMMYFUNCTION("""COMPUTED_VALUE"""),2)</f>
        <v>2</v>
      </c>
      <c r="AQ131" s="27" t="str">
        <f ca="1">IFERROR(__xludf.DUMMYFUNCTION("""COMPUTED_VALUE"""),"Primeiro Semestre 2022")</f>
        <v>Primeiro Semestre 2022</v>
      </c>
      <c r="AR131" s="27" t="str">
        <f ca="1">IFERROR(__xludf.DUMMYFUNCTION("""COMPUTED_VALUE"""),"tamarassolivieri@gmail.com")</f>
        <v>tamarassolivieri@gmail.com</v>
      </c>
      <c r="AS131" s="27">
        <f ca="1">IFERROR(__xludf.DUMMYFUNCTION("""COMPUTED_VALUE"""),71987313084)</f>
        <v>71987313084</v>
      </c>
      <c r="AT131" s="29">
        <f ca="1">IFERROR(__xludf.DUMMYFUNCTION("""COMPUTED_VALUE"""),31516)</f>
        <v>31516</v>
      </c>
      <c r="AU131" s="27">
        <f ca="1">IFERROR(__xludf.DUMMYFUNCTION("""COMPUTED_VALUE"""),36)</f>
        <v>36</v>
      </c>
      <c r="AV131" s="27">
        <f ca="1">IFERROR(__xludf.DUMMYFUNCTION("""COMPUTED_VALUE"""),1925188523)</f>
        <v>1925188523</v>
      </c>
      <c r="AW131" s="27">
        <f ca="1">IFERROR(__xludf.DUMMYFUNCTION("""COMPUTED_VALUE"""),916036928)</f>
        <v>916036928</v>
      </c>
      <c r="AX131" s="27"/>
      <c r="AY131" s="27"/>
      <c r="AZ131" s="27" t="str">
        <f ca="1">IFERROR(__xludf.DUMMYFUNCTION("""COMPUTED_VALUE"""),"M")</f>
        <v>M</v>
      </c>
      <c r="BA131" s="27" t="str">
        <f ca="1">IFERROR(__xludf.DUMMYFUNCTION("""COMPUTED_VALUE"""),"Preta")</f>
        <v>Preta</v>
      </c>
      <c r="BB131" s="27"/>
      <c r="BC131" s="27"/>
      <c r="BD131" s="27" t="str">
        <f ca="1">IFERROR(__xludf.DUMMYFUNCTION("""COMPUTED_VALUE"""),"Olá sou Tâmara Olivieri tenho 35 anos sou filha de criação* sou mae de Ester que tem 17 anos*  moramos sozinhas* ao longo dos anos vem buscando essa independência de se manter* busco sempre o conhecimento ja fiz diversos cursos* manicure* depiladora* mass"&amp;"oterapia* técnica em segurança do trabalho*  iniciei a faculdade de Engenharia de produção parei no 4 semestre* há dois anos assumir a presidência do projeto parceiros da alegria por entender que uma comunidade sofre por falta de conhecimento e oportunida"&amp;"des* atualmente sou autônoma trabalho com massoterapia buscando me tornar referencia em massoterapia clinica me aperfeiçoando em dores e assim consigo ter tempo para cuidar do projeto meus planos e fazer uma graduação de fisioterapia e ter meu espaço e as"&amp;"sim ministrar cursos de massoterapia também no projeto  uma fonte de renda para as mulheres*")</f>
        <v>Olá sou Tâmara Olivieri tenho 35 anos sou filha de criação* sou mae de Ester que tem 17 anos*  moramos sozinhas* ao longo dos anos vem buscando essa independência de se manter* busco sempre o conhecimento ja fiz diversos cursos* manicure* depiladora* massoterapia* técnica em segurança do trabalho*  iniciei a faculdade de Engenharia de produção parei no 4 semestre* há dois anos assumir a presidência do projeto parceiros da alegria por entender que uma comunidade sofre por falta de conhecimento e oportunidades* atualmente sou autônoma trabalho com massoterapia buscando me tornar referencia em massoterapia clinica me aperfeiçoando em dores e assim consigo ter tempo para cuidar do projeto meus planos e fazer uma graduação de fisioterapia e ter meu espaço e assim ministrar cursos de massoterapia também no projeto  uma fonte de renda para as mulheres*</v>
      </c>
      <c r="BE131" s="27" t="str">
        <f ca="1">IFERROR(__xludf.DUMMYFUNCTION("""COMPUTED_VALUE"""),"Feminino")</f>
        <v>Feminino</v>
      </c>
      <c r="BF131" s="27" t="str">
        <f ca="1">IFERROR(__xludf.DUMMYFUNCTION("""COMPUTED_VALUE"""),"Heterossexual")</f>
        <v>Heterossexual</v>
      </c>
      <c r="BG131" s="27"/>
      <c r="BH131" s="27" t="str">
        <f ca="1">IFERROR(__xludf.DUMMYFUNCTION("""COMPUTED_VALUE"""),"Público")</f>
        <v>Público</v>
      </c>
      <c r="BI131" s="27"/>
      <c r="BJ131" s="27"/>
      <c r="BK131" s="27" t="str">
        <f ca="1">IFERROR(__xludf.DUMMYFUNCTION("""COMPUTED_VALUE"""),"Rua Engenheiro Gilson Almeida")</f>
        <v>Rua Engenheiro Gilson Almeida</v>
      </c>
      <c r="BL131" s="27">
        <f ca="1">IFERROR(__xludf.DUMMYFUNCTION("""COMPUTED_VALUE"""),22)</f>
        <v>22</v>
      </c>
      <c r="BM131" s="27"/>
      <c r="BN131" s="27"/>
      <c r="BO131" s="27" t="str">
        <f ca="1">IFERROR(__xludf.DUMMYFUNCTION("""COMPUTED_VALUE"""),"42801-666")</f>
        <v>42801-666</v>
      </c>
      <c r="BP131" s="27" t="str">
        <f ca="1">IFERROR(__xludf.DUMMYFUNCTION("""COMPUTED_VALUE"""),"BA")</f>
        <v>BA</v>
      </c>
      <c r="BQ131" s="27" t="str">
        <f ca="1">IFERROR(__xludf.DUMMYFUNCTION("""COMPUTED_VALUE"""),"Entre 1 até 3 salários mínimos")</f>
        <v>Entre 1 até 3 salários mínimos</v>
      </c>
      <c r="BR131" s="27" t="str">
        <f ca="1">IFERROR(__xludf.DUMMYFUNCTION("""COMPUTED_VALUE"""),"Desempregado")</f>
        <v>Desempregado</v>
      </c>
      <c r="BS131" s="27" t="str">
        <f ca="1">IFERROR(__xludf.DUMMYFUNCTION("""COMPUTED_VALUE"""),"Outros")</f>
        <v>Outros</v>
      </c>
      <c r="BT131" s="27">
        <f ca="1">IFERROR(__xludf.DUMMYFUNCTION("""COMPUTED_VALUE"""),1)</f>
        <v>1</v>
      </c>
      <c r="BU131" s="27" t="str">
        <f ca="1">IFERROR(__xludf.DUMMYFUNCTION("""COMPUTED_VALUE"""),"Não tem")</f>
        <v>Não tem</v>
      </c>
      <c r="BV131" s="27" t="str">
        <f ca="1">IFERROR(__xludf.DUMMYFUNCTION("""COMPUTED_VALUE"""),"Não")</f>
        <v>Não</v>
      </c>
      <c r="BW131" s="27"/>
      <c r="BX131" s="27" t="str">
        <f ca="1">IFERROR(__xludf.DUMMYFUNCTION("""COMPUTED_VALUE"""),"@tamara.olivieri")</f>
        <v>@tamara.olivieri</v>
      </c>
      <c r="BY131" s="27"/>
    </row>
    <row r="132" spans="1:77" ht="12.5" x14ac:dyDescent="0.25">
      <c r="A132" s="21" t="str">
        <f ca="1">IFERROR(__xludf.DUMMYFUNCTION("""COMPUTED_VALUE"""),"0014X00002VKCpDQAX")</f>
        <v>0014X00002VKCpDQAX</v>
      </c>
      <c r="B132" s="27"/>
      <c r="C132" s="27" t="str">
        <f ca="1">IFERROR(__xludf.DUMMYFUNCTION("""COMPUTED_VALUE"""),"Fellow")</f>
        <v>Fellow</v>
      </c>
      <c r="D132" s="27" t="str">
        <f ca="1">IFERROR(__xludf.DUMMYFUNCTION("""COMPUTED_VALUE"""),"Ativo")</f>
        <v>Ativo</v>
      </c>
      <c r="E132" s="27" t="str">
        <f ca="1">IFERROR(__xludf.DUMMYFUNCTION("""COMPUTED_VALUE"""),"Associação Plenitude do Amor (APA)")</f>
        <v>Associação Plenitude do Amor (APA)</v>
      </c>
      <c r="F132" s="27" t="str">
        <f ca="1">IFERROR(__xludf.DUMMYFUNCTION("""COMPUTED_VALUE"""),"Elaine")</f>
        <v>Elaine</v>
      </c>
      <c r="G132" s="27" t="str">
        <f ca="1">IFERROR(__xludf.DUMMYFUNCTION("""COMPUTED_VALUE"""),"ASSOCIAÇÃO PLENITUDE DO AMOR.")</f>
        <v>ASSOCIAÇÃO PLENITUDE DO AMOR.</v>
      </c>
      <c r="H132" s="27" t="str">
        <f ca="1">IFERROR(__xludf.DUMMYFUNCTION("""COMPUTED_VALUE"""),"20.888.423/0001-05")</f>
        <v>20.888.423/0001-05</v>
      </c>
      <c r="I132" s="27" t="str">
        <f ca="1">IFERROR(__xludf.DUMMYFUNCTION("""COMPUTED_VALUE"""),"A mesma.")</f>
        <v>A mesma.</v>
      </c>
      <c r="J132" s="27" t="str">
        <f ca="1">IFERROR(__xludf.DUMMYFUNCTION("""COMPUTED_VALUE"""),"associcaoplenitudeamor@gmail.com")</f>
        <v>associcaoplenitudeamor@gmail.com</v>
      </c>
      <c r="K132" s="27"/>
      <c r="L132" s="27" t="str">
        <f ca="1">IFERROR(__xludf.DUMMYFUNCTION("""COMPUTED_VALUE"""),"BA")</f>
        <v>BA</v>
      </c>
      <c r="M132" s="27" t="str">
        <f ca="1">IFERROR(__xludf.DUMMYFUNCTION("""COMPUTED_VALUE"""),"Rua Doutor Mário Augusto Teixeira de Freitas")</f>
        <v>Rua Doutor Mário Augusto Teixeira de Freitas</v>
      </c>
      <c r="N132" s="27" t="str">
        <f ca="1">IFERROR(__xludf.DUMMYFUNCTION("""COMPUTED_VALUE"""),"Massaranduba")</f>
        <v>Massaranduba</v>
      </c>
      <c r="O132" s="27">
        <f ca="1">IFERROR(__xludf.DUMMYFUNCTION("""COMPUTED_VALUE"""),340)</f>
        <v>340</v>
      </c>
      <c r="P132" s="27" t="str">
        <f ca="1">IFERROR(__xludf.DUMMYFUNCTION("""COMPUTED_VALUE"""),"Salvador")</f>
        <v>Salvador</v>
      </c>
      <c r="Q132" s="27"/>
      <c r="R132" s="27" t="str">
        <f ca="1">IFERROR(__xludf.DUMMYFUNCTION("""COMPUTED_VALUE"""),"40435-570")</f>
        <v>40435-570</v>
      </c>
      <c r="S132" s="27"/>
      <c r="T132" s="27"/>
      <c r="U132" s="27"/>
      <c r="V132" s="27"/>
      <c r="W132" s="27">
        <f ca="1">IFERROR(__xludf.DUMMYFUNCTION("""COMPUTED_VALUE"""),25)</f>
        <v>25</v>
      </c>
      <c r="X132" s="27"/>
      <c r="Y132" s="27"/>
      <c r="Z132" s="27">
        <f ca="1">IFERROR(__xludf.DUMMYFUNCTION("""COMPUTED_VALUE"""),200)</f>
        <v>200</v>
      </c>
      <c r="AA132" s="29">
        <f ca="1">IFERROR(__xludf.DUMMYFUNCTION("""COMPUTED_VALUE"""),42282)</f>
        <v>42282</v>
      </c>
      <c r="AB132" s="27" t="str">
        <f ca="1">IFERROR(__xludf.DUMMYFUNCTION("""COMPUTED_VALUE"""),"Sim")</f>
        <v>Sim</v>
      </c>
      <c r="AC132" s="27">
        <f ca="1">IFERROR(__xludf.DUMMYFUNCTION("""COMPUTED_VALUE"""),15)</f>
        <v>15</v>
      </c>
      <c r="AD132" s="27"/>
      <c r="AE132" s="27">
        <f ca="1">IFERROR(__xludf.DUMMYFUNCTION("""COMPUTED_VALUE"""),20)</f>
        <v>20</v>
      </c>
      <c r="AF132" s="27"/>
      <c r="AG132" s="27">
        <f ca="1">IFERROR(__xludf.DUMMYFUNCTION("""COMPUTED_VALUE"""),0)</f>
        <v>0</v>
      </c>
      <c r="AH132" s="27"/>
      <c r="AI132" s="27">
        <f ca="1">IFERROR(__xludf.DUMMYFUNCTION("""COMPUTED_VALUE"""),0)</f>
        <v>0</v>
      </c>
      <c r="AJ132" s="27" t="str">
        <f ca="1">IFERROR(__xludf.DUMMYFUNCTION("""COMPUTED_VALUE"""),"Não")</f>
        <v>Não</v>
      </c>
      <c r="AK132" s="27"/>
      <c r="AL132" s="21" t="str">
        <f ca="1">IFERROR(__xludf.DUMMYFUNCTION("""COMPUTED_VALUE"""),"0034X0000380O5z")</f>
        <v>0034X0000380O5z</v>
      </c>
      <c r="AM132" s="27" t="str">
        <f ca="1">IFERROR(__xludf.DUMMYFUNCTION("""COMPUTED_VALUE"""),"Cristina do nascimento barreto")</f>
        <v>Cristina do nascimento barreto</v>
      </c>
      <c r="AN132" s="27" t="str">
        <f ca="1">IFERROR(__xludf.DUMMYFUNCTION("""COMPUTED_VALUE"""),"Ativo")</f>
        <v>Ativo</v>
      </c>
      <c r="AO132" s="27"/>
      <c r="AP132" s="27"/>
      <c r="AQ132" s="27" t="str">
        <f ca="1">IFERROR(__xludf.DUMMYFUNCTION("""COMPUTED_VALUE"""),"Primeiro Semestre 2022")</f>
        <v>Primeiro Semestre 2022</v>
      </c>
      <c r="AR132" s="27" t="str">
        <f ca="1">IFERROR(__xludf.DUMMYFUNCTION("""COMPUTED_VALUE"""),"elainemidianews@gmail.com")</f>
        <v>elainemidianews@gmail.com</v>
      </c>
      <c r="AS132" s="27" t="str">
        <f ca="1">IFERROR(__xludf.DUMMYFUNCTION("""COMPUTED_VALUE"""),"71/991308187")</f>
        <v>71/991308187</v>
      </c>
      <c r="AT132" s="29">
        <f ca="1">IFERROR(__xludf.DUMMYFUNCTION("""COMPUTED_VALUE"""),27289)</f>
        <v>27289</v>
      </c>
      <c r="AU132" s="27">
        <f ca="1">IFERROR(__xludf.DUMMYFUNCTION("""COMPUTED_VALUE"""),48)</f>
        <v>48</v>
      </c>
      <c r="AV132" s="27">
        <f ca="1">IFERROR(__xludf.DUMMYFUNCTION("""COMPUTED_VALUE"""),68269951587)</f>
        <v>68269951587</v>
      </c>
      <c r="AW132" s="27">
        <f ca="1">IFERROR(__xludf.DUMMYFUNCTION("""COMPUTED_VALUE"""),476727570)</f>
        <v>476727570</v>
      </c>
      <c r="AX132" s="27"/>
      <c r="AY132" s="27"/>
      <c r="AZ132" s="27" t="str">
        <f ca="1">IFERROR(__xludf.DUMMYFUNCTION("""COMPUTED_VALUE"""),"G")</f>
        <v>G</v>
      </c>
      <c r="BA132" s="27" t="str">
        <f ca="1">IFERROR(__xludf.DUMMYFUNCTION("""COMPUTED_VALUE"""),"Preta")</f>
        <v>Preta</v>
      </c>
      <c r="BB132" s="27"/>
      <c r="BC132" s="27"/>
      <c r="BD132" s="27" t="str">
        <f ca="1">IFERROR(__xludf.DUMMYFUNCTION("""COMPUTED_VALUE"""),"Me chamo Elaine Barreto* moro em Salvador Bahia* sou radialista por profissão* tenho 47 anos* sou mâe de 4 filhos e agora tenho 1 neto* ah sou casada.")</f>
        <v>Me chamo Elaine Barreto* moro em Salvador Bahia* sou radialista por profissão* tenho 47 anos* sou mâe de 4 filhos e agora tenho 1 neto* ah sou casada.</v>
      </c>
      <c r="BE132" s="27" t="str">
        <f ca="1">IFERROR(__xludf.DUMMYFUNCTION("""COMPUTED_VALUE"""),"Feminino")</f>
        <v>Feminino</v>
      </c>
      <c r="BF132" s="27" t="str">
        <f ca="1">IFERROR(__xludf.DUMMYFUNCTION("""COMPUTED_VALUE"""),"Heterossexual")</f>
        <v>Heterossexual</v>
      </c>
      <c r="BG132" s="27"/>
      <c r="BH132" s="27" t="str">
        <f ca="1">IFERROR(__xludf.DUMMYFUNCTION("""COMPUTED_VALUE"""),"Privado")</f>
        <v>Privado</v>
      </c>
      <c r="BI132" s="27" t="str">
        <f ca="1">IFERROR(__xludf.DUMMYFUNCTION("""COMPUTED_VALUE"""),"Graduação")</f>
        <v>Graduação</v>
      </c>
      <c r="BJ132" s="27" t="str">
        <f ca="1">IFERROR(__xludf.DUMMYFUNCTION("""COMPUTED_VALUE"""),"Privado")</f>
        <v>Privado</v>
      </c>
      <c r="BK132" s="27" t="str">
        <f ca="1">IFERROR(__xludf.DUMMYFUNCTION("""COMPUTED_VALUE"""),"2º Travessa Urbano Duarte")</f>
        <v>2º Travessa Urbano Duarte</v>
      </c>
      <c r="BL132" s="27">
        <f ca="1">IFERROR(__xludf.DUMMYFUNCTION("""COMPUTED_VALUE"""),10)</f>
        <v>10</v>
      </c>
      <c r="BM132" s="27">
        <f ca="1">IFERROR(__xludf.DUMMYFUNCTION("""COMPUTED_VALUE"""),3)</f>
        <v>3</v>
      </c>
      <c r="BN132" s="27"/>
      <c r="BO132" s="27" t="str">
        <f ca="1">IFERROR(__xludf.DUMMYFUNCTION("""COMPUTED_VALUE"""),"40425-181")</f>
        <v>40425-181</v>
      </c>
      <c r="BP132" s="27" t="str">
        <f ca="1">IFERROR(__xludf.DUMMYFUNCTION("""COMPUTED_VALUE"""),"BA")</f>
        <v>BA</v>
      </c>
      <c r="BQ132" s="27" t="str">
        <f ca="1">IFERROR(__xludf.DUMMYFUNCTION("""COMPUTED_VALUE"""),"Entre 1 até 3 salários mínimos")</f>
        <v>Entre 1 até 3 salários mínimos</v>
      </c>
      <c r="BR132" s="27" t="str">
        <f ca="1">IFERROR(__xludf.DUMMYFUNCTION("""COMPUTED_VALUE"""),"MEI")</f>
        <v>MEI</v>
      </c>
      <c r="BS132" s="27" t="str">
        <f ca="1">IFERROR(__xludf.DUMMYFUNCTION("""COMPUTED_VALUE"""),"Aluguel")</f>
        <v>Aluguel</v>
      </c>
      <c r="BT132" s="27">
        <f ca="1">IFERROR(__xludf.DUMMYFUNCTION("""COMPUTED_VALUE"""),6)</f>
        <v>6</v>
      </c>
      <c r="BU132" s="27" t="str">
        <f ca="1">IFERROR(__xludf.DUMMYFUNCTION("""COMPUTED_VALUE"""),"Não tem")</f>
        <v>Não tem</v>
      </c>
      <c r="BV132" s="27" t="str">
        <f ca="1">IFERROR(__xludf.DUMMYFUNCTION("""COMPUTED_VALUE"""),"Não")</f>
        <v>Não</v>
      </c>
      <c r="BW132" s="27"/>
      <c r="BX132" s="21" t="str">
        <f ca="1">IFERROR(__xludf.DUMMYFUNCTION("""COMPUTED_VALUE"""),"https://www.instagram.com/prelainecristina/")</f>
        <v>https://www.instagram.com/prelainecristina/</v>
      </c>
      <c r="BY132" s="21" t="str">
        <f ca="1">IFERROR(__xludf.DUMMYFUNCTION("""COMPUTED_VALUE"""),"https://drive.google.com/open?id=1aKqIxDIHExO-Xo3Ztcl1MaOv2TWR08Qg")</f>
        <v>https://drive.google.com/open?id=1aKqIxDIHExO-Xo3Ztcl1MaOv2TWR08Qg</v>
      </c>
    </row>
    <row r="133" spans="1:77" ht="12.5" hidden="1" x14ac:dyDescent="0.25">
      <c r="A133" s="21" t="str">
        <f ca="1">IFERROR(__xludf.DUMMYFUNCTION("""COMPUTED_VALUE"""),"0014X00002VKCqsQAH")</f>
        <v>0014X00002VKCqsQAH</v>
      </c>
      <c r="B133" s="27" t="str">
        <f ca="1">IFERROR(__xludf.DUMMYFUNCTION("""COMPUTED_VALUE"""),"Fase Inicial")</f>
        <v>Fase Inicial</v>
      </c>
      <c r="C133" s="27" t="str">
        <f ca="1">IFERROR(__xludf.DUMMYFUNCTION("""COMPUTED_VALUE"""),"Fellow")</f>
        <v>Fellow</v>
      </c>
      <c r="D133" s="27" t="str">
        <f ca="1">IFERROR(__xludf.DUMMYFUNCTION("""COMPUTED_VALUE"""),"Ativo")</f>
        <v>Ativo</v>
      </c>
      <c r="E133" s="27" t="str">
        <f ca="1">IFERROR(__xludf.DUMMYFUNCTION("""COMPUTED_VALUE"""),"ASSOCIAÇÃO PRO CULTURA- MONTE SANTO DE MINAS")</f>
        <v>ASSOCIAÇÃO PRO CULTURA- MONTE SANTO DE MINAS</v>
      </c>
      <c r="F133" s="27" t="str">
        <f ca="1">IFERROR(__xludf.DUMMYFUNCTION("""COMPUTED_VALUE"""),"Juliana")</f>
        <v>Juliana</v>
      </c>
      <c r="G133" s="27" t="str">
        <f ca="1">IFERROR(__xludf.DUMMYFUNCTION("""COMPUTED_VALUE"""),"ASSOCIAÇÃO PRO CULTURA")</f>
        <v>ASSOCIAÇÃO PRO CULTURA</v>
      </c>
      <c r="H133" s="27" t="str">
        <f ca="1">IFERROR(__xludf.DUMMYFUNCTION("""COMPUTED_VALUE"""),"19.972.395/0001-12")</f>
        <v>19.972.395/0001-12</v>
      </c>
      <c r="I133" s="27" t="str">
        <f ca="1">IFERROR(__xludf.DUMMYFUNCTION("""COMPUTED_VALUE"""),"Juliana de Oliveira Duarte")</f>
        <v>Juliana de Oliveira Duarte</v>
      </c>
      <c r="J133" s="27" t="str">
        <f ca="1">IFERROR(__xludf.DUMMYFUNCTION("""COMPUTED_VALUE"""),"associacaoproculturamsm@gmail.com")</f>
        <v>associacaoproculturamsm@gmail.com</v>
      </c>
      <c r="K133" s="27" t="str">
        <f ca="1">IFERROR(__xludf.DUMMYFUNCTION("""COMPUTED_VALUE"""),"(35)9917-9201")</f>
        <v>(35)9917-9201</v>
      </c>
      <c r="L133" s="27" t="str">
        <f ca="1">IFERROR(__xludf.DUMMYFUNCTION("""COMPUTED_VALUE"""),"MG")</f>
        <v>MG</v>
      </c>
      <c r="M133" s="27" t="str">
        <f ca="1">IFERROR(__xludf.DUMMYFUNCTION("""COMPUTED_VALUE"""),"Rua Olímpio Bento da Silva")</f>
        <v>Rua Olímpio Bento da Silva</v>
      </c>
      <c r="N133" s="27" t="str">
        <f ca="1">IFERROR(__xludf.DUMMYFUNCTION("""COMPUTED_VALUE"""),"Centro")</f>
        <v>Centro</v>
      </c>
      <c r="O133" s="27">
        <f ca="1">IFERROR(__xludf.DUMMYFUNCTION("""COMPUTED_VALUE"""),220)</f>
        <v>220</v>
      </c>
      <c r="P133" s="27" t="str">
        <f ca="1">IFERROR(__xludf.DUMMYFUNCTION("""COMPUTED_VALUE"""),"Monte Santo de Minas")</f>
        <v>Monte Santo de Minas</v>
      </c>
      <c r="Q133" s="27"/>
      <c r="R133" s="27" t="str">
        <f ca="1">IFERROR(__xludf.DUMMYFUNCTION("""COMPUTED_VALUE"""),"37968-000")</f>
        <v>37968-000</v>
      </c>
      <c r="S133" s="27" t="str">
        <f ca="1">IFERROR(__xludf.DUMMYFUNCTION("""COMPUTED_VALUE"""),"No Clube da Cidade, Distrito de Milagre, no Espaço Recreativo da Terceira Idade, No Espaço de Oficina do Serviço Social da Prefeitura.")</f>
        <v>No Clube da Cidade, Distrito de Milagre, no Espaço Recreativo da Terceira Idade, No Espaço de Oficina do Serviço Social da Prefeitura.</v>
      </c>
      <c r="T133" s="27"/>
      <c r="U133" s="27" t="str">
        <f ca="1">IFERROR(__xludf.DUMMYFUNCTION("""COMPUTED_VALUE"""),"Crianças (6 a 12 anos), Adolescentes (12 aos 18 anos), Jovens (18 aos 24 anos), Adultos")</f>
        <v>Crianças (6 a 12 anos), Adolescentes (12 aos 18 anos), Jovens (18 aos 24 anos), Adultos</v>
      </c>
      <c r="V133" s="27" t="str">
        <f ca="1">IFERROR(__xludf.DUMMYFUNCTION("""COMPUTED_VALUE"""),"Moradores de Favelas")</f>
        <v>Moradores de Favelas</v>
      </c>
      <c r="W133" s="27">
        <f ca="1">IFERROR(__xludf.DUMMYFUNCTION("""COMPUTED_VALUE"""),2)</f>
        <v>2</v>
      </c>
      <c r="X133" s="27"/>
      <c r="Y133" s="27"/>
      <c r="Z133" s="27">
        <f ca="1">IFERROR(__xludf.DUMMYFUNCTION("""COMPUTED_VALUE"""),100)</f>
        <v>100</v>
      </c>
      <c r="AA133" s="29">
        <f ca="1">IFERROR(__xludf.DUMMYFUNCTION("""COMPUTED_VALUE"""),41641)</f>
        <v>41641</v>
      </c>
      <c r="AB133" s="27" t="str">
        <f ca="1">IFERROR(__xludf.DUMMYFUNCTION("""COMPUTED_VALUE"""),"Sim")</f>
        <v>Sim</v>
      </c>
      <c r="AC133" s="27">
        <f ca="1">IFERROR(__xludf.DUMMYFUNCTION("""COMPUTED_VALUE"""),8)</f>
        <v>8</v>
      </c>
      <c r="AD133" s="27">
        <f ca="1">IFERROR(__xludf.DUMMYFUNCTION("""COMPUTED_VALUE"""),8)</f>
        <v>8</v>
      </c>
      <c r="AE133" s="27">
        <f ca="1">IFERROR(__xludf.DUMMYFUNCTION("""COMPUTED_VALUE"""),12)</f>
        <v>12</v>
      </c>
      <c r="AF133" s="27">
        <f ca="1">IFERROR(__xludf.DUMMYFUNCTION("""COMPUTED_VALUE"""),8)</f>
        <v>8</v>
      </c>
      <c r="AG133" s="27">
        <f ca="1">IFERROR(__xludf.DUMMYFUNCTION("""COMPUTED_VALUE"""),2)</f>
        <v>2</v>
      </c>
      <c r="AH133" s="27" t="str">
        <f ca="1">IFERROR(__xludf.DUMMYFUNCTION("""COMPUTED_VALUE"""),"Convênio Público, Parceria iniciativa privada")</f>
        <v>Convênio Público, Parceria iniciativa privada</v>
      </c>
      <c r="AI133" s="27">
        <f ca="1">IFERROR(__xludf.DUMMYFUNCTION("""COMPUTED_VALUE"""),0)</f>
        <v>0</v>
      </c>
      <c r="AJ133" s="27" t="str">
        <f ca="1">IFERROR(__xludf.DUMMYFUNCTION("""COMPUTED_VALUE"""),"Vamos iniciar esse ano")</f>
        <v>Vamos iniciar esse ano</v>
      </c>
      <c r="AK133" s="27"/>
      <c r="AL133" s="21" t="str">
        <f ca="1">IFERROR(__xludf.DUMMYFUNCTION("""COMPUTED_VALUE"""),"0034X0000380O5J")</f>
        <v>0034X0000380O5J</v>
      </c>
      <c r="AM133" s="27" t="str">
        <f ca="1">IFERROR(__xludf.DUMMYFUNCTION("""COMPUTED_VALUE"""),"De oliveira duarte")</f>
        <v>De oliveira duarte</v>
      </c>
      <c r="AN133" s="27" t="str">
        <f ca="1">IFERROR(__xludf.DUMMYFUNCTION("""COMPUTED_VALUE"""),"Ativo")</f>
        <v>Ativo</v>
      </c>
      <c r="AO133" s="27"/>
      <c r="AP133" s="27"/>
      <c r="AQ133" s="27" t="str">
        <f ca="1">IFERROR(__xludf.DUMMYFUNCTION("""COMPUTED_VALUE"""),"Primeiro Semestre 2022")</f>
        <v>Primeiro Semestre 2022</v>
      </c>
      <c r="AR133" s="27" t="str">
        <f ca="1">IFERROR(__xludf.DUMMYFUNCTION("""COMPUTED_VALUE"""),"jujuduarty@hotmail.com")</f>
        <v>jujuduarty@hotmail.com</v>
      </c>
      <c r="AS133" s="27">
        <f ca="1">IFERROR(__xludf.DUMMYFUNCTION("""COMPUTED_VALUE"""),35999179201)</f>
        <v>35999179201</v>
      </c>
      <c r="AT133" s="30">
        <f ca="1">IFERROR(__xludf.DUMMYFUNCTION("""COMPUTED_VALUE"""),30967)</f>
        <v>30967</v>
      </c>
      <c r="AU133" s="27">
        <f ca="1">IFERROR(__xludf.DUMMYFUNCTION("""COMPUTED_VALUE"""),38)</f>
        <v>38</v>
      </c>
      <c r="AV133" s="27">
        <f ca="1">IFERROR(__xludf.DUMMYFUNCTION("""COMPUTED_VALUE"""),7172807642)</f>
        <v>7172807642</v>
      </c>
      <c r="AW133" s="27">
        <f ca="1">IFERROR(__xludf.DUMMYFUNCTION("""COMPUTED_VALUE"""),13825569)</f>
        <v>13825569</v>
      </c>
      <c r="AX133" s="27"/>
      <c r="AY133" s="27"/>
      <c r="AZ133" s="27" t="str">
        <f ca="1">IFERROR(__xludf.DUMMYFUNCTION("""COMPUTED_VALUE"""),"M")</f>
        <v>M</v>
      </c>
      <c r="BA133" s="27" t="str">
        <f ca="1">IFERROR(__xludf.DUMMYFUNCTION("""COMPUTED_VALUE"""),"Branca")</f>
        <v>Branca</v>
      </c>
      <c r="BB133" s="27"/>
      <c r="BC133" s="27"/>
      <c r="BD133" s="27" t="str">
        <f ca="1">IFERROR(__xludf.DUMMYFUNCTION("""COMPUTED_VALUE"""),"Prossora de dança e atuante na area social atraves de projetos e acoes solidarias. Atual presidente da associação procultura e fundadora da conexao solidaria que ajuda familias com cestas basicas durante a pandemia.")</f>
        <v>Prossora de dança e atuante na area social atraves de projetos e acoes solidarias. Atual presidente da associação procultura e fundadora da conexao solidaria que ajuda familias com cestas basicas durante a pandemia.</v>
      </c>
      <c r="BE133" s="27" t="str">
        <f ca="1">IFERROR(__xludf.DUMMYFUNCTION("""COMPUTED_VALUE"""),"Feminino")</f>
        <v>Feminino</v>
      </c>
      <c r="BF133" s="27" t="str">
        <f ca="1">IFERROR(__xludf.DUMMYFUNCTION("""COMPUTED_VALUE"""),"Heterossexual")</f>
        <v>Heterossexual</v>
      </c>
      <c r="BG133" s="27"/>
      <c r="BH133" s="27" t="str">
        <f ca="1">IFERROR(__xludf.DUMMYFUNCTION("""COMPUTED_VALUE"""),"Público")</f>
        <v>Público</v>
      </c>
      <c r="BI133" s="27"/>
      <c r="BJ133" s="27" t="str">
        <f ca="1">IFERROR(__xludf.DUMMYFUNCTION("""COMPUTED_VALUE"""),"Privado")</f>
        <v>Privado</v>
      </c>
      <c r="BK133" s="27" t="str">
        <f ca="1">IFERROR(__xludf.DUMMYFUNCTION("""COMPUTED_VALUE"""),"Afonso Pena")</f>
        <v>Afonso Pena</v>
      </c>
      <c r="BL133" s="27">
        <f ca="1">IFERROR(__xludf.DUMMYFUNCTION("""COMPUTED_VALUE"""),171)</f>
        <v>171</v>
      </c>
      <c r="BM133" s="27"/>
      <c r="BN133" s="27"/>
      <c r="BO133" s="27">
        <f ca="1">IFERROR(__xludf.DUMMYFUNCTION("""COMPUTED_VALUE"""),37968000)</f>
        <v>37968000</v>
      </c>
      <c r="BP133" s="27" t="str">
        <f ca="1">IFERROR(__xludf.DUMMYFUNCTION("""COMPUTED_VALUE"""),"MG")</f>
        <v>MG</v>
      </c>
      <c r="BQ133" s="27" t="str">
        <f ca="1">IFERROR(__xludf.DUMMYFUNCTION("""COMPUTED_VALUE"""),"Entre 1 até 3 salários mínimos")</f>
        <v>Entre 1 até 3 salários mínimos</v>
      </c>
      <c r="BR133" s="27" t="str">
        <f ca="1">IFERROR(__xludf.DUMMYFUNCTION("""COMPUTED_VALUE"""),"MEI")</f>
        <v>MEI</v>
      </c>
      <c r="BS133" s="27" t="str">
        <f ca="1">IFERROR(__xludf.DUMMYFUNCTION("""COMPUTED_VALUE"""),"Aluguel")</f>
        <v>Aluguel</v>
      </c>
      <c r="BT133" s="27">
        <f ca="1">IFERROR(__xludf.DUMMYFUNCTION("""COMPUTED_VALUE"""),1)</f>
        <v>1</v>
      </c>
      <c r="BU133" s="27" t="str">
        <f ca="1">IFERROR(__xludf.DUMMYFUNCTION("""COMPUTED_VALUE"""),"Não tem")</f>
        <v>Não tem</v>
      </c>
      <c r="BV133" s="27" t="str">
        <f ca="1">IFERROR(__xludf.DUMMYFUNCTION("""COMPUTED_VALUE"""),"Não")</f>
        <v>Não</v>
      </c>
      <c r="BW133" s="27"/>
      <c r="BX133" s="21" t="str">
        <f ca="1">IFERROR(__xludf.DUMMYFUNCTION("""COMPUTED_VALUE"""),"https://www.instagram.com/juoliveira.coach/")</f>
        <v>https://www.instagram.com/juoliveira.coach/</v>
      </c>
      <c r="BY133" s="21" t="str">
        <f ca="1">IFERROR(__xludf.DUMMYFUNCTION("""COMPUTED_VALUE"""),"https://drive.google.com/open?id=18Y13x3v2cLA3hHIc96789Z-q0rvOxZso")</f>
        <v>https://drive.google.com/open?id=18Y13x3v2cLA3hHIc96789Z-q0rvOxZso</v>
      </c>
    </row>
    <row r="134" spans="1:77" ht="12.5" x14ac:dyDescent="0.25">
      <c r="A134" s="21" t="str">
        <f ca="1">IFERROR(__xludf.DUMMYFUNCTION("""COMPUTED_VALUE"""),"0014P00003SGWQ6QAP")</f>
        <v>0014P00003SGWQ6QAP</v>
      </c>
      <c r="B134" s="27"/>
      <c r="C134" s="27" t="str">
        <f ca="1">IFERROR(__xludf.DUMMYFUNCTION("""COMPUTED_VALUE"""),"Fellow")</f>
        <v>Fellow</v>
      </c>
      <c r="D134" s="27" t="str">
        <f ca="1">IFERROR(__xludf.DUMMYFUNCTION("""COMPUTED_VALUE"""),"Ativo")</f>
        <v>Ativo</v>
      </c>
      <c r="E134" s="27" t="str">
        <f ca="1">IFERROR(__xludf.DUMMYFUNCTION("""COMPUTED_VALUE"""),"ASSOCIAÇÃO PROJETO CASA ABERTA")</f>
        <v>ASSOCIAÇÃO PROJETO CASA ABERTA</v>
      </c>
      <c r="F134" s="27" t="str">
        <f ca="1">IFERROR(__xludf.DUMMYFUNCTION("""COMPUTED_VALUE"""),"Renata")</f>
        <v>Renata</v>
      </c>
      <c r="G134" s="27" t="str">
        <f ca="1">IFERROR(__xludf.DUMMYFUNCTION("""COMPUTED_VALUE"""),"CASA ABERTA")</f>
        <v>CASA ABERTA</v>
      </c>
      <c r="H134" s="27" t="str">
        <f ca="1">IFERROR(__xludf.DUMMYFUNCTION("""COMPUTED_VALUE"""),"41.285.291/0001-99")</f>
        <v>41.285.291/0001-99</v>
      </c>
      <c r="I134" s="27" t="str">
        <f ca="1">IFERROR(__xludf.DUMMYFUNCTION("""COMPUTED_VALUE"""),"Renata De Sousa Lima Macedo")</f>
        <v>Renata De Sousa Lima Macedo</v>
      </c>
      <c r="J134" s="27" t="str">
        <f ca="1">IFERROR(__xludf.DUMMYFUNCTION("""COMPUTED_VALUE"""),"projetocasaabertacontagem@gmail.com")</f>
        <v>projetocasaabertacontagem@gmail.com</v>
      </c>
      <c r="K134" s="27" t="str">
        <f ca="1">IFERROR(__xludf.DUMMYFUNCTION("""COMPUTED_VALUE"""),"(32)98887-9662")</f>
        <v>(32)98887-9662</v>
      </c>
      <c r="L134" s="27" t="str">
        <f ca="1">IFERROR(__xludf.DUMMYFUNCTION("""COMPUTED_VALUE"""),"MG")</f>
        <v>MG</v>
      </c>
      <c r="M134" s="27" t="str">
        <f ca="1">IFERROR(__xludf.DUMMYFUNCTION("""COMPUTED_VALUE"""),"Av. Carmelita Drummond Diniz")</f>
        <v>Av. Carmelita Drummond Diniz</v>
      </c>
      <c r="N134" s="27" t="str">
        <f ca="1">IFERROR(__xludf.DUMMYFUNCTION("""COMPUTED_VALUE"""),"Parque Maracanã")</f>
        <v>Parque Maracanã</v>
      </c>
      <c r="O134" s="27">
        <f ca="1">IFERROR(__xludf.DUMMYFUNCTION("""COMPUTED_VALUE"""),375)</f>
        <v>375</v>
      </c>
      <c r="P134" s="27" t="str">
        <f ca="1">IFERROR(__xludf.DUMMYFUNCTION("""COMPUTED_VALUE"""),"Contagem")</f>
        <v>Contagem</v>
      </c>
      <c r="Q134" s="27" t="str">
        <f ca="1">IFERROR(__xludf.DUMMYFUNCTION("""COMPUTED_VALUE"""),"Casa")</f>
        <v>Casa</v>
      </c>
      <c r="R134" s="27">
        <f ca="1">IFERROR(__xludf.DUMMYFUNCTION("""COMPUTED_VALUE"""),32042430)</f>
        <v>32042430</v>
      </c>
      <c r="S134" s="27" t="str">
        <f ca="1">IFERROR(__xludf.DUMMYFUNCTION("""COMPUTED_VALUE"""),"Escolinha de futebol campo da comunidade Rua Rosa de Abreu 85 Maracanã")</f>
        <v>Escolinha de futebol campo da comunidade Rua Rosa de Abreu 85 Maracanã</v>
      </c>
      <c r="T134" s="27" t="str">
        <f ca="1">IFERROR(__xludf.DUMMYFUNCTION("""COMPUTED_VALUE"""),"Esporte; Educação; Assistência Social; Cultura; Qualificação Profissional; Empreendedorismo")</f>
        <v>Esporte; Educação; Assistência Social; Cultura; Qualificação Profissional; Empreendedorismo</v>
      </c>
      <c r="U134"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134" s="27"/>
      <c r="W134" s="27">
        <f ca="1">IFERROR(__xludf.DUMMYFUNCTION("""COMPUTED_VALUE"""),6)</f>
        <v>6</v>
      </c>
      <c r="X134" s="27" t="str">
        <f ca="1">IFERROR(__xludf.DUMMYFUNCTION("""COMPUTED_VALUE"""),"Nosso desejo é ter polo de ações mesmo que mensais no Parque São e Morro Vermelho que são mais distantes hoje nosso atendimento é mais na questão Assistencial.")</f>
        <v>Nosso desejo é ter polo de ações mesmo que mensais no Parque São e Morro Vermelho que são mais distantes hoje nosso atendimento é mais na questão Assistencial.</v>
      </c>
      <c r="Y134" s="27">
        <f ca="1">IFERROR(__xludf.DUMMYFUNCTION("""COMPUTED_VALUE"""),70)</f>
        <v>70</v>
      </c>
      <c r="Z134" s="27">
        <f ca="1">IFERROR(__xludf.DUMMYFUNCTION("""COMPUTED_VALUE"""),3000)</f>
        <v>3000</v>
      </c>
      <c r="AA134" s="29">
        <f ca="1">IFERROR(__xludf.DUMMYFUNCTION("""COMPUTED_VALUE"""),44059)</f>
        <v>44059</v>
      </c>
      <c r="AB134" s="27" t="str">
        <f ca="1">IFERROR(__xludf.DUMMYFUNCTION("""COMPUTED_VALUE"""),"Sim")</f>
        <v>Sim</v>
      </c>
      <c r="AC134" s="27">
        <f ca="1">IFERROR(__xludf.DUMMYFUNCTION("""COMPUTED_VALUE"""),20)</f>
        <v>20</v>
      </c>
      <c r="AD134" s="27"/>
      <c r="AE134" s="27">
        <f ca="1">IFERROR(__xludf.DUMMYFUNCTION("""COMPUTED_VALUE"""),8)</f>
        <v>8</v>
      </c>
      <c r="AF134" s="27"/>
      <c r="AG134" s="27">
        <f ca="1">IFERROR(__xludf.DUMMYFUNCTION("""COMPUTED_VALUE"""),5)</f>
        <v>5</v>
      </c>
      <c r="AH134" s="27" t="str">
        <f ca="1">IFERROR(__xludf.DUMMYFUNCTION("""COMPUTED_VALUE"""),"Eventos/Ações para captação; Plataforma doação online - Pessoa Física; Editais; Outro(s)")</f>
        <v>Eventos/Ações para captação; Plataforma doação online - Pessoa Física; Editais; Outro(s)</v>
      </c>
      <c r="AI134" s="27" t="str">
        <f ca="1">IFERROR(__xludf.DUMMYFUNCTION("""COMPUTED_VALUE"""),"80% outros 15% Editais 3% eventos 2% plataforma de doação")</f>
        <v>80% outros 15% Editais 3% eventos 2% plataforma de doação</v>
      </c>
      <c r="AJ134" s="27" t="str">
        <f ca="1">IFERROR(__xludf.DUMMYFUNCTION("""COMPUTED_VALUE"""),"Sim")</f>
        <v>Sim</v>
      </c>
      <c r="AK134" s="27" t="str">
        <f ca="1">IFERROR(__xludf.DUMMYFUNCTION("""COMPUTED_VALUE"""),"Não")</f>
        <v>Não</v>
      </c>
      <c r="AL134" s="21" t="str">
        <f ca="1">IFERROR(__xludf.DUMMYFUNCTION("""COMPUTED_VALUE"""),"0034P000043fOo7")</f>
        <v>0034P000043fOo7</v>
      </c>
      <c r="AM134" s="27" t="str">
        <f ca="1">IFERROR(__xludf.DUMMYFUNCTION("""COMPUTED_VALUE"""),"Pedro Augusto Rocha Costa")</f>
        <v>Pedro Augusto Rocha Costa</v>
      </c>
      <c r="AN134" s="27" t="str">
        <f ca="1">IFERROR(__xludf.DUMMYFUNCTION("""COMPUTED_VALUE"""),"Inativo")</f>
        <v>Inativo</v>
      </c>
      <c r="AO134" s="29">
        <f ca="1">IFERROR(__xludf.DUMMYFUNCTION("""COMPUTED_VALUE"""),44432)</f>
        <v>44432</v>
      </c>
      <c r="AP134" s="27">
        <f ca="1">IFERROR(__xludf.DUMMYFUNCTION("""COMPUTED_VALUE"""),13)</f>
        <v>13</v>
      </c>
      <c r="AQ134" s="27" t="str">
        <f ca="1">IFERROR(__xludf.DUMMYFUNCTION("""COMPUTED_VALUE"""),"Primeiro Semestre 2021")</f>
        <v>Primeiro Semestre 2021</v>
      </c>
      <c r="AR134" s="27" t="str">
        <f ca="1">IFERROR(__xludf.DUMMYFUNCTION("""COMPUTED_VALUE"""),"pedroarochacosta@gmail.com")</f>
        <v>pedroarochacosta@gmail.com</v>
      </c>
      <c r="AS134" s="27" t="str">
        <f ca="1">IFERROR(__xludf.DUMMYFUNCTION("""COMPUTED_VALUE"""),"(32)98887-9662")</f>
        <v>(32)98887-9662</v>
      </c>
      <c r="AT134" s="27"/>
      <c r="AU134" s="27"/>
      <c r="AV134" s="27"/>
      <c r="AW134" s="27"/>
      <c r="AX134" s="27" t="str">
        <f ca="1">IFERROR(__xludf.DUMMYFUNCTION("""COMPUTED_VALUE"""),"Educador Musical")</f>
        <v>Educador Musical</v>
      </c>
      <c r="AY134" s="27"/>
      <c r="AZ134" s="27" t="str">
        <f ca="1">IFERROR(__xludf.DUMMYFUNCTION("""COMPUTED_VALUE"""),"P")</f>
        <v>P</v>
      </c>
      <c r="BA134" s="27" t="str">
        <f ca="1">IFERROR(__xludf.DUMMYFUNCTION("""COMPUTED_VALUE"""),"Parda")</f>
        <v>Parda</v>
      </c>
      <c r="BB134" s="27"/>
      <c r="BC134" s="27" t="str">
        <f ca="1">IFERROR(__xludf.DUMMYFUNCTION("""COMPUTED_VALUE"""),"Não")</f>
        <v>Não</v>
      </c>
      <c r="BD134" s="27" t="str">
        <f ca="1">IFERROR(__xludf.DUMMYFUNCTION("""COMPUTED_VALUE"""),"Pedro Rocha é historiador, produtor cultural, gestor de cultura, diretor, ator, contador de histórias e educador musical.
Líder da ONG Palavras Encantadas. Em 2021 se conectou com o ecossistema Gerando Falcons atuando com líder Fallows. 
Formado em Histór"&amp;"ia e Educação Musical. Cursando Conservatório Estadual de Música, especializando em violão clássico. Pós graduando na Especialização Internacional em Educação Musical no Conservatório Brasileiro de Música – Centro Universitário (CBM/CEU).")</f>
        <v>Pedro Rocha é historiador, produtor cultural, gestor de cultura, diretor, ator, contador de histórias e educador musical.
Líder da ONG Palavras Encantadas. Em 2021 se conectou com o ecossistema Gerando Falcons atuando com líder Fallows. 
Formado em História e Educação Musical. Cursando Conservatório Estadual de Música, especializando em violão clássico. Pós graduando na Especialização Internacional em Educação Musical no Conservatório Brasileiro de Música – Centro Universitário (CBM/CEU).</v>
      </c>
      <c r="BE134" s="27" t="str">
        <f ca="1">IFERROR(__xludf.DUMMYFUNCTION("""COMPUTED_VALUE"""),"Feminino")</f>
        <v>Feminino</v>
      </c>
      <c r="BF134" s="27" t="str">
        <f ca="1">IFERROR(__xludf.DUMMYFUNCTION("""COMPUTED_VALUE"""),"Heterossexual")</f>
        <v>Heterossexual</v>
      </c>
      <c r="BG134" s="27" t="str">
        <f ca="1">IFERROR(__xludf.DUMMYFUNCTION("""COMPUTED_VALUE"""),"Ensino Superior - Completo")</f>
        <v>Ensino Superior - Completo</v>
      </c>
      <c r="BH134" s="27"/>
      <c r="BI134" s="27" t="str">
        <f ca="1">IFERROR(__xludf.DUMMYFUNCTION("""COMPUTED_VALUE"""),"Pós-Graduação")</f>
        <v>Pós-Graduação</v>
      </c>
      <c r="BJ134" s="27" t="str">
        <f ca="1">IFERROR(__xludf.DUMMYFUNCTION("""COMPUTED_VALUE"""),"Privado")</f>
        <v>Privado</v>
      </c>
      <c r="BK134" s="27" t="str">
        <f ca="1">IFERROR(__xludf.DUMMYFUNCTION("""COMPUTED_VALUE"""),"José Neto")</f>
        <v>José Neto</v>
      </c>
      <c r="BL134" s="27">
        <f ca="1">IFERROR(__xludf.DUMMYFUNCTION("""COMPUTED_VALUE"""),1)</f>
        <v>1</v>
      </c>
      <c r="BM134" s="27"/>
      <c r="BN134" s="27" t="str">
        <f ca="1">IFERROR(__xludf.DUMMYFUNCTION("""COMPUTED_VALUE"""),"Além Paraíba")</f>
        <v>Além Paraíba</v>
      </c>
      <c r="BO134" s="27" t="str">
        <f ca="1">IFERROR(__xludf.DUMMYFUNCTION("""COMPUTED_VALUE"""),"36660-000")</f>
        <v>36660-000</v>
      </c>
      <c r="BP134" s="27" t="str">
        <f ca="1">IFERROR(__xludf.DUMMYFUNCTION("""COMPUTED_VALUE"""),"MG")</f>
        <v>MG</v>
      </c>
      <c r="BQ134" s="27" t="str">
        <f ca="1">IFERROR(__xludf.DUMMYFUNCTION("""COMPUTED_VALUE"""),"Entre 1 até 3 salários mínimos")</f>
        <v>Entre 1 até 3 salários mínimos</v>
      </c>
      <c r="BR134" s="27" t="str">
        <f ca="1">IFERROR(__xludf.DUMMYFUNCTION("""COMPUTED_VALUE"""),"Desempregado")</f>
        <v>Desempregado</v>
      </c>
      <c r="BS134" s="27" t="str">
        <f ca="1">IFERROR(__xludf.DUMMYFUNCTION("""COMPUTED_VALUE"""),"Casa cedida")</f>
        <v>Casa cedida</v>
      </c>
      <c r="BT134" s="27">
        <f ca="1">IFERROR(__xludf.DUMMYFUNCTION("""COMPUTED_VALUE"""),2)</f>
        <v>2</v>
      </c>
      <c r="BU134" s="27"/>
      <c r="BV134" s="27"/>
      <c r="BW134" s="21" t="str">
        <f ca="1">IFERROR(__xludf.DUMMYFUNCTION("""COMPUTED_VALUE"""),"https://www.linkedin.com/in/pedroarocha")</f>
        <v>https://www.linkedin.com/in/pedroarocha</v>
      </c>
      <c r="BX134" s="27" t="str">
        <f ca="1">IFERROR(__xludf.DUMMYFUNCTION("""COMPUTED_VALUE"""),"@pedroarochacosta")</f>
        <v>@pedroarochacosta</v>
      </c>
      <c r="BY134" s="21" t="str">
        <f ca="1">IFERROR(__xludf.DUMMYFUNCTION("""COMPUTED_VALUE"""),"https://drive.google.com/open?id=17SjKmstH8BVVd_1qwiJR6nDQb7XDOlF4")</f>
        <v>https://drive.google.com/open?id=17SjKmstH8BVVd_1qwiJR6nDQb7XDOlF4</v>
      </c>
    </row>
    <row r="135" spans="1:77" ht="12.5" hidden="1" x14ac:dyDescent="0.25">
      <c r="A135" s="21" t="str">
        <f ca="1">IFERROR(__xludf.DUMMYFUNCTION("""COMPUTED_VALUE"""),"0014P00003YSp9jQAD")</f>
        <v>0014P00003YSp9jQAD</v>
      </c>
      <c r="B135" s="27" t="str">
        <f ca="1">IFERROR(__xludf.DUMMYFUNCTION("""COMPUTED_VALUE"""),"Fase Inicial")</f>
        <v>Fase Inicial</v>
      </c>
      <c r="C135" s="27" t="str">
        <f ca="1">IFERROR(__xludf.DUMMYFUNCTION("""COMPUTED_VALUE"""),"Fellow")</f>
        <v>Fellow</v>
      </c>
      <c r="D135" s="27" t="str">
        <f ca="1">IFERROR(__xludf.DUMMYFUNCTION("""COMPUTED_VALUE"""),"Ativo")</f>
        <v>Ativo</v>
      </c>
      <c r="E135" s="27" t="str">
        <f ca="1">IFERROR(__xludf.DUMMYFUNCTION("""COMPUTED_VALUE"""),"Associação Projeto Esperança do Brasil")</f>
        <v>Associação Projeto Esperança do Brasil</v>
      </c>
      <c r="F135" s="27" t="str">
        <f ca="1">IFERROR(__xludf.DUMMYFUNCTION("""COMPUTED_VALUE"""),"Luiz")</f>
        <v>Luiz</v>
      </c>
      <c r="G135" s="27"/>
      <c r="H135" s="27" t="str">
        <f ca="1">IFERROR(__xludf.DUMMYFUNCTION("""COMPUTED_VALUE"""),"12.010.320/0001-01")</f>
        <v>12.010.320/0001-01</v>
      </c>
      <c r="I135" s="27" t="str">
        <f ca="1">IFERROR(__xludf.DUMMYFUNCTION("""COMPUTED_VALUE"""),"Luiz Baldez Junior")</f>
        <v>Luiz Baldez Junior</v>
      </c>
      <c r="J135" s="27" t="str">
        <f ca="1">IFERROR(__xludf.DUMMYFUNCTION("""COMPUTED_VALUE"""),"associacaopepp@gmail.com")</f>
        <v>associacaopepp@gmail.com</v>
      </c>
      <c r="K135" s="27" t="str">
        <f ca="1">IFERROR(__xludf.DUMMYFUNCTION("""COMPUTED_VALUE"""),"(18)98109-2064")</f>
        <v>(18)98109-2064</v>
      </c>
      <c r="L135" s="27" t="str">
        <f ca="1">IFERROR(__xludf.DUMMYFUNCTION("""COMPUTED_VALUE"""),"SP")</f>
        <v>SP</v>
      </c>
      <c r="M135" s="27" t="str">
        <f ca="1">IFERROR(__xludf.DUMMYFUNCTION("""COMPUTED_VALUE"""),"Av. JK")</f>
        <v>Av. JK</v>
      </c>
      <c r="N135" s="27" t="str">
        <f ca="1">IFERROR(__xludf.DUMMYFUNCTION("""COMPUTED_VALUE"""),"Jd. Guanabara")</f>
        <v>Jd. Guanabara</v>
      </c>
      <c r="O135" s="27">
        <f ca="1">IFERROR(__xludf.DUMMYFUNCTION("""COMPUTED_VALUE"""),563)</f>
        <v>563</v>
      </c>
      <c r="P135" s="27" t="str">
        <f ca="1">IFERROR(__xludf.DUMMYFUNCTION("""COMPUTED_VALUE"""),"Presidente Prudente")</f>
        <v>Presidente Prudente</v>
      </c>
      <c r="Q135" s="27"/>
      <c r="R135" s="27" t="str">
        <f ca="1">IFERROR(__xludf.DUMMYFUNCTION("""COMPUTED_VALUE"""),"19033-300")</f>
        <v>19033-300</v>
      </c>
      <c r="S135" s="27"/>
      <c r="T135" s="27" t="str">
        <f ca="1">IFERROR(__xludf.DUMMYFUNCTION("""COMPUTED_VALUE"""),"Esporte; Educação; Assistência Social; Cultura; Empreendedorismo")</f>
        <v>Esporte; Educação; Assistência Social; Cultura; Empreendedorismo</v>
      </c>
      <c r="U135" s="27" t="str">
        <f ca="1">IFERROR(__xludf.DUMMYFUNCTION("""COMPUTED_VALUE"""),"Crianças (6 a 12 anos); Adolescentes (12 aos 18 anos); Adultos")</f>
        <v>Crianças (6 a 12 anos); Adolescentes (12 aos 18 anos); Adultos</v>
      </c>
      <c r="V135" s="27" t="str">
        <f ca="1">IFERROR(__xludf.DUMMYFUNCTION("""COMPUTED_VALUE"""),"Moradores de Favelas; Pessoas em situação de rua")</f>
        <v>Moradores de Favelas; Pessoas em situação de rua</v>
      </c>
      <c r="W135" s="27">
        <f ca="1">IFERROR(__xludf.DUMMYFUNCTION("""COMPUTED_VALUE"""),6)</f>
        <v>6</v>
      </c>
      <c r="X135" s="27"/>
      <c r="Y135" s="27"/>
      <c r="Z135" s="27">
        <f ca="1">IFERROR(__xludf.DUMMYFUNCTION("""COMPUTED_VALUE"""),400)</f>
        <v>400</v>
      </c>
      <c r="AA135" s="29">
        <f ca="1">IFERROR(__xludf.DUMMYFUNCTION("""COMPUTED_VALUE"""),40317)</f>
        <v>40317</v>
      </c>
      <c r="AB135" s="27" t="str">
        <f ca="1">IFERROR(__xludf.DUMMYFUNCTION("""COMPUTED_VALUE"""),"Sim")</f>
        <v>Sim</v>
      </c>
      <c r="AC135" s="27">
        <f ca="1">IFERROR(__xludf.DUMMYFUNCTION("""COMPUTED_VALUE"""),1)</f>
        <v>1</v>
      </c>
      <c r="AD135" s="27">
        <f ca="1">IFERROR(__xludf.DUMMYFUNCTION("""COMPUTED_VALUE"""),1)</f>
        <v>1</v>
      </c>
      <c r="AE135" s="27">
        <f ca="1">IFERROR(__xludf.DUMMYFUNCTION("""COMPUTED_VALUE"""),2)</f>
        <v>2</v>
      </c>
      <c r="AF135" s="27">
        <f ca="1">IFERROR(__xludf.DUMMYFUNCTION("""COMPUTED_VALUE"""),2)</f>
        <v>2</v>
      </c>
      <c r="AG135" s="27">
        <f ca="1">IFERROR(__xludf.DUMMYFUNCTION("""COMPUTED_VALUE"""),2)</f>
        <v>2</v>
      </c>
      <c r="AH135" s="27" t="str">
        <f ca="1">IFERROR(__xludf.DUMMYFUNCTION("""COMPUTED_VALUE"""),"Eventos/Ações para captação; Doações")</f>
        <v>Eventos/Ações para captação; Doações</v>
      </c>
      <c r="AI135" s="27" t="str">
        <f ca="1">IFERROR(__xludf.DUMMYFUNCTION("""COMPUTED_VALUE"""),"100% nenhum")</f>
        <v>100% nenhum</v>
      </c>
      <c r="AJ135" s="27"/>
      <c r="AK135" s="27"/>
      <c r="AL135" s="21" t="str">
        <f ca="1">IFERROR(__xludf.DUMMYFUNCTION("""COMPUTED_VALUE"""),"0034P000045kxkL")</f>
        <v>0034P000045kxkL</v>
      </c>
      <c r="AM135" s="27" t="str">
        <f ca="1">IFERROR(__xludf.DUMMYFUNCTION("""COMPUTED_VALUE"""),"Abel Trindade Baldez Junior")</f>
        <v>Abel Trindade Baldez Junior</v>
      </c>
      <c r="AN135" s="27" t="str">
        <f ca="1">IFERROR(__xludf.DUMMYFUNCTION("""COMPUTED_VALUE"""),"Ativo")</f>
        <v>Ativo</v>
      </c>
      <c r="AO135" s="30">
        <f ca="1">IFERROR(__xludf.DUMMYFUNCTION("""COMPUTED_VALUE"""),44551)</f>
        <v>44551</v>
      </c>
      <c r="AP135" s="27">
        <f ca="1">IFERROR(__xludf.DUMMYFUNCTION("""COMPUTED_VALUE"""),9)</f>
        <v>9</v>
      </c>
      <c r="AQ135" s="27" t="str">
        <f ca="1">IFERROR(__xludf.DUMMYFUNCTION("""COMPUTED_VALUE"""),"Segundo Semestre 2021")</f>
        <v>Segundo Semestre 2021</v>
      </c>
      <c r="AR135" s="27" t="str">
        <f ca="1">IFERROR(__xludf.DUMMYFUNCTION("""COMPUTED_VALUE"""),"associacaopepp@gmail.com")</f>
        <v>associacaopepp@gmail.com</v>
      </c>
      <c r="AS135" s="27" t="str">
        <f ca="1">IFERROR(__xludf.DUMMYFUNCTION("""COMPUTED_VALUE"""),"(18)98109-2064")</f>
        <v>(18)98109-2064</v>
      </c>
      <c r="AT135" s="29">
        <f ca="1">IFERROR(__xludf.DUMMYFUNCTION("""COMPUTED_VALUE"""),30173)</f>
        <v>30173</v>
      </c>
      <c r="AU135" s="27">
        <f ca="1">IFERROR(__xludf.DUMMYFUNCTION("""COMPUTED_VALUE"""),40)</f>
        <v>40</v>
      </c>
      <c r="AV135" s="27">
        <f ca="1">IFERROR(__xludf.DUMMYFUNCTION("""COMPUTED_VALUE"""),21652133801)</f>
        <v>21652133801</v>
      </c>
      <c r="AW135" s="27">
        <f ca="1">IFERROR(__xludf.DUMMYFUNCTION("""COMPUTED_VALUE"""),440785340)</f>
        <v>440785340</v>
      </c>
      <c r="AX135" s="27"/>
      <c r="AY135" s="27"/>
      <c r="AZ135" s="27" t="str">
        <f ca="1">IFERROR(__xludf.DUMMYFUNCTION("""COMPUTED_VALUE"""),"P")</f>
        <v>P</v>
      </c>
      <c r="BA135" s="27" t="str">
        <f ca="1">IFERROR(__xludf.DUMMYFUNCTION("""COMPUTED_VALUE"""),"Prefiro não declarar")</f>
        <v>Prefiro não declarar</v>
      </c>
      <c r="BB135" s="27" t="str">
        <f ca="1">IFERROR(__xludf.DUMMYFUNCTION("""COMPUTED_VALUE"""),"Homem, cisgênero")</f>
        <v>Homem, cisgênero</v>
      </c>
      <c r="BC135" s="27" t="str">
        <f ca="1">IFERROR(__xludf.DUMMYFUNCTION("""COMPUTED_VALUE"""),"Não")</f>
        <v>Não</v>
      </c>
      <c r="BD135" s="27" t="str">
        <f ca="1">IFERROR(__xludf.DUMMYFUNCTION("""COMPUTED_VALUE"""),"Sou um empreendedor que adora solidariedade já que desde cedo aprendi em casa que servir é melhor que ser servido.")</f>
        <v>Sou um empreendedor que adora solidariedade já que desde cedo aprendi em casa que servir é melhor que ser servido.</v>
      </c>
      <c r="BE135" s="27"/>
      <c r="BF135" s="27" t="str">
        <f ca="1">IFERROR(__xludf.DUMMYFUNCTION("""COMPUTED_VALUE"""),"Heterossexual")</f>
        <v>Heterossexual</v>
      </c>
      <c r="BG135" s="27" t="str">
        <f ca="1">IFERROR(__xludf.DUMMYFUNCTION("""COMPUTED_VALUE"""),"Ensino Superior - Completo")</f>
        <v>Ensino Superior - Completo</v>
      </c>
      <c r="BH135" s="27" t="str">
        <f ca="1">IFERROR(__xludf.DUMMYFUNCTION("""COMPUTED_VALUE"""),"Privado")</f>
        <v>Privado</v>
      </c>
      <c r="BI135" s="27" t="str">
        <f ca="1">IFERROR(__xludf.DUMMYFUNCTION("""COMPUTED_VALUE"""),"Graduação")</f>
        <v>Graduação</v>
      </c>
      <c r="BJ135" s="27" t="str">
        <f ca="1">IFERROR(__xludf.DUMMYFUNCTION("""COMPUTED_VALUE"""),"Privado")</f>
        <v>Privado</v>
      </c>
      <c r="BK135" s="27" t="str">
        <f ca="1">IFERROR(__xludf.DUMMYFUNCTION("""COMPUTED_VALUE"""),"Av 11 de Maio")</f>
        <v>Av 11 de Maio</v>
      </c>
      <c r="BL135" s="27">
        <f ca="1">IFERROR(__xludf.DUMMYFUNCTION("""COMPUTED_VALUE"""),1619)</f>
        <v>1619</v>
      </c>
      <c r="BM135" s="27" t="str">
        <f ca="1">IFERROR(__xludf.DUMMYFUNCTION("""COMPUTED_VALUE"""),"Fundos")</f>
        <v>Fundos</v>
      </c>
      <c r="BN135" s="27" t="str">
        <f ca="1">IFERROR(__xludf.DUMMYFUNCTION("""COMPUTED_VALUE"""),"Presidente Prudente")</f>
        <v>Presidente Prudente</v>
      </c>
      <c r="BO135" s="27" t="str">
        <f ca="1">IFERROR(__xludf.DUMMYFUNCTION("""COMPUTED_VALUE"""),"19050-050")</f>
        <v>19050-050</v>
      </c>
      <c r="BP135" s="27" t="str">
        <f ca="1">IFERROR(__xludf.DUMMYFUNCTION("""COMPUTED_VALUE"""),"SP")</f>
        <v>SP</v>
      </c>
      <c r="BQ135" s="27" t="str">
        <f ca="1">IFERROR(__xludf.DUMMYFUNCTION("""COMPUTED_VALUE"""),"De 3 até 5 salários mínimos")</f>
        <v>De 3 até 5 salários mínimos</v>
      </c>
      <c r="BR135" s="27"/>
      <c r="BS135" s="27" t="str">
        <f ca="1">IFERROR(__xludf.DUMMYFUNCTION("""COMPUTED_VALUE"""),"Aluguel")</f>
        <v>Aluguel</v>
      </c>
      <c r="BT135" s="27">
        <f ca="1">IFERROR(__xludf.DUMMYFUNCTION("""COMPUTED_VALUE"""),1)</f>
        <v>1</v>
      </c>
      <c r="BU135" s="27" t="str">
        <f ca="1">IFERROR(__xludf.DUMMYFUNCTION("""COMPUTED_VALUE"""),"Não tem")</f>
        <v>Não tem</v>
      </c>
      <c r="BV135" s="27"/>
      <c r="BW135" s="27"/>
      <c r="BX135" s="27" t="str">
        <f ca="1">IFERROR(__xludf.DUMMYFUNCTION("""COMPUTED_VALUE"""),"@juninhobaldez")</f>
        <v>@juninhobaldez</v>
      </c>
      <c r="BY135" s="21" t="str">
        <f ca="1">IFERROR(__xludf.DUMMYFUNCTION("""COMPUTED_VALUE"""),"https://drive.google.com/open?id=17ZG_6zNDm8WYy3yyleKlYnErdOswbd6d")</f>
        <v>https://drive.google.com/open?id=17ZG_6zNDm8WYy3yyleKlYnErdOswbd6d</v>
      </c>
    </row>
    <row r="136" spans="1:77" ht="12.5" x14ac:dyDescent="0.25">
      <c r="A136" s="21" t="str">
        <f ca="1">IFERROR(__xludf.DUMMYFUNCTION("""COMPUTED_VALUE"""),"0014P00003AN2FyQAL")</f>
        <v>0014P00003AN2FyQAL</v>
      </c>
      <c r="B136" s="27" t="str">
        <f ca="1">IFERROR(__xludf.DUMMYFUNCTION("""COMPUTED_VALUE"""),"Fase Inicial")</f>
        <v>Fase Inicial</v>
      </c>
      <c r="C136" s="27" t="str">
        <f ca="1">IFERROR(__xludf.DUMMYFUNCTION("""COMPUTED_VALUE"""),"Fellow")</f>
        <v>Fellow</v>
      </c>
      <c r="D136" s="27" t="str">
        <f ca="1">IFERROR(__xludf.DUMMYFUNCTION("""COMPUTED_VALUE"""),"Ativo")</f>
        <v>Ativo</v>
      </c>
      <c r="E136" s="27" t="str">
        <f ca="1">IFERROR(__xludf.DUMMYFUNCTION("""COMPUTED_VALUE"""),"Associaçao Projeto Gaditas")</f>
        <v>Associaçao Projeto Gaditas</v>
      </c>
      <c r="F136" s="27" t="str">
        <f ca="1">IFERROR(__xludf.DUMMYFUNCTION("""COMPUTED_VALUE"""),"Eduardo")</f>
        <v>Eduardo</v>
      </c>
      <c r="G136" s="27"/>
      <c r="H136" s="27" t="str">
        <f ca="1">IFERROR(__xludf.DUMMYFUNCTION("""COMPUTED_VALUE"""),"23.531.115/0001-08")</f>
        <v>23.531.115/0001-08</v>
      </c>
      <c r="I136" s="27"/>
      <c r="J136" s="27"/>
      <c r="K136" s="27" t="str">
        <f ca="1">IFERROR(__xludf.DUMMYFUNCTION("""COMPUTED_VALUE"""),"(51)98012-4645")</f>
        <v>(51)98012-4645</v>
      </c>
      <c r="L136" s="27" t="str">
        <f ca="1">IFERROR(__xludf.DUMMYFUNCTION("""COMPUTED_VALUE"""),"RS")</f>
        <v>RS</v>
      </c>
      <c r="M136" s="27" t="str">
        <f ca="1">IFERROR(__xludf.DUMMYFUNCTION("""COMPUTED_VALUE"""),"coronel aristides 180")</f>
        <v>coronel aristides 180</v>
      </c>
      <c r="N136" s="27"/>
      <c r="O136" s="27" t="str">
        <f ca="1">IFERROR(__xludf.DUMMYFUNCTION("""COMPUTED_VALUE"""),"(51)98012-4645")</f>
        <v>(51)98012-4645</v>
      </c>
      <c r="P136" s="27" t="str">
        <f ca="1">IFERROR(__xludf.DUMMYFUNCTION("""COMPUTED_VALUE"""),"porto alegre")</f>
        <v>porto alegre</v>
      </c>
      <c r="Q136" s="27"/>
      <c r="R136" s="27" t="str">
        <f ca="1">IFERROR(__xludf.DUMMYFUNCTION("""COMPUTED_VALUE"""),"91910-660")</f>
        <v>91910-660</v>
      </c>
      <c r="S136" s="27"/>
      <c r="T136" s="27" t="str">
        <f ca="1">IFERROR(__xludf.DUMMYFUNCTION("""COMPUTED_VALUE"""),"Esporte; Educação; Assistência Social; Cultura; Negócios Sociais")</f>
        <v>Esporte; Educação; Assistência Social; Cultura; Negócios Sociais</v>
      </c>
      <c r="U136"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136" s="27" t="str">
        <f ca="1">IFERROR(__xludf.DUMMYFUNCTION("""COMPUTED_VALUE"""),"Moradores de Favelas; Pessoas em situação de rua; População LGBTQ+; Afrodescendentes; Dependentes Químicos")</f>
        <v>Moradores de Favelas; Pessoas em situação de rua; População LGBTQ+; Afrodescendentes; Dependentes Químicos</v>
      </c>
      <c r="W136" s="27">
        <f ca="1">IFERROR(__xludf.DUMMYFUNCTION("""COMPUTED_VALUE"""),4)</f>
        <v>4</v>
      </c>
      <c r="X136" s="27" t="str">
        <f ca="1">IFERROR(__xludf.DUMMYFUNCTION("""COMPUTED_VALUE"""),"atendemos somente dentro das periferias")</f>
        <v>atendemos somente dentro das periferias</v>
      </c>
      <c r="Y136" s="27"/>
      <c r="Z136" s="27"/>
      <c r="AA136" s="30">
        <f ca="1">IFERROR(__xludf.DUMMYFUNCTION("""COMPUTED_VALUE"""),40142)</f>
        <v>40142</v>
      </c>
      <c r="AB136" s="27" t="str">
        <f ca="1">IFERROR(__xludf.DUMMYFUNCTION("""COMPUTED_VALUE"""),"Sim")</f>
        <v>Sim</v>
      </c>
      <c r="AC136" s="27">
        <f ca="1">IFERROR(__xludf.DUMMYFUNCTION("""COMPUTED_VALUE"""),0)</f>
        <v>0</v>
      </c>
      <c r="AD136" s="27">
        <f ca="1">IFERROR(__xludf.DUMMYFUNCTION("""COMPUTED_VALUE"""),0)</f>
        <v>0</v>
      </c>
      <c r="AE136" s="27">
        <f ca="1">IFERROR(__xludf.DUMMYFUNCTION("""COMPUTED_VALUE"""),4)</f>
        <v>4</v>
      </c>
      <c r="AF136" s="27">
        <f ca="1">IFERROR(__xludf.DUMMYFUNCTION("""COMPUTED_VALUE"""),1)</f>
        <v>1</v>
      </c>
      <c r="AG136" s="27">
        <f ca="1">IFERROR(__xludf.DUMMYFUNCTION("""COMPUTED_VALUE"""),1)</f>
        <v>1</v>
      </c>
      <c r="AH136" s="27" t="str">
        <f ca="1">IFERROR(__xludf.DUMMYFUNCTION("""COMPUTED_VALUE"""),"Doações")</f>
        <v>Doações</v>
      </c>
      <c r="AI136" s="27" t="str">
        <f ca="1">IFERROR(__xludf.DUMMYFUNCTION("""COMPUTED_VALUE"""),"arrecadamos apenas cestas basicas no ano 2020  2 mil cestas basicas")</f>
        <v>arrecadamos apenas cestas basicas no ano 2020  2 mil cestas basicas</v>
      </c>
      <c r="AJ136" s="27" t="str">
        <f ca="1">IFERROR(__xludf.DUMMYFUNCTION("""COMPUTED_VALUE"""),"Sim")</f>
        <v>Sim</v>
      </c>
      <c r="AK136" s="27" t="str">
        <f ca="1">IFERROR(__xludf.DUMMYFUNCTION("""COMPUTED_VALUE"""),"Não")</f>
        <v>Não</v>
      </c>
      <c r="AL136" s="21" t="str">
        <f ca="1">IFERROR(__xludf.DUMMYFUNCTION("""COMPUTED_VALUE"""),"0034P00003maBVP")</f>
        <v>0034P00003maBVP</v>
      </c>
      <c r="AM136" s="27" t="str">
        <f ca="1">IFERROR(__xludf.DUMMYFUNCTION("""COMPUTED_VALUE"""),"Oliveira Rodrigues")</f>
        <v>Oliveira Rodrigues</v>
      </c>
      <c r="AN136" s="27" t="str">
        <f ca="1">IFERROR(__xludf.DUMMYFUNCTION("""COMPUTED_VALUE"""),"Ativo")</f>
        <v>Ativo</v>
      </c>
      <c r="AO136" s="29">
        <f ca="1">IFERROR(__xludf.DUMMYFUNCTION("""COMPUTED_VALUE"""),44375)</f>
        <v>44375</v>
      </c>
      <c r="AP136" s="27">
        <f ca="1">IFERROR(__xludf.DUMMYFUNCTION("""COMPUTED_VALUE"""),15)</f>
        <v>15</v>
      </c>
      <c r="AQ136" s="27" t="str">
        <f ca="1">IFERROR(__xludf.DUMMYFUNCTION("""COMPUTED_VALUE"""),"Segundo Semestre 2020")</f>
        <v>Segundo Semestre 2020</v>
      </c>
      <c r="AR136" s="27" t="str">
        <f ca="1">IFERROR(__xludf.DUMMYFUNCTION("""COMPUTED_VALUE"""),"dudugaditas@gmail.com")</f>
        <v>dudugaditas@gmail.com</v>
      </c>
      <c r="AS136" s="27" t="str">
        <f ca="1">IFERROR(__xludf.DUMMYFUNCTION("""COMPUTED_VALUE"""),"(51)98012-4645")</f>
        <v>(51)98012-4645</v>
      </c>
      <c r="AT136" s="29">
        <f ca="1">IFERROR(__xludf.DUMMYFUNCTION("""COMPUTED_VALUE"""),31106)</f>
        <v>31106</v>
      </c>
      <c r="AU136" s="27">
        <f ca="1">IFERROR(__xludf.DUMMYFUNCTION("""COMPUTED_VALUE"""),37)</f>
        <v>37</v>
      </c>
      <c r="AV136" s="27">
        <f ca="1">IFERROR(__xludf.DUMMYFUNCTION("""COMPUTED_VALUE"""),377806030)</f>
        <v>377806030</v>
      </c>
      <c r="AW136" s="27">
        <f ca="1">IFERROR(__xludf.DUMMYFUNCTION("""COMPUTED_VALUE"""),1084578581)</f>
        <v>1084578581</v>
      </c>
      <c r="AX136" s="27" t="str">
        <f ca="1">IFERROR(__xludf.DUMMYFUNCTION("""COMPUTED_VALUE"""),"professor")</f>
        <v>professor</v>
      </c>
      <c r="AY136" s="27"/>
      <c r="AZ136" s="27" t="str">
        <f ca="1">IFERROR(__xludf.DUMMYFUNCTION("""COMPUTED_VALUE"""),"G")</f>
        <v>G</v>
      </c>
      <c r="BA136" s="27"/>
      <c r="BB136" s="27"/>
      <c r="BC136" s="27" t="str">
        <f ca="1">IFERROR(__xludf.DUMMYFUNCTION("""COMPUTED_VALUE"""),"Sim")</f>
        <v>Sim</v>
      </c>
      <c r="BD136" s="27" t="str">
        <f ca="1">IFERROR(__xludf.DUMMYFUNCTION("""COMPUTED_VALUE"""),"eduardo oliveira rodrigues , nascido dia 28 de feveiro de 1985 em porto alegre /rs estudei em duas escolas publicas ,criado no bairro jardins das palmeiras aonde passei toda minha infancia ,uma parte marcante da minha vida foi quando resolvi mudar de vida"&amp;" aos 21 anos de idade ,aonde larguei as drogas e iniciei uma nova vida")</f>
        <v>eduardo oliveira rodrigues , nascido dia 28 de feveiro de 1985 em porto alegre /rs estudei em duas escolas publicas ,criado no bairro jardins das palmeiras aonde passei toda minha infancia ,uma parte marcante da minha vida foi quando resolvi mudar de vida aos 21 anos de idade ,aonde larguei as drogas e iniciei uma nova vida</v>
      </c>
      <c r="BE136" s="27"/>
      <c r="BF136" s="27"/>
      <c r="BG136" s="27" t="str">
        <f ca="1">IFERROR(__xludf.DUMMYFUNCTION("""COMPUTED_VALUE"""),"Ensino Médio - Completo")</f>
        <v>Ensino Médio - Completo</v>
      </c>
      <c r="BH136" s="27"/>
      <c r="BI136" s="27" t="str">
        <f ca="1">IFERROR(__xludf.DUMMYFUNCTION("""COMPUTED_VALUE"""),"Graduação")</f>
        <v>Graduação</v>
      </c>
      <c r="BJ136" s="27" t="str">
        <f ca="1">IFERROR(__xludf.DUMMYFUNCTION("""COMPUTED_VALUE"""),"Privado")</f>
        <v>Privado</v>
      </c>
      <c r="BK136" s="27" t="str">
        <f ca="1">IFERROR(__xludf.DUMMYFUNCTION("""COMPUTED_VALUE"""),"coronel aristides")</f>
        <v>coronel aristides</v>
      </c>
      <c r="BL136" s="27">
        <f ca="1">IFERROR(__xludf.DUMMYFUNCTION("""COMPUTED_VALUE"""),180)</f>
        <v>180</v>
      </c>
      <c r="BM136" s="27"/>
      <c r="BN136" s="27" t="str">
        <f ca="1">IFERROR(__xludf.DUMMYFUNCTION("""COMPUTED_VALUE"""),"porto alegre")</f>
        <v>porto alegre</v>
      </c>
      <c r="BO136" s="27" t="str">
        <f ca="1">IFERROR(__xludf.DUMMYFUNCTION("""COMPUTED_VALUE"""),"91910-660")</f>
        <v>91910-660</v>
      </c>
      <c r="BP136" s="27" t="str">
        <f ca="1">IFERROR(__xludf.DUMMYFUNCTION("""COMPUTED_VALUE"""),"RS")</f>
        <v>RS</v>
      </c>
      <c r="BQ136" s="27" t="str">
        <f ca="1">IFERROR(__xludf.DUMMYFUNCTION("""COMPUTED_VALUE"""),"Entre 1 até 3 salários mínimos")</f>
        <v>Entre 1 até 3 salários mínimos</v>
      </c>
      <c r="BR136" s="27" t="str">
        <f ca="1">IFERROR(__xludf.DUMMYFUNCTION("""COMPUTED_VALUE"""),"Desempregado")</f>
        <v>Desempregado</v>
      </c>
      <c r="BS136" s="27" t="str">
        <f ca="1">IFERROR(__xludf.DUMMYFUNCTION("""COMPUTED_VALUE"""),"Aluguel")</f>
        <v>Aluguel</v>
      </c>
      <c r="BT136" s="27">
        <f ca="1">IFERROR(__xludf.DUMMYFUNCTION("""COMPUTED_VALUE"""),12)</f>
        <v>12</v>
      </c>
      <c r="BU136" s="27"/>
      <c r="BV136" s="27"/>
      <c r="BW136" s="27"/>
      <c r="BX136" s="27" t="str">
        <f ca="1">IFERROR(__xludf.DUMMYFUNCTION("""COMPUTED_VALUE"""),"@eduardogaditas")</f>
        <v>@eduardogaditas</v>
      </c>
      <c r="BY136" s="21" t="str">
        <f ca="1">IFERROR(__xludf.DUMMYFUNCTION("""COMPUTED_VALUE"""),"https://drive.google.com/open?id=1DY7gtg5wo2GJ5wyabicCFWsbWJOlco4k")</f>
        <v>https://drive.google.com/open?id=1DY7gtg5wo2GJ5wyabicCFWsbWJOlco4k</v>
      </c>
    </row>
    <row r="137" spans="1:77" ht="12.5" hidden="1" x14ac:dyDescent="0.25">
      <c r="A137" s="21" t="str">
        <f ca="1">IFERROR(__xludf.DUMMYFUNCTION("""COMPUTED_VALUE"""),"0014P00003YSp7zQAD")</f>
        <v>0014P00003YSp7zQAD</v>
      </c>
      <c r="B137" s="27" t="str">
        <f ca="1">IFERROR(__xludf.DUMMYFUNCTION("""COMPUTED_VALUE"""),"Fase Inicial")</f>
        <v>Fase Inicial</v>
      </c>
      <c r="C137" s="27" t="str">
        <f ca="1">IFERROR(__xludf.DUMMYFUNCTION("""COMPUTED_VALUE"""),"Fellow")</f>
        <v>Fellow</v>
      </c>
      <c r="D137" s="27" t="str">
        <f ca="1">IFERROR(__xludf.DUMMYFUNCTION("""COMPUTED_VALUE"""),"Ativo")</f>
        <v>Ativo</v>
      </c>
      <c r="E137" s="27" t="str">
        <f ca="1">IFERROR(__xludf.DUMMYFUNCTION("""COMPUTED_VALUE"""),"Associação Projeto Maltrapilho")</f>
        <v>Associação Projeto Maltrapilho</v>
      </c>
      <c r="F137" s="27" t="str">
        <f ca="1">IFERROR(__xludf.DUMMYFUNCTION("""COMPUTED_VALUE"""),"Joao")</f>
        <v>Joao</v>
      </c>
      <c r="G137" s="27"/>
      <c r="H137" s="27" t="str">
        <f ca="1">IFERROR(__xludf.DUMMYFUNCTION("""COMPUTED_VALUE"""),"32.684.879/0001-12")</f>
        <v>32.684.879/0001-12</v>
      </c>
      <c r="I137" s="27" t="str">
        <f ca="1">IFERROR(__xludf.DUMMYFUNCTION("""COMPUTED_VALUE"""),"João Marcos Valvassori Ferreira")</f>
        <v>João Marcos Valvassori Ferreira</v>
      </c>
      <c r="J137" s="27" t="str">
        <f ca="1">IFERROR(__xludf.DUMMYFUNCTION("""COMPUTED_VALUE"""),"administracao@intitutomaltrapilho.com")</f>
        <v>administracao@intitutomaltrapilho.com</v>
      </c>
      <c r="K137" s="27" t="str">
        <f ca="1">IFERROR(__xludf.DUMMYFUNCTION("""COMPUTED_VALUE"""),"(27)99311-3473")</f>
        <v>(27)99311-3473</v>
      </c>
      <c r="L137" s="27" t="str">
        <f ca="1">IFERROR(__xludf.DUMMYFUNCTION("""COMPUTED_VALUE"""),"ES")</f>
        <v>ES</v>
      </c>
      <c r="M137" s="27" t="str">
        <f ca="1">IFERROR(__xludf.DUMMYFUNCTION("""COMPUTED_VALUE"""),"ayrton sena")</f>
        <v>ayrton sena</v>
      </c>
      <c r="N137" s="27" t="str">
        <f ca="1">IFERROR(__xludf.DUMMYFUNCTION("""COMPUTED_VALUE"""),"JD Botânico/Nelson Ramos")</f>
        <v>JD Botânico/Nelson Ramos</v>
      </c>
      <c r="O137" s="27">
        <f ca="1">IFERROR(__xludf.DUMMYFUNCTION("""COMPUTED_VALUE"""),0)</f>
        <v>0</v>
      </c>
      <c r="P137" s="27" t="str">
        <f ca="1">IFERROR(__xludf.DUMMYFUNCTION("""COMPUTED_VALUE"""),"Cariacica")</f>
        <v>Cariacica</v>
      </c>
      <c r="Q137" s="27" t="str">
        <f ca="1">IFERROR(__xludf.DUMMYFUNCTION("""COMPUTED_VALUE"""),"Esquina  com Estrada Mun de caçaroca")</f>
        <v>Esquina  com Estrada Mun de caçaroca</v>
      </c>
      <c r="R137" s="27" t="str">
        <f ca="1">IFERROR(__xludf.DUMMYFUNCTION("""COMPUTED_VALUE"""),"29142-617")</f>
        <v>29142-617</v>
      </c>
      <c r="S137" s="27"/>
      <c r="T137" s="27" t="str">
        <f ca="1">IFERROR(__xludf.DUMMYFUNCTION("""COMPUTED_VALUE"""),"Esporte; Educação; Empregabilidade; Assistência Social; Cultura; Qualificação Profissional; Empreendedorismo; Saúde; Empoderamento Feminino; Negócios Sociais; Apoio à gestão de organizações de Terceiro Setor; Defesa de Direitos; Desenvolvimento comunitári"&amp;"o")</f>
        <v>Esporte; Educação; Empregabilidade; Assistência Social; Cultura; Qualificação Profissional; Empreendedorismo; Saúde; Empoderamento Feminino; Negócios Sociais; Apoio à gestão de organizações de Terceiro Setor; Defesa de Direitos; Desenvolvimento comunitário</v>
      </c>
      <c r="U137"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137" s="27" t="str">
        <f ca="1">IFERROR(__xludf.DUMMYFUNCTION("""COMPUTED_VALUE"""),"Moradores de Favelas; Pessoas em situação de rua; Dependentes Químicos; Outros")</f>
        <v>Moradores de Favelas; Pessoas em situação de rua; Dependentes Químicos; Outros</v>
      </c>
      <c r="W137" s="27">
        <f ca="1">IFERROR(__xludf.DUMMYFUNCTION("""COMPUTED_VALUE"""),6)</f>
        <v>6</v>
      </c>
      <c r="X137" s="27" t="str">
        <f ca="1">IFERROR(__xludf.DUMMYFUNCTION("""COMPUTED_VALUE"""),"São um conjunto total de 24 pequenos bairros formando a região 7 de Cariacica")</f>
        <v>São um conjunto total de 24 pequenos bairros formando a região 7 de Cariacica</v>
      </c>
      <c r="Y137" s="27"/>
      <c r="Z137" s="27">
        <f ca="1">IFERROR(__xludf.DUMMYFUNCTION("""COMPUTED_VALUE"""),3500)</f>
        <v>3500</v>
      </c>
      <c r="AA137" s="29">
        <f ca="1">IFERROR(__xludf.DUMMYFUNCTION("""COMPUTED_VALUE"""),42095)</f>
        <v>42095</v>
      </c>
      <c r="AB137" s="27" t="str">
        <f ca="1">IFERROR(__xludf.DUMMYFUNCTION("""COMPUTED_VALUE"""),"Sim")</f>
        <v>Sim</v>
      </c>
      <c r="AC137" s="27">
        <f ca="1">IFERROR(__xludf.DUMMYFUNCTION("""COMPUTED_VALUE"""),1)</f>
        <v>1</v>
      </c>
      <c r="AD137" s="27">
        <f ca="1">IFERROR(__xludf.DUMMYFUNCTION("""COMPUTED_VALUE"""),0)</f>
        <v>0</v>
      </c>
      <c r="AE137" s="27">
        <f ca="1">IFERROR(__xludf.DUMMYFUNCTION("""COMPUTED_VALUE"""),11)</f>
        <v>11</v>
      </c>
      <c r="AF137" s="27">
        <f ca="1">IFERROR(__xludf.DUMMYFUNCTION("""COMPUTED_VALUE"""),7)</f>
        <v>7</v>
      </c>
      <c r="AG137" s="27">
        <f ca="1">IFERROR(__xludf.DUMMYFUNCTION("""COMPUTED_VALUE"""),0)</f>
        <v>0</v>
      </c>
      <c r="AH137" s="27" t="str">
        <f ca="1">IFERROR(__xludf.DUMMYFUNCTION("""COMPUTED_VALUE"""),"Negócio Social; Doações; Recursos próprios")</f>
        <v>Negócio Social; Doações; Recursos próprios</v>
      </c>
      <c r="AI137" s="27" t="str">
        <f ca="1">IFERROR(__xludf.DUMMYFUNCTION("""COMPUTED_VALUE"""),"nao")</f>
        <v>nao</v>
      </c>
      <c r="AJ137" s="27"/>
      <c r="AK137" s="27"/>
      <c r="AL137" s="21" t="str">
        <f ca="1">IFERROR(__xludf.DUMMYFUNCTION("""COMPUTED_VALUE"""),"0034P000045kxia")</f>
        <v>0034P000045kxia</v>
      </c>
      <c r="AM137" s="27" t="str">
        <f ca="1">IFERROR(__xludf.DUMMYFUNCTION("""COMPUTED_VALUE"""),"Marcos Valvassori Ferreira")</f>
        <v>Marcos Valvassori Ferreira</v>
      </c>
      <c r="AN137" s="27" t="str">
        <f ca="1">IFERROR(__xludf.DUMMYFUNCTION("""COMPUTED_VALUE"""),"Ativo")</f>
        <v>Ativo</v>
      </c>
      <c r="AO137" s="30">
        <f ca="1">IFERROR(__xludf.DUMMYFUNCTION("""COMPUTED_VALUE"""),44551)</f>
        <v>44551</v>
      </c>
      <c r="AP137" s="27">
        <f ca="1">IFERROR(__xludf.DUMMYFUNCTION("""COMPUTED_VALUE"""),9)</f>
        <v>9</v>
      </c>
      <c r="AQ137" s="27" t="str">
        <f ca="1">IFERROR(__xludf.DUMMYFUNCTION("""COMPUTED_VALUE"""),"Segundo Semestre 2021")</f>
        <v>Segundo Semestre 2021</v>
      </c>
      <c r="AR137" s="27" t="str">
        <f ca="1">IFERROR(__xludf.DUMMYFUNCTION("""COMPUTED_VALUE"""),"jmvalvassori88@gmail.com")</f>
        <v>jmvalvassori88@gmail.com</v>
      </c>
      <c r="AS137" s="27" t="str">
        <f ca="1">IFERROR(__xludf.DUMMYFUNCTION("""COMPUTED_VALUE"""),"(27)99856-7393")</f>
        <v>(27)99856-7393</v>
      </c>
      <c r="AT137" s="30">
        <f ca="1">IFERROR(__xludf.DUMMYFUNCTION("""COMPUTED_VALUE"""),32466)</f>
        <v>32466</v>
      </c>
      <c r="AU137" s="27">
        <f ca="1">IFERROR(__xludf.DUMMYFUNCTION("""COMPUTED_VALUE"""),34)</f>
        <v>34</v>
      </c>
      <c r="AV137" s="27">
        <f ca="1">IFERROR(__xludf.DUMMYFUNCTION("""COMPUTED_VALUE"""),74003224191)</f>
        <v>74003224191</v>
      </c>
      <c r="AW137" s="27">
        <f ca="1">IFERROR(__xludf.DUMMYFUNCTION("""COMPUTED_VALUE"""),4471087)</f>
        <v>4471087</v>
      </c>
      <c r="AX137" s="27"/>
      <c r="AY137" s="27"/>
      <c r="AZ137" s="27" t="str">
        <f ca="1">IFERROR(__xludf.DUMMYFUNCTION("""COMPUTED_VALUE"""),"G2")</f>
        <v>G2</v>
      </c>
      <c r="BA137" s="27" t="str">
        <f ca="1">IFERROR(__xludf.DUMMYFUNCTION("""COMPUTED_VALUE"""),"Branca")</f>
        <v>Branca</v>
      </c>
      <c r="BB137" s="27" t="str">
        <f ca="1">IFERROR(__xludf.DUMMYFUNCTION("""COMPUTED_VALUE"""),"Homem, cisgênero")</f>
        <v>Homem, cisgênero</v>
      </c>
      <c r="BC137" s="27" t="str">
        <f ca="1">IFERROR(__xludf.DUMMYFUNCTION("""COMPUTED_VALUE"""),"Não")</f>
        <v>Não</v>
      </c>
      <c r="BD137" s="27" t="str">
        <f ca="1">IFERROR(__xludf.DUMMYFUNCTION("""COMPUTED_VALUE"""),"Sou João Ferreira, 33 anos, casado, pai da princesinha Eliz, residente atualmente em Vila Velha, natural de Curitiba Paraná,  e sou fundador e coordenador do Instituto Maltrapilho.")</f>
        <v>Sou João Ferreira, 33 anos, casado, pai da princesinha Eliz, residente atualmente em Vila Velha, natural de Curitiba Paraná,  e sou fundador e coordenador do Instituto Maltrapilho.</v>
      </c>
      <c r="BE137" s="27"/>
      <c r="BF137" s="27" t="str">
        <f ca="1">IFERROR(__xludf.DUMMYFUNCTION("""COMPUTED_VALUE"""),"Heterossexual")</f>
        <v>Heterossexual</v>
      </c>
      <c r="BG137" s="27" t="str">
        <f ca="1">IFERROR(__xludf.DUMMYFUNCTION("""COMPUTED_VALUE"""),"Ensino Superior - Completo")</f>
        <v>Ensino Superior - Completo</v>
      </c>
      <c r="BH137" s="27" t="str">
        <f ca="1">IFERROR(__xludf.DUMMYFUNCTION("""COMPUTED_VALUE"""),"Público")</f>
        <v>Público</v>
      </c>
      <c r="BI137" s="27" t="str">
        <f ca="1">IFERROR(__xludf.DUMMYFUNCTION("""COMPUTED_VALUE"""),"Pós-Graduação")</f>
        <v>Pós-Graduação</v>
      </c>
      <c r="BJ137" s="27" t="str">
        <f ca="1">IFERROR(__xludf.DUMMYFUNCTION("""COMPUTED_VALUE"""),"Privado")</f>
        <v>Privado</v>
      </c>
      <c r="BK137" s="27" t="str">
        <f ca="1">IFERROR(__xludf.DUMMYFUNCTION("""COMPUTED_VALUE"""),"Debret")</f>
        <v>Debret</v>
      </c>
      <c r="BL137" s="27">
        <f ca="1">IFERROR(__xludf.DUMMYFUNCTION("""COMPUTED_VALUE"""),12)</f>
        <v>12</v>
      </c>
      <c r="BM137" s="27" t="str">
        <f ca="1">IFERROR(__xludf.DUMMYFUNCTION("""COMPUTED_VALUE"""),"casa")</f>
        <v>casa</v>
      </c>
      <c r="BN137" s="27" t="str">
        <f ca="1">IFERROR(__xludf.DUMMYFUNCTION("""COMPUTED_VALUE"""),"Cariacica")</f>
        <v>Cariacica</v>
      </c>
      <c r="BO137" s="27" t="str">
        <f ca="1">IFERROR(__xludf.DUMMYFUNCTION("""COMPUTED_VALUE"""),"29125-082")</f>
        <v>29125-082</v>
      </c>
      <c r="BP137" s="27" t="str">
        <f ca="1">IFERROR(__xludf.DUMMYFUNCTION("""COMPUTED_VALUE"""),"ES")</f>
        <v>ES</v>
      </c>
      <c r="BQ137" s="27" t="str">
        <f ca="1">IFERROR(__xludf.DUMMYFUNCTION("""COMPUTED_VALUE"""),"De 3 até 5 salários mínimos")</f>
        <v>De 3 até 5 salários mínimos</v>
      </c>
      <c r="BR137" s="27" t="str">
        <f ca="1">IFERROR(__xludf.DUMMYFUNCTION("""COMPUTED_VALUE"""),"Trabalho informal")</f>
        <v>Trabalho informal</v>
      </c>
      <c r="BS137" s="27" t="str">
        <f ca="1">IFERROR(__xludf.DUMMYFUNCTION("""COMPUTED_VALUE"""),"Aluguel")</f>
        <v>Aluguel</v>
      </c>
      <c r="BT137" s="27">
        <f ca="1">IFERROR(__xludf.DUMMYFUNCTION("""COMPUTED_VALUE"""),3)</f>
        <v>3</v>
      </c>
      <c r="BU137" s="27" t="str">
        <f ca="1">IFERROR(__xludf.DUMMYFUNCTION("""COMPUTED_VALUE"""),"Não tem")</f>
        <v>Não tem</v>
      </c>
      <c r="BV137" s="27"/>
      <c r="BW137" s="27"/>
      <c r="BX137" s="21" t="str">
        <f ca="1">IFERROR(__xludf.DUMMYFUNCTION("""COMPUTED_VALUE"""),"https://www.instagram.com/joao_oninguem/")</f>
        <v>https://www.instagram.com/joao_oninguem/</v>
      </c>
      <c r="BY137" s="21" t="str">
        <f ca="1">IFERROR(__xludf.DUMMYFUNCTION("""COMPUTED_VALUE"""),"https://drive.google.com/open?id=1UulyPyr83IFyDILsTaduL1o7Cwf66gbP")</f>
        <v>https://drive.google.com/open?id=1UulyPyr83IFyDILsTaduL1o7Cwf66gbP</v>
      </c>
    </row>
    <row r="138" spans="1:77" ht="12.5" x14ac:dyDescent="0.25">
      <c r="A138" s="21" t="str">
        <f ca="1">IFERROR(__xludf.DUMMYFUNCTION("""COMPUTED_VALUE"""),"0014P00003SGWPYQA5")</f>
        <v>0014P00003SGWPYQA5</v>
      </c>
      <c r="B138" s="27" t="str">
        <f ca="1">IFERROR(__xludf.DUMMYFUNCTION("""COMPUTED_VALUE"""),"Fase Inicial")</f>
        <v>Fase Inicial</v>
      </c>
      <c r="C138" s="27" t="str">
        <f ca="1">IFERROR(__xludf.DUMMYFUNCTION("""COMPUTED_VALUE"""),"Fellow")</f>
        <v>Fellow</v>
      </c>
      <c r="D138" s="27" t="str">
        <f ca="1">IFERROR(__xludf.DUMMYFUNCTION("""COMPUTED_VALUE"""),"Ativo")</f>
        <v>Ativo</v>
      </c>
      <c r="E138" s="27" t="str">
        <f ca="1">IFERROR(__xludf.DUMMYFUNCTION("""COMPUTED_VALUE"""),"ASSOCIAÇÃO PROJETO PONTO E VÍRGULA")</f>
        <v>ASSOCIAÇÃO PROJETO PONTO E VÍRGULA</v>
      </c>
      <c r="F138" s="27" t="str">
        <f ca="1">IFERROR(__xludf.DUMMYFUNCTION("""COMPUTED_VALUE"""),"Elaine")</f>
        <v>Elaine</v>
      </c>
      <c r="G138" s="27" t="str">
        <f ca="1">IFERROR(__xludf.DUMMYFUNCTION("""COMPUTED_VALUE"""),"PONTO E VÍRGULA")</f>
        <v>PONTO E VÍRGULA</v>
      </c>
      <c r="H138" s="27" t="str">
        <f ca="1">IFERROR(__xludf.DUMMYFUNCTION("""COMPUTED_VALUE"""),"37.749.327/0001-70")</f>
        <v>37.749.327/0001-70</v>
      </c>
      <c r="I138" s="27" t="str">
        <f ca="1">IFERROR(__xludf.DUMMYFUNCTION("""COMPUTED_VALUE"""),"Elaine Cristina Silva Bassi")</f>
        <v>Elaine Cristina Silva Bassi</v>
      </c>
      <c r="J138" s="27" t="str">
        <f ca="1">IFERROR(__xludf.DUMMYFUNCTION("""COMPUTED_VALUE"""),"associacaoppv@gmail.com")</f>
        <v>associacaoppv@gmail.com</v>
      </c>
      <c r="K138" s="27" t="str">
        <f ca="1">IFERROR(__xludf.DUMMYFUNCTION("""COMPUTED_VALUE"""),"(11)97189-6880")</f>
        <v>(11)97189-6880</v>
      </c>
      <c r="L138" s="27" t="str">
        <f ca="1">IFERROR(__xludf.DUMMYFUNCTION("""COMPUTED_VALUE"""),"SP")</f>
        <v>SP</v>
      </c>
      <c r="M138" s="27" t="str">
        <f ca="1">IFERROR(__xludf.DUMMYFUNCTION("""COMPUTED_VALUE"""),"Aldeia dos machacalis")</f>
        <v>Aldeia dos machacalis</v>
      </c>
      <c r="N138" s="27" t="str">
        <f ca="1">IFERROR(__xludf.DUMMYFUNCTION("""COMPUTED_VALUE"""),"JD Etelvina")</f>
        <v>JD Etelvina</v>
      </c>
      <c r="O138" s="27" t="str">
        <f ca="1">IFERROR(__xludf.DUMMYFUNCTION("""COMPUTED_VALUE"""),"(11)97189-6880")</f>
        <v>(11)97189-6880</v>
      </c>
      <c r="P138" s="27" t="str">
        <f ca="1">IFERROR(__xludf.DUMMYFUNCTION("""COMPUTED_VALUE"""),"São Paulo")</f>
        <v>São Paulo</v>
      </c>
      <c r="Q138" s="27"/>
      <c r="R138" s="27" t="str">
        <f ca="1">IFERROR(__xludf.DUMMYFUNCTION("""COMPUTED_VALUE"""),"08430-430")</f>
        <v>08430-430</v>
      </c>
      <c r="S138" s="27" t="str">
        <f ca="1">IFERROR(__xludf.DUMMYFUNCTION("""COMPUTED_VALUE"""),"Escola Estadual Cesar Dacorso Filho - R. João Gomes de Farias 205 - Jardim Etelvina São Paulo - SP 08430-540")</f>
        <v>Escola Estadual Cesar Dacorso Filho - R. João Gomes de Farias 205 - Jardim Etelvina São Paulo - SP 08430-540</v>
      </c>
      <c r="T138" s="27" t="str">
        <f ca="1">IFERROR(__xludf.DUMMYFUNCTION("""COMPUTED_VALUE"""),"Esporte; Educação; Empregabilidade; Assistência Social; Cultura; Qualificação Profissional; Empreendedorismo; Saúde; Meio ambiente; Empoderamento Feminino; Negócios Sociais; Assistência Psicológica; Desenvolvimento comunitário")</f>
        <v>Esporte; Educação; Empregabilidade; Assistência Social; Cultura; Qualificação Profissional; Empreendedorismo; Saúde; Meio ambiente; Empoderamento Feminino; Negócios Sociais; Assistência Psicológica; Desenvolvimento comunitário</v>
      </c>
      <c r="U138"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138" s="27" t="str">
        <f ca="1">IFERROR(__xludf.DUMMYFUNCTION("""COMPUTED_VALUE"""),"Moradores de Favelas; Dependentes Químicos; Egressos sistema carcerário")</f>
        <v>Moradores de Favelas; Dependentes Químicos; Egressos sistema carcerário</v>
      </c>
      <c r="W138" s="27">
        <f ca="1">IFERROR(__xludf.DUMMYFUNCTION("""COMPUTED_VALUE"""),2)</f>
        <v>2</v>
      </c>
      <c r="X138" s="27"/>
      <c r="Y138" s="27">
        <f ca="1">IFERROR(__xludf.DUMMYFUNCTION("""COMPUTED_VALUE"""),150)</f>
        <v>150</v>
      </c>
      <c r="Z138" s="27">
        <f ca="1">IFERROR(__xludf.DUMMYFUNCTION("""COMPUTED_VALUE"""),3800)</f>
        <v>3800</v>
      </c>
      <c r="AA138" s="29">
        <f ca="1">IFERROR(__xludf.DUMMYFUNCTION("""COMPUTED_VALUE"""),43999)</f>
        <v>43999</v>
      </c>
      <c r="AB138" s="27" t="str">
        <f ca="1">IFERROR(__xludf.DUMMYFUNCTION("""COMPUTED_VALUE"""),"Sim")</f>
        <v>Sim</v>
      </c>
      <c r="AC138" s="27">
        <f ca="1">IFERROR(__xludf.DUMMYFUNCTION("""COMPUTED_VALUE"""),0)</f>
        <v>0</v>
      </c>
      <c r="AD138" s="27">
        <f ca="1">IFERROR(__xludf.DUMMYFUNCTION("""COMPUTED_VALUE"""),0)</f>
        <v>0</v>
      </c>
      <c r="AE138" s="27">
        <f ca="1">IFERROR(__xludf.DUMMYFUNCTION("""COMPUTED_VALUE"""),17)</f>
        <v>17</v>
      </c>
      <c r="AF138" s="27">
        <f ca="1">IFERROR(__xludf.DUMMYFUNCTION("""COMPUTED_VALUE"""),5)</f>
        <v>5</v>
      </c>
      <c r="AG138" s="27">
        <f ca="1">IFERROR(__xludf.DUMMYFUNCTION("""COMPUTED_VALUE"""),6)</f>
        <v>6</v>
      </c>
      <c r="AH138" s="27" t="str">
        <f ca="1">IFERROR(__xludf.DUMMYFUNCTION("""COMPUTED_VALUE"""),"Eventos/Ações para captação; Outro(s); Doações; Recursos próprios")</f>
        <v>Eventos/Ações para captação; Outro(s); Doações; Recursos próprios</v>
      </c>
      <c r="AI138" s="27" t="str">
        <f ca="1">IFERROR(__xludf.DUMMYFUNCTION("""COMPUTED_VALUE"""),"25% Eventos/Ações para captação/ Outros(BNI) e doações 75% Recursos próprios")</f>
        <v>25% Eventos/Ações para captação/ Outros(BNI) e doações 75% Recursos próprios</v>
      </c>
      <c r="AJ138" s="27" t="str">
        <f ca="1">IFERROR(__xludf.DUMMYFUNCTION("""COMPUTED_VALUE"""),"Não")</f>
        <v>Não</v>
      </c>
      <c r="AK138" s="27" t="str">
        <f ca="1">IFERROR(__xludf.DUMMYFUNCTION("""COMPUTED_VALUE"""),"Não")</f>
        <v>Não</v>
      </c>
      <c r="AL138" s="21" t="str">
        <f ca="1">IFERROR(__xludf.DUMMYFUNCTION("""COMPUTED_VALUE"""),"0034P000043fOnf")</f>
        <v>0034P000043fOnf</v>
      </c>
      <c r="AM138" s="27" t="str">
        <f ca="1">IFERROR(__xludf.DUMMYFUNCTION("""COMPUTED_VALUE"""),"Cristina Silva Bassi")</f>
        <v>Cristina Silva Bassi</v>
      </c>
      <c r="AN138" s="27" t="str">
        <f ca="1">IFERROR(__xludf.DUMMYFUNCTION("""COMPUTED_VALUE"""),"Ativo")</f>
        <v>Ativo</v>
      </c>
      <c r="AO138" s="29">
        <f ca="1">IFERROR(__xludf.DUMMYFUNCTION("""COMPUTED_VALUE"""),44432)</f>
        <v>44432</v>
      </c>
      <c r="AP138" s="27">
        <f ca="1">IFERROR(__xludf.DUMMYFUNCTION("""COMPUTED_VALUE"""),13)</f>
        <v>13</v>
      </c>
      <c r="AQ138" s="27" t="str">
        <f ca="1">IFERROR(__xludf.DUMMYFUNCTION("""COMPUTED_VALUE"""),"Primeiro Semestre 2021")</f>
        <v>Primeiro Semestre 2021</v>
      </c>
      <c r="AR138" s="27" t="str">
        <f ca="1">IFERROR(__xludf.DUMMYFUNCTION("""COMPUTED_VALUE"""),"associacaoppv@gmail.com")</f>
        <v>associacaoppv@gmail.com</v>
      </c>
      <c r="AS138" s="27" t="str">
        <f ca="1">IFERROR(__xludf.DUMMYFUNCTION("""COMPUTED_VALUE"""),"(11)97189-6880")</f>
        <v>(11)97189-6880</v>
      </c>
      <c r="AT138" s="29">
        <f ca="1">IFERROR(__xludf.DUMMYFUNCTION("""COMPUTED_VALUE"""),29080)</f>
        <v>29080</v>
      </c>
      <c r="AU138" s="27">
        <f ca="1">IFERROR(__xludf.DUMMYFUNCTION("""COMPUTED_VALUE"""),43)</f>
        <v>43</v>
      </c>
      <c r="AV138" s="27">
        <f ca="1">IFERROR(__xludf.DUMMYFUNCTION("""COMPUTED_VALUE"""),29955824859)</f>
        <v>29955824859</v>
      </c>
      <c r="AW138" s="27">
        <f ca="1">IFERROR(__xludf.DUMMYFUNCTION("""COMPUTED_VALUE"""),334201226)</f>
        <v>334201226</v>
      </c>
      <c r="AX138" s="27" t="str">
        <f ca="1">IFERROR(__xludf.DUMMYFUNCTION("""COMPUTED_VALUE"""),"Administração Coordenação De Projetos Sociais E Educadores Sociais Cursando Gestão Do Terceiro")</f>
        <v>Administração Coordenação De Projetos Sociais E Educadores Sociais Cursando Gestão Do Terceiro</v>
      </c>
      <c r="AY138" s="27" t="str">
        <f ca="1">IFERROR(__xludf.DUMMYFUNCTION("""COMPUTED_VALUE"""),"Sindica profissional condomínio Residência Manacá")</f>
        <v>Sindica profissional condomínio Residência Manacá</v>
      </c>
      <c r="AZ138" s="27" t="str">
        <f ca="1">IFERROR(__xludf.DUMMYFUNCTION("""COMPUTED_VALUE"""),"M")</f>
        <v>M</v>
      </c>
      <c r="BA138" s="27" t="str">
        <f ca="1">IFERROR(__xludf.DUMMYFUNCTION("""COMPUTED_VALUE"""),"Preta")</f>
        <v>Preta</v>
      </c>
      <c r="BB138" s="27"/>
      <c r="BC138" s="27" t="str">
        <f ca="1">IFERROR(__xludf.DUMMYFUNCTION("""COMPUTED_VALUE"""),"Não")</f>
        <v>Não</v>
      </c>
      <c r="BD138" s="27" t="str">
        <f ca="1">IFERROR(__xludf.DUMMYFUNCTION("""COMPUTED_VALUE"""),"Elaine Bassi, com 42 anos, casada, mãe de 2 filhos, síndica profissional, educadora social, Pastora Capelã. Em 2019 Buscou formação no curso de Coordenação de Projetos, Educador Social, ambos pelo SENAC e passou pelo processo de formação em 2021 na Falcon"&amp;"s University. Fundou o Projeto Ponto e Vírgula, tendo como inspiração a crença de que toda história pode continuar sendo escrita de uma forma inspiradora , cheia de sonhos e realizações através de oportunidades.")</f>
        <v>Elaine Bassi, com 42 anos, casada, mãe de 2 filhos, síndica profissional, educadora social, Pastora Capelã. Em 2019 Buscou formação no curso de Coordenação de Projetos, Educador Social, ambos pelo SENAC e passou pelo processo de formação em 2021 na Falcons University. Fundou o Projeto Ponto e Vírgula, tendo como inspiração a crença de que toda história pode continuar sendo escrita de uma forma inspiradora , cheia de sonhos e realizações através de oportunidades.</v>
      </c>
      <c r="BE138" s="27" t="str">
        <f ca="1">IFERROR(__xludf.DUMMYFUNCTION("""COMPUTED_VALUE"""),"Masculino")</f>
        <v>Masculino</v>
      </c>
      <c r="BF138" s="27" t="str">
        <f ca="1">IFERROR(__xludf.DUMMYFUNCTION("""COMPUTED_VALUE"""),"Heterossexual")</f>
        <v>Heterossexual</v>
      </c>
      <c r="BG138" s="27" t="str">
        <f ca="1">IFERROR(__xludf.DUMMYFUNCTION("""COMPUTED_VALUE"""),"Ensino Superior - Incompleto")</f>
        <v>Ensino Superior - Incompleto</v>
      </c>
      <c r="BH138" s="27"/>
      <c r="BI138" s="27" t="str">
        <f ca="1">IFERROR(__xludf.DUMMYFUNCTION("""COMPUTED_VALUE"""),"Graduação")</f>
        <v>Graduação</v>
      </c>
      <c r="BJ138" s="27" t="str">
        <f ca="1">IFERROR(__xludf.DUMMYFUNCTION("""COMPUTED_VALUE"""),"Privado")</f>
        <v>Privado</v>
      </c>
      <c r="BK138" s="27" t="str">
        <f ca="1">IFERROR(__xludf.DUMMYFUNCTION("""COMPUTED_VALUE"""),"Massato sakai")</f>
        <v>Massato sakai</v>
      </c>
      <c r="BL138" s="27">
        <f ca="1">IFERROR(__xludf.DUMMYFUNCTION("""COMPUTED_VALUE"""),180)</f>
        <v>180</v>
      </c>
      <c r="BM138" s="27" t="str">
        <f ca="1">IFERROR(__xludf.DUMMYFUNCTION("""COMPUTED_VALUE"""),"bl 04 apto 32 manaca")</f>
        <v>bl 04 apto 32 manaca</v>
      </c>
      <c r="BN138" s="27" t="str">
        <f ca="1">IFERROR(__xludf.DUMMYFUNCTION("""COMPUTED_VALUE"""),"São Paulo")</f>
        <v>São Paulo</v>
      </c>
      <c r="BO138" s="27" t="str">
        <f ca="1">IFERROR(__xludf.DUMMYFUNCTION("""COMPUTED_VALUE"""),"08538-300")</f>
        <v>08538-300</v>
      </c>
      <c r="BP138" s="27" t="str">
        <f ca="1">IFERROR(__xludf.DUMMYFUNCTION("""COMPUTED_VALUE"""),"SP")</f>
        <v>SP</v>
      </c>
      <c r="BQ138" s="27" t="str">
        <f ca="1">IFERROR(__xludf.DUMMYFUNCTION("""COMPUTED_VALUE"""),"Entre 1 até 3 salários mínimos")</f>
        <v>Entre 1 até 3 salários mínimos</v>
      </c>
      <c r="BR138" s="27" t="str">
        <f ca="1">IFERROR(__xludf.DUMMYFUNCTION("""COMPUTED_VALUE"""),"Desempregado")</f>
        <v>Desempregado</v>
      </c>
      <c r="BS138" s="27" t="str">
        <f ca="1">IFERROR(__xludf.DUMMYFUNCTION("""COMPUTED_VALUE"""),"Casa própria")</f>
        <v>Casa própria</v>
      </c>
      <c r="BT138" s="27">
        <f ca="1">IFERROR(__xludf.DUMMYFUNCTION("""COMPUTED_VALUE"""),4)</f>
        <v>4</v>
      </c>
      <c r="BU138" s="27"/>
      <c r="BV138" s="27"/>
      <c r="BW138" s="21" t="str">
        <f ca="1">IFERROR(__xludf.DUMMYFUNCTION("""COMPUTED_VALUE"""),"www.linkedin.com/in/elainecbassi")</f>
        <v>www.linkedin.com/in/elainecbassi</v>
      </c>
      <c r="BX138" s="21" t="str">
        <f ca="1">IFERROR(__xludf.DUMMYFUNCTION("""COMPUTED_VALUE"""),"https://www.instagram.com/elainecristinabassi/")</f>
        <v>https://www.instagram.com/elainecristinabassi/</v>
      </c>
      <c r="BY138" s="21" t="str">
        <f ca="1">IFERROR(__xludf.DUMMYFUNCTION("""COMPUTED_VALUE"""),"https://drive.google.com/open?id=1vBmHq5mbtidoLd_SqXh7-F3ZdnOnYiBW")</f>
        <v>https://drive.google.com/open?id=1vBmHq5mbtidoLd_SqXh7-F3ZdnOnYiBW</v>
      </c>
    </row>
    <row r="139" spans="1:77" ht="12.5" hidden="1" x14ac:dyDescent="0.25">
      <c r="A139" s="21" t="str">
        <f ca="1">IFERROR(__xludf.DUMMYFUNCTION("""COMPUTED_VALUE"""),"0014P00003YSpP9QAL")</f>
        <v>0014P00003YSpP9QAL</v>
      </c>
      <c r="B139" s="27" t="str">
        <f ca="1">IFERROR(__xludf.DUMMYFUNCTION("""COMPUTED_VALUE"""),"Fase Inicial")</f>
        <v>Fase Inicial</v>
      </c>
      <c r="C139" s="27" t="str">
        <f ca="1">IFERROR(__xludf.DUMMYFUNCTION("""COMPUTED_VALUE"""),"Fellow")</f>
        <v>Fellow</v>
      </c>
      <c r="D139" s="27" t="str">
        <f ca="1">IFERROR(__xludf.DUMMYFUNCTION("""COMPUTED_VALUE"""),"Ativo")</f>
        <v>Ativo</v>
      </c>
      <c r="E139" s="27" t="str">
        <f ca="1">IFERROR(__xludf.DUMMYFUNCTION("""COMPUTED_VALUE"""),"Associação Projeto Pró Bem")</f>
        <v>Associação Projeto Pró Bem</v>
      </c>
      <c r="F139" s="27" t="str">
        <f ca="1">IFERROR(__xludf.DUMMYFUNCTION("""COMPUTED_VALUE"""),"Eduardo")</f>
        <v>Eduardo</v>
      </c>
      <c r="G139" s="27"/>
      <c r="H139" s="27" t="str">
        <f ca="1">IFERROR(__xludf.DUMMYFUNCTION("""COMPUTED_VALUE"""),"33.918.317/0001-60")</f>
        <v>33.918.317/0001-60</v>
      </c>
      <c r="I139" s="27" t="str">
        <f ca="1">IFERROR(__xludf.DUMMYFUNCTION("""COMPUTED_VALUE"""),"Eduardo José Marques")</f>
        <v>Eduardo José Marques</v>
      </c>
      <c r="J139" s="27" t="str">
        <f ca="1">IFERROR(__xludf.DUMMYFUNCTION("""COMPUTED_VALUE"""),"probembotujuru@gmail.com")</f>
        <v>probembotujuru@gmail.com</v>
      </c>
      <c r="K139" s="27" t="str">
        <f ca="1">IFERROR(__xludf.DUMMYFUNCTION("""COMPUTED_VALUE"""),"(11)95791-7323")</f>
        <v>(11)95791-7323</v>
      </c>
      <c r="L139" s="27" t="str">
        <f ca="1">IFERROR(__xludf.DUMMYFUNCTION("""COMPUTED_VALUE"""),"SP")</f>
        <v>SP</v>
      </c>
      <c r="M139" s="27" t="str">
        <f ca="1">IFERROR(__xludf.DUMMYFUNCTION("""COMPUTED_VALUE"""),"Rua do Rosário 411")</f>
        <v>Rua do Rosário 411</v>
      </c>
      <c r="N139" s="27" t="str">
        <f ca="1">IFERROR(__xludf.DUMMYFUNCTION("""COMPUTED_VALUE"""),"Botujuru")</f>
        <v>Botujuru</v>
      </c>
      <c r="O139" s="27">
        <f ca="1">IFERROR(__xludf.DUMMYFUNCTION("""COMPUTED_VALUE"""),611)</f>
        <v>611</v>
      </c>
      <c r="P139" s="27" t="str">
        <f ca="1">IFERROR(__xludf.DUMMYFUNCTION("""COMPUTED_VALUE"""),"Mogi das Cruzes")</f>
        <v>Mogi das Cruzes</v>
      </c>
      <c r="Q139" s="27"/>
      <c r="R139" s="27" t="str">
        <f ca="1">IFERROR(__xludf.DUMMYFUNCTION("""COMPUTED_VALUE"""),"08840-470")</f>
        <v>08840-470</v>
      </c>
      <c r="S139" s="27"/>
      <c r="T139" s="27" t="str">
        <f ca="1">IFERROR(__xludf.DUMMYFUNCTION("""COMPUTED_VALUE"""),"Esporte; Educação; Empregabilidade; Empreendedorismo")</f>
        <v>Esporte; Educação; Empregabilidade; Empreendedorismo</v>
      </c>
      <c r="U139" s="27" t="str">
        <f ca="1">IFERROR(__xludf.DUMMYFUNCTION("""COMPUTED_VALUE"""),"Crianças pequenas (4 anos a 5 anos e 11 meses); Crianças (6 a 12 anos); Adolescentes (12 aos 18 anos); Idosos (60 anos ou mais)")</f>
        <v>Crianças pequenas (4 anos a 5 anos e 11 meses); Crianças (6 a 12 anos); Adolescentes (12 aos 18 anos); Idosos (60 anos ou mais)</v>
      </c>
      <c r="V139" s="27" t="str">
        <f ca="1">IFERROR(__xludf.DUMMYFUNCTION("""COMPUTED_VALUE"""),"Moradores de Favelas; Pessoas com Deficiência; Egressos sistema carcerário; Comunidade rural")</f>
        <v>Moradores de Favelas; Pessoas com Deficiência; Egressos sistema carcerário; Comunidade rural</v>
      </c>
      <c r="W139" s="27">
        <f ca="1">IFERROR(__xludf.DUMMYFUNCTION("""COMPUTED_VALUE"""),13)</f>
        <v>13</v>
      </c>
      <c r="X139" s="27" t="str">
        <f ca="1">IFERROR(__xludf.DUMMYFUNCTION("""COMPUTED_VALUE"""),"Volta Fria")</f>
        <v>Volta Fria</v>
      </c>
      <c r="Y139" s="27"/>
      <c r="Z139" s="27">
        <f ca="1">IFERROR(__xludf.DUMMYFUNCTION("""COMPUTED_VALUE"""),12000)</f>
        <v>12000</v>
      </c>
      <c r="AA139" s="30">
        <f ca="1">IFERROR(__xludf.DUMMYFUNCTION("""COMPUTED_VALUE"""),36504)</f>
        <v>36504</v>
      </c>
      <c r="AB139" s="27" t="str">
        <f ca="1">IFERROR(__xludf.DUMMYFUNCTION("""COMPUTED_VALUE"""),"Sim")</f>
        <v>Sim</v>
      </c>
      <c r="AC139" s="27">
        <f ca="1">IFERROR(__xludf.DUMMYFUNCTION("""COMPUTED_VALUE"""),0)</f>
        <v>0</v>
      </c>
      <c r="AD139" s="27">
        <f ca="1">IFERROR(__xludf.DUMMYFUNCTION("""COMPUTED_VALUE"""),16)</f>
        <v>16</v>
      </c>
      <c r="AE139" s="27">
        <f ca="1">IFERROR(__xludf.DUMMYFUNCTION("""COMPUTED_VALUE"""),16)</f>
        <v>16</v>
      </c>
      <c r="AF139" s="27">
        <f ca="1">IFERROR(__xludf.DUMMYFUNCTION("""COMPUTED_VALUE"""),9)</f>
        <v>9</v>
      </c>
      <c r="AG139" s="27">
        <f ca="1">IFERROR(__xludf.DUMMYFUNCTION("""COMPUTED_VALUE"""),2)</f>
        <v>2</v>
      </c>
      <c r="AH139" s="27" t="str">
        <f ca="1">IFERROR(__xludf.DUMMYFUNCTION("""COMPUTED_VALUE"""),"Parceria iniciativa privada; Outro(s); Doações")</f>
        <v>Parceria iniciativa privada; Outro(s); Doações</v>
      </c>
      <c r="AI139" s="27" t="str">
        <f ca="1">IFERROR(__xludf.DUMMYFUNCTION("""COMPUTED_VALUE"""),"Não")</f>
        <v>Não</v>
      </c>
      <c r="AJ139" s="27"/>
      <c r="AK139" s="27"/>
      <c r="AL139" s="21" t="str">
        <f ca="1">IFERROR(__xludf.DUMMYFUNCTION("""COMPUTED_VALUE"""),"0034P000045kxjL")</f>
        <v>0034P000045kxjL</v>
      </c>
      <c r="AM139" s="27" t="str">
        <f ca="1">IFERROR(__xludf.DUMMYFUNCTION("""COMPUTED_VALUE"""),"Jose Marques")</f>
        <v>Jose Marques</v>
      </c>
      <c r="AN139" s="27" t="str">
        <f ca="1">IFERROR(__xludf.DUMMYFUNCTION("""COMPUTED_VALUE"""),"Ativo")</f>
        <v>Ativo</v>
      </c>
      <c r="AO139" s="30">
        <f ca="1">IFERROR(__xludf.DUMMYFUNCTION("""COMPUTED_VALUE"""),44551)</f>
        <v>44551</v>
      </c>
      <c r="AP139" s="27">
        <f ca="1">IFERROR(__xludf.DUMMYFUNCTION("""COMPUTED_VALUE"""),9)</f>
        <v>9</v>
      </c>
      <c r="AQ139" s="27" t="str">
        <f ca="1">IFERROR(__xludf.DUMMYFUNCTION("""COMPUTED_VALUE"""),"Segundo Semestre 2021")</f>
        <v>Segundo Semestre 2021</v>
      </c>
      <c r="AR139" s="27" t="str">
        <f ca="1">IFERROR(__xludf.DUMMYFUNCTION("""COMPUTED_VALUE"""),"marquesdudu35@icloud.com")</f>
        <v>marquesdudu35@icloud.com</v>
      </c>
      <c r="AS139" s="27" t="str">
        <f ca="1">IFERROR(__xludf.DUMMYFUNCTION("""COMPUTED_VALUE"""),"(11)95791-7323")</f>
        <v>(11)95791-7323</v>
      </c>
      <c r="AT139" s="29">
        <f ca="1">IFERROR(__xludf.DUMMYFUNCTION("""COMPUTED_VALUE"""),29343)</f>
        <v>29343</v>
      </c>
      <c r="AU139" s="27">
        <f ca="1">IFERROR(__xludf.DUMMYFUNCTION("""COMPUTED_VALUE"""),42)</f>
        <v>42</v>
      </c>
      <c r="AV139" s="27">
        <f ca="1">IFERROR(__xludf.DUMMYFUNCTION("""COMPUTED_VALUE"""),30195179885)</f>
        <v>30195179885</v>
      </c>
      <c r="AW139" s="27">
        <f ca="1">IFERROR(__xludf.DUMMYFUNCTION("""COMPUTED_VALUE"""),453034646)</f>
        <v>453034646</v>
      </c>
      <c r="AX139" s="27"/>
      <c r="AY139" s="27"/>
      <c r="AZ139" s="27" t="str">
        <f ca="1">IFERROR(__xludf.DUMMYFUNCTION("""COMPUTED_VALUE"""),"G")</f>
        <v>G</v>
      </c>
      <c r="BA139" s="27" t="str">
        <f ca="1">IFERROR(__xludf.DUMMYFUNCTION("""COMPUTED_VALUE"""),"Preta")</f>
        <v>Preta</v>
      </c>
      <c r="BB139" s="27" t="str">
        <f ca="1">IFERROR(__xludf.DUMMYFUNCTION("""COMPUTED_VALUE"""),"Homem, cisgênero")</f>
        <v>Homem, cisgênero</v>
      </c>
      <c r="BC139" s="27" t="str">
        <f ca="1">IFERROR(__xludf.DUMMYFUNCTION("""COMPUTED_VALUE"""),"Sim")</f>
        <v>Sim</v>
      </c>
      <c r="BD139" s="27" t="str">
        <f ca="1">IFERROR(__xludf.DUMMYFUNCTION("""COMPUTED_VALUE"""),"Filho da D. Nazaré faxineira e Sr. Benedicto coletor. Me chamo Eduardo Marques pai de 4 filhos e acima de tudo um agente transformador que a longo prazo também ajudará a mudar o mundo!!!!")</f>
        <v>Filho da D. Nazaré faxineira e Sr. Benedicto coletor. Me chamo Eduardo Marques pai de 4 filhos e acima de tudo um agente transformador que a longo prazo também ajudará a mudar o mundo!!!!</v>
      </c>
      <c r="BE139" s="27"/>
      <c r="BF139" s="27" t="str">
        <f ca="1">IFERROR(__xludf.DUMMYFUNCTION("""COMPUTED_VALUE"""),"Heterossexual")</f>
        <v>Heterossexual</v>
      </c>
      <c r="BG139" s="27" t="str">
        <f ca="1">IFERROR(__xludf.DUMMYFUNCTION("""COMPUTED_VALUE"""),"Ensino Fundamental - Incompleto")</f>
        <v>Ensino Fundamental - Incompleto</v>
      </c>
      <c r="BH139" s="27" t="str">
        <f ca="1">IFERROR(__xludf.DUMMYFUNCTION("""COMPUTED_VALUE"""),"Pública")</f>
        <v>Pública</v>
      </c>
      <c r="BI139" s="27"/>
      <c r="BJ139" s="27"/>
      <c r="BK139" s="27" t="str">
        <f ca="1">IFERROR(__xludf.DUMMYFUNCTION("""COMPUTED_VALUE"""),"Santa Cruz De Andre 1314")</f>
        <v>Santa Cruz De Andre 1314</v>
      </c>
      <c r="BL139" s="27">
        <f ca="1">IFERROR(__xludf.DUMMYFUNCTION("""COMPUTED_VALUE"""),1314)</f>
        <v>1314</v>
      </c>
      <c r="BM139" s="27" t="str">
        <f ca="1">IFERROR(__xludf.DUMMYFUNCTION("""COMPUTED_VALUE"""),"Casa 3")</f>
        <v>Casa 3</v>
      </c>
      <c r="BN139" s="27" t="str">
        <f ca="1">IFERROR(__xludf.DUMMYFUNCTION("""COMPUTED_VALUE"""),"Mogi das Cruzes")</f>
        <v>Mogi das Cruzes</v>
      </c>
      <c r="BO139" s="27" t="str">
        <f ca="1">IFERROR(__xludf.DUMMYFUNCTION("""COMPUTED_VALUE"""),"08840-220")</f>
        <v>08840-220</v>
      </c>
      <c r="BP139" s="27" t="str">
        <f ca="1">IFERROR(__xludf.DUMMYFUNCTION("""COMPUTED_VALUE"""),"SP")</f>
        <v>SP</v>
      </c>
      <c r="BQ139" s="27" t="str">
        <f ca="1">IFERROR(__xludf.DUMMYFUNCTION("""COMPUTED_VALUE"""),"Entre 1 até 3 salários mínimos")</f>
        <v>Entre 1 até 3 salários mínimos</v>
      </c>
      <c r="BR139" s="27" t="str">
        <f ca="1">IFERROR(__xludf.DUMMYFUNCTION("""COMPUTED_VALUE"""),"Desempregado")</f>
        <v>Desempregado</v>
      </c>
      <c r="BS139" s="27" t="str">
        <f ca="1">IFERROR(__xludf.DUMMYFUNCTION("""COMPUTED_VALUE"""),"Casa cedida")</f>
        <v>Casa cedida</v>
      </c>
      <c r="BT139" s="27">
        <f ca="1">IFERROR(__xludf.DUMMYFUNCTION("""COMPUTED_VALUE"""),6)</f>
        <v>6</v>
      </c>
      <c r="BU139" s="27" t="str">
        <f ca="1">IFERROR(__xludf.DUMMYFUNCTION("""COMPUTED_VALUE"""),"Não tem")</f>
        <v>Não tem</v>
      </c>
      <c r="BV139" s="27"/>
      <c r="BW139" s="27" t="str">
        <f ca="1">IFERROR(__xludf.DUMMYFUNCTION("""COMPUTED_VALUE"""),"Não")</f>
        <v>Não</v>
      </c>
      <c r="BX139" s="21" t="str">
        <f ca="1">IFERROR(__xludf.DUMMYFUNCTION("""COMPUTED_VALUE"""),"https://instagram.com/du_marques_oficial")</f>
        <v>https://instagram.com/du_marques_oficial</v>
      </c>
      <c r="BY139" s="21" t="str">
        <f ca="1">IFERROR(__xludf.DUMMYFUNCTION("""COMPUTED_VALUE"""),"https://drive.google.com/open?id=1zBbqQgovEpM2hewmqvqrPi23fPj1LyeD")</f>
        <v>https://drive.google.com/open?id=1zBbqQgovEpM2hewmqvqrPi23fPj1LyeD</v>
      </c>
    </row>
    <row r="140" spans="1:77" ht="12.5" hidden="1" x14ac:dyDescent="0.25">
      <c r="A140" s="21" t="str">
        <f ca="1">IFERROR(__xludf.DUMMYFUNCTION("""COMPUTED_VALUE"""),"0014X00002VKCtvQAH")</f>
        <v>0014X00002VKCtvQAH</v>
      </c>
      <c r="B140" s="27" t="str">
        <f ca="1">IFERROR(__xludf.DUMMYFUNCTION("""COMPUTED_VALUE"""),"Fase Inicial")</f>
        <v>Fase Inicial</v>
      </c>
      <c r="C140" s="27" t="str">
        <f ca="1">IFERROR(__xludf.DUMMYFUNCTION("""COMPUTED_VALUE"""),"Fellow")</f>
        <v>Fellow</v>
      </c>
      <c r="D140" s="27" t="str">
        <f ca="1">IFERROR(__xludf.DUMMYFUNCTION("""COMPUTED_VALUE"""),"Ativo")</f>
        <v>Ativo</v>
      </c>
      <c r="E140" s="27" t="str">
        <f ca="1">IFERROR(__xludf.DUMMYFUNCTION("""COMPUTED_VALUE"""),"Associação Projeto Surfar")</f>
        <v>Associação Projeto Surfar</v>
      </c>
      <c r="F140" s="27" t="str">
        <f ca="1">IFERROR(__xludf.DUMMYFUNCTION("""COMPUTED_VALUE"""),"Gicele")</f>
        <v>Gicele</v>
      </c>
      <c r="G140" s="27" t="str">
        <f ca="1">IFERROR(__xludf.DUMMYFUNCTION("""COMPUTED_VALUE"""),"ONG  SURFAR")</f>
        <v>ONG  SURFAR</v>
      </c>
      <c r="H140" s="27" t="str">
        <f ca="1">IFERROR(__xludf.DUMMYFUNCTION("""COMPUTED_VALUE"""),"09.097.983/0001-09")</f>
        <v>09.097.983/0001-09</v>
      </c>
      <c r="I140" s="27" t="str">
        <f ca="1">IFERROR(__xludf.DUMMYFUNCTION("""COMPUTED_VALUE"""),"GUSTAVO ADOLFO ABS DA CRUZ ROCHA")</f>
        <v>GUSTAVO ADOLFO ABS DA CRUZ ROCHA</v>
      </c>
      <c r="J140" s="27" t="str">
        <f ca="1">IFERROR(__xludf.DUMMYFUNCTION("""COMPUTED_VALUE"""),"ongsurfar@hotmail.com")</f>
        <v>ongsurfar@hotmail.com</v>
      </c>
      <c r="K140" s="27" t="str">
        <f ca="1">IFERROR(__xludf.DUMMYFUNCTION("""COMPUTED_VALUE"""),"(51)3384-9728")</f>
        <v>(51)3384-9728</v>
      </c>
      <c r="L140" s="27" t="str">
        <f ca="1">IFERROR(__xludf.DUMMYFUNCTION("""COMPUTED_VALUE"""),"RS")</f>
        <v>RS</v>
      </c>
      <c r="M140" s="27" t="str">
        <f ca="1">IFERROR(__xludf.DUMMYFUNCTION("""COMPUTED_VALUE"""),"Rua Borborema,687 e 691")</f>
        <v>Rua Borborema,687 e 691</v>
      </c>
      <c r="N140" s="27" t="str">
        <f ca="1">IFERROR(__xludf.DUMMYFUNCTION("""COMPUTED_VALUE"""),"Partenon /São José")</f>
        <v>Partenon /São José</v>
      </c>
      <c r="O140" s="27" t="str">
        <f ca="1">IFERROR(__xludf.DUMMYFUNCTION("""COMPUTED_VALUE"""),"687 e 691")</f>
        <v>687 e 691</v>
      </c>
      <c r="P140" s="27" t="str">
        <f ca="1">IFERROR(__xludf.DUMMYFUNCTION("""COMPUTED_VALUE"""),"Porto Alegre")</f>
        <v>Porto Alegre</v>
      </c>
      <c r="Q140" s="27"/>
      <c r="R140" s="27" t="str">
        <f ca="1">IFERROR(__xludf.DUMMYFUNCTION("""COMPUTED_VALUE"""),"91520-030")</f>
        <v>91520-030</v>
      </c>
      <c r="S140" s="27" t="str">
        <f ca="1">IFERROR(__xludf.DUMMYFUNCTION("""COMPUTED_VALUE"""),"INSTITUIÇÕES ,ESCOLAS E REDE DE ATENDIMENTO NO GERAL")</f>
        <v>INSTITUIÇÕES ,ESCOLAS E REDE DE ATENDIMENTO NO GERAL</v>
      </c>
      <c r="T140" s="27"/>
      <c r="U140"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140" s="27" t="str">
        <f ca="1">IFERROR(__xludf.DUMMYFUNCTION("""COMPUTED_VALUE"""),"Moradores de Favelas, Pessoas em situação de rua, População LGBTQ+, Povos Indígenas, Quilombola, Afrodescendentes, Dependentes Químicos, Pessoas com Deficiência, Egressos sistema carcerário, Imigrantes, Refugiados")</f>
        <v>Moradores de Favelas, Pessoas em situação de rua, População LGBTQ+, Povos Indígenas, Quilombola, Afrodescendentes, Dependentes Químicos, Pessoas com Deficiência, Egressos sistema carcerário, Imigrantes, Refugiados</v>
      </c>
      <c r="W140" s="27">
        <f ca="1">IFERROR(__xludf.DUMMYFUNCTION("""COMPUTED_VALUE"""),9)</f>
        <v>9</v>
      </c>
      <c r="X140" s="27" t="str">
        <f ca="1">IFERROR(__xludf.DUMMYFUNCTION("""COMPUTED_VALUE"""),"Atendemos crianças de 0 a jovens de 18 anos nas oficinas de esporte *cultura e lazer e temos o curso profissionalizante de cuidadores de idosos *deficientes e acamados para mulheres em situação de vulnerabilidade e curso profissionalizante de fabricação d"&amp;"e pranchas de surf para adultos em situação de desemprego e vulnerabilidade .")</f>
        <v>Atendemos crianças de 0 a jovens de 18 anos nas oficinas de esporte *cultura e lazer e temos o curso profissionalizante de cuidadores de idosos *deficientes e acamados para mulheres em situação de vulnerabilidade e curso profissionalizante de fabricação de pranchas de surf para adultos em situação de desemprego e vulnerabilidade .</v>
      </c>
      <c r="Y140" s="27"/>
      <c r="Z140" s="27">
        <f ca="1">IFERROR(__xludf.DUMMYFUNCTION("""COMPUTED_VALUE"""),1500)</f>
        <v>1500</v>
      </c>
      <c r="AA140" s="29">
        <f ca="1">IFERROR(__xludf.DUMMYFUNCTION("""COMPUTED_VALUE"""),38720)</f>
        <v>38720</v>
      </c>
      <c r="AB140" s="27" t="str">
        <f ca="1">IFERROR(__xludf.DUMMYFUNCTION("""COMPUTED_VALUE"""),"Sim")</f>
        <v>Sim</v>
      </c>
      <c r="AC140" s="27">
        <f ca="1">IFERROR(__xludf.DUMMYFUNCTION("""COMPUTED_VALUE"""),0)</f>
        <v>0</v>
      </c>
      <c r="AD140" s="27">
        <f ca="1">IFERROR(__xludf.DUMMYFUNCTION("""COMPUTED_VALUE"""),16)</f>
        <v>16</v>
      </c>
      <c r="AE140" s="27">
        <f ca="1">IFERROR(__xludf.DUMMYFUNCTION("""COMPUTED_VALUE"""),24)</f>
        <v>24</v>
      </c>
      <c r="AF140" s="27">
        <f ca="1">IFERROR(__xludf.DUMMYFUNCTION("""COMPUTED_VALUE"""),16)</f>
        <v>16</v>
      </c>
      <c r="AG140" s="27">
        <f ca="1">IFERROR(__xludf.DUMMYFUNCTION("""COMPUTED_VALUE"""),6)</f>
        <v>6</v>
      </c>
      <c r="AH140" s="27" t="str">
        <f ca="1">IFERROR(__xludf.DUMMYFUNCTION("""COMPUTED_VALUE"""),"Negócio Social, Eventos/Ações para captação, Parceria iniciativa privada, Editais, Doações, Recursos próprios")</f>
        <v>Negócio Social, Eventos/Ações para captação, Parceria iniciativa privada, Editais, Doações, Recursos próprios</v>
      </c>
      <c r="AI140" s="27" t="str">
        <f ca="1">IFERROR(__xludf.DUMMYFUNCTION("""COMPUTED_VALUE"""),"15% negocio social ,10% eventos,20% iniciativa privada ,30% doações, 25% recursos próprios")</f>
        <v>15% negocio social ,10% eventos,20% iniciativa privada ,30% doações, 25% recursos próprios</v>
      </c>
      <c r="AJ140" s="27" t="str">
        <f ca="1">IFERROR(__xludf.DUMMYFUNCTION("""COMPUTED_VALUE"""),"Sim")</f>
        <v>Sim</v>
      </c>
      <c r="AK140" s="27"/>
      <c r="AL140" s="21" t="str">
        <f ca="1">IFERROR(__xludf.DUMMYFUNCTION("""COMPUTED_VALUE"""),"0034X0000380O2L")</f>
        <v>0034X0000380O2L</v>
      </c>
      <c r="AM140" s="27" t="str">
        <f ca="1">IFERROR(__xludf.DUMMYFUNCTION("""COMPUTED_VALUE"""),"De azevedo melo")</f>
        <v>De azevedo melo</v>
      </c>
      <c r="AN140" s="27" t="str">
        <f ca="1">IFERROR(__xludf.DUMMYFUNCTION("""COMPUTED_VALUE"""),"Ativo")</f>
        <v>Ativo</v>
      </c>
      <c r="AO140" s="29">
        <f ca="1">IFERROR(__xludf.DUMMYFUNCTION("""COMPUTED_VALUE"""),44763)</f>
        <v>44763</v>
      </c>
      <c r="AP140" s="27">
        <f ca="1">IFERROR(__xludf.DUMMYFUNCTION("""COMPUTED_VALUE"""),2)</f>
        <v>2</v>
      </c>
      <c r="AQ140" s="27" t="str">
        <f ca="1">IFERROR(__xludf.DUMMYFUNCTION("""COMPUTED_VALUE"""),"Primeiro Semestre 2022")</f>
        <v>Primeiro Semestre 2022</v>
      </c>
      <c r="AR140" s="27" t="str">
        <f ca="1">IFERROR(__xludf.DUMMYFUNCTION("""COMPUTED_VALUE"""),"gicele.falcons@gmail.com")</f>
        <v>gicele.falcons@gmail.com</v>
      </c>
      <c r="AS140" s="27">
        <f ca="1">IFERROR(__xludf.DUMMYFUNCTION("""COMPUTED_VALUE"""),51984017604)</f>
        <v>51984017604</v>
      </c>
      <c r="AT140" s="29">
        <f ca="1">IFERROR(__xludf.DUMMYFUNCTION("""COMPUTED_VALUE"""),27837)</f>
        <v>27837</v>
      </c>
      <c r="AU140" s="27">
        <f ca="1">IFERROR(__xludf.DUMMYFUNCTION("""COMPUTED_VALUE"""),46)</f>
        <v>46</v>
      </c>
      <c r="AV140" s="27">
        <f ca="1">IFERROR(__xludf.DUMMYFUNCTION("""COMPUTED_VALUE"""),67445950087)</f>
        <v>67445950087</v>
      </c>
      <c r="AW140" s="27">
        <f ca="1">IFERROR(__xludf.DUMMYFUNCTION("""COMPUTED_VALUE"""),1057382143)</f>
        <v>1057382143</v>
      </c>
      <c r="AX140" s="27"/>
      <c r="AY140" s="27"/>
      <c r="AZ140" s="27" t="str">
        <f ca="1">IFERROR(__xludf.DUMMYFUNCTION("""COMPUTED_VALUE"""),"M")</f>
        <v>M</v>
      </c>
      <c r="BA140" s="27" t="str">
        <f ca="1">IFERROR(__xludf.DUMMYFUNCTION("""COMPUTED_VALUE"""),"Branca")</f>
        <v>Branca</v>
      </c>
      <c r="BB140" s="27"/>
      <c r="BC140" s="27"/>
      <c r="BD140" s="27" t="str">
        <f ca="1">IFERROR(__xludf.DUMMYFUNCTION("""COMPUTED_VALUE"""),"Sou Gicele Melo *45 anos *casada há 28 anos *mãe de dois filhos e avó de dois netos *fundadora e tesoureira  da Associação Projeto Surfar há 22 anos*liderança comunitária *professora de capoeira *tenho o titulo de mulher cidadã do estado do RS no ano de 2"&amp;"019 *palestrante em cursos e faculdades sobre empoderamento humano e feminino e sobre sustentabilidade *atendo na instituição mais de 400 famílias em situação de vulnerabilidade social e baixa renda.Amo me engajar em diferentes causas com o propósito de o"&amp;"bter resultados efetivos e positivos*na mudança de vida das pessoas que muito precisam *apresentando soluções que vão além do lugar comum .Amo o meu trabalho !")</f>
        <v>Sou Gicele Melo *45 anos *casada há 28 anos *mãe de dois filhos e avó de dois netos *fundadora e tesoureira  da Associação Projeto Surfar há 22 anos*liderança comunitária *professora de capoeira *tenho o titulo de mulher cidadã do estado do RS no ano de 2019 *palestrante em cursos e faculdades sobre empoderamento humano e feminino e sobre sustentabilidade *atendo na instituição mais de 400 famílias em situação de vulnerabilidade social e baixa renda.Amo me engajar em diferentes causas com o propósito de obter resultados efetivos e positivos*na mudança de vida das pessoas que muito precisam *apresentando soluções que vão além do lugar comum .Amo o meu trabalho !</v>
      </c>
      <c r="BE140" s="27" t="str">
        <f ca="1">IFERROR(__xludf.DUMMYFUNCTION("""COMPUTED_VALUE"""),"Feminino")</f>
        <v>Feminino</v>
      </c>
      <c r="BF140" s="27" t="str">
        <f ca="1">IFERROR(__xludf.DUMMYFUNCTION("""COMPUTED_VALUE"""),"Heterossexual")</f>
        <v>Heterossexual</v>
      </c>
      <c r="BG140" s="27"/>
      <c r="BH140" s="27" t="str">
        <f ca="1">IFERROR(__xludf.DUMMYFUNCTION("""COMPUTED_VALUE"""),"Público")</f>
        <v>Público</v>
      </c>
      <c r="BI140" s="27"/>
      <c r="BJ140" s="27"/>
      <c r="BK140" s="27" t="str">
        <f ca="1">IFERROR(__xludf.DUMMYFUNCTION("""COMPUTED_VALUE"""),"Rua Borborema")</f>
        <v>Rua Borborema</v>
      </c>
      <c r="BL140" s="27" t="str">
        <f ca="1">IFERROR(__xludf.DUMMYFUNCTION("""COMPUTED_VALUE"""),"687 e 691")</f>
        <v>687 e 691</v>
      </c>
      <c r="BM140" s="27"/>
      <c r="BN140" s="27"/>
      <c r="BO140" s="27">
        <f ca="1">IFERROR(__xludf.DUMMYFUNCTION("""COMPUTED_VALUE"""),91520030)</f>
        <v>91520030</v>
      </c>
      <c r="BP140" s="27" t="str">
        <f ca="1">IFERROR(__xludf.DUMMYFUNCTION("""COMPUTED_VALUE"""),"RS")</f>
        <v>RS</v>
      </c>
      <c r="BQ140" s="27" t="str">
        <f ca="1">IFERROR(__xludf.DUMMYFUNCTION("""COMPUTED_VALUE"""),"Entre 1 até 3 salários mínimos")</f>
        <v>Entre 1 até 3 salários mínimos</v>
      </c>
      <c r="BR140" s="27" t="str">
        <f ca="1">IFERROR(__xludf.DUMMYFUNCTION("""COMPUTED_VALUE"""),"MEI")</f>
        <v>MEI</v>
      </c>
      <c r="BS140" s="27" t="str">
        <f ca="1">IFERROR(__xludf.DUMMYFUNCTION("""COMPUTED_VALUE"""),"Casa cedida")</f>
        <v>Casa cedida</v>
      </c>
      <c r="BT140" s="27">
        <f ca="1">IFERROR(__xludf.DUMMYFUNCTION("""COMPUTED_VALUE"""),4)</f>
        <v>4</v>
      </c>
      <c r="BU140" s="27" t="str">
        <f ca="1">IFERROR(__xludf.DUMMYFUNCTION("""COMPUTED_VALUE"""),"Não tem")</f>
        <v>Não tem</v>
      </c>
      <c r="BV140" s="27" t="str">
        <f ca="1">IFERROR(__xludf.DUMMYFUNCTION("""COMPUTED_VALUE"""),"Não")</f>
        <v>Não</v>
      </c>
      <c r="BW140" s="27"/>
      <c r="BX140" s="27" t="str">
        <f ca="1">IFERROR(__xludf.DUMMYFUNCTION("""COMPUTED_VALUE"""),"gi.surfar")</f>
        <v>gi.surfar</v>
      </c>
      <c r="BY140" s="21" t="str">
        <f ca="1">IFERROR(__xludf.DUMMYFUNCTION("""COMPUTED_VALUE"""),"https://drive.google.com/open?id=1tVdspMTRBzD-0sYYoZNtp9RBCocTsDq4")</f>
        <v>https://drive.google.com/open?id=1tVdspMTRBzD-0sYYoZNtp9RBCocTsDq4</v>
      </c>
    </row>
    <row r="141" spans="1:77" ht="12.5" x14ac:dyDescent="0.25">
      <c r="A141" s="21" t="str">
        <f ca="1">IFERROR(__xludf.DUMMYFUNCTION("""COMPUTED_VALUE"""),"0014P00003AN2FeQAL")</f>
        <v>0014P00003AN2FeQAL</v>
      </c>
      <c r="B141" s="27" t="str">
        <f ca="1">IFERROR(__xludf.DUMMYFUNCTION("""COMPUTED_VALUE"""),"Fase Inicial")</f>
        <v>Fase Inicial</v>
      </c>
      <c r="C141" s="27" t="str">
        <f ca="1">IFERROR(__xludf.DUMMYFUNCTION("""COMPUTED_VALUE"""),"Fellow")</f>
        <v>Fellow</v>
      </c>
      <c r="D141" s="27" t="str">
        <f ca="1">IFERROR(__xludf.DUMMYFUNCTION("""COMPUTED_VALUE"""),"Ativo")</f>
        <v>Ativo</v>
      </c>
      <c r="E141" s="27" t="str">
        <f ca="1">IFERROR(__xludf.DUMMYFUNCTION("""COMPUTED_VALUE"""),"ASSOCIAÇÃO PROTOTIPANDO A QUEBRADA")</f>
        <v>ASSOCIAÇÃO PROTOTIPANDO A QUEBRADA</v>
      </c>
      <c r="F141" s="27" t="str">
        <f ca="1">IFERROR(__xludf.DUMMYFUNCTION("""COMPUTED_VALUE"""),"Jefferson")</f>
        <v>Jefferson</v>
      </c>
      <c r="G141" s="27" t="str">
        <f ca="1">IFERROR(__xludf.DUMMYFUNCTION("""COMPUTED_VALUE"""),"PROTOTIPANDO")</f>
        <v>PROTOTIPANDO</v>
      </c>
      <c r="H141" s="27" t="str">
        <f ca="1">IFERROR(__xludf.DUMMYFUNCTION("""COMPUTED_VALUE"""),"43.213.521/0001-30")</f>
        <v>43.213.521/0001-30</v>
      </c>
      <c r="I141" s="27" t="str">
        <f ca="1">IFERROR(__xludf.DUMMYFUNCTION("""COMPUTED_VALUE"""),"Jefferson Lima")</f>
        <v>Jefferson Lima</v>
      </c>
      <c r="J141" s="27" t="str">
        <f ca="1">IFERROR(__xludf.DUMMYFUNCTION("""COMPUTED_VALUE"""),"prototipandoaquebrada@gmail.com")</f>
        <v>prototipandoaquebrada@gmail.com</v>
      </c>
      <c r="K141" s="27" t="str">
        <f ca="1">IFERROR(__xludf.DUMMYFUNCTION("""COMPUTED_VALUE"""),"(48)9934-4387")</f>
        <v>(48)9934-4387</v>
      </c>
      <c r="L141" s="27" t="str">
        <f ca="1">IFERROR(__xludf.DUMMYFUNCTION("""COMPUTED_VALUE"""),"SC")</f>
        <v>SC</v>
      </c>
      <c r="M141" s="27" t="str">
        <f ca="1">IFERROR(__xludf.DUMMYFUNCTION("""COMPUTED_VALUE"""),"R BOCAIUVA")</f>
        <v>R BOCAIUVA</v>
      </c>
      <c r="N141" s="27" t="str">
        <f ca="1">IFERROR(__xludf.DUMMYFUNCTION("""COMPUTED_VALUE"""),"Centro")</f>
        <v>Centro</v>
      </c>
      <c r="O141" s="27" t="str">
        <f ca="1">IFERROR(__xludf.DUMMYFUNCTION("""COMPUTED_VALUE"""),"(48)99934-4387")</f>
        <v>(48)99934-4387</v>
      </c>
      <c r="P141" s="27" t="str">
        <f ca="1">IFERROR(__xludf.DUMMYFUNCTION("""COMPUTED_VALUE"""),"Florianópolis")</f>
        <v>Florianópolis</v>
      </c>
      <c r="Q141" s="27" t="str">
        <f ca="1">IFERROR(__xludf.DUMMYFUNCTION("""COMPUTED_VALUE"""),"2 Andar")</f>
        <v>2 Andar</v>
      </c>
      <c r="R141" s="27" t="str">
        <f ca="1">IFERROR(__xludf.DUMMYFUNCTION("""COMPUTED_VALUE"""),"88015-530")</f>
        <v>88015-530</v>
      </c>
      <c r="S141" s="27" t="str">
        <f ca="1">IFERROR(__xludf.DUMMYFUNCTION("""COMPUTED_VALUE"""),"Unidade Pedra Branca:
Avenida das Águias 231 Sala 3 - Palhoça - SC 88137-280")</f>
        <v>Unidade Pedra Branca:
Avenida das Águias 231 Sala 3 - Palhoça - SC 88137-280</v>
      </c>
      <c r="T141" s="27" t="str">
        <f ca="1">IFERROR(__xludf.DUMMYFUNCTION("""COMPUTED_VALUE"""),"Educação; Empregabilidade; Qualificação Profissional; Empreendedorismo; Ciência e Tecnologia; Comunicação")</f>
        <v>Educação; Empregabilidade; Qualificação Profissional; Empreendedorismo; Ciência e Tecnologia; Comunicação</v>
      </c>
      <c r="U141" s="27" t="str">
        <f ca="1">IFERROR(__xludf.DUMMYFUNCTION("""COMPUTED_VALUE"""),"Crianças (6 a 12 anos); Adolescentes (12 aos 18 anos); Jovens (18 aos 24 anos); Adultos")</f>
        <v>Crianças (6 a 12 anos); Adolescentes (12 aos 18 anos); Jovens (18 aos 24 anos); Adultos</v>
      </c>
      <c r="V141" s="27" t="str">
        <f ca="1">IFERROR(__xludf.DUMMYFUNCTION("""COMPUTED_VALUE"""),"Moradores de Favelas; Afrodescendentes")</f>
        <v>Moradores de Favelas; Afrodescendentes</v>
      </c>
      <c r="W141" s="27">
        <f ca="1">IFERROR(__xludf.DUMMYFUNCTION("""COMPUTED_VALUE"""),15)</f>
        <v>15</v>
      </c>
      <c r="X141" s="27"/>
      <c r="Y141" s="27">
        <f ca="1">IFERROR(__xludf.DUMMYFUNCTION("""COMPUTED_VALUE"""),50)</f>
        <v>50</v>
      </c>
      <c r="Z141" s="27">
        <f ca="1">IFERROR(__xludf.DUMMYFUNCTION("""COMPUTED_VALUE"""),250)</f>
        <v>250</v>
      </c>
      <c r="AA141" s="29">
        <f ca="1">IFERROR(__xludf.DUMMYFUNCTION("""COMPUTED_VALUE"""),44431)</f>
        <v>44431</v>
      </c>
      <c r="AB141" s="27" t="str">
        <f ca="1">IFERROR(__xludf.DUMMYFUNCTION("""COMPUTED_VALUE"""),"Sim")</f>
        <v>Sim</v>
      </c>
      <c r="AC141" s="27">
        <f ca="1">IFERROR(__xludf.DUMMYFUNCTION("""COMPUTED_VALUE"""),10)</f>
        <v>10</v>
      </c>
      <c r="AD141" s="27">
        <f ca="1">IFERROR(__xludf.DUMMYFUNCTION("""COMPUTED_VALUE"""),2)</f>
        <v>2</v>
      </c>
      <c r="AE141" s="27">
        <f ca="1">IFERROR(__xludf.DUMMYFUNCTION("""COMPUTED_VALUE"""),22)</f>
        <v>22</v>
      </c>
      <c r="AF141" s="27">
        <f ca="1">IFERROR(__xludf.DUMMYFUNCTION("""COMPUTED_VALUE"""),15)</f>
        <v>15</v>
      </c>
      <c r="AG141" s="27">
        <f ca="1">IFERROR(__xludf.DUMMYFUNCTION("""COMPUTED_VALUE"""),3)</f>
        <v>3</v>
      </c>
      <c r="AH141" s="27" t="str">
        <f ca="1">IFERROR(__xludf.DUMMYFUNCTION("""COMPUTED_VALUE"""),"Eventos/Ações para captação; Parceria iniciativa privada")</f>
        <v>Eventos/Ações para captação; Parceria iniciativa privada</v>
      </c>
      <c r="AI141" s="27" t="str">
        <f ca="1">IFERROR(__xludf.DUMMYFUNCTION("""COMPUTED_VALUE"""),"Parceria Inciativa Privada/80% - Eventos/Ações de Captação/15% - Negócio Social - 5%")</f>
        <v>Parceria Inciativa Privada/80% - Eventos/Ações de Captação/15% - Negócio Social - 5%</v>
      </c>
      <c r="AJ141" s="27" t="str">
        <f ca="1">IFERROR(__xludf.DUMMYFUNCTION("""COMPUTED_VALUE"""),"Não")</f>
        <v>Não</v>
      </c>
      <c r="AK141" s="27" t="str">
        <f ca="1">IFERROR(__xludf.DUMMYFUNCTION("""COMPUTED_VALUE"""),"Não")</f>
        <v>Não</v>
      </c>
      <c r="AL141" s="21" t="str">
        <f ca="1">IFERROR(__xludf.DUMMYFUNCTION("""COMPUTED_VALUE"""),"0034P00003maBV4")</f>
        <v>0034P00003maBV4</v>
      </c>
      <c r="AM141" s="27" t="str">
        <f ca="1">IFERROR(__xludf.DUMMYFUNCTION("""COMPUTED_VALUE"""),"Lima")</f>
        <v>Lima</v>
      </c>
      <c r="AN141" s="27" t="str">
        <f ca="1">IFERROR(__xludf.DUMMYFUNCTION("""COMPUTED_VALUE"""),"Ativo")</f>
        <v>Ativo</v>
      </c>
      <c r="AO141" s="29">
        <f ca="1">IFERROR(__xludf.DUMMYFUNCTION("""COMPUTED_VALUE"""),44285)</f>
        <v>44285</v>
      </c>
      <c r="AP141" s="27">
        <f ca="1">IFERROR(__xludf.DUMMYFUNCTION("""COMPUTED_VALUE"""),18)</f>
        <v>18</v>
      </c>
      <c r="AQ141" s="27" t="str">
        <f ca="1">IFERROR(__xludf.DUMMYFUNCTION("""COMPUTED_VALUE"""),"Primeiro Semestre 2021")</f>
        <v>Primeiro Semestre 2021</v>
      </c>
      <c r="AR141" s="27" t="str">
        <f ca="1">IFERROR(__xludf.DUMMYFUNCTION("""COMPUTED_VALUE"""),"jeff@prototipandoaquebrada.org")</f>
        <v>jeff@prototipandoaquebrada.org</v>
      </c>
      <c r="AS141" s="27" t="str">
        <f ca="1">IFERROR(__xludf.DUMMYFUNCTION("""COMPUTED_VALUE"""),"(48)99934-4387")</f>
        <v>(48)99934-4387</v>
      </c>
      <c r="AT141" s="29">
        <f ca="1">IFERROR(__xludf.DUMMYFUNCTION("""COMPUTED_VALUE"""),30964)</f>
        <v>30964</v>
      </c>
      <c r="AU141" s="27">
        <f ca="1">IFERROR(__xludf.DUMMYFUNCTION("""COMPUTED_VALUE"""),38)</f>
        <v>38</v>
      </c>
      <c r="AV141" s="27">
        <f ca="1">IFERROR(__xludf.DUMMYFUNCTION("""COMPUTED_VALUE"""),4469182966)</f>
        <v>4469182966</v>
      </c>
      <c r="AW141" s="27">
        <f ca="1">IFERROR(__xludf.DUMMYFUNCTION("""COMPUTED_VALUE"""),6775147)</f>
        <v>6775147</v>
      </c>
      <c r="AX141" s="27" t="str">
        <f ca="1">IFERROR(__xludf.DUMMYFUNCTION("""COMPUTED_VALUE"""),"História")</f>
        <v>História</v>
      </c>
      <c r="AY141" s="27"/>
      <c r="AZ141" s="27" t="str">
        <f ca="1">IFERROR(__xludf.DUMMYFUNCTION("""COMPUTED_VALUE"""),"EXG3")</f>
        <v>EXG3</v>
      </c>
      <c r="BA141" s="27"/>
      <c r="BB141" s="27"/>
      <c r="BC141" s="27" t="str">
        <f ca="1">IFERROR(__xludf.DUMMYFUNCTION("""COMPUTED_VALUE"""),"Sim")</f>
        <v>Sim</v>
      </c>
      <c r="BD141" s="27" t="str">
        <f ca="1">IFERROR(__xludf.DUMMYFUNCTION("""COMPUTED_VALUE"""),"Oi! Eu sou o Jeff;
Venho lá das quebradas de São Paulo e penso que a Educação muda a vida das pessoas, afinal mudou a minha. Idealizei o Prototipando a Quebrada e notei como a tecnologia impacta, e encanta, as crianças e jovens. Entrando no mundo de inova"&amp;"ção e empreendedorismo saquei que podia juntar as duas coisas a favela e os espaços de tecnologia. Assim resolvi levar o projeto para dezenas de comunidades desde 2018.
Tenho uma meta com o PAQ, formar a próxima geração de jovens na tecnologia.")</f>
        <v>Oi! Eu sou o Jeff;
Venho lá das quebradas de São Paulo e penso que a Educação muda a vida das pessoas, afinal mudou a minha. Idealizei o Prototipando a Quebrada e notei como a tecnologia impacta, e encanta, as crianças e jovens. Entrando no mundo de inovação e empreendedorismo saquei que podia juntar as duas coisas a favela e os espaços de tecnologia. Assim resolvi levar o projeto para dezenas de comunidades desde 2018.
Tenho uma meta com o PAQ, formar a próxima geração de jovens na tecnologia.</v>
      </c>
      <c r="BE141" s="27"/>
      <c r="BF141" s="27"/>
      <c r="BG141" s="27" t="str">
        <f ca="1">IFERROR(__xludf.DUMMYFUNCTION("""COMPUTED_VALUE"""),"Ensino Superior - Completo")</f>
        <v>Ensino Superior - Completo</v>
      </c>
      <c r="BH141" s="27"/>
      <c r="BI141" s="27" t="str">
        <f ca="1">IFERROR(__xludf.DUMMYFUNCTION("""COMPUTED_VALUE"""),"Mestrado")</f>
        <v>Mestrado</v>
      </c>
      <c r="BJ141" s="27" t="str">
        <f ca="1">IFERROR(__xludf.DUMMYFUNCTION("""COMPUTED_VALUE"""),"Público")</f>
        <v>Público</v>
      </c>
      <c r="BK141" s="27" t="str">
        <f ca="1">IFERROR(__xludf.DUMMYFUNCTION("""COMPUTED_VALUE"""),"Vinicius de Moraes")</f>
        <v>Vinicius de Moraes</v>
      </c>
      <c r="BL141" s="27">
        <f ca="1">IFERROR(__xludf.DUMMYFUNCTION("""COMPUTED_VALUE"""),286)</f>
        <v>286</v>
      </c>
      <c r="BM141" s="27" t="str">
        <f ca="1">IFERROR(__xludf.DUMMYFUNCTION("""COMPUTED_VALUE"""),"Ap 302")</f>
        <v>Ap 302</v>
      </c>
      <c r="BN141" s="27" t="str">
        <f ca="1">IFERROR(__xludf.DUMMYFUNCTION("""COMPUTED_VALUE"""),"Florianópolis")</f>
        <v>Florianópolis</v>
      </c>
      <c r="BO141" s="27" t="str">
        <f ca="1">IFERROR(__xludf.DUMMYFUNCTION("""COMPUTED_VALUE"""),"88130-605")</f>
        <v>88130-605</v>
      </c>
      <c r="BP141" s="27" t="str">
        <f ca="1">IFERROR(__xludf.DUMMYFUNCTION("""COMPUTED_VALUE"""),"SC")</f>
        <v>SC</v>
      </c>
      <c r="BQ141" s="27" t="str">
        <f ca="1">IFERROR(__xludf.DUMMYFUNCTION("""COMPUTED_VALUE"""),"Entre 1 até 3 salários mínimos")</f>
        <v>Entre 1 até 3 salários mínimos</v>
      </c>
      <c r="BR141" s="27" t="str">
        <f ca="1">IFERROR(__xludf.DUMMYFUNCTION("""COMPUTED_VALUE"""),"MEI")</f>
        <v>MEI</v>
      </c>
      <c r="BS141" s="27" t="str">
        <f ca="1">IFERROR(__xludf.DUMMYFUNCTION("""COMPUTED_VALUE"""),"Aluguel")</f>
        <v>Aluguel</v>
      </c>
      <c r="BT141" s="27">
        <f ca="1">IFERROR(__xludf.DUMMYFUNCTION("""COMPUTED_VALUE"""),3)</f>
        <v>3</v>
      </c>
      <c r="BU141" s="27"/>
      <c r="BV141" s="27"/>
      <c r="BW141" s="21" t="str">
        <f ca="1">IFERROR(__xludf.DUMMYFUNCTION("""COMPUTED_VALUE"""),"https://www.linkedin.com/in/jefferson-lima-prototipandoaquebrada/")</f>
        <v>https://www.linkedin.com/in/jefferson-lima-prototipandoaquebrada/</v>
      </c>
      <c r="BX141" s="21" t="str">
        <f ca="1">IFERROR(__xludf.DUMMYFUNCTION("""COMPUTED_VALUE"""),"https://www.instagram.com/lima3d/")</f>
        <v>https://www.instagram.com/lima3d/</v>
      </c>
      <c r="BY141" s="21" t="str">
        <f ca="1">IFERROR(__xludf.DUMMYFUNCTION("""COMPUTED_VALUE"""),"https://drive.google.com/open?id=15CiDDWKxQs0xbQ9ENJ13_Gr6Y78YXFgB")</f>
        <v>https://drive.google.com/open?id=15CiDDWKxQs0xbQ9ENJ13_Gr6Y78YXFgB</v>
      </c>
    </row>
    <row r="142" spans="1:77" ht="12.5" hidden="1" x14ac:dyDescent="0.25">
      <c r="A142" s="21" t="str">
        <f ca="1">IFERROR(__xludf.DUMMYFUNCTION("""COMPUTED_VALUE"""),"0014P00003YSp8fQAD")</f>
        <v>0014P00003YSp8fQAD</v>
      </c>
      <c r="B142" s="27" t="str">
        <f ca="1">IFERROR(__xludf.DUMMYFUNCTION("""COMPUTED_VALUE"""),"Fase Inicial")</f>
        <v>Fase Inicial</v>
      </c>
      <c r="C142" s="27" t="str">
        <f ca="1">IFERROR(__xludf.DUMMYFUNCTION("""COMPUTED_VALUE"""),"Fellow")</f>
        <v>Fellow</v>
      </c>
      <c r="D142" s="27" t="str">
        <f ca="1">IFERROR(__xludf.DUMMYFUNCTION("""COMPUTED_VALUE"""),"Ativo")</f>
        <v>Ativo</v>
      </c>
      <c r="E142" s="27" t="str">
        <f ca="1">IFERROR(__xludf.DUMMYFUNCTION("""COMPUTED_VALUE"""),"Associação Prover")</f>
        <v>Associação Prover</v>
      </c>
      <c r="F142" s="27" t="str">
        <f ca="1">IFERROR(__xludf.DUMMYFUNCTION("""COMPUTED_VALUE"""),"Flavia")</f>
        <v>Flavia</v>
      </c>
      <c r="G142" s="27"/>
      <c r="H142" s="27" t="str">
        <f ca="1">IFERROR(__xludf.DUMMYFUNCTION("""COMPUTED_VALUE"""),"32.169.615/0001-32")</f>
        <v>32.169.615/0001-32</v>
      </c>
      <c r="I142" s="27" t="str">
        <f ca="1">IFERROR(__xludf.DUMMYFUNCTION("""COMPUTED_VALUE"""),"Flavia Ferreira da Silva")</f>
        <v>Flavia Ferreira da Silva</v>
      </c>
      <c r="J142" s="27" t="str">
        <f ca="1">IFERROR(__xludf.DUMMYFUNCTION("""COMPUTED_VALUE"""),"prover@associacaoprover.org")</f>
        <v>prover@associacaoprover.org</v>
      </c>
      <c r="K142" s="27" t="str">
        <f ca="1">IFERROR(__xludf.DUMMYFUNCTION("""COMPUTED_VALUE"""),"(21)97638-3681")</f>
        <v>(21)97638-3681</v>
      </c>
      <c r="L142" s="27" t="str">
        <f ca="1">IFERROR(__xludf.DUMMYFUNCTION("""COMPUTED_VALUE"""),"RJ")</f>
        <v>RJ</v>
      </c>
      <c r="M142" s="27" t="str">
        <f ca="1">IFERROR(__xludf.DUMMYFUNCTION("""COMPUTED_VALUE"""),"campo de São Cristóvão")</f>
        <v>campo de São Cristóvão</v>
      </c>
      <c r="N142" s="27" t="str">
        <f ca="1">IFERROR(__xludf.DUMMYFUNCTION("""COMPUTED_VALUE"""),"São Cristóvão")</f>
        <v>São Cristóvão</v>
      </c>
      <c r="O142" s="27">
        <f ca="1">IFERROR(__xludf.DUMMYFUNCTION("""COMPUTED_VALUE"""),390)</f>
        <v>390</v>
      </c>
      <c r="P142" s="27" t="str">
        <f ca="1">IFERROR(__xludf.DUMMYFUNCTION("""COMPUTED_VALUE"""),"Rio de Janeiro")</f>
        <v>Rio de Janeiro</v>
      </c>
      <c r="Q142" s="27"/>
      <c r="R142" s="27" t="str">
        <f ca="1">IFERROR(__xludf.DUMMYFUNCTION("""COMPUTED_VALUE"""),"20921-440")</f>
        <v>20921-440</v>
      </c>
      <c r="S142" s="27"/>
      <c r="T142" s="27" t="str">
        <f ca="1">IFERROR(__xludf.DUMMYFUNCTION("""COMPUTED_VALUE"""),"Assistência Social; Cultura; Qualificação Profissional; Empoderamento Feminino")</f>
        <v>Assistência Social; Cultura; Qualificação Profissional; Empoderamento Feminino</v>
      </c>
      <c r="U142" s="27" t="str">
        <f ca="1">IFERROR(__xludf.DUMMYFUNCTION("""COMPUTED_VALUE"""),"Crianças (6 a 12 anos); Adolescentes (12 aos 18 anos); Jovens (18 aos 24 anos)")</f>
        <v>Crianças (6 a 12 anos); Adolescentes (12 aos 18 anos); Jovens (18 aos 24 anos)</v>
      </c>
      <c r="V142" s="27" t="str">
        <f ca="1">IFERROR(__xludf.DUMMYFUNCTION("""COMPUTED_VALUE"""),"Moradores de Favelas; Afrodescendentes; Pessoas com Deficiência; Outros")</f>
        <v>Moradores de Favelas; Afrodescendentes; Pessoas com Deficiência; Outros</v>
      </c>
      <c r="W142" s="27">
        <f ca="1">IFERROR(__xludf.DUMMYFUNCTION("""COMPUTED_VALUE"""),8)</f>
        <v>8</v>
      </c>
      <c r="X142" s="27"/>
      <c r="Y142" s="27"/>
      <c r="Z142" s="27">
        <f ca="1">IFERROR(__xludf.DUMMYFUNCTION("""COMPUTED_VALUE"""),240)</f>
        <v>240</v>
      </c>
      <c r="AA142" s="29">
        <f ca="1">IFERROR(__xludf.DUMMYFUNCTION("""COMPUTED_VALUE"""),43300)</f>
        <v>43300</v>
      </c>
      <c r="AB142" s="27" t="str">
        <f ca="1">IFERROR(__xludf.DUMMYFUNCTION("""COMPUTED_VALUE"""),"Sim")</f>
        <v>Sim</v>
      </c>
      <c r="AC142" s="27">
        <f ca="1">IFERROR(__xludf.DUMMYFUNCTION("""COMPUTED_VALUE"""),7)</f>
        <v>7</v>
      </c>
      <c r="AD142" s="27">
        <f ca="1">IFERROR(__xludf.DUMMYFUNCTION("""COMPUTED_VALUE"""),4)</f>
        <v>4</v>
      </c>
      <c r="AE142" s="27">
        <f ca="1">IFERROR(__xludf.DUMMYFUNCTION("""COMPUTED_VALUE"""),4)</f>
        <v>4</v>
      </c>
      <c r="AF142" s="27">
        <f ca="1">IFERROR(__xludf.DUMMYFUNCTION("""COMPUTED_VALUE"""),0)</f>
        <v>0</v>
      </c>
      <c r="AG142" s="27">
        <f ca="1">IFERROR(__xludf.DUMMYFUNCTION("""COMPUTED_VALUE"""),2)</f>
        <v>2</v>
      </c>
      <c r="AH142" s="27" t="str">
        <f ca="1">IFERROR(__xludf.DUMMYFUNCTION("""COMPUTED_VALUE"""),"Negócio Social; Parceria iniciativa privada; Doações")</f>
        <v>Negócio Social; Parceria iniciativa privada; Doações</v>
      </c>
      <c r="AI142" s="27" t="str">
        <f ca="1">IFERROR(__xludf.DUMMYFUNCTION("""COMPUTED_VALUE"""),"25% bazar 25% docações de colaboradores  mensais 50% de parceira com 02 instituições (ongs)")</f>
        <v>25% bazar 25% docações de colaboradores  mensais 50% de parceira com 02 instituições (ongs)</v>
      </c>
      <c r="AJ142" s="27"/>
      <c r="AK142" s="27"/>
      <c r="AL142" s="21" t="str">
        <f ca="1">IFERROR(__xludf.DUMMYFUNCTION("""COMPUTED_VALUE"""),"0034P000045kxjG")</f>
        <v>0034P000045kxjG</v>
      </c>
      <c r="AM142" s="27" t="str">
        <f ca="1">IFERROR(__xludf.DUMMYFUNCTION("""COMPUTED_VALUE"""),"Ferreira Da Silva")</f>
        <v>Ferreira Da Silva</v>
      </c>
      <c r="AN142" s="27" t="str">
        <f ca="1">IFERROR(__xludf.DUMMYFUNCTION("""COMPUTED_VALUE"""),"Ativo")</f>
        <v>Ativo</v>
      </c>
      <c r="AO142" s="30">
        <f ca="1">IFERROR(__xludf.DUMMYFUNCTION("""COMPUTED_VALUE"""),44551)</f>
        <v>44551</v>
      </c>
      <c r="AP142" s="27">
        <f ca="1">IFERROR(__xludf.DUMMYFUNCTION("""COMPUTED_VALUE"""),9)</f>
        <v>9</v>
      </c>
      <c r="AQ142" s="27" t="str">
        <f ca="1">IFERROR(__xludf.DUMMYFUNCTION("""COMPUTED_VALUE"""),"Segundo Semestre 2021")</f>
        <v>Segundo Semestre 2021</v>
      </c>
      <c r="AR142" s="27" t="str">
        <f ca="1">IFERROR(__xludf.DUMMYFUNCTION("""COMPUTED_VALUE"""),"flaviasimonsen@gmail.com")</f>
        <v>flaviasimonsen@gmail.com</v>
      </c>
      <c r="AS142" s="27" t="str">
        <f ca="1">IFERROR(__xludf.DUMMYFUNCTION("""COMPUTED_VALUE"""),"(21)97638-3681")</f>
        <v>(21)97638-3681</v>
      </c>
      <c r="AT142" s="29">
        <f ca="1">IFERROR(__xludf.DUMMYFUNCTION("""COMPUTED_VALUE"""),27888)</f>
        <v>27888</v>
      </c>
      <c r="AU142" s="27">
        <f ca="1">IFERROR(__xludf.DUMMYFUNCTION("""COMPUTED_VALUE"""),46)</f>
        <v>46</v>
      </c>
      <c r="AV142" s="27">
        <f ca="1">IFERROR(__xludf.DUMMYFUNCTION("""COMPUTED_VALUE"""),4592813723)</f>
        <v>4592813723</v>
      </c>
      <c r="AW142" s="27">
        <f ca="1">IFERROR(__xludf.DUMMYFUNCTION("""COMPUTED_VALUE"""),134305301)</f>
        <v>134305301</v>
      </c>
      <c r="AX142" s="27"/>
      <c r="AY142" s="27"/>
      <c r="AZ142" s="27" t="str">
        <f ca="1">IFERROR(__xludf.DUMMYFUNCTION("""COMPUTED_VALUE"""),"M")</f>
        <v>M</v>
      </c>
      <c r="BA142" s="27" t="str">
        <f ca="1">IFERROR(__xludf.DUMMYFUNCTION("""COMPUTED_VALUE"""),"Branca")</f>
        <v>Branca</v>
      </c>
      <c r="BB142" s="27" t="str">
        <f ca="1">IFERROR(__xludf.DUMMYFUNCTION("""COMPUTED_VALUE"""),"Mulher, cisgênero")</f>
        <v>Mulher, cisgênero</v>
      </c>
      <c r="BC142" s="27" t="str">
        <f ca="1">IFERROR(__xludf.DUMMYFUNCTION("""COMPUTED_VALUE"""),"Não")</f>
        <v>Não</v>
      </c>
      <c r="BD142" s="27" t="str">
        <f ca="1">IFERROR(__xludf.DUMMYFUNCTION("""COMPUTED_VALUE"""),"Meu nome é Flavia Silva, presidente e fundadora da Associação Prover, membro da comissão de projetos humanitários do Rotary Club RJ São Cristóvão-RJ. Desde 2001 trabalho em instituições ligadas ao terceiro setor como coordenadora pedagógica e gestora de p"&amp;"rojetos sociais. Acredito que juntos podemos fazer a diferença na vida das pessoas. 
""Solidariedade é o que me move!""")</f>
        <v>Meu nome é Flavia Silva, presidente e fundadora da Associação Prover, membro da comissão de projetos humanitários do Rotary Club RJ São Cristóvão-RJ. Desde 2001 trabalho em instituições ligadas ao terceiro setor como coordenadora pedagógica e gestora de projetos sociais. Acredito que juntos podemos fazer a diferença na vida das pessoas. 
"Solidariedade é o que me move!"</v>
      </c>
      <c r="BE142" s="27"/>
      <c r="BF142" s="27" t="str">
        <f ca="1">IFERROR(__xludf.DUMMYFUNCTION("""COMPUTED_VALUE"""),"Heterossexual")</f>
        <v>Heterossexual</v>
      </c>
      <c r="BG142" s="27" t="str">
        <f ca="1">IFERROR(__xludf.DUMMYFUNCTION("""COMPUTED_VALUE"""),"Ensino Superior - Completo")</f>
        <v>Ensino Superior - Completo</v>
      </c>
      <c r="BH142" s="27" t="str">
        <f ca="1">IFERROR(__xludf.DUMMYFUNCTION("""COMPUTED_VALUE"""),"Privado")</f>
        <v>Privado</v>
      </c>
      <c r="BI142" s="27" t="str">
        <f ca="1">IFERROR(__xludf.DUMMYFUNCTION("""COMPUTED_VALUE"""),"Graduação")</f>
        <v>Graduação</v>
      </c>
      <c r="BJ142" s="27" t="str">
        <f ca="1">IFERROR(__xludf.DUMMYFUNCTION("""COMPUTED_VALUE"""),"Privado")</f>
        <v>Privado</v>
      </c>
      <c r="BK142" s="27" t="str">
        <f ca="1">IFERROR(__xludf.DUMMYFUNCTION("""COMPUTED_VALUE"""),"Alameda Don Sebastião Leme")</f>
        <v>Alameda Don Sebastião Leme</v>
      </c>
      <c r="BL142" s="27" t="str">
        <f ca="1">IFERROR(__xludf.DUMMYFUNCTION("""COMPUTED_VALUE"""),"lote 08")</f>
        <v>lote 08</v>
      </c>
      <c r="BM142" s="27" t="str">
        <f ca="1">IFERROR(__xludf.DUMMYFUNCTION("""COMPUTED_VALUE"""),"Quadra 27")</f>
        <v>Quadra 27</v>
      </c>
      <c r="BN142" s="27" t="str">
        <f ca="1">IFERROR(__xludf.DUMMYFUNCTION("""COMPUTED_VALUE"""),"Rio de Janeiro")</f>
        <v>Rio de Janeiro</v>
      </c>
      <c r="BO142" s="27" t="str">
        <f ca="1">IFERROR(__xludf.DUMMYFUNCTION("""COMPUTED_VALUE"""),"25214-355")</f>
        <v>25214-355</v>
      </c>
      <c r="BP142" s="27" t="str">
        <f ca="1">IFERROR(__xludf.DUMMYFUNCTION("""COMPUTED_VALUE"""),"RJ")</f>
        <v>RJ</v>
      </c>
      <c r="BQ142" s="27" t="str">
        <f ca="1">IFERROR(__xludf.DUMMYFUNCTION("""COMPUTED_VALUE"""),"Entre 1 até 3 salários mínimos")</f>
        <v>Entre 1 até 3 salários mínimos</v>
      </c>
      <c r="BR142" s="27" t="str">
        <f ca="1">IFERROR(__xludf.DUMMYFUNCTION("""COMPUTED_VALUE"""),"MEI")</f>
        <v>MEI</v>
      </c>
      <c r="BS142" s="27" t="str">
        <f ca="1">IFERROR(__xludf.DUMMYFUNCTION("""COMPUTED_VALUE"""),"Aluguel")</f>
        <v>Aluguel</v>
      </c>
      <c r="BT142" s="27">
        <f ca="1">IFERROR(__xludf.DUMMYFUNCTION("""COMPUTED_VALUE"""),2)</f>
        <v>2</v>
      </c>
      <c r="BU142" s="27" t="str">
        <f ca="1">IFERROR(__xludf.DUMMYFUNCTION("""COMPUTED_VALUE"""),"Não tem")</f>
        <v>Não tem</v>
      </c>
      <c r="BV142" s="27"/>
      <c r="BW142" s="21" t="str">
        <f ca="1">IFERROR(__xludf.DUMMYFUNCTION("""COMPUTED_VALUE"""),"https://www.linkedin.com/in/flavia-silva-93b538230/")</f>
        <v>https://www.linkedin.com/in/flavia-silva-93b538230/</v>
      </c>
      <c r="BX142" s="21" t="str">
        <f ca="1">IFERROR(__xludf.DUMMYFUNCTION("""COMPUTED_VALUE"""),"https://www.instagram.com/flaviasimonsen/")</f>
        <v>https://www.instagram.com/flaviasimonsen/</v>
      </c>
      <c r="BY142" s="21" t="str">
        <f ca="1">IFERROR(__xludf.DUMMYFUNCTION("""COMPUTED_VALUE"""),"https://drive.google.com/open?id=1Y3QGHCbTo8ym3hVSVASmIi_iWDz-znC0")</f>
        <v>https://drive.google.com/open?id=1Y3QGHCbTo8ym3hVSVASmIi_iWDz-znC0</v>
      </c>
    </row>
    <row r="143" spans="1:77" ht="12.5" hidden="1" x14ac:dyDescent="0.25">
      <c r="A143" s="21" t="str">
        <f ca="1">IFERROR(__xludf.DUMMYFUNCTION("""COMPUTED_VALUE"""),"0014P00003YSp8aQAD")</f>
        <v>0014P00003YSp8aQAD</v>
      </c>
      <c r="B143" s="27" t="str">
        <f ca="1">IFERROR(__xludf.DUMMYFUNCTION("""COMPUTED_VALUE"""),"Fase Inicial")</f>
        <v>Fase Inicial</v>
      </c>
      <c r="C143" s="27" t="str">
        <f ca="1">IFERROR(__xludf.DUMMYFUNCTION("""COMPUTED_VALUE"""),"Fellow")</f>
        <v>Fellow</v>
      </c>
      <c r="D143" s="27" t="str">
        <f ca="1">IFERROR(__xludf.DUMMYFUNCTION("""COMPUTED_VALUE"""),"Ativo")</f>
        <v>Ativo</v>
      </c>
      <c r="E143" s="27" t="str">
        <f ca="1">IFERROR(__xludf.DUMMYFUNCTION("""COMPUTED_VALUE"""),"Associação Raízes de Gericinó")</f>
        <v>Associação Raízes de Gericinó</v>
      </c>
      <c r="F143" s="27" t="str">
        <f ca="1">IFERROR(__xludf.DUMMYFUNCTION("""COMPUTED_VALUE"""),"Auricelia")</f>
        <v>Auricelia</v>
      </c>
      <c r="G143" s="27" t="str">
        <f ca="1">IFERROR(__xludf.DUMMYFUNCTION("""COMPUTED_VALUE"""),"Projeto pequenos buritis")</f>
        <v>Projeto pequenos buritis</v>
      </c>
      <c r="H143" s="27" t="str">
        <f ca="1">IFERROR(__xludf.DUMMYFUNCTION("""COMPUTED_VALUE"""),"13.165.751/0001-00")</f>
        <v>13.165.751/0001-00</v>
      </c>
      <c r="I143" s="27" t="str">
        <f ca="1">IFERROR(__xludf.DUMMYFUNCTION("""COMPUTED_VALUE"""),"AURICELIA PADILHA MERCES")</f>
        <v>AURICELIA PADILHA MERCES</v>
      </c>
      <c r="J143" s="27" t="str">
        <f ca="1">IFERROR(__xludf.DUMMYFUNCTION("""COMPUTED_VALUE"""),"raizesdegericino@gmail.com")</f>
        <v>raizesdegericino@gmail.com</v>
      </c>
      <c r="K143" s="27" t="str">
        <f ca="1">IFERROR(__xludf.DUMMYFUNCTION("""COMPUTED_VALUE"""),"(21)98941-8646 / (21)979366521")</f>
        <v>(21)98941-8646 / (21)979366521</v>
      </c>
      <c r="L143" s="27" t="str">
        <f ca="1">IFERROR(__xludf.DUMMYFUNCTION("""COMPUTED_VALUE"""),"RJ")</f>
        <v>RJ</v>
      </c>
      <c r="M143" s="27" t="str">
        <f ca="1">IFERROR(__xludf.DUMMYFUNCTION("""COMPUTED_VALUE"""),"Rua Pitanga do Gericino")</f>
        <v>Rua Pitanga do Gericino</v>
      </c>
      <c r="N143" s="27" t="str">
        <f ca="1">IFERROR(__xludf.DUMMYFUNCTION("""COMPUTED_VALUE"""),"Bangu")</f>
        <v>Bangu</v>
      </c>
      <c r="O143" s="27">
        <f ca="1">IFERROR(__xludf.DUMMYFUNCTION("""COMPUTED_VALUE"""),80)</f>
        <v>80</v>
      </c>
      <c r="P143" s="27" t="str">
        <f ca="1">IFERROR(__xludf.DUMMYFUNCTION("""COMPUTED_VALUE"""),"Rio de Janeiro")</f>
        <v>Rio de Janeiro</v>
      </c>
      <c r="Q143" s="27" t="str">
        <f ca="1">IFERROR(__xludf.DUMMYFUNCTION("""COMPUTED_VALUE"""),"Casa 55")</f>
        <v>Casa 55</v>
      </c>
      <c r="R143" s="27" t="str">
        <f ca="1">IFERROR(__xludf.DUMMYFUNCTION("""COMPUTED_VALUE"""),"21853-002")</f>
        <v>21853-002</v>
      </c>
      <c r="S143" s="27"/>
      <c r="T143" s="27" t="str">
        <f ca="1">IFERROR(__xludf.DUMMYFUNCTION("""COMPUTED_VALUE"""),"Educação; Assistência Social; Cultura; Empreendedorismo; Empoderamento Feminino; Assistência Psicológica; Desenvolvimento comunitário")</f>
        <v>Educação; Assistência Social; Cultura; Empreendedorismo; Empoderamento Feminino; Assistência Psicológica; Desenvolvimento comunitário</v>
      </c>
      <c r="U143" s="27" t="str">
        <f ca="1">IFERROR(__xludf.DUMMYFUNCTION("""COMPUTED_VALUE"""),"Crianças (6 a 12 anos); Adolescentes (12 aos 18 anos); Jovens (18 aos 24 anos); Adultos; Idosos (60 anos ou mais)")</f>
        <v>Crianças (6 a 12 anos); Adolescentes (12 aos 18 anos); Jovens (18 aos 24 anos); Adultos; Idosos (60 anos ou mais)</v>
      </c>
      <c r="V143" s="27" t="str">
        <f ca="1">IFERROR(__xludf.DUMMYFUNCTION("""COMPUTED_VALUE"""),"Moradores de Favelas; Afrodescendentes")</f>
        <v>Moradores de Favelas; Afrodescendentes</v>
      </c>
      <c r="W143" s="27">
        <f ca="1">IFERROR(__xludf.DUMMYFUNCTION("""COMPUTED_VALUE"""),5)</f>
        <v>5</v>
      </c>
      <c r="X143" s="27" t="str">
        <f ca="1">IFERROR(__xludf.DUMMYFUNCTION("""COMPUTED_VALUE"""),"Nós atendemos a comunidade do Catiri e adjacências. Como Jardim Bangu Cancela Preta Conjunto da Marinha as vezes alguns acolhidos da Vila Kennedy além das parcerias com Vila Aliança e Vila Vintém.")</f>
        <v>Nós atendemos a comunidade do Catiri e adjacências. Como Jardim Bangu Cancela Preta Conjunto da Marinha as vezes alguns acolhidos da Vila Kennedy além das parcerias com Vila Aliança e Vila Vintém.</v>
      </c>
      <c r="Y143" s="27"/>
      <c r="Z143" s="27">
        <f ca="1">IFERROR(__xludf.DUMMYFUNCTION("""COMPUTED_VALUE"""),40000)</f>
        <v>40000</v>
      </c>
      <c r="AA143" s="29">
        <f ca="1">IFERROR(__xludf.DUMMYFUNCTION("""COMPUTED_VALUE"""),40373)</f>
        <v>40373</v>
      </c>
      <c r="AB143" s="27" t="str">
        <f ca="1">IFERROR(__xludf.DUMMYFUNCTION("""COMPUTED_VALUE"""),"Sim")</f>
        <v>Sim</v>
      </c>
      <c r="AC143" s="27">
        <f ca="1">IFERROR(__xludf.DUMMYFUNCTION("""COMPUTED_VALUE"""),0)</f>
        <v>0</v>
      </c>
      <c r="AD143" s="27">
        <f ca="1">IFERROR(__xludf.DUMMYFUNCTION("""COMPUTED_VALUE"""),15)</f>
        <v>15</v>
      </c>
      <c r="AE143" s="27">
        <f ca="1">IFERROR(__xludf.DUMMYFUNCTION("""COMPUTED_VALUE"""),15)</f>
        <v>15</v>
      </c>
      <c r="AF143" s="27">
        <f ca="1">IFERROR(__xludf.DUMMYFUNCTION("""COMPUTED_VALUE"""),15)</f>
        <v>15</v>
      </c>
      <c r="AG143" s="27">
        <f ca="1">IFERROR(__xludf.DUMMYFUNCTION("""COMPUTED_VALUE"""),2)</f>
        <v>2</v>
      </c>
      <c r="AH143" s="27" t="str">
        <f ca="1">IFERROR(__xludf.DUMMYFUNCTION("""COMPUTED_VALUE"""),"Lei Estadual da Cultura")</f>
        <v>Lei Estadual da Cultura</v>
      </c>
      <c r="AI143" s="27">
        <f ca="1">IFERROR(__xludf.DUMMYFUNCTION("""COMPUTED_VALUE"""),0)</f>
        <v>0</v>
      </c>
      <c r="AJ143" s="27"/>
      <c r="AK143" s="27"/>
      <c r="AL143" s="21" t="str">
        <f ca="1">IFERROR(__xludf.DUMMYFUNCTION("""COMPUTED_VALUE"""),"0034X000037xhcq")</f>
        <v>0034X000037xhcq</v>
      </c>
      <c r="AM143" s="27" t="str">
        <f ca="1">IFERROR(__xludf.DUMMYFUNCTION("""COMPUTED_VALUE"""),"Auricelia Padilha Mercês")</f>
        <v>Auricelia Padilha Mercês</v>
      </c>
      <c r="AN143" s="27" t="str">
        <f ca="1">IFERROR(__xludf.DUMMYFUNCTION("""COMPUTED_VALUE"""),"Ativo")</f>
        <v>Ativo</v>
      </c>
      <c r="AO143" s="30">
        <f ca="1">IFERROR(__xludf.DUMMYFUNCTION("""COMPUTED_VALUE"""),44551)</f>
        <v>44551</v>
      </c>
      <c r="AP143" s="27">
        <f ca="1">IFERROR(__xludf.DUMMYFUNCTION("""COMPUTED_VALUE"""),9)</f>
        <v>9</v>
      </c>
      <c r="AQ143" s="27" t="str">
        <f ca="1">IFERROR(__xludf.DUMMYFUNCTION("""COMPUTED_VALUE"""),"Segundo Semestre 2021")</f>
        <v>Segundo Semestre 2021</v>
      </c>
      <c r="AR143" s="27" t="str">
        <f ca="1">IFERROR(__xludf.DUMMYFUNCTION("""COMPUTED_VALUE"""),"auriceliamerces@gmail.com")</f>
        <v>auriceliamerces@gmail.com</v>
      </c>
      <c r="AS143" s="27" t="str">
        <f ca="1">IFERROR(__xludf.DUMMYFUNCTION("""COMPUTED_VALUE"""),"(21)98822-1448")</f>
        <v>(21)98822-1448</v>
      </c>
      <c r="AT143" s="29">
        <f ca="1">IFERROR(__xludf.DUMMYFUNCTION("""COMPUTED_VALUE"""),27233)</f>
        <v>27233</v>
      </c>
      <c r="AU143" s="27">
        <f ca="1">IFERROR(__xludf.DUMMYFUNCTION("""COMPUTED_VALUE"""),48)</f>
        <v>48</v>
      </c>
      <c r="AV143" s="27">
        <f ca="1">IFERROR(__xludf.DUMMYFUNCTION("""COMPUTED_VALUE"""),71467831387)</f>
        <v>71467831387</v>
      </c>
      <c r="AW143" s="27">
        <f ca="1">IFERROR(__xludf.DUMMYFUNCTION("""COMPUTED_VALUE"""),20566156)</f>
        <v>20566156</v>
      </c>
      <c r="AX143" s="27" t="str">
        <f ca="1">IFERROR(__xludf.DUMMYFUNCTION("""COMPUTED_VALUE"""),"PEDAGOGA")</f>
        <v>PEDAGOGA</v>
      </c>
      <c r="AY143" s="27"/>
      <c r="AZ143" s="27" t="str">
        <f ca="1">IFERROR(__xludf.DUMMYFUNCTION("""COMPUTED_VALUE"""),"G")</f>
        <v>G</v>
      </c>
      <c r="BA143" s="27" t="str">
        <f ca="1">IFERROR(__xludf.DUMMYFUNCTION("""COMPUTED_VALUE"""),"Preta")</f>
        <v>Preta</v>
      </c>
      <c r="BB143" s="27" t="str">
        <f ca="1">IFERROR(__xludf.DUMMYFUNCTION("""COMPUTED_VALUE"""),"Mulher, cisgênero")</f>
        <v>Mulher, cisgênero</v>
      </c>
      <c r="BC143" s="27" t="str">
        <f ca="1">IFERROR(__xludf.DUMMYFUNCTION("""COMPUTED_VALUE"""),"Sim")</f>
        <v>Sim</v>
      </c>
      <c r="BD143" s="27" t="str">
        <f ca="1">IFERROR(__xludf.DUMMYFUNCTION("""COMPUTED_VALUE"""),"Maranhense, gestora do Museu Casa Boi em Movimento realizo ações com o Patrimônio imaterial desde de 2010. Atuante na comunidade como liderança comunitária  através da valorização da memória, identidade e território.O Museu do boi integra a Rede de Museol"&amp;"ogia Social do Rio de Janeiro(REMUS.) Pedagoga, MBA em Gerenciamento de Projetos.Conselheira- Conselho de Segurança  Alimentar e Nutricional do Município do Rio de Janeiro(CONSEA-RIO) e Conselheira do CEPC-RJ-(Suplência) Cultura Popular.")</f>
        <v>Maranhense, gestora do Museu Casa Boi em Movimento realizo ações com o Patrimônio imaterial desde de 2010. Atuante na comunidade como liderança comunitária  através da valorização da memória, identidade e território.O Museu do boi integra a Rede de Museologia Social do Rio de Janeiro(REMUS.) Pedagoga, MBA em Gerenciamento de Projetos.Conselheira- Conselho de Segurança  Alimentar e Nutricional do Município do Rio de Janeiro(CONSEA-RIO) e Conselheira do CEPC-RJ-(Suplência) Cultura Popular.</v>
      </c>
      <c r="BE143" s="27" t="str">
        <f ca="1">IFERROR(__xludf.DUMMYFUNCTION("""COMPUTED_VALUE"""),"Feminino")</f>
        <v>Feminino</v>
      </c>
      <c r="BF143" s="27" t="str">
        <f ca="1">IFERROR(__xludf.DUMMYFUNCTION("""COMPUTED_VALUE"""),"Heterossexual")</f>
        <v>Heterossexual</v>
      </c>
      <c r="BG143" s="27" t="str">
        <f ca="1">IFERROR(__xludf.DUMMYFUNCTION("""COMPUTED_VALUE"""),"Ensino Superior - Completo")</f>
        <v>Ensino Superior - Completo</v>
      </c>
      <c r="BH143" s="27"/>
      <c r="BI143" s="27" t="str">
        <f ca="1">IFERROR(__xludf.DUMMYFUNCTION("""COMPUTED_VALUE"""),"Pós-Graduação")</f>
        <v>Pós-Graduação</v>
      </c>
      <c r="BJ143" s="27" t="str">
        <f ca="1">IFERROR(__xludf.DUMMYFUNCTION("""COMPUTED_VALUE"""),"Privado")</f>
        <v>Privado</v>
      </c>
      <c r="BK143" s="27" t="str">
        <f ca="1">IFERROR(__xludf.DUMMYFUNCTION("""COMPUTED_VALUE"""),"Rua Pitanga do Gericinó")</f>
        <v>Rua Pitanga do Gericinó</v>
      </c>
      <c r="BL143" s="27">
        <f ca="1">IFERROR(__xludf.DUMMYFUNCTION("""COMPUTED_VALUE"""),55)</f>
        <v>55</v>
      </c>
      <c r="BM143" s="27" t="str">
        <f ca="1">IFERROR(__xludf.DUMMYFUNCTION("""COMPUTED_VALUE"""),"Acesso pela Estrada do  Gericinó-80")</f>
        <v>Acesso pela Estrada do  Gericinó-80</v>
      </c>
      <c r="BN143" s="27" t="str">
        <f ca="1">IFERROR(__xludf.DUMMYFUNCTION("""COMPUTED_VALUE"""),"Rio de Janeiro")</f>
        <v>Rio de Janeiro</v>
      </c>
      <c r="BO143" s="27" t="str">
        <f ca="1">IFERROR(__xludf.DUMMYFUNCTION("""COMPUTED_VALUE"""),"21853-002")</f>
        <v>21853-002</v>
      </c>
      <c r="BP143" s="27" t="str">
        <f ca="1">IFERROR(__xludf.DUMMYFUNCTION("""COMPUTED_VALUE"""),"RJ")</f>
        <v>RJ</v>
      </c>
      <c r="BQ143" s="27" t="str">
        <f ca="1">IFERROR(__xludf.DUMMYFUNCTION("""COMPUTED_VALUE"""),"Entre 1 até 3 salários mínimos")</f>
        <v>Entre 1 até 3 salários mínimos</v>
      </c>
      <c r="BR143" s="27" t="str">
        <f ca="1">IFERROR(__xludf.DUMMYFUNCTION("""COMPUTED_VALUE"""),"Trabalho informal; Desempregado")</f>
        <v>Trabalho informal; Desempregado</v>
      </c>
      <c r="BS143" s="27" t="str">
        <f ca="1">IFERROR(__xludf.DUMMYFUNCTION("""COMPUTED_VALUE"""),"Casa própria")</f>
        <v>Casa própria</v>
      </c>
      <c r="BT143" s="27">
        <f ca="1">IFERROR(__xludf.DUMMYFUNCTION("""COMPUTED_VALUE"""),4)</f>
        <v>4</v>
      </c>
      <c r="BU143" s="27"/>
      <c r="BV143" s="27"/>
      <c r="BW143" s="27" t="str">
        <f ca="1">IFERROR(__xludf.DUMMYFUNCTION("""COMPUTED_VALUE"""),"Auricelia Mercês")</f>
        <v>Auricelia Mercês</v>
      </c>
      <c r="BX143" s="27" t="str">
        <f ca="1">IFERROR(__xludf.DUMMYFUNCTION("""COMPUTED_VALUE"""),"@auricelia_4")</f>
        <v>@auricelia_4</v>
      </c>
      <c r="BY143" s="21" t="str">
        <f ca="1">IFERROR(__xludf.DUMMYFUNCTION("""COMPUTED_VALUE"""),"https://drive.google.com/open?id=19274mQHKElpeDXjI75SSwerp9bZkYF_E")</f>
        <v>https://drive.google.com/open?id=19274mQHKElpeDXjI75SSwerp9bZkYF_E</v>
      </c>
    </row>
    <row r="144" spans="1:77" ht="12.5" hidden="1" x14ac:dyDescent="0.25">
      <c r="A144" s="21" t="str">
        <f ca="1">IFERROR(__xludf.DUMMYFUNCTION("""COMPUTED_VALUE"""),"0014X00002VMXzNQAX")</f>
        <v>0014X00002VMXzNQAX</v>
      </c>
      <c r="B144" s="27" t="str">
        <f ca="1">IFERROR(__xludf.DUMMYFUNCTION("""COMPUTED_VALUE"""),"Fase Inicial")</f>
        <v>Fase Inicial</v>
      </c>
      <c r="C144" s="27" t="str">
        <f ca="1">IFERROR(__xludf.DUMMYFUNCTION("""COMPUTED_VALUE"""),"Fellow")</f>
        <v>Fellow</v>
      </c>
      <c r="D144" s="27" t="str">
        <f ca="1">IFERROR(__xludf.DUMMYFUNCTION("""COMPUTED_VALUE"""),"Ativo")</f>
        <v>Ativo</v>
      </c>
      <c r="E144" s="27" t="str">
        <f ca="1">IFERROR(__xludf.DUMMYFUNCTION("""COMPUTED_VALUE"""),"Associação Remediar")</f>
        <v>Associação Remediar</v>
      </c>
      <c r="F144" s="27" t="str">
        <f ca="1">IFERROR(__xludf.DUMMYFUNCTION("""COMPUTED_VALUE"""),"Valeria")</f>
        <v>Valeria</v>
      </c>
      <c r="G144" s="27" t="str">
        <f ca="1">IFERROR(__xludf.DUMMYFUNCTION("""COMPUTED_VALUE"""),"REMEDIAR")</f>
        <v>REMEDIAR</v>
      </c>
      <c r="H144" s="27" t="str">
        <f ca="1">IFERROR(__xludf.DUMMYFUNCTION("""COMPUTED_VALUE"""),"39.829.628/0001-30")</f>
        <v>39.829.628/0001-30</v>
      </c>
      <c r="I144" s="27" t="str">
        <f ca="1">IFERROR(__xludf.DUMMYFUNCTION("""COMPUTED_VALUE"""),"Valéria Castro da Silva")</f>
        <v>Valéria Castro da Silva</v>
      </c>
      <c r="J144" s="27" t="str">
        <f ca="1">IFERROR(__xludf.DUMMYFUNCTION("""COMPUTED_VALUE"""),"remediarong@gmail.com")</f>
        <v>remediarong@gmail.com</v>
      </c>
      <c r="K144" s="27" t="str">
        <f ca="1">IFERROR(__xludf.DUMMYFUNCTION("""COMPUTED_VALUE"""),"(31)99692-0030")</f>
        <v>(31)99692-0030</v>
      </c>
      <c r="L144" s="27" t="str">
        <f ca="1">IFERROR(__xludf.DUMMYFUNCTION("""COMPUTED_VALUE"""),"MG")</f>
        <v>MG</v>
      </c>
      <c r="M144" s="27" t="str">
        <f ca="1">IFERROR(__xludf.DUMMYFUNCTION("""COMPUTED_VALUE"""),"Ferreira de Aguiar 289 Nazaré")</f>
        <v>Ferreira de Aguiar 289 Nazaré</v>
      </c>
      <c r="N144" s="27" t="str">
        <f ca="1">IFERROR(__xludf.DUMMYFUNCTION("""COMPUTED_VALUE"""),"Nazaré")</f>
        <v>Nazaré</v>
      </c>
      <c r="O144" s="27">
        <f ca="1">IFERROR(__xludf.DUMMYFUNCTION("""COMPUTED_VALUE"""),289)</f>
        <v>289</v>
      </c>
      <c r="P144" s="27" t="str">
        <f ca="1">IFERROR(__xludf.DUMMYFUNCTION("""COMPUTED_VALUE"""),"Belo Horizonte")</f>
        <v>Belo Horizonte</v>
      </c>
      <c r="Q144" s="27" t="str">
        <f ca="1">IFERROR(__xludf.DUMMYFUNCTION("""COMPUTED_VALUE"""),"Casa")</f>
        <v>Casa</v>
      </c>
      <c r="R144" s="27" t="str">
        <f ca="1">IFERROR(__xludf.DUMMYFUNCTION("""COMPUTED_VALUE"""),"31990-190")</f>
        <v>31990-190</v>
      </c>
      <c r="S144" s="27"/>
      <c r="T144" s="27"/>
      <c r="U144"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144" s="27" t="str">
        <f ca="1">IFERROR(__xludf.DUMMYFUNCTION("""COMPUTED_VALUE"""),"Moradores de Favelas, Pessoas em situação de rua, População LGBTQ+, Dependentes Químicos, Pessoas com Deficiência, Imigrantes, Refugiados, Comunidade rural, Outros")</f>
        <v>Moradores de Favelas, Pessoas em situação de rua, População LGBTQ+, Dependentes Químicos, Pessoas com Deficiência, Imigrantes, Refugiados, Comunidade rural, Outros</v>
      </c>
      <c r="W144" s="27">
        <f ca="1">IFERROR(__xludf.DUMMYFUNCTION("""COMPUTED_VALUE"""),7)</f>
        <v>7</v>
      </c>
      <c r="X144" s="27"/>
      <c r="Y144" s="27"/>
      <c r="Z144" s="27">
        <f ca="1">IFERROR(__xludf.DUMMYFUNCTION("""COMPUTED_VALUE"""),350)</f>
        <v>350</v>
      </c>
      <c r="AA144" s="29">
        <f ca="1">IFERROR(__xludf.DUMMYFUNCTION("""COMPUTED_VALUE"""),44093)</f>
        <v>44093</v>
      </c>
      <c r="AB144" s="27"/>
      <c r="AC144" s="27">
        <f ca="1">IFERROR(__xludf.DUMMYFUNCTION("""COMPUTED_VALUE"""),0)</f>
        <v>0</v>
      </c>
      <c r="AD144" s="27">
        <f ca="1">IFERROR(__xludf.DUMMYFUNCTION("""COMPUTED_VALUE"""),8)</f>
        <v>8</v>
      </c>
      <c r="AE144" s="27">
        <f ca="1">IFERROR(__xludf.DUMMYFUNCTION("""COMPUTED_VALUE"""),35)</f>
        <v>35</v>
      </c>
      <c r="AF144" s="27">
        <f ca="1">IFERROR(__xludf.DUMMYFUNCTION("""COMPUTED_VALUE"""),35)</f>
        <v>35</v>
      </c>
      <c r="AG144" s="27">
        <f ca="1">IFERROR(__xludf.DUMMYFUNCTION("""COMPUTED_VALUE"""),6)</f>
        <v>6</v>
      </c>
      <c r="AH144" s="27" t="str">
        <f ca="1">IFERROR(__xludf.DUMMYFUNCTION("""COMPUTED_VALUE"""),"Negócio Social, Eventos/Ações para captação, Editais, Outro(s), Doações, Recursos próprios")</f>
        <v>Negócio Social, Eventos/Ações para captação, Editais, Outro(s), Doações, Recursos próprios</v>
      </c>
      <c r="AI144" s="27">
        <f ca="1">IFERROR(__xludf.DUMMYFUNCTION("""COMPUTED_VALUE"""),0)</f>
        <v>0</v>
      </c>
      <c r="AJ144" s="27" t="str">
        <f ca="1">IFERROR(__xludf.DUMMYFUNCTION("""COMPUTED_VALUE"""),"Não")</f>
        <v>Não</v>
      </c>
      <c r="AK144" s="27"/>
      <c r="AL144" s="21" t="str">
        <f ca="1">IFERROR(__xludf.DUMMYFUNCTION("""COMPUTED_VALUE"""),"0034X000038zvcx")</f>
        <v>0034X000038zvcx</v>
      </c>
      <c r="AM144" s="27" t="str">
        <f ca="1">IFERROR(__xludf.DUMMYFUNCTION("""COMPUTED_VALUE"""),"Castro da silva")</f>
        <v>Castro da silva</v>
      </c>
      <c r="AN144" s="27" t="str">
        <f ca="1">IFERROR(__xludf.DUMMYFUNCTION("""COMPUTED_VALUE"""),"Ativo")</f>
        <v>Ativo</v>
      </c>
      <c r="AO144" s="29">
        <f ca="1">IFERROR(__xludf.DUMMYFUNCTION("""COMPUTED_VALUE"""),44763)</f>
        <v>44763</v>
      </c>
      <c r="AP144" s="27">
        <f ca="1">IFERROR(__xludf.DUMMYFUNCTION("""COMPUTED_VALUE"""),2)</f>
        <v>2</v>
      </c>
      <c r="AQ144" s="27" t="str">
        <f ca="1">IFERROR(__xludf.DUMMYFUNCTION("""COMPUTED_VALUE"""),"Primeiro Semestre 2022")</f>
        <v>Primeiro Semestre 2022</v>
      </c>
      <c r="AR144" s="27" t="str">
        <f ca="1">IFERROR(__xludf.DUMMYFUNCTION("""COMPUTED_VALUE"""),"valicastros@gmail.com")</f>
        <v>valicastros@gmail.com</v>
      </c>
      <c r="AS144" s="27">
        <f ca="1">IFERROR(__xludf.DUMMYFUNCTION("""COMPUTED_VALUE"""),31996920030)</f>
        <v>31996920030</v>
      </c>
      <c r="AT144" s="29">
        <f ca="1">IFERROR(__xludf.DUMMYFUNCTION("""COMPUTED_VALUE"""),28827)</f>
        <v>28827</v>
      </c>
      <c r="AU144" s="27">
        <f ca="1">IFERROR(__xludf.DUMMYFUNCTION("""COMPUTED_VALUE"""),44)</f>
        <v>44</v>
      </c>
      <c r="AV144" s="27">
        <f ca="1">IFERROR(__xludf.DUMMYFUNCTION("""COMPUTED_VALUE"""),3688787676)</f>
        <v>3688787676</v>
      </c>
      <c r="AW144" s="27">
        <f ca="1">IFERROR(__xludf.DUMMYFUNCTION("""COMPUTED_VALUE"""),8331351)</f>
        <v>8331351</v>
      </c>
      <c r="AX144" s="27"/>
      <c r="AY144" s="27"/>
      <c r="AZ144" s="27" t="str">
        <f ca="1">IFERROR(__xludf.DUMMYFUNCTION("""COMPUTED_VALUE"""),"P")</f>
        <v>P</v>
      </c>
      <c r="BA144" s="27" t="str">
        <f ca="1">IFERROR(__xludf.DUMMYFUNCTION("""COMPUTED_VALUE"""),"Preta")</f>
        <v>Preta</v>
      </c>
      <c r="BB144" s="27" t="str">
        <f ca="1">IFERROR(__xludf.DUMMYFUNCTION("""COMPUTED_VALUE"""),"Mulher cisgênero")</f>
        <v>Mulher cisgênero</v>
      </c>
      <c r="BC144" s="27"/>
      <c r="BD144" s="27" t="str">
        <f ca="1">IFERROR(__xludf.DUMMYFUNCTION("""COMPUTED_VALUE"""),"Sou enfermeira atuante na área da saúde pública há mais de 13 anos.
Como conhecedora das necessidades da população e conhecimento de causa* iniciei um trabalho social a 3 anos visando atendimento integrado.
Sou gestora da ONG Remediar* atendendo a populaç"&amp;"ão com doação de medicamentos* suporte jurídico* psicológico* nutricional* fornecendo alimentos a mais de 50 famílias da região nordeste de BH* incluindo refugiados. Atuamos ainda com a prevenção de doenças e promoção a saúde* com as questões ambientais e"&amp;" educacionais.")</f>
        <v>Sou enfermeira atuante na área da saúde pública há mais de 13 anos.
Como conhecedora das necessidades da população e conhecimento de causa* iniciei um trabalho social a 3 anos visando atendimento integrado.
Sou gestora da ONG Remediar* atendendo a população com doação de medicamentos* suporte jurídico* psicológico* nutricional* fornecendo alimentos a mais de 50 famílias da região nordeste de BH* incluindo refugiados. Atuamos ainda com a prevenção de doenças e promoção a saúde* com as questões ambientais e educacionais.</v>
      </c>
      <c r="BE144" s="27" t="str">
        <f ca="1">IFERROR(__xludf.DUMMYFUNCTION("""COMPUTED_VALUE"""),"Feminino")</f>
        <v>Feminino</v>
      </c>
      <c r="BF144" s="27" t="str">
        <f ca="1">IFERROR(__xludf.DUMMYFUNCTION("""COMPUTED_VALUE"""),"Heterossexual")</f>
        <v>Heterossexual</v>
      </c>
      <c r="BG144" s="27" t="str">
        <f ca="1">IFERROR(__xludf.DUMMYFUNCTION("""COMPUTED_VALUE"""),"Ensino Superior")</f>
        <v>Ensino Superior</v>
      </c>
      <c r="BH144" s="27"/>
      <c r="BI144" s="27" t="str">
        <f ca="1">IFERROR(__xludf.DUMMYFUNCTION("""COMPUTED_VALUE"""),"Graduação")</f>
        <v>Graduação</v>
      </c>
      <c r="BJ144" s="27" t="str">
        <f ca="1">IFERROR(__xludf.DUMMYFUNCTION("""COMPUTED_VALUE"""),"Privado")</f>
        <v>Privado</v>
      </c>
      <c r="BK144" s="27" t="str">
        <f ca="1">IFERROR(__xludf.DUMMYFUNCTION("""COMPUTED_VALUE"""),"Hybris")</f>
        <v>Hybris</v>
      </c>
      <c r="BL144" s="27">
        <f ca="1">IFERROR(__xludf.DUMMYFUNCTION("""COMPUTED_VALUE"""),338)</f>
        <v>338</v>
      </c>
      <c r="BM144" s="27">
        <f ca="1">IFERROR(__xludf.DUMMYFUNCTION("""COMPUTED_VALUE"""),202)</f>
        <v>202</v>
      </c>
      <c r="BN144" s="27" t="str">
        <f ca="1">IFERROR(__xludf.DUMMYFUNCTION("""COMPUTED_VALUE"""),"Sabará")</f>
        <v>Sabará</v>
      </c>
      <c r="BO144" s="27" t="str">
        <f ca="1">IFERROR(__xludf.DUMMYFUNCTION("""COMPUTED_VALUE"""),"34710-080")</f>
        <v>34710-080</v>
      </c>
      <c r="BP144" s="27" t="str">
        <f ca="1">IFERROR(__xludf.DUMMYFUNCTION("""COMPUTED_VALUE"""),"MG")</f>
        <v>MG</v>
      </c>
      <c r="BQ144" s="27" t="str">
        <f ca="1">IFERROR(__xludf.DUMMYFUNCTION("""COMPUTED_VALUE"""),"Entre 1 até 3 salários mínimos")</f>
        <v>Entre 1 até 3 salários mínimos</v>
      </c>
      <c r="BR144" s="27" t="str">
        <f ca="1">IFERROR(__xludf.DUMMYFUNCTION("""COMPUTED_VALUE"""),"Funcionário Público")</f>
        <v>Funcionário Público</v>
      </c>
      <c r="BS144" s="27" t="str">
        <f ca="1">IFERROR(__xludf.DUMMYFUNCTION("""COMPUTED_VALUE"""),"Casa própria")</f>
        <v>Casa própria</v>
      </c>
      <c r="BT144" s="27">
        <f ca="1">IFERROR(__xludf.DUMMYFUNCTION("""COMPUTED_VALUE"""),2)</f>
        <v>2</v>
      </c>
      <c r="BU144" s="27"/>
      <c r="BV144" s="27"/>
      <c r="BW144" s="21" t="str">
        <f ca="1">IFERROR(__xludf.DUMMYFUNCTION("""COMPUTED_VALUE"""),"www.linkedin.com/in/valeria-castro-da-silva-ab183819a")</f>
        <v>www.linkedin.com/in/valeria-castro-da-silva-ab183819a</v>
      </c>
      <c r="BX144" s="21" t="str">
        <f ca="1">IFERROR(__xludf.DUMMYFUNCTION("""COMPUTED_VALUE"""),"https://www.instagram.com/p/CbQO4UrukK3nWiVe83ZNNp6k17j3yIKsV8Thr00/?utm_medium=copy_link")</f>
        <v>https://www.instagram.com/p/CbQO4UrukK3nWiVe83ZNNp6k17j3yIKsV8Thr00/?utm_medium=copy_link</v>
      </c>
      <c r="BY144" s="21" t="str">
        <f ca="1">IFERROR(__xludf.DUMMYFUNCTION("""COMPUTED_VALUE"""),"https://drive.google.com/open?id=1jskxjCipPTtydxtMKlaVZ7IirTlAuPsZ")</f>
        <v>https://drive.google.com/open?id=1jskxjCipPTtydxtMKlaVZ7IirTlAuPsZ</v>
      </c>
    </row>
    <row r="145" spans="1:77" ht="12.5" hidden="1" x14ac:dyDescent="0.25">
      <c r="A145" s="21" t="str">
        <f ca="1">IFERROR(__xludf.DUMMYFUNCTION("""COMPUTED_VALUE"""),"0014X00002VKCsEQAX")</f>
        <v>0014X00002VKCsEQAX</v>
      </c>
      <c r="B145" s="27" t="str">
        <f ca="1">IFERROR(__xludf.DUMMYFUNCTION("""COMPUTED_VALUE"""),"Fase Inicial")</f>
        <v>Fase Inicial</v>
      </c>
      <c r="C145" s="27" t="str">
        <f ca="1">IFERROR(__xludf.DUMMYFUNCTION("""COMPUTED_VALUE"""),"Fellow")</f>
        <v>Fellow</v>
      </c>
      <c r="D145" s="27" t="str">
        <f ca="1">IFERROR(__xludf.DUMMYFUNCTION("""COMPUTED_VALUE"""),"Ativo")</f>
        <v>Ativo</v>
      </c>
      <c r="E145" s="27" t="str">
        <f ca="1">IFERROR(__xludf.DUMMYFUNCTION("""COMPUTED_VALUE"""),"ASSOCIAÇÃO SANTO DIAS")</f>
        <v>ASSOCIAÇÃO SANTO DIAS</v>
      </c>
      <c r="F145" s="27" t="str">
        <f ca="1">IFERROR(__xludf.DUMMYFUNCTION("""COMPUTED_VALUE"""),"THIAGO")</f>
        <v>THIAGO</v>
      </c>
      <c r="G145" s="27" t="str">
        <f ca="1">IFERROR(__xludf.DUMMYFUNCTION("""COMPUTED_VALUE"""),"ASD-PB")</f>
        <v>ASD-PB</v>
      </c>
      <c r="H145" s="27" t="str">
        <f ca="1">IFERROR(__xludf.DUMMYFUNCTION("""COMPUTED_VALUE"""),"08.366.353/0001-11")</f>
        <v>08.366.353/0001-11</v>
      </c>
      <c r="I145" s="27" t="str">
        <f ca="1">IFERROR(__xludf.DUMMYFUNCTION("""COMPUTED_VALUE"""),"JOAO BATISTA LUCAS DA SILVA")</f>
        <v>JOAO BATISTA LUCAS DA SILVA</v>
      </c>
      <c r="J145" s="27" t="str">
        <f ca="1">IFERROR(__xludf.DUMMYFUNCTION("""COMPUTED_VALUE"""),"asdbrasil.pb@gmail.com")</f>
        <v>asdbrasil.pb@gmail.com</v>
      </c>
      <c r="K145" s="27" t="str">
        <f ca="1">IFERROR(__xludf.DUMMYFUNCTION("""COMPUTED_VALUE"""),"(83)98824-5810")</f>
        <v>(83)98824-5810</v>
      </c>
      <c r="L145" s="27" t="str">
        <f ca="1">IFERROR(__xludf.DUMMYFUNCTION("""COMPUTED_VALUE"""),"PB")</f>
        <v>PB</v>
      </c>
      <c r="M145" s="27" t="str">
        <f ca="1">IFERROR(__xludf.DUMMYFUNCTION("""COMPUTED_VALUE"""),"AV DEP ODON BEZERRA")</f>
        <v>AV DEP ODON BEZERRA</v>
      </c>
      <c r="N145" s="27" t="str">
        <f ca="1">IFERROR(__xludf.DUMMYFUNCTION("""COMPUTED_VALUE"""),"TAMBIÁ")</f>
        <v>TAMBIÁ</v>
      </c>
      <c r="O145" s="27">
        <f ca="1">IFERROR(__xludf.DUMMYFUNCTION("""COMPUTED_VALUE"""),53)</f>
        <v>53</v>
      </c>
      <c r="P145" s="27" t="str">
        <f ca="1">IFERROR(__xludf.DUMMYFUNCTION("""COMPUTED_VALUE"""),"JOÃO PESSOA")</f>
        <v>JOÃO PESSOA</v>
      </c>
      <c r="Q145" s="27" t="str">
        <f ca="1">IFERROR(__xludf.DUMMYFUNCTION("""COMPUTED_VALUE"""),"ANEXO II")</f>
        <v>ANEXO II</v>
      </c>
      <c r="R145" s="27" t="str">
        <f ca="1">IFERROR(__xludf.DUMMYFUNCTION("""COMPUTED_VALUE"""),"58020-500")</f>
        <v>58020-500</v>
      </c>
      <c r="S145" s="27" t="str">
        <f ca="1">IFERROR(__xludf.DUMMYFUNCTION("""COMPUTED_VALUE"""),"ENTREGA DE ALIMENTOS — COMUNIDADE DO S;")</f>
        <v>ENTREGA DE ALIMENTOS — COMUNIDADE DO S;</v>
      </c>
      <c r="T145" s="27"/>
      <c r="U145" s="27" t="str">
        <f ca="1">IFERROR(__xludf.DUMMYFUNCTION("""COMPUTED_VALUE"""),"Adolescentes (12 aos 18 anos), Jovens (18 aos 24 anos), Adultos")</f>
        <v>Adolescentes (12 aos 18 anos), Jovens (18 aos 24 anos), Adultos</v>
      </c>
      <c r="V145" s="27" t="str">
        <f ca="1">IFERROR(__xludf.DUMMYFUNCTION("""COMPUTED_VALUE"""),"Moradores de Favelas, Comunidade rural")</f>
        <v>Moradores de Favelas, Comunidade rural</v>
      </c>
      <c r="W145" s="27">
        <f ca="1">IFERROR(__xludf.DUMMYFUNCTION("""COMPUTED_VALUE"""),5)</f>
        <v>5</v>
      </c>
      <c r="X145" s="27"/>
      <c r="Y145" s="27"/>
      <c r="Z145" s="27">
        <f ca="1">IFERROR(__xludf.DUMMYFUNCTION("""COMPUTED_VALUE"""),150)</f>
        <v>150</v>
      </c>
      <c r="AA145" s="30">
        <f ca="1">IFERROR(__xludf.DUMMYFUNCTION("""COMPUTED_VALUE"""),30304)</f>
        <v>30304</v>
      </c>
      <c r="AB145" s="27" t="str">
        <f ca="1">IFERROR(__xludf.DUMMYFUNCTION("""COMPUTED_VALUE"""),"Sim")</f>
        <v>Sim</v>
      </c>
      <c r="AC145" s="27">
        <f ca="1">IFERROR(__xludf.DUMMYFUNCTION("""COMPUTED_VALUE"""),2)</f>
        <v>2</v>
      </c>
      <c r="AD145" s="27">
        <f ca="1">IFERROR(__xludf.DUMMYFUNCTION("""COMPUTED_VALUE"""),4)</f>
        <v>4</v>
      </c>
      <c r="AE145" s="27">
        <f ca="1">IFERROR(__xludf.DUMMYFUNCTION("""COMPUTED_VALUE"""),5)</f>
        <v>5</v>
      </c>
      <c r="AF145" s="27">
        <f ca="1">IFERROR(__xludf.DUMMYFUNCTION("""COMPUTED_VALUE"""),5)</f>
        <v>5</v>
      </c>
      <c r="AG145" s="27">
        <f ca="1">IFERROR(__xludf.DUMMYFUNCTION("""COMPUTED_VALUE"""),3)</f>
        <v>3</v>
      </c>
      <c r="AH145" s="27" t="str">
        <f ca="1">IFERROR(__xludf.DUMMYFUNCTION("""COMPUTED_VALUE"""),"Lei de Incentivo, Convênio Público, Editais")</f>
        <v>Lei de Incentivo, Convênio Público, Editais</v>
      </c>
      <c r="AI145" s="27" t="str">
        <f ca="1">IFERROR(__xludf.DUMMYFUNCTION("""COMPUTED_VALUE"""),"Participação de cada frente %")</f>
        <v>Participação de cada frente %</v>
      </c>
      <c r="AJ145" s="27" t="str">
        <f ca="1">IFERROR(__xludf.DUMMYFUNCTION("""COMPUTED_VALUE"""),"Não")</f>
        <v>Não</v>
      </c>
      <c r="AK145" s="27"/>
      <c r="AL145" s="21" t="str">
        <f ca="1">IFERROR(__xludf.DUMMYFUNCTION("""COMPUTED_VALUE"""),"0034X0000380O2n")</f>
        <v>0034X0000380O2n</v>
      </c>
      <c r="AM145" s="27" t="str">
        <f ca="1">IFERROR(__xludf.DUMMYFUNCTION("""COMPUTED_VALUE"""),"Alves gomes")</f>
        <v>Alves gomes</v>
      </c>
      <c r="AN145" s="27" t="str">
        <f ca="1">IFERROR(__xludf.DUMMYFUNCTION("""COMPUTED_VALUE"""),"Ativo")</f>
        <v>Ativo</v>
      </c>
      <c r="AO145" s="29">
        <f ca="1">IFERROR(__xludf.DUMMYFUNCTION("""COMPUTED_VALUE"""),44763)</f>
        <v>44763</v>
      </c>
      <c r="AP145" s="27">
        <f ca="1">IFERROR(__xludf.DUMMYFUNCTION("""COMPUTED_VALUE"""),2)</f>
        <v>2</v>
      </c>
      <c r="AQ145" s="27" t="str">
        <f ca="1">IFERROR(__xludf.DUMMYFUNCTION("""COMPUTED_VALUE"""),"Primeiro Semestre 2022")</f>
        <v>Primeiro Semestre 2022</v>
      </c>
      <c r="AR145" s="27" t="str">
        <f ca="1">IFERROR(__xludf.DUMMYFUNCTION("""COMPUTED_VALUE"""),"talvesg16@gmail.com")</f>
        <v>talvesg16@gmail.com</v>
      </c>
      <c r="AS145" s="27" t="str">
        <f ca="1">IFERROR(__xludf.DUMMYFUNCTION("""COMPUTED_VALUE"""),"(83)99649-1354")</f>
        <v>(83)99649-1354</v>
      </c>
      <c r="AT145" s="29">
        <f ca="1">IFERROR(__xludf.DUMMYFUNCTION("""COMPUTED_VALUE"""),32767)</f>
        <v>32767</v>
      </c>
      <c r="AU145" s="27">
        <f ca="1">IFERROR(__xludf.DUMMYFUNCTION("""COMPUTED_VALUE"""),33)</f>
        <v>33</v>
      </c>
      <c r="AV145" s="27">
        <f ca="1">IFERROR(__xludf.DUMMYFUNCTION("""COMPUTED_VALUE"""),7803046401)</f>
        <v>7803046401</v>
      </c>
      <c r="AW145" s="27" t="str">
        <f ca="1">IFERROR(__xludf.DUMMYFUNCTION("""COMPUTED_VALUE"""),"3379988/SSDS-PB")</f>
        <v>3379988/SSDS-PB</v>
      </c>
      <c r="AX145" s="27"/>
      <c r="AY145" s="27" t="str">
        <f ca="1">IFERROR(__xludf.DUMMYFUNCTION("""COMPUTED_VALUE"""),"COLABORADOR")</f>
        <v>COLABORADOR</v>
      </c>
      <c r="AZ145" s="27" t="str">
        <f ca="1">IFERROR(__xludf.DUMMYFUNCTION("""COMPUTED_VALUE"""),"GG")</f>
        <v>GG</v>
      </c>
      <c r="BA145" s="27" t="str">
        <f ca="1">IFERROR(__xludf.DUMMYFUNCTION("""COMPUTED_VALUE"""),"Preta")</f>
        <v>Preta</v>
      </c>
      <c r="BB145" s="27"/>
      <c r="BC145" s="27"/>
      <c r="BD145" s="27" t="str">
        <f ca="1">IFERROR(__xludf.DUMMYFUNCTION("""COMPUTED_VALUE"""),"Sou Thiago Alves, tenho 33 anos. A minha QUEBRADA se chama Róger e fica em Jampa, na Paraíba. Meus amigos da favela quando me veem hoje, se espantam com meu progresso: falando francês, coordenando projetos e dando aula de informática. Sou uma das crias da"&amp;" ONG Piollin. Tudo que aprendi se deve a este projeto social e a um ARTE-EDUCADOR CHAMADO HÉRCULES FÉLIX. Tudo que VENHO construindo nesta jornada é puramente visceral. Trabalhar com projeto social me faz esquecer o tempo e as horas.")</f>
        <v>Sou Thiago Alves, tenho 33 anos. A minha QUEBRADA se chama Róger e fica em Jampa, na Paraíba. Meus amigos da favela quando me veem hoje, se espantam com meu progresso: falando francês, coordenando projetos e dando aula de informática. Sou uma das crias da ONG Piollin. Tudo que aprendi se deve a este projeto social e a um ARTE-EDUCADOR CHAMADO HÉRCULES FÉLIX. Tudo que VENHO construindo nesta jornada é puramente visceral. Trabalhar com projeto social me faz esquecer o tempo e as horas.</v>
      </c>
      <c r="BE145" s="27" t="str">
        <f ca="1">IFERROR(__xludf.DUMMYFUNCTION("""COMPUTED_VALUE"""),"Homem, cisgênero")</f>
        <v>Homem, cisgênero</v>
      </c>
      <c r="BF145" s="27" t="str">
        <f ca="1">IFERROR(__xludf.DUMMYFUNCTION("""COMPUTED_VALUE"""),"Heterossexual")</f>
        <v>Heterossexual</v>
      </c>
      <c r="BG145" s="27" t="str">
        <f ca="1">IFERROR(__xludf.DUMMYFUNCTION("""COMPUTED_VALUE"""),"Ensino Superior - Completo")</f>
        <v>Ensino Superior - Completo</v>
      </c>
      <c r="BH145" s="27" t="str">
        <f ca="1">IFERROR(__xludf.DUMMYFUNCTION("""COMPUTED_VALUE"""),"Público")</f>
        <v>Público</v>
      </c>
      <c r="BI145" s="27" t="str">
        <f ca="1">IFERROR(__xludf.DUMMYFUNCTION("""COMPUTED_VALUE"""),"Pós-Graduação")</f>
        <v>Pós-Graduação</v>
      </c>
      <c r="BJ145" s="27" t="str">
        <f ca="1">IFERROR(__xludf.DUMMYFUNCTION("""COMPUTED_VALUE"""),"Público")</f>
        <v>Público</v>
      </c>
      <c r="BK145" s="27" t="str">
        <f ca="1">IFERROR(__xludf.DUMMYFUNCTION("""COMPUTED_VALUE"""),"R. Saldanha da Gama")</f>
        <v>R. Saldanha da Gama</v>
      </c>
      <c r="BL145" s="27">
        <f ca="1">IFERROR(__xludf.DUMMYFUNCTION("""COMPUTED_VALUE"""),170)</f>
        <v>170</v>
      </c>
      <c r="BM145" s="27" t="str">
        <f ca="1">IFERROR(__xludf.DUMMYFUNCTION("""COMPUTED_VALUE"""),"AP 301")</f>
        <v>AP 301</v>
      </c>
      <c r="BN145" s="27" t="str">
        <f ca="1">IFERROR(__xludf.DUMMYFUNCTION("""COMPUTED_VALUE"""),"JOÃO PESSOA")</f>
        <v>JOÃO PESSOA</v>
      </c>
      <c r="BO145" s="27" t="str">
        <f ca="1">IFERROR(__xludf.DUMMYFUNCTION("""COMPUTED_VALUE"""),"58020-240")</f>
        <v>58020-240</v>
      </c>
      <c r="BP145" s="27" t="str">
        <f ca="1">IFERROR(__xludf.DUMMYFUNCTION("""COMPUTED_VALUE"""),"PB")</f>
        <v>PB</v>
      </c>
      <c r="BQ145" s="27" t="str">
        <f ca="1">IFERROR(__xludf.DUMMYFUNCTION("""COMPUTED_VALUE"""),"Entre 1 até 3 salários mínimos")</f>
        <v>Entre 1 até 3 salários mínimos</v>
      </c>
      <c r="BR145" s="27" t="str">
        <f ca="1">IFERROR(__xludf.DUMMYFUNCTION("""COMPUTED_VALUE"""),"Funcionário Público")</f>
        <v>Funcionário Público</v>
      </c>
      <c r="BS145" s="27" t="str">
        <f ca="1">IFERROR(__xludf.DUMMYFUNCTION("""COMPUTED_VALUE"""),"Aluguel")</f>
        <v>Aluguel</v>
      </c>
      <c r="BT145" s="27">
        <f ca="1">IFERROR(__xludf.DUMMYFUNCTION("""COMPUTED_VALUE"""),1)</f>
        <v>1</v>
      </c>
      <c r="BU145" s="27" t="str">
        <f ca="1">IFERROR(__xludf.DUMMYFUNCTION("""COMPUTED_VALUE"""),"Não tem")</f>
        <v>Não tem</v>
      </c>
      <c r="BV145" s="27" t="str">
        <f ca="1">IFERROR(__xludf.DUMMYFUNCTION("""COMPUTED_VALUE"""),"Não")</f>
        <v>Não</v>
      </c>
      <c r="BW145" s="21" t="str">
        <f ca="1">IFERROR(__xludf.DUMMYFUNCTION("""COMPUTED_VALUE"""),"https://www.linkedin.com/in/thiago-alves-a20278219/")</f>
        <v>https://www.linkedin.com/in/thiago-alves-a20278219/</v>
      </c>
      <c r="BX145" s="21" t="str">
        <f ca="1">IFERROR(__xludf.DUMMYFUNCTION("""COMPUTED_VALUE"""),"https://www.instagram.com/tagjpa/")</f>
        <v>https://www.instagram.com/tagjpa/</v>
      </c>
      <c r="BY145" s="21" t="str">
        <f ca="1">IFERROR(__xludf.DUMMYFUNCTION("""COMPUTED_VALUE"""),"https://drive.google.com/open?id=15-c3u4UvtBJAJKWCM81WMRBQVW5uTX2n")</f>
        <v>https://drive.google.com/open?id=15-c3u4UvtBJAJKWCM81WMRBQVW5uTX2n</v>
      </c>
    </row>
    <row r="146" spans="1:77" ht="12.5" x14ac:dyDescent="0.25">
      <c r="A146" s="21" t="str">
        <f ca="1">IFERROR(__xludf.DUMMYFUNCTION("""COMPUTED_VALUE"""),"0014X00002OEuaqQAD")</f>
        <v>0014X00002OEuaqQAD</v>
      </c>
      <c r="B146" s="27" t="str">
        <f ca="1">IFERROR(__xludf.DUMMYFUNCTION("""COMPUTED_VALUE"""),"Fase Inicial")</f>
        <v>Fase Inicial</v>
      </c>
      <c r="C146" s="27" t="str">
        <f ca="1">IFERROR(__xludf.DUMMYFUNCTION("""COMPUTED_VALUE"""),"Fellow")</f>
        <v>Fellow</v>
      </c>
      <c r="D146" s="27" t="str">
        <f ca="1">IFERROR(__xludf.DUMMYFUNCTION("""COMPUTED_VALUE"""),"Ativo")</f>
        <v>Ativo</v>
      </c>
      <c r="E146" s="27" t="str">
        <f ca="1">IFERROR(__xludf.DUMMYFUNCTION("""COMPUTED_VALUE"""),"Associação são Vicente de Paulo do Jd Vitória")</f>
        <v>Associação são Vicente de Paulo do Jd Vitória</v>
      </c>
      <c r="F146" s="27" t="str">
        <f ca="1">IFERROR(__xludf.DUMMYFUNCTION("""COMPUTED_VALUE"""),"Francisca")</f>
        <v>Francisca</v>
      </c>
      <c r="G146" s="27"/>
      <c r="H146" s="27" t="str">
        <f ca="1">IFERROR(__xludf.DUMMYFUNCTION("""COMPUTED_VALUE"""),"26.328.438/0001-97")</f>
        <v>26.328.438/0001-97</v>
      </c>
      <c r="I146" s="27" t="str">
        <f ca="1">IFERROR(__xludf.DUMMYFUNCTION("""COMPUTED_VALUE"""),"Francisca Maria Ribeiro")</f>
        <v>Francisca Maria Ribeiro</v>
      </c>
      <c r="J146" s="27" t="str">
        <f ca="1">IFERROR(__xludf.DUMMYFUNCTION("""COMPUTED_VALUE"""),"acssaovicentedepaulo@gmail.com")</f>
        <v>acssaovicentedepaulo@gmail.com</v>
      </c>
      <c r="K146" s="27" t="str">
        <f ca="1">IFERROR(__xludf.DUMMYFUNCTION("""COMPUTED_VALUE"""),"(11)98296-8309")</f>
        <v>(11)98296-8309</v>
      </c>
      <c r="L146" s="27" t="str">
        <f ca="1">IFERROR(__xludf.DUMMYFUNCTION("""COMPUTED_VALUE"""),"SP")</f>
        <v>SP</v>
      </c>
      <c r="M146" s="27" t="str">
        <f ca="1">IFERROR(__xludf.DUMMYFUNCTION("""COMPUTED_VALUE"""),"Rua travessa cachoeira de Paulo Afonso, 25")</f>
        <v>Rua travessa cachoeira de Paulo Afonso, 25</v>
      </c>
      <c r="N146" s="27" t="str">
        <f ca="1">IFERROR(__xludf.DUMMYFUNCTION("""COMPUTED_VALUE"""),"JARDIM PÉROLA 2")</f>
        <v>JARDIM PÉROLA 2</v>
      </c>
      <c r="O146" s="27">
        <f ca="1">IFERROR(__xludf.DUMMYFUNCTION("""COMPUTED_VALUE"""),25)</f>
        <v>25</v>
      </c>
      <c r="P146" s="27" t="str">
        <f ca="1">IFERROR(__xludf.DUMMYFUNCTION("""COMPUTED_VALUE"""),"TIRADENTES")</f>
        <v>TIRADENTES</v>
      </c>
      <c r="Q146" s="27"/>
      <c r="R146" s="27" t="str">
        <f ca="1">IFERROR(__xludf.DUMMYFUNCTION("""COMPUTED_VALUE"""),"08473-240")</f>
        <v>08473-240</v>
      </c>
      <c r="S146" s="27"/>
      <c r="T146" s="27" t="str">
        <f ca="1">IFERROR(__xludf.DUMMYFUNCTION("""COMPUTED_VALUE"""),"Esporte; Educação; Cultura; Desenvolvimento comunitário")</f>
        <v>Esporte; Educação; Cultura; Desenvolvimento comunitário</v>
      </c>
      <c r="U146"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146" s="27" t="str">
        <f ca="1">IFERROR(__xludf.DUMMYFUNCTION("""COMPUTED_VALUE"""),"Moradores de Favelas; Pessoas em situação de rua; População LGBTQ+")</f>
        <v>Moradores de Favelas; Pessoas em situação de rua; População LGBTQ+</v>
      </c>
      <c r="W146" s="27">
        <f ca="1">IFERROR(__xludf.DUMMYFUNCTION("""COMPUTED_VALUE"""),3)</f>
        <v>3</v>
      </c>
      <c r="X146" s="27"/>
      <c r="Y146" s="27"/>
      <c r="Z146" s="27"/>
      <c r="AA146" s="29">
        <f ca="1">IFERROR(__xludf.DUMMYFUNCTION("""COMPUTED_VALUE"""),42520)</f>
        <v>42520</v>
      </c>
      <c r="AB146" s="27" t="str">
        <f ca="1">IFERROR(__xludf.DUMMYFUNCTION("""COMPUTED_VALUE"""),"Sim")</f>
        <v>Sim</v>
      </c>
      <c r="AC146" s="27">
        <f ca="1">IFERROR(__xludf.DUMMYFUNCTION("""COMPUTED_VALUE"""),20)</f>
        <v>20</v>
      </c>
      <c r="AD146" s="27">
        <f ca="1">IFERROR(__xludf.DUMMYFUNCTION("""COMPUTED_VALUE"""),9)</f>
        <v>9</v>
      </c>
      <c r="AE146" s="27">
        <f ca="1">IFERROR(__xludf.DUMMYFUNCTION("""COMPUTED_VALUE"""),20)</f>
        <v>20</v>
      </c>
      <c r="AF146" s="27">
        <f ca="1">IFERROR(__xludf.DUMMYFUNCTION("""COMPUTED_VALUE"""),9)</f>
        <v>9</v>
      </c>
      <c r="AG146" s="27">
        <f ca="1">IFERROR(__xludf.DUMMYFUNCTION("""COMPUTED_VALUE"""),2)</f>
        <v>2</v>
      </c>
      <c r="AH146" s="27" t="str">
        <f ca="1">IFERROR(__xludf.DUMMYFUNCTION("""COMPUTED_VALUE"""),"Doações")</f>
        <v>Doações</v>
      </c>
      <c r="AI146" s="27">
        <f ca="1">IFERROR(__xludf.DUMMYFUNCTION("""COMPUTED_VALUE"""),4)</f>
        <v>4</v>
      </c>
      <c r="AJ146" s="27"/>
      <c r="AK146" s="27"/>
      <c r="AL146" s="21" t="str">
        <f ca="1">IFERROR(__xludf.DUMMYFUNCTION("""COMPUTED_VALUE"""),"0034X0000315PQz")</f>
        <v>0034X0000315PQz</v>
      </c>
      <c r="AM146" s="27" t="str">
        <f ca="1">IFERROR(__xludf.DUMMYFUNCTION("""COMPUTED_VALUE"""),"Maria Ribeiro")</f>
        <v>Maria Ribeiro</v>
      </c>
      <c r="AN146" s="27" t="str">
        <f ca="1">IFERROR(__xludf.DUMMYFUNCTION("""COMPUTED_VALUE"""),"Ativo")</f>
        <v>Ativo</v>
      </c>
      <c r="AO146" s="30">
        <f ca="1">IFERROR(__xludf.DUMMYFUNCTION("""COMPUTED_VALUE"""),44551)</f>
        <v>44551</v>
      </c>
      <c r="AP146" s="27">
        <f ca="1">IFERROR(__xludf.DUMMYFUNCTION("""COMPUTED_VALUE"""),9)</f>
        <v>9</v>
      </c>
      <c r="AQ146" s="27" t="str">
        <f ca="1">IFERROR(__xludf.DUMMYFUNCTION("""COMPUTED_VALUE"""),"Segundo Semestre 2021")</f>
        <v>Segundo Semestre 2021</v>
      </c>
      <c r="AR146" s="27" t="str">
        <f ca="1">IFERROR(__xludf.DUMMYFUNCTION("""COMPUTED_VALUE"""),"franciscanenem5@gmail.com")</f>
        <v>franciscanenem5@gmail.com</v>
      </c>
      <c r="AS146" s="27" t="str">
        <f ca="1">IFERROR(__xludf.DUMMYFUNCTION("""COMPUTED_VALUE"""),"(11)98296-8309")</f>
        <v>(11)98296-8309</v>
      </c>
      <c r="AT146" s="29">
        <f ca="1">IFERROR(__xludf.DUMMYFUNCTION("""COMPUTED_VALUE"""),23770)</f>
        <v>23770</v>
      </c>
      <c r="AU146" s="27">
        <f ca="1">IFERROR(__xludf.DUMMYFUNCTION("""COMPUTED_VALUE"""),57)</f>
        <v>57</v>
      </c>
      <c r="AV146" s="27">
        <f ca="1">IFERROR(__xludf.DUMMYFUNCTION("""COMPUTED_VALUE"""),26717697334)</f>
        <v>26717697334</v>
      </c>
      <c r="AW146" s="27">
        <f ca="1">IFERROR(__xludf.DUMMYFUNCTION("""COMPUTED_VALUE"""),197624054)</f>
        <v>197624054</v>
      </c>
      <c r="AX146" s="27"/>
      <c r="AY146" s="27"/>
      <c r="AZ146" s="27" t="str">
        <f ca="1">IFERROR(__xludf.DUMMYFUNCTION("""COMPUTED_VALUE"""),"P")</f>
        <v>P</v>
      </c>
      <c r="BA146" s="27" t="str">
        <f ca="1">IFERROR(__xludf.DUMMYFUNCTION("""COMPUTED_VALUE"""),"Preta")</f>
        <v>Preta</v>
      </c>
      <c r="BB146" s="27" t="str">
        <f ca="1">IFERROR(__xludf.DUMMYFUNCTION("""COMPUTED_VALUE"""),"Mulher, cisgênero")</f>
        <v>Mulher, cisgênero</v>
      </c>
      <c r="BC146" s="27" t="str">
        <f ca="1">IFERROR(__xludf.DUMMYFUNCTION("""COMPUTED_VALUE"""),"Sim")</f>
        <v>Sim</v>
      </c>
      <c r="BD146" s="27" t="str">
        <f ca="1">IFERROR(__xludf.DUMMYFUNCTION("""COMPUTED_VALUE"""),"Comecei meus trabalhos aqui na vila Yolanda há 13 anos quando me mudei para cá, já tinha trabalhos voluntários em outro lugar, mas quando cheguei aqui que vi as dificuldades das famílias então abracei a causa, dificuldade em todos os aspectos, saúde, mora"&amp;"dia, saneamento básico, alimentação entre outros, foi aí que tudo começou, montamos times de futebol, busca em melhorias na saúde, advogado, campanha da visão, aulas de capoeiras, campanhas do agasalho entre outros, sempre trabalho voluntário.")</f>
        <v>Comecei meus trabalhos aqui na vila Yolanda há 13 anos quando me mudei para cá, já tinha trabalhos voluntários em outro lugar, mas quando cheguei aqui que vi as dificuldades das famílias então abracei a causa, dificuldade em todos os aspectos, saúde, moradia, saneamento básico, alimentação entre outros, foi aí que tudo começou, montamos times de futebol, busca em melhorias na saúde, advogado, campanha da visão, aulas de capoeiras, campanhas do agasalho entre outros, sempre trabalho voluntário.</v>
      </c>
      <c r="BE146" s="27"/>
      <c r="BF146" s="27" t="str">
        <f ca="1">IFERROR(__xludf.DUMMYFUNCTION("""COMPUTED_VALUE"""),"Heterossexual")</f>
        <v>Heterossexual</v>
      </c>
      <c r="BG146" s="27" t="str">
        <f ca="1">IFERROR(__xludf.DUMMYFUNCTION("""COMPUTED_VALUE"""),"Ensino Fundamental - Incompleto")</f>
        <v>Ensino Fundamental - Incompleto</v>
      </c>
      <c r="BH146" s="27" t="str">
        <f ca="1">IFERROR(__xludf.DUMMYFUNCTION("""COMPUTED_VALUE"""),"Pública")</f>
        <v>Pública</v>
      </c>
      <c r="BI146" s="27"/>
      <c r="BJ146" s="27"/>
      <c r="BK146" s="27" t="str">
        <f ca="1">IFERROR(__xludf.DUMMYFUNCTION("""COMPUTED_VALUE"""),"Rua flamboyant")</f>
        <v>Rua flamboyant</v>
      </c>
      <c r="BL146" s="27">
        <f ca="1">IFERROR(__xludf.DUMMYFUNCTION("""COMPUTED_VALUE"""),33)</f>
        <v>33</v>
      </c>
      <c r="BM146" s="27" t="str">
        <f ca="1">IFERROR(__xludf.DUMMYFUNCTION("""COMPUTED_VALUE"""),"Casa")</f>
        <v>Casa</v>
      </c>
      <c r="BN146" s="27" t="str">
        <f ca="1">IFERROR(__xludf.DUMMYFUNCTION("""COMPUTED_VALUE"""),"São Paulo")</f>
        <v>São Paulo</v>
      </c>
      <c r="BO146" s="27" t="str">
        <f ca="1">IFERROR(__xludf.DUMMYFUNCTION("""COMPUTED_VALUE"""),"08473-805")</f>
        <v>08473-805</v>
      </c>
      <c r="BP146" s="27" t="str">
        <f ca="1">IFERROR(__xludf.DUMMYFUNCTION("""COMPUTED_VALUE"""),"SP")</f>
        <v>SP</v>
      </c>
      <c r="BQ146" s="27" t="str">
        <f ca="1">IFERROR(__xludf.DUMMYFUNCTION("""COMPUTED_VALUE"""),"Entre 1 até 3 salários mínimos")</f>
        <v>Entre 1 até 3 salários mínimos</v>
      </c>
      <c r="BR146" s="27" t="str">
        <f ca="1">IFERROR(__xludf.DUMMYFUNCTION("""COMPUTED_VALUE"""),"CLT")</f>
        <v>CLT</v>
      </c>
      <c r="BS146" s="27" t="str">
        <f ca="1">IFERROR(__xludf.DUMMYFUNCTION("""COMPUTED_VALUE"""),"Casa própria")</f>
        <v>Casa própria</v>
      </c>
      <c r="BT146" s="27">
        <f ca="1">IFERROR(__xludf.DUMMYFUNCTION("""COMPUTED_VALUE"""),3)</f>
        <v>3</v>
      </c>
      <c r="BU146" s="27"/>
      <c r="BV146" s="27"/>
      <c r="BW146" s="27"/>
      <c r="BX146" s="27"/>
      <c r="BY146" s="21" t="str">
        <f ca="1">IFERROR(__xludf.DUMMYFUNCTION("""COMPUTED_VALUE"""),"https://drive.google.com/open?id=19v7V_CnWEUdYK2-T0nGo-Uds06acQR-4")</f>
        <v>https://drive.google.com/open?id=19v7V_CnWEUdYK2-T0nGo-Uds06acQR-4</v>
      </c>
    </row>
    <row r="147" spans="1:77" ht="12.5" hidden="1" x14ac:dyDescent="0.25">
      <c r="A147" s="21" t="str">
        <f ca="1">IFERROR(__xludf.DUMMYFUNCTION("""COMPUTED_VALUE"""),"0014P00003YSp9iQAD")</f>
        <v>0014P00003YSp9iQAD</v>
      </c>
      <c r="B147" s="27" t="str">
        <f ca="1">IFERROR(__xludf.DUMMYFUNCTION("""COMPUTED_VALUE"""),"Fase Inicial")</f>
        <v>Fase Inicial</v>
      </c>
      <c r="C147" s="27" t="str">
        <f ca="1">IFERROR(__xludf.DUMMYFUNCTION("""COMPUTED_VALUE"""),"Fellow")</f>
        <v>Fellow</v>
      </c>
      <c r="D147" s="27" t="str">
        <f ca="1">IFERROR(__xludf.DUMMYFUNCTION("""COMPUTED_VALUE"""),"Ativo")</f>
        <v>Ativo</v>
      </c>
      <c r="E147" s="27" t="str">
        <f ca="1">IFERROR(__xludf.DUMMYFUNCTION("""COMPUTED_VALUE"""),"Associação Semeando Amor")</f>
        <v>Associação Semeando Amor</v>
      </c>
      <c r="F147" s="27" t="str">
        <f ca="1">IFERROR(__xludf.DUMMYFUNCTION("""COMPUTED_VALUE"""),"Letícia")</f>
        <v>Letícia</v>
      </c>
      <c r="G147" s="27"/>
      <c r="H147" s="27" t="str">
        <f ca="1">IFERROR(__xludf.DUMMYFUNCTION("""COMPUTED_VALUE"""),"37.072.636/0001-59")</f>
        <v>37.072.636/0001-59</v>
      </c>
      <c r="I147" s="27" t="str">
        <f ca="1">IFERROR(__xludf.DUMMYFUNCTION("""COMPUTED_VALUE"""),"Letícia Witzki Morona")</f>
        <v>Letícia Witzki Morona</v>
      </c>
      <c r="J147" s="27" t="str">
        <f ca="1">IFERROR(__xludf.DUMMYFUNCTION("""COMPUTED_VALUE"""),"leticia@associacaosemeandoamor.org.br")</f>
        <v>leticia@associacaosemeandoamor.org.br</v>
      </c>
      <c r="K147" s="27" t="str">
        <f ca="1">IFERROR(__xludf.DUMMYFUNCTION("""COMPUTED_VALUE"""),"(41)98488-7194")</f>
        <v>(41)98488-7194</v>
      </c>
      <c r="L147" s="27" t="str">
        <f ca="1">IFERROR(__xludf.DUMMYFUNCTION("""COMPUTED_VALUE"""),"PR")</f>
        <v>PR</v>
      </c>
      <c r="M147" s="27" t="str">
        <f ca="1">IFERROR(__xludf.DUMMYFUNCTION("""COMPUTED_VALUE"""),"Rua Dr Estevam Ribeiro de Souza Neto")</f>
        <v>Rua Dr Estevam Ribeiro de Souza Neto</v>
      </c>
      <c r="N147" s="27" t="str">
        <f ca="1">IFERROR(__xludf.DUMMYFUNCTION("""COMPUTED_VALUE"""),"Cajuru")</f>
        <v>Cajuru</v>
      </c>
      <c r="O147" s="27">
        <f ca="1">IFERROR(__xludf.DUMMYFUNCTION("""COMPUTED_VALUE"""),747)</f>
        <v>747</v>
      </c>
      <c r="P147" s="27" t="str">
        <f ca="1">IFERROR(__xludf.DUMMYFUNCTION("""COMPUTED_VALUE"""),"Curitiba")</f>
        <v>Curitiba</v>
      </c>
      <c r="Q147" s="27"/>
      <c r="R147" s="27" t="str">
        <f ca="1">IFERROR(__xludf.DUMMYFUNCTION("""COMPUTED_VALUE"""),"82900-060")</f>
        <v>82900-060</v>
      </c>
      <c r="S147" s="27"/>
      <c r="T147" s="27" t="str">
        <f ca="1">IFERROR(__xludf.DUMMYFUNCTION("""COMPUTED_VALUE"""),"Educação; Assistência Social; Cultura; Saúde")</f>
        <v>Educação; Assistência Social; Cultura; Saúde</v>
      </c>
      <c r="U147"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147" s="27" t="str">
        <f ca="1">IFERROR(__xludf.DUMMYFUNCTION("""COMPUTED_VALUE"""),"Outros")</f>
        <v>Outros</v>
      </c>
      <c r="W147" s="27">
        <f ca="1">IFERROR(__xludf.DUMMYFUNCTION("""COMPUTED_VALUE"""),4)</f>
        <v>4</v>
      </c>
      <c r="X147" s="27" t="str">
        <f ca="1">IFERROR(__xludf.DUMMYFUNCTION("""COMPUTED_VALUE"""),"No momento como apresentei na entrevista e vídeo nosso trabalho apenas esta como palhaços hospitalares e nosso objetivo é ter um esáço (sede) para realizar as atividades em comunidade de vulnerabilidade para atender crianças e adolescentes em contra turno"&amp;" escolar.")</f>
        <v>No momento como apresentei na entrevista e vídeo nosso trabalho apenas esta como palhaços hospitalares e nosso objetivo é ter um esáço (sede) para realizar as atividades em comunidade de vulnerabilidade para atender crianças e adolescentes em contra turno escolar.</v>
      </c>
      <c r="Y147" s="27"/>
      <c r="Z147" s="27">
        <f ca="1">IFERROR(__xludf.DUMMYFUNCTION("""COMPUTED_VALUE"""),10000)</f>
        <v>10000</v>
      </c>
      <c r="AA147" s="29">
        <f ca="1">IFERROR(__xludf.DUMMYFUNCTION("""COMPUTED_VALUE"""),41583)</f>
        <v>41583</v>
      </c>
      <c r="AB147" s="27" t="str">
        <f ca="1">IFERROR(__xludf.DUMMYFUNCTION("""COMPUTED_VALUE"""),"Sim")</f>
        <v>Sim</v>
      </c>
      <c r="AC147" s="27">
        <f ca="1">IFERROR(__xludf.DUMMYFUNCTION("""COMPUTED_VALUE"""),0)</f>
        <v>0</v>
      </c>
      <c r="AD147" s="27">
        <f ca="1">IFERROR(__xludf.DUMMYFUNCTION("""COMPUTED_VALUE"""),0)</f>
        <v>0</v>
      </c>
      <c r="AE147" s="27">
        <f ca="1">IFERROR(__xludf.DUMMYFUNCTION("""COMPUTED_VALUE"""),24)</f>
        <v>24</v>
      </c>
      <c r="AF147" s="27">
        <f ca="1">IFERROR(__xludf.DUMMYFUNCTION("""COMPUTED_VALUE"""),27)</f>
        <v>27</v>
      </c>
      <c r="AG147" s="27">
        <f ca="1">IFERROR(__xludf.DUMMYFUNCTION("""COMPUTED_VALUE"""),2)</f>
        <v>2</v>
      </c>
      <c r="AH147" s="27" t="str">
        <f ca="1">IFERROR(__xludf.DUMMYFUNCTION("""COMPUTED_VALUE"""),"Plataforma doação online - Pessoa Física; Doações")</f>
        <v>Plataforma doação online - Pessoa Física; Doações</v>
      </c>
      <c r="AI147" s="27" t="str">
        <f ca="1">IFERROR(__xludf.DUMMYFUNCTION("""COMPUTED_VALUE"""),"Não temos")</f>
        <v>Não temos</v>
      </c>
      <c r="AJ147" s="27"/>
      <c r="AK147" s="27"/>
      <c r="AL147" s="21" t="str">
        <f ca="1">IFERROR(__xludf.DUMMYFUNCTION("""COMPUTED_VALUE"""),"0034P000045kxkK")</f>
        <v>0034P000045kxkK</v>
      </c>
      <c r="AM147" s="27" t="str">
        <f ca="1">IFERROR(__xludf.DUMMYFUNCTION("""COMPUTED_VALUE"""),"Witzki Morona")</f>
        <v>Witzki Morona</v>
      </c>
      <c r="AN147" s="27" t="str">
        <f ca="1">IFERROR(__xludf.DUMMYFUNCTION("""COMPUTED_VALUE"""),"Ativo")</f>
        <v>Ativo</v>
      </c>
      <c r="AO147" s="30">
        <f ca="1">IFERROR(__xludf.DUMMYFUNCTION("""COMPUTED_VALUE"""),44551)</f>
        <v>44551</v>
      </c>
      <c r="AP147" s="27">
        <f ca="1">IFERROR(__xludf.DUMMYFUNCTION("""COMPUTED_VALUE"""),9)</f>
        <v>9</v>
      </c>
      <c r="AQ147" s="27" t="str">
        <f ca="1">IFERROR(__xludf.DUMMYFUNCTION("""COMPUTED_VALUE"""),"Segundo Semestre 2021")</f>
        <v>Segundo Semestre 2021</v>
      </c>
      <c r="AR147" s="27" t="str">
        <f ca="1">IFERROR(__xludf.DUMMYFUNCTION("""COMPUTED_VALUE"""),"leticiawitzkimorona@gmail.com")</f>
        <v>leticiawitzkimorona@gmail.com</v>
      </c>
      <c r="AS147" s="27" t="str">
        <f ca="1">IFERROR(__xludf.DUMMYFUNCTION("""COMPUTED_VALUE"""),"(41)98488-7194")</f>
        <v>(41)98488-7194</v>
      </c>
      <c r="AT147" s="29">
        <f ca="1">IFERROR(__xludf.DUMMYFUNCTION("""COMPUTED_VALUE"""),35010)</f>
        <v>35010</v>
      </c>
      <c r="AU147" s="27">
        <f ca="1">IFERROR(__xludf.DUMMYFUNCTION("""COMPUTED_VALUE"""),27)</f>
        <v>27</v>
      </c>
      <c r="AV147" s="27">
        <f ca="1">IFERROR(__xludf.DUMMYFUNCTION("""COMPUTED_VALUE"""),4710182957)</f>
        <v>4710182957</v>
      </c>
      <c r="AW147" s="27" t="str">
        <f ca="1">IFERROR(__xludf.DUMMYFUNCTION("""COMPUTED_VALUE"""),"12912421-0")</f>
        <v>12912421-0</v>
      </c>
      <c r="AX147" s="27"/>
      <c r="AY147" s="27"/>
      <c r="AZ147" s="27" t="str">
        <f ca="1">IFERROR(__xludf.DUMMYFUNCTION("""COMPUTED_VALUE"""),"M")</f>
        <v>M</v>
      </c>
      <c r="BA147" s="27" t="str">
        <f ca="1">IFERROR(__xludf.DUMMYFUNCTION("""COMPUTED_VALUE"""),"Branca")</f>
        <v>Branca</v>
      </c>
      <c r="BB147" s="27" t="str">
        <f ca="1">IFERROR(__xludf.DUMMYFUNCTION("""COMPUTED_VALUE"""),"Mulher, cisgênero")</f>
        <v>Mulher, cisgênero</v>
      </c>
      <c r="BC147" s="27" t="str">
        <f ca="1">IFERROR(__xludf.DUMMYFUNCTION("""COMPUTED_VALUE"""),"Não")</f>
        <v>Não</v>
      </c>
      <c r="BD147" s="27" t="str">
        <f ca="1">IFERROR(__xludf.DUMMYFUNCTION("""COMPUTED_VALUE"""),"Curitibana, 26 anos, apaixonada por causas sociais, educação e pessoas. Professora, recreacionista e palhaça. Fundadora e Presidente da Associação Semeando Amor, uma organização sem fins lucrativos que realiza trabalhos voluntários em ambientes de vulnera"&amp;"bilidade social e emocional.")</f>
        <v>Curitibana, 26 anos, apaixonada por causas sociais, educação e pessoas. Professora, recreacionista e palhaça. Fundadora e Presidente da Associação Semeando Amor, uma organização sem fins lucrativos que realiza trabalhos voluntários em ambientes de vulnerabilidade social e emocional.</v>
      </c>
      <c r="BE147" s="27"/>
      <c r="BF147" s="27" t="str">
        <f ca="1">IFERROR(__xludf.DUMMYFUNCTION("""COMPUTED_VALUE"""),"Heterossexual")</f>
        <v>Heterossexual</v>
      </c>
      <c r="BG147" s="27" t="str">
        <f ca="1">IFERROR(__xludf.DUMMYFUNCTION("""COMPUTED_VALUE"""),"Ensino Superior - Completo")</f>
        <v>Ensino Superior - Completo</v>
      </c>
      <c r="BH147" s="27" t="str">
        <f ca="1">IFERROR(__xludf.DUMMYFUNCTION("""COMPUTED_VALUE"""),"Público")</f>
        <v>Público</v>
      </c>
      <c r="BI147" s="27" t="str">
        <f ca="1">IFERROR(__xludf.DUMMYFUNCTION("""COMPUTED_VALUE"""),"Pós-Graduação")</f>
        <v>Pós-Graduação</v>
      </c>
      <c r="BJ147" s="27" t="str">
        <f ca="1">IFERROR(__xludf.DUMMYFUNCTION("""COMPUTED_VALUE"""),"Privado")</f>
        <v>Privado</v>
      </c>
      <c r="BK147" s="27" t="str">
        <f ca="1">IFERROR(__xludf.DUMMYFUNCTION("""COMPUTED_VALUE"""),"Dr Estevam Ribeiro de Souza Neto")</f>
        <v>Dr Estevam Ribeiro de Souza Neto</v>
      </c>
      <c r="BL147" s="27">
        <f ca="1">IFERROR(__xludf.DUMMYFUNCTION("""COMPUTED_VALUE"""),747)</f>
        <v>747</v>
      </c>
      <c r="BM147" s="27"/>
      <c r="BN147" s="27" t="str">
        <f ca="1">IFERROR(__xludf.DUMMYFUNCTION("""COMPUTED_VALUE"""),"Curitiba")</f>
        <v>Curitiba</v>
      </c>
      <c r="BO147" s="27" t="str">
        <f ca="1">IFERROR(__xludf.DUMMYFUNCTION("""COMPUTED_VALUE"""),"82900-060")</f>
        <v>82900-060</v>
      </c>
      <c r="BP147" s="27" t="str">
        <f ca="1">IFERROR(__xludf.DUMMYFUNCTION("""COMPUTED_VALUE"""),"PR")</f>
        <v>PR</v>
      </c>
      <c r="BQ147" s="27" t="str">
        <f ca="1">IFERROR(__xludf.DUMMYFUNCTION("""COMPUTED_VALUE"""),"Entre 1 até 3 salários mínimos")</f>
        <v>Entre 1 até 3 salários mínimos</v>
      </c>
      <c r="BR147" s="27" t="str">
        <f ca="1">IFERROR(__xludf.DUMMYFUNCTION("""COMPUTED_VALUE"""),"CLT")</f>
        <v>CLT</v>
      </c>
      <c r="BS147" s="27" t="str">
        <f ca="1">IFERROR(__xludf.DUMMYFUNCTION("""COMPUTED_VALUE"""),"Casa própria")</f>
        <v>Casa própria</v>
      </c>
      <c r="BT147" s="27">
        <f ca="1">IFERROR(__xludf.DUMMYFUNCTION("""COMPUTED_VALUE"""),2)</f>
        <v>2</v>
      </c>
      <c r="BU147" s="27" t="str">
        <f ca="1">IFERROR(__xludf.DUMMYFUNCTION("""COMPUTED_VALUE"""),"Não tem")</f>
        <v>Não tem</v>
      </c>
      <c r="BV147" s="27"/>
      <c r="BW147" s="21" t="str">
        <f ca="1">IFERROR(__xludf.DUMMYFUNCTION("""COMPUTED_VALUE"""),"https://www.linkedin.com/in/leticiawitzki/")</f>
        <v>https://www.linkedin.com/in/leticiawitzki/</v>
      </c>
      <c r="BX147" s="21" t="str">
        <f ca="1">IFERROR(__xludf.DUMMYFUNCTION("""COMPUTED_VALUE"""),"www.instagram.com/lecawitzki")</f>
        <v>www.instagram.com/lecawitzki</v>
      </c>
      <c r="BY147" s="21" t="str">
        <f ca="1">IFERROR(__xludf.DUMMYFUNCTION("""COMPUTED_VALUE"""),"https://drive.google.com/open?id=1N6xx9C0ReN1U5tj8svm4_RcSBKrLDgVh")</f>
        <v>https://drive.google.com/open?id=1N6xx9C0ReN1U5tj8svm4_RcSBKrLDgVh</v>
      </c>
    </row>
    <row r="148" spans="1:77" ht="12.5" hidden="1" x14ac:dyDescent="0.25">
      <c r="A148" s="21" t="str">
        <f ca="1">IFERROR(__xludf.DUMMYFUNCTION("""COMPUTED_VALUE"""),"0014P00003AN2h6QAD")</f>
        <v>0014P00003AN2h6QAD</v>
      </c>
      <c r="B148" s="27" t="str">
        <f ca="1">IFERROR(__xludf.DUMMYFUNCTION("""COMPUTED_VALUE"""),"Fase Estruturação")</f>
        <v>Fase Estruturação</v>
      </c>
      <c r="C148" s="27" t="str">
        <f ca="1">IFERROR(__xludf.DUMMYFUNCTION("""COMPUTED_VALUE"""),"Acelerada")</f>
        <v>Acelerada</v>
      </c>
      <c r="D148" s="27" t="str">
        <f ca="1">IFERROR(__xludf.DUMMYFUNCTION("""COMPUTED_VALUE"""),"Ativo")</f>
        <v>Ativo</v>
      </c>
      <c r="E148" s="27" t="str">
        <f ca="1">IFERROR(__xludf.DUMMYFUNCTION("""COMPUTED_VALUE"""),"Associação Sementes do Vale")</f>
        <v>Associação Sementes do Vale</v>
      </c>
      <c r="F148" s="27" t="str">
        <f ca="1">IFERROR(__xludf.DUMMYFUNCTION("""COMPUTED_VALUE"""),"Thiago")</f>
        <v>Thiago</v>
      </c>
      <c r="G148" s="27" t="str">
        <f ca="1">IFERROR(__xludf.DUMMYFUNCTION("""COMPUTED_VALUE"""),"SEMENTES DO VALE")</f>
        <v>SEMENTES DO VALE</v>
      </c>
      <c r="H148" s="27" t="str">
        <f ca="1">IFERROR(__xludf.DUMMYFUNCTION("""COMPUTED_VALUE"""),"24.507.372/0001-77")</f>
        <v>24.507.372/0001-77</v>
      </c>
      <c r="I148" s="27"/>
      <c r="J148" s="27" t="str">
        <f ca="1">IFERROR(__xludf.DUMMYFUNCTION("""COMPUTED_VALUE"""),"contato@sementesdovale.org")</f>
        <v>contato@sementesdovale.org</v>
      </c>
      <c r="K148" s="27" t="str">
        <f ca="1">IFERROR(__xludf.DUMMYFUNCTION("""COMPUTED_VALUE"""),"(38)99955-8825")</f>
        <v>(38)99955-8825</v>
      </c>
      <c r="L148" s="27" t="str">
        <f ca="1">IFERROR(__xludf.DUMMYFUNCTION("""COMPUTED_VALUE"""),"MG")</f>
        <v>MG</v>
      </c>
      <c r="M148" s="27" t="str">
        <f ca="1">IFERROR(__xludf.DUMMYFUNCTION("""COMPUTED_VALUE"""),"Rua Belo Horizonte")</f>
        <v>Rua Belo Horizonte</v>
      </c>
      <c r="N148" s="27"/>
      <c r="O148" s="27" t="str">
        <f ca="1">IFERROR(__xludf.DUMMYFUNCTION("""COMPUTED_VALUE"""),"(38)99955-8825")</f>
        <v>(38)99955-8825</v>
      </c>
      <c r="P148" s="27" t="str">
        <f ca="1">IFERROR(__xludf.DUMMYFUNCTION("""COMPUTED_VALUE"""),"Salinas")</f>
        <v>Salinas</v>
      </c>
      <c r="Q148" s="27"/>
      <c r="R148" s="27" t="str">
        <f ca="1">IFERROR(__xludf.DUMMYFUNCTION("""COMPUTED_VALUE"""),"39560-000")</f>
        <v>39560-000</v>
      </c>
      <c r="S148" s="27" t="str">
        <f ca="1">IFERROR(__xludf.DUMMYFUNCTION("""COMPUTED_VALUE"""),"Os cursos de Qual. Profissionais voltados para áreas rurais ocorrem em propriedades privadas de agricultores e/ou empresas que cedem o espaço gratuitamente para realização dos cursos específicos de acordo com a cultura a ser explorada/objeto do curso.")</f>
        <v>Os cursos de Qual. Profissionais voltados para áreas rurais ocorrem em propriedades privadas de agricultores e/ou empresas que cedem o espaço gratuitamente para realização dos cursos específicos de acordo com a cultura a ser explorada/objeto do curso.</v>
      </c>
      <c r="T148" s="27" t="str">
        <f ca="1">IFERROR(__xludf.DUMMYFUNCTION("""COMPUTED_VALUE"""),"Esporte; Educação; Assistência Social; Cultura; Qualificação Profissional")</f>
        <v>Esporte; Educação; Assistência Social; Cultura; Qualificação Profissional</v>
      </c>
      <c r="U148" s="27" t="str">
        <f ca="1">IFERROR(__xludf.DUMMYFUNCTION("""COMPUTED_VALUE"""),"Crianças bem pequenas (1 ano e 7 meses até 3 anos e 11 meses); Crianças pequenas (4 anos a 5 anos e 11 meses); Crianças (6 a 12 anos); Adolescentes (12 aos 18 anos); Jovens (18 aos 24 anos); Adultos")</f>
        <v>Crianças bem pequenas (1 ano e 7 meses até 3 anos e 11 meses); Crianças pequenas (4 anos a 5 anos e 11 meses); Crianças (6 a 12 anos); Adolescentes (12 aos 18 anos); Jovens (18 aos 24 anos); Adultos</v>
      </c>
      <c r="V148" s="27" t="str">
        <f ca="1">IFERROR(__xludf.DUMMYFUNCTION("""COMPUTED_VALUE"""),"Comunidade rural")</f>
        <v>Comunidade rural</v>
      </c>
      <c r="W148" s="27">
        <f ca="1">IFERROR(__xludf.DUMMYFUNCTION("""COMPUTED_VALUE"""),5)</f>
        <v>5</v>
      </c>
      <c r="X148" s="27"/>
      <c r="Y148" s="27"/>
      <c r="Z148" s="27"/>
      <c r="AA148" s="29">
        <f ca="1">IFERROR(__xludf.DUMMYFUNCTION("""COMPUTED_VALUE"""),42436)</f>
        <v>42436</v>
      </c>
      <c r="AB148" s="27" t="str">
        <f ca="1">IFERROR(__xludf.DUMMYFUNCTION("""COMPUTED_VALUE"""),"Sim")</f>
        <v>Sim</v>
      </c>
      <c r="AC148" s="27">
        <f ca="1">IFERROR(__xludf.DUMMYFUNCTION("""COMPUTED_VALUE"""),13)</f>
        <v>13</v>
      </c>
      <c r="AD148" s="27">
        <f ca="1">IFERROR(__xludf.DUMMYFUNCTION("""COMPUTED_VALUE"""),0)</f>
        <v>0</v>
      </c>
      <c r="AE148" s="27">
        <f ca="1">IFERROR(__xludf.DUMMYFUNCTION("""COMPUTED_VALUE"""),9)</f>
        <v>9</v>
      </c>
      <c r="AF148" s="27">
        <f ca="1">IFERROR(__xludf.DUMMYFUNCTION("""COMPUTED_VALUE"""),3)</f>
        <v>3</v>
      </c>
      <c r="AG148" s="27">
        <f ca="1">IFERROR(__xludf.DUMMYFUNCTION("""COMPUTED_VALUE"""),3)</f>
        <v>3</v>
      </c>
      <c r="AH148" s="27" t="str">
        <f ca="1">IFERROR(__xludf.DUMMYFUNCTION("""COMPUTED_VALUE"""),"Parceria iniciativa privada; Editais; Doações")</f>
        <v>Parceria iniciativa privada; Editais; Doações</v>
      </c>
      <c r="AI148" s="27" t="str">
        <f ca="1">IFERROR(__xludf.DUMMYFUNCTION("""COMPUTED_VALUE"""),"Parceria Iniciativa privada: 65%. Editais 30% Doações 5%")</f>
        <v>Parceria Iniciativa privada: 65%. Editais 30% Doações 5%</v>
      </c>
      <c r="AJ148" s="27" t="str">
        <f ca="1">IFERROR(__xludf.DUMMYFUNCTION("""COMPUTED_VALUE"""),"Não")</f>
        <v>Não</v>
      </c>
      <c r="AK148" s="27" t="str">
        <f ca="1">IFERROR(__xludf.DUMMYFUNCTION("""COMPUTED_VALUE"""),"Não")</f>
        <v>Não</v>
      </c>
      <c r="AL148" s="21" t="str">
        <f ca="1">IFERROR(__xludf.DUMMYFUNCTION("""COMPUTED_VALUE"""),"0034P00003maBVS")</f>
        <v>0034P00003maBVS</v>
      </c>
      <c r="AM148" s="27" t="str">
        <f ca="1">IFERROR(__xludf.DUMMYFUNCTION("""COMPUTED_VALUE"""),"Otero De Sousa")</f>
        <v>Otero De Sousa</v>
      </c>
      <c r="AN148" s="27" t="str">
        <f ca="1">IFERROR(__xludf.DUMMYFUNCTION("""COMPUTED_VALUE"""),"Ativo")</f>
        <v>Ativo</v>
      </c>
      <c r="AO148" s="29">
        <f ca="1">IFERROR(__xludf.DUMMYFUNCTION("""COMPUTED_VALUE"""),44285)</f>
        <v>44285</v>
      </c>
      <c r="AP148" s="27">
        <f ca="1">IFERROR(__xludf.DUMMYFUNCTION("""COMPUTED_VALUE"""),18)</f>
        <v>18</v>
      </c>
      <c r="AQ148" s="27" t="str">
        <f ca="1">IFERROR(__xludf.DUMMYFUNCTION("""COMPUTED_VALUE"""),"Segundo Semestre 2020")</f>
        <v>Segundo Semestre 2020</v>
      </c>
      <c r="AR148" s="27" t="str">
        <f ca="1">IFERROR(__xludf.DUMMYFUNCTION("""COMPUTED_VALUE"""),"thiago@sementesdovale.org")</f>
        <v>thiago@sementesdovale.org</v>
      </c>
      <c r="AS148" s="27" t="str">
        <f ca="1">IFERROR(__xludf.DUMMYFUNCTION("""COMPUTED_VALUE"""),"(38)99955-8825")</f>
        <v>(38)99955-8825</v>
      </c>
      <c r="AT148" s="29">
        <f ca="1">IFERROR(__xludf.DUMMYFUNCTION("""COMPUTED_VALUE"""),33971)</f>
        <v>33971</v>
      </c>
      <c r="AU148" s="27">
        <f ca="1">IFERROR(__xludf.DUMMYFUNCTION("""COMPUTED_VALUE"""),29)</f>
        <v>29</v>
      </c>
      <c r="AV148" s="27">
        <f ca="1">IFERROR(__xludf.DUMMYFUNCTION("""COMPUTED_VALUE"""),10935306692)</f>
        <v>10935306692</v>
      </c>
      <c r="AW148" s="27" t="str">
        <f ca="1">IFERROR(__xludf.DUMMYFUNCTION("""COMPUTED_VALUE"""),"MG16274654")</f>
        <v>MG16274654</v>
      </c>
      <c r="AX148" s="27" t="str">
        <f ca="1">IFERROR(__xludf.DUMMYFUNCTION("""COMPUTED_VALUE"""),"Graduação em Análise e Desenvolvimento de Sistemas. Pós em Andamento de Gestão de Projetos e Programas Sociais")</f>
        <v>Graduação em Análise e Desenvolvimento de Sistemas. Pós em Andamento de Gestão de Projetos e Programas Sociais</v>
      </c>
      <c r="AY148" s="27" t="str">
        <f ca="1">IFERROR(__xludf.DUMMYFUNCTION("""COMPUTED_VALUE"""),"Nas horas vagas realizo freelancer na área de TI não conflitando com o horário da ONG")</f>
        <v>Nas horas vagas realizo freelancer na área de TI não conflitando com o horário da ONG</v>
      </c>
      <c r="AZ148" s="27" t="str">
        <f ca="1">IFERROR(__xludf.DUMMYFUNCTION("""COMPUTED_VALUE"""),"G")</f>
        <v>G</v>
      </c>
      <c r="BA148" s="27"/>
      <c r="BB148" s="27"/>
      <c r="BC148" s="27" t="str">
        <f ca="1">IFERROR(__xludf.DUMMYFUNCTION("""COMPUTED_VALUE"""),"Sim")</f>
        <v>Sim</v>
      </c>
      <c r="BD148" s="27" t="str">
        <f ca="1">IFERROR(__xludf.DUMMYFUNCTION("""COMPUTED_VALUE"""),"Thiago Otero; 29 anos; casado; é presidente e fundador do Sementes do Vale e sonha todos os dias com um mundo onde não exista desigualdade social. É formado em Análise e Desenvolvimento de Sistema e Pós-Graduado em Gestão de Projetos e Programas Sociais.")</f>
        <v>Thiago Otero; 29 anos; casado; é presidente e fundador do Sementes do Vale e sonha todos os dias com um mundo onde não exista desigualdade social. É formado em Análise e Desenvolvimento de Sistema e Pós-Graduado em Gestão de Projetos e Programas Sociais.</v>
      </c>
      <c r="BE148" s="27"/>
      <c r="BF148" s="27"/>
      <c r="BG148" s="27" t="str">
        <f ca="1">IFERROR(__xludf.DUMMYFUNCTION("""COMPUTED_VALUE"""),"Ensino Superior - Completo")</f>
        <v>Ensino Superior - Completo</v>
      </c>
      <c r="BH148" s="27"/>
      <c r="BI148" s="27" t="str">
        <f ca="1">IFERROR(__xludf.DUMMYFUNCTION("""COMPUTED_VALUE"""),"Pós-Graduação")</f>
        <v>Pós-Graduação</v>
      </c>
      <c r="BJ148" s="27" t="str">
        <f ca="1">IFERROR(__xludf.DUMMYFUNCTION("""COMPUTED_VALUE"""),"Privado")</f>
        <v>Privado</v>
      </c>
      <c r="BK148" s="27" t="str">
        <f ca="1">IFERROR(__xludf.DUMMYFUNCTION("""COMPUTED_VALUE"""),"Rua Delfina Marques dos Santos")</f>
        <v>Rua Delfina Marques dos Santos</v>
      </c>
      <c r="BL148" s="27">
        <f ca="1">IFERROR(__xludf.DUMMYFUNCTION("""COMPUTED_VALUE"""),38)</f>
        <v>38</v>
      </c>
      <c r="BM148" s="27"/>
      <c r="BN148" s="27" t="str">
        <f ca="1">IFERROR(__xludf.DUMMYFUNCTION("""COMPUTED_VALUE"""),"Salinas")</f>
        <v>Salinas</v>
      </c>
      <c r="BO148" s="27" t="str">
        <f ca="1">IFERROR(__xludf.DUMMYFUNCTION("""COMPUTED_VALUE"""),"39553-000")</f>
        <v>39553-000</v>
      </c>
      <c r="BP148" s="27" t="str">
        <f ca="1">IFERROR(__xludf.DUMMYFUNCTION("""COMPUTED_VALUE"""),"MG")</f>
        <v>MG</v>
      </c>
      <c r="BQ148" s="27" t="str">
        <f ca="1">IFERROR(__xludf.DUMMYFUNCTION("""COMPUTED_VALUE"""),"De 3 até 5 salários mínimos")</f>
        <v>De 3 até 5 salários mínimos</v>
      </c>
      <c r="BR148" s="27" t="str">
        <f ca="1">IFERROR(__xludf.DUMMYFUNCTION("""COMPUTED_VALUE"""),"MEI")</f>
        <v>MEI</v>
      </c>
      <c r="BS148" s="27" t="str">
        <f ca="1">IFERROR(__xludf.DUMMYFUNCTION("""COMPUTED_VALUE"""),"Aluguel")</f>
        <v>Aluguel</v>
      </c>
      <c r="BT148" s="27">
        <f ca="1">IFERROR(__xludf.DUMMYFUNCTION("""COMPUTED_VALUE"""),2)</f>
        <v>2</v>
      </c>
      <c r="BU148" s="27"/>
      <c r="BV148" s="27"/>
      <c r="BW148" s="21" t="str">
        <f ca="1">IFERROR(__xludf.DUMMYFUNCTION("""COMPUTED_VALUE"""),"https://www.linkedin.com/in/thiago-otero-100604203/")</f>
        <v>https://www.linkedin.com/in/thiago-otero-100604203/</v>
      </c>
      <c r="BX148" s="21" t="str">
        <f ca="1">IFERROR(__xludf.DUMMYFUNCTION("""COMPUTED_VALUE"""),"https://instagram.com/thiagooteromg")</f>
        <v>https://instagram.com/thiagooteromg</v>
      </c>
      <c r="BY148" s="21" t="str">
        <f ca="1">IFERROR(__xludf.DUMMYFUNCTION("""COMPUTED_VALUE"""),"https://drive.google.com/open?id=1ynOIQxRm5-YHrV4WZ3v3NyjEK_rlcWBW")</f>
        <v>https://drive.google.com/open?id=1ynOIQxRm5-YHrV4WZ3v3NyjEK_rlcWBW</v>
      </c>
    </row>
    <row r="149" spans="1:77" ht="12.5" hidden="1" x14ac:dyDescent="0.25">
      <c r="A149" s="21" t="str">
        <f ca="1">IFERROR(__xludf.DUMMYFUNCTION("""COMPUTED_VALUE"""),"0014P00003YSp9EQAT")</f>
        <v>0014P00003YSp9EQAT</v>
      </c>
      <c r="B149" s="27" t="str">
        <f ca="1">IFERROR(__xludf.DUMMYFUNCTION("""COMPUTED_VALUE"""),"Fase Inicial")</f>
        <v>Fase Inicial</v>
      </c>
      <c r="C149" s="27" t="str">
        <f ca="1">IFERROR(__xludf.DUMMYFUNCTION("""COMPUTED_VALUE"""),"Fellow")</f>
        <v>Fellow</v>
      </c>
      <c r="D149" s="27" t="str">
        <f ca="1">IFERROR(__xludf.DUMMYFUNCTION("""COMPUTED_VALUE"""),"Ativo")</f>
        <v>Ativo</v>
      </c>
      <c r="E149" s="27" t="str">
        <f ca="1">IFERROR(__xludf.DUMMYFUNCTION("""COMPUTED_VALUE"""),"Associação Servos")</f>
        <v>Associação Servos</v>
      </c>
      <c r="F149" s="27" t="str">
        <f ca="1">IFERROR(__xludf.DUMMYFUNCTION("""COMPUTED_VALUE"""),"Welton")</f>
        <v>Welton</v>
      </c>
      <c r="G149" s="27"/>
      <c r="H149" s="27" t="str">
        <f ca="1">IFERROR(__xludf.DUMMYFUNCTION("""COMPUTED_VALUE"""),"35.639.136/0001-20")</f>
        <v>35.639.136/0001-20</v>
      </c>
      <c r="I149" s="27" t="str">
        <f ca="1">IFERROR(__xludf.DUMMYFUNCTION("""COMPUTED_VALUE"""),"Welton cardoso")</f>
        <v>Welton cardoso</v>
      </c>
      <c r="J149" s="27" t="str">
        <f ca="1">IFERROR(__xludf.DUMMYFUNCTION("""COMPUTED_VALUE"""),"servosassociacao@gmail.com")</f>
        <v>servosassociacao@gmail.com</v>
      </c>
      <c r="K149" s="27" t="str">
        <f ca="1">IFERROR(__xludf.DUMMYFUNCTION("""COMPUTED_VALUE"""),"(11)96726-1663")</f>
        <v>(11)96726-1663</v>
      </c>
      <c r="L149" s="27" t="str">
        <f ca="1">IFERROR(__xludf.DUMMYFUNCTION("""COMPUTED_VALUE"""),"SP")</f>
        <v>SP</v>
      </c>
      <c r="M149" s="27" t="str">
        <f ca="1">IFERROR(__xludf.DUMMYFUNCTION("""COMPUTED_VALUE"""),"Rua apaiari 99")</f>
        <v>Rua apaiari 99</v>
      </c>
      <c r="N149" s="27" t="str">
        <f ca="1">IFERROR(__xludf.DUMMYFUNCTION("""COMPUTED_VALUE"""),"Jardim Vista Alegre")</f>
        <v>Jardim Vista Alegre</v>
      </c>
      <c r="O149" s="27">
        <f ca="1">IFERROR(__xludf.DUMMYFUNCTION("""COMPUTED_VALUE"""),99)</f>
        <v>99</v>
      </c>
      <c r="P149" s="27" t="str">
        <f ca="1">IFERROR(__xludf.DUMMYFUNCTION("""COMPUTED_VALUE"""),"São Paulo")</f>
        <v>São Paulo</v>
      </c>
      <c r="Q149" s="27"/>
      <c r="R149" s="27" t="str">
        <f ca="1">IFERROR(__xludf.DUMMYFUNCTION("""COMPUTED_VALUE"""),"02877-020")</f>
        <v>02877-020</v>
      </c>
      <c r="S149" s="27"/>
      <c r="T149" s="27" t="str">
        <f ca="1">IFERROR(__xludf.DUMMYFUNCTION("""COMPUTED_VALUE"""),"Esporte; Educação; Assistência Social; Qualificação Profissional")</f>
        <v>Esporte; Educação; Assistência Social; Qualificação Profissional</v>
      </c>
      <c r="U149"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149" s="27" t="str">
        <f ca="1">IFERROR(__xludf.DUMMYFUNCTION("""COMPUTED_VALUE"""),"Moradores de Favelas; Pessoas em situação de rua; População LGBTQ+; Afrodescendentes; Dependentes Químicos")</f>
        <v>Moradores de Favelas; Pessoas em situação de rua; População LGBTQ+; Afrodescendentes; Dependentes Químicos</v>
      </c>
      <c r="W149" s="27">
        <f ca="1">IFERROR(__xludf.DUMMYFUNCTION("""COMPUTED_VALUE"""),5)</f>
        <v>5</v>
      </c>
      <c r="X149" s="27" t="str">
        <f ca="1">IFERROR(__xludf.DUMMYFUNCTION("""COMPUTED_VALUE"""),"Comunidades em situação de pobreza natalidade infantil repletas de pessoas viciadas em drogas as moradias com esgoto a seu aberto.")</f>
        <v>Comunidades em situação de pobreza natalidade infantil repletas de pessoas viciadas em drogas as moradias com esgoto a seu aberto.</v>
      </c>
      <c r="Y149" s="27"/>
      <c r="Z149" s="27">
        <f ca="1">IFERROR(__xludf.DUMMYFUNCTION("""COMPUTED_VALUE"""),900)</f>
        <v>900</v>
      </c>
      <c r="AA149" s="30">
        <f ca="1">IFERROR(__xludf.DUMMYFUNCTION("""COMPUTED_VALUE"""),43788)</f>
        <v>43788</v>
      </c>
      <c r="AB149" s="27" t="str">
        <f ca="1">IFERROR(__xludf.DUMMYFUNCTION("""COMPUTED_VALUE"""),"Sim")</f>
        <v>Sim</v>
      </c>
      <c r="AC149" s="27">
        <f ca="1">IFERROR(__xludf.DUMMYFUNCTION("""COMPUTED_VALUE"""),2)</f>
        <v>2</v>
      </c>
      <c r="AD149" s="27">
        <f ca="1">IFERROR(__xludf.DUMMYFUNCTION("""COMPUTED_VALUE"""),2)</f>
        <v>2</v>
      </c>
      <c r="AE149" s="27">
        <f ca="1">IFERROR(__xludf.DUMMYFUNCTION("""COMPUTED_VALUE"""),10)</f>
        <v>10</v>
      </c>
      <c r="AF149" s="27">
        <f ca="1">IFERROR(__xludf.DUMMYFUNCTION("""COMPUTED_VALUE"""),3)</f>
        <v>3</v>
      </c>
      <c r="AG149" s="27">
        <f ca="1">IFERROR(__xludf.DUMMYFUNCTION("""COMPUTED_VALUE"""),2)</f>
        <v>2</v>
      </c>
      <c r="AH149" s="27" t="str">
        <f ca="1">IFERROR(__xludf.DUMMYFUNCTION("""COMPUTED_VALUE"""),"Negócio Social; Doações; Recursos próprios")</f>
        <v>Negócio Social; Doações; Recursos próprios</v>
      </c>
      <c r="AI149" s="27">
        <f ca="1">IFERROR(__xludf.DUMMYFUNCTION("""COMPUTED_VALUE"""),0)</f>
        <v>0</v>
      </c>
      <c r="AJ149" s="27"/>
      <c r="AK149" s="27"/>
      <c r="AL149" s="21" t="str">
        <f ca="1">IFERROR(__xludf.DUMMYFUNCTION("""COMPUTED_VALUE"""),"0034P000045kxjq")</f>
        <v>0034P000045kxjq</v>
      </c>
      <c r="AM149" s="27" t="str">
        <f ca="1">IFERROR(__xludf.DUMMYFUNCTION("""COMPUTED_VALUE"""),"Cardoso")</f>
        <v>Cardoso</v>
      </c>
      <c r="AN149" s="27" t="str">
        <f ca="1">IFERROR(__xludf.DUMMYFUNCTION("""COMPUTED_VALUE"""),"Ativo")</f>
        <v>Ativo</v>
      </c>
      <c r="AO149" s="30">
        <f ca="1">IFERROR(__xludf.DUMMYFUNCTION("""COMPUTED_VALUE"""),44551)</f>
        <v>44551</v>
      </c>
      <c r="AP149" s="27">
        <f ca="1">IFERROR(__xludf.DUMMYFUNCTION("""COMPUTED_VALUE"""),9)</f>
        <v>9</v>
      </c>
      <c r="AQ149" s="27" t="str">
        <f ca="1">IFERROR(__xludf.DUMMYFUNCTION("""COMPUTED_VALUE"""),"Segundo Semestre 2021")</f>
        <v>Segundo Semestre 2021</v>
      </c>
      <c r="AR149" s="27" t="str">
        <f ca="1">IFERROR(__xludf.DUMMYFUNCTION("""COMPUTED_VALUE"""),"welton.morais84@gmail.com")</f>
        <v>welton.morais84@gmail.com</v>
      </c>
      <c r="AS149" s="27" t="str">
        <f ca="1">IFERROR(__xludf.DUMMYFUNCTION("""COMPUTED_VALUE"""),"(11)93271-7000")</f>
        <v>(11)93271-7000</v>
      </c>
      <c r="AT149" s="30">
        <f ca="1">IFERROR(__xludf.DUMMYFUNCTION("""COMPUTED_VALUE"""),30980)</f>
        <v>30980</v>
      </c>
      <c r="AU149" s="27">
        <f ca="1">IFERROR(__xludf.DUMMYFUNCTION("""COMPUTED_VALUE"""),38)</f>
        <v>38</v>
      </c>
      <c r="AV149" s="27">
        <f ca="1">IFERROR(__xludf.DUMMYFUNCTION("""COMPUTED_VALUE"""),31330889800)</f>
        <v>31330889800</v>
      </c>
      <c r="AW149" s="27">
        <f ca="1">IFERROR(__xludf.DUMMYFUNCTION("""COMPUTED_VALUE"""),484003987)</f>
        <v>484003987</v>
      </c>
      <c r="AX149" s="27"/>
      <c r="AY149" s="27"/>
      <c r="AZ149" s="27" t="str">
        <f ca="1">IFERROR(__xludf.DUMMYFUNCTION("""COMPUTED_VALUE"""),"GG")</f>
        <v>GG</v>
      </c>
      <c r="BA149" s="27" t="str">
        <f ca="1">IFERROR(__xludf.DUMMYFUNCTION("""COMPUTED_VALUE"""),"Preta")</f>
        <v>Preta</v>
      </c>
      <c r="BB149" s="27" t="str">
        <f ca="1">IFERROR(__xludf.DUMMYFUNCTION("""COMPUTED_VALUE"""),"Homem, cisgênero")</f>
        <v>Homem, cisgênero</v>
      </c>
      <c r="BC149" s="27" t="str">
        <f ca="1">IFERROR(__xludf.DUMMYFUNCTION("""COMPUTED_VALUE"""),"Sim")</f>
        <v>Sim</v>
      </c>
      <c r="BD149" s="27" t="str">
        <f ca="1">IFERROR(__xludf.DUMMYFUNCTION("""COMPUTED_VALUE"""),"Welton e hoje um homem que cresceu sem pai em uma pequena cidade do sudoeste da Bahia, passou muitas necessidades até fome,quando aos 15 anos veio para São Paulo e viu nesta cidade a oportunidade de virar o jogo (decidiu que faria da sua dor uma causa) e "&amp;"com este pensamento tens dedicado seus dias em trazer mudanças para as comunidades. 
A metanoia precisa fazer parte da favela.")</f>
        <v>Welton e hoje um homem que cresceu sem pai em uma pequena cidade do sudoeste da Bahia, passou muitas necessidades até fome,quando aos 15 anos veio para São Paulo e viu nesta cidade a oportunidade de virar o jogo (decidiu que faria da sua dor uma causa) e com este pensamento tens dedicado seus dias em trazer mudanças para as comunidades. 
A metanoia precisa fazer parte da favela.</v>
      </c>
      <c r="BE149" s="27"/>
      <c r="BF149" s="27" t="str">
        <f ca="1">IFERROR(__xludf.DUMMYFUNCTION("""COMPUTED_VALUE"""),"Heterossexual")</f>
        <v>Heterossexual</v>
      </c>
      <c r="BG149" s="27" t="str">
        <f ca="1">IFERROR(__xludf.DUMMYFUNCTION("""COMPUTED_VALUE"""),"Ensino Médio - Completo")</f>
        <v>Ensino Médio - Completo</v>
      </c>
      <c r="BH149" s="27" t="str">
        <f ca="1">IFERROR(__xludf.DUMMYFUNCTION("""COMPUTED_VALUE"""),"Pública")</f>
        <v>Pública</v>
      </c>
      <c r="BI149" s="27"/>
      <c r="BJ149" s="27"/>
      <c r="BK149" s="27" t="str">
        <f ca="1">IFERROR(__xludf.DUMMYFUNCTION("""COMPUTED_VALUE"""),"Rua arataiacu")</f>
        <v>Rua arataiacu</v>
      </c>
      <c r="BL149" s="27">
        <f ca="1">IFERROR(__xludf.DUMMYFUNCTION("""COMPUTED_VALUE"""),68)</f>
        <v>68</v>
      </c>
      <c r="BM149" s="27" t="str">
        <f ca="1">IFERROR(__xludf.DUMMYFUNCTION("""COMPUTED_VALUE"""),"Casa 1")</f>
        <v>Casa 1</v>
      </c>
      <c r="BN149" s="27" t="str">
        <f ca="1">IFERROR(__xludf.DUMMYFUNCTION("""COMPUTED_VALUE"""),"São Paulo")</f>
        <v>São Paulo</v>
      </c>
      <c r="BO149" s="27" t="str">
        <f ca="1">IFERROR(__xludf.DUMMYFUNCTION("""COMPUTED_VALUE"""),"02877-020")</f>
        <v>02877-020</v>
      </c>
      <c r="BP149" s="27" t="str">
        <f ca="1">IFERROR(__xludf.DUMMYFUNCTION("""COMPUTED_VALUE"""),"SP")</f>
        <v>SP</v>
      </c>
      <c r="BQ149" s="27" t="str">
        <f ca="1">IFERROR(__xludf.DUMMYFUNCTION("""COMPUTED_VALUE"""),"Entre 1 até 3 salários mínimos")</f>
        <v>Entre 1 até 3 salários mínimos</v>
      </c>
      <c r="BR149" s="27" t="str">
        <f ca="1">IFERROR(__xludf.DUMMYFUNCTION("""COMPUTED_VALUE"""),"Trabalho informal")</f>
        <v>Trabalho informal</v>
      </c>
      <c r="BS149" s="27" t="str">
        <f ca="1">IFERROR(__xludf.DUMMYFUNCTION("""COMPUTED_VALUE"""),"Casa própria")</f>
        <v>Casa própria</v>
      </c>
      <c r="BT149" s="27">
        <f ca="1">IFERROR(__xludf.DUMMYFUNCTION("""COMPUTED_VALUE"""),2)</f>
        <v>2</v>
      </c>
      <c r="BU149" s="27" t="str">
        <f ca="1">IFERROR(__xludf.DUMMYFUNCTION("""COMPUTED_VALUE"""),"Não tem")</f>
        <v>Não tem</v>
      </c>
      <c r="BV149" s="27"/>
      <c r="BW149" s="27"/>
      <c r="BX149" s="21" t="str">
        <f ca="1">IFERROR(__xludf.DUMMYFUNCTION("""COMPUTED_VALUE"""),"https://instagram.com/associacaoservos?utm_medium=copy_link")</f>
        <v>https://instagram.com/associacaoservos?utm_medium=copy_link</v>
      </c>
      <c r="BY149" s="21" t="str">
        <f ca="1">IFERROR(__xludf.DUMMYFUNCTION("""COMPUTED_VALUE"""),"https://drive.google.com/open?id=1j3ocwGuXf_hFfgjnpWzTk-sxToinevq_")</f>
        <v>https://drive.google.com/open?id=1j3ocwGuXf_hFfgjnpWzTk-sxToinevq_</v>
      </c>
    </row>
    <row r="150" spans="1:77" ht="12.5" hidden="1" x14ac:dyDescent="0.25">
      <c r="A150" s="21" t="str">
        <f ca="1">IFERROR(__xludf.DUMMYFUNCTION("""COMPUTED_VALUE"""),"0014X00002VKCrvQAH")</f>
        <v>0014X00002VKCrvQAH</v>
      </c>
      <c r="B150" s="27" t="str">
        <f ca="1">IFERROR(__xludf.DUMMYFUNCTION("""COMPUTED_VALUE"""),"Fase Inicial")</f>
        <v>Fase Inicial</v>
      </c>
      <c r="C150" s="27" t="str">
        <f ca="1">IFERROR(__xludf.DUMMYFUNCTION("""COMPUTED_VALUE"""),"Fellow")</f>
        <v>Fellow</v>
      </c>
      <c r="D150" s="27" t="str">
        <f ca="1">IFERROR(__xludf.DUMMYFUNCTION("""COMPUTED_VALUE"""),"Ativo")</f>
        <v>Ativo</v>
      </c>
      <c r="E150" s="27" t="str">
        <f ca="1">IFERROR(__xludf.DUMMYFUNCTION("""COMPUTED_VALUE"""),"Associação Shoto Karatê do Kai")</f>
        <v>Associação Shoto Karatê do Kai</v>
      </c>
      <c r="F150" s="27" t="str">
        <f ca="1">IFERROR(__xludf.DUMMYFUNCTION("""COMPUTED_VALUE"""),"Marcos")</f>
        <v>Marcos</v>
      </c>
      <c r="G150" s="27" t="str">
        <f ca="1">IFERROR(__xludf.DUMMYFUNCTION("""COMPUTED_VALUE"""),"ACADEMIA MARCOS NASCIMENTO")</f>
        <v>ACADEMIA MARCOS NASCIMENTO</v>
      </c>
      <c r="H150" s="27">
        <f ca="1">IFERROR(__xludf.DUMMYFUNCTION("""COMPUTED_VALUE"""),8629043000142)</f>
        <v>8629043000142</v>
      </c>
      <c r="I150" s="27" t="str">
        <f ca="1">IFERROR(__xludf.DUMMYFUNCTION("""COMPUTED_VALUE"""),"Marcos")</f>
        <v>Marcos</v>
      </c>
      <c r="J150" s="27"/>
      <c r="K150" s="27"/>
      <c r="L150" s="27" t="str">
        <f ca="1">IFERROR(__xludf.DUMMYFUNCTION("""COMPUTED_VALUE"""),"PE")</f>
        <v>PE</v>
      </c>
      <c r="M150" s="27" t="str">
        <f ca="1">IFERROR(__xludf.DUMMYFUNCTION("""COMPUTED_VALUE"""),"Rua Agamenon Magalhães")</f>
        <v>Rua Agamenon Magalhães</v>
      </c>
      <c r="N150" s="27" t="str">
        <f ca="1">IFERROR(__xludf.DUMMYFUNCTION("""COMPUTED_VALUE"""),"COHAB")</f>
        <v>COHAB</v>
      </c>
      <c r="O150" s="27">
        <f ca="1">IFERROR(__xludf.DUMMYFUNCTION("""COMPUTED_VALUE"""),42)</f>
        <v>42</v>
      </c>
      <c r="P150" s="27" t="str">
        <f ca="1">IFERROR(__xludf.DUMMYFUNCTION("""COMPUTED_VALUE"""),"Recife")</f>
        <v>Recife</v>
      </c>
      <c r="Q150" s="27"/>
      <c r="R150" s="27" t="str">
        <f ca="1">IFERROR(__xludf.DUMMYFUNCTION("""COMPUTED_VALUE"""),"51300-480")</f>
        <v>51300-480</v>
      </c>
      <c r="S150" s="27"/>
      <c r="T150" s="27"/>
      <c r="U150" s="27"/>
      <c r="V150" s="27"/>
      <c r="W150" s="27">
        <f ca="1">IFERROR(__xludf.DUMMYFUNCTION("""COMPUTED_VALUE"""),5)</f>
        <v>5</v>
      </c>
      <c r="X150" s="27" t="str">
        <f ca="1">IFERROR(__xludf.DUMMYFUNCTION("""COMPUTED_VALUE"""),"Todos")</f>
        <v>Todos</v>
      </c>
      <c r="Y150" s="27"/>
      <c r="Z150" s="27">
        <f ca="1">IFERROR(__xludf.DUMMYFUNCTION("""COMPUTED_VALUE"""),200)</f>
        <v>200</v>
      </c>
      <c r="AA150" s="29">
        <f ca="1">IFERROR(__xludf.DUMMYFUNCTION("""COMPUTED_VALUE"""),37167)</f>
        <v>37167</v>
      </c>
      <c r="AB150" s="27" t="str">
        <f ca="1">IFERROR(__xludf.DUMMYFUNCTION("""COMPUTED_VALUE"""),"Sim")</f>
        <v>Sim</v>
      </c>
      <c r="AC150" s="27">
        <f ca="1">IFERROR(__xludf.DUMMYFUNCTION("""COMPUTED_VALUE"""),4)</f>
        <v>4</v>
      </c>
      <c r="AD150" s="27"/>
      <c r="AE150" s="27">
        <f ca="1">IFERROR(__xludf.DUMMYFUNCTION("""COMPUTED_VALUE"""),8)</f>
        <v>8</v>
      </c>
      <c r="AF150" s="27"/>
      <c r="AG150" s="27">
        <f ca="1">IFERROR(__xludf.DUMMYFUNCTION("""COMPUTED_VALUE"""),4)</f>
        <v>4</v>
      </c>
      <c r="AH150" s="27"/>
      <c r="AI150" s="31">
        <f ca="1">IFERROR(__xludf.DUMMYFUNCTION("""COMPUTED_VALUE"""),0.1)</f>
        <v>0.1</v>
      </c>
      <c r="AJ150" s="27" t="str">
        <f ca="1">IFERROR(__xludf.DUMMYFUNCTION("""COMPUTED_VALUE"""),"Sim")</f>
        <v>Sim</v>
      </c>
      <c r="AK150" s="27"/>
      <c r="AL150" s="21" t="str">
        <f ca="1">IFERROR(__xludf.DUMMYFUNCTION("""COMPUTED_VALUE"""),"0034X0000380O6r")</f>
        <v>0034X0000380O6r</v>
      </c>
      <c r="AM150" s="27" t="str">
        <f ca="1">IFERROR(__xludf.DUMMYFUNCTION("""COMPUTED_VALUE"""),"Antonio do nascimento")</f>
        <v>Antonio do nascimento</v>
      </c>
      <c r="AN150" s="27" t="str">
        <f ca="1">IFERROR(__xludf.DUMMYFUNCTION("""COMPUTED_VALUE"""),"Ativo")</f>
        <v>Ativo</v>
      </c>
      <c r="AO150" s="29">
        <f ca="1">IFERROR(__xludf.DUMMYFUNCTION("""COMPUTED_VALUE"""),44763)</f>
        <v>44763</v>
      </c>
      <c r="AP150" s="27">
        <f ca="1">IFERROR(__xludf.DUMMYFUNCTION("""COMPUTED_VALUE"""),2)</f>
        <v>2</v>
      </c>
      <c r="AQ150" s="27" t="str">
        <f ca="1">IFERROR(__xludf.DUMMYFUNCTION("""COMPUTED_VALUE"""),"Primeiro Semestre 2022")</f>
        <v>Primeiro Semestre 2022</v>
      </c>
      <c r="AR150" s="27" t="str">
        <f ca="1">IFERROR(__xludf.DUMMYFUNCTION("""COMPUTED_VALUE"""),"ma.karatw@hotmail.com")</f>
        <v>ma.karatw@hotmail.com</v>
      </c>
      <c r="AS150" s="27" t="str">
        <f ca="1">IFERROR(__xludf.DUMMYFUNCTION("""COMPUTED_VALUE"""),"(81)98725-6158")</f>
        <v>(81)98725-6158</v>
      </c>
      <c r="AT150" s="29">
        <f ca="1">IFERROR(__xludf.DUMMYFUNCTION("""COMPUTED_VALUE"""),25743)</f>
        <v>25743</v>
      </c>
      <c r="AU150" s="27">
        <f ca="1">IFERROR(__xludf.DUMMYFUNCTION("""COMPUTED_VALUE"""),52)</f>
        <v>52</v>
      </c>
      <c r="AV150" s="27">
        <f ca="1">IFERROR(__xludf.DUMMYFUNCTION("""COMPUTED_VALUE"""),93230540468)</f>
        <v>93230540468</v>
      </c>
      <c r="AW150" s="27">
        <f ca="1">IFERROR(__xludf.DUMMYFUNCTION("""COMPUTED_VALUE"""),3379537)</f>
        <v>3379537</v>
      </c>
      <c r="AX150" s="27"/>
      <c r="AY150" s="27" t="str">
        <f ca="1">IFERROR(__xludf.DUMMYFUNCTION("""COMPUTED_VALUE"""),"Presidente")</f>
        <v>Presidente</v>
      </c>
      <c r="AZ150" s="27" t="str">
        <f ca="1">IFERROR(__xludf.DUMMYFUNCTION("""COMPUTED_VALUE"""),"M")</f>
        <v>M</v>
      </c>
      <c r="BA150" s="27" t="str">
        <f ca="1">IFERROR(__xludf.DUMMYFUNCTION("""COMPUTED_VALUE"""),"Preta")</f>
        <v>Preta</v>
      </c>
      <c r="BB150" s="27"/>
      <c r="BC150" s="27"/>
      <c r="BD150" s="27" t="str">
        <f ca="1">IFERROR(__xludf.DUMMYFUNCTION("""COMPUTED_VALUE"""),"Marcos Nascimento, Casado,pai de 2 filhos casal.
Marcos Felipe 31, Beatriz Fernanda 30.
Avó 3 netos. Lukas 12,.Maria Isis 04, Brayan Santos 01 
Sou Recreador em uma unidade de ensino. 
Educador, Cabeleireiro, Massoterapeuta, Teólogo, Capelão, Estudante de"&amp;" Fisioterapia.")</f>
        <v>Marcos Nascimento, Casado,pai de 2 filhos casal.
Marcos Felipe 31, Beatriz Fernanda 30.
Avó 3 netos. Lukas 12,.Maria Isis 04, Brayan Santos 01 
Sou Recreador em uma unidade de ensino. 
Educador, Cabeleireiro, Massoterapeuta, Teólogo, Capelão, Estudante de Fisioterapia.</v>
      </c>
      <c r="BE150" s="27" t="str">
        <f ca="1">IFERROR(__xludf.DUMMYFUNCTION("""COMPUTED_VALUE"""),"Homem, cisgênero")</f>
        <v>Homem, cisgênero</v>
      </c>
      <c r="BF150" s="27" t="str">
        <f ca="1">IFERROR(__xludf.DUMMYFUNCTION("""COMPUTED_VALUE"""),"Heterossexual")</f>
        <v>Heterossexual</v>
      </c>
      <c r="BG150" s="27" t="str">
        <f ca="1">IFERROR(__xludf.DUMMYFUNCTION("""COMPUTED_VALUE"""),"Ensino Superior - Incompleto")</f>
        <v>Ensino Superior - Incompleto</v>
      </c>
      <c r="BH150" s="27" t="str">
        <f ca="1">IFERROR(__xludf.DUMMYFUNCTION("""COMPUTED_VALUE"""),"Público")</f>
        <v>Público</v>
      </c>
      <c r="BI150" s="27" t="str">
        <f ca="1">IFERROR(__xludf.DUMMYFUNCTION("""COMPUTED_VALUE"""),"Graduação")</f>
        <v>Graduação</v>
      </c>
      <c r="BJ150" s="27" t="str">
        <f ca="1">IFERROR(__xludf.DUMMYFUNCTION("""COMPUTED_VALUE"""),"Privado")</f>
        <v>Privado</v>
      </c>
      <c r="BK150" s="27" t="str">
        <f ca="1">IFERROR(__xludf.DUMMYFUNCTION("""COMPUTED_VALUE"""),"Mariano Teixeira 114 Peixinhos-olinda")</f>
        <v>Mariano Teixeira 114 Peixinhos-olinda</v>
      </c>
      <c r="BL150" s="27" t="str">
        <f ca="1">IFERROR(__xludf.DUMMYFUNCTION("""COMPUTED_VALUE"""),"Bloco 12 Ap 003")</f>
        <v>Bloco 12 Ap 003</v>
      </c>
      <c r="BM150" s="27" t="str">
        <f ca="1">IFERROR(__xludf.DUMMYFUNCTION("""COMPUTED_VALUE"""),"Habitacional peixinhos 1")</f>
        <v>Habitacional peixinhos 1</v>
      </c>
      <c r="BN150" s="27" t="str">
        <f ca="1">IFERROR(__xludf.DUMMYFUNCTION("""COMPUTED_VALUE"""),"Recife-pe")</f>
        <v>Recife-pe</v>
      </c>
      <c r="BO150" s="27" t="str">
        <f ca="1">IFERROR(__xludf.DUMMYFUNCTION("""COMPUTED_VALUE"""),"53220-100")</f>
        <v>53220-100</v>
      </c>
      <c r="BP150" s="27" t="str">
        <f ca="1">IFERROR(__xludf.DUMMYFUNCTION("""COMPUTED_VALUE"""),"PE")</f>
        <v>PE</v>
      </c>
      <c r="BQ150" s="27" t="str">
        <f ca="1">IFERROR(__xludf.DUMMYFUNCTION("""COMPUTED_VALUE"""),"Entre 1 até 3 salários mínimos")</f>
        <v>Entre 1 até 3 salários mínimos</v>
      </c>
      <c r="BR150" s="27" t="str">
        <f ca="1">IFERROR(__xludf.DUMMYFUNCTION("""COMPUTED_VALUE"""),"Desempregado")</f>
        <v>Desempregado</v>
      </c>
      <c r="BS150" s="27" t="str">
        <f ca="1">IFERROR(__xludf.DUMMYFUNCTION("""COMPUTED_VALUE"""),"Casa própria")</f>
        <v>Casa própria</v>
      </c>
      <c r="BT150" s="27">
        <f ca="1">IFERROR(__xludf.DUMMYFUNCTION("""COMPUTED_VALUE"""),2)</f>
        <v>2</v>
      </c>
      <c r="BU150" s="27" t="str">
        <f ca="1">IFERROR(__xludf.DUMMYFUNCTION("""COMPUTED_VALUE"""),"Não tem")</f>
        <v>Não tem</v>
      </c>
      <c r="BV150" s="27" t="str">
        <f ca="1">IFERROR(__xludf.DUMMYFUNCTION("""COMPUTED_VALUE"""),"Não")</f>
        <v>Não</v>
      </c>
      <c r="BW150" s="27"/>
      <c r="BX150" s="21" t="str">
        <f ca="1">IFERROR(__xludf.DUMMYFUNCTION("""COMPUTED_VALUE"""),"https://instagram.com/marcos.nascimento.50364592")</f>
        <v>https://instagram.com/marcos.nascimento.50364592</v>
      </c>
      <c r="BY150" s="21" t="str">
        <f ca="1">IFERROR(__xludf.DUMMYFUNCTION("""COMPUTED_VALUE"""),"https://drive.google.com/open?id=1a2TSTHZpu2lyiQ1VjD7cKEDU3mxTPZph")</f>
        <v>https://drive.google.com/open?id=1a2TSTHZpu2lyiQ1VjD7cKEDU3mxTPZph</v>
      </c>
    </row>
    <row r="151" spans="1:77" ht="12.5" x14ac:dyDescent="0.25">
      <c r="A151" s="21" t="str">
        <f ca="1">IFERROR(__xludf.DUMMYFUNCTION("""COMPUTED_VALUE"""),"0014P00003AN2G4QAL")</f>
        <v>0014P00003AN2G4QAL</v>
      </c>
      <c r="B151" s="27" t="str">
        <f ca="1">IFERROR(__xludf.DUMMYFUNCTION("""COMPUTED_VALUE"""),"Fase Inicial")</f>
        <v>Fase Inicial</v>
      </c>
      <c r="C151" s="27" t="str">
        <f ca="1">IFERROR(__xludf.DUMMYFUNCTION("""COMPUTED_VALUE"""),"Acelerada")</f>
        <v>Acelerada</v>
      </c>
      <c r="D151" s="27" t="str">
        <f ca="1">IFERROR(__xludf.DUMMYFUNCTION("""COMPUTED_VALUE"""),"Ativo")</f>
        <v>Ativo</v>
      </c>
      <c r="E151" s="27" t="str">
        <f ca="1">IFERROR(__xludf.DUMMYFUNCTION("""COMPUTED_VALUE"""),"Associação Social Black's Urbano")</f>
        <v>Associação Social Black's Urbano</v>
      </c>
      <c r="F151" s="27" t="str">
        <f ca="1">IFERROR(__xludf.DUMMYFUNCTION("""COMPUTED_VALUE"""),"Dener")</f>
        <v>Dener</v>
      </c>
      <c r="G151" s="27" t="str">
        <f ca="1">IFERROR(__xludf.DUMMYFUNCTION("""COMPUTED_VALUE"""),"ASSOCIACAO SOCIAL BLACKS URBANO")</f>
        <v>ASSOCIACAO SOCIAL BLACKS URBANO</v>
      </c>
      <c r="H151" s="27" t="str">
        <f ca="1">IFERROR(__xludf.DUMMYFUNCTION("""COMPUTED_VALUE"""),"39.935.047/0001-82")</f>
        <v>39.935.047/0001-82</v>
      </c>
      <c r="I151" s="27" t="str">
        <f ca="1">IFERROR(__xludf.DUMMYFUNCTION("""COMPUTED_VALUE"""),"DENER LUAN MORAES DE JESUS")</f>
        <v>DENER LUAN MORAES DE JESUS</v>
      </c>
      <c r="J151" s="27"/>
      <c r="K151" s="27" t="str">
        <f ca="1">IFERROR(__xludf.DUMMYFUNCTION("""COMPUTED_VALUE"""),"(11)97847-3222")</f>
        <v>(11)97847-3222</v>
      </c>
      <c r="L151" s="27" t="str">
        <f ca="1">IFERROR(__xludf.DUMMYFUNCTION("""COMPUTED_VALUE"""),"SP")</f>
        <v>SP</v>
      </c>
      <c r="M151" s="27" t="str">
        <f ca="1">IFERROR(__xludf.DUMMYFUNCTION("""COMPUTED_VALUE"""),"Avenida Caititu, 1321")</f>
        <v>Avenida Caititu, 1321</v>
      </c>
      <c r="N151" s="27"/>
      <c r="O151" s="27" t="str">
        <f ca="1">IFERROR(__xludf.DUMMYFUNCTION("""COMPUTED_VALUE"""),"(11)97847-3222")</f>
        <v>(11)97847-3222</v>
      </c>
      <c r="P151" s="27" t="str">
        <f ca="1">IFERROR(__xludf.DUMMYFUNCTION("""COMPUTED_VALUE"""),"São Paulo")</f>
        <v>São Paulo</v>
      </c>
      <c r="Q151" s="27"/>
      <c r="R151" s="27" t="str">
        <f ca="1">IFERROR(__xludf.DUMMYFUNCTION("""COMPUTED_VALUE"""),"08223-000")</f>
        <v>08223-000</v>
      </c>
      <c r="S151" s="27" t="str">
        <f ca="1">IFERROR(__xludf.DUMMYFUNCTION("""COMPUTED_VALUE"""),"Praça Antônio Otávio Feliciano Cidade Antônio Estêvão de Carvalho São Paulo - SP 08223-260
Espaço publico")</f>
        <v>Praça Antônio Otávio Feliciano Cidade Antônio Estêvão de Carvalho São Paulo - SP 08223-260
Espaço publico</v>
      </c>
      <c r="T151" s="27" t="str">
        <f ca="1">IFERROR(__xludf.DUMMYFUNCTION("""COMPUTED_VALUE"""),"Esporte; Educação; Empregabilidade; Assistência Social; Cultura; Qualificação Profissional; Desenvolvimento comunitário")</f>
        <v>Esporte; Educação; Empregabilidade; Assistência Social; Cultura; Qualificação Profissional; Desenvolvimento comunitário</v>
      </c>
      <c r="U151" s="27" t="str">
        <f ca="1">IFERROR(__xludf.DUMMYFUNCTION("""COMPUTED_VALUE"""),"Crianças bem pequenas (1 ano e 7 meses até 3 anos e 11 meses); Crianças pequenas (4 anos a 5 anos e 11 meses); Crianças (6 a 12 anos); Adolescentes (12 aos 18 anos); Jovens (18 aos 24 anos)")</f>
        <v>Crianças bem pequenas (1 ano e 7 meses até 3 anos e 11 meses); Crianças pequenas (4 anos a 5 anos e 11 meses); Crianças (6 a 12 anos); Adolescentes (12 aos 18 anos); Jovens (18 aos 24 anos)</v>
      </c>
      <c r="V151" s="27" t="str">
        <f ca="1">IFERROR(__xludf.DUMMYFUNCTION("""COMPUTED_VALUE"""),"Moradores de Favelas")</f>
        <v>Moradores de Favelas</v>
      </c>
      <c r="W151" s="27">
        <f ca="1">IFERROR(__xludf.DUMMYFUNCTION("""COMPUTED_VALUE"""),5)</f>
        <v>5</v>
      </c>
      <c r="X151" s="27"/>
      <c r="Y151" s="27"/>
      <c r="Z151" s="27"/>
      <c r="AA151" s="30">
        <f ca="1">IFERROR(__xludf.DUMMYFUNCTION("""COMPUTED_VALUE"""),43079)</f>
        <v>43079</v>
      </c>
      <c r="AB151" s="27" t="str">
        <f ca="1">IFERROR(__xludf.DUMMYFUNCTION("""COMPUTED_VALUE"""),"Sim")</f>
        <v>Sim</v>
      </c>
      <c r="AC151" s="27">
        <f ca="1">IFERROR(__xludf.DUMMYFUNCTION("""COMPUTED_VALUE"""),0)</f>
        <v>0</v>
      </c>
      <c r="AD151" s="27">
        <f ca="1">IFERROR(__xludf.DUMMYFUNCTION("""COMPUTED_VALUE"""),0)</f>
        <v>0</v>
      </c>
      <c r="AE151" s="27">
        <f ca="1">IFERROR(__xludf.DUMMYFUNCTION("""COMPUTED_VALUE"""),13)</f>
        <v>13</v>
      </c>
      <c r="AF151" s="27">
        <f ca="1">IFERROR(__xludf.DUMMYFUNCTION("""COMPUTED_VALUE"""),1)</f>
        <v>1</v>
      </c>
      <c r="AG151" s="27">
        <f ca="1">IFERROR(__xludf.DUMMYFUNCTION("""COMPUTED_VALUE"""),2)</f>
        <v>2</v>
      </c>
      <c r="AH151" s="27" t="str">
        <f ca="1">IFERROR(__xludf.DUMMYFUNCTION("""COMPUTED_VALUE"""),"Negócio Social; Eventos/Ações para captação; Plataforma doação online - Pessoa Física; Editais; Doações")</f>
        <v>Negócio Social; Eventos/Ações para captação; Plataforma doação online - Pessoa Física; Editais; Doações</v>
      </c>
      <c r="AI151" s="27" t="str">
        <f ca="1">IFERROR(__xludf.DUMMYFUNCTION("""COMPUTED_VALUE"""),"Doação Online 50%, Negoócio social 10%")</f>
        <v>Doação Online 50%, Negoócio social 10%</v>
      </c>
      <c r="AJ151" s="27" t="str">
        <f ca="1">IFERROR(__xludf.DUMMYFUNCTION("""COMPUTED_VALUE"""),"Não")</f>
        <v>Não</v>
      </c>
      <c r="AK151" s="27" t="str">
        <f ca="1">IFERROR(__xludf.DUMMYFUNCTION("""COMPUTED_VALUE"""),"Sim")</f>
        <v>Sim</v>
      </c>
      <c r="AL151" s="21" t="str">
        <f ca="1">IFERROR(__xludf.DUMMYFUNCTION("""COMPUTED_VALUE"""),"0034P00003maBVY")</f>
        <v>0034P00003maBVY</v>
      </c>
      <c r="AM151" s="27" t="str">
        <f ca="1">IFERROR(__xludf.DUMMYFUNCTION("""COMPUTED_VALUE"""),"Luan Moraes De Jesus")</f>
        <v>Luan Moraes De Jesus</v>
      </c>
      <c r="AN151" s="27" t="str">
        <f ca="1">IFERROR(__xludf.DUMMYFUNCTION("""COMPUTED_VALUE"""),"Ativo")</f>
        <v>Ativo</v>
      </c>
      <c r="AO151" s="30">
        <f ca="1">IFERROR(__xludf.DUMMYFUNCTION("""COMPUTED_VALUE"""),44510)</f>
        <v>44510</v>
      </c>
      <c r="AP151" s="27">
        <f ca="1">IFERROR(__xludf.DUMMYFUNCTION("""COMPUTED_VALUE"""),10)</f>
        <v>10</v>
      </c>
      <c r="AQ151" s="27" t="str">
        <f ca="1">IFERROR(__xludf.DUMMYFUNCTION("""COMPUTED_VALUE"""),"Primeiro Semestre 2020")</f>
        <v>Primeiro Semestre 2020</v>
      </c>
      <c r="AR151" s="27" t="str">
        <f ca="1">IFERROR(__xludf.DUMMYFUNCTION("""COMPUTED_VALUE"""),"dener.moraes.adv@gmail.com")</f>
        <v>dener.moraes.adv@gmail.com</v>
      </c>
      <c r="AS151" s="27" t="str">
        <f ca="1">IFERROR(__xludf.DUMMYFUNCTION("""COMPUTED_VALUE"""),"(11)97847-3222")</f>
        <v>(11)97847-3222</v>
      </c>
      <c r="AT151" s="29">
        <f ca="1">IFERROR(__xludf.DUMMYFUNCTION("""COMPUTED_VALUE"""),34907)</f>
        <v>34907</v>
      </c>
      <c r="AU151" s="27">
        <f ca="1">IFERROR(__xludf.DUMMYFUNCTION("""COMPUTED_VALUE"""),27)</f>
        <v>27</v>
      </c>
      <c r="AV151" s="27">
        <f ca="1">IFERROR(__xludf.DUMMYFUNCTION("""COMPUTED_VALUE"""),43181241857)</f>
        <v>43181241857</v>
      </c>
      <c r="AW151" s="27">
        <f ca="1">IFERROR(__xludf.DUMMYFUNCTION("""COMPUTED_VALUE"""),475470308)</f>
        <v>475470308</v>
      </c>
      <c r="AX151" s="27" t="str">
        <f ca="1">IFERROR(__xludf.DUMMYFUNCTION("""COMPUTED_VALUE"""),"Graduação em Direito")</f>
        <v>Graduação em Direito</v>
      </c>
      <c r="AY151" s="27"/>
      <c r="AZ151" s="27" t="str">
        <f ca="1">IFERROR(__xludf.DUMMYFUNCTION("""COMPUTED_VALUE"""),"G1")</f>
        <v>G1</v>
      </c>
      <c r="BA151" s="27"/>
      <c r="BB151" s="27"/>
      <c r="BC151" s="27" t="str">
        <f ca="1">IFERROR(__xludf.DUMMYFUNCTION("""COMPUTED_VALUE"""),"Sim")</f>
        <v>Sim</v>
      </c>
      <c r="BD151" s="27" t="str">
        <f ca="1">IFERROR(__xludf.DUMMYFUNCTION("""COMPUTED_VALUE"""),"Dener Moraes, 26 anos de idade, morador da Cid A E Carvalho, bacharel em direito, ceo e fundador dos BLACK'S URBANO")</f>
        <v>Dener Moraes, 26 anos de idade, morador da Cid A E Carvalho, bacharel em direito, ceo e fundador dos BLACK'S URBANO</v>
      </c>
      <c r="BE151" s="27"/>
      <c r="BF151" s="27"/>
      <c r="BG151" s="27" t="str">
        <f ca="1">IFERROR(__xludf.DUMMYFUNCTION("""COMPUTED_VALUE"""),"Ensino Superior - Completo")</f>
        <v>Ensino Superior - Completo</v>
      </c>
      <c r="BH151" s="27"/>
      <c r="BI151" s="27" t="str">
        <f ca="1">IFERROR(__xludf.DUMMYFUNCTION("""COMPUTED_VALUE"""),"Graduação")</f>
        <v>Graduação</v>
      </c>
      <c r="BJ151" s="27" t="str">
        <f ca="1">IFERROR(__xludf.DUMMYFUNCTION("""COMPUTED_VALUE"""),"Privado")</f>
        <v>Privado</v>
      </c>
      <c r="BK151" s="27" t="str">
        <f ca="1">IFERROR(__xludf.DUMMYFUNCTION("""COMPUTED_VALUE"""),"Avenida Caititu")</f>
        <v>Avenida Caititu</v>
      </c>
      <c r="BL151" s="27">
        <f ca="1">IFERROR(__xludf.DUMMYFUNCTION("""COMPUTED_VALUE"""),1324)</f>
        <v>1324</v>
      </c>
      <c r="BM151" s="27"/>
      <c r="BN151" s="27" t="str">
        <f ca="1">IFERROR(__xludf.DUMMYFUNCTION("""COMPUTED_VALUE"""),"São Paulo")</f>
        <v>São Paulo</v>
      </c>
      <c r="BO151" s="27" t="str">
        <f ca="1">IFERROR(__xludf.DUMMYFUNCTION("""COMPUTED_VALUE"""),"08223-000")</f>
        <v>08223-000</v>
      </c>
      <c r="BP151" s="27" t="str">
        <f ca="1">IFERROR(__xludf.DUMMYFUNCTION("""COMPUTED_VALUE"""),"SP")</f>
        <v>SP</v>
      </c>
      <c r="BQ151" s="27" t="str">
        <f ca="1">IFERROR(__xludf.DUMMYFUNCTION("""COMPUTED_VALUE"""),"Entre 1 até 3 salários mínimos")</f>
        <v>Entre 1 até 3 salários mínimos</v>
      </c>
      <c r="BR151" s="27" t="str">
        <f ca="1">IFERROR(__xludf.DUMMYFUNCTION("""COMPUTED_VALUE"""),"Desempregado")</f>
        <v>Desempregado</v>
      </c>
      <c r="BS151" s="27" t="str">
        <f ca="1">IFERROR(__xludf.DUMMYFUNCTION("""COMPUTED_VALUE"""),"Ocupação/Invasão")</f>
        <v>Ocupação/Invasão</v>
      </c>
      <c r="BT151" s="27">
        <f ca="1">IFERROR(__xludf.DUMMYFUNCTION("""COMPUTED_VALUE"""),8)</f>
        <v>8</v>
      </c>
      <c r="BU151" s="27"/>
      <c r="BV151" s="27"/>
      <c r="BW151" s="21" t="str">
        <f ca="1">IFERROR(__xludf.DUMMYFUNCTION("""COMPUTED_VALUE"""),"https://www.linkedin.com/in/dener-moraes-06287818b")</f>
        <v>https://www.linkedin.com/in/dener-moraes-06287818b</v>
      </c>
      <c r="BX151" s="21" t="str">
        <f ca="1">IFERROR(__xludf.DUMMYFUNCTION("""COMPUTED_VALUE"""),"https://instagram.com/dener.moraes.dr?utm_medium=copy_link")</f>
        <v>https://instagram.com/dener.moraes.dr?utm_medium=copy_link</v>
      </c>
      <c r="BY151" s="21" t="str">
        <f ca="1">IFERROR(__xludf.DUMMYFUNCTION("""COMPUTED_VALUE"""),"https://drive.google.com/open?id=1-BpQ0bchbt2m5DSsiADV8OLRLQK7jo5X")</f>
        <v>https://drive.google.com/open?id=1-BpQ0bchbt2m5DSsiADV8OLRLQK7jo5X</v>
      </c>
    </row>
    <row r="152" spans="1:77" ht="12.5" hidden="1" x14ac:dyDescent="0.25">
      <c r="A152" s="21" t="str">
        <f ca="1">IFERROR(__xludf.DUMMYFUNCTION("""COMPUTED_VALUE"""),"0014X00002VKCt2QAH")</f>
        <v>0014X00002VKCt2QAH</v>
      </c>
      <c r="B152" s="27" t="str">
        <f ca="1">IFERROR(__xludf.DUMMYFUNCTION("""COMPUTED_VALUE"""),"Fase Inicial")</f>
        <v>Fase Inicial</v>
      </c>
      <c r="C152" s="27" t="str">
        <f ca="1">IFERROR(__xludf.DUMMYFUNCTION("""COMPUTED_VALUE"""),"Fellow")</f>
        <v>Fellow</v>
      </c>
      <c r="D152" s="27" t="str">
        <f ca="1">IFERROR(__xludf.DUMMYFUNCTION("""COMPUTED_VALUE"""),"Ativo")</f>
        <v>Ativo</v>
      </c>
      <c r="E152" s="27" t="str">
        <f ca="1">IFERROR(__xludf.DUMMYFUNCTION("""COMPUTED_VALUE"""),"ASSOCIAÇÃO SOCIAL PAULO VI")</f>
        <v>ASSOCIAÇÃO SOCIAL PAULO VI</v>
      </c>
      <c r="F152" s="27" t="str">
        <f ca="1">IFERROR(__xludf.DUMMYFUNCTION("""COMPUTED_VALUE"""),"Raquel")</f>
        <v>Raquel</v>
      </c>
      <c r="G152" s="27" t="str">
        <f ca="1">IFERROR(__xludf.DUMMYFUNCTION("""COMPUTED_VALUE"""),"CENTRO DE DEFESA DA VIDA IRMÃ HEDWIGES ROSSI")</f>
        <v>CENTRO DE DEFESA DA VIDA IRMÃ HEDWIGES ROSSI</v>
      </c>
      <c r="H152" s="27" t="str">
        <f ca="1">IFERROR(__xludf.DUMMYFUNCTION("""COMPUTED_VALUE"""),"28.756.146/0024-77")</f>
        <v>28.756.146/0024-77</v>
      </c>
      <c r="I152" s="27" t="str">
        <f ca="1">IFERROR(__xludf.DUMMYFUNCTION("""COMPUTED_VALUE"""),"Ana Cláudia de Carvalho Rocha")</f>
        <v>Ana Cláudia de Carvalho Rocha</v>
      </c>
      <c r="J152" s="27" t="str">
        <f ca="1">IFERROR(__xludf.DUMMYFUNCTION("""COMPUTED_VALUE"""),"cdvida_defesadavida@hotmail.com")</f>
        <v>cdvida_defesadavida@hotmail.com</v>
      </c>
      <c r="K152" s="27" t="str">
        <f ca="1">IFERROR(__xludf.DUMMYFUNCTION("""COMPUTED_VALUE"""),"(21)3774-3993")</f>
        <v>(21)3774-3993</v>
      </c>
      <c r="L152" s="27" t="str">
        <f ca="1">IFERROR(__xludf.DUMMYFUNCTION("""COMPUTED_VALUE"""),"RJ")</f>
        <v>RJ</v>
      </c>
      <c r="M152" s="27" t="str">
        <f ca="1">IFERROR(__xludf.DUMMYFUNCTION("""COMPUTED_VALUE"""),"Avenida Governador Leonel Moura Brizola")</f>
        <v>Avenida Governador Leonel Moura Brizola</v>
      </c>
      <c r="N152" s="27" t="str">
        <f ca="1">IFERROR(__xludf.DUMMYFUNCTION("""COMPUTED_VALUE"""),"Centro")</f>
        <v>Centro</v>
      </c>
      <c r="O152" s="27">
        <f ca="1">IFERROR(__xludf.DUMMYFUNCTION("""COMPUTED_VALUE"""),1861)</f>
        <v>1861</v>
      </c>
      <c r="P152" s="27" t="str">
        <f ca="1">IFERROR(__xludf.DUMMYFUNCTION("""COMPUTED_VALUE"""),"Duque de Caxias")</f>
        <v>Duque de Caxias</v>
      </c>
      <c r="Q152" s="27" t="str">
        <f ca="1">IFERROR(__xludf.DUMMYFUNCTION("""COMPUTED_VALUE"""),"Sala 107")</f>
        <v>Sala 107</v>
      </c>
      <c r="R152" s="27" t="str">
        <f ca="1">IFERROR(__xludf.DUMMYFUNCTION("""COMPUTED_VALUE"""),"25010-009")</f>
        <v>25010-009</v>
      </c>
      <c r="S152" s="27" t="str">
        <f ca="1">IFERROR(__xludf.DUMMYFUNCTION("""COMPUTED_VALUE"""),"Sim, palestras e rodas de conversas a ontem em CRAS, escolas, igrejas, empresas privadas.")</f>
        <v>Sim, palestras e rodas de conversas a ontem em CRAS, escolas, igrejas, empresas privadas.</v>
      </c>
      <c r="T152" s="27"/>
      <c r="U152" s="27" t="str">
        <f ca="1">IFERROR(__xludf.DUMMYFUNCTION("""COMPUTED_VALUE"""),"Adultos")</f>
        <v>Adultos</v>
      </c>
      <c r="V152" s="27" t="str">
        <f ca="1">IFERROR(__xludf.DUMMYFUNCTION("""COMPUTED_VALUE"""),"Moradores de Favelas")</f>
        <v>Moradores de Favelas</v>
      </c>
      <c r="W152" s="27">
        <f ca="1">IFERROR(__xludf.DUMMYFUNCTION("""COMPUTED_VALUE"""),5)</f>
        <v>5</v>
      </c>
      <c r="X152" s="27" t="str">
        <f ca="1">IFERROR(__xludf.DUMMYFUNCTION("""COMPUTED_VALUE"""),"Atendemos mulheres em situação de violência de diversas comunidades de Duque de Caxias e até de municipios vizinhos.")</f>
        <v>Atendemos mulheres em situação de violência de diversas comunidades de Duque de Caxias e até de municipios vizinhos.</v>
      </c>
      <c r="Y152" s="27"/>
      <c r="Z152" s="27">
        <f ca="1">IFERROR(__xludf.DUMMYFUNCTION("""COMPUTED_VALUE"""),149)</f>
        <v>149</v>
      </c>
      <c r="AA152" s="29">
        <f ca="1">IFERROR(__xludf.DUMMYFUNCTION("""COMPUTED_VALUE"""),36018)</f>
        <v>36018</v>
      </c>
      <c r="AB152" s="27" t="str">
        <f ca="1">IFERROR(__xludf.DUMMYFUNCTION("""COMPUTED_VALUE"""),"Sim")</f>
        <v>Sim</v>
      </c>
      <c r="AC152" s="27">
        <f ca="1">IFERROR(__xludf.DUMMYFUNCTION("""COMPUTED_VALUE"""),4)</f>
        <v>4</v>
      </c>
      <c r="AD152" s="27">
        <f ca="1">IFERROR(__xludf.DUMMYFUNCTION("""COMPUTED_VALUE"""),5)</f>
        <v>5</v>
      </c>
      <c r="AE152" s="27">
        <f ca="1">IFERROR(__xludf.DUMMYFUNCTION("""COMPUTED_VALUE"""),16)</f>
        <v>16</v>
      </c>
      <c r="AF152" s="27">
        <f ca="1">IFERROR(__xludf.DUMMYFUNCTION("""COMPUTED_VALUE"""),5)</f>
        <v>5</v>
      </c>
      <c r="AG152" s="27">
        <f ca="1">IFERROR(__xludf.DUMMYFUNCTION("""COMPUTED_VALUE"""),3)</f>
        <v>3</v>
      </c>
      <c r="AH152" s="27" t="str">
        <f ca="1">IFERROR(__xludf.DUMMYFUNCTION("""COMPUTED_VALUE"""),"Eventos/Ações para captação, Outro(s), Doações")</f>
        <v>Eventos/Ações para captação, Outro(s), Doações</v>
      </c>
      <c r="AI152" s="27" t="str">
        <f ca="1">IFERROR(__xludf.DUMMYFUNCTION("""COMPUTED_VALUE"""),"Não")</f>
        <v>Não</v>
      </c>
      <c r="AJ152" s="27" t="str">
        <f ca="1">IFERROR(__xludf.DUMMYFUNCTION("""COMPUTED_VALUE"""),"Sim")</f>
        <v>Sim</v>
      </c>
      <c r="AK152" s="27"/>
      <c r="AL152" s="21" t="str">
        <f ca="1">IFERROR(__xludf.DUMMYFUNCTION("""COMPUTED_VALUE"""),"0034X0000380O3m")</f>
        <v>0034X0000380O3m</v>
      </c>
      <c r="AM152" s="27" t="str">
        <f ca="1">IFERROR(__xludf.DUMMYFUNCTION("""COMPUTED_VALUE"""),"Narciso")</f>
        <v>Narciso</v>
      </c>
      <c r="AN152" s="27" t="str">
        <f ca="1">IFERROR(__xludf.DUMMYFUNCTION("""COMPUTED_VALUE"""),"Ativo")</f>
        <v>Ativo</v>
      </c>
      <c r="AO152" s="29">
        <f ca="1">IFERROR(__xludf.DUMMYFUNCTION("""COMPUTED_VALUE"""),44763)</f>
        <v>44763</v>
      </c>
      <c r="AP152" s="27">
        <f ca="1">IFERROR(__xludf.DUMMYFUNCTION("""COMPUTED_VALUE"""),2)</f>
        <v>2</v>
      </c>
      <c r="AQ152" s="27" t="str">
        <f ca="1">IFERROR(__xludf.DUMMYFUNCTION("""COMPUTED_VALUE"""),"Primeiro Semestre 2022")</f>
        <v>Primeiro Semestre 2022</v>
      </c>
      <c r="AR152" s="27" t="str">
        <f ca="1">IFERROR(__xludf.DUMMYFUNCTION("""COMPUTED_VALUE"""),"raquelsnarciso@yahoo.com.br")</f>
        <v>raquelsnarciso@yahoo.com.br</v>
      </c>
      <c r="AS152" s="27">
        <f ca="1">IFERROR(__xludf.DUMMYFUNCTION("""COMPUTED_VALUE"""),21979021436)</f>
        <v>21979021436</v>
      </c>
      <c r="AT152" s="29">
        <f ca="1">IFERROR(__xludf.DUMMYFUNCTION("""COMPUTED_VALUE"""),32115)</f>
        <v>32115</v>
      </c>
      <c r="AU152" s="27">
        <f ca="1">IFERROR(__xludf.DUMMYFUNCTION("""COMPUTED_VALUE"""),35)</f>
        <v>35</v>
      </c>
      <c r="AV152" s="27">
        <f ca="1">IFERROR(__xludf.DUMMYFUNCTION("""COMPUTED_VALUE"""),7200476927)</f>
        <v>7200476927</v>
      </c>
      <c r="AW152" s="27">
        <f ca="1">IFERROR(__xludf.DUMMYFUNCTION("""COMPUTED_VALUE"""),222665986)</f>
        <v>222665986</v>
      </c>
      <c r="AX152" s="27"/>
      <c r="AY152" s="27"/>
      <c r="AZ152" s="27" t="str">
        <f ca="1">IFERROR(__xludf.DUMMYFUNCTION("""COMPUTED_VALUE"""),"PP")</f>
        <v>PP</v>
      </c>
      <c r="BA152" s="27" t="str">
        <f ca="1">IFERROR(__xludf.DUMMYFUNCTION("""COMPUTED_VALUE"""),"Branca")</f>
        <v>Branca</v>
      </c>
      <c r="BB152" s="27"/>
      <c r="BC152" s="27"/>
      <c r="BD152" s="27" t="str">
        <f ca="1">IFERROR(__xludf.DUMMYFUNCTION("""COMPUTED_VALUE"""),"Sou filha de migrantes nordestinos*  formada em Serviço Social pela UFRJ(2019). Iniciou o processo de engajamento no Movimento de Mulheres em 2006.  Coordenadora do CDVida* instituição pioneira no enfrentamento e prevenção da violência contra a mulher na "&amp;"Baixada Fluminense* criado em 1998.
Atua no Fórum e Conselhos Municipais dos Direitos da Mulher de Mulher de Duque de Caxias.")</f>
        <v>Sou filha de migrantes nordestinos*  formada em Serviço Social pela UFRJ(2019). Iniciou o processo de engajamento no Movimento de Mulheres em 2006.  Coordenadora do CDVida* instituição pioneira no enfrentamento e prevenção da violência contra a mulher na Baixada Fluminense* criado em 1998.
Atua no Fórum e Conselhos Municipais dos Direitos da Mulher de Mulher de Duque de Caxias.</v>
      </c>
      <c r="BE152" s="27" t="str">
        <f ca="1">IFERROR(__xludf.DUMMYFUNCTION("""COMPUTED_VALUE"""),"Feminino")</f>
        <v>Feminino</v>
      </c>
      <c r="BF152" s="27" t="str">
        <f ca="1">IFERROR(__xludf.DUMMYFUNCTION("""COMPUTED_VALUE"""),"Heterossexual")</f>
        <v>Heterossexual</v>
      </c>
      <c r="BG152" s="27"/>
      <c r="BH152" s="27" t="str">
        <f ca="1">IFERROR(__xludf.DUMMYFUNCTION("""COMPUTED_VALUE"""),"Público")</f>
        <v>Público</v>
      </c>
      <c r="BI152" s="27" t="str">
        <f ca="1">IFERROR(__xludf.DUMMYFUNCTION("""COMPUTED_VALUE"""),"Graduação")</f>
        <v>Graduação</v>
      </c>
      <c r="BJ152" s="27" t="str">
        <f ca="1">IFERROR(__xludf.DUMMYFUNCTION("""COMPUTED_VALUE"""),"Público")</f>
        <v>Público</v>
      </c>
      <c r="BK152" s="27" t="str">
        <f ca="1">IFERROR(__xludf.DUMMYFUNCTION("""COMPUTED_VALUE"""),"Rua Sete Beco do Campinho")</f>
        <v>Rua Sete Beco do Campinho</v>
      </c>
      <c r="BL152" s="27">
        <f ca="1">IFERROR(__xludf.DUMMYFUNCTION("""COMPUTED_VALUE"""),98)</f>
        <v>98</v>
      </c>
      <c r="BM152" s="27"/>
      <c r="BN152" s="27"/>
      <c r="BO152" s="27">
        <f ca="1">IFERROR(__xludf.DUMMYFUNCTION("""COMPUTED_VALUE"""),25225300)</f>
        <v>25225300</v>
      </c>
      <c r="BP152" s="27" t="str">
        <f ca="1">IFERROR(__xludf.DUMMYFUNCTION("""COMPUTED_VALUE"""),"RJ")</f>
        <v>RJ</v>
      </c>
      <c r="BQ152" s="27" t="str">
        <f ca="1">IFERROR(__xludf.DUMMYFUNCTION("""COMPUTED_VALUE"""),"Entre 1 até 3 salários mínimos")</f>
        <v>Entre 1 até 3 salários mínimos</v>
      </c>
      <c r="BR152" s="27" t="str">
        <f ca="1">IFERROR(__xludf.DUMMYFUNCTION("""COMPUTED_VALUE"""),"CLT")</f>
        <v>CLT</v>
      </c>
      <c r="BS152" s="27" t="str">
        <f ca="1">IFERROR(__xludf.DUMMYFUNCTION("""COMPUTED_VALUE"""),"Casa cedida")</f>
        <v>Casa cedida</v>
      </c>
      <c r="BT152" s="27">
        <f ca="1">IFERROR(__xludf.DUMMYFUNCTION("""COMPUTED_VALUE"""),4)</f>
        <v>4</v>
      </c>
      <c r="BU152" s="27" t="str">
        <f ca="1">IFERROR(__xludf.DUMMYFUNCTION("""COMPUTED_VALUE"""),"Não tem")</f>
        <v>Não tem</v>
      </c>
      <c r="BV152" s="27" t="str">
        <f ca="1">IFERROR(__xludf.DUMMYFUNCTION("""COMPUTED_VALUE"""),"Não")</f>
        <v>Não</v>
      </c>
      <c r="BW152" s="21" t="str">
        <f ca="1">IFERROR(__xludf.DUMMYFUNCTION("""COMPUTED_VALUE"""),"https://www.linkedin.com/in/raquel-narciso-70775a118/")</f>
        <v>https://www.linkedin.com/in/raquel-narciso-70775a118/</v>
      </c>
      <c r="BX152" s="21" t="str">
        <f ca="1">IFERROR(__xludf.DUMMYFUNCTION("""COMPUTED_VALUE"""),"https://www.instagram.com/raquel.snarciso/")</f>
        <v>https://www.instagram.com/raquel.snarciso/</v>
      </c>
      <c r="BY152" s="21" t="str">
        <f ca="1">IFERROR(__xludf.DUMMYFUNCTION("""COMPUTED_VALUE"""),"https://drive.google.com/open?id=1YkI5xGXSvtG8TIZt1DdiDMmYNElCIN6y")</f>
        <v>https://drive.google.com/open?id=1YkI5xGXSvtG8TIZt1DdiDMmYNElCIN6y</v>
      </c>
    </row>
    <row r="153" spans="1:77" ht="12.5" hidden="1" x14ac:dyDescent="0.25">
      <c r="A153" s="21" t="str">
        <f ca="1">IFERROR(__xludf.DUMMYFUNCTION("""COMPUTED_VALUE"""),"0014X00002VKCoyQAH")</f>
        <v>0014X00002VKCoyQAH</v>
      </c>
      <c r="B153" s="27" t="str">
        <f ca="1">IFERROR(__xludf.DUMMYFUNCTION("""COMPUTED_VALUE"""),"Fase Inicial")</f>
        <v>Fase Inicial</v>
      </c>
      <c r="C153" s="27" t="str">
        <f ca="1">IFERROR(__xludf.DUMMYFUNCTION("""COMPUTED_VALUE"""),"Fellow")</f>
        <v>Fellow</v>
      </c>
      <c r="D153" s="27" t="str">
        <f ca="1">IFERROR(__xludf.DUMMYFUNCTION("""COMPUTED_VALUE"""),"Ativo")</f>
        <v>Ativo</v>
      </c>
      <c r="E153" s="27" t="str">
        <f ca="1">IFERROR(__xludf.DUMMYFUNCTION("""COMPUTED_VALUE"""),"Associação Social Sagrada Família")</f>
        <v>Associação Social Sagrada Família</v>
      </c>
      <c r="F153" s="27" t="str">
        <f ca="1">IFERROR(__xludf.DUMMYFUNCTION("""COMPUTED_VALUE"""),"Ana")</f>
        <v>Ana</v>
      </c>
      <c r="G153" s="27" t="str">
        <f ca="1">IFERROR(__xludf.DUMMYFUNCTION("""COMPUTED_VALUE"""),"ASSF")</f>
        <v>ASSF</v>
      </c>
      <c r="H153" s="27" t="str">
        <f ca="1">IFERROR(__xludf.DUMMYFUNCTION("""COMPUTED_VALUE"""),"06.062.774/0001-23")</f>
        <v>06.062.774/0001-23</v>
      </c>
      <c r="I153" s="27" t="str">
        <f ca="1">IFERROR(__xludf.DUMMYFUNCTION("""COMPUTED_VALUE"""),"Ana Célia Pereira da Conceição Passos")</f>
        <v>Ana Célia Pereira da Conceição Passos</v>
      </c>
      <c r="J153" s="27" t="str">
        <f ca="1">IFERROR(__xludf.DUMMYFUNCTION("""COMPUTED_VALUE"""),"sagradafamilia.ba@hotmail.com")</f>
        <v>sagradafamilia.ba@hotmail.com</v>
      </c>
      <c r="K153" s="27" t="str">
        <f ca="1">IFERROR(__xludf.DUMMYFUNCTION("""COMPUTED_VALUE"""),"(75)98186-8074")</f>
        <v>(75)98186-8074</v>
      </c>
      <c r="L153" s="27" t="str">
        <f ca="1">IFERROR(__xludf.DUMMYFUNCTION("""COMPUTED_VALUE"""),"BA")</f>
        <v>BA</v>
      </c>
      <c r="M153" s="27" t="str">
        <f ca="1">IFERROR(__xludf.DUMMYFUNCTION("""COMPUTED_VALUE"""),"Praça Castro Alves")</f>
        <v>Praça Castro Alves</v>
      </c>
      <c r="N153" s="27" t="str">
        <f ca="1">IFERROR(__xludf.DUMMYFUNCTION("""COMPUTED_VALUE"""),"centro")</f>
        <v>centro</v>
      </c>
      <c r="O153" s="27">
        <f ca="1">IFERROR(__xludf.DUMMYFUNCTION("""COMPUTED_VALUE"""),16)</f>
        <v>16</v>
      </c>
      <c r="P153" s="27" t="str">
        <f ca="1">IFERROR(__xludf.DUMMYFUNCTION("""COMPUTED_VALUE"""),"Cabaceiras do Paraguaçu")</f>
        <v>Cabaceiras do Paraguaçu</v>
      </c>
      <c r="Q153" s="27" t="str">
        <f ca="1">IFERROR(__xludf.DUMMYFUNCTION("""COMPUTED_VALUE"""),"casa")</f>
        <v>casa</v>
      </c>
      <c r="R153" s="27" t="str">
        <f ca="1">IFERROR(__xludf.DUMMYFUNCTION("""COMPUTED_VALUE"""),"44345-000")</f>
        <v>44345-000</v>
      </c>
      <c r="S153" s="27" t="str">
        <f ca="1">IFERROR(__xludf.DUMMYFUNCTION("""COMPUTED_VALUE"""),"Escolas do Bairro
Praça Castro Alves
Parque Histórico")</f>
        <v>Escolas do Bairro
Praça Castro Alves
Parque Histórico</v>
      </c>
      <c r="T153" s="27"/>
      <c r="U153" s="27" t="str">
        <f ca="1">IFERROR(__xludf.DUMMYFUNCTION("""COMPUTED_VALUE"""),"Crianças (6 a 12 anos), Adolescentes (12 aos 18 anos), Jovens (18 aos 24 anos), Adultos")</f>
        <v>Crianças (6 a 12 anos), Adolescentes (12 aos 18 anos), Jovens (18 aos 24 anos), Adultos</v>
      </c>
      <c r="V153" s="27" t="str">
        <f ca="1">IFERROR(__xludf.DUMMYFUNCTION("""COMPUTED_VALUE"""),"Moradores de Favelas, Comunidade rural, Outros")</f>
        <v>Moradores de Favelas, Comunidade rural, Outros</v>
      </c>
      <c r="W153" s="27">
        <f ca="1">IFERROR(__xludf.DUMMYFUNCTION("""COMPUTED_VALUE"""),3)</f>
        <v>3</v>
      </c>
      <c r="X153" s="27" t="str">
        <f ca="1">IFERROR(__xludf.DUMMYFUNCTION("""COMPUTED_VALUE"""),"Famílias")</f>
        <v>Famílias</v>
      </c>
      <c r="Y153" s="27"/>
      <c r="Z153" s="27">
        <f ca="1">IFERROR(__xludf.DUMMYFUNCTION("""COMPUTED_VALUE"""),224)</f>
        <v>224</v>
      </c>
      <c r="AA153" s="29">
        <f ca="1">IFERROR(__xludf.DUMMYFUNCTION("""COMPUTED_VALUE"""),37995)</f>
        <v>37995</v>
      </c>
      <c r="AB153" s="27" t="str">
        <f ca="1">IFERROR(__xludf.DUMMYFUNCTION("""COMPUTED_VALUE"""),"Sim")</f>
        <v>Sim</v>
      </c>
      <c r="AC153" s="27">
        <f ca="1">IFERROR(__xludf.DUMMYFUNCTION("""COMPUTED_VALUE"""),1)</f>
        <v>1</v>
      </c>
      <c r="AD153" s="27">
        <f ca="1">IFERROR(__xludf.DUMMYFUNCTION("""COMPUTED_VALUE"""),3)</f>
        <v>3</v>
      </c>
      <c r="AE153" s="27">
        <f ca="1">IFERROR(__xludf.DUMMYFUNCTION("""COMPUTED_VALUE"""),12)</f>
        <v>12</v>
      </c>
      <c r="AF153" s="27">
        <f ca="1">IFERROR(__xludf.DUMMYFUNCTION("""COMPUTED_VALUE"""),4)</f>
        <v>4</v>
      </c>
      <c r="AG153" s="27">
        <f ca="1">IFERROR(__xludf.DUMMYFUNCTION("""COMPUTED_VALUE"""),3)</f>
        <v>3</v>
      </c>
      <c r="AH153" s="27" t="str">
        <f ca="1">IFERROR(__xludf.DUMMYFUNCTION("""COMPUTED_VALUE"""),"Eventos/Ações para captação, Outro(s), Doações")</f>
        <v>Eventos/Ações para captação, Outro(s), Doações</v>
      </c>
      <c r="AI153" s="27" t="str">
        <f ca="1">IFERROR(__xludf.DUMMYFUNCTION("""COMPUTED_VALUE"""),"60% Eventos /Ações para captação.40% Doações")</f>
        <v>60% Eventos /Ações para captação.40% Doações</v>
      </c>
      <c r="AJ153" s="27" t="str">
        <f ca="1">IFERROR(__xludf.DUMMYFUNCTION("""COMPUTED_VALUE"""),"Vamos iniciar esse ano")</f>
        <v>Vamos iniciar esse ano</v>
      </c>
      <c r="AK153" s="27"/>
      <c r="AL153" s="21" t="str">
        <f ca="1">IFERROR(__xludf.DUMMYFUNCTION("""COMPUTED_VALUE"""),"0034X0000380O3L")</f>
        <v>0034X0000380O3L</v>
      </c>
      <c r="AM153" s="27" t="str">
        <f ca="1">IFERROR(__xludf.DUMMYFUNCTION("""COMPUTED_VALUE"""),"Célia pereira da conceição passos")</f>
        <v>Célia pereira da conceição passos</v>
      </c>
      <c r="AN153" s="27" t="str">
        <f ca="1">IFERROR(__xludf.DUMMYFUNCTION("""COMPUTED_VALUE"""),"Ativo")</f>
        <v>Ativo</v>
      </c>
      <c r="AO153" s="29">
        <f ca="1">IFERROR(__xludf.DUMMYFUNCTION("""COMPUTED_VALUE"""),44763)</f>
        <v>44763</v>
      </c>
      <c r="AP153" s="27">
        <f ca="1">IFERROR(__xludf.DUMMYFUNCTION("""COMPUTED_VALUE"""),2)</f>
        <v>2</v>
      </c>
      <c r="AQ153" s="27" t="str">
        <f ca="1">IFERROR(__xludf.DUMMYFUNCTION("""COMPUTED_VALUE"""),"Primeiro Semestre 2022")</f>
        <v>Primeiro Semestre 2022</v>
      </c>
      <c r="AR153" s="27" t="str">
        <f ca="1">IFERROR(__xludf.DUMMYFUNCTION("""COMPUTED_VALUE"""),"celiapassosana715@gmail.com")</f>
        <v>celiapassosana715@gmail.com</v>
      </c>
      <c r="AS153" s="27">
        <f ca="1">IFERROR(__xludf.DUMMYFUNCTION("""COMPUTED_VALUE"""),75981868074)</f>
        <v>75981868074</v>
      </c>
      <c r="AT153" s="29">
        <f ca="1">IFERROR(__xludf.DUMMYFUNCTION("""COMPUTED_VALUE"""),30213)</f>
        <v>30213</v>
      </c>
      <c r="AU153" s="27">
        <f ca="1">IFERROR(__xludf.DUMMYFUNCTION("""COMPUTED_VALUE"""),40)</f>
        <v>40</v>
      </c>
      <c r="AV153" s="27">
        <f ca="1">IFERROR(__xludf.DUMMYFUNCTION("""COMPUTED_VALUE"""),1825256519)</f>
        <v>1825256519</v>
      </c>
      <c r="AW153" s="27">
        <f ca="1">IFERROR(__xludf.DUMMYFUNCTION("""COMPUTED_VALUE"""),1654690309)</f>
        <v>1654690309</v>
      </c>
      <c r="AX153" s="27"/>
      <c r="AY153" s="27"/>
      <c r="AZ153" s="27" t="str">
        <f ca="1">IFERROR(__xludf.DUMMYFUNCTION("""COMPUTED_VALUE"""),"G1")</f>
        <v>G1</v>
      </c>
      <c r="BA153" s="27" t="str">
        <f ca="1">IFERROR(__xludf.DUMMYFUNCTION("""COMPUTED_VALUE"""),"Preta")</f>
        <v>Preta</v>
      </c>
      <c r="BB153" s="27"/>
      <c r="BC153" s="27"/>
      <c r="BD153" s="27" t="str">
        <f ca="1">IFERROR(__xludf.DUMMYFUNCTION("""COMPUTED_VALUE"""),"Sou Ana Célia Pereira da Conceição Passos* mulher negra*viúva mãe de um casal de filhos.sou Pós ós graduada em políticas públicas na edução básica* tenho uma segunda pós graduação em Ensino de Sociologia no Ensino Médio* Estou no terceiro mandato como con"&amp;"selheira tutelar. Amo o trabalho social estou atuando na ONG Sagrada Família há mais de 20 anos sempre na luta buscando o melhor para as crianças adolescentes e as famílias de minha comunidade.")</f>
        <v>Sou Ana Célia Pereira da Conceição Passos* mulher negra*viúva mãe de um casal de filhos.sou Pós ós graduada em políticas públicas na edução básica* tenho uma segunda pós graduação em Ensino de Sociologia no Ensino Médio* Estou no terceiro mandato como conselheira tutelar. Amo o trabalho social estou atuando na ONG Sagrada Família há mais de 20 anos sempre na luta buscando o melhor para as crianças adolescentes e as famílias de minha comunidade.</v>
      </c>
      <c r="BE153" s="27" t="str">
        <f ca="1">IFERROR(__xludf.DUMMYFUNCTION("""COMPUTED_VALUE"""),"Feminino")</f>
        <v>Feminino</v>
      </c>
      <c r="BF153" s="27" t="str">
        <f ca="1">IFERROR(__xludf.DUMMYFUNCTION("""COMPUTED_VALUE"""),"Heterossexual")</f>
        <v>Heterossexual</v>
      </c>
      <c r="BG153" s="27"/>
      <c r="BH153" s="27" t="str">
        <f ca="1">IFERROR(__xludf.DUMMYFUNCTION("""COMPUTED_VALUE"""),"Público")</f>
        <v>Público</v>
      </c>
      <c r="BI153" s="27" t="str">
        <f ca="1">IFERROR(__xludf.DUMMYFUNCTION("""COMPUTED_VALUE"""),"Pós-Graduação")</f>
        <v>Pós-Graduação</v>
      </c>
      <c r="BJ153" s="27" t="str">
        <f ca="1">IFERROR(__xludf.DUMMYFUNCTION("""COMPUTED_VALUE"""),"Público")</f>
        <v>Público</v>
      </c>
      <c r="BK153" s="27" t="str">
        <f ca="1">IFERROR(__xludf.DUMMYFUNCTION("""COMPUTED_VALUE"""),"Praça Castro Alves")</f>
        <v>Praça Castro Alves</v>
      </c>
      <c r="BL153" s="27">
        <f ca="1">IFERROR(__xludf.DUMMYFUNCTION("""COMPUTED_VALUE"""),19)</f>
        <v>19</v>
      </c>
      <c r="BM153" s="27"/>
      <c r="BN153" s="27"/>
      <c r="BO153" s="27">
        <f ca="1">IFERROR(__xludf.DUMMYFUNCTION("""COMPUTED_VALUE"""),44345000)</f>
        <v>44345000</v>
      </c>
      <c r="BP153" s="27" t="str">
        <f ca="1">IFERROR(__xludf.DUMMYFUNCTION("""COMPUTED_VALUE"""),"BA")</f>
        <v>BA</v>
      </c>
      <c r="BQ153" s="27" t="str">
        <f ca="1">IFERROR(__xludf.DUMMYFUNCTION("""COMPUTED_VALUE"""),"Entre 1 até 3 salários mínimos")</f>
        <v>Entre 1 até 3 salários mínimos</v>
      </c>
      <c r="BR153" s="27" t="str">
        <f ca="1">IFERROR(__xludf.DUMMYFUNCTION("""COMPUTED_VALUE"""),"Desempregado")</f>
        <v>Desempregado</v>
      </c>
      <c r="BS153" s="27" t="str">
        <f ca="1">IFERROR(__xludf.DUMMYFUNCTION("""COMPUTED_VALUE"""),"Casa cedida")</f>
        <v>Casa cedida</v>
      </c>
      <c r="BT153" s="27">
        <f ca="1">IFERROR(__xludf.DUMMYFUNCTION("""COMPUTED_VALUE"""),5)</f>
        <v>5</v>
      </c>
      <c r="BU153" s="27" t="str">
        <f ca="1">IFERROR(__xludf.DUMMYFUNCTION("""COMPUTED_VALUE"""),"Não tem")</f>
        <v>Não tem</v>
      </c>
      <c r="BV153" s="27" t="str">
        <f ca="1">IFERROR(__xludf.DUMMYFUNCTION("""COMPUTED_VALUE"""),"Não")</f>
        <v>Não</v>
      </c>
      <c r="BW153" s="21" t="str">
        <f ca="1">IFERROR(__xludf.DUMMYFUNCTION("""COMPUTED_VALUE"""),"https://www.linkedin.com/in/ana-c%C3%A9lia-passos-7032776a/")</f>
        <v>https://www.linkedin.com/in/ana-c%C3%A9lia-passos-7032776a/</v>
      </c>
      <c r="BX153" s="21" t="str">
        <f ca="1">IFERROR(__xludf.DUMMYFUNCTION("""COMPUTED_VALUE"""),"https://www.instagram.com/ana.passos.315/")</f>
        <v>https://www.instagram.com/ana.passos.315/</v>
      </c>
      <c r="BY153" s="21" t="str">
        <f ca="1">IFERROR(__xludf.DUMMYFUNCTION("""COMPUTED_VALUE"""),"https://drive.google.com/open?id=12eipfxlQ-9jFTzg4dTPITGKQMopChRb2")</f>
        <v>https://drive.google.com/open?id=12eipfxlQ-9jFTzg4dTPITGKQMopChRb2</v>
      </c>
    </row>
    <row r="154" spans="1:77" ht="12.5" hidden="1" x14ac:dyDescent="0.25">
      <c r="A154" s="21" t="str">
        <f ca="1">IFERROR(__xludf.DUMMYFUNCTION("""COMPUTED_VALUE"""),"0014X00002VKCqVQAX")</f>
        <v>0014X00002VKCqVQAX</v>
      </c>
      <c r="B154" s="27" t="str">
        <f ca="1">IFERROR(__xludf.DUMMYFUNCTION("""COMPUTED_VALUE"""),"Fase Inicial")</f>
        <v>Fase Inicial</v>
      </c>
      <c r="C154" s="27" t="str">
        <f ca="1">IFERROR(__xludf.DUMMYFUNCTION("""COMPUTED_VALUE"""),"Fellow")</f>
        <v>Fellow</v>
      </c>
      <c r="D154" s="27" t="str">
        <f ca="1">IFERROR(__xludf.DUMMYFUNCTION("""COMPUTED_VALUE"""),"Ativo")</f>
        <v>Ativo</v>
      </c>
      <c r="E154" s="27" t="str">
        <f ca="1">IFERROR(__xludf.DUMMYFUNCTION("""COMPUTED_VALUE"""),"ASSOCIAÇÃO SOCIEDADE BENEFICENTE O BOM SAMARITANO DE CACHOEIRINHA")</f>
        <v>ASSOCIAÇÃO SOCIEDADE BENEFICENTE O BOM SAMARITANO DE CACHOEIRINHA</v>
      </c>
      <c r="F154" s="27" t="str">
        <f ca="1">IFERROR(__xludf.DUMMYFUNCTION("""COMPUTED_VALUE"""),"Alexsasndro")</f>
        <v>Alexsasndro</v>
      </c>
      <c r="G154" s="27" t="str">
        <f ca="1">IFERROR(__xludf.DUMMYFUNCTION("""COMPUTED_VALUE"""),"PROJETO CAIS")</f>
        <v>PROJETO CAIS</v>
      </c>
      <c r="H154" s="27" t="str">
        <f ca="1">IFERROR(__xludf.DUMMYFUNCTION("""COMPUTED_VALUE"""),"92.247.725/0001-05")</f>
        <v>92.247.725/0001-05</v>
      </c>
      <c r="I154" s="27" t="str">
        <f ca="1">IFERROR(__xludf.DUMMYFUNCTION("""COMPUTED_VALUE"""),"Andre dos Santos Mross")</f>
        <v>Andre dos Santos Mross</v>
      </c>
      <c r="J154" s="27" t="str">
        <f ca="1">IFERROR(__xludf.DUMMYFUNCTION("""COMPUTED_VALUE"""),"alex.silva281179@gmail.com")</f>
        <v>alex.silva281179@gmail.com</v>
      </c>
      <c r="K154" s="27" t="str">
        <f ca="1">IFERROR(__xludf.DUMMYFUNCTION("""COMPUTED_VALUE"""),"(51)99769-0381")</f>
        <v>(51)99769-0381</v>
      </c>
      <c r="L154" s="27" t="str">
        <f ca="1">IFERROR(__xludf.DUMMYFUNCTION("""COMPUTED_VALUE"""),"RS")</f>
        <v>RS</v>
      </c>
      <c r="M154" s="27" t="str">
        <f ca="1">IFERROR(__xludf.DUMMYFUNCTION("""COMPUTED_VALUE"""),"Av Temo Dorneles")</f>
        <v>Av Temo Dorneles</v>
      </c>
      <c r="N154" s="27" t="str">
        <f ca="1">IFERROR(__xludf.DUMMYFUNCTION("""COMPUTED_VALUE"""),"Vila Silveira")</f>
        <v>Vila Silveira</v>
      </c>
      <c r="O154" s="27">
        <f ca="1">IFERROR(__xludf.DUMMYFUNCTION("""COMPUTED_VALUE"""),237)</f>
        <v>237</v>
      </c>
      <c r="P154" s="27" t="str">
        <f ca="1">IFERROR(__xludf.DUMMYFUNCTION("""COMPUTED_VALUE"""),"Cachoeirinha")</f>
        <v>Cachoeirinha</v>
      </c>
      <c r="Q154" s="27" t="str">
        <f ca="1">IFERROR(__xludf.DUMMYFUNCTION("""COMPUTED_VALUE"""),"predio 1")</f>
        <v>predio 1</v>
      </c>
      <c r="R154" s="27" t="str">
        <f ca="1">IFERROR(__xludf.DUMMYFUNCTION("""COMPUTED_VALUE"""),"94940-250")</f>
        <v>94940-250</v>
      </c>
      <c r="S154" s="27" t="str">
        <f ca="1">IFERROR(__xludf.DUMMYFUNCTION("""COMPUTED_VALUE"""),"Atuamos em escolas, comunidades carentes, favelas e centros de acessibilidade e inclusão Social. Pessoas em vulnerabilidade Social.")</f>
        <v>Atuamos em escolas, comunidades carentes, favelas e centros de acessibilidade e inclusão Social. Pessoas em vulnerabilidade Social.</v>
      </c>
      <c r="T154" s="27"/>
      <c r="U154"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154" s="27" t="str">
        <f ca="1">IFERROR(__xludf.DUMMYFUNCTION("""COMPUTED_VALUE"""),"Moradores de Favelas, Pessoas com Deficiência")</f>
        <v>Moradores de Favelas, Pessoas com Deficiência</v>
      </c>
      <c r="W154" s="27">
        <f ca="1">IFERROR(__xludf.DUMMYFUNCTION("""COMPUTED_VALUE"""),10)</f>
        <v>10</v>
      </c>
      <c r="X154" s="27" t="str">
        <f ca="1">IFERROR(__xludf.DUMMYFUNCTION("""COMPUTED_VALUE"""),"Pessoas com deficiência* Surdos* Cuidadores de Pessoas com Deficiência")</f>
        <v>Pessoas com deficiência* Surdos* Cuidadores de Pessoas com Deficiência</v>
      </c>
      <c r="Y154" s="27"/>
      <c r="Z154" s="27">
        <f ca="1">IFERROR(__xludf.DUMMYFUNCTION("""COMPUTED_VALUE"""),150)</f>
        <v>150</v>
      </c>
      <c r="AA154" s="29">
        <f ca="1">IFERROR(__xludf.DUMMYFUNCTION("""COMPUTED_VALUE"""),32287)</f>
        <v>32287</v>
      </c>
      <c r="AB154" s="27" t="str">
        <f ca="1">IFERROR(__xludf.DUMMYFUNCTION("""COMPUTED_VALUE"""),"Sim")</f>
        <v>Sim</v>
      </c>
      <c r="AC154" s="27">
        <f ca="1">IFERROR(__xludf.DUMMYFUNCTION("""COMPUTED_VALUE"""),0)</f>
        <v>0</v>
      </c>
      <c r="AD154" s="27">
        <f ca="1">IFERROR(__xludf.DUMMYFUNCTION("""COMPUTED_VALUE"""),15)</f>
        <v>15</v>
      </c>
      <c r="AE154" s="27">
        <f ca="1">IFERROR(__xludf.DUMMYFUNCTION("""COMPUTED_VALUE"""),9)</f>
        <v>9</v>
      </c>
      <c r="AF154" s="27">
        <f ca="1">IFERROR(__xludf.DUMMYFUNCTION("""COMPUTED_VALUE"""),10)</f>
        <v>10</v>
      </c>
      <c r="AG154" s="27">
        <f ca="1">IFERROR(__xludf.DUMMYFUNCTION("""COMPUTED_VALUE"""),5)</f>
        <v>5</v>
      </c>
      <c r="AH154" s="27" t="str">
        <f ca="1">IFERROR(__xludf.DUMMYFUNCTION("""COMPUTED_VALUE"""),"Negócio Social, Eventos/Ações para captação, Parceria iniciativa privada, Doações, Recursos próprios")</f>
        <v>Negócio Social, Eventos/Ações para captação, Parceria iniciativa privada, Doações, Recursos próprios</v>
      </c>
      <c r="AI154" s="27" t="str">
        <f ca="1">IFERROR(__xludf.DUMMYFUNCTION("""COMPUTED_VALUE"""),"15% Negocio Social, 60% Eventos, 25 outros")</f>
        <v>15% Negocio Social, 60% Eventos, 25 outros</v>
      </c>
      <c r="AJ154" s="27" t="str">
        <f ca="1">IFERROR(__xludf.DUMMYFUNCTION("""COMPUTED_VALUE"""),"Não")</f>
        <v>Não</v>
      </c>
      <c r="AK154" s="27"/>
      <c r="AL154" s="21" t="str">
        <f ca="1">IFERROR(__xludf.DUMMYFUNCTION("""COMPUTED_VALUE"""),"0034X0000380O2s")</f>
        <v>0034X0000380O2s</v>
      </c>
      <c r="AM154" s="27" t="str">
        <f ca="1">IFERROR(__xludf.DUMMYFUNCTION("""COMPUTED_VALUE"""),"Silva da silva")</f>
        <v>Silva da silva</v>
      </c>
      <c r="AN154" s="27" t="str">
        <f ca="1">IFERROR(__xludf.DUMMYFUNCTION("""COMPUTED_VALUE"""),"Ativo")</f>
        <v>Ativo</v>
      </c>
      <c r="AO154" s="29">
        <f ca="1">IFERROR(__xludf.DUMMYFUNCTION("""COMPUTED_VALUE"""),44763)</f>
        <v>44763</v>
      </c>
      <c r="AP154" s="27">
        <f ca="1">IFERROR(__xludf.DUMMYFUNCTION("""COMPUTED_VALUE"""),2)</f>
        <v>2</v>
      </c>
      <c r="AQ154" s="27" t="str">
        <f ca="1">IFERROR(__xludf.DUMMYFUNCTION("""COMPUTED_VALUE"""),"Primeiro Semestre 2022")</f>
        <v>Primeiro Semestre 2022</v>
      </c>
      <c r="AR154" s="27" t="str">
        <f ca="1">IFERROR(__xludf.DUMMYFUNCTION("""COMPUTED_VALUE"""),"alexministry@live.com")</f>
        <v>alexministry@live.com</v>
      </c>
      <c r="AS154" s="27" t="str">
        <f ca="1">IFERROR(__xludf.DUMMYFUNCTION("""COMPUTED_VALUE"""),"(51)99769-0381")</f>
        <v>(51)99769-0381</v>
      </c>
      <c r="AT154" s="30">
        <f ca="1">IFERROR(__xludf.DUMMYFUNCTION("""COMPUTED_VALUE"""),29187)</f>
        <v>29187</v>
      </c>
      <c r="AU154" s="27">
        <f ca="1">IFERROR(__xludf.DUMMYFUNCTION("""COMPUTED_VALUE"""),43)</f>
        <v>43</v>
      </c>
      <c r="AV154" s="27">
        <f ca="1">IFERROR(__xludf.DUMMYFUNCTION("""COMPUTED_VALUE"""),76243214087)</f>
        <v>76243214087</v>
      </c>
      <c r="AW154" s="27">
        <f ca="1">IFERROR(__xludf.DUMMYFUNCTION("""COMPUTED_VALUE"""),1066461748)</f>
        <v>1066461748</v>
      </c>
      <c r="AX154" s="27"/>
      <c r="AY154" s="27" t="str">
        <f ca="1">IFERROR(__xludf.DUMMYFUNCTION("""COMPUTED_VALUE"""),"Diretor Projeto Cais")</f>
        <v>Diretor Projeto Cais</v>
      </c>
      <c r="AZ154" s="27" t="str">
        <f ca="1">IFERROR(__xludf.DUMMYFUNCTION("""COMPUTED_VALUE"""),"G1")</f>
        <v>G1</v>
      </c>
      <c r="BA154" s="27" t="str">
        <f ca="1">IFERROR(__xludf.DUMMYFUNCTION("""COMPUTED_VALUE"""),"Branca")</f>
        <v>Branca</v>
      </c>
      <c r="BB154" s="27"/>
      <c r="BC154" s="27"/>
      <c r="BD154" s="27" t="str">
        <f ca="1">IFERROR(__xludf.DUMMYFUNCTION("""COMPUTED_VALUE"""),"Sou Alex Silva, Designer, Teólogo, Pastor e Interprete de Libras. Sou casado com Geruza ha 23 anos, e pai de Abner (surdo) 21 anos e Adiel 14 anos.
Desenvolvo trabalho social com pessoas com deficiência e Surdos. Acolhimento e orientação a familiares e cu"&amp;"idadores de Pcd's.
Trabalho também como tradutor da Bíblia para Língua Brasileira de Sinais,.
Acessibilidade e Inclusão Social.
Trabalhamos no desenvolvimento Socio Emocional, Cultural de pessoas com Deficiencia.")</f>
        <v>Sou Alex Silva, Designer, Teólogo, Pastor e Interprete de Libras. Sou casado com Geruza ha 23 anos, e pai de Abner (surdo) 21 anos e Adiel 14 anos.
Desenvolvo trabalho social com pessoas com deficiência e Surdos. Acolhimento e orientação a familiares e cuidadores de Pcd's.
Trabalho também como tradutor da Bíblia para Língua Brasileira de Sinais,.
Acessibilidade e Inclusão Social.
Trabalhamos no desenvolvimento Socio Emocional, Cultural de pessoas com Deficiencia.</v>
      </c>
      <c r="BE154" s="27" t="str">
        <f ca="1">IFERROR(__xludf.DUMMYFUNCTION("""COMPUTED_VALUE"""),"Homem, cisgênero")</f>
        <v>Homem, cisgênero</v>
      </c>
      <c r="BF154" s="27" t="str">
        <f ca="1">IFERROR(__xludf.DUMMYFUNCTION("""COMPUTED_VALUE"""),"Heterossexual")</f>
        <v>Heterossexual</v>
      </c>
      <c r="BG154" s="27" t="str">
        <f ca="1">IFERROR(__xludf.DUMMYFUNCTION("""COMPUTED_VALUE"""),"Ensino Superior - Completo")</f>
        <v>Ensino Superior - Completo</v>
      </c>
      <c r="BH154" s="27" t="str">
        <f ca="1">IFERROR(__xludf.DUMMYFUNCTION("""COMPUTED_VALUE"""),"Público")</f>
        <v>Público</v>
      </c>
      <c r="BI154" s="27" t="str">
        <f ca="1">IFERROR(__xludf.DUMMYFUNCTION("""COMPUTED_VALUE"""),"Graduação")</f>
        <v>Graduação</v>
      </c>
      <c r="BJ154" s="27" t="str">
        <f ca="1">IFERROR(__xludf.DUMMYFUNCTION("""COMPUTED_VALUE"""),"Privado")</f>
        <v>Privado</v>
      </c>
      <c r="BK154" s="27" t="str">
        <f ca="1">IFERROR(__xludf.DUMMYFUNCTION("""COMPUTED_VALUE"""),"Qr 102, Conjunto 2")</f>
        <v>Qr 102, Conjunto 2</v>
      </c>
      <c r="BL154" s="27" t="str">
        <f ca="1">IFERROR(__xludf.DUMMYFUNCTION("""COMPUTED_VALUE"""),"Lote 123")</f>
        <v>Lote 123</v>
      </c>
      <c r="BM154" s="27" t="str">
        <f ca="1">IFERROR(__xludf.DUMMYFUNCTION("""COMPUTED_VALUE"""),"Bloco C Ap 807")</f>
        <v>Bloco C Ap 807</v>
      </c>
      <c r="BN154" s="27" t="str">
        <f ca="1">IFERROR(__xludf.DUMMYFUNCTION("""COMPUTED_VALUE"""),"Samambaia Sul")</f>
        <v>Samambaia Sul</v>
      </c>
      <c r="BO154" s="27" t="str">
        <f ca="1">IFERROR(__xludf.DUMMYFUNCTION("""COMPUTED_VALUE"""),"72300-603")</f>
        <v>72300-603</v>
      </c>
      <c r="BP154" s="27" t="str">
        <f ca="1">IFERROR(__xludf.DUMMYFUNCTION("""COMPUTED_VALUE"""),"DF")</f>
        <v>DF</v>
      </c>
      <c r="BQ154" s="27" t="str">
        <f ca="1">IFERROR(__xludf.DUMMYFUNCTION("""COMPUTED_VALUE"""),"De 3 até 5 salários mínimos")</f>
        <v>De 3 até 5 salários mínimos</v>
      </c>
      <c r="BR154" s="27" t="str">
        <f ca="1">IFERROR(__xludf.DUMMYFUNCTION("""COMPUTED_VALUE"""),"MEI")</f>
        <v>MEI</v>
      </c>
      <c r="BS154" s="27" t="str">
        <f ca="1">IFERROR(__xludf.DUMMYFUNCTION("""COMPUTED_VALUE"""),"Aluguel")</f>
        <v>Aluguel</v>
      </c>
      <c r="BT154" s="27">
        <f ca="1">IFERROR(__xludf.DUMMYFUNCTION("""COMPUTED_VALUE"""),3)</f>
        <v>3</v>
      </c>
      <c r="BU154" s="27" t="str">
        <f ca="1">IFERROR(__xludf.DUMMYFUNCTION("""COMPUTED_VALUE"""),"Não tem")</f>
        <v>Não tem</v>
      </c>
      <c r="BV154" s="27" t="str">
        <f ca="1">IFERROR(__xludf.DUMMYFUNCTION("""COMPUTED_VALUE"""),"Não")</f>
        <v>Não</v>
      </c>
      <c r="BW154" s="27"/>
      <c r="BX154" s="27" t="str">
        <f ca="1">IFERROR(__xludf.DUMMYFUNCTION("""COMPUTED_VALUE"""),"@alexministry")</f>
        <v>@alexministry</v>
      </c>
      <c r="BY154" s="21" t="str">
        <f ca="1">IFERROR(__xludf.DUMMYFUNCTION("""COMPUTED_VALUE"""),"https://drive.google.com/open?id=1OG6XRETFVeoof_imlJh841Gb2lDADBFO")</f>
        <v>https://drive.google.com/open?id=1OG6XRETFVeoof_imlJh841Gb2lDADBFO</v>
      </c>
    </row>
    <row r="155" spans="1:77" ht="12.5" hidden="1" x14ac:dyDescent="0.25">
      <c r="A155" s="21" t="str">
        <f ca="1">IFERROR(__xludf.DUMMYFUNCTION("""COMPUTED_VALUE"""),"0014X00002VKCpzQAH")</f>
        <v>0014X00002VKCpzQAH</v>
      </c>
      <c r="B155" s="27" t="str">
        <f ca="1">IFERROR(__xludf.DUMMYFUNCTION("""COMPUTED_VALUE"""),"Fase Inicial")</f>
        <v>Fase Inicial</v>
      </c>
      <c r="C155" s="27" t="str">
        <f ca="1">IFERROR(__xludf.DUMMYFUNCTION("""COMPUTED_VALUE"""),"Fellow")</f>
        <v>Fellow</v>
      </c>
      <c r="D155" s="27" t="str">
        <f ca="1">IFERROR(__xludf.DUMMYFUNCTION("""COMPUTED_VALUE"""),"Ativo")</f>
        <v>Ativo</v>
      </c>
      <c r="E155" s="27" t="str">
        <f ca="1">IFERROR(__xludf.DUMMYFUNCTION("""COMPUTED_VALUE"""),"Associação Sociocultural do Bom Jardim")</f>
        <v>Associação Sociocultural do Bom Jardim</v>
      </c>
      <c r="F155" s="27" t="str">
        <f ca="1">IFERROR(__xludf.DUMMYFUNCTION("""COMPUTED_VALUE"""),"George")</f>
        <v>George</v>
      </c>
      <c r="G155" s="27" t="str">
        <f ca="1">IFERROR(__xludf.DUMMYFUNCTION("""COMPUTED_VALUE"""),"ASCBJ")</f>
        <v>ASCBJ</v>
      </c>
      <c r="H155" s="27" t="str">
        <f ca="1">IFERROR(__xludf.DUMMYFUNCTION("""COMPUTED_VALUE"""),"26.562.485/0001-09")</f>
        <v>26.562.485/0001-09</v>
      </c>
      <c r="I155" s="27" t="str">
        <f ca="1">IFERROR(__xludf.DUMMYFUNCTION("""COMPUTED_VALUE"""),"George Marconi Sousa Silva")</f>
        <v>George Marconi Sousa Silva</v>
      </c>
      <c r="J155" s="27" t="str">
        <f ca="1">IFERROR(__xludf.DUMMYFUNCTION("""COMPUTED_VALUE"""),"ascbj.ascbj@gmail.com")</f>
        <v>ascbj.ascbj@gmail.com</v>
      </c>
      <c r="K155" s="27" t="str">
        <f ca="1">IFERROR(__xludf.DUMMYFUNCTION("""COMPUTED_VALUE"""),"(85)98919-9313")</f>
        <v>(85)98919-9313</v>
      </c>
      <c r="L155" s="27" t="str">
        <f ca="1">IFERROR(__xludf.DUMMYFUNCTION("""COMPUTED_VALUE"""),"CE")</f>
        <v>CE</v>
      </c>
      <c r="M155" s="27" t="str">
        <f ca="1">IFERROR(__xludf.DUMMYFUNCTION("""COMPUTED_VALUE"""),"Rua Xavier da Silveira")</f>
        <v>Rua Xavier da Silveira</v>
      </c>
      <c r="N155" s="27" t="str">
        <f ca="1">IFERROR(__xludf.DUMMYFUNCTION("""COMPUTED_VALUE"""),"Granja Lisboa")</f>
        <v>Granja Lisboa</v>
      </c>
      <c r="O155" s="27">
        <f ca="1">IFERROR(__xludf.DUMMYFUNCTION("""COMPUTED_VALUE"""),3831)</f>
        <v>3831</v>
      </c>
      <c r="P155" s="27" t="str">
        <f ca="1">IFERROR(__xludf.DUMMYFUNCTION("""COMPUTED_VALUE"""),"Fortaleza")</f>
        <v>Fortaleza</v>
      </c>
      <c r="Q155" s="27"/>
      <c r="R155" s="27" t="str">
        <f ca="1">IFERROR(__xludf.DUMMYFUNCTION("""COMPUTED_VALUE"""),"60540-212")</f>
        <v>60540-212</v>
      </c>
      <c r="S155" s="27"/>
      <c r="T155" s="27"/>
      <c r="U155"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155" s="27" t="str">
        <f ca="1">IFERROR(__xludf.DUMMYFUNCTION("""COMPUTED_VALUE"""),"Moradores de Favelas, População LGBTQ+, Pessoas com Deficiência")</f>
        <v>Moradores de Favelas, População LGBTQ+, Pessoas com Deficiência</v>
      </c>
      <c r="W155" s="27">
        <f ca="1">IFERROR(__xludf.DUMMYFUNCTION("""COMPUTED_VALUE"""),3)</f>
        <v>3</v>
      </c>
      <c r="X155" s="27"/>
      <c r="Y155" s="27"/>
      <c r="Z155" s="27">
        <f ca="1">IFERROR(__xludf.DUMMYFUNCTION("""COMPUTED_VALUE"""),136)</f>
        <v>136</v>
      </c>
      <c r="AA155" s="29">
        <f ca="1">IFERROR(__xludf.DUMMYFUNCTION("""COMPUTED_VALUE"""),42086)</f>
        <v>42086</v>
      </c>
      <c r="AB155" s="27" t="str">
        <f ca="1">IFERROR(__xludf.DUMMYFUNCTION("""COMPUTED_VALUE"""),"Sim")</f>
        <v>Sim</v>
      </c>
      <c r="AC155" s="27">
        <f ca="1">IFERROR(__xludf.DUMMYFUNCTION("""COMPUTED_VALUE"""),0)</f>
        <v>0</v>
      </c>
      <c r="AD155" s="27">
        <f ca="1">IFERROR(__xludf.DUMMYFUNCTION("""COMPUTED_VALUE"""),11)</f>
        <v>11</v>
      </c>
      <c r="AE155" s="27">
        <f ca="1">IFERROR(__xludf.DUMMYFUNCTION("""COMPUTED_VALUE"""),11)</f>
        <v>11</v>
      </c>
      <c r="AF155" s="27">
        <f ca="1">IFERROR(__xludf.DUMMYFUNCTION("""COMPUTED_VALUE"""),11)</f>
        <v>11</v>
      </c>
      <c r="AG155" s="27">
        <f ca="1">IFERROR(__xludf.DUMMYFUNCTION("""COMPUTED_VALUE"""),3)</f>
        <v>3</v>
      </c>
      <c r="AH155" s="27" t="str">
        <f ca="1">IFERROR(__xludf.DUMMYFUNCTION("""COMPUTED_VALUE"""),"Editais, Doações, Recursos próprios")</f>
        <v>Editais, Doações, Recursos próprios</v>
      </c>
      <c r="AI155" s="27" t="str">
        <f ca="1">IFERROR(__xludf.DUMMYFUNCTION("""COMPUTED_VALUE"""),"30% Recurso próprio - 30% doações - 40% editais")</f>
        <v>30% Recurso próprio - 30% doações - 40% editais</v>
      </c>
      <c r="AJ155" s="27" t="str">
        <f ca="1">IFERROR(__xludf.DUMMYFUNCTION("""COMPUTED_VALUE"""),"Não")</f>
        <v>Não</v>
      </c>
      <c r="AK155" s="27"/>
      <c r="AL155" s="21" t="str">
        <f ca="1">IFERROR(__xludf.DUMMYFUNCTION("""COMPUTED_VALUE"""),"0034X0000380O0m")</f>
        <v>0034X0000380O0m</v>
      </c>
      <c r="AM155" s="27" t="str">
        <f ca="1">IFERROR(__xludf.DUMMYFUNCTION("""COMPUTED_VALUE"""),"Marconi sousa silva")</f>
        <v>Marconi sousa silva</v>
      </c>
      <c r="AN155" s="27" t="str">
        <f ca="1">IFERROR(__xludf.DUMMYFUNCTION("""COMPUTED_VALUE"""),"Ativo")</f>
        <v>Ativo</v>
      </c>
      <c r="AO155" s="29">
        <f ca="1">IFERROR(__xludf.DUMMYFUNCTION("""COMPUTED_VALUE"""),44763)</f>
        <v>44763</v>
      </c>
      <c r="AP155" s="27">
        <f ca="1">IFERROR(__xludf.DUMMYFUNCTION("""COMPUTED_VALUE"""),2)</f>
        <v>2</v>
      </c>
      <c r="AQ155" s="27" t="str">
        <f ca="1">IFERROR(__xludf.DUMMYFUNCTION("""COMPUTED_VALUE"""),"Primeiro Semestre 2022")</f>
        <v>Primeiro Semestre 2022</v>
      </c>
      <c r="AR155" s="27" t="str">
        <f ca="1">IFERROR(__xludf.DUMMYFUNCTION("""COMPUTED_VALUE"""),"georgemarconi22@gmail.com")</f>
        <v>georgemarconi22@gmail.com</v>
      </c>
      <c r="AS155" s="27" t="str">
        <f ca="1">IFERROR(__xludf.DUMMYFUNCTION("""COMPUTED_VALUE"""),"(85)98919-9313")</f>
        <v>(85)98919-9313</v>
      </c>
      <c r="AT155" s="29">
        <f ca="1">IFERROR(__xludf.DUMMYFUNCTION("""COMPUTED_VALUE"""),28724)</f>
        <v>28724</v>
      </c>
      <c r="AU155" s="27">
        <f ca="1">IFERROR(__xludf.DUMMYFUNCTION("""COMPUTED_VALUE"""),44)</f>
        <v>44</v>
      </c>
      <c r="AV155" s="27">
        <f ca="1">IFERROR(__xludf.DUMMYFUNCTION("""COMPUTED_VALUE"""),63421216304)</f>
        <v>63421216304</v>
      </c>
      <c r="AW155" s="27">
        <f ca="1">IFERROR(__xludf.DUMMYFUNCTION("""COMPUTED_VALUE"""),94024000475)</f>
        <v>94024000475</v>
      </c>
      <c r="AX155" s="27"/>
      <c r="AY155" s="27" t="str">
        <f ca="1">IFERROR(__xludf.DUMMYFUNCTION("""COMPUTED_VALUE"""),"Presidente")</f>
        <v>Presidente</v>
      </c>
      <c r="AZ155" s="27" t="str">
        <f ca="1">IFERROR(__xludf.DUMMYFUNCTION("""COMPUTED_VALUE"""),"G")</f>
        <v>G</v>
      </c>
      <c r="BA155" s="27" t="str">
        <f ca="1">IFERROR(__xludf.DUMMYFUNCTION("""COMPUTED_VALUE"""),"Parda")</f>
        <v>Parda</v>
      </c>
      <c r="BB155" s="27"/>
      <c r="BC155" s="27"/>
      <c r="BD155" s="27" t="str">
        <f ca="1">IFERROR(__xludf.DUMMYFUNCTION("""COMPUTED_VALUE"""),"George Marconi Sousa Silva -  Cearense, estudante do Curso de Gestão Desportiva e de Lazer pelo Instituto Federal de Educação, Ciência e Tecnologia do Ceará – IFCE, Campus
Fortaleza. Interessou-se pelo mundo das linguagens culturais aos 12 anos.
Cursou de"&amp;" Gestão Cultural no IFCE - 80h, Cursou Gestão de eventos no IFCE 40h, 
Cursou Gestão de Lazer no IFCE - 40h, Cursou Sociologia do Lazer no IFCE - 40h,
Cursou Politicas Publicas do Esporte e Lazer no IFCE - 80h.")</f>
        <v>George Marconi Sousa Silva -  Cearense, estudante do Curso de Gestão Desportiva e de Lazer pelo Instituto Federal de Educação, Ciência e Tecnologia do Ceará – IFCE, Campus
Fortaleza. Interessou-se pelo mundo das linguagens culturais aos 12 anos.
Cursou de Gestão Cultural no IFCE - 80h, Cursou Gestão de eventos no IFCE 40h, 
Cursou Gestão de Lazer no IFCE - 40h, Cursou Sociologia do Lazer no IFCE - 40h,
Cursou Politicas Publicas do Esporte e Lazer no IFCE - 80h.</v>
      </c>
      <c r="BE155" s="27" t="str">
        <f ca="1">IFERROR(__xludf.DUMMYFUNCTION("""COMPUTED_VALUE"""),"Homem, cisgênero")</f>
        <v>Homem, cisgênero</v>
      </c>
      <c r="BF155" s="27" t="str">
        <f ca="1">IFERROR(__xludf.DUMMYFUNCTION("""COMPUTED_VALUE"""),"Heterossexual")</f>
        <v>Heterossexual</v>
      </c>
      <c r="BG155" s="27" t="str">
        <f ca="1">IFERROR(__xludf.DUMMYFUNCTION("""COMPUTED_VALUE"""),"Ensino Superior - Incompleto")</f>
        <v>Ensino Superior - Incompleto</v>
      </c>
      <c r="BH155" s="27" t="str">
        <f ca="1">IFERROR(__xludf.DUMMYFUNCTION("""COMPUTED_VALUE"""),"Público")</f>
        <v>Público</v>
      </c>
      <c r="BI155" s="27" t="str">
        <f ca="1">IFERROR(__xludf.DUMMYFUNCTION("""COMPUTED_VALUE"""),"Graduação")</f>
        <v>Graduação</v>
      </c>
      <c r="BJ155" s="27" t="str">
        <f ca="1">IFERROR(__xludf.DUMMYFUNCTION("""COMPUTED_VALUE"""),"Público")</f>
        <v>Público</v>
      </c>
      <c r="BK155" s="27" t="str">
        <f ca="1">IFERROR(__xludf.DUMMYFUNCTION("""COMPUTED_VALUE"""),"Rua Xavier da Silveira")</f>
        <v>Rua Xavier da Silveira</v>
      </c>
      <c r="BL155" s="27">
        <f ca="1">IFERROR(__xludf.DUMMYFUNCTION("""COMPUTED_VALUE"""),3929)</f>
        <v>3929</v>
      </c>
      <c r="BM155" s="27"/>
      <c r="BN155" s="27" t="str">
        <f ca="1">IFERROR(__xludf.DUMMYFUNCTION("""COMPUTED_VALUE"""),"Fortaleza")</f>
        <v>Fortaleza</v>
      </c>
      <c r="BO155" s="27" t="str">
        <f ca="1">IFERROR(__xludf.DUMMYFUNCTION("""COMPUTED_VALUE"""),"60540-212")</f>
        <v>60540-212</v>
      </c>
      <c r="BP155" s="27" t="str">
        <f ca="1">IFERROR(__xludf.DUMMYFUNCTION("""COMPUTED_VALUE"""),"CE")</f>
        <v>CE</v>
      </c>
      <c r="BQ155" s="27" t="str">
        <f ca="1">IFERROR(__xludf.DUMMYFUNCTION("""COMPUTED_VALUE"""),"Entre 1 até 3 salários mínimos")</f>
        <v>Entre 1 até 3 salários mínimos</v>
      </c>
      <c r="BR155" s="27" t="str">
        <f ca="1">IFERROR(__xludf.DUMMYFUNCTION("""COMPUTED_VALUE"""),"CLT")</f>
        <v>CLT</v>
      </c>
      <c r="BS155" s="27" t="str">
        <f ca="1">IFERROR(__xludf.DUMMYFUNCTION("""COMPUTED_VALUE"""),"Casa própria")</f>
        <v>Casa própria</v>
      </c>
      <c r="BT155" s="27">
        <f ca="1">IFERROR(__xludf.DUMMYFUNCTION("""COMPUTED_VALUE"""),4)</f>
        <v>4</v>
      </c>
      <c r="BU155" s="27" t="str">
        <f ca="1">IFERROR(__xludf.DUMMYFUNCTION("""COMPUTED_VALUE"""),"Não tem")</f>
        <v>Não tem</v>
      </c>
      <c r="BV155" s="27" t="str">
        <f ca="1">IFERROR(__xludf.DUMMYFUNCTION("""COMPUTED_VALUE"""),"Não")</f>
        <v>Não</v>
      </c>
      <c r="BW155" s="21" t="str">
        <f ca="1">IFERROR(__xludf.DUMMYFUNCTION("""COMPUTED_VALUE"""),"https://www.linkedin.com/in/george-marconi-sousa-silva-898a35140/")</f>
        <v>https://www.linkedin.com/in/george-marconi-sousa-silva-898a35140/</v>
      </c>
      <c r="BX155" s="21" t="str">
        <f ca="1">IFERROR(__xludf.DUMMYFUNCTION("""COMPUTED_VALUE"""),"https://www.instagram.com/georgemarconisousa/")</f>
        <v>https://www.instagram.com/georgemarconisousa/</v>
      </c>
      <c r="BY155" s="21" t="str">
        <f ca="1">IFERROR(__xludf.DUMMYFUNCTION("""COMPUTED_VALUE"""),"https://drive.google.com/open?id=1NcFkDJp666d0gE23w4fwboFOwT-JcBLy")</f>
        <v>https://drive.google.com/open?id=1NcFkDJp666d0gE23w4fwboFOwT-JcBLy</v>
      </c>
    </row>
    <row r="156" spans="1:77" ht="12.5" x14ac:dyDescent="0.25">
      <c r="A156" s="21" t="str">
        <f ca="1">IFERROR(__xludf.DUMMYFUNCTION("""COMPUTED_VALUE"""),"0014P00003SGWPSQA5")</f>
        <v>0014P00003SGWPSQA5</v>
      </c>
      <c r="B156" s="27" t="str">
        <f ca="1">IFERROR(__xludf.DUMMYFUNCTION("""COMPUTED_VALUE"""),"Fase Estruturação")</f>
        <v>Fase Estruturação</v>
      </c>
      <c r="C156" s="27" t="str">
        <f ca="1">IFERROR(__xludf.DUMMYFUNCTION("""COMPUTED_VALUE"""),"Fellow")</f>
        <v>Fellow</v>
      </c>
      <c r="D156" s="27" t="str">
        <f ca="1">IFERROR(__xludf.DUMMYFUNCTION("""COMPUTED_VALUE"""),"Ativo")</f>
        <v>Ativo</v>
      </c>
      <c r="E156" s="27" t="str">
        <f ca="1">IFERROR(__xludf.DUMMYFUNCTION("""COMPUTED_VALUE"""),"ASSOCIAÇÃO SWELL SURF BAÍA FORMOSA")</f>
        <v>ASSOCIAÇÃO SWELL SURF BAÍA FORMOSA</v>
      </c>
      <c r="F156" s="27" t="str">
        <f ca="1">IFERROR(__xludf.DUMMYFUNCTION("""COMPUTED_VALUE"""),"Barbara")</f>
        <v>Barbara</v>
      </c>
      <c r="G156" s="27" t="str">
        <f ca="1">IFERROR(__xludf.DUMMYFUNCTION("""COMPUTED_VALUE"""),"SWELL")</f>
        <v>SWELL</v>
      </c>
      <c r="H156" s="27" t="str">
        <f ca="1">IFERROR(__xludf.DUMMYFUNCTION("""COMPUTED_VALUE"""),"35.054.838/0001-42")</f>
        <v>35.054.838/0001-42</v>
      </c>
      <c r="I156" s="27" t="str">
        <f ca="1">IFERROR(__xludf.DUMMYFUNCTION("""COMPUTED_VALUE"""),"Barbara Coelho Souza Syllio")</f>
        <v>Barbara Coelho Souza Syllio</v>
      </c>
      <c r="J156" s="27" t="str">
        <f ca="1">IFERROR(__xludf.DUMMYFUNCTION("""COMPUTED_VALUE"""),"projetoswellsurf@gmail.com")</f>
        <v>projetoswellsurf@gmail.com</v>
      </c>
      <c r="K156" s="27" t="str">
        <f ca="1">IFERROR(__xludf.DUMMYFUNCTION("""COMPUTED_VALUE"""),"(84)99643-5090")</f>
        <v>(84)99643-5090</v>
      </c>
      <c r="L156" s="27" t="str">
        <f ca="1">IFERROR(__xludf.DUMMYFUNCTION("""COMPUTED_VALUE"""),"RN")</f>
        <v>RN</v>
      </c>
      <c r="M156" s="27" t="str">
        <f ca="1">IFERROR(__xludf.DUMMYFUNCTION("""COMPUTED_VALUE"""),"João Ferreira de Souza")</f>
        <v>João Ferreira de Souza</v>
      </c>
      <c r="N156" s="27" t="str">
        <f ca="1">IFERROR(__xludf.DUMMYFUNCTION("""COMPUTED_VALUE"""),"Centro")</f>
        <v>Centro</v>
      </c>
      <c r="O156" s="27" t="str">
        <f ca="1">IFERROR(__xludf.DUMMYFUNCTION("""COMPUTED_VALUE"""),"(84)99643-5090")</f>
        <v>(84)99643-5090</v>
      </c>
      <c r="P156" s="27" t="str">
        <f ca="1">IFERROR(__xludf.DUMMYFUNCTION("""COMPUTED_VALUE"""),"Baía Formosa")</f>
        <v>Baía Formosa</v>
      </c>
      <c r="Q156" s="27"/>
      <c r="R156" s="27" t="str">
        <f ca="1">IFERROR(__xludf.DUMMYFUNCTION("""COMPUTED_VALUE"""),"59194-000")</f>
        <v>59194-000</v>
      </c>
      <c r="S156" s="27"/>
      <c r="T156" s="27" t="str">
        <f ca="1">IFERROR(__xludf.DUMMYFUNCTION("""COMPUTED_VALUE"""),"Esporte; Educação; Cultura; Meio ambiente")</f>
        <v>Esporte; Educação; Cultura; Meio ambiente</v>
      </c>
      <c r="U156" s="27" t="str">
        <f ca="1">IFERROR(__xludf.DUMMYFUNCTION("""COMPUTED_VALUE"""),"Crianças (6 a 12 anos); Adolescentes (12 aos 18 anos)")</f>
        <v>Crianças (6 a 12 anos); Adolescentes (12 aos 18 anos)</v>
      </c>
      <c r="V156" s="27" t="str">
        <f ca="1">IFERROR(__xludf.DUMMYFUNCTION("""COMPUTED_VALUE"""),"Moradores de Favelas; Povos Indígenas; Quilombola; Afrodescendentes; Comunidade rural")</f>
        <v>Moradores de Favelas; Povos Indígenas; Quilombola; Afrodescendentes; Comunidade rural</v>
      </c>
      <c r="W156" s="27">
        <f ca="1">IFERROR(__xludf.DUMMYFUNCTION("""COMPUTED_VALUE"""),3)</f>
        <v>3</v>
      </c>
      <c r="X156" s="27"/>
      <c r="Y156" s="27">
        <f ca="1">IFERROR(__xludf.DUMMYFUNCTION("""COMPUTED_VALUE"""),80)</f>
        <v>80</v>
      </c>
      <c r="Z156" s="27">
        <f ca="1">IFERROR(__xludf.DUMMYFUNCTION("""COMPUTED_VALUE"""),900)</f>
        <v>900</v>
      </c>
      <c r="AA156" s="29">
        <f ca="1">IFERROR(__xludf.DUMMYFUNCTION("""COMPUTED_VALUE"""),43182)</f>
        <v>43182</v>
      </c>
      <c r="AB156" s="27" t="str">
        <f ca="1">IFERROR(__xludf.DUMMYFUNCTION("""COMPUTED_VALUE"""),"Sim")</f>
        <v>Sim</v>
      </c>
      <c r="AC156" s="27">
        <f ca="1">IFERROR(__xludf.DUMMYFUNCTION("""COMPUTED_VALUE"""),10)</f>
        <v>10</v>
      </c>
      <c r="AD156" s="27">
        <f ca="1">IFERROR(__xludf.DUMMYFUNCTION("""COMPUTED_VALUE"""),0)</f>
        <v>0</v>
      </c>
      <c r="AE156" s="27">
        <f ca="1">IFERROR(__xludf.DUMMYFUNCTION("""COMPUTED_VALUE"""),5)</f>
        <v>5</v>
      </c>
      <c r="AF156" s="27">
        <f ca="1">IFERROR(__xludf.DUMMYFUNCTION("""COMPUTED_VALUE"""),5)</f>
        <v>5</v>
      </c>
      <c r="AG156" s="27">
        <f ca="1">IFERROR(__xludf.DUMMYFUNCTION("""COMPUTED_VALUE"""),5)</f>
        <v>5</v>
      </c>
      <c r="AH156" s="27" t="str">
        <f ca="1">IFERROR(__xludf.DUMMYFUNCTION("""COMPUTED_VALUE"""),"Lei de Incentivo; Negócio Social; Eventos/Ações para captação; Parceria iniciativa privada; Editais; Lei Federal do Esporte")</f>
        <v>Lei de Incentivo; Negócio Social; Eventos/Ações para captação; Parceria iniciativa privada; Editais; Lei Federal do Esporte</v>
      </c>
      <c r="AI156" s="27" t="str">
        <f ca="1">IFERROR(__xludf.DUMMYFUNCTION("""COMPUTED_VALUE"""),"Lei do esporte - 70% patrocínio direto 10% ações 10% negócio 10%")</f>
        <v>Lei do esporte - 70% patrocínio direto 10% ações 10% negócio 10%</v>
      </c>
      <c r="AJ156" s="27" t="str">
        <f ca="1">IFERROR(__xludf.DUMMYFUNCTION("""COMPUTED_VALUE"""),"Não")</f>
        <v>Não</v>
      </c>
      <c r="AK156" s="27" t="str">
        <f ca="1">IFERROR(__xludf.DUMMYFUNCTION("""COMPUTED_VALUE"""),"Não")</f>
        <v>Não</v>
      </c>
      <c r="AL156" s="21" t="str">
        <f ca="1">IFERROR(__xludf.DUMMYFUNCTION("""COMPUTED_VALUE"""),"0034P000043fPDi")</f>
        <v>0034P000043fPDi</v>
      </c>
      <c r="AM156" s="27" t="str">
        <f ca="1">IFERROR(__xludf.DUMMYFUNCTION("""COMPUTED_VALUE"""),"Coelho Souza Syllio")</f>
        <v>Coelho Souza Syllio</v>
      </c>
      <c r="AN156" s="27" t="str">
        <f ca="1">IFERROR(__xludf.DUMMYFUNCTION("""COMPUTED_VALUE"""),"Ativo")</f>
        <v>Ativo</v>
      </c>
      <c r="AO156" s="29">
        <f ca="1">IFERROR(__xludf.DUMMYFUNCTION("""COMPUTED_VALUE"""),44432)</f>
        <v>44432</v>
      </c>
      <c r="AP156" s="27">
        <f ca="1">IFERROR(__xludf.DUMMYFUNCTION("""COMPUTED_VALUE"""),13)</f>
        <v>13</v>
      </c>
      <c r="AQ156" s="27" t="str">
        <f ca="1">IFERROR(__xludf.DUMMYFUNCTION("""COMPUTED_VALUE"""),"Primeiro Semestre 2021")</f>
        <v>Primeiro Semestre 2021</v>
      </c>
      <c r="AR156" s="27" t="str">
        <f ca="1">IFERROR(__xludf.DUMMYFUNCTION("""COMPUTED_VALUE"""),"projetoswellsurf@gmail.com")</f>
        <v>projetoswellsurf@gmail.com</v>
      </c>
      <c r="AS156" s="27" t="str">
        <f ca="1">IFERROR(__xludf.DUMMYFUNCTION("""COMPUTED_VALUE"""),"(84)99643-5090")</f>
        <v>(84)99643-5090</v>
      </c>
      <c r="AT156" s="29">
        <f ca="1">IFERROR(__xludf.DUMMYFUNCTION("""COMPUTED_VALUE"""),30947)</f>
        <v>30947</v>
      </c>
      <c r="AU156" s="27">
        <f ca="1">IFERROR(__xludf.DUMMYFUNCTION("""COMPUTED_VALUE"""),38)</f>
        <v>38</v>
      </c>
      <c r="AV156" s="27">
        <f ca="1">IFERROR(__xludf.DUMMYFUNCTION("""COMPUTED_VALUE"""),11335668713)</f>
        <v>11335668713</v>
      </c>
      <c r="AW156" s="27">
        <f ca="1">IFERROR(__xludf.DUMMYFUNCTION("""COMPUTED_VALUE"""),207111212)</f>
        <v>207111212</v>
      </c>
      <c r="AX156" s="27" t="str">
        <f ca="1">IFERROR(__xludf.DUMMYFUNCTION("""COMPUTED_VALUE"""),"Pedagogia Com Pós Em Neuropedagogia E Gestão De Projetos Do 3° Setor")</f>
        <v>Pedagogia Com Pós Em Neuropedagogia E Gestão De Projetos Do 3° Setor</v>
      </c>
      <c r="AY156" s="27" t="str">
        <f ca="1">IFERROR(__xludf.DUMMYFUNCTION("""COMPUTED_VALUE"""),"SEEC RN - FUNCIONÁRIA PÚBLICA ESTADUAL PROFESSORA DE EDUCAÇÃO ESPECIAL")</f>
        <v>SEEC RN - FUNCIONÁRIA PÚBLICA ESTADUAL PROFESSORA DE EDUCAÇÃO ESPECIAL</v>
      </c>
      <c r="AZ156" s="27" t="str">
        <f ca="1">IFERROR(__xludf.DUMMYFUNCTION("""COMPUTED_VALUE"""),"M")</f>
        <v>M</v>
      </c>
      <c r="BA156" s="27" t="str">
        <f ca="1">IFERROR(__xludf.DUMMYFUNCTION("""COMPUTED_VALUE"""),"Preta")</f>
        <v>Preta</v>
      </c>
      <c r="BB156" s="27"/>
      <c r="BC156" s="27" t="str">
        <f ca="1">IFERROR(__xludf.DUMMYFUNCTION("""COMPUTED_VALUE"""),"Não")</f>
        <v>Não</v>
      </c>
      <c r="BD156" s="27" t="str">
        <f ca="1">IFERROR(__xludf.DUMMYFUNCTION("""COMPUTED_VALUE"""),"Carioca, neta e filha de nordestinas, carioca, mãe de 4, Pedagoga, funcionária pública estadual, empreendedora social, líder, mulher, esposa, Diretora Presidente da Missão mais transformadora e impactante depois da maternidade!")</f>
        <v>Carioca, neta e filha de nordestinas, carioca, mãe de 4, Pedagoga, funcionária pública estadual, empreendedora social, líder, mulher, esposa, Diretora Presidente da Missão mais transformadora e impactante depois da maternidade!</v>
      </c>
      <c r="BE156" s="27" t="str">
        <f ca="1">IFERROR(__xludf.DUMMYFUNCTION("""COMPUTED_VALUE"""),"Masculino")</f>
        <v>Masculino</v>
      </c>
      <c r="BF156" s="27" t="str">
        <f ca="1">IFERROR(__xludf.DUMMYFUNCTION("""COMPUTED_VALUE"""),"Heterossexual")</f>
        <v>Heterossexual</v>
      </c>
      <c r="BG156" s="27" t="str">
        <f ca="1">IFERROR(__xludf.DUMMYFUNCTION("""COMPUTED_VALUE"""),"Ensino Superior - Completo")</f>
        <v>Ensino Superior - Completo</v>
      </c>
      <c r="BH156" s="27"/>
      <c r="BI156" s="27" t="str">
        <f ca="1">IFERROR(__xludf.DUMMYFUNCTION("""COMPUTED_VALUE"""),"Pós-Graduação")</f>
        <v>Pós-Graduação</v>
      </c>
      <c r="BJ156" s="27" t="str">
        <f ca="1">IFERROR(__xludf.DUMMYFUNCTION("""COMPUTED_VALUE"""),"Privado")</f>
        <v>Privado</v>
      </c>
      <c r="BK156" s="27" t="str">
        <f ca="1">IFERROR(__xludf.DUMMYFUNCTION("""COMPUTED_VALUE"""),"Rua Tertuliano Nobre de Lima")</f>
        <v>Rua Tertuliano Nobre de Lima</v>
      </c>
      <c r="BL156" s="27">
        <f ca="1">IFERROR(__xludf.DUMMYFUNCTION("""COMPUTED_VALUE"""),80)</f>
        <v>80</v>
      </c>
      <c r="BM156" s="27" t="str">
        <f ca="1">IFERROR(__xludf.DUMMYFUNCTION("""COMPUTED_VALUE"""),"Casa")</f>
        <v>Casa</v>
      </c>
      <c r="BN156" s="27" t="str">
        <f ca="1">IFERROR(__xludf.DUMMYFUNCTION("""COMPUTED_VALUE"""),"Baía Formosa")</f>
        <v>Baía Formosa</v>
      </c>
      <c r="BO156" s="27" t="str">
        <f ca="1">IFERROR(__xludf.DUMMYFUNCTION("""COMPUTED_VALUE"""),"59194-000")</f>
        <v>59194-000</v>
      </c>
      <c r="BP156" s="27" t="str">
        <f ca="1">IFERROR(__xludf.DUMMYFUNCTION("""COMPUTED_VALUE"""),"RN")</f>
        <v>RN</v>
      </c>
      <c r="BQ156" s="27" t="str">
        <f ca="1">IFERROR(__xludf.DUMMYFUNCTION("""COMPUTED_VALUE"""),"De 3 até 5 salários mínimos")</f>
        <v>De 3 até 5 salários mínimos</v>
      </c>
      <c r="BR156" s="27" t="str">
        <f ca="1">IFERROR(__xludf.DUMMYFUNCTION("""COMPUTED_VALUE"""),"CLT")</f>
        <v>CLT</v>
      </c>
      <c r="BS156" s="27" t="str">
        <f ca="1">IFERROR(__xludf.DUMMYFUNCTION("""COMPUTED_VALUE"""),"Aluguel")</f>
        <v>Aluguel</v>
      </c>
      <c r="BT156" s="27">
        <f ca="1">IFERROR(__xludf.DUMMYFUNCTION("""COMPUTED_VALUE"""),5)</f>
        <v>5</v>
      </c>
      <c r="BU156" s="27"/>
      <c r="BV156" s="27"/>
      <c r="BW156" s="21" t="str">
        <f ca="1">IFERROR(__xludf.DUMMYFUNCTION("""COMPUTED_VALUE"""),"https://www.linkedin.com/in/barbaraprojetoswell")</f>
        <v>https://www.linkedin.com/in/barbaraprojetoswell</v>
      </c>
      <c r="BX156" s="21" t="str">
        <f ca="1">IFERROR(__xludf.DUMMYFUNCTION("""COMPUTED_VALUE"""),"https://instagram.com/barbaracoelho_3?utm_medium=copy_link")</f>
        <v>https://instagram.com/barbaracoelho_3?utm_medium=copy_link</v>
      </c>
      <c r="BY156" s="21" t="str">
        <f ca="1">IFERROR(__xludf.DUMMYFUNCTION("""COMPUTED_VALUE"""),"https://drive.google.com/open?id=1NLWnQ4yd9EY_JJPhzaC6UQJoloADfSn1")</f>
        <v>https://drive.google.com/open?id=1NLWnQ4yd9EY_JJPhzaC6UQJoloADfSn1</v>
      </c>
    </row>
    <row r="157" spans="1:77" ht="12.5" x14ac:dyDescent="0.25">
      <c r="A157" s="21" t="str">
        <f ca="1">IFERROR(__xludf.DUMMYFUNCTION("""COMPUTED_VALUE"""),"0014P00003SGWFqQAP")</f>
        <v>0014P00003SGWFqQAP</v>
      </c>
      <c r="B157" s="27" t="str">
        <f ca="1">IFERROR(__xludf.DUMMYFUNCTION("""COMPUTED_VALUE"""),"Fase Estruturação")</f>
        <v>Fase Estruturação</v>
      </c>
      <c r="C157" s="27" t="str">
        <f ca="1">IFERROR(__xludf.DUMMYFUNCTION("""COMPUTED_VALUE"""),"Fellow")</f>
        <v>Fellow</v>
      </c>
      <c r="D157" s="27" t="str">
        <f ca="1">IFERROR(__xludf.DUMMYFUNCTION("""COMPUTED_VALUE"""),"Ativo")</f>
        <v>Ativo</v>
      </c>
      <c r="E157" s="27" t="str">
        <f ca="1">IFERROR(__xludf.DUMMYFUNCTION("""COMPUTED_VALUE"""),"ASSOCIAÇÃO TINGUI")</f>
        <v>ASSOCIAÇÃO TINGUI</v>
      </c>
      <c r="F157" s="27" t="str">
        <f ca="1">IFERROR(__xludf.DUMMYFUNCTION("""COMPUTED_VALUE"""),"Elisângela")</f>
        <v>Elisângela</v>
      </c>
      <c r="G157" s="27" t="str">
        <f ca="1">IFERROR(__xludf.DUMMYFUNCTION("""COMPUTED_VALUE"""),"TINGUI")</f>
        <v>TINGUI</v>
      </c>
      <c r="H157" s="27" t="str">
        <f ca="1">IFERROR(__xludf.DUMMYFUNCTION("""COMPUTED_VALUE"""),"03.235.662/0001-39")</f>
        <v>03.235.662/0001-39</v>
      </c>
      <c r="I157" s="27" t="str">
        <f ca="1">IFERROR(__xludf.DUMMYFUNCTION("""COMPUTED_VALUE"""),"Kátia Da Costa Santos Ferreira")</f>
        <v>Kátia Da Costa Santos Ferreira</v>
      </c>
      <c r="J157" s="27" t="str">
        <f ca="1">IFERROR(__xludf.DUMMYFUNCTION("""COMPUTED_VALUE"""),"ajenai.9202@hotmail.com")</f>
        <v>ajenai.9202@hotmail.com</v>
      </c>
      <c r="K157" s="27">
        <f ca="1">IFERROR(__xludf.DUMMYFUNCTION("""COMPUTED_VALUE"""),81986528072)</f>
        <v>81986528072</v>
      </c>
      <c r="L157" s="27" t="str">
        <f ca="1">IFERROR(__xludf.DUMMYFUNCTION("""COMPUTED_VALUE"""),"MG")</f>
        <v>MG</v>
      </c>
      <c r="M157" s="27" t="str">
        <f ca="1">IFERROR(__xludf.DUMMYFUNCTION("""COMPUTED_VALUE"""),"Rua Padre Willy")</f>
        <v>Rua Padre Willy</v>
      </c>
      <c r="N157" s="27" t="str">
        <f ca="1">IFERROR(__xludf.DUMMYFUNCTION("""COMPUTED_VALUE"""),"Centro")</f>
        <v>Centro</v>
      </c>
      <c r="O157" s="27" t="str">
        <f ca="1">IFERROR(__xludf.DUMMYFUNCTION("""COMPUTED_VALUE"""),"(33)98832-3290")</f>
        <v>(33)98832-3290</v>
      </c>
      <c r="P157" s="27" t="str">
        <f ca="1">IFERROR(__xludf.DUMMYFUNCTION("""COMPUTED_VALUE"""),"Jenipapo de Minas")</f>
        <v>Jenipapo de Minas</v>
      </c>
      <c r="Q157" s="27"/>
      <c r="R157" s="27" t="str">
        <f ca="1">IFERROR(__xludf.DUMMYFUNCTION("""COMPUTED_VALUE"""),"39645-000")</f>
        <v>39645-000</v>
      </c>
      <c r="S157" s="27"/>
      <c r="T157" s="27" t="str">
        <f ca="1">IFERROR(__xludf.DUMMYFUNCTION("""COMPUTED_VALUE"""),"Cultura; Empreendedorismo; Empoderamento Feminino; Desenvolvimento comunitário")</f>
        <v>Cultura; Empreendedorismo; Empoderamento Feminino; Desenvolvimento comunitário</v>
      </c>
      <c r="U157" s="27" t="str">
        <f ca="1">IFERROR(__xludf.DUMMYFUNCTION("""COMPUTED_VALUE"""),"Adolescentes (12 aos 18 anos); Jovens (18 aos 24 anos); Adultos; Idosos (60 anos ou mais)")</f>
        <v>Adolescentes (12 aos 18 anos); Jovens (18 aos 24 anos); Adultos; Idosos (60 anos ou mais)</v>
      </c>
      <c r="V157" s="27" t="str">
        <f ca="1">IFERROR(__xludf.DUMMYFUNCTION("""COMPUTED_VALUE"""),"Quilombola; Afrodescendentes; Comunidade rural")</f>
        <v>Quilombola; Afrodescendentes; Comunidade rural</v>
      </c>
      <c r="W157" s="27">
        <f ca="1">IFERROR(__xludf.DUMMYFUNCTION("""COMPUTED_VALUE"""),16)</f>
        <v>16</v>
      </c>
      <c r="X157" s="27" t="str">
        <f ca="1">IFERROR(__xludf.DUMMYFUNCTION("""COMPUTED_VALUE"""),"São comunidades rurais onde o êxodo rural temporário e permanente é muito forte")</f>
        <v>São comunidades rurais onde o êxodo rural temporário e permanente é muito forte</v>
      </c>
      <c r="Y157" s="27">
        <f ca="1">IFERROR(__xludf.DUMMYFUNCTION("""COMPUTED_VALUE"""),150)</f>
        <v>150</v>
      </c>
      <c r="Z157" s="27">
        <f ca="1">IFERROR(__xludf.DUMMYFUNCTION("""COMPUTED_VALUE"""),5000)</f>
        <v>5000</v>
      </c>
      <c r="AA157" s="29">
        <f ca="1">IFERROR(__xludf.DUMMYFUNCTION("""COMPUTED_VALUE"""),36278)</f>
        <v>36278</v>
      </c>
      <c r="AB157" s="27" t="str">
        <f ca="1">IFERROR(__xludf.DUMMYFUNCTION("""COMPUTED_VALUE"""),"Sim")</f>
        <v>Sim</v>
      </c>
      <c r="AC157" s="27">
        <f ca="1">IFERROR(__xludf.DUMMYFUNCTION("""COMPUTED_VALUE"""),10)</f>
        <v>10</v>
      </c>
      <c r="AD157" s="27">
        <f ca="1">IFERROR(__xludf.DUMMYFUNCTION("""COMPUTED_VALUE"""),10)</f>
        <v>10</v>
      </c>
      <c r="AE157" s="27">
        <f ca="1">IFERROR(__xludf.DUMMYFUNCTION("""COMPUTED_VALUE"""),36)</f>
        <v>36</v>
      </c>
      <c r="AF157" s="27">
        <f ca="1">IFERROR(__xludf.DUMMYFUNCTION("""COMPUTED_VALUE"""),36)</f>
        <v>36</v>
      </c>
      <c r="AG157" s="27">
        <f ca="1">IFERROR(__xludf.DUMMYFUNCTION("""COMPUTED_VALUE"""),4)</f>
        <v>4</v>
      </c>
      <c r="AH157" s="27" t="str">
        <f ca="1">IFERROR(__xludf.DUMMYFUNCTION("""COMPUTED_VALUE"""),"Negócio Social; Convênio Público; Parceria iniciativa privada; Editais; Doações")</f>
        <v>Negócio Social; Convênio Público; Parceria iniciativa privada; Editais; Doações</v>
      </c>
      <c r="AI157" s="27" t="str">
        <f ca="1">IFERROR(__xludf.DUMMYFUNCTION("""COMPUTED_VALUE"""),"30% Negócio Social; 30% Editais; 10% doações, 20% Emendas Parlamentares, 10% Parcerias privadas")</f>
        <v>30% Negócio Social; 30% Editais; 10% doações, 20% Emendas Parlamentares, 10% Parcerias privadas</v>
      </c>
      <c r="AJ157" s="27" t="str">
        <f ca="1">IFERROR(__xludf.DUMMYFUNCTION("""COMPUTED_VALUE"""),"Sim")</f>
        <v>Sim</v>
      </c>
      <c r="AK157" s="27" t="str">
        <f ca="1">IFERROR(__xludf.DUMMYFUNCTION("""COMPUTED_VALUE"""),"Não")</f>
        <v>Não</v>
      </c>
      <c r="AL157" s="21" t="str">
        <f ca="1">IFERROR(__xludf.DUMMYFUNCTION("""COMPUTED_VALUE"""),"0034P000043fOnQ")</f>
        <v>0034P000043fOnQ</v>
      </c>
      <c r="AM157" s="27" t="str">
        <f ca="1">IFERROR(__xludf.DUMMYFUNCTION("""COMPUTED_VALUE"""),"Pedroso Lopes")</f>
        <v>Pedroso Lopes</v>
      </c>
      <c r="AN157" s="27" t="str">
        <f ca="1">IFERROR(__xludf.DUMMYFUNCTION("""COMPUTED_VALUE"""),"Ativo")</f>
        <v>Ativo</v>
      </c>
      <c r="AO157" s="29">
        <f ca="1">IFERROR(__xludf.DUMMYFUNCTION("""COMPUTED_VALUE"""),44432)</f>
        <v>44432</v>
      </c>
      <c r="AP157" s="27">
        <f ca="1">IFERROR(__xludf.DUMMYFUNCTION("""COMPUTED_VALUE"""),13)</f>
        <v>13</v>
      </c>
      <c r="AQ157" s="27" t="str">
        <f ca="1">IFERROR(__xludf.DUMMYFUNCTION("""COMPUTED_VALUE"""),"Primeiro Semestre 2021")</f>
        <v>Primeiro Semestre 2021</v>
      </c>
      <c r="AR157" s="27" t="str">
        <f ca="1">IFERROR(__xludf.DUMMYFUNCTION("""COMPUTED_VALUE"""),"elisangelalope18@gmail.com")</f>
        <v>elisangelalope18@gmail.com</v>
      </c>
      <c r="AS157" s="27" t="str">
        <f ca="1">IFERROR(__xludf.DUMMYFUNCTION("""COMPUTED_VALUE"""),"(33)98832-3290")</f>
        <v>(33)98832-3290</v>
      </c>
      <c r="AT157" s="29">
        <f ca="1">IFERROR(__xludf.DUMMYFUNCTION("""COMPUTED_VALUE"""),28694)</f>
        <v>28694</v>
      </c>
      <c r="AU157" s="27">
        <f ca="1">IFERROR(__xludf.DUMMYFUNCTION("""COMPUTED_VALUE"""),44)</f>
        <v>44</v>
      </c>
      <c r="AV157" s="27">
        <f ca="1">IFERROR(__xludf.DUMMYFUNCTION("""COMPUTED_VALUE"""),4131828600)</f>
        <v>4131828600</v>
      </c>
      <c r="AW157" s="27">
        <f ca="1">IFERROR(__xludf.DUMMYFUNCTION("""COMPUTED_VALUE"""),11090748)</f>
        <v>11090748</v>
      </c>
      <c r="AX157" s="27" t="str">
        <f ca="1">IFERROR(__xludf.DUMMYFUNCTION("""COMPUTED_VALUE"""),"Serviço Social")</f>
        <v>Serviço Social</v>
      </c>
      <c r="AY157" s="27" t="str">
        <f ca="1">IFERROR(__xludf.DUMMYFUNCTION("""COMPUTED_VALUE"""),"Professora de Educação Básica na rede estadual de Minas Gerais")</f>
        <v>Professora de Educação Básica na rede estadual de Minas Gerais</v>
      </c>
      <c r="AZ157" s="27" t="str">
        <f ca="1">IFERROR(__xludf.DUMMYFUNCTION("""COMPUTED_VALUE"""),"M")</f>
        <v>M</v>
      </c>
      <c r="BA157" s="27" t="str">
        <f ca="1">IFERROR(__xludf.DUMMYFUNCTION("""COMPUTED_VALUE"""),"Preta")</f>
        <v>Preta</v>
      </c>
      <c r="BB157" s="27"/>
      <c r="BC157" s="27" t="str">
        <f ca="1">IFERROR(__xludf.DUMMYFUNCTION("""COMPUTED_VALUE"""),"Não")</f>
        <v>Não</v>
      </c>
      <c r="BD157" s="27" t="str">
        <f ca="1">IFERROR(__xludf.DUMMYFUNCTION("""COMPUTED_VALUE"""),"Nascida em comunidade rural, Elisângela, encarou os desafios de uma infância pobre, mas não fez disso impecílio para galgar no caminho do trabalho comunitário. Aos 11 anos iniciou o trabalho de doméstica em troca de hospedagem para estudar. Aos 18 anos fo"&amp;"i mãe, aos 19 concluiu o ensino médio e aos 32 a primeira graduação. No ano de 1999 ajuda no processo de fundação da AJENAI e coordena a organização desde então, a qual, hoje chama-se Associação Tingui. Casada, mãe de 3 filhos e vó de 1 Neta.")</f>
        <v>Nascida em comunidade rural, Elisângela, encarou os desafios de uma infância pobre, mas não fez disso impecílio para galgar no caminho do trabalho comunitário. Aos 11 anos iniciou o trabalho de doméstica em troca de hospedagem para estudar. Aos 18 anos foi mãe, aos 19 concluiu o ensino médio e aos 32 a primeira graduação. No ano de 1999 ajuda no processo de fundação da AJENAI e coordena a organização desde então, a qual, hoje chama-se Associação Tingui. Casada, mãe de 3 filhos e vó de 1 Neta.</v>
      </c>
      <c r="BE157" s="27" t="str">
        <f ca="1">IFERROR(__xludf.DUMMYFUNCTION("""COMPUTED_VALUE"""),"Feminino")</f>
        <v>Feminino</v>
      </c>
      <c r="BF157" s="27" t="str">
        <f ca="1">IFERROR(__xludf.DUMMYFUNCTION("""COMPUTED_VALUE"""),"Heterossexual")</f>
        <v>Heterossexual</v>
      </c>
      <c r="BG157" s="27" t="str">
        <f ca="1">IFERROR(__xludf.DUMMYFUNCTION("""COMPUTED_VALUE"""),"Ensino Superior - Completo")</f>
        <v>Ensino Superior - Completo</v>
      </c>
      <c r="BH157" s="27"/>
      <c r="BI157" s="27" t="str">
        <f ca="1">IFERROR(__xludf.DUMMYFUNCTION("""COMPUTED_VALUE"""),"Graduação")</f>
        <v>Graduação</v>
      </c>
      <c r="BJ157" s="27" t="str">
        <f ca="1">IFERROR(__xludf.DUMMYFUNCTION("""COMPUTED_VALUE"""),"Privado")</f>
        <v>Privado</v>
      </c>
      <c r="BK157" s="27" t="str">
        <f ca="1">IFERROR(__xludf.DUMMYFUNCTION("""COMPUTED_VALUE"""),"Ceará")</f>
        <v>Ceará</v>
      </c>
      <c r="BL157" s="27">
        <f ca="1">IFERROR(__xludf.DUMMYFUNCTION("""COMPUTED_VALUE"""),76)</f>
        <v>76</v>
      </c>
      <c r="BM157" s="27"/>
      <c r="BN157" s="27" t="str">
        <f ca="1">IFERROR(__xludf.DUMMYFUNCTION("""COMPUTED_VALUE"""),"Jenipapo de Minas")</f>
        <v>Jenipapo de Minas</v>
      </c>
      <c r="BO157" s="27" t="str">
        <f ca="1">IFERROR(__xludf.DUMMYFUNCTION("""COMPUTED_VALUE"""),"39645-000")</f>
        <v>39645-000</v>
      </c>
      <c r="BP157" s="27" t="str">
        <f ca="1">IFERROR(__xludf.DUMMYFUNCTION("""COMPUTED_VALUE"""),"MG")</f>
        <v>MG</v>
      </c>
      <c r="BQ157" s="27" t="str">
        <f ca="1">IFERROR(__xludf.DUMMYFUNCTION("""COMPUTED_VALUE"""),"De 3 até 5 salários mínimos")</f>
        <v>De 3 até 5 salários mínimos</v>
      </c>
      <c r="BR157" s="27" t="str">
        <f ca="1">IFERROR(__xludf.DUMMYFUNCTION("""COMPUTED_VALUE"""),"CLT; Funcionário Público; Trabalho informal")</f>
        <v>CLT; Funcionário Público; Trabalho informal</v>
      </c>
      <c r="BS157" s="27" t="str">
        <f ca="1">IFERROR(__xludf.DUMMYFUNCTION("""COMPUTED_VALUE"""),"Casa própria")</f>
        <v>Casa própria</v>
      </c>
      <c r="BT157" s="27">
        <f ca="1">IFERROR(__xludf.DUMMYFUNCTION("""COMPUTED_VALUE"""),6)</f>
        <v>6</v>
      </c>
      <c r="BU157" s="27"/>
      <c r="BV157" s="27"/>
      <c r="BW157" s="21" t="str">
        <f ca="1">IFERROR(__xludf.DUMMYFUNCTION("""COMPUTED_VALUE"""),"https://www.linkedin.com/in/elisangela-li-6b4865217")</f>
        <v>https://www.linkedin.com/in/elisangela-li-6b4865217</v>
      </c>
      <c r="BX157" s="21" t="str">
        <f ca="1">IFERROR(__xludf.DUMMYFUNCTION("""COMPUTED_VALUE"""),"https://instagram.com/elisangelapedrosolopes?utm_medium=copy_link")</f>
        <v>https://instagram.com/elisangelapedrosolopes?utm_medium=copy_link</v>
      </c>
      <c r="BY157" s="21" t="str">
        <f ca="1">IFERROR(__xludf.DUMMYFUNCTION("""COMPUTED_VALUE"""),"https://drive.google.com/open?id=1-aKVwh3CLvsF_ErH9avirRNDRtJNuc5L")</f>
        <v>https://drive.google.com/open?id=1-aKVwh3CLvsF_ErH9avirRNDRtJNuc5L</v>
      </c>
    </row>
    <row r="158" spans="1:77" ht="12.5" hidden="1" x14ac:dyDescent="0.25">
      <c r="A158" s="21" t="str">
        <f ca="1">IFERROR(__xludf.DUMMYFUNCTION("""COMPUTED_VALUE"""),"0014X00002VKCunQAH")</f>
        <v>0014X00002VKCunQAH</v>
      </c>
      <c r="B158" s="27" t="str">
        <f ca="1">IFERROR(__xludf.DUMMYFUNCTION("""COMPUTED_VALUE"""),"Fase Inicial")</f>
        <v>Fase Inicial</v>
      </c>
      <c r="C158" s="27" t="str">
        <f ca="1">IFERROR(__xludf.DUMMYFUNCTION("""COMPUTED_VALUE"""),"Fellow")</f>
        <v>Fellow</v>
      </c>
      <c r="D158" s="27" t="str">
        <f ca="1">IFERROR(__xludf.DUMMYFUNCTION("""COMPUTED_VALUE"""),"Ativo")</f>
        <v>Ativo</v>
      </c>
      <c r="E158" s="27" t="str">
        <f ca="1">IFERROR(__xludf.DUMMYFUNCTION("""COMPUTED_VALUE"""),"Associação Tonkiri Voa")</f>
        <v>Associação Tonkiri Voa</v>
      </c>
      <c r="F158" s="27" t="str">
        <f ca="1">IFERROR(__xludf.DUMMYFUNCTION("""COMPUTED_VALUE"""),"Leslie")</f>
        <v>Leslie</v>
      </c>
      <c r="G158" s="27" t="str">
        <f ca="1">IFERROR(__xludf.DUMMYFUNCTION("""COMPUTED_VALUE"""),"TONKIRI")</f>
        <v>TONKIRI</v>
      </c>
      <c r="H158" s="27" t="str">
        <f ca="1">IFERROR(__xludf.DUMMYFUNCTION("""COMPUTED_VALUE"""),"43943781/0001-60")</f>
        <v>43943781/0001-60</v>
      </c>
      <c r="I158" s="27" t="str">
        <f ca="1">IFERROR(__xludf.DUMMYFUNCTION("""COMPUTED_VALUE"""),"Tathiana Mancini* uma das co-fundadoras")</f>
        <v>Tathiana Mancini* uma das co-fundadoras</v>
      </c>
      <c r="J158" s="27" t="str">
        <f ca="1">IFERROR(__xludf.DUMMYFUNCTION("""COMPUTED_VALUE"""),"tonkirialimenta@gmail.com")</f>
        <v>tonkirialimenta@gmail.com</v>
      </c>
      <c r="K158" s="27"/>
      <c r="L158" s="27" t="str">
        <f ca="1">IFERROR(__xludf.DUMMYFUNCTION("""COMPUTED_VALUE"""),"SP")</f>
        <v>SP</v>
      </c>
      <c r="M158" s="27" t="str">
        <f ca="1">IFERROR(__xludf.DUMMYFUNCTION("""COMPUTED_VALUE"""),"Avenida Dracena")</f>
        <v>Avenida Dracena</v>
      </c>
      <c r="N158" s="27" t="str">
        <f ca="1">IFERROR(__xludf.DUMMYFUNCTION("""COMPUTED_VALUE"""),"Jaguaré")</f>
        <v>Jaguaré</v>
      </c>
      <c r="O158" s="27">
        <f ca="1">IFERROR(__xludf.DUMMYFUNCTION("""COMPUTED_VALUE"""),579)</f>
        <v>579</v>
      </c>
      <c r="P158" s="27" t="str">
        <f ca="1">IFERROR(__xludf.DUMMYFUNCTION("""COMPUTED_VALUE"""),"São Paulo")</f>
        <v>São Paulo</v>
      </c>
      <c r="Q158" s="27" t="str">
        <f ca="1">IFERROR(__xludf.DUMMYFUNCTION("""COMPUTED_VALUE"""),"Loja 01")</f>
        <v>Loja 01</v>
      </c>
      <c r="R158" s="27">
        <f ca="1">IFERROR(__xludf.DUMMYFUNCTION("""COMPUTED_VALUE"""),5329000)</f>
        <v>5329000</v>
      </c>
      <c r="S158" s="27"/>
      <c r="T158" s="27"/>
      <c r="U158" s="27"/>
      <c r="V158" s="27"/>
      <c r="W158" s="27">
        <f ca="1">IFERROR(__xludf.DUMMYFUNCTION("""COMPUTED_VALUE"""),7)</f>
        <v>7</v>
      </c>
      <c r="X158" s="27" t="str">
        <f ca="1">IFERROR(__xludf.DUMMYFUNCTION("""COMPUTED_VALUE"""),"Nosso foco são mulheres* crianças e jovens adultos buscando potencializar seus talentos e transformar seus sonhos em projetos factíveis conectando pessoas certas* empresas parceiras (buscamos ressoar* potencializar e transformar esse caminho).")</f>
        <v>Nosso foco são mulheres* crianças e jovens adultos buscando potencializar seus talentos e transformar seus sonhos em projetos factíveis conectando pessoas certas* empresas parceiras (buscamos ressoar* potencializar e transformar esse caminho).</v>
      </c>
      <c r="Y158" s="27"/>
      <c r="Z158" s="27">
        <f ca="1">IFERROR(__xludf.DUMMYFUNCTION("""COMPUTED_VALUE"""),200)</f>
        <v>200</v>
      </c>
      <c r="AA158" s="29">
        <f ca="1">IFERROR(__xludf.DUMMYFUNCTION("""COMPUTED_VALUE"""),43906)</f>
        <v>43906</v>
      </c>
      <c r="AB158" s="27" t="str">
        <f ca="1">IFERROR(__xludf.DUMMYFUNCTION("""COMPUTED_VALUE"""),"Sim")</f>
        <v>Sim</v>
      </c>
      <c r="AC158" s="27">
        <f ca="1">IFERROR(__xludf.DUMMYFUNCTION("""COMPUTED_VALUE"""),4)</f>
        <v>4</v>
      </c>
      <c r="AD158" s="27"/>
      <c r="AE158" s="27">
        <f ca="1">IFERROR(__xludf.DUMMYFUNCTION("""COMPUTED_VALUE"""),18)</f>
        <v>18</v>
      </c>
      <c r="AF158" s="27"/>
      <c r="AG158" s="27">
        <f ca="1">IFERROR(__xludf.DUMMYFUNCTION("""COMPUTED_VALUE"""),6)</f>
        <v>6</v>
      </c>
      <c r="AH158" s="27"/>
      <c r="AI158" s="27"/>
      <c r="AJ158" s="27" t="str">
        <f ca="1">IFERROR(__xludf.DUMMYFUNCTION("""COMPUTED_VALUE"""),"Não")</f>
        <v>Não</v>
      </c>
      <c r="AK158" s="27"/>
      <c r="AL158" s="21" t="str">
        <f ca="1">IFERROR(__xludf.DUMMYFUNCTION("""COMPUTED_VALUE"""),"0034X0000380O0u")</f>
        <v>0034X0000380O0u</v>
      </c>
      <c r="AM158" s="27" t="str">
        <f ca="1">IFERROR(__xludf.DUMMYFUNCTION("""COMPUTED_VALUE"""),"Cristina scarpelli ricci")</f>
        <v>Cristina scarpelli ricci</v>
      </c>
      <c r="AN158" s="27" t="str">
        <f ca="1">IFERROR(__xludf.DUMMYFUNCTION("""COMPUTED_VALUE"""),"Ativo")</f>
        <v>Ativo</v>
      </c>
      <c r="AO158" s="27"/>
      <c r="AP158" s="27"/>
      <c r="AQ158" s="27" t="str">
        <f ca="1">IFERROR(__xludf.DUMMYFUNCTION("""COMPUTED_VALUE"""),"Primeiro Semestre 2022")</f>
        <v>Primeiro Semestre 2022</v>
      </c>
      <c r="AR158" s="27" t="str">
        <f ca="1">IFERROR(__xludf.DUMMYFUNCTION("""COMPUTED_VALUE"""),"leslie.scarpelli@gmail.com")</f>
        <v>leslie.scarpelli@gmail.com</v>
      </c>
      <c r="AS158" s="27">
        <f ca="1">IFERROR(__xludf.DUMMYFUNCTION("""COMPUTED_VALUE"""),11988624338)</f>
        <v>11988624338</v>
      </c>
      <c r="AT158" s="29">
        <f ca="1">IFERROR(__xludf.DUMMYFUNCTION("""COMPUTED_VALUE"""),27493)</f>
        <v>27493</v>
      </c>
      <c r="AU158" s="27">
        <f ca="1">IFERROR(__xludf.DUMMYFUNCTION("""COMPUTED_VALUE"""),47)</f>
        <v>47</v>
      </c>
      <c r="AV158" s="27">
        <f ca="1">IFERROR(__xludf.DUMMYFUNCTION("""COMPUTED_VALUE"""),18029182805)</f>
        <v>18029182805</v>
      </c>
      <c r="AW158" s="27" t="str">
        <f ca="1">IFERROR(__xludf.DUMMYFUNCTION("""COMPUTED_VALUE"""),"24284781/X")</f>
        <v>24284781/X</v>
      </c>
      <c r="AX158" s="27"/>
      <c r="AY158" s="27"/>
      <c r="AZ158" s="27" t="str">
        <f ca="1">IFERROR(__xludf.DUMMYFUNCTION("""COMPUTED_VALUE"""),"M")</f>
        <v>M</v>
      </c>
      <c r="BA158" s="27" t="str">
        <f ca="1">IFERROR(__xludf.DUMMYFUNCTION("""COMPUTED_VALUE"""),"Branca")</f>
        <v>Branca</v>
      </c>
      <c r="BB158" s="27"/>
      <c r="BC158" s="27"/>
      <c r="BD158" s="27" t="str">
        <f ca="1">IFERROR(__xludf.DUMMYFUNCTION("""COMPUTED_VALUE"""),"Mãe de 2* sou movida pelo esporte e pela transformação de vida com a natureza e amor aos animais e às pessoas. 
Sou Veterinária como formação (desde 1998)* com Mestrado na área de reprodução animal e MBA em adm e marketing estratégico pela FEA/USP. Dediqu"&amp;"ei meu tempo de estudos para aprimorar os conhecimentos na área e estender as expertises adquiridas ao mundo corporativo* contribuindo com a ciência* com o desenvolvimento de novos negócios e soluções integradas para a saúde animal em muitas diferentes es"&amp;"feras com os animais* com os humanos e sistemas corporativos. Desta maneira* foi aprendendo* refletindo* convivendo e aperfeiçoando meu “mood”/ ponto-de-vista* dentro destas grandes multinacionais* que decidi experienciar um momento sabático e de auto-con"&amp;"hecimento. 
Mergulhei num processo intenso e valioso de novos aprendizados voltados para o desenvolvimento social que me trouxeram de volta até aqui* uma vez que* desde pequena sempre estive envolvida em trabalhos sociais com minha mãe nas comunidades pró"&amp;"ximas de nossa casa em Santo André* município de SP. 
Chegou o momento de fazer de forma mais profunda aquilo que me encanta e intriga ao mesmo tempo: conectar pessoas, conectar historias e projetos, promover novos vôos e potencializar esse nosso caminho "&amp;"de evolução. 
Hoje* como uma das co-fundadoras da Associação Tonkiri Voa* busco manifestar meus dons em prol de algo maior e que poderá fazer diferença neste Planeta que vivemos. Persevero com o fim de igualar* buscando ensinamentos e transformando em opo"&amp;"rtunidades àqueles que mais necessitam!")</f>
        <v>Mãe de 2* sou movida pelo esporte e pela transformação de vida com a natureza e amor aos animais e às pessoas. 
Sou Veterinária como formação (desde 1998)* com Mestrado na área de reprodução animal e MBA em adm e marketing estratégico pela FEA/USP. Dediquei meu tempo de estudos para aprimorar os conhecimentos na área e estender as expertises adquiridas ao mundo corporativo* contribuindo com a ciência* com o desenvolvimento de novos negócios e soluções integradas para a saúde animal em muitas diferentes esferas com os animais* com os humanos e sistemas corporativos. Desta maneira* foi aprendendo* refletindo* convivendo e aperfeiçoando meu “mood”/ ponto-de-vista* dentro destas grandes multinacionais* que decidi experienciar um momento sabático e de auto-conhecimento. 
Mergulhei num processo intenso e valioso de novos aprendizados voltados para o desenvolvimento social que me trouxeram de volta até aqui* uma vez que* desde pequena sempre estive envolvida em trabalhos sociais com minha mãe nas comunidades próximas de nossa casa em Santo André* município de SP. 
Chegou o momento de fazer de forma mais profunda aquilo que me encanta e intriga ao mesmo tempo: conectar pessoas, conectar historias e projetos, promover novos vôos e potencializar esse nosso caminho de evolução. 
Hoje* como uma das co-fundadoras da Associação Tonkiri Voa* busco manifestar meus dons em prol de algo maior e que poderá fazer diferença neste Planeta que vivemos. Persevero com o fim de igualar* buscando ensinamentos e transformando em oportunidades àqueles que mais necessitam!</v>
      </c>
      <c r="BE158" s="27" t="str">
        <f ca="1">IFERROR(__xludf.DUMMYFUNCTION("""COMPUTED_VALUE"""),"Feminino")</f>
        <v>Feminino</v>
      </c>
      <c r="BF158" s="27" t="str">
        <f ca="1">IFERROR(__xludf.DUMMYFUNCTION("""COMPUTED_VALUE"""),"Heterossexual")</f>
        <v>Heterossexual</v>
      </c>
      <c r="BG158" s="27"/>
      <c r="BH158" s="27" t="str">
        <f ca="1">IFERROR(__xludf.DUMMYFUNCTION("""COMPUTED_VALUE"""),"Privado")</f>
        <v>Privado</v>
      </c>
      <c r="BI158" s="27" t="str">
        <f ca="1">IFERROR(__xludf.DUMMYFUNCTION("""COMPUTED_VALUE"""),"Mestrado")</f>
        <v>Mestrado</v>
      </c>
      <c r="BJ158" s="27" t="str">
        <f ca="1">IFERROR(__xludf.DUMMYFUNCTION("""COMPUTED_VALUE"""),"Público")</f>
        <v>Público</v>
      </c>
      <c r="BK158" s="27" t="str">
        <f ca="1">IFERROR(__xludf.DUMMYFUNCTION("""COMPUTED_VALUE"""),"Rua Pequetita")</f>
        <v>Rua Pequetita</v>
      </c>
      <c r="BL158" s="27">
        <f ca="1">IFERROR(__xludf.DUMMYFUNCTION("""COMPUTED_VALUE"""),111)</f>
        <v>111</v>
      </c>
      <c r="BM158" s="27">
        <f ca="1">IFERROR(__xludf.DUMMYFUNCTION("""COMPUTED_VALUE"""),1202)</f>
        <v>1202</v>
      </c>
      <c r="BN158" s="27"/>
      <c r="BO158" s="27">
        <f ca="1">IFERROR(__xludf.DUMMYFUNCTION("""COMPUTED_VALUE"""),4552060)</f>
        <v>4552060</v>
      </c>
      <c r="BP158" s="27" t="str">
        <f ca="1">IFERROR(__xludf.DUMMYFUNCTION("""COMPUTED_VALUE"""),"SP")</f>
        <v>SP</v>
      </c>
      <c r="BQ158" s="27" t="str">
        <f ca="1">IFERROR(__xludf.DUMMYFUNCTION("""COMPUTED_VALUE"""),"Entre 1 até 3 salários mínimos")</f>
        <v>Entre 1 até 3 salários mínimos</v>
      </c>
      <c r="BR158" s="27" t="str">
        <f ca="1">IFERROR(__xludf.DUMMYFUNCTION("""COMPUTED_VALUE"""),"CLT")</f>
        <v>CLT</v>
      </c>
      <c r="BS158" s="27" t="str">
        <f ca="1">IFERROR(__xludf.DUMMYFUNCTION("""COMPUTED_VALUE"""),"Casa própria")</f>
        <v>Casa própria</v>
      </c>
      <c r="BT158" s="27">
        <f ca="1">IFERROR(__xludf.DUMMYFUNCTION("""COMPUTED_VALUE"""),0)</f>
        <v>0</v>
      </c>
      <c r="BU158" s="27" t="str">
        <f ca="1">IFERROR(__xludf.DUMMYFUNCTION("""COMPUTED_VALUE"""),"Não tem")</f>
        <v>Não tem</v>
      </c>
      <c r="BV158" s="27" t="str">
        <f ca="1">IFERROR(__xludf.DUMMYFUNCTION("""COMPUTED_VALUE"""),"Não")</f>
        <v>Não</v>
      </c>
      <c r="BW158" s="21" t="str">
        <f ca="1">IFERROR(__xludf.DUMMYFUNCTION("""COMPUTED_VALUE"""),"https://www.linkedin.com/in/lesliescarpelli/")</f>
        <v>https://www.linkedin.com/in/lesliescarpelli/</v>
      </c>
      <c r="BX158" s="21" t="str">
        <f ca="1">IFERROR(__xludf.DUMMYFUNCTION("""COMPUTED_VALUE"""),"https://www.instagram.com/lesliescarpelli/")</f>
        <v>https://www.instagram.com/lesliescarpelli/</v>
      </c>
      <c r="BY158" s="21" t="str">
        <f ca="1">IFERROR(__xludf.DUMMYFUNCTION("""COMPUTED_VALUE"""),"https://drive.google.com/open?id=12yUzrzCvH7W-7QMEHTNLpQU8WHD_I1Jz")</f>
        <v>https://drive.google.com/open?id=12yUzrzCvH7W-7QMEHTNLpQU8WHD_I1Jz</v>
      </c>
    </row>
    <row r="159" spans="1:77" ht="12.5" hidden="1" x14ac:dyDescent="0.25">
      <c r="A159" s="21" t="str">
        <f ca="1">IFERROR(__xludf.DUMMYFUNCTION("""COMPUTED_VALUE"""),"0014P00003AN2etQAD")</f>
        <v>0014P00003AN2etQAD</v>
      </c>
      <c r="B159" s="27" t="str">
        <f ca="1">IFERROR(__xludf.DUMMYFUNCTION("""COMPUTED_VALUE"""),"Fase Avançada")</f>
        <v>Fase Avançada</v>
      </c>
      <c r="C159" s="27" t="str">
        <f ca="1">IFERROR(__xludf.DUMMYFUNCTION("""COMPUTED_VALUE"""),"Fellow")</f>
        <v>Fellow</v>
      </c>
      <c r="D159" s="27" t="str">
        <f ca="1">IFERROR(__xludf.DUMMYFUNCTION("""COMPUTED_VALUE"""),"Ativo")</f>
        <v>Ativo</v>
      </c>
      <c r="E159" s="27" t="str">
        <f ca="1">IFERROR(__xludf.DUMMYFUNCTION("""COMPUTED_VALUE"""),"Associação Um Chute para o futuro")</f>
        <v>Associação Um Chute para o futuro</v>
      </c>
      <c r="F159" s="27" t="str">
        <f ca="1">IFERROR(__xludf.DUMMYFUNCTION("""COMPUTED_VALUE"""),"Ronaldo")</f>
        <v>Ronaldo</v>
      </c>
      <c r="G159" s="27"/>
      <c r="H159" s="27" t="str">
        <f ca="1">IFERROR(__xludf.DUMMYFUNCTION("""COMPUTED_VALUE"""),"22.440.900/0001-92")</f>
        <v>22.440.900/0001-92</v>
      </c>
      <c r="I159" s="27"/>
      <c r="J159" s="27"/>
      <c r="K159" s="27" t="str">
        <f ca="1">IFERROR(__xludf.DUMMYFUNCTION("""COMPUTED_VALUE"""),"(45)3577-9763")</f>
        <v>(45)3577-9763</v>
      </c>
      <c r="L159" s="27" t="str">
        <f ca="1">IFERROR(__xludf.DUMMYFUNCTION("""COMPUTED_VALUE"""),"PR")</f>
        <v>PR</v>
      </c>
      <c r="M159" s="27" t="str">
        <f ca="1">IFERROR(__xludf.DUMMYFUNCTION("""COMPUTED_VALUE"""),"Rua Veiga")</f>
        <v>Rua Veiga</v>
      </c>
      <c r="N159" s="27"/>
      <c r="O159" s="27" t="str">
        <f ca="1">IFERROR(__xludf.DUMMYFUNCTION("""COMPUTED_VALUE"""),"(45)99971-2917")</f>
        <v>(45)99971-2917</v>
      </c>
      <c r="P159" s="27" t="str">
        <f ca="1">IFERROR(__xludf.DUMMYFUNCTION("""COMPUTED_VALUE"""),"Foz do Iguaçu")</f>
        <v>Foz do Iguaçu</v>
      </c>
      <c r="Q159" s="27"/>
      <c r="R159" s="27" t="str">
        <f ca="1">IFERROR(__xludf.DUMMYFUNCTION("""COMPUTED_VALUE"""),"85867-640")</f>
        <v>85867-640</v>
      </c>
      <c r="S159" s="27" t="str">
        <f ca="1">IFERROR(__xludf.DUMMYFUNCTION("""COMPUTED_VALUE"""),"Somente no Chute para o futuro")</f>
        <v>Somente no Chute para o futuro</v>
      </c>
      <c r="T159" s="27" t="str">
        <f ca="1">IFERROR(__xludf.DUMMYFUNCTION("""COMPUTED_VALUE"""),"Esporte; Assistência Social; Cultura; Qualificação Profissional; Assistência Psicológica; Desenvolvimento comunitário")</f>
        <v>Esporte; Assistência Social; Cultura; Qualificação Profissional; Assistência Psicológica; Desenvolvimento comunitário</v>
      </c>
      <c r="U159" s="27" t="str">
        <f ca="1">IFERROR(__xludf.DUMMYFUNCTION("""COMPUTED_VALUE"""),"Crianças (6 a 12 anos); Adolescentes (12 aos 18 anos)")</f>
        <v>Crianças (6 a 12 anos); Adolescentes (12 aos 18 anos)</v>
      </c>
      <c r="V159" s="27" t="str">
        <f ca="1">IFERROR(__xludf.DUMMYFUNCTION("""COMPUTED_VALUE"""),"Moradores de Favelas; Dependentes Químicos; Outros")</f>
        <v>Moradores de Favelas; Dependentes Químicos; Outros</v>
      </c>
      <c r="W159" s="27">
        <f ca="1">IFERROR(__xludf.DUMMYFUNCTION("""COMPUTED_VALUE"""),5)</f>
        <v>5</v>
      </c>
      <c r="X159" s="27" t="str">
        <f ca="1">IFERROR(__xludf.DUMMYFUNCTION("""COMPUTED_VALUE"""),"Não obrigado")</f>
        <v>Não obrigado</v>
      </c>
      <c r="Y159" s="27"/>
      <c r="Z159" s="27"/>
      <c r="AA159" s="30">
        <f ca="1">IFERROR(__xludf.DUMMYFUNCTION("""COMPUTED_VALUE"""),38701)</f>
        <v>38701</v>
      </c>
      <c r="AB159" s="27" t="str">
        <f ca="1">IFERROR(__xludf.DUMMYFUNCTION("""COMPUTED_VALUE"""),"Sim")</f>
        <v>Sim</v>
      </c>
      <c r="AC159" s="27">
        <f ca="1">IFERROR(__xludf.DUMMYFUNCTION("""COMPUTED_VALUE"""),10)</f>
        <v>10</v>
      </c>
      <c r="AD159" s="27">
        <f ca="1">IFERROR(__xludf.DUMMYFUNCTION("""COMPUTED_VALUE"""),10)</f>
        <v>10</v>
      </c>
      <c r="AE159" s="27">
        <f ca="1">IFERROR(__xludf.DUMMYFUNCTION("""COMPUTED_VALUE"""),6)</f>
        <v>6</v>
      </c>
      <c r="AF159" s="27">
        <f ca="1">IFERROR(__xludf.DUMMYFUNCTION("""COMPUTED_VALUE"""),5)</f>
        <v>5</v>
      </c>
      <c r="AG159" s="27">
        <f ca="1">IFERROR(__xludf.DUMMYFUNCTION("""COMPUTED_VALUE"""),5)</f>
        <v>5</v>
      </c>
      <c r="AH159" s="27" t="str">
        <f ca="1">IFERROR(__xludf.DUMMYFUNCTION("""COMPUTED_VALUE"""),"Convênio Público; Eventos/Ações para captação; Parceria iniciativa privada; Editais")</f>
        <v>Convênio Público; Eventos/Ações para captação; Parceria iniciativa privada; Editais</v>
      </c>
      <c r="AI159" s="27" t="str">
        <f ca="1">IFERROR(__xludf.DUMMYFUNCTION("""COMPUTED_VALUE"""),"Convênio Público 40%, Eventos para Captação 40%, Editais 10%, Parcerias 10%")</f>
        <v>Convênio Público 40%, Eventos para Captação 40%, Editais 10%, Parcerias 10%</v>
      </c>
      <c r="AJ159" s="27" t="str">
        <f ca="1">IFERROR(__xludf.DUMMYFUNCTION("""COMPUTED_VALUE"""),"Sim")</f>
        <v>Sim</v>
      </c>
      <c r="AK159" s="27" t="str">
        <f ca="1">IFERROR(__xludf.DUMMYFUNCTION("""COMPUTED_VALUE"""),"Não")</f>
        <v>Não</v>
      </c>
      <c r="AL159" s="21" t="str">
        <f ca="1">IFERROR(__xludf.DUMMYFUNCTION("""COMPUTED_VALUE"""),"0034P00003maBVI")</f>
        <v>0034P00003maBVI</v>
      </c>
      <c r="AM159" s="27" t="str">
        <f ca="1">IFERROR(__xludf.DUMMYFUNCTION("""COMPUTED_VALUE"""),"Cleber Cáceres")</f>
        <v>Cleber Cáceres</v>
      </c>
      <c r="AN159" s="27" t="str">
        <f ca="1">IFERROR(__xludf.DUMMYFUNCTION("""COMPUTED_VALUE"""),"Ativo")</f>
        <v>Ativo</v>
      </c>
      <c r="AO159" s="29">
        <f ca="1">IFERROR(__xludf.DUMMYFUNCTION("""COMPUTED_VALUE"""),44308)</f>
        <v>44308</v>
      </c>
      <c r="AP159" s="27">
        <f ca="1">IFERROR(__xludf.DUMMYFUNCTION("""COMPUTED_VALUE"""),17)</f>
        <v>17</v>
      </c>
      <c r="AQ159" s="27" t="str">
        <f ca="1">IFERROR(__xludf.DUMMYFUNCTION("""COMPUTED_VALUE"""),"Segundo Semestre 2020")</f>
        <v>Segundo Semestre 2020</v>
      </c>
      <c r="AR159" s="27" t="str">
        <f ca="1">IFERROR(__xludf.DUMMYFUNCTION("""COMPUTED_VALUE"""),"ronaldo@umchuteparaofuturo.org.br")</f>
        <v>ronaldo@umchuteparaofuturo.org.br</v>
      </c>
      <c r="AS159" s="27" t="str">
        <f ca="1">IFERROR(__xludf.DUMMYFUNCTION("""COMPUTED_VALUE"""),"(45)99971-2917")</f>
        <v>(45)99971-2917</v>
      </c>
      <c r="AT159" s="30">
        <f ca="1">IFERROR(__xludf.DUMMYFUNCTION("""COMPUTED_VALUE"""),29876)</f>
        <v>29876</v>
      </c>
      <c r="AU159" s="27">
        <f ca="1">IFERROR(__xludf.DUMMYFUNCTION("""COMPUTED_VALUE"""),41)</f>
        <v>41</v>
      </c>
      <c r="AV159" s="27">
        <f ca="1">IFERROR(__xludf.DUMMYFUNCTION("""COMPUTED_VALUE"""),3861645920)</f>
        <v>3861645920</v>
      </c>
      <c r="AW159" s="27">
        <f ca="1">IFERROR(__xludf.DUMMYFUNCTION("""COMPUTED_VALUE"""),80828691)</f>
        <v>80828691</v>
      </c>
      <c r="AX159" s="27" t="str">
        <f ca="1">IFERROR(__xludf.DUMMYFUNCTION("""COMPUTED_VALUE"""),"Graduação")</f>
        <v>Graduação</v>
      </c>
      <c r="AY159" s="27" t="str">
        <f ca="1">IFERROR(__xludf.DUMMYFUNCTION("""COMPUTED_VALUE"""),"Trabalho só  no projeto  um chute para o futuro")</f>
        <v>Trabalho só  no projeto  um chute para o futuro</v>
      </c>
      <c r="AZ159" s="27" t="str">
        <f ca="1">IFERROR(__xludf.DUMMYFUNCTION("""COMPUTED_VALUE"""),"GG")</f>
        <v>GG</v>
      </c>
      <c r="BA159" s="27"/>
      <c r="BB159" s="27"/>
      <c r="BC159" s="27" t="str">
        <f ca="1">IFERROR(__xludf.DUMMYFUNCTION("""COMPUTED_VALUE"""),"Sim")</f>
        <v>Sim</v>
      </c>
      <c r="BD159" s="27" t="str">
        <f ca="1">IFERROR(__xludf.DUMMYFUNCTION("""COMPUTED_VALUE"""),"Sou Ronaldo Cléber Cáceres, nasci em Foz do Iguaçu. 
Sou casado e tenho 2 filhos. 
Sou líder comunitário desde 2005. Deixei meu trabalho para ser empreendedor social na minha comunidade, e junto com toda a minha equipe fazer a verdadeira transformação soc"&amp;"ial e colocar a favela no museu.")</f>
        <v>Sou Ronaldo Cléber Cáceres, nasci em Foz do Iguaçu. 
Sou casado e tenho 2 filhos. 
Sou líder comunitário desde 2005. Deixei meu trabalho para ser empreendedor social na minha comunidade, e junto com toda a minha equipe fazer a verdadeira transformação social e colocar a favela no museu.</v>
      </c>
      <c r="BE159" s="27"/>
      <c r="BF159" s="27"/>
      <c r="BG159" s="27" t="str">
        <f ca="1">IFERROR(__xludf.DUMMYFUNCTION("""COMPUTED_VALUE"""),"Ensino Superior - Completo")</f>
        <v>Ensino Superior - Completo</v>
      </c>
      <c r="BH159" s="27"/>
      <c r="BI159" s="27" t="str">
        <f ca="1">IFERROR(__xludf.DUMMYFUNCTION("""COMPUTED_VALUE"""),"Graduação")</f>
        <v>Graduação</v>
      </c>
      <c r="BJ159" s="27" t="str">
        <f ca="1">IFERROR(__xludf.DUMMYFUNCTION("""COMPUTED_VALUE"""),"Privado")</f>
        <v>Privado</v>
      </c>
      <c r="BK159" s="27" t="str">
        <f ca="1">IFERROR(__xludf.DUMMYFUNCTION("""COMPUTED_VALUE"""),"Rua Prudêncio Sotelo")</f>
        <v>Rua Prudêncio Sotelo</v>
      </c>
      <c r="BL159" s="27">
        <f ca="1">IFERROR(__xludf.DUMMYFUNCTION("""COMPUTED_VALUE"""),470)</f>
        <v>470</v>
      </c>
      <c r="BM159" s="27"/>
      <c r="BN159" s="27" t="str">
        <f ca="1">IFERROR(__xludf.DUMMYFUNCTION("""COMPUTED_VALUE"""),"Foz do Iguaçu")</f>
        <v>Foz do Iguaçu</v>
      </c>
      <c r="BO159" s="27" t="str">
        <f ca="1">IFERROR(__xludf.DUMMYFUNCTION("""COMPUTED_VALUE"""),"85867-516")</f>
        <v>85867-516</v>
      </c>
      <c r="BP159" s="27" t="str">
        <f ca="1">IFERROR(__xludf.DUMMYFUNCTION("""COMPUTED_VALUE"""),"PR")</f>
        <v>PR</v>
      </c>
      <c r="BQ159" s="27" t="str">
        <f ca="1">IFERROR(__xludf.DUMMYFUNCTION("""COMPUTED_VALUE"""),"Entre 1 até 3 salários mínimos")</f>
        <v>Entre 1 até 3 salários mínimos</v>
      </c>
      <c r="BR159" s="27" t="str">
        <f ca="1">IFERROR(__xludf.DUMMYFUNCTION("""COMPUTED_VALUE"""),"MEI")</f>
        <v>MEI</v>
      </c>
      <c r="BS159" s="27" t="str">
        <f ca="1">IFERROR(__xludf.DUMMYFUNCTION("""COMPUTED_VALUE"""),"Casa própria")</f>
        <v>Casa própria</v>
      </c>
      <c r="BT159" s="27">
        <f ca="1">IFERROR(__xludf.DUMMYFUNCTION("""COMPUTED_VALUE"""),3)</f>
        <v>3</v>
      </c>
      <c r="BU159" s="27"/>
      <c r="BV159" s="27"/>
      <c r="BW159" s="27"/>
      <c r="BX159" s="21" t="str">
        <f ca="1">IFERROR(__xludf.DUMMYFUNCTION("""COMPUTED_VALUE"""),"https://instagram.com/ronaldoclebercaceres?igshid=YmMyMTA2M2Y=")</f>
        <v>https://instagram.com/ronaldoclebercaceres?igshid=YmMyMTA2M2Y=</v>
      </c>
      <c r="BY159" s="21" t="str">
        <f ca="1">IFERROR(__xludf.DUMMYFUNCTION("""COMPUTED_VALUE"""),"https://drive.google.com/open?id=1sMMP8sT5YFep0Zd9Mv9yDGZWZNCbqBt6")</f>
        <v>https://drive.google.com/open?id=1sMMP8sT5YFep0Zd9Mv9yDGZWZNCbqBt6</v>
      </c>
    </row>
    <row r="160" spans="1:77" ht="12.5" hidden="1" x14ac:dyDescent="0.25">
      <c r="A160" s="21" t="str">
        <f ca="1">IFERROR(__xludf.DUMMYFUNCTION("""COMPUTED_VALUE"""),"0014X00002VKCr4QAH")</f>
        <v>0014X00002VKCr4QAH</v>
      </c>
      <c r="B160" s="27" t="str">
        <f ca="1">IFERROR(__xludf.DUMMYFUNCTION("""COMPUTED_VALUE"""),"Fase Estruturação")</f>
        <v>Fase Estruturação</v>
      </c>
      <c r="C160" s="27" t="str">
        <f ca="1">IFERROR(__xludf.DUMMYFUNCTION("""COMPUTED_VALUE"""),"Fellow")</f>
        <v>Fellow</v>
      </c>
      <c r="D160" s="27" t="str">
        <f ca="1">IFERROR(__xludf.DUMMYFUNCTION("""COMPUTED_VALUE"""),"Ativo")</f>
        <v>Ativo</v>
      </c>
      <c r="E160" s="27" t="str">
        <f ca="1">IFERROR(__xludf.DUMMYFUNCTION("""COMPUTED_VALUE"""),"ASSOCIAÇÃO UNAIENSE DE DESENVOLVIMENTO E CIDADANIA")</f>
        <v>ASSOCIAÇÃO UNAIENSE DE DESENVOLVIMENTO E CIDADANIA</v>
      </c>
      <c r="F160" s="27" t="str">
        <f ca="1">IFERROR(__xludf.DUMMYFUNCTION("""COMPUTED_VALUE"""),"MATHEUS")</f>
        <v>MATHEUS</v>
      </c>
      <c r="G160" s="27" t="str">
        <f ca="1">IFERROR(__xludf.DUMMYFUNCTION("""COMPUTED_VALUE"""),"AUDEC")</f>
        <v>AUDEC</v>
      </c>
      <c r="H160" s="27" t="str">
        <f ca="1">IFERROR(__xludf.DUMMYFUNCTION("""COMPUTED_VALUE"""),"25.213.140/0001-79")</f>
        <v>25.213.140/0001-79</v>
      </c>
      <c r="I160" s="27" t="str">
        <f ca="1">IFERROR(__xludf.DUMMYFUNCTION("""COMPUTED_VALUE"""),"JOSE DONIZETE LEMOS DO PRADO")</f>
        <v>JOSE DONIZETE LEMOS DO PRADO</v>
      </c>
      <c r="J160" s="27" t="str">
        <f ca="1">IFERROR(__xludf.DUMMYFUNCTION("""COMPUTED_VALUE"""),"audecunai@gmail.com")</f>
        <v>audecunai@gmail.com</v>
      </c>
      <c r="K160" s="27" t="str">
        <f ca="1">IFERROR(__xludf.DUMMYFUNCTION("""COMPUTED_VALUE"""),"(38)99741-0425")</f>
        <v>(38)99741-0425</v>
      </c>
      <c r="L160" s="27" t="str">
        <f ca="1">IFERROR(__xludf.DUMMYFUNCTION("""COMPUTED_VALUE"""),"MG")</f>
        <v>MG</v>
      </c>
      <c r="M160" s="27" t="str">
        <f ca="1">IFERROR(__xludf.DUMMYFUNCTION("""COMPUTED_VALUE"""),"RUA ELSON GABRIEL DE PAULO")</f>
        <v>RUA ELSON GABRIEL DE PAULO</v>
      </c>
      <c r="N160" s="27" t="str">
        <f ca="1">IFERROR(__xludf.DUMMYFUNCTION("""COMPUTED_VALUE"""),"MAMOEIRO")</f>
        <v>MAMOEIRO</v>
      </c>
      <c r="O160" s="27">
        <f ca="1">IFERROR(__xludf.DUMMYFUNCTION("""COMPUTED_VALUE"""),139)</f>
        <v>139</v>
      </c>
      <c r="P160" s="27" t="str">
        <f ca="1">IFERROR(__xludf.DUMMYFUNCTION("""COMPUTED_VALUE"""),"UNAÍ")</f>
        <v>UNAÍ</v>
      </c>
      <c r="Q160" s="27"/>
      <c r="R160" s="27" t="str">
        <f ca="1">IFERROR(__xludf.DUMMYFUNCTION("""COMPUTED_VALUE"""),"38621-666")</f>
        <v>38621-666</v>
      </c>
      <c r="S160" s="27"/>
      <c r="T160" s="27"/>
      <c r="U160"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160" s="27" t="str">
        <f ca="1">IFERROR(__xludf.DUMMYFUNCTION("""COMPUTED_VALUE"""),"Moradores de Favelas")</f>
        <v>Moradores de Favelas</v>
      </c>
      <c r="W160" s="27">
        <f ca="1">IFERROR(__xludf.DUMMYFUNCTION("""COMPUTED_VALUE"""),3)</f>
        <v>3</v>
      </c>
      <c r="X160" s="27" t="str">
        <f ca="1">IFERROR(__xludf.DUMMYFUNCTION("""COMPUTED_VALUE"""),"Além da atuação com crianças* adolescentes e jovens* atuamos em parceria com o TJMG com o projeto Grupo de Reflexão - que atua com infratores da Lei Maria da Penha e o projeto ""Meu Projeto de Vida"" que atua em parceria com a Secretária Municipal de Educ"&amp;"ação atendendo adolescentes de 12 escolas municipais* urbanas e rurais.")</f>
        <v>Além da atuação com crianças* adolescentes e jovens* atuamos em parceria com o TJMG com o projeto Grupo de Reflexão - que atua com infratores da Lei Maria da Penha e o projeto "Meu Projeto de Vida" que atua em parceria com a Secretária Municipal de Educação atendendo adolescentes de 12 escolas municipais* urbanas e rurais.</v>
      </c>
      <c r="Y160" s="27"/>
      <c r="Z160" s="27">
        <f ca="1">IFERROR(__xludf.DUMMYFUNCTION("""COMPUTED_VALUE"""),289)</f>
        <v>289</v>
      </c>
      <c r="AA160" s="29">
        <f ca="1">IFERROR(__xludf.DUMMYFUNCTION("""COMPUTED_VALUE"""),42545)</f>
        <v>42545</v>
      </c>
      <c r="AB160" s="27" t="str">
        <f ca="1">IFERROR(__xludf.DUMMYFUNCTION("""COMPUTED_VALUE"""),"Sim")</f>
        <v>Sim</v>
      </c>
      <c r="AC160" s="27">
        <f ca="1">IFERROR(__xludf.DUMMYFUNCTION("""COMPUTED_VALUE"""),12)</f>
        <v>12</v>
      </c>
      <c r="AD160" s="27">
        <f ca="1">IFERROR(__xludf.DUMMYFUNCTION("""COMPUTED_VALUE"""),12)</f>
        <v>12</v>
      </c>
      <c r="AE160" s="27">
        <f ca="1">IFERROR(__xludf.DUMMYFUNCTION("""COMPUTED_VALUE"""),4)</f>
        <v>4</v>
      </c>
      <c r="AF160" s="27">
        <f ca="1">IFERROR(__xludf.DUMMYFUNCTION("""COMPUTED_VALUE"""),0)</f>
        <v>0</v>
      </c>
      <c r="AG160" s="27">
        <f ca="1">IFERROR(__xludf.DUMMYFUNCTION("""COMPUTED_VALUE"""),5)</f>
        <v>5</v>
      </c>
      <c r="AH160" s="27" t="str">
        <f ca="1">IFERROR(__xludf.DUMMYFUNCTION("""COMPUTED_VALUE"""),"Convênio Público, Eventos/Ações para captação, Parceria iniciativa privada, Editais, FIA")</f>
        <v>Convênio Público, Eventos/Ações para captação, Parceria iniciativa privada, Editais, FIA</v>
      </c>
      <c r="AI160" s="27" t="str">
        <f ca="1">IFERROR(__xludf.DUMMYFUNCTION("""COMPUTED_VALUE"""),"Convênio Público - 40% | Eventos - 10% | Parceria Iniciativa Privada 40% | Editais, FIA e outros 10%")</f>
        <v>Convênio Público - 40% | Eventos - 10% | Parceria Iniciativa Privada 40% | Editais, FIA e outros 10%</v>
      </c>
      <c r="AJ160" s="27" t="str">
        <f ca="1">IFERROR(__xludf.DUMMYFUNCTION("""COMPUTED_VALUE"""),"Não")</f>
        <v>Não</v>
      </c>
      <c r="AK160" s="27"/>
      <c r="AL160" s="21" t="str">
        <f ca="1">IFERROR(__xludf.DUMMYFUNCTION("""COMPUTED_VALUE"""),"0034X0000380O0p")</f>
        <v>0034X0000380O0p</v>
      </c>
      <c r="AM160" s="27" t="str">
        <f ca="1">IFERROR(__xludf.DUMMYFUNCTION("""COMPUTED_VALUE"""),"Fernandes gonçalves")</f>
        <v>Fernandes gonçalves</v>
      </c>
      <c r="AN160" s="27" t="str">
        <f ca="1">IFERROR(__xludf.DUMMYFUNCTION("""COMPUTED_VALUE"""),"Ativo")</f>
        <v>Ativo</v>
      </c>
      <c r="AO160" s="29">
        <f ca="1">IFERROR(__xludf.DUMMYFUNCTION("""COMPUTED_VALUE"""),44763)</f>
        <v>44763</v>
      </c>
      <c r="AP160" s="27">
        <f ca="1">IFERROR(__xludf.DUMMYFUNCTION("""COMPUTED_VALUE"""),2)</f>
        <v>2</v>
      </c>
      <c r="AQ160" s="27" t="str">
        <f ca="1">IFERROR(__xludf.DUMMYFUNCTION("""COMPUTED_VALUE"""),"Primeiro Semestre 2022")</f>
        <v>Primeiro Semestre 2022</v>
      </c>
      <c r="AR160" s="27" t="str">
        <f ca="1">IFERROR(__xludf.DUMMYFUNCTION("""COMPUTED_VALUE"""),"matheusgoncalves.pastor@gmail.com")</f>
        <v>matheusgoncalves.pastor@gmail.com</v>
      </c>
      <c r="AS160" s="27" t="str">
        <f ca="1">IFERROR(__xludf.DUMMYFUNCTION("""COMPUTED_VALUE"""),"(38)98406-9158")</f>
        <v>(38)98406-9158</v>
      </c>
      <c r="AT160" s="29">
        <f ca="1">IFERROR(__xludf.DUMMYFUNCTION("""COMPUTED_VALUE"""),33311)</f>
        <v>33311</v>
      </c>
      <c r="AU160" s="27">
        <f ca="1">IFERROR(__xludf.DUMMYFUNCTION("""COMPUTED_VALUE"""),31)</f>
        <v>31</v>
      </c>
      <c r="AV160" s="27">
        <f ca="1">IFERROR(__xludf.DUMMYFUNCTION("""COMPUTED_VALUE"""),8439145640)</f>
        <v>8439145640</v>
      </c>
      <c r="AW160" s="27">
        <f ca="1">IFERROR(__xludf.DUMMYFUNCTION("""COMPUTED_VALUE"""),12372470)</f>
        <v>12372470</v>
      </c>
      <c r="AX160" s="27"/>
      <c r="AY160" s="27" t="str">
        <f ca="1">IFERROR(__xludf.DUMMYFUNCTION("""COMPUTED_VALUE"""),"COORDENADOR GERAL")</f>
        <v>COORDENADOR GERAL</v>
      </c>
      <c r="AZ160" s="27" t="str">
        <f ca="1">IFERROR(__xludf.DUMMYFUNCTION("""COMPUTED_VALUE"""),"G1")</f>
        <v>G1</v>
      </c>
      <c r="BA160" s="27" t="str">
        <f ca="1">IFERROR(__xludf.DUMMYFUNCTION("""COMPUTED_VALUE"""),"Branca")</f>
        <v>Branca</v>
      </c>
      <c r="BB160" s="27"/>
      <c r="BC160" s="27"/>
      <c r="BD160" s="27" t="str">
        <f ca="1">IFERROR(__xludf.DUMMYFUNCTION("""COMPUTED_VALUE"""),"Me chamo Matheus Fernandes Gonçalves, pastor e líder social, tenho 30 anos, casado com Patricia Ramos e sonho com uma transformação social na minha comunidade. Tenho como lema de vida: Amar a Deus e Servir Pessoas. Estou como coordenador a Associação Unai"&amp;"ense de Desenvolvimento e Cidadania - AUDEC desde a sua fundação em 2016 onde através do esporte, da cultura e da assistência social buscamos a transformação pessoal, social e comunitária dos nossos assistidos.")</f>
        <v>Me chamo Matheus Fernandes Gonçalves, pastor e líder social, tenho 30 anos, casado com Patricia Ramos e sonho com uma transformação social na minha comunidade. Tenho como lema de vida: Amar a Deus e Servir Pessoas. Estou como coordenador a Associação Unaiense de Desenvolvimento e Cidadania - AUDEC desde a sua fundação em 2016 onde através do esporte, da cultura e da assistência social buscamos a transformação pessoal, social e comunitária dos nossos assistidos.</v>
      </c>
      <c r="BE160" s="27" t="str">
        <f ca="1">IFERROR(__xludf.DUMMYFUNCTION("""COMPUTED_VALUE"""),"Homem, cisgênero")</f>
        <v>Homem, cisgênero</v>
      </c>
      <c r="BF160" s="27" t="str">
        <f ca="1">IFERROR(__xludf.DUMMYFUNCTION("""COMPUTED_VALUE"""),"Heterossexual")</f>
        <v>Heterossexual</v>
      </c>
      <c r="BG160" s="27" t="str">
        <f ca="1">IFERROR(__xludf.DUMMYFUNCTION("""COMPUTED_VALUE"""),"Ensino Superior - Incompleto")</f>
        <v>Ensino Superior - Incompleto</v>
      </c>
      <c r="BH160" s="27" t="str">
        <f ca="1">IFERROR(__xludf.DUMMYFUNCTION("""COMPUTED_VALUE"""),"Público")</f>
        <v>Público</v>
      </c>
      <c r="BI160" s="27"/>
      <c r="BJ160" s="27"/>
      <c r="BK160" s="27" t="str">
        <f ca="1">IFERROR(__xludf.DUMMYFUNCTION("""COMPUTED_VALUE"""),"Rua Marcos Lopes")</f>
        <v>Rua Marcos Lopes</v>
      </c>
      <c r="BL160" s="27">
        <f ca="1">IFERROR(__xludf.DUMMYFUNCTION("""COMPUTED_VALUE"""),170)</f>
        <v>170</v>
      </c>
      <c r="BM160" s="27"/>
      <c r="BN160" s="27" t="str">
        <f ca="1">IFERROR(__xludf.DUMMYFUNCTION("""COMPUTED_VALUE"""),"UNAÍ")</f>
        <v>UNAÍ</v>
      </c>
      <c r="BO160" s="27" t="str">
        <f ca="1">IFERROR(__xludf.DUMMYFUNCTION("""COMPUTED_VALUE"""),"38613-527")</f>
        <v>38613-527</v>
      </c>
      <c r="BP160" s="27" t="str">
        <f ca="1">IFERROR(__xludf.DUMMYFUNCTION("""COMPUTED_VALUE"""),"MG")</f>
        <v>MG</v>
      </c>
      <c r="BQ160" s="27" t="str">
        <f ca="1">IFERROR(__xludf.DUMMYFUNCTION("""COMPUTED_VALUE"""),"Entre 1 até 3 salários mínimos")</f>
        <v>Entre 1 até 3 salários mínimos</v>
      </c>
      <c r="BR160" s="27" t="str">
        <f ca="1">IFERROR(__xludf.DUMMYFUNCTION("""COMPUTED_VALUE"""),"CLT")</f>
        <v>CLT</v>
      </c>
      <c r="BS160" s="27" t="str">
        <f ca="1">IFERROR(__xludf.DUMMYFUNCTION("""COMPUTED_VALUE"""),"Casa cedida")</f>
        <v>Casa cedida</v>
      </c>
      <c r="BT160" s="27">
        <f ca="1">IFERROR(__xludf.DUMMYFUNCTION("""COMPUTED_VALUE"""),2)</f>
        <v>2</v>
      </c>
      <c r="BU160" s="27" t="str">
        <f ca="1">IFERROR(__xludf.DUMMYFUNCTION("""COMPUTED_VALUE"""),"Não tem")</f>
        <v>Não tem</v>
      </c>
      <c r="BV160" s="27" t="str">
        <f ca="1">IFERROR(__xludf.DUMMYFUNCTION("""COMPUTED_VALUE"""),"Não")</f>
        <v>Não</v>
      </c>
      <c r="BW160" s="27"/>
      <c r="BX160" s="21" t="str">
        <f ca="1">IFERROR(__xludf.DUMMYFUNCTION("""COMPUTED_VALUE"""),"https://instagram.com/matheusgoncalves.pastor?igshid=YmMyMTA2M2Y=")</f>
        <v>https://instagram.com/matheusgoncalves.pastor?igshid=YmMyMTA2M2Y=</v>
      </c>
      <c r="BY160" s="21" t="str">
        <f ca="1">IFERROR(__xludf.DUMMYFUNCTION("""COMPUTED_VALUE"""),"https://drive.google.com/open?id=1PpS5wuc5fkogqW7R0mmCRtI1-XfBxAx5")</f>
        <v>https://drive.google.com/open?id=1PpS5wuc5fkogqW7R0mmCRtI1-XfBxAx5</v>
      </c>
    </row>
    <row r="161" spans="1:77" ht="12.5" x14ac:dyDescent="0.25">
      <c r="A161" s="21" t="str">
        <f ca="1">IFERROR(__xludf.DUMMYFUNCTION("""COMPUTED_VALUE"""),"0014P00003AN2G2QAL")</f>
        <v>0014P00003AN2G2QAL</v>
      </c>
      <c r="B161" s="27" t="str">
        <f ca="1">IFERROR(__xludf.DUMMYFUNCTION("""COMPUTED_VALUE"""),"Fase Inicial")</f>
        <v>Fase Inicial</v>
      </c>
      <c r="C161" s="27" t="str">
        <f ca="1">IFERROR(__xludf.DUMMYFUNCTION("""COMPUTED_VALUE"""),"Fellow")</f>
        <v>Fellow</v>
      </c>
      <c r="D161" s="27" t="str">
        <f ca="1">IFERROR(__xludf.DUMMYFUNCTION("""COMPUTED_VALUE"""),"Ativo")</f>
        <v>Ativo</v>
      </c>
      <c r="E161" s="27" t="str">
        <f ca="1">IFERROR(__xludf.DUMMYFUNCTION("""COMPUTED_VALUE"""),"Associação Vidança Companhia de Danças do Ceará")</f>
        <v>Associação Vidança Companhia de Danças do Ceará</v>
      </c>
      <c r="F161" s="27" t="str">
        <f ca="1">IFERROR(__xludf.DUMMYFUNCTION("""COMPUTED_VALUE"""),"Ana")</f>
        <v>Ana</v>
      </c>
      <c r="G161" s="27"/>
      <c r="H161" s="27" t="str">
        <f ca="1">IFERROR(__xludf.DUMMYFUNCTION("""COMPUTED_VALUE"""),"00.620.970/0001-00")</f>
        <v>00.620.970/0001-00</v>
      </c>
      <c r="I161" s="27"/>
      <c r="J161" s="27"/>
      <c r="K161" s="27" t="str">
        <f ca="1">IFERROR(__xludf.DUMMYFUNCTION("""COMPUTED_VALUE"""),"(85)3262-7599")</f>
        <v>(85)3262-7599</v>
      </c>
      <c r="L161" s="27" t="str">
        <f ca="1">IFERROR(__xludf.DUMMYFUNCTION("""COMPUTED_VALUE"""),"CE")</f>
        <v>CE</v>
      </c>
      <c r="M161" s="27" t="str">
        <f ca="1">IFERROR(__xludf.DUMMYFUNCTION("""COMPUTED_VALUE"""),"Av L, 400")</f>
        <v>Av L, 400</v>
      </c>
      <c r="N161" s="27"/>
      <c r="O161" s="27" t="str">
        <f ca="1">IFERROR(__xludf.DUMMYFUNCTION("""COMPUTED_VALUE"""),"(85)9985-3687")</f>
        <v>(85)9985-3687</v>
      </c>
      <c r="P161" s="27" t="str">
        <f ca="1">IFERROR(__xludf.DUMMYFUNCTION("""COMPUTED_VALUE"""),"Fortaleza")</f>
        <v>Fortaleza</v>
      </c>
      <c r="Q161" s="27"/>
      <c r="R161" s="27" t="str">
        <f ca="1">IFERROR(__xludf.DUMMYFUNCTION("""COMPUTED_VALUE"""),"60347-800")</f>
        <v>60347-800</v>
      </c>
      <c r="S161" s="27"/>
      <c r="T161" s="27" t="str">
        <f ca="1">IFERROR(__xludf.DUMMYFUNCTION("""COMPUTED_VALUE"""),"Esporte; Educação; Cultura; Qualificação Profissional")</f>
        <v>Esporte; Educação; Cultura; Qualificação Profissional</v>
      </c>
      <c r="U161" s="27" t="str">
        <f ca="1">IFERROR(__xludf.DUMMYFUNCTION("""COMPUTED_VALUE"""),"Crianças (6 a 12 anos); Adolescentes (12 aos 18 anos); Jovens (18 aos 24 anos); Adultos; Idosos (60 anos ou mais)")</f>
        <v>Crianças (6 a 12 anos); Adolescentes (12 aos 18 anos); Jovens (18 aos 24 anos); Adultos; Idosos (60 anos ou mais)</v>
      </c>
      <c r="V161" s="27" t="str">
        <f ca="1">IFERROR(__xludf.DUMMYFUNCTION("""COMPUTED_VALUE"""),"Moradores de Favelas")</f>
        <v>Moradores de Favelas</v>
      </c>
      <c r="W161" s="27">
        <f ca="1">IFERROR(__xludf.DUMMYFUNCTION("""COMPUTED_VALUE"""),5)</f>
        <v>5</v>
      </c>
      <c r="X161" s="27" t="str">
        <f ca="1">IFERROR(__xludf.DUMMYFUNCTION("""COMPUTED_VALUE"""),"O grupo de idoso que atendemos representa uma pequena parcela do público-alvo. Temos pessoas pertencentes  a grupos específicos (LGBTQI+ afrodescendentes etc.) mas as ações da instituição ainda não são voltadas especificamente para eles.")</f>
        <v>O grupo de idoso que atendemos representa uma pequena parcela do público-alvo. Temos pessoas pertencentes  a grupos específicos (LGBTQI+ afrodescendentes etc.) mas as ações da instituição ainda não são voltadas especificamente para eles.</v>
      </c>
      <c r="Y161" s="27"/>
      <c r="Z161" s="27"/>
      <c r="AA161" s="29">
        <f ca="1">IFERROR(__xludf.DUMMYFUNCTION("""COMPUTED_VALUE"""),34704)</f>
        <v>34704</v>
      </c>
      <c r="AB161" s="27" t="str">
        <f ca="1">IFERROR(__xludf.DUMMYFUNCTION("""COMPUTED_VALUE"""),"Sim")</f>
        <v>Sim</v>
      </c>
      <c r="AC161" s="27">
        <f ca="1">IFERROR(__xludf.DUMMYFUNCTION("""COMPUTED_VALUE"""),10)</f>
        <v>10</v>
      </c>
      <c r="AD161" s="27">
        <f ca="1">IFERROR(__xludf.DUMMYFUNCTION("""COMPUTED_VALUE"""),11)</f>
        <v>11</v>
      </c>
      <c r="AE161" s="27">
        <f ca="1">IFERROR(__xludf.DUMMYFUNCTION("""COMPUTED_VALUE"""),6)</f>
        <v>6</v>
      </c>
      <c r="AF161" s="27">
        <f ca="1">IFERROR(__xludf.DUMMYFUNCTION("""COMPUTED_VALUE"""),5)</f>
        <v>5</v>
      </c>
      <c r="AG161" s="27">
        <f ca="1">IFERROR(__xludf.DUMMYFUNCTION("""COMPUTED_VALUE"""),2)</f>
        <v>2</v>
      </c>
      <c r="AH161" s="27" t="str">
        <f ca="1">IFERROR(__xludf.DUMMYFUNCTION("""COMPUTED_VALUE"""),"Editais; Doações")</f>
        <v>Editais; Doações</v>
      </c>
      <c r="AI161" s="27" t="str">
        <f ca="1">IFERROR(__xludf.DUMMYFUNCTION("""COMPUTED_VALUE"""),"90% Editais, 10% Doação")</f>
        <v>90% Editais, 10% Doação</v>
      </c>
      <c r="AJ161" s="27" t="str">
        <f ca="1">IFERROR(__xludf.DUMMYFUNCTION("""COMPUTED_VALUE"""),"Não")</f>
        <v>Não</v>
      </c>
      <c r="AK161" s="27" t="str">
        <f ca="1">IFERROR(__xludf.DUMMYFUNCTION("""COMPUTED_VALUE"""),"Sim")</f>
        <v>Sim</v>
      </c>
      <c r="AL161" s="21" t="str">
        <f ca="1">IFERROR(__xludf.DUMMYFUNCTION("""COMPUTED_VALUE"""),"0034P00003maBVW")</f>
        <v>0034P00003maBVW</v>
      </c>
      <c r="AM161" s="27" t="str">
        <f ca="1">IFERROR(__xludf.DUMMYFUNCTION("""COMPUTED_VALUE"""),"Anália Timbó Catunda")</f>
        <v>Anália Timbó Catunda</v>
      </c>
      <c r="AN161" s="27" t="str">
        <f ca="1">IFERROR(__xludf.DUMMYFUNCTION("""COMPUTED_VALUE"""),"Ativo")</f>
        <v>Ativo</v>
      </c>
      <c r="AO161" s="29">
        <f ca="1">IFERROR(__xludf.DUMMYFUNCTION("""COMPUTED_VALUE"""),44375)</f>
        <v>44375</v>
      </c>
      <c r="AP161" s="27">
        <f ca="1">IFERROR(__xludf.DUMMYFUNCTION("""COMPUTED_VALUE"""),15)</f>
        <v>15</v>
      </c>
      <c r="AQ161" s="27" t="str">
        <f ca="1">IFERROR(__xludf.DUMMYFUNCTION("""COMPUTED_VALUE"""),"Segundo Semestre 2020")</f>
        <v>Segundo Semestre 2020</v>
      </c>
      <c r="AR161" s="27" t="str">
        <f ca="1">IFERROR(__xludf.DUMMYFUNCTION("""COMPUTED_VALUE"""),"analiatimbo@vidanca.org")</f>
        <v>analiatimbo@vidanca.org</v>
      </c>
      <c r="AS161" s="27" t="str">
        <f ca="1">IFERROR(__xludf.DUMMYFUNCTION("""COMPUTED_VALUE"""),"(85)9985-3687")</f>
        <v>(85)9985-3687</v>
      </c>
      <c r="AT161" s="29">
        <f ca="1">IFERROR(__xludf.DUMMYFUNCTION("""COMPUTED_VALUE"""),20958)</f>
        <v>20958</v>
      </c>
      <c r="AU161" s="27">
        <f ca="1">IFERROR(__xludf.DUMMYFUNCTION("""COMPUTED_VALUE"""),65)</f>
        <v>65</v>
      </c>
      <c r="AV161" s="27">
        <f ca="1">IFERROR(__xludf.DUMMYFUNCTION("""COMPUTED_VALUE"""),9164235300)</f>
        <v>9164235300</v>
      </c>
      <c r="AW161" s="27">
        <f ca="1">IFERROR(__xludf.DUMMYFUNCTION("""COMPUTED_VALUE"""),95002672606)</f>
        <v>95002672606</v>
      </c>
      <c r="AX161" s="27" t="str">
        <f ca="1">IFERROR(__xludf.DUMMYFUNCTION("""COMPUTED_VALUE"""),"Danças")</f>
        <v>Danças</v>
      </c>
      <c r="AY161" s="27"/>
      <c r="AZ161" s="27" t="str">
        <f ca="1">IFERROR(__xludf.DUMMYFUNCTION("""COMPUTED_VALUE"""),"PP")</f>
        <v>PP</v>
      </c>
      <c r="BA161" s="27"/>
      <c r="BB161" s="27"/>
      <c r="BC161" s="27" t="str">
        <f ca="1">IFERROR(__xludf.DUMMYFUNCTION("""COMPUTED_VALUE"""),"Sim")</f>
        <v>Sim</v>
      </c>
      <c r="BD161" s="27" t="str">
        <f ca="1">IFERROR(__xludf.DUMMYFUNCTION("""COMPUTED_VALUE"""),"Professora, bailarina, coreógrafa, atualmente é presidente da Associação Vidança Cia de Danças do Ceará, entidade que fundou há 41 anos, sediada no Bairro Vila Velha. Tendo exercido diversas atividades no campo cultural ao longo dos anos, hoje se dedica a"&amp;"s atividades de funcionamento e coordenações dos projetos da Vidança, com a qual produziu diversos espetáculos, como Catu Macã,, Memórias do Mangue, A Alma Nua de Maria, etc..")</f>
        <v>Professora, bailarina, coreógrafa, atualmente é presidente da Associação Vidança Cia de Danças do Ceará, entidade que fundou há 41 anos, sediada no Bairro Vila Velha. Tendo exercido diversas atividades no campo cultural ao longo dos anos, hoje se dedica as atividades de funcionamento e coordenações dos projetos da Vidança, com a qual produziu diversos espetáculos, como Catu Macã,, Memórias do Mangue, A Alma Nua de Maria, etc..</v>
      </c>
      <c r="BE161" s="27"/>
      <c r="BF161" s="27"/>
      <c r="BG161" s="27" t="str">
        <f ca="1">IFERROR(__xludf.DUMMYFUNCTION("""COMPUTED_VALUE"""),"Ensino Superior - Completo")</f>
        <v>Ensino Superior - Completo</v>
      </c>
      <c r="BH161" s="27"/>
      <c r="BI161" s="27" t="str">
        <f ca="1">IFERROR(__xludf.DUMMYFUNCTION("""COMPUTED_VALUE"""),"Graduação")</f>
        <v>Graduação</v>
      </c>
      <c r="BJ161" s="27" t="str">
        <f ca="1">IFERROR(__xludf.DUMMYFUNCTION("""COMPUTED_VALUE"""),"Privado")</f>
        <v>Privado</v>
      </c>
      <c r="BK161" s="27" t="str">
        <f ca="1">IFERROR(__xludf.DUMMYFUNCTION("""COMPUTED_VALUE"""),"Pereira Valente")</f>
        <v>Pereira Valente</v>
      </c>
      <c r="BL161" s="27">
        <f ca="1">IFERROR(__xludf.DUMMYFUNCTION("""COMPUTED_VALUE"""),640)</f>
        <v>640</v>
      </c>
      <c r="BM161" s="27" t="str">
        <f ca="1">IFERROR(__xludf.DUMMYFUNCTION("""COMPUTED_VALUE"""),"AP 2003")</f>
        <v>AP 2003</v>
      </c>
      <c r="BN161" s="27" t="str">
        <f ca="1">IFERROR(__xludf.DUMMYFUNCTION("""COMPUTED_VALUE"""),"Fortaleza")</f>
        <v>Fortaleza</v>
      </c>
      <c r="BO161" s="27" t="str">
        <f ca="1">IFERROR(__xludf.DUMMYFUNCTION("""COMPUTED_VALUE"""),"60160-250")</f>
        <v>60160-250</v>
      </c>
      <c r="BP161" s="27" t="str">
        <f ca="1">IFERROR(__xludf.DUMMYFUNCTION("""COMPUTED_VALUE"""),"CE")</f>
        <v>CE</v>
      </c>
      <c r="BQ161" s="27" t="str">
        <f ca="1">IFERROR(__xludf.DUMMYFUNCTION("""COMPUTED_VALUE"""),"Entre 1 até 3 salários mínimos")</f>
        <v>Entre 1 até 3 salários mínimos</v>
      </c>
      <c r="BR161" s="27" t="str">
        <f ca="1">IFERROR(__xludf.DUMMYFUNCTION("""COMPUTED_VALUE"""),"CLT; MEI")</f>
        <v>CLT; MEI</v>
      </c>
      <c r="BS161" s="27" t="str">
        <f ca="1">IFERROR(__xludf.DUMMYFUNCTION("""COMPUTED_VALUE"""),"Aluguel")</f>
        <v>Aluguel</v>
      </c>
      <c r="BT161" s="27">
        <f ca="1">IFERROR(__xludf.DUMMYFUNCTION("""COMPUTED_VALUE"""),2)</f>
        <v>2</v>
      </c>
      <c r="BU161" s="27"/>
      <c r="BV161" s="27"/>
      <c r="BW161" s="27"/>
      <c r="BX161" s="21" t="str">
        <f ca="1">IFERROR(__xludf.DUMMYFUNCTION("""COMPUTED_VALUE"""),"https://www.instagram.com/analiatimbo/")</f>
        <v>https://www.instagram.com/analiatimbo/</v>
      </c>
      <c r="BY161" s="21" t="str">
        <f ca="1">IFERROR(__xludf.DUMMYFUNCTION("""COMPUTED_VALUE"""),"https://drive.google.com/open?id=1GYVUOCb955xDBO36TxivcsqaWfvklovH")</f>
        <v>https://drive.google.com/open?id=1GYVUOCb955xDBO36TxivcsqaWfvklovH</v>
      </c>
    </row>
    <row r="162" spans="1:77" ht="12.5" hidden="1" x14ac:dyDescent="0.25">
      <c r="A162" s="21" t="str">
        <f ca="1">IFERROR(__xludf.DUMMYFUNCTION("""COMPUTED_VALUE"""),"0014P00003YSp9gQAD")</f>
        <v>0014P00003YSp9gQAD</v>
      </c>
      <c r="B162" s="27" t="str">
        <f ca="1">IFERROR(__xludf.DUMMYFUNCTION("""COMPUTED_VALUE"""),"Fase Inicial")</f>
        <v>Fase Inicial</v>
      </c>
      <c r="C162" s="27" t="str">
        <f ca="1">IFERROR(__xludf.DUMMYFUNCTION("""COMPUTED_VALUE"""),"Fellow")</f>
        <v>Fellow</v>
      </c>
      <c r="D162" s="27" t="str">
        <f ca="1">IFERROR(__xludf.DUMMYFUNCTION("""COMPUTED_VALUE"""),"Ativo")</f>
        <v>Ativo</v>
      </c>
      <c r="E162" s="27" t="str">
        <f ca="1">IFERROR(__xludf.DUMMYFUNCTION("""COMPUTED_VALUE"""),"Associação vivendo a arte")</f>
        <v>Associação vivendo a arte</v>
      </c>
      <c r="F162" s="27" t="str">
        <f ca="1">IFERROR(__xludf.DUMMYFUNCTION("""COMPUTED_VALUE"""),"Gustavo")</f>
        <v>Gustavo</v>
      </c>
      <c r="G162" s="27"/>
      <c r="H162" s="27">
        <f ca="1">IFERROR(__xludf.DUMMYFUNCTION("""COMPUTED_VALUE"""),27069842000156)</f>
        <v>27069842000156</v>
      </c>
      <c r="I162" s="27" t="str">
        <f ca="1">IFERROR(__xludf.DUMMYFUNCTION("""COMPUTED_VALUE"""),"vanessa mauricio bittencourt")</f>
        <v>vanessa mauricio bittencourt</v>
      </c>
      <c r="J162" s="27" t="str">
        <f ca="1">IFERROR(__xludf.DUMMYFUNCTION("""COMPUTED_VALUE"""),"psvivendoaarte@gmail.com")</f>
        <v>psvivendoaarte@gmail.com</v>
      </c>
      <c r="K162" s="27" t="str">
        <f ca="1">IFERROR(__xludf.DUMMYFUNCTION("""COMPUTED_VALUE"""),"(48)99990-6256")</f>
        <v>(48)99990-6256</v>
      </c>
      <c r="L162" s="27" t="str">
        <f ca="1">IFERROR(__xludf.DUMMYFUNCTION("""COMPUTED_VALUE"""),"SC")</f>
        <v>SC</v>
      </c>
      <c r="M162" s="27" t="str">
        <f ca="1">IFERROR(__xludf.DUMMYFUNCTION("""COMPUTED_VALUE"""),"rua josé pedro gil")</f>
        <v>rua josé pedro gil</v>
      </c>
      <c r="N162" s="27" t="str">
        <f ca="1">IFERROR(__xludf.DUMMYFUNCTION("""COMPUTED_VALUE"""),"agronomica")</f>
        <v>agronomica</v>
      </c>
      <c r="O162" s="27">
        <f ca="1">IFERROR(__xludf.DUMMYFUNCTION("""COMPUTED_VALUE"""),118)</f>
        <v>118</v>
      </c>
      <c r="P162" s="27" t="str">
        <f ca="1">IFERROR(__xludf.DUMMYFUNCTION("""COMPUTED_VALUE"""),"florianópolis")</f>
        <v>florianópolis</v>
      </c>
      <c r="Q162" s="27" t="str">
        <f ca="1">IFERROR(__xludf.DUMMYFUNCTION("""COMPUTED_VALUE"""),"neim joao machado da silva")</f>
        <v>neim joao machado da silva</v>
      </c>
      <c r="R162" s="27">
        <f ca="1">IFERROR(__xludf.DUMMYFUNCTION("""COMPUTED_VALUE"""),88025030)</f>
        <v>88025030</v>
      </c>
      <c r="S162" s="27"/>
      <c r="T162" s="27"/>
      <c r="U162" s="27"/>
      <c r="V162" s="27"/>
      <c r="W162" s="27">
        <f ca="1">IFERROR(__xludf.DUMMYFUNCTION("""COMPUTED_VALUE"""),2)</f>
        <v>2</v>
      </c>
      <c r="X162" s="27"/>
      <c r="Y162" s="27"/>
      <c r="Z162" s="27">
        <f ca="1">IFERROR(__xludf.DUMMYFUNCTION("""COMPUTED_VALUE"""),500)</f>
        <v>500</v>
      </c>
      <c r="AA162" s="29">
        <f ca="1">IFERROR(__xludf.DUMMYFUNCTION("""COMPUTED_VALUE"""),41734)</f>
        <v>41734</v>
      </c>
      <c r="AB162" s="27" t="str">
        <f ca="1">IFERROR(__xludf.DUMMYFUNCTION("""COMPUTED_VALUE"""),"Sim")</f>
        <v>Sim</v>
      </c>
      <c r="AC162" s="27">
        <f ca="1">IFERROR(__xludf.DUMMYFUNCTION("""COMPUTED_VALUE"""),5)</f>
        <v>5</v>
      </c>
      <c r="AD162" s="27"/>
      <c r="AE162" s="27">
        <f ca="1">IFERROR(__xludf.DUMMYFUNCTION("""COMPUTED_VALUE"""),5)</f>
        <v>5</v>
      </c>
      <c r="AF162" s="27"/>
      <c r="AG162" s="27">
        <f ca="1">IFERROR(__xludf.DUMMYFUNCTION("""COMPUTED_VALUE"""),2)</f>
        <v>2</v>
      </c>
      <c r="AH162" s="27"/>
      <c r="AI162" s="27"/>
      <c r="AJ162" s="27"/>
      <c r="AK162" s="27"/>
      <c r="AL162" s="21" t="str">
        <f ca="1">IFERROR(__xludf.DUMMYFUNCTION("""COMPUTED_VALUE"""),"0034P000045kxkI")</f>
        <v>0034P000045kxkI</v>
      </c>
      <c r="AM162" s="27" t="str">
        <f ca="1">IFERROR(__xludf.DUMMYFUNCTION("""COMPUTED_VALUE"""),"Gustavo Santiago")</f>
        <v>Gustavo Santiago</v>
      </c>
      <c r="AN162" s="27" t="str">
        <f ca="1">IFERROR(__xludf.DUMMYFUNCTION("""COMPUTED_VALUE"""),"Ativo")</f>
        <v>Ativo</v>
      </c>
      <c r="AO162" s="30">
        <f ca="1">IFERROR(__xludf.DUMMYFUNCTION("""COMPUTED_VALUE"""),44551)</f>
        <v>44551</v>
      </c>
      <c r="AP162" s="27">
        <f ca="1">IFERROR(__xludf.DUMMYFUNCTION("""COMPUTED_VALUE"""),9)</f>
        <v>9</v>
      </c>
      <c r="AQ162" s="27" t="str">
        <f ca="1">IFERROR(__xludf.DUMMYFUNCTION("""COMPUTED_VALUE"""),"Segundo Semestre 2021")</f>
        <v>Segundo Semestre 2021</v>
      </c>
      <c r="AR162" s="27" t="str">
        <f ca="1">IFERROR(__xludf.DUMMYFUNCTION("""COMPUTED_VALUE"""),"kgustavosantiago@gmail.com")</f>
        <v>kgustavosantiago@gmail.com</v>
      </c>
      <c r="AS162" s="27" t="str">
        <f ca="1">IFERROR(__xludf.DUMMYFUNCTION("""COMPUTED_VALUE"""),"(48)99990-6256")</f>
        <v>(48)99990-6256</v>
      </c>
      <c r="AT162" s="29">
        <f ca="1">IFERROR(__xludf.DUMMYFUNCTION("""COMPUTED_VALUE"""),31814)</f>
        <v>31814</v>
      </c>
      <c r="AU162" s="27">
        <f ca="1">IFERROR(__xludf.DUMMYFUNCTION("""COMPUTED_VALUE"""),35)</f>
        <v>35</v>
      </c>
      <c r="AV162" s="27">
        <f ca="1">IFERROR(__xludf.DUMMYFUNCTION("""COMPUTED_VALUE"""),7115714908)</f>
        <v>7115714908</v>
      </c>
      <c r="AW162" s="27">
        <f ca="1">IFERROR(__xludf.DUMMYFUNCTION("""COMPUTED_VALUE"""),4361044)</f>
        <v>4361044</v>
      </c>
      <c r="AX162" s="27"/>
      <c r="AY162" s="27"/>
      <c r="AZ162" s="27" t="str">
        <f ca="1">IFERROR(__xludf.DUMMYFUNCTION("""COMPUTED_VALUE"""),"GG")</f>
        <v>GG</v>
      </c>
      <c r="BA162" s="27" t="str">
        <f ca="1">IFERROR(__xludf.DUMMYFUNCTION("""COMPUTED_VALUE"""),"Preta")</f>
        <v>Preta</v>
      </c>
      <c r="BB162" s="27" t="str">
        <f ca="1">IFERROR(__xludf.DUMMYFUNCTION("""COMPUTED_VALUE"""),"Homem, cisgênero")</f>
        <v>Homem, cisgênero</v>
      </c>
      <c r="BC162" s="27" t="str">
        <f ca="1">IFERROR(__xludf.DUMMYFUNCTION("""COMPUTED_VALUE"""),"Não")</f>
        <v>Não</v>
      </c>
      <c r="BD162" s="27" t="str">
        <f ca="1">IFERROR(__xludf.DUMMYFUNCTION("""COMPUTED_VALUE"""),"Me chamo Gustavo Santiago, nasci em 02 de junho de 1987 na cidade de Florianópolis (SC), trabalho com a causa social desde o ano de 2012. Sou atleta  e professor de Jiu-Jitsu há 20 anos e atualmente coordeno uma ONG entre as comunidade do Morro da Nova Tr"&amp;"ento e Morro do 25 no Bairro Agronômica em Florianópolis. A ONG Vivendo a Arte é uma ONG esportiva, cultural e seu carro chefe é a modalidade de JIu-JItsu")</f>
        <v>Me chamo Gustavo Santiago, nasci em 02 de junho de 1987 na cidade de Florianópolis (SC), trabalho com a causa social desde o ano de 2012. Sou atleta  e professor de Jiu-Jitsu há 20 anos e atualmente coordeno uma ONG entre as comunidade do Morro da Nova Trento e Morro do 25 no Bairro Agronômica em Florianópolis. A ONG Vivendo a Arte é uma ONG esportiva, cultural e seu carro chefe é a modalidade de JIu-JItsu</v>
      </c>
      <c r="BE162" s="27"/>
      <c r="BF162" s="27" t="str">
        <f ca="1">IFERROR(__xludf.DUMMYFUNCTION("""COMPUTED_VALUE"""),"Heterossexual")</f>
        <v>Heterossexual</v>
      </c>
      <c r="BG162" s="27" t="str">
        <f ca="1">IFERROR(__xludf.DUMMYFUNCTION("""COMPUTED_VALUE"""),"Ensino Superior - Incompleto")</f>
        <v>Ensino Superior - Incompleto</v>
      </c>
      <c r="BH162" s="27" t="str">
        <f ca="1">IFERROR(__xludf.DUMMYFUNCTION("""COMPUTED_VALUE"""),"Privado")</f>
        <v>Privado</v>
      </c>
      <c r="BI162" s="27" t="str">
        <f ca="1">IFERROR(__xludf.DUMMYFUNCTION("""COMPUTED_VALUE"""),"Graduação")</f>
        <v>Graduação</v>
      </c>
      <c r="BJ162" s="27" t="str">
        <f ca="1">IFERROR(__xludf.DUMMYFUNCTION("""COMPUTED_VALUE"""),"Privado")</f>
        <v>Privado</v>
      </c>
      <c r="BK162" s="27" t="str">
        <f ca="1">IFERROR(__xludf.DUMMYFUNCTION("""COMPUTED_VALUE"""),"Dante de Pata")</f>
        <v>Dante de Pata</v>
      </c>
      <c r="BL162" s="27">
        <f ca="1">IFERROR(__xludf.DUMMYFUNCTION("""COMPUTED_VALUE"""),251)</f>
        <v>251</v>
      </c>
      <c r="BM162" s="27" t="str">
        <f ca="1">IFERROR(__xludf.DUMMYFUNCTION("""COMPUTED_VALUE"""),"apt 102 bloco A")</f>
        <v>apt 102 bloco A</v>
      </c>
      <c r="BN162" s="27" t="str">
        <f ca="1">IFERROR(__xludf.DUMMYFUNCTION("""COMPUTED_VALUE"""),"Florianópolis")</f>
        <v>Florianópolis</v>
      </c>
      <c r="BO162" s="27" t="str">
        <f ca="1">IFERROR(__xludf.DUMMYFUNCTION("""COMPUTED_VALUE"""),"88058-510")</f>
        <v>88058-510</v>
      </c>
      <c r="BP162" s="27" t="str">
        <f ca="1">IFERROR(__xludf.DUMMYFUNCTION("""COMPUTED_VALUE"""),"SC")</f>
        <v>SC</v>
      </c>
      <c r="BQ162" s="27" t="str">
        <f ca="1">IFERROR(__xludf.DUMMYFUNCTION("""COMPUTED_VALUE"""),"De 3 até 5 salários mínimos")</f>
        <v>De 3 até 5 salários mínimos</v>
      </c>
      <c r="BR162" s="27" t="str">
        <f ca="1">IFERROR(__xludf.DUMMYFUNCTION("""COMPUTED_VALUE"""),"MEI")</f>
        <v>MEI</v>
      </c>
      <c r="BS162" s="27" t="str">
        <f ca="1">IFERROR(__xludf.DUMMYFUNCTION("""COMPUTED_VALUE"""),"Casa própria")</f>
        <v>Casa própria</v>
      </c>
      <c r="BT162" s="27">
        <f ca="1">IFERROR(__xludf.DUMMYFUNCTION("""COMPUTED_VALUE"""),3)</f>
        <v>3</v>
      </c>
      <c r="BU162" s="27" t="str">
        <f ca="1">IFERROR(__xludf.DUMMYFUNCTION("""COMPUTED_VALUE"""),"Não tem")</f>
        <v>Não tem</v>
      </c>
      <c r="BV162" s="27"/>
      <c r="BW162" s="27"/>
      <c r="BX162" s="21" t="str">
        <f ca="1">IFERROR(__xludf.DUMMYFUNCTION("""COMPUTED_VALUE"""),"https://instagram.com/k_g_s_?utm_medium=copy_link")</f>
        <v>https://instagram.com/k_g_s_?utm_medium=copy_link</v>
      </c>
      <c r="BY162" s="21" t="str">
        <f ca="1">IFERROR(__xludf.DUMMYFUNCTION("""COMPUTED_VALUE"""),"https://drive.google.com/open?id=1WqrhfnHkU7vVe6glLWce31NU2cSTN0U5")</f>
        <v>https://drive.google.com/open?id=1WqrhfnHkU7vVe6glLWce31NU2cSTN0U5</v>
      </c>
    </row>
    <row r="163" spans="1:77" ht="12.5" x14ac:dyDescent="0.25">
      <c r="A163" s="21" t="str">
        <f ca="1">IFERROR(__xludf.DUMMYFUNCTION("""COMPUTED_VALUE"""),"0014P00003YSp7eQAD")</f>
        <v>0014P00003YSp7eQAD</v>
      </c>
      <c r="B163" s="27" t="str">
        <f ca="1">IFERROR(__xludf.DUMMYFUNCTION("""COMPUTED_VALUE"""),"Fase Estruturação")</f>
        <v>Fase Estruturação</v>
      </c>
      <c r="C163" s="27" t="str">
        <f ca="1">IFERROR(__xludf.DUMMYFUNCTION("""COMPUTED_VALUE"""),"Fellow")</f>
        <v>Fellow</v>
      </c>
      <c r="D163" s="27" t="str">
        <f ca="1">IFERROR(__xludf.DUMMYFUNCTION("""COMPUTED_VALUE"""),"Ativo")</f>
        <v>Ativo</v>
      </c>
      <c r="E163" s="27" t="str">
        <f ca="1">IFERROR(__xludf.DUMMYFUNCTION("""COMPUTED_VALUE"""),"Associação VOAR")</f>
        <v>Associação VOAR</v>
      </c>
      <c r="F163" s="27" t="str">
        <f ca="1">IFERROR(__xludf.DUMMYFUNCTION("""COMPUTED_VALUE"""),"Eraldo")</f>
        <v>Eraldo</v>
      </c>
      <c r="G163" s="27"/>
      <c r="H163" s="27" t="str">
        <f ca="1">IFERROR(__xludf.DUMMYFUNCTION("""COMPUTED_VALUE"""),"23.803.494/0001-48")</f>
        <v>23.803.494/0001-48</v>
      </c>
      <c r="I163" s="27" t="str">
        <f ca="1">IFERROR(__xludf.DUMMYFUNCTION("""COMPUTED_VALUE"""),"Eraldo Noronha Lima Júnior")</f>
        <v>Eraldo Noronha Lima Júnior</v>
      </c>
      <c r="J163" s="27" t="str">
        <f ca="1">IFERROR(__xludf.DUMMYFUNCTION("""COMPUTED_VALUE"""),"contato@associacaovoar.org")</f>
        <v>contato@associacaovoar.org</v>
      </c>
      <c r="K163" s="27" t="str">
        <f ca="1">IFERROR(__xludf.DUMMYFUNCTION("""COMPUTED_VALUE"""),"(85)99731-6368")</f>
        <v>(85)99731-6368</v>
      </c>
      <c r="L163" s="27" t="str">
        <f ca="1">IFERROR(__xludf.DUMMYFUNCTION("""COMPUTED_VALUE"""),"CE")</f>
        <v>CE</v>
      </c>
      <c r="M163" s="27" t="str">
        <f ca="1">IFERROR(__xludf.DUMMYFUNCTION("""COMPUTED_VALUE"""),"Rua José Barreto Parente")</f>
        <v>Rua José Barreto Parente</v>
      </c>
      <c r="N163" s="27" t="str">
        <f ca="1">IFERROR(__xludf.DUMMYFUNCTION("""COMPUTED_VALUE"""),"Engenheiro Luciano Cavalcante")</f>
        <v>Engenheiro Luciano Cavalcante</v>
      </c>
      <c r="O163" s="27">
        <f ca="1">IFERROR(__xludf.DUMMYFUNCTION("""COMPUTED_VALUE"""),331)</f>
        <v>331</v>
      </c>
      <c r="P163" s="27" t="str">
        <f ca="1">IFERROR(__xludf.DUMMYFUNCTION("""COMPUTED_VALUE"""),"Fortaleza")</f>
        <v>Fortaleza</v>
      </c>
      <c r="Q163" s="27" t="str">
        <f ca="1">IFERROR(__xludf.DUMMYFUNCTION("""COMPUTED_VALUE"""),"Próximo a Defensoria Pública")</f>
        <v>Próximo a Defensoria Pública</v>
      </c>
      <c r="R163" s="27" t="str">
        <f ca="1">IFERROR(__xludf.DUMMYFUNCTION("""COMPUTED_VALUE"""),"60811-160")</f>
        <v>60811-160</v>
      </c>
      <c r="S163" s="27"/>
      <c r="T163" s="27" t="str">
        <f ca="1">IFERROR(__xludf.DUMMYFUNCTION("""COMPUTED_VALUE"""),"Educação; Assistência Social")</f>
        <v>Educação; Assistência Social</v>
      </c>
      <c r="U163" s="27" t="str">
        <f ca="1">IFERROR(__xludf.DUMMYFUNCTION("""COMPUTED_VALUE"""),"Crianças (6 a 12 anos); Adolescentes (12 aos 18 anos); Jovens (18 aos 24 anos)")</f>
        <v>Crianças (6 a 12 anos); Adolescentes (12 aos 18 anos); Jovens (18 aos 24 anos)</v>
      </c>
      <c r="V163" s="27" t="str">
        <f ca="1">IFERROR(__xludf.DUMMYFUNCTION("""COMPUTED_VALUE"""),"Moradores de Favelas; Outros")</f>
        <v>Moradores de Favelas; Outros</v>
      </c>
      <c r="W163" s="27">
        <f ca="1">IFERROR(__xludf.DUMMYFUNCTION("""COMPUTED_VALUE"""),5)</f>
        <v>5</v>
      </c>
      <c r="X163" s="27" t="str">
        <f ca="1">IFERROR(__xludf.DUMMYFUNCTION("""COMPUTED_VALUE"""),"São crianças e adolescentes de 7 a 17 anos Além disso oferecemos apoio e atendimentos as suas famílias.")</f>
        <v>São crianças e adolescentes de 7 a 17 anos Além disso oferecemos apoio e atendimentos as suas famílias.</v>
      </c>
      <c r="Y163" s="27"/>
      <c r="Z163" s="27">
        <f ca="1">IFERROR(__xludf.DUMMYFUNCTION("""COMPUTED_VALUE"""),380)</f>
        <v>380</v>
      </c>
      <c r="AA163" s="29">
        <f ca="1">IFERROR(__xludf.DUMMYFUNCTION("""COMPUTED_VALUE"""),42236)</f>
        <v>42236</v>
      </c>
      <c r="AB163" s="27" t="str">
        <f ca="1">IFERROR(__xludf.DUMMYFUNCTION("""COMPUTED_VALUE"""),"Sim")</f>
        <v>Sim</v>
      </c>
      <c r="AC163" s="27">
        <f ca="1">IFERROR(__xludf.DUMMYFUNCTION("""COMPUTED_VALUE"""),6)</f>
        <v>6</v>
      </c>
      <c r="AD163" s="27">
        <f ca="1">IFERROR(__xludf.DUMMYFUNCTION("""COMPUTED_VALUE"""),6)</f>
        <v>6</v>
      </c>
      <c r="AE163" s="27">
        <f ca="1">IFERROR(__xludf.DUMMYFUNCTION("""COMPUTED_VALUE"""),10)</f>
        <v>10</v>
      </c>
      <c r="AF163" s="27">
        <f ca="1">IFERROR(__xludf.DUMMYFUNCTION("""COMPUTED_VALUE"""),5)</f>
        <v>5</v>
      </c>
      <c r="AG163" s="27">
        <f ca="1">IFERROR(__xludf.DUMMYFUNCTION("""COMPUTED_VALUE"""),4)</f>
        <v>4</v>
      </c>
      <c r="AH163" s="27" t="str">
        <f ca="1">IFERROR(__xludf.DUMMYFUNCTION("""COMPUTED_VALUE"""),"Eventos/Ações para captação; Plataforma doação online - Pessoa Física; Parceria iniciativa privada; Doações")</f>
        <v>Eventos/Ações para captação; Plataforma doação online - Pessoa Física; Parceria iniciativa privada; Doações</v>
      </c>
      <c r="AI163" s="27" t="str">
        <f ca="1">IFERROR(__xludf.DUMMYFUNCTION("""COMPUTED_VALUE"""),"Doações PF: 21%. Doações PJ: 39%. Sua Nota Tem Valor: 2%")</f>
        <v>Doações PF: 21%. Doações PJ: 39%. Sua Nota Tem Valor: 2%</v>
      </c>
      <c r="AJ163" s="27"/>
      <c r="AK163" s="27"/>
      <c r="AL163" s="21" t="str">
        <f ca="1">IFERROR(__xludf.DUMMYFUNCTION("""COMPUTED_VALUE"""),"0034P000045kxiF")</f>
        <v>0034P000045kxiF</v>
      </c>
      <c r="AM163" s="27" t="str">
        <f ca="1">IFERROR(__xludf.DUMMYFUNCTION("""COMPUTED_VALUE"""),"Noronha Lima Junior")</f>
        <v>Noronha Lima Junior</v>
      </c>
      <c r="AN163" s="27" t="str">
        <f ca="1">IFERROR(__xludf.DUMMYFUNCTION("""COMPUTED_VALUE"""),"Ativo")</f>
        <v>Ativo</v>
      </c>
      <c r="AO163" s="30">
        <f ca="1">IFERROR(__xludf.DUMMYFUNCTION("""COMPUTED_VALUE"""),44551)</f>
        <v>44551</v>
      </c>
      <c r="AP163" s="27">
        <f ca="1">IFERROR(__xludf.DUMMYFUNCTION("""COMPUTED_VALUE"""),9)</f>
        <v>9</v>
      </c>
      <c r="AQ163" s="27" t="str">
        <f ca="1">IFERROR(__xludf.DUMMYFUNCTION("""COMPUTED_VALUE"""),"Segundo Semestre 2021")</f>
        <v>Segundo Semestre 2021</v>
      </c>
      <c r="AR163" s="27" t="str">
        <f ca="1">IFERROR(__xludf.DUMMYFUNCTION("""COMPUTED_VALUE"""),"eraldo@associacaovoar.org")</f>
        <v>eraldo@associacaovoar.org</v>
      </c>
      <c r="AS163" s="27" t="str">
        <f ca="1">IFERROR(__xludf.DUMMYFUNCTION("""COMPUTED_VALUE"""),"(85)99731-6368")</f>
        <v>(85)99731-6368</v>
      </c>
      <c r="AT163" s="29">
        <f ca="1">IFERROR(__xludf.DUMMYFUNCTION("""COMPUTED_VALUE"""),34057)</f>
        <v>34057</v>
      </c>
      <c r="AU163" s="27">
        <f ca="1">IFERROR(__xludf.DUMMYFUNCTION("""COMPUTED_VALUE"""),29)</f>
        <v>29</v>
      </c>
      <c r="AV163" s="27">
        <f ca="1">IFERROR(__xludf.DUMMYFUNCTION("""COMPUTED_VALUE"""),60409528307)</f>
        <v>60409528307</v>
      </c>
      <c r="AW163" s="27">
        <f ca="1">IFERROR(__xludf.DUMMYFUNCTION("""COMPUTED_VALUE"""),2009009151928)</f>
        <v>2009009151928</v>
      </c>
      <c r="AX163" s="27"/>
      <c r="AY163" s="27"/>
      <c r="AZ163" s="27" t="str">
        <f ca="1">IFERROR(__xludf.DUMMYFUNCTION("""COMPUTED_VALUE"""),"M")</f>
        <v>M</v>
      </c>
      <c r="BA163" s="27" t="str">
        <f ca="1">IFERROR(__xludf.DUMMYFUNCTION("""COMPUTED_VALUE"""),"Parda")</f>
        <v>Parda</v>
      </c>
      <c r="BB163" s="27" t="str">
        <f ca="1">IFERROR(__xludf.DUMMYFUNCTION("""COMPUTED_VALUE"""),"Homem, cisgênero")</f>
        <v>Homem, cisgênero</v>
      </c>
      <c r="BC163" s="27" t="str">
        <f ca="1">IFERROR(__xludf.DUMMYFUNCTION("""COMPUTED_VALUE"""),"Sim")</f>
        <v>Sim</v>
      </c>
      <c r="BD163" s="27" t="str">
        <f ca="1">IFERROR(__xludf.DUMMYFUNCTION("""COMPUTED_VALUE"""),"Sou natural de Tauá-CE, cidade do interior no Sertão dos Inhamuns. Por intermédio do apadrinhamento de um casal de americanos, tive os meus estudos financiados dos 03 aos 12 anos de idade. Em 2013 comecei minha trajetória na Associação Voar como voluntári"&amp;"o. Posteriormente assumi as funções de Educador Social, Diretor de Relacionamento Institucional e hoje como Diretor Executivo e Presidente da organização. Além disso, sou o Líder do Movimento União CE, que está ligado ao Movimento União BR.")</f>
        <v>Sou natural de Tauá-CE, cidade do interior no Sertão dos Inhamuns. Por intermédio do apadrinhamento de um casal de americanos, tive os meus estudos financiados dos 03 aos 12 anos de idade. Em 2013 comecei minha trajetória na Associação Voar como voluntário. Posteriormente assumi as funções de Educador Social, Diretor de Relacionamento Institucional e hoje como Diretor Executivo e Presidente da organização. Além disso, sou o Líder do Movimento União CE, que está ligado ao Movimento União BR.</v>
      </c>
      <c r="BE163" s="27"/>
      <c r="BF163" s="27" t="str">
        <f ca="1">IFERROR(__xludf.DUMMYFUNCTION("""COMPUTED_VALUE"""),"Heterossexual")</f>
        <v>Heterossexual</v>
      </c>
      <c r="BG163" s="27" t="str">
        <f ca="1">IFERROR(__xludf.DUMMYFUNCTION("""COMPUTED_VALUE"""),"Ensino Médio - Completo")</f>
        <v>Ensino Médio - Completo</v>
      </c>
      <c r="BH163" s="27" t="str">
        <f ca="1">IFERROR(__xludf.DUMMYFUNCTION("""COMPUTED_VALUE"""),"Pública")</f>
        <v>Pública</v>
      </c>
      <c r="BI163" s="27" t="str">
        <f ca="1">IFERROR(__xludf.DUMMYFUNCTION("""COMPUTED_VALUE"""),"Graduação")</f>
        <v>Graduação</v>
      </c>
      <c r="BJ163" s="27" t="str">
        <f ca="1">IFERROR(__xludf.DUMMYFUNCTION("""COMPUTED_VALUE"""),"Privado")</f>
        <v>Privado</v>
      </c>
      <c r="BK163" s="27" t="str">
        <f ca="1">IFERROR(__xludf.DUMMYFUNCTION("""COMPUTED_VALUE"""),"Paulo Roberto Pinheiro")</f>
        <v>Paulo Roberto Pinheiro</v>
      </c>
      <c r="BL163" s="27">
        <f ca="1">IFERROR(__xludf.DUMMYFUNCTION("""COMPUTED_VALUE"""),100)</f>
        <v>100</v>
      </c>
      <c r="BM163" s="27" t="str">
        <f ca="1">IFERROR(__xludf.DUMMYFUNCTION("""COMPUTED_VALUE"""),"APT 203")</f>
        <v>APT 203</v>
      </c>
      <c r="BN163" s="27" t="str">
        <f ca="1">IFERROR(__xludf.DUMMYFUNCTION("""COMPUTED_VALUE"""),"Fortaleza")</f>
        <v>Fortaleza</v>
      </c>
      <c r="BO163" s="27" t="str">
        <f ca="1">IFERROR(__xludf.DUMMYFUNCTION("""COMPUTED_VALUE"""),"60810-100")</f>
        <v>60810-100</v>
      </c>
      <c r="BP163" s="27" t="str">
        <f ca="1">IFERROR(__xludf.DUMMYFUNCTION("""COMPUTED_VALUE"""),"CE")</f>
        <v>CE</v>
      </c>
      <c r="BQ163" s="27" t="str">
        <f ca="1">IFERROR(__xludf.DUMMYFUNCTION("""COMPUTED_VALUE"""),"Entre 1 até 3 salários mínimos")</f>
        <v>Entre 1 até 3 salários mínimos</v>
      </c>
      <c r="BR163" s="27" t="str">
        <f ca="1">IFERROR(__xludf.DUMMYFUNCTION("""COMPUTED_VALUE"""),"Trabalho informal")</f>
        <v>Trabalho informal</v>
      </c>
      <c r="BS163" s="27" t="str">
        <f ca="1">IFERROR(__xludf.DUMMYFUNCTION("""COMPUTED_VALUE"""),"Aluguel")</f>
        <v>Aluguel</v>
      </c>
      <c r="BT163" s="27">
        <f ca="1">IFERROR(__xludf.DUMMYFUNCTION("""COMPUTED_VALUE"""),1)</f>
        <v>1</v>
      </c>
      <c r="BU163" s="27" t="str">
        <f ca="1">IFERROR(__xludf.DUMMYFUNCTION("""COMPUTED_VALUE"""),"Não tem")</f>
        <v>Não tem</v>
      </c>
      <c r="BV163" s="27"/>
      <c r="BW163" s="21" t="str">
        <f ca="1">IFERROR(__xludf.DUMMYFUNCTION("""COMPUTED_VALUE"""),"https://www.linkedin.com/in/eraldonoronha/")</f>
        <v>https://www.linkedin.com/in/eraldonoronha/</v>
      </c>
      <c r="BX163" s="21" t="str">
        <f ca="1">IFERROR(__xludf.DUMMYFUNCTION("""COMPUTED_VALUE"""),"https://www.instagram.com/eraldonoronha/")</f>
        <v>https://www.instagram.com/eraldonoronha/</v>
      </c>
      <c r="BY163" s="21" t="str">
        <f ca="1">IFERROR(__xludf.DUMMYFUNCTION("""COMPUTED_VALUE"""),"https://drive.google.com/open?id=1Hle8CRXKdAaaawFhmWzB0FZHkkdF2154")</f>
        <v>https://drive.google.com/open?id=1Hle8CRXKdAaaawFhmWzB0FZHkkdF2154</v>
      </c>
    </row>
    <row r="164" spans="1:77" ht="12.5" hidden="1" x14ac:dyDescent="0.25">
      <c r="A164" s="21" t="str">
        <f ca="1">IFERROR(__xludf.DUMMYFUNCTION("""COMPUTED_VALUE"""),"0014P00003YSp9CQAT")</f>
        <v>0014P00003YSp9CQAT</v>
      </c>
      <c r="B164" s="27" t="str">
        <f ca="1">IFERROR(__xludf.DUMMYFUNCTION("""COMPUTED_VALUE"""),"Fase Inicial")</f>
        <v>Fase Inicial</v>
      </c>
      <c r="C164" s="27" t="str">
        <f ca="1">IFERROR(__xludf.DUMMYFUNCTION("""COMPUTED_VALUE"""),"Fellow")</f>
        <v>Fellow</v>
      </c>
      <c r="D164" s="27" t="str">
        <f ca="1">IFERROR(__xludf.DUMMYFUNCTION("""COMPUTED_VALUE"""),"Ativo")</f>
        <v>Ativo</v>
      </c>
      <c r="E164" s="27" t="str">
        <f ca="1">IFERROR(__xludf.DUMMYFUNCTION("""COMPUTED_VALUE"""),"Associação Zedakah de Justiça Social")</f>
        <v>Associação Zedakah de Justiça Social</v>
      </c>
      <c r="F164" s="27" t="str">
        <f ca="1">IFERROR(__xludf.DUMMYFUNCTION("""COMPUTED_VALUE"""),"Bárbara")</f>
        <v>Bárbara</v>
      </c>
      <c r="G164" s="27"/>
      <c r="H164" s="27" t="str">
        <f ca="1">IFERROR(__xludf.DUMMYFUNCTION("""COMPUTED_VALUE"""),"30.677.261/0001-01")</f>
        <v>30.677.261/0001-01</v>
      </c>
      <c r="I164" s="27" t="str">
        <f ca="1">IFERROR(__xludf.DUMMYFUNCTION("""COMPUTED_VALUE"""),"Diogo Sakaue")</f>
        <v>Diogo Sakaue</v>
      </c>
      <c r="J164" s="27" t="str">
        <f ca="1">IFERROR(__xludf.DUMMYFUNCTION("""COMPUTED_VALUE"""),"contato@institutozedakah.com")</f>
        <v>contato@institutozedakah.com</v>
      </c>
      <c r="K164" s="27" t="str">
        <f ca="1">IFERROR(__xludf.DUMMYFUNCTION("""COMPUTED_VALUE"""),"(11)97087-8064")</f>
        <v>(11)97087-8064</v>
      </c>
      <c r="L164" s="27" t="str">
        <f ca="1">IFERROR(__xludf.DUMMYFUNCTION("""COMPUTED_VALUE"""),"SP")</f>
        <v>SP</v>
      </c>
      <c r="M164" s="27" t="str">
        <f ca="1">IFERROR(__xludf.DUMMYFUNCTION("""COMPUTED_VALUE"""),"Rua Manuel de Jesus Fernandes")</f>
        <v>Rua Manuel de Jesus Fernandes</v>
      </c>
      <c r="N164" s="27" t="str">
        <f ca="1">IFERROR(__xludf.DUMMYFUNCTION("""COMPUTED_VALUE"""),"Jd. Santo Afonso")</f>
        <v>Jd. Santo Afonso</v>
      </c>
      <c r="O164" s="27">
        <f ca="1">IFERROR(__xludf.DUMMYFUNCTION("""COMPUTED_VALUE"""),142)</f>
        <v>142</v>
      </c>
      <c r="P164" s="27" t="str">
        <f ca="1">IFERROR(__xludf.DUMMYFUNCTION("""COMPUTED_VALUE"""),"Guarulhos")</f>
        <v>Guarulhos</v>
      </c>
      <c r="Q164" s="27"/>
      <c r="R164" s="27" t="str">
        <f ca="1">IFERROR(__xludf.DUMMYFUNCTION("""COMPUTED_VALUE"""),"07215-240")</f>
        <v>07215-240</v>
      </c>
      <c r="S164" s="27"/>
      <c r="T164" s="27" t="str">
        <f ca="1">IFERROR(__xludf.DUMMYFUNCTION("""COMPUTED_VALUE"""),"Educação")</f>
        <v>Educação</v>
      </c>
      <c r="U164" s="27" t="str">
        <f ca="1">IFERROR(__xludf.DUMMYFUNCTION("""COMPUTED_VALUE"""),"Crianças (6 a 12 anos); Adolescentes (12 aos 18 anos); Jovens (18 aos 24 anos)")</f>
        <v>Crianças (6 a 12 anos); Adolescentes (12 aos 18 anos); Jovens (18 aos 24 anos)</v>
      </c>
      <c r="V164" s="27" t="str">
        <f ca="1">IFERROR(__xludf.DUMMYFUNCTION("""COMPUTED_VALUE"""),"Moradores de Favelas; Pessoas com Deficiência")</f>
        <v>Moradores de Favelas; Pessoas com Deficiência</v>
      </c>
      <c r="W164" s="27">
        <f ca="1">IFERROR(__xludf.DUMMYFUNCTION("""COMPUTED_VALUE"""),1)</f>
        <v>1</v>
      </c>
      <c r="X164" s="27" t="str">
        <f ca="1">IFERROR(__xludf.DUMMYFUNCTION("""COMPUTED_VALUE"""),"Existe aproximadamente seis mil pessoas moradoras do bairro Jd. Santo Afonso. Os atendimentos são desenvolvidos para mais de 250 famílias em vulnerabilidade e risco social vivendo em terrenos invadidas da Prefeitura. matriarcais com aproximadamente cinco "&amp;"pessoas dentro da residência.")</f>
        <v>Existe aproximadamente seis mil pessoas moradoras do bairro Jd. Santo Afonso. Os atendimentos são desenvolvidos para mais de 250 famílias em vulnerabilidade e risco social vivendo em terrenos invadidas da Prefeitura. matriarcais com aproximadamente cinco pessoas dentro da residência.</v>
      </c>
      <c r="Y164" s="27"/>
      <c r="Z164" s="27">
        <f ca="1">IFERROR(__xludf.DUMMYFUNCTION("""COMPUTED_VALUE"""),1250)</f>
        <v>1250</v>
      </c>
      <c r="AA164" s="29">
        <f ca="1">IFERROR(__xludf.DUMMYFUNCTION("""COMPUTED_VALUE"""),43214)</f>
        <v>43214</v>
      </c>
      <c r="AB164" s="27" t="str">
        <f ca="1">IFERROR(__xludf.DUMMYFUNCTION("""COMPUTED_VALUE"""),"Sim")</f>
        <v>Sim</v>
      </c>
      <c r="AC164" s="27">
        <f ca="1">IFERROR(__xludf.DUMMYFUNCTION("""COMPUTED_VALUE"""),1)</f>
        <v>1</v>
      </c>
      <c r="AD164" s="27">
        <f ca="1">IFERROR(__xludf.DUMMYFUNCTION("""COMPUTED_VALUE"""),1)</f>
        <v>1</v>
      </c>
      <c r="AE164" s="27">
        <f ca="1">IFERROR(__xludf.DUMMYFUNCTION("""COMPUTED_VALUE"""),10)</f>
        <v>10</v>
      </c>
      <c r="AF164" s="27">
        <f ca="1">IFERROR(__xludf.DUMMYFUNCTION("""COMPUTED_VALUE"""),5)</f>
        <v>5</v>
      </c>
      <c r="AG164" s="27">
        <f ca="1">IFERROR(__xludf.DUMMYFUNCTION("""COMPUTED_VALUE"""),2)</f>
        <v>2</v>
      </c>
      <c r="AH164" s="27" t="str">
        <f ca="1">IFERROR(__xludf.DUMMYFUNCTION("""COMPUTED_VALUE"""),"Eventos/Ações para captação; Parceria iniciativa privada; Doações")</f>
        <v>Eventos/Ações para captação; Parceria iniciativa privada; Doações</v>
      </c>
      <c r="AI164" s="27">
        <f ca="1">IFERROR(__xludf.DUMMYFUNCTION("""COMPUTED_VALUE"""),0)</f>
        <v>0</v>
      </c>
      <c r="AJ164" s="27"/>
      <c r="AK164" s="27"/>
      <c r="AL164" s="21" t="str">
        <f ca="1">IFERROR(__xludf.DUMMYFUNCTION("""COMPUTED_VALUE"""),"0034P000045kxjo")</f>
        <v>0034P000045kxjo</v>
      </c>
      <c r="AM164" s="27" t="str">
        <f ca="1">IFERROR(__xludf.DUMMYFUNCTION("""COMPUTED_VALUE"""),"Manuela")</f>
        <v>Manuela</v>
      </c>
      <c r="AN164" s="27" t="str">
        <f ca="1">IFERROR(__xludf.DUMMYFUNCTION("""COMPUTED_VALUE"""),"Ativo")</f>
        <v>Ativo</v>
      </c>
      <c r="AO164" s="30">
        <f ca="1">IFERROR(__xludf.DUMMYFUNCTION("""COMPUTED_VALUE"""),44551)</f>
        <v>44551</v>
      </c>
      <c r="AP164" s="27">
        <f ca="1">IFERROR(__xludf.DUMMYFUNCTION("""COMPUTED_VALUE"""),9)</f>
        <v>9</v>
      </c>
      <c r="AQ164" s="27" t="str">
        <f ca="1">IFERROR(__xludf.DUMMYFUNCTION("""COMPUTED_VALUE"""),"Segundo Semestre 2021")</f>
        <v>Segundo Semestre 2021</v>
      </c>
      <c r="AR164" s="27" t="str">
        <f ca="1">IFERROR(__xludf.DUMMYFUNCTION("""COMPUTED_VALUE"""),"estudodavida.bms@gmail.com")</f>
        <v>estudodavida.bms@gmail.com</v>
      </c>
      <c r="AS164" s="27" t="str">
        <f ca="1">IFERROR(__xludf.DUMMYFUNCTION("""COMPUTED_VALUE"""),"(11)94892-0749")</f>
        <v>(11)94892-0749</v>
      </c>
      <c r="AT164" s="30">
        <f ca="1">IFERROR(__xludf.DUMMYFUNCTION("""COMPUTED_VALUE"""),32508)</f>
        <v>32508</v>
      </c>
      <c r="AU164" s="27">
        <f ca="1">IFERROR(__xludf.DUMMYFUNCTION("""COMPUTED_VALUE"""),34)</f>
        <v>34</v>
      </c>
      <c r="AV164" s="27">
        <f ca="1">IFERROR(__xludf.DUMMYFUNCTION("""COMPUTED_VALUE"""),22843261880)</f>
        <v>22843261880</v>
      </c>
      <c r="AW164" s="27">
        <f ca="1">IFERROR(__xludf.DUMMYFUNCTION("""COMPUTED_VALUE"""),445460866)</f>
        <v>445460866</v>
      </c>
      <c r="AX164" s="27"/>
      <c r="AY164" s="27"/>
      <c r="AZ164" s="27" t="str">
        <f ca="1">IFERROR(__xludf.DUMMYFUNCTION("""COMPUTED_VALUE"""),"G")</f>
        <v>G</v>
      </c>
      <c r="BA164" s="27" t="str">
        <f ca="1">IFERROR(__xludf.DUMMYFUNCTION("""COMPUTED_VALUE"""),"Branca")</f>
        <v>Branca</v>
      </c>
      <c r="BB164" s="27" t="str">
        <f ca="1">IFERROR(__xludf.DUMMYFUNCTION("""COMPUTED_VALUE"""),"Mulher, cisgênero")</f>
        <v>Mulher, cisgênero</v>
      </c>
      <c r="BC164" s="27" t="str">
        <f ca="1">IFERROR(__xludf.DUMMYFUNCTION("""COMPUTED_VALUE"""),"Não")</f>
        <v>Não</v>
      </c>
      <c r="BD164" s="27" t="str">
        <f ca="1">IFERROR(__xludf.DUMMYFUNCTION("""COMPUTED_VALUE"""),"Bárbara Manuela, bióloga e co-fundadora do Instituto Zedakah e hoje atua como voluntária em projetos sociais. Ama animais, crianças e natureza! Foi picada pelo terceiro setor em 2007 e desde então não parou mais em atuar na área e querendo transformar o m"&amp;"undo e causar um impacto positivo na sociedade.")</f>
        <v>Bárbara Manuela, bióloga e co-fundadora do Instituto Zedakah e hoje atua como voluntária em projetos sociais. Ama animais, crianças e natureza! Foi picada pelo terceiro setor em 2007 e desde então não parou mais em atuar na área e querendo transformar o mundo e causar um impacto positivo na sociedade.</v>
      </c>
      <c r="BE164" s="27"/>
      <c r="BF164" s="27" t="str">
        <f ca="1">IFERROR(__xludf.DUMMYFUNCTION("""COMPUTED_VALUE"""),"Heterossexual")</f>
        <v>Heterossexual</v>
      </c>
      <c r="BG164" s="27" t="str">
        <f ca="1">IFERROR(__xludf.DUMMYFUNCTION("""COMPUTED_VALUE"""),"Ensino Superior - Completo")</f>
        <v>Ensino Superior - Completo</v>
      </c>
      <c r="BH164" s="27" t="str">
        <f ca="1">IFERROR(__xludf.DUMMYFUNCTION("""COMPUTED_VALUE"""),"Público")</f>
        <v>Público</v>
      </c>
      <c r="BI164" s="27" t="str">
        <f ca="1">IFERROR(__xludf.DUMMYFUNCTION("""COMPUTED_VALUE"""),"Pós-Graduação")</f>
        <v>Pós-Graduação</v>
      </c>
      <c r="BJ164" s="27" t="str">
        <f ca="1">IFERROR(__xludf.DUMMYFUNCTION("""COMPUTED_VALUE"""),"Privado")</f>
        <v>Privado</v>
      </c>
      <c r="BK164" s="27" t="str">
        <f ca="1">IFERROR(__xludf.DUMMYFUNCTION("""COMPUTED_VALUE"""),"André Saraiva")</f>
        <v>André Saraiva</v>
      </c>
      <c r="BL164" s="27">
        <f ca="1">IFERROR(__xludf.DUMMYFUNCTION("""COMPUTED_VALUE"""),1268)</f>
        <v>1268</v>
      </c>
      <c r="BM164" s="27" t="str">
        <f ca="1">IFERROR(__xludf.DUMMYFUNCTION("""COMPUTED_VALUE"""),"Casa 02")</f>
        <v>Casa 02</v>
      </c>
      <c r="BN164" s="27" t="str">
        <f ca="1">IFERROR(__xludf.DUMMYFUNCTION("""COMPUTED_VALUE"""),"Guarulhos")</f>
        <v>Guarulhos</v>
      </c>
      <c r="BO164" s="27" t="str">
        <f ca="1">IFERROR(__xludf.DUMMYFUNCTION("""COMPUTED_VALUE"""),"05626-001")</f>
        <v>05626-001</v>
      </c>
      <c r="BP164" s="27" t="str">
        <f ca="1">IFERROR(__xludf.DUMMYFUNCTION("""COMPUTED_VALUE"""),"SP")</f>
        <v>SP</v>
      </c>
      <c r="BQ164" s="27" t="str">
        <f ca="1">IFERROR(__xludf.DUMMYFUNCTION("""COMPUTED_VALUE"""),"Entre 1 até 3 salários mínimos")</f>
        <v>Entre 1 até 3 salários mínimos</v>
      </c>
      <c r="BR164" s="27" t="str">
        <f ca="1">IFERROR(__xludf.DUMMYFUNCTION("""COMPUTED_VALUE"""),"MEI")</f>
        <v>MEI</v>
      </c>
      <c r="BS164" s="27" t="str">
        <f ca="1">IFERROR(__xludf.DUMMYFUNCTION("""COMPUTED_VALUE"""),"Casa própria")</f>
        <v>Casa própria</v>
      </c>
      <c r="BT164" s="27">
        <f ca="1">IFERROR(__xludf.DUMMYFUNCTION("""COMPUTED_VALUE"""),2)</f>
        <v>2</v>
      </c>
      <c r="BU164" s="27" t="str">
        <f ca="1">IFERROR(__xludf.DUMMYFUNCTION("""COMPUTED_VALUE"""),"Não tem")</f>
        <v>Não tem</v>
      </c>
      <c r="BV164" s="27"/>
      <c r="BW164" s="27" t="str">
        <f ca="1">IFERROR(__xludf.DUMMYFUNCTION("""COMPUTED_VALUE"""),"http://www.linkedin.com/in/bárbara-manuela-6781b2b6")</f>
        <v>http://www.linkedin.com/in/bárbara-manuela-6781b2b6</v>
      </c>
      <c r="BX164" s="21" t="str">
        <f ca="1">IFERROR(__xludf.DUMMYFUNCTION("""COMPUTED_VALUE"""),"http://www.instagram.com/bah.manuela")</f>
        <v>http://www.instagram.com/bah.manuela</v>
      </c>
      <c r="BY164" s="21" t="str">
        <f ca="1">IFERROR(__xludf.DUMMYFUNCTION("""COMPUTED_VALUE"""),"https://drive.google.com/open?id=1x-SQgMPAtqmYOUYXrwxgwElbXCfYkog2")</f>
        <v>https://drive.google.com/open?id=1x-SQgMPAtqmYOUYXrwxgwElbXCfYkog2</v>
      </c>
    </row>
    <row r="165" spans="1:77" ht="12.5" x14ac:dyDescent="0.25">
      <c r="A165" s="21" t="str">
        <f ca="1">IFERROR(__xludf.DUMMYFUNCTION("""COMPUTED_VALUE"""),"0014P00003AN2FgQAL")</f>
        <v>0014P00003AN2FgQAL</v>
      </c>
      <c r="B165" s="27" t="str">
        <f ca="1">IFERROR(__xludf.DUMMYFUNCTION("""COMPUTED_VALUE"""),"Fase Inicial")</f>
        <v>Fase Inicial</v>
      </c>
      <c r="C165" s="27" t="str">
        <f ca="1">IFERROR(__xludf.DUMMYFUNCTION("""COMPUTED_VALUE"""),"Fellow")</f>
        <v>Fellow</v>
      </c>
      <c r="D165" s="27" t="str">
        <f ca="1">IFERROR(__xludf.DUMMYFUNCTION("""COMPUTED_VALUE"""),"Afastado")</f>
        <v>Afastado</v>
      </c>
      <c r="E165" s="27" t="str">
        <f ca="1">IFERROR(__xludf.DUMMYFUNCTION("""COMPUTED_VALUE"""),"ASSOCIAÇÃO ZEIZA DOJO")</f>
        <v>ASSOCIAÇÃO ZEIZA DOJO</v>
      </c>
      <c r="F165" s="27" t="str">
        <f ca="1">IFERROR(__xludf.DUMMYFUNCTION("""COMPUTED_VALUE"""),"Zeiza")</f>
        <v>Zeiza</v>
      </c>
      <c r="G165" s="27" t="str">
        <f ca="1">IFERROR(__xludf.DUMMYFUNCTION("""COMPUTED_VALUE"""),"ZEIZA DOJO")</f>
        <v>ZEIZA DOJO</v>
      </c>
      <c r="H165" s="27" t="str">
        <f ca="1">IFERROR(__xludf.DUMMYFUNCTION("""COMPUTED_VALUE"""),"24.313.258/0001-06")</f>
        <v>24.313.258/0001-06</v>
      </c>
      <c r="I165" s="27" t="str">
        <f ca="1">IFERROR(__xludf.DUMMYFUNCTION("""COMPUTED_VALUE"""),"Zeiza Matildes Da Silva")</f>
        <v>Zeiza Matildes Da Silva</v>
      </c>
      <c r="J165" s="27" t="str">
        <f ca="1">IFERROR(__xludf.DUMMYFUNCTION("""COMPUTED_VALUE"""),"zeizadojo@gmail.com")</f>
        <v>zeizadojo@gmail.com</v>
      </c>
      <c r="K165" s="27" t="str">
        <f ca="1">IFERROR(__xludf.DUMMYFUNCTION("""COMPUTED_VALUE"""),"(34)99123-3535")</f>
        <v>(34)99123-3535</v>
      </c>
      <c r="L165" s="27" t="str">
        <f ca="1">IFERROR(__xludf.DUMMYFUNCTION("""COMPUTED_VALUE"""),"MG")</f>
        <v>MG</v>
      </c>
      <c r="M165" s="27" t="str">
        <f ca="1">IFERROR(__xludf.DUMMYFUNCTION("""COMPUTED_VALUE"""),"Rua Graciano Faria Arantes 47 Granada")</f>
        <v>Rua Graciano Faria Arantes 47 Granada</v>
      </c>
      <c r="N165" s="27" t="str">
        <f ca="1">IFERROR(__xludf.DUMMYFUNCTION("""COMPUTED_VALUE"""),"GRANADA")</f>
        <v>GRANADA</v>
      </c>
      <c r="O165" s="27" t="str">
        <f ca="1">IFERROR(__xludf.DUMMYFUNCTION("""COMPUTED_VALUE"""),"(34)99123-3535")</f>
        <v>(34)99123-3535</v>
      </c>
      <c r="P165" s="27" t="str">
        <f ca="1">IFERROR(__xludf.DUMMYFUNCTION("""COMPUTED_VALUE"""),"Uberlândia")</f>
        <v>Uberlândia</v>
      </c>
      <c r="Q165" s="27"/>
      <c r="R165" s="27" t="str">
        <f ca="1">IFERROR(__xludf.DUMMYFUNCTION("""COMPUTED_VALUE"""),"38410-078")</f>
        <v>38410-078</v>
      </c>
      <c r="S165" s="27" t="str">
        <f ca="1">IFERROR(__xludf.DUMMYFUNCTION("""COMPUTED_VALUE"""),"AVENIDA ABADIO BONIFÁCIO DA SILVA 493 GRANADA CEP 38410130")</f>
        <v>AVENIDA ABADIO BONIFÁCIO DA SILVA 493 GRANADA CEP 38410130</v>
      </c>
      <c r="T165" s="27" t="str">
        <f ca="1">IFERROR(__xludf.DUMMYFUNCTION("""COMPUTED_VALUE"""),"Esporte; Educação; Assistência Social; Cultura; Saúde; Meio ambiente; Defesa de Direitos; Assistência Psicológica; Desenvolvimento comunitário")</f>
        <v>Esporte; Educação; Assistência Social; Cultura; Saúde; Meio ambiente; Defesa de Direitos; Assistência Psicológica; Desenvolvimento comunitário</v>
      </c>
      <c r="U165" s="27" t="str">
        <f ca="1">IFERROR(__xludf.DUMMYFUNCTION("""COMPUTED_VALUE"""),"Bebês (0 a 1 ano e 6 meses); Crianças bem pequenas (1 ano e 7 meses até 3 anos e 11 meses); Crianças pequenas (4 anos a 5 anos e 11 meses); Crianças (6 a 12 anos); Adolescentes (12 aos 18 anos)")</f>
        <v>Bebês (0 a 1 ano e 6 meses); Crianças bem pequenas (1 ano e 7 meses até 3 anos e 11 meses); Crianças pequenas (4 anos a 5 anos e 11 meses); Crianças (6 a 12 anos); Adolescentes (12 aos 18 anos)</v>
      </c>
      <c r="V165" s="27" t="str">
        <f ca="1">IFERROR(__xludf.DUMMYFUNCTION("""COMPUTED_VALUE"""),"Moradores de Favelas; Pessoas com Deficiência")</f>
        <v>Moradores de Favelas; Pessoas com Deficiência</v>
      </c>
      <c r="W165" s="27">
        <f ca="1">IFERROR(__xludf.DUMMYFUNCTION("""COMPUTED_VALUE"""),0)</f>
        <v>0</v>
      </c>
      <c r="X165" s="27" t="str">
        <f ca="1">IFERROR(__xludf.DUMMYFUNCTION("""COMPUTED_VALUE"""),"NOSSO PÚBLICO EM SUA GRANDE MAIORIA SÃO PESSOAS COM TRANSTORNO DO ESPECTRO AUTISTA")</f>
        <v>NOSSO PÚBLICO EM SUA GRANDE MAIORIA SÃO PESSOAS COM TRANSTORNO DO ESPECTRO AUTISTA</v>
      </c>
      <c r="Y165" s="27">
        <f ca="1">IFERROR(__xludf.DUMMYFUNCTION("""COMPUTED_VALUE"""),328)</f>
        <v>328</v>
      </c>
      <c r="Z165" s="27">
        <f ca="1">IFERROR(__xludf.DUMMYFUNCTION("""COMPUTED_VALUE"""),2000)</f>
        <v>2000</v>
      </c>
      <c r="AA165" s="29">
        <f ca="1">IFERROR(__xludf.DUMMYFUNCTION("""COMPUTED_VALUE"""),42422)</f>
        <v>42422</v>
      </c>
      <c r="AB165" s="27" t="str">
        <f ca="1">IFERROR(__xludf.DUMMYFUNCTION("""COMPUTED_VALUE"""),"Sim")</f>
        <v>Sim</v>
      </c>
      <c r="AC165" s="27">
        <f ca="1">IFERROR(__xludf.DUMMYFUNCTION("""COMPUTED_VALUE"""),2)</f>
        <v>2</v>
      </c>
      <c r="AD165" s="27">
        <f ca="1">IFERROR(__xludf.DUMMYFUNCTION("""COMPUTED_VALUE"""),2)</f>
        <v>2</v>
      </c>
      <c r="AE165" s="27">
        <f ca="1">IFERROR(__xludf.DUMMYFUNCTION("""COMPUTED_VALUE"""),43)</f>
        <v>43</v>
      </c>
      <c r="AF165" s="27">
        <f ca="1">IFERROR(__xludf.DUMMYFUNCTION("""COMPUTED_VALUE"""),12)</f>
        <v>12</v>
      </c>
      <c r="AG165" s="27">
        <f ca="1">IFERROR(__xludf.DUMMYFUNCTION("""COMPUTED_VALUE"""),4)</f>
        <v>4</v>
      </c>
      <c r="AH165" s="27" t="str">
        <f ca="1">IFERROR(__xludf.DUMMYFUNCTION("""COMPUTED_VALUE"""),"Negócio Social; Eventos/Ações para captação; Plataforma doação online - Pessoa Física; Parceria iniciativa privada; Editais; Outro(s); Doações; Lei Estadual do Esporte; Recursos próprios")</f>
        <v>Negócio Social; Eventos/Ações para captação; Plataforma doação online - Pessoa Física; Parceria iniciativa privada; Editais; Outro(s); Doações; Lei Estadual do Esporte; Recursos próprios</v>
      </c>
      <c r="AI165" s="27" t="str">
        <f ca="1">IFERROR(__xludf.DUMMYFUNCTION("""COMPUTED_VALUE"""),"20% município 20%mpt 60% próprio e Doações")</f>
        <v>20% município 20%mpt 60% próprio e Doações</v>
      </c>
      <c r="AJ165" s="27" t="str">
        <f ca="1">IFERROR(__xludf.DUMMYFUNCTION("""COMPUTED_VALUE"""),"Não")</f>
        <v>Não</v>
      </c>
      <c r="AK165" s="27" t="str">
        <f ca="1">IFERROR(__xludf.DUMMYFUNCTION("""COMPUTED_VALUE"""),"Sim")</f>
        <v>Sim</v>
      </c>
      <c r="AL165" s="21" t="str">
        <f ca="1">IFERROR(__xludf.DUMMYFUNCTION("""COMPUTED_VALUE"""),"0034P00003maBV6")</f>
        <v>0034P00003maBV6</v>
      </c>
      <c r="AM165" s="27" t="str">
        <f ca="1">IFERROR(__xludf.DUMMYFUNCTION("""COMPUTED_VALUE"""),"Matildes Da Silva")</f>
        <v>Matildes Da Silva</v>
      </c>
      <c r="AN165" s="27" t="str">
        <f ca="1">IFERROR(__xludf.DUMMYFUNCTION("""COMPUTED_VALUE"""),"Inativo")</f>
        <v>Inativo</v>
      </c>
      <c r="AO165" s="30">
        <f ca="1">IFERROR(__xludf.DUMMYFUNCTION("""COMPUTED_VALUE"""),44512)</f>
        <v>44512</v>
      </c>
      <c r="AP165" s="27">
        <f ca="1">IFERROR(__xludf.DUMMYFUNCTION("""COMPUTED_VALUE"""),10)</f>
        <v>10</v>
      </c>
      <c r="AQ165" s="27" t="str">
        <f ca="1">IFERROR(__xludf.DUMMYFUNCTION("""COMPUTED_VALUE"""),"Primeiro Semestre 2021")</f>
        <v>Primeiro Semestre 2021</v>
      </c>
      <c r="AR165" s="27" t="str">
        <f ca="1">IFERROR(__xludf.DUMMYFUNCTION("""COMPUTED_VALUE"""),"zeizadojo@gmail.com")</f>
        <v>zeizadojo@gmail.com</v>
      </c>
      <c r="AS165" s="27" t="str">
        <f ca="1">IFERROR(__xludf.DUMMYFUNCTION("""COMPUTED_VALUE"""),"(34)99123-3535")</f>
        <v>(34)99123-3535</v>
      </c>
      <c r="AT165" s="30">
        <f ca="1">IFERROR(__xludf.DUMMYFUNCTION("""COMPUTED_VALUE"""),26253)</f>
        <v>26253</v>
      </c>
      <c r="AU165" s="27">
        <f ca="1">IFERROR(__xludf.DUMMYFUNCTION("""COMPUTED_VALUE"""),51)</f>
        <v>51</v>
      </c>
      <c r="AV165" s="27">
        <f ca="1">IFERROR(__xludf.DUMMYFUNCTION("""COMPUTED_VALUE"""),56383681168)</f>
        <v>56383681168</v>
      </c>
      <c r="AW165" s="27">
        <f ca="1">IFERROR(__xludf.DUMMYFUNCTION("""COMPUTED_VALUE"""),20031168)</f>
        <v>20031168</v>
      </c>
      <c r="AX165" s="27" t="str">
        <f ca="1">IFERROR(__xludf.DUMMYFUNCTION("""COMPUTED_VALUE"""),"Administração De Empresas/Gestão Financeira")</f>
        <v>Administração De Empresas/Gestão Financeira</v>
      </c>
      <c r="AY165" s="27" t="str">
        <f ca="1">IFERROR(__xludf.DUMMYFUNCTION("""COMPUTED_VALUE"""),"Associação Zeiza Dojo")</f>
        <v>Associação Zeiza Dojo</v>
      </c>
      <c r="AZ165" s="27" t="str">
        <f ca="1">IFERROR(__xludf.DUMMYFUNCTION("""COMPUTED_VALUE"""),"P")</f>
        <v>P</v>
      </c>
      <c r="BA165" s="27"/>
      <c r="BB165" s="27"/>
      <c r="BC165" s="27" t="str">
        <f ca="1">IFERROR(__xludf.DUMMYFUNCTION("""COMPUTED_VALUE"""),"Sim")</f>
        <v>Sim</v>
      </c>
      <c r="BD165" s="27" t="str">
        <f ca="1">IFERROR(__xludf.DUMMYFUNCTION("""COMPUTED_VALUE"""),"ZEIZA DOJO
ATUA HÁ  25 ANOS  EM PROJETOS  SOCIAIS . EMPRESÁRIA DO SETOR  DE ATIVIDADES  FÍSICAS. MILITANTE DA CAUSA DAS PESSOAS COM DEFICIÊNCIA. 
DIRETORA DA ASSOCIAÇÃO  DE MORADORES  DO  BAIRRO GRANADA.
ATUOU COMO  ASSESSORA PARLAMENTAR. PROFESSORA  DE  "&amp;"ARTES MARCIAIS  ESPECIALIZADA EM PESSOAS COM DEFICIÊNCIA. 
MÃE  MULHER DE TRIPLA JORNADA. 
PALESTRANTE  SOBRE A CAUSA AUTISTA  
MÃE  DE AUTISTA  E  MOBILIZADORA SOCIAL. FAIXA PRETA DE KARATÊ  QUINTO DAN
PENTACAMPEÃ BRASILEIRA 
 VICE SULAMERICANA")</f>
        <v>ZEIZA DOJO
ATUA HÁ  25 ANOS  EM PROJETOS  SOCIAIS . EMPRESÁRIA DO SETOR  DE ATIVIDADES  FÍSICAS. MILITANTE DA CAUSA DAS PESSOAS COM DEFICIÊNCIA. 
DIRETORA DA ASSOCIAÇÃO  DE MORADORES  DO  BAIRRO GRANADA.
ATUOU COMO  ASSESSORA PARLAMENTAR. PROFESSORA  DE  ARTES MARCIAIS  ESPECIALIZADA EM PESSOAS COM DEFICIÊNCIA. 
MÃE  MULHER DE TRIPLA JORNADA. 
PALESTRANTE  SOBRE A CAUSA AUTISTA  
MÃE  DE AUTISTA  E  MOBILIZADORA SOCIAL. FAIXA PRETA DE KARATÊ  QUINTO DAN
PENTACAMPEÃ BRASILEIRA 
 VICE SULAMERICANA</v>
      </c>
      <c r="BE165" s="27"/>
      <c r="BF165" s="27"/>
      <c r="BG165" s="27" t="str">
        <f ca="1">IFERROR(__xludf.DUMMYFUNCTION("""COMPUTED_VALUE"""),"Ensino Superior - Completo")</f>
        <v>Ensino Superior - Completo</v>
      </c>
      <c r="BH165" s="27"/>
      <c r="BI165" s="27" t="str">
        <f ca="1">IFERROR(__xludf.DUMMYFUNCTION("""COMPUTED_VALUE"""),"Pós-Graduação")</f>
        <v>Pós-Graduação</v>
      </c>
      <c r="BJ165" s="27" t="str">
        <f ca="1">IFERROR(__xludf.DUMMYFUNCTION("""COMPUTED_VALUE"""),"Privado")</f>
        <v>Privado</v>
      </c>
      <c r="BK165" s="27" t="str">
        <f ca="1">IFERROR(__xludf.DUMMYFUNCTION("""COMPUTED_VALUE"""),"GRACIANO FARIA ARANTES")</f>
        <v>GRACIANO FARIA ARANTES</v>
      </c>
      <c r="BL165" s="27">
        <f ca="1">IFERROR(__xludf.DUMMYFUNCTION("""COMPUTED_VALUE"""),47)</f>
        <v>47</v>
      </c>
      <c r="BM165" s="27"/>
      <c r="BN165" s="27" t="str">
        <f ca="1">IFERROR(__xludf.DUMMYFUNCTION("""COMPUTED_VALUE"""),"Uberlândia")</f>
        <v>Uberlândia</v>
      </c>
      <c r="BO165" s="27" t="str">
        <f ca="1">IFERROR(__xludf.DUMMYFUNCTION("""COMPUTED_VALUE"""),"38410-078")</f>
        <v>38410-078</v>
      </c>
      <c r="BP165" s="27" t="str">
        <f ca="1">IFERROR(__xludf.DUMMYFUNCTION("""COMPUTED_VALUE"""),"MG")</f>
        <v>MG</v>
      </c>
      <c r="BQ165" s="27" t="str">
        <f ca="1">IFERROR(__xludf.DUMMYFUNCTION("""COMPUTED_VALUE"""),"Entre 1 até 3 salários mínimos")</f>
        <v>Entre 1 até 3 salários mínimos</v>
      </c>
      <c r="BR165" s="27" t="str">
        <f ca="1">IFERROR(__xludf.DUMMYFUNCTION("""COMPUTED_VALUE"""),"Trabalho informal; Desempregado")</f>
        <v>Trabalho informal; Desempregado</v>
      </c>
      <c r="BS165" s="27" t="str">
        <f ca="1">IFERROR(__xludf.DUMMYFUNCTION("""COMPUTED_VALUE"""),"Casa própria")</f>
        <v>Casa própria</v>
      </c>
      <c r="BT165" s="27">
        <f ca="1">IFERROR(__xludf.DUMMYFUNCTION("""COMPUTED_VALUE"""),4)</f>
        <v>4</v>
      </c>
      <c r="BU165" s="27"/>
      <c r="BV165" s="27"/>
      <c r="BW165" s="27" t="str">
        <f ca="1">IFERROR(__xludf.DUMMYFUNCTION("""COMPUTED_VALUE"""),"zeizaadm")</f>
        <v>zeizaadm</v>
      </c>
      <c r="BX165" s="27" t="str">
        <f ca="1">IFERROR(__xludf.DUMMYFUNCTION("""COMPUTED_VALUE"""),"Vaikida2022")</f>
        <v>Vaikida2022</v>
      </c>
      <c r="BY165" s="21" t="str">
        <f ca="1">IFERROR(__xludf.DUMMYFUNCTION("""COMPUTED_VALUE"""),"https://drive.google.com/open?id=1-8hsmZHCCDQsyBGm3_P4SccI4B8TZnRd")</f>
        <v>https://drive.google.com/open?id=1-8hsmZHCCDQsyBGm3_P4SccI4B8TZnRd</v>
      </c>
    </row>
    <row r="166" spans="1:77" ht="12.5" hidden="1" x14ac:dyDescent="0.25">
      <c r="A166" s="21" t="str">
        <f ca="1">IFERROR(__xludf.DUMMYFUNCTION("""COMPUTED_VALUE"""),"0014X00002VKCqUQAX")</f>
        <v>0014X00002VKCqUQAX</v>
      </c>
      <c r="B166" s="27" t="str">
        <f ca="1">IFERROR(__xludf.DUMMYFUNCTION("""COMPUTED_VALUE"""),"Fase Inicial")</f>
        <v>Fase Inicial</v>
      </c>
      <c r="C166" s="27" t="str">
        <f ca="1">IFERROR(__xludf.DUMMYFUNCTION("""COMPUTED_VALUE"""),"Fellow")</f>
        <v>Fellow</v>
      </c>
      <c r="D166" s="27" t="str">
        <f ca="1">IFERROR(__xludf.DUMMYFUNCTION("""COMPUTED_VALUE"""),"Ativo")</f>
        <v>Ativo</v>
      </c>
      <c r="E166" s="27" t="str">
        <f ca="1">IFERROR(__xludf.DUMMYFUNCTION("""COMPUTED_VALUE"""),"Assoiação Mães que Informam")</f>
        <v>Assoiação Mães que Informam</v>
      </c>
      <c r="F166" s="27" t="str">
        <f ca="1">IFERROR(__xludf.DUMMYFUNCTION("""COMPUTED_VALUE"""),"Adriane")</f>
        <v>Adriane</v>
      </c>
      <c r="G166" s="27" t="str">
        <f ca="1">IFERROR(__xludf.DUMMYFUNCTION("""COMPUTED_VALUE"""),"AMI")</f>
        <v>AMI</v>
      </c>
      <c r="H166" s="27" t="str">
        <f ca="1">IFERROR(__xludf.DUMMYFUNCTION("""COMPUTED_VALUE"""),"37.720.093/0001-39")</f>
        <v>37.720.093/0001-39</v>
      </c>
      <c r="I166" s="27" t="str">
        <f ca="1">IFERROR(__xludf.DUMMYFUNCTION("""COMPUTED_VALUE"""),"Adriane Cristina da Cruz")</f>
        <v>Adriane Cristina da Cruz</v>
      </c>
      <c r="J166" s="27" t="str">
        <f ca="1">IFERROR(__xludf.DUMMYFUNCTION("""COMPUTED_VALUE"""),"aassociacaomaesqueinformam@gmail.com")</f>
        <v>aassociacaomaesqueinformam@gmail.com</v>
      </c>
      <c r="K166" s="27" t="str">
        <f ca="1">IFERROR(__xludf.DUMMYFUNCTION("""COMPUTED_VALUE"""),"(32)98906-4412")</f>
        <v>(32)98906-4412</v>
      </c>
      <c r="L166" s="27" t="str">
        <f ca="1">IFERROR(__xludf.DUMMYFUNCTION("""COMPUTED_VALUE"""),"MG")</f>
        <v>MG</v>
      </c>
      <c r="M166" s="27" t="str">
        <f ca="1">IFERROR(__xludf.DUMMYFUNCTION("""COMPUTED_VALUE"""),"Rua Elvira Augusta")</f>
        <v>Rua Elvira Augusta</v>
      </c>
      <c r="N166" s="27" t="str">
        <f ca="1">IFERROR(__xludf.DUMMYFUNCTION("""COMPUTED_VALUE"""),"Boa vista")</f>
        <v>Boa vista</v>
      </c>
      <c r="O166" s="27">
        <f ca="1">IFERROR(__xludf.DUMMYFUNCTION("""COMPUTED_VALUE"""),530)</f>
        <v>530</v>
      </c>
      <c r="P166" s="27" t="str">
        <f ca="1">IFERROR(__xludf.DUMMYFUNCTION("""COMPUTED_VALUE"""),"Belo Horizonte")</f>
        <v>Belo Horizonte</v>
      </c>
      <c r="Q166" s="27" t="str">
        <f ca="1">IFERROR(__xludf.DUMMYFUNCTION("""COMPUTED_VALUE"""),"Casa")</f>
        <v>Casa</v>
      </c>
      <c r="R166" s="27" t="str">
        <f ca="1">IFERROR(__xludf.DUMMYFUNCTION("""COMPUTED_VALUE"""),"31060-440")</f>
        <v>31060-440</v>
      </c>
      <c r="S166" s="27" t="str">
        <f ca="1">IFERROR(__xludf.DUMMYFUNCTION("""COMPUTED_VALUE"""),"Somente online")</f>
        <v>Somente online</v>
      </c>
      <c r="T166" s="27"/>
      <c r="U166" s="27" t="str">
        <f ca="1">IFERROR(__xludf.DUMMYFUNCTION("""COMPUTED_VALUE"""),"Adultos")</f>
        <v>Adultos</v>
      </c>
      <c r="V166" s="27" t="str">
        <f ca="1">IFERROR(__xludf.DUMMYFUNCTION("""COMPUTED_VALUE"""),"Outros")</f>
        <v>Outros</v>
      </c>
      <c r="W166" s="27">
        <f ca="1">IFERROR(__xludf.DUMMYFUNCTION("""COMPUTED_VALUE"""),9)</f>
        <v>9</v>
      </c>
      <c r="X166" s="27" t="str">
        <f ca="1">IFERROR(__xludf.DUMMYFUNCTION("""COMPUTED_VALUE"""),"Nós atendemos as famílias que possuem uma pessoa que tem uma deficiência incapacitante que a torna dependente de cuidados integrais para a realização das atividades da vida diária")</f>
        <v>Nós atendemos as famílias que possuem uma pessoa que tem uma deficiência incapacitante que a torna dependente de cuidados integrais para a realização das atividades da vida diária</v>
      </c>
      <c r="Y166" s="27"/>
      <c r="Z166" s="27">
        <f ca="1">IFERROR(__xludf.DUMMYFUNCTION("""COMPUTED_VALUE"""),600)</f>
        <v>600</v>
      </c>
      <c r="AA166" s="29">
        <f ca="1">IFERROR(__xludf.DUMMYFUNCTION("""COMPUTED_VALUE"""),40379)</f>
        <v>40379</v>
      </c>
      <c r="AB166" s="27" t="str">
        <f ca="1">IFERROR(__xludf.DUMMYFUNCTION("""COMPUTED_VALUE"""),"Sim")</f>
        <v>Sim</v>
      </c>
      <c r="AC166" s="27">
        <f ca="1">IFERROR(__xludf.DUMMYFUNCTION("""COMPUTED_VALUE"""),0)</f>
        <v>0</v>
      </c>
      <c r="AD166" s="27">
        <f ca="1">IFERROR(__xludf.DUMMYFUNCTION("""COMPUTED_VALUE"""),0)</f>
        <v>0</v>
      </c>
      <c r="AE166" s="27">
        <f ca="1">IFERROR(__xludf.DUMMYFUNCTION("""COMPUTED_VALUE"""),0)</f>
        <v>0</v>
      </c>
      <c r="AF166" s="27">
        <f ca="1">IFERROR(__xludf.DUMMYFUNCTION("""COMPUTED_VALUE"""),0)</f>
        <v>0</v>
      </c>
      <c r="AG166" s="27">
        <f ca="1">IFERROR(__xludf.DUMMYFUNCTION("""COMPUTED_VALUE"""),3)</f>
        <v>3</v>
      </c>
      <c r="AH166" s="27" t="str">
        <f ca="1">IFERROR(__xludf.DUMMYFUNCTION("""COMPUTED_VALUE"""),"Plataforma doação online - Pessoa Física, Doações, Recursos próprios")</f>
        <v>Plataforma doação online - Pessoa Física, Doações, Recursos próprios</v>
      </c>
      <c r="AI166" s="27">
        <f ca="1">IFERROR(__xludf.DUMMYFUNCTION("""COMPUTED_VALUE"""),0)</f>
        <v>0</v>
      </c>
      <c r="AJ166" s="27" t="str">
        <f ca="1">IFERROR(__xludf.DUMMYFUNCTION("""COMPUTED_VALUE"""),"Não")</f>
        <v>Não</v>
      </c>
      <c r="AK166" s="27"/>
      <c r="AL166" s="21" t="str">
        <f ca="1">IFERROR(__xludf.DUMMYFUNCTION("""COMPUTED_VALUE"""),"0034X0000380O4X")</f>
        <v>0034X0000380O4X</v>
      </c>
      <c r="AM166" s="27" t="str">
        <f ca="1">IFERROR(__xludf.DUMMYFUNCTION("""COMPUTED_VALUE"""),"Cristina da cruz")</f>
        <v>Cristina da cruz</v>
      </c>
      <c r="AN166" s="27" t="str">
        <f ca="1">IFERROR(__xludf.DUMMYFUNCTION("""COMPUTED_VALUE"""),"Ativo")</f>
        <v>Ativo</v>
      </c>
      <c r="AO166" s="29">
        <f ca="1">IFERROR(__xludf.DUMMYFUNCTION("""COMPUTED_VALUE"""),44763)</f>
        <v>44763</v>
      </c>
      <c r="AP166" s="27">
        <f ca="1">IFERROR(__xludf.DUMMYFUNCTION("""COMPUTED_VALUE"""),2)</f>
        <v>2</v>
      </c>
      <c r="AQ166" s="27" t="str">
        <f ca="1">IFERROR(__xludf.DUMMYFUNCTION("""COMPUTED_VALUE"""),"Primeiro Semestre 2022")</f>
        <v>Primeiro Semestre 2022</v>
      </c>
      <c r="AR166" s="27" t="str">
        <f ca="1">IFERROR(__xludf.DUMMYFUNCTION("""COMPUTED_VALUE"""),"aassociacaomaesqueinformam@gmail.com")</f>
        <v>aassociacaomaesqueinformam@gmail.com</v>
      </c>
      <c r="AS166" s="27">
        <f ca="1">IFERROR(__xludf.DUMMYFUNCTION("""COMPUTED_VALUE"""),31989064412)</f>
        <v>31989064412</v>
      </c>
      <c r="AT166" s="29">
        <f ca="1">IFERROR(__xludf.DUMMYFUNCTION("""COMPUTED_VALUE"""),27955)</f>
        <v>27955</v>
      </c>
      <c r="AU166" s="27">
        <f ca="1">IFERROR(__xludf.DUMMYFUNCTION("""COMPUTED_VALUE"""),46)</f>
        <v>46</v>
      </c>
      <c r="AV166" s="27">
        <f ca="1">IFERROR(__xludf.DUMMYFUNCTION("""COMPUTED_VALUE"""),4822217639)</f>
        <v>4822217639</v>
      </c>
      <c r="AW166" s="27" t="str">
        <f ca="1">IFERROR(__xludf.DUMMYFUNCTION("""COMPUTED_VALUE"""),"MG 8824947")</f>
        <v>MG 8824947</v>
      </c>
      <c r="AX166" s="27"/>
      <c r="AY166" s="27"/>
      <c r="AZ166" s="27" t="str">
        <f ca="1">IFERROR(__xludf.DUMMYFUNCTION("""COMPUTED_VALUE"""),"M")</f>
        <v>M</v>
      </c>
      <c r="BA166" s="27" t="str">
        <f ca="1">IFERROR(__xludf.DUMMYFUNCTION("""COMPUTED_VALUE"""),"Preta")</f>
        <v>Preta</v>
      </c>
      <c r="BB166" s="27"/>
      <c r="BC166" s="27"/>
      <c r="BD166" s="27" t="str">
        <f ca="1">IFERROR(__xludf.DUMMYFUNCTION("""COMPUTED_VALUE"""),"Sou Adriane 45 anos mulher periférica negra e ativista social *mãe solo de 2 filhos Hellen de 27 anos e João de 13. Em defesa das minorias e de cuidar de quem cuida venho dedicando minha existência a missão de transformar a imagem dos cuidadores de uma pe"&amp;"ssoa com deficiência em algo maior que coitadinhos.")</f>
        <v>Sou Adriane 45 anos mulher periférica negra e ativista social *mãe solo de 2 filhos Hellen de 27 anos e João de 13. Em defesa das minorias e de cuidar de quem cuida venho dedicando minha existência a missão de transformar a imagem dos cuidadores de uma pessoa com deficiência em algo maior que coitadinhos.</v>
      </c>
      <c r="BE166" s="27" t="str">
        <f ca="1">IFERROR(__xludf.DUMMYFUNCTION("""COMPUTED_VALUE"""),"Feminino")</f>
        <v>Feminino</v>
      </c>
      <c r="BF166" s="27" t="str">
        <f ca="1">IFERROR(__xludf.DUMMYFUNCTION("""COMPUTED_VALUE"""),"Heterossexual")</f>
        <v>Heterossexual</v>
      </c>
      <c r="BG166" s="27"/>
      <c r="BH166" s="27" t="str">
        <f ca="1">IFERROR(__xludf.DUMMYFUNCTION("""COMPUTED_VALUE"""),"Público")</f>
        <v>Público</v>
      </c>
      <c r="BI166" s="27"/>
      <c r="BJ166" s="27"/>
      <c r="BK166" s="27" t="str">
        <f ca="1">IFERROR(__xludf.DUMMYFUNCTION("""COMPUTED_VALUE"""),"Rua São Fidélis")</f>
        <v>Rua São Fidélis</v>
      </c>
      <c r="BL166" s="27">
        <f ca="1">IFERROR(__xludf.DUMMYFUNCTION("""COMPUTED_VALUE"""),1305)</f>
        <v>1305</v>
      </c>
      <c r="BM166" s="27">
        <f ca="1">IFERROR(__xludf.DUMMYFUNCTION("""COMPUTED_VALUE"""),101)</f>
        <v>101</v>
      </c>
      <c r="BN166" s="27"/>
      <c r="BO166" s="27">
        <f ca="1">IFERROR(__xludf.DUMMYFUNCTION("""COMPUTED_VALUE"""),31070020)</f>
        <v>31070020</v>
      </c>
      <c r="BP166" s="27" t="str">
        <f ca="1">IFERROR(__xludf.DUMMYFUNCTION("""COMPUTED_VALUE"""),"MG")</f>
        <v>MG</v>
      </c>
      <c r="BQ166" s="27" t="str">
        <f ca="1">IFERROR(__xludf.DUMMYFUNCTION("""COMPUTED_VALUE"""),"Entre 1 até 3 salários mínimos")</f>
        <v>Entre 1 até 3 salários mínimos</v>
      </c>
      <c r="BR166" s="27" t="str">
        <f ca="1">IFERROR(__xludf.DUMMYFUNCTION("""COMPUTED_VALUE"""),"Desempregado")</f>
        <v>Desempregado</v>
      </c>
      <c r="BS166" s="27" t="str">
        <f ca="1">IFERROR(__xludf.DUMMYFUNCTION("""COMPUTED_VALUE"""),"Casa cedida")</f>
        <v>Casa cedida</v>
      </c>
      <c r="BT166" s="27">
        <f ca="1">IFERROR(__xludf.DUMMYFUNCTION("""COMPUTED_VALUE"""),2)</f>
        <v>2</v>
      </c>
      <c r="BU166" s="27" t="str">
        <f ca="1">IFERROR(__xludf.DUMMYFUNCTION("""COMPUTED_VALUE"""),"Depressão")</f>
        <v>Depressão</v>
      </c>
      <c r="BV166" s="27" t="str">
        <f ca="1">IFERROR(__xludf.DUMMYFUNCTION("""COMPUTED_VALUE"""),"Não")</f>
        <v>Não</v>
      </c>
      <c r="BW166" s="27"/>
      <c r="BX166" s="21" t="str">
        <f ca="1">IFERROR(__xludf.DUMMYFUNCTION("""COMPUTED_VALUE"""),"https://instagram.com/cruz_dryka?utm_medium=copy_link")</f>
        <v>https://instagram.com/cruz_dryka?utm_medium=copy_link</v>
      </c>
      <c r="BY166" s="21" t="str">
        <f ca="1">IFERROR(__xludf.DUMMYFUNCTION("""COMPUTED_VALUE"""),"https://drive.google.com/open?id=1Zfb-u73oD84c_bjqjmn1uC4zhw0NiuNG")</f>
        <v>https://drive.google.com/open?id=1Zfb-u73oD84c_bjqjmn1uC4zhw0NiuNG</v>
      </c>
    </row>
    <row r="167" spans="1:77" ht="12.5" x14ac:dyDescent="0.25">
      <c r="A167" s="21" t="str">
        <f ca="1">IFERROR(__xludf.DUMMYFUNCTION("""COMPUTED_VALUE"""),"0014X00002VKCtgQAH")</f>
        <v>0014X00002VKCtgQAH</v>
      </c>
      <c r="B167" s="27"/>
      <c r="C167" s="27" t="str">
        <f ca="1">IFERROR(__xludf.DUMMYFUNCTION("""COMPUTED_VALUE"""),"Fellow")</f>
        <v>Fellow</v>
      </c>
      <c r="D167" s="27" t="str">
        <f ca="1">IFERROR(__xludf.DUMMYFUNCTION("""COMPUTED_VALUE"""),"Ativo")</f>
        <v>Ativo</v>
      </c>
      <c r="E167" s="27" t="str">
        <f ca="1">IFERROR(__xludf.DUMMYFUNCTION("""COMPUTED_VALUE"""),"A VEZ DAS COMUNIDADES")</f>
        <v>A VEZ DAS COMUNIDADES</v>
      </c>
      <c r="F167" s="27" t="str">
        <f ca="1">IFERROR(__xludf.DUMMYFUNCTION("""COMPUTED_VALUE"""),"Ana")</f>
        <v>Ana</v>
      </c>
      <c r="G167" s="27" t="str">
        <f ca="1">IFERROR(__xludf.DUMMYFUNCTION("""COMPUTED_VALUE"""),"A VEZ DAS COMUNIDADES")</f>
        <v>A VEZ DAS COMUNIDADES</v>
      </c>
      <c r="H167" s="27"/>
      <c r="I167" s="27" t="str">
        <f ca="1">IFERROR(__xludf.DUMMYFUNCTION("""COMPUTED_VALUE"""),"Ana Cristina Medeiros de Lima")</f>
        <v>Ana Cristina Medeiros de Lima</v>
      </c>
      <c r="J167" s="27"/>
      <c r="K167" s="27"/>
      <c r="L167" s="27" t="str">
        <f ca="1">IFERROR(__xludf.DUMMYFUNCTION("""COMPUTED_VALUE"""),"RS")</f>
        <v>RS</v>
      </c>
      <c r="M167" s="27" t="str">
        <f ca="1">IFERROR(__xludf.DUMMYFUNCTION("""COMPUTED_VALUE"""),"Passagem Cinco")</f>
        <v>Passagem Cinco</v>
      </c>
      <c r="N167" s="27" t="str">
        <f ca="1">IFERROR(__xludf.DUMMYFUNCTION("""COMPUTED_VALUE"""),"Jardim Carvalho")</f>
        <v>Jardim Carvalho</v>
      </c>
      <c r="O167" s="27">
        <f ca="1">IFERROR(__xludf.DUMMYFUNCTION("""COMPUTED_VALUE"""),661)</f>
        <v>661</v>
      </c>
      <c r="P167" s="27" t="str">
        <f ca="1">IFERROR(__xludf.DUMMYFUNCTION("""COMPUTED_VALUE"""),"Porto Alegre")</f>
        <v>Porto Alegre</v>
      </c>
      <c r="Q167" s="27"/>
      <c r="R167" s="27" t="str">
        <f ca="1">IFERROR(__xludf.DUMMYFUNCTION("""COMPUTED_VALUE"""),"91430-680")</f>
        <v>91430-680</v>
      </c>
      <c r="S167" s="27"/>
      <c r="T167" s="27"/>
      <c r="U167" s="27"/>
      <c r="V167" s="27"/>
      <c r="W167" s="27">
        <f ca="1">IFERROR(__xludf.DUMMYFUNCTION("""COMPUTED_VALUE"""),9)</f>
        <v>9</v>
      </c>
      <c r="X167" s="27" t="str">
        <f ca="1">IFERROR(__xludf.DUMMYFUNCTION("""COMPUTED_VALUE"""),"Presença marcante de catadoras e catadores de materiais sólidos recicláveis.")</f>
        <v>Presença marcante de catadoras e catadores de materiais sólidos recicláveis.</v>
      </c>
      <c r="Y167" s="27"/>
      <c r="Z167" s="27">
        <f ca="1">IFERROR(__xludf.DUMMYFUNCTION("""COMPUTED_VALUE"""),800)</f>
        <v>800</v>
      </c>
      <c r="AA167" s="29">
        <f ca="1">IFERROR(__xludf.DUMMYFUNCTION("""COMPUTED_VALUE"""),44567)</f>
        <v>44567</v>
      </c>
      <c r="AB167" s="27" t="str">
        <f ca="1">IFERROR(__xludf.DUMMYFUNCTION("""COMPUTED_VALUE"""),"Não")</f>
        <v>Não</v>
      </c>
      <c r="AC167" s="27"/>
      <c r="AD167" s="27"/>
      <c r="AE167" s="27">
        <f ca="1">IFERROR(__xludf.DUMMYFUNCTION("""COMPUTED_VALUE"""),15)</f>
        <v>15</v>
      </c>
      <c r="AF167" s="27"/>
      <c r="AG167" s="27">
        <f ca="1">IFERROR(__xludf.DUMMYFUNCTION("""COMPUTED_VALUE"""),2)</f>
        <v>2</v>
      </c>
      <c r="AH167" s="27"/>
      <c r="AI167" s="27"/>
      <c r="AJ167" s="27"/>
      <c r="AK167" s="27"/>
      <c r="AL167" s="21" t="str">
        <f ca="1">IFERROR(__xludf.DUMMYFUNCTION("""COMPUTED_VALUE"""),"0034X0000380O5S")</f>
        <v>0034X0000380O5S</v>
      </c>
      <c r="AM167" s="27" t="str">
        <f ca="1">IFERROR(__xludf.DUMMYFUNCTION("""COMPUTED_VALUE"""),"Cristina medeiros de lima")</f>
        <v>Cristina medeiros de lima</v>
      </c>
      <c r="AN167" s="27" t="str">
        <f ca="1">IFERROR(__xludf.DUMMYFUNCTION("""COMPUTED_VALUE"""),"Ativo")</f>
        <v>Ativo</v>
      </c>
      <c r="AO167" s="29">
        <f ca="1">IFERROR(__xludf.DUMMYFUNCTION("""COMPUTED_VALUE"""),44763)</f>
        <v>44763</v>
      </c>
      <c r="AP167" s="27">
        <f ca="1">IFERROR(__xludf.DUMMYFUNCTION("""COMPUTED_VALUE"""),2)</f>
        <v>2</v>
      </c>
      <c r="AQ167" s="27" t="str">
        <f ca="1">IFERROR(__xludf.DUMMYFUNCTION("""COMPUTED_VALUE"""),"Primeiro Semestre 2022")</f>
        <v>Primeiro Semestre 2022</v>
      </c>
      <c r="AR167" s="27" t="str">
        <f ca="1">IFERROR(__xludf.DUMMYFUNCTION("""COMPUTED_VALUE"""),"crismedeirospoa@gmail.com")</f>
        <v>crismedeirospoa@gmail.com</v>
      </c>
      <c r="AS167" s="27">
        <f ca="1">IFERROR(__xludf.DUMMYFUNCTION("""COMPUTED_VALUE"""),51986540984)</f>
        <v>51986540984</v>
      </c>
      <c r="AT167" s="29">
        <f ca="1">IFERROR(__xludf.DUMMYFUNCTION("""COMPUTED_VALUE"""),25831)</f>
        <v>25831</v>
      </c>
      <c r="AU167" s="27">
        <f ca="1">IFERROR(__xludf.DUMMYFUNCTION("""COMPUTED_VALUE"""),52)</f>
        <v>52</v>
      </c>
      <c r="AV167" s="27">
        <f ca="1">IFERROR(__xludf.DUMMYFUNCTION("""COMPUTED_VALUE"""),49973614020)</f>
        <v>49973614020</v>
      </c>
      <c r="AW167" s="27">
        <f ca="1">IFERROR(__xludf.DUMMYFUNCTION("""COMPUTED_VALUE"""),1045017009)</f>
        <v>1045017009</v>
      </c>
      <c r="AX167" s="27"/>
      <c r="AY167" s="27"/>
      <c r="AZ167" s="27" t="str">
        <f ca="1">IFERROR(__xludf.DUMMYFUNCTION("""COMPUTED_VALUE"""),"P")</f>
        <v>P</v>
      </c>
      <c r="BA167" s="27" t="str">
        <f ca="1">IFERROR(__xludf.DUMMYFUNCTION("""COMPUTED_VALUE"""),"Parda")</f>
        <v>Parda</v>
      </c>
      <c r="BB167" s="27"/>
      <c r="BC167" s="27"/>
      <c r="BD167" s="27" t="str">
        <f ca="1">IFERROR(__xludf.DUMMYFUNCTION("""COMPUTED_VALUE"""),"Acadêmica dos cursos de Direito e de Gestão Pública* feminista* antirracista* ativista dos direitos humanos* conselheira tutelar* integrante dos coletivos A Vez das Comunidades* DNÁfrica e Negratividade.")</f>
        <v>Acadêmica dos cursos de Direito e de Gestão Pública* feminista* antirracista* ativista dos direitos humanos* conselheira tutelar* integrante dos coletivos A Vez das Comunidades* DNÁfrica e Negratividade.</v>
      </c>
      <c r="BE167" s="27" t="str">
        <f ca="1">IFERROR(__xludf.DUMMYFUNCTION("""COMPUTED_VALUE"""),"Feminino")</f>
        <v>Feminino</v>
      </c>
      <c r="BF167" s="27" t="str">
        <f ca="1">IFERROR(__xludf.DUMMYFUNCTION("""COMPUTED_VALUE"""),"Heterossexual")</f>
        <v>Heterossexual</v>
      </c>
      <c r="BG167" s="27"/>
      <c r="BH167" s="27" t="str">
        <f ca="1">IFERROR(__xludf.DUMMYFUNCTION("""COMPUTED_VALUE"""),"Público")</f>
        <v>Público</v>
      </c>
      <c r="BI167" s="27"/>
      <c r="BJ167" s="27"/>
      <c r="BK167" s="27" t="str">
        <f ca="1">IFERROR(__xludf.DUMMYFUNCTION("""COMPUTED_VALUE"""),"Rua Cinco Cefer 2")</f>
        <v>Rua Cinco Cefer 2</v>
      </c>
      <c r="BL167" s="27">
        <f ca="1">IFERROR(__xludf.DUMMYFUNCTION("""COMPUTED_VALUE"""),671)</f>
        <v>671</v>
      </c>
      <c r="BM167" s="27"/>
      <c r="BN167" s="27"/>
      <c r="BO167" s="27">
        <f ca="1">IFERROR(__xludf.DUMMYFUNCTION("""COMPUTED_VALUE"""),91430680)</f>
        <v>91430680</v>
      </c>
      <c r="BP167" s="27" t="str">
        <f ca="1">IFERROR(__xludf.DUMMYFUNCTION("""COMPUTED_VALUE"""),"RS")</f>
        <v>RS</v>
      </c>
      <c r="BQ167" s="27" t="str">
        <f ca="1">IFERROR(__xludf.DUMMYFUNCTION("""COMPUTED_VALUE"""),"De 3 até 5 salários mínimos")</f>
        <v>De 3 até 5 salários mínimos</v>
      </c>
      <c r="BR167" s="27" t="str">
        <f ca="1">IFERROR(__xludf.DUMMYFUNCTION("""COMPUTED_VALUE"""),"MEI")</f>
        <v>MEI</v>
      </c>
      <c r="BS167" s="27" t="str">
        <f ca="1">IFERROR(__xludf.DUMMYFUNCTION("""COMPUTED_VALUE"""),"Casa própria")</f>
        <v>Casa própria</v>
      </c>
      <c r="BT167" s="27">
        <f ca="1">IFERROR(__xludf.DUMMYFUNCTION("""COMPUTED_VALUE"""),3)</f>
        <v>3</v>
      </c>
      <c r="BU167" s="27" t="str">
        <f ca="1">IFERROR(__xludf.DUMMYFUNCTION("""COMPUTED_VALUE"""),"Não tem")</f>
        <v>Não tem</v>
      </c>
      <c r="BV167" s="27" t="str">
        <f ca="1">IFERROR(__xludf.DUMMYFUNCTION("""COMPUTED_VALUE"""),"Não")</f>
        <v>Não</v>
      </c>
      <c r="BW167" s="27"/>
      <c r="BX167" s="21" t="str">
        <f ca="1">IFERROR(__xludf.DUMMYFUNCTION("""COMPUTED_VALUE"""),"https://www.instagram.com/crismedeirospoa/")</f>
        <v>https://www.instagram.com/crismedeirospoa/</v>
      </c>
      <c r="BY167" s="21" t="str">
        <f ca="1">IFERROR(__xludf.DUMMYFUNCTION("""COMPUTED_VALUE"""),"https://drive.google.com/open?id=1pip8RS_O0RegGFixI5GHr8K-HFQfxkB_")</f>
        <v>https://drive.google.com/open?id=1pip8RS_O0RegGFixI5GHr8K-HFQfxkB_</v>
      </c>
    </row>
    <row r="168" spans="1:77" ht="12.5" x14ac:dyDescent="0.25">
      <c r="A168" s="21" t="str">
        <f ca="1">IFERROR(__xludf.DUMMYFUNCTION("""COMPUTED_VALUE"""),"0014X00002VKCuoQAH")</f>
        <v>0014X00002VKCuoQAH</v>
      </c>
      <c r="B168" s="27"/>
      <c r="C168" s="27" t="str">
        <f ca="1">IFERROR(__xludf.DUMMYFUNCTION("""COMPUTED_VALUE"""),"Fellow")</f>
        <v>Fellow</v>
      </c>
      <c r="D168" s="27" t="str">
        <f ca="1">IFERROR(__xludf.DUMMYFUNCTION("""COMPUTED_VALUE"""),"Ativo")</f>
        <v>Ativo</v>
      </c>
      <c r="E168" s="27" t="str">
        <f ca="1">IFERROR(__xludf.DUMMYFUNCTION("""COMPUTED_VALUE"""),"AVGG - Associação De Voluntários Grupo Goianiania")</f>
        <v>AVGG - Associação De Voluntários Grupo Goianiania</v>
      </c>
      <c r="F168" s="27" t="str">
        <f ca="1">IFERROR(__xludf.DUMMYFUNCTION("""COMPUTED_VALUE"""),"Lucas")</f>
        <v>Lucas</v>
      </c>
      <c r="G168" s="27" t="str">
        <f ca="1">IFERROR(__xludf.DUMMYFUNCTION("""COMPUTED_VALUE"""),"AVGG")</f>
        <v>AVGG</v>
      </c>
      <c r="H168" s="27" t="str">
        <f ca="1">IFERROR(__xludf.DUMMYFUNCTION("""COMPUTED_VALUE"""),"17.222.074/0001-75")</f>
        <v>17.222.074/0001-75</v>
      </c>
      <c r="I168" s="27" t="str">
        <f ca="1">IFERROR(__xludf.DUMMYFUNCTION("""COMPUTED_VALUE"""),"Ronaldo Silva")</f>
        <v>Ronaldo Silva</v>
      </c>
      <c r="J168" s="27"/>
      <c r="K168" s="27"/>
      <c r="L168" s="27" t="str">
        <f ca="1">IFERROR(__xludf.DUMMYFUNCTION("""COMPUTED_VALUE"""),"SP")</f>
        <v>SP</v>
      </c>
      <c r="M168" s="27" t="str">
        <f ca="1">IFERROR(__xludf.DUMMYFUNCTION("""COMPUTED_VALUE"""),"Rua Goiania")</f>
        <v>Rua Goiania</v>
      </c>
      <c r="N168" s="27" t="str">
        <f ca="1">IFERROR(__xludf.DUMMYFUNCTION("""COMPUTED_VALUE"""),"Jardim Irmã Dolores")</f>
        <v>Jardim Irmã Dolores</v>
      </c>
      <c r="O168" s="27">
        <f ca="1">IFERROR(__xludf.DUMMYFUNCTION("""COMPUTED_VALUE"""),170)</f>
        <v>170</v>
      </c>
      <c r="P168" s="27" t="str">
        <f ca="1">IFERROR(__xludf.DUMMYFUNCTION("""COMPUTED_VALUE"""),"São Vicente")</f>
        <v>São Vicente</v>
      </c>
      <c r="Q168" s="27"/>
      <c r="R168" s="27" t="str">
        <f ca="1">IFERROR(__xludf.DUMMYFUNCTION("""COMPUTED_VALUE"""),"11347-615")</f>
        <v>11347-615</v>
      </c>
      <c r="S168" s="27"/>
      <c r="T168" s="27"/>
      <c r="U168" s="27"/>
      <c r="V168" s="27"/>
      <c r="W168" s="27">
        <f ca="1">IFERROR(__xludf.DUMMYFUNCTION("""COMPUTED_VALUE"""),4)</f>
        <v>4</v>
      </c>
      <c r="X168" s="27"/>
      <c r="Y168" s="27"/>
      <c r="Z168" s="27">
        <f ca="1">IFERROR(__xludf.DUMMYFUNCTION("""COMPUTED_VALUE"""),500)</f>
        <v>500</v>
      </c>
      <c r="AA168" s="29">
        <f ca="1">IFERROR(__xludf.DUMMYFUNCTION("""COMPUTED_VALUE"""),41038)</f>
        <v>41038</v>
      </c>
      <c r="AB168" s="27" t="str">
        <f ca="1">IFERROR(__xludf.DUMMYFUNCTION("""COMPUTED_VALUE"""),"Sim")</f>
        <v>Sim</v>
      </c>
      <c r="AC168" s="27"/>
      <c r="AD168" s="27"/>
      <c r="AE168" s="27">
        <f ca="1">IFERROR(__xludf.DUMMYFUNCTION("""COMPUTED_VALUE"""),20)</f>
        <v>20</v>
      </c>
      <c r="AF168" s="27"/>
      <c r="AG168" s="27">
        <f ca="1">IFERROR(__xludf.DUMMYFUNCTION("""COMPUTED_VALUE"""),2)</f>
        <v>2</v>
      </c>
      <c r="AH168" s="27"/>
      <c r="AI168" s="27" t="str">
        <f ca="1">IFERROR(__xludf.DUMMYFUNCTION("""COMPUTED_VALUE"""),"70/30")</f>
        <v>70/30</v>
      </c>
      <c r="AJ168" s="27" t="str">
        <f ca="1">IFERROR(__xludf.DUMMYFUNCTION("""COMPUTED_VALUE"""),"Não")</f>
        <v>Não</v>
      </c>
      <c r="AK168" s="27"/>
      <c r="AL168" s="21" t="str">
        <f ca="1">IFERROR(__xludf.DUMMYFUNCTION("""COMPUTED_VALUE"""),"0034X0000380O2k")</f>
        <v>0034X0000380O2k</v>
      </c>
      <c r="AM168" s="27" t="str">
        <f ca="1">IFERROR(__xludf.DUMMYFUNCTION("""COMPUTED_VALUE"""),"Holanda martins")</f>
        <v>Holanda martins</v>
      </c>
      <c r="AN168" s="27" t="str">
        <f ca="1">IFERROR(__xludf.DUMMYFUNCTION("""COMPUTED_VALUE"""),"Ativo")</f>
        <v>Ativo</v>
      </c>
      <c r="AO168" s="29">
        <f ca="1">IFERROR(__xludf.DUMMYFUNCTION("""COMPUTED_VALUE"""),44763)</f>
        <v>44763</v>
      </c>
      <c r="AP168" s="27">
        <f ca="1">IFERROR(__xludf.DUMMYFUNCTION("""COMPUTED_VALUE"""),2)</f>
        <v>2</v>
      </c>
      <c r="AQ168" s="27" t="str">
        <f ca="1">IFERROR(__xludf.DUMMYFUNCTION("""COMPUTED_VALUE"""),"Primeiro Semestre 2022")</f>
        <v>Primeiro Semestre 2022</v>
      </c>
      <c r="AR168" s="27" t="str">
        <f ca="1">IFERROR(__xludf.DUMMYFUNCTION("""COMPUTED_VALUE"""),"lucash.2013@hotmail.com")</f>
        <v>lucash.2013@hotmail.com</v>
      </c>
      <c r="AS168" s="27">
        <f ca="1">IFERROR(__xludf.DUMMYFUNCTION("""COMPUTED_VALUE"""),13997758440)</f>
        <v>13997758440</v>
      </c>
      <c r="AT168" s="29">
        <f ca="1">IFERROR(__xludf.DUMMYFUNCTION("""COMPUTED_VALUE"""),35900)</f>
        <v>35900</v>
      </c>
      <c r="AU168" s="27">
        <f ca="1">IFERROR(__xludf.DUMMYFUNCTION("""COMPUTED_VALUE"""),24)</f>
        <v>24</v>
      </c>
      <c r="AV168" s="27">
        <f ca="1">IFERROR(__xludf.DUMMYFUNCTION("""COMPUTED_VALUE"""),45860485816)</f>
        <v>45860485816</v>
      </c>
      <c r="AW168" s="27">
        <f ca="1">IFERROR(__xludf.DUMMYFUNCTION("""COMPUTED_VALUE"""),548548377)</f>
        <v>548548377</v>
      </c>
      <c r="AX168" s="27"/>
      <c r="AY168" s="27"/>
      <c r="AZ168" s="27" t="str">
        <f ca="1">IFERROR(__xludf.DUMMYFUNCTION("""COMPUTED_VALUE"""),"GG")</f>
        <v>GG</v>
      </c>
      <c r="BA168" s="27" t="str">
        <f ca="1">IFERROR(__xludf.DUMMYFUNCTION("""COMPUTED_VALUE"""),"Parda")</f>
        <v>Parda</v>
      </c>
      <c r="BB168" s="27"/>
      <c r="BC168" s="27"/>
      <c r="BD168" s="27" t="str">
        <f ca="1">IFERROR(__xludf.DUMMYFUNCTION("""COMPUTED_VALUE"""),"Meu nome é Lucas Holanda* tenho 23 anos* sou morador de São Vicente* a Primeira cidade do Brasil* sempre morei em favelas da cidade mas sempre sonhei grande e sabia que a realidade que nasci não determinava o meu futuro* desde cedo entendi que eu poderia "&amp;"mudar a minha realidade e a realidade de toda a comunidade a minha volta* desde os 14 anos sou envolvido em projetos sociais e hoje busco me conectar com essa rede incrível do GF pois sei que tenho muito a aprender e desenvolver um trabalho com cada vez m"&amp;"ais qualidade para a minha favela* a minha cidade!")</f>
        <v>Meu nome é Lucas Holanda* tenho 23 anos* sou morador de São Vicente* a Primeira cidade do Brasil* sempre morei em favelas da cidade mas sempre sonhei grande e sabia que a realidade que nasci não determinava o meu futuro* desde cedo entendi que eu poderia mudar a minha realidade e a realidade de toda a comunidade a minha volta* desde os 14 anos sou envolvido em projetos sociais e hoje busco me conectar com essa rede incrível do GF pois sei que tenho muito a aprender e desenvolver um trabalho com cada vez mais qualidade para a minha favela* a minha cidade!</v>
      </c>
      <c r="BE168" s="27" t="str">
        <f ca="1">IFERROR(__xludf.DUMMYFUNCTION("""COMPUTED_VALUE"""),"Masculino")</f>
        <v>Masculino</v>
      </c>
      <c r="BF168" s="27" t="str">
        <f ca="1">IFERROR(__xludf.DUMMYFUNCTION("""COMPUTED_VALUE"""),"Heterossexual")</f>
        <v>Heterossexual</v>
      </c>
      <c r="BG168" s="27"/>
      <c r="BH168" s="27" t="str">
        <f ca="1">IFERROR(__xludf.DUMMYFUNCTION("""COMPUTED_VALUE"""),"Público")</f>
        <v>Público</v>
      </c>
      <c r="BI168" s="27" t="str">
        <f ca="1">IFERROR(__xludf.DUMMYFUNCTION("""COMPUTED_VALUE"""),"Graduação")</f>
        <v>Graduação</v>
      </c>
      <c r="BJ168" s="27" t="str">
        <f ca="1">IFERROR(__xludf.DUMMYFUNCTION("""COMPUTED_VALUE"""),"Privado")</f>
        <v>Privado</v>
      </c>
      <c r="BK168" s="27" t="str">
        <f ca="1">IFERROR(__xludf.DUMMYFUNCTION("""COMPUTED_VALUE"""),"Rua Gilberto Esteves Martins")</f>
        <v>Rua Gilberto Esteves Martins</v>
      </c>
      <c r="BL168" s="27">
        <f ca="1">IFERROR(__xludf.DUMMYFUNCTION("""COMPUTED_VALUE"""),96)</f>
        <v>96</v>
      </c>
      <c r="BM168" s="27"/>
      <c r="BN168" s="27"/>
      <c r="BO168" s="27">
        <f ca="1">IFERROR(__xludf.DUMMYFUNCTION("""COMPUTED_VALUE"""),11347200)</f>
        <v>11347200</v>
      </c>
      <c r="BP168" s="27" t="str">
        <f ca="1">IFERROR(__xludf.DUMMYFUNCTION("""COMPUTED_VALUE"""),"SP")</f>
        <v>SP</v>
      </c>
      <c r="BQ168" s="27" t="str">
        <f ca="1">IFERROR(__xludf.DUMMYFUNCTION("""COMPUTED_VALUE"""),"De 3 até 5 salários mínimos")</f>
        <v>De 3 até 5 salários mínimos</v>
      </c>
      <c r="BR168" s="27" t="str">
        <f ca="1">IFERROR(__xludf.DUMMYFUNCTION("""COMPUTED_VALUE"""),"MEI")</f>
        <v>MEI</v>
      </c>
      <c r="BS168" s="27" t="str">
        <f ca="1">IFERROR(__xludf.DUMMYFUNCTION("""COMPUTED_VALUE"""),"Casa própria")</f>
        <v>Casa própria</v>
      </c>
      <c r="BT168" s="27">
        <f ca="1">IFERROR(__xludf.DUMMYFUNCTION("""COMPUTED_VALUE"""),2)</f>
        <v>2</v>
      </c>
      <c r="BU168" s="27" t="str">
        <f ca="1">IFERROR(__xludf.DUMMYFUNCTION("""COMPUTED_VALUE"""),"Não tem")</f>
        <v>Não tem</v>
      </c>
      <c r="BV168" s="27" t="str">
        <f ca="1">IFERROR(__xludf.DUMMYFUNCTION("""COMPUTED_VALUE"""),"Não")</f>
        <v>Não</v>
      </c>
      <c r="BW168" s="27"/>
      <c r="BX168" s="21" t="str">
        <f ca="1">IFERROR(__xludf.DUMMYFUNCTION("""COMPUTED_VALUE"""),"https://instagram.com/lucasholandasv?utm_medium=copy_link")</f>
        <v>https://instagram.com/lucasholandasv?utm_medium=copy_link</v>
      </c>
      <c r="BY168" s="21" t="str">
        <f ca="1">IFERROR(__xludf.DUMMYFUNCTION("""COMPUTED_VALUE"""),"https://drive.google.com/open?id=1J1D3x4kvx06zXSdYkIWHegwJk9kcOh3D")</f>
        <v>https://drive.google.com/open?id=1J1D3x4kvx06zXSdYkIWHegwJk9kcOh3D</v>
      </c>
    </row>
    <row r="169" spans="1:77" ht="12.5" x14ac:dyDescent="0.25">
      <c r="A169" s="21" t="str">
        <f ca="1">IFERROR(__xludf.DUMMYFUNCTION("""COMPUTED_VALUE"""),"0014P00003YSp7XQAT")</f>
        <v>0014P00003YSp7XQAT</v>
      </c>
      <c r="B169" s="27" t="str">
        <f ca="1">IFERROR(__xludf.DUMMYFUNCTION("""COMPUTED_VALUE"""),"Fase Inicial")</f>
        <v>Fase Inicial</v>
      </c>
      <c r="C169" s="27" t="str">
        <f ca="1">IFERROR(__xludf.DUMMYFUNCTION("""COMPUTED_VALUE"""),"Fellow")</f>
        <v>Fellow</v>
      </c>
      <c r="D169" s="27" t="str">
        <f ca="1">IFERROR(__xludf.DUMMYFUNCTION("""COMPUTED_VALUE"""),"Ativo")</f>
        <v>Ativo</v>
      </c>
      <c r="E169" s="27" t="str">
        <f ca="1">IFERROR(__xludf.DUMMYFUNCTION("""COMPUTED_VALUE"""),"Balé da Rale")</f>
        <v>Balé da Rale</v>
      </c>
      <c r="F169" s="27" t="str">
        <f ca="1">IFERROR(__xludf.DUMMYFUNCTION("""COMPUTED_VALUE"""),"Saryne")</f>
        <v>Saryne</v>
      </c>
      <c r="G169" s="27"/>
      <c r="H169" s="27" t="str">
        <f ca="1">IFERROR(__xludf.DUMMYFUNCTION("""COMPUTED_VALUE"""),"45.322.227/0001-91")</f>
        <v>45.322.227/0001-91</v>
      </c>
      <c r="I169" s="27" t="str">
        <f ca="1">IFERROR(__xludf.DUMMYFUNCTION("""COMPUTED_VALUE"""),"SARYNE Teixeira Santana Fernandes")</f>
        <v>SARYNE Teixeira Santana Fernandes</v>
      </c>
      <c r="J169" s="27" t="str">
        <f ca="1">IFERROR(__xludf.DUMMYFUNCTION("""COMPUTED_VALUE"""),"baledarale@gmail.com")</f>
        <v>baledarale@gmail.com</v>
      </c>
      <c r="K169" s="27" t="str">
        <f ca="1">IFERROR(__xludf.DUMMYFUNCTION("""COMPUTED_VALUE"""),"(84)98761-6531")</f>
        <v>(84)98761-6531</v>
      </c>
      <c r="L169" s="27" t="str">
        <f ca="1">IFERROR(__xludf.DUMMYFUNCTION("""COMPUTED_VALUE"""),"RN")</f>
        <v>RN</v>
      </c>
      <c r="M169" s="27" t="str">
        <f ca="1">IFERROR(__xludf.DUMMYFUNCTION("""COMPUTED_VALUE"""),"Rio das Lavadeiras")</f>
        <v>Rio das Lavadeiras</v>
      </c>
      <c r="N169" s="27" t="str">
        <f ca="1">IFERROR(__xludf.DUMMYFUNCTION("""COMPUTED_VALUE"""),"Quintas")</f>
        <v>Quintas</v>
      </c>
      <c r="O169" s="27">
        <f ca="1">IFERROR(__xludf.DUMMYFUNCTION("""COMPUTED_VALUE"""),116)</f>
        <v>116</v>
      </c>
      <c r="P169" s="27" t="str">
        <f ca="1">IFERROR(__xludf.DUMMYFUNCTION("""COMPUTED_VALUE"""),"Natal")</f>
        <v>Natal</v>
      </c>
      <c r="Q169" s="27" t="str">
        <f ca="1">IFERROR(__xludf.DUMMYFUNCTION("""COMPUTED_VALUE"""),"Beira do Rio")</f>
        <v>Beira do Rio</v>
      </c>
      <c r="R169" s="27" t="str">
        <f ca="1">IFERROR(__xludf.DUMMYFUNCTION("""COMPUTED_VALUE"""),"59050-135")</f>
        <v>59050-135</v>
      </c>
      <c r="S169" s="27"/>
      <c r="T169" s="27" t="str">
        <f ca="1">IFERROR(__xludf.DUMMYFUNCTION("""COMPUTED_VALUE"""),"Esporte; Educação; Cultura; Empreendedorismo")</f>
        <v>Esporte; Educação; Cultura; Empreendedorismo</v>
      </c>
      <c r="U169" s="27" t="str">
        <f ca="1">IFERROR(__xludf.DUMMYFUNCTION("""COMPUTED_VALUE"""),"Crianças bem pequenas (1 ano e 7 meses até 3 anos e 11 meses); Crianças pequenas (4 anos a 5 anos e 11 meses)")</f>
        <v>Crianças bem pequenas (1 ano e 7 meses até 3 anos e 11 meses); Crianças pequenas (4 anos a 5 anos e 11 meses)</v>
      </c>
      <c r="V169" s="27" t="str">
        <f ca="1">IFERROR(__xludf.DUMMYFUNCTION("""COMPUTED_VALUE"""),"Outros")</f>
        <v>Outros</v>
      </c>
      <c r="W169" s="27">
        <f ca="1">IFERROR(__xludf.DUMMYFUNCTION("""COMPUTED_VALUE"""),1)</f>
        <v>1</v>
      </c>
      <c r="X169" s="27"/>
      <c r="Y169" s="27"/>
      <c r="Z169" s="27">
        <f ca="1">IFERROR(__xludf.DUMMYFUNCTION("""COMPUTED_VALUE"""),250)</f>
        <v>250</v>
      </c>
      <c r="AA169" s="29">
        <f ca="1">IFERROR(__xludf.DUMMYFUNCTION("""COMPUTED_VALUE"""),44579)</f>
        <v>44579</v>
      </c>
      <c r="AB169" s="27" t="str">
        <f ca="1">IFERROR(__xludf.DUMMYFUNCTION("""COMPUTED_VALUE"""),"Não")</f>
        <v>Não</v>
      </c>
      <c r="AC169" s="27">
        <f ca="1">IFERROR(__xludf.DUMMYFUNCTION("""COMPUTED_VALUE"""),0)</f>
        <v>0</v>
      </c>
      <c r="AD169" s="27">
        <f ca="1">IFERROR(__xludf.DUMMYFUNCTION("""COMPUTED_VALUE"""),0)</f>
        <v>0</v>
      </c>
      <c r="AE169" s="27">
        <f ca="1">IFERROR(__xludf.DUMMYFUNCTION("""COMPUTED_VALUE"""),14)</f>
        <v>14</v>
      </c>
      <c r="AF169" s="27">
        <f ca="1">IFERROR(__xludf.DUMMYFUNCTION("""COMPUTED_VALUE"""),7)</f>
        <v>7</v>
      </c>
      <c r="AG169" s="27">
        <f ca="1">IFERROR(__xludf.DUMMYFUNCTION("""COMPUTED_VALUE"""),3)</f>
        <v>3</v>
      </c>
      <c r="AH169" s="27" t="str">
        <f ca="1">IFERROR(__xludf.DUMMYFUNCTION("""COMPUTED_VALUE"""),"Parceria iniciativa privada; Outro(s); Doações")</f>
        <v>Parceria iniciativa privada; Outro(s); Doações</v>
      </c>
      <c r="AI169" s="27" t="str">
        <f ca="1">IFERROR(__xludf.DUMMYFUNCTION("""COMPUTED_VALUE"""),"25% pessoa física, 25%Doações, 50% Seja pessoa Jurídica")</f>
        <v>25% pessoa física, 25%Doações, 50% Seja pessoa Jurídica</v>
      </c>
      <c r="AJ169" s="27"/>
      <c r="AK169" s="27"/>
      <c r="AL169" s="21" t="str">
        <f ca="1">IFERROR(__xludf.DUMMYFUNCTION("""COMPUTED_VALUE"""),"0034P000045kxi8")</f>
        <v>0034P000045kxi8</v>
      </c>
      <c r="AM169" s="27" t="str">
        <f ca="1">IFERROR(__xludf.DUMMYFUNCTION("""COMPUTED_VALUE"""),"Teixeira Santana Fernandes")</f>
        <v>Teixeira Santana Fernandes</v>
      </c>
      <c r="AN169" s="27" t="str">
        <f ca="1">IFERROR(__xludf.DUMMYFUNCTION("""COMPUTED_VALUE"""),"Ativo")</f>
        <v>Ativo</v>
      </c>
      <c r="AO169" s="30">
        <f ca="1">IFERROR(__xludf.DUMMYFUNCTION("""COMPUTED_VALUE"""),44551)</f>
        <v>44551</v>
      </c>
      <c r="AP169" s="27">
        <f ca="1">IFERROR(__xludf.DUMMYFUNCTION("""COMPUTED_VALUE"""),9)</f>
        <v>9</v>
      </c>
      <c r="AQ169" s="27" t="str">
        <f ca="1">IFERROR(__xludf.DUMMYFUNCTION("""COMPUTED_VALUE"""),"Segundo Semestre 2021")</f>
        <v>Segundo Semestre 2021</v>
      </c>
      <c r="AR169" s="27" t="str">
        <f ca="1">IFERROR(__xludf.DUMMYFUNCTION("""COMPUTED_VALUE"""),"sarynefernandes@gmail.com")</f>
        <v>sarynefernandes@gmail.com</v>
      </c>
      <c r="AS169" s="27" t="str">
        <f ca="1">IFERROR(__xludf.DUMMYFUNCTION("""COMPUTED_VALUE"""),"(84)98761-6531")</f>
        <v>(84)98761-6531</v>
      </c>
      <c r="AT169" s="29">
        <f ca="1">IFERROR(__xludf.DUMMYFUNCTION("""COMPUTED_VALUE"""),33790)</f>
        <v>33790</v>
      </c>
      <c r="AU169" s="27">
        <f ca="1">IFERROR(__xludf.DUMMYFUNCTION("""COMPUTED_VALUE"""),30)</f>
        <v>30</v>
      </c>
      <c r="AV169" s="27">
        <f ca="1">IFERROR(__xludf.DUMMYFUNCTION("""COMPUTED_VALUE"""),7379526448)</f>
        <v>7379526448</v>
      </c>
      <c r="AW169" s="27">
        <f ca="1">IFERROR(__xludf.DUMMYFUNCTION("""COMPUTED_VALUE"""),3211055)</f>
        <v>3211055</v>
      </c>
      <c r="AX169" s="27"/>
      <c r="AY169" s="27"/>
      <c r="AZ169" s="27" t="str">
        <f ca="1">IFERROR(__xludf.DUMMYFUNCTION("""COMPUTED_VALUE"""),"P")</f>
        <v>P</v>
      </c>
      <c r="BA169" s="27" t="str">
        <f ca="1">IFERROR(__xludf.DUMMYFUNCTION("""COMPUTED_VALUE"""),"Parda")</f>
        <v>Parda</v>
      </c>
      <c r="BB169" s="27" t="str">
        <f ca="1">IFERROR(__xludf.DUMMYFUNCTION("""COMPUTED_VALUE"""),"Mulher, cisgênero")</f>
        <v>Mulher, cisgênero</v>
      </c>
      <c r="BC169" s="27" t="str">
        <f ca="1">IFERROR(__xludf.DUMMYFUNCTION("""COMPUTED_VALUE"""),"Sim")</f>
        <v>Sim</v>
      </c>
      <c r="BD169" s="27" t="str">
        <f ca="1">IFERROR(__xludf.DUMMYFUNCTION("""COMPUTED_VALUE"""),"Saryne Fernandes nasceu numa família disfuncional abusos e escassez sempre fizeram parte de sua vida, em 2012 na Favela do Japão teve seu primeiro insight através da arte e cultura dar protagonismo a outras crianças e finalmente em meio a uma pandemia mun"&amp;"dial em 2021 nasce o projeto Balé da Ralé.")</f>
        <v>Saryne Fernandes nasceu numa família disfuncional abusos e escassez sempre fizeram parte de sua vida, em 2012 na Favela do Japão teve seu primeiro insight através da arte e cultura dar protagonismo a outras crianças e finalmente em meio a uma pandemia mundial em 2021 nasce o projeto Balé da Ralé.</v>
      </c>
      <c r="BE169" s="27"/>
      <c r="BF169" s="27" t="str">
        <f ca="1">IFERROR(__xludf.DUMMYFUNCTION("""COMPUTED_VALUE"""),"Heterossexual")</f>
        <v>Heterossexual</v>
      </c>
      <c r="BG169" s="27" t="str">
        <f ca="1">IFERROR(__xludf.DUMMYFUNCTION("""COMPUTED_VALUE"""),"Ensino Superior - Completo")</f>
        <v>Ensino Superior - Completo</v>
      </c>
      <c r="BH169" s="27" t="str">
        <f ca="1">IFERROR(__xludf.DUMMYFUNCTION("""COMPUTED_VALUE"""),"Público")</f>
        <v>Público</v>
      </c>
      <c r="BI169" s="27" t="str">
        <f ca="1">IFERROR(__xludf.DUMMYFUNCTION("""COMPUTED_VALUE"""),"Graduação")</f>
        <v>Graduação</v>
      </c>
      <c r="BJ169" s="27" t="str">
        <f ca="1">IFERROR(__xludf.DUMMYFUNCTION("""COMPUTED_VALUE"""),"Público")</f>
        <v>Público</v>
      </c>
      <c r="BK169" s="27" t="str">
        <f ca="1">IFERROR(__xludf.DUMMYFUNCTION("""COMPUTED_VALUE"""),"Travessa Santa Helena")</f>
        <v>Travessa Santa Helena</v>
      </c>
      <c r="BL169" s="27">
        <f ca="1">IFERROR(__xludf.DUMMYFUNCTION("""COMPUTED_VALUE"""),51)</f>
        <v>51</v>
      </c>
      <c r="BM169" s="27" t="str">
        <f ca="1">IFERROR(__xludf.DUMMYFUNCTION("""COMPUTED_VALUE"""),"Escadaria")</f>
        <v>Escadaria</v>
      </c>
      <c r="BN169" s="27" t="str">
        <f ca="1">IFERROR(__xludf.DUMMYFUNCTION("""COMPUTED_VALUE"""),"Natal")</f>
        <v>Natal</v>
      </c>
      <c r="BO169" s="27" t="str">
        <f ca="1">IFERROR(__xludf.DUMMYFUNCTION("""COMPUTED_VALUE"""),"59050-135")</f>
        <v>59050-135</v>
      </c>
      <c r="BP169" s="27" t="str">
        <f ca="1">IFERROR(__xludf.DUMMYFUNCTION("""COMPUTED_VALUE"""),"RN")</f>
        <v>RN</v>
      </c>
      <c r="BQ169" s="27" t="str">
        <f ca="1">IFERROR(__xludf.DUMMYFUNCTION("""COMPUTED_VALUE"""),"Entre 1 até 3 salários mínimos")</f>
        <v>Entre 1 até 3 salários mínimos</v>
      </c>
      <c r="BR169" s="27" t="str">
        <f ca="1">IFERROR(__xludf.DUMMYFUNCTION("""COMPUTED_VALUE"""),"MEI")</f>
        <v>MEI</v>
      </c>
      <c r="BS169" s="27" t="str">
        <f ca="1">IFERROR(__xludf.DUMMYFUNCTION("""COMPUTED_VALUE"""),"Casa própria")</f>
        <v>Casa própria</v>
      </c>
      <c r="BT169" s="27">
        <f ca="1">IFERROR(__xludf.DUMMYFUNCTION("""COMPUTED_VALUE"""),3)</f>
        <v>3</v>
      </c>
      <c r="BU169" s="27" t="str">
        <f ca="1">IFERROR(__xludf.DUMMYFUNCTION("""COMPUTED_VALUE"""),"Não tem")</f>
        <v>Não tem</v>
      </c>
      <c r="BV169" s="27"/>
      <c r="BW169" s="27"/>
      <c r="BX169" s="21" t="str">
        <f ca="1">IFERROR(__xludf.DUMMYFUNCTION("""COMPUTED_VALUE"""),"https://instagram.com/baledarale?utm_medium=copy_link")</f>
        <v>https://instagram.com/baledarale?utm_medium=copy_link</v>
      </c>
      <c r="BY169" s="21" t="str">
        <f ca="1">IFERROR(__xludf.DUMMYFUNCTION("""COMPUTED_VALUE"""),"https://drive.google.com/open?id=14jd-qqED4QMWqUkD6nVgzFvP7M_3_29n")</f>
        <v>https://drive.google.com/open?id=14jd-qqED4QMWqUkD6nVgzFvP7M_3_29n</v>
      </c>
    </row>
    <row r="170" spans="1:77" ht="12.5" hidden="1" x14ac:dyDescent="0.25">
      <c r="A170" s="21" t="str">
        <f ca="1">IFERROR(__xludf.DUMMYFUNCTION("""COMPUTED_VALUE"""),"0014P00003YSpA8QAL")</f>
        <v>0014P00003YSpA8QAL</v>
      </c>
      <c r="B170" s="27" t="str">
        <f ca="1">IFERROR(__xludf.DUMMYFUNCTION("""COMPUTED_VALUE"""),"Fase Inicial")</f>
        <v>Fase Inicial</v>
      </c>
      <c r="C170" s="27" t="str">
        <f ca="1">IFERROR(__xludf.DUMMYFUNCTION("""COMPUTED_VALUE"""),"Fellow")</f>
        <v>Fellow</v>
      </c>
      <c r="D170" s="27" t="str">
        <f ca="1">IFERROR(__xludf.DUMMYFUNCTION("""COMPUTED_VALUE"""),"Ativo")</f>
        <v>Ativo</v>
      </c>
      <c r="E170" s="27" t="str">
        <f ca="1">IFERROR(__xludf.DUMMYFUNCTION("""COMPUTED_VALUE"""),"Batucarte")</f>
        <v>Batucarte</v>
      </c>
      <c r="F170" s="27" t="str">
        <f ca="1">IFERROR(__xludf.DUMMYFUNCTION("""COMPUTED_VALUE"""),"Gleison")</f>
        <v>Gleison</v>
      </c>
      <c r="G170" s="27"/>
      <c r="H170" s="27"/>
      <c r="I170" s="27" t="str">
        <f ca="1">IFERROR(__xludf.DUMMYFUNCTION("""COMPUTED_VALUE"""),"Gleison Emerson dos Santos Batista")</f>
        <v>Gleison Emerson dos Santos Batista</v>
      </c>
      <c r="J170" s="27" t="str">
        <f ca="1">IFERROR(__xludf.DUMMYFUNCTION("""COMPUTED_VALUE"""),"institutobatucarte@gmail.com")</f>
        <v>institutobatucarte@gmail.com</v>
      </c>
      <c r="K170" s="27" t="str">
        <f ca="1">IFERROR(__xludf.DUMMYFUNCTION("""COMPUTED_VALUE"""),"(31)9937-1401")</f>
        <v>(31)9937-1401</v>
      </c>
      <c r="L170" s="27" t="str">
        <f ca="1">IFERROR(__xludf.DUMMYFUNCTION("""COMPUTED_VALUE"""),"MG")</f>
        <v>MG</v>
      </c>
      <c r="M170" s="27" t="str">
        <f ca="1">IFERROR(__xludf.DUMMYFUNCTION("""COMPUTED_VALUE"""),"Rua vl 08 33")</f>
        <v>Rua vl 08 33</v>
      </c>
      <c r="N170" s="27" t="str">
        <f ca="1">IFERROR(__xludf.DUMMYFUNCTION("""COMPUTED_VALUE"""),"Nova Contagem")</f>
        <v>Nova Contagem</v>
      </c>
      <c r="O170" s="27">
        <f ca="1">IFERROR(__xludf.DUMMYFUNCTION("""COMPUTED_VALUE"""),1486)</f>
        <v>1486</v>
      </c>
      <c r="P170" s="27" t="str">
        <f ca="1">IFERROR(__xludf.DUMMYFUNCTION("""COMPUTED_VALUE"""),"Contagem")</f>
        <v>Contagem</v>
      </c>
      <c r="Q170" s="27"/>
      <c r="R170" s="27" t="str">
        <f ca="1">IFERROR(__xludf.DUMMYFUNCTION("""COMPUTED_VALUE"""),"32050-300")</f>
        <v>32050-300</v>
      </c>
      <c r="S170" s="27"/>
      <c r="T170" s="27" t="str">
        <f ca="1">IFERROR(__xludf.DUMMYFUNCTION("""COMPUTED_VALUE"""),"Esporte; Educação; Cultura; Qualificação Profissional; Empreendedorismo; Desenvolvimento comunitário")</f>
        <v>Esporte; Educação; Cultura; Qualificação Profissional; Empreendedorismo; Desenvolvimento comunitário</v>
      </c>
      <c r="U170" s="27" t="str">
        <f ca="1">IFERROR(__xludf.DUMMYFUNCTION("""COMPUTED_VALUE"""),"Crianças (6 a 12 anos); Adolescentes (12 aos 18 anos); Jovens (18 aos 24 anos); Adultos")</f>
        <v>Crianças (6 a 12 anos); Adolescentes (12 aos 18 anos); Jovens (18 aos 24 anos); Adultos</v>
      </c>
      <c r="V170" s="27" t="str">
        <f ca="1">IFERROR(__xludf.DUMMYFUNCTION("""COMPUTED_VALUE"""),"Moradores de Favelas; População LGBTQ+; Afrodescendentes")</f>
        <v>Moradores de Favelas; População LGBTQ+; Afrodescendentes</v>
      </c>
      <c r="W170" s="27">
        <f ca="1">IFERROR(__xludf.DUMMYFUNCTION("""COMPUTED_VALUE"""),12)</f>
        <v>12</v>
      </c>
      <c r="X170" s="27"/>
      <c r="Y170" s="27"/>
      <c r="Z170" s="27">
        <f ca="1">IFERROR(__xludf.DUMMYFUNCTION("""COMPUTED_VALUE"""),200)</f>
        <v>200</v>
      </c>
      <c r="AA170" s="30">
        <f ca="1">IFERROR(__xludf.DUMMYFUNCTION("""COMPUTED_VALUE"""),44558)</f>
        <v>44558</v>
      </c>
      <c r="AB170" s="27" t="str">
        <f ca="1">IFERROR(__xludf.DUMMYFUNCTION("""COMPUTED_VALUE"""),"Não")</f>
        <v>Não</v>
      </c>
      <c r="AC170" s="27">
        <f ca="1">IFERROR(__xludf.DUMMYFUNCTION("""COMPUTED_VALUE"""),0)</f>
        <v>0</v>
      </c>
      <c r="AD170" s="27">
        <f ca="1">IFERROR(__xludf.DUMMYFUNCTION("""COMPUTED_VALUE"""),0)</f>
        <v>0</v>
      </c>
      <c r="AE170" s="27">
        <f ca="1">IFERROR(__xludf.DUMMYFUNCTION("""COMPUTED_VALUE"""),6)</f>
        <v>6</v>
      </c>
      <c r="AF170" s="27">
        <f ca="1">IFERROR(__xludf.DUMMYFUNCTION("""COMPUTED_VALUE"""),2)</f>
        <v>2</v>
      </c>
      <c r="AG170" s="27">
        <f ca="1">IFERROR(__xludf.DUMMYFUNCTION("""COMPUTED_VALUE"""),2)</f>
        <v>2</v>
      </c>
      <c r="AH170" s="27" t="str">
        <f ca="1">IFERROR(__xludf.DUMMYFUNCTION("""COMPUTED_VALUE"""),"Eventos/Ações para captação; Editais; Recursos próprios")</f>
        <v>Eventos/Ações para captação; Editais; Recursos próprios</v>
      </c>
      <c r="AI170" s="27">
        <f ca="1">IFERROR(__xludf.DUMMYFUNCTION("""COMPUTED_VALUE"""),40)</f>
        <v>40</v>
      </c>
      <c r="AJ170" s="27"/>
      <c r="AK170" s="27"/>
      <c r="AL170" s="21" t="str">
        <f ca="1">IFERROR(__xludf.DUMMYFUNCTION("""COMPUTED_VALUE"""),"0034P000045kxkk")</f>
        <v>0034P000045kxkk</v>
      </c>
      <c r="AM170" s="27" t="str">
        <f ca="1">IFERROR(__xludf.DUMMYFUNCTION("""COMPUTED_VALUE"""),"Emerson Dos Santos Batista")</f>
        <v>Emerson Dos Santos Batista</v>
      </c>
      <c r="AN170" s="27" t="str">
        <f ca="1">IFERROR(__xludf.DUMMYFUNCTION("""COMPUTED_VALUE"""),"Ativo")</f>
        <v>Ativo</v>
      </c>
      <c r="AO170" s="30">
        <f ca="1">IFERROR(__xludf.DUMMYFUNCTION("""COMPUTED_VALUE"""),44551)</f>
        <v>44551</v>
      </c>
      <c r="AP170" s="27">
        <f ca="1">IFERROR(__xludf.DUMMYFUNCTION("""COMPUTED_VALUE"""),9)</f>
        <v>9</v>
      </c>
      <c r="AQ170" s="27" t="str">
        <f ca="1">IFERROR(__xludf.DUMMYFUNCTION("""COMPUTED_VALUE"""),"Segundo Semestre 2021")</f>
        <v>Segundo Semestre 2021</v>
      </c>
      <c r="AR170" s="27" t="str">
        <f ca="1">IFERROR(__xludf.DUMMYFUNCTION("""COMPUTED_VALUE"""),"institutobatucarte@gmail.com")</f>
        <v>institutobatucarte@gmail.com</v>
      </c>
      <c r="AS170" s="27" t="str">
        <f ca="1">IFERROR(__xludf.DUMMYFUNCTION("""COMPUTED_VALUE"""),"(31)99372-1401")</f>
        <v>(31)99372-1401</v>
      </c>
      <c r="AT170" s="29">
        <f ca="1">IFERROR(__xludf.DUMMYFUNCTION("""COMPUTED_VALUE"""),32621)</f>
        <v>32621</v>
      </c>
      <c r="AU170" s="27">
        <f ca="1">IFERROR(__xludf.DUMMYFUNCTION("""COMPUTED_VALUE"""),33)</f>
        <v>33</v>
      </c>
      <c r="AV170" s="27">
        <f ca="1">IFERROR(__xludf.DUMMYFUNCTION("""COMPUTED_VALUE"""),8806327631)</f>
        <v>8806327631</v>
      </c>
      <c r="AW170" s="27" t="str">
        <f ca="1">IFERROR(__xludf.DUMMYFUNCTION("""COMPUTED_VALUE"""),"Mg15598049")</f>
        <v>Mg15598049</v>
      </c>
      <c r="AX170" s="27"/>
      <c r="AY170" s="27"/>
      <c r="AZ170" s="27" t="str">
        <f ca="1">IFERROR(__xludf.DUMMYFUNCTION("""COMPUTED_VALUE"""),"GG")</f>
        <v>GG</v>
      </c>
      <c r="BA170" s="27" t="str">
        <f ca="1">IFERROR(__xludf.DUMMYFUNCTION("""COMPUTED_VALUE"""),"Preta")</f>
        <v>Preta</v>
      </c>
      <c r="BB170" s="27" t="str">
        <f ca="1">IFERROR(__xludf.DUMMYFUNCTION("""COMPUTED_VALUE"""),"Homem, cisgênero")</f>
        <v>Homem, cisgênero</v>
      </c>
      <c r="BC170" s="27" t="str">
        <f ca="1">IFERROR(__xludf.DUMMYFUNCTION("""COMPUTED_VALUE"""),"Não")</f>
        <v>Não</v>
      </c>
      <c r="BD170" s="27" t="str">
        <f ca="1">IFERROR(__xludf.DUMMYFUNCTION("""COMPUTED_VALUE"""),"Sou gleison morador de nova contagem/contagem Mg sou o filho mais novo de uma família de 4 irmãos onde a minha mãe sempre lutou para dar o seu melhor pra nós..
Com 15 anos comecei a participar de projetos  na minha comunidade, com 18 anos comecei a minist"&amp;"rar oficina de Percussão com crianças e adolescentes ..")</f>
        <v>Sou gleison morador de nova contagem/contagem Mg sou o filho mais novo de uma família de 4 irmãos onde a minha mãe sempre lutou para dar o seu melhor pra nós..
Com 15 anos comecei a participar de projetos  na minha comunidade, com 18 anos comecei a ministrar oficina de Percussão com crianças e adolescentes ..</v>
      </c>
      <c r="BE170" s="27"/>
      <c r="BF170" s="27" t="str">
        <f ca="1">IFERROR(__xludf.DUMMYFUNCTION("""COMPUTED_VALUE"""),"Heterossexual")</f>
        <v>Heterossexual</v>
      </c>
      <c r="BG170" s="27" t="str">
        <f ca="1">IFERROR(__xludf.DUMMYFUNCTION("""COMPUTED_VALUE"""),"Ensino Médio - Completo")</f>
        <v>Ensino Médio - Completo</v>
      </c>
      <c r="BH170" s="27" t="str">
        <f ca="1">IFERROR(__xludf.DUMMYFUNCTION("""COMPUTED_VALUE"""),"Pública")</f>
        <v>Pública</v>
      </c>
      <c r="BI170" s="27"/>
      <c r="BJ170" s="27"/>
      <c r="BK170" s="27" t="str">
        <f ca="1">IFERROR(__xludf.DUMMYFUNCTION("""COMPUTED_VALUE"""),"Rua vl 17")</f>
        <v>Rua vl 17</v>
      </c>
      <c r="BL170" s="27">
        <f ca="1">IFERROR(__xludf.DUMMYFUNCTION("""COMPUTED_VALUE"""),1486)</f>
        <v>1486</v>
      </c>
      <c r="BM170" s="27"/>
      <c r="BN170" s="27" t="str">
        <f ca="1">IFERROR(__xludf.DUMMYFUNCTION("""COMPUTED_VALUE"""),"Contagem")</f>
        <v>Contagem</v>
      </c>
      <c r="BO170" s="27" t="str">
        <f ca="1">IFERROR(__xludf.DUMMYFUNCTION("""COMPUTED_VALUE"""),"32050-250")</f>
        <v>32050-250</v>
      </c>
      <c r="BP170" s="27" t="str">
        <f ca="1">IFERROR(__xludf.DUMMYFUNCTION("""COMPUTED_VALUE"""),"MG")</f>
        <v>MG</v>
      </c>
      <c r="BQ170" s="27" t="str">
        <f ca="1">IFERROR(__xludf.DUMMYFUNCTION("""COMPUTED_VALUE"""),"Entre 1 até 3 salários mínimos")</f>
        <v>Entre 1 até 3 salários mínimos</v>
      </c>
      <c r="BR170" s="27" t="str">
        <f ca="1">IFERROR(__xludf.DUMMYFUNCTION("""COMPUTED_VALUE"""),"CLT; MEI")</f>
        <v>CLT; MEI</v>
      </c>
      <c r="BS170" s="27" t="str">
        <f ca="1">IFERROR(__xludf.DUMMYFUNCTION("""COMPUTED_VALUE"""),"Casa própria")</f>
        <v>Casa própria</v>
      </c>
      <c r="BT170" s="27">
        <f ca="1">IFERROR(__xludf.DUMMYFUNCTION("""COMPUTED_VALUE"""),4)</f>
        <v>4</v>
      </c>
      <c r="BU170" s="27" t="str">
        <f ca="1">IFERROR(__xludf.DUMMYFUNCTION("""COMPUTED_VALUE"""),"Não tem")</f>
        <v>Não tem</v>
      </c>
      <c r="BV170" s="27"/>
      <c r="BW170" s="27" t="str">
        <f ca="1">IFERROR(__xludf.DUMMYFUNCTION("""COMPUTED_VALUE"""),"Não tenho")</f>
        <v>Não tenho</v>
      </c>
      <c r="BX170" s="27" t="str">
        <f ca="1">IFERROR(__xludf.DUMMYFUNCTION("""COMPUTED_VALUE"""),"@gleison_emerson")</f>
        <v>@gleison_emerson</v>
      </c>
      <c r="BY170" s="21" t="str">
        <f ca="1">IFERROR(__xludf.DUMMYFUNCTION("""COMPUTED_VALUE"""),"https://drive.google.com/open?id=1o9uKn8ORtRdt8GhbwSLK3vvafQ80I8hi")</f>
        <v>https://drive.google.com/open?id=1o9uKn8ORtRdt8GhbwSLK3vvafQ80I8hi</v>
      </c>
    </row>
    <row r="171" spans="1:77" ht="12.5" hidden="1" x14ac:dyDescent="0.25">
      <c r="A171" s="21" t="str">
        <f ca="1">IFERROR(__xludf.DUMMYFUNCTION("""COMPUTED_VALUE"""),"0014X00002VKCtXQAX")</f>
        <v>0014X00002VKCtXQAX</v>
      </c>
      <c r="B171" s="27" t="str">
        <f ca="1">IFERROR(__xludf.DUMMYFUNCTION("""COMPUTED_VALUE"""),"Fase Inicial")</f>
        <v>Fase Inicial</v>
      </c>
      <c r="C171" s="27" t="str">
        <f ca="1">IFERROR(__xludf.DUMMYFUNCTION("""COMPUTED_VALUE"""),"Fellow")</f>
        <v>Fellow</v>
      </c>
      <c r="D171" s="27" t="str">
        <f ca="1">IFERROR(__xludf.DUMMYFUNCTION("""COMPUTED_VALUE"""),"Ativo")</f>
        <v>Ativo</v>
      </c>
      <c r="E171" s="27" t="str">
        <f ca="1">IFERROR(__xludf.DUMMYFUNCTION("""COMPUTED_VALUE"""),"Berimbau hostel e cozinha artesanal")</f>
        <v>Berimbau hostel e cozinha artesanal</v>
      </c>
      <c r="F171" s="27" t="str">
        <f ca="1">IFERROR(__xludf.DUMMYFUNCTION("""COMPUTED_VALUE"""),"Maria")</f>
        <v>Maria</v>
      </c>
      <c r="G171" s="27" t="str">
        <f ca="1">IFERROR(__xludf.DUMMYFUNCTION("""COMPUTED_VALUE"""),"AS CORES DA VILA")</f>
        <v>AS CORES DA VILA</v>
      </c>
      <c r="H171" s="27" t="str">
        <f ca="1">IFERROR(__xludf.DUMMYFUNCTION("""COMPUTED_VALUE"""),"30.118.927/0001-91")</f>
        <v>30.118.927/0001-91</v>
      </c>
      <c r="I171" s="27" t="str">
        <f ca="1">IFERROR(__xludf.DUMMYFUNCTION("""COMPUTED_VALUE"""),"Tuany Franciele Lopes de Oliveira")</f>
        <v>Tuany Franciele Lopes de Oliveira</v>
      </c>
      <c r="J171" s="27" t="str">
        <f ca="1">IFERROR(__xludf.DUMMYFUNCTION("""COMPUTED_VALUE"""),"tuanyadmtransmutar@gmail.com")</f>
        <v>tuanyadmtransmutar@gmail.com</v>
      </c>
      <c r="K171" s="27" t="str">
        <f ca="1">IFERROR(__xludf.DUMMYFUNCTION("""COMPUTED_VALUE"""),"(11)98852-4918")</f>
        <v>(11)98852-4918</v>
      </c>
      <c r="L171" s="27" t="str">
        <f ca="1">IFERROR(__xludf.DUMMYFUNCTION("""COMPUTED_VALUE"""),"SP")</f>
        <v>SP</v>
      </c>
      <c r="M171" s="27" t="str">
        <f ca="1">IFERROR(__xludf.DUMMYFUNCTION("""COMPUTED_VALUE"""),"Rua Jose Greff Borba")</f>
        <v>Rua Jose Greff Borba</v>
      </c>
      <c r="N171" s="27" t="str">
        <f ca="1">IFERROR(__xludf.DUMMYFUNCTION("""COMPUTED_VALUE"""),"parque santa rita")</f>
        <v>parque santa rita</v>
      </c>
      <c r="O171" s="27">
        <f ca="1">IFERROR(__xludf.DUMMYFUNCTION("""COMPUTED_VALUE"""),63)</f>
        <v>63</v>
      </c>
      <c r="P171" s="27" t="str">
        <f ca="1">IFERROR(__xludf.DUMMYFUNCTION("""COMPUTED_VALUE"""),"São Paulo")</f>
        <v>São Paulo</v>
      </c>
      <c r="Q171" s="27" t="str">
        <f ca="1">IFERROR(__xludf.DUMMYFUNCTION("""COMPUTED_VALUE"""),"Endereço espaço cultural aonde acontece as oficinas")</f>
        <v>Endereço espaço cultural aonde acontece as oficinas</v>
      </c>
      <c r="R171" s="27" t="str">
        <f ca="1">IFERROR(__xludf.DUMMYFUNCTION("""COMPUTED_VALUE"""),"08150-130")</f>
        <v>08150-130</v>
      </c>
      <c r="S171" s="27" t="str">
        <f ca="1">IFERROR(__xludf.DUMMYFUNCTION("""COMPUTED_VALUE"""),"itaim,Curuça,Miragaia,Nazare,Ype,Aguas Vermelhas")</f>
        <v>itaim,Curuça,Miragaia,Nazare,Ype,Aguas Vermelhas</v>
      </c>
      <c r="T171" s="27"/>
      <c r="U171" s="27" t="str">
        <f ca="1">IFERROR(__xludf.DUMMYFUNCTION("""COMPUTED_VALUE"""),"Crianças pequenas (4 anos a 5 anos e 11 meses), Crianças (6 a 12 anos), Adolescentes (12 aos 18 anos)")</f>
        <v>Crianças pequenas (4 anos a 5 anos e 11 meses), Crianças (6 a 12 anos), Adolescentes (12 aos 18 anos)</v>
      </c>
      <c r="V171" s="27" t="str">
        <f ca="1">IFERROR(__xludf.DUMMYFUNCTION("""COMPUTED_VALUE"""),"Moradores de Favelas, Outros")</f>
        <v>Moradores de Favelas, Outros</v>
      </c>
      <c r="W171" s="27">
        <f ca="1">IFERROR(__xludf.DUMMYFUNCTION("""COMPUTED_VALUE"""),5)</f>
        <v>5</v>
      </c>
      <c r="X171" s="27"/>
      <c r="Y171" s="27"/>
      <c r="Z171" s="27">
        <f ca="1">IFERROR(__xludf.DUMMYFUNCTION("""COMPUTED_VALUE"""),0)</f>
        <v>0</v>
      </c>
      <c r="AA171" s="29">
        <f ca="1">IFERROR(__xludf.DUMMYFUNCTION("""COMPUTED_VALUE"""),43140)</f>
        <v>43140</v>
      </c>
      <c r="AB171" s="27" t="str">
        <f ca="1">IFERROR(__xludf.DUMMYFUNCTION("""COMPUTED_VALUE"""),"Não")</f>
        <v>Não</v>
      </c>
      <c r="AC171" s="27">
        <f ca="1">IFERROR(__xludf.DUMMYFUNCTION("""COMPUTED_VALUE"""),0)</f>
        <v>0</v>
      </c>
      <c r="AD171" s="27">
        <f ca="1">IFERROR(__xludf.DUMMYFUNCTION("""COMPUTED_VALUE"""),0)</f>
        <v>0</v>
      </c>
      <c r="AE171" s="27">
        <f ca="1">IFERROR(__xludf.DUMMYFUNCTION("""COMPUTED_VALUE"""),6)</f>
        <v>6</v>
      </c>
      <c r="AF171" s="27">
        <f ca="1">IFERROR(__xludf.DUMMYFUNCTION("""COMPUTED_VALUE"""),0)</f>
        <v>0</v>
      </c>
      <c r="AG171" s="27">
        <f ca="1">IFERROR(__xludf.DUMMYFUNCTION("""COMPUTED_VALUE"""),2)</f>
        <v>2</v>
      </c>
      <c r="AH171" s="27" t="str">
        <f ca="1">IFERROR(__xludf.DUMMYFUNCTION("""COMPUTED_VALUE"""),"Outro(s), Recursos próprios")</f>
        <v>Outro(s), Recursos próprios</v>
      </c>
      <c r="AI171" s="27">
        <f ca="1">IFERROR(__xludf.DUMMYFUNCTION("""COMPUTED_VALUE"""),0)</f>
        <v>0</v>
      </c>
      <c r="AJ171" s="27" t="str">
        <f ca="1">IFERROR(__xludf.DUMMYFUNCTION("""COMPUTED_VALUE"""),"Vamos iniciar esse ano")</f>
        <v>Vamos iniciar esse ano</v>
      </c>
      <c r="AK171" s="27"/>
      <c r="AL171" s="21" t="str">
        <f ca="1">IFERROR(__xludf.DUMMYFUNCTION("""COMPUTED_VALUE"""),"0034X0000380O3j")</f>
        <v>0034X0000380O3j</v>
      </c>
      <c r="AM171" s="27" t="str">
        <f ca="1">IFERROR(__xludf.DUMMYFUNCTION("""COMPUTED_VALUE"""),"Da natividade gomes passos")</f>
        <v>Da natividade gomes passos</v>
      </c>
      <c r="AN171" s="27" t="str">
        <f ca="1">IFERROR(__xludf.DUMMYFUNCTION("""COMPUTED_VALUE"""),"Ativo")</f>
        <v>Ativo</v>
      </c>
      <c r="AO171" s="29">
        <f ca="1">IFERROR(__xludf.DUMMYFUNCTION("""COMPUTED_VALUE"""),44763)</f>
        <v>44763</v>
      </c>
      <c r="AP171" s="27">
        <f ca="1">IFERROR(__xludf.DUMMYFUNCTION("""COMPUTED_VALUE"""),2)</f>
        <v>2</v>
      </c>
      <c r="AQ171" s="27" t="str">
        <f ca="1">IFERROR(__xludf.DUMMYFUNCTION("""COMPUTED_VALUE"""),"Primeiro Semestre 2022")</f>
        <v>Primeiro Semestre 2022</v>
      </c>
      <c r="AR171" s="27" t="str">
        <f ca="1">IFERROR(__xludf.DUMMYFUNCTION("""COMPUTED_VALUE"""),"nathypassosykamiabas@gmail.com")</f>
        <v>nathypassosykamiabas@gmail.com</v>
      </c>
      <c r="AS171" s="27">
        <f ca="1">IFERROR(__xludf.DUMMYFUNCTION("""COMPUTED_VALUE"""),84991364195)</f>
        <v>84991364195</v>
      </c>
      <c r="AT171" s="29">
        <f ca="1">IFERROR(__xludf.DUMMYFUNCTION("""COMPUTED_VALUE"""),22778)</f>
        <v>22778</v>
      </c>
      <c r="AU171" s="27">
        <f ca="1">IFERROR(__xludf.DUMMYFUNCTION("""COMPUTED_VALUE"""),60)</f>
        <v>60</v>
      </c>
      <c r="AV171" s="27">
        <f ca="1">IFERROR(__xludf.DUMMYFUNCTION("""COMPUTED_VALUE"""),16027019204)</f>
        <v>16027019204</v>
      </c>
      <c r="AW171" s="27">
        <f ca="1">IFERROR(__xludf.DUMMYFUNCTION("""COMPUTED_VALUE"""),2115394)</f>
        <v>2115394</v>
      </c>
      <c r="AX171" s="27"/>
      <c r="AY171" s="27"/>
      <c r="AZ171" s="27" t="str">
        <f ca="1">IFERROR(__xludf.DUMMYFUNCTION("""COMPUTED_VALUE"""),"G")</f>
        <v>G</v>
      </c>
      <c r="BA171" s="27" t="str">
        <f ca="1">IFERROR(__xludf.DUMMYFUNCTION("""COMPUTED_VALUE"""),"Indígena")</f>
        <v>Indígena</v>
      </c>
      <c r="BB171" s="27"/>
      <c r="BC171" s="27"/>
      <c r="BD171" s="27" t="str">
        <f ca="1">IFERROR(__xludf.DUMMYFUNCTION("""COMPUTED_VALUE"""),"Artista multimídia *ativista social*coordenadora de Desenvolvimento Institucional do Gacc-RN* produtora de conteúdo de audiovisual * idealizadora do projeto As cores da Vila*que utiliza a arte do grafite como ferramenta de social de mudança para melhoria "&amp;"do território* como empreendedora mantemos  Berimbau hostel social que tem como propósito um turismo popular inclusivo e social.")</f>
        <v>Artista multimídia *ativista social*coordenadora de Desenvolvimento Institucional do Gacc-RN* produtora de conteúdo de audiovisual * idealizadora do projeto As cores da Vila*que utiliza a arte do grafite como ferramenta de social de mudança para melhoria do território* como empreendedora mantemos  Berimbau hostel social que tem como propósito um turismo popular inclusivo e social.</v>
      </c>
      <c r="BE171" s="27" t="str">
        <f ca="1">IFERROR(__xludf.DUMMYFUNCTION("""COMPUTED_VALUE"""),"Feminino")</f>
        <v>Feminino</v>
      </c>
      <c r="BF171" s="27" t="str">
        <f ca="1">IFERROR(__xludf.DUMMYFUNCTION("""COMPUTED_VALUE"""),"Heterossexual")</f>
        <v>Heterossexual</v>
      </c>
      <c r="BG171" s="27"/>
      <c r="BH171" s="27" t="str">
        <f ca="1">IFERROR(__xludf.DUMMYFUNCTION("""COMPUTED_VALUE"""),"Público")</f>
        <v>Público</v>
      </c>
      <c r="BI171" s="27" t="str">
        <f ca="1">IFERROR(__xludf.DUMMYFUNCTION("""COMPUTED_VALUE"""),"Pós-Graduação")</f>
        <v>Pós-Graduação</v>
      </c>
      <c r="BJ171" s="27" t="str">
        <f ca="1">IFERROR(__xludf.DUMMYFUNCTION("""COMPUTED_VALUE"""),"Público")</f>
        <v>Público</v>
      </c>
      <c r="BK171" s="27" t="str">
        <f ca="1">IFERROR(__xludf.DUMMYFUNCTION("""COMPUTED_VALUE"""),"Rua do Currupio")</f>
        <v>Rua do Currupio</v>
      </c>
      <c r="BL171" s="27">
        <f ca="1">IFERROR(__xludf.DUMMYFUNCTION("""COMPUTED_VALUE"""),210)</f>
        <v>210</v>
      </c>
      <c r="BM171" s="27"/>
      <c r="BN171" s="27"/>
      <c r="BO171" s="27">
        <f ca="1">IFERROR(__xludf.DUMMYFUNCTION("""COMPUTED_VALUE"""),59090470)</f>
        <v>59090470</v>
      </c>
      <c r="BP171" s="27" t="str">
        <f ca="1">IFERROR(__xludf.DUMMYFUNCTION("""COMPUTED_VALUE"""),"RN")</f>
        <v>RN</v>
      </c>
      <c r="BQ171" s="27" t="str">
        <f ca="1">IFERROR(__xludf.DUMMYFUNCTION("""COMPUTED_VALUE"""),"Entre 1 até 3 salários mínimos")</f>
        <v>Entre 1 até 3 salários mínimos</v>
      </c>
      <c r="BR171" s="27" t="str">
        <f ca="1">IFERROR(__xludf.DUMMYFUNCTION("""COMPUTED_VALUE"""),"CLT")</f>
        <v>CLT</v>
      </c>
      <c r="BS171" s="27" t="str">
        <f ca="1">IFERROR(__xludf.DUMMYFUNCTION("""COMPUTED_VALUE"""),"Casa própria")</f>
        <v>Casa própria</v>
      </c>
      <c r="BT171" s="27">
        <f ca="1">IFERROR(__xludf.DUMMYFUNCTION("""COMPUTED_VALUE"""),3)</f>
        <v>3</v>
      </c>
      <c r="BU171" s="27"/>
      <c r="BV171" s="27" t="str">
        <f ca="1">IFERROR(__xludf.DUMMYFUNCTION("""COMPUTED_VALUE"""),"Não")</f>
        <v>Não</v>
      </c>
      <c r="BW171" s="27"/>
      <c r="BX171" s="21" t="str">
        <f ca="1">IFERROR(__xludf.DUMMYFUNCTION("""COMPUTED_VALUE"""),"https://instagram.com/nathypassos_5?utm_medium=copy_link")</f>
        <v>https://instagram.com/nathypassos_5?utm_medium=copy_link</v>
      </c>
      <c r="BY171" s="21" t="str">
        <f ca="1">IFERROR(__xludf.DUMMYFUNCTION("""COMPUTED_VALUE"""),"https://drive.google.com/open?id=1vdxL8wC3TC9OQui2Gob5g8VgAYtPcmf2")</f>
        <v>https://drive.google.com/open?id=1vdxL8wC3TC9OQui2Gob5g8VgAYtPcmf2</v>
      </c>
    </row>
    <row r="172" spans="1:77" ht="12.5" hidden="1" x14ac:dyDescent="0.25">
      <c r="A172" s="21" t="str">
        <f ca="1">IFERROR(__xludf.DUMMYFUNCTION("""COMPUTED_VALUE"""),"0014X00002VKCqJQAX")</f>
        <v>0014X00002VKCqJQAX</v>
      </c>
      <c r="B172" s="27" t="str">
        <f ca="1">IFERROR(__xludf.DUMMYFUNCTION("""COMPUTED_VALUE"""),"Fase Inicial")</f>
        <v>Fase Inicial</v>
      </c>
      <c r="C172" s="27" t="str">
        <f ca="1">IFERROR(__xludf.DUMMYFUNCTION("""COMPUTED_VALUE"""),"Fellow")</f>
        <v>Fellow</v>
      </c>
      <c r="D172" s="27" t="str">
        <f ca="1">IFERROR(__xludf.DUMMYFUNCTION("""COMPUTED_VALUE"""),"Ativo")</f>
        <v>Ativo</v>
      </c>
      <c r="E172" s="27" t="str">
        <f ca="1">IFERROR(__xludf.DUMMYFUNCTION("""COMPUTED_VALUE"""),"Biblioteca Comunitária Espaço Literário Livro Livre")</f>
        <v>Biblioteca Comunitária Espaço Literário Livro Livre</v>
      </c>
      <c r="F172" s="27" t="str">
        <f ca="1">IFERROR(__xludf.DUMMYFUNCTION("""COMPUTED_VALUE"""),"Maria")</f>
        <v>Maria</v>
      </c>
      <c r="G172" s="27" t="str">
        <f ca="1">IFERROR(__xludf.DUMMYFUNCTION("""COMPUTED_VALUE"""),"ESPAÇO LITERÁRIO LIVRO LIVRE")</f>
        <v>ESPAÇO LITERÁRIO LIVRO LIVRE</v>
      </c>
      <c r="H172" s="27"/>
      <c r="I172" s="27" t="str">
        <f ca="1">IFERROR(__xludf.DUMMYFUNCTION("""COMPUTED_VALUE"""),"Maria Valdete Lemos Rodrigues")</f>
        <v>Maria Valdete Lemos Rodrigues</v>
      </c>
      <c r="J172" s="27" t="str">
        <f ca="1">IFERROR(__xludf.DUMMYFUNCTION("""COMPUTED_VALUE"""),"mariasinstituto@gmail.com")</f>
        <v>mariasinstituto@gmail.com</v>
      </c>
      <c r="K172" s="27" t="str">
        <f ca="1">IFERROR(__xludf.DUMMYFUNCTION("""COMPUTED_VALUE"""),"(85)98907-3199")</f>
        <v>(85)98907-3199</v>
      </c>
      <c r="L172" s="27" t="str">
        <f ca="1">IFERROR(__xludf.DUMMYFUNCTION("""COMPUTED_VALUE"""),"CE")</f>
        <v>CE</v>
      </c>
      <c r="M172" s="27" t="str">
        <f ca="1">IFERROR(__xludf.DUMMYFUNCTION("""COMPUTED_VALUE"""),"Antonio Santiago")</f>
        <v>Antonio Santiago</v>
      </c>
      <c r="N172" s="27" t="str">
        <f ca="1">IFERROR(__xludf.DUMMYFUNCTION("""COMPUTED_VALUE"""),"Santa Luzia")</f>
        <v>Santa Luzia</v>
      </c>
      <c r="O172" s="27">
        <f ca="1">IFERROR(__xludf.DUMMYFUNCTION("""COMPUTED_VALUE"""),1814)</f>
        <v>1814</v>
      </c>
      <c r="P172" s="27" t="str">
        <f ca="1">IFERROR(__xludf.DUMMYFUNCTION("""COMPUTED_VALUE"""),"Canindé")</f>
        <v>Canindé</v>
      </c>
      <c r="Q172" s="27" t="str">
        <f ca="1">IFERROR(__xludf.DUMMYFUNCTION("""COMPUTED_VALUE"""),"Casa1")</f>
        <v>Casa1</v>
      </c>
      <c r="R172" s="27" t="str">
        <f ca="1">IFERROR(__xludf.DUMMYFUNCTION("""COMPUTED_VALUE"""),"62700-000")</f>
        <v>62700-000</v>
      </c>
      <c r="S172" s="27" t="str">
        <f ca="1">IFERROR(__xludf.DUMMYFUNCTION("""COMPUTED_VALUE"""),"Ainda não")</f>
        <v>Ainda não</v>
      </c>
      <c r="T172" s="27"/>
      <c r="U172" s="27" t="str">
        <f ca="1">IFERROR(__xludf.DUMMYFUNCTION("""COMPUTED_VALUE"""),"Crianças (6 a 12 anos), Adolescentes (12 aos 18 anos), Jovens (18 aos 24 anos)")</f>
        <v>Crianças (6 a 12 anos), Adolescentes (12 aos 18 anos), Jovens (18 aos 24 anos)</v>
      </c>
      <c r="V172" s="27" t="str">
        <f ca="1">IFERROR(__xludf.DUMMYFUNCTION("""COMPUTED_VALUE"""),"Moradores de Favelas, Povos Indígenas, Comunidade rural")</f>
        <v>Moradores de Favelas, Povos Indígenas, Comunidade rural</v>
      </c>
      <c r="W172" s="27">
        <f ca="1">IFERROR(__xludf.DUMMYFUNCTION("""COMPUTED_VALUE"""),1)</f>
        <v>1</v>
      </c>
      <c r="X172" s="27"/>
      <c r="Y172" s="27"/>
      <c r="Z172" s="27">
        <f ca="1">IFERROR(__xludf.DUMMYFUNCTION("""COMPUTED_VALUE"""),4)</f>
        <v>4</v>
      </c>
      <c r="AA172" s="29">
        <f ca="1">IFERROR(__xludf.DUMMYFUNCTION("""COMPUTED_VALUE"""),44341)</f>
        <v>44341</v>
      </c>
      <c r="AB172" s="27" t="str">
        <f ca="1">IFERROR(__xludf.DUMMYFUNCTION("""COMPUTED_VALUE"""),"Não")</f>
        <v>Não</v>
      </c>
      <c r="AC172" s="27">
        <f ca="1">IFERROR(__xludf.DUMMYFUNCTION("""COMPUTED_VALUE"""),0)</f>
        <v>0</v>
      </c>
      <c r="AD172" s="27">
        <f ca="1">IFERROR(__xludf.DUMMYFUNCTION("""COMPUTED_VALUE"""),2)</f>
        <v>2</v>
      </c>
      <c r="AE172" s="27">
        <f ca="1">IFERROR(__xludf.DUMMYFUNCTION("""COMPUTED_VALUE"""),5)</f>
        <v>5</v>
      </c>
      <c r="AF172" s="27">
        <f ca="1">IFERROR(__xludf.DUMMYFUNCTION("""COMPUTED_VALUE"""),2)</f>
        <v>2</v>
      </c>
      <c r="AG172" s="27">
        <f ca="1">IFERROR(__xludf.DUMMYFUNCTION("""COMPUTED_VALUE"""),3)</f>
        <v>3</v>
      </c>
      <c r="AH172" s="27" t="str">
        <f ca="1">IFERROR(__xludf.DUMMYFUNCTION("""COMPUTED_VALUE"""),"Doações, Recursos próprios")</f>
        <v>Doações, Recursos próprios</v>
      </c>
      <c r="AI172" s="27" t="str">
        <f ca="1">IFERROR(__xludf.DUMMYFUNCTION("""COMPUTED_VALUE"""),"70% doações - 30% recursos próprios")</f>
        <v>70% doações - 30% recursos próprios</v>
      </c>
      <c r="AJ172" s="27" t="str">
        <f ca="1">IFERROR(__xludf.DUMMYFUNCTION("""COMPUTED_VALUE"""),"Não")</f>
        <v>Não</v>
      </c>
      <c r="AK172" s="27"/>
      <c r="AL172" s="21" t="str">
        <f ca="1">IFERROR(__xludf.DUMMYFUNCTION("""COMPUTED_VALUE"""),"0034X0000380O3S")</f>
        <v>0034X0000380O3S</v>
      </c>
      <c r="AM172" s="27" t="str">
        <f ca="1">IFERROR(__xludf.DUMMYFUNCTION("""COMPUTED_VALUE"""),"Valdete lemos rodrigues")</f>
        <v>Valdete lemos rodrigues</v>
      </c>
      <c r="AN172" s="27" t="str">
        <f ca="1">IFERROR(__xludf.DUMMYFUNCTION("""COMPUTED_VALUE"""),"Ativo")</f>
        <v>Ativo</v>
      </c>
      <c r="AO172" s="29">
        <f ca="1">IFERROR(__xludf.DUMMYFUNCTION("""COMPUTED_VALUE"""),44763)</f>
        <v>44763</v>
      </c>
      <c r="AP172" s="27">
        <f ca="1">IFERROR(__xludf.DUMMYFUNCTION("""COMPUTED_VALUE"""),2)</f>
        <v>2</v>
      </c>
      <c r="AQ172" s="27" t="str">
        <f ca="1">IFERROR(__xludf.DUMMYFUNCTION("""COMPUTED_VALUE"""),"Primeiro Semestre 2022")</f>
        <v>Primeiro Semestre 2022</v>
      </c>
      <c r="AR172" s="27" t="str">
        <f ca="1">IFERROR(__xludf.DUMMYFUNCTION("""COMPUTED_VALUE"""),"dudalemosproducao@gmail.com")</f>
        <v>dudalemosproducao@gmail.com</v>
      </c>
      <c r="AS172" s="27">
        <f ca="1">IFERROR(__xludf.DUMMYFUNCTION("""COMPUTED_VALUE"""),85999739931)</f>
        <v>85999739931</v>
      </c>
      <c r="AT172" s="30">
        <f ca="1">IFERROR(__xludf.DUMMYFUNCTION("""COMPUTED_VALUE"""),29571)</f>
        <v>29571</v>
      </c>
      <c r="AU172" s="27">
        <f ca="1">IFERROR(__xludf.DUMMYFUNCTION("""COMPUTED_VALUE"""),42)</f>
        <v>42</v>
      </c>
      <c r="AV172" s="27">
        <f ca="1">IFERROR(__xludf.DUMMYFUNCTION("""COMPUTED_VALUE"""),64704246353)</f>
        <v>64704246353</v>
      </c>
      <c r="AW172" s="27">
        <f ca="1">IFERROR(__xludf.DUMMYFUNCTION("""COMPUTED_VALUE"""),97002019747)</f>
        <v>97002019747</v>
      </c>
      <c r="AX172" s="27"/>
      <c r="AY172" s="27"/>
      <c r="AZ172" s="27" t="str">
        <f ca="1">IFERROR(__xludf.DUMMYFUNCTION("""COMPUTED_VALUE"""),"M")</f>
        <v>M</v>
      </c>
      <c r="BA172" s="27" t="str">
        <f ca="1">IFERROR(__xludf.DUMMYFUNCTION("""COMPUTED_VALUE"""),"Branca")</f>
        <v>Branca</v>
      </c>
      <c r="BB172" s="27"/>
      <c r="BC172" s="27"/>
      <c r="BD172" s="27" t="str">
        <f ca="1">IFERROR(__xludf.DUMMYFUNCTION("""COMPUTED_VALUE"""),"Estudante do Curso de Bacharelado em Turismo do IFCE* Produtora Cultural atuante no mercado desde 2007 com expressiva experiência em festivais culturais. Vem dedicando-se desde 2019 a desenvolver projetos socioculturais  para a região dos Serões de Canind"&amp;"é onde reside atualmente. 
Em 2021 fundou a primeira biblioteca comunitária da cidade e coordena as ações do espaço. Tem se dedicado a aprender gestão e elaboração de projetos.")</f>
        <v>Estudante do Curso de Bacharelado em Turismo do IFCE* Produtora Cultural atuante no mercado desde 2007 com expressiva experiência em festivais culturais. Vem dedicando-se desde 2019 a desenvolver projetos socioculturais  para a região dos Serões de Canindé onde reside atualmente. 
Em 2021 fundou a primeira biblioteca comunitária da cidade e coordena as ações do espaço. Tem se dedicado a aprender gestão e elaboração de projetos.</v>
      </c>
      <c r="BE172" s="27" t="str">
        <f ca="1">IFERROR(__xludf.DUMMYFUNCTION("""COMPUTED_VALUE"""),"Feminino")</f>
        <v>Feminino</v>
      </c>
      <c r="BF172" s="27" t="str">
        <f ca="1">IFERROR(__xludf.DUMMYFUNCTION("""COMPUTED_VALUE"""),"Homossexual")</f>
        <v>Homossexual</v>
      </c>
      <c r="BG172" s="27"/>
      <c r="BH172" s="27" t="str">
        <f ca="1">IFERROR(__xludf.DUMMYFUNCTION("""COMPUTED_VALUE"""),"Público")</f>
        <v>Público</v>
      </c>
      <c r="BI172" s="27" t="str">
        <f ca="1">IFERROR(__xludf.DUMMYFUNCTION("""COMPUTED_VALUE"""),"Graduação")</f>
        <v>Graduação</v>
      </c>
      <c r="BJ172" s="27" t="str">
        <f ca="1">IFERROR(__xludf.DUMMYFUNCTION("""COMPUTED_VALUE"""),"Público")</f>
        <v>Público</v>
      </c>
      <c r="BK172" s="27" t="str">
        <f ca="1">IFERROR(__xludf.DUMMYFUNCTION("""COMPUTED_VALUE"""),"Rua Antônio Santiago")</f>
        <v>Rua Antônio Santiago</v>
      </c>
      <c r="BL172" s="27">
        <f ca="1">IFERROR(__xludf.DUMMYFUNCTION("""COMPUTED_VALUE"""),1814)</f>
        <v>1814</v>
      </c>
      <c r="BM172" s="27"/>
      <c r="BN172" s="27"/>
      <c r="BO172" s="27">
        <f ca="1">IFERROR(__xludf.DUMMYFUNCTION("""COMPUTED_VALUE"""),62700000)</f>
        <v>62700000</v>
      </c>
      <c r="BP172" s="27" t="str">
        <f ca="1">IFERROR(__xludf.DUMMYFUNCTION("""COMPUTED_VALUE"""),"CE")</f>
        <v>CE</v>
      </c>
      <c r="BQ172" s="27" t="str">
        <f ca="1">IFERROR(__xludf.DUMMYFUNCTION("""COMPUTED_VALUE"""),"Entre 1 até 3 salários mínimos")</f>
        <v>Entre 1 até 3 salários mínimos</v>
      </c>
      <c r="BR172" s="27" t="str">
        <f ca="1">IFERROR(__xludf.DUMMYFUNCTION("""COMPUTED_VALUE"""),"Trabalho informal")</f>
        <v>Trabalho informal</v>
      </c>
      <c r="BS172" s="27" t="str">
        <f ca="1">IFERROR(__xludf.DUMMYFUNCTION("""COMPUTED_VALUE"""),"Aluguel")</f>
        <v>Aluguel</v>
      </c>
      <c r="BT172" s="27">
        <f ca="1">IFERROR(__xludf.DUMMYFUNCTION("""COMPUTED_VALUE"""),1)</f>
        <v>1</v>
      </c>
      <c r="BU172" s="27" t="str">
        <f ca="1">IFERROR(__xludf.DUMMYFUNCTION("""COMPUTED_VALUE"""),"Não tem")</f>
        <v>Não tem</v>
      </c>
      <c r="BV172" s="27" t="str">
        <f ca="1">IFERROR(__xludf.DUMMYFUNCTION("""COMPUTED_VALUE"""),"Não")</f>
        <v>Não</v>
      </c>
      <c r="BW172" s="21" t="str">
        <f ca="1">IFERROR(__xludf.DUMMYFUNCTION("""COMPUTED_VALUE"""),"https://www.linkedin.com/in/duda-lemos-264ab4115/")</f>
        <v>https://www.linkedin.com/in/duda-lemos-264ab4115/</v>
      </c>
      <c r="BX172" s="21" t="str">
        <f ca="1">IFERROR(__xludf.DUMMYFUNCTION("""COMPUTED_VALUE"""),"https://www.instagram.com/dudalemosce/")</f>
        <v>https://www.instagram.com/dudalemosce/</v>
      </c>
      <c r="BY172" s="21" t="str">
        <f ca="1">IFERROR(__xludf.DUMMYFUNCTION("""COMPUTED_VALUE"""),"https://drive.google.com/open?id=19YdOw9Sn-efnm--3BjtJ4miomfHQL2jt")</f>
        <v>https://drive.google.com/open?id=19YdOw9Sn-efnm--3BjtJ4miomfHQL2jt</v>
      </c>
    </row>
    <row r="173" spans="1:77" ht="12.5" hidden="1" x14ac:dyDescent="0.25">
      <c r="A173" s="21" t="str">
        <f ca="1">IFERROR(__xludf.DUMMYFUNCTION("""COMPUTED_VALUE"""),"0014P00003YSp80QAD")</f>
        <v>0014P00003YSp80QAD</v>
      </c>
      <c r="B173" s="27" t="str">
        <f ca="1">IFERROR(__xludf.DUMMYFUNCTION("""COMPUTED_VALUE"""),"Fase Inicial")</f>
        <v>Fase Inicial</v>
      </c>
      <c r="C173" s="27" t="str">
        <f ca="1">IFERROR(__xludf.DUMMYFUNCTION("""COMPUTED_VALUE"""),"Fellow")</f>
        <v>Fellow</v>
      </c>
      <c r="D173" s="27" t="str">
        <f ca="1">IFERROR(__xludf.DUMMYFUNCTION("""COMPUTED_VALUE"""),"Ativo")</f>
        <v>Ativo</v>
      </c>
      <c r="E173" s="27" t="str">
        <f ca="1">IFERROR(__xludf.DUMMYFUNCTION("""COMPUTED_VALUE"""),"Boa safra team")</f>
        <v>Boa safra team</v>
      </c>
      <c r="F173" s="27" t="str">
        <f ca="1">IFERROR(__xludf.DUMMYFUNCTION("""COMPUTED_VALUE"""),"Diogo")</f>
        <v>Diogo</v>
      </c>
      <c r="G173" s="27"/>
      <c r="H173" s="27"/>
      <c r="I173" s="27" t="str">
        <f ca="1">IFERROR(__xludf.DUMMYFUNCTION("""COMPUTED_VALUE"""),"Diogo")</f>
        <v>Diogo</v>
      </c>
      <c r="J173" s="27" t="str">
        <f ca="1">IFERROR(__xludf.DUMMYFUNCTION("""COMPUTED_VALUE"""),"bandockdiogo@gmail.com")</f>
        <v>bandockdiogo@gmail.com</v>
      </c>
      <c r="K173" s="27" t="str">
        <f ca="1">IFERROR(__xludf.DUMMYFUNCTION("""COMPUTED_VALUE"""),"(21)99030-0585")</f>
        <v>(21)99030-0585</v>
      </c>
      <c r="L173" s="27" t="str">
        <f ca="1">IFERROR(__xludf.DUMMYFUNCTION("""COMPUTED_VALUE"""),"RJ")</f>
        <v>RJ</v>
      </c>
      <c r="M173" s="27" t="str">
        <f ca="1">IFERROR(__xludf.DUMMYFUNCTION("""COMPUTED_VALUE"""),"Quadra do fogueteiro sem número")</f>
        <v>Quadra do fogueteiro sem número</v>
      </c>
      <c r="N173" s="27" t="str">
        <f ca="1">IFERROR(__xludf.DUMMYFUNCTION("""COMPUTED_VALUE"""),"Rio comprido")</f>
        <v>Rio comprido</v>
      </c>
      <c r="O173" s="27">
        <f ca="1">IFERROR(__xludf.DUMMYFUNCTION("""COMPUTED_VALUE"""),1)</f>
        <v>1</v>
      </c>
      <c r="P173" s="27" t="str">
        <f ca="1">IFERROR(__xludf.DUMMYFUNCTION("""COMPUTED_VALUE"""),"Rio de janeiro")</f>
        <v>Rio de janeiro</v>
      </c>
      <c r="Q173" s="27" t="str">
        <f ca="1">IFERROR(__xludf.DUMMYFUNCTION("""COMPUTED_VALUE"""),"Quadra do Fogueteiro travessa Marrocos")</f>
        <v>Quadra do Fogueteiro travessa Marrocos</v>
      </c>
      <c r="R173" s="27" t="str">
        <f ca="1">IFERROR(__xludf.DUMMYFUNCTION("""COMPUTED_VALUE"""),"20251-060")</f>
        <v>20251-060</v>
      </c>
      <c r="S173" s="27"/>
      <c r="T173" s="27" t="str">
        <f ca="1">IFERROR(__xludf.DUMMYFUNCTION("""COMPUTED_VALUE"""),"Esporte")</f>
        <v>Esporte</v>
      </c>
      <c r="U173"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173" s="27" t="str">
        <f ca="1">IFERROR(__xludf.DUMMYFUNCTION("""COMPUTED_VALUE"""),"Moradores de Favelas")</f>
        <v>Moradores de Favelas</v>
      </c>
      <c r="W173" s="27">
        <f ca="1">IFERROR(__xludf.DUMMYFUNCTION("""COMPUTED_VALUE"""),4)</f>
        <v>4</v>
      </c>
      <c r="X173" s="27"/>
      <c r="Y173" s="27"/>
      <c r="Z173" s="27">
        <f ca="1">IFERROR(__xludf.DUMMYFUNCTION("""COMPUTED_VALUE"""),150)</f>
        <v>150</v>
      </c>
      <c r="AA173" s="30">
        <f ca="1">IFERROR(__xludf.DUMMYFUNCTION("""COMPUTED_VALUE"""),42653)</f>
        <v>42653</v>
      </c>
      <c r="AB173" s="27" t="str">
        <f ca="1">IFERROR(__xludf.DUMMYFUNCTION("""COMPUTED_VALUE"""),"Não")</f>
        <v>Não</v>
      </c>
      <c r="AC173" s="27">
        <f ca="1">IFERROR(__xludf.DUMMYFUNCTION("""COMPUTED_VALUE"""),1)</f>
        <v>1</v>
      </c>
      <c r="AD173" s="27">
        <f ca="1">IFERROR(__xludf.DUMMYFUNCTION("""COMPUTED_VALUE"""),2)</f>
        <v>2</v>
      </c>
      <c r="AE173" s="27">
        <f ca="1">IFERROR(__xludf.DUMMYFUNCTION("""COMPUTED_VALUE"""),3)</f>
        <v>3</v>
      </c>
      <c r="AF173" s="27">
        <f ca="1">IFERROR(__xludf.DUMMYFUNCTION("""COMPUTED_VALUE"""),3)</f>
        <v>3</v>
      </c>
      <c r="AG173" s="27">
        <f ca="1">IFERROR(__xludf.DUMMYFUNCTION("""COMPUTED_VALUE"""),2)</f>
        <v>2</v>
      </c>
      <c r="AH173" s="27" t="str">
        <f ca="1">IFERROR(__xludf.DUMMYFUNCTION("""COMPUTED_VALUE"""),"Parceria iniciativa privada; Doações")</f>
        <v>Parceria iniciativa privada; Doações</v>
      </c>
      <c r="AI173" s="27" t="str">
        <f ca="1">IFERROR(__xludf.DUMMYFUNCTION("""COMPUTED_VALUE"""),"Não")</f>
        <v>Não</v>
      </c>
      <c r="AJ173" s="27"/>
      <c r="AK173" s="27"/>
      <c r="AL173" s="21" t="str">
        <f ca="1">IFERROR(__xludf.DUMMYFUNCTION("""COMPUTED_VALUE"""),"0034P000045kxib")</f>
        <v>0034P000045kxib</v>
      </c>
      <c r="AM173" s="27" t="str">
        <f ca="1">IFERROR(__xludf.DUMMYFUNCTION("""COMPUTED_VALUE"""),"Ferreira De Alcântara")</f>
        <v>Ferreira De Alcântara</v>
      </c>
      <c r="AN173" s="27" t="str">
        <f ca="1">IFERROR(__xludf.DUMMYFUNCTION("""COMPUTED_VALUE"""),"Ativo")</f>
        <v>Ativo</v>
      </c>
      <c r="AO173" s="30">
        <f ca="1">IFERROR(__xludf.DUMMYFUNCTION("""COMPUTED_VALUE"""),44551)</f>
        <v>44551</v>
      </c>
      <c r="AP173" s="27">
        <f ca="1">IFERROR(__xludf.DUMMYFUNCTION("""COMPUTED_VALUE"""),9)</f>
        <v>9</v>
      </c>
      <c r="AQ173" s="27" t="str">
        <f ca="1">IFERROR(__xludf.DUMMYFUNCTION("""COMPUTED_VALUE"""),"Segundo Semestre 2021")</f>
        <v>Segundo Semestre 2021</v>
      </c>
      <c r="AR173" s="27" t="str">
        <f ca="1">IFERROR(__xludf.DUMMYFUNCTION("""COMPUTED_VALUE"""),"bandockdiogo@gmail.com")</f>
        <v>bandockdiogo@gmail.com</v>
      </c>
      <c r="AS173" s="27" t="str">
        <f ca="1">IFERROR(__xludf.DUMMYFUNCTION("""COMPUTED_VALUE"""),"(21)99030-0585")</f>
        <v>(21)99030-0585</v>
      </c>
      <c r="AT173" s="29">
        <f ca="1">IFERROR(__xludf.DUMMYFUNCTION("""COMPUTED_VALUE"""),31907)</f>
        <v>31907</v>
      </c>
      <c r="AU173" s="27">
        <f ca="1">IFERROR(__xludf.DUMMYFUNCTION("""COMPUTED_VALUE"""),35)</f>
        <v>35</v>
      </c>
      <c r="AV173" s="27">
        <f ca="1">IFERROR(__xludf.DUMMYFUNCTION("""COMPUTED_VALUE"""),12655642724)</f>
        <v>12655642724</v>
      </c>
      <c r="AW173" s="27">
        <f ca="1">IFERROR(__xludf.DUMMYFUNCTION("""COMPUTED_VALUE"""),224915587)</f>
        <v>224915587</v>
      </c>
      <c r="AX173" s="27"/>
      <c r="AY173" s="27"/>
      <c r="AZ173" s="27" t="str">
        <f ca="1">IFERROR(__xludf.DUMMYFUNCTION("""COMPUTED_VALUE"""),"G")</f>
        <v>G</v>
      </c>
      <c r="BA173" s="27" t="str">
        <f ca="1">IFERROR(__xludf.DUMMYFUNCTION("""COMPUTED_VALUE"""),"Parda")</f>
        <v>Parda</v>
      </c>
      <c r="BB173" s="27" t="str">
        <f ca="1">IFERROR(__xludf.DUMMYFUNCTION("""COMPUTED_VALUE"""),"Homem, cisgênero")</f>
        <v>Homem, cisgênero</v>
      </c>
      <c r="BC173" s="27" t="str">
        <f ca="1">IFERROR(__xludf.DUMMYFUNCTION("""COMPUTED_VALUE"""),"Sim")</f>
        <v>Sim</v>
      </c>
      <c r="BD173" s="27" t="str">
        <f ca="1">IFERROR(__xludf.DUMMYFUNCTION("""COMPUTED_VALUE"""),"Me chamo Diogo, e sou o líder do projeto social boa safra Team.")</f>
        <v>Me chamo Diogo, e sou o líder do projeto social boa safra Team.</v>
      </c>
      <c r="BE173" s="27"/>
      <c r="BF173" s="27" t="str">
        <f ca="1">IFERROR(__xludf.DUMMYFUNCTION("""COMPUTED_VALUE"""),"Heterossexual")</f>
        <v>Heterossexual</v>
      </c>
      <c r="BG173" s="27" t="str">
        <f ca="1">IFERROR(__xludf.DUMMYFUNCTION("""COMPUTED_VALUE"""),"Ensino Médio - Completo")</f>
        <v>Ensino Médio - Completo</v>
      </c>
      <c r="BH173" s="27" t="str">
        <f ca="1">IFERROR(__xludf.DUMMYFUNCTION("""COMPUTED_VALUE"""),"Pública")</f>
        <v>Pública</v>
      </c>
      <c r="BI173" s="27"/>
      <c r="BJ173" s="27"/>
      <c r="BK173" s="27" t="str">
        <f ca="1">IFERROR(__xludf.DUMMYFUNCTION("""COMPUTED_VALUE"""),"Rua Prefeito João Felipe 9 casa 10")</f>
        <v>Rua Prefeito João Felipe 9 casa 10</v>
      </c>
      <c r="BL173" s="27">
        <f ca="1">IFERROR(__xludf.DUMMYFUNCTION("""COMPUTED_VALUE"""),9)</f>
        <v>9</v>
      </c>
      <c r="BM173" s="27" t="str">
        <f ca="1">IFERROR(__xludf.DUMMYFUNCTION("""COMPUTED_VALUE"""),"Casa 10")</f>
        <v>Casa 10</v>
      </c>
      <c r="BN173" s="27" t="str">
        <f ca="1">IFERROR(__xludf.DUMMYFUNCTION("""COMPUTED_VALUE"""),"Rio de janeiro")</f>
        <v>Rio de janeiro</v>
      </c>
      <c r="BO173" s="27" t="str">
        <f ca="1">IFERROR(__xludf.DUMMYFUNCTION("""COMPUTED_VALUE"""),"20251-140")</f>
        <v>20251-140</v>
      </c>
      <c r="BP173" s="27" t="str">
        <f ca="1">IFERROR(__xludf.DUMMYFUNCTION("""COMPUTED_VALUE"""),"RJ")</f>
        <v>RJ</v>
      </c>
      <c r="BQ173" s="27" t="str">
        <f ca="1">IFERROR(__xludf.DUMMYFUNCTION("""COMPUTED_VALUE"""),"Entre 1 até 3 salários mínimos")</f>
        <v>Entre 1 até 3 salários mínimos</v>
      </c>
      <c r="BR173" s="27" t="str">
        <f ca="1">IFERROR(__xludf.DUMMYFUNCTION("""COMPUTED_VALUE"""),"CLT")</f>
        <v>CLT</v>
      </c>
      <c r="BS173" s="27" t="str">
        <f ca="1">IFERROR(__xludf.DUMMYFUNCTION("""COMPUTED_VALUE"""),"Casa própria")</f>
        <v>Casa própria</v>
      </c>
      <c r="BT173" s="27">
        <f ca="1">IFERROR(__xludf.DUMMYFUNCTION("""COMPUTED_VALUE"""),4)</f>
        <v>4</v>
      </c>
      <c r="BU173" s="27" t="str">
        <f ca="1">IFERROR(__xludf.DUMMYFUNCTION("""COMPUTED_VALUE"""),"Não tem")</f>
        <v>Não tem</v>
      </c>
      <c r="BV173" s="27"/>
      <c r="BW173" s="27"/>
      <c r="BX173" s="21" t="str">
        <f ca="1">IFERROR(__xludf.DUMMYFUNCTION("""COMPUTED_VALUE"""),"Instagram.com/diogobandock")</f>
        <v>Instagram.com/diogobandock</v>
      </c>
      <c r="BY173" s="21" t="str">
        <f ca="1">IFERROR(__xludf.DUMMYFUNCTION("""COMPUTED_VALUE"""),"https://drive.google.com/open?id=18wB2Y4ClSBeKimJ7jGVlT1t0M9MQxK7z")</f>
        <v>https://drive.google.com/open?id=18wB2Y4ClSBeKimJ7jGVlT1t0M9MQxK7z</v>
      </c>
    </row>
    <row r="174" spans="1:77" ht="12.5" hidden="1" x14ac:dyDescent="0.25">
      <c r="A174" s="21" t="str">
        <f ca="1">IFERROR(__xludf.DUMMYFUNCTION("""COMPUTED_VALUE"""),"0014X00002VKCukQAH")</f>
        <v>0014X00002VKCukQAH</v>
      </c>
      <c r="B174" s="27" t="str">
        <f ca="1">IFERROR(__xludf.DUMMYFUNCTION("""COMPUTED_VALUE"""),"Fase Inicial")</f>
        <v>Fase Inicial</v>
      </c>
      <c r="C174" s="27" t="str">
        <f ca="1">IFERROR(__xludf.DUMMYFUNCTION("""COMPUTED_VALUE"""),"Fellow")</f>
        <v>Fellow</v>
      </c>
      <c r="D174" s="27" t="str">
        <f ca="1">IFERROR(__xludf.DUMMYFUNCTION("""COMPUTED_VALUE"""),"Ativo")</f>
        <v>Ativo</v>
      </c>
      <c r="E174" s="27" t="str">
        <f ca="1">IFERROR(__xludf.DUMMYFUNCTION("""COMPUTED_VALUE"""),"BRASIL EM AÇÃO")</f>
        <v>BRASIL EM AÇÃO</v>
      </c>
      <c r="F174" s="27" t="str">
        <f ca="1">IFERROR(__xludf.DUMMYFUNCTION("""COMPUTED_VALUE"""),"Heveltton")</f>
        <v>Heveltton</v>
      </c>
      <c r="G174" s="27" t="str">
        <f ca="1">IFERROR(__xludf.DUMMYFUNCTION("""COMPUTED_VALUE"""),"BRASIL EM AÇÃO")</f>
        <v>BRASIL EM AÇÃO</v>
      </c>
      <c r="H174" s="27" t="str">
        <f ca="1">IFERROR(__xludf.DUMMYFUNCTION("""COMPUTED_VALUE"""),"04.182.774/0001-31")</f>
        <v>04.182.774/0001-31</v>
      </c>
      <c r="I174" s="27" t="str">
        <f ca="1">IFERROR(__xludf.DUMMYFUNCTION("""COMPUTED_VALUE"""),"heveltton luiz de paula")</f>
        <v>heveltton luiz de paula</v>
      </c>
      <c r="J174" s="27" t="str">
        <f ca="1">IFERROR(__xludf.DUMMYFUNCTION("""COMPUTED_VALUE"""),"brasilemacaosocial1@gmail.com")</f>
        <v>brasilemacaosocial1@gmail.com</v>
      </c>
      <c r="K174" s="27" t="str">
        <f ca="1">IFERROR(__xludf.DUMMYFUNCTION("""COMPUTED_VALUE"""),"(11)97195-6257")</f>
        <v>(11)97195-6257</v>
      </c>
      <c r="L174" s="27" t="str">
        <f ca="1">IFERROR(__xludf.DUMMYFUNCTION("""COMPUTED_VALUE"""),"SP")</f>
        <v>SP</v>
      </c>
      <c r="M174" s="27" t="str">
        <f ca="1">IFERROR(__xludf.DUMMYFUNCTION("""COMPUTED_VALUE"""),"Rua Baia de Marajó n° 10")</f>
        <v>Rua Baia de Marajó n° 10</v>
      </c>
      <c r="N174" s="27" t="str">
        <f ca="1">IFERROR(__xludf.DUMMYFUNCTION("""COMPUTED_VALUE"""),"Jardim Fanganiello – São Paulo/SP")</f>
        <v>Jardim Fanganiello – São Paulo/SP</v>
      </c>
      <c r="O174" s="27" t="str">
        <f ca="1">IFERROR(__xludf.DUMMYFUNCTION("""COMPUTED_VALUE"""),"10 A")</f>
        <v>10 A</v>
      </c>
      <c r="P174" s="27" t="str">
        <f ca="1">IFERROR(__xludf.DUMMYFUNCTION("""COMPUTED_VALUE"""),"São Paulo")</f>
        <v>São Paulo</v>
      </c>
      <c r="Q174" s="27"/>
      <c r="R174" s="27" t="str">
        <f ca="1">IFERROR(__xludf.DUMMYFUNCTION("""COMPUTED_VALUE"""),"08450-463")</f>
        <v>08450-463</v>
      </c>
      <c r="S174" s="27" t="str">
        <f ca="1">IFERROR(__xludf.DUMMYFUNCTION("""COMPUTED_VALUE"""),"sim ja fizemos algumas açoes em escolas publicas")</f>
        <v>sim ja fizemos algumas açoes em escolas publicas</v>
      </c>
      <c r="T174" s="27"/>
      <c r="U174" s="27" t="str">
        <f ca="1">IFERROR(__xludf.DUMMYFUNCTION("""COMPUTED_VALUE"""),"Adolescentes (12 aos 18 anos), Jovens (18 aos 24 anos), Adultos")</f>
        <v>Adolescentes (12 aos 18 anos), Jovens (18 aos 24 anos), Adultos</v>
      </c>
      <c r="V174" s="27" t="str">
        <f ca="1">IFERROR(__xludf.DUMMYFUNCTION("""COMPUTED_VALUE"""),"Moradores de Favelas, Pessoas em situação de rua, Afrodescendentes")</f>
        <v>Moradores de Favelas, Pessoas em situação de rua, Afrodescendentes</v>
      </c>
      <c r="W174" s="27">
        <f ca="1">IFERROR(__xludf.DUMMYFUNCTION("""COMPUTED_VALUE"""),3)</f>
        <v>3</v>
      </c>
      <c r="X174" s="27"/>
      <c r="Y174" s="27"/>
      <c r="Z174" s="27">
        <f ca="1">IFERROR(__xludf.DUMMYFUNCTION("""COMPUTED_VALUE"""),350)</f>
        <v>350</v>
      </c>
      <c r="AA174" s="29">
        <f ca="1">IFERROR(__xludf.DUMMYFUNCTION("""COMPUTED_VALUE"""),36801)</f>
        <v>36801</v>
      </c>
      <c r="AB174" s="27" t="str">
        <f ca="1">IFERROR(__xludf.DUMMYFUNCTION("""COMPUTED_VALUE"""),"Sim")</f>
        <v>Sim</v>
      </c>
      <c r="AC174" s="27">
        <f ca="1">IFERROR(__xludf.DUMMYFUNCTION("""COMPUTED_VALUE"""),8)</f>
        <v>8</v>
      </c>
      <c r="AD174" s="27">
        <f ca="1">IFERROR(__xludf.DUMMYFUNCTION("""COMPUTED_VALUE"""),8)</f>
        <v>8</v>
      </c>
      <c r="AE174" s="27">
        <f ca="1">IFERROR(__xludf.DUMMYFUNCTION("""COMPUTED_VALUE"""),8)</f>
        <v>8</v>
      </c>
      <c r="AF174" s="27">
        <f ca="1">IFERROR(__xludf.DUMMYFUNCTION("""COMPUTED_VALUE"""),8)</f>
        <v>8</v>
      </c>
      <c r="AG174" s="27">
        <f ca="1">IFERROR(__xludf.DUMMYFUNCTION("""COMPUTED_VALUE"""),2)</f>
        <v>2</v>
      </c>
      <c r="AH174" s="27" t="str">
        <f ca="1">IFERROR(__xludf.DUMMYFUNCTION("""COMPUTED_VALUE"""),"Outro(s), Doações")</f>
        <v>Outro(s), Doações</v>
      </c>
      <c r="AI174" s="27">
        <f ca="1">IFERROR(__xludf.DUMMYFUNCTION("""COMPUTED_VALUE"""),0)</f>
        <v>0</v>
      </c>
      <c r="AJ174" s="27" t="str">
        <f ca="1">IFERROR(__xludf.DUMMYFUNCTION("""COMPUTED_VALUE"""),"Vamos iniciar esse ano")</f>
        <v>Vamos iniciar esse ano</v>
      </c>
      <c r="AK174" s="27"/>
      <c r="AL174" s="21" t="str">
        <f ca="1">IFERROR(__xludf.DUMMYFUNCTION("""COMPUTED_VALUE"""),"0034X0000380O6n")</f>
        <v>0034X0000380O6n</v>
      </c>
      <c r="AM174" s="27" t="str">
        <f ca="1">IFERROR(__xludf.DUMMYFUNCTION("""COMPUTED_VALUE"""),"Luiz de paula")</f>
        <v>Luiz de paula</v>
      </c>
      <c r="AN174" s="27" t="str">
        <f ca="1">IFERROR(__xludf.DUMMYFUNCTION("""COMPUTED_VALUE"""),"Ativo")</f>
        <v>Ativo</v>
      </c>
      <c r="AO174" s="29">
        <f ca="1">IFERROR(__xludf.DUMMYFUNCTION("""COMPUTED_VALUE"""),44763)</f>
        <v>44763</v>
      </c>
      <c r="AP174" s="27">
        <f ca="1">IFERROR(__xludf.DUMMYFUNCTION("""COMPUTED_VALUE"""),2)</f>
        <v>2</v>
      </c>
      <c r="AQ174" s="27" t="str">
        <f ca="1">IFERROR(__xludf.DUMMYFUNCTION("""COMPUTED_VALUE"""),"Primeiro Semestre 2022")</f>
        <v>Primeiro Semestre 2022</v>
      </c>
      <c r="AR174" s="27" t="str">
        <f ca="1">IFERROR(__xludf.DUMMYFUNCTION("""COMPUTED_VALUE"""),"heveltton6@gmail.com")</f>
        <v>heveltton6@gmail.com</v>
      </c>
      <c r="AS174" s="27">
        <f ca="1">IFERROR(__xludf.DUMMYFUNCTION("""COMPUTED_VALUE"""),11971956257)</f>
        <v>11971956257</v>
      </c>
      <c r="AT174" s="29">
        <f ca="1">IFERROR(__xludf.DUMMYFUNCTION("""COMPUTED_VALUE"""),30153)</f>
        <v>30153</v>
      </c>
      <c r="AU174" s="27">
        <f ca="1">IFERROR(__xludf.DUMMYFUNCTION("""COMPUTED_VALUE"""),40)</f>
        <v>40</v>
      </c>
      <c r="AV174" s="27">
        <f ca="1">IFERROR(__xludf.DUMMYFUNCTION("""COMPUTED_VALUE"""),31008255866)</f>
        <v>31008255866</v>
      </c>
      <c r="AW174" s="27">
        <f ca="1">IFERROR(__xludf.DUMMYFUNCTION("""COMPUTED_VALUE"""),302446126)</f>
        <v>302446126</v>
      </c>
      <c r="AX174" s="27"/>
      <c r="AY174" s="27"/>
      <c r="AZ174" s="27" t="str">
        <f ca="1">IFERROR(__xludf.DUMMYFUNCTION("""COMPUTED_VALUE"""),"M")</f>
        <v>M</v>
      </c>
      <c r="BA174" s="27" t="str">
        <f ca="1">IFERROR(__xludf.DUMMYFUNCTION("""COMPUTED_VALUE"""),"Preta")</f>
        <v>Preta</v>
      </c>
      <c r="BB174" s="27"/>
      <c r="BC174" s="27"/>
      <c r="BD174" s="27" t="str">
        <f ca="1">IFERROR(__xludf.DUMMYFUNCTION("""COMPUTED_VALUE"""),"Sou uma pessoa pro ativa")</f>
        <v>Sou uma pessoa pro ativa</v>
      </c>
      <c r="BE174" s="27" t="str">
        <f ca="1">IFERROR(__xludf.DUMMYFUNCTION("""COMPUTED_VALUE"""),"Masculino")</f>
        <v>Masculino</v>
      </c>
      <c r="BF174" s="27" t="str">
        <f ca="1">IFERROR(__xludf.DUMMYFUNCTION("""COMPUTED_VALUE"""),"Heterossexual")</f>
        <v>Heterossexual</v>
      </c>
      <c r="BG174" s="27"/>
      <c r="BH174" s="27" t="str">
        <f ca="1">IFERROR(__xludf.DUMMYFUNCTION("""COMPUTED_VALUE"""),"Público")</f>
        <v>Público</v>
      </c>
      <c r="BI174" s="27"/>
      <c r="BJ174" s="27"/>
      <c r="BK174" s="27" t="str">
        <f ca="1">IFERROR(__xludf.DUMMYFUNCTION("""COMPUTED_VALUE"""),"Avenida nossa senhora de Lourdes")</f>
        <v>Avenida nossa senhora de Lourdes</v>
      </c>
      <c r="BL174" s="27">
        <f ca="1">IFERROR(__xludf.DUMMYFUNCTION("""COMPUTED_VALUE"""),764)</f>
        <v>764</v>
      </c>
      <c r="BM174" s="27"/>
      <c r="BN174" s="27"/>
      <c r="BO174" s="27" t="str">
        <f ca="1">IFERROR(__xludf.DUMMYFUNCTION("""COMPUTED_VALUE"""),"08566-600")</f>
        <v>08566-600</v>
      </c>
      <c r="BP174" s="27" t="str">
        <f ca="1">IFERROR(__xludf.DUMMYFUNCTION("""COMPUTED_VALUE"""),"SP")</f>
        <v>SP</v>
      </c>
      <c r="BQ174" s="27" t="str">
        <f ca="1">IFERROR(__xludf.DUMMYFUNCTION("""COMPUTED_VALUE"""),"Entre 1 até 3 salários mínimos")</f>
        <v>Entre 1 até 3 salários mínimos</v>
      </c>
      <c r="BR174" s="27" t="str">
        <f ca="1">IFERROR(__xludf.DUMMYFUNCTION("""COMPUTED_VALUE"""),"MEI")</f>
        <v>MEI</v>
      </c>
      <c r="BS174" s="27" t="str">
        <f ca="1">IFERROR(__xludf.DUMMYFUNCTION("""COMPUTED_VALUE"""),"Casa própria")</f>
        <v>Casa própria</v>
      </c>
      <c r="BT174" s="27">
        <f ca="1">IFERROR(__xludf.DUMMYFUNCTION("""COMPUTED_VALUE"""),3)</f>
        <v>3</v>
      </c>
      <c r="BU174" s="27" t="str">
        <f ca="1">IFERROR(__xludf.DUMMYFUNCTION("""COMPUTED_VALUE"""),"Não tem")</f>
        <v>Não tem</v>
      </c>
      <c r="BV174" s="27" t="str">
        <f ca="1">IFERROR(__xludf.DUMMYFUNCTION("""COMPUTED_VALUE"""),"Não")</f>
        <v>Não</v>
      </c>
      <c r="BW174" s="27"/>
      <c r="BX174" s="27"/>
      <c r="BY174" s="21" t="str">
        <f ca="1">IFERROR(__xludf.DUMMYFUNCTION("""COMPUTED_VALUE"""),"https://drive.google.com/open?id=1oFyiFHrnYyo0eINwARHqXDYr84KNhtR8")</f>
        <v>https://drive.google.com/open?id=1oFyiFHrnYyo0eINwARHqXDYr84KNhtR8</v>
      </c>
    </row>
    <row r="175" spans="1:77" ht="12.5" x14ac:dyDescent="0.25">
      <c r="A175" s="21" t="str">
        <f ca="1">IFERROR(__xludf.DUMMYFUNCTION("""COMPUTED_VALUE"""),"0014P00003YSp7aQAD")</f>
        <v>0014P00003YSp7aQAD</v>
      </c>
      <c r="B175" s="27" t="str">
        <f ca="1">IFERROR(__xludf.DUMMYFUNCTION("""COMPUTED_VALUE"""),"Fase Inicial")</f>
        <v>Fase Inicial</v>
      </c>
      <c r="C175" s="27" t="str">
        <f ca="1">IFERROR(__xludf.DUMMYFUNCTION("""COMPUTED_VALUE"""),"Fellow")</f>
        <v>Fellow</v>
      </c>
      <c r="D175" s="27" t="str">
        <f ca="1">IFERROR(__xludf.DUMMYFUNCTION("""COMPUTED_VALUE"""),"Ativo")</f>
        <v>Ativo</v>
      </c>
      <c r="E175" s="27" t="str">
        <f ca="1">IFERROR(__xludf.DUMMYFUNCTION("""COMPUTED_VALUE"""),"Brincar e aprender")</f>
        <v>Brincar e aprender</v>
      </c>
      <c r="F175" s="27" t="str">
        <f ca="1">IFERROR(__xludf.DUMMYFUNCTION("""COMPUTED_VALUE"""),"Rafael")</f>
        <v>Rafael</v>
      </c>
      <c r="G175" s="27"/>
      <c r="H175" s="27"/>
      <c r="I175" s="27" t="str">
        <f ca="1">IFERROR(__xludf.DUMMYFUNCTION("""COMPUTED_VALUE"""),"Rafael Santiago Machado")</f>
        <v>Rafael Santiago Machado</v>
      </c>
      <c r="J175" s="27" t="str">
        <f ca="1">IFERROR(__xludf.DUMMYFUNCTION("""COMPUTED_VALUE"""),"ongbrincareaprender1@gmail.com")</f>
        <v>ongbrincareaprender1@gmail.com</v>
      </c>
      <c r="K175" s="27" t="str">
        <f ca="1">IFERROR(__xludf.DUMMYFUNCTION("""COMPUTED_VALUE"""),"(71)99413-6798")</f>
        <v>(71)99413-6798</v>
      </c>
      <c r="L175" s="27" t="str">
        <f ca="1">IFERROR(__xludf.DUMMYFUNCTION("""COMPUTED_VALUE"""),"BA")</f>
        <v>BA</v>
      </c>
      <c r="M175" s="27" t="str">
        <f ca="1">IFERROR(__xludf.DUMMYFUNCTION("""COMPUTED_VALUE"""),"Estrava velha lobato/ campinas")</f>
        <v>Estrava velha lobato/ campinas</v>
      </c>
      <c r="N175" s="27" t="str">
        <f ca="1">IFERROR(__xludf.DUMMYFUNCTION("""COMPUTED_VALUE"""),"Campinas de Pirajá")</f>
        <v>Campinas de Pirajá</v>
      </c>
      <c r="O175" s="27">
        <f ca="1">IFERROR(__xludf.DUMMYFUNCTION("""COMPUTED_VALUE"""),11)</f>
        <v>11</v>
      </c>
      <c r="P175" s="27" t="str">
        <f ca="1">IFERROR(__xludf.DUMMYFUNCTION("""COMPUTED_VALUE"""),"Salvador")</f>
        <v>Salvador</v>
      </c>
      <c r="Q175" s="27"/>
      <c r="R175" s="27" t="str">
        <f ca="1">IFERROR(__xludf.DUMMYFUNCTION("""COMPUTED_VALUE"""),"41270-500")</f>
        <v>41270-500</v>
      </c>
      <c r="S175" s="27"/>
      <c r="T175" s="27" t="str">
        <f ca="1">IFERROR(__xludf.DUMMYFUNCTION("""COMPUTED_VALUE"""),"Esporte; Educação; Assistência Social; Cultura; Qualificação Profissional; Saúde; Meio ambiente; Desenvolvimento comunitário")</f>
        <v>Esporte; Educação; Assistência Social; Cultura; Qualificação Profissional; Saúde; Meio ambiente; Desenvolvimento comunitário</v>
      </c>
      <c r="U175" s="27" t="str">
        <f ca="1">IFERROR(__xludf.DUMMYFUNCTION("""COMPUTED_VALUE"""),"Crianças (6 a 12 anos); Adolescentes (12 aos 18 anos); Jovens (18 aos 24 anos); Adultos")</f>
        <v>Crianças (6 a 12 anos); Adolescentes (12 aos 18 anos); Jovens (18 aos 24 anos); Adultos</v>
      </c>
      <c r="V175" s="27" t="str">
        <f ca="1">IFERROR(__xludf.DUMMYFUNCTION("""COMPUTED_VALUE"""),"Moradores de Favelas; Outros")</f>
        <v>Moradores de Favelas; Outros</v>
      </c>
      <c r="W175" s="27">
        <f ca="1">IFERROR(__xludf.DUMMYFUNCTION("""COMPUTED_VALUE"""),4)</f>
        <v>4</v>
      </c>
      <c r="X175" s="27"/>
      <c r="Y175" s="27"/>
      <c r="Z175" s="27">
        <f ca="1">IFERROR(__xludf.DUMMYFUNCTION("""COMPUTED_VALUE"""),50)</f>
        <v>50</v>
      </c>
      <c r="AA175" s="29">
        <f ca="1">IFERROR(__xludf.DUMMYFUNCTION("""COMPUTED_VALUE"""),43964)</f>
        <v>43964</v>
      </c>
      <c r="AB175" s="27" t="str">
        <f ca="1">IFERROR(__xludf.DUMMYFUNCTION("""COMPUTED_VALUE"""),"Não")</f>
        <v>Não</v>
      </c>
      <c r="AC175" s="27">
        <f ca="1">IFERROR(__xludf.DUMMYFUNCTION("""COMPUTED_VALUE"""),8)</f>
        <v>8</v>
      </c>
      <c r="AD175" s="27">
        <f ca="1">IFERROR(__xludf.DUMMYFUNCTION("""COMPUTED_VALUE"""),2)</f>
        <v>2</v>
      </c>
      <c r="AE175" s="27">
        <f ca="1">IFERROR(__xludf.DUMMYFUNCTION("""COMPUTED_VALUE"""),20)</f>
        <v>20</v>
      </c>
      <c r="AF175" s="27">
        <f ca="1">IFERROR(__xludf.DUMMYFUNCTION("""COMPUTED_VALUE"""),4)</f>
        <v>4</v>
      </c>
      <c r="AG175" s="27">
        <f ca="1">IFERROR(__xludf.DUMMYFUNCTION("""COMPUTED_VALUE"""),2)</f>
        <v>2</v>
      </c>
      <c r="AH175" s="27" t="str">
        <f ca="1">IFERROR(__xludf.DUMMYFUNCTION("""COMPUTED_VALUE"""),"Outro(s); Doações")</f>
        <v>Outro(s); Doações</v>
      </c>
      <c r="AI175" s="27" t="str">
        <f ca="1">IFERROR(__xludf.DUMMYFUNCTION("""COMPUTED_VALUE"""),"50 % doações, 50 produtos feitos por voluntários")</f>
        <v>50 % doações, 50 produtos feitos por voluntários</v>
      </c>
      <c r="AJ175" s="27"/>
      <c r="AK175" s="27"/>
      <c r="AL175" s="21" t="str">
        <f ca="1">IFERROR(__xludf.DUMMYFUNCTION("""COMPUTED_VALUE"""),"0034P000045kxiB")</f>
        <v>0034P000045kxiB</v>
      </c>
      <c r="AM175" s="27" t="str">
        <f ca="1">IFERROR(__xludf.DUMMYFUNCTION("""COMPUTED_VALUE"""),"Santiago Machado")</f>
        <v>Santiago Machado</v>
      </c>
      <c r="AN175" s="27" t="str">
        <f ca="1">IFERROR(__xludf.DUMMYFUNCTION("""COMPUTED_VALUE"""),"Ativo")</f>
        <v>Ativo</v>
      </c>
      <c r="AO175" s="30">
        <f ca="1">IFERROR(__xludf.DUMMYFUNCTION("""COMPUTED_VALUE"""),44551)</f>
        <v>44551</v>
      </c>
      <c r="AP175" s="27">
        <f ca="1">IFERROR(__xludf.DUMMYFUNCTION("""COMPUTED_VALUE"""),9)</f>
        <v>9</v>
      </c>
      <c r="AQ175" s="27" t="str">
        <f ca="1">IFERROR(__xludf.DUMMYFUNCTION("""COMPUTED_VALUE"""),"Segundo Semestre 2021")</f>
        <v>Segundo Semestre 2021</v>
      </c>
      <c r="AR175" s="27" t="str">
        <f ca="1">IFERROR(__xludf.DUMMYFUNCTION("""COMPUTED_VALUE"""),"santiagomachadorafael@gmail.com")</f>
        <v>santiagomachadorafael@gmail.com</v>
      </c>
      <c r="AS175" s="27" t="str">
        <f ca="1">IFERROR(__xludf.DUMMYFUNCTION("""COMPUTED_VALUE"""),"(71)99413-6798")</f>
        <v>(71)99413-6798</v>
      </c>
      <c r="AT175" s="29">
        <f ca="1">IFERROR(__xludf.DUMMYFUNCTION("""COMPUTED_VALUE"""),31173)</f>
        <v>31173</v>
      </c>
      <c r="AU175" s="27">
        <f ca="1">IFERROR(__xludf.DUMMYFUNCTION("""COMPUTED_VALUE"""),37)</f>
        <v>37</v>
      </c>
      <c r="AV175" s="27">
        <f ca="1">IFERROR(__xludf.DUMMYFUNCTION("""COMPUTED_VALUE"""),1914837533)</f>
        <v>1914837533</v>
      </c>
      <c r="AW175" s="27">
        <f ca="1">IFERROR(__xludf.DUMMYFUNCTION("""COMPUTED_VALUE"""),879560126)</f>
        <v>879560126</v>
      </c>
      <c r="AX175" s="27"/>
      <c r="AY175" s="27"/>
      <c r="AZ175" s="27" t="str">
        <f ca="1">IFERROR(__xludf.DUMMYFUNCTION("""COMPUTED_VALUE"""),"G")</f>
        <v>G</v>
      </c>
      <c r="BA175" s="27" t="str">
        <f ca="1">IFERROR(__xludf.DUMMYFUNCTION("""COMPUTED_VALUE"""),"Prefiro não declarar")</f>
        <v>Prefiro não declarar</v>
      </c>
      <c r="BB175" s="27" t="str">
        <f ca="1">IFERROR(__xludf.DUMMYFUNCTION("""COMPUTED_VALUE"""),"Homem, cisgênero")</f>
        <v>Homem, cisgênero</v>
      </c>
      <c r="BC175" s="27" t="str">
        <f ca="1">IFERROR(__xludf.DUMMYFUNCTION("""COMPUTED_VALUE"""),"Sim")</f>
        <v>Sim</v>
      </c>
      <c r="BD175" s="27" t="str">
        <f ca="1">IFERROR(__xludf.DUMMYFUNCTION("""COMPUTED_VALUE"""),"Sou Rafael, nascido e criado na periferia de Salvador- Bahia, em um bairro com alto índice de vulnerabilidade social e desigualdade socioeconômica, sou o filho casula da dona Val, conseguir crescer em meio aos desafios e obstáculos sociais e educacionais,"&amp;" fui aluno de projeto social, me tornei pai aos 25 anos, conseguir me formar aos 32, comecei um trabalho educacional dando aula de matemática as crianças do bairro, e hoje junto a um time de amigos voluntários montamos um time")</f>
        <v>Sou Rafael, nascido e criado na periferia de Salvador- Bahia, em um bairro com alto índice de vulnerabilidade social e desigualdade socioeconômica, sou o filho casula da dona Val, conseguir crescer em meio aos desafios e obstáculos sociais e educacionais, fui aluno de projeto social, me tornei pai aos 25 anos, conseguir me formar aos 32, comecei um trabalho educacional dando aula de matemática as crianças do bairro, e hoje junto a um time de amigos voluntários montamos um time</v>
      </c>
      <c r="BE175" s="27"/>
      <c r="BF175" s="27" t="str">
        <f ca="1">IFERROR(__xludf.DUMMYFUNCTION("""COMPUTED_VALUE"""),"Heterossexual")</f>
        <v>Heterossexual</v>
      </c>
      <c r="BG175" s="27" t="str">
        <f ca="1">IFERROR(__xludf.DUMMYFUNCTION("""COMPUTED_VALUE"""),"Ensino Superior - Completo")</f>
        <v>Ensino Superior - Completo</v>
      </c>
      <c r="BH175" s="27" t="str">
        <f ca="1">IFERROR(__xludf.DUMMYFUNCTION("""COMPUTED_VALUE"""),"Privado")</f>
        <v>Privado</v>
      </c>
      <c r="BI175" s="27" t="str">
        <f ca="1">IFERROR(__xludf.DUMMYFUNCTION("""COMPUTED_VALUE"""),"Graduação")</f>
        <v>Graduação</v>
      </c>
      <c r="BJ175" s="27" t="str">
        <f ca="1">IFERROR(__xludf.DUMMYFUNCTION("""COMPUTED_VALUE"""),"Privado")</f>
        <v>Privado</v>
      </c>
      <c r="BK175" s="27" t="str">
        <f ca="1">IFERROR(__xludf.DUMMYFUNCTION("""COMPUTED_VALUE"""),"Rua Paulo Sergio Macedo")</f>
        <v>Rua Paulo Sergio Macedo</v>
      </c>
      <c r="BL175" s="27">
        <f ca="1">IFERROR(__xludf.DUMMYFUNCTION("""COMPUTED_VALUE"""),1)</f>
        <v>1</v>
      </c>
      <c r="BM175" s="27" t="str">
        <f ca="1">IFERROR(__xludf.DUMMYFUNCTION("""COMPUTED_VALUE"""),"Segunda Travessa Fábio Chagas")</f>
        <v>Segunda Travessa Fábio Chagas</v>
      </c>
      <c r="BN175" s="27" t="str">
        <f ca="1">IFERROR(__xludf.DUMMYFUNCTION("""COMPUTED_VALUE"""),"Salvador")</f>
        <v>Salvador</v>
      </c>
      <c r="BO175" s="27" t="str">
        <f ca="1">IFERROR(__xludf.DUMMYFUNCTION("""COMPUTED_VALUE"""),"41270-540")</f>
        <v>41270-540</v>
      </c>
      <c r="BP175" s="27" t="str">
        <f ca="1">IFERROR(__xludf.DUMMYFUNCTION("""COMPUTED_VALUE"""),"BA")</f>
        <v>BA</v>
      </c>
      <c r="BQ175" s="27" t="str">
        <f ca="1">IFERROR(__xludf.DUMMYFUNCTION("""COMPUTED_VALUE"""),"Entre 1 até 3 salários mínimos")</f>
        <v>Entre 1 até 3 salários mínimos</v>
      </c>
      <c r="BR175" s="27" t="str">
        <f ca="1">IFERROR(__xludf.DUMMYFUNCTION("""COMPUTED_VALUE"""),"MEI; Trabalho informal; Desempregado")</f>
        <v>MEI; Trabalho informal; Desempregado</v>
      </c>
      <c r="BS175" s="27" t="str">
        <f ca="1">IFERROR(__xludf.DUMMYFUNCTION("""COMPUTED_VALUE"""),"Casa própria")</f>
        <v>Casa própria</v>
      </c>
      <c r="BT175" s="27">
        <f ca="1">IFERROR(__xludf.DUMMYFUNCTION("""COMPUTED_VALUE"""),7)</f>
        <v>7</v>
      </c>
      <c r="BU175" s="27" t="str">
        <f ca="1">IFERROR(__xludf.DUMMYFUNCTION("""COMPUTED_VALUE"""),"Não tem")</f>
        <v>Não tem</v>
      </c>
      <c r="BV175" s="27"/>
      <c r="BW175" s="21" t="str">
        <f ca="1">IFERROR(__xludf.DUMMYFUNCTION("""COMPUTED_VALUE"""),"https://www.linkedin.com/in/rafael-santiago-machado-0b1b67186")</f>
        <v>https://www.linkedin.com/in/rafael-santiago-machado-0b1b67186</v>
      </c>
      <c r="BX175" s="21" t="str">
        <f ca="1">IFERROR(__xludf.DUMMYFUNCTION("""COMPUTED_VALUE"""),"https://instagram.com/eng.rafaelsantiago?utm_medium=copy_link")</f>
        <v>https://instagram.com/eng.rafaelsantiago?utm_medium=copy_link</v>
      </c>
      <c r="BY175" s="21" t="str">
        <f ca="1">IFERROR(__xludf.DUMMYFUNCTION("""COMPUTED_VALUE"""),"https://drive.google.com/open?id=1XUzHhlQDth3QLTll_kXA8v-OdFga_dyd")</f>
        <v>https://drive.google.com/open?id=1XUzHhlQDth3QLTll_kXA8v-OdFga_dyd</v>
      </c>
    </row>
    <row r="176" spans="1:77" ht="12.5" hidden="1" x14ac:dyDescent="0.25">
      <c r="A176" s="21" t="str">
        <f ca="1">IFERROR(__xludf.DUMMYFUNCTION("""COMPUTED_VALUE"""),"0014X00002VKCqaQAH")</f>
        <v>0014X00002VKCqaQAH</v>
      </c>
      <c r="B176" s="27" t="str">
        <f ca="1">IFERROR(__xludf.DUMMYFUNCTION("""COMPUTED_VALUE"""),"Fase Inicial")</f>
        <v>Fase Inicial</v>
      </c>
      <c r="C176" s="27" t="str">
        <f ca="1">IFERROR(__xludf.DUMMYFUNCTION("""COMPUTED_VALUE"""),"Fellow")</f>
        <v>Fellow</v>
      </c>
      <c r="D176" s="27" t="str">
        <f ca="1">IFERROR(__xludf.DUMMYFUNCTION("""COMPUTED_VALUE"""),"Ativo")</f>
        <v>Ativo</v>
      </c>
      <c r="E176" s="27" t="str">
        <f ca="1">IFERROR(__xludf.DUMMYFUNCTION("""COMPUTED_VALUE"""),"Butija Social Esporte e Cultura")</f>
        <v>Butija Social Esporte e Cultura</v>
      </c>
      <c r="F176" s="27" t="str">
        <f ca="1">IFERROR(__xludf.DUMMYFUNCTION("""COMPUTED_VALUE"""),"Bruna")</f>
        <v>Bruna</v>
      </c>
      <c r="G176" s="27" t="str">
        <f ca="1">IFERROR(__xludf.DUMMYFUNCTION("""COMPUTED_VALUE"""),"BUTIJA TENNIS")</f>
        <v>BUTIJA TENNIS</v>
      </c>
      <c r="H176" s="27">
        <f ca="1">IFERROR(__xludf.DUMMYFUNCTION("""COMPUTED_VALUE"""),14756180000140)</f>
        <v>14756180000140</v>
      </c>
      <c r="I176" s="27" t="str">
        <f ca="1">IFERROR(__xludf.DUMMYFUNCTION("""COMPUTED_VALUE"""),"Leonardo de Oliveira")</f>
        <v>Leonardo de Oliveira</v>
      </c>
      <c r="J176" s="27"/>
      <c r="K176" s="27"/>
      <c r="L176" s="27" t="str">
        <f ca="1">IFERROR(__xludf.DUMMYFUNCTION("""COMPUTED_VALUE"""),"MG")</f>
        <v>MG</v>
      </c>
      <c r="M176" s="27" t="str">
        <f ca="1">IFERROR(__xludf.DUMMYFUNCTION("""COMPUTED_VALUE"""),"Rua Urarirama")</f>
        <v>Rua Urarirama</v>
      </c>
      <c r="N176" s="27" t="str">
        <f ca="1">IFERROR(__xludf.DUMMYFUNCTION("""COMPUTED_VALUE"""),"Ouro Preto")</f>
        <v>Ouro Preto</v>
      </c>
      <c r="O176" s="27">
        <f ca="1">IFERROR(__xludf.DUMMYFUNCTION("""COMPUTED_VALUE"""),223)</f>
        <v>223</v>
      </c>
      <c r="P176" s="27" t="str">
        <f ca="1">IFERROR(__xludf.DUMMYFUNCTION("""COMPUTED_VALUE"""),"Belo Horizonte")</f>
        <v>Belo Horizonte</v>
      </c>
      <c r="Q176" s="27"/>
      <c r="R176" s="27" t="str">
        <f ca="1">IFERROR(__xludf.DUMMYFUNCTION("""COMPUTED_VALUE"""),"31310-330")</f>
        <v>31310-330</v>
      </c>
      <c r="S176" s="27"/>
      <c r="T176" s="27"/>
      <c r="U176" s="27"/>
      <c r="V176" s="27"/>
      <c r="W176" s="27">
        <f ca="1">IFERROR(__xludf.DUMMYFUNCTION("""COMPUTED_VALUE"""),4)</f>
        <v>4</v>
      </c>
      <c r="X176" s="27" t="str">
        <f ca="1">IFERROR(__xludf.DUMMYFUNCTION("""COMPUTED_VALUE"""),"Trabalhamos com pessoas com deficiência física")</f>
        <v>Trabalhamos com pessoas com deficiência física</v>
      </c>
      <c r="Y176" s="27"/>
      <c r="Z176" s="27">
        <f ca="1">IFERROR(__xludf.DUMMYFUNCTION("""COMPUTED_VALUE"""),50)</f>
        <v>50</v>
      </c>
      <c r="AA176" s="30">
        <f ca="1">IFERROR(__xludf.DUMMYFUNCTION("""COMPUTED_VALUE"""),40827)</f>
        <v>40827</v>
      </c>
      <c r="AB176" s="27" t="str">
        <f ca="1">IFERROR(__xludf.DUMMYFUNCTION("""COMPUTED_VALUE"""),"Sim")</f>
        <v>Sim</v>
      </c>
      <c r="AC176" s="27">
        <f ca="1">IFERROR(__xludf.DUMMYFUNCTION("""COMPUTED_VALUE"""),0)</f>
        <v>0</v>
      </c>
      <c r="AD176" s="27"/>
      <c r="AE176" s="27">
        <f ca="1">IFERROR(__xludf.DUMMYFUNCTION("""COMPUTED_VALUE"""),10)</f>
        <v>10</v>
      </c>
      <c r="AF176" s="27"/>
      <c r="AG176" s="27">
        <f ca="1">IFERROR(__xludf.DUMMYFUNCTION("""COMPUTED_VALUE"""),2)</f>
        <v>2</v>
      </c>
      <c r="AH176" s="27"/>
      <c r="AI176" s="27"/>
      <c r="AJ176" s="27"/>
      <c r="AK176" s="27"/>
      <c r="AL176" s="21" t="str">
        <f ca="1">IFERROR(__xludf.DUMMYFUNCTION("""COMPUTED_VALUE"""),"0034X0000380O5b")</f>
        <v>0034X0000380O5b</v>
      </c>
      <c r="AM176" s="27" t="str">
        <f ca="1">IFERROR(__xludf.DUMMYFUNCTION("""COMPUTED_VALUE"""),"Silva guedes")</f>
        <v>Silva guedes</v>
      </c>
      <c r="AN176" s="27" t="str">
        <f ca="1">IFERROR(__xludf.DUMMYFUNCTION("""COMPUTED_VALUE"""),"Ativo")</f>
        <v>Ativo</v>
      </c>
      <c r="AO176" s="29">
        <f ca="1">IFERROR(__xludf.DUMMYFUNCTION("""COMPUTED_VALUE"""),44763)</f>
        <v>44763</v>
      </c>
      <c r="AP176" s="27">
        <f ca="1">IFERROR(__xludf.DUMMYFUNCTION("""COMPUTED_VALUE"""),2)</f>
        <v>2</v>
      </c>
      <c r="AQ176" s="27" t="str">
        <f ca="1">IFERROR(__xludf.DUMMYFUNCTION("""COMPUTED_VALUE"""),"Primeiro Semestre 2022")</f>
        <v>Primeiro Semestre 2022</v>
      </c>
      <c r="AR176" s="27" t="str">
        <f ca="1">IFERROR(__xludf.DUMMYFUNCTION("""COMPUTED_VALUE"""),"brunasguedes@gmail.com")</f>
        <v>brunasguedes@gmail.com</v>
      </c>
      <c r="AS176" s="27" t="str">
        <f ca="1">IFERROR(__xludf.DUMMYFUNCTION("""COMPUTED_VALUE"""),"31 99264-2513")</f>
        <v>31 99264-2513</v>
      </c>
      <c r="AT176" s="29">
        <f ca="1">IFERROR(__xludf.DUMMYFUNCTION("""COMPUTED_VALUE"""),31110)</f>
        <v>31110</v>
      </c>
      <c r="AU176" s="27">
        <f ca="1">IFERROR(__xludf.DUMMYFUNCTION("""COMPUTED_VALUE"""),37)</f>
        <v>37</v>
      </c>
      <c r="AV176" s="27">
        <f ca="1">IFERROR(__xludf.DUMMYFUNCTION("""COMPUTED_VALUE"""),7212318612)</f>
        <v>7212318612</v>
      </c>
      <c r="AW176" s="27" t="str">
        <f ca="1">IFERROR(__xludf.DUMMYFUNCTION("""COMPUTED_VALUE"""),"MG- 11.636.649")</f>
        <v>MG- 11.636.649</v>
      </c>
      <c r="AX176" s="27"/>
      <c r="AY176" s="27"/>
      <c r="AZ176" s="27" t="str">
        <f ca="1">IFERROR(__xludf.DUMMYFUNCTION("""COMPUTED_VALUE"""),"M")</f>
        <v>M</v>
      </c>
      <c r="BA176" s="27" t="str">
        <f ca="1">IFERROR(__xludf.DUMMYFUNCTION("""COMPUTED_VALUE"""),"Parda")</f>
        <v>Parda</v>
      </c>
      <c r="BB176" s="27"/>
      <c r="BC176" s="27"/>
      <c r="BD176" s="27" t="str">
        <f ca="1">IFERROR(__xludf.DUMMYFUNCTION("""COMPUTED_VALUE"""),"Olá!!! Me chamo Bruna* bacharel em Educação Física e uma apaixonada por tênis e tênis em cadeira de rodas. A paixão é tanta que hoje é minha profissão.  
Amo ler* juntar os amigos e viajar!!!")</f>
        <v>Olá!!! Me chamo Bruna* bacharel em Educação Física e uma apaixonada por tênis e tênis em cadeira de rodas. A paixão é tanta que hoje é minha profissão.  
Amo ler* juntar os amigos e viajar!!!</v>
      </c>
      <c r="BE176" s="27" t="str">
        <f ca="1">IFERROR(__xludf.DUMMYFUNCTION("""COMPUTED_VALUE"""),"Feminino")</f>
        <v>Feminino</v>
      </c>
      <c r="BF176" s="27" t="str">
        <f ca="1">IFERROR(__xludf.DUMMYFUNCTION("""COMPUTED_VALUE"""),"Heterossexual")</f>
        <v>Heterossexual</v>
      </c>
      <c r="BG176" s="27"/>
      <c r="BH176" s="27" t="str">
        <f ca="1">IFERROR(__xludf.DUMMYFUNCTION("""COMPUTED_VALUE"""),"Público")</f>
        <v>Público</v>
      </c>
      <c r="BI176" s="27" t="str">
        <f ca="1">IFERROR(__xludf.DUMMYFUNCTION("""COMPUTED_VALUE"""),"Graduação")</f>
        <v>Graduação</v>
      </c>
      <c r="BJ176" s="27" t="str">
        <f ca="1">IFERROR(__xludf.DUMMYFUNCTION("""COMPUTED_VALUE"""),"Privado")</f>
        <v>Privado</v>
      </c>
      <c r="BK176" s="27" t="str">
        <f ca="1">IFERROR(__xludf.DUMMYFUNCTION("""COMPUTED_VALUE"""),"Rua Camapuan")</f>
        <v>Rua Camapuan</v>
      </c>
      <c r="BL176" s="27" t="str">
        <f ca="1">IFERROR(__xludf.DUMMYFUNCTION("""COMPUTED_VALUE"""),"183 - apartamento 04")</f>
        <v>183 - apartamento 04</v>
      </c>
      <c r="BM176" s="27">
        <f ca="1">IFERROR(__xludf.DUMMYFUNCTION("""COMPUTED_VALUE"""),4)</f>
        <v>4</v>
      </c>
      <c r="BN176" s="27"/>
      <c r="BO176" s="27" t="str">
        <f ca="1">IFERROR(__xludf.DUMMYFUNCTION("""COMPUTED_VALUE"""),"30431-035")</f>
        <v>30431-035</v>
      </c>
      <c r="BP176" s="27" t="str">
        <f ca="1">IFERROR(__xludf.DUMMYFUNCTION("""COMPUTED_VALUE"""),"MG")</f>
        <v>MG</v>
      </c>
      <c r="BQ176" s="27" t="str">
        <f ca="1">IFERROR(__xludf.DUMMYFUNCTION("""COMPUTED_VALUE"""),"De 3 até 5 salários mínimos")</f>
        <v>De 3 até 5 salários mínimos</v>
      </c>
      <c r="BR176" s="27" t="str">
        <f ca="1">IFERROR(__xludf.DUMMYFUNCTION("""COMPUTED_VALUE"""),"CLT")</f>
        <v>CLT</v>
      </c>
      <c r="BS176" s="27" t="str">
        <f ca="1">IFERROR(__xludf.DUMMYFUNCTION("""COMPUTED_VALUE"""),"Aluguel")</f>
        <v>Aluguel</v>
      </c>
      <c r="BT176" s="27">
        <f ca="1">IFERROR(__xludf.DUMMYFUNCTION("""COMPUTED_VALUE"""),2)</f>
        <v>2</v>
      </c>
      <c r="BU176" s="27" t="str">
        <f ca="1">IFERROR(__xludf.DUMMYFUNCTION("""COMPUTED_VALUE"""),"Não tem")</f>
        <v>Não tem</v>
      </c>
      <c r="BV176" s="27" t="str">
        <f ca="1">IFERROR(__xludf.DUMMYFUNCTION("""COMPUTED_VALUE"""),"Não")</f>
        <v>Não</v>
      </c>
      <c r="BW176" s="27"/>
      <c r="BX176" s="21" t="str">
        <f ca="1">IFERROR(__xludf.DUMMYFUNCTION("""COMPUTED_VALUE"""),"https://www.instagram.com/brunasguedes/")</f>
        <v>https://www.instagram.com/brunasguedes/</v>
      </c>
      <c r="BY176" s="21" t="str">
        <f ca="1">IFERROR(__xludf.DUMMYFUNCTION("""COMPUTED_VALUE"""),"https://drive.google.com/open?id=1S2ToFED9nE09Ebig4UTkVvtoROWPtlrm")</f>
        <v>https://drive.google.com/open?id=1S2ToFED9nE09Ebig4UTkVvtoROWPtlrm</v>
      </c>
    </row>
    <row r="177" spans="1:77" ht="12.5" hidden="1" x14ac:dyDescent="0.25">
      <c r="A177" s="21" t="str">
        <f ca="1">IFERROR(__xludf.DUMMYFUNCTION("""COMPUTED_VALUE"""),"0014P00003YSp9bQAD")</f>
        <v>0014P00003YSp9bQAD</v>
      </c>
      <c r="B177" s="27" t="str">
        <f ca="1">IFERROR(__xludf.DUMMYFUNCTION("""COMPUTED_VALUE"""),"Fase Estruturação")</f>
        <v>Fase Estruturação</v>
      </c>
      <c r="C177" s="27" t="str">
        <f ca="1">IFERROR(__xludf.DUMMYFUNCTION("""COMPUTED_VALUE"""),"Fellow")</f>
        <v>Fellow</v>
      </c>
      <c r="D177" s="27" t="str">
        <f ca="1">IFERROR(__xludf.DUMMYFUNCTION("""COMPUTED_VALUE"""),"Ativo")</f>
        <v>Ativo</v>
      </c>
      <c r="E177" s="27" t="str">
        <f ca="1">IFERROR(__xludf.DUMMYFUNCTION("""COMPUTED_VALUE"""),"C.A.E.F.A - Centro de Apoio a Educação e Formação do Adolescente")</f>
        <v>C.A.E.F.A - Centro de Apoio a Educação e Formação do Adolescente</v>
      </c>
      <c r="F177" s="27" t="str">
        <f ca="1">IFERROR(__xludf.DUMMYFUNCTION("""COMPUTED_VALUE"""),"Marlene")</f>
        <v>Marlene</v>
      </c>
      <c r="G177" s="27"/>
      <c r="H177" s="27" t="str">
        <f ca="1">IFERROR(__xludf.DUMMYFUNCTION("""COMPUTED_VALUE"""),"47.850.623/0001-17")</f>
        <v>47.850.623/0001-17</v>
      </c>
      <c r="I177" s="27" t="str">
        <f ca="1">IFERROR(__xludf.DUMMYFUNCTION("""COMPUTED_VALUE"""),"José Luis Pereira da Silva")</f>
        <v>José Luis Pereira da Silva</v>
      </c>
      <c r="J177" s="27" t="str">
        <f ca="1">IFERROR(__xludf.DUMMYFUNCTION("""COMPUTED_VALUE"""),"caefa.fernandopolis@hotmail.com")</f>
        <v>caefa.fernandopolis@hotmail.com</v>
      </c>
      <c r="K177" s="27" t="str">
        <f ca="1">IFERROR(__xludf.DUMMYFUNCTION("""COMPUTED_VALUE"""),"(17)99734-2615")</f>
        <v>(17)99734-2615</v>
      </c>
      <c r="L177" s="27" t="str">
        <f ca="1">IFERROR(__xludf.DUMMYFUNCTION("""COMPUTED_VALUE"""),"SP")</f>
        <v>SP</v>
      </c>
      <c r="M177" s="27" t="str">
        <f ca="1">IFERROR(__xludf.DUMMYFUNCTION("""COMPUTED_VALUE"""),"Av. Libero de Almeida Silvares, 2906")</f>
        <v>Av. Libero de Almeida Silvares, 2906</v>
      </c>
      <c r="N177" s="27" t="str">
        <f ca="1">IFERROR(__xludf.DUMMYFUNCTION("""COMPUTED_VALUE"""),"Coester")</f>
        <v>Coester</v>
      </c>
      <c r="O177" s="27">
        <f ca="1">IFERROR(__xludf.DUMMYFUNCTION("""COMPUTED_VALUE"""),2906)</f>
        <v>2906</v>
      </c>
      <c r="P177" s="27" t="str">
        <f ca="1">IFERROR(__xludf.DUMMYFUNCTION("""COMPUTED_VALUE"""),"Fernandópolis")</f>
        <v>Fernandópolis</v>
      </c>
      <c r="Q177" s="27"/>
      <c r="R177" s="27" t="str">
        <f ca="1">IFERROR(__xludf.DUMMYFUNCTION("""COMPUTED_VALUE"""),"15603-087")</f>
        <v>15603-087</v>
      </c>
      <c r="S177" s="27"/>
      <c r="T177" s="27" t="str">
        <f ca="1">IFERROR(__xludf.DUMMYFUNCTION("""COMPUTED_VALUE"""),"Assistência Social; Qualificação Profissional")</f>
        <v>Assistência Social; Qualificação Profissional</v>
      </c>
      <c r="U177" s="27" t="str">
        <f ca="1">IFERROR(__xludf.DUMMYFUNCTION("""COMPUTED_VALUE"""),"Adolescentes (12 aos 18 anos); Jovens (18 aos 24 anos)")</f>
        <v>Adolescentes (12 aos 18 anos); Jovens (18 aos 24 anos)</v>
      </c>
      <c r="V177" s="27" t="str">
        <f ca="1">IFERROR(__xludf.DUMMYFUNCTION("""COMPUTED_VALUE"""),"Outros")</f>
        <v>Outros</v>
      </c>
      <c r="W177" s="27">
        <f ca="1">IFERROR(__xludf.DUMMYFUNCTION("""COMPUTED_VALUE"""),20)</f>
        <v>20</v>
      </c>
      <c r="X177" s="27" t="str">
        <f ca="1">IFERROR(__xludf.DUMMYFUNCTION("""COMPUTED_VALUE"""),"No município não existe mais favelas mas sim bairros com grande vulnerabilidade social e financeira. (Santo Antônio Paulistano Ipanema São Francisco Distr Brasitânia Araguaia Uirapuru Redentor Jaime Leone Paulista Brasilândia Eldorado).")</f>
        <v>No município não existe mais favelas mas sim bairros com grande vulnerabilidade social e financeira. (Santo Antônio Paulistano Ipanema São Francisco Distr Brasitânia Araguaia Uirapuru Redentor Jaime Leone Paulista Brasilândia Eldorado).</v>
      </c>
      <c r="Y177" s="27"/>
      <c r="Z177" s="27">
        <f ca="1">IFERROR(__xludf.DUMMYFUNCTION("""COMPUTED_VALUE"""),250)</f>
        <v>250</v>
      </c>
      <c r="AA177" s="29">
        <f ca="1">IFERROR(__xludf.DUMMYFUNCTION("""COMPUTED_VALUE"""),25575)</f>
        <v>25575</v>
      </c>
      <c r="AB177" s="27" t="str">
        <f ca="1">IFERROR(__xludf.DUMMYFUNCTION("""COMPUTED_VALUE"""),"Sim")</f>
        <v>Sim</v>
      </c>
      <c r="AC177" s="27">
        <f ca="1">IFERROR(__xludf.DUMMYFUNCTION("""COMPUTED_VALUE"""),8)</f>
        <v>8</v>
      </c>
      <c r="AD177" s="27">
        <f ca="1">IFERROR(__xludf.DUMMYFUNCTION("""COMPUTED_VALUE"""),6)</f>
        <v>6</v>
      </c>
      <c r="AE177" s="27">
        <f ca="1">IFERROR(__xludf.DUMMYFUNCTION("""COMPUTED_VALUE"""),0)</f>
        <v>0</v>
      </c>
      <c r="AF177" s="27">
        <f ca="1">IFERROR(__xludf.DUMMYFUNCTION("""COMPUTED_VALUE"""),0)</f>
        <v>0</v>
      </c>
      <c r="AG177" s="27">
        <f ca="1">IFERROR(__xludf.DUMMYFUNCTION("""COMPUTED_VALUE"""),3)</f>
        <v>3</v>
      </c>
      <c r="AH177" s="27" t="str">
        <f ca="1">IFERROR(__xludf.DUMMYFUNCTION("""COMPUTED_VALUE"""),"Eventos/Ações para captação; Editais; FIA; Recursos próprios")</f>
        <v>Eventos/Ações para captação; Editais; FIA; Recursos próprios</v>
      </c>
      <c r="AI177" s="27" t="str">
        <f ca="1">IFERROR(__xludf.DUMMYFUNCTION("""COMPUTED_VALUE"""),"CMDCA")</f>
        <v>CMDCA</v>
      </c>
      <c r="AJ177" s="27"/>
      <c r="AK177" s="27"/>
      <c r="AL177" s="21" t="str">
        <f ca="1">IFERROR(__xludf.DUMMYFUNCTION("""COMPUTED_VALUE"""),"0034P000045kxkD")</f>
        <v>0034P000045kxkD</v>
      </c>
      <c r="AM177" s="27" t="str">
        <f ca="1">IFERROR(__xludf.DUMMYFUNCTION("""COMPUTED_VALUE"""),"Lima De Carvalho Marques")</f>
        <v>Lima De Carvalho Marques</v>
      </c>
      <c r="AN177" s="27" t="str">
        <f ca="1">IFERROR(__xludf.DUMMYFUNCTION("""COMPUTED_VALUE"""),"Ativo")</f>
        <v>Ativo</v>
      </c>
      <c r="AO177" s="30">
        <f ca="1">IFERROR(__xludf.DUMMYFUNCTION("""COMPUTED_VALUE"""),44551)</f>
        <v>44551</v>
      </c>
      <c r="AP177" s="27">
        <f ca="1">IFERROR(__xludf.DUMMYFUNCTION("""COMPUTED_VALUE"""),9)</f>
        <v>9</v>
      </c>
      <c r="AQ177" s="27" t="str">
        <f ca="1">IFERROR(__xludf.DUMMYFUNCTION("""COMPUTED_VALUE"""),"Segundo Semestre 2021")</f>
        <v>Segundo Semestre 2021</v>
      </c>
      <c r="AR177" s="27" t="str">
        <f ca="1">IFERROR(__xludf.DUMMYFUNCTION("""COMPUTED_VALUE"""),"marlenemarques714@gmail.com")</f>
        <v>marlenemarques714@gmail.com</v>
      </c>
      <c r="AS177" s="27" t="str">
        <f ca="1">IFERROR(__xludf.DUMMYFUNCTION("""COMPUTED_VALUE"""),"(17)99734-2615")</f>
        <v>(17)99734-2615</v>
      </c>
      <c r="AT177" s="29">
        <f ca="1">IFERROR(__xludf.DUMMYFUNCTION("""COMPUTED_VALUE"""),27494)</f>
        <v>27494</v>
      </c>
      <c r="AU177" s="27">
        <f ca="1">IFERROR(__xludf.DUMMYFUNCTION("""COMPUTED_VALUE"""),47)</f>
        <v>47</v>
      </c>
      <c r="AV177" s="27">
        <f ca="1">IFERROR(__xludf.DUMMYFUNCTION("""COMPUTED_VALUE"""),21304657817)</f>
        <v>21304657817</v>
      </c>
      <c r="AW177" s="27">
        <f ca="1">IFERROR(__xludf.DUMMYFUNCTION("""COMPUTED_VALUE"""),255115428)</f>
        <v>255115428</v>
      </c>
      <c r="AX177" s="27"/>
      <c r="AY177" s="27"/>
      <c r="AZ177" s="27" t="str">
        <f ca="1">IFERROR(__xludf.DUMMYFUNCTION("""COMPUTED_VALUE"""),"GG")</f>
        <v>GG</v>
      </c>
      <c r="BA177" s="27" t="str">
        <f ca="1">IFERROR(__xludf.DUMMYFUNCTION("""COMPUTED_VALUE"""),"Branca")</f>
        <v>Branca</v>
      </c>
      <c r="BB177" s="27" t="str">
        <f ca="1">IFERROR(__xludf.DUMMYFUNCTION("""COMPUTED_VALUE"""),"Mulher, cisgênero")</f>
        <v>Mulher, cisgênero</v>
      </c>
      <c r="BC177" s="27" t="str">
        <f ca="1">IFERROR(__xludf.DUMMYFUNCTION("""COMPUTED_VALUE"""),"Sim")</f>
        <v>Sim</v>
      </c>
      <c r="BD177" s="27" t="str">
        <f ca="1">IFERROR(__xludf.DUMMYFUNCTION("""COMPUTED_VALUE"""),"Marlene Marques, formada em Geografia e Serviços Sociais, atualmente desenvolvo atividades na área social com a função de coordenadora junto a OSC CAEFA - Centro de Apoio a Educação e Formação do Adolescente, sendo que de 2009 a 2016 estive como Assistent"&amp;"e Social, sou casada, tenho um filho, cristã e gosto de atividades ao ar livre. Fui militante de Conselho de Direitos por 15 anos, (CMDCA /CMAS). Gosto de estar envolvida em causas sociais e fazendo a diferença na vida do outro.")</f>
        <v>Marlene Marques, formada em Geografia e Serviços Sociais, atualmente desenvolvo atividades na área social com a função de coordenadora junto a OSC CAEFA - Centro de Apoio a Educação e Formação do Adolescente, sendo que de 2009 a 2016 estive como Assistente Social, sou casada, tenho um filho, cristã e gosto de atividades ao ar livre. Fui militante de Conselho de Direitos por 15 anos, (CMDCA /CMAS). Gosto de estar envolvida em causas sociais e fazendo a diferença na vida do outro.</v>
      </c>
      <c r="BE177" s="27"/>
      <c r="BF177" s="27" t="str">
        <f ca="1">IFERROR(__xludf.DUMMYFUNCTION("""COMPUTED_VALUE"""),"Heterossexual")</f>
        <v>Heterossexual</v>
      </c>
      <c r="BG177" s="27" t="str">
        <f ca="1">IFERROR(__xludf.DUMMYFUNCTION("""COMPUTED_VALUE"""),"Ensino Superior - Completo")</f>
        <v>Ensino Superior - Completo</v>
      </c>
      <c r="BH177" s="27" t="str">
        <f ca="1">IFERROR(__xludf.DUMMYFUNCTION("""COMPUTED_VALUE"""),"Público")</f>
        <v>Público</v>
      </c>
      <c r="BI177" s="27" t="str">
        <f ca="1">IFERROR(__xludf.DUMMYFUNCTION("""COMPUTED_VALUE"""),"Pós-Graduação")</f>
        <v>Pós-Graduação</v>
      </c>
      <c r="BJ177" s="27" t="str">
        <f ca="1">IFERROR(__xludf.DUMMYFUNCTION("""COMPUTED_VALUE"""),"Privado")</f>
        <v>Privado</v>
      </c>
      <c r="BK177" s="27" t="str">
        <f ca="1">IFERROR(__xludf.DUMMYFUNCTION("""COMPUTED_VALUE"""),"Rua Ceará")</f>
        <v>Rua Ceará</v>
      </c>
      <c r="BL177" s="27">
        <f ca="1">IFERROR(__xludf.DUMMYFUNCTION("""COMPUTED_VALUE"""),570)</f>
        <v>570</v>
      </c>
      <c r="BM177" s="27"/>
      <c r="BN177" s="27" t="str">
        <f ca="1">IFERROR(__xludf.DUMMYFUNCTION("""COMPUTED_VALUE"""),"Fernandópolis")</f>
        <v>Fernandópolis</v>
      </c>
      <c r="BO177" s="27" t="str">
        <f ca="1">IFERROR(__xludf.DUMMYFUNCTION("""COMPUTED_VALUE"""),"15606-612")</f>
        <v>15606-612</v>
      </c>
      <c r="BP177" s="27" t="str">
        <f ca="1">IFERROR(__xludf.DUMMYFUNCTION("""COMPUTED_VALUE"""),"SP")</f>
        <v>SP</v>
      </c>
      <c r="BQ177" s="27" t="str">
        <f ca="1">IFERROR(__xludf.DUMMYFUNCTION("""COMPUTED_VALUE"""),"De 3 até 5 salários mínimos")</f>
        <v>De 3 até 5 salários mínimos</v>
      </c>
      <c r="BR177" s="27" t="str">
        <f ca="1">IFERROR(__xludf.DUMMYFUNCTION("""COMPUTED_VALUE"""),"CLT")</f>
        <v>CLT</v>
      </c>
      <c r="BS177" s="27" t="str">
        <f ca="1">IFERROR(__xludf.DUMMYFUNCTION("""COMPUTED_VALUE"""),"Aluguel")</f>
        <v>Aluguel</v>
      </c>
      <c r="BT177" s="27">
        <f ca="1">IFERROR(__xludf.DUMMYFUNCTION("""COMPUTED_VALUE"""),3)</f>
        <v>3</v>
      </c>
      <c r="BU177" s="27" t="str">
        <f ca="1">IFERROR(__xludf.DUMMYFUNCTION("""COMPUTED_VALUE"""),"Não tem")</f>
        <v>Não tem</v>
      </c>
      <c r="BV177" s="27" t="str">
        <f ca="1">IFERROR(__xludf.DUMMYFUNCTION("""COMPUTED_VALUE"""),"Carne de porco")</f>
        <v>Carne de porco</v>
      </c>
      <c r="BW177" s="27"/>
      <c r="BX177" s="21" t="str">
        <f ca="1">IFERROR(__xludf.DUMMYFUNCTION("""COMPUTED_VALUE"""),"https://www.instagram.com/marlenemarques7.1.4/")</f>
        <v>https://www.instagram.com/marlenemarques7.1.4/</v>
      </c>
      <c r="BY177" s="21" t="str">
        <f ca="1">IFERROR(__xludf.DUMMYFUNCTION("""COMPUTED_VALUE"""),"https://drive.google.com/open?id=1GWC2tXOiT-F5OV5Lc-zwso3yFJpkOiI_")</f>
        <v>https://drive.google.com/open?id=1GWC2tXOiT-F5OV5Lc-zwso3yFJpkOiI_</v>
      </c>
    </row>
    <row r="178" spans="1:77" ht="12.5" hidden="1" x14ac:dyDescent="0.25">
      <c r="A178" s="21" t="str">
        <f ca="1">IFERROR(__xludf.DUMMYFUNCTION("""COMPUTED_VALUE"""),"0014P00003YSp8gQAD")</f>
        <v>0014P00003YSp8gQAD</v>
      </c>
      <c r="B178" s="27" t="str">
        <f ca="1">IFERROR(__xludf.DUMMYFUNCTION("""COMPUTED_VALUE"""),"Fase Inicial")</f>
        <v>Fase Inicial</v>
      </c>
      <c r="C178" s="27" t="str">
        <f ca="1">IFERROR(__xludf.DUMMYFUNCTION("""COMPUTED_VALUE"""),"Fellow")</f>
        <v>Fellow</v>
      </c>
      <c r="D178" s="27" t="str">
        <f ca="1">IFERROR(__xludf.DUMMYFUNCTION("""COMPUTED_VALUE"""),"Ativo")</f>
        <v>Ativo</v>
      </c>
      <c r="E178" s="27" t="str">
        <f ca="1">IFERROR(__xludf.DUMMYFUNCTION("""COMPUTED_VALUE"""),"Caçadores")</f>
        <v>Caçadores</v>
      </c>
      <c r="F178" s="27" t="str">
        <f ca="1">IFERROR(__xludf.DUMMYFUNCTION("""COMPUTED_VALUE"""),"André")</f>
        <v>André</v>
      </c>
      <c r="G178" s="27" t="str">
        <f ca="1">IFERROR(__xludf.DUMMYFUNCTION("""COMPUTED_VALUE"""),"Caçadores")</f>
        <v>Caçadores</v>
      </c>
      <c r="H178" s="27"/>
      <c r="I178" s="27" t="str">
        <f ca="1">IFERROR(__xludf.DUMMYFUNCTION("""COMPUTED_VALUE"""),"Andre santos da silva")</f>
        <v>Andre santos da silva</v>
      </c>
      <c r="J178" s="27" t="str">
        <f ca="1">IFERROR(__xludf.DUMMYFUNCTION("""COMPUTED_VALUE"""),"andrechatubamma@gmail.com")</f>
        <v>andrechatubamma@gmail.com</v>
      </c>
      <c r="K178" s="27" t="str">
        <f ca="1">IFERROR(__xludf.DUMMYFUNCTION("""COMPUTED_VALUE"""),"(21)98870-0144")</f>
        <v>(21)98870-0144</v>
      </c>
      <c r="L178" s="27" t="str">
        <f ca="1">IFERROR(__xludf.DUMMYFUNCTION("""COMPUTED_VALUE"""),"RJ")</f>
        <v>RJ</v>
      </c>
      <c r="M178" s="27" t="str">
        <f ca="1">IFERROR(__xludf.DUMMYFUNCTION("""COMPUTED_VALUE"""),"Rua são vicente de paula")</f>
        <v>Rua são vicente de paula</v>
      </c>
      <c r="N178" s="27" t="str">
        <f ca="1">IFERROR(__xludf.DUMMYFUNCTION("""COMPUTED_VALUE"""),"Penha")</f>
        <v>Penha</v>
      </c>
      <c r="O178" s="27">
        <f ca="1">IFERROR(__xludf.DUMMYFUNCTION("""COMPUTED_VALUE"""),625)</f>
        <v>625</v>
      </c>
      <c r="P178" s="27" t="str">
        <f ca="1">IFERROR(__xludf.DUMMYFUNCTION("""COMPUTED_VALUE"""),"Rio de janeiro")</f>
        <v>Rio de janeiro</v>
      </c>
      <c r="Q178" s="27" t="str">
        <f ca="1">IFERROR(__xludf.DUMMYFUNCTION("""COMPUTED_VALUE"""),"R. São Vicente de Paula 625 - Pe Vila Cruzeiro/complexo da Penha. CIEP Deputado José Carlos Brandão Monteiro")</f>
        <v>R. São Vicente de Paula 625 - Pe Vila Cruzeiro/complexo da Penha. CIEP Deputado José Carlos Brandão Monteiro</v>
      </c>
      <c r="R178" s="27" t="str">
        <f ca="1">IFERROR(__xludf.DUMMYFUNCTION("""COMPUTED_VALUE"""),"21072-190")</f>
        <v>21072-190</v>
      </c>
      <c r="S178" s="27"/>
      <c r="T178" s="27" t="str">
        <f ca="1">IFERROR(__xludf.DUMMYFUNCTION("""COMPUTED_VALUE"""),"Esporte")</f>
        <v>Esporte</v>
      </c>
      <c r="U178" s="27" t="str">
        <f ca="1">IFERROR(__xludf.DUMMYFUNCTION("""COMPUTED_VALUE"""),"Adolescentes (12 aos 18 anos); Jovens (18 aos 24 anos); Adultos")</f>
        <v>Adolescentes (12 aos 18 anos); Jovens (18 aos 24 anos); Adultos</v>
      </c>
      <c r="V178" s="27" t="str">
        <f ca="1">IFERROR(__xludf.DUMMYFUNCTION("""COMPUTED_VALUE"""),"Moradores de Favelas")</f>
        <v>Moradores de Favelas</v>
      </c>
      <c r="W178" s="27">
        <f ca="1">IFERROR(__xludf.DUMMYFUNCTION("""COMPUTED_VALUE"""),2)</f>
        <v>2</v>
      </c>
      <c r="X178" s="27"/>
      <c r="Y178" s="27"/>
      <c r="Z178" s="27">
        <f ca="1">IFERROR(__xludf.DUMMYFUNCTION("""COMPUTED_VALUE"""),60)</f>
        <v>60</v>
      </c>
      <c r="AA178" s="29">
        <f ca="1">IFERROR(__xludf.DUMMYFUNCTION("""COMPUTED_VALUE"""),40915)</f>
        <v>40915</v>
      </c>
      <c r="AB178" s="27" t="str">
        <f ca="1">IFERROR(__xludf.DUMMYFUNCTION("""COMPUTED_VALUE"""),"Não")</f>
        <v>Não</v>
      </c>
      <c r="AC178" s="27">
        <f ca="1">IFERROR(__xludf.DUMMYFUNCTION("""COMPUTED_VALUE"""),4)</f>
        <v>4</v>
      </c>
      <c r="AD178" s="27">
        <f ca="1">IFERROR(__xludf.DUMMYFUNCTION("""COMPUTED_VALUE"""),0)</f>
        <v>0</v>
      </c>
      <c r="AE178" s="27">
        <f ca="1">IFERROR(__xludf.DUMMYFUNCTION("""COMPUTED_VALUE"""),6)</f>
        <v>6</v>
      </c>
      <c r="AF178" s="27">
        <f ca="1">IFERROR(__xludf.DUMMYFUNCTION("""COMPUTED_VALUE"""),6)</f>
        <v>6</v>
      </c>
      <c r="AG178" s="27">
        <f ca="1">IFERROR(__xludf.DUMMYFUNCTION("""COMPUTED_VALUE"""),2)</f>
        <v>2</v>
      </c>
      <c r="AH178" s="27" t="str">
        <f ca="1">IFERROR(__xludf.DUMMYFUNCTION("""COMPUTED_VALUE"""),"Outro(s)")</f>
        <v>Outro(s)</v>
      </c>
      <c r="AI178" s="27" t="str">
        <f ca="1">IFERROR(__xludf.DUMMYFUNCTION("""COMPUTED_VALUE"""),"Não sei o que é isso")</f>
        <v>Não sei o que é isso</v>
      </c>
      <c r="AJ178" s="27"/>
      <c r="AK178" s="27"/>
      <c r="AL178" s="21" t="str">
        <f ca="1">IFERROR(__xludf.DUMMYFUNCTION("""COMPUTED_VALUE"""),"0034P000045kxjH")</f>
        <v>0034P000045kxjH</v>
      </c>
      <c r="AM178" s="27" t="str">
        <f ca="1">IFERROR(__xludf.DUMMYFUNCTION("""COMPUTED_VALUE"""),"Santos Da Silva")</f>
        <v>Santos Da Silva</v>
      </c>
      <c r="AN178" s="27" t="str">
        <f ca="1">IFERROR(__xludf.DUMMYFUNCTION("""COMPUTED_VALUE"""),"Ativo")</f>
        <v>Ativo</v>
      </c>
      <c r="AO178" s="30">
        <f ca="1">IFERROR(__xludf.DUMMYFUNCTION("""COMPUTED_VALUE"""),44551)</f>
        <v>44551</v>
      </c>
      <c r="AP178" s="27">
        <f ca="1">IFERROR(__xludf.DUMMYFUNCTION("""COMPUTED_VALUE"""),9)</f>
        <v>9</v>
      </c>
      <c r="AQ178" s="27" t="str">
        <f ca="1">IFERROR(__xludf.DUMMYFUNCTION("""COMPUTED_VALUE"""),"Segundo Semestre 2021")</f>
        <v>Segundo Semestre 2021</v>
      </c>
      <c r="AR178" s="27" t="str">
        <f ca="1">IFERROR(__xludf.DUMMYFUNCTION("""COMPUTED_VALUE"""),"andrechatubamma@gmail.com")</f>
        <v>andrechatubamma@gmail.com</v>
      </c>
      <c r="AS178" s="27" t="str">
        <f ca="1">IFERROR(__xludf.DUMMYFUNCTION("""COMPUTED_VALUE"""),"(21)98870-0144")</f>
        <v>(21)98870-0144</v>
      </c>
      <c r="AT178" s="29">
        <f ca="1">IFERROR(__xludf.DUMMYFUNCTION("""COMPUTED_VALUE"""),29799)</f>
        <v>29799</v>
      </c>
      <c r="AU178" s="27">
        <f ca="1">IFERROR(__xludf.DUMMYFUNCTION("""COMPUTED_VALUE"""),41)</f>
        <v>41</v>
      </c>
      <c r="AV178" s="27">
        <f ca="1">IFERROR(__xludf.DUMMYFUNCTION("""COMPUTED_VALUE"""),9408752767)</f>
        <v>9408752767</v>
      </c>
      <c r="AW178" s="27" t="str">
        <f ca="1">IFERROR(__xludf.DUMMYFUNCTION("""COMPUTED_VALUE"""),"11544333-5")</f>
        <v>11544333-5</v>
      </c>
      <c r="AX178" s="27"/>
      <c r="AY178" s="27"/>
      <c r="AZ178" s="27" t="str">
        <f ca="1">IFERROR(__xludf.DUMMYFUNCTION("""COMPUTED_VALUE"""),"GG")</f>
        <v>GG</v>
      </c>
      <c r="BA178" s="27" t="str">
        <f ca="1">IFERROR(__xludf.DUMMYFUNCTION("""COMPUTED_VALUE"""),"Parda")</f>
        <v>Parda</v>
      </c>
      <c r="BB178" s="27" t="str">
        <f ca="1">IFERROR(__xludf.DUMMYFUNCTION("""COMPUTED_VALUE"""),"Homem, cisgênero")</f>
        <v>Homem, cisgênero</v>
      </c>
      <c r="BC178" s="27" t="str">
        <f ca="1">IFERROR(__xludf.DUMMYFUNCTION("""COMPUTED_VALUE"""),"Não")</f>
        <v>Não</v>
      </c>
      <c r="BD178" s="27" t="str">
        <f ca="1">IFERROR(__xludf.DUMMYFUNCTION("""COMPUTED_VALUE"""),"Eu sou André Santos, nascido no Rio de janeiro, morador do complexo da Penha, conhecido no mundo das artes marciais como André Chatuba,  lutador internacional de mma.  Fundei o projeto em sua comunidade no ano de 2012, logo após criar um espaço para refor"&amp;"çar os meus treinos profissional. A partir daí percebi a referência que havia me tornado para minha comunidade.")</f>
        <v>Eu sou André Santos, nascido no Rio de janeiro, morador do complexo da Penha, conhecido no mundo das artes marciais como André Chatuba,  lutador internacional de mma.  Fundei o projeto em sua comunidade no ano de 2012, logo após criar um espaço para reforçar os meus treinos profissional. A partir daí percebi a referência que havia me tornado para minha comunidade.</v>
      </c>
      <c r="BE178" s="27"/>
      <c r="BF178" s="27" t="str">
        <f ca="1">IFERROR(__xludf.DUMMYFUNCTION("""COMPUTED_VALUE"""),"Heterossexual")</f>
        <v>Heterossexual</v>
      </c>
      <c r="BG178" s="27" t="str">
        <f ca="1">IFERROR(__xludf.DUMMYFUNCTION("""COMPUTED_VALUE"""),"Ensino Médio - Completo")</f>
        <v>Ensino Médio - Completo</v>
      </c>
      <c r="BH178" s="27" t="str">
        <f ca="1">IFERROR(__xludf.DUMMYFUNCTION("""COMPUTED_VALUE"""),"Pública")</f>
        <v>Pública</v>
      </c>
      <c r="BI178" s="27"/>
      <c r="BJ178" s="27"/>
      <c r="BK178" s="27" t="str">
        <f ca="1">IFERROR(__xludf.DUMMYFUNCTION("""COMPUTED_VALUE"""),"Rua Paul muller")</f>
        <v>Rua Paul muller</v>
      </c>
      <c r="BL178" s="27">
        <f ca="1">IFERROR(__xludf.DUMMYFUNCTION("""COMPUTED_VALUE"""),310)</f>
        <v>310</v>
      </c>
      <c r="BM178" s="27" t="str">
        <f ca="1">IFERROR(__xludf.DUMMYFUNCTION("""COMPUTED_VALUE"""),"101 fundos")</f>
        <v>101 fundos</v>
      </c>
      <c r="BN178" s="27" t="str">
        <f ca="1">IFERROR(__xludf.DUMMYFUNCTION("""COMPUTED_VALUE"""),"Rio de janeiro")</f>
        <v>Rio de janeiro</v>
      </c>
      <c r="BO178" s="27" t="str">
        <f ca="1">IFERROR(__xludf.DUMMYFUNCTION("""COMPUTED_VALUE"""),"21070-550")</f>
        <v>21070-550</v>
      </c>
      <c r="BP178" s="27" t="str">
        <f ca="1">IFERROR(__xludf.DUMMYFUNCTION("""COMPUTED_VALUE"""),"RJ")</f>
        <v>RJ</v>
      </c>
      <c r="BQ178" s="27" t="str">
        <f ca="1">IFERROR(__xludf.DUMMYFUNCTION("""COMPUTED_VALUE"""),"Entre 1 até 3 salários mínimos")</f>
        <v>Entre 1 até 3 salários mínimos</v>
      </c>
      <c r="BR178" s="27" t="str">
        <f ca="1">IFERROR(__xludf.DUMMYFUNCTION("""COMPUTED_VALUE"""),"MEI")</f>
        <v>MEI</v>
      </c>
      <c r="BS178" s="27" t="str">
        <f ca="1">IFERROR(__xludf.DUMMYFUNCTION("""COMPUTED_VALUE"""),"Casa própria")</f>
        <v>Casa própria</v>
      </c>
      <c r="BT178" s="27">
        <f ca="1">IFERROR(__xludf.DUMMYFUNCTION("""COMPUTED_VALUE"""),1)</f>
        <v>1</v>
      </c>
      <c r="BU178" s="27" t="str">
        <f ca="1">IFERROR(__xludf.DUMMYFUNCTION("""COMPUTED_VALUE"""),"Não tem")</f>
        <v>Não tem</v>
      </c>
      <c r="BV178" s="27"/>
      <c r="BW178" s="27"/>
      <c r="BX178" s="21" t="str">
        <f ca="1">IFERROR(__xludf.DUMMYFUNCTION("""COMPUTED_VALUE"""),"https://instagram.com/andrechatubamma?utm_medium=copy_link")</f>
        <v>https://instagram.com/andrechatubamma?utm_medium=copy_link</v>
      </c>
      <c r="BY178" s="21" t="str">
        <f ca="1">IFERROR(__xludf.DUMMYFUNCTION("""COMPUTED_VALUE"""),"https://drive.google.com/open?id=1BlrfQHTbmqa4C4XH0KoP17kROuhqCxWo")</f>
        <v>https://drive.google.com/open?id=1BlrfQHTbmqa4C4XH0KoP17kROuhqCxWo</v>
      </c>
    </row>
    <row r="179" spans="1:77" ht="12.5" hidden="1" x14ac:dyDescent="0.25">
      <c r="A179" s="21" t="str">
        <f ca="1">IFERROR(__xludf.DUMMYFUNCTION("""COMPUTED_VALUE"""),"0014X00002VKCtCQAX")</f>
        <v>0014X00002VKCtCQAX</v>
      </c>
      <c r="B179" s="27" t="str">
        <f ca="1">IFERROR(__xludf.DUMMYFUNCTION("""COMPUTED_VALUE"""),"Fase Inicial")</f>
        <v>Fase Inicial</v>
      </c>
      <c r="C179" s="27" t="str">
        <f ca="1">IFERROR(__xludf.DUMMYFUNCTION("""COMPUTED_VALUE"""),"Fellow")</f>
        <v>Fellow</v>
      </c>
      <c r="D179" s="27" t="str">
        <f ca="1">IFERROR(__xludf.DUMMYFUNCTION("""COMPUTED_VALUE"""),"Ativo")</f>
        <v>Ativo</v>
      </c>
      <c r="E179" s="27" t="str">
        <f ca="1">IFERROR(__xludf.DUMMYFUNCTION("""COMPUTED_VALUE"""),"CAISCA - Centro de Artes e Integração Social para Crianças e Adolescente")</f>
        <v>CAISCA - Centro de Artes e Integração Social para Crianças e Adolescente</v>
      </c>
      <c r="F179" s="27" t="str">
        <f ca="1">IFERROR(__xludf.DUMMYFUNCTION("""COMPUTED_VALUE"""),"ALEXANDRE")</f>
        <v>ALEXANDRE</v>
      </c>
      <c r="G179" s="27" t="str">
        <f ca="1">IFERROR(__xludf.DUMMYFUNCTION("""COMPUTED_VALUE"""),"COMPANHIA DE DANÇAS CAISCA")</f>
        <v>COMPANHIA DE DANÇAS CAISCA</v>
      </c>
      <c r="H179" s="27"/>
      <c r="I179" s="27" t="str">
        <f ca="1">IFERROR(__xludf.DUMMYFUNCTION("""COMPUTED_VALUE"""),"Marcia Kaline Ferreira da Silva")</f>
        <v>Marcia Kaline Ferreira da Silva</v>
      </c>
      <c r="J179" s="27" t="str">
        <f ca="1">IFERROR(__xludf.DUMMYFUNCTION("""COMPUTED_VALUE"""),"ong.caisca.rsa.pb@gmail.com")</f>
        <v>ong.caisca.rsa.pb@gmail.com</v>
      </c>
      <c r="K179" s="27" t="str">
        <f ca="1">IFERROR(__xludf.DUMMYFUNCTION("""COMPUTED_VALUE"""),"(83)98844-3180")</f>
        <v>(83)98844-3180</v>
      </c>
      <c r="L179" s="27" t="str">
        <f ca="1">IFERROR(__xludf.DUMMYFUNCTION("""COMPUTED_VALUE"""),"PB")</f>
        <v>PB</v>
      </c>
      <c r="M179" s="27" t="str">
        <f ca="1">IFERROR(__xludf.DUMMYFUNCTION("""COMPUTED_VALUE"""),"Cel. Demostenes Barbosa")</f>
        <v>Cel. Demostenes Barbosa</v>
      </c>
      <c r="N179" s="27" t="str">
        <f ca="1">IFERROR(__xludf.DUMMYFUNCTION("""COMPUTED_VALUE"""),"Centro")</f>
        <v>Centro</v>
      </c>
      <c r="O179" s="27">
        <f ca="1">IFERROR(__xludf.DUMMYFUNCTION("""COMPUTED_VALUE"""),273)</f>
        <v>273</v>
      </c>
      <c r="P179" s="27" t="str">
        <f ca="1">IFERROR(__xludf.DUMMYFUNCTION("""COMPUTED_VALUE"""),"Riacho de Santo Antônio")</f>
        <v>Riacho de Santo Antônio</v>
      </c>
      <c r="Q179" s="27"/>
      <c r="R179" s="27" t="str">
        <f ca="1">IFERROR(__xludf.DUMMYFUNCTION("""COMPUTED_VALUE"""),"58465-000")</f>
        <v>58465-000</v>
      </c>
      <c r="S179" s="27" t="str">
        <f ca="1">IFERROR(__xludf.DUMMYFUNCTION("""COMPUTED_VALUE"""),"Espaço Multiuso, escola municipal")</f>
        <v>Espaço Multiuso, escola municipal</v>
      </c>
      <c r="T179" s="27"/>
      <c r="U179" s="27" t="str">
        <f ca="1">IFERROR(__xludf.DUMMYFUNCTION("""COMPUTED_VALUE"""),"Crianças (6 a 12 anos), Adolescentes (12 aos 18 anos), Jovens (18 aos 24 anos), Adultos")</f>
        <v>Crianças (6 a 12 anos), Adolescentes (12 aos 18 anos), Jovens (18 aos 24 anos), Adultos</v>
      </c>
      <c r="V179" s="27" t="str">
        <f ca="1">IFERROR(__xludf.DUMMYFUNCTION("""COMPUTED_VALUE"""),"População LGBTQ+, Comunidade rural")</f>
        <v>População LGBTQ+, Comunidade rural</v>
      </c>
      <c r="W179" s="27">
        <f ca="1">IFERROR(__xludf.DUMMYFUNCTION("""COMPUTED_VALUE"""),6)</f>
        <v>6</v>
      </c>
      <c r="X179" s="27"/>
      <c r="Y179" s="27"/>
      <c r="Z179" s="27">
        <f ca="1">IFERROR(__xludf.DUMMYFUNCTION("""COMPUTED_VALUE"""),0)</f>
        <v>0</v>
      </c>
      <c r="AA179" s="29">
        <f ca="1">IFERROR(__xludf.DUMMYFUNCTION("""COMPUTED_VALUE"""),37452)</f>
        <v>37452</v>
      </c>
      <c r="AB179" s="27" t="str">
        <f ca="1">IFERROR(__xludf.DUMMYFUNCTION("""COMPUTED_VALUE"""),"Não")</f>
        <v>Não</v>
      </c>
      <c r="AC179" s="27">
        <f ca="1">IFERROR(__xludf.DUMMYFUNCTION("""COMPUTED_VALUE"""),0)</f>
        <v>0</v>
      </c>
      <c r="AD179" s="27">
        <f ca="1">IFERROR(__xludf.DUMMYFUNCTION("""COMPUTED_VALUE"""),15)</f>
        <v>15</v>
      </c>
      <c r="AE179" s="27">
        <f ca="1">IFERROR(__xludf.DUMMYFUNCTION("""COMPUTED_VALUE"""),15)</f>
        <v>15</v>
      </c>
      <c r="AF179" s="27">
        <f ca="1">IFERROR(__xludf.DUMMYFUNCTION("""COMPUTED_VALUE"""),15)</f>
        <v>15</v>
      </c>
      <c r="AG179" s="27">
        <f ca="1">IFERROR(__xludf.DUMMYFUNCTION("""COMPUTED_VALUE"""),3)</f>
        <v>3</v>
      </c>
      <c r="AH179" s="27" t="str">
        <f ca="1">IFERROR(__xludf.DUMMYFUNCTION("""COMPUTED_VALUE"""),"Eventos/Ações para captação, Outro(s), Doações")</f>
        <v>Eventos/Ações para captação, Outro(s), Doações</v>
      </c>
      <c r="AI179" s="27" t="str">
        <f ca="1">IFERROR(__xludf.DUMMYFUNCTION("""COMPUTED_VALUE"""),"Eventos 70% Doação 20% Outros 10%")</f>
        <v>Eventos 70% Doação 20% Outros 10%</v>
      </c>
      <c r="AJ179" s="27" t="str">
        <f ca="1">IFERROR(__xludf.DUMMYFUNCTION("""COMPUTED_VALUE"""),"Vamos iniciar esse ano")</f>
        <v>Vamos iniciar esse ano</v>
      </c>
      <c r="AK179" s="27"/>
      <c r="AL179" s="21" t="str">
        <f ca="1">IFERROR(__xludf.DUMMYFUNCTION("""COMPUTED_VALUE"""),"0034X0000380O40")</f>
        <v>0034X0000380O40</v>
      </c>
      <c r="AM179" s="27" t="str">
        <f ca="1">IFERROR(__xludf.DUMMYFUNCTION("""COMPUTED_VALUE"""),"De araujo felizardo")</f>
        <v>De araujo felizardo</v>
      </c>
      <c r="AN179" s="27" t="str">
        <f ca="1">IFERROR(__xludf.DUMMYFUNCTION("""COMPUTED_VALUE"""),"Ativo")</f>
        <v>Ativo</v>
      </c>
      <c r="AO179" s="29">
        <f ca="1">IFERROR(__xludf.DUMMYFUNCTION("""COMPUTED_VALUE"""),44763)</f>
        <v>44763</v>
      </c>
      <c r="AP179" s="27">
        <f ca="1">IFERROR(__xludf.DUMMYFUNCTION("""COMPUTED_VALUE"""),2)</f>
        <v>2</v>
      </c>
      <c r="AQ179" s="27" t="str">
        <f ca="1">IFERROR(__xludf.DUMMYFUNCTION("""COMPUTED_VALUE"""),"Primeiro Semestre 2022")</f>
        <v>Primeiro Semestre 2022</v>
      </c>
      <c r="AR179" s="27" t="str">
        <f ca="1">IFERROR(__xludf.DUMMYFUNCTION("""COMPUTED_VALUE"""),"alexandrefelizardo1975@gmail.com")</f>
        <v>alexandrefelizardo1975@gmail.com</v>
      </c>
      <c r="AS179" s="27" t="str">
        <f ca="1">IFERROR(__xludf.DUMMYFUNCTION("""COMPUTED_VALUE"""),"(83)98844-3180")</f>
        <v>(83)98844-3180</v>
      </c>
      <c r="AT179" s="29">
        <f ca="1">IFERROR(__xludf.DUMMYFUNCTION("""COMPUTED_VALUE"""),27500)</f>
        <v>27500</v>
      </c>
      <c r="AU179" s="27">
        <f ca="1">IFERROR(__xludf.DUMMYFUNCTION("""COMPUTED_VALUE"""),47)</f>
        <v>47</v>
      </c>
      <c r="AV179" s="27">
        <f ca="1">IFERROR(__xludf.DUMMYFUNCTION("""COMPUTED_VALUE"""),2851153404)</f>
        <v>2851153404</v>
      </c>
      <c r="AW179" s="27">
        <f ca="1">IFERROR(__xludf.DUMMYFUNCTION("""COMPUTED_VALUE"""),1805651)</f>
        <v>1805651</v>
      </c>
      <c r="AX179" s="27"/>
      <c r="AY179" s="27" t="str">
        <f ca="1">IFERROR(__xludf.DUMMYFUNCTION("""COMPUTED_VALUE"""),"Coordenador e Diretor Artístico")</f>
        <v>Coordenador e Diretor Artístico</v>
      </c>
      <c r="AZ179" s="27" t="str">
        <f ca="1">IFERROR(__xludf.DUMMYFUNCTION("""COMPUTED_VALUE"""),"M")</f>
        <v>M</v>
      </c>
      <c r="BA179" s="27" t="str">
        <f ca="1">IFERROR(__xludf.DUMMYFUNCTION("""COMPUTED_VALUE"""),"Branca")</f>
        <v>Branca</v>
      </c>
      <c r="BB179" s="27"/>
      <c r="BC179" s="27"/>
      <c r="BD179" s="27" t="str">
        <f ca="1">IFERROR(__xludf.DUMMYFUNCTION("""COMPUTED_VALUE"""),"Alexandre Felizardo, 47 anos
Servidor publico - Agente de Desenvolvimento Artístico e Cultural com Pós Graduado em Educação Física, professor da UNIP/PB. Dançarino(Brincante) e Coreografo há 30 anos, com atuação e formação de Grupos Folclóricos do estado "&amp;"da Paraíba, atuação em programas e projetos sociais.
Produtor e Ativista Cultural, responsável e Criador há 20 anos do Centro de Artes e Integração Social para Crianças e Adolescentes – CAISCA na cidade de Riacho de Santo 
Antônio/PB")</f>
        <v>Alexandre Felizardo, 47 anos
Servidor publico - Agente de Desenvolvimento Artístico e Cultural com Pós Graduado em Educação Física, professor da UNIP/PB. Dançarino(Brincante) e Coreografo há 30 anos, com atuação e formação de Grupos Folclóricos do estado da Paraíba, atuação em programas e projetos sociais.
Produtor e Ativista Cultural, responsável e Criador há 20 anos do Centro de Artes e Integração Social para Crianças e Adolescentes – CAISCA na cidade de Riacho de Santo 
Antônio/PB</v>
      </c>
      <c r="BE179" s="27" t="str">
        <f ca="1">IFERROR(__xludf.DUMMYFUNCTION("""COMPUTED_VALUE"""),"Homem, cisgênero")</f>
        <v>Homem, cisgênero</v>
      </c>
      <c r="BF179" s="27" t="str">
        <f ca="1">IFERROR(__xludf.DUMMYFUNCTION("""COMPUTED_VALUE"""),"Heterossexual")</f>
        <v>Heterossexual</v>
      </c>
      <c r="BG179" s="27" t="str">
        <f ca="1">IFERROR(__xludf.DUMMYFUNCTION("""COMPUTED_VALUE"""),"Ensino Superior - Completo")</f>
        <v>Ensino Superior - Completo</v>
      </c>
      <c r="BH179" s="27" t="str">
        <f ca="1">IFERROR(__xludf.DUMMYFUNCTION("""COMPUTED_VALUE"""),"Público")</f>
        <v>Público</v>
      </c>
      <c r="BI179" s="27" t="str">
        <f ca="1">IFERROR(__xludf.DUMMYFUNCTION("""COMPUTED_VALUE"""),"Pós-Graduação")</f>
        <v>Pós-Graduação</v>
      </c>
      <c r="BJ179" s="27" t="str">
        <f ca="1">IFERROR(__xludf.DUMMYFUNCTION("""COMPUTED_VALUE"""),"Público")</f>
        <v>Público</v>
      </c>
      <c r="BK179" s="27" t="str">
        <f ca="1">IFERROR(__xludf.DUMMYFUNCTION("""COMPUTED_VALUE"""),"Escritor Euclides da Cunha")</f>
        <v>Escritor Euclides da Cunha</v>
      </c>
      <c r="BL179" s="27">
        <f ca="1">IFERROR(__xludf.DUMMYFUNCTION("""COMPUTED_VALUE"""),107)</f>
        <v>107</v>
      </c>
      <c r="BM179" s="27"/>
      <c r="BN179" s="27" t="str">
        <f ca="1">IFERROR(__xludf.DUMMYFUNCTION("""COMPUTED_VALUE"""),"Campina Grande")</f>
        <v>Campina Grande</v>
      </c>
      <c r="BO179" s="27" t="str">
        <f ca="1">IFERROR(__xludf.DUMMYFUNCTION("""COMPUTED_VALUE"""),"58418-127")</f>
        <v>58418-127</v>
      </c>
      <c r="BP179" s="27" t="str">
        <f ca="1">IFERROR(__xludf.DUMMYFUNCTION("""COMPUTED_VALUE"""),"PB")</f>
        <v>PB</v>
      </c>
      <c r="BQ179" s="27" t="str">
        <f ca="1">IFERROR(__xludf.DUMMYFUNCTION("""COMPUTED_VALUE"""),"Entre 1 até 3 salários mínimos")</f>
        <v>Entre 1 até 3 salários mínimos</v>
      </c>
      <c r="BR179" s="27" t="str">
        <f ca="1">IFERROR(__xludf.DUMMYFUNCTION("""COMPUTED_VALUE"""),"CLT, Funcionário Público")</f>
        <v>CLT, Funcionário Público</v>
      </c>
      <c r="BS179" s="27" t="str">
        <f ca="1">IFERROR(__xludf.DUMMYFUNCTION("""COMPUTED_VALUE"""),"Casa própria")</f>
        <v>Casa própria</v>
      </c>
      <c r="BT179" s="27">
        <f ca="1">IFERROR(__xludf.DUMMYFUNCTION("""COMPUTED_VALUE"""),4)</f>
        <v>4</v>
      </c>
      <c r="BU179" s="27" t="str">
        <f ca="1">IFERROR(__xludf.DUMMYFUNCTION("""COMPUTED_VALUE"""),"Não tem")</f>
        <v>Não tem</v>
      </c>
      <c r="BV179" s="27" t="str">
        <f ca="1">IFERROR(__xludf.DUMMYFUNCTION("""COMPUTED_VALUE"""),"Não")</f>
        <v>Não</v>
      </c>
      <c r="BW179" s="27"/>
      <c r="BX179" s="27" t="str">
        <f ca="1">IFERROR(__xludf.DUMMYFUNCTION("""COMPUTED_VALUE"""),"@felizardoalexandre")</f>
        <v>@felizardoalexandre</v>
      </c>
      <c r="BY179" s="21" t="str">
        <f ca="1">IFERROR(__xludf.DUMMYFUNCTION("""COMPUTED_VALUE"""),"https://drive.google.com/open?id=1cq5dCiTemBLySlvlY70JxCD-9yHxVC24")</f>
        <v>https://drive.google.com/open?id=1cq5dCiTemBLySlvlY70JxCD-9yHxVC24</v>
      </c>
    </row>
    <row r="180" spans="1:77" ht="12.5" x14ac:dyDescent="0.25">
      <c r="A180" s="21" t="str">
        <f ca="1">IFERROR(__xludf.DUMMYFUNCTION("""COMPUTED_VALUE"""),"0014P00003YSp7lQAD")</f>
        <v>0014P00003YSp7lQAD</v>
      </c>
      <c r="B180" s="27" t="str">
        <f ca="1">IFERROR(__xludf.DUMMYFUNCTION("""COMPUTED_VALUE"""),"Fase Inicial")</f>
        <v>Fase Inicial</v>
      </c>
      <c r="C180" s="27" t="str">
        <f ca="1">IFERROR(__xludf.DUMMYFUNCTION("""COMPUTED_VALUE"""),"Fellow")</f>
        <v>Fellow</v>
      </c>
      <c r="D180" s="27" t="str">
        <f ca="1">IFERROR(__xludf.DUMMYFUNCTION("""COMPUTED_VALUE"""),"Ativo")</f>
        <v>Ativo</v>
      </c>
      <c r="E180" s="27" t="str">
        <f ca="1">IFERROR(__xludf.DUMMYFUNCTION("""COMPUTED_VALUE"""),"CAMA-Centro de Arte e Meio Ambiente")</f>
        <v>CAMA-Centro de Arte e Meio Ambiente</v>
      </c>
      <c r="F180" s="27" t="str">
        <f ca="1">IFERROR(__xludf.DUMMYFUNCTION("""COMPUTED_VALUE"""),"Andreia")</f>
        <v>Andreia</v>
      </c>
      <c r="G180" s="27"/>
      <c r="H180" s="27" t="str">
        <f ca="1">IFERROR(__xludf.DUMMYFUNCTION("""COMPUTED_VALUE"""),"01.704.986/0001-43")</f>
        <v>01.704.986/0001-43</v>
      </c>
      <c r="I180" s="27" t="str">
        <f ca="1">IFERROR(__xludf.DUMMYFUNCTION("""COMPUTED_VALUE"""),"Andreia do Carmo Araujo")</f>
        <v>Andreia do Carmo Araujo</v>
      </c>
      <c r="J180" s="27" t="str">
        <f ca="1">IFERROR(__xludf.DUMMYFUNCTION("""COMPUTED_VALUE"""),"centrodeartemeioambiente@gmail.com")</f>
        <v>centrodeartemeioambiente@gmail.com</v>
      </c>
      <c r="K180" s="27" t="str">
        <f ca="1">IFERROR(__xludf.DUMMYFUNCTION("""COMPUTED_VALUE"""),"(71)3241-0034")</f>
        <v>(71)3241-0034</v>
      </c>
      <c r="L180" s="27" t="str">
        <f ca="1">IFERROR(__xludf.DUMMYFUNCTION("""COMPUTED_VALUE"""),"BA")</f>
        <v>BA</v>
      </c>
      <c r="M180" s="27" t="str">
        <f ca="1">IFERROR(__xludf.DUMMYFUNCTION("""COMPUTED_VALUE"""),"Final de Linha do Uruguai,Sn Anexo ao Espaço Cultural Alagados")</f>
        <v>Final de Linha do Uruguai,Sn Anexo ao Espaço Cultural Alagados</v>
      </c>
      <c r="N180" s="27" t="str">
        <f ca="1">IFERROR(__xludf.DUMMYFUNCTION("""COMPUTED_VALUE"""),"Uruguai")</f>
        <v>Uruguai</v>
      </c>
      <c r="O180" s="27">
        <f ca="1">IFERROR(__xludf.DUMMYFUNCTION("""COMPUTED_VALUE"""),0)</f>
        <v>0</v>
      </c>
      <c r="P180" s="27" t="str">
        <f ca="1">IFERROR(__xludf.DUMMYFUNCTION("""COMPUTED_VALUE"""),"Salvador")</f>
        <v>Salvador</v>
      </c>
      <c r="Q180" s="27" t="str">
        <f ca="1">IFERROR(__xludf.DUMMYFUNCTION("""COMPUTED_VALUE"""),"Ao lado do Espaço Cultural Alagados")</f>
        <v>Ao lado do Espaço Cultural Alagados</v>
      </c>
      <c r="R180" s="27" t="str">
        <f ca="1">IFERROR(__xludf.DUMMYFUNCTION("""COMPUTED_VALUE"""),"40450-000")</f>
        <v>40450-000</v>
      </c>
      <c r="S180" s="27"/>
      <c r="T180" s="27" t="str">
        <f ca="1">IFERROR(__xludf.DUMMYFUNCTION("""COMPUTED_VALUE"""),"Educação; Empregabilidade; Assistência Social; Cultura; Qualificação Profissional; Empreendedorismo; Saúde; Meio ambiente; Empoderamento Feminino; Negócios Sociais; Apoio à gestão de organizações de Terceiro Setor; Defesa de Direitos; Comunicação; Animais"&amp;"; Desenvolvimento comunitário; Outro(s)")</f>
        <v>Educação; Empregabilidade; Assistência Social; Cultura; Qualificação Profissional; Empreendedorismo; Saúde; Meio ambiente; Empoderamento Feminino; Negócios Sociais; Apoio à gestão de organizações de Terceiro Setor; Defesa de Direitos; Comunicação; Animais; Desenvolvimento comunitário; Outro(s)</v>
      </c>
      <c r="U180"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180" s="27" t="str">
        <f ca="1">IFERROR(__xludf.DUMMYFUNCTION("""COMPUTED_VALUE"""),"Moradores de Favelas; População LGBTQ+; Povos Indígenas; Quilombola; Afrodescendentes; Dependentes Químicos; Pessoas com Deficiência; Ribeirinhos; Comunidade rural; Outros")</f>
        <v>Moradores de Favelas; População LGBTQ+; Povos Indígenas; Quilombola; Afrodescendentes; Dependentes Químicos; Pessoas com Deficiência; Ribeirinhos; Comunidade rural; Outros</v>
      </c>
      <c r="W180" s="27">
        <f ca="1">IFERROR(__xludf.DUMMYFUNCTION("""COMPUTED_VALUE"""),20)</f>
        <v>20</v>
      </c>
      <c r="X180" s="27" t="str">
        <f ca="1">IFERROR(__xludf.DUMMYFUNCTION("""COMPUTED_VALUE"""),"Atendemos organizações sócias sem fins lucrativos no fomento a economia solidária e empreendedorismo")</f>
        <v>Atendemos organizações sócias sem fins lucrativos no fomento a economia solidária e empreendedorismo</v>
      </c>
      <c r="Y180" s="27"/>
      <c r="Z180" s="27">
        <f ca="1">IFERROR(__xludf.DUMMYFUNCTION("""COMPUTED_VALUE"""),2000)</f>
        <v>2000</v>
      </c>
      <c r="AA180" s="29">
        <f ca="1">IFERROR(__xludf.DUMMYFUNCTION("""COMPUTED_VALUE"""),34731)</f>
        <v>34731</v>
      </c>
      <c r="AB180" s="27" t="str">
        <f ca="1">IFERROR(__xludf.DUMMYFUNCTION("""COMPUTED_VALUE"""),"Sim")</f>
        <v>Sim</v>
      </c>
      <c r="AC180" s="27">
        <f ca="1">IFERROR(__xludf.DUMMYFUNCTION("""COMPUTED_VALUE"""),0)</f>
        <v>0</v>
      </c>
      <c r="AD180" s="27">
        <f ca="1">IFERROR(__xludf.DUMMYFUNCTION("""COMPUTED_VALUE"""),0)</f>
        <v>0</v>
      </c>
      <c r="AE180" s="27">
        <f ca="1">IFERROR(__xludf.DUMMYFUNCTION("""COMPUTED_VALUE"""),8)</f>
        <v>8</v>
      </c>
      <c r="AF180" s="27">
        <f ca="1">IFERROR(__xludf.DUMMYFUNCTION("""COMPUTED_VALUE"""),4)</f>
        <v>4</v>
      </c>
      <c r="AG180" s="27">
        <f ca="1">IFERROR(__xludf.DUMMYFUNCTION("""COMPUTED_VALUE"""),2)</f>
        <v>2</v>
      </c>
      <c r="AH180" s="27" t="str">
        <f ca="1">IFERROR(__xludf.DUMMYFUNCTION("""COMPUTED_VALUE"""),"Negócio Social; Parceria iniciativa privada; Editais; Doações")</f>
        <v>Negócio Social; Parceria iniciativa privada; Editais; Doações</v>
      </c>
      <c r="AI180" s="27" t="str">
        <f ca="1">IFERROR(__xludf.DUMMYFUNCTION("""COMPUTED_VALUE"""),"Não")</f>
        <v>Não</v>
      </c>
      <c r="AJ180" s="27"/>
      <c r="AK180" s="27"/>
      <c r="AL180" s="21" t="str">
        <f ca="1">IFERROR(__xludf.DUMMYFUNCTION("""COMPUTED_VALUE"""),"0034P000045kxiM")</f>
        <v>0034P000045kxiM</v>
      </c>
      <c r="AM180" s="27" t="str">
        <f ca="1">IFERROR(__xludf.DUMMYFUNCTION("""COMPUTED_VALUE"""),"Do Carmo Araujo")</f>
        <v>Do Carmo Araujo</v>
      </c>
      <c r="AN180" s="27" t="str">
        <f ca="1">IFERROR(__xludf.DUMMYFUNCTION("""COMPUTED_VALUE"""),"Ativo")</f>
        <v>Ativo</v>
      </c>
      <c r="AO180" s="30">
        <f ca="1">IFERROR(__xludf.DUMMYFUNCTION("""COMPUTED_VALUE"""),44551)</f>
        <v>44551</v>
      </c>
      <c r="AP180" s="27">
        <f ca="1">IFERROR(__xludf.DUMMYFUNCTION("""COMPUTED_VALUE"""),9)</f>
        <v>9</v>
      </c>
      <c r="AQ180" s="27" t="str">
        <f ca="1">IFERROR(__xludf.DUMMYFUNCTION("""COMPUTED_VALUE"""),"Segundo Semestre 2021")</f>
        <v>Segundo Semestre 2021</v>
      </c>
      <c r="AR180" s="27" t="str">
        <f ca="1">IFERROR(__xludf.DUMMYFUNCTION("""COMPUTED_VALUE"""),"andreiaaraujo.bio@gmail.com")</f>
        <v>andreiaaraujo.bio@gmail.com</v>
      </c>
      <c r="AS180" s="27" t="str">
        <f ca="1">IFERROR(__xludf.DUMMYFUNCTION("""COMPUTED_VALUE"""),"(71)98802-5350")</f>
        <v>(71)98802-5350</v>
      </c>
      <c r="AT180" s="29">
        <f ca="1">IFERROR(__xludf.DUMMYFUNCTION("""COMPUTED_VALUE"""),30718)</f>
        <v>30718</v>
      </c>
      <c r="AU180" s="27">
        <f ca="1">IFERROR(__xludf.DUMMYFUNCTION("""COMPUTED_VALUE"""),38)</f>
        <v>38</v>
      </c>
      <c r="AV180" s="27">
        <f ca="1">IFERROR(__xludf.DUMMYFUNCTION("""COMPUTED_VALUE"""),2137614596)</f>
        <v>2137614596</v>
      </c>
      <c r="AW180" s="27">
        <f ca="1">IFERROR(__xludf.DUMMYFUNCTION("""COMPUTED_VALUE"""),879846950)</f>
        <v>879846950</v>
      </c>
      <c r="AX180" s="27"/>
      <c r="AY180" s="27"/>
      <c r="AZ180" s="27" t="str">
        <f ca="1">IFERROR(__xludf.DUMMYFUNCTION("""COMPUTED_VALUE"""),"M")</f>
        <v>M</v>
      </c>
      <c r="BA180" s="27" t="str">
        <f ca="1">IFERROR(__xludf.DUMMYFUNCTION("""COMPUTED_VALUE"""),"Preta")</f>
        <v>Preta</v>
      </c>
      <c r="BB180" s="27" t="str">
        <f ca="1">IFERROR(__xludf.DUMMYFUNCTION("""COMPUTED_VALUE"""),"Mulher, cisgênero")</f>
        <v>Mulher, cisgênero</v>
      </c>
      <c r="BC180" s="27" t="str">
        <f ca="1">IFERROR(__xludf.DUMMYFUNCTION("""COMPUTED_VALUE"""),"Sim")</f>
        <v>Sim</v>
      </c>
      <c r="BD180" s="27" t="str">
        <f ca="1">IFERROR(__xludf.DUMMYFUNCTION("""COMPUTED_VALUE"""),"Mim chamo Andria Araujo, tenho 37 anos, formada em Gestão Ambiental, tenho um de 10 anos chamado Ronald Filipe, moro em Salvador Bahia no bairro do Uruguai onde faço trabalho social desde os 16 aos de idade.")</f>
        <v>Mim chamo Andria Araujo, tenho 37 anos, formada em Gestão Ambiental, tenho um de 10 anos chamado Ronald Filipe, moro em Salvador Bahia no bairro do Uruguai onde faço trabalho social desde os 16 aos de idade.</v>
      </c>
      <c r="BE180" s="27"/>
      <c r="BF180" s="27" t="str">
        <f ca="1">IFERROR(__xludf.DUMMYFUNCTION("""COMPUTED_VALUE"""),"Heterossexual")</f>
        <v>Heterossexual</v>
      </c>
      <c r="BG180" s="27" t="str">
        <f ca="1">IFERROR(__xludf.DUMMYFUNCTION("""COMPUTED_VALUE"""),"Ensino Superior - Completo")</f>
        <v>Ensino Superior - Completo</v>
      </c>
      <c r="BH180" s="27" t="str">
        <f ca="1">IFERROR(__xludf.DUMMYFUNCTION("""COMPUTED_VALUE"""),"Público")</f>
        <v>Público</v>
      </c>
      <c r="BI180" s="27" t="str">
        <f ca="1">IFERROR(__xludf.DUMMYFUNCTION("""COMPUTED_VALUE"""),"Graduação")</f>
        <v>Graduação</v>
      </c>
      <c r="BJ180" s="27" t="str">
        <f ca="1">IFERROR(__xludf.DUMMYFUNCTION("""COMPUTED_VALUE"""),"Privado")</f>
        <v>Privado</v>
      </c>
      <c r="BK180" s="27" t="str">
        <f ca="1">IFERROR(__xludf.DUMMYFUNCTION("""COMPUTED_VALUE"""),"Rua Silvino Pereira")</f>
        <v>Rua Silvino Pereira</v>
      </c>
      <c r="BL180" s="27">
        <f ca="1">IFERROR(__xludf.DUMMYFUNCTION("""COMPUTED_VALUE"""),281)</f>
        <v>281</v>
      </c>
      <c r="BM180" s="27" t="str">
        <f ca="1">IFERROR(__xludf.DUMMYFUNCTION("""COMPUTED_VALUE"""),"Segundo Andar")</f>
        <v>Segundo Andar</v>
      </c>
      <c r="BN180" s="27" t="str">
        <f ca="1">IFERROR(__xludf.DUMMYFUNCTION("""COMPUTED_VALUE"""),"Salvador")</f>
        <v>Salvador</v>
      </c>
      <c r="BO180" s="27" t="str">
        <f ca="1">IFERROR(__xludf.DUMMYFUNCTION("""COMPUTED_VALUE"""),"40454-129")</f>
        <v>40454-129</v>
      </c>
      <c r="BP180" s="27" t="str">
        <f ca="1">IFERROR(__xludf.DUMMYFUNCTION("""COMPUTED_VALUE"""),"BA")</f>
        <v>BA</v>
      </c>
      <c r="BQ180" s="27" t="str">
        <f ca="1">IFERROR(__xludf.DUMMYFUNCTION("""COMPUTED_VALUE"""),"Entre 1 até 3 salários mínimos")</f>
        <v>Entre 1 até 3 salários mínimos</v>
      </c>
      <c r="BR180" s="27" t="str">
        <f ca="1">IFERROR(__xludf.DUMMYFUNCTION("""COMPUTED_VALUE"""),"Desempregado")</f>
        <v>Desempregado</v>
      </c>
      <c r="BS180" s="27" t="str">
        <f ca="1">IFERROR(__xludf.DUMMYFUNCTION("""COMPUTED_VALUE"""),"Aluguel")</f>
        <v>Aluguel</v>
      </c>
      <c r="BT180" s="27">
        <f ca="1">IFERROR(__xludf.DUMMYFUNCTION("""COMPUTED_VALUE"""),1)</f>
        <v>1</v>
      </c>
      <c r="BU180" s="27" t="str">
        <f ca="1">IFERROR(__xludf.DUMMYFUNCTION("""COMPUTED_VALUE"""),"Não tem")</f>
        <v>Não tem</v>
      </c>
      <c r="BV180" s="27"/>
      <c r="BW180" s="27"/>
      <c r="BX180" s="21" t="str">
        <f ca="1">IFERROR(__xludf.DUMMYFUNCTION("""COMPUTED_VALUE"""),"https://www.instagram.com/invites/contact/?i=1dh60zljmycae&amp;utm_content=7aex5q6")</f>
        <v>https://www.instagram.com/invites/contact/?i=1dh60zljmycae&amp;utm_content=7aex5q6</v>
      </c>
      <c r="BY180" s="21" t="str">
        <f ca="1">IFERROR(__xludf.DUMMYFUNCTION("""COMPUTED_VALUE"""),"https://drive.google.com/open?id=1eI4arBSINrxK9YZONG69Asaa5SjbLiyl")</f>
        <v>https://drive.google.com/open?id=1eI4arBSINrxK9YZONG69Asaa5SjbLiyl</v>
      </c>
    </row>
    <row r="181" spans="1:77" ht="12.5" hidden="1" x14ac:dyDescent="0.25">
      <c r="A181" s="21" t="str">
        <f ca="1">IFERROR(__xludf.DUMMYFUNCTION("""COMPUTED_VALUE"""),"0014P00003YSp8VQAT")</f>
        <v>0014P00003YSp8VQAT</v>
      </c>
      <c r="B181" s="27" t="str">
        <f ca="1">IFERROR(__xludf.DUMMYFUNCTION("""COMPUTED_VALUE"""),"Fase Inicial")</f>
        <v>Fase Inicial</v>
      </c>
      <c r="C181" s="27" t="str">
        <f ca="1">IFERROR(__xludf.DUMMYFUNCTION("""COMPUTED_VALUE"""),"Fellow")</f>
        <v>Fellow</v>
      </c>
      <c r="D181" s="27" t="str">
        <f ca="1">IFERROR(__xludf.DUMMYFUNCTION("""COMPUTED_VALUE"""),"Afastado")</f>
        <v>Afastado</v>
      </c>
      <c r="E181" s="27" t="str">
        <f ca="1">IFERROR(__xludf.DUMMYFUNCTION("""COMPUTED_VALUE"""),"cantinho da belinha")</f>
        <v>cantinho da belinha</v>
      </c>
      <c r="F181" s="27" t="str">
        <f ca="1">IFERROR(__xludf.DUMMYFUNCTION("""COMPUTED_VALUE"""),"Bruno")</f>
        <v>Bruno</v>
      </c>
      <c r="G181" s="27"/>
      <c r="H181" s="27">
        <f ca="1">IFERROR(__xludf.DUMMYFUNCTION("""COMPUTED_VALUE"""),19351396000140)</f>
        <v>19351396000140</v>
      </c>
      <c r="I181" s="27" t="str">
        <f ca="1">IFERROR(__xludf.DUMMYFUNCTION("""COMPUTED_VALUE"""),"luzineia silva dalvi")</f>
        <v>luzineia silva dalvi</v>
      </c>
      <c r="J181" s="27" t="str">
        <f ca="1">IFERROR(__xludf.DUMMYFUNCTION("""COMPUTED_VALUE"""),"cec.dabelinha@gmail.com")</f>
        <v>cec.dabelinha@gmail.com</v>
      </c>
      <c r="K181" s="27">
        <f ca="1">IFERROR(__xludf.DUMMYFUNCTION("""COMPUTED_VALUE"""),2133395860)</f>
        <v>2133395860</v>
      </c>
      <c r="L181" s="27" t="str">
        <f ca="1">IFERROR(__xludf.DUMMYFUNCTION("""COMPUTED_VALUE"""),"RJ")</f>
        <v>RJ</v>
      </c>
      <c r="M181" s="27" t="str">
        <f ca="1">IFERROR(__xludf.DUMMYFUNCTION("""COMPUTED_VALUE"""),"iris")</f>
        <v>iris</v>
      </c>
      <c r="N181" s="27" t="str">
        <f ca="1">IFERROR(__xludf.DUMMYFUNCTION("""COMPUTED_VALUE"""),"pq muisa")</f>
        <v>pq muisa</v>
      </c>
      <c r="O181" s="27">
        <f ca="1">IFERROR(__xludf.DUMMYFUNCTION("""COMPUTED_VALUE"""),54)</f>
        <v>54</v>
      </c>
      <c r="P181" s="27" t="str">
        <f ca="1">IFERROR(__xludf.DUMMYFUNCTION("""COMPUTED_VALUE"""),"Duque de Caxias")</f>
        <v>Duque de Caxias</v>
      </c>
      <c r="Q181" s="27"/>
      <c r="R181" s="27">
        <f ca="1">IFERROR(__xludf.DUMMYFUNCTION("""COMPUTED_VALUE"""),25046190)</f>
        <v>25046190</v>
      </c>
      <c r="S181" s="27"/>
      <c r="T181" s="27"/>
      <c r="U181" s="27"/>
      <c r="V181" s="27"/>
      <c r="W181" s="27">
        <f ca="1">IFERROR(__xludf.DUMMYFUNCTION("""COMPUTED_VALUE"""),2)</f>
        <v>2</v>
      </c>
      <c r="X181" s="27"/>
      <c r="Y181" s="27"/>
      <c r="Z181" s="27">
        <f ca="1">IFERROR(__xludf.DUMMYFUNCTION("""COMPUTED_VALUE"""),40)</f>
        <v>40</v>
      </c>
      <c r="AA181" s="29">
        <f ca="1">IFERROR(__xludf.DUMMYFUNCTION("""COMPUTED_VALUE"""),41317)</f>
        <v>41317</v>
      </c>
      <c r="AB181" s="27" t="str">
        <f ca="1">IFERROR(__xludf.DUMMYFUNCTION("""COMPUTED_VALUE"""),"Sim")</f>
        <v>Sim</v>
      </c>
      <c r="AC181" s="27"/>
      <c r="AD181" s="27"/>
      <c r="AE181" s="27">
        <f ca="1">IFERROR(__xludf.DUMMYFUNCTION("""COMPUTED_VALUE"""),3)</f>
        <v>3</v>
      </c>
      <c r="AF181" s="27"/>
      <c r="AG181" s="27"/>
      <c r="AH181" s="27"/>
      <c r="AI181" s="27"/>
      <c r="AJ181" s="27"/>
      <c r="AK181" s="27"/>
      <c r="AL181" s="21" t="str">
        <f ca="1">IFERROR(__xludf.DUMMYFUNCTION("""COMPUTED_VALUE"""),"0034P000045kxj6")</f>
        <v>0034P000045kxj6</v>
      </c>
      <c r="AM181" s="27" t="str">
        <f ca="1">IFERROR(__xludf.DUMMYFUNCTION("""COMPUTED_VALUE"""),"Silva Dalvi")</f>
        <v>Silva Dalvi</v>
      </c>
      <c r="AN181" s="27" t="str">
        <f ca="1">IFERROR(__xludf.DUMMYFUNCTION("""COMPUTED_VALUE"""),"Afastado")</f>
        <v>Afastado</v>
      </c>
      <c r="AO181" s="30">
        <f ca="1">IFERROR(__xludf.DUMMYFUNCTION("""COMPUTED_VALUE"""),44551)</f>
        <v>44551</v>
      </c>
      <c r="AP181" s="27">
        <f ca="1">IFERROR(__xludf.DUMMYFUNCTION("""COMPUTED_VALUE"""),9)</f>
        <v>9</v>
      </c>
      <c r="AQ181" s="27" t="str">
        <f ca="1">IFERROR(__xludf.DUMMYFUNCTION("""COMPUTED_VALUE"""),"Segundo Semestre 2021")</f>
        <v>Segundo Semestre 2021</v>
      </c>
      <c r="AR181" s="27" t="str">
        <f ca="1">IFERROR(__xludf.DUMMYFUNCTION("""COMPUTED_VALUE"""),"brunodalvitec@gmail.com")</f>
        <v>brunodalvitec@gmail.com</v>
      </c>
      <c r="AS181" s="27">
        <f ca="1">IFERROR(__xludf.DUMMYFUNCTION("""COMPUTED_VALUE"""),21990855230)</f>
        <v>21990855230</v>
      </c>
      <c r="AT181" s="29">
        <f ca="1">IFERROR(__xludf.DUMMYFUNCTION("""COMPUTED_VALUE"""),29472)</f>
        <v>29472</v>
      </c>
      <c r="AU181" s="27">
        <f ca="1">IFERROR(__xludf.DUMMYFUNCTION("""COMPUTED_VALUE"""),42)</f>
        <v>42</v>
      </c>
      <c r="AV181" s="27">
        <f ca="1">IFERROR(__xludf.DUMMYFUNCTION("""COMPUTED_VALUE"""),8419991716)</f>
        <v>8419991716</v>
      </c>
      <c r="AW181" s="27">
        <f ca="1">IFERROR(__xludf.DUMMYFUNCTION("""COMPUTED_VALUE"""),117477810)</f>
        <v>117477810</v>
      </c>
      <c r="AX181" s="27"/>
      <c r="AY181" s="27"/>
      <c r="AZ181" s="27" t="str">
        <f ca="1">IFERROR(__xludf.DUMMYFUNCTION("""COMPUTED_VALUE"""),"M")</f>
        <v>M</v>
      </c>
      <c r="BA181" s="27" t="str">
        <f ca="1">IFERROR(__xludf.DUMMYFUNCTION("""COMPUTED_VALUE"""),"Parda")</f>
        <v>Parda</v>
      </c>
      <c r="BB181" s="27"/>
      <c r="BC181" s="27" t="str">
        <f ca="1">IFERROR(__xludf.DUMMYFUNCTION("""COMPUTED_VALUE"""),"Não")</f>
        <v>Não</v>
      </c>
      <c r="BD181" s="27" t="str">
        <f ca="1">IFERROR(__xludf.DUMMYFUNCTION("""COMPUTED_VALUE"""),"Pedagogo;; Professor da rede pública;; Educador Social;; 40 anos morador da Baixada Fluminense RJ;")</f>
        <v>Pedagogo;; Professor da rede pública;; Educador Social;; 40 anos morador da Baixada Fluminense RJ;</v>
      </c>
      <c r="BE181" s="27"/>
      <c r="BF181" s="27"/>
      <c r="BG181" s="27" t="str">
        <f ca="1">IFERROR(__xludf.DUMMYFUNCTION("""COMPUTED_VALUE"""),"Ensino Superior - Incompleto")</f>
        <v>Ensino Superior - Incompleto</v>
      </c>
      <c r="BH181" s="27" t="str">
        <f ca="1">IFERROR(__xludf.DUMMYFUNCTION("""COMPUTED_VALUE"""),"Público")</f>
        <v>Público</v>
      </c>
      <c r="BI181" s="27" t="str">
        <f ca="1">IFERROR(__xludf.DUMMYFUNCTION("""COMPUTED_VALUE"""),"Graduação")</f>
        <v>Graduação</v>
      </c>
      <c r="BJ181" s="27" t="str">
        <f ca="1">IFERROR(__xludf.DUMMYFUNCTION("""COMPUTED_VALUE"""),"Público")</f>
        <v>Público</v>
      </c>
      <c r="BK181" s="27" t="str">
        <f ca="1">IFERROR(__xludf.DUMMYFUNCTION("""COMPUTED_VALUE"""),"beira rio")</f>
        <v>beira rio</v>
      </c>
      <c r="BL181" s="27">
        <f ca="1">IFERROR(__xludf.DUMMYFUNCTION("""COMPUTED_VALUE"""),43)</f>
        <v>43</v>
      </c>
      <c r="BM181" s="27"/>
      <c r="BN181" s="27" t="str">
        <f ca="1">IFERROR(__xludf.DUMMYFUNCTION("""COMPUTED_VALUE"""),"Duque de Caxias")</f>
        <v>Duque de Caxias</v>
      </c>
      <c r="BO181" s="27">
        <f ca="1">IFERROR(__xludf.DUMMYFUNCTION("""COMPUTED_VALUE"""),25046027)</f>
        <v>25046027</v>
      </c>
      <c r="BP181" s="27" t="str">
        <f ca="1">IFERROR(__xludf.DUMMYFUNCTION("""COMPUTED_VALUE"""),"RJ")</f>
        <v>RJ</v>
      </c>
      <c r="BQ181" s="27"/>
      <c r="BR181" s="27"/>
      <c r="BS181" s="27"/>
      <c r="BT181" s="27"/>
      <c r="BU181" s="27" t="str">
        <f ca="1">IFERROR(__xludf.DUMMYFUNCTION("""COMPUTED_VALUE"""),"Não tem")</f>
        <v>Não tem</v>
      </c>
      <c r="BV181" s="27"/>
      <c r="BW181" s="27"/>
      <c r="BX181" s="27"/>
      <c r="BY181" s="21" t="str">
        <f ca="1">IFERROR(__xludf.DUMMYFUNCTION("""COMPUTED_VALUE"""),"https://drive.google.com/open?id=1Sc5EggRHr87NsYCkct6JhcHUD2SQOdOC")</f>
        <v>https://drive.google.com/open?id=1Sc5EggRHr87NsYCkct6JhcHUD2SQOdOC</v>
      </c>
    </row>
    <row r="182" spans="1:77" ht="12.5" hidden="1" x14ac:dyDescent="0.25">
      <c r="A182" s="21" t="str">
        <f ca="1">IFERROR(__xludf.DUMMYFUNCTION("""COMPUTED_VALUE"""),"0014X00002VKCusQAH")</f>
        <v>0014X00002VKCusQAH</v>
      </c>
      <c r="B182" s="27" t="str">
        <f ca="1">IFERROR(__xludf.DUMMYFUNCTION("""COMPUTED_VALUE"""),"Fase Inicial")</f>
        <v>Fase Inicial</v>
      </c>
      <c r="C182" s="27" t="str">
        <f ca="1">IFERROR(__xludf.DUMMYFUNCTION("""COMPUTED_VALUE"""),"Fellow")</f>
        <v>Fellow</v>
      </c>
      <c r="D182" s="27" t="str">
        <f ca="1">IFERROR(__xludf.DUMMYFUNCTION("""COMPUTED_VALUE"""),"Ativo")</f>
        <v>Ativo</v>
      </c>
      <c r="E182" s="27" t="str">
        <f ca="1">IFERROR(__xludf.DUMMYFUNCTION("""COMPUTED_VALUE"""),"Carfer Treinamentos e Desenvolvimento Humano")</f>
        <v>Carfer Treinamentos e Desenvolvimento Humano</v>
      </c>
      <c r="F182" s="27" t="str">
        <f ca="1">IFERROR(__xludf.DUMMYFUNCTION("""COMPUTED_VALUE"""),"Marcia")</f>
        <v>Marcia</v>
      </c>
      <c r="G182" s="27" t="str">
        <f ca="1">IFERROR(__xludf.DUMMYFUNCTION("""COMPUTED_VALUE"""),"CARFER TREINAMENTOS E DESENVOLVIMENTO HUMANO")</f>
        <v>CARFER TREINAMENTOS E DESENVOLVIMENTO HUMANO</v>
      </c>
      <c r="H182" s="27" t="str">
        <f ca="1">IFERROR(__xludf.DUMMYFUNCTION("""COMPUTED_VALUE"""),"40.673.542/0001-40")</f>
        <v>40.673.542/0001-40</v>
      </c>
      <c r="I182" s="27" t="str">
        <f ca="1">IFERROR(__xludf.DUMMYFUNCTION("""COMPUTED_VALUE"""),"Marcia Regina Carvalho Ferreira de Oliveira")</f>
        <v>Marcia Regina Carvalho Ferreira de Oliveira</v>
      </c>
      <c r="J182" s="27" t="str">
        <f ca="1">IFERROR(__xludf.DUMMYFUNCTION("""COMPUTED_VALUE"""),"institutopertenser.carfer@gmail.com")</f>
        <v>institutopertenser.carfer@gmail.com</v>
      </c>
      <c r="K182" s="27" t="str">
        <f ca="1">IFERROR(__xludf.DUMMYFUNCTION("""COMPUTED_VALUE"""),"(13)98184-3656")</f>
        <v>(13)98184-3656</v>
      </c>
      <c r="L182" s="27" t="str">
        <f ca="1">IFERROR(__xludf.DUMMYFUNCTION("""COMPUTED_VALUE"""),"SP")</f>
        <v>SP</v>
      </c>
      <c r="M182" s="27" t="str">
        <f ca="1">IFERROR(__xludf.DUMMYFUNCTION("""COMPUTED_VALUE"""),"Rua Jacob Emerick 1238")</f>
        <v>Rua Jacob Emerick 1238</v>
      </c>
      <c r="N182" s="27" t="str">
        <f ca="1">IFERROR(__xludf.DUMMYFUNCTION("""COMPUTED_VALUE"""),"Parque Bitaru")</f>
        <v>Parque Bitaru</v>
      </c>
      <c r="O182" s="27" t="str">
        <f ca="1">IFERROR(__xludf.DUMMYFUNCTION("""COMPUTED_VALUE"""),"(13)98184-3656")</f>
        <v>(13)98184-3656</v>
      </c>
      <c r="P182" s="27" t="str">
        <f ca="1">IFERROR(__xludf.DUMMYFUNCTION("""COMPUTED_VALUE"""),"São Vicente")</f>
        <v>São Vicente</v>
      </c>
      <c r="Q182" s="27" t="str">
        <f ca="1">IFERROR(__xludf.DUMMYFUNCTION("""COMPUTED_VALUE"""),"sala 514")</f>
        <v>sala 514</v>
      </c>
      <c r="R182" s="27" t="str">
        <f ca="1">IFERROR(__xludf.DUMMYFUNCTION("""COMPUTED_VALUE"""),"11310-071")</f>
        <v>11310-071</v>
      </c>
      <c r="S182" s="27" t="str">
        <f ca="1">IFERROR(__xludf.DUMMYFUNCTION("""COMPUTED_VALUE"""),"Equoterapia")</f>
        <v>Equoterapia</v>
      </c>
      <c r="T182" s="27"/>
      <c r="U182"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182" s="27" t="str">
        <f ca="1">IFERROR(__xludf.DUMMYFUNCTION("""COMPUTED_VALUE"""),"Moradores de Favelas, População LGBTQ+, Afrodescendentes, Pessoas com Deficiência")</f>
        <v>Moradores de Favelas, População LGBTQ+, Afrodescendentes, Pessoas com Deficiência</v>
      </c>
      <c r="W182" s="27">
        <f ca="1">IFERROR(__xludf.DUMMYFUNCTION("""COMPUTED_VALUE"""),137)</f>
        <v>137</v>
      </c>
      <c r="X182" s="27" t="str">
        <f ca="1">IFERROR(__xludf.DUMMYFUNCTION("""COMPUTED_VALUE"""),"PCD Pessoas com Deficiência  e também Jovens em Situação em  Vulnerabilidade/Miserabilidade")</f>
        <v>PCD Pessoas com Deficiência  e também Jovens em Situação em  Vulnerabilidade/Miserabilidade</v>
      </c>
      <c r="Y182" s="27"/>
      <c r="Z182" s="27">
        <f ca="1">IFERROR(__xludf.DUMMYFUNCTION("""COMPUTED_VALUE"""),0)</f>
        <v>0</v>
      </c>
      <c r="AA182" s="29">
        <f ca="1">IFERROR(__xludf.DUMMYFUNCTION("""COMPUTED_VALUE"""),43873)</f>
        <v>43873</v>
      </c>
      <c r="AB182" s="27" t="str">
        <f ca="1">IFERROR(__xludf.DUMMYFUNCTION("""COMPUTED_VALUE"""),"Não")</f>
        <v>Não</v>
      </c>
      <c r="AC182" s="27">
        <f ca="1">IFERROR(__xludf.DUMMYFUNCTION("""COMPUTED_VALUE"""),0)</f>
        <v>0</v>
      </c>
      <c r="AD182" s="27">
        <f ca="1">IFERROR(__xludf.DUMMYFUNCTION("""COMPUTED_VALUE"""),6)</f>
        <v>6</v>
      </c>
      <c r="AE182" s="27">
        <f ca="1">IFERROR(__xludf.DUMMYFUNCTION("""COMPUTED_VALUE"""),13)</f>
        <v>13</v>
      </c>
      <c r="AF182" s="27">
        <f ca="1">IFERROR(__xludf.DUMMYFUNCTION("""COMPUTED_VALUE"""),6)</f>
        <v>6</v>
      </c>
      <c r="AG182" s="27">
        <f ca="1">IFERROR(__xludf.DUMMYFUNCTION("""COMPUTED_VALUE"""),2)</f>
        <v>2</v>
      </c>
      <c r="AH182" s="27" t="str">
        <f ca="1">IFERROR(__xludf.DUMMYFUNCTION("""COMPUTED_VALUE"""),"Eventos/Ações para captação, Parceria iniciativa privada")</f>
        <v>Eventos/Ações para captação, Parceria iniciativa privada</v>
      </c>
      <c r="AI182" s="27" t="str">
        <f ca="1">IFERROR(__xludf.DUMMYFUNCTION("""COMPUTED_VALUE"""),"50% cursos 50% privado")</f>
        <v>50% cursos 50% privado</v>
      </c>
      <c r="AJ182" s="27" t="str">
        <f ca="1">IFERROR(__xludf.DUMMYFUNCTION("""COMPUTED_VALUE"""),"Sim")</f>
        <v>Sim</v>
      </c>
      <c r="AK182" s="27"/>
      <c r="AL182" s="21" t="str">
        <f ca="1">IFERROR(__xludf.DUMMYFUNCTION("""COMPUTED_VALUE"""),"0034X0000380O0g")</f>
        <v>0034X0000380O0g</v>
      </c>
      <c r="AM182" s="27" t="str">
        <f ca="1">IFERROR(__xludf.DUMMYFUNCTION("""COMPUTED_VALUE"""),"Regina carvalho ferreira de oliveira")</f>
        <v>Regina carvalho ferreira de oliveira</v>
      </c>
      <c r="AN182" s="27" t="str">
        <f ca="1">IFERROR(__xludf.DUMMYFUNCTION("""COMPUTED_VALUE"""),"Ativo")</f>
        <v>Ativo</v>
      </c>
      <c r="AO182" s="29">
        <f ca="1">IFERROR(__xludf.DUMMYFUNCTION("""COMPUTED_VALUE"""),44763)</f>
        <v>44763</v>
      </c>
      <c r="AP182" s="27">
        <f ca="1">IFERROR(__xludf.DUMMYFUNCTION("""COMPUTED_VALUE"""),2)</f>
        <v>2</v>
      </c>
      <c r="AQ182" s="27" t="str">
        <f ca="1">IFERROR(__xludf.DUMMYFUNCTION("""COMPUTED_VALUE"""),"Primeiro Semestre 2022")</f>
        <v>Primeiro Semestre 2022</v>
      </c>
      <c r="AR182" s="27" t="str">
        <f ca="1">IFERROR(__xludf.DUMMYFUNCTION("""COMPUTED_VALUE"""),"carfermarcia@gmail.com")</f>
        <v>carfermarcia@gmail.com</v>
      </c>
      <c r="AS182" s="27">
        <f ca="1">IFERROR(__xludf.DUMMYFUNCTION("""COMPUTED_VALUE"""),13981843656)</f>
        <v>13981843656</v>
      </c>
      <c r="AT182" s="29">
        <f ca="1">IFERROR(__xludf.DUMMYFUNCTION("""COMPUTED_VALUE"""),28172)</f>
        <v>28172</v>
      </c>
      <c r="AU182" s="27">
        <f ca="1">IFERROR(__xludf.DUMMYFUNCTION("""COMPUTED_VALUE"""),45)</f>
        <v>45</v>
      </c>
      <c r="AV182" s="27">
        <f ca="1">IFERROR(__xludf.DUMMYFUNCTION("""COMPUTED_VALUE"""),16964987835)</f>
        <v>16964987835</v>
      </c>
      <c r="AW182" s="27">
        <f ca="1">IFERROR(__xludf.DUMMYFUNCTION("""COMPUTED_VALUE"""),277729324)</f>
        <v>277729324</v>
      </c>
      <c r="AX182" s="27"/>
      <c r="AY182" s="27"/>
      <c r="AZ182" s="27" t="str">
        <f ca="1">IFERROR(__xludf.DUMMYFUNCTION("""COMPUTED_VALUE"""),"M")</f>
        <v>M</v>
      </c>
      <c r="BA182" s="27" t="str">
        <f ca="1">IFERROR(__xludf.DUMMYFUNCTION("""COMPUTED_VALUE"""),"Parda")</f>
        <v>Parda</v>
      </c>
      <c r="BB182" s="27"/>
      <c r="BC182" s="27"/>
      <c r="BD182" s="27"/>
      <c r="BE182" s="27" t="str">
        <f ca="1">IFERROR(__xludf.DUMMYFUNCTION("""COMPUTED_VALUE"""),"Feminino")</f>
        <v>Feminino</v>
      </c>
      <c r="BF182" s="27" t="str">
        <f ca="1">IFERROR(__xludf.DUMMYFUNCTION("""COMPUTED_VALUE"""),"Heterossexual")</f>
        <v>Heterossexual</v>
      </c>
      <c r="BG182" s="27"/>
      <c r="BH182" s="27" t="str">
        <f ca="1">IFERROR(__xludf.DUMMYFUNCTION("""COMPUTED_VALUE"""),"Público")</f>
        <v>Público</v>
      </c>
      <c r="BI182" s="27" t="str">
        <f ca="1">IFERROR(__xludf.DUMMYFUNCTION("""COMPUTED_VALUE"""),"Pós-Graduação")</f>
        <v>Pós-Graduação</v>
      </c>
      <c r="BJ182" s="27" t="str">
        <f ca="1">IFERROR(__xludf.DUMMYFUNCTION("""COMPUTED_VALUE"""),"Privado")</f>
        <v>Privado</v>
      </c>
      <c r="BK182" s="27" t="str">
        <f ca="1">IFERROR(__xludf.DUMMYFUNCTION("""COMPUTED_VALUE"""),"Fav Dique do Piçarro")</f>
        <v>Fav Dique do Piçarro</v>
      </c>
      <c r="BL182" s="27">
        <f ca="1">IFERROR(__xludf.DUMMYFUNCTION("""COMPUTED_VALUE"""),6)</f>
        <v>6</v>
      </c>
      <c r="BM182" s="27"/>
      <c r="BN182" s="27"/>
      <c r="BO182" s="27">
        <f ca="1">IFERROR(__xludf.DUMMYFUNCTION("""COMPUTED_VALUE"""),11355290)</f>
        <v>11355290</v>
      </c>
      <c r="BP182" s="27" t="str">
        <f ca="1">IFERROR(__xludf.DUMMYFUNCTION("""COMPUTED_VALUE"""),"SP")</f>
        <v>SP</v>
      </c>
      <c r="BQ182" s="27" t="str">
        <f ca="1">IFERROR(__xludf.DUMMYFUNCTION("""COMPUTED_VALUE"""),"Entre 1 até 3 salários mínimos")</f>
        <v>Entre 1 até 3 salários mínimos</v>
      </c>
      <c r="BR182" s="27" t="str">
        <f ca="1">IFERROR(__xludf.DUMMYFUNCTION("""COMPUTED_VALUE"""),"CLT")</f>
        <v>CLT</v>
      </c>
      <c r="BS182" s="27" t="str">
        <f ca="1">IFERROR(__xludf.DUMMYFUNCTION("""COMPUTED_VALUE"""),"Casa cedida")</f>
        <v>Casa cedida</v>
      </c>
      <c r="BT182" s="27">
        <f ca="1">IFERROR(__xludf.DUMMYFUNCTION("""COMPUTED_VALUE"""),2)</f>
        <v>2</v>
      </c>
      <c r="BU182" s="27" t="str">
        <f ca="1">IFERROR(__xludf.DUMMYFUNCTION("""COMPUTED_VALUE"""),"Não tem")</f>
        <v>Não tem</v>
      </c>
      <c r="BV182" s="27" t="str">
        <f ca="1">IFERROR(__xludf.DUMMYFUNCTION("""COMPUTED_VALUE"""),"Não")</f>
        <v>Não</v>
      </c>
      <c r="BW182" s="21" t="str">
        <f ca="1">IFERROR(__xludf.DUMMYFUNCTION("""COMPUTED_VALUE"""),"http://www.linkedin.com/in/marcia-carfer-05321847")</f>
        <v>http://www.linkedin.com/in/marcia-carfer-05321847</v>
      </c>
      <c r="BX182" s="21" t="str">
        <f ca="1">IFERROR(__xludf.DUMMYFUNCTION("""COMPUTED_VALUE"""),"https://www.instagram.com/marciacarfer.prof/")</f>
        <v>https://www.instagram.com/marciacarfer.prof/</v>
      </c>
      <c r="BY182" s="21" t="str">
        <f ca="1">IFERROR(__xludf.DUMMYFUNCTION("""COMPUTED_VALUE"""),"https://drive.google.com/open?id=1NyUIxCN_EMn57ez92pNa5zYn9zFdFnOJ")</f>
        <v>https://drive.google.com/open?id=1NyUIxCN_EMn57ez92pNa5zYn9zFdFnOJ</v>
      </c>
    </row>
    <row r="183" spans="1:77" ht="12.5" x14ac:dyDescent="0.25">
      <c r="A183" s="21" t="str">
        <f ca="1">IFERROR(__xludf.DUMMYFUNCTION("""COMPUTED_VALUE"""),"0014P00003SGWPRQA5")</f>
        <v>0014P00003SGWPRQA5</v>
      </c>
      <c r="B183" s="27" t="str">
        <f ca="1">IFERROR(__xludf.DUMMYFUNCTION("""COMPUTED_VALUE"""),"Fase Inicial")</f>
        <v>Fase Inicial</v>
      </c>
      <c r="C183" s="27" t="str">
        <f ca="1">IFERROR(__xludf.DUMMYFUNCTION("""COMPUTED_VALUE"""),"Fellow")</f>
        <v>Fellow</v>
      </c>
      <c r="D183" s="27" t="str">
        <f ca="1">IFERROR(__xludf.DUMMYFUNCTION("""COMPUTED_VALUE"""),"Ativo")</f>
        <v>Ativo</v>
      </c>
      <c r="E183" s="27" t="str">
        <f ca="1">IFERROR(__xludf.DUMMYFUNCTION("""COMPUTED_VALUE"""),"CASA DA COMUNIDADE DO BERARDO - CCB SOCIAL")</f>
        <v>CASA DA COMUNIDADE DO BERARDO - CCB SOCIAL</v>
      </c>
      <c r="F183" s="27" t="str">
        <f ca="1">IFERROR(__xludf.DUMMYFUNCTION("""COMPUTED_VALUE"""),"Angelo")</f>
        <v>Angelo</v>
      </c>
      <c r="G183" s="27" t="str">
        <f ca="1">IFERROR(__xludf.DUMMYFUNCTION("""COMPUTED_VALUE"""),"CCB SOCIAL")</f>
        <v>CCB SOCIAL</v>
      </c>
      <c r="H183" s="27" t="str">
        <f ca="1">IFERROR(__xludf.DUMMYFUNCTION("""COMPUTED_VALUE"""),"32.331.626/0001-77")</f>
        <v>32.331.626/0001-77</v>
      </c>
      <c r="I183" s="27" t="str">
        <f ca="1">IFERROR(__xludf.DUMMYFUNCTION("""COMPUTED_VALUE"""),"Angelo Felipe Do Nascimento Bezerra")</f>
        <v>Angelo Felipe Do Nascimento Bezerra</v>
      </c>
      <c r="J183" s="27" t="str">
        <f ca="1">IFERROR(__xludf.DUMMYFUNCTION("""COMPUTED_VALUE"""),"casasocialdacomunidade@yahoo.com")</f>
        <v>casasocialdacomunidade@yahoo.com</v>
      </c>
      <c r="K183" s="27" t="str">
        <f ca="1">IFERROR(__xludf.DUMMYFUNCTION("""COMPUTED_VALUE"""),"(81)98609-0434")</f>
        <v>(81)98609-0434</v>
      </c>
      <c r="L183" s="27" t="str">
        <f ca="1">IFERROR(__xludf.DUMMYFUNCTION("""COMPUTED_VALUE"""),"PE")</f>
        <v>PE</v>
      </c>
      <c r="M183" s="27" t="str">
        <f ca="1">IFERROR(__xludf.DUMMYFUNCTION("""COMPUTED_VALUE"""),"Rua Professor Lins e Silva")</f>
        <v>Rua Professor Lins e Silva</v>
      </c>
      <c r="N183" s="27" t="str">
        <f ca="1">IFERROR(__xludf.DUMMYFUNCTION("""COMPUTED_VALUE"""),"PRADO")</f>
        <v>PRADO</v>
      </c>
      <c r="O183" s="27" t="str">
        <f ca="1">IFERROR(__xludf.DUMMYFUNCTION("""COMPUTED_VALUE"""),"(81)98796-8014")</f>
        <v>(81)98796-8014</v>
      </c>
      <c r="P183" s="27" t="str">
        <f ca="1">IFERROR(__xludf.DUMMYFUNCTION("""COMPUTED_VALUE"""),"RECIFE")</f>
        <v>RECIFE</v>
      </c>
      <c r="Q183" s="27" t="str">
        <f ca="1">IFERROR(__xludf.DUMMYFUNCTION("""COMPUTED_VALUE"""),"CASA A")</f>
        <v>CASA A</v>
      </c>
      <c r="R183" s="27" t="str">
        <f ca="1">IFERROR(__xludf.DUMMYFUNCTION("""COMPUTED_VALUE"""),"50720-139")</f>
        <v>50720-139</v>
      </c>
      <c r="S183" s="27"/>
      <c r="T183" s="27" t="str">
        <f ca="1">IFERROR(__xludf.DUMMYFUNCTION("""COMPUTED_VALUE"""),"Educação; Empregabilidade; Assistência Social; Negócios Sociais")</f>
        <v>Educação; Empregabilidade; Assistência Social; Negócios Sociais</v>
      </c>
      <c r="U183" s="27" t="str">
        <f ca="1">IFERROR(__xludf.DUMMYFUNCTION("""COMPUTED_VALUE"""),"Crianças (6 a 12 anos); Adolescentes (12 aos 18 anos); Jovens (18 aos 24 anos); Adultos; Idosos (60 anos ou mais)")</f>
        <v>Crianças (6 a 12 anos); Adolescentes (12 aos 18 anos); Jovens (18 aos 24 anos); Adultos; Idosos (60 anos ou mais)</v>
      </c>
      <c r="V183" s="27" t="str">
        <f ca="1">IFERROR(__xludf.DUMMYFUNCTION("""COMPUTED_VALUE"""),"Moradores de Favelas")</f>
        <v>Moradores de Favelas</v>
      </c>
      <c r="W183" s="27">
        <f ca="1">IFERROR(__xludf.DUMMYFUNCTION("""COMPUTED_VALUE"""),4)</f>
        <v>4</v>
      </c>
      <c r="X183" s="27" t="str">
        <f ca="1">IFERROR(__xludf.DUMMYFUNCTION("""COMPUTED_VALUE"""),"São famílias de baixa renda em situação de vulnerabilidade social. O trabalho hoje tem prioridade nas crianças em seu contra turno escolar e para os jovens.")</f>
        <v>São famílias de baixa renda em situação de vulnerabilidade social. O trabalho hoje tem prioridade nas crianças em seu contra turno escolar e para os jovens.</v>
      </c>
      <c r="Y183" s="27">
        <f ca="1">IFERROR(__xludf.DUMMYFUNCTION("""COMPUTED_VALUE"""),150)</f>
        <v>150</v>
      </c>
      <c r="Z183" s="27">
        <f ca="1">IFERROR(__xludf.DUMMYFUNCTION("""COMPUTED_VALUE"""),3000)</f>
        <v>3000</v>
      </c>
      <c r="AA183" s="29">
        <f ca="1">IFERROR(__xludf.DUMMYFUNCTION("""COMPUTED_VALUE"""),41790)</f>
        <v>41790</v>
      </c>
      <c r="AB183" s="27" t="str">
        <f ca="1">IFERROR(__xludf.DUMMYFUNCTION("""COMPUTED_VALUE"""),"Sim")</f>
        <v>Sim</v>
      </c>
      <c r="AC183" s="27">
        <f ca="1">IFERROR(__xludf.DUMMYFUNCTION("""COMPUTED_VALUE"""),4)</f>
        <v>4</v>
      </c>
      <c r="AD183" s="27">
        <f ca="1">IFERROR(__xludf.DUMMYFUNCTION("""COMPUTED_VALUE"""),0)</f>
        <v>0</v>
      </c>
      <c r="AE183" s="27">
        <f ca="1">IFERROR(__xludf.DUMMYFUNCTION("""COMPUTED_VALUE"""),8)</f>
        <v>8</v>
      </c>
      <c r="AF183" s="27">
        <f ca="1">IFERROR(__xludf.DUMMYFUNCTION("""COMPUTED_VALUE"""),3)</f>
        <v>3</v>
      </c>
      <c r="AG183" s="27">
        <f ca="1">IFERROR(__xludf.DUMMYFUNCTION("""COMPUTED_VALUE"""),4)</f>
        <v>4</v>
      </c>
      <c r="AH183" s="27" t="str">
        <f ca="1">IFERROR(__xludf.DUMMYFUNCTION("""COMPUTED_VALUE"""),"Negócio Social; Editais; Doações")</f>
        <v>Negócio Social; Editais; Doações</v>
      </c>
      <c r="AI183" s="27" t="str">
        <f ca="1">IFERROR(__xludf.DUMMYFUNCTION("""COMPUTED_VALUE"""),"NÃO")</f>
        <v>NÃO</v>
      </c>
      <c r="AJ183" s="27" t="str">
        <f ca="1">IFERROR(__xludf.DUMMYFUNCTION("""COMPUTED_VALUE"""),"Não")</f>
        <v>Não</v>
      </c>
      <c r="AK183" s="27" t="str">
        <f ca="1">IFERROR(__xludf.DUMMYFUNCTION("""COMPUTED_VALUE"""),"Não")</f>
        <v>Não</v>
      </c>
      <c r="AL183" s="21" t="str">
        <f ca="1">IFERROR(__xludf.DUMMYFUNCTION("""COMPUTED_VALUE"""),"0034P000043fOnZ")</f>
        <v>0034P000043fOnZ</v>
      </c>
      <c r="AM183" s="27" t="str">
        <f ca="1">IFERROR(__xludf.DUMMYFUNCTION("""COMPUTED_VALUE"""),"Felipe Do Nascimento Bezerra")</f>
        <v>Felipe Do Nascimento Bezerra</v>
      </c>
      <c r="AN183" s="27" t="str">
        <f ca="1">IFERROR(__xludf.DUMMYFUNCTION("""COMPUTED_VALUE"""),"Ativo")</f>
        <v>Ativo</v>
      </c>
      <c r="AO183" s="29">
        <f ca="1">IFERROR(__xludf.DUMMYFUNCTION("""COMPUTED_VALUE"""),44432)</f>
        <v>44432</v>
      </c>
      <c r="AP183" s="27">
        <f ca="1">IFERROR(__xludf.DUMMYFUNCTION("""COMPUTED_VALUE"""),13)</f>
        <v>13</v>
      </c>
      <c r="AQ183" s="27" t="str">
        <f ca="1">IFERROR(__xludf.DUMMYFUNCTION("""COMPUTED_VALUE"""),"Primeiro Semestre 2021")</f>
        <v>Primeiro Semestre 2021</v>
      </c>
      <c r="AR183" s="27" t="str">
        <f ca="1">IFERROR(__xludf.DUMMYFUNCTION("""COMPUTED_VALUE"""),"casadacomunidade@yahoo.com")</f>
        <v>casadacomunidade@yahoo.com</v>
      </c>
      <c r="AS183" s="27" t="str">
        <f ca="1">IFERROR(__xludf.DUMMYFUNCTION("""COMPUTED_VALUE"""),"(81)98796-8014")</f>
        <v>(81)98796-8014</v>
      </c>
      <c r="AT183" s="29">
        <f ca="1">IFERROR(__xludf.DUMMYFUNCTION("""COMPUTED_VALUE"""),28797)</f>
        <v>28797</v>
      </c>
      <c r="AU183" s="27">
        <f ca="1">IFERROR(__xludf.DUMMYFUNCTION("""COMPUTED_VALUE"""),44)</f>
        <v>44</v>
      </c>
      <c r="AV183" s="27">
        <f ca="1">IFERROR(__xludf.DUMMYFUNCTION("""COMPUTED_VALUE"""),3205923405)</f>
        <v>3205923405</v>
      </c>
      <c r="AW183" s="27">
        <f ca="1">IFERROR(__xludf.DUMMYFUNCTION("""COMPUTED_VALUE"""),4827880)</f>
        <v>4827880</v>
      </c>
      <c r="AX183" s="27" t="str">
        <f ca="1">IFERROR(__xludf.DUMMYFUNCTION("""COMPUTED_VALUE"""),"Licenciatura Em História E Pós Graduação Gestão Ambiental")</f>
        <v>Licenciatura Em História E Pós Graduação Gestão Ambiental</v>
      </c>
      <c r="AY183" s="27" t="str">
        <f ca="1">IFERROR(__xludf.DUMMYFUNCTION("""COMPUTED_VALUE"""),"CCB SOCIAL")</f>
        <v>CCB SOCIAL</v>
      </c>
      <c r="AZ183" s="27" t="str">
        <f ca="1">IFERROR(__xludf.DUMMYFUNCTION("""COMPUTED_VALUE"""),"G")</f>
        <v>G</v>
      </c>
      <c r="BA183" s="27" t="str">
        <f ca="1">IFERROR(__xludf.DUMMYFUNCTION("""COMPUTED_VALUE"""),"Parda")</f>
        <v>Parda</v>
      </c>
      <c r="BB183" s="27"/>
      <c r="BC183" s="27" t="str">
        <f ca="1">IFERROR(__xludf.DUMMYFUNCTION("""COMPUTED_VALUE"""),"Sim")</f>
        <v>Sim</v>
      </c>
      <c r="BD183" s="27" t="str">
        <f ca="1">IFERROR(__xludf.DUMMYFUNCTION("""COMPUTED_VALUE"""),"Recifense da comunidade do Berardo no Recife, Angelo Felipe, casado pai de quatro filhos, licenciado em História e pós-graduado em Gestão Ambiental. Há mais de 20 anos tem contribuído na busca da melhoria da qualidade das pessoas. Participou e protagonizo"&amp;"u de varias lutas e conquistas: creche, escola, saneamento, praça, Compaz - Centro Comunitário da Paz. Em 2014, fundou a CCB SOCIAL - Casa da Comunidade do Berardo, voltando seus esforços para o empreendedorismo social.")</f>
        <v>Recifense da comunidade do Berardo no Recife, Angelo Felipe, casado pai de quatro filhos, licenciado em História e pós-graduado em Gestão Ambiental. Há mais de 20 anos tem contribuído na busca da melhoria da qualidade das pessoas. Participou e protagonizou de varias lutas e conquistas: creche, escola, saneamento, praça, Compaz - Centro Comunitário da Paz. Em 2014, fundou a CCB SOCIAL - Casa da Comunidade do Berardo, voltando seus esforços para o empreendedorismo social.</v>
      </c>
      <c r="BE183" s="27" t="str">
        <f ca="1">IFERROR(__xludf.DUMMYFUNCTION("""COMPUTED_VALUE"""),"Masculino")</f>
        <v>Masculino</v>
      </c>
      <c r="BF183" s="27" t="str">
        <f ca="1">IFERROR(__xludf.DUMMYFUNCTION("""COMPUTED_VALUE"""),"Heterossexual")</f>
        <v>Heterossexual</v>
      </c>
      <c r="BG183" s="27" t="str">
        <f ca="1">IFERROR(__xludf.DUMMYFUNCTION("""COMPUTED_VALUE"""),"Ensino Superior - Completo")</f>
        <v>Ensino Superior - Completo</v>
      </c>
      <c r="BH183" s="27"/>
      <c r="BI183" s="27" t="str">
        <f ca="1">IFERROR(__xludf.DUMMYFUNCTION("""COMPUTED_VALUE"""),"Pós-Graduação")</f>
        <v>Pós-Graduação</v>
      </c>
      <c r="BJ183" s="27" t="str">
        <f ca="1">IFERROR(__xludf.DUMMYFUNCTION("""COMPUTED_VALUE"""),"Privado")</f>
        <v>Privado</v>
      </c>
      <c r="BK183" s="27" t="str">
        <f ca="1">IFERROR(__xludf.DUMMYFUNCTION("""COMPUTED_VALUE"""),"Rua Dr. José Machado")</f>
        <v>Rua Dr. José Machado</v>
      </c>
      <c r="BL183" s="27">
        <f ca="1">IFERROR(__xludf.DUMMYFUNCTION("""COMPUTED_VALUE"""),36)</f>
        <v>36</v>
      </c>
      <c r="BM183" s="27" t="str">
        <f ca="1">IFERROR(__xludf.DUMMYFUNCTION("""COMPUTED_VALUE"""),"Apto. 101")</f>
        <v>Apto. 101</v>
      </c>
      <c r="BN183" s="27" t="str">
        <f ca="1">IFERROR(__xludf.DUMMYFUNCTION("""COMPUTED_VALUE"""),"RECIFE")</f>
        <v>RECIFE</v>
      </c>
      <c r="BO183" s="27" t="str">
        <f ca="1">IFERROR(__xludf.DUMMYFUNCTION("""COMPUTED_VALUE"""),"50630-420")</f>
        <v>50630-420</v>
      </c>
      <c r="BP183" s="27" t="str">
        <f ca="1">IFERROR(__xludf.DUMMYFUNCTION("""COMPUTED_VALUE"""),"PE")</f>
        <v>PE</v>
      </c>
      <c r="BQ183" s="27" t="str">
        <f ca="1">IFERROR(__xludf.DUMMYFUNCTION("""COMPUTED_VALUE"""),"Acima de 5 salários mínimos")</f>
        <v>Acima de 5 salários mínimos</v>
      </c>
      <c r="BR183" s="27" t="str">
        <f ca="1">IFERROR(__xludf.DUMMYFUNCTION("""COMPUTED_VALUE"""),"Funcionário Público")</f>
        <v>Funcionário Público</v>
      </c>
      <c r="BS183" s="27" t="str">
        <f ca="1">IFERROR(__xludf.DUMMYFUNCTION("""COMPUTED_VALUE"""),"Aluguel")</f>
        <v>Aluguel</v>
      </c>
      <c r="BT183" s="27">
        <f ca="1">IFERROR(__xludf.DUMMYFUNCTION("""COMPUTED_VALUE"""),6)</f>
        <v>6</v>
      </c>
      <c r="BU183" s="27"/>
      <c r="BV183" s="27"/>
      <c r="BW183" s="21" t="str">
        <f ca="1">IFERROR(__xludf.DUMMYFUNCTION("""COMPUTED_VALUE"""),"https://www.linkedin.com/in/angelo-felipe-1261281b2")</f>
        <v>https://www.linkedin.com/in/angelo-felipe-1261281b2</v>
      </c>
      <c r="BX183" s="27" t="str">
        <f ca="1">IFERROR(__xludf.DUMMYFUNCTION("""COMPUTED_VALUE"""),"@ANGELOFELIPE_CCB")</f>
        <v>@ANGELOFELIPE_CCB</v>
      </c>
      <c r="BY183" s="21" t="str">
        <f ca="1">IFERROR(__xludf.DUMMYFUNCTION("""COMPUTED_VALUE"""),"https://drive.google.com/open?id=1WrtpTPBbQI9kd-un0pVCI2OgLmT_RNMx")</f>
        <v>https://drive.google.com/open?id=1WrtpTPBbQI9kd-un0pVCI2OgLmT_RNMx</v>
      </c>
    </row>
    <row r="184" spans="1:77" ht="12.5" hidden="1" x14ac:dyDescent="0.25">
      <c r="A184" s="21" t="str">
        <f ca="1">IFERROR(__xludf.DUMMYFUNCTION("""COMPUTED_VALUE"""),"0014P00003YSp9qQAD")</f>
        <v>0014P00003YSp9qQAD</v>
      </c>
      <c r="B184" s="27" t="str">
        <f ca="1">IFERROR(__xludf.DUMMYFUNCTION("""COMPUTED_VALUE"""),"Fase Inicial")</f>
        <v>Fase Inicial</v>
      </c>
      <c r="C184" s="27" t="str">
        <f ca="1">IFERROR(__xludf.DUMMYFUNCTION("""COMPUTED_VALUE"""),"Fellow")</f>
        <v>Fellow</v>
      </c>
      <c r="D184" s="27" t="str">
        <f ca="1">IFERROR(__xludf.DUMMYFUNCTION("""COMPUTED_VALUE"""),"Ativo")</f>
        <v>Ativo</v>
      </c>
      <c r="E184" s="27" t="str">
        <f ca="1">IFERROR(__xludf.DUMMYFUNCTION("""COMPUTED_VALUE"""),"Casa da Revolução/Projeto Esmeralda")</f>
        <v>Casa da Revolução/Projeto Esmeralda</v>
      </c>
      <c r="F184" s="27" t="str">
        <f ca="1">IFERROR(__xludf.DUMMYFUNCTION("""COMPUTED_VALUE"""),"Alex")</f>
        <v>Alex</v>
      </c>
      <c r="G184" s="27"/>
      <c r="H184" s="27"/>
      <c r="I184" s="27" t="str">
        <f ca="1">IFERROR(__xludf.DUMMYFUNCTION("""COMPUTED_VALUE"""),"Alex Santos de Campos")</f>
        <v>Alex Santos de Campos</v>
      </c>
      <c r="J184" s="27" t="str">
        <f ca="1">IFERROR(__xludf.DUMMYFUNCTION("""COMPUTED_VALUE"""),"alexdecampos@hotmail.com")</f>
        <v>alexdecampos@hotmail.com</v>
      </c>
      <c r="K184" s="27" t="str">
        <f ca="1">IFERROR(__xludf.DUMMYFUNCTION("""COMPUTED_VALUE"""),"(19)98156-9632")</f>
        <v>(19)98156-9632</v>
      </c>
      <c r="L184" s="27" t="str">
        <f ca="1">IFERROR(__xludf.DUMMYFUNCTION("""COMPUTED_VALUE"""),"SP")</f>
        <v>SP</v>
      </c>
      <c r="M184" s="27" t="str">
        <f ca="1">IFERROR(__xludf.DUMMYFUNCTION("""COMPUTED_VALUE"""),"Rua Sérgio Luiz de Souza, 365")</f>
        <v>Rua Sérgio Luiz de Souza, 365</v>
      </c>
      <c r="N184" s="27" t="str">
        <f ca="1">IFERROR(__xludf.DUMMYFUNCTION("""COMPUTED_VALUE"""),"Chácaras Assay")</f>
        <v>Chácaras Assay</v>
      </c>
      <c r="O184" s="27">
        <f ca="1">IFERROR(__xludf.DUMMYFUNCTION("""COMPUTED_VALUE"""),365)</f>
        <v>365</v>
      </c>
      <c r="P184" s="27" t="str">
        <f ca="1">IFERROR(__xludf.DUMMYFUNCTION("""COMPUTED_VALUE"""),"Hortolândia")</f>
        <v>Hortolândia</v>
      </c>
      <c r="Q184" s="27"/>
      <c r="R184" s="27" t="str">
        <f ca="1">IFERROR(__xludf.DUMMYFUNCTION("""COMPUTED_VALUE"""),"13186-522")</f>
        <v>13186-522</v>
      </c>
      <c r="S184" s="27"/>
      <c r="T184" s="27" t="str">
        <f ca="1">IFERROR(__xludf.DUMMYFUNCTION("""COMPUTED_VALUE"""),"Esporte; Educação; Empregabilidade; Assistência Social; Cultura; Qualificação Profissional; Empreendedorismo")</f>
        <v>Esporte; Educação; Empregabilidade; Assistência Social; Cultura; Qualificação Profissional; Empreendedorismo</v>
      </c>
      <c r="U184" s="27" t="str">
        <f ca="1">IFERROR(__xludf.DUMMYFUNCTION("""COMPUTED_VALUE"""),"Crianças (6 a 12 anos); Adolescentes (12 aos 18 anos); Jovens (18 aos 24 anos); Adultos; Idosos (60 anos ou mais)")</f>
        <v>Crianças (6 a 12 anos); Adolescentes (12 aos 18 anos); Jovens (18 aos 24 anos); Adultos; Idosos (60 anos ou mais)</v>
      </c>
      <c r="V184" s="27" t="str">
        <f ca="1">IFERROR(__xludf.DUMMYFUNCTION("""COMPUTED_VALUE"""),"Moradores de Favelas; Dependentes Químicos")</f>
        <v>Moradores de Favelas; Dependentes Químicos</v>
      </c>
      <c r="W184" s="27">
        <f ca="1">IFERROR(__xludf.DUMMYFUNCTION("""COMPUTED_VALUE"""),4)</f>
        <v>4</v>
      </c>
      <c r="X184" s="27" t="str">
        <f ca="1">IFERROR(__xludf.DUMMYFUNCTION("""COMPUTED_VALUE"""),"Atuo com crianças jovens e adolescentes da região de Hortolândia onde procuro mudar o roteiro que a vidas dos mesmos estava direcionada trabalhando contra o ingresso no crime drogas e afins. Oportunizando que todos consigam ingressar nos estudos e profiss"&amp;"ionalização assim decretando a falência da pobreza exacerbada familiar em nosso contexto.")</f>
        <v>Atuo com crianças jovens e adolescentes da região de Hortolândia onde procuro mudar o roteiro que a vidas dos mesmos estava direcionada trabalhando contra o ingresso no crime drogas e afins. Oportunizando que todos consigam ingressar nos estudos e profissionalização assim decretando a falência da pobreza exacerbada familiar em nosso contexto.</v>
      </c>
      <c r="Y184" s="27"/>
      <c r="Z184" s="27">
        <f ca="1">IFERROR(__xludf.DUMMYFUNCTION("""COMPUTED_VALUE"""),300)</f>
        <v>300</v>
      </c>
      <c r="AA184" s="29">
        <f ca="1">IFERROR(__xludf.DUMMYFUNCTION("""COMPUTED_VALUE"""),43500)</f>
        <v>43500</v>
      </c>
      <c r="AB184" s="27" t="str">
        <f ca="1">IFERROR(__xludf.DUMMYFUNCTION("""COMPUTED_VALUE"""),"Não")</f>
        <v>Não</v>
      </c>
      <c r="AC184" s="27">
        <f ca="1">IFERROR(__xludf.DUMMYFUNCTION("""COMPUTED_VALUE"""),0)</f>
        <v>0</v>
      </c>
      <c r="AD184" s="27">
        <f ca="1">IFERROR(__xludf.DUMMYFUNCTION("""COMPUTED_VALUE"""),0)</f>
        <v>0</v>
      </c>
      <c r="AE184" s="27">
        <f ca="1">IFERROR(__xludf.DUMMYFUNCTION("""COMPUTED_VALUE"""),15)</f>
        <v>15</v>
      </c>
      <c r="AF184" s="27">
        <f ca="1">IFERROR(__xludf.DUMMYFUNCTION("""COMPUTED_VALUE"""),4)</f>
        <v>4</v>
      </c>
      <c r="AG184" s="27">
        <f ca="1">IFERROR(__xludf.DUMMYFUNCTION("""COMPUTED_VALUE"""),4)</f>
        <v>4</v>
      </c>
      <c r="AH184" s="27" t="str">
        <f ca="1">IFERROR(__xludf.DUMMYFUNCTION("""COMPUTED_VALUE"""),"Eventos/Ações para captação; Parceria iniciativa privada; Doações; Recursos próprios")</f>
        <v>Eventos/Ações para captação; Parceria iniciativa privada; Doações; Recursos próprios</v>
      </c>
      <c r="AI184" s="27" t="str">
        <f ca="1">IFERROR(__xludf.DUMMYFUNCTION("""COMPUTED_VALUE"""),"25% cada")</f>
        <v>25% cada</v>
      </c>
      <c r="AJ184" s="27"/>
      <c r="AK184" s="27"/>
      <c r="AL184" s="21" t="str">
        <f ca="1">IFERROR(__xludf.DUMMYFUNCTION("""COMPUTED_VALUE"""),"0034P000045kxkS")</f>
        <v>0034P000045kxkS</v>
      </c>
      <c r="AM184" s="27" t="str">
        <f ca="1">IFERROR(__xludf.DUMMYFUNCTION("""COMPUTED_VALUE"""),"Santos De Campos")</f>
        <v>Santos De Campos</v>
      </c>
      <c r="AN184" s="27" t="str">
        <f ca="1">IFERROR(__xludf.DUMMYFUNCTION("""COMPUTED_VALUE"""),"Ativo")</f>
        <v>Ativo</v>
      </c>
      <c r="AO184" s="30">
        <f ca="1">IFERROR(__xludf.DUMMYFUNCTION("""COMPUTED_VALUE"""),44551)</f>
        <v>44551</v>
      </c>
      <c r="AP184" s="27">
        <f ca="1">IFERROR(__xludf.DUMMYFUNCTION("""COMPUTED_VALUE"""),9)</f>
        <v>9</v>
      </c>
      <c r="AQ184" s="27" t="str">
        <f ca="1">IFERROR(__xludf.DUMMYFUNCTION("""COMPUTED_VALUE"""),"Segundo Semestre 2021")</f>
        <v>Segundo Semestre 2021</v>
      </c>
      <c r="AR184" s="27" t="str">
        <f ca="1">IFERROR(__xludf.DUMMYFUNCTION("""COMPUTED_VALUE"""),"alexdecampos17@gmail.com")</f>
        <v>alexdecampos17@gmail.com</v>
      </c>
      <c r="AS184" s="27" t="str">
        <f ca="1">IFERROR(__xludf.DUMMYFUNCTION("""COMPUTED_VALUE"""),"(19)98156-9632")</f>
        <v>(19)98156-9632</v>
      </c>
      <c r="AT184" s="29">
        <f ca="1">IFERROR(__xludf.DUMMYFUNCTION("""COMPUTED_VALUE"""),33806)</f>
        <v>33806</v>
      </c>
      <c r="AU184" s="27">
        <f ca="1">IFERROR(__xludf.DUMMYFUNCTION("""COMPUTED_VALUE"""),30)</f>
        <v>30</v>
      </c>
      <c r="AV184" s="27">
        <f ca="1">IFERROR(__xludf.DUMMYFUNCTION("""COMPUTED_VALUE"""),40550233830)</f>
        <v>40550233830</v>
      </c>
      <c r="AW184" s="27" t="str">
        <f ca="1">IFERROR(__xludf.DUMMYFUNCTION("""COMPUTED_VALUE"""),"48833964-9")</f>
        <v>48833964-9</v>
      </c>
      <c r="AX184" s="27"/>
      <c r="AY184" s="27"/>
      <c r="AZ184" s="27" t="str">
        <f ca="1">IFERROR(__xludf.DUMMYFUNCTION("""COMPUTED_VALUE"""),"P")</f>
        <v>P</v>
      </c>
      <c r="BA184" s="27" t="str">
        <f ca="1">IFERROR(__xludf.DUMMYFUNCTION("""COMPUTED_VALUE"""),"Branca")</f>
        <v>Branca</v>
      </c>
      <c r="BB184" s="27" t="str">
        <f ca="1">IFERROR(__xludf.DUMMYFUNCTION("""COMPUTED_VALUE"""),"Homem, cisgênero")</f>
        <v>Homem, cisgênero</v>
      </c>
      <c r="BC184" s="27" t="str">
        <f ca="1">IFERROR(__xludf.DUMMYFUNCTION("""COMPUTED_VALUE"""),"Não")</f>
        <v>Não</v>
      </c>
      <c r="BD184" s="27" t="str">
        <f ca="1">IFERROR(__xludf.DUMMYFUNCTION("""COMPUTED_VALUE"""),"Chamado para uma missão, buscando dia após dia cumpri-la, que é ajudar a revolucionar a realidade de minha comunidade.  Sempre associado a minha família e amigos, que juntos vamos tranformar o contexto de nossa comunidade.")</f>
        <v>Chamado para uma missão, buscando dia após dia cumpri-la, que é ajudar a revolucionar a realidade de minha comunidade.  Sempre associado a minha família e amigos, que juntos vamos tranformar o contexto de nossa comunidade.</v>
      </c>
      <c r="BE184" s="27"/>
      <c r="BF184" s="27" t="str">
        <f ca="1">IFERROR(__xludf.DUMMYFUNCTION("""COMPUTED_VALUE"""),"Heterossexual")</f>
        <v>Heterossexual</v>
      </c>
      <c r="BG184" s="27" t="str">
        <f ca="1">IFERROR(__xludf.DUMMYFUNCTION("""COMPUTED_VALUE"""),"Ensino Superior - Completo")</f>
        <v>Ensino Superior - Completo</v>
      </c>
      <c r="BH184" s="27" t="str">
        <f ca="1">IFERROR(__xludf.DUMMYFUNCTION("""COMPUTED_VALUE"""),"Público")</f>
        <v>Público</v>
      </c>
      <c r="BI184" s="27" t="str">
        <f ca="1">IFERROR(__xludf.DUMMYFUNCTION("""COMPUTED_VALUE"""),"Graduação")</f>
        <v>Graduação</v>
      </c>
      <c r="BJ184" s="27" t="str">
        <f ca="1">IFERROR(__xludf.DUMMYFUNCTION("""COMPUTED_VALUE"""),"Privado")</f>
        <v>Privado</v>
      </c>
      <c r="BK184" s="27" t="str">
        <f ca="1">IFERROR(__xludf.DUMMYFUNCTION("""COMPUTED_VALUE"""),"Sérgio Luiz de Souza")</f>
        <v>Sérgio Luiz de Souza</v>
      </c>
      <c r="BL184" s="27">
        <f ca="1">IFERROR(__xludf.DUMMYFUNCTION("""COMPUTED_VALUE"""),365)</f>
        <v>365</v>
      </c>
      <c r="BM184" s="27"/>
      <c r="BN184" s="27" t="str">
        <f ca="1">IFERROR(__xludf.DUMMYFUNCTION("""COMPUTED_VALUE"""),"Hortolândia")</f>
        <v>Hortolândia</v>
      </c>
      <c r="BO184" s="27" t="str">
        <f ca="1">IFERROR(__xludf.DUMMYFUNCTION("""COMPUTED_VALUE"""),"13186-522")</f>
        <v>13186-522</v>
      </c>
      <c r="BP184" s="27" t="str">
        <f ca="1">IFERROR(__xludf.DUMMYFUNCTION("""COMPUTED_VALUE"""),"SP")</f>
        <v>SP</v>
      </c>
      <c r="BQ184" s="27" t="str">
        <f ca="1">IFERROR(__xludf.DUMMYFUNCTION("""COMPUTED_VALUE"""),"Entre 1 até 3 salários mínimos")</f>
        <v>Entre 1 até 3 salários mínimos</v>
      </c>
      <c r="BR184" s="27" t="str">
        <f ca="1">IFERROR(__xludf.DUMMYFUNCTION("""COMPUTED_VALUE"""),"Desempregado")</f>
        <v>Desempregado</v>
      </c>
      <c r="BS184" s="27" t="str">
        <f ca="1">IFERROR(__xludf.DUMMYFUNCTION("""COMPUTED_VALUE"""),"Casa própria")</f>
        <v>Casa própria</v>
      </c>
      <c r="BT184" s="27">
        <f ca="1">IFERROR(__xludf.DUMMYFUNCTION("""COMPUTED_VALUE"""),4)</f>
        <v>4</v>
      </c>
      <c r="BU184" s="27" t="str">
        <f ca="1">IFERROR(__xludf.DUMMYFUNCTION("""COMPUTED_VALUE"""),"Não tem")</f>
        <v>Não tem</v>
      </c>
      <c r="BV184" s="27"/>
      <c r="BW184" s="27"/>
      <c r="BX184" s="21" t="str">
        <f ca="1">IFERROR(__xludf.DUMMYFUNCTION("""COMPUTED_VALUE"""),"https://www.instagram.com/alexdecampos92/")</f>
        <v>https://www.instagram.com/alexdecampos92/</v>
      </c>
      <c r="BY184" s="21" t="str">
        <f ca="1">IFERROR(__xludf.DUMMYFUNCTION("""COMPUTED_VALUE"""),"https://drive.google.com/open?id=1O6rFTlh8KxWKAlRG7YDQg8JxxY2xNguD")</f>
        <v>https://drive.google.com/open?id=1O6rFTlh8KxWKAlRG7YDQg8JxxY2xNguD</v>
      </c>
    </row>
    <row r="185" spans="1:77" ht="12.5" x14ac:dyDescent="0.25">
      <c r="A185" s="21" t="str">
        <f ca="1">IFERROR(__xludf.DUMMYFUNCTION("""COMPUTED_VALUE"""),"0014P00003YSp7hQAD")</f>
        <v>0014P00003YSp7hQAD</v>
      </c>
      <c r="B185" s="27" t="str">
        <f ca="1">IFERROR(__xludf.DUMMYFUNCTION("""COMPUTED_VALUE"""),"Fase Inicial")</f>
        <v>Fase Inicial</v>
      </c>
      <c r="C185" s="27" t="str">
        <f ca="1">IFERROR(__xludf.DUMMYFUNCTION("""COMPUTED_VALUE"""),"Fellow")</f>
        <v>Fellow</v>
      </c>
      <c r="D185" s="27" t="str">
        <f ca="1">IFERROR(__xludf.DUMMYFUNCTION("""COMPUTED_VALUE"""),"Ativo")</f>
        <v>Ativo</v>
      </c>
      <c r="E185" s="27" t="str">
        <f ca="1">IFERROR(__xludf.DUMMYFUNCTION("""COMPUTED_VALUE"""),"Casa das Juventudes / Associação Santo Agostinho")</f>
        <v>Casa das Juventudes / Associação Santo Agostinho</v>
      </c>
      <c r="F185" s="27" t="str">
        <f ca="1">IFERROR(__xludf.DUMMYFUNCTION("""COMPUTED_VALUE"""),"Maria")</f>
        <v>Maria</v>
      </c>
      <c r="G185" s="27"/>
      <c r="H185" s="27"/>
      <c r="I185" s="27" t="str">
        <f ca="1">IFERROR(__xludf.DUMMYFUNCTION("""COMPUTED_VALUE"""),"Maria Jaqueline de Oliveira")</f>
        <v>Maria Jaqueline de Oliveira</v>
      </c>
      <c r="J185" s="27" t="str">
        <f ca="1">IFERROR(__xludf.DUMMYFUNCTION("""COMPUTED_VALUE"""),"cajufn.2017@gmail.com")</f>
        <v>cajufn.2017@gmail.com</v>
      </c>
      <c r="K185" s="27" t="str">
        <f ca="1">IFERROR(__xludf.DUMMYFUNCTION("""COMPUTED_VALUE"""),"(81)99847-1714")</f>
        <v>(81)99847-1714</v>
      </c>
      <c r="L185" s="27" t="str">
        <f ca="1">IFERROR(__xludf.DUMMYFUNCTION("""COMPUTED_VALUE"""),"PE")</f>
        <v>PE</v>
      </c>
      <c r="M185" s="27" t="str">
        <f ca="1">IFERROR(__xludf.DUMMYFUNCTION("""COMPUTED_VALUE"""),"Rua Joaquim Correia")</f>
        <v>Rua Joaquim Correia</v>
      </c>
      <c r="N185" s="27" t="str">
        <f ca="1">IFERROR(__xludf.DUMMYFUNCTION("""COMPUTED_VALUE"""),"zona rural")</f>
        <v>zona rural</v>
      </c>
      <c r="O185" s="27">
        <f ca="1">IFERROR(__xludf.DUMMYFUNCTION("""COMPUTED_VALUE"""),82)</f>
        <v>82</v>
      </c>
      <c r="P185" s="27" t="str">
        <f ca="1">IFERROR(__xludf.DUMMYFUNCTION("""COMPUTED_VALUE"""),"FEIRA NOVA")</f>
        <v>FEIRA NOVA</v>
      </c>
      <c r="Q185" s="27" t="str">
        <f ca="1">IFERROR(__xludf.DUMMYFUNCTION("""COMPUTED_VALUE"""),"casa")</f>
        <v>casa</v>
      </c>
      <c r="R185" s="27" t="str">
        <f ca="1">IFERROR(__xludf.DUMMYFUNCTION("""COMPUTED_VALUE"""),"55715-000")</f>
        <v>55715-000</v>
      </c>
      <c r="S185" s="27"/>
      <c r="T185" s="27" t="str">
        <f ca="1">IFERROR(__xludf.DUMMYFUNCTION("""COMPUTED_VALUE"""),"Esporte; Educação; Empregabilidade; Assistência Social; Cultura; Qualificação Profissional; Empreendedorismo; Saúde; Meio ambiente; Empoderamento Feminino; Negócios Sociais; Ciência e Tecnologia; Defesa de Direitos; Comunicação; Desenvolvimento comunitári"&amp;"o")</f>
        <v>Esporte; Educação; Empregabilidade; Assistência Social; Cultura; Qualificação Profissional; Empreendedorismo; Saúde; Meio ambiente; Empoderamento Feminino; Negócios Sociais; Ciência e Tecnologia; Defesa de Direitos; Comunicação; Desenvolvimento comunitário</v>
      </c>
      <c r="U185" s="27" t="str">
        <f ca="1">IFERROR(__xludf.DUMMYFUNCTION("""COMPUTED_VALUE"""),"Adolescentes (12 aos 18 anos); Jovens (18 aos 24 anos); Adultos")</f>
        <v>Adolescentes (12 aos 18 anos); Jovens (18 aos 24 anos); Adultos</v>
      </c>
      <c r="V185" s="27" t="str">
        <f ca="1">IFERROR(__xludf.DUMMYFUNCTION("""COMPUTED_VALUE"""),"Moradores de Favelas; População LGBTQ+; Pessoas com Deficiência; Egressos sistema carcerário; Comunidade rural")</f>
        <v>Moradores de Favelas; População LGBTQ+; Pessoas com Deficiência; Egressos sistema carcerário; Comunidade rural</v>
      </c>
      <c r="W185" s="27">
        <f ca="1">IFERROR(__xludf.DUMMYFUNCTION("""COMPUTED_VALUE"""),12)</f>
        <v>12</v>
      </c>
      <c r="X185" s="27" t="str">
        <f ca="1">IFERROR(__xludf.DUMMYFUNCTION("""COMPUTED_VALUE"""),"Adolescentes e Jovens em situação de venerabilidade social")</f>
        <v>Adolescentes e Jovens em situação de venerabilidade social</v>
      </c>
      <c r="Y185" s="27"/>
      <c r="Z185" s="27">
        <f ca="1">IFERROR(__xludf.DUMMYFUNCTION("""COMPUTED_VALUE"""),1800)</f>
        <v>1800</v>
      </c>
      <c r="AA185" s="29">
        <f ca="1">IFERROR(__xludf.DUMMYFUNCTION("""COMPUTED_VALUE"""),38365)</f>
        <v>38365</v>
      </c>
      <c r="AB185" s="27" t="str">
        <f ca="1">IFERROR(__xludf.DUMMYFUNCTION("""COMPUTED_VALUE"""),"Não")</f>
        <v>Não</v>
      </c>
      <c r="AC185" s="27">
        <f ca="1">IFERROR(__xludf.DUMMYFUNCTION("""COMPUTED_VALUE"""),4)</f>
        <v>4</v>
      </c>
      <c r="AD185" s="27">
        <f ca="1">IFERROR(__xludf.DUMMYFUNCTION("""COMPUTED_VALUE"""),9)</f>
        <v>9</v>
      </c>
      <c r="AE185" s="27">
        <f ca="1">IFERROR(__xludf.DUMMYFUNCTION("""COMPUTED_VALUE"""),6)</f>
        <v>6</v>
      </c>
      <c r="AF185" s="27">
        <f ca="1">IFERROR(__xludf.DUMMYFUNCTION("""COMPUTED_VALUE"""),6)</f>
        <v>6</v>
      </c>
      <c r="AG185" s="27">
        <f ca="1">IFERROR(__xludf.DUMMYFUNCTION("""COMPUTED_VALUE"""),2)</f>
        <v>2</v>
      </c>
      <c r="AH185" s="27" t="str">
        <f ca="1">IFERROR(__xludf.DUMMYFUNCTION("""COMPUTED_VALUE"""),"Editais; Outro(s); Doações")</f>
        <v>Editais; Outro(s); Doações</v>
      </c>
      <c r="AI185" s="27" t="str">
        <f ca="1">IFERROR(__xludf.DUMMYFUNCTION("""COMPUTED_VALUE"""),"NÃO HÁ")</f>
        <v>NÃO HÁ</v>
      </c>
      <c r="AJ185" s="27"/>
      <c r="AK185" s="27"/>
      <c r="AL185" s="21" t="str">
        <f ca="1">IFERROR(__xludf.DUMMYFUNCTION("""COMPUTED_VALUE"""),"0034P000045kxiI")</f>
        <v>0034P000045kxiI</v>
      </c>
      <c r="AM185" s="27" t="str">
        <f ca="1">IFERROR(__xludf.DUMMYFUNCTION("""COMPUTED_VALUE"""),"Jaqueline De Oliveira")</f>
        <v>Jaqueline De Oliveira</v>
      </c>
      <c r="AN185" s="27" t="str">
        <f ca="1">IFERROR(__xludf.DUMMYFUNCTION("""COMPUTED_VALUE"""),"Ativo")</f>
        <v>Ativo</v>
      </c>
      <c r="AO185" s="30">
        <f ca="1">IFERROR(__xludf.DUMMYFUNCTION("""COMPUTED_VALUE"""),44551)</f>
        <v>44551</v>
      </c>
      <c r="AP185" s="27">
        <f ca="1">IFERROR(__xludf.DUMMYFUNCTION("""COMPUTED_VALUE"""),9)</f>
        <v>9</v>
      </c>
      <c r="AQ185" s="27" t="str">
        <f ca="1">IFERROR(__xludf.DUMMYFUNCTION("""COMPUTED_VALUE"""),"Segundo Semestre 2021")</f>
        <v>Segundo Semestre 2021</v>
      </c>
      <c r="AR185" s="27" t="str">
        <f ca="1">IFERROR(__xludf.DUMMYFUNCTION("""COMPUTED_VALUE"""),"jaquelineoliveirajuv231@gmail.com")</f>
        <v>jaquelineoliveirajuv231@gmail.com</v>
      </c>
      <c r="AS185" s="27">
        <f ca="1">IFERROR(__xludf.DUMMYFUNCTION("""COMPUTED_VALUE"""),81998471714)</f>
        <v>81998471714</v>
      </c>
      <c r="AT185" s="29">
        <f ca="1">IFERROR(__xludf.DUMMYFUNCTION("""COMPUTED_VALUE"""),32146)</f>
        <v>32146</v>
      </c>
      <c r="AU185" s="27">
        <f ca="1">IFERROR(__xludf.DUMMYFUNCTION("""COMPUTED_VALUE"""),34)</f>
        <v>34</v>
      </c>
      <c r="AV185" s="27">
        <f ca="1">IFERROR(__xludf.DUMMYFUNCTION("""COMPUTED_VALUE"""),7973069437)</f>
        <v>7973069437</v>
      </c>
      <c r="AW185" s="27">
        <f ca="1">IFERROR(__xludf.DUMMYFUNCTION("""COMPUTED_VALUE"""),7938553)</f>
        <v>7938553</v>
      </c>
      <c r="AX185" s="27"/>
      <c r="AY185" s="27"/>
      <c r="AZ185" s="27" t="str">
        <f ca="1">IFERROR(__xludf.DUMMYFUNCTION("""COMPUTED_VALUE"""),"P")</f>
        <v>P</v>
      </c>
      <c r="BA185" s="27" t="str">
        <f ca="1">IFERROR(__xludf.DUMMYFUNCTION("""COMPUTED_VALUE"""),"Parda")</f>
        <v>Parda</v>
      </c>
      <c r="BB185" s="27"/>
      <c r="BC185" s="27" t="str">
        <f ca="1">IFERROR(__xludf.DUMMYFUNCTION("""COMPUTED_VALUE"""),"Sim")</f>
        <v>Sim</v>
      </c>
      <c r="BD185" s="27" t="str">
        <f ca="1">IFERROR(__xludf.DUMMYFUNCTION("""COMPUTED_VALUE"""),"Jaqueline Oliveira;; 33 anos jovem mulher do campo;; Técnica agrícola;;militante;; feminista;; educadora social;; graduanda em pedagogia; Filha de mãe solo;; aos seus 11 anos;; precisou pedir esmola para garantir ao menos uma refeição para os seus 6 irmão"&amp;"s;Sempre viveu no campo e acreditava que mesmo com tão pouco conseguiria ajudar a transformar o mundo; Sempre lutou por igualdade;; equidade e qualidade de vida; Sonhadora;; militante a 10 anos nas causas sociais;O que me impulsiona é a busca de dias melh"&amp;"ores;; é resgatar jovens e torna-los protagonistas das suas próprias histórias;")</f>
        <v>Jaqueline Oliveira;; 33 anos jovem mulher do campo;; Técnica agrícola;;militante;; feminista;; educadora social;; graduanda em pedagogia; Filha de mãe solo;; aos seus 11 anos;; precisou pedir esmola para garantir ao menos uma refeição para os seus 6 irmãos;Sempre viveu no campo e acreditava que mesmo com tão pouco conseguiria ajudar a transformar o mundo; Sempre lutou por igualdade;; equidade e qualidade de vida; Sonhadora;; militante a 10 anos nas causas sociais;O que me impulsiona é a busca de dias melhores;; é resgatar jovens e torna-los protagonistas das suas próprias histórias;</v>
      </c>
      <c r="BE185" s="27"/>
      <c r="BF185" s="27"/>
      <c r="BG185" s="27" t="str">
        <f ca="1">IFERROR(__xludf.DUMMYFUNCTION("""COMPUTED_VALUE"""),"Ensino Médio - Incompleto")</f>
        <v>Ensino Médio - Incompleto</v>
      </c>
      <c r="BH185" s="27" t="str">
        <f ca="1">IFERROR(__xludf.DUMMYFUNCTION("""COMPUTED_VALUE"""),"Público")</f>
        <v>Público</v>
      </c>
      <c r="BI185" s="27" t="str">
        <f ca="1">IFERROR(__xludf.DUMMYFUNCTION("""COMPUTED_VALUE"""),"Graduação")</f>
        <v>Graduação</v>
      </c>
      <c r="BJ185" s="27" t="str">
        <f ca="1">IFERROR(__xludf.DUMMYFUNCTION("""COMPUTED_VALUE"""),"Privado")</f>
        <v>Privado</v>
      </c>
      <c r="BK185" s="27" t="str">
        <f ca="1">IFERROR(__xludf.DUMMYFUNCTION("""COMPUTED_VALUE"""),"Sítio Agostinho")</f>
        <v>Sítio Agostinho</v>
      </c>
      <c r="BL185" s="27">
        <f ca="1">IFERROR(__xludf.DUMMYFUNCTION("""COMPUTED_VALUE"""),82)</f>
        <v>82</v>
      </c>
      <c r="BM185" s="27" t="str">
        <f ca="1">IFERROR(__xludf.DUMMYFUNCTION("""COMPUTED_VALUE"""),"casa")</f>
        <v>casa</v>
      </c>
      <c r="BN185" s="27" t="str">
        <f ca="1">IFERROR(__xludf.DUMMYFUNCTION("""COMPUTED_VALUE"""),"Feira Nova")</f>
        <v>Feira Nova</v>
      </c>
      <c r="BO185" s="27" t="str">
        <f ca="1">IFERROR(__xludf.DUMMYFUNCTION("""COMPUTED_VALUE"""),"55715-000")</f>
        <v>55715-000</v>
      </c>
      <c r="BP185" s="27" t="str">
        <f ca="1">IFERROR(__xludf.DUMMYFUNCTION("""COMPUTED_VALUE"""),"PE")</f>
        <v>PE</v>
      </c>
      <c r="BQ185" s="27"/>
      <c r="BR185" s="27"/>
      <c r="BS185" s="27"/>
      <c r="BT185" s="27"/>
      <c r="BU185" s="27" t="str">
        <f ca="1">IFERROR(__xludf.DUMMYFUNCTION("""COMPUTED_VALUE"""),"Não tem")</f>
        <v>Não tem</v>
      </c>
      <c r="BV185" s="27"/>
      <c r="BW185" s="21" t="str">
        <f ca="1">IFERROR(__xludf.DUMMYFUNCTION("""COMPUTED_VALUE"""),"https://www.linkedin.com/in/jaqueline-oliveira-90664a1b5/?midToken=AQHIDWjkjLIB5g&amp;midSig=3fVuhkKMUVEpQ1&amp;trk=eml-email_job_alert_digest_01-header-40-profile&amp;trkEmail=eml-email_job_alert_digest_01-header-40-profile-null-dwi6c6%7Ekr6nedsj%7E51-null-neptune%2")</f>
        <v>https://www.linkedin.com/in/jaqueline-oliveira-90664a1b5/?midToken=AQHIDWjkjLIB5g&amp;midSig=3fVuhkKMUVEpQ1&amp;trk=eml-email_job_alert_digest_01-header-40-profile&amp;trkEmail=eml-email_job_alert_digest_01-header-40-profile-null-dwi6c6%7Ekr6nedsj%7E51-null-neptune%2</v>
      </c>
      <c r="BX185" s="21" t="str">
        <f ca="1">IFERROR(__xludf.DUMMYFUNCTION("""COMPUTED_VALUE"""),"https://www.instagram.com/p/CRZT2CLMWFA1OaZiaF6TtyWRCqhb7_fo8Iy0dU0/?utm_medium=copy_link")</f>
        <v>https://www.instagram.com/p/CRZT2CLMWFA1OaZiaF6TtyWRCqhb7_fo8Iy0dU0/?utm_medium=copy_link</v>
      </c>
      <c r="BY185" s="21" t="str">
        <f ca="1">IFERROR(__xludf.DUMMYFUNCTION("""COMPUTED_VALUE"""),"https://drive.google.com/open?id=1WCZzKrLUz4iUv3863d4f8aBtA20p6fwz")</f>
        <v>https://drive.google.com/open?id=1WCZzKrLUz4iUv3863d4f8aBtA20p6fwz</v>
      </c>
    </row>
    <row r="186" spans="1:77" ht="12.5" hidden="1" x14ac:dyDescent="0.25">
      <c r="A186" s="21" t="str">
        <f ca="1">IFERROR(__xludf.DUMMYFUNCTION("""COMPUTED_VALUE"""),"0014P00003YSp90QAD")</f>
        <v>0014P00003YSp90QAD</v>
      </c>
      <c r="B186" s="27" t="str">
        <f ca="1">IFERROR(__xludf.DUMMYFUNCTION("""COMPUTED_VALUE"""),"Fase Inicial")</f>
        <v>Fase Inicial</v>
      </c>
      <c r="C186" s="27" t="str">
        <f ca="1">IFERROR(__xludf.DUMMYFUNCTION("""COMPUTED_VALUE"""),"Fellow")</f>
        <v>Fellow</v>
      </c>
      <c r="D186" s="27" t="str">
        <f ca="1">IFERROR(__xludf.DUMMYFUNCTION("""COMPUTED_VALUE"""),"Ativo")</f>
        <v>Ativo</v>
      </c>
      <c r="E186" s="27" t="str">
        <f ca="1">IFERROR(__xludf.DUMMYFUNCTION("""COMPUTED_VALUE"""),"Casa de Apoio à Criança com Câncer Vida Divina")</f>
        <v>Casa de Apoio à Criança com Câncer Vida Divina</v>
      </c>
      <c r="F186" s="27" t="str">
        <f ca="1">IFERROR(__xludf.DUMMYFUNCTION("""COMPUTED_VALUE"""),"Lucas")</f>
        <v>Lucas</v>
      </c>
      <c r="G186" s="27"/>
      <c r="H186" s="27" t="str">
        <f ca="1">IFERROR(__xludf.DUMMYFUNCTION("""COMPUTED_VALUE"""),"05.248.144/0001-85")</f>
        <v>05.248.144/0001-85</v>
      </c>
      <c r="I186" s="27" t="str">
        <f ca="1">IFERROR(__xludf.DUMMYFUNCTION("""COMPUTED_VALUE"""),"Marli Francisca de Souza Silva")</f>
        <v>Marli Francisca de Souza Silva</v>
      </c>
      <c r="J186" s="27" t="str">
        <f ca="1">IFERROR(__xludf.DUMMYFUNCTION("""COMPUTED_VALUE"""),"coordenacao@cavd.org.br")</f>
        <v>coordenacao@cavd.org.br</v>
      </c>
      <c r="K186" s="27" t="str">
        <f ca="1">IFERROR(__xludf.DUMMYFUNCTION("""COMPUTED_VALUE"""),"(11)99304-0026")</f>
        <v>(11)99304-0026</v>
      </c>
      <c r="L186" s="27" t="str">
        <f ca="1">IFERROR(__xludf.DUMMYFUNCTION("""COMPUTED_VALUE"""),"SP")</f>
        <v>SP</v>
      </c>
      <c r="M186" s="27" t="str">
        <f ca="1">IFERROR(__xludf.DUMMYFUNCTION("""COMPUTED_VALUE"""),"Martinho de Sousa, 294")</f>
        <v>Martinho de Sousa, 294</v>
      </c>
      <c r="N186" s="27" t="str">
        <f ca="1">IFERROR(__xludf.DUMMYFUNCTION("""COMPUTED_VALUE"""),"Vila Paranaguá - Ermelino Matarazzo")</f>
        <v>Vila Paranaguá - Ermelino Matarazzo</v>
      </c>
      <c r="O186" s="27">
        <f ca="1">IFERROR(__xludf.DUMMYFUNCTION("""COMPUTED_VALUE"""),294)</f>
        <v>294</v>
      </c>
      <c r="P186" s="27" t="str">
        <f ca="1">IFERROR(__xludf.DUMMYFUNCTION("""COMPUTED_VALUE"""),"São Paulo")</f>
        <v>São Paulo</v>
      </c>
      <c r="Q186" s="27" t="str">
        <f ca="1">IFERROR(__xludf.DUMMYFUNCTION("""COMPUTED_VALUE"""),"Casa")</f>
        <v>Casa</v>
      </c>
      <c r="R186" s="27" t="str">
        <f ca="1">IFERROR(__xludf.DUMMYFUNCTION("""COMPUTED_VALUE"""),"03807-290")</f>
        <v>03807-290</v>
      </c>
      <c r="S186" s="27"/>
      <c r="T186" s="27" t="str">
        <f ca="1">IFERROR(__xludf.DUMMYFUNCTION("""COMPUTED_VALUE"""),"Educação; Assistência Social; Qualificação Profissional; Saúde; Negócios Sociais; Defesa de Direitos; Assistência Psicológica")</f>
        <v>Educação; Assistência Social; Qualificação Profissional; Saúde; Negócios Sociais; Defesa de Direitos; Assistência Psicológica</v>
      </c>
      <c r="U186" s="27" t="str">
        <f ca="1">IFERROR(__xludf.DUMMYFUNCTION("""COMPUTED_VALUE"""),"Bebês (0 a 1 ano e 6 meses); Crianças bem pequenas (1 ano e 7 meses até 3 anos e 11 meses); Crianças pequenas (4 anos a 5 anos e 11 meses); Crianças (6 a 12 anos); Adolescentes (12 aos 18 anos); Jovens (18 aos 24 anos); Adultos")</f>
        <v>Bebês (0 a 1 ano e 6 meses); Crianças bem pequenas (1 ano e 7 meses até 3 anos e 11 meses); Crianças pequenas (4 anos a 5 anos e 11 meses); Crianças (6 a 12 anos); Adolescentes (12 aos 18 anos); Jovens (18 aos 24 anos); Adultos</v>
      </c>
      <c r="V186" s="27" t="str">
        <f ca="1">IFERROR(__xludf.DUMMYFUNCTION("""COMPUTED_VALUE"""),"Moradores de Favelas; Povos Indígenas; Afrodescendentes; Pessoas com Deficiência; Ribeirinhos; Outros")</f>
        <v>Moradores de Favelas; Povos Indígenas; Afrodescendentes; Pessoas com Deficiência; Ribeirinhos; Outros</v>
      </c>
      <c r="W186" s="27">
        <f ca="1">IFERROR(__xludf.DUMMYFUNCTION("""COMPUTED_VALUE"""),25)</f>
        <v>25</v>
      </c>
      <c r="X186" s="27" t="str">
        <f ca="1">IFERROR(__xludf.DUMMYFUNCTION("""COMPUTED_VALUE"""),"A instituição acolhe famílias de outros estados famílias carentes que precisam vir para São Paulo para tratamento. A instituição em Ermelino Matarazzo tem uma função social um giro de economia para manter o projeto. Hoje mantemos através de captação de re"&amp;"cursos bazares e ações sociais na qual os bairros próximos se mobilizam em ajudar principalmente nos bazares onde é uma via de mão dupla. Além disso a instituição tem a função social em auxiliar conforme a demanda como nossos projetos são mantidos somente"&amp;" por doações quando existe uma demanda grande de doações elas são direcionadas para as comunidades próximas da região desde frutas remédios alimentos roupas brinquedos.")</f>
        <v>A instituição acolhe famílias de outros estados famílias carentes que precisam vir para São Paulo para tratamento. A instituição em Ermelino Matarazzo tem uma função social um giro de economia para manter o projeto. Hoje mantemos através de captação de recursos bazares e ações sociais na qual os bairros próximos se mobilizam em ajudar principalmente nos bazares onde é uma via de mão dupla. Além disso a instituição tem a função social em auxiliar conforme a demanda como nossos projetos são mantidos somente por doações quando existe uma demanda grande de doações elas são direcionadas para as comunidades próximas da região desde frutas remédios alimentos roupas brinquedos.</v>
      </c>
      <c r="Y186" s="27"/>
      <c r="Z186" s="27">
        <f ca="1">IFERROR(__xludf.DUMMYFUNCTION("""COMPUTED_VALUE"""),100)</f>
        <v>100</v>
      </c>
      <c r="AA186" s="29">
        <f ca="1">IFERROR(__xludf.DUMMYFUNCTION("""COMPUTED_VALUE"""),37460)</f>
        <v>37460</v>
      </c>
      <c r="AB186" s="27" t="str">
        <f ca="1">IFERROR(__xludf.DUMMYFUNCTION("""COMPUTED_VALUE"""),"Sim")</f>
        <v>Sim</v>
      </c>
      <c r="AC186" s="27">
        <f ca="1">IFERROR(__xludf.DUMMYFUNCTION("""COMPUTED_VALUE"""),41)</f>
        <v>41</v>
      </c>
      <c r="AD186" s="27">
        <f ca="1">IFERROR(__xludf.DUMMYFUNCTION("""COMPUTED_VALUE"""),38)</f>
        <v>38</v>
      </c>
      <c r="AE186" s="27">
        <f ca="1">IFERROR(__xludf.DUMMYFUNCTION("""COMPUTED_VALUE"""),10)</f>
        <v>10</v>
      </c>
      <c r="AF186" s="27">
        <f ca="1">IFERROR(__xludf.DUMMYFUNCTION("""COMPUTED_VALUE"""),10)</f>
        <v>10</v>
      </c>
      <c r="AG186" s="27">
        <f ca="1">IFERROR(__xludf.DUMMYFUNCTION("""COMPUTED_VALUE"""),4)</f>
        <v>4</v>
      </c>
      <c r="AH186" s="27" t="str">
        <f ca="1">IFERROR(__xludf.DUMMYFUNCTION("""COMPUTED_VALUE"""),"Negócio Social; Eventos/Ações para captação; Parceria iniciativa privada; Doações; Recursos próprios")</f>
        <v>Negócio Social; Eventos/Ações para captação; Parceria iniciativa privada; Doações; Recursos próprios</v>
      </c>
      <c r="AI186" s="31">
        <f ca="1">IFERROR(__xludf.DUMMYFUNCTION("""COMPUTED_VALUE"""),0)</f>
        <v>0</v>
      </c>
      <c r="AJ186" s="27"/>
      <c r="AK186" s="27"/>
      <c r="AL186" s="21" t="str">
        <f ca="1">IFERROR(__xludf.DUMMYFUNCTION("""COMPUTED_VALUE"""),"0034P000045kxjc")</f>
        <v>0034P000045kxjc</v>
      </c>
      <c r="AM186" s="27" t="str">
        <f ca="1">IFERROR(__xludf.DUMMYFUNCTION("""COMPUTED_VALUE"""),"Estevam Lima De Freitas")</f>
        <v>Estevam Lima De Freitas</v>
      </c>
      <c r="AN186" s="27" t="str">
        <f ca="1">IFERROR(__xludf.DUMMYFUNCTION("""COMPUTED_VALUE"""),"Ativo")</f>
        <v>Ativo</v>
      </c>
      <c r="AO186" s="30">
        <f ca="1">IFERROR(__xludf.DUMMYFUNCTION("""COMPUTED_VALUE"""),44551)</f>
        <v>44551</v>
      </c>
      <c r="AP186" s="27">
        <f ca="1">IFERROR(__xludf.DUMMYFUNCTION("""COMPUTED_VALUE"""),9)</f>
        <v>9</v>
      </c>
      <c r="AQ186" s="27" t="str">
        <f ca="1">IFERROR(__xludf.DUMMYFUNCTION("""COMPUTED_VALUE"""),"Segundo Semestre 2021")</f>
        <v>Segundo Semestre 2021</v>
      </c>
      <c r="AR186" s="27" t="str">
        <f ca="1">IFERROR(__xludf.DUMMYFUNCTION("""COMPUTED_VALUE"""),"lucas.estevam.freitas@gmail.com")</f>
        <v>lucas.estevam.freitas@gmail.com</v>
      </c>
      <c r="AS186" s="27" t="str">
        <f ca="1">IFERROR(__xludf.DUMMYFUNCTION("""COMPUTED_VALUE"""),"(11)99002-1567")</f>
        <v>(11)99002-1567</v>
      </c>
      <c r="AT186" s="29">
        <f ca="1">IFERROR(__xludf.DUMMYFUNCTION("""COMPUTED_VALUE"""),34173)</f>
        <v>34173</v>
      </c>
      <c r="AU186" s="27">
        <f ca="1">IFERROR(__xludf.DUMMYFUNCTION("""COMPUTED_VALUE"""),29)</f>
        <v>29</v>
      </c>
      <c r="AV186" s="27">
        <f ca="1">IFERROR(__xludf.DUMMYFUNCTION("""COMPUTED_VALUE"""),41982455845)</f>
        <v>41982455845</v>
      </c>
      <c r="AW186" s="27" t="str">
        <f ca="1">IFERROR(__xludf.DUMMYFUNCTION("""COMPUTED_VALUE"""),"42747059-6")</f>
        <v>42747059-6</v>
      </c>
      <c r="AX186" s="27"/>
      <c r="AY186" s="27"/>
      <c r="AZ186" s="27" t="str">
        <f ca="1">IFERROR(__xludf.DUMMYFUNCTION("""COMPUTED_VALUE"""),"EXG3")</f>
        <v>EXG3</v>
      </c>
      <c r="BA186" s="27" t="str">
        <f ca="1">IFERROR(__xludf.DUMMYFUNCTION("""COMPUTED_VALUE"""),"Branca")</f>
        <v>Branca</v>
      </c>
      <c r="BB186" s="27" t="str">
        <f ca="1">IFERROR(__xludf.DUMMYFUNCTION("""COMPUTED_VALUE"""),"Homem, cisgênero")</f>
        <v>Homem, cisgênero</v>
      </c>
      <c r="BC186" s="27" t="str">
        <f ca="1">IFERROR(__xludf.DUMMYFUNCTION("""COMPUTED_VALUE"""),"Sim")</f>
        <v>Sim</v>
      </c>
      <c r="BD186" s="27" t="str">
        <f ca="1">IFERROR(__xludf.DUMMYFUNCTION("""COMPUTED_VALUE"""),"Lucas cresceu nas comunidades da zona leste de São Paulo, criado por uma mãe costureira que sempre buscou nunca deixar faltar comida na mesa. Aos 18 anos começou a atuar em projetos voluntários, aos 20 anos desenvolveu um projeto para a secretária municip"&amp;"al de cultura de São Paulo para apoiar artistas da comunidade LGBTQIA+. Desde 2014, está no time da Casa de Apoio Vida Divina buscando o melhor para as famílias que são acolhidas
em São Paulo.")</f>
        <v>Lucas cresceu nas comunidades da zona leste de São Paulo, criado por uma mãe costureira que sempre buscou nunca deixar faltar comida na mesa. Aos 18 anos começou a atuar em projetos voluntários, aos 20 anos desenvolveu um projeto para a secretária municipal de cultura de São Paulo para apoiar artistas da comunidade LGBTQIA+. Desde 2014, está no time da Casa de Apoio Vida Divina buscando o melhor para as famílias que são acolhidas
em São Paulo.</v>
      </c>
      <c r="BE186" s="27"/>
      <c r="BF186" s="27" t="str">
        <f ca="1">IFERROR(__xludf.DUMMYFUNCTION("""COMPUTED_VALUE"""),"Homossexual")</f>
        <v>Homossexual</v>
      </c>
      <c r="BG186" s="27" t="str">
        <f ca="1">IFERROR(__xludf.DUMMYFUNCTION("""COMPUTED_VALUE"""),"Ensino Superior - Incompleto")</f>
        <v>Ensino Superior - Incompleto</v>
      </c>
      <c r="BH186" s="27" t="str">
        <f ca="1">IFERROR(__xludf.DUMMYFUNCTION("""COMPUTED_VALUE"""),"Público")</f>
        <v>Público</v>
      </c>
      <c r="BI186" s="27" t="str">
        <f ca="1">IFERROR(__xludf.DUMMYFUNCTION("""COMPUTED_VALUE"""),"Graduação")</f>
        <v>Graduação</v>
      </c>
      <c r="BJ186" s="27" t="str">
        <f ca="1">IFERROR(__xludf.DUMMYFUNCTION("""COMPUTED_VALUE"""),"Público")</f>
        <v>Público</v>
      </c>
      <c r="BK186" s="27" t="str">
        <f ca="1">IFERROR(__xludf.DUMMYFUNCTION("""COMPUTED_VALUE"""),"Monte Car")</f>
        <v>Monte Car</v>
      </c>
      <c r="BL186" s="27">
        <f ca="1">IFERROR(__xludf.DUMMYFUNCTION("""COMPUTED_VALUE"""),1558)</f>
        <v>1558</v>
      </c>
      <c r="BM186" s="27" t="str">
        <f ca="1">IFERROR(__xludf.DUMMYFUNCTION("""COMPUTED_VALUE"""),"Casa")</f>
        <v>Casa</v>
      </c>
      <c r="BN186" s="27" t="str">
        <f ca="1">IFERROR(__xludf.DUMMYFUNCTION("""COMPUTED_VALUE"""),"São Paulo")</f>
        <v>São Paulo</v>
      </c>
      <c r="BO186" s="27" t="str">
        <f ca="1">IFERROR(__xludf.DUMMYFUNCTION("""COMPUTED_VALUE"""),"08226-010")</f>
        <v>08226-010</v>
      </c>
      <c r="BP186" s="27" t="str">
        <f ca="1">IFERROR(__xludf.DUMMYFUNCTION("""COMPUTED_VALUE"""),"SP")</f>
        <v>SP</v>
      </c>
      <c r="BQ186" s="27" t="str">
        <f ca="1">IFERROR(__xludf.DUMMYFUNCTION("""COMPUTED_VALUE"""),"Entre 1 até 3 salários mínimos")</f>
        <v>Entre 1 até 3 salários mínimos</v>
      </c>
      <c r="BR186" s="27" t="str">
        <f ca="1">IFERROR(__xludf.DUMMYFUNCTION("""COMPUTED_VALUE"""),"CLT")</f>
        <v>CLT</v>
      </c>
      <c r="BS186" s="27" t="str">
        <f ca="1">IFERROR(__xludf.DUMMYFUNCTION("""COMPUTED_VALUE"""),"Ocupação/Invasão")</f>
        <v>Ocupação/Invasão</v>
      </c>
      <c r="BT186" s="27">
        <f ca="1">IFERROR(__xludf.DUMMYFUNCTION("""COMPUTED_VALUE"""),4)</f>
        <v>4</v>
      </c>
      <c r="BU186" s="27" t="str">
        <f ca="1">IFERROR(__xludf.DUMMYFUNCTION("""COMPUTED_VALUE"""),"Não tem")</f>
        <v>Não tem</v>
      </c>
      <c r="BV186" s="27"/>
      <c r="BW186" s="21" t="str">
        <f ca="1">IFERROR(__xludf.DUMMYFUNCTION("""COMPUTED_VALUE"""),"https://www.linkedin.com/in/lucas-estevam-a72ba749/")</f>
        <v>https://www.linkedin.com/in/lucas-estevam-a72ba749/</v>
      </c>
      <c r="BX186" s="21" t="str">
        <f ca="1">IFERROR(__xludf.DUMMYFUNCTION("""COMPUTED_VALUE"""),"https://www.instagram.com/oiestevam/")</f>
        <v>https://www.instagram.com/oiestevam/</v>
      </c>
      <c r="BY186" s="21" t="str">
        <f ca="1">IFERROR(__xludf.DUMMYFUNCTION("""COMPUTED_VALUE"""),"https://drive.google.com/open?id=1weUZCZS_PVcl6rJKWbsmcf8TkodO0mcM")</f>
        <v>https://drive.google.com/open?id=1weUZCZS_PVcl6rJKWbsmcf8TkodO0mcM</v>
      </c>
    </row>
    <row r="187" spans="1:77" ht="12.5" hidden="1" x14ac:dyDescent="0.25">
      <c r="A187" s="21" t="str">
        <f ca="1">IFERROR(__xludf.DUMMYFUNCTION("""COMPUTED_VALUE"""),"0014X00002VKCp4QAH")</f>
        <v>0014X00002VKCp4QAH</v>
      </c>
      <c r="B187" s="27" t="str">
        <f ca="1">IFERROR(__xludf.DUMMYFUNCTION("""COMPUTED_VALUE"""),"Fase Inicial")</f>
        <v>Fase Inicial</v>
      </c>
      <c r="C187" s="27" t="str">
        <f ca="1">IFERROR(__xludf.DUMMYFUNCTION("""COMPUTED_VALUE"""),"Fellow")</f>
        <v>Fellow</v>
      </c>
      <c r="D187" s="27" t="str">
        <f ca="1">IFERROR(__xludf.DUMMYFUNCTION("""COMPUTED_VALUE"""),"Ativo")</f>
        <v>Ativo</v>
      </c>
      <c r="E187" s="27" t="str">
        <f ca="1">IFERROR(__xludf.DUMMYFUNCTION("""COMPUTED_VALUE"""),"Casa do Conto")</f>
        <v>Casa do Conto</v>
      </c>
      <c r="F187" s="27" t="str">
        <f ca="1">IFERROR(__xludf.DUMMYFUNCTION("""COMPUTED_VALUE"""),"Cristiane")</f>
        <v>Cristiane</v>
      </c>
      <c r="G187" s="27" t="str">
        <f ca="1">IFERROR(__xludf.DUMMYFUNCTION("""COMPUTED_VALUE"""),"CASA DO CONTO")</f>
        <v>CASA DO CONTO</v>
      </c>
      <c r="H187" s="27"/>
      <c r="I187" s="27" t="str">
        <f ca="1">IFERROR(__xludf.DUMMYFUNCTION("""COMPUTED_VALUE"""),"Masao Fukayama Junior")</f>
        <v>Masao Fukayama Junior</v>
      </c>
      <c r="J187" s="27" t="str">
        <f ca="1">IFERROR(__xludf.DUMMYFUNCTION("""COMPUTED_VALUE"""),"cdcitacare@gmail.com")</f>
        <v>cdcitacare@gmail.com</v>
      </c>
      <c r="K187" s="27" t="str">
        <f ca="1">IFERROR(__xludf.DUMMYFUNCTION("""COMPUTED_VALUE"""),"(73)99975-2873")</f>
        <v>(73)99975-2873</v>
      </c>
      <c r="L187" s="27" t="str">
        <f ca="1">IFERROR(__xludf.DUMMYFUNCTION("""COMPUTED_VALUE"""),"BA")</f>
        <v>BA</v>
      </c>
      <c r="M187" s="27" t="str">
        <f ca="1">IFERROR(__xludf.DUMMYFUNCTION("""COMPUTED_VALUE"""),"Rua Santo Antonio")</f>
        <v>Rua Santo Antonio</v>
      </c>
      <c r="N187" s="27" t="str">
        <f ca="1">IFERROR(__xludf.DUMMYFUNCTION("""COMPUTED_VALUE"""),"Bairro Novo")</f>
        <v>Bairro Novo</v>
      </c>
      <c r="O187" s="27">
        <f ca="1">IFERROR(__xludf.DUMMYFUNCTION("""COMPUTED_VALUE"""),253)</f>
        <v>253</v>
      </c>
      <c r="P187" s="27" t="str">
        <f ca="1">IFERROR(__xludf.DUMMYFUNCTION("""COMPUTED_VALUE"""),"Itacaré")</f>
        <v>Itacaré</v>
      </c>
      <c r="Q187" s="27"/>
      <c r="R187" s="27" t="str">
        <f ca="1">IFERROR(__xludf.DUMMYFUNCTION("""COMPUTED_VALUE"""),"45530-000")</f>
        <v>45530-000</v>
      </c>
      <c r="S187" s="27" t="str">
        <f ca="1">IFERROR(__xludf.DUMMYFUNCTION("""COMPUTED_VALUE"""),"natação na ONG ETIV, canoa no Rio de Contas")</f>
        <v>natação na ONG ETIV, canoa no Rio de Contas</v>
      </c>
      <c r="T187" s="27"/>
      <c r="U187" s="27" t="str">
        <f ca="1">IFERROR(__xludf.DUMMYFUNCTION("""COMPUTED_VALUE"""),"Crianças (6 a 12 anos), Adolescentes (12 aos 18 anos), Jovens (18 aos 24 anos), Adultos")</f>
        <v>Crianças (6 a 12 anos), Adolescentes (12 aos 18 anos), Jovens (18 aos 24 anos), Adultos</v>
      </c>
      <c r="V187" s="27" t="str">
        <f ca="1">IFERROR(__xludf.DUMMYFUNCTION("""COMPUTED_VALUE"""),"Moradores de Favelas")</f>
        <v>Moradores de Favelas</v>
      </c>
      <c r="W187" s="27">
        <f ca="1">IFERROR(__xludf.DUMMYFUNCTION("""COMPUTED_VALUE"""),2)</f>
        <v>2</v>
      </c>
      <c r="X187" s="27" t="str">
        <f ca="1">IFERROR(__xludf.DUMMYFUNCTION("""COMPUTED_VALUE"""),"Crianças e adolescentes do Bairro Novo. E também jovens e mulheres da comunidade dos catadores do Lixão da cidade.")</f>
        <v>Crianças e adolescentes do Bairro Novo. E também jovens e mulheres da comunidade dos catadores do Lixão da cidade.</v>
      </c>
      <c r="Y187" s="27"/>
      <c r="Z187" s="27">
        <f ca="1">IFERROR(__xludf.DUMMYFUNCTION("""COMPUTED_VALUE"""),120)</f>
        <v>120</v>
      </c>
      <c r="AA187" s="30">
        <f ca="1">IFERROR(__xludf.DUMMYFUNCTION("""COMPUTED_VALUE"""),41194)</f>
        <v>41194</v>
      </c>
      <c r="AB187" s="27" t="str">
        <f ca="1">IFERROR(__xludf.DUMMYFUNCTION("""COMPUTED_VALUE"""),"Não")</f>
        <v>Não</v>
      </c>
      <c r="AC187" s="27">
        <f ca="1">IFERROR(__xludf.DUMMYFUNCTION("""COMPUTED_VALUE"""),0)</f>
        <v>0</v>
      </c>
      <c r="AD187" s="27">
        <f ca="1">IFERROR(__xludf.DUMMYFUNCTION("""COMPUTED_VALUE"""),7)</f>
        <v>7</v>
      </c>
      <c r="AE187" s="27">
        <f ca="1">IFERROR(__xludf.DUMMYFUNCTION("""COMPUTED_VALUE"""),10)</f>
        <v>10</v>
      </c>
      <c r="AF187" s="27">
        <f ca="1">IFERROR(__xludf.DUMMYFUNCTION("""COMPUTED_VALUE"""),6)</f>
        <v>6</v>
      </c>
      <c r="AG187" s="27">
        <f ca="1">IFERROR(__xludf.DUMMYFUNCTION("""COMPUTED_VALUE"""),2)</f>
        <v>2</v>
      </c>
      <c r="AH187" s="27" t="str">
        <f ca="1">IFERROR(__xludf.DUMMYFUNCTION("""COMPUTED_VALUE"""),"Parceria iniciativa privada, Doações")</f>
        <v>Parceria iniciativa privada, Doações</v>
      </c>
      <c r="AI187" s="27" t="str">
        <f ca="1">IFERROR(__xludf.DUMMYFUNCTION("""COMPUTED_VALUE"""),"20% parceria de iniciativa privada, 80% doações")</f>
        <v>20% parceria de iniciativa privada, 80% doações</v>
      </c>
      <c r="AJ187" s="27" t="str">
        <f ca="1">IFERROR(__xludf.DUMMYFUNCTION("""COMPUTED_VALUE"""),"Vamos iniciar esse ano")</f>
        <v>Vamos iniciar esse ano</v>
      </c>
      <c r="AK187" s="27"/>
      <c r="AL187" s="21" t="str">
        <f ca="1">IFERROR(__xludf.DUMMYFUNCTION("""COMPUTED_VALUE"""),"0034X0000380O69")</f>
        <v>0034X0000380O69</v>
      </c>
      <c r="AM187" s="27" t="str">
        <f ca="1">IFERROR(__xludf.DUMMYFUNCTION("""COMPUTED_VALUE"""),"Oliveira santos herculian")</f>
        <v>Oliveira santos herculian</v>
      </c>
      <c r="AN187" s="27" t="str">
        <f ca="1">IFERROR(__xludf.DUMMYFUNCTION("""COMPUTED_VALUE"""),"Ativo")</f>
        <v>Ativo</v>
      </c>
      <c r="AO187" s="29">
        <f ca="1">IFERROR(__xludf.DUMMYFUNCTION("""COMPUTED_VALUE"""),44763)</f>
        <v>44763</v>
      </c>
      <c r="AP187" s="27">
        <f ca="1">IFERROR(__xludf.DUMMYFUNCTION("""COMPUTED_VALUE"""),2)</f>
        <v>2</v>
      </c>
      <c r="AQ187" s="27" t="str">
        <f ca="1">IFERROR(__xludf.DUMMYFUNCTION("""COMPUTED_VALUE"""),"Primeiro Semestre 2022")</f>
        <v>Primeiro Semestre 2022</v>
      </c>
      <c r="AR187" s="27" t="str">
        <f ca="1">IFERROR(__xludf.DUMMYFUNCTION("""COMPUTED_VALUE"""),"crisherculian@gmail.com")</f>
        <v>crisherculian@gmail.com</v>
      </c>
      <c r="AS187" s="27">
        <f ca="1">IFERROR(__xludf.DUMMYFUNCTION("""COMPUTED_VALUE"""),73999719351)</f>
        <v>73999719351</v>
      </c>
      <c r="AT187" s="29">
        <f ca="1">IFERROR(__xludf.DUMMYFUNCTION("""COMPUTED_VALUE"""),25777)</f>
        <v>25777</v>
      </c>
      <c r="AU187" s="27">
        <f ca="1">IFERROR(__xludf.DUMMYFUNCTION("""COMPUTED_VALUE"""),52)</f>
        <v>52</v>
      </c>
      <c r="AV187" s="27">
        <f ca="1">IFERROR(__xludf.DUMMYFUNCTION("""COMPUTED_VALUE"""),51320193587)</f>
        <v>51320193587</v>
      </c>
      <c r="AW187" s="27" t="str">
        <f ca="1">IFERROR(__xludf.DUMMYFUNCTION("""COMPUTED_VALUE"""),"3.216.885-38")</f>
        <v>3.216.885-38</v>
      </c>
      <c r="AX187" s="27"/>
      <c r="AY187" s="27"/>
      <c r="AZ187" s="27" t="str">
        <f ca="1">IFERROR(__xludf.DUMMYFUNCTION("""COMPUTED_VALUE"""),"M")</f>
        <v>M</v>
      </c>
      <c r="BA187" s="27" t="str">
        <f ca="1">IFERROR(__xludf.DUMMYFUNCTION("""COMPUTED_VALUE"""),"Preta")</f>
        <v>Preta</v>
      </c>
      <c r="BB187" s="27"/>
      <c r="BC187" s="27"/>
      <c r="BD187" s="27" t="str">
        <f ca="1">IFERROR(__xludf.DUMMYFUNCTION("""COMPUTED_VALUE"""),"Sou mãe* casada* advogada de formação. Me dedico com as possibilidades que encontro e habilidades que adquiri a ser útil à minha comunidade.")</f>
        <v>Sou mãe* casada* advogada de formação. Me dedico com as possibilidades que encontro e habilidades que adquiri a ser útil à minha comunidade.</v>
      </c>
      <c r="BE187" s="27" t="str">
        <f ca="1">IFERROR(__xludf.DUMMYFUNCTION("""COMPUTED_VALUE"""),"Feminino")</f>
        <v>Feminino</v>
      </c>
      <c r="BF187" s="27" t="str">
        <f ca="1">IFERROR(__xludf.DUMMYFUNCTION("""COMPUTED_VALUE"""),"Heterossexual")</f>
        <v>Heterossexual</v>
      </c>
      <c r="BG187" s="27"/>
      <c r="BH187" s="27" t="str">
        <f ca="1">IFERROR(__xludf.DUMMYFUNCTION("""COMPUTED_VALUE"""),"Público")</f>
        <v>Público</v>
      </c>
      <c r="BI187" s="27" t="str">
        <f ca="1">IFERROR(__xludf.DUMMYFUNCTION("""COMPUTED_VALUE"""),"Pós-Graduação")</f>
        <v>Pós-Graduação</v>
      </c>
      <c r="BJ187" s="27" t="str">
        <f ca="1">IFERROR(__xludf.DUMMYFUNCTION("""COMPUTED_VALUE"""),"Privado")</f>
        <v>Privado</v>
      </c>
      <c r="BK187" s="27" t="str">
        <f ca="1">IFERROR(__xludf.DUMMYFUNCTION("""COMPUTED_VALUE"""),"Rua Pedro Longo")</f>
        <v>Rua Pedro Longo</v>
      </c>
      <c r="BL187" s="27">
        <f ca="1">IFERROR(__xludf.DUMMYFUNCTION("""COMPUTED_VALUE"""),345)</f>
        <v>345</v>
      </c>
      <c r="BM187" s="27"/>
      <c r="BN187" s="27"/>
      <c r="BO187" s="27">
        <f ca="1">IFERROR(__xludf.DUMMYFUNCTION("""COMPUTED_VALUE"""),45530000)</f>
        <v>45530000</v>
      </c>
      <c r="BP187" s="27" t="str">
        <f ca="1">IFERROR(__xludf.DUMMYFUNCTION("""COMPUTED_VALUE"""),"BA")</f>
        <v>BA</v>
      </c>
      <c r="BQ187" s="27" t="str">
        <f ca="1">IFERROR(__xludf.DUMMYFUNCTION("""COMPUTED_VALUE"""),"Entre 1 até 3 salários mínimos")</f>
        <v>Entre 1 até 3 salários mínimos</v>
      </c>
      <c r="BR187" s="27" t="str">
        <f ca="1">IFERROR(__xludf.DUMMYFUNCTION("""COMPUTED_VALUE"""),"MEI")</f>
        <v>MEI</v>
      </c>
      <c r="BS187" s="27" t="str">
        <f ca="1">IFERROR(__xludf.DUMMYFUNCTION("""COMPUTED_VALUE"""),"Casa própria")</f>
        <v>Casa própria</v>
      </c>
      <c r="BT187" s="27">
        <f ca="1">IFERROR(__xludf.DUMMYFUNCTION("""COMPUTED_VALUE"""),2)</f>
        <v>2</v>
      </c>
      <c r="BU187" s="27" t="str">
        <f ca="1">IFERROR(__xludf.DUMMYFUNCTION("""COMPUTED_VALUE"""),"Não tem")</f>
        <v>Não tem</v>
      </c>
      <c r="BV187" s="27" t="str">
        <f ca="1">IFERROR(__xludf.DUMMYFUNCTION("""COMPUTED_VALUE"""),"Não")</f>
        <v>Não</v>
      </c>
      <c r="BW187" s="27"/>
      <c r="BX187" s="21" t="str">
        <f ca="1">IFERROR(__xludf.DUMMYFUNCTION("""COMPUTED_VALUE"""),"https://instagram.com/crisherculian")</f>
        <v>https://instagram.com/crisherculian</v>
      </c>
      <c r="BY187" s="21" t="str">
        <f ca="1">IFERROR(__xludf.DUMMYFUNCTION("""COMPUTED_VALUE"""),"https://drive.google.com/open?id=1Uz0kNTO4gYqQ5xDsg87M2rxEFgS8BmiX")</f>
        <v>https://drive.google.com/open?id=1Uz0kNTO4gYqQ5xDsg87M2rxEFgS8BmiX</v>
      </c>
    </row>
    <row r="188" spans="1:77" ht="12.5" hidden="1" x14ac:dyDescent="0.25">
      <c r="A188" s="21" t="str">
        <f ca="1">IFERROR(__xludf.DUMMYFUNCTION("""COMPUTED_VALUE"""),"0014X00002VKCrAQAX")</f>
        <v>0014X00002VKCrAQAX</v>
      </c>
      <c r="B188" s="27" t="str">
        <f ca="1">IFERROR(__xludf.DUMMYFUNCTION("""COMPUTED_VALUE"""),"Fase Inicial")</f>
        <v>Fase Inicial</v>
      </c>
      <c r="C188" s="27" t="str">
        <f ca="1">IFERROR(__xludf.DUMMYFUNCTION("""COMPUTED_VALUE"""),"Fellow")</f>
        <v>Fellow</v>
      </c>
      <c r="D188" s="27" t="str">
        <f ca="1">IFERROR(__xludf.DUMMYFUNCTION("""COMPUTED_VALUE"""),"Ativo")</f>
        <v>Ativo</v>
      </c>
      <c r="E188" s="27" t="str">
        <f ca="1">IFERROR(__xludf.DUMMYFUNCTION("""COMPUTED_VALUE"""),"Casa São Francisco")</f>
        <v>Casa São Francisco</v>
      </c>
      <c r="F188" s="27" t="str">
        <f ca="1">IFERROR(__xludf.DUMMYFUNCTION("""COMPUTED_VALUE"""),"Rafael")</f>
        <v>Rafael</v>
      </c>
      <c r="G188" s="27" t="str">
        <f ca="1">IFERROR(__xludf.DUMMYFUNCTION("""COMPUTED_VALUE"""),"CASA SÃO FRANCISCO")</f>
        <v>CASA SÃO FRANCISCO</v>
      </c>
      <c r="H188" s="27" t="str">
        <f ca="1">IFERROR(__xludf.DUMMYFUNCTION("""COMPUTED_VALUE"""),"05.105.131/0001-57")</f>
        <v>05.105.131/0001-57</v>
      </c>
      <c r="I188" s="27" t="str">
        <f ca="1">IFERROR(__xludf.DUMMYFUNCTION("""COMPUTED_VALUE"""),"Regiane Aparecida Aizza Tavares")</f>
        <v>Regiane Aparecida Aizza Tavares</v>
      </c>
      <c r="J188" s="27" t="str">
        <f ca="1">IFERROR(__xludf.DUMMYFUNCTION("""COMPUTED_VALUE"""),"contato@casasaofrancisco.org")</f>
        <v>contato@casasaofrancisco.org</v>
      </c>
      <c r="K188" s="27" t="str">
        <f ca="1">IFERROR(__xludf.DUMMYFUNCTION("""COMPUTED_VALUE"""),"(35)3660-1282")</f>
        <v>(35)3660-1282</v>
      </c>
      <c r="L188" s="27" t="str">
        <f ca="1">IFERROR(__xludf.DUMMYFUNCTION("""COMPUTED_VALUE"""),"MG")</f>
        <v>MG</v>
      </c>
      <c r="M188" s="27" t="str">
        <f ca="1">IFERROR(__xludf.DUMMYFUNCTION("""COMPUTED_VALUE"""),"Padre Donizete")</f>
        <v>Padre Donizete</v>
      </c>
      <c r="N188" s="27" t="str">
        <f ca="1">IFERROR(__xludf.DUMMYFUNCTION("""COMPUTED_VALUE"""),"Vila São Pedro")</f>
        <v>Vila São Pedro</v>
      </c>
      <c r="O188" s="27">
        <f ca="1">IFERROR(__xludf.DUMMYFUNCTION("""COMPUTED_VALUE"""),101)</f>
        <v>101</v>
      </c>
      <c r="P188" s="27" t="str">
        <f ca="1">IFERROR(__xludf.DUMMYFUNCTION("""COMPUTED_VALUE"""),"São Sebastião do Paraíso")</f>
        <v>São Sebastião do Paraíso</v>
      </c>
      <c r="Q188" s="27"/>
      <c r="R188" s="27" t="str">
        <f ca="1">IFERROR(__xludf.DUMMYFUNCTION("""COMPUTED_VALUE"""),"37950-000")</f>
        <v>37950-000</v>
      </c>
      <c r="S188" s="27" t="str">
        <f ca="1">IFERROR(__xludf.DUMMYFUNCTION("""COMPUTED_VALUE"""),"Somente na sede própria atualmente")</f>
        <v>Somente na sede própria atualmente</v>
      </c>
      <c r="T188" s="27"/>
      <c r="U188" s="27" t="str">
        <f ca="1">IFERROR(__xludf.DUMMYFUNCTION("""COMPUTED_VALUE"""),"Crianças (6 a 12 anos), Adolescentes (12 aos 18 anos)")</f>
        <v>Crianças (6 a 12 anos), Adolescentes (12 aos 18 anos)</v>
      </c>
      <c r="V188" s="27" t="str">
        <f ca="1">IFERROR(__xludf.DUMMYFUNCTION("""COMPUTED_VALUE"""),"Moradores de Favelas")</f>
        <v>Moradores de Favelas</v>
      </c>
      <c r="W188" s="27">
        <f ca="1">IFERROR(__xludf.DUMMYFUNCTION("""COMPUTED_VALUE"""),6)</f>
        <v>6</v>
      </c>
      <c r="X188" s="27"/>
      <c r="Y188" s="27"/>
      <c r="Z188" s="27">
        <f ca="1">IFERROR(__xludf.DUMMYFUNCTION("""COMPUTED_VALUE"""),50)</f>
        <v>50</v>
      </c>
      <c r="AA188" s="29">
        <f ca="1">IFERROR(__xludf.DUMMYFUNCTION("""COMPUTED_VALUE"""),36566)</f>
        <v>36566</v>
      </c>
      <c r="AB188" s="27" t="str">
        <f ca="1">IFERROR(__xludf.DUMMYFUNCTION("""COMPUTED_VALUE"""),"Sim")</f>
        <v>Sim</v>
      </c>
      <c r="AC188" s="27">
        <f ca="1">IFERROR(__xludf.DUMMYFUNCTION("""COMPUTED_VALUE"""),2)</f>
        <v>2</v>
      </c>
      <c r="AD188" s="27">
        <f ca="1">IFERROR(__xludf.DUMMYFUNCTION("""COMPUTED_VALUE"""),2)</f>
        <v>2</v>
      </c>
      <c r="AE188" s="27">
        <f ca="1">IFERROR(__xludf.DUMMYFUNCTION("""COMPUTED_VALUE"""),1)</f>
        <v>1</v>
      </c>
      <c r="AF188" s="27">
        <f ca="1">IFERROR(__xludf.DUMMYFUNCTION("""COMPUTED_VALUE"""),0)</f>
        <v>0</v>
      </c>
      <c r="AG188" s="27">
        <f ca="1">IFERROR(__xludf.DUMMYFUNCTION("""COMPUTED_VALUE"""),3)</f>
        <v>3</v>
      </c>
      <c r="AH188" s="27" t="str">
        <f ca="1">IFERROR(__xludf.DUMMYFUNCTION("""COMPUTED_VALUE"""),"Eventos/Ações para captação, Outro(s), Doações")</f>
        <v>Eventos/Ações para captação, Outro(s), Doações</v>
      </c>
      <c r="AI188" s="27" t="str">
        <f ca="1">IFERROR(__xludf.DUMMYFUNCTION("""COMPUTED_VALUE"""),"95% Telemarketing | 3% Ações de captação | Doação recorrente cartão")</f>
        <v>95% Telemarketing | 3% Ações de captação | Doação recorrente cartão</v>
      </c>
      <c r="AJ188" s="27" t="str">
        <f ca="1">IFERROR(__xludf.DUMMYFUNCTION("""COMPUTED_VALUE"""),"Não")</f>
        <v>Não</v>
      </c>
      <c r="AK188" s="27"/>
      <c r="AL188" s="21" t="str">
        <f ca="1">IFERROR(__xludf.DUMMYFUNCTION("""COMPUTED_VALUE"""),"0034X0000380O48")</f>
        <v>0034X0000380O48</v>
      </c>
      <c r="AM188" s="27" t="str">
        <f ca="1">IFERROR(__xludf.DUMMYFUNCTION("""COMPUTED_VALUE"""),"Flávio da silveira")</f>
        <v>Flávio da silveira</v>
      </c>
      <c r="AN188" s="27" t="str">
        <f ca="1">IFERROR(__xludf.DUMMYFUNCTION("""COMPUTED_VALUE"""),"Ativo")</f>
        <v>Ativo</v>
      </c>
      <c r="AO188" s="29">
        <f ca="1">IFERROR(__xludf.DUMMYFUNCTION("""COMPUTED_VALUE"""),44763)</f>
        <v>44763</v>
      </c>
      <c r="AP188" s="27">
        <f ca="1">IFERROR(__xludf.DUMMYFUNCTION("""COMPUTED_VALUE"""),2)</f>
        <v>2</v>
      </c>
      <c r="AQ188" s="27" t="str">
        <f ca="1">IFERROR(__xludf.DUMMYFUNCTION("""COMPUTED_VALUE"""),"Primeiro Semestre 2022")</f>
        <v>Primeiro Semestre 2022</v>
      </c>
      <c r="AR188" s="27" t="str">
        <f ca="1">IFERROR(__xludf.DUMMYFUNCTION("""COMPUTED_VALUE"""),"rafaelflaviomkt@gmail.com")</f>
        <v>rafaelflaviomkt@gmail.com</v>
      </c>
      <c r="AS188" s="27" t="str">
        <f ca="1">IFERROR(__xludf.DUMMYFUNCTION("""COMPUTED_VALUE"""),"(35)98815-5181")</f>
        <v>(35)98815-5181</v>
      </c>
      <c r="AT188" s="29">
        <f ca="1">IFERROR(__xludf.DUMMYFUNCTION("""COMPUTED_VALUE"""),32374)</f>
        <v>32374</v>
      </c>
      <c r="AU188" s="27">
        <f ca="1">IFERROR(__xludf.DUMMYFUNCTION("""COMPUTED_VALUE"""),34)</f>
        <v>34</v>
      </c>
      <c r="AV188" s="27">
        <f ca="1">IFERROR(__xludf.DUMMYFUNCTION("""COMPUTED_VALUE"""),8722568638)</f>
        <v>8722568638</v>
      </c>
      <c r="AW188" s="27">
        <f ca="1">IFERROR(__xludf.DUMMYFUNCTION("""COMPUTED_VALUE"""),14505438)</f>
        <v>14505438</v>
      </c>
      <c r="AX188" s="27"/>
      <c r="AY188" s="27" t="str">
        <f ca="1">IFERROR(__xludf.DUMMYFUNCTION("""COMPUTED_VALUE"""),"Vice-presidente")</f>
        <v>Vice-presidente</v>
      </c>
      <c r="AZ188" s="27" t="str">
        <f ca="1">IFERROR(__xludf.DUMMYFUNCTION("""COMPUTED_VALUE"""),"G1")</f>
        <v>G1</v>
      </c>
      <c r="BA188" s="27" t="str">
        <f ca="1">IFERROR(__xludf.DUMMYFUNCTION("""COMPUTED_VALUE"""),"Branca")</f>
        <v>Branca</v>
      </c>
      <c r="BB188" s="27"/>
      <c r="BC188" s="27"/>
      <c r="BD188" s="27" t="str">
        <f ca="1">IFERROR(__xludf.DUMMYFUNCTION("""COMPUTED_VALUE"""),"Rafael Flávio, 33 anos, morador de São Sebastião do Paraíso/MG e liderança há 10 anos na Casa São Francisco, tendo passado pela presidência, conselho fiscal e atualmente, na vice-presidência.
Graduação em Publicidade e Propaganda pela Universidade Metodis"&amp;"ta de São Paulo e atuando como analista de marketing no segmento tech e diretor de arte da agência de publicidade OC!.
Também é ex-coordenador da Escola do Legislativo da Câmara Municipal de São Sebastião do Paraíso e egresso do RenovaBR.")</f>
        <v>Rafael Flávio, 33 anos, morador de São Sebastião do Paraíso/MG e liderança há 10 anos na Casa São Francisco, tendo passado pela presidência, conselho fiscal e atualmente, na vice-presidência.
Graduação em Publicidade e Propaganda pela Universidade Metodista de São Paulo e atuando como analista de marketing no segmento tech e diretor de arte da agência de publicidade OC!.
Também é ex-coordenador da Escola do Legislativo da Câmara Municipal de São Sebastião do Paraíso e egresso do RenovaBR.</v>
      </c>
      <c r="BE188" s="27" t="str">
        <f ca="1">IFERROR(__xludf.DUMMYFUNCTION("""COMPUTED_VALUE"""),"Homem, cisgênero")</f>
        <v>Homem, cisgênero</v>
      </c>
      <c r="BF188" s="27" t="str">
        <f ca="1">IFERROR(__xludf.DUMMYFUNCTION("""COMPUTED_VALUE"""),"Heterossexual")</f>
        <v>Heterossexual</v>
      </c>
      <c r="BG188" s="27" t="str">
        <f ca="1">IFERROR(__xludf.DUMMYFUNCTION("""COMPUTED_VALUE"""),"Ensino Superior - Completo")</f>
        <v>Ensino Superior - Completo</v>
      </c>
      <c r="BH188" s="27" t="str">
        <f ca="1">IFERROR(__xludf.DUMMYFUNCTION("""COMPUTED_VALUE"""),"Público")</f>
        <v>Público</v>
      </c>
      <c r="BI188" s="27" t="str">
        <f ca="1">IFERROR(__xludf.DUMMYFUNCTION("""COMPUTED_VALUE"""),"Graduação")</f>
        <v>Graduação</v>
      </c>
      <c r="BJ188" s="27" t="str">
        <f ca="1">IFERROR(__xludf.DUMMYFUNCTION("""COMPUTED_VALUE"""),"Privado")</f>
        <v>Privado</v>
      </c>
      <c r="BK188" s="27" t="str">
        <f ca="1">IFERROR(__xludf.DUMMYFUNCTION("""COMPUTED_VALUE"""),"Maria Abadia Amaral Malagutti")</f>
        <v>Maria Abadia Amaral Malagutti</v>
      </c>
      <c r="BL188" s="27">
        <f ca="1">IFERROR(__xludf.DUMMYFUNCTION("""COMPUTED_VALUE"""),299)</f>
        <v>299</v>
      </c>
      <c r="BM188" s="27"/>
      <c r="BN188" s="27" t="str">
        <f ca="1">IFERROR(__xludf.DUMMYFUNCTION("""COMPUTED_VALUE"""),"São Sebastião do Paraíso")</f>
        <v>São Sebastião do Paraíso</v>
      </c>
      <c r="BO188" s="27" t="str">
        <f ca="1">IFERROR(__xludf.DUMMYFUNCTION("""COMPUTED_VALUE"""),"37950-000")</f>
        <v>37950-000</v>
      </c>
      <c r="BP188" s="27" t="str">
        <f ca="1">IFERROR(__xludf.DUMMYFUNCTION("""COMPUTED_VALUE"""),"MG")</f>
        <v>MG</v>
      </c>
      <c r="BQ188" s="27" t="str">
        <f ca="1">IFERROR(__xludf.DUMMYFUNCTION("""COMPUTED_VALUE"""),"Entre 1 até 3 salários mínimos")</f>
        <v>Entre 1 até 3 salários mínimos</v>
      </c>
      <c r="BR188" s="27" t="str">
        <f ca="1">IFERROR(__xludf.DUMMYFUNCTION("""COMPUTED_VALUE"""),"MEI, Trabalho informal")</f>
        <v>MEI, Trabalho informal</v>
      </c>
      <c r="BS188" s="27" t="str">
        <f ca="1">IFERROR(__xludf.DUMMYFUNCTION("""COMPUTED_VALUE"""),"Casa cedida")</f>
        <v>Casa cedida</v>
      </c>
      <c r="BT188" s="27">
        <f ca="1">IFERROR(__xludf.DUMMYFUNCTION("""COMPUTED_VALUE"""),3)</f>
        <v>3</v>
      </c>
      <c r="BU188" s="27" t="str">
        <f ca="1">IFERROR(__xludf.DUMMYFUNCTION("""COMPUTED_VALUE"""),"Não tem")</f>
        <v>Não tem</v>
      </c>
      <c r="BV188" s="27" t="str">
        <f ca="1">IFERROR(__xludf.DUMMYFUNCTION("""COMPUTED_VALUE"""),"Não")</f>
        <v>Não</v>
      </c>
      <c r="BW188" s="21" t="str">
        <f ca="1">IFERROR(__xludf.DUMMYFUNCTION("""COMPUTED_VALUE"""),"https://www.linkedin.com/in/rafaelflavio/")</f>
        <v>https://www.linkedin.com/in/rafaelflavio/</v>
      </c>
      <c r="BX188" s="21" t="str">
        <f ca="1">IFERROR(__xludf.DUMMYFUNCTION("""COMPUTED_VALUE"""),"https://www.instagram.com/rafaelflavio/")</f>
        <v>https://www.instagram.com/rafaelflavio/</v>
      </c>
      <c r="BY188" s="21" t="str">
        <f ca="1">IFERROR(__xludf.DUMMYFUNCTION("""COMPUTED_VALUE"""),"https://drive.google.com/open?id=1x-5P8-NoUm8KhCmYcXdVEIbb6LrsCS0Q")</f>
        <v>https://drive.google.com/open?id=1x-5P8-NoUm8KhCmYcXdVEIbb6LrsCS0Q</v>
      </c>
    </row>
    <row r="189" spans="1:77" ht="12.5" hidden="1" x14ac:dyDescent="0.25">
      <c r="A189" s="21" t="str">
        <f ca="1">IFERROR(__xludf.DUMMYFUNCTION("""COMPUTED_VALUE"""),"0014X00002VKCtGQAX")</f>
        <v>0014X00002VKCtGQAX</v>
      </c>
      <c r="B189" s="27" t="str">
        <f ca="1">IFERROR(__xludf.DUMMYFUNCTION("""COMPUTED_VALUE"""),"Fase Inicial")</f>
        <v>Fase Inicial</v>
      </c>
      <c r="C189" s="27" t="str">
        <f ca="1">IFERROR(__xludf.DUMMYFUNCTION("""COMPUTED_VALUE"""),"Fellow")</f>
        <v>Fellow</v>
      </c>
      <c r="D189" s="27" t="str">
        <f ca="1">IFERROR(__xludf.DUMMYFUNCTION("""COMPUTED_VALUE"""),"Ativo")</f>
        <v>Ativo</v>
      </c>
      <c r="E189" s="27" t="str">
        <f ca="1">IFERROR(__xludf.DUMMYFUNCTION("""COMPUTED_VALUE"""),"Casulo")</f>
        <v>Casulo</v>
      </c>
      <c r="F189" s="27" t="str">
        <f ca="1">IFERROR(__xludf.DUMMYFUNCTION("""COMPUTED_VALUE"""),"carlos")</f>
        <v>carlos</v>
      </c>
      <c r="G189" s="27" t="str">
        <f ca="1">IFERROR(__xludf.DUMMYFUNCTION("""COMPUTED_VALUE"""),"CASULO")</f>
        <v>CASULO</v>
      </c>
      <c r="H189" s="27"/>
      <c r="I189" s="27" t="str">
        <f ca="1">IFERROR(__xludf.DUMMYFUNCTION("""COMPUTED_VALUE"""),"RAYANE PRICILA  FERNANDES DA SILVA")</f>
        <v>RAYANE PRICILA  FERNANDES DA SILVA</v>
      </c>
      <c r="J189" s="27" t="str">
        <f ca="1">IFERROR(__xludf.DUMMYFUNCTION("""COMPUTED_VALUE"""),"associacaocasulo2020@gmail.com")</f>
        <v>associacaocasulo2020@gmail.com</v>
      </c>
      <c r="K189" s="27" t="str">
        <f ca="1">IFERROR(__xludf.DUMMYFUNCTION("""COMPUTED_VALUE"""),"(84)99165-7984")</f>
        <v>(84)99165-7984</v>
      </c>
      <c r="L189" s="27" t="str">
        <f ca="1">IFERROR(__xludf.DUMMYFUNCTION("""COMPUTED_VALUE"""),"RN")</f>
        <v>RN</v>
      </c>
      <c r="M189" s="27" t="str">
        <f ca="1">IFERROR(__xludf.DUMMYFUNCTION("""COMPUTED_VALUE"""),"RUA MARIA QUITERIA")</f>
        <v>RUA MARIA QUITERIA</v>
      </c>
      <c r="N189" s="27" t="str">
        <f ca="1">IFERROR(__xludf.DUMMYFUNCTION("""COMPUTED_VALUE"""),"COHAB")</f>
        <v>COHAB</v>
      </c>
      <c r="O189" s="27" t="str">
        <f ca="1">IFERROR(__xludf.DUMMYFUNCTION("""COMPUTED_VALUE"""),"S/N")</f>
        <v>S/N</v>
      </c>
      <c r="P189" s="27" t="str">
        <f ca="1">IFERROR(__xludf.DUMMYFUNCTION("""COMPUTED_VALUE"""),"Ceará Mirim")</f>
        <v>Ceará Mirim</v>
      </c>
      <c r="Q189" s="27"/>
      <c r="R189" s="27" t="str">
        <f ca="1">IFERROR(__xludf.DUMMYFUNCTION("""COMPUTED_VALUE"""),"59570-000")</f>
        <v>59570-000</v>
      </c>
      <c r="S189" s="27" t="str">
        <f ca="1">IFERROR(__xludf.DUMMYFUNCTION("""COMPUTED_VALUE"""),"SIM , ATUAMOS NAS ESCOLAS E EM ZONA RURAL")</f>
        <v>SIM , ATUAMOS NAS ESCOLAS E EM ZONA RURAL</v>
      </c>
      <c r="T189" s="27"/>
      <c r="U189" s="27" t="str">
        <f ca="1">IFERROR(__xludf.DUMMYFUNCTION("""COMPUTED_VALUE"""),"Crianças pequenas (4 anos a 5 anos e 11 meses), Jovens (18 aos 24 anos), Adultos, Idosos (60 anos ou mais)")</f>
        <v>Crianças pequenas (4 anos a 5 anos e 11 meses), Jovens (18 aos 24 anos), Adultos, Idosos (60 anos ou mais)</v>
      </c>
      <c r="V189" s="27" t="str">
        <f ca="1">IFERROR(__xludf.DUMMYFUNCTION("""COMPUTED_VALUE"""),"Moradores de Favelas, Pessoas em situação de rua, População LGBTQ+, Povos Indígenas, Quilombola, Afrodescendentes, Dependentes Químicos, Pessoas com Deficiência, Comunidade rural")</f>
        <v>Moradores de Favelas, Pessoas em situação de rua, População LGBTQ+, Povos Indígenas, Quilombola, Afrodescendentes, Dependentes Químicos, Pessoas com Deficiência, Comunidade rural</v>
      </c>
      <c r="W189" s="27">
        <f ca="1">IFERROR(__xludf.DUMMYFUNCTION("""COMPUTED_VALUE"""),30)</f>
        <v>30</v>
      </c>
      <c r="X189" s="27" t="str">
        <f ca="1">IFERROR(__xludf.DUMMYFUNCTION("""COMPUTED_VALUE"""),"Acompanhamento familiar em sua totalidade")</f>
        <v>Acompanhamento familiar em sua totalidade</v>
      </c>
      <c r="Y189" s="27"/>
      <c r="Z189" s="27">
        <f ca="1">IFERROR(__xludf.DUMMYFUNCTION("""COMPUTED_VALUE"""),20)</f>
        <v>20</v>
      </c>
      <c r="AA189" s="29">
        <f ca="1">IFERROR(__xludf.DUMMYFUNCTION("""COMPUTED_VALUE"""),44167)</f>
        <v>44167</v>
      </c>
      <c r="AB189" s="27" t="str">
        <f ca="1">IFERROR(__xludf.DUMMYFUNCTION("""COMPUTED_VALUE"""),"Sim")</f>
        <v>Sim</v>
      </c>
      <c r="AC189" s="27">
        <f ca="1">IFERROR(__xludf.DUMMYFUNCTION("""COMPUTED_VALUE"""),0)</f>
        <v>0</v>
      </c>
      <c r="AD189" s="27">
        <f ca="1">IFERROR(__xludf.DUMMYFUNCTION("""COMPUTED_VALUE"""),60)</f>
        <v>60</v>
      </c>
      <c r="AE189" s="27">
        <f ca="1">IFERROR(__xludf.DUMMYFUNCTION("""COMPUTED_VALUE"""),35)</f>
        <v>35</v>
      </c>
      <c r="AF189" s="27">
        <f ca="1">IFERROR(__xludf.DUMMYFUNCTION("""COMPUTED_VALUE"""),60)</f>
        <v>60</v>
      </c>
      <c r="AG189" s="27">
        <f ca="1">IFERROR(__xludf.DUMMYFUNCTION("""COMPUTED_VALUE"""),4)</f>
        <v>4</v>
      </c>
      <c r="AH189" s="27" t="str">
        <f ca="1">IFERROR(__xludf.DUMMYFUNCTION("""COMPUTED_VALUE"""),"Eventos/Ações para captação, Parceria iniciativa privada, Doações, Recursos próprios")</f>
        <v>Eventos/Ações para captação, Parceria iniciativa privada, Doações, Recursos próprios</v>
      </c>
      <c r="AI189" s="27">
        <f ca="1">IFERROR(__xludf.DUMMYFUNCTION("""COMPUTED_VALUE"""),0)</f>
        <v>0</v>
      </c>
      <c r="AJ189" s="27" t="str">
        <f ca="1">IFERROR(__xludf.DUMMYFUNCTION("""COMPUTED_VALUE"""),"Sim")</f>
        <v>Sim</v>
      </c>
      <c r="AK189" s="27"/>
      <c r="AL189" s="21" t="str">
        <f ca="1">IFERROR(__xludf.DUMMYFUNCTION("""COMPUTED_VALUE"""),"0034X0000380O4C")</f>
        <v>0034X0000380O4C</v>
      </c>
      <c r="AM189" s="27" t="str">
        <f ca="1">IFERROR(__xludf.DUMMYFUNCTION("""COMPUTED_VALUE"""),"Henrique da silva")</f>
        <v>Henrique da silva</v>
      </c>
      <c r="AN189" s="27" t="str">
        <f ca="1">IFERROR(__xludf.DUMMYFUNCTION("""COMPUTED_VALUE"""),"Ativo")</f>
        <v>Ativo</v>
      </c>
      <c r="AO189" s="29">
        <f ca="1">IFERROR(__xludf.DUMMYFUNCTION("""COMPUTED_VALUE"""),44763)</f>
        <v>44763</v>
      </c>
      <c r="AP189" s="27">
        <f ca="1">IFERROR(__xludf.DUMMYFUNCTION("""COMPUTED_VALUE"""),2)</f>
        <v>2</v>
      </c>
      <c r="AQ189" s="27" t="str">
        <f ca="1">IFERROR(__xludf.DUMMYFUNCTION("""COMPUTED_VALUE"""),"Primeiro Semestre 2022")</f>
        <v>Primeiro Semestre 2022</v>
      </c>
      <c r="AR189" s="27" t="str">
        <f ca="1">IFERROR(__xludf.DUMMYFUNCTION("""COMPUTED_VALUE"""),"henriquecosta.potiguar@gmail.com")</f>
        <v>henriquecosta.potiguar@gmail.com</v>
      </c>
      <c r="AS189" s="27" t="str">
        <f ca="1">IFERROR(__xludf.DUMMYFUNCTION("""COMPUTED_VALUE"""),"(84)99165-7984")</f>
        <v>(84)99165-7984</v>
      </c>
      <c r="AT189" s="29">
        <f ca="1">IFERROR(__xludf.DUMMYFUNCTION("""COMPUTED_VALUE"""),32326)</f>
        <v>32326</v>
      </c>
      <c r="AU189" s="27">
        <f ca="1">IFERROR(__xludf.DUMMYFUNCTION("""COMPUTED_VALUE"""),34)</f>
        <v>34</v>
      </c>
      <c r="AV189" s="27">
        <f ca="1">IFERROR(__xludf.DUMMYFUNCTION("""COMPUTED_VALUE"""),7846712497)</f>
        <v>7846712497</v>
      </c>
      <c r="AW189" s="27">
        <f ca="1">IFERROR(__xludf.DUMMYFUNCTION("""COMPUTED_VALUE"""),2684013)</f>
        <v>2684013</v>
      </c>
      <c r="AX189" s="27"/>
      <c r="AY189" s="27" t="str">
        <f ca="1">IFERROR(__xludf.DUMMYFUNCTION("""COMPUTED_VALUE"""),"vice presidente")</f>
        <v>vice presidente</v>
      </c>
      <c r="AZ189" s="27" t="str">
        <f ca="1">IFERROR(__xludf.DUMMYFUNCTION("""COMPUTED_VALUE"""),"M")</f>
        <v>M</v>
      </c>
      <c r="BA189" s="27" t="str">
        <f ca="1">IFERROR(__xludf.DUMMYFUNCTION("""COMPUTED_VALUE"""),"Preta")</f>
        <v>Preta</v>
      </c>
      <c r="BB189" s="27"/>
      <c r="BC189" s="27"/>
      <c r="BD189" s="27" t="str">
        <f ca="1">IFERROR(__xludf.DUMMYFUNCTION("""COMPUTED_VALUE"""),"sou formado em comunicação social, tecnologo em comércio exterior, tecnologo em marketing, atuo com impacto social desde dos meus 20 anos , hoje tenho 34 anos e além de atuar como impactador social pelo casulo ONG que atuo também atuo em alguns mecanismos"&amp;" de controle social , sou conselheiro municipal de saúde e sou coordenador de instituição chamada caritas que e nivel nacional , sou lider local e coordeno qatro grupos de atuação, juventude,mulheres, e defiiente fisicos.")</f>
        <v>sou formado em comunicação social, tecnologo em comércio exterior, tecnologo em marketing, atuo com impacto social desde dos meus 20 anos , hoje tenho 34 anos e além de atuar como impactador social pelo casulo ONG que atuo também atuo em alguns mecanismos de controle social , sou conselheiro municipal de saúde e sou coordenador de instituição chamada caritas que e nivel nacional , sou lider local e coordeno qatro grupos de atuação, juventude,mulheres, e defiiente fisicos.</v>
      </c>
      <c r="BE189" s="27" t="str">
        <f ca="1">IFERROR(__xludf.DUMMYFUNCTION("""COMPUTED_VALUE"""),"Homem, cisgênero")</f>
        <v>Homem, cisgênero</v>
      </c>
      <c r="BF189" s="27" t="str">
        <f ca="1">IFERROR(__xludf.DUMMYFUNCTION("""COMPUTED_VALUE"""),"Bissexual")</f>
        <v>Bissexual</v>
      </c>
      <c r="BG189" s="27" t="str">
        <f ca="1">IFERROR(__xludf.DUMMYFUNCTION("""COMPUTED_VALUE"""),"Ensino Superior - Completo")</f>
        <v>Ensino Superior - Completo</v>
      </c>
      <c r="BH189" s="27" t="str">
        <f ca="1">IFERROR(__xludf.DUMMYFUNCTION("""COMPUTED_VALUE"""),"Público")</f>
        <v>Público</v>
      </c>
      <c r="BI189" s="27" t="str">
        <f ca="1">IFERROR(__xludf.DUMMYFUNCTION("""COMPUTED_VALUE"""),"Pós-Graduação")</f>
        <v>Pós-Graduação</v>
      </c>
      <c r="BJ189" s="27" t="str">
        <f ca="1">IFERROR(__xludf.DUMMYFUNCTION("""COMPUTED_VALUE"""),"Privado")</f>
        <v>Privado</v>
      </c>
      <c r="BK189" s="27" t="str">
        <f ca="1">IFERROR(__xludf.DUMMYFUNCTION("""COMPUTED_VALUE"""),"Rua simoes filho")</f>
        <v>Rua simoes filho</v>
      </c>
      <c r="BL189" s="27">
        <f ca="1">IFERROR(__xludf.DUMMYFUNCTION("""COMPUTED_VALUE"""),179)</f>
        <v>179</v>
      </c>
      <c r="BM189" s="27"/>
      <c r="BN189" s="27" t="str">
        <f ca="1">IFERROR(__xludf.DUMMYFUNCTION("""COMPUTED_VALUE"""),"ceará -mirim")</f>
        <v>ceará -mirim</v>
      </c>
      <c r="BO189" s="27" t="str">
        <f ca="1">IFERROR(__xludf.DUMMYFUNCTION("""COMPUTED_VALUE"""),"59570-000")</f>
        <v>59570-000</v>
      </c>
      <c r="BP189" s="27" t="str">
        <f ca="1">IFERROR(__xludf.DUMMYFUNCTION("""COMPUTED_VALUE"""),"RN")</f>
        <v>RN</v>
      </c>
      <c r="BQ189" s="27" t="str">
        <f ca="1">IFERROR(__xludf.DUMMYFUNCTION("""COMPUTED_VALUE"""),"Entre 1 até 3 salários mínimos")</f>
        <v>Entre 1 até 3 salários mínimos</v>
      </c>
      <c r="BR189" s="27" t="str">
        <f ca="1">IFERROR(__xludf.DUMMYFUNCTION("""COMPUTED_VALUE"""),"Funcionário Público, Desempregado")</f>
        <v>Funcionário Público, Desempregado</v>
      </c>
      <c r="BS189" s="27" t="str">
        <f ca="1">IFERROR(__xludf.DUMMYFUNCTION("""COMPUTED_VALUE"""),"Casa própria")</f>
        <v>Casa própria</v>
      </c>
      <c r="BT189" s="27">
        <f ca="1">IFERROR(__xludf.DUMMYFUNCTION("""COMPUTED_VALUE"""),6)</f>
        <v>6</v>
      </c>
      <c r="BU189" s="27" t="str">
        <f ca="1">IFERROR(__xludf.DUMMYFUNCTION("""COMPUTED_VALUE"""),"Não tem")</f>
        <v>Não tem</v>
      </c>
      <c r="BV189" s="27" t="str">
        <f ca="1">IFERROR(__xludf.DUMMYFUNCTION("""COMPUTED_VALUE"""),"Não")</f>
        <v>Não</v>
      </c>
      <c r="BW189" s="21" t="str">
        <f ca="1">IFERROR(__xludf.DUMMYFUNCTION("""COMPUTED_VALUE"""),"https://www.linkedin.com/in/henrique-costa-3a0b18121")</f>
        <v>https://www.linkedin.com/in/henrique-costa-3a0b18121</v>
      </c>
      <c r="BX189" s="21" t="str">
        <f ca="1">IFERROR(__xludf.DUMMYFUNCTION("""COMPUTED_VALUE"""),"https://www.instagram.com/invites/contact/?i=1btzj5eu98kn7&amp;utm_content=7y0214")</f>
        <v>https://www.instagram.com/invites/contact/?i=1btzj5eu98kn7&amp;utm_content=7y0214</v>
      </c>
      <c r="BY189" s="21" t="str">
        <f ca="1">IFERROR(__xludf.DUMMYFUNCTION("""COMPUTED_VALUE"""),"https://drive.google.com/open?id=1ydpM216MGlSeF9gwi0optGF_kuGovcww")</f>
        <v>https://drive.google.com/open?id=1ydpM216MGlSeF9gwi0optGF_kuGovcww</v>
      </c>
    </row>
    <row r="190" spans="1:77" ht="12.5" hidden="1" x14ac:dyDescent="0.25">
      <c r="A190" s="21" t="str">
        <f ca="1">IFERROR(__xludf.DUMMYFUNCTION("""COMPUTED_VALUE"""),"0014X00002VKCpWQAX")</f>
        <v>0014X00002VKCpWQAX</v>
      </c>
      <c r="B190" s="27" t="str">
        <f ca="1">IFERROR(__xludf.DUMMYFUNCTION("""COMPUTED_VALUE"""),"Fase Inicial")</f>
        <v>Fase Inicial</v>
      </c>
      <c r="C190" s="27" t="str">
        <f ca="1">IFERROR(__xludf.DUMMYFUNCTION("""COMPUTED_VALUE"""),"Fellow")</f>
        <v>Fellow</v>
      </c>
      <c r="D190" s="27" t="str">
        <f ca="1">IFERROR(__xludf.DUMMYFUNCTION("""COMPUTED_VALUE"""),"Ativo")</f>
        <v>Ativo</v>
      </c>
      <c r="E190" s="27" t="str">
        <f ca="1">IFERROR(__xludf.DUMMYFUNCTION("""COMPUTED_VALUE"""),"CCM - Centro Cultural Mamulengo")</f>
        <v>CCM - Centro Cultural Mamulengo</v>
      </c>
      <c r="F190" s="27" t="str">
        <f ca="1">IFERROR(__xludf.DUMMYFUNCTION("""COMPUTED_VALUE"""),"Natan")</f>
        <v>Natan</v>
      </c>
      <c r="G190" s="27" t="str">
        <f ca="1">IFERROR(__xludf.DUMMYFUNCTION("""COMPUTED_VALUE"""),"CENTRO CULTURAL MAMULENGO")</f>
        <v>CENTRO CULTURAL MAMULENGO</v>
      </c>
      <c r="H190" s="27"/>
      <c r="I190" s="27" t="str">
        <f ca="1">IFERROR(__xludf.DUMMYFUNCTION("""COMPUTED_VALUE"""),"Natan Jesus da Silva")</f>
        <v>Natan Jesus da Silva</v>
      </c>
      <c r="J190" s="27" t="str">
        <f ca="1">IFERROR(__xludf.DUMMYFUNCTION("""COMPUTED_VALUE"""),"centromamulengo@gmail.com")</f>
        <v>centromamulengo@gmail.com</v>
      </c>
      <c r="K190" s="27" t="str">
        <f ca="1">IFERROR(__xludf.DUMMYFUNCTION("""COMPUTED_VALUE"""),"(71)99153-8445")</f>
        <v>(71)99153-8445</v>
      </c>
      <c r="L190" s="27" t="str">
        <f ca="1">IFERROR(__xludf.DUMMYFUNCTION("""COMPUTED_VALUE"""),"BA")</f>
        <v>BA</v>
      </c>
      <c r="M190" s="27" t="str">
        <f ca="1">IFERROR(__xludf.DUMMYFUNCTION("""COMPUTED_VALUE"""),"Rua Monge Sagrado")</f>
        <v>Rua Monge Sagrado</v>
      </c>
      <c r="N190" s="27" t="str">
        <f ca="1">IFERROR(__xludf.DUMMYFUNCTION("""COMPUTED_VALUE"""),"São Tomé de Paripe")</f>
        <v>São Tomé de Paripe</v>
      </c>
      <c r="O190" s="27" t="str">
        <f ca="1">IFERROR(__xludf.DUMMYFUNCTION("""COMPUTED_VALUE"""),"S/N")</f>
        <v>S/N</v>
      </c>
      <c r="P190" s="27" t="str">
        <f ca="1">IFERROR(__xludf.DUMMYFUNCTION("""COMPUTED_VALUE"""),"Salvador")</f>
        <v>Salvador</v>
      </c>
      <c r="Q190" s="27"/>
      <c r="R190" s="27" t="str">
        <f ca="1">IFERROR(__xludf.DUMMYFUNCTION("""COMPUTED_VALUE"""),"40800-210")</f>
        <v>40800-210</v>
      </c>
      <c r="S190" s="27" t="str">
        <f ca="1">IFERROR(__xludf.DUMMYFUNCTION("""COMPUTED_VALUE"""),"Escolas, Terreiros de Religião de Matriz Africana, Espaços Quilombola")</f>
        <v>Escolas, Terreiros de Religião de Matriz Africana, Espaços Quilombola</v>
      </c>
      <c r="T190" s="27"/>
      <c r="U190" s="27" t="str">
        <f ca="1">IFERROR(__xludf.DUMMYFUNCTION("""COMPUTED_VALUE"""),"Adolescentes (12 aos 18 anos), Jovens (18 aos 24 anos), Adultos")</f>
        <v>Adolescentes (12 aos 18 anos), Jovens (18 aos 24 anos), Adultos</v>
      </c>
      <c r="V190" s="27" t="str">
        <f ca="1">IFERROR(__xludf.DUMMYFUNCTION("""COMPUTED_VALUE"""),"Moradores de Favelas, População LGBTQ+, Quilombola, Afrodescendentes")</f>
        <v>Moradores de Favelas, População LGBTQ+, Quilombola, Afrodescendentes</v>
      </c>
      <c r="W190" s="27">
        <f ca="1">IFERROR(__xludf.DUMMYFUNCTION("""COMPUTED_VALUE"""),4)</f>
        <v>4</v>
      </c>
      <c r="X190" s="27"/>
      <c r="Y190" s="27"/>
      <c r="Z190" s="27">
        <f ca="1">IFERROR(__xludf.DUMMYFUNCTION("""COMPUTED_VALUE"""),200)</f>
        <v>200</v>
      </c>
      <c r="AA190" s="29">
        <f ca="1">IFERROR(__xludf.DUMMYFUNCTION("""COMPUTED_VALUE"""),39417)</f>
        <v>39417</v>
      </c>
      <c r="AB190" s="27" t="str">
        <f ca="1">IFERROR(__xludf.DUMMYFUNCTION("""COMPUTED_VALUE"""),"Não")</f>
        <v>Não</v>
      </c>
      <c r="AC190" s="27">
        <f ca="1">IFERROR(__xludf.DUMMYFUNCTION("""COMPUTED_VALUE"""),5)</f>
        <v>5</v>
      </c>
      <c r="AD190" s="27">
        <f ca="1">IFERROR(__xludf.DUMMYFUNCTION("""COMPUTED_VALUE"""),5)</f>
        <v>5</v>
      </c>
      <c r="AE190" s="27">
        <f ca="1">IFERROR(__xludf.DUMMYFUNCTION("""COMPUTED_VALUE"""),7)</f>
        <v>7</v>
      </c>
      <c r="AF190" s="27">
        <f ca="1">IFERROR(__xludf.DUMMYFUNCTION("""COMPUTED_VALUE"""),5)</f>
        <v>5</v>
      </c>
      <c r="AG190" s="27">
        <f ca="1">IFERROR(__xludf.DUMMYFUNCTION("""COMPUTED_VALUE"""),4)</f>
        <v>4</v>
      </c>
      <c r="AH190" s="27" t="str">
        <f ca="1">IFERROR(__xludf.DUMMYFUNCTION("""COMPUTED_VALUE"""),"Eventos/Ações para captação, Editais, Doações, Recursos próprios")</f>
        <v>Eventos/Ações para captação, Editais, Doações, Recursos próprios</v>
      </c>
      <c r="AI190" s="27" t="str">
        <f ca="1">IFERROR(__xludf.DUMMYFUNCTION("""COMPUTED_VALUE"""),"0.25")</f>
        <v>0.25</v>
      </c>
      <c r="AJ190" s="27" t="str">
        <f ca="1">IFERROR(__xludf.DUMMYFUNCTION("""COMPUTED_VALUE"""),"Vamos iniciar esse ano")</f>
        <v>Vamos iniciar esse ano</v>
      </c>
      <c r="AK190" s="27"/>
      <c r="AL190" s="21" t="str">
        <f ca="1">IFERROR(__xludf.DUMMYFUNCTION("""COMPUTED_VALUE"""),"0034X0000380O4f")</f>
        <v>0034X0000380O4f</v>
      </c>
      <c r="AM190" s="27" t="str">
        <f ca="1">IFERROR(__xludf.DUMMYFUNCTION("""COMPUTED_VALUE"""),"Jesus da silva")</f>
        <v>Jesus da silva</v>
      </c>
      <c r="AN190" s="27" t="str">
        <f ca="1">IFERROR(__xludf.DUMMYFUNCTION("""COMPUTED_VALUE"""),"Ativo")</f>
        <v>Ativo</v>
      </c>
      <c r="AO190" s="27"/>
      <c r="AP190" s="27"/>
      <c r="AQ190" s="27" t="str">
        <f ca="1">IFERROR(__xludf.DUMMYFUNCTION("""COMPUTED_VALUE"""),"Primeiro Semestre 2022")</f>
        <v>Primeiro Semestre 2022</v>
      </c>
      <c r="AR190" s="27" t="str">
        <f ca="1">IFERROR(__xludf.DUMMYFUNCTION("""COMPUTED_VALUE"""),"natan2.0@hotmail.com")</f>
        <v>natan2.0@hotmail.com</v>
      </c>
      <c r="AS190" s="27" t="str">
        <f ca="1">IFERROR(__xludf.DUMMYFUNCTION("""COMPUTED_VALUE"""),"(71)99153-8445")</f>
        <v>(71)99153-8445</v>
      </c>
      <c r="AT190" s="29">
        <f ca="1">IFERROR(__xludf.DUMMYFUNCTION("""COMPUTED_VALUE"""),34819)</f>
        <v>34819</v>
      </c>
      <c r="AU190" s="27">
        <f ca="1">IFERROR(__xludf.DUMMYFUNCTION("""COMPUTED_VALUE"""),27)</f>
        <v>27</v>
      </c>
      <c r="AV190" s="27">
        <f ca="1">IFERROR(__xludf.DUMMYFUNCTION("""COMPUTED_VALUE"""),5663515516)</f>
        <v>5663515516</v>
      </c>
      <c r="AW190" s="27">
        <f ca="1">IFERROR(__xludf.DUMMYFUNCTION("""COMPUTED_VALUE"""),1460831306)</f>
        <v>1460831306</v>
      </c>
      <c r="AX190" s="27"/>
      <c r="AY190" s="27" t="str">
        <f ca="1">IFERROR(__xludf.DUMMYFUNCTION("""COMPUTED_VALUE"""),"Presidente/ Coordenador Geral")</f>
        <v>Presidente/ Coordenador Geral</v>
      </c>
      <c r="AZ190" s="27" t="str">
        <f ca="1">IFERROR(__xludf.DUMMYFUNCTION("""COMPUTED_VALUE"""),"M")</f>
        <v>M</v>
      </c>
      <c r="BA190" s="27" t="str">
        <f ca="1">IFERROR(__xludf.DUMMYFUNCTION("""COMPUTED_VALUE"""),"Preta")</f>
        <v>Preta</v>
      </c>
      <c r="BB190" s="27"/>
      <c r="BC190" s="27"/>
      <c r="BD190" s="27" t="str">
        <f ca="1">IFERROR(__xludf.DUMMYFUNCTION("""COMPUTED_VALUE"""),"NatanSilva, tenho 27 anos, sou Educador e Assistente de Direção no CRIA - Centro de Referência Integral da Criança e do Adolescente e Presidente no CCM - Centro Cultural Mamulengo. Sou um jovem preto, favelado, nordestino, bissexual, artista, liderança na"&amp;" minha comunidade e referência para os meus.
 Em 2007, com 12 anos, iniciei a minha vida artística em uma oficina de confecção, manipulação e criação de roteiro de teatro de bonecos e acredito na arte educação como instrumento de transformação.")</f>
        <v>NatanSilva, tenho 27 anos, sou Educador e Assistente de Direção no CRIA - Centro de Referência Integral da Criança e do Adolescente e Presidente no CCM - Centro Cultural Mamulengo. Sou um jovem preto, favelado, nordestino, bissexual, artista, liderança na minha comunidade e referência para os meus.
 Em 2007, com 12 anos, iniciei a minha vida artística em uma oficina de confecção, manipulação e criação de roteiro de teatro de bonecos e acredito na arte educação como instrumento de transformação.</v>
      </c>
      <c r="BE190" s="27" t="str">
        <f ca="1">IFERROR(__xludf.DUMMYFUNCTION("""COMPUTED_VALUE"""),"Homem, cisgênero")</f>
        <v>Homem, cisgênero</v>
      </c>
      <c r="BF190" s="27" t="str">
        <f ca="1">IFERROR(__xludf.DUMMYFUNCTION("""COMPUTED_VALUE"""),"Homossexual")</f>
        <v>Homossexual</v>
      </c>
      <c r="BG190" s="27" t="str">
        <f ca="1">IFERROR(__xludf.DUMMYFUNCTION("""COMPUTED_VALUE"""),"Ensino Médio - Completo")</f>
        <v>Ensino Médio - Completo</v>
      </c>
      <c r="BH190" s="27" t="str">
        <f ca="1">IFERROR(__xludf.DUMMYFUNCTION("""COMPUTED_VALUE"""),"Público")</f>
        <v>Público</v>
      </c>
      <c r="BI190" s="27"/>
      <c r="BJ190" s="27"/>
      <c r="BK190" s="27" t="str">
        <f ca="1">IFERROR(__xludf.DUMMYFUNCTION("""COMPUTED_VALUE"""),"Nova Brasília")</f>
        <v>Nova Brasília</v>
      </c>
      <c r="BL190" s="27" t="str">
        <f ca="1">IFERROR(__xludf.DUMMYFUNCTION("""COMPUTED_VALUE"""),"77 e")</f>
        <v>77 e</v>
      </c>
      <c r="BM190" s="27" t="str">
        <f ca="1">IFERROR(__xludf.DUMMYFUNCTION("""COMPUTED_VALUE"""),"Casa")</f>
        <v>Casa</v>
      </c>
      <c r="BN190" s="27" t="str">
        <f ca="1">IFERROR(__xludf.DUMMYFUNCTION("""COMPUTED_VALUE"""),"Salvador")</f>
        <v>Salvador</v>
      </c>
      <c r="BO190" s="27" t="str">
        <f ca="1">IFERROR(__xludf.DUMMYFUNCTION("""COMPUTED_VALUE"""),"40800-190")</f>
        <v>40800-190</v>
      </c>
      <c r="BP190" s="27" t="str">
        <f ca="1">IFERROR(__xludf.DUMMYFUNCTION("""COMPUTED_VALUE"""),"BA")</f>
        <v>BA</v>
      </c>
      <c r="BQ190" s="27" t="str">
        <f ca="1">IFERROR(__xludf.DUMMYFUNCTION("""COMPUTED_VALUE"""),"Entre 1 até 3 salários mínimos")</f>
        <v>Entre 1 até 3 salários mínimos</v>
      </c>
      <c r="BR190" s="27" t="str">
        <f ca="1">IFERROR(__xludf.DUMMYFUNCTION("""COMPUTED_VALUE"""),"MEI")</f>
        <v>MEI</v>
      </c>
      <c r="BS190" s="27" t="str">
        <f ca="1">IFERROR(__xludf.DUMMYFUNCTION("""COMPUTED_VALUE"""),"Casa própria")</f>
        <v>Casa própria</v>
      </c>
      <c r="BT190" s="27">
        <f ca="1">IFERROR(__xludf.DUMMYFUNCTION("""COMPUTED_VALUE"""),4)</f>
        <v>4</v>
      </c>
      <c r="BU190" s="27" t="str">
        <f ca="1">IFERROR(__xludf.DUMMYFUNCTION("""COMPUTED_VALUE"""),"Não tem")</f>
        <v>Não tem</v>
      </c>
      <c r="BV190" s="27" t="str">
        <f ca="1">IFERROR(__xludf.DUMMYFUNCTION("""COMPUTED_VALUE"""),"Não")</f>
        <v>Não</v>
      </c>
      <c r="BW190" s="27"/>
      <c r="BX190" s="21" t="str">
        <f ca="1">IFERROR(__xludf.DUMMYFUNCTION("""COMPUTED_VALUE"""),"https://www.instagram.com/p/CcOSQB3u0Ck/?igshid=YmMyMTA2M2Y=")</f>
        <v>https://www.instagram.com/p/CcOSQB3u0Ck/?igshid=YmMyMTA2M2Y=</v>
      </c>
      <c r="BY190" s="21" t="str">
        <f ca="1">IFERROR(__xludf.DUMMYFUNCTION("""COMPUTED_VALUE"""),"https://drive.google.com/open?id=1jMPZ7RlzVgImiEzhp5hDHIUgt5emWVj7")</f>
        <v>https://drive.google.com/open?id=1jMPZ7RlzVgImiEzhp5hDHIUgt5emWVj7</v>
      </c>
    </row>
    <row r="191" spans="1:77" ht="12.5" hidden="1" x14ac:dyDescent="0.25">
      <c r="A191" s="21" t="str">
        <f ca="1">IFERROR(__xludf.DUMMYFUNCTION("""COMPUTED_VALUE"""),"0014X00002VKCryQAH")</f>
        <v>0014X00002VKCryQAH</v>
      </c>
      <c r="B191" s="27" t="str">
        <f ca="1">IFERROR(__xludf.DUMMYFUNCTION("""COMPUTED_VALUE"""),"Fase Inicial")</f>
        <v>Fase Inicial</v>
      </c>
      <c r="C191" s="27" t="str">
        <f ca="1">IFERROR(__xludf.DUMMYFUNCTION("""COMPUTED_VALUE"""),"Fellow")</f>
        <v>Fellow</v>
      </c>
      <c r="D191" s="27" t="str">
        <f ca="1">IFERROR(__xludf.DUMMYFUNCTION("""COMPUTED_VALUE"""),"Ativo")</f>
        <v>Ativo</v>
      </c>
      <c r="E191" s="27" t="str">
        <f ca="1">IFERROR(__xludf.DUMMYFUNCTION("""COMPUTED_VALUE"""),"CECRE Centro Educacional Comunitário Redenção")</f>
        <v>CECRE Centro Educacional Comunitário Redenção</v>
      </c>
      <c r="F191" s="27" t="str">
        <f ca="1">IFERROR(__xludf.DUMMYFUNCTION("""COMPUTED_VALUE"""),"Maria")</f>
        <v>Maria</v>
      </c>
      <c r="G191" s="27" t="str">
        <f ca="1">IFERROR(__xludf.DUMMYFUNCTION("""COMPUTED_VALUE"""),"CECRE PROGRAMA QUEM AMA CUIDA")</f>
        <v>CECRE PROGRAMA QUEM AMA CUIDA</v>
      </c>
      <c r="H191" s="27">
        <f ca="1">IFERROR(__xludf.DUMMYFUNCTION("""COMPUTED_VALUE"""),899075000156)</f>
        <v>899075000156</v>
      </c>
      <c r="I191" s="27" t="str">
        <f ca="1">IFERROR(__xludf.DUMMYFUNCTION("""COMPUTED_VALUE"""),"Alcione Maria da Conceição do Nascimento")</f>
        <v>Alcione Maria da Conceição do Nascimento</v>
      </c>
      <c r="J191" s="27" t="str">
        <f ca="1">IFERROR(__xludf.DUMMYFUNCTION("""COMPUTED_VALUE"""),"cecre.redencao95@gmail.com")</f>
        <v>cecre.redencao95@gmail.com</v>
      </c>
      <c r="K191" s="27">
        <f ca="1">IFERROR(__xludf.DUMMYFUNCTION("""COMPUTED_VALUE"""),81983731998)</f>
        <v>81983731998</v>
      </c>
      <c r="L191" s="27" t="str">
        <f ca="1">IFERROR(__xludf.DUMMYFUNCTION("""COMPUTED_VALUE"""),"PE")</f>
        <v>PE</v>
      </c>
      <c r="M191" s="27" t="str">
        <f ca="1">IFERROR(__xludf.DUMMYFUNCTION("""COMPUTED_VALUE"""),"Rua João Praxedes de Oliveira Filho")</f>
        <v>Rua João Praxedes de Oliveira Filho</v>
      </c>
      <c r="N191" s="27" t="str">
        <f ca="1">IFERROR(__xludf.DUMMYFUNCTION("""COMPUTED_VALUE"""),"Campina do Barreto")</f>
        <v>Campina do Barreto</v>
      </c>
      <c r="O191" s="27">
        <f ca="1">IFERROR(__xludf.DUMMYFUNCTION("""COMPUTED_VALUE"""),25)</f>
        <v>25</v>
      </c>
      <c r="P191" s="27" t="str">
        <f ca="1">IFERROR(__xludf.DUMMYFUNCTION("""COMPUTED_VALUE"""),"Recife")</f>
        <v>Recife</v>
      </c>
      <c r="Q191" s="27" t="str">
        <f ca="1">IFERROR(__xludf.DUMMYFUNCTION("""COMPUTED_VALUE"""),"Chão de Estrelas")</f>
        <v>Chão de Estrelas</v>
      </c>
      <c r="R191" s="27" t="str">
        <f ca="1">IFERROR(__xludf.DUMMYFUNCTION("""COMPUTED_VALUE"""),"52121-270")</f>
        <v>52121-270</v>
      </c>
      <c r="S191" s="27"/>
      <c r="T191" s="27"/>
      <c r="U191" s="27"/>
      <c r="V191" s="27"/>
      <c r="W191" s="27">
        <f ca="1">IFERROR(__xludf.DUMMYFUNCTION("""COMPUTED_VALUE"""),6)</f>
        <v>6</v>
      </c>
      <c r="X191" s="27" t="str">
        <f ca="1">IFERROR(__xludf.DUMMYFUNCTION("""COMPUTED_VALUE"""),"Nosso público é oriundo da luta por moradia com sucesso em algumas etapas no entanto ainda há situação de extrema pobreza e miséria em plena área urbana. Que é o caso da Vila Redenção e Favela Arco íris. Clamamos por estás localidades buscando alternativa"&amp;"s para melhorar a qualidade de vida dos moradores.")</f>
        <v>Nosso público é oriundo da luta por moradia com sucesso em algumas etapas no entanto ainda há situação de extrema pobreza e miséria em plena área urbana. Que é o caso da Vila Redenção e Favela Arco íris. Clamamos por estás localidades buscando alternativas para melhorar a qualidade de vida dos moradores.</v>
      </c>
      <c r="Y191" s="27"/>
      <c r="Z191" s="27">
        <f ca="1">IFERROR(__xludf.DUMMYFUNCTION("""COMPUTED_VALUE"""),400)</f>
        <v>400</v>
      </c>
      <c r="AA191" s="29">
        <f ca="1">IFERROR(__xludf.DUMMYFUNCTION("""COMPUTED_VALUE"""),34945)</f>
        <v>34945</v>
      </c>
      <c r="AB191" s="27" t="str">
        <f ca="1">IFERROR(__xludf.DUMMYFUNCTION("""COMPUTED_VALUE"""),"Sim")</f>
        <v>Sim</v>
      </c>
      <c r="AC191" s="27">
        <f ca="1">IFERROR(__xludf.DUMMYFUNCTION("""COMPUTED_VALUE"""),2)</f>
        <v>2</v>
      </c>
      <c r="AD191" s="27"/>
      <c r="AE191" s="27">
        <f ca="1">IFERROR(__xludf.DUMMYFUNCTION("""COMPUTED_VALUE"""),18)</f>
        <v>18</v>
      </c>
      <c r="AF191" s="27"/>
      <c r="AG191" s="27">
        <f ca="1">IFERROR(__xludf.DUMMYFUNCTION("""COMPUTED_VALUE"""),7)</f>
        <v>7</v>
      </c>
      <c r="AH191" s="27"/>
      <c r="AI191" s="31">
        <f ca="1">IFERROR(__xludf.DUMMYFUNCTION("""COMPUTED_VALUE"""),0.1)</f>
        <v>0.1</v>
      </c>
      <c r="AJ191" s="27" t="str">
        <f ca="1">IFERROR(__xludf.DUMMYFUNCTION("""COMPUTED_VALUE"""),"Sim")</f>
        <v>Sim</v>
      </c>
      <c r="AK191" s="27"/>
      <c r="AL191" s="21" t="str">
        <f ca="1">IFERROR(__xludf.DUMMYFUNCTION("""COMPUTED_VALUE"""),"0034X0000380O5e")</f>
        <v>0034X0000380O5e</v>
      </c>
      <c r="AM191" s="27" t="str">
        <f ca="1">IFERROR(__xludf.DUMMYFUNCTION("""COMPUTED_VALUE"""),"De fátima sabóia")</f>
        <v>De fátima sabóia</v>
      </c>
      <c r="AN191" s="27" t="str">
        <f ca="1">IFERROR(__xludf.DUMMYFUNCTION("""COMPUTED_VALUE"""),"Ativo")</f>
        <v>Ativo</v>
      </c>
      <c r="AO191" s="29">
        <f ca="1">IFERROR(__xludf.DUMMYFUNCTION("""COMPUTED_VALUE"""),44763)</f>
        <v>44763</v>
      </c>
      <c r="AP191" s="27">
        <f ca="1">IFERROR(__xludf.DUMMYFUNCTION("""COMPUTED_VALUE"""),2)</f>
        <v>2</v>
      </c>
      <c r="AQ191" s="27" t="str">
        <f ca="1">IFERROR(__xludf.DUMMYFUNCTION("""COMPUTED_VALUE"""),"Primeiro Semestre 2022")</f>
        <v>Primeiro Semestre 2022</v>
      </c>
      <c r="AR191" s="27" t="str">
        <f ca="1">IFERROR(__xludf.DUMMYFUNCTION("""COMPUTED_VALUE"""),"fatimasaboia70@gmail.com")</f>
        <v>fatimasaboia70@gmail.com</v>
      </c>
      <c r="AS191" s="27">
        <f ca="1">IFERROR(__xludf.DUMMYFUNCTION("""COMPUTED_VALUE"""),81988222055)</f>
        <v>81988222055</v>
      </c>
      <c r="AT191" s="29">
        <f ca="1">IFERROR(__xludf.DUMMYFUNCTION("""COMPUTED_VALUE"""),25757)</f>
        <v>25757</v>
      </c>
      <c r="AU191" s="27">
        <f ca="1">IFERROR(__xludf.DUMMYFUNCTION("""COMPUTED_VALUE"""),52)</f>
        <v>52</v>
      </c>
      <c r="AV191" s="27">
        <f ca="1">IFERROR(__xludf.DUMMYFUNCTION("""COMPUTED_VALUE"""),59120266472)</f>
        <v>59120266472</v>
      </c>
      <c r="AW191" s="27">
        <f ca="1">IFERROR(__xludf.DUMMYFUNCTION("""COMPUTED_VALUE"""),3556701)</f>
        <v>3556701</v>
      </c>
      <c r="AX191" s="27"/>
      <c r="AY191" s="27"/>
      <c r="AZ191" s="27" t="str">
        <f ca="1">IFERROR(__xludf.DUMMYFUNCTION("""COMPUTED_VALUE"""),"M")</f>
        <v>M</v>
      </c>
      <c r="BA191" s="27" t="str">
        <f ca="1">IFERROR(__xludf.DUMMYFUNCTION("""COMPUTED_VALUE"""),"Parda")</f>
        <v>Parda</v>
      </c>
      <c r="BB191" s="27"/>
      <c r="BC191" s="27"/>
      <c r="BD191" s="27" t="str">
        <f ca="1">IFERROR(__xludf.DUMMYFUNCTION("""COMPUTED_VALUE"""),"Sou Maria de Fátima Sabóia.
Conhecida e chamada por Fátima Sabóia* fruto de ações sociais que impactou minha vida* despertando em mi o desejo de contribuir no impacto  de outras vidas.")</f>
        <v>Sou Maria de Fátima Sabóia.
Conhecida e chamada por Fátima Sabóia* fruto de ações sociais que impactou minha vida* despertando em mi o desejo de contribuir no impacto  de outras vidas.</v>
      </c>
      <c r="BE191" s="27" t="str">
        <f ca="1">IFERROR(__xludf.DUMMYFUNCTION("""COMPUTED_VALUE"""),"Feminino")</f>
        <v>Feminino</v>
      </c>
      <c r="BF191" s="27" t="str">
        <f ca="1">IFERROR(__xludf.DUMMYFUNCTION("""COMPUTED_VALUE"""),"Heterossexual")</f>
        <v>Heterossexual</v>
      </c>
      <c r="BG191" s="27"/>
      <c r="BH191" s="27" t="str">
        <f ca="1">IFERROR(__xludf.DUMMYFUNCTION("""COMPUTED_VALUE"""),"Público")</f>
        <v>Público</v>
      </c>
      <c r="BI191" s="27" t="str">
        <f ca="1">IFERROR(__xludf.DUMMYFUNCTION("""COMPUTED_VALUE"""),"Pós-Graduação")</f>
        <v>Pós-Graduação</v>
      </c>
      <c r="BJ191" s="27" t="str">
        <f ca="1">IFERROR(__xludf.DUMMYFUNCTION("""COMPUTED_VALUE"""),"Privado")</f>
        <v>Privado</v>
      </c>
      <c r="BK191" s="27" t="str">
        <f ca="1">IFERROR(__xludf.DUMMYFUNCTION("""COMPUTED_VALUE"""),"Rua 87 Apart.103 Qd. 65")</f>
        <v>Rua 87 Apart.103 Qd. 65</v>
      </c>
      <c r="BL191" s="27">
        <f ca="1">IFERROR(__xludf.DUMMYFUNCTION("""COMPUTED_VALUE"""),115)</f>
        <v>115</v>
      </c>
      <c r="BM191" s="27"/>
      <c r="BN191" s="27"/>
      <c r="BO191" s="27">
        <f ca="1">IFERROR(__xludf.DUMMYFUNCTION("""COMPUTED_VALUE"""),53441330)</f>
        <v>53441330</v>
      </c>
      <c r="BP191" s="27" t="str">
        <f ca="1">IFERROR(__xludf.DUMMYFUNCTION("""COMPUTED_VALUE"""),"PE")</f>
        <v>PE</v>
      </c>
      <c r="BQ191" s="27" t="str">
        <f ca="1">IFERROR(__xludf.DUMMYFUNCTION("""COMPUTED_VALUE"""),"Entre 1 até 3 salários mínimos")</f>
        <v>Entre 1 até 3 salários mínimos</v>
      </c>
      <c r="BR191" s="27" t="str">
        <f ca="1">IFERROR(__xludf.DUMMYFUNCTION("""COMPUTED_VALUE"""),"Trabalho informal")</f>
        <v>Trabalho informal</v>
      </c>
      <c r="BS191" s="27" t="str">
        <f ca="1">IFERROR(__xludf.DUMMYFUNCTION("""COMPUTED_VALUE"""),"Casa própria")</f>
        <v>Casa própria</v>
      </c>
      <c r="BT191" s="27">
        <f ca="1">IFERROR(__xludf.DUMMYFUNCTION("""COMPUTED_VALUE"""),3)</f>
        <v>3</v>
      </c>
      <c r="BU191" s="27" t="str">
        <f ca="1">IFERROR(__xludf.DUMMYFUNCTION("""COMPUTED_VALUE"""),"Não tem")</f>
        <v>Não tem</v>
      </c>
      <c r="BV191" s="27" t="str">
        <f ca="1">IFERROR(__xludf.DUMMYFUNCTION("""COMPUTED_VALUE"""),"Não")</f>
        <v>Não</v>
      </c>
      <c r="BW191" s="27"/>
      <c r="BX191" s="27"/>
      <c r="BY191" s="27"/>
    </row>
    <row r="192" spans="1:77" ht="12.5" hidden="1" x14ac:dyDescent="0.25">
      <c r="A192" s="21" t="str">
        <f ca="1">IFERROR(__xludf.DUMMYFUNCTION("""COMPUTED_VALUE"""),"0014X00002VKCr5QAH")</f>
        <v>0014X00002VKCr5QAH</v>
      </c>
      <c r="B192" s="27" t="str">
        <f ca="1">IFERROR(__xludf.DUMMYFUNCTION("""COMPUTED_VALUE"""),"Fase Inicial")</f>
        <v>Fase Inicial</v>
      </c>
      <c r="C192" s="27" t="str">
        <f ca="1">IFERROR(__xludf.DUMMYFUNCTION("""COMPUTED_VALUE"""),"Fellow")</f>
        <v>Fellow</v>
      </c>
      <c r="D192" s="27" t="str">
        <f ca="1">IFERROR(__xludf.DUMMYFUNCTION("""COMPUTED_VALUE"""),"Ativo")</f>
        <v>Ativo</v>
      </c>
      <c r="E192" s="27" t="str">
        <f ca="1">IFERROR(__xludf.DUMMYFUNCTION("""COMPUTED_VALUE"""),"Central da Solidariedade")</f>
        <v>Central da Solidariedade</v>
      </c>
      <c r="F192" s="27" t="str">
        <f ca="1">IFERROR(__xludf.DUMMYFUNCTION("""COMPUTED_VALUE"""),"Mauro")</f>
        <v>Mauro</v>
      </c>
      <c r="G192" s="27" t="str">
        <f ca="1">IFERROR(__xludf.DUMMYFUNCTION("""COMPUTED_VALUE"""),"CENTRAL DA SOLIDARIEDADE")</f>
        <v>CENTRAL DA SOLIDARIEDADE</v>
      </c>
      <c r="H192" s="27" t="str">
        <f ca="1">IFERROR(__xludf.DUMMYFUNCTION("""COMPUTED_VALUE"""),"01.695.222/0001-39")</f>
        <v>01.695.222/0001-39</v>
      </c>
      <c r="I192" s="27" t="str">
        <f ca="1">IFERROR(__xludf.DUMMYFUNCTION("""COMPUTED_VALUE"""),"Mauro Jose dos Santos")</f>
        <v>Mauro Jose dos Santos</v>
      </c>
      <c r="J192" s="27" t="str">
        <f ca="1">IFERROR(__xludf.DUMMYFUNCTION("""COMPUTED_VALUE"""),"csolidariedade@yahoo.com.br")</f>
        <v>csolidariedade@yahoo.com.br</v>
      </c>
      <c r="K192" s="27" t="str">
        <f ca="1">IFERROR(__xludf.DUMMYFUNCTION("""COMPUTED_VALUE"""),"(31)3939-3990 (31)98986 7352")</f>
        <v>(31)3939-3990 (31)98986 7352</v>
      </c>
      <c r="L192" s="27" t="str">
        <f ca="1">IFERROR(__xludf.DUMMYFUNCTION("""COMPUTED_VALUE"""),"MG")</f>
        <v>MG</v>
      </c>
      <c r="M192" s="27" t="str">
        <f ca="1">IFERROR(__xludf.DUMMYFUNCTION("""COMPUTED_VALUE"""),"Central da solidariedade")</f>
        <v>Central da solidariedade</v>
      </c>
      <c r="N192" s="27" t="str">
        <f ca="1">IFERROR(__xludf.DUMMYFUNCTION("""COMPUTED_VALUE"""),"Centro")</f>
        <v>Centro</v>
      </c>
      <c r="O192" s="27">
        <f ca="1">IFERROR(__xludf.DUMMYFUNCTION("""COMPUTED_VALUE"""),188)</f>
        <v>188</v>
      </c>
      <c r="P192" s="27" t="str">
        <f ca="1">IFERROR(__xludf.DUMMYFUNCTION("""COMPUTED_VALUE"""),"Conselheiro Lafaiete")</f>
        <v>Conselheiro Lafaiete</v>
      </c>
      <c r="Q192" s="27" t="str">
        <f ca="1">IFERROR(__xludf.DUMMYFUNCTION("""COMPUTED_VALUE"""),"loja C")</f>
        <v>loja C</v>
      </c>
      <c r="R192" s="27" t="str">
        <f ca="1">IFERROR(__xludf.DUMMYFUNCTION("""COMPUTED_VALUE"""),"36400-026")</f>
        <v>36400-026</v>
      </c>
      <c r="S192" s="27" t="str">
        <f ca="1">IFERROR(__xludf.DUMMYFUNCTION("""COMPUTED_VALUE"""),"Bazar ambulante.")</f>
        <v>Bazar ambulante.</v>
      </c>
      <c r="T192" s="27"/>
      <c r="U192" s="27" t="str">
        <f ca="1">IFERROR(__xludf.DUMMYFUNCTION("""COMPUTED_VALUE"""),"Adultos")</f>
        <v>Adultos</v>
      </c>
      <c r="V192" s="27" t="str">
        <f ca="1">IFERROR(__xludf.DUMMYFUNCTION("""COMPUTED_VALUE"""),"Quilombola, Outros")</f>
        <v>Quilombola, Outros</v>
      </c>
      <c r="W192" s="27">
        <f ca="1">IFERROR(__xludf.DUMMYFUNCTION("""COMPUTED_VALUE"""),0)</f>
        <v>0</v>
      </c>
      <c r="X192" s="27" t="str">
        <f ca="1">IFERROR(__xludf.DUMMYFUNCTION("""COMPUTED_VALUE"""),"Famílias em situação de vulnerabilidade social")</f>
        <v>Famílias em situação de vulnerabilidade social</v>
      </c>
      <c r="Y192" s="27"/>
      <c r="Z192" s="27">
        <f ca="1">IFERROR(__xludf.DUMMYFUNCTION("""COMPUTED_VALUE"""),1250)</f>
        <v>1250</v>
      </c>
      <c r="AA192" s="30">
        <f ca="1">IFERROR(__xludf.DUMMYFUNCTION("""COMPUTED_VALUE"""),35380)</f>
        <v>35380</v>
      </c>
      <c r="AB192" s="27" t="str">
        <f ca="1">IFERROR(__xludf.DUMMYFUNCTION("""COMPUTED_VALUE"""),"Sim")</f>
        <v>Sim</v>
      </c>
      <c r="AC192" s="27">
        <f ca="1">IFERROR(__xludf.DUMMYFUNCTION("""COMPUTED_VALUE"""),6)</f>
        <v>6</v>
      </c>
      <c r="AD192" s="27">
        <f ca="1">IFERROR(__xludf.DUMMYFUNCTION("""COMPUTED_VALUE"""),15)</f>
        <v>15</v>
      </c>
      <c r="AE192" s="27">
        <f ca="1">IFERROR(__xludf.DUMMYFUNCTION("""COMPUTED_VALUE"""),15)</f>
        <v>15</v>
      </c>
      <c r="AF192" s="27">
        <f ca="1">IFERROR(__xludf.DUMMYFUNCTION("""COMPUTED_VALUE"""),15)</f>
        <v>15</v>
      </c>
      <c r="AG192" s="27">
        <f ca="1">IFERROR(__xludf.DUMMYFUNCTION("""COMPUTED_VALUE"""),3)</f>
        <v>3</v>
      </c>
      <c r="AH192" s="27" t="str">
        <f ca="1">IFERROR(__xludf.DUMMYFUNCTION("""COMPUTED_VALUE"""),"Eventos/Ações para captação, Editais, Doações")</f>
        <v>Eventos/Ações para captação, Editais, Doações</v>
      </c>
      <c r="AI192" s="27" t="str">
        <f ca="1">IFERROR(__xludf.DUMMYFUNCTION("""COMPUTED_VALUE"""),"10+10+80")</f>
        <v>10+10+80</v>
      </c>
      <c r="AJ192" s="27" t="str">
        <f ca="1">IFERROR(__xludf.DUMMYFUNCTION("""COMPUTED_VALUE"""),"Não")</f>
        <v>Não</v>
      </c>
      <c r="AK192" s="27"/>
      <c r="AL192" s="21" t="str">
        <f ca="1">IFERROR(__xludf.DUMMYFUNCTION("""COMPUTED_VALUE"""),"0034X0000380O6K")</f>
        <v>0034X0000380O6K</v>
      </c>
      <c r="AM192" s="27" t="str">
        <f ca="1">IFERROR(__xludf.DUMMYFUNCTION("""COMPUTED_VALUE"""),"Jose dos santos")</f>
        <v>Jose dos santos</v>
      </c>
      <c r="AN192" s="27" t="str">
        <f ca="1">IFERROR(__xludf.DUMMYFUNCTION("""COMPUTED_VALUE"""),"Ativo")</f>
        <v>Ativo</v>
      </c>
      <c r="AO192" s="29">
        <f ca="1">IFERROR(__xludf.DUMMYFUNCTION("""COMPUTED_VALUE"""),44763)</f>
        <v>44763</v>
      </c>
      <c r="AP192" s="27">
        <f ca="1">IFERROR(__xludf.DUMMYFUNCTION("""COMPUTED_VALUE"""),2)</f>
        <v>2</v>
      </c>
      <c r="AQ192" s="27" t="str">
        <f ca="1">IFERROR(__xludf.DUMMYFUNCTION("""COMPUTED_VALUE"""),"Primeiro Semestre 2022")</f>
        <v>Primeiro Semestre 2022</v>
      </c>
      <c r="AR192" s="27" t="str">
        <f ca="1">IFERROR(__xludf.DUMMYFUNCTION("""COMPUTED_VALUE"""),"maurocentral2021@gmail.com")</f>
        <v>maurocentral2021@gmail.com</v>
      </c>
      <c r="AS192" s="27" t="str">
        <f ca="1">IFERROR(__xludf.DUMMYFUNCTION("""COMPUTED_VALUE"""),"(31)99647-4091")</f>
        <v>(31)99647-4091</v>
      </c>
      <c r="AT192" s="29">
        <f ca="1">IFERROR(__xludf.DUMMYFUNCTION("""COMPUTED_VALUE"""),23162)</f>
        <v>23162</v>
      </c>
      <c r="AU192" s="27">
        <f ca="1">IFERROR(__xludf.DUMMYFUNCTION("""COMPUTED_VALUE"""),59)</f>
        <v>59</v>
      </c>
      <c r="AV192" s="27">
        <f ca="1">IFERROR(__xludf.DUMMYFUNCTION("""COMPUTED_VALUE"""),45672776604)</f>
        <v>45672776604</v>
      </c>
      <c r="AW192" s="27" t="str">
        <f ca="1">IFERROR(__xludf.DUMMYFUNCTION("""COMPUTED_VALUE"""),"M29770167")</f>
        <v>M29770167</v>
      </c>
      <c r="AX192" s="27"/>
      <c r="AY192" s="27" t="str">
        <f ca="1">IFERROR(__xludf.DUMMYFUNCTION("""COMPUTED_VALUE"""),"Presidente")</f>
        <v>Presidente</v>
      </c>
      <c r="AZ192" s="27" t="str">
        <f ca="1">IFERROR(__xludf.DUMMYFUNCTION("""COMPUTED_VALUE"""),"G2")</f>
        <v>G2</v>
      </c>
      <c r="BA192" s="27" t="str">
        <f ca="1">IFERROR(__xludf.DUMMYFUNCTION("""COMPUTED_VALUE"""),"Parda")</f>
        <v>Parda</v>
      </c>
      <c r="BB192" s="27"/>
      <c r="BC192" s="27"/>
      <c r="BD192" s="27" t="str">
        <f ca="1">IFERROR(__xludf.DUMMYFUNCTION("""COMPUTED_VALUE"""),"Mauro Jose dos Santos, 59 anos, aposentado. Casado com Valeria Cristina, pai de 2 filhos, Fernando Paulo e João Carlos trabalhei por 36 anos na Gerdau Açominas na cidade de Ouro Branco, onde desenvolvi o gosto pelo trabalho voluntario,. Neste programa fiq"&amp;"uei responsável pela manutenção elétrica do Asilo Dr. Carlos Romeiro em minha cidade. Também fui membro do Instituto Gerdau. Gosto do que faço e penso que tenho muito ainda a fazer para diminuir a desigualdade social em nosso pais.")</f>
        <v>Mauro Jose dos Santos, 59 anos, aposentado. Casado com Valeria Cristina, pai de 2 filhos, Fernando Paulo e João Carlos trabalhei por 36 anos na Gerdau Açominas na cidade de Ouro Branco, onde desenvolvi o gosto pelo trabalho voluntario,. Neste programa fiquei responsável pela manutenção elétrica do Asilo Dr. Carlos Romeiro em minha cidade. Também fui membro do Instituto Gerdau. Gosto do que faço e penso que tenho muito ainda a fazer para diminuir a desigualdade social em nosso pais.</v>
      </c>
      <c r="BE192" s="27" t="str">
        <f ca="1">IFERROR(__xludf.DUMMYFUNCTION("""COMPUTED_VALUE"""),"Homem, cisgênero")</f>
        <v>Homem, cisgênero</v>
      </c>
      <c r="BF192" s="27" t="str">
        <f ca="1">IFERROR(__xludf.DUMMYFUNCTION("""COMPUTED_VALUE"""),"Heterossexual")</f>
        <v>Heterossexual</v>
      </c>
      <c r="BG192" s="27" t="str">
        <f ca="1">IFERROR(__xludf.DUMMYFUNCTION("""COMPUTED_VALUE"""),"Ensino Superior - Incompleto")</f>
        <v>Ensino Superior - Incompleto</v>
      </c>
      <c r="BH192" s="27" t="str">
        <f ca="1">IFERROR(__xludf.DUMMYFUNCTION("""COMPUTED_VALUE"""),"Público")</f>
        <v>Público</v>
      </c>
      <c r="BI192" s="27" t="str">
        <f ca="1">IFERROR(__xludf.DUMMYFUNCTION("""COMPUTED_VALUE"""),"Graduação")</f>
        <v>Graduação</v>
      </c>
      <c r="BJ192" s="27"/>
      <c r="BK192" s="27" t="str">
        <f ca="1">IFERROR(__xludf.DUMMYFUNCTION("""COMPUTED_VALUE"""),"Caetano Braga")</f>
        <v>Caetano Braga</v>
      </c>
      <c r="BL192" s="27">
        <f ca="1">IFERROR(__xludf.DUMMYFUNCTION("""COMPUTED_VALUE"""),32)</f>
        <v>32</v>
      </c>
      <c r="BM192" s="27" t="str">
        <f ca="1">IFERROR(__xludf.DUMMYFUNCTION("""COMPUTED_VALUE"""),"B")</f>
        <v>B</v>
      </c>
      <c r="BN192" s="27" t="str">
        <f ca="1">IFERROR(__xludf.DUMMYFUNCTION("""COMPUTED_VALUE"""),"Conselheiro Lafaiete")</f>
        <v>Conselheiro Lafaiete</v>
      </c>
      <c r="BO192" s="27" t="str">
        <f ca="1">IFERROR(__xludf.DUMMYFUNCTION("""COMPUTED_VALUE"""),"36405-022")</f>
        <v>36405-022</v>
      </c>
      <c r="BP192" s="27" t="str">
        <f ca="1">IFERROR(__xludf.DUMMYFUNCTION("""COMPUTED_VALUE"""),"MG")</f>
        <v>MG</v>
      </c>
      <c r="BQ192" s="27" t="str">
        <f ca="1">IFERROR(__xludf.DUMMYFUNCTION("""COMPUTED_VALUE"""),"De 3 até 5 salários mínimos")</f>
        <v>De 3 até 5 salários mínimos</v>
      </c>
      <c r="BR192" s="27" t="str">
        <f ca="1">IFERROR(__xludf.DUMMYFUNCTION("""COMPUTED_VALUE"""),"CLT, MEI")</f>
        <v>CLT, MEI</v>
      </c>
      <c r="BS192" s="27" t="str">
        <f ca="1">IFERROR(__xludf.DUMMYFUNCTION("""COMPUTED_VALUE"""),"Casa própria")</f>
        <v>Casa própria</v>
      </c>
      <c r="BT192" s="27">
        <f ca="1">IFERROR(__xludf.DUMMYFUNCTION("""COMPUTED_VALUE"""),3)</f>
        <v>3</v>
      </c>
      <c r="BU192" s="27" t="str">
        <f ca="1">IFERROR(__xludf.DUMMYFUNCTION("""COMPUTED_VALUE"""),"Não tem")</f>
        <v>Não tem</v>
      </c>
      <c r="BV192" s="27" t="str">
        <f ca="1">IFERROR(__xludf.DUMMYFUNCTION("""COMPUTED_VALUE"""),"Não")</f>
        <v>Não</v>
      </c>
      <c r="BW192" s="27" t="str">
        <f ca="1">IFERROR(__xludf.DUMMYFUNCTION("""COMPUTED_VALUE"""),"Mauro Jsoe dos Santos")</f>
        <v>Mauro Jsoe dos Santos</v>
      </c>
      <c r="BX192" s="27" t="str">
        <f ca="1">IFERROR(__xludf.DUMMYFUNCTION("""COMPUTED_VALUE"""),"mauro.josedosantos.58")</f>
        <v>mauro.josedosantos.58</v>
      </c>
      <c r="BY192" s="21" t="str">
        <f ca="1">IFERROR(__xludf.DUMMYFUNCTION("""COMPUTED_VALUE"""),"https://drive.google.com/open?id=1NG2rCt0DzmeUosO_xTCGPdwQnL4G4xZ9")</f>
        <v>https://drive.google.com/open?id=1NG2rCt0DzmeUosO_xTCGPdwQnL4G4xZ9</v>
      </c>
    </row>
    <row r="193" spans="1:77" ht="12.5" x14ac:dyDescent="0.25">
      <c r="A193" s="21" t="str">
        <f ca="1">IFERROR(__xludf.DUMMYFUNCTION("""COMPUTED_VALUE"""),"0014P00003YSp7tQAD")</f>
        <v>0014P00003YSp7tQAD</v>
      </c>
      <c r="B193" s="27" t="str">
        <f ca="1">IFERROR(__xludf.DUMMYFUNCTION("""COMPUTED_VALUE"""),"Fase Inicial")</f>
        <v>Fase Inicial</v>
      </c>
      <c r="C193" s="27" t="str">
        <f ca="1">IFERROR(__xludf.DUMMYFUNCTION("""COMPUTED_VALUE"""),"Fellow")</f>
        <v>Fellow</v>
      </c>
      <c r="D193" s="27" t="str">
        <f ca="1">IFERROR(__xludf.DUMMYFUNCTION("""COMPUTED_VALUE"""),"Ativo")</f>
        <v>Ativo</v>
      </c>
      <c r="E193" s="27" t="str">
        <f ca="1">IFERROR(__xludf.DUMMYFUNCTION("""COMPUTED_VALUE"""),"CENTRAL DE APOIO DOS AMIGOS SOLIDARIOS")</f>
        <v>CENTRAL DE APOIO DOS AMIGOS SOLIDARIOS</v>
      </c>
      <c r="F193" s="27" t="str">
        <f ca="1">IFERROR(__xludf.DUMMYFUNCTION("""COMPUTED_VALUE"""),"Leila")</f>
        <v>Leila</v>
      </c>
      <c r="G193" s="27"/>
      <c r="H193" s="27"/>
      <c r="I193" s="27" t="str">
        <f ca="1">IFERROR(__xludf.DUMMYFUNCTION("""COMPUTED_VALUE"""),"LEILA DA SILVA CAMPOS")</f>
        <v>LEILA DA SILVA CAMPOS</v>
      </c>
      <c r="J193" s="27" t="str">
        <f ca="1">IFERROR(__xludf.DUMMYFUNCTION("""COMPUTED_VALUE"""),"caasamigosolidario@gmail.com")</f>
        <v>caasamigosolidario@gmail.com</v>
      </c>
      <c r="K193" s="27" t="str">
        <f ca="1">IFERROR(__xludf.DUMMYFUNCTION("""COMPUTED_VALUE"""),"(71)98762-2605")</f>
        <v>(71)98762-2605</v>
      </c>
      <c r="L193" s="27" t="str">
        <f ca="1">IFERROR(__xludf.DUMMYFUNCTION("""COMPUTED_VALUE"""),"BA")</f>
        <v>BA</v>
      </c>
      <c r="M193" s="27" t="str">
        <f ca="1">IFERROR(__xludf.DUMMYFUNCTION("""COMPUTED_VALUE"""),"Rua do Paraíso")</f>
        <v>Rua do Paraíso</v>
      </c>
      <c r="N193" s="27" t="str">
        <f ca="1">IFERROR(__xludf.DUMMYFUNCTION("""COMPUTED_VALUE"""),"Lobato")</f>
        <v>Lobato</v>
      </c>
      <c r="O193" s="27">
        <f ca="1">IFERROR(__xludf.DUMMYFUNCTION("""COMPUTED_VALUE"""),96)</f>
        <v>96</v>
      </c>
      <c r="P193" s="27" t="str">
        <f ca="1">IFERROR(__xludf.DUMMYFUNCTION("""COMPUTED_VALUE"""),"Salvador")</f>
        <v>Salvador</v>
      </c>
      <c r="Q193" s="27" t="str">
        <f ca="1">IFERROR(__xludf.DUMMYFUNCTION("""COMPUTED_VALUE"""),"Escola Larúzia Valença")</f>
        <v>Escola Larúzia Valença</v>
      </c>
      <c r="R193" s="27" t="str">
        <f ca="1">IFERROR(__xludf.DUMMYFUNCTION("""COMPUTED_VALUE"""),"40470-110")</f>
        <v>40470-110</v>
      </c>
      <c r="S193" s="27"/>
      <c r="T193" s="27" t="str">
        <f ca="1">IFERROR(__xludf.DUMMYFUNCTION("""COMPUTED_VALUE"""),"Esporte; Educação; Empregabilidade; Assistência Social; Cultura; Qualificação Profissional; Empreendedorismo; Saúde; Meio ambiente; Empoderamento Feminino; Apoio à gestão de organizações de Terceiro Setor; Defesa de Direitos; Animais")</f>
        <v>Esporte; Educação; Empregabilidade; Assistência Social; Cultura; Qualificação Profissional; Empreendedorismo; Saúde; Meio ambiente; Empoderamento Feminino; Apoio à gestão de organizações de Terceiro Setor; Defesa de Direitos; Animais</v>
      </c>
      <c r="U193"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193" s="27" t="str">
        <f ca="1">IFERROR(__xludf.DUMMYFUNCTION("""COMPUTED_VALUE"""),"Moradores de Favelas; Pessoas em situação de rua; População LGBTQ+; Povos Indígenas; Quilombola; Afrodescendentes; Dependentes Químicos; Pessoas com Deficiência; Imigrantes; Refugiados")</f>
        <v>Moradores de Favelas; Pessoas em situação de rua; População LGBTQ+; Povos Indígenas; Quilombola; Afrodescendentes; Dependentes Químicos; Pessoas com Deficiência; Imigrantes; Refugiados</v>
      </c>
      <c r="W193" s="27">
        <f ca="1">IFERROR(__xludf.DUMMYFUNCTION("""COMPUTED_VALUE"""),11)</f>
        <v>11</v>
      </c>
      <c r="X193" s="27" t="str">
        <f ca="1">IFERROR(__xludf.DUMMYFUNCTION("""COMPUTED_VALUE"""),"PIRAJÁ")</f>
        <v>PIRAJÁ</v>
      </c>
      <c r="Y193" s="27"/>
      <c r="Z193" s="27">
        <f ca="1">IFERROR(__xludf.DUMMYFUNCTION("""COMPUTED_VALUE"""),11000)</f>
        <v>11000</v>
      </c>
      <c r="AA193" s="29">
        <f ca="1">IFERROR(__xludf.DUMMYFUNCTION("""COMPUTED_VALUE"""),40059)</f>
        <v>40059</v>
      </c>
      <c r="AB193" s="27" t="str">
        <f ca="1">IFERROR(__xludf.DUMMYFUNCTION("""COMPUTED_VALUE"""),"Sim")</f>
        <v>Sim</v>
      </c>
      <c r="AC193" s="27">
        <f ca="1">IFERROR(__xludf.DUMMYFUNCTION("""COMPUTED_VALUE"""),8)</f>
        <v>8</v>
      </c>
      <c r="AD193" s="27">
        <f ca="1">IFERROR(__xludf.DUMMYFUNCTION("""COMPUTED_VALUE"""),8)</f>
        <v>8</v>
      </c>
      <c r="AE193" s="27">
        <f ca="1">IFERROR(__xludf.DUMMYFUNCTION("""COMPUTED_VALUE"""),26)</f>
        <v>26</v>
      </c>
      <c r="AF193" s="27">
        <f ca="1">IFERROR(__xludf.DUMMYFUNCTION("""COMPUTED_VALUE"""),55)</f>
        <v>55</v>
      </c>
      <c r="AG193" s="27">
        <f ca="1">IFERROR(__xludf.DUMMYFUNCTION("""COMPUTED_VALUE"""),2)</f>
        <v>2</v>
      </c>
      <c r="AH193" s="27" t="str">
        <f ca="1">IFERROR(__xludf.DUMMYFUNCTION("""COMPUTED_VALUE"""),"Recursos próprios")</f>
        <v>Recursos próprios</v>
      </c>
      <c r="AI193" s="31">
        <f ca="1">IFERROR(__xludf.DUMMYFUNCTION("""COMPUTED_VALUE"""),0)</f>
        <v>0</v>
      </c>
      <c r="AJ193" s="27"/>
      <c r="AK193" s="27"/>
      <c r="AL193" s="21" t="str">
        <f ca="1">IFERROR(__xludf.DUMMYFUNCTION("""COMPUTED_VALUE"""),"0034P000045kxiU")</f>
        <v>0034P000045kxiU</v>
      </c>
      <c r="AM193" s="27" t="str">
        <f ca="1">IFERROR(__xludf.DUMMYFUNCTION("""COMPUTED_VALUE"""),"Da Silva Campos")</f>
        <v>Da Silva Campos</v>
      </c>
      <c r="AN193" s="27" t="str">
        <f ca="1">IFERROR(__xludf.DUMMYFUNCTION("""COMPUTED_VALUE"""),"Ativo")</f>
        <v>Ativo</v>
      </c>
      <c r="AO193" s="30">
        <f ca="1">IFERROR(__xludf.DUMMYFUNCTION("""COMPUTED_VALUE"""),44551)</f>
        <v>44551</v>
      </c>
      <c r="AP193" s="27">
        <f ca="1">IFERROR(__xludf.DUMMYFUNCTION("""COMPUTED_VALUE"""),9)</f>
        <v>9</v>
      </c>
      <c r="AQ193" s="27" t="str">
        <f ca="1">IFERROR(__xludf.DUMMYFUNCTION("""COMPUTED_VALUE"""),"Segundo Semestre 2021")</f>
        <v>Segundo Semestre 2021</v>
      </c>
      <c r="AR193" s="27" t="str">
        <f ca="1">IFERROR(__xludf.DUMMYFUNCTION("""COMPUTED_VALUE"""),"caasamigosolidario@gmail.com")</f>
        <v>caasamigosolidario@gmail.com</v>
      </c>
      <c r="AS193" s="27" t="str">
        <f ca="1">IFERROR(__xludf.DUMMYFUNCTION("""COMPUTED_VALUE"""),"(71)98762-2605")</f>
        <v>(71)98762-2605</v>
      </c>
      <c r="AT193" s="29">
        <f ca="1">IFERROR(__xludf.DUMMYFUNCTION("""COMPUTED_VALUE"""),27148)</f>
        <v>27148</v>
      </c>
      <c r="AU193" s="27">
        <f ca="1">IFERROR(__xludf.DUMMYFUNCTION("""COMPUTED_VALUE"""),48)</f>
        <v>48</v>
      </c>
      <c r="AV193" s="27">
        <f ca="1">IFERROR(__xludf.DUMMYFUNCTION("""COMPUTED_VALUE"""),63697190563)</f>
        <v>63697190563</v>
      </c>
      <c r="AW193" s="27">
        <f ca="1">IFERROR(__xludf.DUMMYFUNCTION("""COMPUTED_VALUE"""),591563924)</f>
        <v>591563924</v>
      </c>
      <c r="AX193" s="27"/>
      <c r="AY193" s="27"/>
      <c r="AZ193" s="27" t="str">
        <f ca="1">IFERROR(__xludf.DUMMYFUNCTION("""COMPUTED_VALUE"""),"GG")</f>
        <v>GG</v>
      </c>
      <c r="BA193" s="27" t="str">
        <f ca="1">IFERROR(__xludf.DUMMYFUNCTION("""COMPUTED_VALUE"""),"Preta")</f>
        <v>Preta</v>
      </c>
      <c r="BB193" s="27" t="str">
        <f ca="1">IFERROR(__xludf.DUMMYFUNCTION("""COMPUTED_VALUE"""),"Mulher, cisgênero")</f>
        <v>Mulher, cisgênero</v>
      </c>
      <c r="BC193" s="27" t="str">
        <f ca="1">IFERROR(__xludf.DUMMYFUNCTION("""COMPUTED_VALUE"""),"Não")</f>
        <v>Não</v>
      </c>
      <c r="BD193" s="27" t="str">
        <f ca="1">IFERROR(__xludf.DUMMYFUNCTION("""COMPUTED_VALUE"""),"Meu nome é Leila Campos, tenho 48 anos, tenho formação em pedagogia, sou fundadora e diretora do CELV- Centro Educacional Larúzia Valença e presidente fundadora da CAAS-Central de Apoio dos Amigos Solidários no qual atualmente temos 9.675. Sou soteropolit"&amp;"ana, mãe de quatro filhos e uma neta. Minha filosofia de vida é cuidar de pessoas.")</f>
        <v>Meu nome é Leila Campos, tenho 48 anos, tenho formação em pedagogia, sou fundadora e diretora do CELV- Centro Educacional Larúzia Valença e presidente fundadora da CAAS-Central de Apoio dos Amigos Solidários no qual atualmente temos 9.675. Sou soteropolitana, mãe de quatro filhos e uma neta. Minha filosofia de vida é cuidar de pessoas.</v>
      </c>
      <c r="BE193" s="27"/>
      <c r="BF193" s="27" t="str">
        <f ca="1">IFERROR(__xludf.DUMMYFUNCTION("""COMPUTED_VALUE"""),"Heterossexual")</f>
        <v>Heterossexual</v>
      </c>
      <c r="BG193" s="27" t="str">
        <f ca="1">IFERROR(__xludf.DUMMYFUNCTION("""COMPUTED_VALUE"""),"Ensino Superior - Completo")</f>
        <v>Ensino Superior - Completo</v>
      </c>
      <c r="BH193" s="27" t="str">
        <f ca="1">IFERROR(__xludf.DUMMYFUNCTION("""COMPUTED_VALUE"""),"Público")</f>
        <v>Público</v>
      </c>
      <c r="BI193" s="27" t="str">
        <f ca="1">IFERROR(__xludf.DUMMYFUNCTION("""COMPUTED_VALUE"""),"Graduação")</f>
        <v>Graduação</v>
      </c>
      <c r="BJ193" s="27" t="str">
        <f ca="1">IFERROR(__xludf.DUMMYFUNCTION("""COMPUTED_VALUE"""),"Privado")</f>
        <v>Privado</v>
      </c>
      <c r="BK193" s="27" t="str">
        <f ca="1">IFERROR(__xludf.DUMMYFUNCTION("""COMPUTED_VALUE"""),"Rua do Paraíso")</f>
        <v>Rua do Paraíso</v>
      </c>
      <c r="BL193" s="27">
        <f ca="1">IFERROR(__xludf.DUMMYFUNCTION("""COMPUTED_VALUE"""),96)</f>
        <v>96</v>
      </c>
      <c r="BM193" s="27" t="str">
        <f ca="1">IFERROR(__xludf.DUMMYFUNCTION("""COMPUTED_VALUE"""),"casa")</f>
        <v>casa</v>
      </c>
      <c r="BN193" s="27" t="str">
        <f ca="1">IFERROR(__xludf.DUMMYFUNCTION("""COMPUTED_VALUE"""),"Salvador")</f>
        <v>Salvador</v>
      </c>
      <c r="BO193" s="27" t="str">
        <f ca="1">IFERROR(__xludf.DUMMYFUNCTION("""COMPUTED_VALUE"""),"40470-110")</f>
        <v>40470-110</v>
      </c>
      <c r="BP193" s="27" t="str">
        <f ca="1">IFERROR(__xludf.DUMMYFUNCTION("""COMPUTED_VALUE"""),"BA")</f>
        <v>BA</v>
      </c>
      <c r="BQ193" s="27" t="str">
        <f ca="1">IFERROR(__xludf.DUMMYFUNCTION("""COMPUTED_VALUE"""),"Entre 1 até 3 salários mínimos")</f>
        <v>Entre 1 até 3 salários mínimos</v>
      </c>
      <c r="BR193" s="27" t="str">
        <f ca="1">IFERROR(__xludf.DUMMYFUNCTION("""COMPUTED_VALUE"""),"MEI")</f>
        <v>MEI</v>
      </c>
      <c r="BS193" s="27" t="str">
        <f ca="1">IFERROR(__xludf.DUMMYFUNCTION("""COMPUTED_VALUE"""),"Casa própria")</f>
        <v>Casa própria</v>
      </c>
      <c r="BT193" s="27">
        <f ca="1">IFERROR(__xludf.DUMMYFUNCTION("""COMPUTED_VALUE"""),4)</f>
        <v>4</v>
      </c>
      <c r="BU193" s="27" t="str">
        <f ca="1">IFERROR(__xludf.DUMMYFUNCTION("""COMPUTED_VALUE"""),"Não tem")</f>
        <v>Não tem</v>
      </c>
      <c r="BV193" s="27"/>
      <c r="BW193" s="21" t="str">
        <f ca="1">IFERROR(__xludf.DUMMYFUNCTION("""COMPUTED_VALUE"""),"linkedin.com/in/leila-campos-62485822")</f>
        <v>linkedin.com/in/leila-campos-62485822</v>
      </c>
      <c r="BX193" s="21" t="str">
        <f ca="1">IFERROR(__xludf.DUMMYFUNCTION("""COMPUTED_VALUE"""),"https://www.instagram.com/caasamigo/")</f>
        <v>https://www.instagram.com/caasamigo/</v>
      </c>
      <c r="BY193" s="21" t="str">
        <f ca="1">IFERROR(__xludf.DUMMYFUNCTION("""COMPUTED_VALUE"""),"https://drive.google.com/open?id=1D-DtTq4pgJzoj3WYPPmUe6JkYLdKJ62_")</f>
        <v>https://drive.google.com/open?id=1D-DtTq4pgJzoj3WYPPmUe6JkYLdKJ62_</v>
      </c>
    </row>
    <row r="194" spans="1:77" ht="12.5" x14ac:dyDescent="0.25">
      <c r="A194" s="21" t="str">
        <f ca="1">IFERROR(__xludf.DUMMYFUNCTION("""COMPUTED_VALUE"""),"0014P00003AN2GCQA1")</f>
        <v>0014P00003AN2GCQA1</v>
      </c>
      <c r="B194" s="27" t="str">
        <f ca="1">IFERROR(__xludf.DUMMYFUNCTION("""COMPUTED_VALUE"""),"Fase Inicial")</f>
        <v>Fase Inicial</v>
      </c>
      <c r="C194" s="27" t="str">
        <f ca="1">IFERROR(__xludf.DUMMYFUNCTION("""COMPUTED_VALUE"""),"Fellow")</f>
        <v>Fellow</v>
      </c>
      <c r="D194" s="27" t="str">
        <f ca="1">IFERROR(__xludf.DUMMYFUNCTION("""COMPUTED_VALUE"""),"Ativo")</f>
        <v>Ativo</v>
      </c>
      <c r="E194" s="27" t="str">
        <f ca="1">IFERROR(__xludf.DUMMYFUNCTION("""COMPUTED_VALUE"""),"Centro Cidadania Ação e Educação Socioambiental")</f>
        <v>Centro Cidadania Ação e Educação Socioambiental</v>
      </c>
      <c r="F194" s="27" t="str">
        <f ca="1">IFERROR(__xludf.DUMMYFUNCTION("""COMPUTED_VALUE"""),"Emanuel")</f>
        <v>Emanuel</v>
      </c>
      <c r="G194" s="27"/>
      <c r="H194" s="27" t="str">
        <f ca="1">IFERROR(__xludf.DUMMYFUNCTION("""COMPUTED_VALUE"""),"06.270.210/0001-86")</f>
        <v>06.270.210/0001-86</v>
      </c>
      <c r="I194" s="27"/>
      <c r="J194" s="27"/>
      <c r="K194" s="27" t="str">
        <f ca="1">IFERROR(__xludf.DUMMYFUNCTION("""COMPUTED_VALUE"""),"(83)99902-5942")</f>
        <v>(83)99902-5942</v>
      </c>
      <c r="L194" s="27" t="str">
        <f ca="1">IFERROR(__xludf.DUMMYFUNCTION("""COMPUTED_VALUE"""),"PB")</f>
        <v>PB</v>
      </c>
      <c r="M194" s="27" t="str">
        <f ca="1">IFERROR(__xludf.DUMMYFUNCTION("""COMPUTED_VALUE"""),"Rua Santa Maria")</f>
        <v>Rua Santa Maria</v>
      </c>
      <c r="N194" s="27"/>
      <c r="O194" s="27" t="str">
        <f ca="1">IFERROR(__xludf.DUMMYFUNCTION("""COMPUTED_VALUE"""),"(83)9902-5942")</f>
        <v>(83)9902-5942</v>
      </c>
      <c r="P194" s="27" t="str">
        <f ca="1">IFERROR(__xludf.DUMMYFUNCTION("""COMPUTED_VALUE"""),"Maturéia")</f>
        <v>Maturéia</v>
      </c>
      <c r="Q194" s="27"/>
      <c r="R194" s="27" t="str">
        <f ca="1">IFERROR(__xludf.DUMMYFUNCTION("""COMPUTED_VALUE"""),"58737-000")</f>
        <v>58737-000</v>
      </c>
      <c r="S194" s="27" t="str">
        <f ca="1">IFERROR(__xludf.DUMMYFUNCTION("""COMPUTED_VALUE"""),"Além da sede própria no município de Maturéia temos uam Unidade de Atendimento no município de Patos na Rua Ariston Aires de Lucena s/n QD E 21 - Conjunto dos Sapateiros - Bairro Monte Castelo   CEP: 58700-000. Em Patos o espaço físico é alugado.")</f>
        <v>Além da sede própria no município de Maturéia temos uam Unidade de Atendimento no município de Patos na Rua Ariston Aires de Lucena s/n QD E 21 - Conjunto dos Sapateiros - Bairro Monte Castelo   CEP: 58700-000. Em Patos o espaço físico é alugado.</v>
      </c>
      <c r="T194" s="27" t="str">
        <f ca="1">IFERROR(__xludf.DUMMYFUNCTION("""COMPUTED_VALUE"""),"Qualificação Profissional")</f>
        <v>Qualificação Profissional</v>
      </c>
      <c r="U194" s="27" t="str">
        <f ca="1">IFERROR(__xludf.DUMMYFUNCTION("""COMPUTED_VALUE"""),"Crianças (6 a 12 anos); Adolescentes (12 aos 18 anos); Jovens (18 aos 24 anos); Adultos")</f>
        <v>Crianças (6 a 12 anos); Adolescentes (12 aos 18 anos); Jovens (18 aos 24 anos); Adultos</v>
      </c>
      <c r="V194" s="27" t="str">
        <f ca="1">IFERROR(__xludf.DUMMYFUNCTION("""COMPUTED_VALUE"""),"Moradores de Favelas; Afrodescendentes; Dependentes Químicos; Comunidade rural; Outros")</f>
        <v>Moradores de Favelas; Afrodescendentes; Dependentes Químicos; Comunidade rural; Outros</v>
      </c>
      <c r="W194" s="27">
        <f ca="1">IFERROR(__xludf.DUMMYFUNCTION("""COMPUTED_VALUE"""),38)</f>
        <v>38</v>
      </c>
      <c r="X194" s="27" t="str">
        <f ca="1">IFERROR(__xludf.DUMMYFUNCTION("""COMPUTED_VALUE"""),"Damos uma atenção às pessoas que trabalham com artesanato e com o manejo da terra para sobreviverem pois entendemos que geralmente se enquadram em categorias que sempre estão em risco social.")</f>
        <v>Damos uma atenção às pessoas que trabalham com artesanato e com o manejo da terra para sobreviverem pois entendemos que geralmente se enquadram em categorias que sempre estão em risco social.</v>
      </c>
      <c r="Y194" s="27"/>
      <c r="Z194" s="27"/>
      <c r="AA194" s="29">
        <f ca="1">IFERROR(__xludf.DUMMYFUNCTION("""COMPUTED_VALUE"""),37747)</f>
        <v>37747</v>
      </c>
      <c r="AB194" s="27" t="str">
        <f ca="1">IFERROR(__xludf.DUMMYFUNCTION("""COMPUTED_VALUE"""),"Sim")</f>
        <v>Sim</v>
      </c>
      <c r="AC194" s="27">
        <f ca="1">IFERROR(__xludf.DUMMYFUNCTION("""COMPUTED_VALUE"""),2)</f>
        <v>2</v>
      </c>
      <c r="AD194" s="27">
        <f ca="1">IFERROR(__xludf.DUMMYFUNCTION("""COMPUTED_VALUE"""),4)</f>
        <v>4</v>
      </c>
      <c r="AE194" s="27">
        <f ca="1">IFERROR(__xludf.DUMMYFUNCTION("""COMPUTED_VALUE"""),22)</f>
        <v>22</v>
      </c>
      <c r="AF194" s="27">
        <f ca="1">IFERROR(__xludf.DUMMYFUNCTION("""COMPUTED_VALUE"""),11)</f>
        <v>11</v>
      </c>
      <c r="AG194" s="27">
        <f ca="1">IFERROR(__xludf.DUMMYFUNCTION("""COMPUTED_VALUE"""),5)</f>
        <v>5</v>
      </c>
      <c r="AH194" s="27" t="str">
        <f ca="1">IFERROR(__xludf.DUMMYFUNCTION("""COMPUTED_VALUE"""),"Negócio Social; Eventos/Ações para captação; Parceria iniciativa privada; Editais; Doações")</f>
        <v>Negócio Social; Eventos/Ações para captação; Parceria iniciativa privada; Editais; Doações</v>
      </c>
      <c r="AI194" s="27" t="str">
        <f ca="1">IFERROR(__xludf.DUMMYFUNCTION("""COMPUTED_VALUE"""),"Negócio Social 20% | Eventos/Ações de Captação 12% | Parceria iniciativa Privada  12%  | Editais  38%  | Doações  18%")</f>
        <v>Negócio Social 20% | Eventos/Ações de Captação 12% | Parceria iniciativa Privada  12%  | Editais  38%  | Doações  18%</v>
      </c>
      <c r="AJ194" s="27" t="str">
        <f ca="1">IFERROR(__xludf.DUMMYFUNCTION("""COMPUTED_VALUE"""),"Não")</f>
        <v>Não</v>
      </c>
      <c r="AK194" s="27" t="str">
        <f ca="1">IFERROR(__xludf.DUMMYFUNCTION("""COMPUTED_VALUE"""),"Sim")</f>
        <v>Sim</v>
      </c>
      <c r="AL194" s="21" t="str">
        <f ca="1">IFERROR(__xludf.DUMMYFUNCTION("""COMPUTED_VALUE"""),"0034P00003maBVg")</f>
        <v>0034P00003maBVg</v>
      </c>
      <c r="AM194" s="27" t="str">
        <f ca="1">IFERROR(__xludf.DUMMYFUNCTION("""COMPUTED_VALUE"""),"Heliomar Medeiros De Souza")</f>
        <v>Heliomar Medeiros De Souza</v>
      </c>
      <c r="AN194" s="27" t="str">
        <f ca="1">IFERROR(__xludf.DUMMYFUNCTION("""COMPUTED_VALUE"""),"Ativo")</f>
        <v>Ativo</v>
      </c>
      <c r="AO194" s="30">
        <f ca="1">IFERROR(__xludf.DUMMYFUNCTION("""COMPUTED_VALUE"""),44485)</f>
        <v>44485</v>
      </c>
      <c r="AP194" s="27">
        <f ca="1">IFERROR(__xludf.DUMMYFUNCTION("""COMPUTED_VALUE"""),11)</f>
        <v>11</v>
      </c>
      <c r="AQ194" s="27" t="str">
        <f ca="1">IFERROR(__xludf.DUMMYFUNCTION("""COMPUTED_VALUE"""),"Segundo Semestre 2020")</f>
        <v>Segundo Semestre 2020</v>
      </c>
      <c r="AR194" s="27" t="str">
        <f ca="1">IFERROR(__xludf.DUMMYFUNCTION("""COMPUTED_VALUE"""),"emanuel.medeiros.souza@gmail.com")</f>
        <v>emanuel.medeiros.souza@gmail.com</v>
      </c>
      <c r="AS194" s="27" t="str">
        <f ca="1">IFERROR(__xludf.DUMMYFUNCTION("""COMPUTED_VALUE"""),"(83)9902-5942")</f>
        <v>(83)9902-5942</v>
      </c>
      <c r="AT194" s="29">
        <f ca="1">IFERROR(__xludf.DUMMYFUNCTION("""COMPUTED_VALUE"""),27469)</f>
        <v>27469</v>
      </c>
      <c r="AU194" s="27">
        <f ca="1">IFERROR(__xludf.DUMMYFUNCTION("""COMPUTED_VALUE"""),47)</f>
        <v>47</v>
      </c>
      <c r="AV194" s="27">
        <f ca="1">IFERROR(__xludf.DUMMYFUNCTION("""COMPUTED_VALUE"""),2570252433)</f>
        <v>2570252433</v>
      </c>
      <c r="AW194" s="27" t="str">
        <f ca="1">IFERROR(__xludf.DUMMYFUNCTION("""COMPUTED_VALUE"""),"2209897 SSP/PB")</f>
        <v>2209897 SSP/PB</v>
      </c>
      <c r="AX194" s="27" t="str">
        <f ca="1">IFERROR(__xludf.DUMMYFUNCTION("""COMPUTED_VALUE"""),"Licenciatura Plena em Geografia")</f>
        <v>Licenciatura Plena em Geografia</v>
      </c>
      <c r="AY194" s="27" t="str">
        <f ca="1">IFERROR(__xludf.DUMMYFUNCTION("""COMPUTED_VALUE"""),"N/A")</f>
        <v>N/A</v>
      </c>
      <c r="AZ194" s="27" t="str">
        <f ca="1">IFERROR(__xludf.DUMMYFUNCTION("""COMPUTED_VALUE"""),"G")</f>
        <v>G</v>
      </c>
      <c r="BA194" s="27"/>
      <c r="BB194" s="27"/>
      <c r="BC194" s="27" t="str">
        <f ca="1">IFERROR(__xludf.DUMMYFUNCTION("""COMPUTED_VALUE"""),"Sim")</f>
        <v>Sim</v>
      </c>
      <c r="BD194" s="27" t="str">
        <f ca="1">IFERROR(__xludf.DUMMYFUNCTION("""COMPUTED_VALUE"""),"Nasci no Sertão da Paraíba. Como muitos jovens, fui para o Rio de Janeiro com 20 anos de idade. Lá a saudade era grande e já havia em mim, projetos e sonhos na vida, na escola e nas comunidades que eu já visitava, o que me fez voltar depois de um ano. Aqu"&amp;"i, junto com outros jovens fundamos várias Associações Comunitárias e destas, nasceu o Centro Cidadania. Me formei em Geografia, área onde lecionei por alguns anos e ai me apaixonei por educar, formar pessoas para que possam viver melhor.")</f>
        <v>Nasci no Sertão da Paraíba. Como muitos jovens, fui para o Rio de Janeiro com 20 anos de idade. Lá a saudade era grande e já havia em mim, projetos e sonhos na vida, na escola e nas comunidades que eu já visitava, o que me fez voltar depois de um ano. Aqui, junto com outros jovens fundamos várias Associações Comunitárias e destas, nasceu o Centro Cidadania. Me formei em Geografia, área onde lecionei por alguns anos e ai me apaixonei por educar, formar pessoas para que possam viver melhor.</v>
      </c>
      <c r="BE194" s="27"/>
      <c r="BF194" s="27"/>
      <c r="BG194" s="27" t="str">
        <f ca="1">IFERROR(__xludf.DUMMYFUNCTION("""COMPUTED_VALUE"""),"Ensino Superior - Completo")</f>
        <v>Ensino Superior - Completo</v>
      </c>
      <c r="BH194" s="27"/>
      <c r="BI194" s="27" t="str">
        <f ca="1">IFERROR(__xludf.DUMMYFUNCTION("""COMPUTED_VALUE"""),"Graduação")</f>
        <v>Graduação</v>
      </c>
      <c r="BJ194" s="27" t="str">
        <f ca="1">IFERROR(__xludf.DUMMYFUNCTION("""COMPUTED_VALUE"""),"Privado")</f>
        <v>Privado</v>
      </c>
      <c r="BK194" s="27" t="str">
        <f ca="1">IFERROR(__xludf.DUMMYFUNCTION("""COMPUTED_VALUE"""),"Maria Eunice Diniz")</f>
        <v>Maria Eunice Diniz</v>
      </c>
      <c r="BL194" s="27">
        <f ca="1">IFERROR(__xludf.DUMMYFUNCTION("""COMPUTED_VALUE"""),81)</f>
        <v>81</v>
      </c>
      <c r="BM194" s="27" t="str">
        <f ca="1">IFERROR(__xludf.DUMMYFUNCTION("""COMPUTED_VALUE"""),"Casa")</f>
        <v>Casa</v>
      </c>
      <c r="BN194" s="27" t="str">
        <f ca="1">IFERROR(__xludf.DUMMYFUNCTION("""COMPUTED_VALUE"""),"Maturéia")</f>
        <v>Maturéia</v>
      </c>
      <c r="BO194" s="27" t="str">
        <f ca="1">IFERROR(__xludf.DUMMYFUNCTION("""COMPUTED_VALUE"""),"58737-000")</f>
        <v>58737-000</v>
      </c>
      <c r="BP194" s="27" t="str">
        <f ca="1">IFERROR(__xludf.DUMMYFUNCTION("""COMPUTED_VALUE"""),"PB")</f>
        <v>PB</v>
      </c>
      <c r="BQ194" s="27" t="str">
        <f ca="1">IFERROR(__xludf.DUMMYFUNCTION("""COMPUTED_VALUE"""),"Entre 1 até 3 salários mínimos")</f>
        <v>Entre 1 até 3 salários mínimos</v>
      </c>
      <c r="BR194" s="27" t="str">
        <f ca="1">IFERROR(__xludf.DUMMYFUNCTION("""COMPUTED_VALUE"""),"Trabalho informal")</f>
        <v>Trabalho informal</v>
      </c>
      <c r="BS194" s="27" t="str">
        <f ca="1">IFERROR(__xludf.DUMMYFUNCTION("""COMPUTED_VALUE"""),"Casa própria")</f>
        <v>Casa própria</v>
      </c>
      <c r="BT194" s="27">
        <f ca="1">IFERROR(__xludf.DUMMYFUNCTION("""COMPUTED_VALUE"""),3)</f>
        <v>3</v>
      </c>
      <c r="BU194" s="27"/>
      <c r="BV194" s="27"/>
      <c r="BW194" s="21" t="str">
        <f ca="1">IFERROR(__xludf.DUMMYFUNCTION("""COMPUTED_VALUE"""),"https://www.linkedin.com/in/emanuel-medeiros-72999369/")</f>
        <v>https://www.linkedin.com/in/emanuel-medeiros-72999369/</v>
      </c>
      <c r="BX194" s="21" t="str">
        <f ca="1">IFERROR(__xludf.DUMMYFUNCTION("""COMPUTED_VALUE"""),"https://www.instagram.com/emanuelheliomar/?hl=pt-br")</f>
        <v>https://www.instagram.com/emanuelheliomar/?hl=pt-br</v>
      </c>
      <c r="BY194" s="21" t="str">
        <f ca="1">IFERROR(__xludf.DUMMYFUNCTION("""COMPUTED_VALUE"""),"https://drive.google.com/open?id=1NMoH-HaLbSlankgw1qpkiKWHG4h1b63U")</f>
        <v>https://drive.google.com/open?id=1NMoH-HaLbSlankgw1qpkiKWHG4h1b63U</v>
      </c>
    </row>
    <row r="195" spans="1:77" ht="12.5" x14ac:dyDescent="0.25">
      <c r="A195" s="21" t="str">
        <f ca="1">IFERROR(__xludf.DUMMYFUNCTION("""COMPUTED_VALUE"""),"0014X00002VKCrqQAH")</f>
        <v>0014X00002VKCrqQAH</v>
      </c>
      <c r="B195" s="27"/>
      <c r="C195" s="27" t="str">
        <f ca="1">IFERROR(__xludf.DUMMYFUNCTION("""COMPUTED_VALUE"""),"Fellow")</f>
        <v>Fellow</v>
      </c>
      <c r="D195" s="27" t="str">
        <f ca="1">IFERROR(__xludf.DUMMYFUNCTION("""COMPUTED_VALUE"""),"Ativo")</f>
        <v>Ativo</v>
      </c>
      <c r="E195" s="27" t="str">
        <f ca="1">IFERROR(__xludf.DUMMYFUNCTION("""COMPUTED_VALUE"""),"Centro Comunitário da Paz")</f>
        <v>Centro Comunitário da Paz</v>
      </c>
      <c r="F195" s="27" t="str">
        <f ca="1">IFERROR(__xludf.DUMMYFUNCTION("""COMPUTED_VALUE"""),"Juliana")</f>
        <v>Juliana</v>
      </c>
      <c r="G195" s="27" t="str">
        <f ca="1">IFERROR(__xludf.DUMMYFUNCTION("""COMPUTED_VALUE"""),"COMPAZ")</f>
        <v>COMPAZ</v>
      </c>
      <c r="H195" s="27"/>
      <c r="I195" s="27" t="str">
        <f ca="1">IFERROR(__xludf.DUMMYFUNCTION("""COMPUTED_VALUE"""),"Secretaria de Segurança Cidadã - Murilo Cavalcanti")</f>
        <v>Secretaria de Segurança Cidadã - Murilo Cavalcanti</v>
      </c>
      <c r="J195" s="27" t="str">
        <f ca="1">IFERROR(__xludf.DUMMYFUNCTION("""COMPUTED_VALUE"""),"juliana.novaes@recife.pe.gov.br")</f>
        <v>juliana.novaes@recife.pe.gov.br</v>
      </c>
      <c r="K195" s="27">
        <f ca="1">IFERROR(__xludf.DUMMYFUNCTION("""COMPUTED_VALUE"""),81994467933)</f>
        <v>81994467933</v>
      </c>
      <c r="L195" s="27" t="str">
        <f ca="1">IFERROR(__xludf.DUMMYFUNCTION("""COMPUTED_VALUE"""),"PE")</f>
        <v>PE</v>
      </c>
      <c r="M195" s="27" t="str">
        <f ca="1">IFERROR(__xludf.DUMMYFUNCTION("""COMPUTED_VALUE"""),"Avenida Caxangá")</f>
        <v>Avenida Caxangá</v>
      </c>
      <c r="N195" s="27" t="str">
        <f ca="1">IFERROR(__xludf.DUMMYFUNCTION("""COMPUTED_VALUE"""),"Madalena")</f>
        <v>Madalena</v>
      </c>
      <c r="O195" s="27">
        <f ca="1">IFERROR(__xludf.DUMMYFUNCTION("""COMPUTED_VALUE"""),653)</f>
        <v>653</v>
      </c>
      <c r="P195" s="27" t="str">
        <f ca="1">IFERROR(__xludf.DUMMYFUNCTION("""COMPUTED_VALUE"""),"Recife")</f>
        <v>Recife</v>
      </c>
      <c r="Q195" s="27"/>
      <c r="R195" s="27" t="str">
        <f ca="1">IFERROR(__xludf.DUMMYFUNCTION("""COMPUTED_VALUE"""),"50720-000")</f>
        <v>50720-000</v>
      </c>
      <c r="S195" s="27"/>
      <c r="T195" s="27"/>
      <c r="U195" s="27"/>
      <c r="V195" s="27"/>
      <c r="W195" s="27">
        <f ca="1">IFERROR(__xludf.DUMMYFUNCTION("""COMPUTED_VALUE"""),6)</f>
        <v>6</v>
      </c>
      <c r="X195" s="27"/>
      <c r="Y195" s="27"/>
      <c r="Z195" s="27">
        <f ca="1">IFERROR(__xludf.DUMMYFUNCTION("""COMPUTED_VALUE"""),1500)</f>
        <v>1500</v>
      </c>
      <c r="AA195" s="30">
        <f ca="1">IFERROR(__xludf.DUMMYFUNCTION("""COMPUTED_VALUE"""),43825)</f>
        <v>43825</v>
      </c>
      <c r="AB195" s="27" t="str">
        <f ca="1">IFERROR(__xludf.DUMMYFUNCTION("""COMPUTED_VALUE"""),"Não")</f>
        <v>Não</v>
      </c>
      <c r="AC195" s="27">
        <f ca="1">IFERROR(__xludf.DUMMYFUNCTION("""COMPUTED_VALUE"""),60)</f>
        <v>60</v>
      </c>
      <c r="AD195" s="27"/>
      <c r="AE195" s="27">
        <f ca="1">IFERROR(__xludf.DUMMYFUNCTION("""COMPUTED_VALUE"""),0)</f>
        <v>0</v>
      </c>
      <c r="AF195" s="27"/>
      <c r="AG195" s="27">
        <f ca="1">IFERROR(__xludf.DUMMYFUNCTION("""COMPUTED_VALUE"""),1)</f>
        <v>1</v>
      </c>
      <c r="AH195" s="27"/>
      <c r="AI195" s="27"/>
      <c r="AJ195" s="27"/>
      <c r="AK195" s="27"/>
      <c r="AL195" s="21" t="str">
        <f ca="1">IFERROR(__xludf.DUMMYFUNCTION("""COMPUTED_VALUE"""),"0034X0000380O5a")</f>
        <v>0034X0000380O5a</v>
      </c>
      <c r="AM195" s="27" t="str">
        <f ca="1">IFERROR(__xludf.DUMMYFUNCTION("""COMPUTED_VALUE"""),"Sales de novaes ferreira")</f>
        <v>Sales de novaes ferreira</v>
      </c>
      <c r="AN195" s="27" t="str">
        <f ca="1">IFERROR(__xludf.DUMMYFUNCTION("""COMPUTED_VALUE"""),"Ativo")</f>
        <v>Ativo</v>
      </c>
      <c r="AO195" s="29">
        <f ca="1">IFERROR(__xludf.DUMMYFUNCTION("""COMPUTED_VALUE"""),44763)</f>
        <v>44763</v>
      </c>
      <c r="AP195" s="27">
        <f ca="1">IFERROR(__xludf.DUMMYFUNCTION("""COMPUTED_VALUE"""),2)</f>
        <v>2</v>
      </c>
      <c r="AQ195" s="27" t="str">
        <f ca="1">IFERROR(__xludf.DUMMYFUNCTION("""COMPUTED_VALUE"""),"Primeiro Semestre 2022")</f>
        <v>Primeiro Semestre 2022</v>
      </c>
      <c r="AR195" s="27" t="str">
        <f ca="1">IFERROR(__xludf.DUMMYFUNCTION("""COMPUTED_VALUE"""),"jusalesnf@gmail.com")</f>
        <v>jusalesnf@gmail.com</v>
      </c>
      <c r="AS195" s="27">
        <f ca="1">IFERROR(__xludf.DUMMYFUNCTION("""COMPUTED_VALUE"""),81995250360)</f>
        <v>81995250360</v>
      </c>
      <c r="AT195" s="29">
        <f ca="1">IFERROR(__xludf.DUMMYFUNCTION("""COMPUTED_VALUE"""),28233)</f>
        <v>28233</v>
      </c>
      <c r="AU195" s="27">
        <f ca="1">IFERROR(__xludf.DUMMYFUNCTION("""COMPUTED_VALUE"""),45)</f>
        <v>45</v>
      </c>
      <c r="AV195" s="27">
        <f ca="1">IFERROR(__xludf.DUMMYFUNCTION("""COMPUTED_VALUE"""),3054550443)</f>
        <v>3054550443</v>
      </c>
      <c r="AW195" s="27">
        <f ca="1">IFERROR(__xludf.DUMMYFUNCTION("""COMPUTED_VALUE"""),5254131)</f>
        <v>5254131</v>
      </c>
      <c r="AX195" s="27"/>
      <c r="AY195" s="27"/>
      <c r="AZ195" s="27" t="str">
        <f ca="1">IFERROR(__xludf.DUMMYFUNCTION("""COMPUTED_VALUE"""),"M")</f>
        <v>M</v>
      </c>
      <c r="BA195" s="27" t="str">
        <f ca="1">IFERROR(__xludf.DUMMYFUNCTION("""COMPUTED_VALUE"""),"Amarela")</f>
        <v>Amarela</v>
      </c>
      <c r="BB195" s="27"/>
      <c r="BC195" s="27"/>
      <c r="BD195" s="27" t="str">
        <f ca="1">IFERROR(__xludf.DUMMYFUNCTION("""COMPUTED_VALUE"""),"Me chamo Juliana Novaes* sou psicóloga de formação e trabalho no Compaz* seu principal lema é reduzir a pobreza e desigualdade e tornar uma cidade mais equitativa. Sou apaixonada pelo que faço!")</f>
        <v>Me chamo Juliana Novaes* sou psicóloga de formação e trabalho no Compaz* seu principal lema é reduzir a pobreza e desigualdade e tornar uma cidade mais equitativa. Sou apaixonada pelo que faço!</v>
      </c>
      <c r="BE195" s="27" t="str">
        <f ca="1">IFERROR(__xludf.DUMMYFUNCTION("""COMPUTED_VALUE"""),"Feminino")</f>
        <v>Feminino</v>
      </c>
      <c r="BF195" s="27" t="str">
        <f ca="1">IFERROR(__xludf.DUMMYFUNCTION("""COMPUTED_VALUE"""),"Heterossexual")</f>
        <v>Heterossexual</v>
      </c>
      <c r="BG195" s="27"/>
      <c r="BH195" s="27" t="str">
        <f ca="1">IFERROR(__xludf.DUMMYFUNCTION("""COMPUTED_VALUE"""),"Privado")</f>
        <v>Privado</v>
      </c>
      <c r="BI195" s="27" t="str">
        <f ca="1">IFERROR(__xludf.DUMMYFUNCTION("""COMPUTED_VALUE"""),"Pós-Graduação")</f>
        <v>Pós-Graduação</v>
      </c>
      <c r="BJ195" s="27" t="str">
        <f ca="1">IFERROR(__xludf.DUMMYFUNCTION("""COMPUTED_VALUE"""),"Privado")</f>
        <v>Privado</v>
      </c>
      <c r="BK195" s="27" t="str">
        <f ca="1">IFERROR(__xludf.DUMMYFUNCTION("""COMPUTED_VALUE"""),"Rua Dona Maria Lacerda")</f>
        <v>Rua Dona Maria Lacerda</v>
      </c>
      <c r="BL195" s="27">
        <f ca="1">IFERROR(__xludf.DUMMYFUNCTION("""COMPUTED_VALUE"""),166)</f>
        <v>166</v>
      </c>
      <c r="BM195" s="27"/>
      <c r="BN195" s="27"/>
      <c r="BO195" s="27">
        <f ca="1">IFERROR(__xludf.DUMMYFUNCTION("""COMPUTED_VALUE"""),50741010)</f>
        <v>50741010</v>
      </c>
      <c r="BP195" s="27" t="str">
        <f ca="1">IFERROR(__xludf.DUMMYFUNCTION("""COMPUTED_VALUE"""),"PE")</f>
        <v>PE</v>
      </c>
      <c r="BQ195" s="27" t="str">
        <f ca="1">IFERROR(__xludf.DUMMYFUNCTION("""COMPUTED_VALUE"""),"Acima de 5 salários mínimos")</f>
        <v>Acima de 5 salários mínimos</v>
      </c>
      <c r="BR195" s="27" t="str">
        <f ca="1">IFERROR(__xludf.DUMMYFUNCTION("""COMPUTED_VALUE"""),"Funcionário Público")</f>
        <v>Funcionário Público</v>
      </c>
      <c r="BS195" s="27" t="str">
        <f ca="1">IFERROR(__xludf.DUMMYFUNCTION("""COMPUTED_VALUE"""),"Aluguel")</f>
        <v>Aluguel</v>
      </c>
      <c r="BT195" s="27">
        <f ca="1">IFERROR(__xludf.DUMMYFUNCTION("""COMPUTED_VALUE"""),2)</f>
        <v>2</v>
      </c>
      <c r="BU195" s="27" t="str">
        <f ca="1">IFERROR(__xludf.DUMMYFUNCTION("""COMPUTED_VALUE"""),"Não tem")</f>
        <v>Não tem</v>
      </c>
      <c r="BV195" s="27" t="str">
        <f ca="1">IFERROR(__xludf.DUMMYFUNCTION("""COMPUTED_VALUE"""),"Sim")</f>
        <v>Sim</v>
      </c>
      <c r="BW195" s="27"/>
      <c r="BX195" s="21" t="str">
        <f ca="1">IFERROR(__xludf.DUMMYFUNCTION("""COMPUTED_VALUE"""),"https://www.instagram.com/p/CXeuv-YLkjdHTu3jpY5Qlrez33Z1_v6-iNVOqg0/?utm_medium=copy_link")</f>
        <v>https://www.instagram.com/p/CXeuv-YLkjdHTu3jpY5Qlrez33Z1_v6-iNVOqg0/?utm_medium=copy_link</v>
      </c>
      <c r="BY195" s="21" t="str">
        <f ca="1">IFERROR(__xludf.DUMMYFUNCTION("""COMPUTED_VALUE"""),"https://drive.google.com/open?id=1xSaNUitWCCNXUGZ-FNwECC1tkW8dI4L0")</f>
        <v>https://drive.google.com/open?id=1xSaNUitWCCNXUGZ-FNwECC1tkW8dI4L0</v>
      </c>
    </row>
    <row r="196" spans="1:77" ht="12.5" hidden="1" x14ac:dyDescent="0.25">
      <c r="A196" s="21" t="str">
        <f ca="1">IFERROR(__xludf.DUMMYFUNCTION("""COMPUTED_VALUE"""),"0014X00002VKD04QAH")</f>
        <v>0014X00002VKD04QAH</v>
      </c>
      <c r="B196" s="27" t="str">
        <f ca="1">IFERROR(__xludf.DUMMYFUNCTION("""COMPUTED_VALUE"""),"Fase Estruturação")</f>
        <v>Fase Estruturação</v>
      </c>
      <c r="C196" s="27" t="str">
        <f ca="1">IFERROR(__xludf.DUMMYFUNCTION("""COMPUTED_VALUE"""),"Fellow")</f>
        <v>Fellow</v>
      </c>
      <c r="D196" s="27" t="str">
        <f ca="1">IFERROR(__xludf.DUMMYFUNCTION("""COMPUTED_VALUE"""),"Ativo")</f>
        <v>Ativo</v>
      </c>
      <c r="E196" s="27" t="str">
        <f ca="1">IFERROR(__xludf.DUMMYFUNCTION("""COMPUTED_VALUE"""),"Centro Comunitário do Radional e Adjacências")</f>
        <v>Centro Comunitário do Radional e Adjacências</v>
      </c>
      <c r="F196" s="27" t="str">
        <f ca="1">IFERROR(__xludf.DUMMYFUNCTION("""COMPUTED_VALUE"""),"NEUZA")</f>
        <v>NEUZA</v>
      </c>
      <c r="G196" s="27" t="str">
        <f ca="1">IFERROR(__xludf.DUMMYFUNCTION("""COMPUTED_VALUE"""),"CRECHE ESCOLA COMUNITÁRIA CANTINHO DA CRIANÇA")</f>
        <v>CRECHE ESCOLA COMUNITÁRIA CANTINHO DA CRIANÇA</v>
      </c>
      <c r="H196" s="27" t="str">
        <f ca="1">IFERROR(__xludf.DUMMYFUNCTION("""COMPUTED_VALUE"""),"02.417.691/0001-59")</f>
        <v>02.417.691/0001-59</v>
      </c>
      <c r="I196" s="27" t="str">
        <f ca="1">IFERROR(__xludf.DUMMYFUNCTION("""COMPUTED_VALUE"""),"NEUZA ELINA SILVA DE JESUS")</f>
        <v>NEUZA ELINA SILVA DE JESUS</v>
      </c>
      <c r="J196" s="27" t="str">
        <f ca="1">IFERROR(__xludf.DUMMYFUNCTION("""COMPUTED_VALUE"""),"centrocra@bol.com.br")</f>
        <v>centrocra@bol.com.br</v>
      </c>
      <c r="K196" s="27" t="str">
        <f ca="1">IFERROR(__xludf.DUMMYFUNCTION("""COMPUTED_VALUE"""),"(98)98858-5141")</f>
        <v>(98)98858-5141</v>
      </c>
      <c r="L196" s="27" t="str">
        <f ca="1">IFERROR(__xludf.DUMMYFUNCTION("""COMPUTED_VALUE"""),"MA")</f>
        <v>MA</v>
      </c>
      <c r="M196" s="27" t="str">
        <f ca="1">IFERROR(__xludf.DUMMYFUNCTION("""COMPUTED_VALUE"""),"RUA N")</f>
        <v>RUA N</v>
      </c>
      <c r="N196" s="27" t="str">
        <f ca="1">IFERROR(__xludf.DUMMYFUNCTION("""COMPUTED_VALUE"""),"RADIONAL")</f>
        <v>RADIONAL</v>
      </c>
      <c r="O196" s="27">
        <f ca="1">IFERROR(__xludf.DUMMYFUNCTION("""COMPUTED_VALUE"""),50)</f>
        <v>50</v>
      </c>
      <c r="P196" s="27" t="str">
        <f ca="1">IFERROR(__xludf.DUMMYFUNCTION("""COMPUTED_VALUE"""),"São Luís")</f>
        <v>São Luís</v>
      </c>
      <c r="Q196" s="27" t="str">
        <f ca="1">IFERROR(__xludf.DUMMYFUNCTION("""COMPUTED_VALUE"""),"AO LADO DA DELEGACIA")</f>
        <v>AO LADO DA DELEGACIA</v>
      </c>
      <c r="R196" s="27" t="str">
        <f ca="1">IFERROR(__xludf.DUMMYFUNCTION("""COMPUTED_VALUE"""),"65047-590")</f>
        <v>65047-590</v>
      </c>
      <c r="S196" s="27"/>
      <c r="T196" s="27"/>
      <c r="U196" s="27" t="str">
        <f ca="1">IFERROR(__xludf.DUMMYFUNCTION("""COMPUTED_VALUE"""),"bebês (1 a 1ano e 6 meses), Crianças bem pequenas (1 ano e 7 meses até 3 anos e 11 meses), Crianças pequenas (4 anos a 5 anos e 11 meses), Crianças (6 a 12 anos), Adolescentes (12 aos 18 anos), Idosos (60 anos ou mais)")</f>
        <v>bebês (1 a 1ano e 6 meses), Crianças bem pequenas (1 ano e 7 meses até 3 anos e 11 meses), Crianças pequenas (4 anos a 5 anos e 11 meses), Crianças (6 a 12 anos), Adolescentes (12 aos 18 anos), Idosos (60 anos ou mais)</v>
      </c>
      <c r="V196" s="27" t="str">
        <f ca="1">IFERROR(__xludf.DUMMYFUNCTION("""COMPUTED_VALUE"""),"Comunidade rural, Outros")</f>
        <v>Comunidade rural, Outros</v>
      </c>
      <c r="W196" s="27">
        <f ca="1">IFERROR(__xludf.DUMMYFUNCTION("""COMPUTED_VALUE"""),8)</f>
        <v>8</v>
      </c>
      <c r="X196" s="27"/>
      <c r="Y196" s="27"/>
      <c r="Z196" s="27">
        <f ca="1">IFERROR(__xludf.DUMMYFUNCTION("""COMPUTED_VALUE"""),300)</f>
        <v>300</v>
      </c>
      <c r="AA196" s="29">
        <f ca="1">IFERROR(__xludf.DUMMYFUNCTION("""COMPUTED_VALUE"""),35077)</f>
        <v>35077</v>
      </c>
      <c r="AB196" s="27" t="str">
        <f ca="1">IFERROR(__xludf.DUMMYFUNCTION("""COMPUTED_VALUE"""),"Sim")</f>
        <v>Sim</v>
      </c>
      <c r="AC196" s="27">
        <f ca="1">IFERROR(__xludf.DUMMYFUNCTION("""COMPUTED_VALUE"""),24)</f>
        <v>24</v>
      </c>
      <c r="AD196" s="27">
        <f ca="1">IFERROR(__xludf.DUMMYFUNCTION("""COMPUTED_VALUE"""),14)</f>
        <v>14</v>
      </c>
      <c r="AE196" s="27">
        <f ca="1">IFERROR(__xludf.DUMMYFUNCTION("""COMPUTED_VALUE"""),2)</f>
        <v>2</v>
      </c>
      <c r="AF196" s="27">
        <f ca="1">IFERROR(__xludf.DUMMYFUNCTION("""COMPUTED_VALUE"""),2)</f>
        <v>2</v>
      </c>
      <c r="AG196" s="27">
        <f ca="1">IFERROR(__xludf.DUMMYFUNCTION("""COMPUTED_VALUE"""),4)</f>
        <v>4</v>
      </c>
      <c r="AH196" s="27" t="str">
        <f ca="1">IFERROR(__xludf.DUMMYFUNCTION("""COMPUTED_VALUE"""),"Convênio Público, Parceria iniciativa privada, Editais, Doações, Recursos próprios")</f>
        <v>Convênio Público, Parceria iniciativa privada, Editais, Doações, Recursos próprios</v>
      </c>
      <c r="AI196" s="27" t="str">
        <f ca="1">IFERROR(__xludf.DUMMYFUNCTION("""COMPUTED_VALUE"""),"50% CONVENIOS 25% DOAÇÕES 15% EDITAIS 10% PARCEIRAS")</f>
        <v>50% CONVENIOS 25% DOAÇÕES 15% EDITAIS 10% PARCEIRAS</v>
      </c>
      <c r="AJ196" s="27" t="str">
        <f ca="1">IFERROR(__xludf.DUMMYFUNCTION("""COMPUTED_VALUE"""),"Sim")</f>
        <v>Sim</v>
      </c>
      <c r="AK196" s="27"/>
      <c r="AL196" s="21" t="str">
        <f ca="1">IFERROR(__xludf.DUMMYFUNCTION("""COMPUTED_VALUE"""),"0034X0000380O1W")</f>
        <v>0034X0000380O1W</v>
      </c>
      <c r="AM196" s="27" t="str">
        <f ca="1">IFERROR(__xludf.DUMMYFUNCTION("""COMPUTED_VALUE"""),"Elina silva de jesus")</f>
        <v>Elina silva de jesus</v>
      </c>
      <c r="AN196" s="27" t="str">
        <f ca="1">IFERROR(__xludf.DUMMYFUNCTION("""COMPUTED_VALUE"""),"Ativo")</f>
        <v>Ativo</v>
      </c>
      <c r="AO196" s="29">
        <f ca="1">IFERROR(__xludf.DUMMYFUNCTION("""COMPUTED_VALUE"""),44763)</f>
        <v>44763</v>
      </c>
      <c r="AP196" s="27">
        <f ca="1">IFERROR(__xludf.DUMMYFUNCTION("""COMPUTED_VALUE"""),2)</f>
        <v>2</v>
      </c>
      <c r="AQ196" s="27" t="str">
        <f ca="1">IFERROR(__xludf.DUMMYFUNCTION("""COMPUTED_VALUE"""),"Primeiro Semestre 2022")</f>
        <v>Primeiro Semestre 2022</v>
      </c>
      <c r="AR196" s="27" t="str">
        <f ca="1">IFERROR(__xludf.DUMMYFUNCTION("""COMPUTED_VALUE"""),"neuzalinas@gmail.com")</f>
        <v>neuzalinas@gmail.com</v>
      </c>
      <c r="AS196" s="27" t="str">
        <f ca="1">IFERROR(__xludf.DUMMYFUNCTION("""COMPUTED_VALUE"""),"(98)99982-9174")</f>
        <v>(98)99982-9174</v>
      </c>
      <c r="AT196" s="29">
        <f ca="1">IFERROR(__xludf.DUMMYFUNCTION("""COMPUTED_VALUE"""),21753)</f>
        <v>21753</v>
      </c>
      <c r="AU196" s="27">
        <f ca="1">IFERROR(__xludf.DUMMYFUNCTION("""COMPUTED_VALUE"""),63)</f>
        <v>63</v>
      </c>
      <c r="AV196" s="27">
        <f ca="1">IFERROR(__xludf.DUMMYFUNCTION("""COMPUTED_VALUE"""),15019985368)</f>
        <v>15019985368</v>
      </c>
      <c r="AW196" s="27" t="str">
        <f ca="1">IFERROR(__xludf.DUMMYFUNCTION("""COMPUTED_VALUE"""),"32889094-4")</f>
        <v>32889094-4</v>
      </c>
      <c r="AX196" s="27"/>
      <c r="AY196" s="27" t="str">
        <f ca="1">IFERROR(__xludf.DUMMYFUNCTION("""COMPUTED_VALUE"""),"PRESIDENTE - FUNDADORA")</f>
        <v>PRESIDENTE - FUNDADORA</v>
      </c>
      <c r="AZ196" s="27" t="str">
        <f ca="1">IFERROR(__xludf.DUMMYFUNCTION("""COMPUTED_VALUE"""),"G")</f>
        <v>G</v>
      </c>
      <c r="BA196" s="27" t="str">
        <f ca="1">IFERROR(__xludf.DUMMYFUNCTION("""COMPUTED_VALUE"""),"Preta")</f>
        <v>Preta</v>
      </c>
      <c r="BB196" s="27"/>
      <c r="BC196" s="27"/>
      <c r="BD196" s="27" t="str">
        <f ca="1">IFERROR(__xludf.DUMMYFUNCTION("""COMPUTED_VALUE"""),"nascida em Caxias,  tornou-se líder comunitária, fundando do Centro Comunitário da Radional e Adjacências – Creche Escola Comunitária Cantinho da Criança, onde trabalha com crianças, jovens, adultos e idosos.")</f>
        <v>nascida em Caxias,  tornou-se líder comunitária, fundando do Centro Comunitário da Radional e Adjacências – Creche Escola Comunitária Cantinho da Criança, onde trabalha com crianças, jovens, adultos e idosos.</v>
      </c>
      <c r="BE196" s="27" t="str">
        <f ca="1">IFERROR(__xludf.DUMMYFUNCTION("""COMPUTED_VALUE"""),"Outro(s)")</f>
        <v>Outro(s)</v>
      </c>
      <c r="BF196" s="27" t="str">
        <f ca="1">IFERROR(__xludf.DUMMYFUNCTION("""COMPUTED_VALUE"""),"Heterossexual")</f>
        <v>Heterossexual</v>
      </c>
      <c r="BG196" s="27" t="str">
        <f ca="1">IFERROR(__xludf.DUMMYFUNCTION("""COMPUTED_VALUE"""),"Ensino Médio - Completo")</f>
        <v>Ensino Médio - Completo</v>
      </c>
      <c r="BH196" s="27" t="str">
        <f ca="1">IFERROR(__xludf.DUMMYFUNCTION("""COMPUTED_VALUE"""),"Público")</f>
        <v>Público</v>
      </c>
      <c r="BI196" s="27"/>
      <c r="BJ196" s="27"/>
      <c r="BK196" s="27" t="str">
        <f ca="1">IFERROR(__xludf.DUMMYFUNCTION("""COMPUTED_VALUE"""),"TRAVESSA SEGUNDA")</f>
        <v>TRAVESSA SEGUNDA</v>
      </c>
      <c r="BL196" s="27">
        <f ca="1">IFERROR(__xludf.DUMMYFUNCTION("""COMPUTED_VALUE"""),1)</f>
        <v>1</v>
      </c>
      <c r="BM196" s="27" t="str">
        <f ca="1">IFERROR(__xludf.DUMMYFUNCTION("""COMPUTED_VALUE"""),"RECANTO VERDE - CANAA")</f>
        <v>RECANTO VERDE - CANAA</v>
      </c>
      <c r="BN196" s="27" t="str">
        <f ca="1">IFERROR(__xludf.DUMMYFUNCTION("""COMPUTED_VALUE"""),"SÃO LUIS")</f>
        <v>SÃO LUIS</v>
      </c>
      <c r="BO196" s="27" t="str">
        <f ca="1">IFERROR(__xludf.DUMMYFUNCTION("""COMPUTED_VALUE"""),"65010-000")</f>
        <v>65010-000</v>
      </c>
      <c r="BP196" s="27" t="str">
        <f ca="1">IFERROR(__xludf.DUMMYFUNCTION("""COMPUTED_VALUE"""),"MA")</f>
        <v>MA</v>
      </c>
      <c r="BQ196" s="27" t="str">
        <f ca="1">IFERROR(__xludf.DUMMYFUNCTION("""COMPUTED_VALUE"""),"Entre 1 até 3 salários mínimos")</f>
        <v>Entre 1 até 3 salários mínimos</v>
      </c>
      <c r="BR196" s="27" t="str">
        <f ca="1">IFERROR(__xludf.DUMMYFUNCTION("""COMPUTED_VALUE"""),"Desempregado")</f>
        <v>Desempregado</v>
      </c>
      <c r="BS196" s="27" t="str">
        <f ca="1">IFERROR(__xludf.DUMMYFUNCTION("""COMPUTED_VALUE"""),"Casa própria")</f>
        <v>Casa própria</v>
      </c>
      <c r="BT196" s="27">
        <f ca="1">IFERROR(__xludf.DUMMYFUNCTION("""COMPUTED_VALUE"""),2)</f>
        <v>2</v>
      </c>
      <c r="BU196" s="27" t="str">
        <f ca="1">IFERROR(__xludf.DUMMYFUNCTION("""COMPUTED_VALUE"""),"Outros")</f>
        <v>Outros</v>
      </c>
      <c r="BV196" s="27" t="str">
        <f ca="1">IFERROR(__xludf.DUMMYFUNCTION("""COMPUTED_VALUE"""),"Não")</f>
        <v>Não</v>
      </c>
      <c r="BW196" s="27"/>
      <c r="BX196" s="27"/>
      <c r="BY196" s="21" t="str">
        <f ca="1">IFERROR(__xludf.DUMMYFUNCTION("""COMPUTED_VALUE"""),"https://drive.google.com/open?id=1ruczN6p4icdlPMVL_bS2_Ed64fEe55bU")</f>
        <v>https://drive.google.com/open?id=1ruczN6p4icdlPMVL_bS2_Ed64fEe55bU</v>
      </c>
    </row>
    <row r="197" spans="1:77" ht="12.5" hidden="1" x14ac:dyDescent="0.25">
      <c r="A197" s="21" t="str">
        <f ca="1">IFERROR(__xludf.DUMMYFUNCTION("""COMPUTED_VALUE"""),"0014X00002VKCpRQAX")</f>
        <v>0014X00002VKCpRQAX</v>
      </c>
      <c r="B197" s="27" t="str">
        <f ca="1">IFERROR(__xludf.DUMMYFUNCTION("""COMPUTED_VALUE"""),"Fase Inicial")</f>
        <v>Fase Inicial</v>
      </c>
      <c r="C197" s="27" t="str">
        <f ca="1">IFERROR(__xludf.DUMMYFUNCTION("""COMPUTED_VALUE"""),"Fellow")</f>
        <v>Fellow</v>
      </c>
      <c r="D197" s="27" t="str">
        <f ca="1">IFERROR(__xludf.DUMMYFUNCTION("""COMPUTED_VALUE"""),"Ativo")</f>
        <v>Ativo</v>
      </c>
      <c r="E197" s="27" t="str">
        <f ca="1">IFERROR(__xludf.DUMMYFUNCTION("""COMPUTED_VALUE"""),"Centro Comunitário do Rosarinho")</f>
        <v>Centro Comunitário do Rosarinho</v>
      </c>
      <c r="F197" s="27" t="str">
        <f ca="1">IFERROR(__xludf.DUMMYFUNCTION("""COMPUTED_VALUE"""),"Luzinete")</f>
        <v>Luzinete</v>
      </c>
      <c r="G197" s="27" t="str">
        <f ca="1">IFERROR(__xludf.DUMMYFUNCTION("""COMPUTED_VALUE"""),"CECOR")</f>
        <v>CECOR</v>
      </c>
      <c r="H197" s="27" t="str">
        <f ca="1">IFERROR(__xludf.DUMMYFUNCTION("""COMPUTED_VALUE"""),"07.227.215/0001-99")</f>
        <v>07.227.215/0001-99</v>
      </c>
      <c r="I197" s="27" t="str">
        <f ca="1">IFERROR(__xludf.DUMMYFUNCTION("""COMPUTED_VALUE"""),"Antonio Roque dos Santos Silva")</f>
        <v>Antonio Roque dos Santos Silva</v>
      </c>
      <c r="J197" s="27" t="str">
        <f ca="1">IFERROR(__xludf.DUMMYFUNCTION("""COMPUTED_VALUE"""),"rosarinhocecor@gmail.com")</f>
        <v>rosarinhocecor@gmail.com</v>
      </c>
      <c r="K197" s="27" t="str">
        <f ca="1">IFERROR(__xludf.DUMMYFUNCTION("""COMPUTED_VALUE"""),"(75)99105-7981")</f>
        <v>(75)99105-7981</v>
      </c>
      <c r="L197" s="27" t="str">
        <f ca="1">IFERROR(__xludf.DUMMYFUNCTION("""COMPUTED_VALUE"""),"BA")</f>
        <v>BA</v>
      </c>
      <c r="M197" s="27" t="str">
        <f ca="1">IFERROR(__xludf.DUMMYFUNCTION("""COMPUTED_VALUE"""),"20 de Novembro")</f>
        <v>20 de Novembro</v>
      </c>
      <c r="N197" s="27" t="str">
        <f ca="1">IFERROR(__xludf.DUMMYFUNCTION("""COMPUTED_VALUE"""),"Rosarinho")</f>
        <v>Rosarinho</v>
      </c>
      <c r="O197" s="27" t="str">
        <f ca="1">IFERROR(__xludf.DUMMYFUNCTION("""COMPUTED_VALUE"""),"Sn")</f>
        <v>Sn</v>
      </c>
      <c r="P197" s="27" t="str">
        <f ca="1">IFERROR(__xludf.DUMMYFUNCTION("""COMPUTED_VALUE"""),"Cachoeira")</f>
        <v>Cachoeira</v>
      </c>
      <c r="Q197" s="27" t="str">
        <f ca="1">IFERROR(__xludf.DUMMYFUNCTION("""COMPUTED_VALUE"""),"Centro")</f>
        <v>Centro</v>
      </c>
      <c r="R197" s="27" t="str">
        <f ca="1">IFERROR(__xludf.DUMMYFUNCTION("""COMPUTED_VALUE"""),"44300-000")</f>
        <v>44300-000</v>
      </c>
      <c r="S197" s="27"/>
      <c r="T197" s="27"/>
      <c r="U197" s="27" t="str">
        <f ca="1">IFERROR(__xludf.DUMMYFUNCTION("""COMPUTED_VALUE"""),"Crianças (6 a 12 anos), Adolescentes (12 aos 18 anos)")</f>
        <v>Crianças (6 a 12 anos), Adolescentes (12 aos 18 anos)</v>
      </c>
      <c r="V197" s="27" t="str">
        <f ca="1">IFERROR(__xludf.DUMMYFUNCTION("""COMPUTED_VALUE"""),"Moradores de Favelas, Quilombola, Afrodescendentes")</f>
        <v>Moradores de Favelas, Quilombola, Afrodescendentes</v>
      </c>
      <c r="W197" s="27">
        <f ca="1">IFERROR(__xludf.DUMMYFUNCTION("""COMPUTED_VALUE"""),1)</f>
        <v>1</v>
      </c>
      <c r="X197" s="27"/>
      <c r="Y197" s="27"/>
      <c r="Z197" s="27">
        <f ca="1">IFERROR(__xludf.DUMMYFUNCTION("""COMPUTED_VALUE"""),60)</f>
        <v>60</v>
      </c>
      <c r="AA197" s="29">
        <f ca="1">IFERROR(__xludf.DUMMYFUNCTION("""COMPUTED_VALUE"""),36028)</f>
        <v>36028</v>
      </c>
      <c r="AB197" s="27" t="str">
        <f ca="1">IFERROR(__xludf.DUMMYFUNCTION("""COMPUTED_VALUE"""),"Sim")</f>
        <v>Sim</v>
      </c>
      <c r="AC197" s="27">
        <f ca="1">IFERROR(__xludf.DUMMYFUNCTION("""COMPUTED_VALUE"""),0)</f>
        <v>0</v>
      </c>
      <c r="AD197" s="27">
        <f ca="1">IFERROR(__xludf.DUMMYFUNCTION("""COMPUTED_VALUE"""),3)</f>
        <v>3</v>
      </c>
      <c r="AE197" s="27">
        <f ca="1">IFERROR(__xludf.DUMMYFUNCTION("""COMPUTED_VALUE"""),3)</f>
        <v>3</v>
      </c>
      <c r="AF197" s="27">
        <f ca="1">IFERROR(__xludf.DUMMYFUNCTION("""COMPUTED_VALUE"""),3)</f>
        <v>3</v>
      </c>
      <c r="AG197" s="27">
        <f ca="1">IFERROR(__xludf.DUMMYFUNCTION("""COMPUTED_VALUE"""),2)</f>
        <v>2</v>
      </c>
      <c r="AH197" s="27" t="str">
        <f ca="1">IFERROR(__xludf.DUMMYFUNCTION("""COMPUTED_VALUE"""),"Editais, Doações")</f>
        <v>Editais, Doações</v>
      </c>
      <c r="AI197" s="27">
        <f ca="1">IFERROR(__xludf.DUMMYFUNCTION("""COMPUTED_VALUE"""),0)</f>
        <v>0</v>
      </c>
      <c r="AJ197" s="27" t="str">
        <f ca="1">IFERROR(__xludf.DUMMYFUNCTION("""COMPUTED_VALUE"""),"Não")</f>
        <v>Não</v>
      </c>
      <c r="AK197" s="27"/>
      <c r="AL197" s="21" t="str">
        <f ca="1">IFERROR(__xludf.DUMMYFUNCTION("""COMPUTED_VALUE"""),"0034X0000380O28")</f>
        <v>0034X0000380O28</v>
      </c>
      <c r="AM197" s="27" t="str">
        <f ca="1">IFERROR(__xludf.DUMMYFUNCTION("""COMPUTED_VALUE"""),"Conceição dos santos")</f>
        <v>Conceição dos santos</v>
      </c>
      <c r="AN197" s="27" t="str">
        <f ca="1">IFERROR(__xludf.DUMMYFUNCTION("""COMPUTED_VALUE"""),"Ativo")</f>
        <v>Ativo</v>
      </c>
      <c r="AO197" s="29">
        <f ca="1">IFERROR(__xludf.DUMMYFUNCTION("""COMPUTED_VALUE"""),44763)</f>
        <v>44763</v>
      </c>
      <c r="AP197" s="27">
        <f ca="1">IFERROR(__xludf.DUMMYFUNCTION("""COMPUTED_VALUE"""),2)</f>
        <v>2</v>
      </c>
      <c r="AQ197" s="27" t="str">
        <f ca="1">IFERROR(__xludf.DUMMYFUNCTION("""COMPUTED_VALUE"""),"Primeiro Semestre 2022")</f>
        <v>Primeiro Semestre 2022</v>
      </c>
      <c r="AR197" s="27" t="str">
        <f ca="1">IFERROR(__xludf.DUMMYFUNCTION("""COMPUTED_VALUE"""),"netymorena@hotmail.com")</f>
        <v>netymorena@hotmail.com</v>
      </c>
      <c r="AS197" s="27">
        <f ca="1">IFERROR(__xludf.DUMMYFUNCTION("""COMPUTED_VALUE"""),75991057981)</f>
        <v>75991057981</v>
      </c>
      <c r="AT197" s="30">
        <f ca="1">IFERROR(__xludf.DUMMYFUNCTION("""COMPUTED_VALUE"""),28459)</f>
        <v>28459</v>
      </c>
      <c r="AU197" s="27">
        <f ca="1">IFERROR(__xludf.DUMMYFUNCTION("""COMPUTED_VALUE"""),45)</f>
        <v>45</v>
      </c>
      <c r="AV197" s="27">
        <f ca="1">IFERROR(__xludf.DUMMYFUNCTION("""COMPUTED_VALUE"""),80353665568)</f>
        <v>80353665568</v>
      </c>
      <c r="AW197" s="27">
        <f ca="1">IFERROR(__xludf.DUMMYFUNCTION("""COMPUTED_VALUE"""),852230184)</f>
        <v>852230184</v>
      </c>
      <c r="AX197" s="27"/>
      <c r="AY197" s="27"/>
      <c r="AZ197" s="27" t="str">
        <f ca="1">IFERROR(__xludf.DUMMYFUNCTION("""COMPUTED_VALUE"""),"M")</f>
        <v>M</v>
      </c>
      <c r="BA197" s="27" t="str">
        <f ca="1">IFERROR(__xludf.DUMMYFUNCTION("""COMPUTED_VALUE"""),"Preta")</f>
        <v>Preta</v>
      </c>
      <c r="BB197" s="27"/>
      <c r="BC197" s="27"/>
      <c r="BD197" s="27" t="str">
        <f ca="1">IFERROR(__xludf.DUMMYFUNCTION("""COMPUTED_VALUE"""),"Luzinete Conceição dos Santos* 44 anos* nascida e criada no Alto do Rosarinho* Cachoeira- Ba* formada em magistério pelo Colégio Estadual da Cachoeira* está atualmente como vice presidenta do Centro Comunitário do Rosarinho* organização criada por morador"&amp;"es* para a valorização e potencialização do bairro* bem como o seu desenvolvimento comunitário.
Como liderança no Cecor* tem coordenado e atuado nas principais atividades realizadas* como o Sopão comunitário* as ações para enfretamento da pandemia do Cor"&amp;"onavírus* o Cineclubinho para crianças* o projeto para Horta Comunitária* o Molho Orgânico Cecor* dentre outros. Tem idealizado projetos comunitários que pautam a questão de gênero* a educação e o empreendedorismo")</f>
        <v>Luzinete Conceição dos Santos* 44 anos* nascida e criada no Alto do Rosarinho* Cachoeira- Ba* formada em magistério pelo Colégio Estadual da Cachoeira* está atualmente como vice presidenta do Centro Comunitário do Rosarinho* organização criada por moradores* para a valorização e potencialização do bairro* bem como o seu desenvolvimento comunitário.
Como liderança no Cecor* tem coordenado e atuado nas principais atividades realizadas* como o Sopão comunitário* as ações para enfretamento da pandemia do Coronavírus* o Cineclubinho para crianças* o projeto para Horta Comunitária* o Molho Orgânico Cecor* dentre outros. Tem idealizado projetos comunitários que pautam a questão de gênero* a educação e o empreendedorismo</v>
      </c>
      <c r="BE197" s="27" t="str">
        <f ca="1">IFERROR(__xludf.DUMMYFUNCTION("""COMPUTED_VALUE"""),"Feminino")</f>
        <v>Feminino</v>
      </c>
      <c r="BF197" s="27" t="str">
        <f ca="1">IFERROR(__xludf.DUMMYFUNCTION("""COMPUTED_VALUE"""),"Prefiro não responder")</f>
        <v>Prefiro não responder</v>
      </c>
      <c r="BG197" s="27"/>
      <c r="BH197" s="27" t="str">
        <f ca="1">IFERROR(__xludf.DUMMYFUNCTION("""COMPUTED_VALUE"""),"Público")</f>
        <v>Público</v>
      </c>
      <c r="BI197" s="27"/>
      <c r="BJ197" s="27"/>
      <c r="BK197" s="27" t="str">
        <f ca="1">IFERROR(__xludf.DUMMYFUNCTION("""COMPUTED_VALUE"""),"Rua Tia Ciata")</f>
        <v>Rua Tia Ciata</v>
      </c>
      <c r="BL197" s="27">
        <f ca="1">IFERROR(__xludf.DUMMYFUNCTION("""COMPUTED_VALUE"""),22)</f>
        <v>22</v>
      </c>
      <c r="BM197" s="27"/>
      <c r="BN197" s="27"/>
      <c r="BO197" s="27">
        <f ca="1">IFERROR(__xludf.DUMMYFUNCTION("""COMPUTED_VALUE"""),44300000)</f>
        <v>44300000</v>
      </c>
      <c r="BP197" s="27" t="str">
        <f ca="1">IFERROR(__xludf.DUMMYFUNCTION("""COMPUTED_VALUE"""),"BA")</f>
        <v>BA</v>
      </c>
      <c r="BQ197" s="27" t="str">
        <f ca="1">IFERROR(__xludf.DUMMYFUNCTION("""COMPUTED_VALUE"""),"Entre 1 até 3 salários mínimos")</f>
        <v>Entre 1 até 3 salários mínimos</v>
      </c>
      <c r="BR197" s="27" t="str">
        <f ca="1">IFERROR(__xludf.DUMMYFUNCTION("""COMPUTED_VALUE"""),"Trabalho informal")</f>
        <v>Trabalho informal</v>
      </c>
      <c r="BS197" s="27" t="str">
        <f ca="1">IFERROR(__xludf.DUMMYFUNCTION("""COMPUTED_VALUE"""),"Casa própria")</f>
        <v>Casa própria</v>
      </c>
      <c r="BT197" s="27">
        <f ca="1">IFERROR(__xludf.DUMMYFUNCTION("""COMPUTED_VALUE"""),1)</f>
        <v>1</v>
      </c>
      <c r="BU197" s="27" t="str">
        <f ca="1">IFERROR(__xludf.DUMMYFUNCTION("""COMPUTED_VALUE"""),"Não tem")</f>
        <v>Não tem</v>
      </c>
      <c r="BV197" s="27" t="str">
        <f ca="1">IFERROR(__xludf.DUMMYFUNCTION("""COMPUTED_VALUE"""),"Não")</f>
        <v>Não</v>
      </c>
      <c r="BW197" s="27"/>
      <c r="BX197" s="21" t="str">
        <f ca="1">IFERROR(__xludf.DUMMYFUNCTION("""COMPUTED_VALUE"""),"https://www.instagram.com/netysantosoficial/")</f>
        <v>https://www.instagram.com/netysantosoficial/</v>
      </c>
      <c r="BY197" s="21" t="str">
        <f ca="1">IFERROR(__xludf.DUMMYFUNCTION("""COMPUTED_VALUE"""),"https://drive.google.com/open?id=1xbChjiXENRjFS25V3LN4VmYDjHQSrQ1y")</f>
        <v>https://drive.google.com/open?id=1xbChjiXENRjFS25V3LN4VmYDjHQSrQ1y</v>
      </c>
    </row>
    <row r="198" spans="1:77" ht="12.5" x14ac:dyDescent="0.25">
      <c r="A198" s="21" t="str">
        <f ca="1">IFERROR(__xludf.DUMMYFUNCTION("""COMPUTED_VALUE"""),"0014P00003YSp88QAD")</f>
        <v>0014P00003YSp88QAD</v>
      </c>
      <c r="B198" s="27" t="str">
        <f ca="1">IFERROR(__xludf.DUMMYFUNCTION("""COMPUTED_VALUE"""),"Fase Inicial")</f>
        <v>Fase Inicial</v>
      </c>
      <c r="C198" s="27" t="str">
        <f ca="1">IFERROR(__xludf.DUMMYFUNCTION("""COMPUTED_VALUE"""),"Fellow")</f>
        <v>Fellow</v>
      </c>
      <c r="D198" s="27" t="str">
        <f ca="1">IFERROR(__xludf.DUMMYFUNCTION("""COMPUTED_VALUE"""),"Afastado")</f>
        <v>Afastado</v>
      </c>
      <c r="E198" s="27" t="str">
        <f ca="1">IFERROR(__xludf.DUMMYFUNCTION("""COMPUTED_VALUE"""),"Centro Comunitário Manoel Vitorino")</f>
        <v>Centro Comunitário Manoel Vitorino</v>
      </c>
      <c r="F198" s="27" t="str">
        <f ca="1">IFERROR(__xludf.DUMMYFUNCTION("""COMPUTED_VALUE"""),"Evandro")</f>
        <v>Evandro</v>
      </c>
      <c r="G198" s="27"/>
      <c r="H198" s="27">
        <f ca="1">IFERROR(__xludf.DUMMYFUNCTION("""COMPUTED_VALUE"""),40442048000174)</f>
        <v>40442048000174</v>
      </c>
      <c r="I198" s="27" t="str">
        <f ca="1">IFERROR(__xludf.DUMMYFUNCTION("""COMPUTED_VALUE"""),"Evandro divino Machado")</f>
        <v>Evandro divino Machado</v>
      </c>
      <c r="J198" s="27" t="str">
        <f ca="1">IFERROR(__xludf.DUMMYFUNCTION("""COMPUTED_VALUE"""),"contato@fazendoarte.org.br")</f>
        <v>contato@fazendoarte.org.br</v>
      </c>
      <c r="K198" s="27" t="str">
        <f ca="1">IFERROR(__xludf.DUMMYFUNCTION("""COMPUTED_VALUE"""),"(21)99179-9074")</f>
        <v>(21)99179-9074</v>
      </c>
      <c r="L198" s="27" t="str">
        <f ca="1">IFERROR(__xludf.DUMMYFUNCTION("""COMPUTED_VALUE"""),"RJ")</f>
        <v>RJ</v>
      </c>
      <c r="M198" s="27" t="str">
        <f ca="1">IFERROR(__xludf.DUMMYFUNCTION("""COMPUTED_VALUE"""),"rua Aureliano Portugal")</f>
        <v>rua Aureliano Portugal</v>
      </c>
      <c r="N198" s="27" t="str">
        <f ca="1">IFERROR(__xludf.DUMMYFUNCTION("""COMPUTED_VALUE"""),"Rio Comprido")</f>
        <v>Rio Comprido</v>
      </c>
      <c r="O198" s="27">
        <f ca="1">IFERROR(__xludf.DUMMYFUNCTION("""COMPUTED_VALUE"""),220)</f>
        <v>220</v>
      </c>
      <c r="P198" s="27" t="str">
        <f ca="1">IFERROR(__xludf.DUMMYFUNCTION("""COMPUTED_VALUE"""),"Rio de Janeiro")</f>
        <v>Rio de Janeiro</v>
      </c>
      <c r="Q198" s="27" t="str">
        <f ca="1">IFERROR(__xludf.DUMMYFUNCTION("""COMPUTED_VALUE"""),"fundos")</f>
        <v>fundos</v>
      </c>
      <c r="R198" s="27">
        <f ca="1">IFERROR(__xludf.DUMMYFUNCTION("""COMPUTED_VALUE"""),20261004)</f>
        <v>20261004</v>
      </c>
      <c r="S198" s="27"/>
      <c r="T198" s="27"/>
      <c r="U198" s="27"/>
      <c r="V198" s="27"/>
      <c r="W198" s="27">
        <f ca="1">IFERROR(__xludf.DUMMYFUNCTION("""COMPUTED_VALUE"""),5)</f>
        <v>5</v>
      </c>
      <c r="X198" s="27" t="str">
        <f ca="1">IFERROR(__xludf.DUMMYFUNCTION("""COMPUTED_VALUE"""),"Atendemos também pessoas de outros lugares devido as oficinas de empoderamento feminino tal como oficina de trança alto maquiagem designer de sobrancelha")</f>
        <v>Atendemos também pessoas de outros lugares devido as oficinas de empoderamento feminino tal como oficina de trança alto maquiagem designer de sobrancelha</v>
      </c>
      <c r="Y198" s="27"/>
      <c r="Z198" s="27">
        <f ca="1">IFERROR(__xludf.DUMMYFUNCTION("""COMPUTED_VALUE"""),100)</f>
        <v>100</v>
      </c>
      <c r="AA198" s="29">
        <f ca="1">IFERROR(__xludf.DUMMYFUNCTION("""COMPUTED_VALUE"""),33738)</f>
        <v>33738</v>
      </c>
      <c r="AB198" s="27" t="str">
        <f ca="1">IFERROR(__xludf.DUMMYFUNCTION("""COMPUTED_VALUE"""),"Sim")</f>
        <v>Sim</v>
      </c>
      <c r="AC198" s="27">
        <f ca="1">IFERROR(__xludf.DUMMYFUNCTION("""COMPUTED_VALUE"""),0)</f>
        <v>0</v>
      </c>
      <c r="AD198" s="27"/>
      <c r="AE198" s="27">
        <f ca="1">IFERROR(__xludf.DUMMYFUNCTION("""COMPUTED_VALUE"""),10)</f>
        <v>10</v>
      </c>
      <c r="AF198" s="27"/>
      <c r="AG198" s="27">
        <f ca="1">IFERROR(__xludf.DUMMYFUNCTION("""COMPUTED_VALUE"""),2)</f>
        <v>2</v>
      </c>
      <c r="AH198" s="27"/>
      <c r="AI198" s="27"/>
      <c r="AJ198" s="27"/>
      <c r="AK198" s="27"/>
      <c r="AL198" s="21" t="str">
        <f ca="1">IFERROR(__xludf.DUMMYFUNCTION("""COMPUTED_VALUE"""),"0034P000045kxij")</f>
        <v>0034P000045kxij</v>
      </c>
      <c r="AM198" s="27" t="str">
        <f ca="1">IFERROR(__xludf.DUMMYFUNCTION("""COMPUTED_VALUE"""),"Evandro Divino machado")</f>
        <v>Evandro Divino machado</v>
      </c>
      <c r="AN198" s="27" t="str">
        <f ca="1">IFERROR(__xludf.DUMMYFUNCTION("""COMPUTED_VALUE"""),"Afastado")</f>
        <v>Afastado</v>
      </c>
      <c r="AO198" s="30">
        <f ca="1">IFERROR(__xludf.DUMMYFUNCTION("""COMPUTED_VALUE"""),44551)</f>
        <v>44551</v>
      </c>
      <c r="AP198" s="27">
        <f ca="1">IFERROR(__xludf.DUMMYFUNCTION("""COMPUTED_VALUE"""),9)</f>
        <v>9</v>
      </c>
      <c r="AQ198" s="27" t="str">
        <f ca="1">IFERROR(__xludf.DUMMYFUNCTION("""COMPUTED_VALUE"""),"Segundo Semestre 2021")</f>
        <v>Segundo Semestre 2021</v>
      </c>
      <c r="AR198" s="27" t="str">
        <f ca="1">IFERROR(__xludf.DUMMYFUNCTION("""COMPUTED_VALUE"""),"evandromachadoator@gmail.com")</f>
        <v>evandromachadoator@gmail.com</v>
      </c>
      <c r="AS198" s="27" t="str">
        <f ca="1">IFERROR(__xludf.DUMMYFUNCTION("""COMPUTED_VALUE"""),"(21)99179-9074")</f>
        <v>(21)99179-9074</v>
      </c>
      <c r="AT198" s="29">
        <f ca="1">IFERROR(__xludf.DUMMYFUNCTION("""COMPUTED_VALUE"""),28826)</f>
        <v>28826</v>
      </c>
      <c r="AU198" s="27">
        <f ca="1">IFERROR(__xludf.DUMMYFUNCTION("""COMPUTED_VALUE"""),44)</f>
        <v>44</v>
      </c>
      <c r="AV198" s="27">
        <f ca="1">IFERROR(__xludf.DUMMYFUNCTION("""COMPUTED_VALUE"""),2512937771)</f>
        <v>2512937771</v>
      </c>
      <c r="AW198" s="27">
        <f ca="1">IFERROR(__xludf.DUMMYFUNCTION("""COMPUTED_VALUE"""),115448615)</f>
        <v>115448615</v>
      </c>
      <c r="AX198" s="27"/>
      <c r="AY198" s="27"/>
      <c r="AZ198" s="27" t="str">
        <f ca="1">IFERROR(__xludf.DUMMYFUNCTION("""COMPUTED_VALUE"""),"M")</f>
        <v>M</v>
      </c>
      <c r="BA198" s="27" t="str">
        <f ca="1">IFERROR(__xludf.DUMMYFUNCTION("""COMPUTED_VALUE"""),"Parda")</f>
        <v>Parda</v>
      </c>
      <c r="BB198" s="27" t="str">
        <f ca="1">IFERROR(__xludf.DUMMYFUNCTION("""COMPUTED_VALUE"""),"Homem, cisgênero")</f>
        <v>Homem, cisgênero</v>
      </c>
      <c r="BC198" s="27" t="str">
        <f ca="1">IFERROR(__xludf.DUMMYFUNCTION("""COMPUTED_VALUE"""),"Sim")</f>
        <v>Sim</v>
      </c>
      <c r="BD198" s="27" t="str">
        <f ca="1">IFERROR(__xludf.DUMMYFUNCTION("""COMPUTED_VALUE"""),"Evandro Machado 44 anos ator nascido em Viçosa Minas Gerais veio para o morro do Turano aos 8 anos de idade na qual se tornou um ativista social e a tua coordenando o espaço cultural fazendo arte é fundador do projeto que atua mais de 15 anos na mesma com"&amp;"unidade.")</f>
        <v>Evandro Machado 44 anos ator nascido em Viçosa Minas Gerais veio para o morro do Turano aos 8 anos de idade na qual se tornou um ativista social e a tua coordenando o espaço cultural fazendo arte é fundador do projeto que atua mais de 15 anos na mesma comunidade.</v>
      </c>
      <c r="BE198" s="27"/>
      <c r="BF198" s="27" t="str">
        <f ca="1">IFERROR(__xludf.DUMMYFUNCTION("""COMPUTED_VALUE"""),"Heterossexual")</f>
        <v>Heterossexual</v>
      </c>
      <c r="BG198" s="27" t="str">
        <f ca="1">IFERROR(__xludf.DUMMYFUNCTION("""COMPUTED_VALUE"""),"Ensino Superior - Incompleto")</f>
        <v>Ensino Superior - Incompleto</v>
      </c>
      <c r="BH198" s="27" t="str">
        <f ca="1">IFERROR(__xludf.DUMMYFUNCTION("""COMPUTED_VALUE"""),"Público")</f>
        <v>Público</v>
      </c>
      <c r="BI198" s="27" t="str">
        <f ca="1">IFERROR(__xludf.DUMMYFUNCTION("""COMPUTED_VALUE"""),"Graduação")</f>
        <v>Graduação</v>
      </c>
      <c r="BJ198" s="27" t="str">
        <f ca="1">IFERROR(__xludf.DUMMYFUNCTION("""COMPUTED_VALUE"""),"Privado")</f>
        <v>Privado</v>
      </c>
      <c r="BK198" s="27" t="str">
        <f ca="1">IFERROR(__xludf.DUMMYFUNCTION("""COMPUTED_VALUE"""),"Aureliano Portugal")</f>
        <v>Aureliano Portugal</v>
      </c>
      <c r="BL198" s="27">
        <f ca="1">IFERROR(__xludf.DUMMYFUNCTION("""COMPUTED_VALUE"""),220)</f>
        <v>220</v>
      </c>
      <c r="BM198" s="27" t="str">
        <f ca="1">IFERROR(__xludf.DUMMYFUNCTION("""COMPUTED_VALUE"""),"Fundos")</f>
        <v>Fundos</v>
      </c>
      <c r="BN198" s="27" t="str">
        <f ca="1">IFERROR(__xludf.DUMMYFUNCTION("""COMPUTED_VALUE"""),"Rio de Janeiro")</f>
        <v>Rio de Janeiro</v>
      </c>
      <c r="BO198" s="27" t="str">
        <f ca="1">IFERROR(__xludf.DUMMYFUNCTION("""COMPUTED_VALUE"""),"20261-004")</f>
        <v>20261-004</v>
      </c>
      <c r="BP198" s="27" t="str">
        <f ca="1">IFERROR(__xludf.DUMMYFUNCTION("""COMPUTED_VALUE"""),"RJ")</f>
        <v>RJ</v>
      </c>
      <c r="BQ198" s="27" t="str">
        <f ca="1">IFERROR(__xludf.DUMMYFUNCTION("""COMPUTED_VALUE"""),"Entre 1 até 3 salários mínimos")</f>
        <v>Entre 1 até 3 salários mínimos</v>
      </c>
      <c r="BR198" s="27" t="str">
        <f ca="1">IFERROR(__xludf.DUMMYFUNCTION("""COMPUTED_VALUE"""),"MEI")</f>
        <v>MEI</v>
      </c>
      <c r="BS198" s="27" t="str">
        <f ca="1">IFERROR(__xludf.DUMMYFUNCTION("""COMPUTED_VALUE"""),"Casa própria")</f>
        <v>Casa própria</v>
      </c>
      <c r="BT198" s="27">
        <f ca="1">IFERROR(__xludf.DUMMYFUNCTION("""COMPUTED_VALUE"""),2)</f>
        <v>2</v>
      </c>
      <c r="BU198" s="27" t="str">
        <f ca="1">IFERROR(__xludf.DUMMYFUNCTION("""COMPUTED_VALUE"""),"Não tem")</f>
        <v>Não tem</v>
      </c>
      <c r="BV198" s="27"/>
      <c r="BW198" s="27" t="str">
        <f ca="1">IFERROR(__xludf.DUMMYFUNCTION("""COMPUTED_VALUE"""),"Evandro Machado")</f>
        <v>Evandro Machado</v>
      </c>
      <c r="BX198" s="27" t="str">
        <f ca="1">IFERROR(__xludf.DUMMYFUNCTION("""COMPUTED_VALUE"""),"@evandromachado")</f>
        <v>@evandromachado</v>
      </c>
      <c r="BY198" s="21" t="str">
        <f ca="1">IFERROR(__xludf.DUMMYFUNCTION("""COMPUTED_VALUE"""),"https://drive.google.com/open?id=19i9F9BL9KltGy5VJs45Yxgjfi3WvziZ5")</f>
        <v>https://drive.google.com/open?id=19i9F9BL9KltGy5VJs45Yxgjfi3WvziZ5</v>
      </c>
    </row>
    <row r="199" spans="1:77" ht="12.5" x14ac:dyDescent="0.25">
      <c r="A199" s="21" t="str">
        <f ca="1">IFERROR(__xludf.DUMMYFUNCTION("""COMPUTED_VALUE"""),"0014P00003YSp7yQAD")</f>
        <v>0014P00003YSp7yQAD</v>
      </c>
      <c r="B199" s="27" t="str">
        <f ca="1">IFERROR(__xludf.DUMMYFUNCTION("""COMPUTED_VALUE"""),"Fase Inicial")</f>
        <v>Fase Inicial</v>
      </c>
      <c r="C199" s="27" t="str">
        <f ca="1">IFERROR(__xludf.DUMMYFUNCTION("""COMPUTED_VALUE"""),"Fellow")</f>
        <v>Fellow</v>
      </c>
      <c r="D199" s="27" t="str">
        <f ca="1">IFERROR(__xludf.DUMMYFUNCTION("""COMPUTED_VALUE"""),"Ativo")</f>
        <v>Ativo</v>
      </c>
      <c r="E199" s="27" t="str">
        <f ca="1">IFERROR(__xludf.DUMMYFUNCTION("""COMPUTED_VALUE"""),"Centro comunitário Mário Andrade")</f>
        <v>Centro comunitário Mário Andrade</v>
      </c>
      <c r="F199" s="27" t="str">
        <f ca="1">IFERROR(__xludf.DUMMYFUNCTION("""COMPUTED_VALUE"""),"Joelma")</f>
        <v>Joelma</v>
      </c>
      <c r="G199" s="27"/>
      <c r="H199" s="27"/>
      <c r="I199" s="27" t="str">
        <f ca="1">IFERROR(__xludf.DUMMYFUNCTION("""COMPUTED_VALUE"""),"Joelma Andrade de Lima")</f>
        <v>Joelma Andrade de Lima</v>
      </c>
      <c r="J199" s="27" t="str">
        <f ca="1">IFERROR(__xludf.DUMMYFUNCTION("""COMPUTED_VALUE"""),"centrocomunitariomarioandrade@gmail.com")</f>
        <v>centrocomunitariomarioandrade@gmail.com</v>
      </c>
      <c r="K199" s="27" t="str">
        <f ca="1">IFERROR(__xludf.DUMMYFUNCTION("""COMPUTED_VALUE"""),"(81)98666-4650")</f>
        <v>(81)98666-4650</v>
      </c>
      <c r="L199" s="27" t="str">
        <f ca="1">IFERROR(__xludf.DUMMYFUNCTION("""COMPUTED_VALUE"""),"PE")</f>
        <v>PE</v>
      </c>
      <c r="M199" s="27" t="str">
        <f ca="1">IFERROR(__xludf.DUMMYFUNCTION("""COMPUTED_VALUE"""),"Rua professor José brasileiro vila Nova")</f>
        <v>Rua professor José brasileiro vila Nova</v>
      </c>
      <c r="N199" s="27" t="str">
        <f ca="1">IFERROR(__xludf.DUMMYFUNCTION("""COMPUTED_VALUE"""),"IBURA")</f>
        <v>IBURA</v>
      </c>
      <c r="O199" s="27">
        <f ca="1">IFERROR(__xludf.DUMMYFUNCTION("""COMPUTED_VALUE"""),112)</f>
        <v>112</v>
      </c>
      <c r="P199" s="27" t="str">
        <f ca="1">IFERROR(__xludf.DUMMYFUNCTION("""COMPUTED_VALUE"""),"Recife")</f>
        <v>Recife</v>
      </c>
      <c r="Q199" s="27" t="str">
        <f ca="1">IFERROR(__xludf.DUMMYFUNCTION("""COMPUTED_VALUE"""),"Casa")</f>
        <v>Casa</v>
      </c>
      <c r="R199" s="27" t="str">
        <f ca="1">IFERROR(__xludf.DUMMYFUNCTION("""COMPUTED_VALUE"""),"51220-230")</f>
        <v>51220-230</v>
      </c>
      <c r="S199" s="27"/>
      <c r="T199" s="27" t="str">
        <f ca="1">IFERROR(__xludf.DUMMYFUNCTION("""COMPUTED_VALUE"""),"Educação; Assistência Social; Empreendedorismo; Empoderamento Feminino; Defesa de Direitos; Comunicação; Desenvolvimento comunitário")</f>
        <v>Educação; Assistência Social; Empreendedorismo; Empoderamento Feminino; Defesa de Direitos; Comunicação; Desenvolvimento comunitário</v>
      </c>
      <c r="U199"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199" s="27" t="str">
        <f ca="1">IFERROR(__xludf.DUMMYFUNCTION("""COMPUTED_VALUE"""),"Moradores de Favelas; Pessoas em situação de rua; População LGBTQ+; Dependentes Químicos; Pessoas com Deficiência; Egressos sistema carcerário")</f>
        <v>Moradores de Favelas; Pessoas em situação de rua; População LGBTQ+; Dependentes Químicos; Pessoas com Deficiência; Egressos sistema carcerário</v>
      </c>
      <c r="W199" s="27">
        <f ca="1">IFERROR(__xludf.DUMMYFUNCTION("""COMPUTED_VALUE"""),0)</f>
        <v>0</v>
      </c>
      <c r="X199" s="27"/>
      <c r="Y199" s="27"/>
      <c r="Z199" s="27">
        <f ca="1">IFERROR(__xludf.DUMMYFUNCTION("""COMPUTED_VALUE"""),600)</f>
        <v>600</v>
      </c>
      <c r="AA199" s="29">
        <f ca="1">IFERROR(__xludf.DUMMYFUNCTION("""COMPUTED_VALUE"""),43354)</f>
        <v>43354</v>
      </c>
      <c r="AB199" s="27" t="str">
        <f ca="1">IFERROR(__xludf.DUMMYFUNCTION("""COMPUTED_VALUE"""),"Não")</f>
        <v>Não</v>
      </c>
      <c r="AC199" s="27">
        <f ca="1">IFERROR(__xludf.DUMMYFUNCTION("""COMPUTED_VALUE"""),0)</f>
        <v>0</v>
      </c>
      <c r="AD199" s="27">
        <f ca="1">IFERROR(__xludf.DUMMYFUNCTION("""COMPUTED_VALUE"""),4)</f>
        <v>4</v>
      </c>
      <c r="AE199" s="27">
        <f ca="1">IFERROR(__xludf.DUMMYFUNCTION("""COMPUTED_VALUE"""),3)</f>
        <v>3</v>
      </c>
      <c r="AF199" s="27">
        <f ca="1">IFERROR(__xludf.DUMMYFUNCTION("""COMPUTED_VALUE"""),0)</f>
        <v>0</v>
      </c>
      <c r="AG199" s="27">
        <f ca="1">IFERROR(__xludf.DUMMYFUNCTION("""COMPUTED_VALUE"""),2)</f>
        <v>2</v>
      </c>
      <c r="AH199" s="27" t="str">
        <f ca="1">IFERROR(__xludf.DUMMYFUNCTION("""COMPUTED_VALUE"""),"Doações")</f>
        <v>Doações</v>
      </c>
      <c r="AI199" s="27">
        <f ca="1">IFERROR(__xludf.DUMMYFUNCTION("""COMPUTED_VALUE"""),0)</f>
        <v>0</v>
      </c>
      <c r="AJ199" s="27"/>
      <c r="AK199" s="27"/>
      <c r="AL199" s="21" t="str">
        <f ca="1">IFERROR(__xludf.DUMMYFUNCTION("""COMPUTED_VALUE"""),"0034P000045kxiZ")</f>
        <v>0034P000045kxiZ</v>
      </c>
      <c r="AM199" s="27" t="str">
        <f ca="1">IFERROR(__xludf.DUMMYFUNCTION("""COMPUTED_VALUE"""),"Andrade De Lima")</f>
        <v>Andrade De Lima</v>
      </c>
      <c r="AN199" s="27" t="str">
        <f ca="1">IFERROR(__xludf.DUMMYFUNCTION("""COMPUTED_VALUE"""),"Ativo")</f>
        <v>Ativo</v>
      </c>
      <c r="AO199" s="30">
        <f ca="1">IFERROR(__xludf.DUMMYFUNCTION("""COMPUTED_VALUE"""),44551)</f>
        <v>44551</v>
      </c>
      <c r="AP199" s="27">
        <f ca="1">IFERROR(__xludf.DUMMYFUNCTION("""COMPUTED_VALUE"""),9)</f>
        <v>9</v>
      </c>
      <c r="AQ199" s="27" t="str">
        <f ca="1">IFERROR(__xludf.DUMMYFUNCTION("""COMPUTED_VALUE"""),"Segundo Semestre 2021")</f>
        <v>Segundo Semestre 2021</v>
      </c>
      <c r="AR199" s="27" t="str">
        <f ca="1">IFERROR(__xludf.DUMMYFUNCTION("""COMPUTED_VALUE"""),"joelmalima.andrade13@gmail.com")</f>
        <v>joelmalima.andrade13@gmail.com</v>
      </c>
      <c r="AS199" s="27" t="str">
        <f ca="1">IFERROR(__xludf.DUMMYFUNCTION("""COMPUTED_VALUE"""),"(81)98666-4650")</f>
        <v>(81)98666-4650</v>
      </c>
      <c r="AT199" s="29">
        <f ca="1">IFERROR(__xludf.DUMMYFUNCTION("""COMPUTED_VALUE"""),30115)</f>
        <v>30115</v>
      </c>
      <c r="AU199" s="27">
        <f ca="1">IFERROR(__xludf.DUMMYFUNCTION("""COMPUTED_VALUE"""),40)</f>
        <v>40</v>
      </c>
      <c r="AV199" s="27">
        <f ca="1">IFERROR(__xludf.DUMMYFUNCTION("""COMPUTED_VALUE"""),4707313469)</f>
        <v>4707313469</v>
      </c>
      <c r="AW199" s="27">
        <f ca="1">IFERROR(__xludf.DUMMYFUNCTION("""COMPUTED_VALUE"""),5873183)</f>
        <v>5873183</v>
      </c>
      <c r="AX199" s="27"/>
      <c r="AY199" s="27"/>
      <c r="AZ199" s="27" t="str">
        <f ca="1">IFERROR(__xludf.DUMMYFUNCTION("""COMPUTED_VALUE"""),"M")</f>
        <v>M</v>
      </c>
      <c r="BA199" s="27" t="str">
        <f ca="1">IFERROR(__xludf.DUMMYFUNCTION("""COMPUTED_VALUE"""),"Preta")</f>
        <v>Preta</v>
      </c>
      <c r="BB199" s="27" t="str">
        <f ca="1">IFERROR(__xludf.DUMMYFUNCTION("""COMPUTED_VALUE"""),"Mulher, cisgênero")</f>
        <v>Mulher, cisgênero</v>
      </c>
      <c r="BC199" s="27" t="str">
        <f ca="1">IFERROR(__xludf.DUMMYFUNCTION("""COMPUTED_VALUE"""),"Sim")</f>
        <v>Sim</v>
      </c>
      <c r="BD199" s="27" t="str">
        <f ca="1">IFERROR(__xludf.DUMMYFUNCTION("""COMPUTED_VALUE"""),"O centro comunitário Mário Andrade é em homenagem ao meu filho Mário Andrade que foi morto por um PM aqui em Recife , próximo onde moravamos,passei dois anos e meses até provar a inocência do meu filho,o EX PM foi expulso e levado a júri popular,onde o me"&amp;"smo foi condenado a 30 anos em regime fechado. Então no dia 6 de novembro de 2018, dia em que o ex PM foi condenado, decidir fazer a minha casa o centro comunitário Mário Andrade pra poder dar continuidade aos sonhos do meu filho e meus.")</f>
        <v>O centro comunitário Mário Andrade é em homenagem ao meu filho Mário Andrade que foi morto por um PM aqui em Recife , próximo onde moravamos,passei dois anos e meses até provar a inocência do meu filho,o EX PM foi expulso e levado a júri popular,onde o mesmo foi condenado a 30 anos em regime fechado. Então no dia 6 de novembro de 2018, dia em que o ex PM foi condenado, decidir fazer a minha casa o centro comunitário Mário Andrade pra poder dar continuidade aos sonhos do meu filho e meus.</v>
      </c>
      <c r="BE199" s="27"/>
      <c r="BF199" s="27" t="str">
        <f ca="1">IFERROR(__xludf.DUMMYFUNCTION("""COMPUTED_VALUE"""),"Heterossexual")</f>
        <v>Heterossexual</v>
      </c>
      <c r="BG199" s="27" t="str">
        <f ca="1">IFERROR(__xludf.DUMMYFUNCTION("""COMPUTED_VALUE"""),"Ensino Médio - Incompleto")</f>
        <v>Ensino Médio - Incompleto</v>
      </c>
      <c r="BH199" s="27" t="str">
        <f ca="1">IFERROR(__xludf.DUMMYFUNCTION("""COMPUTED_VALUE"""),"Pública")</f>
        <v>Pública</v>
      </c>
      <c r="BI199" s="27"/>
      <c r="BJ199" s="27" t="str">
        <f ca="1">IFERROR(__xludf.DUMMYFUNCTION("""COMPUTED_VALUE"""),"Público")</f>
        <v>Público</v>
      </c>
      <c r="BK199" s="27" t="str">
        <f ca="1">IFERROR(__xludf.DUMMYFUNCTION("""COMPUTED_VALUE"""),"Rua professor José brasileiro vila Nova")</f>
        <v>Rua professor José brasileiro vila Nova</v>
      </c>
      <c r="BL199" s="27">
        <f ca="1">IFERROR(__xludf.DUMMYFUNCTION("""COMPUTED_VALUE"""),112)</f>
        <v>112</v>
      </c>
      <c r="BM199" s="27" t="str">
        <f ca="1">IFERROR(__xludf.DUMMYFUNCTION("""COMPUTED_VALUE"""),"Casa")</f>
        <v>Casa</v>
      </c>
      <c r="BN199" s="27" t="str">
        <f ca="1">IFERROR(__xludf.DUMMYFUNCTION("""COMPUTED_VALUE"""),"Recife")</f>
        <v>Recife</v>
      </c>
      <c r="BO199" s="27" t="str">
        <f ca="1">IFERROR(__xludf.DUMMYFUNCTION("""COMPUTED_VALUE"""),"51220-230")</f>
        <v>51220-230</v>
      </c>
      <c r="BP199" s="27" t="str">
        <f ca="1">IFERROR(__xludf.DUMMYFUNCTION("""COMPUTED_VALUE"""),"PE")</f>
        <v>PE</v>
      </c>
      <c r="BQ199" s="27" t="str">
        <f ca="1">IFERROR(__xludf.DUMMYFUNCTION("""COMPUTED_VALUE"""),"Entre 1 até 3 salários mínimos")</f>
        <v>Entre 1 até 3 salários mínimos</v>
      </c>
      <c r="BR199" s="27" t="str">
        <f ca="1">IFERROR(__xludf.DUMMYFUNCTION("""COMPUTED_VALUE"""),"CLT")</f>
        <v>CLT</v>
      </c>
      <c r="BS199" s="27" t="str">
        <f ca="1">IFERROR(__xludf.DUMMYFUNCTION("""COMPUTED_VALUE"""),"Casa própria")</f>
        <v>Casa própria</v>
      </c>
      <c r="BT199" s="27">
        <f ca="1">IFERROR(__xludf.DUMMYFUNCTION("""COMPUTED_VALUE"""),6)</f>
        <v>6</v>
      </c>
      <c r="BU199" s="27" t="str">
        <f ca="1">IFERROR(__xludf.DUMMYFUNCTION("""COMPUTED_VALUE"""),"Não tem")</f>
        <v>Não tem</v>
      </c>
      <c r="BV199" s="27"/>
      <c r="BW199" s="27"/>
      <c r="BX199" s="21" t="str">
        <f ca="1">IFERROR(__xludf.DUMMYFUNCTION("""COMPUTED_VALUE"""),"https://instagram.com/centrocomunitariomario?utm_medium=copy_link")</f>
        <v>https://instagram.com/centrocomunitariomario?utm_medium=copy_link</v>
      </c>
      <c r="BY199" s="21" t="str">
        <f ca="1">IFERROR(__xludf.DUMMYFUNCTION("""COMPUTED_VALUE"""),"https://drive.google.com/open?id=19X1sPLlyVzh2E2IqH_daxOk0Rsz3rzLK")</f>
        <v>https://drive.google.com/open?id=19X1sPLlyVzh2E2IqH_daxOk0Rsz3rzLK</v>
      </c>
    </row>
    <row r="200" spans="1:77" ht="12.5" x14ac:dyDescent="0.25">
      <c r="A200" s="21" t="str">
        <f ca="1">IFERROR(__xludf.DUMMYFUNCTION("""COMPUTED_VALUE"""),"0014P00003SGWPZQA5")</f>
        <v>0014P00003SGWPZQA5</v>
      </c>
      <c r="B200" s="27" t="str">
        <f ca="1">IFERROR(__xludf.DUMMYFUNCTION("""COMPUTED_VALUE"""),"Fase Inicial")</f>
        <v>Fase Inicial</v>
      </c>
      <c r="C200" s="27" t="str">
        <f ca="1">IFERROR(__xludf.DUMMYFUNCTION("""COMPUTED_VALUE"""),"Fellow")</f>
        <v>Fellow</v>
      </c>
      <c r="D200" s="27" t="str">
        <f ca="1">IFERROR(__xludf.DUMMYFUNCTION("""COMPUTED_VALUE"""),"Ativo")</f>
        <v>Ativo</v>
      </c>
      <c r="E200" s="27" t="str">
        <f ca="1">IFERROR(__xludf.DUMMYFUNCTION("""COMPUTED_VALUE"""),"CENTRO CULTURAL DONA ANTÔNIA")</f>
        <v>CENTRO CULTURAL DONA ANTÔNIA</v>
      </c>
      <c r="F200" s="27" t="str">
        <f ca="1">IFERROR(__xludf.DUMMYFUNCTION("""COMPUTED_VALUE"""),"Sérgio")</f>
        <v>Sérgio</v>
      </c>
      <c r="G200" s="27" t="str">
        <f ca="1">IFERROR(__xludf.DUMMYFUNCTION("""COMPUTED_VALUE"""),"DONA ANTÔNIA")</f>
        <v>DONA ANTÔNIA</v>
      </c>
      <c r="H200" s="27" t="str">
        <f ca="1">IFERROR(__xludf.DUMMYFUNCTION("""COMPUTED_VALUE"""),"08.279.756/0001-23")</f>
        <v>08.279.756/0001-23</v>
      </c>
      <c r="I200" s="27" t="str">
        <f ca="1">IFERROR(__xludf.DUMMYFUNCTION("""COMPUTED_VALUE"""),"Pollyane Cristina Pereira Da Cruz")</f>
        <v>Pollyane Cristina Pereira Da Cruz</v>
      </c>
      <c r="J200" s="27" t="str">
        <f ca="1">IFERROR(__xludf.DUMMYFUNCTION("""COMPUTED_VALUE"""),"comunicacao@donaantonia.org.br")</f>
        <v>comunicacao@donaantonia.org.br</v>
      </c>
      <c r="K200" s="27" t="str">
        <f ca="1">IFERROR(__xludf.DUMMYFUNCTION("""COMPUTED_VALUE"""),"(31)97190-2536")</f>
        <v>(31)97190-2536</v>
      </c>
      <c r="L200" s="27" t="str">
        <f ca="1">IFERROR(__xludf.DUMMYFUNCTION("""COMPUTED_VALUE"""),"MG")</f>
        <v>MG</v>
      </c>
      <c r="M200" s="27" t="str">
        <f ca="1">IFERROR(__xludf.DUMMYFUNCTION("""COMPUTED_VALUE"""),"Maria de Lourdes")</f>
        <v>Maria de Lourdes</v>
      </c>
      <c r="N200" s="27" t="str">
        <f ca="1">IFERROR(__xludf.DUMMYFUNCTION("""COMPUTED_VALUE"""),"Novo Horizonte")</f>
        <v>Novo Horizonte</v>
      </c>
      <c r="O200" s="27" t="str">
        <f ca="1">IFERROR(__xludf.DUMMYFUNCTION("""COMPUTED_VALUE"""),"(31)97179-0255")</f>
        <v>(31)97179-0255</v>
      </c>
      <c r="P200" s="27" t="str">
        <f ca="1">IFERROR(__xludf.DUMMYFUNCTION("""COMPUTED_VALUE"""),"Betim")</f>
        <v>Betim</v>
      </c>
      <c r="Q200" s="27"/>
      <c r="R200" s="27" t="str">
        <f ca="1">IFERROR(__xludf.DUMMYFUNCTION("""COMPUTED_VALUE"""),"32606-114")</f>
        <v>32606-114</v>
      </c>
      <c r="S200" s="27"/>
      <c r="T200" s="27" t="str">
        <f ca="1">IFERROR(__xludf.DUMMYFUNCTION("""COMPUTED_VALUE"""),"Educação; Assistência Social; Cultura; Qualificação Profissional; Empreendedorismo; Empoderamento Feminino; Negócios Sociais; Apoio à gestão de organizações de Terceiro Setor; Defesa de Direitos")</f>
        <v>Educação; Assistência Social; Cultura; Qualificação Profissional; Empreendedorismo; Empoderamento Feminino; Negócios Sociais; Apoio à gestão de organizações de Terceiro Setor; Defesa de Direitos</v>
      </c>
      <c r="U200" s="27" t="str">
        <f ca="1">IFERROR(__xludf.DUMMYFUNCTION("""COMPUTED_VALUE"""),"Adolescentes (12 aos 18 anos); Jovens (18 aos 24 anos); Adultos; Idosos (60 anos ou mais)")</f>
        <v>Adolescentes (12 aos 18 anos); Jovens (18 aos 24 anos); Adultos; Idosos (60 anos ou mais)</v>
      </c>
      <c r="V200" s="27" t="str">
        <f ca="1">IFERROR(__xludf.DUMMYFUNCTION("""COMPUTED_VALUE"""),"Moradores de Favelas; Afrodescendentes; Outros")</f>
        <v>Moradores de Favelas; Afrodescendentes; Outros</v>
      </c>
      <c r="W200" s="27">
        <f ca="1">IFERROR(__xludf.DUMMYFUNCTION("""COMPUTED_VALUE"""),5)</f>
        <v>5</v>
      </c>
      <c r="X200" s="27"/>
      <c r="Y200" s="27">
        <f ca="1">IFERROR(__xludf.DUMMYFUNCTION("""COMPUTED_VALUE"""),64)</f>
        <v>64</v>
      </c>
      <c r="Z200" s="27">
        <f ca="1">IFERROR(__xludf.DUMMYFUNCTION("""COMPUTED_VALUE"""),300)</f>
        <v>300</v>
      </c>
      <c r="AA200" s="29">
        <f ca="1">IFERROR(__xludf.DUMMYFUNCTION("""COMPUTED_VALUE"""),38410)</f>
        <v>38410</v>
      </c>
      <c r="AB200" s="27" t="str">
        <f ca="1">IFERROR(__xludf.DUMMYFUNCTION("""COMPUTED_VALUE"""),"Sim")</f>
        <v>Sim</v>
      </c>
      <c r="AC200" s="27">
        <f ca="1">IFERROR(__xludf.DUMMYFUNCTION("""COMPUTED_VALUE"""),2)</f>
        <v>2</v>
      </c>
      <c r="AD200" s="27">
        <f ca="1">IFERROR(__xludf.DUMMYFUNCTION("""COMPUTED_VALUE"""),3)</f>
        <v>3</v>
      </c>
      <c r="AE200" s="27">
        <f ca="1">IFERROR(__xludf.DUMMYFUNCTION("""COMPUTED_VALUE"""),6)</f>
        <v>6</v>
      </c>
      <c r="AF200" s="27">
        <f ca="1">IFERROR(__xludf.DUMMYFUNCTION("""COMPUTED_VALUE"""),3)</f>
        <v>3</v>
      </c>
      <c r="AG200" s="27">
        <f ca="1">IFERROR(__xludf.DUMMYFUNCTION("""COMPUTED_VALUE"""),1)</f>
        <v>1</v>
      </c>
      <c r="AH200" s="27" t="str">
        <f ca="1">IFERROR(__xludf.DUMMYFUNCTION("""COMPUTED_VALUE"""),"Negócio Social; Eventos/Ações para captação; Lei Estadual da Cultura; Lei Municipal da Cultura")</f>
        <v>Negócio Social; Eventos/Ações para captação; Lei Estadual da Cultura; Lei Municipal da Cultura</v>
      </c>
      <c r="AI200" s="27" t="str">
        <f ca="1">IFERROR(__xludf.DUMMYFUNCTION("""COMPUTED_VALUE"""),"50% Negocio Social 50% Lei Municipal de Incentivo a Cultura")</f>
        <v>50% Negocio Social 50% Lei Municipal de Incentivo a Cultura</v>
      </c>
      <c r="AJ200" s="27" t="str">
        <f ca="1">IFERROR(__xludf.DUMMYFUNCTION("""COMPUTED_VALUE"""),"Não")</f>
        <v>Não</v>
      </c>
      <c r="AK200" s="27" t="str">
        <f ca="1">IFERROR(__xludf.DUMMYFUNCTION("""COMPUTED_VALUE"""),"Não")</f>
        <v>Não</v>
      </c>
      <c r="AL200" s="21" t="str">
        <f ca="1">IFERROR(__xludf.DUMMYFUNCTION("""COMPUTED_VALUE"""),"0034P000043fOng")</f>
        <v>0034P000043fOng</v>
      </c>
      <c r="AM200" s="27" t="str">
        <f ca="1">IFERROR(__xludf.DUMMYFUNCTION("""COMPUTED_VALUE"""),"André Martins")</f>
        <v>André Martins</v>
      </c>
      <c r="AN200" s="27" t="str">
        <f ca="1">IFERROR(__xludf.DUMMYFUNCTION("""COMPUTED_VALUE"""),"Ativo")</f>
        <v>Ativo</v>
      </c>
      <c r="AO200" s="29">
        <f ca="1">IFERROR(__xludf.DUMMYFUNCTION("""COMPUTED_VALUE"""),44432)</f>
        <v>44432</v>
      </c>
      <c r="AP200" s="27">
        <f ca="1">IFERROR(__xludf.DUMMYFUNCTION("""COMPUTED_VALUE"""),13)</f>
        <v>13</v>
      </c>
      <c r="AQ200" s="27" t="str">
        <f ca="1">IFERROR(__xludf.DUMMYFUNCTION("""COMPUTED_VALUE"""),"Primeiro Semestre 2021")</f>
        <v>Primeiro Semestre 2021</v>
      </c>
      <c r="AR200" s="27" t="str">
        <f ca="1">IFERROR(__xludf.DUMMYFUNCTION("""COMPUTED_VALUE"""),"sergiomartins@donaantonia.org.br")</f>
        <v>sergiomartins@donaantonia.org.br</v>
      </c>
      <c r="AS200" s="27" t="str">
        <f ca="1">IFERROR(__xludf.DUMMYFUNCTION("""COMPUTED_VALUE"""),"(31)97179-0255")</f>
        <v>(31)97179-0255</v>
      </c>
      <c r="AT200" s="29">
        <f ca="1">IFERROR(__xludf.DUMMYFUNCTION("""COMPUTED_VALUE"""),28498)</f>
        <v>28498</v>
      </c>
      <c r="AU200" s="27">
        <f ca="1">IFERROR(__xludf.DUMMYFUNCTION("""COMPUTED_VALUE"""),44)</f>
        <v>44</v>
      </c>
      <c r="AV200" s="27">
        <f ca="1">IFERROR(__xludf.DUMMYFUNCTION("""COMPUTED_VALUE"""),3956777697)</f>
        <v>3956777697</v>
      </c>
      <c r="AW200" s="27">
        <f ca="1">IFERROR(__xludf.DUMMYFUNCTION("""COMPUTED_VALUE"""),8700054)</f>
        <v>8700054</v>
      </c>
      <c r="AX200" s="27" t="str">
        <f ca="1">IFERROR(__xludf.DUMMYFUNCTION("""COMPUTED_VALUE"""),"Direito")</f>
        <v>Direito</v>
      </c>
      <c r="AY200" s="27"/>
      <c r="AZ200" s="27" t="str">
        <f ca="1">IFERROR(__xludf.DUMMYFUNCTION("""COMPUTED_VALUE"""),"M")</f>
        <v>M</v>
      </c>
      <c r="BA200" s="27" t="str">
        <f ca="1">IFERROR(__xludf.DUMMYFUNCTION("""COMPUTED_VALUE"""),"Parda")</f>
        <v>Parda</v>
      </c>
      <c r="BB200" s="27"/>
      <c r="BC200" s="27" t="str">
        <f ca="1">IFERROR(__xludf.DUMMYFUNCTION("""COMPUTED_VALUE"""),"Sim")</f>
        <v>Sim</v>
      </c>
      <c r="BD200" s="27" t="str">
        <f ca="1">IFERROR(__xludf.DUMMYFUNCTION("""COMPUTED_VALUE"""),"Musico, advogado, Co Fundador e CEO do Centro Cultural Dona Antônia. Pós graduando em Advocacia Pública, membro da Comissão de Promoção da Igualde Racial da OAB Betim, membro da Comissão do Terceiro Setor da OAB MG e Conselheiro de Direitos CMCDA Betim.")</f>
        <v>Musico, advogado, Co Fundador e CEO do Centro Cultural Dona Antônia. Pós graduando em Advocacia Pública, membro da Comissão de Promoção da Igualde Racial da OAB Betim, membro da Comissão do Terceiro Setor da OAB MG e Conselheiro de Direitos CMCDA Betim.</v>
      </c>
      <c r="BE200" s="27" t="str">
        <f ca="1">IFERROR(__xludf.DUMMYFUNCTION("""COMPUTED_VALUE"""),"Feminino")</f>
        <v>Feminino</v>
      </c>
      <c r="BF200" s="27" t="str">
        <f ca="1">IFERROR(__xludf.DUMMYFUNCTION("""COMPUTED_VALUE"""),"Heterossexual")</f>
        <v>Heterossexual</v>
      </c>
      <c r="BG200" s="27" t="str">
        <f ca="1">IFERROR(__xludf.DUMMYFUNCTION("""COMPUTED_VALUE"""),"Ensino Superior - Completo")</f>
        <v>Ensino Superior - Completo</v>
      </c>
      <c r="BH200" s="27"/>
      <c r="BI200" s="27" t="str">
        <f ca="1">IFERROR(__xludf.DUMMYFUNCTION("""COMPUTED_VALUE"""),"Pós-Graduação")</f>
        <v>Pós-Graduação</v>
      </c>
      <c r="BJ200" s="27" t="str">
        <f ca="1">IFERROR(__xludf.DUMMYFUNCTION("""COMPUTED_VALUE"""),"Privado")</f>
        <v>Privado</v>
      </c>
      <c r="BK200" s="27" t="str">
        <f ca="1">IFERROR(__xludf.DUMMYFUNCTION("""COMPUTED_VALUE"""),"Rua Serra Negra")</f>
        <v>Rua Serra Negra</v>
      </c>
      <c r="BL200" s="27">
        <f ca="1">IFERROR(__xludf.DUMMYFUNCTION("""COMPUTED_VALUE"""),56)</f>
        <v>56</v>
      </c>
      <c r="BM200" s="27" t="str">
        <f ca="1">IFERROR(__xludf.DUMMYFUNCTION("""COMPUTED_VALUE"""),"Casa")</f>
        <v>Casa</v>
      </c>
      <c r="BN200" s="27" t="str">
        <f ca="1">IFERROR(__xludf.DUMMYFUNCTION("""COMPUTED_VALUE"""),"Betim")</f>
        <v>Betim</v>
      </c>
      <c r="BO200" s="27" t="str">
        <f ca="1">IFERROR(__xludf.DUMMYFUNCTION("""COMPUTED_VALUE"""),"32616-296")</f>
        <v>32616-296</v>
      </c>
      <c r="BP200" s="27" t="str">
        <f ca="1">IFERROR(__xludf.DUMMYFUNCTION("""COMPUTED_VALUE"""),"MG")</f>
        <v>MG</v>
      </c>
      <c r="BQ200" s="27" t="str">
        <f ca="1">IFERROR(__xludf.DUMMYFUNCTION("""COMPUTED_VALUE"""),"Entre 1 até 3 salários mínimos")</f>
        <v>Entre 1 até 3 salários mínimos</v>
      </c>
      <c r="BR200" s="27" t="str">
        <f ca="1">IFERROR(__xludf.DUMMYFUNCTION("""COMPUTED_VALUE"""),"MEI")</f>
        <v>MEI</v>
      </c>
      <c r="BS200" s="27" t="str">
        <f ca="1">IFERROR(__xludf.DUMMYFUNCTION("""COMPUTED_VALUE"""),"Casa própria")</f>
        <v>Casa própria</v>
      </c>
      <c r="BT200" s="27">
        <f ca="1">IFERROR(__xludf.DUMMYFUNCTION("""COMPUTED_VALUE"""),3)</f>
        <v>3</v>
      </c>
      <c r="BU200" s="27"/>
      <c r="BV200" s="27"/>
      <c r="BW200" s="21" t="str">
        <f ca="1">IFERROR(__xludf.DUMMYFUNCTION("""COMPUTED_VALUE"""),"www.linkedin.com/in/sergiomartins-269018212")</f>
        <v>www.linkedin.com/in/sergiomartins-269018212</v>
      </c>
      <c r="BX200" s="27" t="str">
        <f ca="1">IFERROR(__xludf.DUMMYFUNCTION("""COMPUTED_VALUE"""),"@sergiomartinsccda")</f>
        <v>@sergiomartinsccda</v>
      </c>
      <c r="BY200" s="21" t="str">
        <f ca="1">IFERROR(__xludf.DUMMYFUNCTION("""COMPUTED_VALUE"""),"https://drive.google.com/open?id=1_DeuH8b_5YLJ0RegHqFyg1qrLNAygTBT")</f>
        <v>https://drive.google.com/open?id=1_DeuH8b_5YLJ0RegHqFyg1qrLNAygTBT</v>
      </c>
    </row>
    <row r="201" spans="1:77" ht="12.5" x14ac:dyDescent="0.25">
      <c r="A201" s="21" t="str">
        <f ca="1">IFERROR(__xludf.DUMMYFUNCTION("""COMPUTED_VALUE"""),"0014P00003YSp8YQAT")</f>
        <v>0014P00003YSp8YQAT</v>
      </c>
      <c r="B201" s="27" t="str">
        <f ca="1">IFERROR(__xludf.DUMMYFUNCTION("""COMPUTED_VALUE"""),"Fase Inicial")</f>
        <v>Fase Inicial</v>
      </c>
      <c r="C201" s="27" t="str">
        <f ca="1">IFERROR(__xludf.DUMMYFUNCTION("""COMPUTED_VALUE"""),"Fellow")</f>
        <v>Fellow</v>
      </c>
      <c r="D201" s="27" t="str">
        <f ca="1">IFERROR(__xludf.DUMMYFUNCTION("""COMPUTED_VALUE"""),"Ativo")</f>
        <v>Ativo</v>
      </c>
      <c r="E201" s="27" t="str">
        <f ca="1">IFERROR(__xludf.DUMMYFUNCTION("""COMPUTED_VALUE"""),"Centro Cultural Rita de Cassia")</f>
        <v>Centro Cultural Rita de Cassia</v>
      </c>
      <c r="F201" s="27" t="str">
        <f ca="1">IFERROR(__xludf.DUMMYFUNCTION("""COMPUTED_VALUE"""),"Ana")</f>
        <v>Ana</v>
      </c>
      <c r="G201" s="27" t="str">
        <f ca="1">IFERROR(__xludf.DUMMYFUNCTION("""COMPUTED_VALUE"""),"Educar +")</f>
        <v>Educar +</v>
      </c>
      <c r="H201" s="27" t="str">
        <f ca="1">IFERROR(__xludf.DUMMYFUNCTION("""COMPUTED_VALUE"""),"38.658.273/0001-09")</f>
        <v>38.658.273/0001-09</v>
      </c>
      <c r="I201" s="27" t="str">
        <f ca="1">IFERROR(__xludf.DUMMYFUNCTION("""COMPUTED_VALUE"""),"Ana Caroline dos Santos")</f>
        <v>Ana Caroline dos Santos</v>
      </c>
      <c r="J201" s="27" t="str">
        <f ca="1">IFERROR(__xludf.DUMMYFUNCTION("""COMPUTED_VALUE"""),"contato@educarmais.net")</f>
        <v>contato@educarmais.net</v>
      </c>
      <c r="K201" s="27" t="str">
        <f ca="1">IFERROR(__xludf.DUMMYFUNCTION("""COMPUTED_VALUE"""),"(21)99187-1988")</f>
        <v>(21)99187-1988</v>
      </c>
      <c r="L201" s="27" t="str">
        <f ca="1">IFERROR(__xludf.DUMMYFUNCTION("""COMPUTED_VALUE"""),"RJ")</f>
        <v>RJ</v>
      </c>
      <c r="M201" s="27" t="str">
        <f ca="1">IFERROR(__xludf.DUMMYFUNCTION("""COMPUTED_VALUE"""),"Rua Rita de Cassia")</f>
        <v>Rua Rita de Cassia</v>
      </c>
      <c r="N201" s="27" t="str">
        <f ca="1">IFERROR(__xludf.DUMMYFUNCTION("""COMPUTED_VALUE"""),"Anchieta")</f>
        <v>Anchieta</v>
      </c>
      <c r="O201" s="27">
        <f ca="1">IFERROR(__xludf.DUMMYFUNCTION("""COMPUTED_VALUE"""),47)</f>
        <v>47</v>
      </c>
      <c r="P201" s="27" t="str">
        <f ca="1">IFERROR(__xludf.DUMMYFUNCTION("""COMPUTED_VALUE"""),"Rio de Janeiro")</f>
        <v>Rio de Janeiro</v>
      </c>
      <c r="Q201" s="27"/>
      <c r="R201" s="27" t="str">
        <f ca="1">IFERROR(__xludf.DUMMYFUNCTION("""COMPUTED_VALUE"""),"21645-565")</f>
        <v>21645-565</v>
      </c>
      <c r="S201" s="27"/>
      <c r="T201" s="27" t="str">
        <f ca="1">IFERROR(__xludf.DUMMYFUNCTION("""COMPUTED_VALUE"""),"Educação; Empregabilidade; Cultura; Empoderamento Feminino; Assistência Psicológica; Desenvolvimento comunitário")</f>
        <v>Educação; Empregabilidade; Cultura; Empoderamento Feminino; Assistência Psicológica; Desenvolvimento comunitário</v>
      </c>
      <c r="U201" s="27" t="str">
        <f ca="1">IFERROR(__xludf.DUMMYFUNCTION("""COMPUTED_VALUE"""),"Crianças (6 a 12 anos); Adolescentes (12 aos 18 anos); Jovens (18 aos 24 anos)")</f>
        <v>Crianças (6 a 12 anos); Adolescentes (12 aos 18 anos); Jovens (18 aos 24 anos)</v>
      </c>
      <c r="V201" s="27" t="str">
        <f ca="1">IFERROR(__xludf.DUMMYFUNCTION("""COMPUTED_VALUE"""),"Moradores de Favelas; Afrodescendentes")</f>
        <v>Moradores de Favelas; Afrodescendentes</v>
      </c>
      <c r="W201" s="27">
        <f ca="1">IFERROR(__xludf.DUMMYFUNCTION("""COMPUTED_VALUE"""),3)</f>
        <v>3</v>
      </c>
      <c r="X201" s="27" t="str">
        <f ca="1">IFERROR(__xludf.DUMMYFUNCTION("""COMPUTED_VALUE"""),"As comunidades fazem parte de um mesmo complexo. Complexo do Chapadão em Anchieta.")</f>
        <v>As comunidades fazem parte de um mesmo complexo. Complexo do Chapadão em Anchieta.</v>
      </c>
      <c r="Y201" s="27"/>
      <c r="Z201" s="27">
        <f ca="1">IFERROR(__xludf.DUMMYFUNCTION("""COMPUTED_VALUE"""),5000)</f>
        <v>5000</v>
      </c>
      <c r="AA201" s="29">
        <f ca="1">IFERROR(__xludf.DUMMYFUNCTION("""COMPUTED_VALUE"""),44095)</f>
        <v>44095</v>
      </c>
      <c r="AB201" s="27" t="str">
        <f ca="1">IFERROR(__xludf.DUMMYFUNCTION("""COMPUTED_VALUE"""),"Sim")</f>
        <v>Sim</v>
      </c>
      <c r="AC201" s="27">
        <f ca="1">IFERROR(__xludf.DUMMYFUNCTION("""COMPUTED_VALUE"""),9)</f>
        <v>9</v>
      </c>
      <c r="AD201" s="27">
        <f ca="1">IFERROR(__xludf.DUMMYFUNCTION("""COMPUTED_VALUE"""),2)</f>
        <v>2</v>
      </c>
      <c r="AE201" s="27">
        <f ca="1">IFERROR(__xludf.DUMMYFUNCTION("""COMPUTED_VALUE"""),10)</f>
        <v>10</v>
      </c>
      <c r="AF201" s="27">
        <f ca="1">IFERROR(__xludf.DUMMYFUNCTION("""COMPUTED_VALUE"""),5)</f>
        <v>5</v>
      </c>
      <c r="AG201" s="27">
        <f ca="1">IFERROR(__xludf.DUMMYFUNCTION("""COMPUTED_VALUE"""),3)</f>
        <v>3</v>
      </c>
      <c r="AH201" s="27" t="str">
        <f ca="1">IFERROR(__xludf.DUMMYFUNCTION("""COMPUTED_VALUE"""),"Plataforma doação online - Pessoa Física; Editais; Doações")</f>
        <v>Plataforma doação online - Pessoa Física; Editais; Doações</v>
      </c>
      <c r="AI201" s="27">
        <f ca="1">IFERROR(__xludf.DUMMYFUNCTION("""COMPUTED_VALUE"""),0)</f>
        <v>0</v>
      </c>
      <c r="AJ201" s="27"/>
      <c r="AK201" s="27"/>
      <c r="AL201" s="21" t="str">
        <f ca="1">IFERROR(__xludf.DUMMYFUNCTION("""COMPUTED_VALUE"""),"0034P000045kxj9")</f>
        <v>0034P000045kxj9</v>
      </c>
      <c r="AM201" s="27" t="str">
        <f ca="1">IFERROR(__xludf.DUMMYFUNCTION("""COMPUTED_VALUE"""),"Caroline Dos Santos Ferraz")</f>
        <v>Caroline Dos Santos Ferraz</v>
      </c>
      <c r="AN201" s="27" t="str">
        <f ca="1">IFERROR(__xludf.DUMMYFUNCTION("""COMPUTED_VALUE"""),"Ativo")</f>
        <v>Ativo</v>
      </c>
      <c r="AO201" s="30">
        <f ca="1">IFERROR(__xludf.DUMMYFUNCTION("""COMPUTED_VALUE"""),44551)</f>
        <v>44551</v>
      </c>
      <c r="AP201" s="27">
        <f ca="1">IFERROR(__xludf.DUMMYFUNCTION("""COMPUTED_VALUE"""),9)</f>
        <v>9</v>
      </c>
      <c r="AQ201" s="27" t="str">
        <f ca="1">IFERROR(__xludf.DUMMYFUNCTION("""COMPUTED_VALUE"""),"Segundo Semestre 2021")</f>
        <v>Segundo Semestre 2021</v>
      </c>
      <c r="AR201" s="27" t="str">
        <f ca="1">IFERROR(__xludf.DUMMYFUNCTION("""COMPUTED_VALUE"""),"ana.caroline.empregos@gmail.com")</f>
        <v>ana.caroline.empregos@gmail.com</v>
      </c>
      <c r="AS201" s="27" t="str">
        <f ca="1">IFERROR(__xludf.DUMMYFUNCTION("""COMPUTED_VALUE"""),"(21)99187-1988")</f>
        <v>(21)99187-1988</v>
      </c>
      <c r="AT201" s="30">
        <f ca="1">IFERROR(__xludf.DUMMYFUNCTION("""COMPUTED_VALUE"""),35752)</f>
        <v>35752</v>
      </c>
      <c r="AU201" s="27">
        <f ca="1">IFERROR(__xludf.DUMMYFUNCTION("""COMPUTED_VALUE"""),25)</f>
        <v>25</v>
      </c>
      <c r="AV201" s="27">
        <f ca="1">IFERROR(__xludf.DUMMYFUNCTION("""COMPUTED_VALUE"""),16934086783)</f>
        <v>16934086783</v>
      </c>
      <c r="AW201" s="27">
        <f ca="1">IFERROR(__xludf.DUMMYFUNCTION("""COMPUTED_VALUE"""),2969828483)</f>
        <v>2969828483</v>
      </c>
      <c r="AX201" s="27"/>
      <c r="AY201" s="27"/>
      <c r="AZ201" s="27" t="str">
        <f ca="1">IFERROR(__xludf.DUMMYFUNCTION("""COMPUTED_VALUE"""),"G")</f>
        <v>G</v>
      </c>
      <c r="BA201" s="27" t="str">
        <f ca="1">IFERROR(__xludf.DUMMYFUNCTION("""COMPUTED_VALUE"""),"Parda")</f>
        <v>Parda</v>
      </c>
      <c r="BB201" s="27" t="str">
        <f ca="1">IFERROR(__xludf.DUMMYFUNCTION("""COMPUTED_VALUE"""),"Mulher, cisgênero")</f>
        <v>Mulher, cisgênero</v>
      </c>
      <c r="BC201" s="27" t="str">
        <f ca="1">IFERROR(__xludf.DUMMYFUNCTION("""COMPUTED_VALUE"""),"Sim")</f>
        <v>Sim</v>
      </c>
      <c r="BD201" s="27" t="str">
        <f ca="1">IFERROR(__xludf.DUMMYFUNCTION("""COMPUTED_VALUE"""),"Pedagoga formada pela Unicarioca, educadora social atuo há mais de cinco anos como gestora do Educar+, realizo a gestão de voluntariado e capacitações, lidero o planejamento e a execução das atividades educativas e culturais. Além da articulação em rede c"&amp;"om projetos locais para o fortalecimento e geração de impacto para a nossa região.")</f>
        <v>Pedagoga formada pela Unicarioca, educadora social atuo há mais de cinco anos como gestora do Educar+, realizo a gestão de voluntariado e capacitações, lidero o planejamento e a execução das atividades educativas e culturais. Além da articulação em rede com projetos locais para o fortalecimento e geração de impacto para a nossa região.</v>
      </c>
      <c r="BE201" s="27"/>
      <c r="BF201" s="27" t="str">
        <f ca="1">IFERROR(__xludf.DUMMYFUNCTION("""COMPUTED_VALUE"""),"Heterossexual")</f>
        <v>Heterossexual</v>
      </c>
      <c r="BG201" s="27" t="str">
        <f ca="1">IFERROR(__xludf.DUMMYFUNCTION("""COMPUTED_VALUE"""),"Ensino Superior - Completo")</f>
        <v>Ensino Superior - Completo</v>
      </c>
      <c r="BH201" s="27" t="str">
        <f ca="1">IFERROR(__xludf.DUMMYFUNCTION("""COMPUTED_VALUE"""),"Público")</f>
        <v>Público</v>
      </c>
      <c r="BI201" s="27" t="str">
        <f ca="1">IFERROR(__xludf.DUMMYFUNCTION("""COMPUTED_VALUE"""),"Graduação")</f>
        <v>Graduação</v>
      </c>
      <c r="BJ201" s="27" t="str">
        <f ca="1">IFERROR(__xludf.DUMMYFUNCTION("""COMPUTED_VALUE"""),"Privado")</f>
        <v>Privado</v>
      </c>
      <c r="BK201" s="27" t="str">
        <f ca="1">IFERROR(__xludf.DUMMYFUNCTION("""COMPUTED_VALUE"""),"Luis Reis")</f>
        <v>Luis Reis</v>
      </c>
      <c r="BL201" s="27">
        <f ca="1">IFERROR(__xludf.DUMMYFUNCTION("""COMPUTED_VALUE"""),46)</f>
        <v>46</v>
      </c>
      <c r="BM201" s="27"/>
      <c r="BN201" s="27" t="str">
        <f ca="1">IFERROR(__xludf.DUMMYFUNCTION("""COMPUTED_VALUE"""),"Rio de Janeiro")</f>
        <v>Rio de Janeiro</v>
      </c>
      <c r="BO201" s="27" t="str">
        <f ca="1">IFERROR(__xludf.DUMMYFUNCTION("""COMPUTED_VALUE"""),"21645-350")</f>
        <v>21645-350</v>
      </c>
      <c r="BP201" s="27" t="str">
        <f ca="1">IFERROR(__xludf.DUMMYFUNCTION("""COMPUTED_VALUE"""),"RJ")</f>
        <v>RJ</v>
      </c>
      <c r="BQ201" s="27" t="str">
        <f ca="1">IFERROR(__xludf.DUMMYFUNCTION("""COMPUTED_VALUE"""),"Entre 1 até 3 salários mínimos")</f>
        <v>Entre 1 até 3 salários mínimos</v>
      </c>
      <c r="BR201" s="27" t="str">
        <f ca="1">IFERROR(__xludf.DUMMYFUNCTION("""COMPUTED_VALUE"""),"MEI")</f>
        <v>MEI</v>
      </c>
      <c r="BS201" s="27" t="str">
        <f ca="1">IFERROR(__xludf.DUMMYFUNCTION("""COMPUTED_VALUE"""),"Casa própria")</f>
        <v>Casa própria</v>
      </c>
      <c r="BT201" s="27">
        <f ca="1">IFERROR(__xludf.DUMMYFUNCTION("""COMPUTED_VALUE"""),1)</f>
        <v>1</v>
      </c>
      <c r="BU201" s="27" t="str">
        <f ca="1">IFERROR(__xludf.DUMMYFUNCTION("""COMPUTED_VALUE"""),"Não tem")</f>
        <v>Não tem</v>
      </c>
      <c r="BV201" s="27"/>
      <c r="BW201" s="21" t="str">
        <f ca="1">IFERROR(__xludf.DUMMYFUNCTION("""COMPUTED_VALUE"""),"https://www.linkedin.com/in/carol-santos-734382132/")</f>
        <v>https://www.linkedin.com/in/carol-santos-734382132/</v>
      </c>
      <c r="BX201" s="21" t="str">
        <f ca="1">IFERROR(__xludf.DUMMYFUNCTION("""COMPUTED_VALUE"""),"https://www.instagram.com/carols2antos/")</f>
        <v>https://www.instagram.com/carols2antos/</v>
      </c>
      <c r="BY201" s="21" t="str">
        <f ca="1">IFERROR(__xludf.DUMMYFUNCTION("""COMPUTED_VALUE"""),"https://drive.google.com/open?id=1j8cxmOqbvNfenrC8kGyhg1jUDiIJkIMQ")</f>
        <v>https://drive.google.com/open?id=1j8cxmOqbvNfenrC8kGyhg1jUDiIJkIMQ</v>
      </c>
    </row>
    <row r="202" spans="1:77" ht="12.5" hidden="1" x14ac:dyDescent="0.25">
      <c r="A202" s="21" t="str">
        <f ca="1">IFERROR(__xludf.DUMMYFUNCTION("""COMPUTED_VALUE"""),"0014X00002VKCqCQAX")</f>
        <v>0014X00002VKCqCQAX</v>
      </c>
      <c r="B202" s="27" t="str">
        <f ca="1">IFERROR(__xludf.DUMMYFUNCTION("""COMPUTED_VALUE"""),"Fase Inicial")</f>
        <v>Fase Inicial</v>
      </c>
      <c r="C202" s="27" t="str">
        <f ca="1">IFERROR(__xludf.DUMMYFUNCTION("""COMPUTED_VALUE"""),"Fellow")</f>
        <v>Fellow</v>
      </c>
      <c r="D202" s="27" t="str">
        <f ca="1">IFERROR(__xludf.DUMMYFUNCTION("""COMPUTED_VALUE"""),"Ativo")</f>
        <v>Ativo</v>
      </c>
      <c r="E202" s="27" t="str">
        <f ca="1">IFERROR(__xludf.DUMMYFUNCTION("""COMPUTED_VALUE"""),"Centro de Apoio Pedagógico EducAÇÃO")</f>
        <v>Centro de Apoio Pedagógico EducAÇÃO</v>
      </c>
      <c r="F202" s="27" t="str">
        <f ca="1">IFERROR(__xludf.DUMMYFUNCTION("""COMPUTED_VALUE"""),"Luana")</f>
        <v>Luana</v>
      </c>
      <c r="G202" s="27" t="str">
        <f ca="1">IFERROR(__xludf.DUMMYFUNCTION("""COMPUTED_VALUE"""),"CENTRO DE APOIO PEDAGÓGICO EDUCAÇÃO")</f>
        <v>CENTRO DE APOIO PEDAGÓGICO EDUCAÇÃO</v>
      </c>
      <c r="H202" s="27" t="str">
        <f ca="1">IFERROR(__xludf.DUMMYFUNCTION("""COMPUTED_VALUE"""),"31.282.408/0001-27")</f>
        <v>31.282.408/0001-27</v>
      </c>
      <c r="I202" s="27" t="str">
        <f ca="1">IFERROR(__xludf.DUMMYFUNCTION("""COMPUTED_VALUE"""),"Luana Mayara Diniz Pereira")</f>
        <v>Luana Mayara Diniz Pereira</v>
      </c>
      <c r="J202" s="27" t="str">
        <f ca="1">IFERROR(__xludf.DUMMYFUNCTION("""COMPUTED_VALUE"""),"capeducacao8@gmail.com")</f>
        <v>capeducacao8@gmail.com</v>
      </c>
      <c r="K202" s="27" t="str">
        <f ca="1">IFERROR(__xludf.DUMMYFUNCTION("""COMPUTED_VALUE"""),"(98)98781-4943")</f>
        <v>(98)98781-4943</v>
      </c>
      <c r="L202" s="27" t="str">
        <f ca="1">IFERROR(__xludf.DUMMYFUNCTION("""COMPUTED_VALUE"""),"MA")</f>
        <v>MA</v>
      </c>
      <c r="M202" s="27" t="str">
        <f ca="1">IFERROR(__xludf.DUMMYFUNCTION("""COMPUTED_VALUE"""),"Rua Negro Cosme")</f>
        <v>Rua Negro Cosme</v>
      </c>
      <c r="N202" s="27" t="str">
        <f ca="1">IFERROR(__xludf.DUMMYFUNCTION("""COMPUTED_VALUE"""),"Maria Firmina 2")</f>
        <v>Maria Firmina 2</v>
      </c>
      <c r="O202" s="27">
        <f ca="1">IFERROR(__xludf.DUMMYFUNCTION("""COMPUTED_VALUE"""),7)</f>
        <v>7</v>
      </c>
      <c r="P202" s="27" t="str">
        <f ca="1">IFERROR(__xludf.DUMMYFUNCTION("""COMPUTED_VALUE"""),"Paço do Lumiar")</f>
        <v>Paço do Lumiar</v>
      </c>
      <c r="Q202" s="27" t="str">
        <f ca="1">IFERROR(__xludf.DUMMYFUNCTION("""COMPUTED_VALUE"""),"Quadra 17")</f>
        <v>Quadra 17</v>
      </c>
      <c r="R202" s="27" t="str">
        <f ca="1">IFERROR(__xludf.DUMMYFUNCTION("""COMPUTED_VALUE"""),"65130-000")</f>
        <v>65130-000</v>
      </c>
      <c r="S202" s="27" t="str">
        <f ca="1">IFERROR(__xludf.DUMMYFUNCTION("""COMPUTED_VALUE"""),"Integralmente na ONG")</f>
        <v>Integralmente na ONG</v>
      </c>
      <c r="T202" s="27"/>
      <c r="U202" s="27" t="str">
        <f ca="1">IFERROR(__xludf.DUMMYFUNCTION("""COMPUTED_VALUE"""),"Crianças pequenas (4 anos a 5 anos e 11 meses), Crianças (6 a 12 anos), Adolescentes (12 aos 18 anos)")</f>
        <v>Crianças pequenas (4 anos a 5 anos e 11 meses), Crianças (6 a 12 anos), Adolescentes (12 aos 18 anos)</v>
      </c>
      <c r="V202" s="27" t="str">
        <f ca="1">IFERROR(__xludf.DUMMYFUNCTION("""COMPUTED_VALUE"""),"Moradores de Favelas, Afrodescendentes, Pessoas com Deficiência, Outros")</f>
        <v>Moradores de Favelas, Afrodescendentes, Pessoas com Deficiência, Outros</v>
      </c>
      <c r="W202" s="27">
        <f ca="1">IFERROR(__xludf.DUMMYFUNCTION("""COMPUTED_VALUE"""),9)</f>
        <v>9</v>
      </c>
      <c r="X202" s="27"/>
      <c r="Y202" s="27"/>
      <c r="Z202" s="27">
        <f ca="1">IFERROR(__xludf.DUMMYFUNCTION("""COMPUTED_VALUE"""),100)</f>
        <v>100</v>
      </c>
      <c r="AA202" s="29">
        <f ca="1">IFERROR(__xludf.DUMMYFUNCTION("""COMPUTED_VALUE"""),43478)</f>
        <v>43478</v>
      </c>
      <c r="AB202" s="27" t="str">
        <f ca="1">IFERROR(__xludf.DUMMYFUNCTION("""COMPUTED_VALUE"""),"Não")</f>
        <v>Não</v>
      </c>
      <c r="AC202" s="27">
        <f ca="1">IFERROR(__xludf.DUMMYFUNCTION("""COMPUTED_VALUE"""),0)</f>
        <v>0</v>
      </c>
      <c r="AD202" s="27">
        <f ca="1">IFERROR(__xludf.DUMMYFUNCTION("""COMPUTED_VALUE"""),0)</f>
        <v>0</v>
      </c>
      <c r="AE202" s="27">
        <f ca="1">IFERROR(__xludf.DUMMYFUNCTION("""COMPUTED_VALUE"""),1)</f>
        <v>1</v>
      </c>
      <c r="AF202" s="27">
        <f ca="1">IFERROR(__xludf.DUMMYFUNCTION("""COMPUTED_VALUE"""),0)</f>
        <v>0</v>
      </c>
      <c r="AG202" s="27">
        <f ca="1">IFERROR(__xludf.DUMMYFUNCTION("""COMPUTED_VALUE"""),3)</f>
        <v>3</v>
      </c>
      <c r="AH202" s="27" t="str">
        <f ca="1">IFERROR(__xludf.DUMMYFUNCTION("""COMPUTED_VALUE"""),"Negócio Social, Parceria iniciativa privada, Recursos próprios")</f>
        <v>Negócio Social, Parceria iniciativa privada, Recursos próprios</v>
      </c>
      <c r="AI202" s="27">
        <f ca="1">IFERROR(__xludf.DUMMYFUNCTION("""COMPUTED_VALUE"""),0)</f>
        <v>0</v>
      </c>
      <c r="AJ202" s="27" t="str">
        <f ca="1">IFERROR(__xludf.DUMMYFUNCTION("""COMPUTED_VALUE"""),"Vamos iniciar esse ano")</f>
        <v>Vamos iniciar esse ano</v>
      </c>
      <c r="AK202" s="27"/>
      <c r="AL202" s="21" t="str">
        <f ca="1">IFERROR(__xludf.DUMMYFUNCTION("""COMPUTED_VALUE"""),"0034X0000380O3P")</f>
        <v>0034X0000380O3P</v>
      </c>
      <c r="AM202" s="27" t="str">
        <f ca="1">IFERROR(__xludf.DUMMYFUNCTION("""COMPUTED_VALUE"""),"Mayara diniz pereira")</f>
        <v>Mayara diniz pereira</v>
      </c>
      <c r="AN202" s="27" t="str">
        <f ca="1">IFERROR(__xludf.DUMMYFUNCTION("""COMPUTED_VALUE"""),"Ativo")</f>
        <v>Ativo</v>
      </c>
      <c r="AO202" s="29">
        <f ca="1">IFERROR(__xludf.DUMMYFUNCTION("""COMPUTED_VALUE"""),44763)</f>
        <v>44763</v>
      </c>
      <c r="AP202" s="27">
        <f ca="1">IFERROR(__xludf.DUMMYFUNCTION("""COMPUTED_VALUE"""),2)</f>
        <v>2</v>
      </c>
      <c r="AQ202" s="27" t="str">
        <f ca="1">IFERROR(__xludf.DUMMYFUNCTION("""COMPUTED_VALUE"""),"Primeiro Semestre 2022")</f>
        <v>Primeiro Semestre 2022</v>
      </c>
      <c r="AR202" s="27" t="str">
        <f ca="1">IFERROR(__xludf.DUMMYFUNCTION("""COMPUTED_VALUE"""),"capeducacao8@gmail.com")</f>
        <v>capeducacao8@gmail.com</v>
      </c>
      <c r="AS202" s="27">
        <f ca="1">IFERROR(__xludf.DUMMYFUNCTION("""COMPUTED_VALUE"""),98987814943)</f>
        <v>98987814943</v>
      </c>
      <c r="AT202" s="30">
        <f ca="1">IFERROR(__xludf.DUMMYFUNCTION("""COMPUTED_VALUE"""),31701)</f>
        <v>31701</v>
      </c>
      <c r="AU202" s="27">
        <f ca="1">IFERROR(__xludf.DUMMYFUNCTION("""COMPUTED_VALUE"""),36)</f>
        <v>36</v>
      </c>
      <c r="AV202" s="27">
        <f ca="1">IFERROR(__xludf.DUMMYFUNCTION("""COMPUTED_VALUE"""),1161454390)</f>
        <v>1161454390</v>
      </c>
      <c r="AW202" s="27" t="str">
        <f ca="1">IFERROR(__xludf.DUMMYFUNCTION("""COMPUTED_VALUE"""),"019016652001-5")</f>
        <v>019016652001-5</v>
      </c>
      <c r="AX202" s="27"/>
      <c r="AY202" s="27"/>
      <c r="AZ202" s="27" t="str">
        <f ca="1">IFERROR(__xludf.DUMMYFUNCTION("""COMPUTED_VALUE"""),"GG")</f>
        <v>GG</v>
      </c>
      <c r="BA202" s="27" t="str">
        <f ca="1">IFERROR(__xludf.DUMMYFUNCTION("""COMPUTED_VALUE"""),"Preta")</f>
        <v>Preta</v>
      </c>
      <c r="BB202" s="27"/>
      <c r="BC202" s="27"/>
      <c r="BD202" s="27" t="str">
        <f ca="1">IFERROR(__xludf.DUMMYFUNCTION("""COMPUTED_VALUE"""),"Luana Mayara Diniz Pereira* sou natural de São Luís -Maranhão. Filha de Maria Vitória Frazão e Luiz Carlos Silva* 35 anos. Pedagoga e Especialista em Educação Montessori (Educação Infantil) e proprietária do Centro de Apoio Pedagógico EducAÇÃO* licenciada"&amp;" pela Faculdade Santa Fé. Aqui no Centro de Apoio Pedagógico EducAÇÃO auxiliamos pedagogicamente alunos da comunidade e entorno com muito amor e dedicação ao ser humano e a educação.")</f>
        <v>Luana Mayara Diniz Pereira* sou natural de São Luís -Maranhão. Filha de Maria Vitória Frazão e Luiz Carlos Silva* 35 anos. Pedagoga e Especialista em Educação Montessori (Educação Infantil) e proprietária do Centro de Apoio Pedagógico EducAÇÃO* licenciada pela Faculdade Santa Fé. Aqui no Centro de Apoio Pedagógico EducAÇÃO auxiliamos pedagogicamente alunos da comunidade e entorno com muito amor e dedicação ao ser humano e a educação.</v>
      </c>
      <c r="BE202" s="27" t="str">
        <f ca="1">IFERROR(__xludf.DUMMYFUNCTION("""COMPUTED_VALUE"""),"Feminino")</f>
        <v>Feminino</v>
      </c>
      <c r="BF202" s="27" t="str">
        <f ca="1">IFERROR(__xludf.DUMMYFUNCTION("""COMPUTED_VALUE"""),"Heterossexual")</f>
        <v>Heterossexual</v>
      </c>
      <c r="BG202" s="27"/>
      <c r="BH202" s="27" t="str">
        <f ca="1">IFERROR(__xludf.DUMMYFUNCTION("""COMPUTED_VALUE"""),"Público")</f>
        <v>Público</v>
      </c>
      <c r="BI202" s="27" t="str">
        <f ca="1">IFERROR(__xludf.DUMMYFUNCTION("""COMPUTED_VALUE"""),"Pós-Graduação")</f>
        <v>Pós-Graduação</v>
      </c>
      <c r="BJ202" s="27" t="str">
        <f ca="1">IFERROR(__xludf.DUMMYFUNCTION("""COMPUTED_VALUE"""),"Privado")</f>
        <v>Privado</v>
      </c>
      <c r="BK202" s="27" t="str">
        <f ca="1">IFERROR(__xludf.DUMMYFUNCTION("""COMPUTED_VALUE"""),"Rua Negro Cosme qdra 17")</f>
        <v>Rua Negro Cosme qdra 17</v>
      </c>
      <c r="BL202" s="27">
        <f ca="1">IFERROR(__xludf.DUMMYFUNCTION("""COMPUTED_VALUE"""),7)</f>
        <v>7</v>
      </c>
      <c r="BM202" s="27"/>
      <c r="BN202" s="27"/>
      <c r="BO202" s="27" t="str">
        <f ca="1">IFERROR(__xludf.DUMMYFUNCTION("""COMPUTED_VALUE"""),"65130-000")</f>
        <v>65130-000</v>
      </c>
      <c r="BP202" s="27" t="str">
        <f ca="1">IFERROR(__xludf.DUMMYFUNCTION("""COMPUTED_VALUE"""),"MA")</f>
        <v>MA</v>
      </c>
      <c r="BQ202" s="27" t="str">
        <f ca="1">IFERROR(__xludf.DUMMYFUNCTION("""COMPUTED_VALUE"""),"Entre 1 até 3 salários mínimos")</f>
        <v>Entre 1 até 3 salários mínimos</v>
      </c>
      <c r="BR202" s="27" t="str">
        <f ca="1">IFERROR(__xludf.DUMMYFUNCTION("""COMPUTED_VALUE"""),"MEI")</f>
        <v>MEI</v>
      </c>
      <c r="BS202" s="27" t="str">
        <f ca="1">IFERROR(__xludf.DUMMYFUNCTION("""COMPUTED_VALUE"""),"Casa própria")</f>
        <v>Casa própria</v>
      </c>
      <c r="BT202" s="27">
        <f ca="1">IFERROR(__xludf.DUMMYFUNCTION("""COMPUTED_VALUE"""),3)</f>
        <v>3</v>
      </c>
      <c r="BU202" s="27" t="str">
        <f ca="1">IFERROR(__xludf.DUMMYFUNCTION("""COMPUTED_VALUE"""),"Não tem")</f>
        <v>Não tem</v>
      </c>
      <c r="BV202" s="27" t="str">
        <f ca="1">IFERROR(__xludf.DUMMYFUNCTION("""COMPUTED_VALUE"""),"Não")</f>
        <v>Não</v>
      </c>
      <c r="BW202" s="27"/>
      <c r="BX202" s="21" t="str">
        <f ca="1">IFERROR(__xludf.DUMMYFUNCTION("""COMPUTED_VALUE"""),"https://www.instagram.com/invites/contact/?i=168a3n2tcdxzr&amp;utm_content=1bisy0m")</f>
        <v>https://www.instagram.com/invites/contact/?i=168a3n2tcdxzr&amp;utm_content=1bisy0m</v>
      </c>
      <c r="BY202" s="21" t="str">
        <f ca="1">IFERROR(__xludf.DUMMYFUNCTION("""COMPUTED_VALUE"""),"https://drive.google.com/open?id=1zA23spmbDGEXc6fhr2tPyMjgz7fY8Xzw")</f>
        <v>https://drive.google.com/open?id=1zA23spmbDGEXc6fhr2tPyMjgz7fY8Xzw</v>
      </c>
    </row>
    <row r="203" spans="1:77" ht="12.5" hidden="1" x14ac:dyDescent="0.25">
      <c r="A203" s="21" t="str">
        <f ca="1">IFERROR(__xludf.DUMMYFUNCTION("""COMPUTED_VALUE"""),"0014X00002VKCt6QAH")</f>
        <v>0014X00002VKCt6QAH</v>
      </c>
      <c r="B203" s="27" t="str">
        <f ca="1">IFERROR(__xludf.DUMMYFUNCTION("""COMPUTED_VALUE"""),"Fase Inicial")</f>
        <v>Fase Inicial</v>
      </c>
      <c r="C203" s="27" t="str">
        <f ca="1">IFERROR(__xludf.DUMMYFUNCTION("""COMPUTED_VALUE"""),"Fellow")</f>
        <v>Fellow</v>
      </c>
      <c r="D203" s="27" t="str">
        <f ca="1">IFERROR(__xludf.DUMMYFUNCTION("""COMPUTED_VALUE"""),"Ativo")</f>
        <v>Ativo</v>
      </c>
      <c r="E203" s="27" t="str">
        <f ca="1">IFERROR(__xludf.DUMMYFUNCTION("""COMPUTED_VALUE"""),"Centro de Cidadania Vida Nova Belford Roxo Piam")</f>
        <v>Centro de Cidadania Vida Nova Belford Roxo Piam</v>
      </c>
      <c r="F203" s="27" t="str">
        <f ca="1">IFERROR(__xludf.DUMMYFUNCTION("""COMPUTED_VALUE"""),"Silvia")</f>
        <v>Silvia</v>
      </c>
      <c r="G203" s="27" t="str">
        <f ca="1">IFERROR(__xludf.DUMMYFUNCTION("""COMPUTED_VALUE"""),"CCVN")</f>
        <v>CCVN</v>
      </c>
      <c r="H203" s="27"/>
      <c r="I203" s="27" t="str">
        <f ca="1">IFERROR(__xludf.DUMMYFUNCTION("""COMPUTED_VALUE"""),"Sebastian Carlos Araújo de Souza")</f>
        <v>Sebastian Carlos Araújo de Souza</v>
      </c>
      <c r="J203" s="27" t="str">
        <f ca="1">IFERROR(__xludf.DUMMYFUNCTION("""COMPUTED_VALUE"""),"ccvnbelfordroxopiam@gmail.com")</f>
        <v>ccvnbelfordroxopiam@gmail.com</v>
      </c>
      <c r="K203" s="27" t="str">
        <f ca="1">IFERROR(__xludf.DUMMYFUNCTION("""COMPUTED_VALUE"""),"(21)98056-6627")</f>
        <v>(21)98056-6627</v>
      </c>
      <c r="L203" s="27" t="str">
        <f ca="1">IFERROR(__xludf.DUMMYFUNCTION("""COMPUTED_VALUE"""),"RJ")</f>
        <v>RJ</v>
      </c>
      <c r="M203" s="27" t="str">
        <f ca="1">IFERROR(__xludf.DUMMYFUNCTION("""COMPUTED_VALUE"""),"Rua Murici")</f>
        <v>Rua Murici</v>
      </c>
      <c r="N203" s="27" t="str">
        <f ca="1">IFERROR(__xludf.DUMMYFUNCTION("""COMPUTED_VALUE"""),"Piam")</f>
        <v>Piam</v>
      </c>
      <c r="O203" s="27">
        <f ca="1">IFERROR(__xludf.DUMMYFUNCTION("""COMPUTED_VALUE"""),87)</f>
        <v>87</v>
      </c>
      <c r="P203" s="27" t="str">
        <f ca="1">IFERROR(__xludf.DUMMYFUNCTION("""COMPUTED_VALUE"""),"Belford Roxo")</f>
        <v>Belford Roxo</v>
      </c>
      <c r="Q203" s="27" t="str">
        <f ca="1">IFERROR(__xludf.DUMMYFUNCTION("""COMPUTED_VALUE"""),"Anexo")</f>
        <v>Anexo</v>
      </c>
      <c r="R203" s="27" t="str">
        <f ca="1">IFERROR(__xludf.DUMMYFUNCTION("""COMPUTED_VALUE"""),"26112-750")</f>
        <v>26112-750</v>
      </c>
      <c r="S203" s="27"/>
      <c r="T203" s="27"/>
      <c r="U203"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203" s="27" t="str">
        <f ca="1">IFERROR(__xludf.DUMMYFUNCTION("""COMPUTED_VALUE"""),"Moradores de Favelas, Pessoas em situação de rua, Dependentes Químicos, Pessoas com Deficiência")</f>
        <v>Moradores de Favelas, Pessoas em situação de rua, Dependentes Químicos, Pessoas com Deficiência</v>
      </c>
      <c r="W203" s="27">
        <f ca="1">IFERROR(__xludf.DUMMYFUNCTION("""COMPUTED_VALUE"""),5)</f>
        <v>5</v>
      </c>
      <c r="X203" s="27" t="str">
        <f ca="1">IFERROR(__xludf.DUMMYFUNCTION("""COMPUTED_VALUE"""),"Atendemos  02 Centro de Recuperação para dependentes Químicos - Atendemos moradores de rua.")</f>
        <v>Atendemos  02 Centro de Recuperação para dependentes Químicos - Atendemos moradores de rua.</v>
      </c>
      <c r="Y203" s="27"/>
      <c r="Z203" s="27">
        <f ca="1">IFERROR(__xludf.DUMMYFUNCTION("""COMPUTED_VALUE"""),133)</f>
        <v>133</v>
      </c>
      <c r="AA203" s="29">
        <f ca="1">IFERROR(__xludf.DUMMYFUNCTION("""COMPUTED_VALUE"""),43017)</f>
        <v>43017</v>
      </c>
      <c r="AB203" s="27" t="str">
        <f ca="1">IFERROR(__xludf.DUMMYFUNCTION("""COMPUTED_VALUE"""),"Não")</f>
        <v>Não</v>
      </c>
      <c r="AC203" s="27">
        <f ca="1">IFERROR(__xludf.DUMMYFUNCTION("""COMPUTED_VALUE"""),15)</f>
        <v>15</v>
      </c>
      <c r="AD203" s="27">
        <f ca="1">IFERROR(__xludf.DUMMYFUNCTION("""COMPUTED_VALUE"""),10)</f>
        <v>10</v>
      </c>
      <c r="AE203" s="27">
        <f ca="1">IFERROR(__xludf.DUMMYFUNCTION("""COMPUTED_VALUE"""),15)</f>
        <v>15</v>
      </c>
      <c r="AF203" s="27">
        <f ca="1">IFERROR(__xludf.DUMMYFUNCTION("""COMPUTED_VALUE"""),10)</f>
        <v>10</v>
      </c>
      <c r="AG203" s="27">
        <f ca="1">IFERROR(__xludf.DUMMYFUNCTION("""COMPUTED_VALUE"""),3)</f>
        <v>3</v>
      </c>
      <c r="AH203" s="27" t="str">
        <f ca="1">IFERROR(__xludf.DUMMYFUNCTION("""COMPUTED_VALUE"""),"Parceria iniciativa privada, Doações, PRONON, Recursos próprios")</f>
        <v>Parceria iniciativa privada, Doações, PRONON, Recursos próprios</v>
      </c>
      <c r="AI203" s="27">
        <f ca="1">IFERROR(__xludf.DUMMYFUNCTION("""COMPUTED_VALUE"""),10)</f>
        <v>10</v>
      </c>
      <c r="AJ203" s="27" t="str">
        <f ca="1">IFERROR(__xludf.DUMMYFUNCTION("""COMPUTED_VALUE"""),"Vamos iniciar esse ano")</f>
        <v>Vamos iniciar esse ano</v>
      </c>
      <c r="AK203" s="27"/>
      <c r="AL203" s="21" t="str">
        <f ca="1">IFERROR(__xludf.DUMMYFUNCTION("""COMPUTED_VALUE"""),"0034X0000380O3F")</f>
        <v>0034X0000380O3F</v>
      </c>
      <c r="AM203" s="27" t="str">
        <f ca="1">IFERROR(__xludf.DUMMYFUNCTION("""COMPUTED_VALUE"""),"Dos santos de souza")</f>
        <v>Dos santos de souza</v>
      </c>
      <c r="AN203" s="27" t="str">
        <f ca="1">IFERROR(__xludf.DUMMYFUNCTION("""COMPUTED_VALUE"""),"Ativo")</f>
        <v>Ativo</v>
      </c>
      <c r="AO203" s="29">
        <f ca="1">IFERROR(__xludf.DUMMYFUNCTION("""COMPUTED_VALUE"""),44763)</f>
        <v>44763</v>
      </c>
      <c r="AP203" s="27">
        <f ca="1">IFERROR(__xludf.DUMMYFUNCTION("""COMPUTED_VALUE"""),2)</f>
        <v>2</v>
      </c>
      <c r="AQ203" s="27" t="str">
        <f ca="1">IFERROR(__xludf.DUMMYFUNCTION("""COMPUTED_VALUE"""),"Primeiro Semestre 2022")</f>
        <v>Primeiro Semestre 2022</v>
      </c>
      <c r="AR203" s="27" t="str">
        <f ca="1">IFERROR(__xludf.DUMMYFUNCTION("""COMPUTED_VALUE"""),"silviasantossouzamae@gmail.com")</f>
        <v>silviasantossouzamae@gmail.com</v>
      </c>
      <c r="AS203" s="34">
        <f ca="1">IFERROR(__xludf.DUMMYFUNCTION("""COMPUTED_VALUE"""),552196000000000000)</f>
        <v>5.52196E+17</v>
      </c>
      <c r="AT203" s="29">
        <f ca="1">IFERROR(__xludf.DUMMYFUNCTION("""COMPUTED_VALUE"""),29091)</f>
        <v>29091</v>
      </c>
      <c r="AU203" s="27">
        <f ca="1">IFERROR(__xludf.DUMMYFUNCTION("""COMPUTED_VALUE"""),43)</f>
        <v>43</v>
      </c>
      <c r="AV203" s="27">
        <f ca="1">IFERROR(__xludf.DUMMYFUNCTION("""COMPUTED_VALUE"""),10028998774)</f>
        <v>10028998774</v>
      </c>
      <c r="AW203" s="27">
        <f ca="1">IFERROR(__xludf.DUMMYFUNCTION("""COMPUTED_VALUE"""),124495060)</f>
        <v>124495060</v>
      </c>
      <c r="AX203" s="27"/>
      <c r="AY203" s="27"/>
      <c r="AZ203" s="27" t="str">
        <f ca="1">IFERROR(__xludf.DUMMYFUNCTION("""COMPUTED_VALUE"""),"M")</f>
        <v>M</v>
      </c>
      <c r="BA203" s="27" t="str">
        <f ca="1">IFERROR(__xludf.DUMMYFUNCTION("""COMPUTED_VALUE"""),"Parda")</f>
        <v>Parda</v>
      </c>
      <c r="BB203" s="27"/>
      <c r="BC203" s="27"/>
      <c r="BD203" s="27" t="str">
        <f ca="1">IFERROR(__xludf.DUMMYFUNCTION("""COMPUTED_VALUE"""),"Sou nascida e criada na comunidade (Castelar)* onde desde cedo eu e meus irmãos  enfrentamos todos os desafios que um morador de favela pode enfrentar ao longo de sua vida. Sou filha de mãe solteira. Aos 11 anos de idade tive que sair para trabalhar em ca"&amp;"sa de família para ajudar minha mãe no sustento da casa. Hoje graças ao meu bom Deus sou casada* mãe de 4 filhos e líder da instituição Centro de Cidadania Vida Nova de Belford Roxo - Piam* ao lado de meu esposo.")</f>
        <v>Sou nascida e criada na comunidade (Castelar)* onde desde cedo eu e meus irmãos  enfrentamos todos os desafios que um morador de favela pode enfrentar ao longo de sua vida. Sou filha de mãe solteira. Aos 11 anos de idade tive que sair para trabalhar em casa de família para ajudar minha mãe no sustento da casa. Hoje graças ao meu bom Deus sou casada* mãe de 4 filhos e líder da instituição Centro de Cidadania Vida Nova de Belford Roxo - Piam* ao lado de meu esposo.</v>
      </c>
      <c r="BE203" s="27" t="str">
        <f ca="1">IFERROR(__xludf.DUMMYFUNCTION("""COMPUTED_VALUE"""),"Feminino")</f>
        <v>Feminino</v>
      </c>
      <c r="BF203" s="27" t="str">
        <f ca="1">IFERROR(__xludf.DUMMYFUNCTION("""COMPUTED_VALUE"""),"Heterossexual")</f>
        <v>Heterossexual</v>
      </c>
      <c r="BG203" s="27"/>
      <c r="BH203" s="27" t="str">
        <f ca="1">IFERROR(__xludf.DUMMYFUNCTION("""COMPUTED_VALUE"""),"Público")</f>
        <v>Público</v>
      </c>
      <c r="BI203" s="27"/>
      <c r="BJ203" s="27"/>
      <c r="BK203" s="27" t="str">
        <f ca="1">IFERROR(__xludf.DUMMYFUNCTION("""COMPUTED_VALUE"""),"Rua Angela")</f>
        <v>Rua Angela</v>
      </c>
      <c r="BL203" s="27">
        <f ca="1">IFERROR(__xludf.DUMMYFUNCTION("""COMPUTED_VALUE"""),499)</f>
        <v>499</v>
      </c>
      <c r="BM203" s="27"/>
      <c r="BN203" s="27"/>
      <c r="BO203" s="27">
        <f ca="1">IFERROR(__xludf.DUMMYFUNCTION("""COMPUTED_VALUE"""),26130740)</f>
        <v>26130740</v>
      </c>
      <c r="BP203" s="27" t="str">
        <f ca="1">IFERROR(__xludf.DUMMYFUNCTION("""COMPUTED_VALUE"""),"RJ")</f>
        <v>RJ</v>
      </c>
      <c r="BQ203" s="27" t="str">
        <f ca="1">IFERROR(__xludf.DUMMYFUNCTION("""COMPUTED_VALUE"""),"Entre 1 até 3 salários mínimos")</f>
        <v>Entre 1 até 3 salários mínimos</v>
      </c>
      <c r="BR203" s="27" t="str">
        <f ca="1">IFERROR(__xludf.DUMMYFUNCTION("""COMPUTED_VALUE"""),"Trabalho informal")</f>
        <v>Trabalho informal</v>
      </c>
      <c r="BS203" s="27" t="str">
        <f ca="1">IFERROR(__xludf.DUMMYFUNCTION("""COMPUTED_VALUE"""),"Casa própria")</f>
        <v>Casa própria</v>
      </c>
      <c r="BT203" s="27">
        <f ca="1">IFERROR(__xludf.DUMMYFUNCTION("""COMPUTED_VALUE"""),5)</f>
        <v>5</v>
      </c>
      <c r="BU203" s="27" t="str">
        <f ca="1">IFERROR(__xludf.DUMMYFUNCTION("""COMPUTED_VALUE"""),"Não tem")</f>
        <v>Não tem</v>
      </c>
      <c r="BV203" s="27" t="str">
        <f ca="1">IFERROR(__xludf.DUMMYFUNCTION("""COMPUTED_VALUE"""),"Não")</f>
        <v>Não</v>
      </c>
      <c r="BW203" s="27"/>
      <c r="BX203" s="21" t="str">
        <f ca="1">IFERROR(__xludf.DUMMYFUNCTION("""COMPUTED_VALUE"""),"https://www.instagram.com/pra.silvia.9/p/CYxP1L9p8Z3/?utm_medium=share_sheet")</f>
        <v>https://www.instagram.com/pra.silvia.9/p/CYxP1L9p8Z3/?utm_medium=share_sheet</v>
      </c>
      <c r="BY203" s="21" t="str">
        <f ca="1">IFERROR(__xludf.DUMMYFUNCTION("""COMPUTED_VALUE"""),"https://drive.google.com/open?id=1bdPqmzOfWhz31ZY3T1P1jLbhEolxEvT-")</f>
        <v>https://drive.google.com/open?id=1bdPqmzOfWhz31ZY3T1P1jLbhEolxEvT-</v>
      </c>
    </row>
    <row r="204" spans="1:77" ht="12.5" x14ac:dyDescent="0.25">
      <c r="A204" s="21" t="str">
        <f ca="1">IFERROR(__xludf.DUMMYFUNCTION("""COMPUTED_VALUE"""),"0014P00003SGWQCQA5")</f>
        <v>0014P00003SGWQCQA5</v>
      </c>
      <c r="B204" s="27" t="str">
        <f ca="1">IFERROR(__xludf.DUMMYFUNCTION("""COMPUTED_VALUE"""),"Fase Inicial")</f>
        <v>Fase Inicial</v>
      </c>
      <c r="C204" s="27" t="str">
        <f ca="1">IFERROR(__xludf.DUMMYFUNCTION("""COMPUTED_VALUE"""),"Fellow")</f>
        <v>Fellow</v>
      </c>
      <c r="D204" s="27" t="str">
        <f ca="1">IFERROR(__xludf.DUMMYFUNCTION("""COMPUTED_VALUE"""),"Ativo")</f>
        <v>Ativo</v>
      </c>
      <c r="E204" s="27" t="str">
        <f ca="1">IFERROR(__xludf.DUMMYFUNCTION("""COMPUTED_VALUE"""),"CENTRO DE DESENVOLVIMENTO COMUNITÁRIO VILA LEONINA")</f>
        <v>CENTRO DE DESENVOLVIMENTO COMUNITÁRIO VILA LEONINA</v>
      </c>
      <c r="F204" s="27" t="str">
        <f ca="1">IFERROR(__xludf.DUMMYFUNCTION("""COMPUTED_VALUE"""),"Green")</f>
        <v>Green</v>
      </c>
      <c r="G204" s="27" t="str">
        <f ca="1">IFERROR(__xludf.DUMMYFUNCTION("""COMPUTED_VALUE"""),"PROJETO RECONSTRUIR - VILA LEONINA")</f>
        <v>PROJETO RECONSTRUIR - VILA LEONINA</v>
      </c>
      <c r="H204" s="27" t="str">
        <f ca="1">IFERROR(__xludf.DUMMYFUNCTION("""COMPUTED_VALUE"""),"09.041.496/0001-16")</f>
        <v>09.041.496/0001-16</v>
      </c>
      <c r="I204" s="27" t="str">
        <f ca="1">IFERROR(__xludf.DUMMYFUNCTION("""COMPUTED_VALUE"""),"Eleonora Myrrha Ferreira")</f>
        <v>Eleonora Myrrha Ferreira</v>
      </c>
      <c r="J204" s="27" t="str">
        <f ca="1">IFERROR(__xludf.DUMMYFUNCTION("""COMPUTED_VALUE"""),"novoreconstruir@gmail.com")</f>
        <v>novoreconstruir@gmail.com</v>
      </c>
      <c r="K204" s="27">
        <f ca="1">IFERROR(__xludf.DUMMYFUNCTION("""COMPUTED_VALUE"""),98988738630)</f>
        <v>98988738630</v>
      </c>
      <c r="L204" s="27" t="str">
        <f ca="1">IFERROR(__xludf.DUMMYFUNCTION("""COMPUTED_VALUE"""),"MG")</f>
        <v>MG</v>
      </c>
      <c r="M204" s="27" t="str">
        <f ca="1">IFERROR(__xludf.DUMMYFUNCTION("""COMPUTED_VALUE"""),"Geraldo Vasconcelos")</f>
        <v>Geraldo Vasconcelos</v>
      </c>
      <c r="N204" s="27" t="str">
        <f ca="1">IFERROR(__xludf.DUMMYFUNCTION("""COMPUTED_VALUE"""),"Estoril")</f>
        <v>Estoril</v>
      </c>
      <c r="O204" s="27" t="str">
        <f ca="1">IFERROR(__xludf.DUMMYFUNCTION("""COMPUTED_VALUE"""),"(31)99557-9665")</f>
        <v>(31)99557-9665</v>
      </c>
      <c r="P204" s="27" t="str">
        <f ca="1">IFERROR(__xludf.DUMMYFUNCTION("""COMPUTED_VALUE"""),"Belo Horizonte")</f>
        <v>Belo Horizonte</v>
      </c>
      <c r="Q204" s="27"/>
      <c r="R204" s="27" t="str">
        <f ca="1">IFERROR(__xludf.DUMMYFUNCTION("""COMPUTED_VALUE"""),"30494-100")</f>
        <v>30494-100</v>
      </c>
      <c r="S204" s="27"/>
      <c r="T204" s="27" t="str">
        <f ca="1">IFERROR(__xludf.DUMMYFUNCTION("""COMPUTED_VALUE"""),"Esporte; Educação; Cultura; Desenvolvimento comunitário")</f>
        <v>Esporte; Educação; Cultura; Desenvolvimento comunitário</v>
      </c>
      <c r="U204" s="27" t="str">
        <f ca="1">IFERROR(__xludf.DUMMYFUNCTION("""COMPUTED_VALUE"""),"Crianças (6 a 12 anos); Adolescentes (12 aos 18 anos)")</f>
        <v>Crianças (6 a 12 anos); Adolescentes (12 aos 18 anos)</v>
      </c>
      <c r="V204" s="27" t="str">
        <f ca="1">IFERROR(__xludf.DUMMYFUNCTION("""COMPUTED_VALUE"""),"Moradores de Favelas")</f>
        <v>Moradores de Favelas</v>
      </c>
      <c r="W204" s="27">
        <f ca="1">IFERROR(__xludf.DUMMYFUNCTION("""COMPUTED_VALUE"""),7)</f>
        <v>7</v>
      </c>
      <c r="X204" s="27"/>
      <c r="Y204" s="27">
        <f ca="1">IFERROR(__xludf.DUMMYFUNCTION("""COMPUTED_VALUE"""),60)</f>
        <v>60</v>
      </c>
      <c r="Z204" s="27">
        <f ca="1">IFERROR(__xludf.DUMMYFUNCTION("""COMPUTED_VALUE"""),300)</f>
        <v>300</v>
      </c>
      <c r="AA204" s="29">
        <f ca="1">IFERROR(__xludf.DUMMYFUNCTION("""COMPUTED_VALUE"""),39097)</f>
        <v>39097</v>
      </c>
      <c r="AB204" s="27" t="str">
        <f ca="1">IFERROR(__xludf.DUMMYFUNCTION("""COMPUTED_VALUE"""),"Sim")</f>
        <v>Sim</v>
      </c>
      <c r="AC204" s="27">
        <f ca="1">IFERROR(__xludf.DUMMYFUNCTION("""COMPUTED_VALUE"""),5)</f>
        <v>5</v>
      </c>
      <c r="AD204" s="27">
        <f ca="1">IFERROR(__xludf.DUMMYFUNCTION("""COMPUTED_VALUE"""),8)</f>
        <v>8</v>
      </c>
      <c r="AE204" s="27">
        <f ca="1">IFERROR(__xludf.DUMMYFUNCTION("""COMPUTED_VALUE"""),18)</f>
        <v>18</v>
      </c>
      <c r="AF204" s="27">
        <f ca="1">IFERROR(__xludf.DUMMYFUNCTION("""COMPUTED_VALUE"""),15)</f>
        <v>15</v>
      </c>
      <c r="AG204" s="27">
        <f ca="1">IFERROR(__xludf.DUMMYFUNCTION("""COMPUTED_VALUE"""),3)</f>
        <v>3</v>
      </c>
      <c r="AH204" s="27" t="str">
        <f ca="1">IFERROR(__xludf.DUMMYFUNCTION("""COMPUTED_VALUE"""),"Eventos/Ações para captação; Plataforma doação online - Pessoa Física; Doações")</f>
        <v>Eventos/Ações para captação; Plataforma doação online - Pessoa Física; Doações</v>
      </c>
      <c r="AI204" s="27" t="str">
        <f ca="1">IFERROR(__xludf.DUMMYFUNCTION("""COMPUTED_VALUE"""),"88% Apadrinhamento e Mantenedores")</f>
        <v>88% Apadrinhamento e Mantenedores</v>
      </c>
      <c r="AJ204" s="27" t="str">
        <f ca="1">IFERROR(__xludf.DUMMYFUNCTION("""COMPUTED_VALUE"""),"Não")</f>
        <v>Não</v>
      </c>
      <c r="AK204" s="27" t="str">
        <f ca="1">IFERROR(__xludf.DUMMYFUNCTION("""COMPUTED_VALUE"""),"Não")</f>
        <v>Não</v>
      </c>
      <c r="AL204" s="21" t="str">
        <f ca="1">IFERROR(__xludf.DUMMYFUNCTION("""COMPUTED_VALUE"""),"0034P000043fOoD")</f>
        <v>0034P000043fOoD</v>
      </c>
      <c r="AM204" s="27" t="str">
        <f ca="1">IFERROR(__xludf.DUMMYFUNCTION("""COMPUTED_VALUE"""),"Saimonton Garcia Dias")</f>
        <v>Saimonton Garcia Dias</v>
      </c>
      <c r="AN204" s="27" t="str">
        <f ca="1">IFERROR(__xludf.DUMMYFUNCTION("""COMPUTED_VALUE"""),"Inativo")</f>
        <v>Inativo</v>
      </c>
      <c r="AO204" s="29">
        <f ca="1">IFERROR(__xludf.DUMMYFUNCTION("""COMPUTED_VALUE"""),44432)</f>
        <v>44432</v>
      </c>
      <c r="AP204" s="27">
        <f ca="1">IFERROR(__xludf.DUMMYFUNCTION("""COMPUTED_VALUE"""),13)</f>
        <v>13</v>
      </c>
      <c r="AQ204" s="27" t="str">
        <f ca="1">IFERROR(__xludf.DUMMYFUNCTION("""COMPUTED_VALUE"""),"Primeiro Semestre 2021")</f>
        <v>Primeiro Semestre 2021</v>
      </c>
      <c r="AR204" s="27" t="str">
        <f ca="1">IFERROR(__xludf.DUMMYFUNCTION("""COMPUTED_VALUE"""),"greendias@gmail.com")</f>
        <v>greendias@gmail.com</v>
      </c>
      <c r="AS204" s="27" t="str">
        <f ca="1">IFERROR(__xludf.DUMMYFUNCTION("""COMPUTED_VALUE"""),"31 99494-5092")</f>
        <v>31 99494-5092</v>
      </c>
      <c r="AT204" s="29">
        <f ca="1">IFERROR(__xludf.DUMMYFUNCTION("""COMPUTED_VALUE"""),27160)</f>
        <v>27160</v>
      </c>
      <c r="AU204" s="27">
        <f ca="1">IFERROR(__xludf.DUMMYFUNCTION("""COMPUTED_VALUE"""),48)</f>
        <v>48</v>
      </c>
      <c r="AV204" s="27">
        <f ca="1">IFERROR(__xludf.DUMMYFUNCTION("""COMPUTED_VALUE"""),28930736890)</f>
        <v>28930736890</v>
      </c>
      <c r="AW204" s="27">
        <f ca="1">IFERROR(__xludf.DUMMYFUNCTION("""COMPUTED_VALUE"""),6459894)</f>
        <v>6459894</v>
      </c>
      <c r="AX204" s="27" t="str">
        <f ca="1">IFERROR(__xludf.DUMMYFUNCTION("""COMPUTED_VALUE"""),"Engenharia Civil")</f>
        <v>Engenharia Civil</v>
      </c>
      <c r="AY204" s="27"/>
      <c r="AZ204" s="27" t="str">
        <f ca="1">IFERROR(__xludf.DUMMYFUNCTION("""COMPUTED_VALUE"""),"M")</f>
        <v>M</v>
      </c>
      <c r="BA204" s="27" t="str">
        <f ca="1">IFERROR(__xludf.DUMMYFUNCTION("""COMPUTED_VALUE"""),"Parda")</f>
        <v>Parda</v>
      </c>
      <c r="BB204" s="27"/>
      <c r="BC204" s="27" t="str">
        <f ca="1">IFERROR(__xludf.DUMMYFUNCTION("""COMPUTED_VALUE"""),"Sim")</f>
        <v>Sim</v>
      </c>
      <c r="BD204" s="27"/>
      <c r="BE204" s="27" t="str">
        <f ca="1">IFERROR(__xludf.DUMMYFUNCTION("""COMPUTED_VALUE"""),"Feminino")</f>
        <v>Feminino</v>
      </c>
      <c r="BF204" s="27" t="str">
        <f ca="1">IFERROR(__xludf.DUMMYFUNCTION("""COMPUTED_VALUE"""),"Heterossexual")</f>
        <v>Heterossexual</v>
      </c>
      <c r="BG204" s="27"/>
      <c r="BH204" s="27"/>
      <c r="BI204" s="27" t="str">
        <f ca="1">IFERROR(__xludf.DUMMYFUNCTION("""COMPUTED_VALUE"""),"Graduação")</f>
        <v>Graduação</v>
      </c>
      <c r="BJ204" s="27"/>
      <c r="BK204" s="27" t="str">
        <f ca="1">IFERROR(__xludf.DUMMYFUNCTION("""COMPUTED_VALUE"""),"Desdêmona")</f>
        <v>Desdêmona</v>
      </c>
      <c r="BL204" s="27">
        <f ca="1">IFERROR(__xludf.DUMMYFUNCTION("""COMPUTED_VALUE"""),77)</f>
        <v>77</v>
      </c>
      <c r="BM204" s="27"/>
      <c r="BN204" s="27" t="str">
        <f ca="1">IFERROR(__xludf.DUMMYFUNCTION("""COMPUTED_VALUE"""),"Nova Lima")</f>
        <v>Nova Lima</v>
      </c>
      <c r="BO204" s="27" t="str">
        <f ca="1">IFERROR(__xludf.DUMMYFUNCTION("""COMPUTED_VALUE"""),"34011-123")</f>
        <v>34011-123</v>
      </c>
      <c r="BP204" s="27" t="str">
        <f ca="1">IFERROR(__xludf.DUMMYFUNCTION("""COMPUTED_VALUE"""),"MG")</f>
        <v>MG</v>
      </c>
      <c r="BQ204" s="27" t="str">
        <f ca="1">IFERROR(__xludf.DUMMYFUNCTION("""COMPUTED_VALUE"""),"Acima de 5 salários mínimos")</f>
        <v>Acima de 5 salários mínimos</v>
      </c>
      <c r="BR204" s="27" t="str">
        <f ca="1">IFERROR(__xludf.DUMMYFUNCTION("""COMPUTED_VALUE"""),"Trabalho informal")</f>
        <v>Trabalho informal</v>
      </c>
      <c r="BS204" s="27" t="str">
        <f ca="1">IFERROR(__xludf.DUMMYFUNCTION("""COMPUTED_VALUE"""),"Casa própria")</f>
        <v>Casa própria</v>
      </c>
      <c r="BT204" s="27">
        <f ca="1">IFERROR(__xludf.DUMMYFUNCTION("""COMPUTED_VALUE"""),4)</f>
        <v>4</v>
      </c>
      <c r="BU204" s="27"/>
      <c r="BV204" s="27"/>
      <c r="BW204" s="21" t="str">
        <f ca="1">IFERROR(__xludf.DUMMYFUNCTION("""COMPUTED_VALUE"""),"linkedin.com/in/saimon-dias-946881178")</f>
        <v>linkedin.com/in/saimon-dias-946881178</v>
      </c>
      <c r="BX204" s="21" t="str">
        <f ca="1">IFERROR(__xludf.DUMMYFUNCTION("""COMPUTED_VALUE"""),"https://www.instagram.com/green_dias/")</f>
        <v>https://www.instagram.com/green_dias/</v>
      </c>
      <c r="BY204" s="21" t="str">
        <f ca="1">IFERROR(__xludf.DUMMYFUNCTION("""COMPUTED_VALUE"""),"https://drive.google.com/open?id=1Z3HBzY_hwLhy4AsANC9NRkSgranDK1s4")</f>
        <v>https://drive.google.com/open?id=1Z3HBzY_hwLhy4AsANC9NRkSgranDK1s4</v>
      </c>
    </row>
    <row r="205" spans="1:77" ht="12.5" hidden="1" x14ac:dyDescent="0.25">
      <c r="A205" s="21" t="str">
        <f ca="1">IFERROR(__xludf.DUMMYFUNCTION("""COMPUTED_VALUE"""),"0014X00002VKCscQAH")</f>
        <v>0014X00002VKCscQAH</v>
      </c>
      <c r="B205" s="27" t="str">
        <f ca="1">IFERROR(__xludf.DUMMYFUNCTION("""COMPUTED_VALUE"""),"Fase Inicial")</f>
        <v>Fase Inicial</v>
      </c>
      <c r="C205" s="27" t="str">
        <f ca="1">IFERROR(__xludf.DUMMYFUNCTION("""COMPUTED_VALUE"""),"Fellow")</f>
        <v>Fellow</v>
      </c>
      <c r="D205" s="27" t="str">
        <f ca="1">IFERROR(__xludf.DUMMYFUNCTION("""COMPUTED_VALUE"""),"Ativo")</f>
        <v>Ativo</v>
      </c>
      <c r="E205" s="27" t="str">
        <f ca="1">IFERROR(__xludf.DUMMYFUNCTION("""COMPUTED_VALUE"""),"CENTRO DE EDUCAÇÃO INTEGRADA CRAQUES DA VIDA")</f>
        <v>CENTRO DE EDUCAÇÃO INTEGRADA CRAQUES DA VIDA</v>
      </c>
      <c r="F205" s="27" t="str">
        <f ca="1">IFERROR(__xludf.DUMMYFUNCTION("""COMPUTED_VALUE"""),"FRANKLIN")</f>
        <v>FRANKLIN</v>
      </c>
      <c r="G205" s="27" t="str">
        <f ca="1">IFERROR(__xludf.DUMMYFUNCTION("""COMPUTED_VALUE"""),"CEI CRAQUES DA VIDA")</f>
        <v>CEI CRAQUES DA VIDA</v>
      </c>
      <c r="H205" s="27" t="str">
        <f ca="1">IFERROR(__xludf.DUMMYFUNCTION("""COMPUTED_VALUE"""),"08.799.930/0001-69")</f>
        <v>08.799.930/0001-69</v>
      </c>
      <c r="I205" s="27" t="str">
        <f ca="1">IFERROR(__xludf.DUMMYFUNCTION("""COMPUTED_VALUE"""),"FRANKLIN FERREIRA DE MELO")</f>
        <v>FRANKLIN FERREIRA DE MELO</v>
      </c>
      <c r="J205" s="27" t="str">
        <f ca="1">IFERROR(__xludf.DUMMYFUNCTION("""COMPUTED_VALUE"""),"ong@craquesdavida.org")</f>
        <v>ong@craquesdavida.org</v>
      </c>
      <c r="K205" s="27" t="str">
        <f ca="1">IFERROR(__xludf.DUMMYFUNCTION("""COMPUTED_VALUE"""),"(21)9641-90025")</f>
        <v>(21)9641-90025</v>
      </c>
      <c r="L205" s="27" t="str">
        <f ca="1">IFERROR(__xludf.DUMMYFUNCTION("""COMPUTED_VALUE"""),"RJ")</f>
        <v>RJ</v>
      </c>
      <c r="M205" s="27" t="str">
        <f ca="1">IFERROR(__xludf.DUMMYFUNCTION("""COMPUTED_VALUE"""),"RUA DO LIBRETISTA 2")</f>
        <v>RUA DO LIBRETISTA 2</v>
      </c>
      <c r="N205" s="27" t="str">
        <f ca="1">IFERROR(__xludf.DUMMYFUNCTION("""COMPUTED_VALUE"""),"VILA ALIANÇA BANGU")</f>
        <v>VILA ALIANÇA BANGU</v>
      </c>
      <c r="O205" s="27">
        <f ca="1">IFERROR(__xludf.DUMMYFUNCTION("""COMPUTED_VALUE"""),2)</f>
        <v>2</v>
      </c>
      <c r="P205" s="27" t="str">
        <f ca="1">IFERROR(__xludf.DUMMYFUNCTION("""COMPUTED_VALUE"""),"RIO DE JANEIRO")</f>
        <v>RIO DE JANEIRO</v>
      </c>
      <c r="Q205" s="27"/>
      <c r="R205" s="27" t="str">
        <f ca="1">IFERROR(__xludf.DUMMYFUNCTION("""COMPUTED_VALUE"""),"21842-100")</f>
        <v>21842-100</v>
      </c>
      <c r="S205" s="27" t="str">
        <f ca="1">IFERROR(__xludf.DUMMYFUNCTION("""COMPUTED_VALUE"""),"CAMPO DA FAVELA , CAMPO DO MAGUEIRAL , ARENA ENGENHO , QUADRA DO BOEMIOS , ASSO. DE MORADORES DE VILA ALIANÇA")</f>
        <v>CAMPO DA FAVELA , CAMPO DO MAGUEIRAL , ARENA ENGENHO , QUADRA DO BOEMIOS , ASSO. DE MORADORES DE VILA ALIANÇA</v>
      </c>
      <c r="T205" s="27"/>
      <c r="U205" s="27" t="str">
        <f ca="1">IFERROR(__xludf.DUMMYFUNCTION("""COMPUTED_VALUE"""),"Crianças pequenas (4 anos a 5 anos e 11 meses), Crianças (6 a 12 anos), Adolescentes (12 aos 18 anos)")</f>
        <v>Crianças pequenas (4 anos a 5 anos e 11 meses), Crianças (6 a 12 anos), Adolescentes (12 aos 18 anos)</v>
      </c>
      <c r="V205" s="27" t="str">
        <f ca="1">IFERROR(__xludf.DUMMYFUNCTION("""COMPUTED_VALUE"""),"Moradores de Favelas")</f>
        <v>Moradores de Favelas</v>
      </c>
      <c r="W205" s="27">
        <f ca="1">IFERROR(__xludf.DUMMYFUNCTION("""COMPUTED_VALUE"""),10)</f>
        <v>10</v>
      </c>
      <c r="X205" s="27"/>
      <c r="Y205" s="27"/>
      <c r="Z205" s="27">
        <f ca="1">IFERROR(__xludf.DUMMYFUNCTION("""COMPUTED_VALUE"""),150)</f>
        <v>150</v>
      </c>
      <c r="AA205" s="29">
        <f ca="1">IFERROR(__xludf.DUMMYFUNCTION("""COMPUTED_VALUE"""),39147)</f>
        <v>39147</v>
      </c>
      <c r="AB205" s="27" t="str">
        <f ca="1">IFERROR(__xludf.DUMMYFUNCTION("""COMPUTED_VALUE"""),"Sim")</f>
        <v>Sim</v>
      </c>
      <c r="AC205" s="27">
        <f ca="1">IFERROR(__xludf.DUMMYFUNCTION("""COMPUTED_VALUE"""),6)</f>
        <v>6</v>
      </c>
      <c r="AD205" s="27">
        <f ca="1">IFERROR(__xludf.DUMMYFUNCTION("""COMPUTED_VALUE"""),4)</f>
        <v>4</v>
      </c>
      <c r="AE205" s="27">
        <f ca="1">IFERROR(__xludf.DUMMYFUNCTION("""COMPUTED_VALUE"""),6)</f>
        <v>6</v>
      </c>
      <c r="AF205" s="27">
        <f ca="1">IFERROR(__xludf.DUMMYFUNCTION("""COMPUTED_VALUE"""),4)</f>
        <v>4</v>
      </c>
      <c r="AG205" s="27">
        <f ca="1">IFERROR(__xludf.DUMMYFUNCTION("""COMPUTED_VALUE"""),2)</f>
        <v>2</v>
      </c>
      <c r="AH205" s="27" t="str">
        <f ca="1">IFERROR(__xludf.DUMMYFUNCTION("""COMPUTED_VALUE"""),"Lei de Incentivo, Plataforma doação online - Pessoa Física")</f>
        <v>Lei de Incentivo, Plataforma doação online - Pessoa Física</v>
      </c>
      <c r="AI205" s="27" t="str">
        <f ca="1">IFERROR(__xludf.DUMMYFUNCTION("""COMPUTED_VALUE"""),"100% PESSOA FÍSICA")</f>
        <v>100% PESSOA FÍSICA</v>
      </c>
      <c r="AJ205" s="27" t="str">
        <f ca="1">IFERROR(__xludf.DUMMYFUNCTION("""COMPUTED_VALUE"""),"Não")</f>
        <v>Não</v>
      </c>
      <c r="AK205" s="27"/>
      <c r="AL205" s="21" t="str">
        <f ca="1">IFERROR(__xludf.DUMMYFUNCTION("""COMPUTED_VALUE"""),"0034X0000380O0e")</f>
        <v>0034X0000380O0e</v>
      </c>
      <c r="AM205" s="27" t="str">
        <f ca="1">IFERROR(__xludf.DUMMYFUNCTION("""COMPUTED_VALUE"""),"Ferreira de melo")</f>
        <v>Ferreira de melo</v>
      </c>
      <c r="AN205" s="27" t="str">
        <f ca="1">IFERROR(__xludf.DUMMYFUNCTION("""COMPUTED_VALUE"""),"Ativo")</f>
        <v>Ativo</v>
      </c>
      <c r="AO205" s="27"/>
      <c r="AP205" s="27"/>
      <c r="AQ205" s="27" t="str">
        <f ca="1">IFERROR(__xludf.DUMMYFUNCTION("""COMPUTED_VALUE"""),"Primeiro Semestre 2022")</f>
        <v>Primeiro Semestre 2022</v>
      </c>
      <c r="AR205" s="27" t="str">
        <f ca="1">IFERROR(__xludf.DUMMYFUNCTION("""COMPUTED_VALUE"""),"franklinvila2@gmail.com")</f>
        <v>franklinvila2@gmail.com</v>
      </c>
      <c r="AS205" s="27" t="str">
        <f ca="1">IFERROR(__xludf.DUMMYFUNCTION("""COMPUTED_VALUE"""),"(21)9641-90025")</f>
        <v>(21)9641-90025</v>
      </c>
      <c r="AT205" s="29">
        <f ca="1">IFERROR(__xludf.DUMMYFUNCTION("""COMPUTED_VALUE"""),29313)</f>
        <v>29313</v>
      </c>
      <c r="AU205" s="27">
        <f ca="1">IFERROR(__xludf.DUMMYFUNCTION("""COMPUTED_VALUE"""),42)</f>
        <v>42</v>
      </c>
      <c r="AV205" s="27">
        <f ca="1">IFERROR(__xludf.DUMMYFUNCTION("""COMPUTED_VALUE"""),8448931700)</f>
        <v>8448931700</v>
      </c>
      <c r="AW205" s="27">
        <f ca="1">IFERROR(__xludf.DUMMYFUNCTION("""COMPUTED_VALUE"""),114432594)</f>
        <v>114432594</v>
      </c>
      <c r="AX205" s="27"/>
      <c r="AY205" s="27" t="str">
        <f ca="1">IFERROR(__xludf.DUMMYFUNCTION("""COMPUTED_VALUE"""),"PRESIDENTE")</f>
        <v>PRESIDENTE</v>
      </c>
      <c r="AZ205" s="27" t="str">
        <f ca="1">IFERROR(__xludf.DUMMYFUNCTION("""COMPUTED_VALUE"""),"GG")</f>
        <v>GG</v>
      </c>
      <c r="BA205" s="27" t="str">
        <f ca="1">IFERROR(__xludf.DUMMYFUNCTION("""COMPUTED_VALUE"""),"Preta")</f>
        <v>Preta</v>
      </c>
      <c r="BB205" s="27"/>
      <c r="BC205" s="27"/>
      <c r="BD205" s="27" t="str">
        <f ca="1">IFERROR(__xludf.DUMMYFUNCTION("""COMPUTED_VALUE"""),"Meu nome é Franklin Ferreira, conhecido como Franklin do Futebol. Sou presidente da ONG Craques da Vida, que atua na nossa favela há 25 anos. Sou nascido e criado na Vila Aliança, comunidade que tem 58 anos de existência. Meu avô foi o primeiro barbeiro d"&amp;"aqui. Aí está essa minha origem, essa identidade que eu carrego com a comunidade que eu amo, e que procuro trazer oportunidades, através do futebol para jovens e adolescentes.
 Minha infância foi muito sonhadora.")</f>
        <v>Meu nome é Franklin Ferreira, conhecido como Franklin do Futebol. Sou presidente da ONG Craques da Vida, que atua na nossa favela há 25 anos. Sou nascido e criado na Vila Aliança, comunidade que tem 58 anos de existência. Meu avô foi o primeiro barbeiro daqui. Aí está essa minha origem, essa identidade que eu carrego com a comunidade que eu amo, e que procuro trazer oportunidades, através do futebol para jovens e adolescentes.
 Minha infância foi muito sonhadora.</v>
      </c>
      <c r="BE205" s="27" t="str">
        <f ca="1">IFERROR(__xludf.DUMMYFUNCTION("""COMPUTED_VALUE"""),"Homem, cisgênero")</f>
        <v>Homem, cisgênero</v>
      </c>
      <c r="BF205" s="27" t="str">
        <f ca="1">IFERROR(__xludf.DUMMYFUNCTION("""COMPUTED_VALUE"""),"Heterossexual")</f>
        <v>Heterossexual</v>
      </c>
      <c r="BG205" s="27" t="str">
        <f ca="1">IFERROR(__xludf.DUMMYFUNCTION("""COMPUTED_VALUE"""),"Ensino Superior - Completo")</f>
        <v>Ensino Superior - Completo</v>
      </c>
      <c r="BH205" s="27" t="str">
        <f ca="1">IFERROR(__xludf.DUMMYFUNCTION("""COMPUTED_VALUE"""),"Privado")</f>
        <v>Privado</v>
      </c>
      <c r="BI205" s="27" t="str">
        <f ca="1">IFERROR(__xludf.DUMMYFUNCTION("""COMPUTED_VALUE"""),"Pós-Graduação")</f>
        <v>Pós-Graduação</v>
      </c>
      <c r="BJ205" s="27" t="str">
        <f ca="1">IFERROR(__xludf.DUMMYFUNCTION("""COMPUTED_VALUE"""),"Público")</f>
        <v>Público</v>
      </c>
      <c r="BK205" s="27" t="str">
        <f ca="1">IFERROR(__xludf.DUMMYFUNCTION("""COMPUTED_VALUE"""),"MANOEL FRANCISCO DA SILVA")</f>
        <v>MANOEL FRANCISCO DA SILVA</v>
      </c>
      <c r="BL205" s="27">
        <f ca="1">IFERROR(__xludf.DUMMYFUNCTION("""COMPUTED_VALUE"""),20)</f>
        <v>20</v>
      </c>
      <c r="BM205" s="27" t="str">
        <f ca="1">IFERROR(__xludf.DUMMYFUNCTION("""COMPUTED_VALUE"""),"CASAC1")</f>
        <v>CASAC1</v>
      </c>
      <c r="BN205" s="27" t="str">
        <f ca="1">IFERROR(__xludf.DUMMYFUNCTION("""COMPUTED_VALUE"""),"RIO DE JANEIRO")</f>
        <v>RIO DE JANEIRO</v>
      </c>
      <c r="BO205" s="27" t="str">
        <f ca="1">IFERROR(__xludf.DUMMYFUNCTION("""COMPUTED_VALUE"""),"21862-620")</f>
        <v>21862-620</v>
      </c>
      <c r="BP205" s="27" t="str">
        <f ca="1">IFERROR(__xludf.DUMMYFUNCTION("""COMPUTED_VALUE"""),"RJ")</f>
        <v>RJ</v>
      </c>
      <c r="BQ205" s="27" t="str">
        <f ca="1">IFERROR(__xludf.DUMMYFUNCTION("""COMPUTED_VALUE"""),"Entre 1 até 3 salários mínimos")</f>
        <v>Entre 1 até 3 salários mínimos</v>
      </c>
      <c r="BR205" s="27" t="str">
        <f ca="1">IFERROR(__xludf.DUMMYFUNCTION("""COMPUTED_VALUE"""),"CLT, Trabalho informal")</f>
        <v>CLT, Trabalho informal</v>
      </c>
      <c r="BS205" s="27" t="str">
        <f ca="1">IFERROR(__xludf.DUMMYFUNCTION("""COMPUTED_VALUE"""),"Casa própria")</f>
        <v>Casa própria</v>
      </c>
      <c r="BT205" s="27">
        <f ca="1">IFERROR(__xludf.DUMMYFUNCTION("""COMPUTED_VALUE"""),3)</f>
        <v>3</v>
      </c>
      <c r="BU205" s="27" t="str">
        <f ca="1">IFERROR(__xludf.DUMMYFUNCTION("""COMPUTED_VALUE"""),"Não tem")</f>
        <v>Não tem</v>
      </c>
      <c r="BV205" s="27" t="str">
        <f ca="1">IFERROR(__xludf.DUMMYFUNCTION("""COMPUTED_VALUE"""),"Não")</f>
        <v>Não</v>
      </c>
      <c r="BW205" s="21" t="str">
        <f ca="1">IFERROR(__xludf.DUMMYFUNCTION("""COMPUTED_VALUE"""),"https://www.linkedin.com/in/franklin-de-melo/")</f>
        <v>https://www.linkedin.com/in/franklin-de-melo/</v>
      </c>
      <c r="BX205" s="21" t="str">
        <f ca="1">IFERROR(__xludf.DUMMYFUNCTION("""COMPUTED_VALUE"""),"https://www.instagram.com/franklindofutebol/")</f>
        <v>https://www.instagram.com/franklindofutebol/</v>
      </c>
      <c r="BY205" s="21" t="str">
        <f ca="1">IFERROR(__xludf.DUMMYFUNCTION("""COMPUTED_VALUE"""),"https://drive.google.com/open?id=1mQcVqUlIlHD0mTp3BVZ00LRVRMMjJdQ3")</f>
        <v>https://drive.google.com/open?id=1mQcVqUlIlHD0mTp3BVZ00LRVRMMjJdQ3</v>
      </c>
    </row>
    <row r="206" spans="1:77" ht="12.5" hidden="1" x14ac:dyDescent="0.25">
      <c r="A206" s="21" t="str">
        <f ca="1">IFERROR(__xludf.DUMMYFUNCTION("""COMPUTED_VALUE"""),"0014X00002VKCsWQAX")</f>
        <v>0014X00002VKCsWQAX</v>
      </c>
      <c r="B206" s="27" t="str">
        <f ca="1">IFERROR(__xludf.DUMMYFUNCTION("""COMPUTED_VALUE"""),"Fase Inicial")</f>
        <v>Fase Inicial</v>
      </c>
      <c r="C206" s="27" t="str">
        <f ca="1">IFERROR(__xludf.DUMMYFUNCTION("""COMPUTED_VALUE"""),"Fellow")</f>
        <v>Fellow</v>
      </c>
      <c r="D206" s="27" t="str">
        <f ca="1">IFERROR(__xludf.DUMMYFUNCTION("""COMPUTED_VALUE"""),"Ativo")</f>
        <v>Ativo</v>
      </c>
      <c r="E206" s="27" t="str">
        <f ca="1">IFERROR(__xludf.DUMMYFUNCTION("""COMPUTED_VALUE"""),"Centro de Integração Social e Cultural  - CISC ""Uma Chance""")</f>
        <v>Centro de Integração Social e Cultural  - CISC "Uma Chance"</v>
      </c>
      <c r="F206" s="27" t="str">
        <f ca="1">IFERROR(__xludf.DUMMYFUNCTION("""COMPUTED_VALUE"""),"Erica")</f>
        <v>Erica</v>
      </c>
      <c r="G206" s="27" t="str">
        <f ca="1">IFERROR(__xludf.DUMMYFUNCTION("""COMPUTED_VALUE"""),"CISC")</f>
        <v>CISC</v>
      </c>
      <c r="H206" s="27" t="str">
        <f ca="1">IFERROR(__xludf.DUMMYFUNCTION("""COMPUTED_VALUE"""),"06.027.537/0001-21")</f>
        <v>06.027.537/0001-21</v>
      </c>
      <c r="I206" s="27" t="str">
        <f ca="1">IFERROR(__xludf.DUMMYFUNCTION("""COMPUTED_VALUE"""),"Ronaldo Antônio Miguel Monteiro")</f>
        <v>Ronaldo Antônio Miguel Monteiro</v>
      </c>
      <c r="J206" s="27" t="str">
        <f ca="1">IFERROR(__xludf.DUMMYFUNCTION("""COMPUTED_VALUE"""),"ciscumachanche20032020@gmail.com")</f>
        <v>ciscumachanche20032020@gmail.com</v>
      </c>
      <c r="K206" s="27" t="str">
        <f ca="1">IFERROR(__xludf.DUMMYFUNCTION("""COMPUTED_VALUE"""),"(21)95904-4342")</f>
        <v>(21)95904-4342</v>
      </c>
      <c r="L206" s="27" t="str">
        <f ca="1">IFERROR(__xludf.DUMMYFUNCTION("""COMPUTED_VALUE"""),"RJ")</f>
        <v>RJ</v>
      </c>
      <c r="M206" s="27" t="str">
        <f ca="1">IFERROR(__xludf.DUMMYFUNCTION("""COMPUTED_VALUE"""),"Estrada Guandu do Sena")</f>
        <v>Estrada Guandu do Sena</v>
      </c>
      <c r="N206" s="27" t="str">
        <f ca="1">IFERROR(__xludf.DUMMYFUNCTION("""COMPUTED_VALUE"""),"Bangu")</f>
        <v>Bangu</v>
      </c>
      <c r="O206" s="27">
        <f ca="1">IFERROR(__xludf.DUMMYFUNCTION("""COMPUTED_VALUE"""),2266)</f>
        <v>2266</v>
      </c>
      <c r="P206" s="27" t="str">
        <f ca="1">IFERROR(__xludf.DUMMYFUNCTION("""COMPUTED_VALUE"""),"Rio de janeiro")</f>
        <v>Rio de janeiro</v>
      </c>
      <c r="Q206" s="27"/>
      <c r="R206" s="27" t="str">
        <f ca="1">IFERROR(__xludf.DUMMYFUNCTION("""COMPUTED_VALUE"""),"21854-002")</f>
        <v>21854-002</v>
      </c>
      <c r="S206" s="27"/>
      <c r="T206" s="27"/>
      <c r="U206" s="27" t="str">
        <f ca="1">IFERROR(__xludf.DUMMYFUNCTION("""COMPUTED_VALUE"""),"Adolescentes (12 aos 18 anos), Jovens (18 aos 24 anos), Adultos, Idosos (60 anos ou mais)")</f>
        <v>Adolescentes (12 aos 18 anos), Jovens (18 aos 24 anos), Adultos, Idosos (60 anos ou mais)</v>
      </c>
      <c r="V206" s="27" t="str">
        <f ca="1">IFERROR(__xludf.DUMMYFUNCTION("""COMPUTED_VALUE"""),"Moradores de Favelas, Pessoas em situação de rua, População LGBTQ+, Dependentes Químicos, Egressos sistema carcerário")</f>
        <v>Moradores de Favelas, Pessoas em situação de rua, População LGBTQ+, Dependentes Químicos, Egressos sistema carcerário</v>
      </c>
      <c r="W206" s="27">
        <f ca="1">IFERROR(__xludf.DUMMYFUNCTION("""COMPUTED_VALUE"""),37)</f>
        <v>37</v>
      </c>
      <c r="X206" s="27" t="str">
        <f ca="1">IFERROR(__xludf.DUMMYFUNCTION("""COMPUTED_VALUE"""),"Fundada em 2003* a instituição tem como missão: Fomentar no Brasil e no Exterior ações inovadoras para o desenvolvimento humano de reeducando* egressos do Sistema Penitenciário* jovens em conflito com a lei e todo e qualquer cidadão* criando oportunidades"&amp;" através de qualificação e formação empreendedora* despertando o apoderamento e a reconstrução da identidade.")</f>
        <v>Fundada em 2003* a instituição tem como missão: Fomentar no Brasil e no Exterior ações inovadoras para o desenvolvimento humano de reeducando* egressos do Sistema Penitenciário* jovens em conflito com a lei e todo e qualquer cidadão* criando oportunidades através de qualificação e formação empreendedora* despertando o apoderamento e a reconstrução da identidade.</v>
      </c>
      <c r="Y206" s="27"/>
      <c r="Z206" s="27">
        <f ca="1">IFERROR(__xludf.DUMMYFUNCTION("""COMPUTED_VALUE"""),2750)</f>
        <v>2750</v>
      </c>
      <c r="AA206" s="29">
        <f ca="1">IFERROR(__xludf.DUMMYFUNCTION("""COMPUTED_VALUE"""),37745)</f>
        <v>37745</v>
      </c>
      <c r="AB206" s="27" t="str">
        <f ca="1">IFERROR(__xludf.DUMMYFUNCTION("""COMPUTED_VALUE"""),"Sim")</f>
        <v>Sim</v>
      </c>
      <c r="AC206" s="27">
        <f ca="1">IFERROR(__xludf.DUMMYFUNCTION("""COMPUTED_VALUE"""),3)</f>
        <v>3</v>
      </c>
      <c r="AD206" s="27">
        <f ca="1">IFERROR(__xludf.DUMMYFUNCTION("""COMPUTED_VALUE"""),2)</f>
        <v>2</v>
      </c>
      <c r="AE206" s="27">
        <f ca="1">IFERROR(__xludf.DUMMYFUNCTION("""COMPUTED_VALUE"""),2)</f>
        <v>2</v>
      </c>
      <c r="AF206" s="27">
        <f ca="1">IFERROR(__xludf.DUMMYFUNCTION("""COMPUTED_VALUE"""),0)</f>
        <v>0</v>
      </c>
      <c r="AG206" s="27">
        <f ca="1">IFERROR(__xludf.DUMMYFUNCTION("""COMPUTED_VALUE"""),2)</f>
        <v>2</v>
      </c>
      <c r="AH206" s="27" t="str">
        <f ca="1">IFERROR(__xludf.DUMMYFUNCTION("""COMPUTED_VALUE"""),"Eventos/Ações para captação, Doações")</f>
        <v>Eventos/Ações para captação, Doações</v>
      </c>
      <c r="AI206" s="27">
        <f ca="1">IFERROR(__xludf.DUMMYFUNCTION("""COMPUTED_VALUE"""),0)</f>
        <v>0</v>
      </c>
      <c r="AJ206" s="27" t="str">
        <f ca="1">IFERROR(__xludf.DUMMYFUNCTION("""COMPUTED_VALUE"""),"Sim")</f>
        <v>Sim</v>
      </c>
      <c r="AK206" s="27"/>
      <c r="AL206" s="21" t="str">
        <f ca="1">IFERROR(__xludf.DUMMYFUNCTION("""COMPUTED_VALUE"""),"0034X0000380O2f")</f>
        <v>0034X0000380O2f</v>
      </c>
      <c r="AM206" s="27" t="str">
        <f ca="1">IFERROR(__xludf.DUMMYFUNCTION("""COMPUTED_VALUE"""),"Mara de jesus santos")</f>
        <v>Mara de jesus santos</v>
      </c>
      <c r="AN206" s="27" t="str">
        <f ca="1">IFERROR(__xludf.DUMMYFUNCTION("""COMPUTED_VALUE"""),"Ativo")</f>
        <v>Ativo</v>
      </c>
      <c r="AO206" s="29">
        <f ca="1">IFERROR(__xludf.DUMMYFUNCTION("""COMPUTED_VALUE"""),44763)</f>
        <v>44763</v>
      </c>
      <c r="AP206" s="27">
        <f ca="1">IFERROR(__xludf.DUMMYFUNCTION("""COMPUTED_VALUE"""),2)</f>
        <v>2</v>
      </c>
      <c r="AQ206" s="27" t="str">
        <f ca="1">IFERROR(__xludf.DUMMYFUNCTION("""COMPUTED_VALUE"""),"Primeiro Semestre 2022")</f>
        <v>Primeiro Semestre 2022</v>
      </c>
      <c r="AR206" s="27" t="str">
        <f ca="1">IFERROR(__xludf.DUMMYFUNCTION("""COMPUTED_VALUE"""),"ericamara03@gmail.com")</f>
        <v>ericamara03@gmail.com</v>
      </c>
      <c r="AS206" s="27" t="str">
        <f ca="1">IFERROR(__xludf.DUMMYFUNCTION("""COMPUTED_VALUE"""),"2195904-4342")</f>
        <v>2195904-4342</v>
      </c>
      <c r="AT206" s="29">
        <f ca="1">IFERROR(__xludf.DUMMYFUNCTION("""COMPUTED_VALUE"""),28191)</f>
        <v>28191</v>
      </c>
      <c r="AU206" s="27">
        <f ca="1">IFERROR(__xludf.DUMMYFUNCTION("""COMPUTED_VALUE"""),45)</f>
        <v>45</v>
      </c>
      <c r="AV206" s="27">
        <f ca="1">IFERROR(__xludf.DUMMYFUNCTION("""COMPUTED_VALUE"""),8049142736)</f>
        <v>8049142736</v>
      </c>
      <c r="AW206" s="27" t="str">
        <f ca="1">IFERROR(__xludf.DUMMYFUNCTION("""COMPUTED_VALUE"""),"10.115.355-9")</f>
        <v>10.115.355-9</v>
      </c>
      <c r="AX206" s="27"/>
      <c r="AY206" s="27"/>
      <c r="AZ206" s="27" t="str">
        <f ca="1">IFERROR(__xludf.DUMMYFUNCTION("""COMPUTED_VALUE"""),"G")</f>
        <v>G</v>
      </c>
      <c r="BA206" s="27" t="str">
        <f ca="1">IFERROR(__xludf.DUMMYFUNCTION("""COMPUTED_VALUE"""),"Preta")</f>
        <v>Preta</v>
      </c>
      <c r="BB206" s="27"/>
      <c r="BC206" s="27"/>
      <c r="BD206" s="27" t="str">
        <f ca="1">IFERROR(__xludf.DUMMYFUNCTION("""COMPUTED_VALUE"""),"Assistente Social com especialização em Atendimento à Família e Segurança Pública e Políticas Públicas. Habilidades para coordenar e desenvolver trabalhos em equipe* agregando pessoas e sempre com foco em resultados. Facilidade para desenvolver bons relac"&amp;"ionamentos interpessoais* atingindo eficiência e eficácia nos resultados organizacionais. Senso de prioridade* organização e iniciativa* buscando sempre aperfeiçoar processos* para atingir metas e objetivos. Facilidade de adaptação às mudanças* participan"&amp;"do do processo e disseminando positivamente novas idéias.")</f>
        <v>Assistente Social com especialização em Atendimento à Família e Segurança Pública e Políticas Públicas. Habilidades para coordenar e desenvolver trabalhos em equipe* agregando pessoas e sempre com foco em resultados. Facilidade para desenvolver bons relacionamentos interpessoais* atingindo eficiência e eficácia nos resultados organizacionais. Senso de prioridade* organização e iniciativa* buscando sempre aperfeiçoar processos* para atingir metas e objetivos. Facilidade de adaptação às mudanças* participando do processo e disseminando positivamente novas idéias.</v>
      </c>
      <c r="BE206" s="27" t="str">
        <f ca="1">IFERROR(__xludf.DUMMYFUNCTION("""COMPUTED_VALUE"""),"Feminino")</f>
        <v>Feminino</v>
      </c>
      <c r="BF206" s="27" t="str">
        <f ca="1">IFERROR(__xludf.DUMMYFUNCTION("""COMPUTED_VALUE"""),"Heterossexual")</f>
        <v>Heterossexual</v>
      </c>
      <c r="BG206" s="27"/>
      <c r="BH206" s="27" t="str">
        <f ca="1">IFERROR(__xludf.DUMMYFUNCTION("""COMPUTED_VALUE"""),"Público")</f>
        <v>Público</v>
      </c>
      <c r="BI206" s="27" t="str">
        <f ca="1">IFERROR(__xludf.DUMMYFUNCTION("""COMPUTED_VALUE"""),"Pós-Graduação")</f>
        <v>Pós-Graduação</v>
      </c>
      <c r="BJ206" s="27" t="str">
        <f ca="1">IFERROR(__xludf.DUMMYFUNCTION("""COMPUTED_VALUE"""),"Privado")</f>
        <v>Privado</v>
      </c>
      <c r="BK206" s="27" t="str">
        <f ca="1">IFERROR(__xludf.DUMMYFUNCTION("""COMPUTED_VALUE"""),"Vila Telemaco")</f>
        <v>Vila Telemaco</v>
      </c>
      <c r="BL206" s="27">
        <f ca="1">IFERROR(__xludf.DUMMYFUNCTION("""COMPUTED_VALUE"""),32)</f>
        <v>32</v>
      </c>
      <c r="BM206" s="27"/>
      <c r="BN206" s="27"/>
      <c r="BO206" s="27">
        <f ca="1">IFERROR(__xludf.DUMMYFUNCTION("""COMPUTED_VALUE"""),21061560)</f>
        <v>21061560</v>
      </c>
      <c r="BP206" s="27" t="str">
        <f ca="1">IFERROR(__xludf.DUMMYFUNCTION("""COMPUTED_VALUE"""),"RJ")</f>
        <v>RJ</v>
      </c>
      <c r="BQ206" s="27" t="str">
        <f ca="1">IFERROR(__xludf.DUMMYFUNCTION("""COMPUTED_VALUE"""),"Entre 1 até 3 salários mínimos")</f>
        <v>Entre 1 até 3 salários mínimos</v>
      </c>
      <c r="BR206" s="27" t="str">
        <f ca="1">IFERROR(__xludf.DUMMYFUNCTION("""COMPUTED_VALUE"""),"Trabalho informal")</f>
        <v>Trabalho informal</v>
      </c>
      <c r="BS206" s="27" t="str">
        <f ca="1">IFERROR(__xludf.DUMMYFUNCTION("""COMPUTED_VALUE"""),"Casa cedida")</f>
        <v>Casa cedida</v>
      </c>
      <c r="BT206" s="27">
        <f ca="1">IFERROR(__xludf.DUMMYFUNCTION("""COMPUTED_VALUE"""),4)</f>
        <v>4</v>
      </c>
      <c r="BU206" s="27" t="str">
        <f ca="1">IFERROR(__xludf.DUMMYFUNCTION("""COMPUTED_VALUE"""),"Não tem")</f>
        <v>Não tem</v>
      </c>
      <c r="BV206" s="27" t="str">
        <f ca="1">IFERROR(__xludf.DUMMYFUNCTION("""COMPUTED_VALUE"""),"Não")</f>
        <v>Não</v>
      </c>
      <c r="BW206" s="27"/>
      <c r="BX206" s="27"/>
      <c r="BY206" s="27"/>
    </row>
    <row r="207" spans="1:77" ht="12.5" x14ac:dyDescent="0.25">
      <c r="A207" s="21" t="str">
        <f ca="1">IFERROR(__xludf.DUMMYFUNCTION("""COMPUTED_VALUE"""),"0014P00003SGWPkQAP")</f>
        <v>0014P00003SGWPkQAP</v>
      </c>
      <c r="B207" s="27" t="str">
        <f ca="1">IFERROR(__xludf.DUMMYFUNCTION("""COMPUTED_VALUE"""),"Fase Inicial")</f>
        <v>Fase Inicial</v>
      </c>
      <c r="C207" s="27" t="str">
        <f ca="1">IFERROR(__xludf.DUMMYFUNCTION("""COMPUTED_VALUE"""),"Fellow")</f>
        <v>Fellow</v>
      </c>
      <c r="D207" s="27" t="str">
        <f ca="1">IFERROR(__xludf.DUMMYFUNCTION("""COMPUTED_VALUE"""),"Ativo")</f>
        <v>Ativo</v>
      </c>
      <c r="E207" s="27" t="str">
        <f ca="1">IFERROR(__xludf.DUMMYFUNCTION("""COMPUTED_VALUE"""),"CENTRO DE RECREAÇÃO INFANTIL AMAR MAIS MUITO MAIS")</f>
        <v>CENTRO DE RECREAÇÃO INFANTIL AMAR MAIS MUITO MAIS</v>
      </c>
      <c r="F207" s="27" t="str">
        <f ca="1">IFERROR(__xludf.DUMMYFUNCTION("""COMPUTED_VALUE"""),"Girlane")</f>
        <v>Girlane</v>
      </c>
      <c r="G207" s="27" t="str">
        <f ca="1">IFERROR(__xludf.DUMMYFUNCTION("""COMPUTED_VALUE"""),"CRIAMAR")</f>
        <v>CRIAMAR</v>
      </c>
      <c r="H207" s="27" t="str">
        <f ca="1">IFERROR(__xludf.DUMMYFUNCTION("""COMPUTED_VALUE"""),"20.459.428/0001-04")</f>
        <v>20.459.428/0001-04</v>
      </c>
      <c r="I207" s="27" t="str">
        <f ca="1">IFERROR(__xludf.DUMMYFUNCTION("""COMPUTED_VALUE"""),"Girlane Souza Do Nascimento Salarini Gimenez")</f>
        <v>Girlane Souza Do Nascimento Salarini Gimenez</v>
      </c>
      <c r="J207" s="27" t="str">
        <f ca="1">IFERROR(__xludf.DUMMYFUNCTION("""COMPUTED_VALUE"""),"criamarmaismuitomais@gmail.com")</f>
        <v>criamarmaismuitomais@gmail.com</v>
      </c>
      <c r="K207" s="27" t="str">
        <f ca="1">IFERROR(__xludf.DUMMYFUNCTION("""COMPUTED_VALUE"""),"(11)3859-0317")</f>
        <v>(11)3859-0317</v>
      </c>
      <c r="L207" s="27" t="str">
        <f ca="1">IFERROR(__xludf.DUMMYFUNCTION("""COMPUTED_VALUE"""),"SP")</f>
        <v>SP</v>
      </c>
      <c r="M207" s="27" t="str">
        <f ca="1">IFERROR(__xludf.DUMMYFUNCTION("""COMPUTED_VALUE"""),"Cariacica")</f>
        <v>Cariacica</v>
      </c>
      <c r="N207" s="27" t="str">
        <f ca="1">IFERROR(__xludf.DUMMYFUNCTION("""COMPUTED_VALUE"""),"JD. SANTA CRUZ")</f>
        <v>JD. SANTA CRUZ</v>
      </c>
      <c r="O207" s="27" t="str">
        <f ca="1">IFERROR(__xludf.DUMMYFUNCTION("""COMPUTED_VALUE"""),"(11)98894-9209")</f>
        <v>(11)98894-9209</v>
      </c>
      <c r="P207" s="27" t="str">
        <f ca="1">IFERROR(__xludf.DUMMYFUNCTION("""COMPUTED_VALUE"""),"São Paulo")</f>
        <v>São Paulo</v>
      </c>
      <c r="Q207" s="27"/>
      <c r="R207" s="27" t="str">
        <f ca="1">IFERROR(__xludf.DUMMYFUNCTION("""COMPUTED_VALUE"""),"02672-060")</f>
        <v>02672-060</v>
      </c>
      <c r="S207" s="27"/>
      <c r="T207" s="27" t="str">
        <f ca="1">IFERROR(__xludf.DUMMYFUNCTION("""COMPUTED_VALUE"""),"Esporte; Educação; Defesa de Direitos")</f>
        <v>Esporte; Educação; Defesa de Direitos</v>
      </c>
      <c r="U207" s="27" t="str">
        <f ca="1">IFERROR(__xludf.DUMMYFUNCTION("""COMPUTED_VALUE"""),"Crianças bem pequenas (1 ano e 7 meses até 3 anos e 11 meses); Crianças (6 a 12 anos); Adolescentes (12 aos 18 anos)")</f>
        <v>Crianças bem pequenas (1 ano e 7 meses até 3 anos e 11 meses); Crianças (6 a 12 anos); Adolescentes (12 aos 18 anos)</v>
      </c>
      <c r="V207" s="27" t="str">
        <f ca="1">IFERROR(__xludf.DUMMYFUNCTION("""COMPUTED_VALUE"""),"Moradores de Favelas")</f>
        <v>Moradores de Favelas</v>
      </c>
      <c r="W207" s="27">
        <f ca="1">IFERROR(__xludf.DUMMYFUNCTION("""COMPUTED_VALUE"""),6)</f>
        <v>6</v>
      </c>
      <c r="X207" s="27"/>
      <c r="Y207" s="27">
        <f ca="1">IFERROR(__xludf.DUMMYFUNCTION("""COMPUTED_VALUE"""),150)</f>
        <v>150</v>
      </c>
      <c r="Z207" s="27">
        <f ca="1">IFERROR(__xludf.DUMMYFUNCTION("""COMPUTED_VALUE"""),3400)</f>
        <v>3400</v>
      </c>
      <c r="AA207" s="29">
        <f ca="1">IFERROR(__xludf.DUMMYFUNCTION("""COMPUTED_VALUE"""),41285)</f>
        <v>41285</v>
      </c>
      <c r="AB207" s="27" t="str">
        <f ca="1">IFERROR(__xludf.DUMMYFUNCTION("""COMPUTED_VALUE"""),"Sim")</f>
        <v>Sim</v>
      </c>
      <c r="AC207" s="27">
        <f ca="1">IFERROR(__xludf.DUMMYFUNCTION("""COMPUTED_VALUE"""),7)</f>
        <v>7</v>
      </c>
      <c r="AD207" s="27">
        <f ca="1">IFERROR(__xludf.DUMMYFUNCTION("""COMPUTED_VALUE"""),7)</f>
        <v>7</v>
      </c>
      <c r="AE207" s="27">
        <f ca="1">IFERROR(__xludf.DUMMYFUNCTION("""COMPUTED_VALUE"""),0)</f>
        <v>0</v>
      </c>
      <c r="AF207" s="27">
        <f ca="1">IFERROR(__xludf.DUMMYFUNCTION("""COMPUTED_VALUE"""),0)</f>
        <v>0</v>
      </c>
      <c r="AG207" s="27">
        <f ca="1">IFERROR(__xludf.DUMMYFUNCTION("""COMPUTED_VALUE"""),5)</f>
        <v>5</v>
      </c>
      <c r="AH207" s="27" t="str">
        <f ca="1">IFERROR(__xludf.DUMMYFUNCTION("""COMPUTED_VALUE"""),"Eventos/Ações para captação; Editais; Outro(s); Doações")</f>
        <v>Eventos/Ações para captação; Editais; Outro(s); Doações</v>
      </c>
      <c r="AI207" s="27" t="str">
        <f ca="1">IFERROR(__xludf.DUMMYFUNCTION("""COMPUTED_VALUE"""),"Bazar - 50%, Doações 10%, Nota Fiscal Paulista 10%, Editais 20%, Evento 10%")</f>
        <v>Bazar - 50%, Doações 10%, Nota Fiscal Paulista 10%, Editais 20%, Evento 10%</v>
      </c>
      <c r="AJ207" s="27" t="str">
        <f ca="1">IFERROR(__xludf.DUMMYFUNCTION("""COMPUTED_VALUE"""),"Não")</f>
        <v>Não</v>
      </c>
      <c r="AK207" s="27" t="str">
        <f ca="1">IFERROR(__xludf.DUMMYFUNCTION("""COMPUTED_VALUE"""),"Não")</f>
        <v>Não</v>
      </c>
      <c r="AL207" s="21" t="str">
        <f ca="1">IFERROR(__xludf.DUMMYFUNCTION("""COMPUTED_VALUE"""),"0034P000043fOnr")</f>
        <v>0034P000043fOnr</v>
      </c>
      <c r="AM207" s="27" t="str">
        <f ca="1">IFERROR(__xludf.DUMMYFUNCTION("""COMPUTED_VALUE"""),"Souza Do Nascimento Salarini Gimenez")</f>
        <v>Souza Do Nascimento Salarini Gimenez</v>
      </c>
      <c r="AN207" s="27" t="str">
        <f ca="1">IFERROR(__xludf.DUMMYFUNCTION("""COMPUTED_VALUE"""),"Ativo")</f>
        <v>Ativo</v>
      </c>
      <c r="AO207" s="29">
        <f ca="1">IFERROR(__xludf.DUMMYFUNCTION("""COMPUTED_VALUE"""),44432)</f>
        <v>44432</v>
      </c>
      <c r="AP207" s="27">
        <f ca="1">IFERROR(__xludf.DUMMYFUNCTION("""COMPUTED_VALUE"""),13)</f>
        <v>13</v>
      </c>
      <c r="AQ207" s="27" t="str">
        <f ca="1">IFERROR(__xludf.DUMMYFUNCTION("""COMPUTED_VALUE"""),"Primeiro Semestre 2021")</f>
        <v>Primeiro Semestre 2021</v>
      </c>
      <c r="AR207" s="27" t="str">
        <f ca="1">IFERROR(__xludf.DUMMYFUNCTION("""COMPUTED_VALUE"""),"gislainegimenez@gmail.com")</f>
        <v>gislainegimenez@gmail.com</v>
      </c>
      <c r="AS207" s="27" t="str">
        <f ca="1">IFERROR(__xludf.DUMMYFUNCTION("""COMPUTED_VALUE"""),"(11)98894-9209")</f>
        <v>(11)98894-9209</v>
      </c>
      <c r="AT207" s="29">
        <f ca="1">IFERROR(__xludf.DUMMYFUNCTION("""COMPUTED_VALUE"""),28873)</f>
        <v>28873</v>
      </c>
      <c r="AU207" s="27">
        <f ca="1">IFERROR(__xludf.DUMMYFUNCTION("""COMPUTED_VALUE"""),43)</f>
        <v>43</v>
      </c>
      <c r="AV207" s="27">
        <f ca="1">IFERROR(__xludf.DUMMYFUNCTION("""COMPUTED_VALUE"""),27462527839)</f>
        <v>27462527839</v>
      </c>
      <c r="AW207" s="27">
        <f ca="1">IFERROR(__xludf.DUMMYFUNCTION("""COMPUTED_VALUE"""),1121169)</f>
        <v>1121169</v>
      </c>
      <c r="AX207" s="27" t="str">
        <f ca="1">IFERROR(__xludf.DUMMYFUNCTION("""COMPUTED_VALUE"""),"Pedagogia")</f>
        <v>Pedagogia</v>
      </c>
      <c r="AY207" s="27"/>
      <c r="AZ207" s="27" t="str">
        <f ca="1">IFERROR(__xludf.DUMMYFUNCTION("""COMPUTED_VALUE"""),"G")</f>
        <v>G</v>
      </c>
      <c r="BA207" s="27" t="str">
        <f ca="1">IFERROR(__xludf.DUMMYFUNCTION("""COMPUTED_VALUE"""),"Preta")</f>
        <v>Preta</v>
      </c>
      <c r="BB207" s="27"/>
      <c r="BC207" s="27" t="str">
        <f ca="1">IFERROR(__xludf.DUMMYFUNCTION("""COMPUTED_VALUE"""),"Sim")</f>
        <v>Sim</v>
      </c>
      <c r="BD207" s="27" t="str">
        <f ca="1">IFERROR(__xludf.DUMMYFUNCTION("""COMPUTED_VALUE"""),"Moradora do Jardim Peri Alto desde a infância, vive na pele a desigualdade social, como muitas mães, ela precisou voltar ao trabalho após 15 dias do nascimento de sua filha. Acredita no potencial da criança como um ser perfeito, justo e solidário e que um"&amp;"a sociedade organizada pode ser protagonista de sua transformação.")</f>
        <v>Moradora do Jardim Peri Alto desde a infância, vive na pele a desigualdade social, como muitas mães, ela precisou voltar ao trabalho após 15 dias do nascimento de sua filha. Acredita no potencial da criança como um ser perfeito, justo e solidário e que uma sociedade organizada pode ser protagonista de sua transformação.</v>
      </c>
      <c r="BE207" s="27" t="str">
        <f ca="1">IFERROR(__xludf.DUMMYFUNCTION("""COMPUTED_VALUE"""),"Masculino")</f>
        <v>Masculino</v>
      </c>
      <c r="BF207" s="27" t="str">
        <f ca="1">IFERROR(__xludf.DUMMYFUNCTION("""COMPUTED_VALUE"""),"Heterossexual")</f>
        <v>Heterossexual</v>
      </c>
      <c r="BG207" s="27" t="str">
        <f ca="1">IFERROR(__xludf.DUMMYFUNCTION("""COMPUTED_VALUE"""),"Ensino Superior - Completo")</f>
        <v>Ensino Superior - Completo</v>
      </c>
      <c r="BH207" s="27"/>
      <c r="BI207" s="27" t="str">
        <f ca="1">IFERROR(__xludf.DUMMYFUNCTION("""COMPUTED_VALUE"""),"Graduação")</f>
        <v>Graduação</v>
      </c>
      <c r="BJ207" s="27" t="str">
        <f ca="1">IFERROR(__xludf.DUMMYFUNCTION("""COMPUTED_VALUE"""),"Privado")</f>
        <v>Privado</v>
      </c>
      <c r="BK207" s="27" t="str">
        <f ca="1">IFERROR(__xludf.DUMMYFUNCTION("""COMPUTED_VALUE"""),"Cariacica")</f>
        <v>Cariacica</v>
      </c>
      <c r="BL207" s="27">
        <f ca="1">IFERROR(__xludf.DUMMYFUNCTION("""COMPUTED_VALUE"""),59)</f>
        <v>59</v>
      </c>
      <c r="BM207" s="27"/>
      <c r="BN207" s="27" t="str">
        <f ca="1">IFERROR(__xludf.DUMMYFUNCTION("""COMPUTED_VALUE"""),"São Paulo")</f>
        <v>São Paulo</v>
      </c>
      <c r="BO207" s="27" t="str">
        <f ca="1">IFERROR(__xludf.DUMMYFUNCTION("""COMPUTED_VALUE"""),"02672-060")</f>
        <v>02672-060</v>
      </c>
      <c r="BP207" s="27" t="str">
        <f ca="1">IFERROR(__xludf.DUMMYFUNCTION("""COMPUTED_VALUE"""),"SP")</f>
        <v>SP</v>
      </c>
      <c r="BQ207" s="27" t="str">
        <f ca="1">IFERROR(__xludf.DUMMYFUNCTION("""COMPUTED_VALUE"""),"De 3 até 5 salários mínimos")</f>
        <v>De 3 até 5 salários mínimos</v>
      </c>
      <c r="BR207" s="27" t="str">
        <f ca="1">IFERROR(__xludf.DUMMYFUNCTION("""COMPUTED_VALUE"""),"MEI")</f>
        <v>MEI</v>
      </c>
      <c r="BS207" s="27" t="str">
        <f ca="1">IFERROR(__xludf.DUMMYFUNCTION("""COMPUTED_VALUE"""),"Casa própria")</f>
        <v>Casa própria</v>
      </c>
      <c r="BT207" s="27">
        <f ca="1">IFERROR(__xludf.DUMMYFUNCTION("""COMPUTED_VALUE"""),4)</f>
        <v>4</v>
      </c>
      <c r="BU207" s="27"/>
      <c r="BV207" s="27"/>
      <c r="BW207" s="21" t="str">
        <f ca="1">IFERROR(__xludf.DUMMYFUNCTION("""COMPUTED_VALUE"""),"https://www.linkedin.com/in/girlane-souza-do-nascimento-salarini-gimenez-894491236/")</f>
        <v>https://www.linkedin.com/in/girlane-souza-do-nascimento-salarini-gimenez-894491236/</v>
      </c>
      <c r="BX207" s="21" t="str">
        <f ca="1">IFERROR(__xludf.DUMMYFUNCTION("""COMPUTED_VALUE"""),"https://instagram.com/gigimenez6?utm_medium=copy_link")</f>
        <v>https://instagram.com/gigimenez6?utm_medium=copy_link</v>
      </c>
      <c r="BY207" s="21" t="str">
        <f ca="1">IFERROR(__xludf.DUMMYFUNCTION("""COMPUTED_VALUE"""),"https://drive.google.com/open?id=1kTitGE2p4epe-BTHjqODYSpQUQYmNHlK")</f>
        <v>https://drive.google.com/open?id=1kTitGE2p4epe-BTHjqODYSpQUQYmNHlK</v>
      </c>
    </row>
    <row r="208" spans="1:77" ht="12.5" hidden="1" x14ac:dyDescent="0.25">
      <c r="A208" s="21" t="str">
        <f ca="1">IFERROR(__xludf.DUMMYFUNCTION("""COMPUTED_VALUE"""),"0014X00002VKCuUQAX")</f>
        <v>0014X00002VKCuUQAX</v>
      </c>
      <c r="B208" s="27" t="str">
        <f ca="1">IFERROR(__xludf.DUMMYFUNCTION("""COMPUTED_VALUE"""),"Fase Inicial")</f>
        <v>Fase Inicial</v>
      </c>
      <c r="C208" s="27" t="str">
        <f ca="1">IFERROR(__xludf.DUMMYFUNCTION("""COMPUTED_VALUE"""),"Fellow")</f>
        <v>Fellow</v>
      </c>
      <c r="D208" s="27" t="str">
        <f ca="1">IFERROR(__xludf.DUMMYFUNCTION("""COMPUTED_VALUE"""),"Ativo")</f>
        <v>Ativo</v>
      </c>
      <c r="E208" s="27" t="str">
        <f ca="1">IFERROR(__xludf.DUMMYFUNCTION("""COMPUTED_VALUE"""),"Centro de Recuperação e Educação Nutricional")</f>
        <v>Centro de Recuperação e Educação Nutricional</v>
      </c>
      <c r="F208" s="27" t="str">
        <f ca="1">IFERROR(__xludf.DUMMYFUNCTION("""COMPUTED_VALUE"""),"Caio")</f>
        <v>Caio</v>
      </c>
      <c r="G208" s="27" t="str">
        <f ca="1">IFERROR(__xludf.DUMMYFUNCTION("""COMPUTED_VALUE"""),"CREN")</f>
        <v>CREN</v>
      </c>
      <c r="H208" s="27" t="str">
        <f ca="1">IFERROR(__xludf.DUMMYFUNCTION("""COMPUTED_VALUE"""),"71.732.960/0001-00")</f>
        <v>71.732.960/0001-00</v>
      </c>
      <c r="I208" s="27" t="str">
        <f ca="1">IFERROR(__xludf.DUMMYFUNCTION("""COMPUTED_VALUE"""),"Vaney Paulo Fornazieri")</f>
        <v>Vaney Paulo Fornazieri</v>
      </c>
      <c r="J208" s="27" t="str">
        <f ca="1">IFERROR(__xludf.DUMMYFUNCTION("""COMPUTED_VALUE"""),"diretoria_adm@cren.org.br")</f>
        <v>diretoria_adm@cren.org.br</v>
      </c>
      <c r="K208" s="27" t="str">
        <f ca="1">IFERROR(__xludf.DUMMYFUNCTION("""COMPUTED_VALUE"""),"(11)3218-2410")</f>
        <v>(11)3218-2410</v>
      </c>
      <c r="L208" s="27" t="str">
        <f ca="1">IFERROR(__xludf.DUMMYFUNCTION("""COMPUTED_VALUE"""),"SP")</f>
        <v>SP</v>
      </c>
      <c r="M208" s="27" t="str">
        <f ca="1">IFERROR(__xludf.DUMMYFUNCTION("""COMPUTED_VALUE"""),"Rua : das Azaleas n244")</f>
        <v>Rua : das Azaleas n244</v>
      </c>
      <c r="N208" s="27" t="str">
        <f ca="1">IFERROR(__xludf.DUMMYFUNCTION("""COMPUTED_VALUE"""),"Mirandopolis")</f>
        <v>Mirandopolis</v>
      </c>
      <c r="O208" s="27">
        <f ca="1">IFERROR(__xludf.DUMMYFUNCTION("""COMPUTED_VALUE"""),244)</f>
        <v>244</v>
      </c>
      <c r="P208" s="27" t="str">
        <f ca="1">IFERROR(__xludf.DUMMYFUNCTION("""COMPUTED_VALUE"""),"São Paulo")</f>
        <v>São Paulo</v>
      </c>
      <c r="Q208" s="27"/>
      <c r="R208" s="27" t="str">
        <f ca="1">IFERROR(__xludf.DUMMYFUNCTION("""COMPUTED_VALUE"""),"04049-010")</f>
        <v>04049-010</v>
      </c>
      <c r="S208" s="27"/>
      <c r="T208" s="27"/>
      <c r="U208" s="27" t="str">
        <f ca="1">IFERROR(__xludf.DUMMYFUNCTION("""COMPUTED_VALUE"""),"bebês (1 a 1ano e 6 meses), Adolescentes (12 aos 18 anos)")</f>
        <v>bebês (1 a 1ano e 6 meses), Adolescentes (12 aos 18 anos)</v>
      </c>
      <c r="V208" s="27" t="str">
        <f ca="1">IFERROR(__xludf.DUMMYFUNCTION("""COMPUTED_VALUE"""),"Outros")</f>
        <v>Outros</v>
      </c>
      <c r="W208" s="27">
        <f ca="1">IFERROR(__xludf.DUMMYFUNCTION("""COMPUTED_VALUE"""),2)</f>
        <v>2</v>
      </c>
      <c r="X208" s="27" t="str">
        <f ca="1">IFERROR(__xludf.DUMMYFUNCTION("""COMPUTED_VALUE"""),"Crianças e adolescentes com desvios nutricionais")</f>
        <v>Crianças e adolescentes com desvios nutricionais</v>
      </c>
      <c r="Y208" s="27"/>
      <c r="Z208" s="27">
        <f ca="1">IFERROR(__xludf.DUMMYFUNCTION("""COMPUTED_VALUE"""),5000)</f>
        <v>5000</v>
      </c>
      <c r="AA208" s="30">
        <f ca="1">IFERROR(__xludf.DUMMYFUNCTION("""COMPUTED_VALUE"""),34313)</f>
        <v>34313</v>
      </c>
      <c r="AB208" s="27" t="str">
        <f ca="1">IFERROR(__xludf.DUMMYFUNCTION("""COMPUTED_VALUE"""),"Sim")</f>
        <v>Sim</v>
      </c>
      <c r="AC208" s="27">
        <f ca="1">IFERROR(__xludf.DUMMYFUNCTION("""COMPUTED_VALUE"""),83)</f>
        <v>83</v>
      </c>
      <c r="AD208" s="27">
        <f ca="1">IFERROR(__xludf.DUMMYFUNCTION("""COMPUTED_VALUE"""),83)</f>
        <v>83</v>
      </c>
      <c r="AE208" s="27">
        <f ca="1">IFERROR(__xludf.DUMMYFUNCTION("""COMPUTED_VALUE"""),56)</f>
        <v>56</v>
      </c>
      <c r="AF208" s="27">
        <f ca="1">IFERROR(__xludf.DUMMYFUNCTION("""COMPUTED_VALUE"""),56)</f>
        <v>56</v>
      </c>
      <c r="AG208" s="27">
        <f ca="1">IFERROR(__xludf.DUMMYFUNCTION("""COMPUTED_VALUE"""),8)</f>
        <v>8</v>
      </c>
      <c r="AH208" s="27" t="str">
        <f ca="1">IFERROR(__xludf.DUMMYFUNCTION("""COMPUTED_VALUE"""),"Lei de Incentivo, Convênio Público, Eventos/Ações para captação, Plataforma doação online - Pessoa Física, Parceria iniciativa privada, Editais, Outro(s), Doações")</f>
        <v>Lei de Incentivo, Convênio Público, Eventos/Ações para captação, Plataforma doação online - Pessoa Física, Parceria iniciativa privada, Editais, Outro(s), Doações</v>
      </c>
      <c r="AI208" s="27" t="str">
        <f ca="1">IFERROR(__xludf.DUMMYFUNCTION("""COMPUTED_VALUE"""),"000p")</f>
        <v>000p</v>
      </c>
      <c r="AJ208" s="27" t="str">
        <f ca="1">IFERROR(__xludf.DUMMYFUNCTION("""COMPUTED_VALUE"""),"Sim")</f>
        <v>Sim</v>
      </c>
      <c r="AK208" s="27"/>
      <c r="AL208" s="21" t="str">
        <f ca="1">IFERROR(__xludf.DUMMYFUNCTION("""COMPUTED_VALUE"""),"0034X0000380O2i")</f>
        <v>0034X0000380O2i</v>
      </c>
      <c r="AM208" s="27" t="str">
        <f ca="1">IFERROR(__xludf.DUMMYFUNCTION("""COMPUTED_VALUE"""),"Dervage da silva")</f>
        <v>Dervage da silva</v>
      </c>
      <c r="AN208" s="27" t="str">
        <f ca="1">IFERROR(__xludf.DUMMYFUNCTION("""COMPUTED_VALUE"""),"Ativo")</f>
        <v>Ativo</v>
      </c>
      <c r="AO208" s="29">
        <f ca="1">IFERROR(__xludf.DUMMYFUNCTION("""COMPUTED_VALUE"""),44763)</f>
        <v>44763</v>
      </c>
      <c r="AP208" s="27">
        <f ca="1">IFERROR(__xludf.DUMMYFUNCTION("""COMPUTED_VALUE"""),2)</f>
        <v>2</v>
      </c>
      <c r="AQ208" s="27" t="str">
        <f ca="1">IFERROR(__xludf.DUMMYFUNCTION("""COMPUTED_VALUE"""),"Primeiro Semestre 2022")</f>
        <v>Primeiro Semestre 2022</v>
      </c>
      <c r="AR208" s="27" t="str">
        <f ca="1">IFERROR(__xludf.DUMMYFUNCTION("""COMPUTED_VALUE"""),"caiodervage27@gmail.com")</f>
        <v>caiodervage27@gmail.com</v>
      </c>
      <c r="AS208" s="27" t="str">
        <f ca="1">IFERROR(__xludf.DUMMYFUNCTION("""COMPUTED_VALUE"""),"(11)9677-90288")</f>
        <v>(11)9677-90288</v>
      </c>
      <c r="AT208" s="29">
        <f ca="1">IFERROR(__xludf.DUMMYFUNCTION("""COMPUTED_VALUE"""),30586)</f>
        <v>30586</v>
      </c>
      <c r="AU208" s="27">
        <f ca="1">IFERROR(__xludf.DUMMYFUNCTION("""COMPUTED_VALUE"""),39)</f>
        <v>39</v>
      </c>
      <c r="AV208" s="27">
        <f ca="1">IFERROR(__xludf.DUMMYFUNCTION("""COMPUTED_VALUE"""),32050083831)</f>
        <v>32050083831</v>
      </c>
      <c r="AW208" s="27">
        <f ca="1">IFERROR(__xludf.DUMMYFUNCTION("""COMPUTED_VALUE"""),41678785)</f>
        <v>41678785</v>
      </c>
      <c r="AX208" s="27"/>
      <c r="AY208" s="27" t="str">
        <f ca="1">IFERROR(__xludf.DUMMYFUNCTION("""COMPUTED_VALUE"""),"Professor de Educação Física")</f>
        <v>Professor de Educação Física</v>
      </c>
      <c r="AZ208" s="27" t="str">
        <f ca="1">IFERROR(__xludf.DUMMYFUNCTION("""COMPUTED_VALUE"""),"GG")</f>
        <v>GG</v>
      </c>
      <c r="BA208" s="27" t="str">
        <f ca="1">IFERROR(__xludf.DUMMYFUNCTION("""COMPUTED_VALUE"""),"Branca")</f>
        <v>Branca</v>
      </c>
      <c r="BB208" s="27"/>
      <c r="BC208" s="27"/>
      <c r="BD208" s="27" t="str">
        <f ca="1">IFERROR(__xludf.DUMMYFUNCTION("""COMPUTED_VALUE"""),"Eu sou o Caio papai do Rafael e da Clara, casado com a Camila. Sou formado em Educação Física.
Toda minha experiência profissional foi no terceiro setor, trabalhei por 02 anos com medida sócio educativa, depois inicie um projeto piloto de uma academia par"&amp;"a portadores de hiv permaneci por 06 anos e hoje trabalho como oficineiro em um CDCM e de maneira CLT no Centro de Recuperação e Educação Nutricional.
Sou fascinado com o trabalho em grupo e com protagonismo juvenil")</f>
        <v>Eu sou o Caio papai do Rafael e da Clara, casado com a Camila. Sou formado em Educação Física.
Toda minha experiência profissional foi no terceiro setor, trabalhei por 02 anos com medida sócio educativa, depois inicie um projeto piloto de uma academia para portadores de hiv permaneci por 06 anos e hoje trabalho como oficineiro em um CDCM e de maneira CLT no Centro de Recuperação e Educação Nutricional.
Sou fascinado com o trabalho em grupo e com protagonismo juvenil</v>
      </c>
      <c r="BE208" s="27" t="str">
        <f ca="1">IFERROR(__xludf.DUMMYFUNCTION("""COMPUTED_VALUE"""),"Homem, cisgênero")</f>
        <v>Homem, cisgênero</v>
      </c>
      <c r="BF208" s="27" t="str">
        <f ca="1">IFERROR(__xludf.DUMMYFUNCTION("""COMPUTED_VALUE"""),"Heterossexual")</f>
        <v>Heterossexual</v>
      </c>
      <c r="BG208" s="27" t="str">
        <f ca="1">IFERROR(__xludf.DUMMYFUNCTION("""COMPUTED_VALUE"""),"Ensino Superior - Completo")</f>
        <v>Ensino Superior - Completo</v>
      </c>
      <c r="BH208" s="27" t="str">
        <f ca="1">IFERROR(__xludf.DUMMYFUNCTION("""COMPUTED_VALUE"""),"Público")</f>
        <v>Público</v>
      </c>
      <c r="BI208" s="27" t="str">
        <f ca="1">IFERROR(__xludf.DUMMYFUNCTION("""COMPUTED_VALUE"""),"Pós-Graduação")</f>
        <v>Pós-Graduação</v>
      </c>
      <c r="BJ208" s="27" t="str">
        <f ca="1">IFERROR(__xludf.DUMMYFUNCTION("""COMPUTED_VALUE"""),"Privado")</f>
        <v>Privado</v>
      </c>
      <c r="BK208" s="27" t="str">
        <f ca="1">IFERROR(__xludf.DUMMYFUNCTION("""COMPUTED_VALUE"""),"Sacadura Cabral")</f>
        <v>Sacadura Cabral</v>
      </c>
      <c r="BL208" s="27">
        <f ca="1">IFERROR(__xludf.DUMMYFUNCTION("""COMPUTED_VALUE"""),230)</f>
        <v>230</v>
      </c>
      <c r="BM208" s="27" t="str">
        <f ca="1">IFERROR(__xludf.DUMMYFUNCTION("""COMPUTED_VALUE"""),"Casa 07")</f>
        <v>Casa 07</v>
      </c>
      <c r="BN208" s="27" t="str">
        <f ca="1">IFERROR(__xludf.DUMMYFUNCTION("""COMPUTED_VALUE"""),"Poá")</f>
        <v>Poá</v>
      </c>
      <c r="BO208" s="27" t="str">
        <f ca="1">IFERROR(__xludf.DUMMYFUNCTION("""COMPUTED_VALUE"""),"08551-330")</f>
        <v>08551-330</v>
      </c>
      <c r="BP208" s="27" t="str">
        <f ca="1">IFERROR(__xludf.DUMMYFUNCTION("""COMPUTED_VALUE"""),"SP")</f>
        <v>SP</v>
      </c>
      <c r="BQ208" s="27" t="str">
        <f ca="1">IFERROR(__xludf.DUMMYFUNCTION("""COMPUTED_VALUE"""),"Acima de 5 salários mínimos")</f>
        <v>Acima de 5 salários mínimos</v>
      </c>
      <c r="BR208" s="27" t="str">
        <f ca="1">IFERROR(__xludf.DUMMYFUNCTION("""COMPUTED_VALUE"""),"Desempregado")</f>
        <v>Desempregado</v>
      </c>
      <c r="BS208" s="27" t="str">
        <f ca="1">IFERROR(__xludf.DUMMYFUNCTION("""COMPUTED_VALUE"""),"Casa própria")</f>
        <v>Casa própria</v>
      </c>
      <c r="BT208" s="27">
        <f ca="1">IFERROR(__xludf.DUMMYFUNCTION("""COMPUTED_VALUE"""),4)</f>
        <v>4</v>
      </c>
      <c r="BU208" s="27" t="str">
        <f ca="1">IFERROR(__xludf.DUMMYFUNCTION("""COMPUTED_VALUE"""),"Não tem")</f>
        <v>Não tem</v>
      </c>
      <c r="BV208" s="27" t="str">
        <f ca="1">IFERROR(__xludf.DUMMYFUNCTION("""COMPUTED_VALUE"""),"Não")</f>
        <v>Não</v>
      </c>
      <c r="BW208" s="27"/>
      <c r="BX208" s="27" t="str">
        <f ca="1">IFERROR(__xludf.DUMMYFUNCTION("""COMPUTED_VALUE"""),"@caiodervage")</f>
        <v>@caiodervage</v>
      </c>
      <c r="BY208" s="21" t="str">
        <f ca="1">IFERROR(__xludf.DUMMYFUNCTION("""COMPUTED_VALUE"""),"https://drive.google.com/open?id=1q1dT4_8jCA8CV4bWK78gQ7gmvlb1Osfk")</f>
        <v>https://drive.google.com/open?id=1q1dT4_8jCA8CV4bWK78gQ7gmvlb1Osfk</v>
      </c>
    </row>
    <row r="209" spans="1:77" ht="12.5" hidden="1" x14ac:dyDescent="0.25">
      <c r="A209" s="21" t="str">
        <f ca="1">IFERROR(__xludf.DUMMYFUNCTION("""COMPUTED_VALUE"""),"0014X00002VKCsFQAX")</f>
        <v>0014X00002VKCsFQAX</v>
      </c>
      <c r="B209" s="27" t="str">
        <f ca="1">IFERROR(__xludf.DUMMYFUNCTION("""COMPUTED_VALUE"""),"Fase Inicial")</f>
        <v>Fase Inicial</v>
      </c>
      <c r="C209" s="27" t="str">
        <f ca="1">IFERROR(__xludf.DUMMYFUNCTION("""COMPUTED_VALUE"""),"Fellow")</f>
        <v>Fellow</v>
      </c>
      <c r="D209" s="27" t="str">
        <f ca="1">IFERROR(__xludf.DUMMYFUNCTION("""COMPUTED_VALUE"""),"Ativo")</f>
        <v>Ativo</v>
      </c>
      <c r="E209" s="27" t="str">
        <f ca="1">IFERROR(__xludf.DUMMYFUNCTION("""COMPUTED_VALUE"""),"Centro dos Jovens Unidos na Militancia Comunitaria de Paulista")</f>
        <v>Centro dos Jovens Unidos na Militancia Comunitaria de Paulista</v>
      </c>
      <c r="F209" s="27" t="str">
        <f ca="1">IFERROR(__xludf.DUMMYFUNCTION("""COMPUTED_VALUE"""),"Walleska")</f>
        <v>Walleska</v>
      </c>
      <c r="G209" s="27" t="str">
        <f ca="1">IFERROR(__xludf.DUMMYFUNCTION("""COMPUTED_VALUE"""),"CEJUMIC")</f>
        <v>CEJUMIC</v>
      </c>
      <c r="H209" s="27" t="str">
        <f ca="1">IFERROR(__xludf.DUMMYFUNCTION("""COMPUTED_VALUE"""),"04.478.325/0001-35")</f>
        <v>04.478.325/0001-35</v>
      </c>
      <c r="I209" s="27" t="str">
        <f ca="1">IFERROR(__xludf.DUMMYFUNCTION("""COMPUTED_VALUE"""),"Walleska Figueiredo Magalhães")</f>
        <v>Walleska Figueiredo Magalhães</v>
      </c>
      <c r="J209" s="27" t="str">
        <f ca="1">IFERROR(__xludf.DUMMYFUNCTION("""COMPUTED_VALUE"""),"cejumic2021@gmail.com")</f>
        <v>cejumic2021@gmail.com</v>
      </c>
      <c r="K209" s="27" t="str">
        <f ca="1">IFERROR(__xludf.DUMMYFUNCTION("""COMPUTED_VALUE"""),"(81)98806-7677")</f>
        <v>(81)98806-7677</v>
      </c>
      <c r="L209" s="27" t="str">
        <f ca="1">IFERROR(__xludf.DUMMYFUNCTION("""COMPUTED_VALUE"""),"PE")</f>
        <v>PE</v>
      </c>
      <c r="M209" s="27" t="str">
        <f ca="1">IFERROR(__xludf.DUMMYFUNCTION("""COMPUTED_VALUE"""),"Rua Itinga, Quadra A03")</f>
        <v>Rua Itinga, Quadra A03</v>
      </c>
      <c r="N209" s="27" t="str">
        <f ca="1">IFERROR(__xludf.DUMMYFUNCTION("""COMPUTED_VALUE"""),"Engenho Maranguape")</f>
        <v>Engenho Maranguape</v>
      </c>
      <c r="O209" s="27">
        <f ca="1">IFERROR(__xludf.DUMMYFUNCTION("""COMPUTED_VALUE"""),40)</f>
        <v>40</v>
      </c>
      <c r="P209" s="27" t="str">
        <f ca="1">IFERROR(__xludf.DUMMYFUNCTION("""COMPUTED_VALUE"""),"Paulista")</f>
        <v>Paulista</v>
      </c>
      <c r="Q209" s="27"/>
      <c r="R209" s="27" t="str">
        <f ca="1">IFERROR(__xludf.DUMMYFUNCTION("""COMPUTED_VALUE"""),"53423-210")</f>
        <v>53423-210</v>
      </c>
      <c r="S209" s="27" t="str">
        <f ca="1">IFERROR(__xludf.DUMMYFUNCTION("""COMPUTED_VALUE"""),"Não.")</f>
        <v>Não.</v>
      </c>
      <c r="T209" s="27"/>
      <c r="U209" s="27" t="str">
        <f ca="1">IFERROR(__xludf.DUMMYFUNCTION("""COMPUTED_VALUE"""),"Crianças (6 a 12 anos), Adolescentes (12 aos 18 anos), Jovens (18 aos 24 anos), Adultos")</f>
        <v>Crianças (6 a 12 anos), Adolescentes (12 aos 18 anos), Jovens (18 aos 24 anos), Adultos</v>
      </c>
      <c r="V209" s="27" t="str">
        <f ca="1">IFERROR(__xludf.DUMMYFUNCTION("""COMPUTED_VALUE"""),"Moradores de Favelas, Outros")</f>
        <v>Moradores de Favelas, Outros</v>
      </c>
      <c r="W209" s="27">
        <f ca="1">IFERROR(__xludf.DUMMYFUNCTION("""COMPUTED_VALUE"""),5)</f>
        <v>5</v>
      </c>
      <c r="X209" s="27"/>
      <c r="Y209" s="27"/>
      <c r="Z209" s="27">
        <f ca="1">IFERROR(__xludf.DUMMYFUNCTION("""COMPUTED_VALUE"""),750)</f>
        <v>750</v>
      </c>
      <c r="AA209" s="29">
        <f ca="1">IFERROR(__xludf.DUMMYFUNCTION("""COMPUTED_VALUE"""),36939)</f>
        <v>36939</v>
      </c>
      <c r="AB209" s="27" t="str">
        <f ca="1">IFERROR(__xludf.DUMMYFUNCTION("""COMPUTED_VALUE"""),"Sim")</f>
        <v>Sim</v>
      </c>
      <c r="AC209" s="27">
        <f ca="1">IFERROR(__xludf.DUMMYFUNCTION("""COMPUTED_VALUE"""),0)</f>
        <v>0</v>
      </c>
      <c r="AD209" s="27">
        <f ca="1">IFERROR(__xludf.DUMMYFUNCTION("""COMPUTED_VALUE"""),10)</f>
        <v>10</v>
      </c>
      <c r="AE209" s="27">
        <f ca="1">IFERROR(__xludf.DUMMYFUNCTION("""COMPUTED_VALUE"""),10)</f>
        <v>10</v>
      </c>
      <c r="AF209" s="27">
        <f ca="1">IFERROR(__xludf.DUMMYFUNCTION("""COMPUTED_VALUE"""),3)</f>
        <v>3</v>
      </c>
      <c r="AG209" s="27">
        <f ca="1">IFERROR(__xludf.DUMMYFUNCTION("""COMPUTED_VALUE"""),2)</f>
        <v>2</v>
      </c>
      <c r="AH209" s="27" t="str">
        <f ca="1">IFERROR(__xludf.DUMMYFUNCTION("""COMPUTED_VALUE"""),"Outro(s), Doações")</f>
        <v>Outro(s), Doações</v>
      </c>
      <c r="AI209" s="27" t="str">
        <f ca="1">IFERROR(__xludf.DUMMYFUNCTION("""COMPUTED_VALUE"""),"100% Doações")</f>
        <v>100% Doações</v>
      </c>
      <c r="AJ209" s="27" t="str">
        <f ca="1">IFERROR(__xludf.DUMMYFUNCTION("""COMPUTED_VALUE"""),"Não")</f>
        <v>Não</v>
      </c>
      <c r="AK209" s="27"/>
      <c r="AL209" s="21" t="str">
        <f ca="1">IFERROR(__xludf.DUMMYFUNCTION("""COMPUTED_VALUE"""),"0034X0000380O3R")</f>
        <v>0034X0000380O3R</v>
      </c>
      <c r="AM209" s="27" t="str">
        <f ca="1">IFERROR(__xludf.DUMMYFUNCTION("""COMPUTED_VALUE"""),"Figueiredo magalhães")</f>
        <v>Figueiredo magalhães</v>
      </c>
      <c r="AN209" s="27" t="str">
        <f ca="1">IFERROR(__xludf.DUMMYFUNCTION("""COMPUTED_VALUE"""),"Ativo")</f>
        <v>Ativo</v>
      </c>
      <c r="AO209" s="29">
        <f ca="1">IFERROR(__xludf.DUMMYFUNCTION("""COMPUTED_VALUE"""),44763)</f>
        <v>44763</v>
      </c>
      <c r="AP209" s="27">
        <f ca="1">IFERROR(__xludf.DUMMYFUNCTION("""COMPUTED_VALUE"""),2)</f>
        <v>2</v>
      </c>
      <c r="AQ209" s="27" t="str">
        <f ca="1">IFERROR(__xludf.DUMMYFUNCTION("""COMPUTED_VALUE"""),"Primeiro Semestre 2022")</f>
        <v>Primeiro Semestre 2022</v>
      </c>
      <c r="AR209" s="27" t="str">
        <f ca="1">IFERROR(__xludf.DUMMYFUNCTION("""COMPUTED_VALUE"""),"walleskasocial2021@gmail.com")</f>
        <v>walleskasocial2021@gmail.com</v>
      </c>
      <c r="AS209" s="27">
        <f ca="1">IFERROR(__xludf.DUMMYFUNCTION("""COMPUTED_VALUE"""),81988067677)</f>
        <v>81988067677</v>
      </c>
      <c r="AT209" s="29">
        <f ca="1">IFERROR(__xludf.DUMMYFUNCTION("""COMPUTED_VALUE"""),29666)</f>
        <v>29666</v>
      </c>
      <c r="AU209" s="27">
        <f ca="1">IFERROR(__xludf.DUMMYFUNCTION("""COMPUTED_VALUE"""),41)</f>
        <v>41</v>
      </c>
      <c r="AV209" s="27">
        <f ca="1">IFERROR(__xludf.DUMMYFUNCTION("""COMPUTED_VALUE"""),3109131447)</f>
        <v>3109131447</v>
      </c>
      <c r="AW209" s="27">
        <f ca="1">IFERROR(__xludf.DUMMYFUNCTION("""COMPUTED_VALUE"""),5841642)</f>
        <v>5841642</v>
      </c>
      <c r="AX209" s="27"/>
      <c r="AY209" s="27"/>
      <c r="AZ209" s="27" t="str">
        <f ca="1">IFERROR(__xludf.DUMMYFUNCTION("""COMPUTED_VALUE"""),"M")</f>
        <v>M</v>
      </c>
      <c r="BA209" s="27" t="str">
        <f ca="1">IFERROR(__xludf.DUMMYFUNCTION("""COMPUTED_VALUE"""),"Parda")</f>
        <v>Parda</v>
      </c>
      <c r="BB209" s="27"/>
      <c r="BC209" s="27"/>
      <c r="BD209" s="27" t="str">
        <f ca="1">IFERROR(__xludf.DUMMYFUNCTION("""COMPUTED_VALUE"""),"Walleska  Figueiredo Magalhães *  40 anos* casada* 03 filhos* cursa o 4 periodo de serviço social* técnica de enfermagem*  função  que exercer atualmente  no hospital  universitário 
Osvaldo Cruz  e Prefeura Municipal  de Olinda  Coordena atualmente   a O"&amp;"NGCEJUMIC e faz   parte do grupo feminista Mulhe Art e Ação.    Conheçe de perto a realidade da periferia da comunidade  do Engenho  Maranguape* na qual atua ha mais de 20 anos .")</f>
        <v>Walleska  Figueiredo Magalhães *  40 anos* casada* 03 filhos* cursa o 4 periodo de serviço social* técnica de enfermagem*  função  que exercer atualmente  no hospital  universitário 
Osvaldo Cruz  e Prefeura Municipal  de Olinda  Coordena atualmente   a ONGCEJUMIC e faz   parte do grupo feminista Mulhe Art e Ação.    Conheçe de perto a realidade da periferia da comunidade  do Engenho  Maranguape* na qual atua ha mais de 20 anos .</v>
      </c>
      <c r="BE209" s="27" t="str">
        <f ca="1">IFERROR(__xludf.DUMMYFUNCTION("""COMPUTED_VALUE"""),"Feminino")</f>
        <v>Feminino</v>
      </c>
      <c r="BF209" s="27" t="str">
        <f ca="1">IFERROR(__xludf.DUMMYFUNCTION("""COMPUTED_VALUE"""),"Heterossexual")</f>
        <v>Heterossexual</v>
      </c>
      <c r="BG209" s="27"/>
      <c r="BH209" s="27" t="str">
        <f ca="1">IFERROR(__xludf.DUMMYFUNCTION("""COMPUTED_VALUE"""),"Público")</f>
        <v>Público</v>
      </c>
      <c r="BI209" s="27" t="str">
        <f ca="1">IFERROR(__xludf.DUMMYFUNCTION("""COMPUTED_VALUE"""),"Graduação")</f>
        <v>Graduação</v>
      </c>
      <c r="BJ209" s="27" t="str">
        <f ca="1">IFERROR(__xludf.DUMMYFUNCTION("""COMPUTED_VALUE"""),"Privado")</f>
        <v>Privado</v>
      </c>
      <c r="BK209" s="27" t="str">
        <f ca="1">IFERROR(__xludf.DUMMYFUNCTION("""COMPUTED_VALUE"""),"Rua vereador João Fonseca de Albuquerque")</f>
        <v>Rua vereador João Fonseca de Albuquerque</v>
      </c>
      <c r="BL209" s="27">
        <f ca="1">IFERROR(__xludf.DUMMYFUNCTION("""COMPUTED_VALUE"""),2455)</f>
        <v>2455</v>
      </c>
      <c r="BM209" s="27"/>
      <c r="BN209" s="27"/>
      <c r="BO209" s="27" t="str">
        <f ca="1">IFERROR(__xludf.DUMMYFUNCTION("""COMPUTED_VALUE"""),"53.423-833")</f>
        <v>53.423-833</v>
      </c>
      <c r="BP209" s="27" t="str">
        <f ca="1">IFERROR(__xludf.DUMMYFUNCTION("""COMPUTED_VALUE"""),"PE")</f>
        <v>PE</v>
      </c>
      <c r="BQ209" s="27" t="str">
        <f ca="1">IFERROR(__xludf.DUMMYFUNCTION("""COMPUTED_VALUE"""),"Entre 1 até 3 salários mínimos")</f>
        <v>Entre 1 até 3 salários mínimos</v>
      </c>
      <c r="BR209" s="27" t="str">
        <f ca="1">IFERROR(__xludf.DUMMYFUNCTION("""COMPUTED_VALUE"""),"Funcionário Público")</f>
        <v>Funcionário Público</v>
      </c>
      <c r="BS209" s="27" t="str">
        <f ca="1">IFERROR(__xludf.DUMMYFUNCTION("""COMPUTED_VALUE"""),"Casa própria")</f>
        <v>Casa própria</v>
      </c>
      <c r="BT209" s="27">
        <f ca="1">IFERROR(__xludf.DUMMYFUNCTION("""COMPUTED_VALUE"""),4)</f>
        <v>4</v>
      </c>
      <c r="BU209" s="27" t="str">
        <f ca="1">IFERROR(__xludf.DUMMYFUNCTION("""COMPUTED_VALUE"""),"Não tem")</f>
        <v>Não tem</v>
      </c>
      <c r="BV209" s="27" t="str">
        <f ca="1">IFERROR(__xludf.DUMMYFUNCTION("""COMPUTED_VALUE"""),"Não")</f>
        <v>Não</v>
      </c>
      <c r="BW209" s="27"/>
      <c r="BX209" s="21" t="str">
        <f ca="1">IFERROR(__xludf.DUMMYFUNCTION("""COMPUTED_VALUE"""),"https://www.instagram.com/invites/contact/?i=d3icefuxnnhd&amp;utm_content=1lfnwwx")</f>
        <v>https://www.instagram.com/invites/contact/?i=d3icefuxnnhd&amp;utm_content=1lfnwwx</v>
      </c>
      <c r="BY209" s="21" t="str">
        <f ca="1">IFERROR(__xludf.DUMMYFUNCTION("""COMPUTED_VALUE"""),"https://drive.google.com/open?id=1H01Dg1GEEdDXpmkdJFCo5vw-uKJl-HLo")</f>
        <v>https://drive.google.com/open?id=1H01Dg1GEEdDXpmkdJFCo5vw-uKJl-HLo</v>
      </c>
    </row>
    <row r="210" spans="1:77" ht="12.5" hidden="1" x14ac:dyDescent="0.25">
      <c r="A210" s="21" t="str">
        <f ca="1">IFERROR(__xludf.DUMMYFUNCTION("""COMPUTED_VALUE"""),"0014X00002VKCrtQAH")</f>
        <v>0014X00002VKCrtQAH</v>
      </c>
      <c r="B210" s="27" t="str">
        <f ca="1">IFERROR(__xludf.DUMMYFUNCTION("""COMPUTED_VALUE"""),"Fase Inicial")</f>
        <v>Fase Inicial</v>
      </c>
      <c r="C210" s="27" t="str">
        <f ca="1">IFERROR(__xludf.DUMMYFUNCTION("""COMPUTED_VALUE"""),"Fellow")</f>
        <v>Fellow</v>
      </c>
      <c r="D210" s="27" t="str">
        <f ca="1">IFERROR(__xludf.DUMMYFUNCTION("""COMPUTED_VALUE"""),"Ativo")</f>
        <v>Ativo</v>
      </c>
      <c r="E210" s="27" t="str">
        <f ca="1">IFERROR(__xludf.DUMMYFUNCTION("""COMPUTED_VALUE"""),"Centro Escola Mangue")</f>
        <v>Centro Escola Mangue</v>
      </c>
      <c r="F210" s="27" t="str">
        <f ca="1">IFERROR(__xludf.DUMMYFUNCTION("""COMPUTED_VALUE"""),"Luciana")</f>
        <v>Luciana</v>
      </c>
      <c r="G210" s="27" t="str">
        <f ca="1">IFERROR(__xludf.DUMMYFUNCTION("""COMPUTED_VALUE"""),"ESCOLA MANGUE")</f>
        <v>ESCOLA MANGUE</v>
      </c>
      <c r="H210" s="27" t="str">
        <f ca="1">IFERROR(__xludf.DUMMYFUNCTION("""COMPUTED_VALUE"""),"07.161.172/0001-96")</f>
        <v>07.161.172/0001-96</v>
      </c>
      <c r="I210" s="27" t="str">
        <f ca="1">IFERROR(__xludf.DUMMYFUNCTION("""COMPUTED_VALUE"""),"José Diogo Silva Xavier de Macêdo")</f>
        <v>José Diogo Silva Xavier de Macêdo</v>
      </c>
      <c r="J210" s="27" t="str">
        <f ca="1">IFERROR(__xludf.DUMMYFUNCTION("""COMPUTED_VALUE"""),"escolamangue@gmail.com")</f>
        <v>escolamangue@gmail.com</v>
      </c>
      <c r="K210" s="27" t="str">
        <f ca="1">IFERROR(__xludf.DUMMYFUNCTION("""COMPUTED_VALUE"""),"(81)99645-2921")</f>
        <v>(81)99645-2921</v>
      </c>
      <c r="L210" s="27" t="str">
        <f ca="1">IFERROR(__xludf.DUMMYFUNCTION("""COMPUTED_VALUE"""),"PE")</f>
        <v>PE</v>
      </c>
      <c r="M210" s="27" t="str">
        <f ca="1">IFERROR(__xludf.DUMMYFUNCTION("""COMPUTED_VALUE"""),"Rua Afrânio 273")</f>
        <v>Rua Afrânio 273</v>
      </c>
      <c r="N210" s="27" t="str">
        <f ca="1">IFERROR(__xludf.DUMMYFUNCTION("""COMPUTED_VALUE"""),"Brasília Teimosa")</f>
        <v>Brasília Teimosa</v>
      </c>
      <c r="O210" s="27">
        <f ca="1">IFERROR(__xludf.DUMMYFUNCTION("""COMPUTED_VALUE"""),273)</f>
        <v>273</v>
      </c>
      <c r="P210" s="27" t="str">
        <f ca="1">IFERROR(__xludf.DUMMYFUNCTION("""COMPUTED_VALUE"""),"Recife")</f>
        <v>Recife</v>
      </c>
      <c r="Q210" s="27" t="str">
        <f ca="1">IFERROR(__xludf.DUMMYFUNCTION("""COMPUTED_VALUE"""),"Esquina com a Orla de Brasília Teimosa")</f>
        <v>Esquina com a Orla de Brasília Teimosa</v>
      </c>
      <c r="R210" s="27" t="str">
        <f ca="1">IFERROR(__xludf.DUMMYFUNCTION("""COMPUTED_VALUE"""),"51010-150")</f>
        <v>51010-150</v>
      </c>
      <c r="S210" s="27" t="str">
        <f ca="1">IFERROR(__xludf.DUMMYFUNCTION("""COMPUTED_VALUE"""),"Praia do Pina e praia do buraco da velha.
Manguezal do Pina e por baixo das pontes do Recife quando conseguimos passeio de Catamarã, com as crianças e de baiteira, barco a remo, com os adultos")</f>
        <v>Praia do Pina e praia do buraco da velha.
Manguezal do Pina e por baixo das pontes do Recife quando conseguimos passeio de Catamarã, com as crianças e de baiteira, barco a remo, com os adultos</v>
      </c>
      <c r="T210" s="27"/>
      <c r="U210" s="27" t="str">
        <f ca="1">IFERROR(__xludf.DUMMYFUNCTION("""COMPUTED_VALUE"""),"Crianças (6 a 12 anos), Adolescentes (12 aos 18 anos), Adultos, Idosos (60 anos ou mais)")</f>
        <v>Crianças (6 a 12 anos), Adolescentes (12 aos 18 anos), Adultos, Idosos (60 anos ou mais)</v>
      </c>
      <c r="V210" s="27" t="str">
        <f ca="1">IFERROR(__xludf.DUMMYFUNCTION("""COMPUTED_VALUE"""),"Moradores de Favelas, Ribeirinhos")</f>
        <v>Moradores de Favelas, Ribeirinhos</v>
      </c>
      <c r="W210" s="27">
        <f ca="1">IFERROR(__xludf.DUMMYFUNCTION("""COMPUTED_VALUE"""),1)</f>
        <v>1</v>
      </c>
      <c r="X210" s="27" t="str">
        <f ca="1">IFERROR(__xludf.DUMMYFUNCTION("""COMPUTED_VALUE"""),"Estamos redirecionando o foco do nosso trabalho investindo mais no empoderamento feminino via empreendedorismo e a empregabilidade e formação profissional dos jovens.")</f>
        <v>Estamos redirecionando o foco do nosso trabalho investindo mais no empoderamento feminino via empreendedorismo e a empregabilidade e formação profissional dos jovens.</v>
      </c>
      <c r="Y210" s="27"/>
      <c r="Z210" s="27">
        <f ca="1">IFERROR(__xludf.DUMMYFUNCTION("""COMPUTED_VALUE"""),100)</f>
        <v>100</v>
      </c>
      <c r="AA210" s="29">
        <f ca="1">IFERROR(__xludf.DUMMYFUNCTION("""COMPUTED_VALUE"""),37805)</f>
        <v>37805</v>
      </c>
      <c r="AB210" s="27" t="str">
        <f ca="1">IFERROR(__xludf.DUMMYFUNCTION("""COMPUTED_VALUE"""),"Sim")</f>
        <v>Sim</v>
      </c>
      <c r="AC210" s="27">
        <f ca="1">IFERROR(__xludf.DUMMYFUNCTION("""COMPUTED_VALUE"""),0)</f>
        <v>0</v>
      </c>
      <c r="AD210" s="27">
        <f ca="1">IFERROR(__xludf.DUMMYFUNCTION("""COMPUTED_VALUE"""),7)</f>
        <v>7</v>
      </c>
      <c r="AE210" s="27">
        <f ca="1">IFERROR(__xludf.DUMMYFUNCTION("""COMPUTED_VALUE"""),8)</f>
        <v>8</v>
      </c>
      <c r="AF210" s="27">
        <f ca="1">IFERROR(__xludf.DUMMYFUNCTION("""COMPUTED_VALUE"""),7)</f>
        <v>7</v>
      </c>
      <c r="AG210" s="27">
        <f ca="1">IFERROR(__xludf.DUMMYFUNCTION("""COMPUTED_VALUE"""),6)</f>
        <v>6</v>
      </c>
      <c r="AH210" s="27" t="str">
        <f ca="1">IFERROR(__xludf.DUMMYFUNCTION("""COMPUTED_VALUE"""),"Negócio Social, Eventos/Ações para captação, Editais, Doações, Recursos próprios")</f>
        <v>Negócio Social, Eventos/Ações para captação, Editais, Doações, Recursos próprios</v>
      </c>
      <c r="AI210" s="27" t="str">
        <f ca="1">IFERROR(__xludf.DUMMYFUNCTION("""COMPUTED_VALUE"""),"Lei Aldir Blanc 40%, Editais 40%, Doações 20%")</f>
        <v>Lei Aldir Blanc 40%, Editais 40%, Doações 20%</v>
      </c>
      <c r="AJ210" s="27" t="str">
        <f ca="1">IFERROR(__xludf.DUMMYFUNCTION("""COMPUTED_VALUE"""),"Vamos iniciar esse ano")</f>
        <v>Vamos iniciar esse ano</v>
      </c>
      <c r="AK210" s="27"/>
      <c r="AL210" s="21" t="str">
        <f ca="1">IFERROR(__xludf.DUMMYFUNCTION("""COMPUTED_VALUE"""),"0034X0000380O1a")</f>
        <v>0034X0000380O1a</v>
      </c>
      <c r="AM210" s="27" t="str">
        <f ca="1">IFERROR(__xludf.DUMMYFUNCTION("""COMPUTED_VALUE"""),"Maria da silva")</f>
        <v>Maria da silva</v>
      </c>
      <c r="AN210" s="27" t="str">
        <f ca="1">IFERROR(__xludf.DUMMYFUNCTION("""COMPUTED_VALUE"""),"Ativo")</f>
        <v>Ativo</v>
      </c>
      <c r="AO210" s="29">
        <f ca="1">IFERROR(__xludf.DUMMYFUNCTION("""COMPUTED_VALUE"""),44763)</f>
        <v>44763</v>
      </c>
      <c r="AP210" s="27">
        <f ca="1">IFERROR(__xludf.DUMMYFUNCTION("""COMPUTED_VALUE"""),2)</f>
        <v>2</v>
      </c>
      <c r="AQ210" s="27" t="str">
        <f ca="1">IFERROR(__xludf.DUMMYFUNCTION("""COMPUTED_VALUE"""),"Primeiro Semestre 2022")</f>
        <v>Primeiro Semestre 2022</v>
      </c>
      <c r="AR210" s="27" t="str">
        <f ca="1">IFERROR(__xludf.DUMMYFUNCTION("""COMPUTED_VALUE"""),"luadeogum55@gmail.com")</f>
        <v>luadeogum55@gmail.com</v>
      </c>
      <c r="AS210" s="27" t="str">
        <f ca="1">IFERROR(__xludf.DUMMYFUNCTION("""COMPUTED_VALUE"""),"(81)985145526")</f>
        <v>(81)985145526</v>
      </c>
      <c r="AT210" s="29">
        <f ca="1">IFERROR(__xludf.DUMMYFUNCTION("""COMPUTED_VALUE"""),20357)</f>
        <v>20357</v>
      </c>
      <c r="AU210" s="27">
        <f ca="1">IFERROR(__xludf.DUMMYFUNCTION("""COMPUTED_VALUE"""),67)</f>
        <v>67</v>
      </c>
      <c r="AV210" s="27">
        <f ca="1">IFERROR(__xludf.DUMMYFUNCTION("""COMPUTED_VALUE"""),16795407420)</f>
        <v>16795407420</v>
      </c>
      <c r="AW210" s="27">
        <f ca="1">IFERROR(__xludf.DUMMYFUNCTION("""COMPUTED_VALUE"""),1391649)</f>
        <v>1391649</v>
      </c>
      <c r="AX210" s="27"/>
      <c r="AY210" s="27"/>
      <c r="AZ210" s="27" t="str">
        <f ca="1">IFERROR(__xludf.DUMMYFUNCTION("""COMPUTED_VALUE"""),"M")</f>
        <v>M</v>
      </c>
      <c r="BA210" s="27" t="str">
        <f ca="1">IFERROR(__xludf.DUMMYFUNCTION("""COMPUTED_VALUE"""),"Preta")</f>
        <v>Preta</v>
      </c>
      <c r="BB210" s="27"/>
      <c r="BC210" s="27"/>
      <c r="BD210" s="27" t="str">
        <f ca="1">IFERROR(__xludf.DUMMYFUNCTION("""COMPUTED_VALUE"""),"Sou arte educadora comprometida com educação ambiental* nascida e criada em Brasília Teimosa* uma comunidade de pesca tradicional situada em área urbana. Sou filha de marceneiro com lavadeira* passei no primeiro vestibular que fiz pra veterinária* consegu"&amp;"i me formar apesar de 4 filhos bebês* nunca exerci a profissão de veterinária pois passei no concurso para professora de escola pública municipal. Apesar de toda essa trajetória* jamais larguei a luta pelas comunidades populares. Há dois anos conclui mest"&amp;"rado em supervisão pedagógica numa universidade privada. Precisava rever toda a minha trajetória de prof de escola pública. A opção pelo trabalho ambiental veio desse conhecimento de 30 anos de escola pública e do amor pela natureza que veio a tona após o"&amp;"s ataques de tubarão na década de 1990. Nesse momento consegui juntar todo conhecimento adquirido para aprender mais sobre o ecossistema no qual nossa cidade foi plantada.")</f>
        <v>Sou arte educadora comprometida com educação ambiental* nascida e criada em Brasília Teimosa* uma comunidade de pesca tradicional situada em área urbana. Sou filha de marceneiro com lavadeira* passei no primeiro vestibular que fiz pra veterinária* consegui me formar apesar de 4 filhos bebês* nunca exerci a profissão de veterinária pois passei no concurso para professora de escola pública municipal. Apesar de toda essa trajetória* jamais larguei a luta pelas comunidades populares. Há dois anos conclui mestrado em supervisão pedagógica numa universidade privada. Precisava rever toda a minha trajetória de prof de escola pública. A opção pelo trabalho ambiental veio desse conhecimento de 30 anos de escola pública e do amor pela natureza que veio a tona após os ataques de tubarão na década de 1990. Nesse momento consegui juntar todo conhecimento adquirido para aprender mais sobre o ecossistema no qual nossa cidade foi plantada.</v>
      </c>
      <c r="BE210" s="27" t="str">
        <f ca="1">IFERROR(__xludf.DUMMYFUNCTION("""COMPUTED_VALUE"""),"Feminino")</f>
        <v>Feminino</v>
      </c>
      <c r="BF210" s="27" t="str">
        <f ca="1">IFERROR(__xludf.DUMMYFUNCTION("""COMPUTED_VALUE"""),"Heterossexual")</f>
        <v>Heterossexual</v>
      </c>
      <c r="BG210" s="27"/>
      <c r="BH210" s="27" t="str">
        <f ca="1">IFERROR(__xludf.DUMMYFUNCTION("""COMPUTED_VALUE"""),"Público")</f>
        <v>Público</v>
      </c>
      <c r="BI210" s="27" t="str">
        <f ca="1">IFERROR(__xludf.DUMMYFUNCTION("""COMPUTED_VALUE"""),"Pós-Graduação")</f>
        <v>Pós-Graduação</v>
      </c>
      <c r="BJ210" s="27" t="str">
        <f ca="1">IFERROR(__xludf.DUMMYFUNCTION("""COMPUTED_VALUE"""),"Público")</f>
        <v>Público</v>
      </c>
      <c r="BK210" s="27" t="str">
        <f ca="1">IFERROR(__xludf.DUMMYFUNCTION("""COMPUTED_VALUE"""),"Rua Carapeba")</f>
        <v>Rua Carapeba</v>
      </c>
      <c r="BL210" s="27">
        <f ca="1">IFERROR(__xludf.DUMMYFUNCTION("""COMPUTED_VALUE"""),40)</f>
        <v>40</v>
      </c>
      <c r="BM210" s="27"/>
      <c r="BN210" s="27"/>
      <c r="BO210" s="27">
        <f ca="1">IFERROR(__xludf.DUMMYFUNCTION("""COMPUTED_VALUE"""),51010420)</f>
        <v>51010420</v>
      </c>
      <c r="BP210" s="27" t="str">
        <f ca="1">IFERROR(__xludf.DUMMYFUNCTION("""COMPUTED_VALUE"""),"PE")</f>
        <v>PE</v>
      </c>
      <c r="BQ210" s="27" t="str">
        <f ca="1">IFERROR(__xludf.DUMMYFUNCTION("""COMPUTED_VALUE"""),"De 3 até 5 salários mínimos")</f>
        <v>De 3 até 5 salários mínimos</v>
      </c>
      <c r="BR210" s="27" t="str">
        <f ca="1">IFERROR(__xludf.DUMMYFUNCTION("""COMPUTED_VALUE"""),"CLT")</f>
        <v>CLT</v>
      </c>
      <c r="BS210" s="27" t="str">
        <f ca="1">IFERROR(__xludf.DUMMYFUNCTION("""COMPUTED_VALUE"""),"Casa própria")</f>
        <v>Casa própria</v>
      </c>
      <c r="BT210" s="27">
        <f ca="1">IFERROR(__xludf.DUMMYFUNCTION("""COMPUTED_VALUE"""),5)</f>
        <v>5</v>
      </c>
      <c r="BU210" s="27" t="str">
        <f ca="1">IFERROR(__xludf.DUMMYFUNCTION("""COMPUTED_VALUE"""),"Não tem")</f>
        <v>Não tem</v>
      </c>
      <c r="BV210" s="27" t="str">
        <f ca="1">IFERROR(__xludf.DUMMYFUNCTION("""COMPUTED_VALUE"""),"Não")</f>
        <v>Não</v>
      </c>
      <c r="BW210" s="27"/>
      <c r="BX210" s="27"/>
      <c r="BY210" s="27"/>
    </row>
    <row r="211" spans="1:77" ht="12.5" x14ac:dyDescent="0.25">
      <c r="A211" s="21" t="str">
        <f ca="1">IFERROR(__xludf.DUMMYFUNCTION("""COMPUTED_VALUE"""),"0014X00002VKCrGQAX")</f>
        <v>0014X00002VKCrGQAX</v>
      </c>
      <c r="B211" s="27"/>
      <c r="C211" s="27" t="str">
        <f ca="1">IFERROR(__xludf.DUMMYFUNCTION("""COMPUTED_VALUE"""),"Fellow")</f>
        <v>Fellow</v>
      </c>
      <c r="D211" s="27" t="str">
        <f ca="1">IFERROR(__xludf.DUMMYFUNCTION("""COMPUTED_VALUE"""),"Ativo")</f>
        <v>Ativo</v>
      </c>
      <c r="E211" s="27" t="str">
        <f ca="1">IFERROR(__xludf.DUMMYFUNCTION("""COMPUTED_VALUE"""),"CENTRO RECREAÇÃO DE ATENDIEMNTO E DEFESA DA CRIANÇA E ADOLESECENTE")</f>
        <v>CENTRO RECREAÇÃO DE ATENDIEMNTO E DEFESA DA CRIANÇA E ADOLESECENTE</v>
      </c>
      <c r="F211" s="27" t="str">
        <f ca="1">IFERROR(__xludf.DUMMYFUNCTION("""COMPUTED_VALUE"""),"Valdimar")</f>
        <v>Valdimar</v>
      </c>
      <c r="G211" s="27" t="str">
        <f ca="1">IFERROR(__xludf.DUMMYFUNCTION("""COMPUTED_VALUE"""),"CIRCO DE TODO MUNDO")</f>
        <v>CIRCO DE TODO MUNDO</v>
      </c>
      <c r="H211" s="27" t="str">
        <f ca="1">IFERROR(__xludf.DUMMYFUNCTION("""COMPUTED_VALUE"""),"71089809/0002-60 /7108980")</f>
        <v>71089809/0002-60 /7108980</v>
      </c>
      <c r="I211" s="27" t="str">
        <f ca="1">IFERROR(__xludf.DUMMYFUNCTION("""COMPUTED_VALUE"""),"Maria Eneide teixeira presidente e Jose Luiz Nasciemnto Pinto -Secretario")</f>
        <v>Maria Eneide teixeira presidente e Jose Luiz Nasciemnto Pinto -Secretario</v>
      </c>
      <c r="J211" s="27" t="str">
        <f ca="1">IFERROR(__xludf.DUMMYFUNCTION("""COMPUTED_VALUE"""),"circodetodomundodebetim@gmail.com")</f>
        <v>circodetodomundodebetim@gmail.com</v>
      </c>
      <c r="K211" s="27" t="str">
        <f ca="1">IFERROR(__xludf.DUMMYFUNCTION("""COMPUTED_VALUE"""),"31 35912903")</f>
        <v>31 35912903</v>
      </c>
      <c r="L211" s="27" t="str">
        <f ca="1">IFERROR(__xludf.DUMMYFUNCTION("""COMPUTED_VALUE"""),"MG")</f>
        <v>MG</v>
      </c>
      <c r="M211" s="27" t="str">
        <f ca="1">IFERROR(__xludf.DUMMYFUNCTION("""COMPUTED_VALUE"""),"Rua Cícero Rabelo de Vasconcelos")</f>
        <v>Rua Cícero Rabelo de Vasconcelos</v>
      </c>
      <c r="N211" s="27" t="str">
        <f ca="1">IFERROR(__xludf.DUMMYFUNCTION("""COMPUTED_VALUE"""),"Conjunto Habitacional Bueno Franco")</f>
        <v>Conjunto Habitacional Bueno Franco</v>
      </c>
      <c r="O211" s="27">
        <f ca="1">IFERROR(__xludf.DUMMYFUNCTION("""COMPUTED_VALUE"""),110)</f>
        <v>110</v>
      </c>
      <c r="P211" s="27" t="str">
        <f ca="1">IFERROR(__xludf.DUMMYFUNCTION("""COMPUTED_VALUE"""),"Betim")</f>
        <v>Betim</v>
      </c>
      <c r="Q211" s="27"/>
      <c r="R211" s="27" t="str">
        <f ca="1">IFERROR(__xludf.DUMMYFUNCTION("""COMPUTED_VALUE"""),"32671-730")</f>
        <v>32671-730</v>
      </c>
      <c r="S211" s="27"/>
      <c r="T211" s="27"/>
      <c r="U211" s="27"/>
      <c r="V211" s="27"/>
      <c r="W211" s="27">
        <f ca="1">IFERROR(__xludf.DUMMYFUNCTION("""COMPUTED_VALUE"""),8)</f>
        <v>8</v>
      </c>
      <c r="X211" s="27"/>
      <c r="Y211" s="27"/>
      <c r="Z211" s="27">
        <f ca="1">IFERROR(__xludf.DUMMYFUNCTION("""COMPUTED_VALUE"""),600)</f>
        <v>600</v>
      </c>
      <c r="AA211" s="29">
        <f ca="1">IFERROR(__xludf.DUMMYFUNCTION("""COMPUTED_VALUE"""),34031)</f>
        <v>34031</v>
      </c>
      <c r="AB211" s="27" t="str">
        <f ca="1">IFERROR(__xludf.DUMMYFUNCTION("""COMPUTED_VALUE"""),"Sim")</f>
        <v>Sim</v>
      </c>
      <c r="AC211" s="27"/>
      <c r="AD211" s="27"/>
      <c r="AE211" s="27">
        <f ca="1">IFERROR(__xludf.DUMMYFUNCTION("""COMPUTED_VALUE"""),10)</f>
        <v>10</v>
      </c>
      <c r="AF211" s="27"/>
      <c r="AG211" s="27">
        <f ca="1">IFERROR(__xludf.DUMMYFUNCTION("""COMPUTED_VALUE"""),3)</f>
        <v>3</v>
      </c>
      <c r="AH211" s="27"/>
      <c r="AI211" s="27"/>
      <c r="AJ211" s="27" t="str">
        <f ca="1">IFERROR(__xludf.DUMMYFUNCTION("""COMPUTED_VALUE"""),"Não")</f>
        <v>Não</v>
      </c>
      <c r="AK211" s="27"/>
      <c r="AL211" s="21" t="str">
        <f ca="1">IFERROR(__xludf.DUMMYFUNCTION("""COMPUTED_VALUE"""),"0034X0000380O1J")</f>
        <v>0034X0000380O1J</v>
      </c>
      <c r="AM211" s="27" t="str">
        <f ca="1">IFERROR(__xludf.DUMMYFUNCTION("""COMPUTED_VALUE"""),"Do nascimento alves")</f>
        <v>Do nascimento alves</v>
      </c>
      <c r="AN211" s="27" t="str">
        <f ca="1">IFERROR(__xludf.DUMMYFUNCTION("""COMPUTED_VALUE"""),"Ativo")</f>
        <v>Ativo</v>
      </c>
      <c r="AO211" s="29">
        <f ca="1">IFERROR(__xludf.DUMMYFUNCTION("""COMPUTED_VALUE"""),44763)</f>
        <v>44763</v>
      </c>
      <c r="AP211" s="27">
        <f ca="1">IFERROR(__xludf.DUMMYFUNCTION("""COMPUTED_VALUE"""),2)</f>
        <v>2</v>
      </c>
      <c r="AQ211" s="27" t="str">
        <f ca="1">IFERROR(__xludf.DUMMYFUNCTION("""COMPUTED_VALUE"""),"Primeiro Semestre 2022")</f>
        <v>Primeiro Semestre 2022</v>
      </c>
      <c r="AR211" s="27" t="str">
        <f ca="1">IFERROR(__xludf.DUMMYFUNCTION("""COMPUTED_VALUE"""),"valdimara.cio@hotmail.com")</f>
        <v>valdimara.cio@hotmail.com</v>
      </c>
      <c r="AS211" s="27">
        <f ca="1">IFERROR(__xludf.DUMMYFUNCTION("""COMPUTED_VALUE"""),31995939465)</f>
        <v>31995939465</v>
      </c>
      <c r="AT211" s="29">
        <f ca="1">IFERROR(__xludf.DUMMYFUNCTION("""COMPUTED_VALUE"""),27536)</f>
        <v>27536</v>
      </c>
      <c r="AU211" s="27">
        <f ca="1">IFERROR(__xludf.DUMMYFUNCTION("""COMPUTED_VALUE"""),47)</f>
        <v>47</v>
      </c>
      <c r="AV211" s="27">
        <f ca="1">IFERROR(__xludf.DUMMYFUNCTION("""COMPUTED_VALUE"""),3921211662)</f>
        <v>3921211662</v>
      </c>
      <c r="AW211" s="27" t="str">
        <f ca="1">IFERROR(__xludf.DUMMYFUNCTION("""COMPUTED_VALUE"""),"MG 6385552")</f>
        <v>MG 6385552</v>
      </c>
      <c r="AX211" s="27"/>
      <c r="AY211" s="27"/>
      <c r="AZ211" s="27" t="str">
        <f ca="1">IFERROR(__xludf.DUMMYFUNCTION("""COMPUTED_VALUE"""),"P")</f>
        <v>P</v>
      </c>
      <c r="BA211" s="27" t="str">
        <f ca="1">IFERROR(__xludf.DUMMYFUNCTION("""COMPUTED_VALUE"""),"Parda")</f>
        <v>Parda</v>
      </c>
      <c r="BB211" s="27"/>
      <c r="BC211" s="27"/>
      <c r="BD211" s="27" t="str">
        <f ca="1">IFERROR(__xludf.DUMMYFUNCTION("""COMPUTED_VALUE"""),"Natural da Cidade de Patis* Norte de Minas Gerais*  atualmente residente na cidade de Betim. 
No Centro Universitário Newton Paiva em 2010* concluiu o curso em Gestão da Tecnologia da Informação (TI) com ênfase em Gerenciamento* posteriormente em 2017* pe"&amp;"lo Centro universitário Estácio cursou a Pós-graduação sustentabilidade de projetos sociais.
Atuou como coordenadora do projeto Cultural escola aberta * E.M. Edir Terezinha e no Projeto Vida e Verde .
Hoje tem uma ativação efetiva Coordenadora e gestora d"&amp;"e captação e execução de projetos na Instituição* ONG Circo de Todo Mundo - Centro recreação de atendimento e defesa da criança e adolescente* unidade de Betim* também Coordenadora de Politicas Públicas pelo CMDCA - Conselho Municipal dos Direitos da Cria"&amp;"nça e do Adolescente de Betim. Faz parte da CMET–Comissão de erradicação do Trabalho Infantil.
No ano de 2020 ingressou como membro voluntario da RIEP-Radio internacional em português* onde atua na equipe de gestão .A radio de origem mineira* que atualmen"&amp;"te está ganhando o mundo* a radio que fala a língua dos povos lusofônico.
Val Alves Betim - MG
Bio : alves__sevla")</f>
        <v>Natural da Cidade de Patis* Norte de Minas Gerais*  atualmente residente na cidade de Betim. 
No Centro Universitário Newton Paiva em 2010* concluiu o curso em Gestão da Tecnologia da Informação (TI) com ênfase em Gerenciamento* posteriormente em 2017* pelo Centro universitário Estácio cursou a Pós-graduação sustentabilidade de projetos sociais.
Atuou como coordenadora do projeto Cultural escola aberta * E.M. Edir Terezinha e no Projeto Vida e Verde .
Hoje tem uma ativação efetiva Coordenadora e gestora de captação e execução de projetos na Instituição* ONG Circo de Todo Mundo - Centro recreação de atendimento e defesa da criança e adolescente* unidade de Betim* também Coordenadora de Politicas Públicas pelo CMDCA - Conselho Municipal dos Direitos da Criança e do Adolescente de Betim. Faz parte da CMET–Comissão de erradicação do Trabalho Infantil.
No ano de 2020 ingressou como membro voluntario da RIEP-Radio internacional em português* onde atua na equipe de gestão .A radio de origem mineira* que atualmente está ganhando o mundo* a radio que fala a língua dos povos lusofônico.
Val Alves Betim - MG
Bio : alves__sevla</v>
      </c>
      <c r="BE211" s="27" t="str">
        <f ca="1">IFERROR(__xludf.DUMMYFUNCTION("""COMPUTED_VALUE"""),"Feminino")</f>
        <v>Feminino</v>
      </c>
      <c r="BF211" s="27" t="str">
        <f ca="1">IFERROR(__xludf.DUMMYFUNCTION("""COMPUTED_VALUE"""),"Heterossexual")</f>
        <v>Heterossexual</v>
      </c>
      <c r="BG211" s="27"/>
      <c r="BH211" s="27" t="str">
        <f ca="1">IFERROR(__xludf.DUMMYFUNCTION("""COMPUTED_VALUE"""),"Público")</f>
        <v>Público</v>
      </c>
      <c r="BI211" s="27" t="str">
        <f ca="1">IFERROR(__xludf.DUMMYFUNCTION("""COMPUTED_VALUE"""),"Pós-Graduação")</f>
        <v>Pós-Graduação</v>
      </c>
      <c r="BJ211" s="27" t="str">
        <f ca="1">IFERROR(__xludf.DUMMYFUNCTION("""COMPUTED_VALUE"""),"Privado")</f>
        <v>Privado</v>
      </c>
      <c r="BK211" s="27" t="str">
        <f ca="1">IFERROR(__xludf.DUMMYFUNCTION("""COMPUTED_VALUE"""),"Rua Marlene Fonseca dos Santos")</f>
        <v>Rua Marlene Fonseca dos Santos</v>
      </c>
      <c r="BL211" s="27">
        <f ca="1">IFERROR(__xludf.DUMMYFUNCTION("""COMPUTED_VALUE"""),566)</f>
        <v>566</v>
      </c>
      <c r="BM211" s="27"/>
      <c r="BN211" s="27"/>
      <c r="BO211" s="27">
        <f ca="1">IFERROR(__xludf.DUMMYFUNCTION("""COMPUTED_VALUE"""),32667002)</f>
        <v>32667002</v>
      </c>
      <c r="BP211" s="27" t="str">
        <f ca="1">IFERROR(__xludf.DUMMYFUNCTION("""COMPUTED_VALUE"""),"MG")</f>
        <v>MG</v>
      </c>
      <c r="BQ211" s="27" t="str">
        <f ca="1">IFERROR(__xludf.DUMMYFUNCTION("""COMPUTED_VALUE"""),"Entre 1 até 3 salários mínimos")</f>
        <v>Entre 1 até 3 salários mínimos</v>
      </c>
      <c r="BR211" s="27" t="str">
        <f ca="1">IFERROR(__xludf.DUMMYFUNCTION("""COMPUTED_VALUE"""),"CLT")</f>
        <v>CLT</v>
      </c>
      <c r="BS211" s="27" t="str">
        <f ca="1">IFERROR(__xludf.DUMMYFUNCTION("""COMPUTED_VALUE"""),"Casa própria")</f>
        <v>Casa própria</v>
      </c>
      <c r="BT211" s="27">
        <f ca="1">IFERROR(__xludf.DUMMYFUNCTION("""COMPUTED_VALUE"""),5)</f>
        <v>5</v>
      </c>
      <c r="BU211" s="27" t="str">
        <f ca="1">IFERROR(__xludf.DUMMYFUNCTION("""COMPUTED_VALUE"""),"Não tem")</f>
        <v>Não tem</v>
      </c>
      <c r="BV211" s="27" t="str">
        <f ca="1">IFERROR(__xludf.DUMMYFUNCTION("""COMPUTED_VALUE"""),"Não")</f>
        <v>Não</v>
      </c>
      <c r="BW211" s="21" t="str">
        <f ca="1">IFERROR(__xludf.DUMMYFUNCTION("""COMPUTED_VALUE"""),"http://linkedin.com/in/val-alves-10320833")</f>
        <v>http://linkedin.com/in/val-alves-10320833</v>
      </c>
      <c r="BX211" s="21" t="str">
        <f ca="1">IFERROR(__xludf.DUMMYFUNCTION("""COMPUTED_VALUE"""),"https://instagram.com/alves__sevla?utm_medium=copy_link")</f>
        <v>https://instagram.com/alves__sevla?utm_medium=copy_link</v>
      </c>
      <c r="BY211" s="21" t="str">
        <f ca="1">IFERROR(__xludf.DUMMYFUNCTION("""COMPUTED_VALUE"""),"https://drive.google.com/open?id=1znu1mzV1vrVerkb1oFzwn1-urt6xehFk")</f>
        <v>https://drive.google.com/open?id=1znu1mzV1vrVerkb1oFzwn1-urt6xehFk</v>
      </c>
    </row>
    <row r="212" spans="1:77" ht="12.5" x14ac:dyDescent="0.25">
      <c r="A212" s="21" t="str">
        <f ca="1">IFERROR(__xludf.DUMMYFUNCTION("""COMPUTED_VALUE"""),"0014P00003YSp8NQAT")</f>
        <v>0014P00003YSp8NQAT</v>
      </c>
      <c r="B212" s="27" t="str">
        <f ca="1">IFERROR(__xludf.DUMMYFUNCTION("""COMPUTED_VALUE"""),"Fase Inicial")</f>
        <v>Fase Inicial</v>
      </c>
      <c r="C212" s="27" t="str">
        <f ca="1">IFERROR(__xludf.DUMMYFUNCTION("""COMPUTED_VALUE"""),"Fellow")</f>
        <v>Fellow</v>
      </c>
      <c r="D212" s="27" t="str">
        <f ca="1">IFERROR(__xludf.DUMMYFUNCTION("""COMPUTED_VALUE"""),"Ativo")</f>
        <v>Ativo</v>
      </c>
      <c r="E212" s="27" t="str">
        <f ca="1">IFERROR(__xludf.DUMMYFUNCTION("""COMPUTED_VALUE"""),"Centro Social Comunitário Favela em Desenvolvimento")</f>
        <v>Centro Social Comunitário Favela em Desenvolvimento</v>
      </c>
      <c r="F212" s="27" t="str">
        <f ca="1">IFERROR(__xludf.DUMMYFUNCTION("""COMPUTED_VALUE"""),"Rennan")</f>
        <v>Rennan</v>
      </c>
      <c r="G212" s="27"/>
      <c r="H212" s="27" t="str">
        <f ca="1">IFERROR(__xludf.DUMMYFUNCTION("""COMPUTED_VALUE"""),"42.251.862/0001-37")</f>
        <v>42.251.862/0001-37</v>
      </c>
      <c r="I212" s="27" t="str">
        <f ca="1">IFERROR(__xludf.DUMMYFUNCTION("""COMPUTED_VALUE"""),"José Artur Junior")</f>
        <v>José Artur Junior</v>
      </c>
      <c r="J212" s="27" t="str">
        <f ca="1">IFERROR(__xludf.DUMMYFUNCTION("""COMPUTED_VALUE"""),"favelaemdesenvolvimento@gmail.com")</f>
        <v>favelaemdesenvolvimento@gmail.com</v>
      </c>
      <c r="K212" s="27" t="str">
        <f ca="1">IFERROR(__xludf.DUMMYFUNCTION("""COMPUTED_VALUE"""),"(21)99749-4627")</f>
        <v>(21)99749-4627</v>
      </c>
      <c r="L212" s="27" t="str">
        <f ca="1">IFERROR(__xludf.DUMMYFUNCTION("""COMPUTED_VALUE"""),"RJ")</f>
        <v>RJ</v>
      </c>
      <c r="M212" s="27" t="str">
        <f ca="1">IFERROR(__xludf.DUMMYFUNCTION("""COMPUTED_VALUE"""),"Praça Machado Costa")</f>
        <v>Praça Machado Costa</v>
      </c>
      <c r="N212" s="27" t="str">
        <f ca="1">IFERROR(__xludf.DUMMYFUNCTION("""COMPUTED_VALUE"""),"Alto da Boa Vista")</f>
        <v>Alto da Boa Vista</v>
      </c>
      <c r="O212" s="27">
        <f ca="1">IFERROR(__xludf.DUMMYFUNCTION("""COMPUTED_VALUE"""),3)</f>
        <v>3</v>
      </c>
      <c r="P212" s="27" t="str">
        <f ca="1">IFERROR(__xludf.DUMMYFUNCTION("""COMPUTED_VALUE"""),"Rio de Janeiro")</f>
        <v>Rio de Janeiro</v>
      </c>
      <c r="Q212" s="27" t="str">
        <f ca="1">IFERROR(__xludf.DUMMYFUNCTION("""COMPUTED_VALUE"""),"Casa")</f>
        <v>Casa</v>
      </c>
      <c r="R212" s="27" t="str">
        <f ca="1">IFERROR(__xludf.DUMMYFUNCTION("""COMPUTED_VALUE"""),"20535-190")</f>
        <v>20535-190</v>
      </c>
      <c r="S212" s="27"/>
      <c r="T212" s="27" t="str">
        <f ca="1">IFERROR(__xludf.DUMMYFUNCTION("""COMPUTED_VALUE"""),"Educação; Empregabilidade; Assistência Social; Cultura; Qualificação Profissional; Meio ambiente; Ciência e Tecnologia; Comunicação; Desenvolvimento comunitário")</f>
        <v>Educação; Empregabilidade; Assistência Social; Cultura; Qualificação Profissional; Meio ambiente; Ciência e Tecnologia; Comunicação; Desenvolvimento comunitário</v>
      </c>
      <c r="U212"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212" s="27" t="str">
        <f ca="1">IFERROR(__xludf.DUMMYFUNCTION("""COMPUTED_VALUE"""),"Moradores de Favelas; Afrodescendentes; Egressos sistema carcerário")</f>
        <v>Moradores de Favelas; Afrodescendentes; Egressos sistema carcerário</v>
      </c>
      <c r="W212" s="27">
        <f ca="1">IFERROR(__xludf.DUMMYFUNCTION("""COMPUTED_VALUE"""),11)</f>
        <v>11</v>
      </c>
      <c r="X212" s="27"/>
      <c r="Y212" s="27"/>
      <c r="Z212" s="27">
        <f ca="1">IFERROR(__xludf.DUMMYFUNCTION("""COMPUTED_VALUE"""),3000)</f>
        <v>3000</v>
      </c>
      <c r="AA212" s="29">
        <f ca="1">IFERROR(__xludf.DUMMYFUNCTION("""COMPUTED_VALUE"""),44383)</f>
        <v>44383</v>
      </c>
      <c r="AB212" s="27" t="str">
        <f ca="1">IFERROR(__xludf.DUMMYFUNCTION("""COMPUTED_VALUE"""),"Sim")</f>
        <v>Sim</v>
      </c>
      <c r="AC212" s="27">
        <f ca="1">IFERROR(__xludf.DUMMYFUNCTION("""COMPUTED_VALUE"""),3)</f>
        <v>3</v>
      </c>
      <c r="AD212" s="27">
        <f ca="1">IFERROR(__xludf.DUMMYFUNCTION("""COMPUTED_VALUE"""),1)</f>
        <v>1</v>
      </c>
      <c r="AE212" s="27">
        <f ca="1">IFERROR(__xludf.DUMMYFUNCTION("""COMPUTED_VALUE"""),30)</f>
        <v>30</v>
      </c>
      <c r="AF212" s="27">
        <f ca="1">IFERROR(__xludf.DUMMYFUNCTION("""COMPUTED_VALUE"""),10)</f>
        <v>10</v>
      </c>
      <c r="AG212" s="27">
        <f ca="1">IFERROR(__xludf.DUMMYFUNCTION("""COMPUTED_VALUE"""),2)</f>
        <v>2</v>
      </c>
      <c r="AH212" s="27" t="str">
        <f ca="1">IFERROR(__xludf.DUMMYFUNCTION("""COMPUTED_VALUE"""),"Convênio Público; Eventos/Ações para captação; Parceria iniciativa privada; Outro(s); Doações")</f>
        <v>Convênio Público; Eventos/Ações para captação; Parceria iniciativa privada; Outro(s); Doações</v>
      </c>
      <c r="AI212" s="27">
        <f ca="1">IFERROR(__xludf.DUMMYFUNCTION("""COMPUTED_VALUE"""),0)</f>
        <v>0</v>
      </c>
      <c r="AJ212" s="27"/>
      <c r="AK212" s="27"/>
      <c r="AL212" s="21" t="str">
        <f ca="1">IFERROR(__xludf.DUMMYFUNCTION("""COMPUTED_VALUE"""),"0034P000045kxiy")</f>
        <v>0034P000045kxiy</v>
      </c>
      <c r="AM212" s="27" t="str">
        <f ca="1">IFERROR(__xludf.DUMMYFUNCTION("""COMPUTED_VALUE"""),"Leta Da Silva Pereira")</f>
        <v>Leta Da Silva Pereira</v>
      </c>
      <c r="AN212" s="27" t="str">
        <f ca="1">IFERROR(__xludf.DUMMYFUNCTION("""COMPUTED_VALUE"""),"Ativo")</f>
        <v>Ativo</v>
      </c>
      <c r="AO212" s="30">
        <f ca="1">IFERROR(__xludf.DUMMYFUNCTION("""COMPUTED_VALUE"""),44551)</f>
        <v>44551</v>
      </c>
      <c r="AP212" s="27">
        <f ca="1">IFERROR(__xludf.DUMMYFUNCTION("""COMPUTED_VALUE"""),9)</f>
        <v>9</v>
      </c>
      <c r="AQ212" s="27" t="str">
        <f ca="1">IFERROR(__xludf.DUMMYFUNCTION("""COMPUTED_VALUE"""),"Segundo Semestre 2021")</f>
        <v>Segundo Semestre 2021</v>
      </c>
      <c r="AR212" s="27" t="str">
        <f ca="1">IFERROR(__xludf.DUMMYFUNCTION("""COMPUTED_VALUE"""),"rennanleta@gmail.com")</f>
        <v>rennanleta@gmail.com</v>
      </c>
      <c r="AS212" s="27" t="str">
        <f ca="1">IFERROR(__xludf.DUMMYFUNCTION("""COMPUTED_VALUE"""),"(21)99241-7622")</f>
        <v>(21)99241-7622</v>
      </c>
      <c r="AT212" s="29">
        <f ca="1">IFERROR(__xludf.DUMMYFUNCTION("""COMPUTED_VALUE"""),34978)</f>
        <v>34978</v>
      </c>
      <c r="AU212" s="27">
        <f ca="1">IFERROR(__xludf.DUMMYFUNCTION("""COMPUTED_VALUE"""),27)</f>
        <v>27</v>
      </c>
      <c r="AV212" s="27">
        <f ca="1">IFERROR(__xludf.DUMMYFUNCTION("""COMPUTED_VALUE"""),17140724792)</f>
        <v>17140724792</v>
      </c>
      <c r="AW212" s="27" t="str">
        <f ca="1">IFERROR(__xludf.DUMMYFUNCTION("""COMPUTED_VALUE"""),"27041637-3")</f>
        <v>27041637-3</v>
      </c>
      <c r="AX212" s="27"/>
      <c r="AY212" s="27"/>
      <c r="AZ212" s="27" t="str">
        <f ca="1">IFERROR(__xludf.DUMMYFUNCTION("""COMPUTED_VALUE"""),"M")</f>
        <v>M</v>
      </c>
      <c r="BA212" s="27" t="str">
        <f ca="1">IFERROR(__xludf.DUMMYFUNCTION("""COMPUTED_VALUE"""),"Parda")</f>
        <v>Parda</v>
      </c>
      <c r="BB212" s="27" t="str">
        <f ca="1">IFERROR(__xludf.DUMMYFUNCTION("""COMPUTED_VALUE"""),"Homem, cisgênero")</f>
        <v>Homem, cisgênero</v>
      </c>
      <c r="BC212" s="27" t="str">
        <f ca="1">IFERROR(__xludf.DUMMYFUNCTION("""COMPUTED_VALUE"""),"Não")</f>
        <v>Não</v>
      </c>
      <c r="BD212" s="27" t="str">
        <f ca="1">IFERROR(__xludf.DUMMYFUNCTION("""COMPUTED_VALUE"""),"Jornalista, fundador do Favela em Desenvolvimento, autor do livro Palavras do Mundo (2017). Passagem de três anos e meio pelo Voz das Comunidades. Integrante do Conselho da Cidade do Rio de Janeiro na gestão atual. Em 2021, ganhou uma Moção de Reconhecime"&amp;"nto e Louvor da Câmara dos Vereadores do Rio pelo mês da Juventude.")</f>
        <v>Jornalista, fundador do Favela em Desenvolvimento, autor do livro Palavras do Mundo (2017). Passagem de três anos e meio pelo Voz das Comunidades. Integrante do Conselho da Cidade do Rio de Janeiro na gestão atual. Em 2021, ganhou uma Moção de Reconhecimento e Louvor da Câmara dos Vereadores do Rio pelo mês da Juventude.</v>
      </c>
      <c r="BE212" s="27"/>
      <c r="BF212" s="27" t="str">
        <f ca="1">IFERROR(__xludf.DUMMYFUNCTION("""COMPUTED_VALUE"""),"Heterossexual")</f>
        <v>Heterossexual</v>
      </c>
      <c r="BG212" s="27" t="str">
        <f ca="1">IFERROR(__xludf.DUMMYFUNCTION("""COMPUTED_VALUE"""),"Ensino Superior - Incompleto")</f>
        <v>Ensino Superior - Incompleto</v>
      </c>
      <c r="BH212" s="27" t="str">
        <f ca="1">IFERROR(__xludf.DUMMYFUNCTION("""COMPUTED_VALUE"""),"Público")</f>
        <v>Público</v>
      </c>
      <c r="BI212" s="27" t="str">
        <f ca="1">IFERROR(__xludf.DUMMYFUNCTION("""COMPUTED_VALUE"""),"Graduação")</f>
        <v>Graduação</v>
      </c>
      <c r="BJ212" s="27" t="str">
        <f ca="1">IFERROR(__xludf.DUMMYFUNCTION("""COMPUTED_VALUE"""),"Privado")</f>
        <v>Privado</v>
      </c>
      <c r="BK212" s="27" t="str">
        <f ca="1">IFERROR(__xludf.DUMMYFUNCTION("""COMPUTED_VALUE"""),"Rua João Dalton")</f>
        <v>Rua João Dalton</v>
      </c>
      <c r="BL212" s="27">
        <f ca="1">IFERROR(__xludf.DUMMYFUNCTION("""COMPUTED_VALUE"""),18)</f>
        <v>18</v>
      </c>
      <c r="BM212" s="27" t="str">
        <f ca="1">IFERROR(__xludf.DUMMYFUNCTION("""COMPUTED_VALUE"""),"casa")</f>
        <v>casa</v>
      </c>
      <c r="BN212" s="27" t="str">
        <f ca="1">IFERROR(__xludf.DUMMYFUNCTION("""COMPUTED_VALUE"""),"Rio de Janeiro")</f>
        <v>Rio de Janeiro</v>
      </c>
      <c r="BO212" s="27" t="str">
        <f ca="1">IFERROR(__xludf.DUMMYFUNCTION("""COMPUTED_VALUE"""),"21230-065")</f>
        <v>21230-065</v>
      </c>
      <c r="BP212" s="27" t="str">
        <f ca="1">IFERROR(__xludf.DUMMYFUNCTION("""COMPUTED_VALUE"""),"RJ")</f>
        <v>RJ</v>
      </c>
      <c r="BQ212" s="27" t="str">
        <f ca="1">IFERROR(__xludf.DUMMYFUNCTION("""COMPUTED_VALUE"""),"Entre 1 até 3 salários mínimos")</f>
        <v>Entre 1 até 3 salários mínimos</v>
      </c>
      <c r="BR212" s="27" t="str">
        <f ca="1">IFERROR(__xludf.DUMMYFUNCTION("""COMPUTED_VALUE"""),"CLT; MEI; Trabalho informal")</f>
        <v>CLT; MEI; Trabalho informal</v>
      </c>
      <c r="BS212" s="27" t="str">
        <f ca="1">IFERROR(__xludf.DUMMYFUNCTION("""COMPUTED_VALUE"""),"Aluguel")</f>
        <v>Aluguel</v>
      </c>
      <c r="BT212" s="27">
        <f ca="1">IFERROR(__xludf.DUMMYFUNCTION("""COMPUTED_VALUE"""),4)</f>
        <v>4</v>
      </c>
      <c r="BU212" s="27" t="str">
        <f ca="1">IFERROR(__xludf.DUMMYFUNCTION("""COMPUTED_VALUE"""),"Não tem")</f>
        <v>Não tem</v>
      </c>
      <c r="BV212" s="27"/>
      <c r="BW212" s="21" t="str">
        <f ca="1">IFERROR(__xludf.DUMMYFUNCTION("""COMPUTED_VALUE"""),"https://www.linkedin.com/in/rennan-leta/")</f>
        <v>https://www.linkedin.com/in/rennan-leta/</v>
      </c>
      <c r="BX212" s="21" t="str">
        <f ca="1">IFERROR(__xludf.DUMMYFUNCTION("""COMPUTED_VALUE"""),"https://www.instagram.com/rennanleta/")</f>
        <v>https://www.instagram.com/rennanleta/</v>
      </c>
      <c r="BY212" s="21" t="str">
        <f ca="1">IFERROR(__xludf.DUMMYFUNCTION("""COMPUTED_VALUE"""),"https://drive.google.com/open?id=1Jgsj2EMzkF0aRnL7_hHF34vHXyHTJeSn")</f>
        <v>https://drive.google.com/open?id=1Jgsj2EMzkF0aRnL7_hHF34vHXyHTJeSn</v>
      </c>
    </row>
    <row r="213" spans="1:77" ht="12.5" x14ac:dyDescent="0.25">
      <c r="A213" s="21" t="str">
        <f ca="1">IFERROR(__xludf.DUMMYFUNCTION("""COMPUTED_VALUE"""),"0014P00003SGWPLQA5")</f>
        <v>0014P00003SGWPLQA5</v>
      </c>
      <c r="B213" s="27" t="str">
        <f ca="1">IFERROR(__xludf.DUMMYFUNCTION("""COMPUTED_VALUE"""),"Fase Inicial")</f>
        <v>Fase Inicial</v>
      </c>
      <c r="C213" s="27" t="str">
        <f ca="1">IFERROR(__xludf.DUMMYFUNCTION("""COMPUTED_VALUE"""),"Fellow")</f>
        <v>Fellow</v>
      </c>
      <c r="D213" s="27" t="str">
        <f ca="1">IFERROR(__xludf.DUMMYFUNCTION("""COMPUTED_VALUE"""),"Ativo")</f>
        <v>Ativo</v>
      </c>
      <c r="E213" s="27" t="str">
        <f ca="1">IFERROR(__xludf.DUMMYFUNCTION("""COMPUTED_VALUE"""),"CENTRO SOCIAL DÍNAMUS")</f>
        <v>CENTRO SOCIAL DÍNAMUS</v>
      </c>
      <c r="F213" s="27" t="str">
        <f ca="1">IFERROR(__xludf.DUMMYFUNCTION("""COMPUTED_VALUE"""),"Alexandre")</f>
        <v>Alexandre</v>
      </c>
      <c r="G213" s="27" t="str">
        <f ca="1">IFERROR(__xludf.DUMMYFUNCTION("""COMPUTED_VALUE"""),"DÍNAMUS")</f>
        <v>DÍNAMUS</v>
      </c>
      <c r="H213" s="27" t="str">
        <f ca="1">IFERROR(__xludf.DUMMYFUNCTION("""COMPUTED_VALUE"""),"41.344.372/0001-12")</f>
        <v>41.344.372/0001-12</v>
      </c>
      <c r="I213" s="27" t="str">
        <f ca="1">IFERROR(__xludf.DUMMYFUNCTION("""COMPUTED_VALUE"""),"Alexandre Luiz Tuller Telles")</f>
        <v>Alexandre Luiz Tuller Telles</v>
      </c>
      <c r="J213" s="27" t="str">
        <f ca="1">IFERROR(__xludf.DUMMYFUNCTION("""COMPUTED_VALUE"""),"projetodinamus@projetodinamus.com")</f>
        <v>projetodinamus@projetodinamus.com</v>
      </c>
      <c r="K213" s="27">
        <f ca="1">IFERROR(__xludf.DUMMYFUNCTION("""COMPUTED_VALUE"""),91982396686)</f>
        <v>91982396686</v>
      </c>
      <c r="L213" s="27" t="str">
        <f ca="1">IFERROR(__xludf.DUMMYFUNCTION("""COMPUTED_VALUE"""),"AL")</f>
        <v>AL</v>
      </c>
      <c r="M213" s="27" t="str">
        <f ca="1">IFERROR(__xludf.DUMMYFUNCTION("""COMPUTED_VALUE"""),"Jairo Marques Luz")</f>
        <v>Jairo Marques Luz</v>
      </c>
      <c r="N213" s="27" t="str">
        <f ca="1">IFERROR(__xludf.DUMMYFUNCTION("""COMPUTED_VALUE"""),"Tabuleiro dos Martins")</f>
        <v>Tabuleiro dos Martins</v>
      </c>
      <c r="O213" s="27" t="str">
        <f ca="1">IFERROR(__xludf.DUMMYFUNCTION("""COMPUTED_VALUE"""),"(82)98182-1071")</f>
        <v>(82)98182-1071</v>
      </c>
      <c r="P213" s="27" t="str">
        <f ca="1">IFERROR(__xludf.DUMMYFUNCTION("""COMPUTED_VALUE"""),"Maceió")</f>
        <v>Maceió</v>
      </c>
      <c r="Q213" s="27" t="str">
        <f ca="1">IFERROR(__xludf.DUMMYFUNCTION("""COMPUTED_VALUE"""),"A")</f>
        <v>A</v>
      </c>
      <c r="R213" s="27" t="str">
        <f ca="1">IFERROR(__xludf.DUMMYFUNCTION("""COMPUTED_VALUE"""),"57081-596")</f>
        <v>57081-596</v>
      </c>
      <c r="S213" s="27" t="str">
        <f ca="1">IFERROR(__xludf.DUMMYFUNCTION("""COMPUTED_VALUE"""),"R. Romeu de Avelar S/N - Tabuleiro Novo Maceió - AL 57081-050")</f>
        <v>R. Romeu de Avelar S/N - Tabuleiro Novo Maceió - AL 57081-050</v>
      </c>
      <c r="T213" s="27" t="str">
        <f ca="1">IFERROR(__xludf.DUMMYFUNCTION("""COMPUTED_VALUE"""),"Esporte; Educação; Empregabilidade; Cultura; Qualificação Profissional; Empreendedorismo; Assistência Psicológica; Desenvolvimento comunitário")</f>
        <v>Esporte; Educação; Empregabilidade; Cultura; Qualificação Profissional; Empreendedorismo; Assistência Psicológica; Desenvolvimento comunitário</v>
      </c>
      <c r="U213" s="27" t="str">
        <f ca="1">IFERROR(__xludf.DUMMYFUNCTION("""COMPUTED_VALUE"""),"Crianças (6 a 12 anos); Adolescentes (12 aos 18 anos); Jovens (18 aos 24 anos); Adultos")</f>
        <v>Crianças (6 a 12 anos); Adolescentes (12 aos 18 anos); Jovens (18 aos 24 anos); Adultos</v>
      </c>
      <c r="V213" s="27" t="str">
        <f ca="1">IFERROR(__xludf.DUMMYFUNCTION("""COMPUTED_VALUE"""),"Moradores de Favelas")</f>
        <v>Moradores de Favelas</v>
      </c>
      <c r="W213" s="27">
        <f ca="1">IFERROR(__xludf.DUMMYFUNCTION("""COMPUTED_VALUE"""),7)</f>
        <v>7</v>
      </c>
      <c r="X213" s="27" t="str">
        <f ca="1">IFERROR(__xludf.DUMMYFUNCTION("""COMPUTED_VALUE"""),"Até o momento trabalhamos com as comunidades ao nosso redor mas estamos focados no Projeto Escola Social que é transformar a escola pública em um lugar de transformação social. A ideia é apoiar a gestão e os professores para uma formação humanizada solidá"&amp;"ria e integral. Ao mesmo tempo trabalharemos com as famílias desses alunos para que uma base familiar forte e o aluno possa se desenvolver na escola. Isso só será possível fazer por completo no retorno às aulas presenciais das escolas. No ano de 2020 não "&amp;"tivemos grandes números de matriculados por conta da pandemia de covid-19.")</f>
        <v>Até o momento trabalhamos com as comunidades ao nosso redor mas estamos focados no Projeto Escola Social que é transformar a escola pública em um lugar de transformação social. A ideia é apoiar a gestão e os professores para uma formação humanizada solidária e integral. Ao mesmo tempo trabalharemos com as famílias desses alunos para que uma base familiar forte e o aluno possa se desenvolver na escola. Isso só será possível fazer por completo no retorno às aulas presenciais das escolas. No ano de 2020 não tivemos grandes números de matriculados por conta da pandemia de covid-19.</v>
      </c>
      <c r="Y213" s="27">
        <f ca="1">IFERROR(__xludf.DUMMYFUNCTION("""COMPUTED_VALUE"""),20)</f>
        <v>20</v>
      </c>
      <c r="Z213" s="27">
        <f ca="1">IFERROR(__xludf.DUMMYFUNCTION("""COMPUTED_VALUE"""),260)</f>
        <v>260</v>
      </c>
      <c r="AA213" s="30">
        <f ca="1">IFERROR(__xludf.DUMMYFUNCTION("""COMPUTED_VALUE"""),43393)</f>
        <v>43393</v>
      </c>
      <c r="AB213" s="27" t="str">
        <f ca="1">IFERROR(__xludf.DUMMYFUNCTION("""COMPUTED_VALUE"""),"Sim")</f>
        <v>Sim</v>
      </c>
      <c r="AC213" s="27">
        <f ca="1">IFERROR(__xludf.DUMMYFUNCTION("""COMPUTED_VALUE"""),0)</f>
        <v>0</v>
      </c>
      <c r="AD213" s="27">
        <f ca="1">IFERROR(__xludf.DUMMYFUNCTION("""COMPUTED_VALUE"""),0)</f>
        <v>0</v>
      </c>
      <c r="AE213" s="27">
        <f ca="1">IFERROR(__xludf.DUMMYFUNCTION("""COMPUTED_VALUE"""),25)</f>
        <v>25</v>
      </c>
      <c r="AF213" s="27">
        <f ca="1">IFERROR(__xludf.DUMMYFUNCTION("""COMPUTED_VALUE"""),7)</f>
        <v>7</v>
      </c>
      <c r="AG213" s="27">
        <f ca="1">IFERROR(__xludf.DUMMYFUNCTION("""COMPUTED_VALUE"""),2)</f>
        <v>2</v>
      </c>
      <c r="AH213" s="27" t="str">
        <f ca="1">IFERROR(__xludf.DUMMYFUNCTION("""COMPUTED_VALUE"""),"Parceria iniciativa privada; Doações")</f>
        <v>Parceria iniciativa privada; Doações</v>
      </c>
      <c r="AI213" s="27" t="str">
        <f ca="1">IFERROR(__xludf.DUMMYFUNCTION("""COMPUTED_VALUE"""),"95% Doações, 5% parcerias")</f>
        <v>95% Doações, 5% parcerias</v>
      </c>
      <c r="AJ213" s="27" t="str">
        <f ca="1">IFERROR(__xludf.DUMMYFUNCTION("""COMPUTED_VALUE"""),"Não")</f>
        <v>Não</v>
      </c>
      <c r="AK213" s="27" t="str">
        <f ca="1">IFERROR(__xludf.DUMMYFUNCTION("""COMPUTED_VALUE"""),"Não")</f>
        <v>Não</v>
      </c>
      <c r="AL213" s="21" t="str">
        <f ca="1">IFERROR(__xludf.DUMMYFUNCTION("""COMPUTED_VALUE"""),"0034P000043fPDh")</f>
        <v>0034P000043fPDh</v>
      </c>
      <c r="AM213" s="27" t="str">
        <f ca="1">IFERROR(__xludf.DUMMYFUNCTION("""COMPUTED_VALUE"""),"Luiz Tuller Telles")</f>
        <v>Luiz Tuller Telles</v>
      </c>
      <c r="AN213" s="27" t="str">
        <f ca="1">IFERROR(__xludf.DUMMYFUNCTION("""COMPUTED_VALUE"""),"Ativo")</f>
        <v>Ativo</v>
      </c>
      <c r="AO213" s="29">
        <f ca="1">IFERROR(__xludf.DUMMYFUNCTION("""COMPUTED_VALUE"""),44432)</f>
        <v>44432</v>
      </c>
      <c r="AP213" s="27">
        <f ca="1">IFERROR(__xludf.DUMMYFUNCTION("""COMPUTED_VALUE"""),13)</f>
        <v>13</v>
      </c>
      <c r="AQ213" s="27" t="str">
        <f ca="1">IFERROR(__xludf.DUMMYFUNCTION("""COMPUTED_VALUE"""),"Primeiro Semestre 2021")</f>
        <v>Primeiro Semestre 2021</v>
      </c>
      <c r="AR213" s="27" t="str">
        <f ca="1">IFERROR(__xludf.DUMMYFUNCTION("""COMPUTED_VALUE"""),"alexandre@projetodinamus.com")</f>
        <v>alexandre@projetodinamus.com</v>
      </c>
      <c r="AS213" s="27" t="str">
        <f ca="1">IFERROR(__xludf.DUMMYFUNCTION("""COMPUTED_VALUE"""),"(82)98182-1071")</f>
        <v>(82)98182-1071</v>
      </c>
      <c r="AT213" s="29">
        <f ca="1">IFERROR(__xludf.DUMMYFUNCTION("""COMPUTED_VALUE"""),33211)</f>
        <v>33211</v>
      </c>
      <c r="AU213" s="27">
        <f ca="1">IFERROR(__xludf.DUMMYFUNCTION("""COMPUTED_VALUE"""),32)</f>
        <v>32</v>
      </c>
      <c r="AV213" s="27">
        <f ca="1">IFERROR(__xludf.DUMMYFUNCTION("""COMPUTED_VALUE"""),9256638673)</f>
        <v>9256638673</v>
      </c>
      <c r="AW213" s="27">
        <f ca="1">IFERROR(__xludf.DUMMYFUNCTION("""COMPUTED_VALUE"""),18538087)</f>
        <v>18538087</v>
      </c>
      <c r="AX213" s="27" t="str">
        <f ca="1">IFERROR(__xludf.DUMMYFUNCTION("""COMPUTED_VALUE"""),"Licenciatura Em Matemática (Pós Em Psicopedagogia Clínica E Institucional)")</f>
        <v>Licenciatura Em Matemática (Pós Em Psicopedagogia Clínica E Institucional)</v>
      </c>
      <c r="AY213" s="27" t="str">
        <f ca="1">IFERROR(__xludf.DUMMYFUNCTION("""COMPUTED_VALUE"""),"Secretaria Estadual de Ensino - Professor")</f>
        <v>Secretaria Estadual de Ensino - Professor</v>
      </c>
      <c r="AZ213" s="27" t="str">
        <f ca="1">IFERROR(__xludf.DUMMYFUNCTION("""COMPUTED_VALUE"""),"XG")</f>
        <v>XG</v>
      </c>
      <c r="BA213" s="27" t="str">
        <f ca="1">IFERROR(__xludf.DUMMYFUNCTION("""COMPUTED_VALUE"""),"Parda")</f>
        <v>Parda</v>
      </c>
      <c r="BB213" s="27"/>
      <c r="BC213" s="27" t="str">
        <f ca="1">IFERROR(__xludf.DUMMYFUNCTION("""COMPUTED_VALUE"""),"Não")</f>
        <v>Não</v>
      </c>
      <c r="BD213" s="27" t="str">
        <f ca="1">IFERROR(__xludf.DUMMYFUNCTION("""COMPUTED_VALUE"""),"Educador por amor. Formado em Licenciatura em Matemática, acredito na educação pública como o meio mais eficaz de combater a pobresa. Fundei o Projeto Dínamus em 2018 com a intenção de levar atividades extracurriculares para os alunos das escolas públicas"&amp;". Hoje trabalhamos dentro delas e apoiamos educadores e gestores no processo de melhoria da educação.")</f>
        <v>Educador por amor. Formado em Licenciatura em Matemática, acredito na educação pública como o meio mais eficaz de combater a pobresa. Fundei o Projeto Dínamus em 2018 com a intenção de levar atividades extracurriculares para os alunos das escolas públicas. Hoje trabalhamos dentro delas e apoiamos educadores e gestores no processo de melhoria da educação.</v>
      </c>
      <c r="BE213" s="27" t="str">
        <f ca="1">IFERROR(__xludf.DUMMYFUNCTION("""COMPUTED_VALUE"""),"Feminino")</f>
        <v>Feminino</v>
      </c>
      <c r="BF213" s="27" t="str">
        <f ca="1">IFERROR(__xludf.DUMMYFUNCTION("""COMPUTED_VALUE"""),"Heterossexual")</f>
        <v>Heterossexual</v>
      </c>
      <c r="BG213" s="27" t="str">
        <f ca="1">IFERROR(__xludf.DUMMYFUNCTION("""COMPUTED_VALUE"""),"Ensino Superior - Completo")</f>
        <v>Ensino Superior - Completo</v>
      </c>
      <c r="BH213" s="27"/>
      <c r="BI213" s="27" t="str">
        <f ca="1">IFERROR(__xludf.DUMMYFUNCTION("""COMPUTED_VALUE"""),"Pós-Graduação")</f>
        <v>Pós-Graduação</v>
      </c>
      <c r="BJ213" s="27" t="str">
        <f ca="1">IFERROR(__xludf.DUMMYFUNCTION("""COMPUTED_VALUE"""),"Público")</f>
        <v>Público</v>
      </c>
      <c r="BK213" s="27" t="str">
        <f ca="1">IFERROR(__xludf.DUMMYFUNCTION("""COMPUTED_VALUE"""),"DOUTOR GASTAO MACHADO PONTES DE MIRANDA")</f>
        <v>DOUTOR GASTAO MACHADO PONTES DE MIRANDA</v>
      </c>
      <c r="BL213" s="27" t="str">
        <f ca="1">IFERROR(__xludf.DUMMYFUNCTION("""COMPUTED_VALUE"""),"s/n")</f>
        <v>s/n</v>
      </c>
      <c r="BM213" s="27" t="str">
        <f ca="1">IFERROR(__xludf.DUMMYFUNCTION("""COMPUTED_VALUE"""),"apto 104")</f>
        <v>apto 104</v>
      </c>
      <c r="BN213" s="27" t="str">
        <f ca="1">IFERROR(__xludf.DUMMYFUNCTION("""COMPUTED_VALUE"""),"Maceió")</f>
        <v>Maceió</v>
      </c>
      <c r="BO213" s="27" t="str">
        <f ca="1">IFERROR(__xludf.DUMMYFUNCTION("""COMPUTED_VALUE"""),"57073-430")</f>
        <v>57073-430</v>
      </c>
      <c r="BP213" s="27" t="str">
        <f ca="1">IFERROR(__xludf.DUMMYFUNCTION("""COMPUTED_VALUE"""),"AL")</f>
        <v>AL</v>
      </c>
      <c r="BQ213" s="27" t="str">
        <f ca="1">IFERROR(__xludf.DUMMYFUNCTION("""COMPUTED_VALUE"""),"De 3 até 5 salários mínimos")</f>
        <v>De 3 até 5 salários mínimos</v>
      </c>
      <c r="BR213" s="27" t="str">
        <f ca="1">IFERROR(__xludf.DUMMYFUNCTION("""COMPUTED_VALUE"""),"Funcionário Público")</f>
        <v>Funcionário Público</v>
      </c>
      <c r="BS213" s="27" t="str">
        <f ca="1">IFERROR(__xludf.DUMMYFUNCTION("""COMPUTED_VALUE"""),"Aluguel")</f>
        <v>Aluguel</v>
      </c>
      <c r="BT213" s="27">
        <f ca="1">IFERROR(__xludf.DUMMYFUNCTION("""COMPUTED_VALUE"""),2)</f>
        <v>2</v>
      </c>
      <c r="BU213" s="27"/>
      <c r="BV213" s="27"/>
      <c r="BW213" s="21" t="str">
        <f ca="1">IFERROR(__xludf.DUMMYFUNCTION("""COMPUTED_VALUE"""),"https://www.linkedin.com/in/alexandre-tuller-461a841a9/")</f>
        <v>https://www.linkedin.com/in/alexandre-tuller-461a841a9/</v>
      </c>
      <c r="BX213" s="21" t="str">
        <f ca="1">IFERROR(__xludf.DUMMYFUNCTION("""COMPUTED_VALUE"""),"instagram.com/alexandretuller")</f>
        <v>instagram.com/alexandretuller</v>
      </c>
      <c r="BY213" s="21" t="str">
        <f ca="1">IFERROR(__xludf.DUMMYFUNCTION("""COMPUTED_VALUE"""),"https://drive.google.com/open?id=1a8B8SdyykY0i67bSJBJ90HrSbK0Gk-m2")</f>
        <v>https://drive.google.com/open?id=1a8B8SdyykY0i67bSJBJ90HrSbK0Gk-m2</v>
      </c>
    </row>
    <row r="214" spans="1:77" ht="12.5" hidden="1" x14ac:dyDescent="0.25">
      <c r="A214" s="21" t="str">
        <f ca="1">IFERROR(__xludf.DUMMYFUNCTION("""COMPUTED_VALUE"""),"0014X00002VKCrCQAX")</f>
        <v>0014X00002VKCrCQAX</v>
      </c>
      <c r="B214" s="27" t="str">
        <f ca="1">IFERROR(__xludf.DUMMYFUNCTION("""COMPUTED_VALUE"""),"Fase Inicial")</f>
        <v>Fase Inicial</v>
      </c>
      <c r="C214" s="27" t="str">
        <f ca="1">IFERROR(__xludf.DUMMYFUNCTION("""COMPUTED_VALUE"""),"Fellow")</f>
        <v>Fellow</v>
      </c>
      <c r="D214" s="27" t="str">
        <f ca="1">IFERROR(__xludf.DUMMYFUNCTION("""COMPUTED_VALUE"""),"Ativo")</f>
        <v>Ativo</v>
      </c>
      <c r="E214" s="27" t="str">
        <f ca="1">IFERROR(__xludf.DUMMYFUNCTION("""COMPUTED_VALUE"""),"Chama Viva Missões Urbanas")</f>
        <v>Chama Viva Missões Urbanas</v>
      </c>
      <c r="F214" s="27" t="str">
        <f ca="1">IFERROR(__xludf.DUMMYFUNCTION("""COMPUTED_VALUE"""),"Rafael")</f>
        <v>Rafael</v>
      </c>
      <c r="G214" s="27" t="str">
        <f ca="1">IFERROR(__xludf.DUMMYFUNCTION("""COMPUTED_VALUE"""),"CHAMA VIVA MISSÕES URBANAS")</f>
        <v>CHAMA VIVA MISSÕES URBANAS</v>
      </c>
      <c r="H214" s="27"/>
      <c r="I214" s="27" t="str">
        <f ca="1">IFERROR(__xludf.DUMMYFUNCTION("""COMPUTED_VALUE"""),"Rafael Mendes Marques")</f>
        <v>Rafael Mendes Marques</v>
      </c>
      <c r="J214" s="27" t="str">
        <f ca="1">IFERROR(__xludf.DUMMYFUNCTION("""COMPUTED_VALUE"""),"prrafamendes@gmail.com")</f>
        <v>prrafamendes@gmail.com</v>
      </c>
      <c r="K214" s="27" t="str">
        <f ca="1">IFERROR(__xludf.DUMMYFUNCTION("""COMPUTED_VALUE"""),"(61)99982-8101")</f>
        <v>(61)99982-8101</v>
      </c>
      <c r="L214" s="27" t="str">
        <f ca="1">IFERROR(__xludf.DUMMYFUNCTION("""COMPUTED_VALUE"""),"DF")</f>
        <v>DF</v>
      </c>
      <c r="M214" s="27" t="str">
        <f ca="1">IFERROR(__xludf.DUMMYFUNCTION("""COMPUTED_VALUE"""),"QNE 30")</f>
        <v>QNE 30</v>
      </c>
      <c r="N214" s="27" t="str">
        <f ca="1">IFERROR(__xludf.DUMMYFUNCTION("""COMPUTED_VALUE"""),"Taguatinga-DF")</f>
        <v>Taguatinga-DF</v>
      </c>
      <c r="O214" s="27">
        <f ca="1">IFERROR(__xludf.DUMMYFUNCTION("""COMPUTED_VALUE"""),3)</f>
        <v>3</v>
      </c>
      <c r="P214" s="27" t="str">
        <f ca="1">IFERROR(__xludf.DUMMYFUNCTION("""COMPUTED_VALUE"""),"Brasília")</f>
        <v>Brasília</v>
      </c>
      <c r="Q214" s="27" t="str">
        <f ca="1">IFERROR(__xludf.DUMMYFUNCTION("""COMPUTED_VALUE"""),"Casa 3")</f>
        <v>Casa 3</v>
      </c>
      <c r="R214" s="27" t="str">
        <f ca="1">IFERROR(__xludf.DUMMYFUNCTION("""COMPUTED_VALUE"""),"72125-300")</f>
        <v>72125-300</v>
      </c>
      <c r="S214" s="27" t="str">
        <f ca="1">IFERROR(__xludf.DUMMYFUNCTION("""COMPUTED_VALUE"""),"Praça do relógio/ Comunidade Assaí/ Comunidade Monjolo")</f>
        <v>Praça do relógio/ Comunidade Assaí/ Comunidade Monjolo</v>
      </c>
      <c r="T214" s="27"/>
      <c r="U214" s="27" t="str">
        <f ca="1">IFERROR(__xludf.DUMMYFUNCTION("""COMPUTED_VALUE"""),"Crianças (6 a 12 anos), Adultos")</f>
        <v>Crianças (6 a 12 anos), Adultos</v>
      </c>
      <c r="V214" s="27" t="str">
        <f ca="1">IFERROR(__xludf.DUMMYFUNCTION("""COMPUTED_VALUE"""),"Moradores de Favelas, Pessoas em situação de rua, Dependentes Químicos")</f>
        <v>Moradores de Favelas, Pessoas em situação de rua, Dependentes Químicos</v>
      </c>
      <c r="W214" s="27">
        <f ca="1">IFERROR(__xludf.DUMMYFUNCTION("""COMPUTED_VALUE"""),2)</f>
        <v>2</v>
      </c>
      <c r="X214" s="27" t="str">
        <f ca="1">IFERROR(__xludf.DUMMYFUNCTION("""COMPUTED_VALUE"""),"Atuo nas ruas* e diretamente nas favelas* o endereço da ong* é o endereço onde moro* e faço reuniões de planejamento.")</f>
        <v>Atuo nas ruas* e diretamente nas favelas* o endereço da ong* é o endereço onde moro* e faço reuniões de planejamento.</v>
      </c>
      <c r="Y214" s="27"/>
      <c r="Z214" s="27">
        <f ca="1">IFERROR(__xludf.DUMMYFUNCTION("""COMPUTED_VALUE"""),200)</f>
        <v>200</v>
      </c>
      <c r="AA214" s="29">
        <f ca="1">IFERROR(__xludf.DUMMYFUNCTION("""COMPUTED_VALUE"""),42200)</f>
        <v>42200</v>
      </c>
      <c r="AB214" s="27" t="str">
        <f ca="1">IFERROR(__xludf.DUMMYFUNCTION("""COMPUTED_VALUE"""),"Não")</f>
        <v>Não</v>
      </c>
      <c r="AC214" s="27">
        <f ca="1">IFERROR(__xludf.DUMMYFUNCTION("""COMPUTED_VALUE"""),0)</f>
        <v>0</v>
      </c>
      <c r="AD214" s="27">
        <f ca="1">IFERROR(__xludf.DUMMYFUNCTION("""COMPUTED_VALUE"""),0)</f>
        <v>0</v>
      </c>
      <c r="AE214" s="27">
        <f ca="1">IFERROR(__xludf.DUMMYFUNCTION("""COMPUTED_VALUE"""),8)</f>
        <v>8</v>
      </c>
      <c r="AF214" s="27">
        <f ca="1">IFERROR(__xludf.DUMMYFUNCTION("""COMPUTED_VALUE"""),10)</f>
        <v>10</v>
      </c>
      <c r="AG214" s="27">
        <f ca="1">IFERROR(__xludf.DUMMYFUNCTION("""COMPUTED_VALUE"""),2)</f>
        <v>2</v>
      </c>
      <c r="AH214" s="27" t="str">
        <f ca="1">IFERROR(__xludf.DUMMYFUNCTION("""COMPUTED_VALUE"""),"Eventos/Ações para captação, Doações")</f>
        <v>Eventos/Ações para captação, Doações</v>
      </c>
      <c r="AI214" s="27">
        <f ca="1">IFERROR(__xludf.DUMMYFUNCTION("""COMPUTED_VALUE"""),0)</f>
        <v>0</v>
      </c>
      <c r="AJ214" s="27" t="str">
        <f ca="1">IFERROR(__xludf.DUMMYFUNCTION("""COMPUTED_VALUE"""),"Não")</f>
        <v>Não</v>
      </c>
      <c r="AK214" s="27"/>
      <c r="AL214" s="21" t="str">
        <f ca="1">IFERROR(__xludf.DUMMYFUNCTION("""COMPUTED_VALUE"""),"0034X0000380O3k")</f>
        <v>0034X0000380O3k</v>
      </c>
      <c r="AM214" s="27" t="str">
        <f ca="1">IFERROR(__xludf.DUMMYFUNCTION("""COMPUTED_VALUE"""),"Mendes marques")</f>
        <v>Mendes marques</v>
      </c>
      <c r="AN214" s="27" t="str">
        <f ca="1">IFERROR(__xludf.DUMMYFUNCTION("""COMPUTED_VALUE"""),"Ativo")</f>
        <v>Ativo</v>
      </c>
      <c r="AO214" s="29">
        <f ca="1">IFERROR(__xludf.DUMMYFUNCTION("""COMPUTED_VALUE"""),44763)</f>
        <v>44763</v>
      </c>
      <c r="AP214" s="27">
        <f ca="1">IFERROR(__xludf.DUMMYFUNCTION("""COMPUTED_VALUE"""),2)</f>
        <v>2</v>
      </c>
      <c r="AQ214" s="27" t="str">
        <f ca="1">IFERROR(__xludf.DUMMYFUNCTION("""COMPUTED_VALUE"""),"Primeiro Semestre 2022")</f>
        <v>Primeiro Semestre 2022</v>
      </c>
      <c r="AR214" s="27" t="str">
        <f ca="1">IFERROR(__xludf.DUMMYFUNCTION("""COMPUTED_VALUE"""),"prrafamendes@gmail.com")</f>
        <v>prrafamendes@gmail.com</v>
      </c>
      <c r="AS214" s="27" t="str">
        <f ca="1">IFERROR(__xludf.DUMMYFUNCTION("""COMPUTED_VALUE"""),"(61)99982-8101")</f>
        <v>(61)99982-8101</v>
      </c>
      <c r="AT214" s="29">
        <f ca="1">IFERROR(__xludf.DUMMYFUNCTION("""COMPUTED_VALUE"""),30949)</f>
        <v>30949</v>
      </c>
      <c r="AU214" s="27">
        <f ca="1">IFERROR(__xludf.DUMMYFUNCTION("""COMPUTED_VALUE"""),38)</f>
        <v>38</v>
      </c>
      <c r="AV214" s="27">
        <f ca="1">IFERROR(__xludf.DUMMYFUNCTION("""COMPUTED_VALUE"""),10286919710)</f>
        <v>10286919710</v>
      </c>
      <c r="AW214" s="27" t="str">
        <f ca="1">IFERROR(__xludf.DUMMYFUNCTION("""COMPUTED_VALUE"""),"20785134-6")</f>
        <v>20785134-6</v>
      </c>
      <c r="AX214" s="27"/>
      <c r="AY214" s="27" t="str">
        <f ca="1">IFERROR(__xludf.DUMMYFUNCTION("""COMPUTED_VALUE"""),"Presidente")</f>
        <v>Presidente</v>
      </c>
      <c r="AZ214" s="27" t="str">
        <f ca="1">IFERROR(__xludf.DUMMYFUNCTION("""COMPUTED_VALUE"""),"G2")</f>
        <v>G2</v>
      </c>
      <c r="BA214" s="27" t="str">
        <f ca="1">IFERROR(__xludf.DUMMYFUNCTION("""COMPUTED_VALUE"""),"Preta")</f>
        <v>Preta</v>
      </c>
      <c r="BB214" s="27"/>
      <c r="BC214" s="27"/>
      <c r="BD214" s="27" t="str">
        <f ca="1">IFERROR(__xludf.DUMMYFUNCTION("""COMPUTED_VALUE"""),"Rafael Mendes, 37 anos, nascido no Rio de Janeiro, atuou em projetos junto às comunidades carentes do Morro do Urubu e lixão de Gramacho. Atualmente, mora em Brasília e é coordenador do Chama Viva Missões Urbanas. Engajado em questões sociais e apaixonado"&amp;" por missões, atua como educador social, desenvolvendo trabalhos com a população de rua e atuando no combate à insegurança alimentar nas comunidades do DF.")</f>
        <v>Rafael Mendes, 37 anos, nascido no Rio de Janeiro, atuou em projetos junto às comunidades carentes do Morro do Urubu e lixão de Gramacho. Atualmente, mora em Brasília e é coordenador do Chama Viva Missões Urbanas. Engajado em questões sociais e apaixonado por missões, atua como educador social, desenvolvendo trabalhos com a população de rua e atuando no combate à insegurança alimentar nas comunidades do DF.</v>
      </c>
      <c r="BE214" s="27" t="str">
        <f ca="1">IFERROR(__xludf.DUMMYFUNCTION("""COMPUTED_VALUE"""),"Homem, cisgênero")</f>
        <v>Homem, cisgênero</v>
      </c>
      <c r="BF214" s="27" t="str">
        <f ca="1">IFERROR(__xludf.DUMMYFUNCTION("""COMPUTED_VALUE"""),"Heterossexual")</f>
        <v>Heterossexual</v>
      </c>
      <c r="BG214" s="27" t="str">
        <f ca="1">IFERROR(__xludf.DUMMYFUNCTION("""COMPUTED_VALUE"""),"Ensino Médio - Completo")</f>
        <v>Ensino Médio - Completo</v>
      </c>
      <c r="BH214" s="27" t="str">
        <f ca="1">IFERROR(__xludf.DUMMYFUNCTION("""COMPUTED_VALUE"""),"Público")</f>
        <v>Público</v>
      </c>
      <c r="BI214" s="27"/>
      <c r="BJ214" s="27"/>
      <c r="BK214" s="27" t="str">
        <f ca="1">IFERROR(__xludf.DUMMYFUNCTION("""COMPUTED_VALUE"""),"QNE")</f>
        <v>QNE</v>
      </c>
      <c r="BL214" s="27">
        <f ca="1">IFERROR(__xludf.DUMMYFUNCTION("""COMPUTED_VALUE"""),30)</f>
        <v>30</v>
      </c>
      <c r="BM214" s="27" t="str">
        <f ca="1">IFERROR(__xludf.DUMMYFUNCTION("""COMPUTED_VALUE"""),"Casa 3")</f>
        <v>Casa 3</v>
      </c>
      <c r="BN214" s="27" t="str">
        <f ca="1">IFERROR(__xludf.DUMMYFUNCTION("""COMPUTED_VALUE"""),"Brasília (Distrito Federal)")</f>
        <v>Brasília (Distrito Federal)</v>
      </c>
      <c r="BO214" s="27" t="str">
        <f ca="1">IFERROR(__xludf.DUMMYFUNCTION("""COMPUTED_VALUE"""),"72125-300")</f>
        <v>72125-300</v>
      </c>
      <c r="BP214" s="27" t="str">
        <f ca="1">IFERROR(__xludf.DUMMYFUNCTION("""COMPUTED_VALUE"""),"DF")</f>
        <v>DF</v>
      </c>
      <c r="BQ214" s="27" t="str">
        <f ca="1">IFERROR(__xludf.DUMMYFUNCTION("""COMPUTED_VALUE"""),"Entre 1 até 3 salários mínimos")</f>
        <v>Entre 1 até 3 salários mínimos</v>
      </c>
      <c r="BR214" s="27" t="str">
        <f ca="1">IFERROR(__xludf.DUMMYFUNCTION("""COMPUTED_VALUE"""),"CLT, Desempregado")</f>
        <v>CLT, Desempregado</v>
      </c>
      <c r="BS214" s="27" t="str">
        <f ca="1">IFERROR(__xludf.DUMMYFUNCTION("""COMPUTED_VALUE"""),"Casa cedida")</f>
        <v>Casa cedida</v>
      </c>
      <c r="BT214" s="27">
        <f ca="1">IFERROR(__xludf.DUMMYFUNCTION("""COMPUTED_VALUE"""),3)</f>
        <v>3</v>
      </c>
      <c r="BU214" s="27" t="str">
        <f ca="1">IFERROR(__xludf.DUMMYFUNCTION("""COMPUTED_VALUE"""),"Não tem")</f>
        <v>Não tem</v>
      </c>
      <c r="BV214" s="27" t="str">
        <f ca="1">IFERROR(__xludf.DUMMYFUNCTION("""COMPUTED_VALUE"""),"Não")</f>
        <v>Não</v>
      </c>
      <c r="BW214" s="27"/>
      <c r="BX214" s="21" t="str">
        <f ca="1">IFERROR(__xludf.DUMMYFUNCTION("""COMPUTED_VALUE"""),"https://www.instagram.com/rafaelmendescx/")</f>
        <v>https://www.instagram.com/rafaelmendescx/</v>
      </c>
      <c r="BY214" s="21" t="str">
        <f ca="1">IFERROR(__xludf.DUMMYFUNCTION("""COMPUTED_VALUE"""),"https://drive.google.com/open?id=1mGtZy48L_SOEgiifOFvGqZmBUKL8XHMB")</f>
        <v>https://drive.google.com/open?id=1mGtZy48L_SOEgiifOFvGqZmBUKL8XHMB</v>
      </c>
    </row>
    <row r="215" spans="1:77" ht="12.5" hidden="1" x14ac:dyDescent="0.25">
      <c r="A215" s="21" t="str">
        <f ca="1">IFERROR(__xludf.DUMMYFUNCTION("""COMPUTED_VALUE"""),"0014X00002VKCrOQAX")</f>
        <v>0014X00002VKCrOQAX</v>
      </c>
      <c r="B215" s="27" t="str">
        <f ca="1">IFERROR(__xludf.DUMMYFUNCTION("""COMPUTED_VALUE"""),"Fase Inicial")</f>
        <v>Fase Inicial</v>
      </c>
      <c r="C215" s="27" t="str">
        <f ca="1">IFERROR(__xludf.DUMMYFUNCTION("""COMPUTED_VALUE"""),"Fellow")</f>
        <v>Fellow</v>
      </c>
      <c r="D215" s="27" t="str">
        <f ca="1">IFERROR(__xludf.DUMMYFUNCTION("""COMPUTED_VALUE"""),"Ativo")</f>
        <v>Ativo</v>
      </c>
      <c r="E215" s="27" t="str">
        <f ca="1">IFERROR(__xludf.DUMMYFUNCTION("""COMPUTED_VALUE"""),"Chef Angelo Magno")</f>
        <v>Chef Angelo Magno</v>
      </c>
      <c r="F215" s="27" t="str">
        <f ca="1">IFERROR(__xludf.DUMMYFUNCTION("""COMPUTED_VALUE"""),"ANGELO")</f>
        <v>ANGELO</v>
      </c>
      <c r="G215" s="27" t="str">
        <f ca="1">IFERROR(__xludf.DUMMYFUNCTION("""COMPUTED_VALUE"""),"ALIMENTANDO SEU BOLSO")</f>
        <v>ALIMENTANDO SEU BOLSO</v>
      </c>
      <c r="H215" s="27"/>
      <c r="I215" s="27" t="str">
        <f ca="1">IFERROR(__xludf.DUMMYFUNCTION("""COMPUTED_VALUE"""),"Angelo Magno Alves da Fonseca")</f>
        <v>Angelo Magno Alves da Fonseca</v>
      </c>
      <c r="J215" s="27"/>
      <c r="K215" s="27" t="str">
        <f ca="1">IFERROR(__xludf.DUMMYFUNCTION("""COMPUTED_VALUE"""),"(81)99920-7898")</f>
        <v>(81)99920-7898</v>
      </c>
      <c r="L215" s="27" t="str">
        <f ca="1">IFERROR(__xludf.DUMMYFUNCTION("""COMPUTED_VALUE"""),"PE")</f>
        <v>PE</v>
      </c>
      <c r="M215" s="27" t="str">
        <f ca="1">IFERROR(__xludf.DUMMYFUNCTION("""COMPUTED_VALUE"""),"Sem endereço fixo, atuamos de forma itinerante em outros projetos que já atuam em comunidade do Recife")</f>
        <v>Sem endereço fixo, atuamos de forma itinerante em outros projetos que já atuam em comunidade do Recife</v>
      </c>
      <c r="N215" s="27" t="str">
        <f ca="1">IFERROR(__xludf.DUMMYFUNCTION("""COMPUTED_VALUE"""),"Não definido")</f>
        <v>Não definido</v>
      </c>
      <c r="O215" s="27">
        <f ca="1">IFERROR(__xludf.DUMMYFUNCTION("""COMPUTED_VALUE"""),0)</f>
        <v>0</v>
      </c>
      <c r="P215" s="27" t="str">
        <f ca="1">IFERROR(__xludf.DUMMYFUNCTION("""COMPUTED_VALUE"""),"Recife")</f>
        <v>Recife</v>
      </c>
      <c r="Q215" s="27">
        <f ca="1">IFERROR(__xludf.DUMMYFUNCTION("""COMPUTED_VALUE"""),0)</f>
        <v>0</v>
      </c>
      <c r="R215" s="27" t="str">
        <f ca="1">IFERROR(__xludf.DUMMYFUNCTION("""COMPUTED_VALUE"""),"00000-000")</f>
        <v>00000-000</v>
      </c>
      <c r="S215" s="27"/>
      <c r="T215" s="27"/>
      <c r="U215" s="27" t="str">
        <f ca="1">IFERROR(__xludf.DUMMYFUNCTION("""COMPUTED_VALUE"""),"Jovens (18 aos 24 anos), Adultos")</f>
        <v>Jovens (18 aos 24 anos), Adultos</v>
      </c>
      <c r="V215" s="27" t="str">
        <f ca="1">IFERROR(__xludf.DUMMYFUNCTION("""COMPUTED_VALUE"""),"Moradores de Favelas")</f>
        <v>Moradores de Favelas</v>
      </c>
      <c r="W215" s="27">
        <f ca="1">IFERROR(__xludf.DUMMYFUNCTION("""COMPUTED_VALUE"""),12)</f>
        <v>12</v>
      </c>
      <c r="X215" s="27" t="str">
        <f ca="1">IFERROR(__xludf.DUMMYFUNCTION("""COMPUTED_VALUE"""),"Atendemos de forma itinerante e por fases* sendo 3 favelas em cada fase")</f>
        <v>Atendemos de forma itinerante e por fases* sendo 3 favelas em cada fase</v>
      </c>
      <c r="Y215" s="27"/>
      <c r="Z215" s="27">
        <f ca="1">IFERROR(__xludf.DUMMYFUNCTION("""COMPUTED_VALUE"""),20)</f>
        <v>20</v>
      </c>
      <c r="AA215" s="29">
        <f ca="1">IFERROR(__xludf.DUMMYFUNCTION("""COMPUTED_VALUE"""),44105)</f>
        <v>44105</v>
      </c>
      <c r="AB215" s="27" t="str">
        <f ca="1">IFERROR(__xludf.DUMMYFUNCTION("""COMPUTED_VALUE"""),"Não")</f>
        <v>Não</v>
      </c>
      <c r="AC215" s="27">
        <f ca="1">IFERROR(__xludf.DUMMYFUNCTION("""COMPUTED_VALUE"""),0)</f>
        <v>0</v>
      </c>
      <c r="AD215" s="27">
        <f ca="1">IFERROR(__xludf.DUMMYFUNCTION("""COMPUTED_VALUE"""),255)</f>
        <v>255</v>
      </c>
      <c r="AE215" s="27">
        <f ca="1">IFERROR(__xludf.DUMMYFUNCTION("""COMPUTED_VALUE"""),2)</f>
        <v>2</v>
      </c>
      <c r="AF215" s="27">
        <f ca="1">IFERROR(__xludf.DUMMYFUNCTION("""COMPUTED_VALUE"""),2)</f>
        <v>2</v>
      </c>
      <c r="AG215" s="27">
        <f ca="1">IFERROR(__xludf.DUMMYFUNCTION("""COMPUTED_VALUE"""),3)</f>
        <v>3</v>
      </c>
      <c r="AH215" s="27" t="str">
        <f ca="1">IFERROR(__xludf.DUMMYFUNCTION("""COMPUTED_VALUE"""),"Negócio Social, Parceria iniciativa privada, Doações")</f>
        <v>Negócio Social, Parceria iniciativa privada, Doações</v>
      </c>
      <c r="AI215" s="27" t="str">
        <f ca="1">IFERROR(__xludf.DUMMYFUNCTION("""COMPUTED_VALUE"""),"80% Negócio Social 10% doação 10% parceria iniciativa privada")</f>
        <v>80% Negócio Social 10% doação 10% parceria iniciativa privada</v>
      </c>
      <c r="AJ215" s="27" t="str">
        <f ca="1">IFERROR(__xludf.DUMMYFUNCTION("""COMPUTED_VALUE"""),"Sim")</f>
        <v>Sim</v>
      </c>
      <c r="AK215" s="27"/>
      <c r="AL215" s="21" t="str">
        <f ca="1">IFERROR(__xludf.DUMMYFUNCTION("""COMPUTED_VALUE"""),"0034X0000380O3g")</f>
        <v>0034X0000380O3g</v>
      </c>
      <c r="AM215" s="27" t="str">
        <f ca="1">IFERROR(__xludf.DUMMYFUNCTION("""COMPUTED_VALUE"""),"Magno alves da fonseca")</f>
        <v>Magno alves da fonseca</v>
      </c>
      <c r="AN215" s="27" t="str">
        <f ca="1">IFERROR(__xludf.DUMMYFUNCTION("""COMPUTED_VALUE"""),"Ativo")</f>
        <v>Ativo</v>
      </c>
      <c r="AO215" s="27"/>
      <c r="AP215" s="27"/>
      <c r="AQ215" s="27" t="str">
        <f ca="1">IFERROR(__xludf.DUMMYFUNCTION("""COMPUTED_VALUE"""),"Primeiro Semestre 2022")</f>
        <v>Primeiro Semestre 2022</v>
      </c>
      <c r="AR215" s="27" t="str">
        <f ca="1">IFERROR(__xludf.DUMMYFUNCTION("""COMPUTED_VALUE"""),"angelomagnopc@gmail.com")</f>
        <v>angelomagnopc@gmail.com</v>
      </c>
      <c r="AS215" s="27" t="str">
        <f ca="1">IFERROR(__xludf.DUMMYFUNCTION("""COMPUTED_VALUE"""),"(81)99920-7898")</f>
        <v>(81)99920-7898</v>
      </c>
      <c r="AT215" s="29">
        <f ca="1">IFERROR(__xludf.DUMMYFUNCTION("""COMPUTED_VALUE"""),32623)</f>
        <v>32623</v>
      </c>
      <c r="AU215" s="27">
        <f ca="1">IFERROR(__xludf.DUMMYFUNCTION("""COMPUTED_VALUE"""),33)</f>
        <v>33</v>
      </c>
      <c r="AV215" s="27">
        <f ca="1">IFERROR(__xludf.DUMMYFUNCTION("""COMPUTED_VALUE"""),7974112409)</f>
        <v>7974112409</v>
      </c>
      <c r="AW215" s="27">
        <f ca="1">IFERROR(__xludf.DUMMYFUNCTION("""COMPUTED_VALUE"""),7817329)</f>
        <v>7817329</v>
      </c>
      <c r="AX215" s="27"/>
      <c r="AY215" s="27" t="str">
        <f ca="1">IFERROR(__xludf.DUMMYFUNCTION("""COMPUTED_VALUE"""),"CEO")</f>
        <v>CEO</v>
      </c>
      <c r="AZ215" s="27" t="str">
        <f ca="1">IFERROR(__xludf.DUMMYFUNCTION("""COMPUTED_VALUE"""),"G")</f>
        <v>G</v>
      </c>
      <c r="BA215" s="27" t="str">
        <f ca="1">IFERROR(__xludf.DUMMYFUNCTION("""COMPUTED_VALUE"""),"Parda")</f>
        <v>Parda</v>
      </c>
      <c r="BB215" s="27"/>
      <c r="BC215" s="27"/>
      <c r="BD215" s="27" t="str">
        <f ca="1">IFERROR(__xludf.DUMMYFUNCTION("""COMPUTED_VALUE"""),"Sou natural de Recife, casado, tenho a influencia e admiração muito grande pelo que minha mãe fez, iniciando seus negócios com a gastronomia quanto eu tinha 10 anos de idade. Desde então, vi que ali também seria onde eu ia me encontrar. Cursei o ensino su"&amp;"perior em gastronomia, fiz pós, faço cursos de extensão, tudo para aprender cada vez mais. Hoje me sinto no dever de compartilhar o que aprendi e ajudar a mudar a vida de outras pessoas através da gastronomia, assim como aconteceu comigo.")</f>
        <v>Sou natural de Recife, casado, tenho a influencia e admiração muito grande pelo que minha mãe fez, iniciando seus negócios com a gastronomia quanto eu tinha 10 anos de idade. Desde então, vi que ali também seria onde eu ia me encontrar. Cursei o ensino superior em gastronomia, fiz pós, faço cursos de extensão, tudo para aprender cada vez mais. Hoje me sinto no dever de compartilhar o que aprendi e ajudar a mudar a vida de outras pessoas através da gastronomia, assim como aconteceu comigo.</v>
      </c>
      <c r="BE215" s="27" t="str">
        <f ca="1">IFERROR(__xludf.DUMMYFUNCTION("""COMPUTED_VALUE"""),"Homem, cisgênero")</f>
        <v>Homem, cisgênero</v>
      </c>
      <c r="BF215" s="27" t="str">
        <f ca="1">IFERROR(__xludf.DUMMYFUNCTION("""COMPUTED_VALUE"""),"Heterossexual")</f>
        <v>Heterossexual</v>
      </c>
      <c r="BG215" s="27" t="str">
        <f ca="1">IFERROR(__xludf.DUMMYFUNCTION("""COMPUTED_VALUE"""),"Ensino Superior - Completo")</f>
        <v>Ensino Superior - Completo</v>
      </c>
      <c r="BH215" s="27" t="str">
        <f ca="1">IFERROR(__xludf.DUMMYFUNCTION("""COMPUTED_VALUE"""),"Privado")</f>
        <v>Privado</v>
      </c>
      <c r="BI215" s="27" t="str">
        <f ca="1">IFERROR(__xludf.DUMMYFUNCTION("""COMPUTED_VALUE"""),"Pós-Graduação")</f>
        <v>Pós-Graduação</v>
      </c>
      <c r="BJ215" s="27" t="str">
        <f ca="1">IFERROR(__xludf.DUMMYFUNCTION("""COMPUTED_VALUE"""),"Privado")</f>
        <v>Privado</v>
      </c>
      <c r="BK215" s="27" t="str">
        <f ca="1">IFERROR(__xludf.DUMMYFUNCTION("""COMPUTED_VALUE"""),"Jacó Velosino")</f>
        <v>Jacó Velosino</v>
      </c>
      <c r="BL215" s="27">
        <f ca="1">IFERROR(__xludf.DUMMYFUNCTION("""COMPUTED_VALUE"""),270)</f>
        <v>270</v>
      </c>
      <c r="BM215" s="27" t="str">
        <f ca="1">IFERROR(__xludf.DUMMYFUNCTION("""COMPUTED_VALUE"""),"Apt 601")</f>
        <v>Apt 601</v>
      </c>
      <c r="BN215" s="27" t="str">
        <f ca="1">IFERROR(__xludf.DUMMYFUNCTION("""COMPUTED_VALUE"""),"Recife")</f>
        <v>Recife</v>
      </c>
      <c r="BO215" s="27" t="str">
        <f ca="1">IFERROR(__xludf.DUMMYFUNCTION("""COMPUTED_VALUE"""),"52061-410")</f>
        <v>52061-410</v>
      </c>
      <c r="BP215" s="27" t="str">
        <f ca="1">IFERROR(__xludf.DUMMYFUNCTION("""COMPUTED_VALUE"""),"PE")</f>
        <v>PE</v>
      </c>
      <c r="BQ215" s="27" t="str">
        <f ca="1">IFERROR(__xludf.DUMMYFUNCTION("""COMPUTED_VALUE"""),"Acima de 5 salários mínimos")</f>
        <v>Acima de 5 salários mínimos</v>
      </c>
      <c r="BR215" s="27" t="str">
        <f ca="1">IFERROR(__xludf.DUMMYFUNCTION("""COMPUTED_VALUE"""),"MEI, Funcionário Público")</f>
        <v>MEI, Funcionário Público</v>
      </c>
      <c r="BS215" s="27" t="str">
        <f ca="1">IFERROR(__xludf.DUMMYFUNCTION("""COMPUTED_VALUE"""),"Aluguel")</f>
        <v>Aluguel</v>
      </c>
      <c r="BT215" s="27">
        <f ca="1">IFERROR(__xludf.DUMMYFUNCTION("""COMPUTED_VALUE"""),2)</f>
        <v>2</v>
      </c>
      <c r="BU215" s="27" t="str">
        <f ca="1">IFERROR(__xludf.DUMMYFUNCTION("""COMPUTED_VALUE"""),"Não tem")</f>
        <v>Não tem</v>
      </c>
      <c r="BV215" s="27" t="str">
        <f ca="1">IFERROR(__xludf.DUMMYFUNCTION("""COMPUTED_VALUE"""),"Não")</f>
        <v>Não</v>
      </c>
      <c r="BW215" s="27" t="str">
        <f ca="1">IFERROR(__xludf.DUMMYFUNCTION("""COMPUTED_VALUE"""),"Angelo Magno")</f>
        <v>Angelo Magno</v>
      </c>
      <c r="BX215" s="27" t="str">
        <f ca="1">IFERROR(__xludf.DUMMYFUNCTION("""COMPUTED_VALUE"""),"@angelomagnochef")</f>
        <v>@angelomagnochef</v>
      </c>
      <c r="BY215" s="21" t="str">
        <f ca="1">IFERROR(__xludf.DUMMYFUNCTION("""COMPUTED_VALUE"""),"https://drive.google.com/open?id=1x0gXBjk6O2tQpAF2s9iiugy7jdJpbruz")</f>
        <v>https://drive.google.com/open?id=1x0gXBjk6O2tQpAF2s9iiugy7jdJpbruz</v>
      </c>
    </row>
    <row r="216" spans="1:77" ht="12.5" hidden="1" x14ac:dyDescent="0.25">
      <c r="A216" s="21" t="str">
        <f ca="1">IFERROR(__xludf.DUMMYFUNCTION("""COMPUTED_VALUE"""),"0014P00003YSpA9QAL")</f>
        <v>0014P00003YSpA9QAL</v>
      </c>
      <c r="B216" s="27" t="str">
        <f ca="1">IFERROR(__xludf.DUMMYFUNCTION("""COMPUTED_VALUE"""),"Fase Inicial")</f>
        <v>Fase Inicial</v>
      </c>
      <c r="C216" s="27" t="str">
        <f ca="1">IFERROR(__xludf.DUMMYFUNCTION("""COMPUTED_VALUE"""),"Fellow")</f>
        <v>Fellow</v>
      </c>
      <c r="D216" s="27" t="str">
        <f ca="1">IFERROR(__xludf.DUMMYFUNCTION("""COMPUTED_VALUE"""),"Ativo")</f>
        <v>Ativo</v>
      </c>
      <c r="E216" s="27" t="str">
        <f ca="1">IFERROR(__xludf.DUMMYFUNCTION("""COMPUTED_VALUE"""),"Chegança Escola")</f>
        <v>Chegança Escola</v>
      </c>
      <c r="F216" s="27" t="str">
        <f ca="1">IFERROR(__xludf.DUMMYFUNCTION("""COMPUTED_VALUE"""),"Julia")</f>
        <v>Julia</v>
      </c>
      <c r="G216" s="27"/>
      <c r="H216" s="27" t="str">
        <f ca="1">IFERROR(__xludf.DUMMYFUNCTION("""COMPUTED_VALUE"""),"43.994.802/0001-77")</f>
        <v>43.994.802/0001-77</v>
      </c>
      <c r="I216" s="27" t="str">
        <f ca="1">IFERROR(__xludf.DUMMYFUNCTION("""COMPUTED_VALUE"""),"Julia Fernanda Musse Silva")</f>
        <v>Julia Fernanda Musse Silva</v>
      </c>
      <c r="J216" s="27" t="str">
        <f ca="1">IFERROR(__xludf.DUMMYFUNCTION("""COMPUTED_VALUE"""),"contato@cheganca.com.br")</f>
        <v>contato@cheganca.com.br</v>
      </c>
      <c r="K216" s="27" t="str">
        <f ca="1">IFERROR(__xludf.DUMMYFUNCTION("""COMPUTED_VALUE"""),"(34)99721-3731")</f>
        <v>(34)99721-3731</v>
      </c>
      <c r="L216" s="27" t="str">
        <f ca="1">IFERROR(__xludf.DUMMYFUNCTION("""COMPUTED_VALUE"""),"MG")</f>
        <v>MG</v>
      </c>
      <c r="M216" s="27" t="str">
        <f ca="1">IFERROR(__xludf.DUMMYFUNCTION("""COMPUTED_VALUE"""),"Rua Godofredo Machado")</f>
        <v>Rua Godofredo Machado</v>
      </c>
      <c r="N216" s="27" t="str">
        <f ca="1">IFERROR(__xludf.DUMMYFUNCTION("""COMPUTED_VALUE"""),"Zona Rural")</f>
        <v>Zona Rural</v>
      </c>
      <c r="O216" s="27">
        <f ca="1">IFERROR(__xludf.DUMMYFUNCTION("""COMPUTED_VALUE"""),140)</f>
        <v>140</v>
      </c>
      <c r="P216" s="27" t="str">
        <f ca="1">IFERROR(__xludf.DUMMYFUNCTION("""COMPUTED_VALUE"""),"Uberlândia")</f>
        <v>Uberlândia</v>
      </c>
      <c r="Q216" s="27"/>
      <c r="R216" s="27" t="str">
        <f ca="1">IFERROR(__xludf.DUMMYFUNCTION("""COMPUTED_VALUE"""),"38401-094")</f>
        <v>38401-094</v>
      </c>
      <c r="S216" s="27"/>
      <c r="T216" s="27" t="str">
        <f ca="1">IFERROR(__xludf.DUMMYFUNCTION("""COMPUTED_VALUE"""),"Esporte; Educação; Cultura; Meio ambiente; Empoderamento Feminino")</f>
        <v>Esporte; Educação; Cultura; Meio ambiente; Empoderamento Feminino</v>
      </c>
      <c r="U216" s="27" t="str">
        <f ca="1">IFERROR(__xludf.DUMMYFUNCTION("""COMPUTED_VALUE"""),"Crianças (6 a 12 anos); Adolescentes (12 aos 18 anos); Jovens (18 aos 24 anos); Adultos")</f>
        <v>Crianças (6 a 12 anos); Adolescentes (12 aos 18 anos); Jovens (18 aos 24 anos); Adultos</v>
      </c>
      <c r="V216" s="27" t="str">
        <f ca="1">IFERROR(__xludf.DUMMYFUNCTION("""COMPUTED_VALUE"""),"Moradores de Favelas; Comunidade rural")</f>
        <v>Moradores de Favelas; Comunidade rural</v>
      </c>
      <c r="W216" s="27">
        <f ca="1">IFERROR(__xludf.DUMMYFUNCTION("""COMPUTED_VALUE"""),1)</f>
        <v>1</v>
      </c>
      <c r="X216" s="27" t="str">
        <f ca="1">IFERROR(__xludf.DUMMYFUNCTION("""COMPUTED_VALUE"""),"As crianças e famílias que acompanhamos são do Assentamento Santa Clara. As outras comunidades nós apoiamos através de doações de verduras e legumes para as cozinhas comunitárias.")</f>
        <v>As crianças e famílias que acompanhamos são do Assentamento Santa Clara. As outras comunidades nós apoiamos através de doações de verduras e legumes para as cozinhas comunitárias.</v>
      </c>
      <c r="Y216" s="27"/>
      <c r="Z216" s="27">
        <f ca="1">IFERROR(__xludf.DUMMYFUNCTION("""COMPUTED_VALUE"""),120)</f>
        <v>120</v>
      </c>
      <c r="AA216" s="30">
        <f ca="1">IFERROR(__xludf.DUMMYFUNCTION("""COMPUTED_VALUE"""),43023)</f>
        <v>43023</v>
      </c>
      <c r="AB216" s="27" t="str">
        <f ca="1">IFERROR(__xludf.DUMMYFUNCTION("""COMPUTED_VALUE"""),"Não")</f>
        <v>Não</v>
      </c>
      <c r="AC216" s="27">
        <f ca="1">IFERROR(__xludf.DUMMYFUNCTION("""COMPUTED_VALUE"""),0)</f>
        <v>0</v>
      </c>
      <c r="AD216" s="27">
        <f ca="1">IFERROR(__xludf.DUMMYFUNCTION("""COMPUTED_VALUE"""),0)</f>
        <v>0</v>
      </c>
      <c r="AE216" s="27">
        <f ca="1">IFERROR(__xludf.DUMMYFUNCTION("""COMPUTED_VALUE"""),10)</f>
        <v>10</v>
      </c>
      <c r="AF216" s="27">
        <f ca="1">IFERROR(__xludf.DUMMYFUNCTION("""COMPUTED_VALUE"""),4)</f>
        <v>4</v>
      </c>
      <c r="AG216" s="27">
        <f ca="1">IFERROR(__xludf.DUMMYFUNCTION("""COMPUTED_VALUE"""),7)</f>
        <v>7</v>
      </c>
      <c r="AH216" s="27" t="str">
        <f ca="1">IFERROR(__xludf.DUMMYFUNCTION("""COMPUTED_VALUE"""),"Eventos/Ações para captação; Parceria iniciativa privada; Outro(s); Doações")</f>
        <v>Eventos/Ações para captação; Parceria iniciativa privada; Outro(s); Doações</v>
      </c>
      <c r="AI216" s="27" t="str">
        <f ca="1">IFERROR(__xludf.DUMMYFUNCTION("""COMPUTED_VALUE"""),"Não")</f>
        <v>Não</v>
      </c>
      <c r="AJ216" s="27"/>
      <c r="AK216" s="27"/>
      <c r="AL216" s="21" t="str">
        <f ca="1">IFERROR(__xludf.DUMMYFUNCTION("""COMPUTED_VALUE"""),"0034P000045kxkl")</f>
        <v>0034P000045kxkl</v>
      </c>
      <c r="AM216" s="27" t="str">
        <f ca="1">IFERROR(__xludf.DUMMYFUNCTION("""COMPUTED_VALUE"""),"Fernanda Musse Silva")</f>
        <v>Fernanda Musse Silva</v>
      </c>
      <c r="AN216" s="27" t="str">
        <f ca="1">IFERROR(__xludf.DUMMYFUNCTION("""COMPUTED_VALUE"""),"Ativo")</f>
        <v>Ativo</v>
      </c>
      <c r="AO216" s="30">
        <f ca="1">IFERROR(__xludf.DUMMYFUNCTION("""COMPUTED_VALUE"""),44551)</f>
        <v>44551</v>
      </c>
      <c r="AP216" s="27">
        <f ca="1">IFERROR(__xludf.DUMMYFUNCTION("""COMPUTED_VALUE"""),9)</f>
        <v>9</v>
      </c>
      <c r="AQ216" s="27" t="str">
        <f ca="1">IFERROR(__xludf.DUMMYFUNCTION("""COMPUTED_VALUE"""),"Segundo Semestre 2021")</f>
        <v>Segundo Semestre 2021</v>
      </c>
      <c r="AR216" s="27" t="str">
        <f ca="1">IFERROR(__xludf.DUMMYFUNCTION("""COMPUTED_VALUE"""),"julia@cheganca.com.br")</f>
        <v>julia@cheganca.com.br</v>
      </c>
      <c r="AS216" s="27" t="str">
        <f ca="1">IFERROR(__xludf.DUMMYFUNCTION("""COMPUTED_VALUE"""),"(34)99944-9663")</f>
        <v>(34)99944-9663</v>
      </c>
      <c r="AT216" s="29">
        <f ca="1">IFERROR(__xludf.DUMMYFUNCTION("""COMPUTED_VALUE"""),31520)</f>
        <v>31520</v>
      </c>
      <c r="AU216" s="27">
        <f ca="1">IFERROR(__xludf.DUMMYFUNCTION("""COMPUTED_VALUE"""),36)</f>
        <v>36</v>
      </c>
      <c r="AV216" s="27">
        <f ca="1">IFERROR(__xludf.DUMMYFUNCTION("""COMPUTED_VALUE"""),34034758830)</f>
        <v>34034758830</v>
      </c>
      <c r="AW216" s="27">
        <f ca="1">IFERROR(__xludf.DUMMYFUNCTION("""COMPUTED_VALUE"""),413812753)</f>
        <v>413812753</v>
      </c>
      <c r="AX216" s="27"/>
      <c r="AY216" s="27"/>
      <c r="AZ216" s="27" t="str">
        <f ca="1">IFERROR(__xludf.DUMMYFUNCTION("""COMPUTED_VALUE"""),"P")</f>
        <v>P</v>
      </c>
      <c r="BA216" s="27" t="str">
        <f ca="1">IFERROR(__xludf.DUMMYFUNCTION("""COMPUTED_VALUE"""),"Branca")</f>
        <v>Branca</v>
      </c>
      <c r="BB216" s="27" t="str">
        <f ca="1">IFERROR(__xludf.DUMMYFUNCTION("""COMPUTED_VALUE"""),"Mulher, cisgênero")</f>
        <v>Mulher, cisgênero</v>
      </c>
      <c r="BC216" s="27" t="str">
        <f ca="1">IFERROR(__xludf.DUMMYFUNCTION("""COMPUTED_VALUE"""),"Sim")</f>
        <v>Sim</v>
      </c>
      <c r="BD216" s="27" t="str">
        <f ca="1">IFERROR(__xludf.DUMMYFUNCTION("""COMPUTED_VALUE"""),"Sou educadora, missionária e empreendedora social. Acredito que podemos dar uma infância plena para crianças em vulnerabilidade através da educação, do livre brincar e do contato com a natureza.")</f>
        <v>Sou educadora, missionária e empreendedora social. Acredito que podemos dar uma infância plena para crianças em vulnerabilidade através da educação, do livre brincar e do contato com a natureza.</v>
      </c>
      <c r="BE216" s="27"/>
      <c r="BF216" s="27" t="str">
        <f ca="1">IFERROR(__xludf.DUMMYFUNCTION("""COMPUTED_VALUE"""),"Heterossexual")</f>
        <v>Heterossexual</v>
      </c>
      <c r="BG216" s="27" t="str">
        <f ca="1">IFERROR(__xludf.DUMMYFUNCTION("""COMPUTED_VALUE"""),"Ensino Superior - Completo")</f>
        <v>Ensino Superior - Completo</v>
      </c>
      <c r="BH216" s="27" t="str">
        <f ca="1">IFERROR(__xludf.DUMMYFUNCTION("""COMPUTED_VALUE"""),"Público")</f>
        <v>Público</v>
      </c>
      <c r="BI216" s="27" t="str">
        <f ca="1">IFERROR(__xludf.DUMMYFUNCTION("""COMPUTED_VALUE"""),"Graduação")</f>
        <v>Graduação</v>
      </c>
      <c r="BJ216" s="27" t="str">
        <f ca="1">IFERROR(__xludf.DUMMYFUNCTION("""COMPUTED_VALUE"""),"Privado")</f>
        <v>Privado</v>
      </c>
      <c r="BK216" s="27" t="str">
        <f ca="1">IFERROR(__xludf.DUMMYFUNCTION("""COMPUTED_VALUE"""),"BR 452")</f>
        <v>BR 452</v>
      </c>
      <c r="BL216" s="27" t="str">
        <f ca="1">IFERROR(__xludf.DUMMYFUNCTION("""COMPUTED_VALUE"""),"Km 140")</f>
        <v>Km 140</v>
      </c>
      <c r="BM216" s="27"/>
      <c r="BN216" s="27" t="str">
        <f ca="1">IFERROR(__xludf.DUMMYFUNCTION("""COMPUTED_VALUE"""),"Uberlândia")</f>
        <v>Uberlândia</v>
      </c>
      <c r="BO216" s="27" t="str">
        <f ca="1">IFERROR(__xludf.DUMMYFUNCTION("""COMPUTED_VALUE"""),"38405-230")</f>
        <v>38405-230</v>
      </c>
      <c r="BP216" s="27" t="str">
        <f ca="1">IFERROR(__xludf.DUMMYFUNCTION("""COMPUTED_VALUE"""),"MG")</f>
        <v>MG</v>
      </c>
      <c r="BQ216" s="27" t="str">
        <f ca="1">IFERROR(__xludf.DUMMYFUNCTION("""COMPUTED_VALUE"""),"Entre 1 até 3 salários mínimos")</f>
        <v>Entre 1 até 3 salários mínimos</v>
      </c>
      <c r="BR216" s="27" t="str">
        <f ca="1">IFERROR(__xludf.DUMMYFUNCTION("""COMPUTED_VALUE"""),"MEI")</f>
        <v>MEI</v>
      </c>
      <c r="BS216" s="27" t="str">
        <f ca="1">IFERROR(__xludf.DUMMYFUNCTION("""COMPUTED_VALUE"""),"Casa cedida")</f>
        <v>Casa cedida</v>
      </c>
      <c r="BT216" s="27">
        <f ca="1">IFERROR(__xludf.DUMMYFUNCTION("""COMPUTED_VALUE"""),4)</f>
        <v>4</v>
      </c>
      <c r="BU216" s="27" t="str">
        <f ca="1">IFERROR(__xludf.DUMMYFUNCTION("""COMPUTED_VALUE"""),"Não tem")</f>
        <v>Não tem</v>
      </c>
      <c r="BV216" s="27"/>
      <c r="BW216" s="27"/>
      <c r="BX216" s="21" t="str">
        <f ca="1">IFERROR(__xludf.DUMMYFUNCTION("""COMPUTED_VALUE"""),"https://www.instagram.com/p/CXpRynLtzzeTcODTMb-_kmpF5seg2dU57726yQ0/?utm_medium=copy_link")</f>
        <v>https://www.instagram.com/p/CXpRynLtzzeTcODTMb-_kmpF5seg2dU57726yQ0/?utm_medium=copy_link</v>
      </c>
      <c r="BY216" s="21" t="str">
        <f ca="1">IFERROR(__xludf.DUMMYFUNCTION("""COMPUTED_VALUE"""),"https://drive.google.com/open?id=1zLNe-CChHSg0_Q3vP0Jr4yPPWJmt0j8G")</f>
        <v>https://drive.google.com/open?id=1zLNe-CChHSg0_Q3vP0Jr4yPPWJmt0j8G</v>
      </c>
    </row>
    <row r="217" spans="1:77" ht="12.5" hidden="1" x14ac:dyDescent="0.25">
      <c r="A217" s="21" t="str">
        <f ca="1">IFERROR(__xludf.DUMMYFUNCTION("""COMPUTED_VALUE"""),"0014X00002VKCpNQAX")</f>
        <v>0014X00002VKCpNQAX</v>
      </c>
      <c r="B217" s="27" t="str">
        <f ca="1">IFERROR(__xludf.DUMMYFUNCTION("""COMPUTED_VALUE"""),"Fase Inicial")</f>
        <v>Fase Inicial</v>
      </c>
      <c r="C217" s="27" t="str">
        <f ca="1">IFERROR(__xludf.DUMMYFUNCTION("""COMPUTED_VALUE"""),"Fellow")</f>
        <v>Fellow</v>
      </c>
      <c r="D217" s="27" t="str">
        <f ca="1">IFERROR(__xludf.DUMMYFUNCTION("""COMPUTED_VALUE"""),"Ativo")</f>
        <v>Ativo</v>
      </c>
      <c r="E217" s="27" t="str">
        <f ca="1">IFERROR(__xludf.DUMMYFUNCTION("""COMPUTED_VALUE"""),"CIDADELA Centro Cultural e Ambiental")</f>
        <v>CIDADELA Centro Cultural e Ambiental</v>
      </c>
      <c r="F217" s="27" t="str">
        <f ca="1">IFERROR(__xludf.DUMMYFUNCTION("""COMPUTED_VALUE"""),"Lí­via")</f>
        <v>Lí­via</v>
      </c>
      <c r="G217" s="27" t="str">
        <f ca="1">IFERROR(__xludf.DUMMYFUNCTION("""COMPUTED_VALUE"""),"CIDADELA")</f>
        <v>CIDADELA</v>
      </c>
      <c r="H217" s="27" t="str">
        <f ca="1">IFERROR(__xludf.DUMMYFUNCTION("""COMPUTED_VALUE"""),"45.655.411/0001-53")</f>
        <v>45.655.411/0001-53</v>
      </c>
      <c r="I217" s="27" t="str">
        <f ca="1">IFERROR(__xludf.DUMMYFUNCTION("""COMPUTED_VALUE"""),"Daniele Guedes Vicente")</f>
        <v>Daniele Guedes Vicente</v>
      </c>
      <c r="J217" s="27" t="str">
        <f ca="1">IFERROR(__xludf.DUMMYFUNCTION("""COMPUTED_VALUE"""),"cidadela.al.org@gmail.com")</f>
        <v>cidadela.al.org@gmail.com</v>
      </c>
      <c r="K217" s="27" t="str">
        <f ca="1">IFERROR(__xludf.DUMMYFUNCTION("""COMPUTED_VALUE"""),"(82)99814-7505")</f>
        <v>(82)99814-7505</v>
      </c>
      <c r="L217" s="27" t="str">
        <f ca="1">IFERROR(__xludf.DUMMYFUNCTION("""COMPUTED_VALUE"""),"AL")</f>
        <v>AL</v>
      </c>
      <c r="M217" s="27" t="str">
        <f ca="1">IFERROR(__xludf.DUMMYFUNCTION("""COMPUTED_VALUE"""),"Rua Maria José Soares Cota")</f>
        <v>Rua Maria José Soares Cota</v>
      </c>
      <c r="N217" s="27" t="str">
        <f ca="1">IFERROR(__xludf.DUMMYFUNCTION("""COMPUTED_VALUE"""),"Cidade Universitária")</f>
        <v>Cidade Universitária</v>
      </c>
      <c r="O217" s="27">
        <f ca="1">IFERROR(__xludf.DUMMYFUNCTION("""COMPUTED_VALUE"""),9)</f>
        <v>9</v>
      </c>
      <c r="P217" s="27" t="str">
        <f ca="1">IFERROR(__xludf.DUMMYFUNCTION("""COMPUTED_VALUE"""),"Maceió")</f>
        <v>Maceió</v>
      </c>
      <c r="Q217" s="27" t="str">
        <f ca="1">IFERROR(__xludf.DUMMYFUNCTION("""COMPUTED_VALUE"""),"Mód V* Qd B")</f>
        <v>Mód V* Qd B</v>
      </c>
      <c r="R217" s="27" t="str">
        <f ca="1">IFERROR(__xludf.DUMMYFUNCTION("""COMPUTED_VALUE"""),"57072-814")</f>
        <v>57072-814</v>
      </c>
      <c r="S217" s="27" t="str">
        <f ca="1">IFERROR(__xludf.DUMMYFUNCTION("""COMPUTED_VALUE"""),"Praça pública e campo de futebol da comunidade")</f>
        <v>Praça pública e campo de futebol da comunidade</v>
      </c>
      <c r="T217" s="27"/>
      <c r="U217" s="27" t="str">
        <f ca="1">IFERROR(__xludf.DUMMYFUNCTION("""COMPUTED_VALUE"""),"Crianças (6 a 12 anos), Adolescentes (12 aos 18 anos), Adultos")</f>
        <v>Crianças (6 a 12 anos), Adolescentes (12 aos 18 anos), Adultos</v>
      </c>
      <c r="V217" s="27" t="str">
        <f ca="1">IFERROR(__xludf.DUMMYFUNCTION("""COMPUTED_VALUE"""),"Moradores de Favelas, Afrodescendentes, Egressos sistema carcerário")</f>
        <v>Moradores de Favelas, Afrodescendentes, Egressos sistema carcerário</v>
      </c>
      <c r="W217" s="27">
        <f ca="1">IFERROR(__xludf.DUMMYFUNCTION("""COMPUTED_VALUE"""),2)</f>
        <v>2</v>
      </c>
      <c r="X217" s="27"/>
      <c r="Y217" s="27"/>
      <c r="Z217" s="27">
        <f ca="1">IFERROR(__xludf.DUMMYFUNCTION("""COMPUTED_VALUE"""),25)</f>
        <v>25</v>
      </c>
      <c r="AA217" s="29">
        <f ca="1">IFERROR(__xludf.DUMMYFUNCTION("""COMPUTED_VALUE"""),44534)</f>
        <v>44534</v>
      </c>
      <c r="AB217" s="27" t="str">
        <f ca="1">IFERROR(__xludf.DUMMYFUNCTION("""COMPUTED_VALUE"""),"Não")</f>
        <v>Não</v>
      </c>
      <c r="AC217" s="27">
        <f ca="1">IFERROR(__xludf.DUMMYFUNCTION("""COMPUTED_VALUE"""),0)</f>
        <v>0</v>
      </c>
      <c r="AD217" s="27">
        <f ca="1">IFERROR(__xludf.DUMMYFUNCTION("""COMPUTED_VALUE"""),10)</f>
        <v>10</v>
      </c>
      <c r="AE217" s="27">
        <f ca="1">IFERROR(__xludf.DUMMYFUNCTION("""COMPUTED_VALUE"""),10)</f>
        <v>10</v>
      </c>
      <c r="AF217" s="27">
        <f ca="1">IFERROR(__xludf.DUMMYFUNCTION("""COMPUTED_VALUE"""),10)</f>
        <v>10</v>
      </c>
      <c r="AG217" s="27">
        <f ca="1">IFERROR(__xludf.DUMMYFUNCTION("""COMPUTED_VALUE"""),4)</f>
        <v>4</v>
      </c>
      <c r="AH217" s="27" t="str">
        <f ca="1">IFERROR(__xludf.DUMMYFUNCTION("""COMPUTED_VALUE"""),"Eventos/Ações para captação, Parceria iniciativa privada, Doações")</f>
        <v>Eventos/Ações para captação, Parceria iniciativa privada, Doações</v>
      </c>
      <c r="AI217" s="27" t="str">
        <f ca="1">IFERROR(__xludf.DUMMYFUNCTION("""COMPUTED_VALUE"""),"Doações 40%, Parceria Privada 30% e Ações 30%")</f>
        <v>Doações 40%, Parceria Privada 30% e Ações 30%</v>
      </c>
      <c r="AJ217" s="27" t="str">
        <f ca="1">IFERROR(__xludf.DUMMYFUNCTION("""COMPUTED_VALUE"""),"Não")</f>
        <v>Não</v>
      </c>
      <c r="AK217" s="27"/>
      <c r="AL217" s="21" t="str">
        <f ca="1">IFERROR(__xludf.DUMMYFUNCTION("""COMPUTED_VALUE"""),"0034X0000380O24")</f>
        <v>0034X0000380O24</v>
      </c>
      <c r="AM217" s="27" t="str">
        <f ca="1">IFERROR(__xludf.DUMMYFUNCTION("""COMPUTED_VALUE"""),"De oliveira martins")</f>
        <v>De oliveira martins</v>
      </c>
      <c r="AN217" s="27" t="str">
        <f ca="1">IFERROR(__xludf.DUMMYFUNCTION("""COMPUTED_VALUE"""),"Ativo")</f>
        <v>Ativo</v>
      </c>
      <c r="AO217" s="29">
        <f ca="1">IFERROR(__xludf.DUMMYFUNCTION("""COMPUTED_VALUE"""),44763)</f>
        <v>44763</v>
      </c>
      <c r="AP217" s="27">
        <f ca="1">IFERROR(__xludf.DUMMYFUNCTION("""COMPUTED_VALUE"""),2)</f>
        <v>2</v>
      </c>
      <c r="AQ217" s="27" t="str">
        <f ca="1">IFERROR(__xludf.DUMMYFUNCTION("""COMPUTED_VALUE"""),"Primeiro Semestre 2022")</f>
        <v>Primeiro Semestre 2022</v>
      </c>
      <c r="AR217" s="27" t="str">
        <f ca="1">IFERROR(__xludf.DUMMYFUNCTION("""COMPUTED_VALUE"""),"livia.tropicus@gmail.com")</f>
        <v>livia.tropicus@gmail.com</v>
      </c>
      <c r="AS217" s="27">
        <f ca="1">IFERROR(__xludf.DUMMYFUNCTION("""COMPUTED_VALUE"""),82999189935)</f>
        <v>82999189935</v>
      </c>
      <c r="AT217" s="29">
        <f ca="1">IFERROR(__xludf.DUMMYFUNCTION("""COMPUTED_VALUE"""),30894)</f>
        <v>30894</v>
      </c>
      <c r="AU217" s="27">
        <f ca="1">IFERROR(__xludf.DUMMYFUNCTION("""COMPUTED_VALUE"""),38)</f>
        <v>38</v>
      </c>
      <c r="AV217" s="27">
        <f ca="1">IFERROR(__xludf.DUMMYFUNCTION("""COMPUTED_VALUE"""),1265332452)</f>
        <v>1265332452</v>
      </c>
      <c r="AW217" s="27" t="str">
        <f ca="1">IFERROR(__xludf.DUMMYFUNCTION("""COMPUTED_VALUE"""),"99001206914 SSP AL")</f>
        <v>99001206914 SSP AL</v>
      </c>
      <c r="AX217" s="27"/>
      <c r="AY217" s="27"/>
      <c r="AZ217" s="27" t="str">
        <f ca="1">IFERROR(__xludf.DUMMYFUNCTION("""COMPUTED_VALUE"""),"M")</f>
        <v>M</v>
      </c>
      <c r="BA217" s="27" t="str">
        <f ca="1">IFERROR(__xludf.DUMMYFUNCTION("""COMPUTED_VALUE"""),"Parda")</f>
        <v>Parda</v>
      </c>
      <c r="BB217" s="27"/>
      <c r="BC217" s="27"/>
      <c r="BD217" s="27" t="str">
        <f ca="1">IFERROR(__xludf.DUMMYFUNCTION("""COMPUTED_VALUE"""),"Alma sonhadora* incansável de espírito livre. Minha meta é realizar comunidades mais sustentáveis no Brasil* para todos. Possuo experiência em projetos* mentoria* pesquisa prática em arquitetura* urbanismo* interiores* design e canteiro de obras. Habilida"&amp;"des desenvolvidas em sustentabilidade no espaço habitado* análise bioclimática de edificações* design inovativo em habitação social saudável* urbanismo* edifícios eficientes e energia solar. Anseio tornar as cidades lugares melhores por meio de projetos e"&amp;"stratégicos* com ciência* inovação e tecnologia das construções. Acredito no princípio de desenvolvimento em COMUNIDADES CONSCIENTES para diversidade e inovação. Conhecimento é poder e o poder deve estar na mão do povo.")</f>
        <v>Alma sonhadora* incansável de espírito livre. Minha meta é realizar comunidades mais sustentáveis no Brasil* para todos. Possuo experiência em projetos* mentoria* pesquisa prática em arquitetura* urbanismo* interiores* design e canteiro de obras. Habilidades desenvolvidas em sustentabilidade no espaço habitado* análise bioclimática de edificações* design inovativo em habitação social saudável* urbanismo* edifícios eficientes e energia solar. Anseio tornar as cidades lugares melhores por meio de projetos estratégicos* com ciência* inovação e tecnologia das construções. Acredito no princípio de desenvolvimento em COMUNIDADES CONSCIENTES para diversidade e inovação. Conhecimento é poder e o poder deve estar na mão do povo.</v>
      </c>
      <c r="BE217" s="27" t="str">
        <f ca="1">IFERROR(__xludf.DUMMYFUNCTION("""COMPUTED_VALUE"""),"Feminino")</f>
        <v>Feminino</v>
      </c>
      <c r="BF217" s="27" t="str">
        <f ca="1">IFERROR(__xludf.DUMMYFUNCTION("""COMPUTED_VALUE"""),"Heterossexual")</f>
        <v>Heterossexual</v>
      </c>
      <c r="BG217" s="27"/>
      <c r="BH217" s="27" t="str">
        <f ca="1">IFERROR(__xludf.DUMMYFUNCTION("""COMPUTED_VALUE"""),"Público")</f>
        <v>Público</v>
      </c>
      <c r="BI217" s="27" t="str">
        <f ca="1">IFERROR(__xludf.DUMMYFUNCTION("""COMPUTED_VALUE"""),"Doutorado")</f>
        <v>Doutorado</v>
      </c>
      <c r="BJ217" s="27" t="str">
        <f ca="1">IFERROR(__xludf.DUMMYFUNCTION("""COMPUTED_VALUE"""),"Público")</f>
        <v>Público</v>
      </c>
      <c r="BK217" s="27" t="str">
        <f ca="1">IFERROR(__xludf.DUMMYFUNCTION("""COMPUTED_VALUE"""),"Rua Djalma Mendonça")</f>
        <v>Rua Djalma Mendonça</v>
      </c>
      <c r="BL217" s="27">
        <f ca="1">IFERROR(__xludf.DUMMYFUNCTION("""COMPUTED_VALUE"""),329)</f>
        <v>329</v>
      </c>
      <c r="BM217" s="27"/>
      <c r="BN217" s="27"/>
      <c r="BO217" s="27">
        <f ca="1">IFERROR(__xludf.DUMMYFUNCTION("""COMPUTED_VALUE"""),57052489)</f>
        <v>57052489</v>
      </c>
      <c r="BP217" s="27" t="str">
        <f ca="1">IFERROR(__xludf.DUMMYFUNCTION("""COMPUTED_VALUE"""),"AL")</f>
        <v>AL</v>
      </c>
      <c r="BQ217" s="27" t="str">
        <f ca="1">IFERROR(__xludf.DUMMYFUNCTION("""COMPUTED_VALUE"""),"Acima de 5 salários mínimos")</f>
        <v>Acima de 5 salários mínimos</v>
      </c>
      <c r="BR217" s="27" t="str">
        <f ca="1">IFERROR(__xludf.DUMMYFUNCTION("""COMPUTED_VALUE"""),"Trabalho informal")</f>
        <v>Trabalho informal</v>
      </c>
      <c r="BS217" s="27" t="str">
        <f ca="1">IFERROR(__xludf.DUMMYFUNCTION("""COMPUTED_VALUE"""),"Casa cedida")</f>
        <v>Casa cedida</v>
      </c>
      <c r="BT217" s="27">
        <f ca="1">IFERROR(__xludf.DUMMYFUNCTION("""COMPUTED_VALUE"""),3)</f>
        <v>3</v>
      </c>
      <c r="BU217" s="27" t="str">
        <f ca="1">IFERROR(__xludf.DUMMYFUNCTION("""COMPUTED_VALUE"""),"Não tem")</f>
        <v>Não tem</v>
      </c>
      <c r="BV217" s="27" t="str">
        <f ca="1">IFERROR(__xludf.DUMMYFUNCTION("""COMPUTED_VALUE"""),"Sim")</f>
        <v>Sim</v>
      </c>
      <c r="BW217" s="21" t="str">
        <f ca="1">IFERROR(__xludf.DUMMYFUNCTION("""COMPUTED_VALUE"""),"https://www.linkedin.com/in/livia-martins-b908773b")</f>
        <v>https://www.linkedin.com/in/livia-martins-b908773b</v>
      </c>
      <c r="BX217" s="27" t="str">
        <f ca="1">IFERROR(__xludf.DUMMYFUNCTION("""COMPUTED_VALUE"""),"@martins.livinha")</f>
        <v>@martins.livinha</v>
      </c>
      <c r="BY217" s="21" t="str">
        <f ca="1">IFERROR(__xludf.DUMMYFUNCTION("""COMPUTED_VALUE"""),"https://drive.google.com/open?id=1Z0mMSgxXbPsaQicyZbFm562CaVblcVj8")</f>
        <v>https://drive.google.com/open?id=1Z0mMSgxXbPsaQicyZbFm562CaVblcVj8</v>
      </c>
    </row>
    <row r="218" spans="1:77" ht="12.5" hidden="1" x14ac:dyDescent="0.25">
      <c r="A218" s="21" t="str">
        <f ca="1">IFERROR(__xludf.DUMMYFUNCTION("""COMPUTED_VALUE"""),"0014X00002VKCsSQAX")</f>
        <v>0014X00002VKCsSQAX</v>
      </c>
      <c r="B218" s="27" t="str">
        <f ca="1">IFERROR(__xludf.DUMMYFUNCTION("""COMPUTED_VALUE"""),"Fase Inicial")</f>
        <v>Fase Inicial</v>
      </c>
      <c r="C218" s="27" t="str">
        <f ca="1">IFERROR(__xludf.DUMMYFUNCTION("""COMPUTED_VALUE"""),"Fellow")</f>
        <v>Fellow</v>
      </c>
      <c r="D218" s="27" t="str">
        <f ca="1">IFERROR(__xludf.DUMMYFUNCTION("""COMPUTED_VALUE"""),"Ativo")</f>
        <v>Ativo</v>
      </c>
      <c r="E218" s="27" t="str">
        <f ca="1">IFERROR(__xludf.DUMMYFUNCTION("""COMPUTED_VALUE"""),"CineClube Tia Nilda")</f>
        <v>CineClube Tia Nilda</v>
      </c>
      <c r="F218" s="27" t="str">
        <f ca="1">IFERROR(__xludf.DUMMYFUNCTION("""COMPUTED_VALUE"""),"Diego")</f>
        <v>Diego</v>
      </c>
      <c r="G218" s="27" t="str">
        <f ca="1">IFERROR(__xludf.DUMMYFUNCTION("""COMPUTED_VALUE"""),"CINECLUBE TIA NILDA")</f>
        <v>CINECLUBE TIA NILDA</v>
      </c>
      <c r="H218" s="27"/>
      <c r="I218" s="27" t="str">
        <f ca="1">IFERROR(__xludf.DUMMYFUNCTION("""COMPUTED_VALUE"""),"Diego Gomes de Lima")</f>
        <v>Diego Gomes de Lima</v>
      </c>
      <c r="J218" s="27" t="str">
        <f ca="1">IFERROR(__xludf.DUMMYFUNCTION("""COMPUTED_VALUE"""),"cineclubetianilda@gmail.com")</f>
        <v>cineclubetianilda@gmail.com</v>
      </c>
      <c r="K218" s="27" t="str">
        <f ca="1">IFERROR(__xludf.DUMMYFUNCTION("""COMPUTED_VALUE"""),"(21)98050-2028")</f>
        <v>(21)98050-2028</v>
      </c>
      <c r="L218" s="27" t="str">
        <f ca="1">IFERROR(__xludf.DUMMYFUNCTION("""COMPUTED_VALUE"""),"RJ")</f>
        <v>RJ</v>
      </c>
      <c r="M218" s="27" t="str">
        <f ca="1">IFERROR(__xludf.DUMMYFUNCTION("""COMPUTED_VALUE"""),"Rua José Lopes")</f>
        <v>Rua José Lopes</v>
      </c>
      <c r="N218" s="27" t="str">
        <f ca="1">IFERROR(__xludf.DUMMYFUNCTION("""COMPUTED_VALUE"""),"Cordovil")</f>
        <v>Cordovil</v>
      </c>
      <c r="O218" s="27">
        <f ca="1">IFERROR(__xludf.DUMMYFUNCTION("""COMPUTED_VALUE"""),39)</f>
        <v>39</v>
      </c>
      <c r="P218" s="27" t="str">
        <f ca="1">IFERROR(__xludf.DUMMYFUNCTION("""COMPUTED_VALUE"""),"Rio de Janeiro")</f>
        <v>Rio de Janeiro</v>
      </c>
      <c r="Q218" s="27"/>
      <c r="R218" s="27" t="str">
        <f ca="1">IFERROR(__xludf.DUMMYFUNCTION("""COMPUTED_VALUE"""),"21215-430")</f>
        <v>21215-430</v>
      </c>
      <c r="S218" s="27" t="str">
        <f ca="1">IFERROR(__xludf.DUMMYFUNCTION("""COMPUTED_VALUE"""),"Sim")</f>
        <v>Sim</v>
      </c>
      <c r="T218" s="27"/>
      <c r="U218"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218" s="27" t="str">
        <f ca="1">IFERROR(__xludf.DUMMYFUNCTION("""COMPUTED_VALUE"""),"Moradores de Favelas, População LGBTQ+, Afrodescendentes")</f>
        <v>Moradores de Favelas, População LGBTQ+, Afrodescendentes</v>
      </c>
      <c r="W218" s="27">
        <f ca="1">IFERROR(__xludf.DUMMYFUNCTION("""COMPUTED_VALUE"""),1)</f>
        <v>1</v>
      </c>
      <c r="X218" s="27"/>
      <c r="Y218" s="27"/>
      <c r="Z218" s="27">
        <f ca="1">IFERROR(__xludf.DUMMYFUNCTION("""COMPUTED_VALUE"""),0)</f>
        <v>0</v>
      </c>
      <c r="AA218" s="29">
        <f ca="1">IFERROR(__xludf.DUMMYFUNCTION("""COMPUTED_VALUE"""),40986)</f>
        <v>40986</v>
      </c>
      <c r="AB218" s="27" t="str">
        <f ca="1">IFERROR(__xludf.DUMMYFUNCTION("""COMPUTED_VALUE"""),"Não")</f>
        <v>Não</v>
      </c>
      <c r="AC218" s="27">
        <f ca="1">IFERROR(__xludf.DUMMYFUNCTION("""COMPUTED_VALUE"""),0)</f>
        <v>0</v>
      </c>
      <c r="AD218" s="27">
        <f ca="1">IFERROR(__xludf.DUMMYFUNCTION("""COMPUTED_VALUE"""),4)</f>
        <v>4</v>
      </c>
      <c r="AE218" s="27">
        <f ca="1">IFERROR(__xludf.DUMMYFUNCTION("""COMPUTED_VALUE"""),3)</f>
        <v>3</v>
      </c>
      <c r="AF218" s="27">
        <f ca="1">IFERROR(__xludf.DUMMYFUNCTION("""COMPUTED_VALUE"""),3)</f>
        <v>3</v>
      </c>
      <c r="AG218" s="27">
        <f ca="1">IFERROR(__xludf.DUMMYFUNCTION("""COMPUTED_VALUE"""),3)</f>
        <v>3</v>
      </c>
      <c r="AH218" s="27" t="str">
        <f ca="1">IFERROR(__xludf.DUMMYFUNCTION("""COMPUTED_VALUE"""),"Eventos/Ações para captação, Editais, Doações")</f>
        <v>Eventos/Ações para captação, Editais, Doações</v>
      </c>
      <c r="AI218" s="27" t="str">
        <f ca="1">IFERROR(__xludf.DUMMYFUNCTION("""COMPUTED_VALUE"""),"60% Doações 30% Editais 10% Eventos/Ação para captação")</f>
        <v>60% Doações 30% Editais 10% Eventos/Ação para captação</v>
      </c>
      <c r="AJ218" s="27" t="str">
        <f ca="1">IFERROR(__xludf.DUMMYFUNCTION("""COMPUTED_VALUE"""),"Não")</f>
        <v>Não</v>
      </c>
      <c r="AK218" s="27"/>
      <c r="AL218" s="21" t="str">
        <f ca="1">IFERROR(__xludf.DUMMYFUNCTION("""COMPUTED_VALUE"""),"0034X0000380O3r")</f>
        <v>0034X0000380O3r</v>
      </c>
      <c r="AM218" s="27" t="str">
        <f ca="1">IFERROR(__xludf.DUMMYFUNCTION("""COMPUTED_VALUE"""),"Gomes de lima")</f>
        <v>Gomes de lima</v>
      </c>
      <c r="AN218" s="27" t="str">
        <f ca="1">IFERROR(__xludf.DUMMYFUNCTION("""COMPUTED_VALUE"""),"Ativo")</f>
        <v>Ativo</v>
      </c>
      <c r="AO218" s="29">
        <f ca="1">IFERROR(__xludf.DUMMYFUNCTION("""COMPUTED_VALUE"""),44763)</f>
        <v>44763</v>
      </c>
      <c r="AP218" s="27">
        <f ca="1">IFERROR(__xludf.DUMMYFUNCTION("""COMPUTED_VALUE"""),2)</f>
        <v>2</v>
      </c>
      <c r="AQ218" s="27" t="str">
        <f ca="1">IFERROR(__xludf.DUMMYFUNCTION("""COMPUTED_VALUE"""),"Primeiro Semestre 2022")</f>
        <v>Primeiro Semestre 2022</v>
      </c>
      <c r="AR218" s="27" t="str">
        <f ca="1">IFERROR(__xludf.DUMMYFUNCTION("""COMPUTED_VALUE"""),"d.diegoglima2@gmail.com")</f>
        <v>d.diegoglima2@gmail.com</v>
      </c>
      <c r="AS218" s="27" t="str">
        <f ca="1">IFERROR(__xludf.DUMMYFUNCTION("""COMPUTED_VALUE"""),"(21)98050-2028")</f>
        <v>(21)98050-2028</v>
      </c>
      <c r="AT218" s="29">
        <f ca="1">IFERROR(__xludf.DUMMYFUNCTION("""COMPUTED_VALUE"""),31694)</f>
        <v>31694</v>
      </c>
      <c r="AU218" s="27">
        <f ca="1">IFERROR(__xludf.DUMMYFUNCTION("""COMPUTED_VALUE"""),36)</f>
        <v>36</v>
      </c>
      <c r="AV218" s="27">
        <f ca="1">IFERROR(__xludf.DUMMYFUNCTION("""COMPUTED_VALUE"""),6439530437)</f>
        <v>6439530437</v>
      </c>
      <c r="AW218" s="27">
        <f ca="1">IFERROR(__xludf.DUMMYFUNCTION("""COMPUTED_VALUE"""),125216523)</f>
        <v>125216523</v>
      </c>
      <c r="AX218" s="27"/>
      <c r="AY218" s="27" t="str">
        <f ca="1">IFERROR(__xludf.DUMMYFUNCTION("""COMPUTED_VALUE"""),"Presidente")</f>
        <v>Presidente</v>
      </c>
      <c r="AZ218" s="27" t="str">
        <f ca="1">IFERROR(__xludf.DUMMYFUNCTION("""COMPUTED_VALUE"""),"GG")</f>
        <v>GG</v>
      </c>
      <c r="BA218" s="27" t="str">
        <f ca="1">IFERROR(__xludf.DUMMYFUNCTION("""COMPUTED_VALUE"""),"Branca")</f>
        <v>Branca</v>
      </c>
      <c r="BB218" s="27"/>
      <c r="BC218" s="27"/>
      <c r="BD218" s="27" t="str">
        <f ca="1">IFERROR(__xludf.DUMMYFUNCTION("""COMPUTED_VALUE"""),"Iniciei meus estudos de AudioVisual no Circo Voador em 2007. Na casa gravei shows como a apresentação de Paulinho da Viola, Zeca Pagodinho e bandas como: Nação Zumbi, The Wailers e Bad Brains. Fotografo, Operador de Câmera, Editor e Produtor, participei d"&amp;"e diversas produções de vídeo com a produtora MOOV. Rio Parada Funk, Eu Amo Baile Funk, Pimpolhos da Grande Rio, Articulação Teatro de Animação estão entre outros trabalhos que assinei. Desde 2012, idealizo e realizo o CineClube Tia Nilda.")</f>
        <v>Iniciei meus estudos de AudioVisual no Circo Voador em 2007. Na casa gravei shows como a apresentação de Paulinho da Viola, Zeca Pagodinho e bandas como: Nação Zumbi, The Wailers e Bad Brains. Fotografo, Operador de Câmera, Editor e Produtor, participei de diversas produções de vídeo com a produtora MOOV. Rio Parada Funk, Eu Amo Baile Funk, Pimpolhos da Grande Rio, Articulação Teatro de Animação estão entre outros trabalhos que assinei. Desde 2012, idealizo e realizo o CineClube Tia Nilda.</v>
      </c>
      <c r="BE218" s="27" t="str">
        <f ca="1">IFERROR(__xludf.DUMMYFUNCTION("""COMPUTED_VALUE"""),"Homem, cisgênero")</f>
        <v>Homem, cisgênero</v>
      </c>
      <c r="BF218" s="27" t="str">
        <f ca="1">IFERROR(__xludf.DUMMYFUNCTION("""COMPUTED_VALUE"""),"Heterossexual")</f>
        <v>Heterossexual</v>
      </c>
      <c r="BG218" s="27" t="str">
        <f ca="1">IFERROR(__xludf.DUMMYFUNCTION("""COMPUTED_VALUE"""),"Ensino Médio - Completo")</f>
        <v>Ensino Médio - Completo</v>
      </c>
      <c r="BH218" s="27" t="str">
        <f ca="1">IFERROR(__xludf.DUMMYFUNCTION("""COMPUTED_VALUE"""),"Privado")</f>
        <v>Privado</v>
      </c>
      <c r="BI218" s="27"/>
      <c r="BJ218" s="27"/>
      <c r="BK218" s="27" t="str">
        <f ca="1">IFERROR(__xludf.DUMMYFUNCTION("""COMPUTED_VALUE"""),"Rua dos Araujos")</f>
        <v>Rua dos Araujos</v>
      </c>
      <c r="BL218" s="27">
        <f ca="1">IFERROR(__xludf.DUMMYFUNCTION("""COMPUTED_VALUE"""),68)</f>
        <v>68</v>
      </c>
      <c r="BM218" s="27" t="str">
        <f ca="1">IFERROR(__xludf.DUMMYFUNCTION("""COMPUTED_VALUE"""),"Casa 2")</f>
        <v>Casa 2</v>
      </c>
      <c r="BN218" s="27" t="str">
        <f ca="1">IFERROR(__xludf.DUMMYFUNCTION("""COMPUTED_VALUE"""),"Rio de Janeiro")</f>
        <v>Rio de Janeiro</v>
      </c>
      <c r="BO218" s="27" t="str">
        <f ca="1">IFERROR(__xludf.DUMMYFUNCTION("""COMPUTED_VALUE"""),"20521-000")</f>
        <v>20521-000</v>
      </c>
      <c r="BP218" s="27" t="str">
        <f ca="1">IFERROR(__xludf.DUMMYFUNCTION("""COMPUTED_VALUE"""),"RJ")</f>
        <v>RJ</v>
      </c>
      <c r="BQ218" s="27" t="str">
        <f ca="1">IFERROR(__xludf.DUMMYFUNCTION("""COMPUTED_VALUE"""),"De 3 até 5 salários mínimos")</f>
        <v>De 3 até 5 salários mínimos</v>
      </c>
      <c r="BR218" s="27" t="str">
        <f ca="1">IFERROR(__xludf.DUMMYFUNCTION("""COMPUTED_VALUE"""),"MEI")</f>
        <v>MEI</v>
      </c>
      <c r="BS218" s="27" t="str">
        <f ca="1">IFERROR(__xludf.DUMMYFUNCTION("""COMPUTED_VALUE"""),"Aluguel")</f>
        <v>Aluguel</v>
      </c>
      <c r="BT218" s="27">
        <f ca="1">IFERROR(__xludf.DUMMYFUNCTION("""COMPUTED_VALUE"""),2)</f>
        <v>2</v>
      </c>
      <c r="BU218" s="27" t="str">
        <f ca="1">IFERROR(__xludf.DUMMYFUNCTION("""COMPUTED_VALUE"""),"Não tem")</f>
        <v>Não tem</v>
      </c>
      <c r="BV218" s="27" t="str">
        <f ca="1">IFERROR(__xludf.DUMMYFUNCTION("""COMPUTED_VALUE"""),"Não")</f>
        <v>Não</v>
      </c>
      <c r="BW218" s="27"/>
      <c r="BX218" s="21" t="str">
        <f ca="1">IFERROR(__xludf.DUMMYFUNCTION("""COMPUTED_VALUE"""),"https://www.instagram.com/d.diegoglima2/")</f>
        <v>https://www.instagram.com/d.diegoglima2/</v>
      </c>
      <c r="BY218" s="21" t="str">
        <f ca="1">IFERROR(__xludf.DUMMYFUNCTION("""COMPUTED_VALUE"""),"https://drive.google.com/open?id=1YS0lRLaMxbnUTRGIbc7W715Vfjc7UG-M")</f>
        <v>https://drive.google.com/open?id=1YS0lRLaMxbnUTRGIbc7W715Vfjc7UG-M</v>
      </c>
    </row>
    <row r="219" spans="1:77" ht="12.5" hidden="1" x14ac:dyDescent="0.25">
      <c r="A219" s="21" t="str">
        <f ca="1">IFERROR(__xludf.DUMMYFUNCTION("""COMPUTED_VALUE"""),"0014X00002VKCt1QAH")</f>
        <v>0014X00002VKCt1QAH</v>
      </c>
      <c r="B219" s="27" t="str">
        <f ca="1">IFERROR(__xludf.DUMMYFUNCTION("""COMPUTED_VALUE"""),"Fase Inicial")</f>
        <v>Fase Inicial</v>
      </c>
      <c r="C219" s="27" t="str">
        <f ca="1">IFERROR(__xludf.DUMMYFUNCTION("""COMPUTED_VALUE"""),"Fellow")</f>
        <v>Fellow</v>
      </c>
      <c r="D219" s="27" t="str">
        <f ca="1">IFERROR(__xludf.DUMMYFUNCTION("""COMPUTED_VALUE"""),"Ativo")</f>
        <v>Ativo</v>
      </c>
      <c r="E219" s="27" t="str">
        <f ca="1">IFERROR(__xludf.DUMMYFUNCTION("""COMPUTED_VALUE"""),"Clube de Ajuda")</f>
        <v>Clube de Ajuda</v>
      </c>
      <c r="F219" s="27" t="str">
        <f ca="1">IFERROR(__xludf.DUMMYFUNCTION("""COMPUTED_VALUE"""),"Paulo")</f>
        <v>Paulo</v>
      </c>
      <c r="G219" s="27" t="str">
        <f ca="1">IFERROR(__xludf.DUMMYFUNCTION("""COMPUTED_VALUE"""),"CLUBE DE AJUDA")</f>
        <v>CLUBE DE AJUDA</v>
      </c>
      <c r="H219" s="27" t="str">
        <f ca="1">IFERROR(__xludf.DUMMYFUNCTION("""COMPUTED_VALUE"""),"10.706.417/0001-28")</f>
        <v>10.706.417/0001-28</v>
      </c>
      <c r="I219" s="27" t="str">
        <f ca="1">IFERROR(__xludf.DUMMYFUNCTION("""COMPUTED_VALUE"""),"Fabiana Sampaio de Souza da Silva")</f>
        <v>Fabiana Sampaio de Souza da Silva</v>
      </c>
      <c r="J219" s="27" t="str">
        <f ca="1">IFERROR(__xludf.DUMMYFUNCTION("""COMPUTED_VALUE"""),"sedecantinhodaamizade@gmail.com")</f>
        <v>sedecantinhodaamizade@gmail.com</v>
      </c>
      <c r="K219" s="27" t="str">
        <f ca="1">IFERROR(__xludf.DUMMYFUNCTION("""COMPUTED_VALUE"""),"(21)98444-2713")</f>
        <v>(21)98444-2713</v>
      </c>
      <c r="L219" s="27" t="str">
        <f ca="1">IFERROR(__xludf.DUMMYFUNCTION("""COMPUTED_VALUE"""),"RJ")</f>
        <v>RJ</v>
      </c>
      <c r="M219" s="27" t="str">
        <f ca="1">IFERROR(__xludf.DUMMYFUNCTION("""COMPUTED_VALUE"""),"Rua Correia de Oliveira")</f>
        <v>Rua Correia de Oliveira</v>
      </c>
      <c r="N219" s="27" t="str">
        <f ca="1">IFERROR(__xludf.DUMMYFUNCTION("""COMPUTED_VALUE"""),"Vila Isabel")</f>
        <v>Vila Isabel</v>
      </c>
      <c r="O219" s="27">
        <f ca="1">IFERROR(__xludf.DUMMYFUNCTION("""COMPUTED_VALUE"""),0)</f>
        <v>0</v>
      </c>
      <c r="P219" s="27" t="str">
        <f ca="1">IFERROR(__xludf.DUMMYFUNCTION("""COMPUTED_VALUE"""),"Rio de Janeiro")</f>
        <v>Rio de Janeiro</v>
      </c>
      <c r="Q219" s="27" t="str">
        <f ca="1">IFERROR(__xludf.DUMMYFUNCTION("""COMPUTED_VALUE"""),"praça serraria e quadra do Chelsea")</f>
        <v>praça serraria e quadra do Chelsea</v>
      </c>
      <c r="R219" s="27" t="str">
        <f ca="1">IFERROR(__xludf.DUMMYFUNCTION("""COMPUTED_VALUE"""),"20551-200")</f>
        <v>20551-200</v>
      </c>
      <c r="S219" s="27" t="str">
        <f ca="1">IFERROR(__xludf.DUMMYFUNCTION("""COMPUTED_VALUE"""),"Sim Clube de Ajuda em Ricardo de Albuquerque")</f>
        <v>Sim Clube de Ajuda em Ricardo de Albuquerque</v>
      </c>
      <c r="T219" s="27"/>
      <c r="U219"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219" s="27" t="str">
        <f ca="1">IFERROR(__xludf.DUMMYFUNCTION("""COMPUTED_VALUE"""),"Moradores de Favelas, Afrodescendentes, Egressos sistema carcerário")</f>
        <v>Moradores de Favelas, Afrodescendentes, Egressos sistema carcerário</v>
      </c>
      <c r="W219" s="27">
        <f ca="1">IFERROR(__xludf.DUMMYFUNCTION("""COMPUTED_VALUE"""),2)</f>
        <v>2</v>
      </c>
      <c r="X219" s="27" t="str">
        <f ca="1">IFERROR(__xludf.DUMMYFUNCTION("""COMPUTED_VALUE"""),"Até 2013 a favela se restringia a uma pequena localidade* porém com a migração dos traficantes em função das ocupações das UPPs* a região toda foi favelizada.")</f>
        <v>Até 2013 a favela se restringia a uma pequena localidade* porém com a migração dos traficantes em função das ocupações das UPPs* a região toda foi favelizada.</v>
      </c>
      <c r="Y219" s="27"/>
      <c r="Z219" s="27">
        <f ca="1">IFERROR(__xludf.DUMMYFUNCTION("""COMPUTED_VALUE"""),40)</f>
        <v>40</v>
      </c>
      <c r="AA219" s="29">
        <f ca="1">IFERROR(__xludf.DUMMYFUNCTION("""COMPUTED_VALUE"""),44294)</f>
        <v>44294</v>
      </c>
      <c r="AB219" s="27" t="str">
        <f ca="1">IFERROR(__xludf.DUMMYFUNCTION("""COMPUTED_VALUE"""),"Não")</f>
        <v>Não</v>
      </c>
      <c r="AC219" s="27">
        <f ca="1">IFERROR(__xludf.DUMMYFUNCTION("""COMPUTED_VALUE"""),0)</f>
        <v>0</v>
      </c>
      <c r="AD219" s="27">
        <f ca="1">IFERROR(__xludf.DUMMYFUNCTION("""COMPUTED_VALUE"""),3)</f>
        <v>3</v>
      </c>
      <c r="AE219" s="27">
        <f ca="1">IFERROR(__xludf.DUMMYFUNCTION("""COMPUTED_VALUE"""),4)</f>
        <v>4</v>
      </c>
      <c r="AF219" s="27">
        <f ca="1">IFERROR(__xludf.DUMMYFUNCTION("""COMPUTED_VALUE"""),5)</f>
        <v>5</v>
      </c>
      <c r="AG219" s="27">
        <f ca="1">IFERROR(__xludf.DUMMYFUNCTION("""COMPUTED_VALUE"""),4)</f>
        <v>4</v>
      </c>
      <c r="AH219" s="27" t="str">
        <f ca="1">IFERROR(__xludf.DUMMYFUNCTION("""COMPUTED_VALUE"""),"Lei de Incentivo, Eventos/Ações para captação, Editais, Lei Estadual do Esporte")</f>
        <v>Lei de Incentivo, Eventos/Ações para captação, Editais, Lei Estadual do Esporte</v>
      </c>
      <c r="AI219" s="27" t="str">
        <f ca="1">IFERROR(__xludf.DUMMYFUNCTION("""COMPUTED_VALUE"""),"50% doações 50% meu apoio")</f>
        <v>50% doações 50% meu apoio</v>
      </c>
      <c r="AJ219" s="27" t="str">
        <f ca="1">IFERROR(__xludf.DUMMYFUNCTION("""COMPUTED_VALUE"""),"Vamos iniciar esse ano")</f>
        <v>Vamos iniciar esse ano</v>
      </c>
      <c r="AK219" s="27"/>
      <c r="AL219" s="21" t="str">
        <f ca="1">IFERROR(__xludf.DUMMYFUNCTION("""COMPUTED_VALUE"""),"0034X0000380O36")</f>
        <v>0034X0000380O36</v>
      </c>
      <c r="AM219" s="27" t="str">
        <f ca="1">IFERROR(__xludf.DUMMYFUNCTION("""COMPUTED_VALUE"""),"Sexto bahia")</f>
        <v>Sexto bahia</v>
      </c>
      <c r="AN219" s="27" t="str">
        <f ca="1">IFERROR(__xludf.DUMMYFUNCTION("""COMPUTED_VALUE"""),"Ativo")</f>
        <v>Ativo</v>
      </c>
      <c r="AO219" s="27"/>
      <c r="AP219" s="27"/>
      <c r="AQ219" s="27" t="str">
        <f ca="1">IFERROR(__xludf.DUMMYFUNCTION("""COMPUTED_VALUE"""),"Primeiro Semestre 2022")</f>
        <v>Primeiro Semestre 2022</v>
      </c>
      <c r="AR219" s="27" t="str">
        <f ca="1">IFERROR(__xludf.DUMMYFUNCTION("""COMPUTED_VALUE"""),"paulosextobahia@gmail.com.br")</f>
        <v>paulosextobahia@gmail.com.br</v>
      </c>
      <c r="AS219" s="27" t="str">
        <f ca="1">IFERROR(__xludf.DUMMYFUNCTION("""COMPUTED_VALUE"""),"(21)98879-7577")</f>
        <v>(21)98879-7577</v>
      </c>
      <c r="AT219" s="29">
        <f ca="1">IFERROR(__xludf.DUMMYFUNCTION("""COMPUTED_VALUE"""),25117)</f>
        <v>25117</v>
      </c>
      <c r="AU219" s="27">
        <f ca="1">IFERROR(__xludf.DUMMYFUNCTION("""COMPUTED_VALUE"""),54)</f>
        <v>54</v>
      </c>
      <c r="AV219" s="27">
        <f ca="1">IFERROR(__xludf.DUMMYFUNCTION("""COMPUTED_VALUE"""),71375945653)</f>
        <v>71375945653</v>
      </c>
      <c r="AW219" s="27">
        <f ca="1">IFERROR(__xludf.DUMMYFUNCTION("""COMPUTED_VALUE"""),5200741)</f>
        <v>5200741</v>
      </c>
      <c r="AX219" s="27"/>
      <c r="AY219" s="27" t="str">
        <f ca="1">IFERROR(__xludf.DUMMYFUNCTION("""COMPUTED_VALUE"""),"Presidente")</f>
        <v>Presidente</v>
      </c>
      <c r="AZ219" s="27" t="str">
        <f ca="1">IFERROR(__xludf.DUMMYFUNCTION("""COMPUTED_VALUE"""),"G")</f>
        <v>G</v>
      </c>
      <c r="BA219" s="27" t="str">
        <f ca="1">IFERROR(__xludf.DUMMYFUNCTION("""COMPUTED_VALUE"""),"Parda")</f>
        <v>Parda</v>
      </c>
      <c r="BB219" s="27"/>
      <c r="BC219" s="27"/>
      <c r="BD219" s="27" t="str">
        <f ca="1">IFERROR(__xludf.DUMMYFUNCTION("""COMPUTED_VALUE"""),"Eu sempre me envolvi nas causas sociais. No Viva Rio, atuei na coordenação do Reage Rio. Na UFRRJ implantei a Capelania; coordenei o primeiro abraço simbólico no Brasil no Maracanã, e ações na floresta da Tijuca; em Resende, fundei uma cooperativa educaci"&amp;"onal com uma escola infantil, e uma escola de taekwondo com mais de 120 alunos.
Decidi que fazer ações duráveis é o jeito certo e agora estou disposto a aprender para fazer com quem sabe fazer a fim de fazer também na minha região.")</f>
        <v>Eu sempre me envolvi nas causas sociais. No Viva Rio, atuei na coordenação do Reage Rio. Na UFRRJ implantei a Capelania; coordenei o primeiro abraço simbólico no Brasil no Maracanã, e ações na floresta da Tijuca; em Resende, fundei uma cooperativa educacional com uma escola infantil, e uma escola de taekwondo com mais de 120 alunos.
Decidi que fazer ações duráveis é o jeito certo e agora estou disposto a aprender para fazer com quem sabe fazer a fim de fazer também na minha região.</v>
      </c>
      <c r="BE219" s="27" t="str">
        <f ca="1">IFERROR(__xludf.DUMMYFUNCTION("""COMPUTED_VALUE"""),"Homem, cisgênero")</f>
        <v>Homem, cisgênero</v>
      </c>
      <c r="BF219" s="27" t="str">
        <f ca="1">IFERROR(__xludf.DUMMYFUNCTION("""COMPUTED_VALUE"""),"Heterossexual")</f>
        <v>Heterossexual</v>
      </c>
      <c r="BG219" s="27" t="str">
        <f ca="1">IFERROR(__xludf.DUMMYFUNCTION("""COMPUTED_VALUE"""),"Ensino Superior - Completo")</f>
        <v>Ensino Superior - Completo</v>
      </c>
      <c r="BH219" s="27" t="str">
        <f ca="1">IFERROR(__xludf.DUMMYFUNCTION("""COMPUTED_VALUE"""),"Público")</f>
        <v>Público</v>
      </c>
      <c r="BI219" s="27" t="str">
        <f ca="1">IFERROR(__xludf.DUMMYFUNCTION("""COMPUTED_VALUE"""),"Pós-Graduação")</f>
        <v>Pós-Graduação</v>
      </c>
      <c r="BJ219" s="27" t="str">
        <f ca="1">IFERROR(__xludf.DUMMYFUNCTION("""COMPUTED_VALUE"""),"Privado")</f>
        <v>Privado</v>
      </c>
      <c r="BK219" s="27" t="str">
        <f ca="1">IFERROR(__xludf.DUMMYFUNCTION("""COMPUTED_VALUE"""),"Ravenala")</f>
        <v>Ravenala</v>
      </c>
      <c r="BL219" s="27">
        <f ca="1">IFERROR(__xludf.DUMMYFUNCTION("""COMPUTED_VALUE"""),77)</f>
        <v>77</v>
      </c>
      <c r="BM219" s="27" t="str">
        <f ca="1">IFERROR(__xludf.DUMMYFUNCTION("""COMPUTED_VALUE"""),"Casa")</f>
        <v>Casa</v>
      </c>
      <c r="BN219" s="27" t="str">
        <f ca="1">IFERROR(__xludf.DUMMYFUNCTION("""COMPUTED_VALUE"""),"Rio de Janeiro")</f>
        <v>Rio de Janeiro</v>
      </c>
      <c r="BO219" s="27" t="str">
        <f ca="1">IFERROR(__xludf.DUMMYFUNCTION("""COMPUTED_VALUE"""),"21620-520")</f>
        <v>21620-520</v>
      </c>
      <c r="BP219" s="27" t="str">
        <f ca="1">IFERROR(__xludf.DUMMYFUNCTION("""COMPUTED_VALUE"""),"RJ")</f>
        <v>RJ</v>
      </c>
      <c r="BQ219" s="27" t="str">
        <f ca="1">IFERROR(__xludf.DUMMYFUNCTION("""COMPUTED_VALUE"""),"Acima de 5 salários mínimos")</f>
        <v>Acima de 5 salários mínimos</v>
      </c>
      <c r="BR219" s="27" t="str">
        <f ca="1">IFERROR(__xludf.DUMMYFUNCTION("""COMPUTED_VALUE"""),"Trabalho informal")</f>
        <v>Trabalho informal</v>
      </c>
      <c r="BS219" s="27" t="str">
        <f ca="1">IFERROR(__xludf.DUMMYFUNCTION("""COMPUTED_VALUE"""),"Aluguel")</f>
        <v>Aluguel</v>
      </c>
      <c r="BT219" s="27">
        <f ca="1">IFERROR(__xludf.DUMMYFUNCTION("""COMPUTED_VALUE"""),4)</f>
        <v>4</v>
      </c>
      <c r="BU219" s="27" t="str">
        <f ca="1">IFERROR(__xludf.DUMMYFUNCTION("""COMPUTED_VALUE"""),"Não tem")</f>
        <v>Não tem</v>
      </c>
      <c r="BV219" s="27" t="str">
        <f ca="1">IFERROR(__xludf.DUMMYFUNCTION("""COMPUTED_VALUE"""),"Não")</f>
        <v>Não</v>
      </c>
      <c r="BW219" s="21" t="str">
        <f ca="1">IFERROR(__xludf.DUMMYFUNCTION("""COMPUTED_VALUE"""),"http://www.linkedin.com/in/clube-de-ajuda-b654b1230")</f>
        <v>http://www.linkedin.com/in/clube-de-ajuda-b654b1230</v>
      </c>
      <c r="BX219" s="21" t="str">
        <f ca="1">IFERROR(__xludf.DUMMYFUNCTION("""COMPUTED_VALUE"""),"https://www.instagram.com/invites/contact/?i=lglce4a0w6zf&amp;utm_content=m0gavp")</f>
        <v>https://www.instagram.com/invites/contact/?i=lglce4a0w6zf&amp;utm_content=m0gavp</v>
      </c>
      <c r="BY219" s="21" t="str">
        <f ca="1">IFERROR(__xludf.DUMMYFUNCTION("""COMPUTED_VALUE"""),"https://drive.google.com/open?id=1tYyJSmrO54A7ctxwjHAYQud7l2aYEN7D")</f>
        <v>https://drive.google.com/open?id=1tYyJSmrO54A7ctxwjHAYQud7l2aYEN7D</v>
      </c>
    </row>
    <row r="220" spans="1:77" ht="12.5" hidden="1" x14ac:dyDescent="0.25">
      <c r="A220" s="21" t="str">
        <f ca="1">IFERROR(__xludf.DUMMYFUNCTION("""COMPUTED_VALUE"""),"0014X00002VKCr9QAH")</f>
        <v>0014X00002VKCr9QAH</v>
      </c>
      <c r="B220" s="27" t="str">
        <f ca="1">IFERROR(__xludf.DUMMYFUNCTION("""COMPUTED_VALUE"""),"Fase Inicial")</f>
        <v>Fase Inicial</v>
      </c>
      <c r="C220" s="27" t="str">
        <f ca="1">IFERROR(__xludf.DUMMYFUNCTION("""COMPUTED_VALUE"""),"Fellow")</f>
        <v>Fellow</v>
      </c>
      <c r="D220" s="27" t="str">
        <f ca="1">IFERROR(__xludf.DUMMYFUNCTION("""COMPUTED_VALUE"""),"Ativo")</f>
        <v>Ativo</v>
      </c>
      <c r="E220" s="27" t="str">
        <f ca="1">IFERROR(__xludf.DUMMYFUNCTION("""COMPUTED_VALUE"""),"Clube do Bem")</f>
        <v>Clube do Bem</v>
      </c>
      <c r="F220" s="27" t="str">
        <f ca="1">IFERROR(__xludf.DUMMYFUNCTION("""COMPUTED_VALUE"""),"Pablo")</f>
        <v>Pablo</v>
      </c>
      <c r="G220" s="27" t="str">
        <f ca="1">IFERROR(__xludf.DUMMYFUNCTION("""COMPUTED_VALUE"""),"CLUBE DO BEM")</f>
        <v>CLUBE DO BEM</v>
      </c>
      <c r="H220" s="27"/>
      <c r="I220" s="27" t="str">
        <f ca="1">IFERROR(__xludf.DUMMYFUNCTION("""COMPUTED_VALUE"""),"Pablo Leonardo Gonçalves")</f>
        <v>Pablo Leonardo Gonçalves</v>
      </c>
      <c r="J220" s="27"/>
      <c r="K220" s="27">
        <f ca="1">IFERROR(__xludf.DUMMYFUNCTION("""COMPUTED_VALUE"""),31986070400)</f>
        <v>31986070400</v>
      </c>
      <c r="L220" s="27" t="str">
        <f ca="1">IFERROR(__xludf.DUMMYFUNCTION("""COMPUTED_VALUE"""),"MG")</f>
        <v>MG</v>
      </c>
      <c r="M220" s="27" t="str">
        <f ca="1">IFERROR(__xludf.DUMMYFUNCTION("""COMPUTED_VALUE"""),"Rua Eurídes Gonçalves da Cunha")</f>
        <v>Rua Eurídes Gonçalves da Cunha</v>
      </c>
      <c r="N220" s="27" t="str">
        <f ca="1">IFERROR(__xludf.DUMMYFUNCTION("""COMPUTED_VALUE"""),"Rochedo")</f>
        <v>Rochedo</v>
      </c>
      <c r="O220" s="27">
        <f ca="1">IFERROR(__xludf.DUMMYFUNCTION("""COMPUTED_VALUE"""),58)</f>
        <v>58</v>
      </c>
      <c r="P220" s="27" t="str">
        <f ca="1">IFERROR(__xludf.DUMMYFUNCTION("""COMPUTED_VALUE"""),"Conselheiro Lafaiete")</f>
        <v>Conselheiro Lafaiete</v>
      </c>
      <c r="Q220" s="27"/>
      <c r="R220" s="27" t="str">
        <f ca="1">IFERROR(__xludf.DUMMYFUNCTION("""COMPUTED_VALUE"""),"36404-187")</f>
        <v>36404-187</v>
      </c>
      <c r="S220" s="27"/>
      <c r="T220" s="27"/>
      <c r="U220" s="27"/>
      <c r="V220" s="27"/>
      <c r="W220" s="27">
        <f ca="1">IFERROR(__xludf.DUMMYFUNCTION("""COMPUTED_VALUE"""),10)</f>
        <v>10</v>
      </c>
      <c r="X220" s="27" t="str">
        <f ca="1">IFERROR(__xludf.DUMMYFUNCTION("""COMPUTED_VALUE"""),"Famílias em situação de vulnerabilidade social em toda cidade de Conselheiro Lafaiete.")</f>
        <v>Famílias em situação de vulnerabilidade social em toda cidade de Conselheiro Lafaiete.</v>
      </c>
      <c r="Y220" s="27"/>
      <c r="Z220" s="27">
        <f ca="1">IFERROR(__xludf.DUMMYFUNCTION("""COMPUTED_VALUE"""),100)</f>
        <v>100</v>
      </c>
      <c r="AA220" s="29">
        <f ca="1">IFERROR(__xludf.DUMMYFUNCTION("""COMPUTED_VALUE"""),42512)</f>
        <v>42512</v>
      </c>
      <c r="AB220" s="27" t="str">
        <f ca="1">IFERROR(__xludf.DUMMYFUNCTION("""COMPUTED_VALUE"""),"Não")</f>
        <v>Não</v>
      </c>
      <c r="AC220" s="27">
        <f ca="1">IFERROR(__xludf.DUMMYFUNCTION("""COMPUTED_VALUE"""),0)</f>
        <v>0</v>
      </c>
      <c r="AD220" s="27"/>
      <c r="AE220" s="27">
        <f ca="1">IFERROR(__xludf.DUMMYFUNCTION("""COMPUTED_VALUE"""),20)</f>
        <v>20</v>
      </c>
      <c r="AF220" s="27"/>
      <c r="AG220" s="27">
        <f ca="1">IFERROR(__xludf.DUMMYFUNCTION("""COMPUTED_VALUE"""),2)</f>
        <v>2</v>
      </c>
      <c r="AH220" s="27"/>
      <c r="AI220" s="27">
        <f ca="1">IFERROR(__xludf.DUMMYFUNCTION("""COMPUTED_VALUE"""),0)</f>
        <v>0</v>
      </c>
      <c r="AJ220" s="27"/>
      <c r="AK220" s="27"/>
      <c r="AL220" s="21" t="str">
        <f ca="1">IFERROR(__xludf.DUMMYFUNCTION("""COMPUTED_VALUE"""),"0034X0000380O3q")</f>
        <v>0034X0000380O3q</v>
      </c>
      <c r="AM220" s="27" t="str">
        <f ca="1">IFERROR(__xludf.DUMMYFUNCTION("""COMPUTED_VALUE"""),"Leonardo gonçalves")</f>
        <v>Leonardo gonçalves</v>
      </c>
      <c r="AN220" s="27" t="str">
        <f ca="1">IFERROR(__xludf.DUMMYFUNCTION("""COMPUTED_VALUE"""),"Ativo")</f>
        <v>Ativo</v>
      </c>
      <c r="AO220" s="29">
        <f ca="1">IFERROR(__xludf.DUMMYFUNCTION("""COMPUTED_VALUE"""),44763)</f>
        <v>44763</v>
      </c>
      <c r="AP220" s="27">
        <f ca="1">IFERROR(__xludf.DUMMYFUNCTION("""COMPUTED_VALUE"""),2)</f>
        <v>2</v>
      </c>
      <c r="AQ220" s="27" t="str">
        <f ca="1">IFERROR(__xludf.DUMMYFUNCTION("""COMPUTED_VALUE"""),"Primeiro Semestre 2022")</f>
        <v>Primeiro Semestre 2022</v>
      </c>
      <c r="AR220" s="27" t="str">
        <f ca="1">IFERROR(__xludf.DUMMYFUNCTION("""COMPUTED_VALUE"""),"pablolgoncalves@gmail.com")</f>
        <v>pablolgoncalves@gmail.com</v>
      </c>
      <c r="AS220" s="27" t="str">
        <f ca="1">IFERROR(__xludf.DUMMYFUNCTION("""COMPUTED_VALUE"""),"(31)98607-0400")</f>
        <v>(31)98607-0400</v>
      </c>
      <c r="AT220" s="29">
        <f ca="1">IFERROR(__xludf.DUMMYFUNCTION("""COMPUTED_VALUE"""),29223)</f>
        <v>29223</v>
      </c>
      <c r="AU220" s="27">
        <f ca="1">IFERROR(__xludf.DUMMYFUNCTION("""COMPUTED_VALUE"""),42)</f>
        <v>42</v>
      </c>
      <c r="AV220" s="27">
        <f ca="1">IFERROR(__xludf.DUMMYFUNCTION("""COMPUTED_VALUE"""),5150932620)</f>
        <v>5150932620</v>
      </c>
      <c r="AW220" s="27">
        <f ca="1">IFERROR(__xludf.DUMMYFUNCTION("""COMPUTED_VALUE"""),7598363)</f>
        <v>7598363</v>
      </c>
      <c r="AX220" s="27"/>
      <c r="AY220" s="27" t="str">
        <f ca="1">IFERROR(__xludf.DUMMYFUNCTION("""COMPUTED_VALUE"""),"Presidente")</f>
        <v>Presidente</v>
      </c>
      <c r="AZ220" s="27" t="str">
        <f ca="1">IFERROR(__xludf.DUMMYFUNCTION("""COMPUTED_VALUE"""),"G")</f>
        <v>G</v>
      </c>
      <c r="BA220" s="27" t="str">
        <f ca="1">IFERROR(__xludf.DUMMYFUNCTION("""COMPUTED_VALUE"""),"Branca")</f>
        <v>Branca</v>
      </c>
      <c r="BB220" s="27"/>
      <c r="BC220" s="27"/>
      <c r="BD220" s="27" t="str">
        <f ca="1">IFERROR(__xludf.DUMMYFUNCTION("""COMPUTED_VALUE"""),"Pablo Leonardo Gonçalves, fundador do Instituto CL do Bem, da cidade de Conselheiro Lafaiete- MG. Jornalista, especialista em política de assistência social. Idade 42 anos, casado, pai de uma filha de 9 anos. 
Sonha em mudar o mundo a sua volta, tornar um"&amp;" local melhor. Propósito de vida: servir às famílias necessitadas.")</f>
        <v>Pablo Leonardo Gonçalves, fundador do Instituto CL do Bem, da cidade de Conselheiro Lafaiete- MG. Jornalista, especialista em política de assistência social. Idade 42 anos, casado, pai de uma filha de 9 anos. 
Sonha em mudar o mundo a sua volta, tornar um local melhor. Propósito de vida: servir às famílias necessitadas.</v>
      </c>
      <c r="BE220" s="27" t="str">
        <f ca="1">IFERROR(__xludf.DUMMYFUNCTION("""COMPUTED_VALUE"""),"Homem, cisgênero")</f>
        <v>Homem, cisgênero</v>
      </c>
      <c r="BF220" s="27" t="str">
        <f ca="1">IFERROR(__xludf.DUMMYFUNCTION("""COMPUTED_VALUE"""),"Heterossexual")</f>
        <v>Heterossexual</v>
      </c>
      <c r="BG220" s="27" t="str">
        <f ca="1">IFERROR(__xludf.DUMMYFUNCTION("""COMPUTED_VALUE"""),"Ensino Superior - Completo")</f>
        <v>Ensino Superior - Completo</v>
      </c>
      <c r="BH220" s="27" t="str">
        <f ca="1">IFERROR(__xludf.DUMMYFUNCTION("""COMPUTED_VALUE"""),"Público")</f>
        <v>Público</v>
      </c>
      <c r="BI220" s="27" t="str">
        <f ca="1">IFERROR(__xludf.DUMMYFUNCTION("""COMPUTED_VALUE"""),"Pós-Graduação")</f>
        <v>Pós-Graduação</v>
      </c>
      <c r="BJ220" s="27" t="str">
        <f ca="1">IFERROR(__xludf.DUMMYFUNCTION("""COMPUTED_VALUE"""),"Privado")</f>
        <v>Privado</v>
      </c>
      <c r="BK220" s="27" t="str">
        <f ca="1">IFERROR(__xludf.DUMMYFUNCTION("""COMPUTED_VALUE"""),"Eurides Gonçalves cunha")</f>
        <v>Eurides Gonçalves cunha</v>
      </c>
      <c r="BL220" s="27">
        <f ca="1">IFERROR(__xludf.DUMMYFUNCTION("""COMPUTED_VALUE"""),58)</f>
        <v>58</v>
      </c>
      <c r="BM220" s="27" t="str">
        <f ca="1">IFERROR(__xludf.DUMMYFUNCTION("""COMPUTED_VALUE"""),"B")</f>
        <v>B</v>
      </c>
      <c r="BN220" s="27" t="str">
        <f ca="1">IFERROR(__xludf.DUMMYFUNCTION("""COMPUTED_VALUE"""),"Conselheiro Lafaiete")</f>
        <v>Conselheiro Lafaiete</v>
      </c>
      <c r="BO220" s="27" t="str">
        <f ca="1">IFERROR(__xludf.DUMMYFUNCTION("""COMPUTED_VALUE"""),"36404-187")</f>
        <v>36404-187</v>
      </c>
      <c r="BP220" s="27" t="str">
        <f ca="1">IFERROR(__xludf.DUMMYFUNCTION("""COMPUTED_VALUE"""),"MG")</f>
        <v>MG</v>
      </c>
      <c r="BQ220" s="27" t="str">
        <f ca="1">IFERROR(__xludf.DUMMYFUNCTION("""COMPUTED_VALUE"""),"De 3 até 5 salários mínimos")</f>
        <v>De 3 até 5 salários mínimos</v>
      </c>
      <c r="BR220" s="27" t="str">
        <f ca="1">IFERROR(__xludf.DUMMYFUNCTION("""COMPUTED_VALUE"""),"MEI")</f>
        <v>MEI</v>
      </c>
      <c r="BS220" s="27" t="str">
        <f ca="1">IFERROR(__xludf.DUMMYFUNCTION("""COMPUTED_VALUE"""),"Aluguel")</f>
        <v>Aluguel</v>
      </c>
      <c r="BT220" s="27">
        <f ca="1">IFERROR(__xludf.DUMMYFUNCTION("""COMPUTED_VALUE"""),2)</f>
        <v>2</v>
      </c>
      <c r="BU220" s="27" t="str">
        <f ca="1">IFERROR(__xludf.DUMMYFUNCTION("""COMPUTED_VALUE"""),"Não tem")</f>
        <v>Não tem</v>
      </c>
      <c r="BV220" s="27" t="str">
        <f ca="1">IFERROR(__xludf.DUMMYFUNCTION("""COMPUTED_VALUE"""),"Não")</f>
        <v>Não</v>
      </c>
      <c r="BW220" s="27"/>
      <c r="BX220" s="21" t="str">
        <f ca="1">IFERROR(__xludf.DUMMYFUNCTION("""COMPUTED_VALUE"""),"https://instagram.com/pabllogoncallves?igshid=NDBlY2NjN2I=")</f>
        <v>https://instagram.com/pabllogoncallves?igshid=NDBlY2NjN2I=</v>
      </c>
      <c r="BY220" s="21" t="str">
        <f ca="1">IFERROR(__xludf.DUMMYFUNCTION("""COMPUTED_VALUE"""),"https://drive.google.com/open?id=16k1A_i-Qy-EFwPyOg-diBORfb3Z4WNPD")</f>
        <v>https://drive.google.com/open?id=16k1A_i-Qy-EFwPyOg-diBORfb3Z4WNPD</v>
      </c>
    </row>
    <row r="221" spans="1:77" ht="12.5" hidden="1" x14ac:dyDescent="0.25">
      <c r="A221" s="21" t="str">
        <f ca="1">IFERROR(__xludf.DUMMYFUNCTION("""COMPUTED_VALUE"""),"0014X00002VKCtuQAH")</f>
        <v>0014X00002VKCtuQAH</v>
      </c>
      <c r="B221" s="27" t="str">
        <f ca="1">IFERROR(__xludf.DUMMYFUNCTION("""COMPUTED_VALUE"""),"Fase Inicial")</f>
        <v>Fase Inicial</v>
      </c>
      <c r="C221" s="27" t="str">
        <f ca="1">IFERROR(__xludf.DUMMYFUNCTION("""COMPUTED_VALUE"""),"Fellow")</f>
        <v>Fellow</v>
      </c>
      <c r="D221" s="27" t="str">
        <f ca="1">IFERROR(__xludf.DUMMYFUNCTION("""COMPUTED_VALUE"""),"Ativo")</f>
        <v>Ativo</v>
      </c>
      <c r="E221" s="27" t="str">
        <f ca="1">IFERROR(__xludf.DUMMYFUNCTION("""COMPUTED_VALUE"""),"Colaí Movimento de Cultura")</f>
        <v>Colaí Movimento de Cultura</v>
      </c>
      <c r="F221" s="27" t="str">
        <f ca="1">IFERROR(__xludf.DUMMYFUNCTION("""COMPUTED_VALUE"""),"Francine")</f>
        <v>Francine</v>
      </c>
      <c r="G221" s="27" t="str">
        <f ca="1">IFERROR(__xludf.DUMMYFUNCTION("""COMPUTED_VALUE"""),"ONG COLAÍ MOVIMENTO DE CULTURA")</f>
        <v>ONG COLAÍ MOVIMENTO DE CULTURA</v>
      </c>
      <c r="H221" s="27" t="str">
        <f ca="1">IFERROR(__xludf.DUMMYFUNCTION("""COMPUTED_VALUE"""),"34.783.350/0001-93")</f>
        <v>34.783.350/0001-93</v>
      </c>
      <c r="I221" s="27" t="str">
        <f ca="1">IFERROR(__xludf.DUMMYFUNCTION("""COMPUTED_VALUE"""),"Francine Conde Cabral")</f>
        <v>Francine Conde Cabral</v>
      </c>
      <c r="J221" s="27" t="str">
        <f ca="1">IFERROR(__xludf.DUMMYFUNCTION("""COMPUTED_VALUE"""),"ongcolai@gmail.com")</f>
        <v>ongcolai@gmail.com</v>
      </c>
      <c r="K221" s="27" t="str">
        <f ca="1">IFERROR(__xludf.DUMMYFUNCTION("""COMPUTED_VALUE"""),"(51)99830-9188")</f>
        <v>(51)99830-9188</v>
      </c>
      <c r="L221" s="27" t="str">
        <f ca="1">IFERROR(__xludf.DUMMYFUNCTION("""COMPUTED_VALUE"""),"RS")</f>
        <v>RS</v>
      </c>
      <c r="M221" s="27" t="str">
        <f ca="1">IFERROR(__xludf.DUMMYFUNCTION("""COMPUTED_VALUE"""),"Av Presidente Vargas")</f>
        <v>Av Presidente Vargas</v>
      </c>
      <c r="N221" s="27" t="str">
        <f ca="1">IFERROR(__xludf.DUMMYFUNCTION("""COMPUTED_VALUE"""),"Arquipélago")</f>
        <v>Arquipélago</v>
      </c>
      <c r="O221" s="27">
        <f ca="1">IFERROR(__xludf.DUMMYFUNCTION("""COMPUTED_VALUE"""),1726)</f>
        <v>1726</v>
      </c>
      <c r="P221" s="27" t="str">
        <f ca="1">IFERROR(__xludf.DUMMYFUNCTION("""COMPUTED_VALUE"""),"Porto Alegre")</f>
        <v>Porto Alegre</v>
      </c>
      <c r="Q221" s="27" t="str">
        <f ca="1">IFERROR(__xludf.DUMMYFUNCTION("""COMPUTED_VALUE"""),"Sede social")</f>
        <v>Sede social</v>
      </c>
      <c r="R221" s="27" t="str">
        <f ca="1">IFERROR(__xludf.DUMMYFUNCTION("""COMPUTED_VALUE"""),"90090-000")</f>
        <v>90090-000</v>
      </c>
      <c r="S221" s="27" t="str">
        <f ca="1">IFERROR(__xludf.DUMMYFUNCTION("""COMPUTED_VALUE"""),"Sim. Escolas, creches e intervenções em áreas públicas")</f>
        <v>Sim. Escolas, creches e intervenções em áreas públicas</v>
      </c>
      <c r="T221" s="27"/>
      <c r="U221" s="27" t="str">
        <f ca="1">IFERROR(__xludf.DUMMYFUNCTION("""COMPUTED_VALUE"""),"Crianças (6 a 12 anos), Adolescentes (12 aos 18 anos), Jovens (18 aos 24 anos)")</f>
        <v>Crianças (6 a 12 anos), Adolescentes (12 aos 18 anos), Jovens (18 aos 24 anos)</v>
      </c>
      <c r="V221" s="27" t="str">
        <f ca="1">IFERROR(__xludf.DUMMYFUNCTION("""COMPUTED_VALUE"""),"Moradores de Favelas, Ribeirinhos")</f>
        <v>Moradores de Favelas, Ribeirinhos</v>
      </c>
      <c r="W221" s="27">
        <f ca="1">IFERROR(__xludf.DUMMYFUNCTION("""COMPUTED_VALUE"""),1)</f>
        <v>1</v>
      </c>
      <c r="X221" s="27" t="str">
        <f ca="1">IFERROR(__xludf.DUMMYFUNCTION("""COMPUTED_VALUE"""),"Comunidade ribeirinha")</f>
        <v>Comunidade ribeirinha</v>
      </c>
      <c r="Y221" s="27"/>
      <c r="Z221" s="27">
        <f ca="1">IFERROR(__xludf.DUMMYFUNCTION("""COMPUTED_VALUE"""),2000)</f>
        <v>2000</v>
      </c>
      <c r="AA221" s="30">
        <f ca="1">IFERROR(__xludf.DUMMYFUNCTION("""COMPUTED_VALUE"""),41196)</f>
        <v>41196</v>
      </c>
      <c r="AB221" s="27" t="str">
        <f ca="1">IFERROR(__xludf.DUMMYFUNCTION("""COMPUTED_VALUE"""),"Sim")</f>
        <v>Sim</v>
      </c>
      <c r="AC221" s="27">
        <f ca="1">IFERROR(__xludf.DUMMYFUNCTION("""COMPUTED_VALUE"""),0)</f>
        <v>0</v>
      </c>
      <c r="AD221" s="27">
        <f ca="1">IFERROR(__xludf.DUMMYFUNCTION("""COMPUTED_VALUE"""),7)</f>
        <v>7</v>
      </c>
      <c r="AE221" s="27">
        <f ca="1">IFERROR(__xludf.DUMMYFUNCTION("""COMPUTED_VALUE"""),7)</f>
        <v>7</v>
      </c>
      <c r="AF221" s="27">
        <f ca="1">IFERROR(__xludf.DUMMYFUNCTION("""COMPUTED_VALUE"""),7)</f>
        <v>7</v>
      </c>
      <c r="AG221" s="27">
        <f ca="1">IFERROR(__xludf.DUMMYFUNCTION("""COMPUTED_VALUE"""),2)</f>
        <v>2</v>
      </c>
      <c r="AH221" s="27" t="str">
        <f ca="1">IFERROR(__xludf.DUMMYFUNCTION("""COMPUTED_VALUE"""),"Editais")</f>
        <v>Editais</v>
      </c>
      <c r="AI221" s="27" t="str">
        <f ca="1">IFERROR(__xludf.DUMMYFUNCTION("""COMPUTED_VALUE"""),"90% editais 10% Ações para captação")</f>
        <v>90% editais 10% Ações para captação</v>
      </c>
      <c r="AJ221" s="27" t="str">
        <f ca="1">IFERROR(__xludf.DUMMYFUNCTION("""COMPUTED_VALUE"""),"Sim")</f>
        <v>Sim</v>
      </c>
      <c r="AK221" s="27"/>
      <c r="AL221" s="21" t="str">
        <f ca="1">IFERROR(__xludf.DUMMYFUNCTION("""COMPUTED_VALUE"""),"0034X0000380O3A")</f>
        <v>0034X0000380O3A</v>
      </c>
      <c r="AM221" s="27" t="str">
        <f ca="1">IFERROR(__xludf.DUMMYFUNCTION("""COMPUTED_VALUE"""),"Conde cabral")</f>
        <v>Conde cabral</v>
      </c>
      <c r="AN221" s="27" t="str">
        <f ca="1">IFERROR(__xludf.DUMMYFUNCTION("""COMPUTED_VALUE"""),"Ativo")</f>
        <v>Ativo</v>
      </c>
      <c r="AO221" s="27"/>
      <c r="AP221" s="27"/>
      <c r="AQ221" s="27" t="str">
        <f ca="1">IFERROR(__xludf.DUMMYFUNCTION("""COMPUTED_VALUE"""),"Primeiro Semestre 2022")</f>
        <v>Primeiro Semestre 2022</v>
      </c>
      <c r="AR221" s="27" t="str">
        <f ca="1">IFERROR(__xludf.DUMMYFUNCTION("""COMPUTED_VALUE"""),"fcondecabral@gmail.com")</f>
        <v>fcondecabral@gmail.com</v>
      </c>
      <c r="AS221" s="27">
        <f ca="1">IFERROR(__xludf.DUMMYFUNCTION("""COMPUTED_VALUE"""),51998309188)</f>
        <v>51998309188</v>
      </c>
      <c r="AT221" s="30">
        <f ca="1">IFERROR(__xludf.DUMMYFUNCTION("""COMPUTED_VALUE"""),34991)</f>
        <v>34991</v>
      </c>
      <c r="AU221" s="27">
        <f ca="1">IFERROR(__xludf.DUMMYFUNCTION("""COMPUTED_VALUE"""),27)</f>
        <v>27</v>
      </c>
      <c r="AV221" s="27">
        <f ca="1">IFERROR(__xludf.DUMMYFUNCTION("""COMPUTED_VALUE"""),3577377097)</f>
        <v>3577377097</v>
      </c>
      <c r="AW221" s="27">
        <f ca="1">IFERROR(__xludf.DUMMYFUNCTION("""COMPUTED_VALUE"""),2110250384)</f>
        <v>2110250384</v>
      </c>
      <c r="AX221" s="27"/>
      <c r="AY221" s="27"/>
      <c r="AZ221" s="27" t="str">
        <f ca="1">IFERROR(__xludf.DUMMYFUNCTION("""COMPUTED_VALUE"""),"GG")</f>
        <v>GG</v>
      </c>
      <c r="BA221" s="27" t="str">
        <f ca="1">IFERROR(__xludf.DUMMYFUNCTION("""COMPUTED_VALUE"""),"Branca")</f>
        <v>Branca</v>
      </c>
      <c r="BB221" s="27"/>
      <c r="BC221" s="27"/>
      <c r="BD221" s="27" t="str">
        <f ca="1">IFERROR(__xludf.DUMMYFUNCTION("""COMPUTED_VALUE"""),"Produtora cultural* bibliotecária graduada pela UFRGS* mestranda em Ciência da Informação pela UFRGS/PPGCIN e presidenta da ONG Colaí Movimento de Cultura. Liderança comunitária da região das ilhas de Porto Alegre. Atua como mediadora de leitura na Biblio"&amp;"teca Comunitária Marginal Ilha do Saber* onde desenvolve projetos de incentivo à leitura e acesso à informação. Trajetória reconhecida no Prêmio Trajetórias Culturais Plano Municipal do Livro e Leitura de Porto Alegre em 2021.")</f>
        <v>Produtora cultural* bibliotecária graduada pela UFRGS* mestranda em Ciência da Informação pela UFRGS/PPGCIN e presidenta da ONG Colaí Movimento de Cultura. Liderança comunitária da região das ilhas de Porto Alegre. Atua como mediadora de leitura na Biblioteca Comunitária Marginal Ilha do Saber* onde desenvolve projetos de incentivo à leitura e acesso à informação. Trajetória reconhecida no Prêmio Trajetórias Culturais Plano Municipal do Livro e Leitura de Porto Alegre em 2021.</v>
      </c>
      <c r="BE221" s="27" t="str">
        <f ca="1">IFERROR(__xludf.DUMMYFUNCTION("""COMPUTED_VALUE"""),"Feminino")</f>
        <v>Feminino</v>
      </c>
      <c r="BF221" s="27" t="str">
        <f ca="1">IFERROR(__xludf.DUMMYFUNCTION("""COMPUTED_VALUE"""),"Heterossexual")</f>
        <v>Heterossexual</v>
      </c>
      <c r="BG221" s="27"/>
      <c r="BH221" s="27" t="str">
        <f ca="1">IFERROR(__xludf.DUMMYFUNCTION("""COMPUTED_VALUE"""),"Público")</f>
        <v>Público</v>
      </c>
      <c r="BI221" s="27" t="str">
        <f ca="1">IFERROR(__xludf.DUMMYFUNCTION("""COMPUTED_VALUE"""),"Mestrado")</f>
        <v>Mestrado</v>
      </c>
      <c r="BJ221" s="27" t="str">
        <f ca="1">IFERROR(__xludf.DUMMYFUNCTION("""COMPUTED_VALUE"""),"Público")</f>
        <v>Público</v>
      </c>
      <c r="BK221" s="27" t="str">
        <f ca="1">IFERROR(__xludf.DUMMYFUNCTION("""COMPUTED_VALUE"""),"Avenida Presidente Vargas")</f>
        <v>Avenida Presidente Vargas</v>
      </c>
      <c r="BL221" s="27">
        <f ca="1">IFERROR(__xludf.DUMMYFUNCTION("""COMPUTED_VALUE"""),1726)</f>
        <v>1726</v>
      </c>
      <c r="BM221" s="27"/>
      <c r="BN221" s="27"/>
      <c r="BO221" s="27">
        <f ca="1">IFERROR(__xludf.DUMMYFUNCTION("""COMPUTED_VALUE"""),90090000)</f>
        <v>90090000</v>
      </c>
      <c r="BP221" s="27" t="str">
        <f ca="1">IFERROR(__xludf.DUMMYFUNCTION("""COMPUTED_VALUE"""),"RS")</f>
        <v>RS</v>
      </c>
      <c r="BQ221" s="27" t="str">
        <f ca="1">IFERROR(__xludf.DUMMYFUNCTION("""COMPUTED_VALUE"""),"Entre 1 até 3 salários mínimos")</f>
        <v>Entre 1 até 3 salários mínimos</v>
      </c>
      <c r="BR221" s="27" t="str">
        <f ca="1">IFERROR(__xludf.DUMMYFUNCTION("""COMPUTED_VALUE"""),"MEI")</f>
        <v>MEI</v>
      </c>
      <c r="BS221" s="27" t="str">
        <f ca="1">IFERROR(__xludf.DUMMYFUNCTION("""COMPUTED_VALUE"""),"Casa cedida")</f>
        <v>Casa cedida</v>
      </c>
      <c r="BT221" s="27">
        <f ca="1">IFERROR(__xludf.DUMMYFUNCTION("""COMPUTED_VALUE"""),2)</f>
        <v>2</v>
      </c>
      <c r="BU221" s="27" t="str">
        <f ca="1">IFERROR(__xludf.DUMMYFUNCTION("""COMPUTED_VALUE"""),"Ansiedade")</f>
        <v>Ansiedade</v>
      </c>
      <c r="BV221" s="27" t="str">
        <f ca="1">IFERROR(__xludf.DUMMYFUNCTION("""COMPUTED_VALUE"""),"Não")</f>
        <v>Não</v>
      </c>
      <c r="BW221" s="21" t="str">
        <f ca="1">IFERROR(__xludf.DUMMYFUNCTION("""COMPUTED_VALUE"""),"https://www.linkedin.com/in/francine-cabral-56a203157/")</f>
        <v>https://www.linkedin.com/in/francine-cabral-56a203157/</v>
      </c>
      <c r="BX221" s="21" t="str">
        <f ca="1">IFERROR(__xludf.DUMMYFUNCTION("""COMPUTED_VALUE"""),"www.instagram.com/franccc___")</f>
        <v>www.instagram.com/franccc___</v>
      </c>
      <c r="BY221" s="21" t="str">
        <f ca="1">IFERROR(__xludf.DUMMYFUNCTION("""COMPUTED_VALUE"""),"https://drive.google.com/open?id=1sHyVqtOgGEZolkW9W01JGPuN42Lh50xz")</f>
        <v>https://drive.google.com/open?id=1sHyVqtOgGEZolkW9W01JGPuN42Lh50xz</v>
      </c>
    </row>
    <row r="222" spans="1:77" ht="12.5" x14ac:dyDescent="0.25">
      <c r="A222" s="21" t="str">
        <f ca="1">IFERROR(__xludf.DUMMYFUNCTION("""COMPUTED_VALUE"""),"0014P00003SGWQ2QAP")</f>
        <v>0014P00003SGWQ2QAP</v>
      </c>
      <c r="B222" s="27" t="str">
        <f ca="1">IFERROR(__xludf.DUMMYFUNCTION("""COMPUTED_VALUE"""),"Fase Inicial")</f>
        <v>Fase Inicial</v>
      </c>
      <c r="C222" s="27" t="str">
        <f ca="1">IFERROR(__xludf.DUMMYFUNCTION("""COMPUTED_VALUE"""),"Fellow")</f>
        <v>Fellow</v>
      </c>
      <c r="D222" s="27" t="str">
        <f ca="1">IFERROR(__xludf.DUMMYFUNCTION("""COMPUTED_VALUE"""),"Ativo")</f>
        <v>Ativo</v>
      </c>
      <c r="E222" s="27" t="str">
        <f ca="1">IFERROR(__xludf.DUMMYFUNCTION("""COMPUTED_VALUE"""),"COLETIVO ANDANÇAS DF")</f>
        <v>COLETIVO ANDANÇAS DF</v>
      </c>
      <c r="F222" s="27" t="str">
        <f ca="1">IFERROR(__xludf.DUMMYFUNCTION("""COMPUTED_VALUE"""),"Priscila")</f>
        <v>Priscila</v>
      </c>
      <c r="G222" s="27" t="str">
        <f ca="1">IFERROR(__xludf.DUMMYFUNCTION("""COMPUTED_VALUE"""),"ANDANÇAS")</f>
        <v>ANDANÇAS</v>
      </c>
      <c r="H222" s="27" t="str">
        <f ca="1">IFERROR(__xludf.DUMMYFUNCTION("""COMPUTED_VALUE"""),"00.000.000/0000-00")</f>
        <v>00.000.000/0000-00</v>
      </c>
      <c r="I222" s="27" t="str">
        <f ca="1">IFERROR(__xludf.DUMMYFUNCTION("""COMPUTED_VALUE"""),"Priscila do Carmo Araújo")</f>
        <v>Priscila do Carmo Araújo</v>
      </c>
      <c r="J222" s="27" t="str">
        <f ca="1">IFERROR(__xludf.DUMMYFUNCTION("""COMPUTED_VALUE"""),"andancasdfoficial@gmail.com")</f>
        <v>andancasdfoficial@gmail.com</v>
      </c>
      <c r="K222" s="27" t="str">
        <f ca="1">IFERROR(__xludf.DUMMYFUNCTION("""COMPUTED_VALUE"""),"(61)99335-8340")</f>
        <v>(61)99335-8340</v>
      </c>
      <c r="L222" s="27" t="str">
        <f ca="1">IFERROR(__xludf.DUMMYFUNCTION("""COMPUTED_VALUE"""),"DF")</f>
        <v>DF</v>
      </c>
      <c r="M222" s="27" t="str">
        <f ca="1">IFERROR(__xludf.DUMMYFUNCTION("""COMPUTED_VALUE"""),"Chácara 2")</f>
        <v>Chácara 2</v>
      </c>
      <c r="N222" s="27" t="str">
        <f ca="1">IFERROR(__xludf.DUMMYFUNCTION("""COMPUTED_VALUE"""),"Rua do Mato/Fercal")</f>
        <v>Rua do Mato/Fercal</v>
      </c>
      <c r="O222" s="27" t="str">
        <f ca="1">IFERROR(__xludf.DUMMYFUNCTION("""COMPUTED_VALUE"""),"(61)99335-8340")</f>
        <v>(61)99335-8340</v>
      </c>
      <c r="P222" s="27" t="str">
        <f ca="1">IFERROR(__xludf.DUMMYFUNCTION("""COMPUTED_VALUE"""),"Fercal")</f>
        <v>Fercal</v>
      </c>
      <c r="Q222" s="27"/>
      <c r="R222" s="27" t="str">
        <f ca="1">IFERROR(__xludf.DUMMYFUNCTION("""COMPUTED_VALUE"""),"73150-150")</f>
        <v>73150-150</v>
      </c>
      <c r="S222" s="27"/>
      <c r="T222" s="27" t="str">
        <f ca="1">IFERROR(__xludf.DUMMYFUNCTION("""COMPUTED_VALUE"""),"Esporte; Educação; Empregabilidade; Assistência Social; Cultura; Qualificação Profissional; Empreendedorismo; Meio ambiente; Empoderamento Feminino; Negócios Sociais; Apoio à gestão de organizações de Terceiro Setor; Ciência e Tecnologia; Comunicação; Des"&amp;"envolvimento comunitário")</f>
        <v>Esporte; Educação; Empregabilidade; Assistência Social; Cultura; Qualificação Profissional; Empreendedorismo; Meio ambiente; Empoderamento Feminino; Negócios Sociais; Apoio à gestão de organizações de Terceiro Setor; Ciência e Tecnologia; Comunicação; Desenvolvimento comunitário</v>
      </c>
      <c r="U222" s="27" t="str">
        <f ca="1">IFERROR(__xludf.DUMMYFUNCTION("""COMPUTED_VALUE"""),"Crianças (6 a 12 anos); Adolescentes (12 aos 18 anos); Jovens (18 aos 24 anos); Adultos; Idosos (60 anos ou mais)")</f>
        <v>Crianças (6 a 12 anos); Adolescentes (12 aos 18 anos); Jovens (18 aos 24 anos); Adultos; Idosos (60 anos ou mais)</v>
      </c>
      <c r="V222" s="27" t="str">
        <f ca="1">IFERROR(__xludf.DUMMYFUNCTION("""COMPUTED_VALUE"""),"Moradores de Favelas; População LGBTQ+; Afrodescendentes; Dependentes Químicos; Comunidade rural; Outros")</f>
        <v>Moradores de Favelas; População LGBTQ+; Afrodescendentes; Dependentes Químicos; Comunidade rural; Outros</v>
      </c>
      <c r="W222" s="27">
        <f ca="1">IFERROR(__xludf.DUMMYFUNCTION("""COMPUTED_VALUE"""),20)</f>
        <v>20</v>
      </c>
      <c r="X222" s="27"/>
      <c r="Y222" s="27">
        <f ca="1">IFERROR(__xludf.DUMMYFUNCTION("""COMPUTED_VALUE"""),45)</f>
        <v>45</v>
      </c>
      <c r="Z222" s="27">
        <f ca="1">IFERROR(__xludf.DUMMYFUNCTION("""COMPUTED_VALUE"""),500)</f>
        <v>500</v>
      </c>
      <c r="AA222" s="29">
        <f ca="1">IFERROR(__xludf.DUMMYFUNCTION("""COMPUTED_VALUE"""),41813)</f>
        <v>41813</v>
      </c>
      <c r="AB222" s="27" t="str">
        <f ca="1">IFERROR(__xludf.DUMMYFUNCTION("""COMPUTED_VALUE"""),"Não")</f>
        <v>Não</v>
      </c>
      <c r="AC222" s="27">
        <f ca="1">IFERROR(__xludf.DUMMYFUNCTION("""COMPUTED_VALUE"""),0)</f>
        <v>0</v>
      </c>
      <c r="AD222" s="27">
        <f ca="1">IFERROR(__xludf.DUMMYFUNCTION("""COMPUTED_VALUE"""),0)</f>
        <v>0</v>
      </c>
      <c r="AE222" s="27">
        <f ca="1">IFERROR(__xludf.DUMMYFUNCTION("""COMPUTED_VALUE"""),8)</f>
        <v>8</v>
      </c>
      <c r="AF222" s="27">
        <f ca="1">IFERROR(__xludf.DUMMYFUNCTION("""COMPUTED_VALUE"""),5)</f>
        <v>5</v>
      </c>
      <c r="AG222" s="27">
        <f ca="1">IFERROR(__xludf.DUMMYFUNCTION("""COMPUTED_VALUE"""),3)</f>
        <v>3</v>
      </c>
      <c r="AH222" s="27" t="str">
        <f ca="1">IFERROR(__xludf.DUMMYFUNCTION("""COMPUTED_VALUE"""),"Negócio Social; Eventos/Ações para captação; Editais")</f>
        <v>Negócio Social; Eventos/Ações para captação; Editais</v>
      </c>
      <c r="AI222" s="27" t="str">
        <f ca="1">IFERROR(__xludf.DUMMYFUNCTION("""COMPUTED_VALUE"""),"25% editais 25% eventos e ações 50% negócios sociais")</f>
        <v>25% editais 25% eventos e ações 50% negócios sociais</v>
      </c>
      <c r="AJ222" s="27" t="str">
        <f ca="1">IFERROR(__xludf.DUMMYFUNCTION("""COMPUTED_VALUE"""),"Não")</f>
        <v>Não</v>
      </c>
      <c r="AK222" s="27" t="str">
        <f ca="1">IFERROR(__xludf.DUMMYFUNCTION("""COMPUTED_VALUE"""),"Não")</f>
        <v>Não</v>
      </c>
      <c r="AL222" s="21" t="str">
        <f ca="1">IFERROR(__xludf.DUMMYFUNCTION("""COMPUTED_VALUE"""),"0034P000043fOo4")</f>
        <v>0034P000043fOo4</v>
      </c>
      <c r="AM222" s="27" t="str">
        <f ca="1">IFERROR(__xludf.DUMMYFUNCTION("""COMPUTED_VALUE"""),"Do Carmo Araújo")</f>
        <v>Do Carmo Araújo</v>
      </c>
      <c r="AN222" s="27" t="str">
        <f ca="1">IFERROR(__xludf.DUMMYFUNCTION("""COMPUTED_VALUE"""),"Ativo")</f>
        <v>Ativo</v>
      </c>
      <c r="AO222" s="29">
        <f ca="1">IFERROR(__xludf.DUMMYFUNCTION("""COMPUTED_VALUE"""),44432)</f>
        <v>44432</v>
      </c>
      <c r="AP222" s="27">
        <f ca="1">IFERROR(__xludf.DUMMYFUNCTION("""COMPUTED_VALUE"""),13)</f>
        <v>13</v>
      </c>
      <c r="AQ222" s="27" t="str">
        <f ca="1">IFERROR(__xludf.DUMMYFUNCTION("""COMPUTED_VALUE"""),"Primeiro Semestre 2021")</f>
        <v>Primeiro Semestre 2021</v>
      </c>
      <c r="AR222" s="27" t="str">
        <f ca="1">IFERROR(__xludf.DUMMYFUNCTION("""COMPUTED_VALUE"""),"prisciladocarmo.cultural@gmail.com")</f>
        <v>prisciladocarmo.cultural@gmail.com</v>
      </c>
      <c r="AS222" s="27" t="str">
        <f ca="1">IFERROR(__xludf.DUMMYFUNCTION("""COMPUTED_VALUE"""),"(61)99335-8340")</f>
        <v>(61)99335-8340</v>
      </c>
      <c r="AT222" s="29">
        <f ca="1">IFERROR(__xludf.DUMMYFUNCTION("""COMPUTED_VALUE"""),28664)</f>
        <v>28664</v>
      </c>
      <c r="AU222" s="27">
        <f ca="1">IFERROR(__xludf.DUMMYFUNCTION("""COMPUTED_VALUE"""),44)</f>
        <v>44</v>
      </c>
      <c r="AV222" s="27">
        <f ca="1">IFERROR(__xludf.DUMMYFUNCTION("""COMPUTED_VALUE"""),69866490106)</f>
        <v>69866490106</v>
      </c>
      <c r="AW222" s="27">
        <f ca="1">IFERROR(__xludf.DUMMYFUNCTION("""COMPUTED_VALUE"""),1732436)</f>
        <v>1732436</v>
      </c>
      <c r="AX222" s="27" t="str">
        <f ca="1">IFERROR(__xludf.DUMMYFUNCTION("""COMPUTED_VALUE"""),"Comunicação")</f>
        <v>Comunicação</v>
      </c>
      <c r="AY222" s="27" t="str">
        <f ca="1">IFERROR(__xludf.DUMMYFUNCTION("""COMPUTED_VALUE"""),"Articuladora territorial/Secretaria de Justiça do Distrito Federal")</f>
        <v>Articuladora territorial/Secretaria de Justiça do Distrito Federal</v>
      </c>
      <c r="AZ222" s="27" t="str">
        <f ca="1">IFERROR(__xludf.DUMMYFUNCTION("""COMPUTED_VALUE"""),"G")</f>
        <v>G</v>
      </c>
      <c r="BA222" s="27" t="str">
        <f ca="1">IFERROR(__xludf.DUMMYFUNCTION("""COMPUTED_VALUE"""),"Branca")</f>
        <v>Branca</v>
      </c>
      <c r="BB222" s="27"/>
      <c r="BC222" s="27" t="str">
        <f ca="1">IFERROR(__xludf.DUMMYFUNCTION("""COMPUTED_VALUE"""),"Não")</f>
        <v>Não</v>
      </c>
      <c r="BD222" s="27" t="str">
        <f ca="1">IFERROR(__xludf.DUMMYFUNCTION("""COMPUTED_VALUE"""),"Mãe, esposa, amiga e empreendedora social. Sou articuladora territorial do Coletivo Andanças DF e Produtora cultural, coordeno 2 projetos um de arte e cultura outro de comunicação comunitária. Desde 2002 invisto na minha missão de contribuir para as pesso"&amp;"as da minha comunidade, em 2012 estive na Rio +20 e diante de muitas pessoas  renovei os votos que sempre falei, contribuir para o desenvolvimento locai, integrado e sustentável da minha terra, onde quer que eu vá levo essa missão. Gratidão!")</f>
        <v>Mãe, esposa, amiga e empreendedora social. Sou articuladora territorial do Coletivo Andanças DF e Produtora cultural, coordeno 2 projetos um de arte e cultura outro de comunicação comunitária. Desde 2002 invisto na minha missão de contribuir para as pessoas da minha comunidade, em 2012 estive na Rio +20 e diante de muitas pessoas  renovei os votos que sempre falei, contribuir para o desenvolvimento locai, integrado e sustentável da minha terra, onde quer que eu vá levo essa missão. Gratidão!</v>
      </c>
      <c r="BE222" s="27" t="str">
        <f ca="1">IFERROR(__xludf.DUMMYFUNCTION("""COMPUTED_VALUE"""),"Feminino")</f>
        <v>Feminino</v>
      </c>
      <c r="BF222" s="27" t="str">
        <f ca="1">IFERROR(__xludf.DUMMYFUNCTION("""COMPUTED_VALUE"""),"Heterossexual")</f>
        <v>Heterossexual</v>
      </c>
      <c r="BG222" s="27" t="str">
        <f ca="1">IFERROR(__xludf.DUMMYFUNCTION("""COMPUTED_VALUE"""),"Ensino Superior - Incompleto")</f>
        <v>Ensino Superior - Incompleto</v>
      </c>
      <c r="BH222" s="27"/>
      <c r="BI222" s="27" t="str">
        <f ca="1">IFERROR(__xludf.DUMMYFUNCTION("""COMPUTED_VALUE"""),"Graduação")</f>
        <v>Graduação</v>
      </c>
      <c r="BJ222" s="27" t="str">
        <f ca="1">IFERROR(__xludf.DUMMYFUNCTION("""COMPUTED_VALUE"""),"Privado")</f>
        <v>Privado</v>
      </c>
      <c r="BK222" s="27" t="str">
        <f ca="1">IFERROR(__xludf.DUMMYFUNCTION("""COMPUTED_VALUE"""),"Quadra 16, Conjunto L, casa")</f>
        <v>Quadra 16, Conjunto L, casa</v>
      </c>
      <c r="BL222" s="27">
        <f ca="1">IFERROR(__xludf.DUMMYFUNCTION("""COMPUTED_VALUE"""),8)</f>
        <v>8</v>
      </c>
      <c r="BM222" s="27"/>
      <c r="BN222" s="27" t="str">
        <f ca="1">IFERROR(__xludf.DUMMYFUNCTION("""COMPUTED_VALUE"""),"Fercal")</f>
        <v>Fercal</v>
      </c>
      <c r="BO222" s="27" t="str">
        <f ca="1">IFERROR(__xludf.DUMMYFUNCTION("""COMPUTED_VALUE"""),"73050-172")</f>
        <v>73050-172</v>
      </c>
      <c r="BP222" s="27" t="str">
        <f ca="1">IFERROR(__xludf.DUMMYFUNCTION("""COMPUTED_VALUE"""),"DF")</f>
        <v>DF</v>
      </c>
      <c r="BQ222" s="27" t="str">
        <f ca="1">IFERROR(__xludf.DUMMYFUNCTION("""COMPUTED_VALUE"""),"Entre 1 até 3 salários mínimos")</f>
        <v>Entre 1 até 3 salários mínimos</v>
      </c>
      <c r="BR222" s="27" t="str">
        <f ca="1">IFERROR(__xludf.DUMMYFUNCTION("""COMPUTED_VALUE"""),"Trabalho informal")</f>
        <v>Trabalho informal</v>
      </c>
      <c r="BS222" s="27" t="str">
        <f ca="1">IFERROR(__xludf.DUMMYFUNCTION("""COMPUTED_VALUE"""),"Casa cedida")</f>
        <v>Casa cedida</v>
      </c>
      <c r="BT222" s="27">
        <f ca="1">IFERROR(__xludf.DUMMYFUNCTION("""COMPUTED_VALUE"""),3)</f>
        <v>3</v>
      </c>
      <c r="BU222" s="27"/>
      <c r="BV222" s="27"/>
      <c r="BW222" s="27" t="str">
        <f ca="1">IFERROR(__xludf.DUMMYFUNCTION("""COMPUTED_VALUE"""),"Aluguel")</f>
        <v>Aluguel</v>
      </c>
      <c r="BX222" s="21" t="str">
        <f ca="1">IFERROR(__xludf.DUMMYFUNCTION("""COMPUTED_VALUE"""),"https://www.instagram.com/invites/contact/?i=1uk5pbe1kwr06&amp;utm_content=xtb5ir")</f>
        <v>https://www.instagram.com/invites/contact/?i=1uk5pbe1kwr06&amp;utm_content=xtb5ir</v>
      </c>
      <c r="BY222" s="21" t="str">
        <f ca="1">IFERROR(__xludf.DUMMYFUNCTION("""COMPUTED_VALUE"""),"https://drive.google.com/open?id=1TcROEbaTNfzIZObWw0Dl61m2sB9SiUWG")</f>
        <v>https://drive.google.com/open?id=1TcROEbaTNfzIZObWw0Dl61m2sB9SiUWG</v>
      </c>
    </row>
    <row r="223" spans="1:77" ht="12.5" hidden="1" x14ac:dyDescent="0.25">
      <c r="A223" s="21" t="str">
        <f ca="1">IFERROR(__xludf.DUMMYFUNCTION("""COMPUTED_VALUE"""),"0014P00003YSpAMQA1")</f>
        <v>0014P00003YSpAMQA1</v>
      </c>
      <c r="B223" s="27" t="str">
        <f ca="1">IFERROR(__xludf.DUMMYFUNCTION("""COMPUTED_VALUE"""),"Fase Inicial")</f>
        <v>Fase Inicial</v>
      </c>
      <c r="C223" s="27" t="str">
        <f ca="1">IFERROR(__xludf.DUMMYFUNCTION("""COMPUTED_VALUE"""),"Fellow")</f>
        <v>Fellow</v>
      </c>
      <c r="D223" s="27" t="str">
        <f ca="1">IFERROR(__xludf.DUMMYFUNCTION("""COMPUTED_VALUE"""),"Ativo")</f>
        <v>Ativo</v>
      </c>
      <c r="E223" s="27" t="str">
        <f ca="1">IFERROR(__xludf.DUMMYFUNCTION("""COMPUTED_VALUE"""),"Coletivo Arautos da Poesia")</f>
        <v>Coletivo Arautos da Poesia</v>
      </c>
      <c r="F223" s="27" t="str">
        <f ca="1">IFERROR(__xludf.DUMMYFUNCTION("""COMPUTED_VALUE"""),"Aguida")</f>
        <v>Aguida</v>
      </c>
      <c r="G223" s="27" t="str">
        <f ca="1">IFERROR(__xludf.DUMMYFUNCTION("""COMPUTED_VALUE"""),"Arautos da Poesia")</f>
        <v>Arautos da Poesia</v>
      </c>
      <c r="H223" s="27" t="str">
        <f ca="1">IFERROR(__xludf.DUMMYFUNCTION("""COMPUTED_VALUE"""),"44.024.258/0001-01")</f>
        <v>44.024.258/0001-01</v>
      </c>
      <c r="I223" s="27" t="str">
        <f ca="1">IFERROR(__xludf.DUMMYFUNCTION("""COMPUTED_VALUE"""),"Tamires Santana de Paula")</f>
        <v>Tamires Santana de Paula</v>
      </c>
      <c r="J223" s="27" t="str">
        <f ca="1">IFERROR(__xludf.DUMMYFUNCTION("""COMPUTED_VALUE"""),"arautosdapoesiasabara@gmail.com")</f>
        <v>arautosdapoesiasabara@gmail.com</v>
      </c>
      <c r="K223" s="27" t="str">
        <f ca="1">IFERROR(__xludf.DUMMYFUNCTION("""COMPUTED_VALUE"""),"(31)3674-6558")</f>
        <v>(31)3674-6558</v>
      </c>
      <c r="L223" s="27" t="str">
        <f ca="1">IFERROR(__xludf.DUMMYFUNCTION("""COMPUTED_VALUE"""),"MG")</f>
        <v>MG</v>
      </c>
      <c r="M223" s="27" t="str">
        <f ca="1">IFERROR(__xludf.DUMMYFUNCTION("""COMPUTED_VALUE"""),"Rua águas férreas, 81")</f>
        <v>Rua águas férreas, 81</v>
      </c>
      <c r="N223" s="27" t="str">
        <f ca="1">IFERROR(__xludf.DUMMYFUNCTION("""COMPUTED_VALUE"""),"Água Férrea")</f>
        <v>Água Férrea</v>
      </c>
      <c r="O223" s="27">
        <f ca="1">IFERROR(__xludf.DUMMYFUNCTION("""COMPUTED_VALUE"""),98)</f>
        <v>98</v>
      </c>
      <c r="P223" s="27" t="str">
        <f ca="1">IFERROR(__xludf.DUMMYFUNCTION("""COMPUTED_VALUE"""),"Sabará")</f>
        <v>Sabará</v>
      </c>
      <c r="Q223" s="27"/>
      <c r="R223" s="27" t="str">
        <f ca="1">IFERROR(__xludf.DUMMYFUNCTION("""COMPUTED_VALUE"""),"34535-140")</f>
        <v>34535-140</v>
      </c>
      <c r="S223" s="27"/>
      <c r="T223" s="27" t="str">
        <f ca="1">IFERROR(__xludf.DUMMYFUNCTION("""COMPUTED_VALUE"""),"Educação; Cultura")</f>
        <v>Educação; Cultura</v>
      </c>
      <c r="U223" s="27" t="str">
        <f ca="1">IFERROR(__xludf.DUMMYFUNCTION("""COMPUTED_VALUE"""),"Crianças (6 a 12 anos); Jovens (18 aos 24 anos); Adultos")</f>
        <v>Crianças (6 a 12 anos); Jovens (18 aos 24 anos); Adultos</v>
      </c>
      <c r="V223" s="27" t="str">
        <f ca="1">IFERROR(__xludf.DUMMYFUNCTION("""COMPUTED_VALUE"""),"Outros")</f>
        <v>Outros</v>
      </c>
      <c r="W223" s="27">
        <f ca="1">IFERROR(__xludf.DUMMYFUNCTION("""COMPUTED_VALUE"""),4)</f>
        <v>4</v>
      </c>
      <c r="X223" s="27"/>
      <c r="Y223" s="27"/>
      <c r="Z223" s="27">
        <f ca="1">IFERROR(__xludf.DUMMYFUNCTION("""COMPUTED_VALUE"""),200)</f>
        <v>200</v>
      </c>
      <c r="AA223" s="30">
        <f ca="1">IFERROR(__xludf.DUMMYFUNCTION("""COMPUTED_VALUE"""),44495)</f>
        <v>44495</v>
      </c>
      <c r="AB223" s="27" t="str">
        <f ca="1">IFERROR(__xludf.DUMMYFUNCTION("""COMPUTED_VALUE"""),"Não")</f>
        <v>Não</v>
      </c>
      <c r="AC223" s="27">
        <f ca="1">IFERROR(__xludf.DUMMYFUNCTION("""COMPUTED_VALUE"""),0)</f>
        <v>0</v>
      </c>
      <c r="AD223" s="27">
        <f ca="1">IFERROR(__xludf.DUMMYFUNCTION("""COMPUTED_VALUE"""),0)</f>
        <v>0</v>
      </c>
      <c r="AE223" s="27">
        <f ca="1">IFERROR(__xludf.DUMMYFUNCTION("""COMPUTED_VALUE"""),4)</f>
        <v>4</v>
      </c>
      <c r="AF223" s="27">
        <f ca="1">IFERROR(__xludf.DUMMYFUNCTION("""COMPUTED_VALUE"""),2)</f>
        <v>2</v>
      </c>
      <c r="AG223" s="27">
        <f ca="1">IFERROR(__xludf.DUMMYFUNCTION("""COMPUTED_VALUE"""),2)</f>
        <v>2</v>
      </c>
      <c r="AH223" s="27" t="str">
        <f ca="1">IFERROR(__xludf.DUMMYFUNCTION("""COMPUTED_VALUE"""),"Eventos/Ações para captação")</f>
        <v>Eventos/Ações para captação</v>
      </c>
      <c r="AI223" s="27">
        <f ca="1">IFERROR(__xludf.DUMMYFUNCTION("""COMPUTED_VALUE"""),0)</f>
        <v>0</v>
      </c>
      <c r="AJ223" s="27"/>
      <c r="AK223" s="27"/>
      <c r="AL223" s="21" t="str">
        <f ca="1">IFERROR(__xludf.DUMMYFUNCTION("""COMPUTED_VALUE"""),"0034P000045kxky")</f>
        <v>0034P000045kxky</v>
      </c>
      <c r="AM223" s="27" t="str">
        <f ca="1">IFERROR(__xludf.DUMMYFUNCTION("""COMPUTED_VALUE"""),"Alves De Oliveira")</f>
        <v>Alves De Oliveira</v>
      </c>
      <c r="AN223" s="27" t="str">
        <f ca="1">IFERROR(__xludf.DUMMYFUNCTION("""COMPUTED_VALUE"""),"Ativo")</f>
        <v>Ativo</v>
      </c>
      <c r="AO223" s="30">
        <f ca="1">IFERROR(__xludf.DUMMYFUNCTION("""COMPUTED_VALUE"""),44551)</f>
        <v>44551</v>
      </c>
      <c r="AP223" s="27">
        <f ca="1">IFERROR(__xludf.DUMMYFUNCTION("""COMPUTED_VALUE"""),9)</f>
        <v>9</v>
      </c>
      <c r="AQ223" s="27" t="str">
        <f ca="1">IFERROR(__xludf.DUMMYFUNCTION("""COMPUTED_VALUE"""),"Segundo Semestre 2021")</f>
        <v>Segundo Semestre 2021</v>
      </c>
      <c r="AR223" s="27" t="str">
        <f ca="1">IFERROR(__xludf.DUMMYFUNCTION("""COMPUTED_VALUE"""),"aguida.alves.oliveira@gmail.com")</f>
        <v>aguida.alves.oliveira@gmail.com</v>
      </c>
      <c r="AS223" s="27" t="str">
        <f ca="1">IFERROR(__xludf.DUMMYFUNCTION("""COMPUTED_VALUE"""),"(31)98626-1951")</f>
        <v>(31)98626-1951</v>
      </c>
      <c r="AT223" s="29">
        <f ca="1">IFERROR(__xludf.DUMMYFUNCTION("""COMPUTED_VALUE"""),24575)</f>
        <v>24575</v>
      </c>
      <c r="AU223" s="27">
        <f ca="1">IFERROR(__xludf.DUMMYFUNCTION("""COMPUTED_VALUE"""),55)</f>
        <v>55</v>
      </c>
      <c r="AV223" s="27">
        <f ca="1">IFERROR(__xludf.DUMMYFUNCTION("""COMPUTED_VALUE"""),359563643)</f>
        <v>359563643</v>
      </c>
      <c r="AW223" s="27" t="str">
        <f ca="1">IFERROR(__xludf.DUMMYFUNCTION("""COMPUTED_VALUE"""),"MG 7530064")</f>
        <v>MG 7530064</v>
      </c>
      <c r="AX223" s="27"/>
      <c r="AY223" s="27"/>
      <c r="AZ223" s="27" t="str">
        <f ca="1">IFERROR(__xludf.DUMMYFUNCTION("""COMPUTED_VALUE"""),"M")</f>
        <v>M</v>
      </c>
      <c r="BA223" s="27" t="str">
        <f ca="1">IFERROR(__xludf.DUMMYFUNCTION("""COMPUTED_VALUE"""),"Parda")</f>
        <v>Parda</v>
      </c>
      <c r="BB223" s="27" t="str">
        <f ca="1">IFERROR(__xludf.DUMMYFUNCTION("""COMPUTED_VALUE"""),"Mulher, cisgênero")</f>
        <v>Mulher, cisgênero</v>
      </c>
      <c r="BC223" s="27" t="str">
        <f ca="1">IFERROR(__xludf.DUMMYFUNCTION("""COMPUTED_VALUE"""),"Não")</f>
        <v>Não</v>
      </c>
      <c r="BD223" s="27" t="str">
        <f ca="1">IFERROR(__xludf.DUMMYFUNCTION("""COMPUTED_VALUE"""),"Sou Aguida Alves, mãe,  contadora de histórias,  brincante e idealizadora e coordenadora do Coletivo Arautos da Poesia há 13 anos.")</f>
        <v>Sou Aguida Alves, mãe,  contadora de histórias,  brincante e idealizadora e coordenadora do Coletivo Arautos da Poesia há 13 anos.</v>
      </c>
      <c r="BE223" s="27"/>
      <c r="BF223" s="27" t="str">
        <f ca="1">IFERROR(__xludf.DUMMYFUNCTION("""COMPUTED_VALUE"""),"Heterossexual")</f>
        <v>Heterossexual</v>
      </c>
      <c r="BG223" s="27" t="str">
        <f ca="1">IFERROR(__xludf.DUMMYFUNCTION("""COMPUTED_VALUE"""),"Ensino Superior - Completo")</f>
        <v>Ensino Superior - Completo</v>
      </c>
      <c r="BH223" s="27" t="str">
        <f ca="1">IFERROR(__xludf.DUMMYFUNCTION("""COMPUTED_VALUE"""),"Público")</f>
        <v>Público</v>
      </c>
      <c r="BI223" s="27" t="str">
        <f ca="1">IFERROR(__xludf.DUMMYFUNCTION("""COMPUTED_VALUE"""),"Graduação")</f>
        <v>Graduação</v>
      </c>
      <c r="BJ223" s="27" t="str">
        <f ca="1">IFERROR(__xludf.DUMMYFUNCTION("""COMPUTED_VALUE"""),"Privado")</f>
        <v>Privado</v>
      </c>
      <c r="BK223" s="27" t="str">
        <f ca="1">IFERROR(__xludf.DUMMYFUNCTION("""COMPUTED_VALUE"""),"Águas férreas")</f>
        <v>Águas férreas</v>
      </c>
      <c r="BL223" s="27">
        <f ca="1">IFERROR(__xludf.DUMMYFUNCTION("""COMPUTED_VALUE"""),98)</f>
        <v>98</v>
      </c>
      <c r="BM223" s="27"/>
      <c r="BN223" s="27" t="str">
        <f ca="1">IFERROR(__xludf.DUMMYFUNCTION("""COMPUTED_VALUE"""),"Sabará")</f>
        <v>Sabará</v>
      </c>
      <c r="BO223" s="27" t="str">
        <f ca="1">IFERROR(__xludf.DUMMYFUNCTION("""COMPUTED_VALUE"""),"34535-140")</f>
        <v>34535-140</v>
      </c>
      <c r="BP223" s="27" t="str">
        <f ca="1">IFERROR(__xludf.DUMMYFUNCTION("""COMPUTED_VALUE"""),"MG")</f>
        <v>MG</v>
      </c>
      <c r="BQ223" s="27" t="str">
        <f ca="1">IFERROR(__xludf.DUMMYFUNCTION("""COMPUTED_VALUE"""),"Entre 1 até 3 salários mínimos")</f>
        <v>Entre 1 até 3 salários mínimos</v>
      </c>
      <c r="BR223" s="27" t="str">
        <f ca="1">IFERROR(__xludf.DUMMYFUNCTION("""COMPUTED_VALUE"""),"Funcionário Público")</f>
        <v>Funcionário Público</v>
      </c>
      <c r="BS223" s="27" t="str">
        <f ca="1">IFERROR(__xludf.DUMMYFUNCTION("""COMPUTED_VALUE"""),"Casa própria")</f>
        <v>Casa própria</v>
      </c>
      <c r="BT223" s="27">
        <f ca="1">IFERROR(__xludf.DUMMYFUNCTION("""COMPUTED_VALUE"""),2)</f>
        <v>2</v>
      </c>
      <c r="BU223" s="27" t="str">
        <f ca="1">IFERROR(__xludf.DUMMYFUNCTION("""COMPUTED_VALUE"""),"Não tem")</f>
        <v>Não tem</v>
      </c>
      <c r="BV223" s="27"/>
      <c r="BW223" s="27"/>
      <c r="BX223" s="27" t="str">
        <f ca="1">IFERROR(__xludf.DUMMYFUNCTION("""COMPUTED_VALUE"""),"@aguidaalvesalves")</f>
        <v>@aguidaalvesalves</v>
      </c>
      <c r="BY223" s="21" t="str">
        <f ca="1">IFERROR(__xludf.DUMMYFUNCTION("""COMPUTED_VALUE"""),"https://drive.google.com/open?id=1x_uktOXZMxP5VmOS6NogyBCAnDfo0jIS")</f>
        <v>https://drive.google.com/open?id=1x_uktOXZMxP5VmOS6NogyBCAnDfo0jIS</v>
      </c>
    </row>
    <row r="224" spans="1:77" ht="12.5" x14ac:dyDescent="0.25">
      <c r="A224" s="21" t="str">
        <f ca="1">IFERROR(__xludf.DUMMYFUNCTION("""COMPUTED_VALUE"""),"0014X00002OEuawQAD")</f>
        <v>0014X00002OEuawQAD</v>
      </c>
      <c r="B224" s="27" t="str">
        <f ca="1">IFERROR(__xludf.DUMMYFUNCTION("""COMPUTED_VALUE"""),"Fase Inicial")</f>
        <v>Fase Inicial</v>
      </c>
      <c r="C224" s="27" t="str">
        <f ca="1">IFERROR(__xludf.DUMMYFUNCTION("""COMPUTED_VALUE"""),"Fellow")</f>
        <v>Fellow</v>
      </c>
      <c r="D224" s="27" t="str">
        <f ca="1">IFERROR(__xludf.DUMMYFUNCTION("""COMPUTED_VALUE"""),"Ativo")</f>
        <v>Ativo</v>
      </c>
      <c r="E224" s="27" t="str">
        <f ca="1">IFERROR(__xludf.DUMMYFUNCTION("""COMPUTED_VALUE"""),"Coletivo Autônomo Morro da Cruz")</f>
        <v>Coletivo Autônomo Morro da Cruz</v>
      </c>
      <c r="F224" s="27" t="str">
        <f ca="1">IFERROR(__xludf.DUMMYFUNCTION("""COMPUTED_VALUE"""),"Elenira")</f>
        <v>Elenira</v>
      </c>
      <c r="G224" s="27"/>
      <c r="H224" s="27" t="str">
        <f ca="1">IFERROR(__xludf.DUMMYFUNCTION("""COMPUTED_VALUE"""),"34.426.595/0001-63")</f>
        <v>34.426.595/0001-63</v>
      </c>
      <c r="I224" s="27" t="str">
        <f ca="1">IFERROR(__xludf.DUMMYFUNCTION("""COMPUTED_VALUE"""),"Lucia Mury Scalco")</f>
        <v>Lucia Mury Scalco</v>
      </c>
      <c r="J224" s="27" t="str">
        <f ca="1">IFERROR(__xludf.DUMMYFUNCTION("""COMPUTED_VALUE"""),"admin@coletivomdc.org")</f>
        <v>admin@coletivomdc.org</v>
      </c>
      <c r="K224" s="27"/>
      <c r="L224" s="27" t="str">
        <f ca="1">IFERROR(__xludf.DUMMYFUNCTION("""COMPUTED_VALUE"""),"RS")</f>
        <v>RS</v>
      </c>
      <c r="M224" s="27" t="str">
        <f ca="1">IFERROR(__xludf.DUMMYFUNCTION("""COMPUTED_VALUE"""),"Rua Vidal de Negreiros")</f>
        <v>Rua Vidal de Negreiros</v>
      </c>
      <c r="N224" s="27" t="str">
        <f ca="1">IFERROR(__xludf.DUMMYFUNCTION("""COMPUTED_VALUE"""),"Vila São José")</f>
        <v>Vila São José</v>
      </c>
      <c r="O224" s="27">
        <f ca="1">IFERROR(__xludf.DUMMYFUNCTION("""COMPUTED_VALUE"""),1652)</f>
        <v>1652</v>
      </c>
      <c r="P224" s="27" t="str">
        <f ca="1">IFERROR(__xludf.DUMMYFUNCTION("""COMPUTED_VALUE"""),"Porto Alegre")</f>
        <v>Porto Alegre</v>
      </c>
      <c r="Q224" s="27"/>
      <c r="R224" s="27" t="str">
        <f ca="1">IFERROR(__xludf.DUMMYFUNCTION("""COMPUTED_VALUE"""),"91520-480")</f>
        <v>91520-480</v>
      </c>
      <c r="S224" s="27"/>
      <c r="T224" s="27"/>
      <c r="U224" s="27"/>
      <c r="V224" s="27"/>
      <c r="W224" s="27">
        <f ca="1">IFERROR(__xludf.DUMMYFUNCTION("""COMPUTED_VALUE"""),1)</f>
        <v>1</v>
      </c>
      <c r="X224" s="27">
        <f ca="1">IFERROR(__xludf.DUMMYFUNCTION("""COMPUTED_VALUE"""),90)</f>
        <v>90</v>
      </c>
      <c r="Y224" s="27"/>
      <c r="Z224" s="27"/>
      <c r="AA224" s="29">
        <f ca="1">IFERROR(__xludf.DUMMYFUNCTION("""COMPUTED_VALUE"""),43606)</f>
        <v>43606</v>
      </c>
      <c r="AB224" s="27"/>
      <c r="AC224" s="27">
        <f ca="1">IFERROR(__xludf.DUMMYFUNCTION("""COMPUTED_VALUE"""),13)</f>
        <v>13</v>
      </c>
      <c r="AD224" s="27"/>
      <c r="AE224" s="27">
        <f ca="1">IFERROR(__xludf.DUMMYFUNCTION("""COMPUTED_VALUE"""),5)</f>
        <v>5</v>
      </c>
      <c r="AF224" s="27"/>
      <c r="AG224" s="27">
        <f ca="1">IFERROR(__xludf.DUMMYFUNCTION("""COMPUTED_VALUE"""),3)</f>
        <v>3</v>
      </c>
      <c r="AH224" s="27"/>
      <c r="AI224" s="27"/>
      <c r="AJ224" s="27"/>
      <c r="AK224" s="27"/>
      <c r="AL224" s="21" t="str">
        <f ca="1">IFERROR(__xludf.DUMMYFUNCTION("""COMPUTED_VALUE"""),"0034X0000315PR5")</f>
        <v>0034X0000315PR5</v>
      </c>
      <c r="AM224" s="27" t="str">
        <f ca="1">IFERROR(__xludf.DUMMYFUNCTION("""COMPUTED_VALUE"""),"Martins Pereira")</f>
        <v>Martins Pereira</v>
      </c>
      <c r="AN224" s="27" t="str">
        <f ca="1">IFERROR(__xludf.DUMMYFUNCTION("""COMPUTED_VALUE"""),"Ativo")</f>
        <v>Ativo</v>
      </c>
      <c r="AO224" s="30">
        <f ca="1">IFERROR(__xludf.DUMMYFUNCTION("""COMPUTED_VALUE"""),44551)</f>
        <v>44551</v>
      </c>
      <c r="AP224" s="27">
        <f ca="1">IFERROR(__xludf.DUMMYFUNCTION("""COMPUTED_VALUE"""),9)</f>
        <v>9</v>
      </c>
      <c r="AQ224" s="27" t="str">
        <f ca="1">IFERROR(__xludf.DUMMYFUNCTION("""COMPUTED_VALUE"""),"Segundo Semestre 2021")</f>
        <v>Segundo Semestre 2021</v>
      </c>
      <c r="AR224" s="27" t="str">
        <f ca="1">IFERROR(__xludf.DUMMYFUNCTION("""COMPUTED_VALUE"""),"eleniramartins69@gmail.com")</f>
        <v>eleniramartins69@gmail.com</v>
      </c>
      <c r="AS224" s="27">
        <f ca="1">IFERROR(__xludf.DUMMYFUNCTION("""COMPUTED_VALUE"""),51992207078)</f>
        <v>51992207078</v>
      </c>
      <c r="AT224" s="29">
        <f ca="1">IFERROR(__xludf.DUMMYFUNCTION("""COMPUTED_VALUE"""),22799)</f>
        <v>22799</v>
      </c>
      <c r="AU224" s="27">
        <f ca="1">IFERROR(__xludf.DUMMYFUNCTION("""COMPUTED_VALUE"""),60)</f>
        <v>60</v>
      </c>
      <c r="AV224" s="27">
        <f ca="1">IFERROR(__xludf.DUMMYFUNCTION("""COMPUTED_VALUE"""),39764516068)</f>
        <v>39764516068</v>
      </c>
      <c r="AW224" s="27">
        <f ca="1">IFERROR(__xludf.DUMMYFUNCTION("""COMPUTED_VALUE"""),7030351634)</f>
        <v>7030351634</v>
      </c>
      <c r="AX224" s="27"/>
      <c r="AY224" s="27" t="str">
        <f ca="1">IFERROR(__xludf.DUMMYFUNCTION("""COMPUTED_VALUE"""),"Diretora")</f>
        <v>Diretora</v>
      </c>
      <c r="AZ224" s="27" t="str">
        <f ca="1">IFERROR(__xludf.DUMMYFUNCTION("""COMPUTED_VALUE"""),"P")</f>
        <v>P</v>
      </c>
      <c r="BA224" s="27" t="str">
        <f ca="1">IFERROR(__xludf.DUMMYFUNCTION("""COMPUTED_VALUE"""),"Branca")</f>
        <v>Branca</v>
      </c>
      <c r="BB224" s="27" t="str">
        <f ca="1">IFERROR(__xludf.DUMMYFUNCTION("""COMPUTED_VALUE"""),"Mulher, cisgênero")</f>
        <v>Mulher, cisgênero</v>
      </c>
      <c r="BC224" s="27" t="str">
        <f ca="1">IFERROR(__xludf.DUMMYFUNCTION("""COMPUTED_VALUE"""),"Sim")</f>
        <v>Sim</v>
      </c>
      <c r="BD224" s="27"/>
      <c r="BE224" s="27" t="str">
        <f ca="1">IFERROR(__xludf.DUMMYFUNCTION("""COMPUTED_VALUE"""),"Feminino")</f>
        <v>Feminino</v>
      </c>
      <c r="BF224" s="27"/>
      <c r="BG224" s="27" t="str">
        <f ca="1">IFERROR(__xludf.DUMMYFUNCTION("""COMPUTED_VALUE"""),"Ensino Médio - Incompleto")</f>
        <v>Ensino Médio - Incompleto</v>
      </c>
      <c r="BH224" s="27"/>
      <c r="BI224" s="27"/>
      <c r="BJ224" s="27"/>
      <c r="BK224" s="27" t="str">
        <f ca="1">IFERROR(__xludf.DUMMYFUNCTION("""COMPUTED_VALUE"""),"Rua Vicente da Fontoura")</f>
        <v>Rua Vicente da Fontoura</v>
      </c>
      <c r="BL224" s="27">
        <f ca="1">IFERROR(__xludf.DUMMYFUNCTION("""COMPUTED_VALUE"""),1628)</f>
        <v>1628</v>
      </c>
      <c r="BM224" s="27">
        <f ca="1">IFERROR(__xludf.DUMMYFUNCTION("""COMPUTED_VALUE"""),402)</f>
        <v>402</v>
      </c>
      <c r="BN224" s="27" t="str">
        <f ca="1">IFERROR(__xludf.DUMMYFUNCTION("""COMPUTED_VALUE"""),"Porto Alegre")</f>
        <v>Porto Alegre</v>
      </c>
      <c r="BO224" s="27" t="str">
        <f ca="1">IFERROR(__xludf.DUMMYFUNCTION("""COMPUTED_VALUE"""),"90640-003")</f>
        <v>90640-003</v>
      </c>
      <c r="BP224" s="27" t="str">
        <f ca="1">IFERROR(__xludf.DUMMYFUNCTION("""COMPUTED_VALUE"""),"RS")</f>
        <v>RS</v>
      </c>
      <c r="BQ224" s="27" t="str">
        <f ca="1">IFERROR(__xludf.DUMMYFUNCTION("""COMPUTED_VALUE"""),"Entre 1 até 3 salários mínimos")</f>
        <v>Entre 1 até 3 salários mínimos</v>
      </c>
      <c r="BR224" s="27" t="str">
        <f ca="1">IFERROR(__xludf.DUMMYFUNCTION("""COMPUTED_VALUE"""),"CLT")</f>
        <v>CLT</v>
      </c>
      <c r="BS224" s="27"/>
      <c r="BT224" s="27">
        <f ca="1">IFERROR(__xludf.DUMMYFUNCTION("""COMPUTED_VALUE"""),3)</f>
        <v>3</v>
      </c>
      <c r="BU224" s="27"/>
      <c r="BV224" s="27"/>
      <c r="BW224" s="27"/>
      <c r="BX224" s="27"/>
      <c r="BY224" s="27"/>
    </row>
    <row r="225" spans="1:77" ht="12.5" x14ac:dyDescent="0.25">
      <c r="A225" s="21" t="str">
        <f ca="1">IFERROR(__xludf.DUMMYFUNCTION("""COMPUTED_VALUE"""),"0014X00002OEualQAD")</f>
        <v>0014X00002OEualQAD</v>
      </c>
      <c r="B225" s="27" t="str">
        <f ca="1">IFERROR(__xludf.DUMMYFUNCTION("""COMPUTED_VALUE"""),"Fase Inicial")</f>
        <v>Fase Inicial</v>
      </c>
      <c r="C225" s="27" t="str">
        <f ca="1">IFERROR(__xludf.DUMMYFUNCTION("""COMPUTED_VALUE"""),"Fellow")</f>
        <v>Fellow</v>
      </c>
      <c r="D225" s="27" t="str">
        <f ca="1">IFERROR(__xludf.DUMMYFUNCTION("""COMPUTED_VALUE"""),"Ativo")</f>
        <v>Ativo</v>
      </c>
      <c r="E225" s="27" t="str">
        <f ca="1">IFERROR(__xludf.DUMMYFUNCTION("""COMPUTED_VALUE"""),"Coletivo Ayoká")</f>
        <v>Coletivo Ayoká</v>
      </c>
      <c r="F225" s="27" t="str">
        <f ca="1">IFERROR(__xludf.DUMMYFUNCTION("""COMPUTED_VALUE"""),"Kelma")</f>
        <v>Kelma</v>
      </c>
      <c r="G225" s="27"/>
      <c r="H225" s="27" t="str">
        <f ca="1">IFERROR(__xludf.DUMMYFUNCTION("""COMPUTED_VALUE"""),"41.070.922/0001-52")</f>
        <v>41.070.922/0001-52</v>
      </c>
      <c r="I225" s="27" t="str">
        <f ca="1">IFERROR(__xludf.DUMMYFUNCTION("""COMPUTED_VALUE"""),"Mariana Kalenna Otaviano de Carvalho")</f>
        <v>Mariana Kalenna Otaviano de Carvalho</v>
      </c>
      <c r="J225" s="27" t="str">
        <f ca="1">IFERROR(__xludf.DUMMYFUNCTION("""COMPUTED_VALUE"""),"coletivoayoka@gmail.com")</f>
        <v>coletivoayoka@gmail.com</v>
      </c>
      <c r="K225" s="27" t="str">
        <f ca="1">IFERROR(__xludf.DUMMYFUNCTION("""COMPUTED_VALUE"""),"(85)98601-9965")</f>
        <v>(85)98601-9965</v>
      </c>
      <c r="L225" s="27" t="str">
        <f ca="1">IFERROR(__xludf.DUMMYFUNCTION("""COMPUTED_VALUE"""),"CE")</f>
        <v>CE</v>
      </c>
      <c r="M225" s="27" t="str">
        <f ca="1">IFERROR(__xludf.DUMMYFUNCTION("""COMPUTED_VALUE"""),"Rua Xavier da Silveira")</f>
        <v>Rua Xavier da Silveira</v>
      </c>
      <c r="N225" s="27" t="str">
        <f ca="1">IFERROR(__xludf.DUMMYFUNCTION("""COMPUTED_VALUE"""),"Granja Lisboa")</f>
        <v>Granja Lisboa</v>
      </c>
      <c r="O225" s="27">
        <f ca="1">IFERROR(__xludf.DUMMYFUNCTION("""COMPUTED_VALUE"""),4375)</f>
        <v>4375</v>
      </c>
      <c r="P225" s="27" t="str">
        <f ca="1">IFERROR(__xludf.DUMMYFUNCTION("""COMPUTED_VALUE"""),"Fortaleza")</f>
        <v>Fortaleza</v>
      </c>
      <c r="Q225" s="27" t="str">
        <f ca="1">IFERROR(__xludf.DUMMYFUNCTION("""COMPUTED_VALUE"""),"casa 1350E")</f>
        <v>casa 1350E</v>
      </c>
      <c r="R225" s="27" t="str">
        <f ca="1">IFERROR(__xludf.DUMMYFUNCTION("""COMPUTED_VALUE"""),"60540-210")</f>
        <v>60540-210</v>
      </c>
      <c r="S225" s="27"/>
      <c r="T225" s="27" t="str">
        <f ca="1">IFERROR(__xludf.DUMMYFUNCTION("""COMPUTED_VALUE"""),"Cultura; Empreendedorismo; Empoderamento Feminino; Defesa de Direitos")</f>
        <v>Cultura; Empreendedorismo; Empoderamento Feminino; Defesa de Direitos</v>
      </c>
      <c r="U225" s="27" t="str">
        <f ca="1">IFERROR(__xludf.DUMMYFUNCTION("""COMPUTED_VALUE"""),"Adolescentes (12 aos 18 anos); Jovens (18 aos 24 anos); Adultos")</f>
        <v>Adolescentes (12 aos 18 anos); Jovens (18 aos 24 anos); Adultos</v>
      </c>
      <c r="V225" s="27" t="str">
        <f ca="1">IFERROR(__xludf.DUMMYFUNCTION("""COMPUTED_VALUE"""),"Afrodescendentes")</f>
        <v>Afrodescendentes</v>
      </c>
      <c r="W225" s="27">
        <f ca="1">IFERROR(__xludf.DUMMYFUNCTION("""COMPUTED_VALUE"""),5)</f>
        <v>5</v>
      </c>
      <c r="X225" s="27" t="str">
        <f ca="1">IFERROR(__xludf.DUMMYFUNCTION("""COMPUTED_VALUE"""),"Mulheres e público joven LGBT")</f>
        <v>Mulheres e público joven LGBT</v>
      </c>
      <c r="Y225" s="27"/>
      <c r="Z225" s="27">
        <f ca="1">IFERROR(__xludf.DUMMYFUNCTION("""COMPUTED_VALUE"""),80)</f>
        <v>80</v>
      </c>
      <c r="AA225" s="29">
        <f ca="1">IFERROR(__xludf.DUMMYFUNCTION("""COMPUTED_VALUE"""),43870)</f>
        <v>43870</v>
      </c>
      <c r="AB225" s="27" t="str">
        <f ca="1">IFERROR(__xludf.DUMMYFUNCTION("""COMPUTED_VALUE"""),"Sim")</f>
        <v>Sim</v>
      </c>
      <c r="AC225" s="27">
        <f ca="1">IFERROR(__xludf.DUMMYFUNCTION("""COMPUTED_VALUE"""),2)</f>
        <v>2</v>
      </c>
      <c r="AD225" s="27">
        <f ca="1">IFERROR(__xludf.DUMMYFUNCTION("""COMPUTED_VALUE"""),2)</f>
        <v>2</v>
      </c>
      <c r="AE225" s="27">
        <f ca="1">IFERROR(__xludf.DUMMYFUNCTION("""COMPUTED_VALUE"""),8)</f>
        <v>8</v>
      </c>
      <c r="AF225" s="27">
        <f ca="1">IFERROR(__xludf.DUMMYFUNCTION("""COMPUTED_VALUE"""),4)</f>
        <v>4</v>
      </c>
      <c r="AG225" s="27">
        <f ca="1">IFERROR(__xludf.DUMMYFUNCTION("""COMPUTED_VALUE"""),3)</f>
        <v>3</v>
      </c>
      <c r="AH225" s="27" t="str">
        <f ca="1">IFERROR(__xludf.DUMMYFUNCTION("""COMPUTED_VALUE"""),"Editais; Doações; Recursos próprios")</f>
        <v>Editais; Doações; Recursos próprios</v>
      </c>
      <c r="AI225" s="27" t="str">
        <f ca="1">IFERROR(__xludf.DUMMYFUNCTION("""COMPUTED_VALUE"""),"80% editais, 15% recursos próprios e 5% doações")</f>
        <v>80% editais, 15% recursos próprios e 5% doações</v>
      </c>
      <c r="AJ225" s="27"/>
      <c r="AK225" s="27"/>
      <c r="AL225" s="21" t="str">
        <f ca="1">IFERROR(__xludf.DUMMYFUNCTION("""COMPUTED_VALUE"""),"0034X0000315PQu")</f>
        <v>0034X0000315PQu</v>
      </c>
      <c r="AM225" s="27" t="str">
        <f ca="1">IFERROR(__xludf.DUMMYFUNCTION("""COMPUTED_VALUE"""),"Luzia Nunes Otaviano")</f>
        <v>Luzia Nunes Otaviano</v>
      </c>
      <c r="AN225" s="27" t="str">
        <f ca="1">IFERROR(__xludf.DUMMYFUNCTION("""COMPUTED_VALUE"""),"Ativo")</f>
        <v>Ativo</v>
      </c>
      <c r="AO225" s="30">
        <f ca="1">IFERROR(__xludf.DUMMYFUNCTION("""COMPUTED_VALUE"""),44551)</f>
        <v>44551</v>
      </c>
      <c r="AP225" s="27">
        <f ca="1">IFERROR(__xludf.DUMMYFUNCTION("""COMPUTED_VALUE"""),9)</f>
        <v>9</v>
      </c>
      <c r="AQ225" s="27" t="str">
        <f ca="1">IFERROR(__xludf.DUMMYFUNCTION("""COMPUTED_VALUE"""),"Segundo Semestre 2021")</f>
        <v>Segundo Semestre 2021</v>
      </c>
      <c r="AR225" s="27" t="str">
        <f ca="1">IFERROR(__xludf.DUMMYFUNCTION("""COMPUTED_VALUE"""),"kelmanunes@gmail.com")</f>
        <v>kelmanunes@gmail.com</v>
      </c>
      <c r="AS225" s="27" t="str">
        <f ca="1">IFERROR(__xludf.DUMMYFUNCTION("""COMPUTED_VALUE"""),"(85)98601-9965")</f>
        <v>(85)98601-9965</v>
      </c>
      <c r="AT225" s="29">
        <f ca="1">IFERROR(__xludf.DUMMYFUNCTION("""COMPUTED_VALUE"""),25766)</f>
        <v>25766</v>
      </c>
      <c r="AU225" s="27">
        <f ca="1">IFERROR(__xludf.DUMMYFUNCTION("""COMPUTED_VALUE"""),52)</f>
        <v>52</v>
      </c>
      <c r="AV225" s="27">
        <f ca="1">IFERROR(__xludf.DUMMYFUNCTION("""COMPUTED_VALUE"""),49621718368)</f>
        <v>49621718368</v>
      </c>
      <c r="AW225" s="27">
        <f ca="1">IFERROR(__xludf.DUMMYFUNCTION("""COMPUTED_VALUE"""),8910002008260)</f>
        <v>8910002008260</v>
      </c>
      <c r="AX225" s="27"/>
      <c r="AY225" s="27"/>
      <c r="AZ225" s="27" t="str">
        <f ca="1">IFERROR(__xludf.DUMMYFUNCTION("""COMPUTED_VALUE"""),"M")</f>
        <v>M</v>
      </c>
      <c r="BA225" s="27" t="str">
        <f ca="1">IFERROR(__xludf.DUMMYFUNCTION("""COMPUTED_VALUE"""),"Preta")</f>
        <v>Preta</v>
      </c>
      <c r="BB225" s="27" t="str">
        <f ca="1">IFERROR(__xludf.DUMMYFUNCTION("""COMPUTED_VALUE"""),"Mulher, cisgênero")</f>
        <v>Mulher, cisgênero</v>
      </c>
      <c r="BC225" s="27" t="str">
        <f ca="1">IFERROR(__xludf.DUMMYFUNCTION("""COMPUTED_VALUE"""),"Não")</f>
        <v>Não</v>
      </c>
      <c r="BD225" s="27" t="str">
        <f ca="1">IFERROR(__xludf.DUMMYFUNCTION("""COMPUTED_VALUE"""),"Sou uma mulher negra, de candomblé, de Fortaleza, assistente social, a primeira formada de minha família, mãe, avó e militante contra a desigualdade racial no Brasil.")</f>
        <v>Sou uma mulher negra, de candomblé, de Fortaleza, assistente social, a primeira formada de minha família, mãe, avó e militante contra a desigualdade racial no Brasil.</v>
      </c>
      <c r="BE225" s="27"/>
      <c r="BF225" s="27" t="str">
        <f ca="1">IFERROR(__xludf.DUMMYFUNCTION("""COMPUTED_VALUE"""),"Heterossexual")</f>
        <v>Heterossexual</v>
      </c>
      <c r="BG225" s="27" t="str">
        <f ca="1">IFERROR(__xludf.DUMMYFUNCTION("""COMPUTED_VALUE"""),"Ensino Superior - Completo")</f>
        <v>Ensino Superior - Completo</v>
      </c>
      <c r="BH225" s="27"/>
      <c r="BI225" s="27" t="str">
        <f ca="1">IFERROR(__xludf.DUMMYFUNCTION("""COMPUTED_VALUE"""),"Mestrado")</f>
        <v>Mestrado</v>
      </c>
      <c r="BJ225" s="27" t="str">
        <f ca="1">IFERROR(__xludf.DUMMYFUNCTION("""COMPUTED_VALUE"""),"Público")</f>
        <v>Público</v>
      </c>
      <c r="BK225" s="27" t="str">
        <f ca="1">IFERROR(__xludf.DUMMYFUNCTION("""COMPUTED_VALUE"""),"Rua Cônego Lima Sucupira")</f>
        <v>Rua Cônego Lima Sucupira</v>
      </c>
      <c r="BL225" s="27">
        <f ca="1">IFERROR(__xludf.DUMMYFUNCTION("""COMPUTED_VALUE"""),2363)</f>
        <v>2363</v>
      </c>
      <c r="BM225" s="27"/>
      <c r="BN225" s="27" t="str">
        <f ca="1">IFERROR(__xludf.DUMMYFUNCTION("""COMPUTED_VALUE"""),"Fortaleza")</f>
        <v>Fortaleza</v>
      </c>
      <c r="BO225" s="27" t="str">
        <f ca="1">IFERROR(__xludf.DUMMYFUNCTION("""COMPUTED_VALUE"""),"60740-355")</f>
        <v>60740-355</v>
      </c>
      <c r="BP225" s="27" t="str">
        <f ca="1">IFERROR(__xludf.DUMMYFUNCTION("""COMPUTED_VALUE"""),"CE")</f>
        <v>CE</v>
      </c>
      <c r="BQ225" s="27" t="str">
        <f ca="1">IFERROR(__xludf.DUMMYFUNCTION("""COMPUTED_VALUE"""),"Entre 1 até 3 salários mínimos")</f>
        <v>Entre 1 até 3 salários mínimos</v>
      </c>
      <c r="BR225" s="27" t="str">
        <f ca="1">IFERROR(__xludf.DUMMYFUNCTION("""COMPUTED_VALUE"""),"Funcionário Público")</f>
        <v>Funcionário Público</v>
      </c>
      <c r="BS225" s="27" t="str">
        <f ca="1">IFERROR(__xludf.DUMMYFUNCTION("""COMPUTED_VALUE"""),"Aluguel")</f>
        <v>Aluguel</v>
      </c>
      <c r="BT225" s="27">
        <f ca="1">IFERROR(__xludf.DUMMYFUNCTION("""COMPUTED_VALUE"""),3)</f>
        <v>3</v>
      </c>
      <c r="BU225" s="27"/>
      <c r="BV225" s="27"/>
      <c r="BW225" s="27"/>
      <c r="BX225" s="27" t="str">
        <f ca="1">IFERROR(__xludf.DUMMYFUNCTION("""COMPUTED_VALUE"""),"@kelmadeyemanja")</f>
        <v>@kelmadeyemanja</v>
      </c>
      <c r="BY225" s="21" t="str">
        <f ca="1">IFERROR(__xludf.DUMMYFUNCTION("""COMPUTED_VALUE"""),"https://drive.google.com/open?id=1ZV3tSYZXLiikdDubztho0RJYO8IIoi24")</f>
        <v>https://drive.google.com/open?id=1ZV3tSYZXLiikdDubztho0RJYO8IIoi24</v>
      </c>
    </row>
    <row r="226" spans="1:77" ht="12.5" hidden="1" x14ac:dyDescent="0.25">
      <c r="A226" s="21" t="str">
        <f ca="1">IFERROR(__xludf.DUMMYFUNCTION("""COMPUTED_VALUE"""),"0014P00003YSp8wQAD")</f>
        <v>0014P00003YSp8wQAD</v>
      </c>
      <c r="B226" s="27" t="str">
        <f ca="1">IFERROR(__xludf.DUMMYFUNCTION("""COMPUTED_VALUE"""),"Fase Inicial")</f>
        <v>Fase Inicial</v>
      </c>
      <c r="C226" s="27" t="str">
        <f ca="1">IFERROR(__xludf.DUMMYFUNCTION("""COMPUTED_VALUE"""),"Fellow")</f>
        <v>Fellow</v>
      </c>
      <c r="D226" s="27" t="str">
        <f ca="1">IFERROR(__xludf.DUMMYFUNCTION("""COMPUTED_VALUE"""),"Ativo")</f>
        <v>Ativo</v>
      </c>
      <c r="E226" s="27" t="str">
        <f ca="1">IFERROR(__xludf.DUMMYFUNCTION("""COMPUTED_VALUE"""),"Coletivo Caranguejo Tabaiares Resiste")</f>
        <v>Coletivo Caranguejo Tabaiares Resiste</v>
      </c>
      <c r="F226" s="27" t="str">
        <f ca="1">IFERROR(__xludf.DUMMYFUNCTION("""COMPUTED_VALUE"""),"Sarah")</f>
        <v>Sarah</v>
      </c>
      <c r="G226" s="27"/>
      <c r="H226" s="27"/>
      <c r="I226" s="27" t="str">
        <f ca="1">IFERROR(__xludf.DUMMYFUNCTION("""COMPUTED_VALUE"""),"Sarah 4")</f>
        <v>Sarah 4</v>
      </c>
      <c r="J226" s="27" t="str">
        <f ca="1">IFERROR(__xludf.DUMMYFUNCTION("""COMPUTED_VALUE"""),"caranguejotabaiaresresiste@gmail.com")</f>
        <v>caranguejotabaiaresresiste@gmail.com</v>
      </c>
      <c r="K226" s="27" t="str">
        <f ca="1">IFERROR(__xludf.DUMMYFUNCTION("""COMPUTED_VALUE"""),"(81)98702-2672")</f>
        <v>(81)98702-2672</v>
      </c>
      <c r="L226" s="27" t="str">
        <f ca="1">IFERROR(__xludf.DUMMYFUNCTION("""COMPUTED_VALUE"""),"PE")</f>
        <v>PE</v>
      </c>
      <c r="M226" s="27" t="str">
        <f ca="1">IFERROR(__xludf.DUMMYFUNCTION("""COMPUTED_VALUE"""),"Rua Vila canal")</f>
        <v>Rua Vila canal</v>
      </c>
      <c r="N226" s="27" t="str">
        <f ca="1">IFERROR(__xludf.DUMMYFUNCTION("""COMPUTED_VALUE"""),"Ilha do Retiro")</f>
        <v>Ilha do Retiro</v>
      </c>
      <c r="O226" s="27">
        <f ca="1">IFERROR(__xludf.DUMMYFUNCTION("""COMPUTED_VALUE"""),14)</f>
        <v>14</v>
      </c>
      <c r="P226" s="27" t="str">
        <f ca="1">IFERROR(__xludf.DUMMYFUNCTION("""COMPUTED_VALUE"""),"Recife")</f>
        <v>Recife</v>
      </c>
      <c r="Q226" s="27"/>
      <c r="R226" s="27" t="str">
        <f ca="1">IFERROR(__xludf.DUMMYFUNCTION("""COMPUTED_VALUE"""),"50750-280")</f>
        <v>50750-280</v>
      </c>
      <c r="S226" s="27"/>
      <c r="T226" s="27" t="str">
        <f ca="1">IFERROR(__xludf.DUMMYFUNCTION("""COMPUTED_VALUE"""),"Desenvolvimento comunitário")</f>
        <v>Desenvolvimento comunitário</v>
      </c>
      <c r="U226" s="27" t="str">
        <f ca="1">IFERROR(__xludf.DUMMYFUNCTION("""COMPUTED_VALUE"""),"Adultos")</f>
        <v>Adultos</v>
      </c>
      <c r="V226" s="27" t="str">
        <f ca="1">IFERROR(__xludf.DUMMYFUNCTION("""COMPUTED_VALUE"""),"Moradores de Favelas; População LGBTQ+; Quilombola; Afrodescendentes; Dependentes Químicos; Ribeirinhos")</f>
        <v>Moradores de Favelas; População LGBTQ+; Quilombola; Afrodescendentes; Dependentes Químicos; Ribeirinhos</v>
      </c>
      <c r="W226" s="27">
        <f ca="1">IFERROR(__xludf.DUMMYFUNCTION("""COMPUTED_VALUE"""),4)</f>
        <v>4</v>
      </c>
      <c r="X226" s="27" t="str">
        <f ca="1">IFERROR(__xludf.DUMMYFUNCTION("""COMPUTED_VALUE"""),"Trabalhamos com as famílias completas")</f>
        <v>Trabalhamos com as famílias completas</v>
      </c>
      <c r="Y226" s="27"/>
      <c r="Z226" s="27">
        <f ca="1">IFERROR(__xludf.DUMMYFUNCTION("""COMPUTED_VALUE"""),5000)</f>
        <v>5000</v>
      </c>
      <c r="AA226" s="29">
        <f ca="1">IFERROR(__xludf.DUMMYFUNCTION("""COMPUTED_VALUE"""),43266)</f>
        <v>43266</v>
      </c>
      <c r="AB226" s="27" t="str">
        <f ca="1">IFERROR(__xludf.DUMMYFUNCTION("""COMPUTED_VALUE"""),"Não")</f>
        <v>Não</v>
      </c>
      <c r="AC226" s="27">
        <f ca="1">IFERROR(__xludf.DUMMYFUNCTION("""COMPUTED_VALUE"""),8)</f>
        <v>8</v>
      </c>
      <c r="AD226" s="27">
        <f ca="1">IFERROR(__xludf.DUMMYFUNCTION("""COMPUTED_VALUE"""),6)</f>
        <v>6</v>
      </c>
      <c r="AE226" s="27">
        <f ca="1">IFERROR(__xludf.DUMMYFUNCTION("""COMPUTED_VALUE"""),10)</f>
        <v>10</v>
      </c>
      <c r="AF226" s="27">
        <f ca="1">IFERROR(__xludf.DUMMYFUNCTION("""COMPUTED_VALUE"""),4)</f>
        <v>4</v>
      </c>
      <c r="AG226" s="27">
        <f ca="1">IFERROR(__xludf.DUMMYFUNCTION("""COMPUTED_VALUE"""),2)</f>
        <v>2</v>
      </c>
      <c r="AH226" s="27" t="str">
        <f ca="1">IFERROR(__xludf.DUMMYFUNCTION("""COMPUTED_VALUE"""),"Negócio Social")</f>
        <v>Negócio Social</v>
      </c>
      <c r="AI226" s="27" t="str">
        <f ca="1">IFERROR(__xludf.DUMMYFUNCTION("""COMPUTED_VALUE"""),"Nao")</f>
        <v>Nao</v>
      </c>
      <c r="AJ226" s="27"/>
      <c r="AK226" s="27"/>
      <c r="AL226" s="21" t="str">
        <f ca="1">IFERROR(__xludf.DUMMYFUNCTION("""COMPUTED_VALUE"""),"0034P000045kxjY")</f>
        <v>0034P000045kxjY</v>
      </c>
      <c r="AM226" s="27" t="str">
        <f ca="1">IFERROR(__xludf.DUMMYFUNCTION("""COMPUTED_VALUE"""),"Marques")</f>
        <v>Marques</v>
      </c>
      <c r="AN226" s="27" t="str">
        <f ca="1">IFERROR(__xludf.DUMMYFUNCTION("""COMPUTED_VALUE"""),"Ativo")</f>
        <v>Ativo</v>
      </c>
      <c r="AO226" s="30">
        <f ca="1">IFERROR(__xludf.DUMMYFUNCTION("""COMPUTED_VALUE"""),44551)</f>
        <v>44551</v>
      </c>
      <c r="AP226" s="27">
        <f ca="1">IFERROR(__xludf.DUMMYFUNCTION("""COMPUTED_VALUE"""),9)</f>
        <v>9</v>
      </c>
      <c r="AQ226" s="27" t="str">
        <f ca="1">IFERROR(__xludf.DUMMYFUNCTION("""COMPUTED_VALUE"""),"Segundo Semestre 2021")</f>
        <v>Segundo Semestre 2021</v>
      </c>
      <c r="AR226" s="27" t="str">
        <f ca="1">IFERROR(__xludf.DUMMYFUNCTION("""COMPUTED_VALUE"""),"sarahmarquesnascimento727@gmail.com")</f>
        <v>sarahmarquesnascimento727@gmail.com</v>
      </c>
      <c r="AS226" s="27" t="str">
        <f ca="1">IFERROR(__xludf.DUMMYFUNCTION("""COMPUTED_VALUE"""),"(81)98702-2672")</f>
        <v>(81)98702-2672</v>
      </c>
      <c r="AT226" s="29">
        <f ca="1">IFERROR(__xludf.DUMMYFUNCTION("""COMPUTED_VALUE"""),29632)</f>
        <v>29632</v>
      </c>
      <c r="AU226" s="27">
        <f ca="1">IFERROR(__xludf.DUMMYFUNCTION("""COMPUTED_VALUE"""),41)</f>
        <v>41</v>
      </c>
      <c r="AV226" s="27">
        <f ca="1">IFERROR(__xludf.DUMMYFUNCTION("""COMPUTED_VALUE"""),3234360480)</f>
        <v>3234360480</v>
      </c>
      <c r="AW226" s="27">
        <f ca="1">IFERROR(__xludf.DUMMYFUNCTION("""COMPUTED_VALUE"""),5587340)</f>
        <v>5587340</v>
      </c>
      <c r="AX226" s="27"/>
      <c r="AY226" s="27"/>
      <c r="AZ226" s="27" t="str">
        <f ca="1">IFERROR(__xludf.DUMMYFUNCTION("""COMPUTED_VALUE"""),"XG")</f>
        <v>XG</v>
      </c>
      <c r="BA226" s="27" t="str">
        <f ca="1">IFERROR(__xludf.DUMMYFUNCTION("""COMPUTED_VALUE"""),"Preta")</f>
        <v>Preta</v>
      </c>
      <c r="BB226" s="27" t="str">
        <f ca="1">IFERROR(__xludf.DUMMYFUNCTION("""COMPUTED_VALUE"""),"Mulher, cisgênero")</f>
        <v>Mulher, cisgênero</v>
      </c>
      <c r="BC226" s="27" t="str">
        <f ca="1">IFERROR(__xludf.DUMMYFUNCTION("""COMPUTED_VALUE"""),"Sim")</f>
        <v>Sim</v>
      </c>
      <c r="BD226" s="27" t="str">
        <f ca="1">IFERROR(__xludf.DUMMYFUNCTION("""COMPUTED_VALUE"""),"Sarah Marques, mulher negra com mais de 15 anos de militância em defesa do território, cria da comunidade Caranguejo Tabaiares, aprendeu com seu pai, liderança comunitária desde criança a lutar em defesa da sua comunidade. 
Há quatro anos fundou junto com"&amp;" outros moradores, o Coletivo Caranguejo Tabaiares Resiste, enfrentando a Prefeitura da cidade e as grandes empreiteiras, conseguindo garantir que várias famílias não fossem despejadas das suas casas.")</f>
        <v>Sarah Marques, mulher negra com mais de 15 anos de militância em defesa do território, cria da comunidade Caranguejo Tabaiares, aprendeu com seu pai, liderança comunitária desde criança a lutar em defesa da sua comunidade. 
Há quatro anos fundou junto com outros moradores, o Coletivo Caranguejo Tabaiares Resiste, enfrentando a Prefeitura da cidade e as grandes empreiteiras, conseguindo garantir que várias famílias não fossem despejadas das suas casas.</v>
      </c>
      <c r="BE226" s="27"/>
      <c r="BF226" s="27" t="str">
        <f ca="1">IFERROR(__xludf.DUMMYFUNCTION("""COMPUTED_VALUE"""),"Bissexual")</f>
        <v>Bissexual</v>
      </c>
      <c r="BG226" s="27" t="str">
        <f ca="1">IFERROR(__xludf.DUMMYFUNCTION("""COMPUTED_VALUE"""),"Ensino Superior - Incompleto")</f>
        <v>Ensino Superior - Incompleto</v>
      </c>
      <c r="BH226" s="27" t="str">
        <f ca="1">IFERROR(__xludf.DUMMYFUNCTION("""COMPUTED_VALUE"""),"Público")</f>
        <v>Público</v>
      </c>
      <c r="BI226" s="27"/>
      <c r="BJ226" s="27" t="str">
        <f ca="1">IFERROR(__xludf.DUMMYFUNCTION("""COMPUTED_VALUE"""),"Privado")</f>
        <v>Privado</v>
      </c>
      <c r="BK226" s="27" t="str">
        <f ca="1">IFERROR(__xludf.DUMMYFUNCTION("""COMPUTED_VALUE"""),"Rua Felipe Moura")</f>
        <v>Rua Felipe Moura</v>
      </c>
      <c r="BL226" s="27">
        <f ca="1">IFERROR(__xludf.DUMMYFUNCTION("""COMPUTED_VALUE"""),14)</f>
        <v>14</v>
      </c>
      <c r="BM226" s="27"/>
      <c r="BN226" s="27" t="str">
        <f ca="1">IFERROR(__xludf.DUMMYFUNCTION("""COMPUTED_VALUE"""),"Recife")</f>
        <v>Recife</v>
      </c>
      <c r="BO226" s="27" t="str">
        <f ca="1">IFERROR(__xludf.DUMMYFUNCTION("""COMPUTED_VALUE"""),"50750-280")</f>
        <v>50750-280</v>
      </c>
      <c r="BP226" s="27" t="str">
        <f ca="1">IFERROR(__xludf.DUMMYFUNCTION("""COMPUTED_VALUE"""),"PE")</f>
        <v>PE</v>
      </c>
      <c r="BQ226" s="27" t="str">
        <f ca="1">IFERROR(__xludf.DUMMYFUNCTION("""COMPUTED_VALUE"""),"Entre 1 até 3 salários mínimos")</f>
        <v>Entre 1 até 3 salários mínimos</v>
      </c>
      <c r="BR226" s="27" t="str">
        <f ca="1">IFERROR(__xludf.DUMMYFUNCTION("""COMPUTED_VALUE"""),"MEI")</f>
        <v>MEI</v>
      </c>
      <c r="BS226" s="27" t="str">
        <f ca="1">IFERROR(__xludf.DUMMYFUNCTION("""COMPUTED_VALUE"""),"Ocupação/Invasão")</f>
        <v>Ocupação/Invasão</v>
      </c>
      <c r="BT226" s="27">
        <f ca="1">IFERROR(__xludf.DUMMYFUNCTION("""COMPUTED_VALUE"""),3)</f>
        <v>3</v>
      </c>
      <c r="BU226" s="27" t="str">
        <f ca="1">IFERROR(__xludf.DUMMYFUNCTION("""COMPUTED_VALUE"""),"Ansiedade")</f>
        <v>Ansiedade</v>
      </c>
      <c r="BV226" s="27"/>
      <c r="BW226" s="27"/>
      <c r="BX226" s="27" t="str">
        <f ca="1">IFERROR(__xludf.DUMMYFUNCTION("""COMPUTED_VALUE"""),"@sarah_marques10")</f>
        <v>@sarah_marques10</v>
      </c>
      <c r="BY226" s="21" t="str">
        <f ca="1">IFERROR(__xludf.DUMMYFUNCTION("""COMPUTED_VALUE"""),"https://drive.google.com/open?id=1amuHR4WwW8X01en8zblNGrBzpzCUyuQh")</f>
        <v>https://drive.google.com/open?id=1amuHR4WwW8X01en8zblNGrBzpzCUyuQh</v>
      </c>
    </row>
    <row r="227" spans="1:77" ht="12.5" x14ac:dyDescent="0.25">
      <c r="A227" s="21" t="str">
        <f ca="1">IFERROR(__xludf.DUMMYFUNCTION("""COMPUTED_VALUE"""),"0014X00002VKCqeQAH")</f>
        <v>0014X00002VKCqeQAH</v>
      </c>
      <c r="B227" s="27" t="str">
        <f ca="1">IFERROR(__xludf.DUMMYFUNCTION("""COMPUTED_VALUE"""),"Fase Inicial")</f>
        <v>Fase Inicial</v>
      </c>
      <c r="C227" s="27" t="str">
        <f ca="1">IFERROR(__xludf.DUMMYFUNCTION("""COMPUTED_VALUE"""),"Fellow")</f>
        <v>Fellow</v>
      </c>
      <c r="D227" s="27" t="str">
        <f ca="1">IFERROR(__xludf.DUMMYFUNCTION("""COMPUTED_VALUE"""),"Ativo")</f>
        <v>Ativo</v>
      </c>
      <c r="E227" s="27" t="str">
        <f ca="1">IFERROR(__xludf.DUMMYFUNCTION("""COMPUTED_VALUE"""),"Coletivo Cultural e social Sol Nascente")</f>
        <v>Coletivo Cultural e social Sol Nascente</v>
      </c>
      <c r="F227" s="27" t="str">
        <f ca="1">IFERROR(__xludf.DUMMYFUNCTION("""COMPUTED_VALUE"""),"Debora")</f>
        <v>Debora</v>
      </c>
      <c r="G227" s="27" t="str">
        <f ca="1">IFERROR(__xludf.DUMMYFUNCTION("""COMPUTED_VALUE"""),"COLETIVO SOL NASCENTE")</f>
        <v>COLETIVO SOL NASCENTE</v>
      </c>
      <c r="H227" s="27"/>
      <c r="I227" s="27" t="str">
        <f ca="1">IFERROR(__xludf.DUMMYFUNCTION("""COMPUTED_VALUE"""),"Paulo Sérgio de Souza")</f>
        <v>Paulo Sérgio de Souza</v>
      </c>
      <c r="J227" s="27" t="str">
        <f ca="1">IFERROR(__xludf.DUMMYFUNCTION("""COMPUTED_VALUE"""),"cdebora.alencar@gmail.com")</f>
        <v>cdebora.alencar@gmail.com</v>
      </c>
      <c r="K227" s="27" t="str">
        <f ca="1">IFERROR(__xludf.DUMMYFUNCTION("""COMPUTED_VALUE"""),"(61)3379-4355")</f>
        <v>(61)3379-4355</v>
      </c>
      <c r="L227" s="27" t="str">
        <f ca="1">IFERROR(__xludf.DUMMYFUNCTION("""COMPUTED_VALUE"""),"DF")</f>
        <v>DF</v>
      </c>
      <c r="M227" s="27" t="str">
        <f ca="1">IFERROR(__xludf.DUMMYFUNCTION("""COMPUTED_VALUE"""),"SHSN 16 QUADRA 2 CONJUNTO A CASA 31")</f>
        <v>SHSN 16 QUADRA 2 CONJUNTO A CASA 31</v>
      </c>
      <c r="N227" s="27" t="str">
        <f ca="1">IFERROR(__xludf.DUMMYFUNCTION("""COMPUTED_VALUE"""),"SOL NASCENTE")</f>
        <v>SOL NASCENTE</v>
      </c>
      <c r="O227" s="27">
        <f ca="1">IFERROR(__xludf.DUMMYFUNCTION("""COMPUTED_VALUE"""),31)</f>
        <v>31</v>
      </c>
      <c r="P227" s="27" t="str">
        <f ca="1">IFERROR(__xludf.DUMMYFUNCTION("""COMPUTED_VALUE"""),"CEILÂNDIA")</f>
        <v>CEILÂNDIA</v>
      </c>
      <c r="Q227" s="27" t="str">
        <f ca="1">IFERROR(__xludf.DUMMYFUNCTION("""COMPUTED_VALUE"""),"CONDOMÍNIO VENCEDOR")</f>
        <v>CONDOMÍNIO VENCEDOR</v>
      </c>
      <c r="R227" s="27" t="str">
        <f ca="1">IFERROR(__xludf.DUMMYFUNCTION("""COMPUTED_VALUE"""),"72236-800")</f>
        <v>72236-800</v>
      </c>
      <c r="S227" s="27" t="str">
        <f ca="1">IFERROR(__xludf.DUMMYFUNCTION("""COMPUTED_VALUE"""),"sim quadra da 75")</f>
        <v>sim quadra da 75</v>
      </c>
      <c r="T227" s="27"/>
      <c r="U227"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227" s="27" t="str">
        <f ca="1">IFERROR(__xludf.DUMMYFUNCTION("""COMPUTED_VALUE"""),"Moradores de Favelas, População LGBTQ+, Outros")</f>
        <v>Moradores de Favelas, População LGBTQ+, Outros</v>
      </c>
      <c r="W227" s="27">
        <f ca="1">IFERROR(__xludf.DUMMYFUNCTION("""COMPUTED_VALUE"""),0)</f>
        <v>0</v>
      </c>
      <c r="X227" s="27" t="str">
        <f ca="1">IFERROR(__xludf.DUMMYFUNCTION("""COMPUTED_VALUE"""),"artista* familia de artistas* comunidade em vulnerabilidade social")</f>
        <v>artista* familia de artistas* comunidade em vulnerabilidade social</v>
      </c>
      <c r="Y227" s="27"/>
      <c r="Z227" s="27">
        <f ca="1">IFERROR(__xludf.DUMMYFUNCTION("""COMPUTED_VALUE"""),750)</f>
        <v>750</v>
      </c>
      <c r="AA227" s="29">
        <f ca="1">IFERROR(__xludf.DUMMYFUNCTION("""COMPUTED_VALUE"""),42078)</f>
        <v>42078</v>
      </c>
      <c r="AB227" s="27" t="str">
        <f ca="1">IFERROR(__xludf.DUMMYFUNCTION("""COMPUTED_VALUE"""),"Não")</f>
        <v>Não</v>
      </c>
      <c r="AC227" s="27">
        <f ca="1">IFERROR(__xludf.DUMMYFUNCTION("""COMPUTED_VALUE"""),0)</f>
        <v>0</v>
      </c>
      <c r="AD227" s="27">
        <f ca="1">IFERROR(__xludf.DUMMYFUNCTION("""COMPUTED_VALUE"""),10)</f>
        <v>10</v>
      </c>
      <c r="AE227" s="27">
        <f ca="1">IFERROR(__xludf.DUMMYFUNCTION("""COMPUTED_VALUE"""),25)</f>
        <v>25</v>
      </c>
      <c r="AF227" s="27">
        <f ca="1">IFERROR(__xludf.DUMMYFUNCTION("""COMPUTED_VALUE"""),10)</f>
        <v>10</v>
      </c>
      <c r="AG227" s="27">
        <f ca="1">IFERROR(__xludf.DUMMYFUNCTION("""COMPUTED_VALUE"""),3)</f>
        <v>3</v>
      </c>
      <c r="AH227" s="27" t="str">
        <f ca="1">IFERROR(__xludf.DUMMYFUNCTION("""COMPUTED_VALUE"""),"Eventos/Ações para captação, Doações, Recursos próprios")</f>
        <v>Eventos/Ações para captação, Doações, Recursos próprios</v>
      </c>
      <c r="AI227" s="27" t="str">
        <f ca="1">IFERROR(__xludf.DUMMYFUNCTION("""COMPUTED_VALUE"""),"RECURSOS PRÓPRIOS 70 % EVENTOS E DOAÇÕES 30")</f>
        <v>RECURSOS PRÓPRIOS 70 % EVENTOS E DOAÇÕES 30</v>
      </c>
      <c r="AJ227" s="27" t="str">
        <f ca="1">IFERROR(__xludf.DUMMYFUNCTION("""COMPUTED_VALUE"""),"Vamos iniciar esse ano")</f>
        <v>Vamos iniciar esse ano</v>
      </c>
      <c r="AK227" s="27"/>
      <c r="AL227" s="21" t="str">
        <f ca="1">IFERROR(__xludf.DUMMYFUNCTION("""COMPUTED_VALUE"""),"0034X0000380O6Y")</f>
        <v>0034X0000380O6Y</v>
      </c>
      <c r="AM227" s="27" t="str">
        <f ca="1">IFERROR(__xludf.DUMMYFUNCTION("""COMPUTED_VALUE"""),"Regina da conceição de alencar")</f>
        <v>Regina da conceição de alencar</v>
      </c>
      <c r="AN227" s="27" t="str">
        <f ca="1">IFERROR(__xludf.DUMMYFUNCTION("""COMPUTED_VALUE"""),"Ativo")</f>
        <v>Ativo</v>
      </c>
      <c r="AO227" s="30">
        <f ca="1">IFERROR(__xludf.DUMMYFUNCTION("""COMPUTED_VALUE"""),44763)</f>
        <v>44763</v>
      </c>
      <c r="AP227" s="27">
        <f ca="1">IFERROR(__xludf.DUMMYFUNCTION("""COMPUTED_VALUE"""),2)</f>
        <v>2</v>
      </c>
      <c r="AQ227" s="27" t="str">
        <f ca="1">IFERROR(__xludf.DUMMYFUNCTION("""COMPUTED_VALUE"""),"Primeiro Semestre 2022")</f>
        <v>Primeiro Semestre 2022</v>
      </c>
      <c r="AR227" s="27" t="str">
        <f ca="1">IFERROR(__xludf.DUMMYFUNCTION("""COMPUTED_VALUE"""),"cdebora.alencar@gmail.com")</f>
        <v>cdebora.alencar@gmail.com</v>
      </c>
      <c r="AS227" s="27" t="str">
        <f ca="1">IFERROR(__xludf.DUMMYFUNCTION("""COMPUTED_VALUE"""),"61 992924392")</f>
        <v>61 992924392</v>
      </c>
      <c r="AT227" s="29">
        <f ca="1">IFERROR(__xludf.DUMMYFUNCTION("""COMPUTED_VALUE"""),30422)</f>
        <v>30422</v>
      </c>
      <c r="AU227" s="27">
        <f ca="1">IFERROR(__xludf.DUMMYFUNCTION("""COMPUTED_VALUE"""),39)</f>
        <v>39</v>
      </c>
      <c r="AV227" s="35">
        <f ca="1">IFERROR(__xludf.DUMMYFUNCTION("""COMPUTED_VALUE"""),72219866149)</f>
        <v>72219866149</v>
      </c>
      <c r="AW227" s="27">
        <f ca="1">IFERROR(__xludf.DUMMYFUNCTION("""COMPUTED_VALUE"""),2059936)</f>
        <v>2059936</v>
      </c>
      <c r="AX227" s="27"/>
      <c r="AY227" s="27"/>
      <c r="AZ227" s="27" t="str">
        <f ca="1">IFERROR(__xludf.DUMMYFUNCTION("""COMPUTED_VALUE"""),"M")</f>
        <v>M</v>
      </c>
      <c r="BA227" s="27" t="str">
        <f ca="1">IFERROR(__xludf.DUMMYFUNCTION("""COMPUTED_VALUE"""),"Parda")</f>
        <v>Parda</v>
      </c>
      <c r="BB227" s="27"/>
      <c r="BC227" s="27"/>
      <c r="BD227" s="27" t="str">
        <f ca="1">IFERROR(__xludf.DUMMYFUNCTION("""COMPUTED_VALUE"""),"Agente cultural e social* produtora de eventos* cantora Rap e funk.")</f>
        <v>Agente cultural e social* produtora de eventos* cantora Rap e funk.</v>
      </c>
      <c r="BE227" s="27" t="str">
        <f ca="1">IFERROR(__xludf.DUMMYFUNCTION("""COMPUTED_VALUE"""),"Feminino")</f>
        <v>Feminino</v>
      </c>
      <c r="BF227" s="27" t="str">
        <f ca="1">IFERROR(__xludf.DUMMYFUNCTION("""COMPUTED_VALUE"""),"Heterossexual")</f>
        <v>Heterossexual</v>
      </c>
      <c r="BG227" s="27"/>
      <c r="BH227" s="27" t="str">
        <f ca="1">IFERROR(__xludf.DUMMYFUNCTION("""COMPUTED_VALUE"""),"Público")</f>
        <v>Público</v>
      </c>
      <c r="BI227" s="27" t="str">
        <f ca="1">IFERROR(__xludf.DUMMYFUNCTION("""COMPUTED_VALUE"""),"Graduação")</f>
        <v>Graduação</v>
      </c>
      <c r="BJ227" s="27" t="str">
        <f ca="1">IFERROR(__xludf.DUMMYFUNCTION("""COMPUTED_VALUE"""),"Público")</f>
        <v>Público</v>
      </c>
      <c r="BK227" s="27" t="str">
        <f ca="1">IFERROR(__xludf.DUMMYFUNCTION("""COMPUTED_VALUE"""),"Shsn 16 quadra 2 conjunto a casa 31")</f>
        <v>Shsn 16 quadra 2 conjunto a casa 31</v>
      </c>
      <c r="BL227" s="27">
        <f ca="1">IFERROR(__xludf.DUMMYFUNCTION("""COMPUTED_VALUE"""),31)</f>
        <v>31</v>
      </c>
      <c r="BM227" s="27">
        <f ca="1">IFERROR(__xludf.DUMMYFUNCTION("""COMPUTED_VALUE"""),2)</f>
        <v>2</v>
      </c>
      <c r="BN227" s="27"/>
      <c r="BO227" s="27">
        <f ca="1">IFERROR(__xludf.DUMMYFUNCTION("""COMPUTED_VALUE"""),72236800)</f>
        <v>72236800</v>
      </c>
      <c r="BP227" s="27" t="str">
        <f ca="1">IFERROR(__xludf.DUMMYFUNCTION("""COMPUTED_VALUE"""),"DF")</f>
        <v>DF</v>
      </c>
      <c r="BQ227" s="27" t="str">
        <f ca="1">IFERROR(__xludf.DUMMYFUNCTION("""COMPUTED_VALUE"""),"Entre 1 até 3 salários mínimos")</f>
        <v>Entre 1 até 3 salários mínimos</v>
      </c>
      <c r="BR227" s="27" t="str">
        <f ca="1">IFERROR(__xludf.DUMMYFUNCTION("""COMPUTED_VALUE"""),"Desempregado")</f>
        <v>Desempregado</v>
      </c>
      <c r="BS227" s="27" t="str">
        <f ca="1">IFERROR(__xludf.DUMMYFUNCTION("""COMPUTED_VALUE"""),"Casa cedida")</f>
        <v>Casa cedida</v>
      </c>
      <c r="BT227" s="27">
        <f ca="1">IFERROR(__xludf.DUMMYFUNCTION("""COMPUTED_VALUE"""),3)</f>
        <v>3</v>
      </c>
      <c r="BU227" s="27" t="str">
        <f ca="1">IFERROR(__xludf.DUMMYFUNCTION("""COMPUTED_VALUE"""),"Não tem")</f>
        <v>Não tem</v>
      </c>
      <c r="BV227" s="27" t="str">
        <f ca="1">IFERROR(__xludf.DUMMYFUNCTION("""COMPUTED_VALUE"""),"Não")</f>
        <v>Não</v>
      </c>
      <c r="BW227" s="27"/>
      <c r="BX227" s="21" t="str">
        <f ca="1">IFERROR(__xludf.DUMMYFUNCTION("""COMPUTED_VALUE"""),"https://www.instagram.com/mcdeboraglamurosaoficial")</f>
        <v>https://www.instagram.com/mcdeboraglamurosaoficial</v>
      </c>
      <c r="BY227" s="21" t="str">
        <f ca="1">IFERROR(__xludf.DUMMYFUNCTION("""COMPUTED_VALUE"""),"https://drive.google.com/open?id=1VX6LjY5bCPKPIxMwfEjNXPk0_7w7ifIF")</f>
        <v>https://drive.google.com/open?id=1VX6LjY5bCPKPIxMwfEjNXPk0_7w7ifIF</v>
      </c>
    </row>
    <row r="228" spans="1:77" ht="12.5" hidden="1" x14ac:dyDescent="0.25">
      <c r="A228" s="21" t="str">
        <f ca="1">IFERROR(__xludf.DUMMYFUNCTION("""COMPUTED_VALUE"""),"0014X00002VKCuBQAX")</f>
        <v>0014X00002VKCuBQAX</v>
      </c>
      <c r="B228" s="27" t="str">
        <f ca="1">IFERROR(__xludf.DUMMYFUNCTION("""COMPUTED_VALUE"""),"Fase Inicial")</f>
        <v>Fase Inicial</v>
      </c>
      <c r="C228" s="27" t="str">
        <f ca="1">IFERROR(__xludf.DUMMYFUNCTION("""COMPUTED_VALUE"""),"Fellow")</f>
        <v>Fellow</v>
      </c>
      <c r="D228" s="27" t="str">
        <f ca="1">IFERROR(__xludf.DUMMYFUNCTION("""COMPUTED_VALUE"""),"Ativo")</f>
        <v>Ativo</v>
      </c>
      <c r="E228" s="27" t="str">
        <f ca="1">IFERROR(__xludf.DUMMYFUNCTION("""COMPUTED_VALUE"""),"Coletivo Mulheres do Brasil em ação CMBA")</f>
        <v>Coletivo Mulheres do Brasil em ação CMBA</v>
      </c>
      <c r="F228" s="27" t="str">
        <f ca="1">IFERROR(__xludf.DUMMYFUNCTION("""COMPUTED_VALUE"""),"Regina")</f>
        <v>Regina</v>
      </c>
      <c r="G228" s="27" t="str">
        <f ca="1">IFERROR(__xludf.DUMMYFUNCTION("""COMPUTED_VALUE"""),"CMBA")</f>
        <v>CMBA</v>
      </c>
      <c r="H228" s="27" t="str">
        <f ca="1">IFERROR(__xludf.DUMMYFUNCTION("""COMPUTED_VALUE"""),"CNPJ: 38.422.063/0001-09")</f>
        <v>CNPJ: 38.422.063/0001-09</v>
      </c>
      <c r="I228" s="27" t="str">
        <f ca="1">IFERROR(__xludf.DUMMYFUNCTION("""COMPUTED_VALUE"""),"Regina Santos da Silva")</f>
        <v>Regina Santos da Silva</v>
      </c>
      <c r="J228" s="27" t="str">
        <f ca="1">IFERROR(__xludf.DUMMYFUNCTION("""COMPUTED_VALUE"""),"cmbacoletivodemulheres@gmail.com")</f>
        <v>cmbacoletivodemulheres@gmail.com</v>
      </c>
      <c r="K228" s="27" t="str">
        <f ca="1">IFERROR(__xludf.DUMMYFUNCTION("""COMPUTED_VALUE"""),"(47)99112-5538")</f>
        <v>(47)99112-5538</v>
      </c>
      <c r="L228" s="27" t="str">
        <f ca="1">IFERROR(__xludf.DUMMYFUNCTION("""COMPUTED_VALUE"""),"SC")</f>
        <v>SC</v>
      </c>
      <c r="M228" s="27" t="str">
        <f ca="1">IFERROR(__xludf.DUMMYFUNCTION("""COMPUTED_VALUE"""),"rua santina rosa da costa")</f>
        <v>rua santina rosa da costa</v>
      </c>
      <c r="N228" s="27" t="str">
        <f ca="1">IFERROR(__xludf.DUMMYFUNCTION("""COMPUTED_VALUE"""),"Los Angeles")</f>
        <v>Los Angeles</v>
      </c>
      <c r="O228" s="27">
        <f ca="1">IFERROR(__xludf.DUMMYFUNCTION("""COMPUTED_VALUE"""),32)</f>
        <v>32</v>
      </c>
      <c r="P228" s="27" t="str">
        <f ca="1">IFERROR(__xludf.DUMMYFUNCTION("""COMPUTED_VALUE"""),"Barra Velha")</f>
        <v>Barra Velha</v>
      </c>
      <c r="Q228" s="27" t="str">
        <f ca="1">IFERROR(__xludf.DUMMYFUNCTION("""COMPUTED_VALUE"""),"casa 01")</f>
        <v>casa 01</v>
      </c>
      <c r="R228" s="27" t="str">
        <f ca="1">IFERROR(__xludf.DUMMYFUNCTION("""COMPUTED_VALUE"""),"88390-000")</f>
        <v>88390-000</v>
      </c>
      <c r="S228" s="27" t="str">
        <f ca="1">IFERROR(__xludf.DUMMYFUNCTION("""COMPUTED_VALUE"""),"Bairro Itacolomi -espaço CEVID")</f>
        <v>Bairro Itacolomi -espaço CEVID</v>
      </c>
      <c r="T228" s="27"/>
      <c r="U228"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228" s="27" t="str">
        <f ca="1">IFERROR(__xludf.DUMMYFUNCTION("""COMPUTED_VALUE"""),"Outros")</f>
        <v>Outros</v>
      </c>
      <c r="W228" s="27">
        <f ca="1">IFERROR(__xludf.DUMMYFUNCTION("""COMPUTED_VALUE"""),5)</f>
        <v>5</v>
      </c>
      <c r="X228" s="27"/>
      <c r="Y228" s="27"/>
      <c r="Z228" s="27">
        <f ca="1">IFERROR(__xludf.DUMMYFUNCTION("""COMPUTED_VALUE"""),2554)</f>
        <v>2554</v>
      </c>
      <c r="AA228" s="29">
        <f ca="1">IFERROR(__xludf.DUMMYFUNCTION("""COMPUTED_VALUE"""),43322)</f>
        <v>43322</v>
      </c>
      <c r="AB228" s="27" t="str">
        <f ca="1">IFERROR(__xludf.DUMMYFUNCTION("""COMPUTED_VALUE"""),"Sim")</f>
        <v>Sim</v>
      </c>
      <c r="AC228" s="27">
        <f ca="1">IFERROR(__xludf.DUMMYFUNCTION("""COMPUTED_VALUE"""),0)</f>
        <v>0</v>
      </c>
      <c r="AD228" s="27">
        <f ca="1">IFERROR(__xludf.DUMMYFUNCTION("""COMPUTED_VALUE"""),52)</f>
        <v>52</v>
      </c>
      <c r="AE228" s="27">
        <f ca="1">IFERROR(__xludf.DUMMYFUNCTION("""COMPUTED_VALUE"""),52)</f>
        <v>52</v>
      </c>
      <c r="AF228" s="27">
        <f ca="1">IFERROR(__xludf.DUMMYFUNCTION("""COMPUTED_VALUE"""),52)</f>
        <v>52</v>
      </c>
      <c r="AG228" s="27">
        <f ca="1">IFERROR(__xludf.DUMMYFUNCTION("""COMPUTED_VALUE"""),2)</f>
        <v>2</v>
      </c>
      <c r="AH228" s="27" t="str">
        <f ca="1">IFERROR(__xludf.DUMMYFUNCTION("""COMPUTED_VALUE"""),"Doações, Recursos próprios")</f>
        <v>Doações, Recursos próprios</v>
      </c>
      <c r="AI228" s="27">
        <f ca="1">IFERROR(__xludf.DUMMYFUNCTION("""COMPUTED_VALUE"""),0)</f>
        <v>0</v>
      </c>
      <c r="AJ228" s="27" t="str">
        <f ca="1">IFERROR(__xludf.DUMMYFUNCTION("""COMPUTED_VALUE"""),"Vamos iniciar esse ano")</f>
        <v>Vamos iniciar esse ano</v>
      </c>
      <c r="AK228" s="27"/>
      <c r="AL228" s="21" t="str">
        <f ca="1">IFERROR(__xludf.DUMMYFUNCTION("""COMPUTED_VALUE"""),"0034X0000380O3s")</f>
        <v>0034X0000380O3s</v>
      </c>
      <c r="AM228" s="27" t="str">
        <f ca="1">IFERROR(__xludf.DUMMYFUNCTION("""COMPUTED_VALUE"""),"Santos da silva")</f>
        <v>Santos da silva</v>
      </c>
      <c r="AN228" s="27" t="str">
        <f ca="1">IFERROR(__xludf.DUMMYFUNCTION("""COMPUTED_VALUE"""),"Ativo")</f>
        <v>Ativo</v>
      </c>
      <c r="AO228" s="29">
        <f ca="1">IFERROR(__xludf.DUMMYFUNCTION("""COMPUTED_VALUE"""),44763)</f>
        <v>44763</v>
      </c>
      <c r="AP228" s="27">
        <f ca="1">IFERROR(__xludf.DUMMYFUNCTION("""COMPUTED_VALUE"""),2)</f>
        <v>2</v>
      </c>
      <c r="AQ228" s="27" t="str">
        <f ca="1">IFERROR(__xludf.DUMMYFUNCTION("""COMPUTED_VALUE"""),"Primeiro Semestre 2022")</f>
        <v>Primeiro Semestre 2022</v>
      </c>
      <c r="AR228" s="27" t="str">
        <f ca="1">IFERROR(__xludf.DUMMYFUNCTION("""COMPUTED_VALUE"""),"cmbacoletivodemulheres@gmail.com")</f>
        <v>cmbacoletivodemulheres@gmail.com</v>
      </c>
      <c r="AS228" s="27">
        <f ca="1">IFERROR(__xludf.DUMMYFUNCTION("""COMPUTED_VALUE"""),4791125538)</f>
        <v>4791125538</v>
      </c>
      <c r="AT228" s="29">
        <f ca="1">IFERROR(__xludf.DUMMYFUNCTION("""COMPUTED_VALUE"""),24717)</f>
        <v>24717</v>
      </c>
      <c r="AU228" s="27">
        <f ca="1">IFERROR(__xludf.DUMMYFUNCTION("""COMPUTED_VALUE"""),55)</f>
        <v>55</v>
      </c>
      <c r="AV228" s="35">
        <f ca="1">IFERROR(__xludf.DUMMYFUNCTION("""COMPUTED_VALUE"""),10426347854)</f>
        <v>10426347854</v>
      </c>
      <c r="AW228" s="27">
        <f ca="1">IFERROR(__xludf.DUMMYFUNCTION("""COMPUTED_VALUE"""),8516791)</f>
        <v>8516791</v>
      </c>
      <c r="AX228" s="27"/>
      <c r="AY228" s="27"/>
      <c r="AZ228" s="27" t="str">
        <f ca="1">IFERROR(__xludf.DUMMYFUNCTION("""COMPUTED_VALUE"""),"G1")</f>
        <v>G1</v>
      </c>
      <c r="BA228" s="27" t="str">
        <f ca="1">IFERROR(__xludf.DUMMYFUNCTION("""COMPUTED_VALUE"""),"Preta")</f>
        <v>Preta</v>
      </c>
      <c r="BB228" s="27"/>
      <c r="BC228" s="27"/>
      <c r="BD228" s="27" t="str">
        <f ca="1">IFERROR(__xludf.DUMMYFUNCTION("""COMPUTED_VALUE"""),"Ativista Direitos Humanos
Presidenta Coletivo Mulheres do Brasil em ação CMBA 
Farmacêutica
Gerente de Farmácia
Promotora Legal Popular 
Embaixadora do Âmago
Conselheira do Conselho Municipal de Direito da Mulher de Penha e Navegantes
Conselheira Municipa"&amp;"l de Assistência Social de Penha 
Técnica de escuta qualificada a mulheres e crianças Vítimas de Violência Doméstica")</f>
        <v>Ativista Direitos Humanos
Presidenta Coletivo Mulheres do Brasil em ação CMBA 
Farmacêutica
Gerente de Farmácia
Promotora Legal Popular 
Embaixadora do Âmago
Conselheira do Conselho Municipal de Direito da Mulher de Penha e Navegantes
Conselheira Municipal de Assistência Social de Penha 
Técnica de escuta qualificada a mulheres e crianças Vítimas de Violência Doméstica</v>
      </c>
      <c r="BE228" s="27" t="str">
        <f ca="1">IFERROR(__xludf.DUMMYFUNCTION("""COMPUTED_VALUE"""),"Feminino")</f>
        <v>Feminino</v>
      </c>
      <c r="BF228" s="27" t="str">
        <f ca="1">IFERROR(__xludf.DUMMYFUNCTION("""COMPUTED_VALUE"""),"Heterossexual")</f>
        <v>Heterossexual</v>
      </c>
      <c r="BG228" s="27"/>
      <c r="BH228" s="27" t="str">
        <f ca="1">IFERROR(__xludf.DUMMYFUNCTION("""COMPUTED_VALUE"""),"Público")</f>
        <v>Público</v>
      </c>
      <c r="BI228" s="27" t="str">
        <f ca="1">IFERROR(__xludf.DUMMYFUNCTION("""COMPUTED_VALUE"""),"Graduação")</f>
        <v>Graduação</v>
      </c>
      <c r="BJ228" s="27" t="str">
        <f ca="1">IFERROR(__xludf.DUMMYFUNCTION("""COMPUTED_VALUE"""),"Privado")</f>
        <v>Privado</v>
      </c>
      <c r="BK228" s="27" t="str">
        <f ca="1">IFERROR(__xludf.DUMMYFUNCTION("""COMPUTED_VALUE"""),"Rua Santina Rosa da Costa")</f>
        <v>Rua Santina Rosa da Costa</v>
      </c>
      <c r="BL228" s="27">
        <f ca="1">IFERROR(__xludf.DUMMYFUNCTION("""COMPUTED_VALUE"""),32)</f>
        <v>32</v>
      </c>
      <c r="BM228" s="27"/>
      <c r="BN228" s="27"/>
      <c r="BO228" s="27">
        <f ca="1">IFERROR(__xludf.DUMMYFUNCTION("""COMPUTED_VALUE"""),88390000)</f>
        <v>88390000</v>
      </c>
      <c r="BP228" s="27" t="str">
        <f ca="1">IFERROR(__xludf.DUMMYFUNCTION("""COMPUTED_VALUE"""),"SC")</f>
        <v>SC</v>
      </c>
      <c r="BQ228" s="27" t="str">
        <f ca="1">IFERROR(__xludf.DUMMYFUNCTION("""COMPUTED_VALUE"""),"Entre 1 até 3 salários mínimos")</f>
        <v>Entre 1 até 3 salários mínimos</v>
      </c>
      <c r="BR228" s="27" t="str">
        <f ca="1">IFERROR(__xludf.DUMMYFUNCTION("""COMPUTED_VALUE"""),"MEI")</f>
        <v>MEI</v>
      </c>
      <c r="BS228" s="27" t="str">
        <f ca="1">IFERROR(__xludf.DUMMYFUNCTION("""COMPUTED_VALUE"""),"Aluguel")</f>
        <v>Aluguel</v>
      </c>
      <c r="BT228" s="27">
        <f ca="1">IFERROR(__xludf.DUMMYFUNCTION("""COMPUTED_VALUE"""),5)</f>
        <v>5</v>
      </c>
      <c r="BU228" s="27" t="str">
        <f ca="1">IFERROR(__xludf.DUMMYFUNCTION("""COMPUTED_VALUE"""),"Não tem")</f>
        <v>Não tem</v>
      </c>
      <c r="BV228" s="27" t="str">
        <f ca="1">IFERROR(__xludf.DUMMYFUNCTION("""COMPUTED_VALUE"""),"Sim")</f>
        <v>Sim</v>
      </c>
      <c r="BW228" s="27"/>
      <c r="BX228" s="27"/>
      <c r="BY228" s="21" t="str">
        <f ca="1">IFERROR(__xludf.DUMMYFUNCTION("""COMPUTED_VALUE"""),"https://drive.google.com/open?id=1MUOPxSkLt5jxq_OGVSu9q9nYKUkXoOv0")</f>
        <v>https://drive.google.com/open?id=1MUOPxSkLt5jxq_OGVSu9q9nYKUkXoOv0</v>
      </c>
    </row>
    <row r="229" spans="1:77" ht="12.5" hidden="1" x14ac:dyDescent="0.25">
      <c r="A229" s="21" t="str">
        <f ca="1">IFERROR(__xludf.DUMMYFUNCTION("""COMPUTED_VALUE"""),"0014X00002VKCqKQAX")</f>
        <v>0014X00002VKCqKQAX</v>
      </c>
      <c r="B229" s="27" t="str">
        <f ca="1">IFERROR(__xludf.DUMMYFUNCTION("""COMPUTED_VALUE"""),"Fase Inicial")</f>
        <v>Fase Inicial</v>
      </c>
      <c r="C229" s="27" t="str">
        <f ca="1">IFERROR(__xludf.DUMMYFUNCTION("""COMPUTED_VALUE"""),"Fellow")</f>
        <v>Fellow</v>
      </c>
      <c r="D229" s="27" t="str">
        <f ca="1">IFERROR(__xludf.DUMMYFUNCTION("""COMPUTED_VALUE"""),"Ativo")</f>
        <v>Ativo</v>
      </c>
      <c r="E229" s="27" t="str">
        <f ca="1">IFERROR(__xludf.DUMMYFUNCTION("""COMPUTED_VALUE"""),"COLETIVO MULHERES NEGRAS DA PERIFERIA")</f>
        <v>COLETIVO MULHERES NEGRAS DA PERIFERIA</v>
      </c>
      <c r="F229" s="27" t="str">
        <f ca="1">IFERROR(__xludf.DUMMYFUNCTION("""COMPUTED_VALUE"""),"Meirivania")</f>
        <v>Meirivania</v>
      </c>
      <c r="G229" s="27" t="str">
        <f ca="1">IFERROR(__xludf.DUMMYFUNCTION("""COMPUTED_VALUE"""),"COLETIVO MULHERES NEGRAS DA PERIFERIA")</f>
        <v>COLETIVO MULHERES NEGRAS DA PERIFERIA</v>
      </c>
      <c r="H229" s="27"/>
      <c r="I229" s="27" t="str">
        <f ca="1">IFERROR(__xludf.DUMMYFUNCTION("""COMPUTED_VALUE"""),"Meirivania Sá Correia")</f>
        <v>Meirivania Sá Correia</v>
      </c>
      <c r="J229" s="27" t="str">
        <f ca="1">IFERROR(__xludf.DUMMYFUNCTION("""COMPUTED_VALUE"""),"coletivomulheresnegras10@gmail.com")</f>
        <v>coletivomulheresnegras10@gmail.com</v>
      </c>
      <c r="K229" s="27" t="str">
        <f ca="1">IFERROR(__xludf.DUMMYFUNCTION("""COMPUTED_VALUE"""),"(98)98510-0920")</f>
        <v>(98)98510-0920</v>
      </c>
      <c r="L229" s="27" t="str">
        <f ca="1">IFERROR(__xludf.DUMMYFUNCTION("""COMPUTED_VALUE"""),"MA")</f>
        <v>MA</v>
      </c>
      <c r="M229" s="27" t="str">
        <f ca="1">IFERROR(__xludf.DUMMYFUNCTION("""COMPUTED_VALUE"""),"Av. José Sarney, nº 1, QD 07")</f>
        <v>Av. José Sarney, nº 1, QD 07</v>
      </c>
      <c r="N229" s="27" t="str">
        <f ca="1">IFERROR(__xludf.DUMMYFUNCTION("""COMPUTED_VALUE"""),"Bom Jesus-Coroadinho")</f>
        <v>Bom Jesus-Coroadinho</v>
      </c>
      <c r="O229" s="27" t="str">
        <f ca="1">IFERROR(__xludf.DUMMYFUNCTION("""COMPUTED_VALUE"""),"9898510-0920")</f>
        <v>9898510-0920</v>
      </c>
      <c r="P229" s="27" t="str">
        <f ca="1">IFERROR(__xludf.DUMMYFUNCTION("""COMPUTED_VALUE"""),"São Luís")</f>
        <v>São Luís</v>
      </c>
      <c r="Q229" s="27" t="str">
        <f ca="1">IFERROR(__xludf.DUMMYFUNCTION("""COMPUTED_VALUE"""),"Ao lado do Frigorífico Ferreira")</f>
        <v>Ao lado do Frigorífico Ferreira</v>
      </c>
      <c r="R229" s="27" t="str">
        <f ca="1">IFERROR(__xludf.DUMMYFUNCTION("""COMPUTED_VALUE"""),"65044-520")</f>
        <v>65044-520</v>
      </c>
      <c r="S229" s="27" t="str">
        <f ca="1">IFERROR(__xludf.DUMMYFUNCTION("""COMPUTED_VALUE"""),"Escolas, quadras, ruas, praça, associação")</f>
        <v>Escolas, quadras, ruas, praça, associação</v>
      </c>
      <c r="T229" s="27"/>
      <c r="U229" s="27" t="str">
        <f ca="1">IFERROR(__xludf.DUMMYFUNCTION("""COMPUTED_VALUE"""),"Crianças (6 a 12 anos), Adolescentes (12 aos 18 anos), Jovens (18 aos 24 anos), Adultos")</f>
        <v>Crianças (6 a 12 anos), Adolescentes (12 aos 18 anos), Jovens (18 aos 24 anos), Adultos</v>
      </c>
      <c r="V229" s="27" t="str">
        <f ca="1">IFERROR(__xludf.DUMMYFUNCTION("""COMPUTED_VALUE"""),"Moradores de Favelas")</f>
        <v>Moradores de Favelas</v>
      </c>
      <c r="W229" s="27">
        <f ca="1">IFERROR(__xludf.DUMMYFUNCTION("""COMPUTED_VALUE"""),1)</f>
        <v>1</v>
      </c>
      <c r="X229" s="27" t="str">
        <f ca="1">IFERROR(__xludf.DUMMYFUNCTION("""COMPUTED_VALUE"""),"Nos últimos tempos as ações tem sido desenvolvidas* em sua maioria* com mulheres adultas* baixa renda* em torno da garantia da segurança alimentar por meio de parcerias com doações de cestas e cartões alimentação. 
Adolescentes (mulheres) - ações de comba"&amp;"te a pobreza menstrual e valorização da cultura local.
Crianças (misto) - ações em torno da leitura* brincadeiras e doações
LGBT -")</f>
        <v>Nos últimos tempos as ações tem sido desenvolvidas* em sua maioria* com mulheres adultas* baixa renda* em torno da garantia da segurança alimentar por meio de parcerias com doações de cestas e cartões alimentação. 
Adolescentes (mulheres) - ações de combate a pobreza menstrual e valorização da cultura local.
Crianças (misto) - ações em torno da leitura* brincadeiras e doações
LGBT -</v>
      </c>
      <c r="Y229" s="27"/>
      <c r="Z229" s="27">
        <f ca="1">IFERROR(__xludf.DUMMYFUNCTION("""COMPUTED_VALUE"""),0)</f>
        <v>0</v>
      </c>
      <c r="AA229" s="29">
        <f ca="1">IFERROR(__xludf.DUMMYFUNCTION("""COMPUTED_VALUE"""),43722)</f>
        <v>43722</v>
      </c>
      <c r="AB229" s="27" t="str">
        <f ca="1">IFERROR(__xludf.DUMMYFUNCTION("""COMPUTED_VALUE"""),"Não")</f>
        <v>Não</v>
      </c>
      <c r="AC229" s="27">
        <f ca="1">IFERROR(__xludf.DUMMYFUNCTION("""COMPUTED_VALUE"""),0)</f>
        <v>0</v>
      </c>
      <c r="AD229" s="27">
        <f ca="1">IFERROR(__xludf.DUMMYFUNCTION("""COMPUTED_VALUE"""),7)</f>
        <v>7</v>
      </c>
      <c r="AE229" s="27">
        <f ca="1">IFERROR(__xludf.DUMMYFUNCTION("""COMPUTED_VALUE"""),11)</f>
        <v>11</v>
      </c>
      <c r="AF229" s="27">
        <f ca="1">IFERROR(__xludf.DUMMYFUNCTION("""COMPUTED_VALUE"""),16)</f>
        <v>16</v>
      </c>
      <c r="AG229" s="27">
        <f ca="1">IFERROR(__xludf.DUMMYFUNCTION("""COMPUTED_VALUE"""),3)</f>
        <v>3</v>
      </c>
      <c r="AH229" s="27" t="str">
        <f ca="1">IFERROR(__xludf.DUMMYFUNCTION("""COMPUTED_VALUE"""),"Editais, Doações")</f>
        <v>Editais, Doações</v>
      </c>
      <c r="AI229" s="27" t="str">
        <f ca="1">IFERROR(__xludf.DUMMYFUNCTION("""COMPUTED_VALUE"""),"Editais:")</f>
        <v>Editais:</v>
      </c>
      <c r="AJ229" s="27" t="str">
        <f ca="1">IFERROR(__xludf.DUMMYFUNCTION("""COMPUTED_VALUE"""),"Não")</f>
        <v>Não</v>
      </c>
      <c r="AK229" s="27"/>
      <c r="AL229" s="21" t="str">
        <f ca="1">IFERROR(__xludf.DUMMYFUNCTION("""COMPUTED_VALUE"""),"0034X0000380O1s")</f>
        <v>0034X0000380O1s</v>
      </c>
      <c r="AM229" s="27" t="str">
        <f ca="1">IFERROR(__xludf.DUMMYFUNCTION("""COMPUTED_VALUE"""),"Sá correia")</f>
        <v>Sá correia</v>
      </c>
      <c r="AN229" s="27" t="str">
        <f ca="1">IFERROR(__xludf.DUMMYFUNCTION("""COMPUTED_VALUE"""),"Ativo")</f>
        <v>Ativo</v>
      </c>
      <c r="AO229" s="29">
        <f ca="1">IFERROR(__xludf.DUMMYFUNCTION("""COMPUTED_VALUE"""),44763)</f>
        <v>44763</v>
      </c>
      <c r="AP229" s="27">
        <f ca="1">IFERROR(__xludf.DUMMYFUNCTION("""COMPUTED_VALUE"""),2)</f>
        <v>2</v>
      </c>
      <c r="AQ229" s="27" t="str">
        <f ca="1">IFERROR(__xludf.DUMMYFUNCTION("""COMPUTED_VALUE"""),"Primeiro Semestre 2022")</f>
        <v>Primeiro Semestre 2022</v>
      </c>
      <c r="AR229" s="27" t="str">
        <f ca="1">IFERROR(__xludf.DUMMYFUNCTION("""COMPUTED_VALUE"""),"meirivaniasc@gmail.com")</f>
        <v>meirivaniasc@gmail.com</v>
      </c>
      <c r="AS229" s="27">
        <f ca="1">IFERROR(__xludf.DUMMYFUNCTION("""COMPUTED_VALUE"""),98985100920)</f>
        <v>98985100920</v>
      </c>
      <c r="AT229" s="29">
        <f ca="1">IFERROR(__xludf.DUMMYFUNCTION("""COMPUTED_VALUE"""),32552)</f>
        <v>32552</v>
      </c>
      <c r="AU229" s="27">
        <f ca="1">IFERROR(__xludf.DUMMYFUNCTION("""COMPUTED_VALUE"""),33)</f>
        <v>33</v>
      </c>
      <c r="AV229" s="27">
        <f ca="1">IFERROR(__xludf.DUMMYFUNCTION("""COMPUTED_VALUE"""),2470582385)</f>
        <v>2470582385</v>
      </c>
      <c r="AW229" s="27">
        <f ca="1">IFERROR(__xludf.DUMMYFUNCTION("""COMPUTED_VALUE"""),286932120050)</f>
        <v>286932120050</v>
      </c>
      <c r="AX229" s="27"/>
      <c r="AY229" s="27"/>
      <c r="AZ229" s="27" t="str">
        <f ca="1">IFERROR(__xludf.DUMMYFUNCTION("""COMPUTED_VALUE"""),"M")</f>
        <v>M</v>
      </c>
      <c r="BA229" s="27" t="str">
        <f ca="1">IFERROR(__xludf.DUMMYFUNCTION("""COMPUTED_VALUE"""),"Preta")</f>
        <v>Preta</v>
      </c>
      <c r="BB229" s="27"/>
      <c r="BC229" s="27"/>
      <c r="BD229" s="27" t="str">
        <f ca="1">IFERROR(__xludf.DUMMYFUNCTION("""COMPUTED_VALUE"""),"Sou a Meire* 32 anos* formada em Letras e atualmente cursando Bacharelado em Biblioteconomia (UFMA). Natural de comunidade de remanescente quilombola no interior do meu Estado. Atuo em projetos sociais desde 2013* quando iniciei minha caminhada na Pastora"&amp;"l da Juventude e onde* desde então* tenho me dedicado a causa da defesa dos direitos humanos. Hoje sou voluntária na Rede de Bibliotecas Comunitárias de São Luís* como mediadora de Leitura. Me encontro desempregada* mas aventurando em um novo projeto de n"&amp;"egócio na área de consultoria e escrita de projetos sociais para o 3º setor. Cofundadora e uma das coordenadoras* desde 2019* do Coletivo Mulheres Negras da Periferia* que tem trabalhado em prol da efetivação dos diretos das mulheres Negras Periféricas na"&amp;" Favela do Coroadinho* em São Luís.")</f>
        <v>Sou a Meire* 32 anos* formada em Letras e atualmente cursando Bacharelado em Biblioteconomia (UFMA). Natural de comunidade de remanescente quilombola no interior do meu Estado. Atuo em projetos sociais desde 2013* quando iniciei minha caminhada na Pastoral da Juventude e onde* desde então* tenho me dedicado a causa da defesa dos direitos humanos. Hoje sou voluntária na Rede de Bibliotecas Comunitárias de São Luís* como mediadora de Leitura. Me encontro desempregada* mas aventurando em um novo projeto de negócio na área de consultoria e escrita de projetos sociais para o 3º setor. Cofundadora e uma das coordenadoras* desde 2019* do Coletivo Mulheres Negras da Periferia* que tem trabalhado em prol da efetivação dos diretos das mulheres Negras Periféricas na Favela do Coroadinho* em São Luís.</v>
      </c>
      <c r="BE229" s="27" t="str">
        <f ca="1">IFERROR(__xludf.DUMMYFUNCTION("""COMPUTED_VALUE"""),"Feminino")</f>
        <v>Feminino</v>
      </c>
      <c r="BF229" s="27" t="str">
        <f ca="1">IFERROR(__xludf.DUMMYFUNCTION("""COMPUTED_VALUE"""),"Heterossexual")</f>
        <v>Heterossexual</v>
      </c>
      <c r="BG229" s="27"/>
      <c r="BH229" s="27" t="str">
        <f ca="1">IFERROR(__xludf.DUMMYFUNCTION("""COMPUTED_VALUE"""),"Público")</f>
        <v>Público</v>
      </c>
      <c r="BI229" s="27" t="str">
        <f ca="1">IFERROR(__xludf.DUMMYFUNCTION("""COMPUTED_VALUE"""),"Graduação")</f>
        <v>Graduação</v>
      </c>
      <c r="BJ229" s="27" t="str">
        <f ca="1">IFERROR(__xludf.DUMMYFUNCTION("""COMPUTED_VALUE"""),"Público")</f>
        <v>Público</v>
      </c>
      <c r="BK229" s="27" t="str">
        <f ca="1">IFERROR(__xludf.DUMMYFUNCTION("""COMPUTED_VALUE"""),"Rua Deputado Brayde")</f>
        <v>Rua Deputado Brayde</v>
      </c>
      <c r="BL229" s="27">
        <f ca="1">IFERROR(__xludf.DUMMYFUNCTION("""COMPUTED_VALUE"""),12)</f>
        <v>12</v>
      </c>
      <c r="BM229" s="27"/>
      <c r="BN229" s="27"/>
      <c r="BO229" s="27" t="str">
        <f ca="1">IFERROR(__xludf.DUMMYFUNCTION("""COMPUTED_VALUE"""),"65044-817")</f>
        <v>65044-817</v>
      </c>
      <c r="BP229" s="27" t="str">
        <f ca="1">IFERROR(__xludf.DUMMYFUNCTION("""COMPUTED_VALUE"""),"MA")</f>
        <v>MA</v>
      </c>
      <c r="BQ229" s="27" t="str">
        <f ca="1">IFERROR(__xludf.DUMMYFUNCTION("""COMPUTED_VALUE"""),"Entre 1 até 3 salários mínimos")</f>
        <v>Entre 1 até 3 salários mínimos</v>
      </c>
      <c r="BR229" s="27" t="str">
        <f ca="1">IFERROR(__xludf.DUMMYFUNCTION("""COMPUTED_VALUE"""),"Desempregado")</f>
        <v>Desempregado</v>
      </c>
      <c r="BS229" s="27" t="str">
        <f ca="1">IFERROR(__xludf.DUMMYFUNCTION("""COMPUTED_VALUE"""),"Casa própria")</f>
        <v>Casa própria</v>
      </c>
      <c r="BT229" s="27">
        <f ca="1">IFERROR(__xludf.DUMMYFUNCTION("""COMPUTED_VALUE"""),3)</f>
        <v>3</v>
      </c>
      <c r="BU229" s="27" t="str">
        <f ca="1">IFERROR(__xludf.DUMMYFUNCTION("""COMPUTED_VALUE"""),"Não tem")</f>
        <v>Não tem</v>
      </c>
      <c r="BV229" s="27" t="str">
        <f ca="1">IFERROR(__xludf.DUMMYFUNCTION("""COMPUTED_VALUE"""),"Não")</f>
        <v>Não</v>
      </c>
      <c r="BW229" s="21" t="str">
        <f ca="1">IFERROR(__xludf.DUMMYFUNCTION("""COMPUTED_VALUE"""),"https://www.linkedin.com/in/meirivania-s%C3%A1-correia-54159b1b7/")</f>
        <v>https://www.linkedin.com/in/meirivania-s%C3%A1-correia-54159b1b7/</v>
      </c>
      <c r="BX229" s="21" t="str">
        <f ca="1">IFERROR(__xludf.DUMMYFUNCTION("""COMPUTED_VALUE"""),"https://www.instagram.com/neggah_flor/")</f>
        <v>https://www.instagram.com/neggah_flor/</v>
      </c>
      <c r="BY229" s="21" t="str">
        <f ca="1">IFERROR(__xludf.DUMMYFUNCTION("""COMPUTED_VALUE"""),"https://drive.google.com/open?id=1iss5VPRxk2yMhdBiLeTmj31pbzJqI9qK")</f>
        <v>https://drive.google.com/open?id=1iss5VPRxk2yMhdBiLeTmj31pbzJqI9qK</v>
      </c>
    </row>
    <row r="230" spans="1:77" ht="12.5" hidden="1" x14ac:dyDescent="0.25">
      <c r="A230" s="21" t="str">
        <f ca="1">IFERROR(__xludf.DUMMYFUNCTION("""COMPUTED_VALUE"""),"0014X00002VKCq4QAH")</f>
        <v>0014X00002VKCq4QAH</v>
      </c>
      <c r="B230" s="27" t="str">
        <f ca="1">IFERROR(__xludf.DUMMYFUNCTION("""COMPUTED_VALUE"""),"Fase Inicial")</f>
        <v>Fase Inicial</v>
      </c>
      <c r="C230" s="27" t="str">
        <f ca="1">IFERROR(__xludf.DUMMYFUNCTION("""COMPUTED_VALUE"""),"Fellow")</f>
        <v>Fellow</v>
      </c>
      <c r="D230" s="27" t="str">
        <f ca="1">IFERROR(__xludf.DUMMYFUNCTION("""COMPUTED_VALUE"""),"Ativo")</f>
        <v>Ativo</v>
      </c>
      <c r="E230" s="27" t="str">
        <f ca="1">IFERROR(__xludf.DUMMYFUNCTION("""COMPUTED_VALUE"""),"Coletivo Olhando pra Frente")</f>
        <v>Coletivo Olhando pra Frente</v>
      </c>
      <c r="F230" s="27" t="str">
        <f ca="1">IFERROR(__xludf.DUMMYFUNCTION("""COMPUTED_VALUE"""),"Jardel")</f>
        <v>Jardel</v>
      </c>
      <c r="G230" s="27" t="str">
        <f ca="1">IFERROR(__xludf.DUMMYFUNCTION("""COMPUTED_VALUE"""),"OLHANDO PRA FRENTE")</f>
        <v>OLHANDO PRA FRENTE</v>
      </c>
      <c r="H230" s="27" t="str">
        <f ca="1">IFERROR(__xludf.DUMMYFUNCTION("""COMPUTED_VALUE"""),"40.993.293/0001-25")</f>
        <v>40.993.293/0001-25</v>
      </c>
      <c r="I230" s="27" t="str">
        <f ca="1">IFERROR(__xludf.DUMMYFUNCTION("""COMPUTED_VALUE"""),"Jardel da Cunha Silvestre")</f>
        <v>Jardel da Cunha Silvestre</v>
      </c>
      <c r="J230" s="27" t="str">
        <f ca="1">IFERROR(__xludf.DUMMYFUNCTION("""COMPUTED_VALUE"""),"coletivo.olhandoprafrente@gmail.com")</f>
        <v>coletivo.olhandoprafrente@gmail.com</v>
      </c>
      <c r="K230" s="27" t="str">
        <f ca="1">IFERROR(__xludf.DUMMYFUNCTION("""COMPUTED_VALUE"""),"(85)98524-3016")</f>
        <v>(85)98524-3016</v>
      </c>
      <c r="L230" s="27" t="str">
        <f ca="1">IFERROR(__xludf.DUMMYFUNCTION("""COMPUTED_VALUE"""),"CE")</f>
        <v>CE</v>
      </c>
      <c r="M230" s="27" t="str">
        <f ca="1">IFERROR(__xludf.DUMMYFUNCTION("""COMPUTED_VALUE"""),"Rua B")</f>
        <v>Rua B</v>
      </c>
      <c r="N230" s="27" t="str">
        <f ca="1">IFERROR(__xludf.DUMMYFUNCTION("""COMPUTED_VALUE"""),"Jangurussu")</f>
        <v>Jangurussu</v>
      </c>
      <c r="O230" s="27">
        <f ca="1">IFERROR(__xludf.DUMMYFUNCTION("""COMPUTED_VALUE"""),39)</f>
        <v>39</v>
      </c>
      <c r="P230" s="27" t="str">
        <f ca="1">IFERROR(__xludf.DUMMYFUNCTION("""COMPUTED_VALUE"""),"Fortaleza")</f>
        <v>Fortaleza</v>
      </c>
      <c r="Q230" s="27" t="str">
        <f ca="1">IFERROR(__xludf.DUMMYFUNCTION("""COMPUTED_VALUE"""),"Sede")</f>
        <v>Sede</v>
      </c>
      <c r="R230" s="27" t="str">
        <f ca="1">IFERROR(__xludf.DUMMYFUNCTION("""COMPUTED_VALUE"""),"60872-402")</f>
        <v>60872-402</v>
      </c>
      <c r="S230" s="27" t="str">
        <f ca="1">IFERROR(__xludf.DUMMYFUNCTION("""COMPUTED_VALUE"""),"Rua , Escola , Praças , Campos de Futebol e Quadras Poliesportivas")</f>
        <v>Rua , Escola , Praças , Campos de Futebol e Quadras Poliesportivas</v>
      </c>
      <c r="T230" s="27"/>
      <c r="U230" s="27" t="str">
        <f ca="1">IFERROR(__xludf.DUMMYFUNCTION("""COMPUTED_VALUE"""),"Crianças (6 a 12 anos), Adolescentes (12 aos 18 anos), Jovens (18 aos 24 anos), Adultos, Idosos (60 anos ou mais)")</f>
        <v>Crianças (6 a 12 anos), Adolescentes (12 aos 18 anos), Jovens (18 aos 24 anos), Adultos, Idosos (60 anos ou mais)</v>
      </c>
      <c r="V230" s="27" t="str">
        <f ca="1">IFERROR(__xludf.DUMMYFUNCTION("""COMPUTED_VALUE"""),"Moradores de Favelas, Pessoas em situação de rua, População LGBTQ+, Afrodescendentes, Dependentes Químicos, Pessoas com Deficiência, Egressos sistema carcerário")</f>
        <v>Moradores de Favelas, Pessoas em situação de rua, População LGBTQ+, Afrodescendentes, Dependentes Químicos, Pessoas com Deficiência, Egressos sistema carcerário</v>
      </c>
      <c r="W230" s="27">
        <f ca="1">IFERROR(__xludf.DUMMYFUNCTION("""COMPUTED_VALUE"""),5)</f>
        <v>5</v>
      </c>
      <c r="X230" s="27" t="str">
        <f ca="1">IFERROR(__xludf.DUMMYFUNCTION("""COMPUTED_VALUE"""),"Famílias em situação de vulnerabilidade social em geral* independente da idade")</f>
        <v>Famílias em situação de vulnerabilidade social em geral* independente da idade</v>
      </c>
      <c r="Y230" s="27"/>
      <c r="Z230" s="27">
        <f ca="1">IFERROR(__xludf.DUMMYFUNCTION("""COMPUTED_VALUE"""),1800)</f>
        <v>1800</v>
      </c>
      <c r="AA230" s="29">
        <f ca="1">IFERROR(__xludf.DUMMYFUNCTION("""COMPUTED_VALUE"""),44040)</f>
        <v>44040</v>
      </c>
      <c r="AB230" s="27" t="str">
        <f ca="1">IFERROR(__xludf.DUMMYFUNCTION("""COMPUTED_VALUE"""),"Sim")</f>
        <v>Sim</v>
      </c>
      <c r="AC230" s="27">
        <f ca="1">IFERROR(__xludf.DUMMYFUNCTION("""COMPUTED_VALUE"""),0)</f>
        <v>0</v>
      </c>
      <c r="AD230" s="27">
        <f ca="1">IFERROR(__xludf.DUMMYFUNCTION("""COMPUTED_VALUE"""),15)</f>
        <v>15</v>
      </c>
      <c r="AE230" s="27">
        <f ca="1">IFERROR(__xludf.DUMMYFUNCTION("""COMPUTED_VALUE"""),18)</f>
        <v>18</v>
      </c>
      <c r="AF230" s="27">
        <f ca="1">IFERROR(__xludf.DUMMYFUNCTION("""COMPUTED_VALUE"""),15)</f>
        <v>15</v>
      </c>
      <c r="AG230" s="27">
        <f ca="1">IFERROR(__xludf.DUMMYFUNCTION("""COMPUTED_VALUE"""),3)</f>
        <v>3</v>
      </c>
      <c r="AH230" s="27" t="str">
        <f ca="1">IFERROR(__xludf.DUMMYFUNCTION("""COMPUTED_VALUE"""),"Eventos/Ações para captação, Parceria iniciativa privada, Doações")</f>
        <v>Eventos/Ações para captação, Parceria iniciativa privada, Doações</v>
      </c>
      <c r="AI230" s="27" t="str">
        <f ca="1">IFERROR(__xludf.DUMMYFUNCTION("""COMPUTED_VALUE"""),"40% Eventos/Ações, 30%Parceria Iniciativa Privada, 30% Doações")</f>
        <v>40% Eventos/Ações, 30%Parceria Iniciativa Privada, 30% Doações</v>
      </c>
      <c r="AJ230" s="27" t="str">
        <f ca="1">IFERROR(__xludf.DUMMYFUNCTION("""COMPUTED_VALUE"""),"Vamos iniciar esse ano")</f>
        <v>Vamos iniciar esse ano</v>
      </c>
      <c r="AK230" s="27"/>
      <c r="AL230" s="21" t="str">
        <f ca="1">IFERROR(__xludf.DUMMYFUNCTION("""COMPUTED_VALUE"""),"0034X0000380O1N")</f>
        <v>0034X0000380O1N</v>
      </c>
      <c r="AM230" s="27" t="str">
        <f ca="1">IFERROR(__xludf.DUMMYFUNCTION("""COMPUTED_VALUE"""),"Da cunha silvestre")</f>
        <v>Da cunha silvestre</v>
      </c>
      <c r="AN230" s="27" t="str">
        <f ca="1">IFERROR(__xludf.DUMMYFUNCTION("""COMPUTED_VALUE"""),"Ativo")</f>
        <v>Ativo</v>
      </c>
      <c r="AO230" s="27"/>
      <c r="AP230" s="27"/>
      <c r="AQ230" s="27" t="str">
        <f ca="1">IFERROR(__xludf.DUMMYFUNCTION("""COMPUTED_VALUE"""),"Primeiro Semestre 2022")</f>
        <v>Primeiro Semestre 2022</v>
      </c>
      <c r="AR230" s="27" t="str">
        <f ca="1">IFERROR(__xludf.DUMMYFUNCTION("""COMPUTED_VALUE"""),"jardelsilvestre775@gmail.com")</f>
        <v>jardelsilvestre775@gmail.com</v>
      </c>
      <c r="AS230" s="27" t="str">
        <f ca="1">IFERROR(__xludf.DUMMYFUNCTION("""COMPUTED_VALUE"""),"(85)98537-5401")</f>
        <v>(85)98537-5401</v>
      </c>
      <c r="AT230" s="29">
        <f ca="1">IFERROR(__xludf.DUMMYFUNCTION("""COMPUTED_VALUE"""),32352)</f>
        <v>32352</v>
      </c>
      <c r="AU230" s="27">
        <f ca="1">IFERROR(__xludf.DUMMYFUNCTION("""COMPUTED_VALUE"""),34)</f>
        <v>34</v>
      </c>
      <c r="AV230" s="27">
        <f ca="1">IFERROR(__xludf.DUMMYFUNCTION("""COMPUTED_VALUE"""),3762337373)</f>
        <v>3762337373</v>
      </c>
      <c r="AW230" s="27">
        <f ca="1">IFERROR(__xludf.DUMMYFUNCTION("""COMPUTED_VALUE"""),2001010330835)</f>
        <v>2001010330835</v>
      </c>
      <c r="AX230" s="27"/>
      <c r="AY230" s="27" t="str">
        <f ca="1">IFERROR(__xludf.DUMMYFUNCTION("""COMPUTED_VALUE"""),"Presidente")</f>
        <v>Presidente</v>
      </c>
      <c r="AZ230" s="27" t="str">
        <f ca="1">IFERROR(__xludf.DUMMYFUNCTION("""COMPUTED_VALUE"""),"GG")</f>
        <v>GG</v>
      </c>
      <c r="BA230" s="27" t="str">
        <f ca="1">IFERROR(__xludf.DUMMYFUNCTION("""COMPUTED_VALUE"""),"Preta")</f>
        <v>Preta</v>
      </c>
      <c r="BB230" s="27"/>
      <c r="BC230" s="27"/>
      <c r="BD230" s="27" t="str">
        <f ca="1">IFERROR(__xludf.DUMMYFUNCTION("""COMPUTED_VALUE"""),"Me chamo Jardel da Cunha Silvestre filho da dona Luzia e Sr. Francisco , casado com a Veronizia pai do Elias do Filipe e do Tito, nascido em Fortaleza no estado do Ceara, aluno de escola publica criado com muito esforço consegui driblar todas as adversida"&amp;"des que tive na vida ,  fundador do Olhando pra Frente vi nesse projeto a oportunidade de transformar a garotada para que juntos possamos revolucionar a favela")</f>
        <v>Me chamo Jardel da Cunha Silvestre filho da dona Luzia e Sr. Francisco , casado com a Veronizia pai do Elias do Filipe e do Tito, nascido em Fortaleza no estado do Ceara, aluno de escola publica criado com muito esforço consegui driblar todas as adversidades que tive na vida ,  fundador do Olhando pra Frente vi nesse projeto a oportunidade de transformar a garotada para que juntos possamos revolucionar a favela</v>
      </c>
      <c r="BE230" s="27" t="str">
        <f ca="1">IFERROR(__xludf.DUMMYFUNCTION("""COMPUTED_VALUE"""),"Homem, cisgênero")</f>
        <v>Homem, cisgênero</v>
      </c>
      <c r="BF230" s="27" t="str">
        <f ca="1">IFERROR(__xludf.DUMMYFUNCTION("""COMPUTED_VALUE"""),"Heterossexual")</f>
        <v>Heterossexual</v>
      </c>
      <c r="BG230" s="27" t="str">
        <f ca="1">IFERROR(__xludf.DUMMYFUNCTION("""COMPUTED_VALUE"""),"Ensino Médio - Completo")</f>
        <v>Ensino Médio - Completo</v>
      </c>
      <c r="BH230" s="27" t="str">
        <f ca="1">IFERROR(__xludf.DUMMYFUNCTION("""COMPUTED_VALUE"""),"Público")</f>
        <v>Público</v>
      </c>
      <c r="BI230" s="27"/>
      <c r="BJ230" s="27"/>
      <c r="BK230" s="27" t="str">
        <f ca="1">IFERROR(__xludf.DUMMYFUNCTION("""COMPUTED_VALUE"""),"Missionário oliveira")</f>
        <v>Missionário oliveira</v>
      </c>
      <c r="BL230" s="27">
        <f ca="1">IFERROR(__xludf.DUMMYFUNCTION("""COMPUTED_VALUE"""),1140)</f>
        <v>1140</v>
      </c>
      <c r="BM230" s="27" t="str">
        <f ca="1">IFERROR(__xludf.DUMMYFUNCTION("""COMPUTED_VALUE"""),"casa")</f>
        <v>casa</v>
      </c>
      <c r="BN230" s="27" t="str">
        <f ca="1">IFERROR(__xludf.DUMMYFUNCTION("""COMPUTED_VALUE"""),"Fortaleza")</f>
        <v>Fortaleza</v>
      </c>
      <c r="BO230" s="27" t="str">
        <f ca="1">IFERROR(__xludf.DUMMYFUNCTION("""COMPUTED_VALUE"""),"60870-615")</f>
        <v>60870-615</v>
      </c>
      <c r="BP230" s="27" t="str">
        <f ca="1">IFERROR(__xludf.DUMMYFUNCTION("""COMPUTED_VALUE"""),"CE")</f>
        <v>CE</v>
      </c>
      <c r="BQ230" s="27" t="str">
        <f ca="1">IFERROR(__xludf.DUMMYFUNCTION("""COMPUTED_VALUE"""),"Entre 1 até 3 salários mínimos")</f>
        <v>Entre 1 até 3 salários mínimos</v>
      </c>
      <c r="BR230" s="27" t="str">
        <f ca="1">IFERROR(__xludf.DUMMYFUNCTION("""COMPUTED_VALUE"""),"CLT")</f>
        <v>CLT</v>
      </c>
      <c r="BS230" s="27" t="str">
        <f ca="1">IFERROR(__xludf.DUMMYFUNCTION("""COMPUTED_VALUE"""),"Casa própria")</f>
        <v>Casa própria</v>
      </c>
      <c r="BT230" s="27">
        <f ca="1">IFERROR(__xludf.DUMMYFUNCTION("""COMPUTED_VALUE"""),3)</f>
        <v>3</v>
      </c>
      <c r="BU230" s="27" t="str">
        <f ca="1">IFERROR(__xludf.DUMMYFUNCTION("""COMPUTED_VALUE"""),"Não tem")</f>
        <v>Não tem</v>
      </c>
      <c r="BV230" s="27" t="str">
        <f ca="1">IFERROR(__xludf.DUMMYFUNCTION("""COMPUTED_VALUE"""),"Não")</f>
        <v>Não</v>
      </c>
      <c r="BW230" s="27"/>
      <c r="BX230" s="21" t="str">
        <f ca="1">IFERROR(__xludf.DUMMYFUNCTION("""COMPUTED_VALUE"""),"https://www.instagram.com/invites/contact/?i=tg4haz6vs19d&amp;utm_content=nzp07bn")</f>
        <v>https://www.instagram.com/invites/contact/?i=tg4haz6vs19d&amp;utm_content=nzp07bn</v>
      </c>
      <c r="BY230" s="21" t="str">
        <f ca="1">IFERROR(__xludf.DUMMYFUNCTION("""COMPUTED_VALUE"""),"https://drive.google.com/open?id=1g27pjYIo_MK59o7VBh2l5H5v3f3NZafM")</f>
        <v>https://drive.google.com/open?id=1g27pjYIo_MK59o7VBh2l5H5v3f3NZafM</v>
      </c>
    </row>
    <row r="231" spans="1:77" ht="12.5" hidden="1" x14ac:dyDescent="0.25">
      <c r="A231" s="21" t="str">
        <f ca="1">IFERROR(__xludf.DUMMYFUNCTION("""COMPUTED_VALUE"""),"0014P00003YSp9OQAT")</f>
        <v>0014P00003YSp9OQAT</v>
      </c>
      <c r="B231" s="27" t="str">
        <f ca="1">IFERROR(__xludf.DUMMYFUNCTION("""COMPUTED_VALUE"""),"Fase Inicial")</f>
        <v>Fase Inicial</v>
      </c>
      <c r="C231" s="27" t="str">
        <f ca="1">IFERROR(__xludf.DUMMYFUNCTION("""COMPUTED_VALUE"""),"Fellow")</f>
        <v>Fellow</v>
      </c>
      <c r="D231" s="27" t="str">
        <f ca="1">IFERROR(__xludf.DUMMYFUNCTION("""COMPUTED_VALUE"""),"Ativo")</f>
        <v>Ativo</v>
      </c>
      <c r="E231" s="27" t="str">
        <f ca="1">IFERROR(__xludf.DUMMYFUNCTION("""COMPUTED_VALUE"""),"Coletivo Vida Nova")</f>
        <v>Coletivo Vida Nova</v>
      </c>
      <c r="F231" s="27" t="str">
        <f ca="1">IFERROR(__xludf.DUMMYFUNCTION("""COMPUTED_VALUE"""),"Leopoldo")</f>
        <v>Leopoldo</v>
      </c>
      <c r="G231" s="27"/>
      <c r="H231" s="27"/>
      <c r="I231" s="27" t="str">
        <f ca="1">IFERROR(__xludf.DUMMYFUNCTION("""COMPUTED_VALUE"""),"Leopoldo Matias")</f>
        <v>Leopoldo Matias</v>
      </c>
      <c r="J231" s="27" t="str">
        <f ca="1">IFERROR(__xludf.DUMMYFUNCTION("""COMPUTED_VALUE"""),"coletivovidanova@gmail.com")</f>
        <v>coletivovidanova@gmail.com</v>
      </c>
      <c r="K231" s="27" t="str">
        <f ca="1">IFERROR(__xludf.DUMMYFUNCTION("""COMPUTED_VALUE"""),"(19)99318-8367")</f>
        <v>(19)99318-8367</v>
      </c>
      <c r="L231" s="27" t="str">
        <f ca="1">IFERROR(__xludf.DUMMYFUNCTION("""COMPUTED_VALUE"""),"SP")</f>
        <v>SP</v>
      </c>
      <c r="M231" s="27" t="str">
        <f ca="1">IFERROR(__xludf.DUMMYFUNCTION("""COMPUTED_VALUE"""),"Rua Odete Therezinha Santucci")</f>
        <v>Rua Odete Therezinha Santucci</v>
      </c>
      <c r="N231" s="27" t="str">
        <f ca="1">IFERROR(__xludf.DUMMYFUNCTION("""COMPUTED_VALUE"""),"Vida Nova")</f>
        <v>Vida Nova</v>
      </c>
      <c r="O231" s="27">
        <f ca="1">IFERROR(__xludf.DUMMYFUNCTION("""COMPUTED_VALUE"""),92)</f>
        <v>92</v>
      </c>
      <c r="P231" s="27" t="str">
        <f ca="1">IFERROR(__xludf.DUMMYFUNCTION("""COMPUTED_VALUE"""),"Campinas")</f>
        <v>Campinas</v>
      </c>
      <c r="Q231" s="27"/>
      <c r="R231" s="27" t="str">
        <f ca="1">IFERROR(__xludf.DUMMYFUNCTION("""COMPUTED_VALUE"""),"13057-505")</f>
        <v>13057-505</v>
      </c>
      <c r="S231" s="27"/>
      <c r="T231" s="27" t="str">
        <f ca="1">IFERROR(__xludf.DUMMYFUNCTION("""COMPUTED_VALUE"""),"Esporte; Educação; Cultura; Saúde; Defesa de Direitos; Comunicação; Desenvolvimento comunitário")</f>
        <v>Esporte; Educação; Cultura; Saúde; Defesa de Direitos; Comunicação; Desenvolvimento comunitário</v>
      </c>
      <c r="U231" s="27" t="str">
        <f ca="1">IFERROR(__xludf.DUMMYFUNCTION("""COMPUTED_VALUE"""),"Crianças (6 a 12 anos); Adolescentes (12 aos 18 anos); Jovens (18 aos 24 anos); Adultos; Idosos (60 anos ou mais)")</f>
        <v>Crianças (6 a 12 anos); Adolescentes (12 aos 18 anos); Jovens (18 aos 24 anos); Adultos; Idosos (60 anos ou mais)</v>
      </c>
      <c r="V231" s="27" t="str">
        <f ca="1">IFERROR(__xludf.DUMMYFUNCTION("""COMPUTED_VALUE"""),"Moradores de Favelas; População LGBTQ+; Afrodescendentes; Pessoas com Deficiência; Egressos sistema carcerário")</f>
        <v>Moradores de Favelas; População LGBTQ+; Afrodescendentes; Pessoas com Deficiência; Egressos sistema carcerário</v>
      </c>
      <c r="W231" s="27">
        <f ca="1">IFERROR(__xludf.DUMMYFUNCTION("""COMPUTED_VALUE"""),9)</f>
        <v>9</v>
      </c>
      <c r="X231" s="27"/>
      <c r="Y231" s="27"/>
      <c r="Z231" s="27">
        <f ca="1">IFERROR(__xludf.DUMMYFUNCTION("""COMPUTED_VALUE"""),7000)</f>
        <v>7000</v>
      </c>
      <c r="AA231" s="29">
        <f ca="1">IFERROR(__xludf.DUMMYFUNCTION("""COMPUTED_VALUE"""),43422)</f>
        <v>43422</v>
      </c>
      <c r="AB231" s="27" t="str">
        <f ca="1">IFERROR(__xludf.DUMMYFUNCTION("""COMPUTED_VALUE"""),"Não")</f>
        <v>Não</v>
      </c>
      <c r="AC231" s="27">
        <f ca="1">IFERROR(__xludf.DUMMYFUNCTION("""COMPUTED_VALUE"""),0)</f>
        <v>0</v>
      </c>
      <c r="AD231" s="27">
        <f ca="1">IFERROR(__xludf.DUMMYFUNCTION("""COMPUTED_VALUE"""),0)</f>
        <v>0</v>
      </c>
      <c r="AE231" s="27">
        <f ca="1">IFERROR(__xludf.DUMMYFUNCTION("""COMPUTED_VALUE"""),38)</f>
        <v>38</v>
      </c>
      <c r="AF231" s="27">
        <f ca="1">IFERROR(__xludf.DUMMYFUNCTION("""COMPUTED_VALUE"""),20)</f>
        <v>20</v>
      </c>
      <c r="AG231" s="27">
        <f ca="1">IFERROR(__xludf.DUMMYFUNCTION("""COMPUTED_VALUE"""),8)</f>
        <v>8</v>
      </c>
      <c r="AH231" s="27" t="str">
        <f ca="1">IFERROR(__xludf.DUMMYFUNCTION("""COMPUTED_VALUE"""),"Plataforma doação online - Pessoa Física; Editais; Doações; Recursos próprios")</f>
        <v>Plataforma doação online - Pessoa Física; Editais; Doações; Recursos próprios</v>
      </c>
      <c r="AI231" s="27">
        <f ca="1">IFERROR(__xludf.DUMMYFUNCTION("""COMPUTED_VALUE"""),0)</f>
        <v>0</v>
      </c>
      <c r="AJ231" s="27"/>
      <c r="AK231" s="27"/>
      <c r="AL231" s="21" t="str">
        <f ca="1">IFERROR(__xludf.DUMMYFUNCTION("""COMPUTED_VALUE"""),"0034P000045kxk0")</f>
        <v>0034P000045kxk0</v>
      </c>
      <c r="AM231" s="27" t="str">
        <f ca="1">IFERROR(__xludf.DUMMYFUNCTION("""COMPUTED_VALUE"""),"Matias")</f>
        <v>Matias</v>
      </c>
      <c r="AN231" s="27" t="str">
        <f ca="1">IFERROR(__xludf.DUMMYFUNCTION("""COMPUTED_VALUE"""),"Ativo")</f>
        <v>Ativo</v>
      </c>
      <c r="AO231" s="30">
        <f ca="1">IFERROR(__xludf.DUMMYFUNCTION("""COMPUTED_VALUE"""),44551)</f>
        <v>44551</v>
      </c>
      <c r="AP231" s="27">
        <f ca="1">IFERROR(__xludf.DUMMYFUNCTION("""COMPUTED_VALUE"""),9)</f>
        <v>9</v>
      </c>
      <c r="AQ231" s="27" t="str">
        <f ca="1">IFERROR(__xludf.DUMMYFUNCTION("""COMPUTED_VALUE"""),"Segundo Semestre 2021")</f>
        <v>Segundo Semestre 2021</v>
      </c>
      <c r="AR231" s="27" t="str">
        <f ca="1">IFERROR(__xludf.DUMMYFUNCTION("""COMPUTED_VALUE"""),"leopoldo.matiass@gmail.com")</f>
        <v>leopoldo.matiass@gmail.com</v>
      </c>
      <c r="AS231" s="27" t="str">
        <f ca="1">IFERROR(__xludf.DUMMYFUNCTION("""COMPUTED_VALUE"""),"(19)99318-8367")</f>
        <v>(19)99318-8367</v>
      </c>
      <c r="AT231" s="29">
        <f ca="1">IFERROR(__xludf.DUMMYFUNCTION("""COMPUTED_VALUE"""),34365)</f>
        <v>34365</v>
      </c>
      <c r="AU231" s="27">
        <f ca="1">IFERROR(__xludf.DUMMYFUNCTION("""COMPUTED_VALUE"""),28)</f>
        <v>28</v>
      </c>
      <c r="AV231" s="27">
        <f ca="1">IFERROR(__xludf.DUMMYFUNCTION("""COMPUTED_VALUE"""),42793407810)</f>
        <v>42793407810</v>
      </c>
      <c r="AW231" s="27">
        <f ca="1">IFERROR(__xludf.DUMMYFUNCTION("""COMPUTED_VALUE"""),436341980)</f>
        <v>436341980</v>
      </c>
      <c r="AX231" s="27"/>
      <c r="AY231" s="27"/>
      <c r="AZ231" s="27" t="str">
        <f ca="1">IFERROR(__xludf.DUMMYFUNCTION("""COMPUTED_VALUE"""),"G")</f>
        <v>G</v>
      </c>
      <c r="BA231" s="27" t="str">
        <f ca="1">IFERROR(__xludf.DUMMYFUNCTION("""COMPUTED_VALUE"""),"Preta")</f>
        <v>Preta</v>
      </c>
      <c r="BB231" s="27" t="str">
        <f ca="1">IFERROR(__xludf.DUMMYFUNCTION("""COMPUTED_VALUE"""),"Homem, cisgênero")</f>
        <v>Homem, cisgênero</v>
      </c>
      <c r="BC231" s="27" t="str">
        <f ca="1">IFERROR(__xludf.DUMMYFUNCTION("""COMPUTED_VALUE"""),"Não")</f>
        <v>Não</v>
      </c>
      <c r="BD231" s="27" t="str">
        <f ca="1">IFERROR(__xludf.DUMMYFUNCTION("""COMPUTED_VALUE"""),"Nascido e criado na Região do Vida Nova em Campinas-SP,  desde criança passei por dificuldades devido a minha condição social e por essas experiências de ausências e impedimentos resolvi dar a volta por cima e mudar a realidade aonde vivo.")</f>
        <v>Nascido e criado na Região do Vida Nova em Campinas-SP,  desde criança passei por dificuldades devido a minha condição social e por essas experiências de ausências e impedimentos resolvi dar a volta por cima e mudar a realidade aonde vivo.</v>
      </c>
      <c r="BE231" s="27"/>
      <c r="BF231" s="27" t="str">
        <f ca="1">IFERROR(__xludf.DUMMYFUNCTION("""COMPUTED_VALUE"""),"Heterossexual")</f>
        <v>Heterossexual</v>
      </c>
      <c r="BG231" s="27" t="str">
        <f ca="1">IFERROR(__xludf.DUMMYFUNCTION("""COMPUTED_VALUE"""),"Ensino Superior - Incompleto")</f>
        <v>Ensino Superior - Incompleto</v>
      </c>
      <c r="BH231" s="27" t="str">
        <f ca="1">IFERROR(__xludf.DUMMYFUNCTION("""COMPUTED_VALUE"""),"Público")</f>
        <v>Público</v>
      </c>
      <c r="BI231" s="27" t="str">
        <f ca="1">IFERROR(__xludf.DUMMYFUNCTION("""COMPUTED_VALUE"""),"Graduação")</f>
        <v>Graduação</v>
      </c>
      <c r="BJ231" s="27" t="str">
        <f ca="1">IFERROR(__xludf.DUMMYFUNCTION("""COMPUTED_VALUE"""),"Privado")</f>
        <v>Privado</v>
      </c>
      <c r="BK231" s="27" t="str">
        <f ca="1">IFERROR(__xludf.DUMMYFUNCTION("""COMPUTED_VALUE"""),"Waldemar Silveira")</f>
        <v>Waldemar Silveira</v>
      </c>
      <c r="BL231" s="27">
        <f ca="1">IFERROR(__xludf.DUMMYFUNCTION("""COMPUTED_VALUE"""),631)</f>
        <v>631</v>
      </c>
      <c r="BM231" s="27" t="str">
        <f ca="1">IFERROR(__xludf.DUMMYFUNCTION("""COMPUTED_VALUE"""),"Casa")</f>
        <v>Casa</v>
      </c>
      <c r="BN231" s="27" t="str">
        <f ca="1">IFERROR(__xludf.DUMMYFUNCTION("""COMPUTED_VALUE"""),"Campinas")</f>
        <v>Campinas</v>
      </c>
      <c r="BO231" s="27" t="str">
        <f ca="1">IFERROR(__xludf.DUMMYFUNCTION("""COMPUTED_VALUE"""),"13057-500")</f>
        <v>13057-500</v>
      </c>
      <c r="BP231" s="27" t="str">
        <f ca="1">IFERROR(__xludf.DUMMYFUNCTION("""COMPUTED_VALUE"""),"SP")</f>
        <v>SP</v>
      </c>
      <c r="BQ231" s="27" t="str">
        <f ca="1">IFERROR(__xludf.DUMMYFUNCTION("""COMPUTED_VALUE"""),"Entre 1 até 3 salários mínimos")</f>
        <v>Entre 1 até 3 salários mínimos</v>
      </c>
      <c r="BR231" s="27" t="str">
        <f ca="1">IFERROR(__xludf.DUMMYFUNCTION("""COMPUTED_VALUE"""),"MEI")</f>
        <v>MEI</v>
      </c>
      <c r="BS231" s="27" t="str">
        <f ca="1">IFERROR(__xludf.DUMMYFUNCTION("""COMPUTED_VALUE"""),"Casa cedida")</f>
        <v>Casa cedida</v>
      </c>
      <c r="BT231" s="27">
        <f ca="1">IFERROR(__xludf.DUMMYFUNCTION("""COMPUTED_VALUE"""),5)</f>
        <v>5</v>
      </c>
      <c r="BU231" s="27" t="str">
        <f ca="1">IFERROR(__xludf.DUMMYFUNCTION("""COMPUTED_VALUE"""),"Ansiedade")</f>
        <v>Ansiedade</v>
      </c>
      <c r="BV231" s="27"/>
      <c r="BW231" s="27"/>
      <c r="BX231" s="21" t="str">
        <f ca="1">IFERROR(__xludf.DUMMYFUNCTION("""COMPUTED_VALUE"""),"https://instagram.com/leopoldo_matiass")</f>
        <v>https://instagram.com/leopoldo_matiass</v>
      </c>
      <c r="BY231" s="21" t="str">
        <f ca="1">IFERROR(__xludf.DUMMYFUNCTION("""COMPUTED_VALUE"""),"https://drive.google.com/open?id=1ddE_J2H98RAfPg0mMgAHBLfCso0QoErV")</f>
        <v>https://drive.google.com/open?id=1ddE_J2H98RAfPg0mMgAHBLfCso0QoErV</v>
      </c>
    </row>
    <row r="232" spans="1:77" ht="12.5" hidden="1" x14ac:dyDescent="0.25">
      <c r="A232" s="21" t="str">
        <f ca="1">IFERROR(__xludf.DUMMYFUNCTION("""COMPUTED_VALUE"""),"0014P00003YSp81QAD")</f>
        <v>0014P00003YSp81QAD</v>
      </c>
      <c r="B232" s="27" t="str">
        <f ca="1">IFERROR(__xludf.DUMMYFUNCTION("""COMPUTED_VALUE"""),"Fase Inicial")</f>
        <v>Fase Inicial</v>
      </c>
      <c r="C232" s="27" t="str">
        <f ca="1">IFERROR(__xludf.DUMMYFUNCTION("""COMPUTED_VALUE"""),"Fellow")</f>
        <v>Fellow</v>
      </c>
      <c r="D232" s="27" t="str">
        <f ca="1">IFERROR(__xludf.DUMMYFUNCTION("""COMPUTED_VALUE"""),"Ativo")</f>
        <v>Ativo</v>
      </c>
      <c r="E232" s="27" t="str">
        <f ca="1">IFERROR(__xludf.DUMMYFUNCTION("""COMPUTED_VALUE"""),"COLMEIA MARICA")</f>
        <v>COLMEIA MARICA</v>
      </c>
      <c r="F232" s="27" t="str">
        <f ca="1">IFERROR(__xludf.DUMMYFUNCTION("""COMPUTED_VALUE"""),"Thaisa")</f>
        <v>Thaisa</v>
      </c>
      <c r="G232" s="27"/>
      <c r="H232" s="27" t="str">
        <f ca="1">IFERROR(__xludf.DUMMYFUNCTION("""COMPUTED_VALUE"""),"42.751.835/0001-23")</f>
        <v>42.751.835/0001-23</v>
      </c>
      <c r="I232" s="27" t="str">
        <f ca="1">IFERROR(__xludf.DUMMYFUNCTION("""COMPUTED_VALUE"""),"Ana Gleice de oliveira Freitas")</f>
        <v>Ana Gleice de oliveira Freitas</v>
      </c>
      <c r="J232" s="27" t="str">
        <f ca="1">IFERROR(__xludf.DUMMYFUNCTION("""COMPUTED_VALUE"""),"colmeiamarica@gmail.com")</f>
        <v>colmeiamarica@gmail.com</v>
      </c>
      <c r="K232" s="27" t="str">
        <f ca="1">IFERROR(__xludf.DUMMYFUNCTION("""COMPUTED_VALUE"""),"(21)99474-8469")</f>
        <v>(21)99474-8469</v>
      </c>
      <c r="L232" s="27" t="str">
        <f ca="1">IFERROR(__xludf.DUMMYFUNCTION("""COMPUTED_VALUE"""),"RJ")</f>
        <v>RJ</v>
      </c>
      <c r="M232" s="27" t="str">
        <f ca="1">IFERROR(__xludf.DUMMYFUNCTION("""COMPUTED_VALUE"""),"R Prof Cardoso de Menezes 120")</f>
        <v>R Prof Cardoso de Menezes 120</v>
      </c>
      <c r="N232" s="27" t="str">
        <f ca="1">IFERROR(__xludf.DUMMYFUNCTION("""COMPUTED_VALUE"""),"Itaipuaçu")</f>
        <v>Itaipuaçu</v>
      </c>
      <c r="O232" s="27">
        <f ca="1">IFERROR(__xludf.DUMMYFUNCTION("""COMPUTED_VALUE"""),1)</f>
        <v>1</v>
      </c>
      <c r="P232" s="27" t="str">
        <f ca="1">IFERROR(__xludf.DUMMYFUNCTION("""COMPUTED_VALUE"""),"Maricá")</f>
        <v>Maricá</v>
      </c>
      <c r="Q232" s="27"/>
      <c r="R232" s="27" t="str">
        <f ca="1">IFERROR(__xludf.DUMMYFUNCTION("""COMPUTED_VALUE"""),"24935-425")</f>
        <v>24935-425</v>
      </c>
      <c r="S232" s="27"/>
      <c r="T232" s="27" t="str">
        <f ca="1">IFERROR(__xludf.DUMMYFUNCTION("""COMPUTED_VALUE"""),"Empregabilidade; Assistência Social; Qualificação Profissional; Empreendedorismo; Empoderamento Feminino; Assistência Psicológica; Desenvolvimento comunitário")</f>
        <v>Empregabilidade; Assistência Social; Qualificação Profissional; Empreendedorismo; Empoderamento Feminino; Assistência Psicológica; Desenvolvimento comunitário</v>
      </c>
      <c r="U232" s="27" t="str">
        <f ca="1">IFERROR(__xludf.DUMMYFUNCTION("""COMPUTED_VALUE"""),"Crianças pequenas (4 anos a 5 anos e 11 meses); Crianças (6 a 12 anos); Jovens (18 aos 24 anos); Adultos; Idosos (60 anos ou mais)")</f>
        <v>Crianças pequenas (4 anos a 5 anos e 11 meses); Crianças (6 a 12 anos); Jovens (18 aos 24 anos); Adultos; Idosos (60 anos ou mais)</v>
      </c>
      <c r="V232" s="27" t="str">
        <f ca="1">IFERROR(__xludf.DUMMYFUNCTION("""COMPUTED_VALUE"""),"Afrodescendentes; Pessoas com Deficiência")</f>
        <v>Afrodescendentes; Pessoas com Deficiência</v>
      </c>
      <c r="W232" s="27">
        <f ca="1">IFERROR(__xludf.DUMMYFUNCTION("""COMPUTED_VALUE"""),4)</f>
        <v>4</v>
      </c>
      <c r="X232" s="27"/>
      <c r="Y232" s="27"/>
      <c r="Z232" s="27">
        <f ca="1">IFERROR(__xludf.DUMMYFUNCTION("""COMPUTED_VALUE"""),300)</f>
        <v>300</v>
      </c>
      <c r="AA232" s="30">
        <f ca="1">IFERROR(__xludf.DUMMYFUNCTION("""COMPUTED_VALUE"""),43441)</f>
        <v>43441</v>
      </c>
      <c r="AB232" s="27" t="str">
        <f ca="1">IFERROR(__xludf.DUMMYFUNCTION("""COMPUTED_VALUE"""),"Não")</f>
        <v>Não</v>
      </c>
      <c r="AC232" s="27">
        <f ca="1">IFERROR(__xludf.DUMMYFUNCTION("""COMPUTED_VALUE"""),0)</f>
        <v>0</v>
      </c>
      <c r="AD232" s="27">
        <f ca="1">IFERROR(__xludf.DUMMYFUNCTION("""COMPUTED_VALUE"""),0)</f>
        <v>0</v>
      </c>
      <c r="AE232" s="27">
        <f ca="1">IFERROR(__xludf.DUMMYFUNCTION("""COMPUTED_VALUE"""),10)</f>
        <v>10</v>
      </c>
      <c r="AF232" s="27">
        <f ca="1">IFERROR(__xludf.DUMMYFUNCTION("""COMPUTED_VALUE"""),15)</f>
        <v>15</v>
      </c>
      <c r="AG232" s="27">
        <f ca="1">IFERROR(__xludf.DUMMYFUNCTION("""COMPUTED_VALUE"""),2)</f>
        <v>2</v>
      </c>
      <c r="AH232" s="27" t="str">
        <f ca="1">IFERROR(__xludf.DUMMYFUNCTION("""COMPUTED_VALUE"""),"Eventos/Ações para captação; Recursos próprios")</f>
        <v>Eventos/Ações para captação; Recursos próprios</v>
      </c>
      <c r="AI232" s="27" t="str">
        <f ca="1">IFERROR(__xludf.DUMMYFUNCTION("""COMPUTED_VALUE"""),"30% recursos próprios 70% eventos")</f>
        <v>30% recursos próprios 70% eventos</v>
      </c>
      <c r="AJ232" s="27"/>
      <c r="AK232" s="27"/>
      <c r="AL232" s="21" t="str">
        <f ca="1">IFERROR(__xludf.DUMMYFUNCTION("""COMPUTED_VALUE"""),"0034P000045kxic")</f>
        <v>0034P000045kxic</v>
      </c>
      <c r="AM232" s="27" t="str">
        <f ca="1">IFERROR(__xludf.DUMMYFUNCTION("""COMPUTED_VALUE"""),"Da Silva Muniz Santarem")</f>
        <v>Da Silva Muniz Santarem</v>
      </c>
      <c r="AN232" s="27" t="str">
        <f ca="1">IFERROR(__xludf.DUMMYFUNCTION("""COMPUTED_VALUE"""),"Ativo")</f>
        <v>Ativo</v>
      </c>
      <c r="AO232" s="30">
        <f ca="1">IFERROR(__xludf.DUMMYFUNCTION("""COMPUTED_VALUE"""),44551)</f>
        <v>44551</v>
      </c>
      <c r="AP232" s="27">
        <f ca="1">IFERROR(__xludf.DUMMYFUNCTION("""COMPUTED_VALUE"""),9)</f>
        <v>9</v>
      </c>
      <c r="AQ232" s="27" t="str">
        <f ca="1">IFERROR(__xludf.DUMMYFUNCTION("""COMPUTED_VALUE"""),"Segundo Semestre 2021")</f>
        <v>Segundo Semestre 2021</v>
      </c>
      <c r="AR232" s="27" t="str">
        <f ca="1">IFERROR(__xludf.DUMMYFUNCTION("""COMPUTED_VALUE"""),"thaamunizz@gmail.com")</f>
        <v>thaamunizz@gmail.com</v>
      </c>
      <c r="AS232" s="27" t="str">
        <f ca="1">IFERROR(__xludf.DUMMYFUNCTION("""COMPUTED_VALUE"""),"(21)96609-8469")</f>
        <v>(21)96609-8469</v>
      </c>
      <c r="AT232" s="29">
        <f ca="1">IFERROR(__xludf.DUMMYFUNCTION("""COMPUTED_VALUE"""),30297)</f>
        <v>30297</v>
      </c>
      <c r="AU232" s="27">
        <f ca="1">IFERROR(__xludf.DUMMYFUNCTION("""COMPUTED_VALUE"""),40)</f>
        <v>40</v>
      </c>
      <c r="AV232" s="27">
        <f ca="1">IFERROR(__xludf.DUMMYFUNCTION("""COMPUTED_VALUE"""),5446967780)</f>
        <v>5446967780</v>
      </c>
      <c r="AW232" s="27">
        <f ca="1">IFERROR(__xludf.DUMMYFUNCTION("""COMPUTED_VALUE"""),123615338)</f>
        <v>123615338</v>
      </c>
      <c r="AX232" s="27"/>
      <c r="AY232" s="27"/>
      <c r="AZ232" s="27" t="str">
        <f ca="1">IFERROR(__xludf.DUMMYFUNCTION("""COMPUTED_VALUE"""),"GG")</f>
        <v>GG</v>
      </c>
      <c r="BA232" s="27" t="str">
        <f ca="1">IFERROR(__xludf.DUMMYFUNCTION("""COMPUTED_VALUE"""),"Parda")</f>
        <v>Parda</v>
      </c>
      <c r="BB232" s="27" t="str">
        <f ca="1">IFERROR(__xludf.DUMMYFUNCTION("""COMPUTED_VALUE"""),"Mulher, cisgênero")</f>
        <v>Mulher, cisgênero</v>
      </c>
      <c r="BC232" s="27" t="str">
        <f ca="1">IFERROR(__xludf.DUMMYFUNCTION("""COMPUTED_VALUE"""),"Não")</f>
        <v>Não</v>
      </c>
      <c r="BD232" s="27" t="str">
        <f ca="1">IFERROR(__xludf.DUMMYFUNCTION("""COMPUTED_VALUE"""),"casada, mae de duas meninas, infancia pobre mas feliz em Vigario geral, acredito na transformacao e me vejo como agente de mudança. Meu chamado e fortalecer mulheres e seus entornos para que tenha independencia financeira e emocional  para se tornarem que"&amp;"m elas quiserem ser!")</f>
        <v>casada, mae de duas meninas, infancia pobre mas feliz em Vigario geral, acredito na transformacao e me vejo como agente de mudança. Meu chamado e fortalecer mulheres e seus entornos para que tenha independencia financeira e emocional  para se tornarem quem elas quiserem ser!</v>
      </c>
      <c r="BE232" s="27"/>
      <c r="BF232" s="27" t="str">
        <f ca="1">IFERROR(__xludf.DUMMYFUNCTION("""COMPUTED_VALUE"""),"Heterossexual")</f>
        <v>Heterossexual</v>
      </c>
      <c r="BG232" s="27" t="str">
        <f ca="1">IFERROR(__xludf.DUMMYFUNCTION("""COMPUTED_VALUE"""),"Ensino Superior - Completo")</f>
        <v>Ensino Superior - Completo</v>
      </c>
      <c r="BH232" s="27" t="str">
        <f ca="1">IFERROR(__xludf.DUMMYFUNCTION("""COMPUTED_VALUE"""),"Público")</f>
        <v>Público</v>
      </c>
      <c r="BI232" s="27" t="str">
        <f ca="1">IFERROR(__xludf.DUMMYFUNCTION("""COMPUTED_VALUE"""),"Graduação")</f>
        <v>Graduação</v>
      </c>
      <c r="BJ232" s="27" t="str">
        <f ca="1">IFERROR(__xludf.DUMMYFUNCTION("""COMPUTED_VALUE"""),"Privado")</f>
        <v>Privado</v>
      </c>
      <c r="BK232" s="27" t="str">
        <f ca="1">IFERROR(__xludf.DUMMYFUNCTION("""COMPUTED_VALUE"""),"N s das merces")</f>
        <v>N s das merces</v>
      </c>
      <c r="BL232" s="27">
        <f ca="1">IFERROR(__xludf.DUMMYFUNCTION("""COMPUTED_VALUE"""),1)</f>
        <v>1</v>
      </c>
      <c r="BM232" s="27" t="str">
        <f ca="1">IFERROR(__xludf.DUMMYFUNCTION("""COMPUTED_VALUE"""),"Qd 52 lt 27")</f>
        <v>Qd 52 lt 27</v>
      </c>
      <c r="BN232" s="27" t="str">
        <f ca="1">IFERROR(__xludf.DUMMYFUNCTION("""COMPUTED_VALUE"""),"Maricá")</f>
        <v>Maricá</v>
      </c>
      <c r="BO232" s="27" t="str">
        <f ca="1">IFERROR(__xludf.DUMMYFUNCTION("""COMPUTED_VALUE"""),"24936-775")</f>
        <v>24936-775</v>
      </c>
      <c r="BP232" s="27" t="str">
        <f ca="1">IFERROR(__xludf.DUMMYFUNCTION("""COMPUTED_VALUE"""),"RJ")</f>
        <v>RJ</v>
      </c>
      <c r="BQ232" s="27" t="str">
        <f ca="1">IFERROR(__xludf.DUMMYFUNCTION("""COMPUTED_VALUE"""),"De 3 até 5 salários mínimos")</f>
        <v>De 3 até 5 salários mínimos</v>
      </c>
      <c r="BR232" s="27" t="str">
        <f ca="1">IFERROR(__xludf.DUMMYFUNCTION("""COMPUTED_VALUE"""),"CLT; Trabalho informal")</f>
        <v>CLT; Trabalho informal</v>
      </c>
      <c r="BS232" s="27" t="str">
        <f ca="1">IFERROR(__xludf.DUMMYFUNCTION("""COMPUTED_VALUE"""),"Casa própria")</f>
        <v>Casa própria</v>
      </c>
      <c r="BT232" s="27">
        <f ca="1">IFERROR(__xludf.DUMMYFUNCTION("""COMPUTED_VALUE"""),5)</f>
        <v>5</v>
      </c>
      <c r="BU232" s="27" t="str">
        <f ca="1">IFERROR(__xludf.DUMMYFUNCTION("""COMPUTED_VALUE"""),"Não tem")</f>
        <v>Não tem</v>
      </c>
      <c r="BV232" s="27"/>
      <c r="BW232" s="27"/>
      <c r="BX232" s="21" t="str">
        <f ca="1">IFERROR(__xludf.DUMMYFUNCTION("""COMPUTED_VALUE"""),"https://www.instagram.com/p/Cb-FQDXO-0_/?utm_medium=copy_link")</f>
        <v>https://www.instagram.com/p/Cb-FQDXO-0_/?utm_medium=copy_link</v>
      </c>
      <c r="BY232" s="21" t="str">
        <f ca="1">IFERROR(__xludf.DUMMYFUNCTION("""COMPUTED_VALUE"""),"https://drive.google.com/open?id=1eCRYkiskFARK3qIkF4Wg1CAaeApK2zrJ")</f>
        <v>https://drive.google.com/open?id=1eCRYkiskFARK3qIkF4Wg1CAaeApK2zrJ</v>
      </c>
    </row>
    <row r="233" spans="1:77" ht="12.5" x14ac:dyDescent="0.25">
      <c r="A233" s="21" t="str">
        <f ca="1">IFERROR(__xludf.DUMMYFUNCTION("""COMPUTED_VALUE"""),"0014X00002VKCtNQAX")</f>
        <v>0014X00002VKCtNQAX</v>
      </c>
      <c r="B233" s="27" t="str">
        <f ca="1">IFERROR(__xludf.DUMMYFUNCTION("""COMPUTED_VALUE"""),"Fase Inicial")</f>
        <v>Fase Inicial</v>
      </c>
      <c r="C233" s="27" t="str">
        <f ca="1">IFERROR(__xludf.DUMMYFUNCTION("""COMPUTED_VALUE"""),"Fellow")</f>
        <v>Fellow</v>
      </c>
      <c r="D233" s="27" t="str">
        <f ca="1">IFERROR(__xludf.DUMMYFUNCTION("""COMPUTED_VALUE"""),"Ativo")</f>
        <v>Ativo</v>
      </c>
      <c r="E233" s="27" t="str">
        <f ca="1">IFERROR(__xludf.DUMMYFUNCTION("""COMPUTED_VALUE"""),"Comissão Solidária Vila da Barca")</f>
        <v>Comissão Solidária Vila da Barca</v>
      </c>
      <c r="F233" s="27" t="str">
        <f ca="1">IFERROR(__xludf.DUMMYFUNCTION("""COMPUTED_VALUE"""),"Gisele")</f>
        <v>Gisele</v>
      </c>
      <c r="G233" s="27" t="str">
        <f ca="1">IFERROR(__xludf.DUMMYFUNCTION("""COMPUTED_VALUE"""),"BARCA LITERÁRIA - Biblioteca Itinerante")</f>
        <v>BARCA LITERÁRIA - Biblioteca Itinerante</v>
      </c>
      <c r="H233" s="27"/>
      <c r="I233" s="27" t="str">
        <f ca="1">IFERROR(__xludf.DUMMYFUNCTION("""COMPUTED_VALUE"""),"Gisele Cristine Silva Mendes")</f>
        <v>Gisele Cristine Silva Mendes</v>
      </c>
      <c r="J233" s="27" t="str">
        <f ca="1">IFERROR(__xludf.DUMMYFUNCTION("""COMPUTED_VALUE"""),"comissaosolidariaviladabarca@gmail.com")</f>
        <v>comissaosolidariaviladabarca@gmail.com</v>
      </c>
      <c r="K233" s="27" t="str">
        <f ca="1">IFERROR(__xludf.DUMMYFUNCTION("""COMPUTED_VALUE"""),"(91)98872-4718")</f>
        <v>(91)98872-4718</v>
      </c>
      <c r="L233" s="27" t="str">
        <f ca="1">IFERROR(__xludf.DUMMYFUNCTION("""COMPUTED_VALUE"""),"PA")</f>
        <v>PA</v>
      </c>
      <c r="M233" s="27" t="str">
        <f ca="1">IFERROR(__xludf.DUMMYFUNCTION("""COMPUTED_VALUE"""),"Passagem Cametá")</f>
        <v>Passagem Cametá</v>
      </c>
      <c r="N233" s="27" t="str">
        <f ca="1">IFERROR(__xludf.DUMMYFUNCTION("""COMPUTED_VALUE"""),"Telegráfo")</f>
        <v>Telegráfo</v>
      </c>
      <c r="O233" s="27">
        <f ca="1">IFERROR(__xludf.DUMMYFUNCTION("""COMPUTED_VALUE"""),44)</f>
        <v>44</v>
      </c>
      <c r="P233" s="27" t="str">
        <f ca="1">IFERROR(__xludf.DUMMYFUNCTION("""COMPUTED_VALUE"""),"Belém")</f>
        <v>Belém</v>
      </c>
      <c r="Q233" s="27" t="str">
        <f ca="1">IFERROR(__xludf.DUMMYFUNCTION("""COMPUTED_VALUE"""),"Palafitas da Comunidade Vila da Barca")</f>
        <v>Palafitas da Comunidade Vila da Barca</v>
      </c>
      <c r="R233" s="27" t="str">
        <f ca="1">IFERROR(__xludf.DUMMYFUNCTION("""COMPUTED_VALUE"""),"66113-140")</f>
        <v>66113-140</v>
      </c>
      <c r="S233" s="27" t="str">
        <f ca="1">IFERROR(__xludf.DUMMYFUNCTION("""COMPUTED_VALUE"""),"Ocupamos uma vez ao mês o próprio território de forma Itinerante com teatro, dança, oficinas criativas, empréstimo e devolução de livros")</f>
        <v>Ocupamos uma vez ao mês o próprio território de forma Itinerante com teatro, dança, oficinas criativas, empréstimo e devolução de livros</v>
      </c>
      <c r="T233" s="27"/>
      <c r="U233" s="27" t="str">
        <f ca="1">IFERROR(__xludf.DUMMYFUNCTION("""COMPUTED_VALUE"""),"Crianças (6 a 12 anos), Adolescentes (12 aos 18 anos)")</f>
        <v>Crianças (6 a 12 anos), Adolescentes (12 aos 18 anos)</v>
      </c>
      <c r="V233" s="27" t="str">
        <f ca="1">IFERROR(__xludf.DUMMYFUNCTION("""COMPUTED_VALUE"""),"Moradores de Favelas")</f>
        <v>Moradores de Favelas</v>
      </c>
      <c r="W233" s="27">
        <f ca="1">IFERROR(__xludf.DUMMYFUNCTION("""COMPUTED_VALUE"""),1)</f>
        <v>1</v>
      </c>
      <c r="X233" s="27"/>
      <c r="Y233" s="27"/>
      <c r="Z233" s="27">
        <f ca="1">IFERROR(__xludf.DUMMYFUNCTION("""COMPUTED_VALUE"""),80)</f>
        <v>80</v>
      </c>
      <c r="AA233" s="29">
        <f ca="1">IFERROR(__xludf.DUMMYFUNCTION("""COMPUTED_VALUE"""),43915)</f>
        <v>43915</v>
      </c>
      <c r="AB233" s="27" t="str">
        <f ca="1">IFERROR(__xludf.DUMMYFUNCTION("""COMPUTED_VALUE"""),"Não")</f>
        <v>Não</v>
      </c>
      <c r="AC233" s="27">
        <f ca="1">IFERROR(__xludf.DUMMYFUNCTION("""COMPUTED_VALUE"""),0)</f>
        <v>0</v>
      </c>
      <c r="AD233" s="27">
        <f ca="1">IFERROR(__xludf.DUMMYFUNCTION("""COMPUTED_VALUE"""),6)</f>
        <v>6</v>
      </c>
      <c r="AE233" s="27">
        <f ca="1">IFERROR(__xludf.DUMMYFUNCTION("""COMPUTED_VALUE"""),7)</f>
        <v>7</v>
      </c>
      <c r="AF233" s="27">
        <f ca="1">IFERROR(__xludf.DUMMYFUNCTION("""COMPUTED_VALUE"""),7)</f>
        <v>7</v>
      </c>
      <c r="AG233" s="27">
        <f ca="1">IFERROR(__xludf.DUMMYFUNCTION("""COMPUTED_VALUE"""),3)</f>
        <v>3</v>
      </c>
      <c r="AH233" s="27" t="str">
        <f ca="1">IFERROR(__xludf.DUMMYFUNCTION("""COMPUTED_VALUE"""),"Outro(s), Doações, Recursos próprios")</f>
        <v>Outro(s), Doações, Recursos próprios</v>
      </c>
      <c r="AI233" s="27" t="str">
        <f ca="1">IFERROR(__xludf.DUMMYFUNCTION("""COMPUTED_VALUE"""),"10% edital de cultura- passamos no primeiro ; 70% recursos próprios; 20% doações pessoas fisícas")</f>
        <v>10% edital de cultura- passamos no primeiro ; 70% recursos próprios; 20% doações pessoas fisícas</v>
      </c>
      <c r="AJ233" s="27" t="str">
        <f ca="1">IFERROR(__xludf.DUMMYFUNCTION("""COMPUTED_VALUE"""),"Não")</f>
        <v>Não</v>
      </c>
      <c r="AK233" s="27"/>
      <c r="AL233" s="21" t="str">
        <f ca="1">IFERROR(__xludf.DUMMYFUNCTION("""COMPUTED_VALUE"""),"0034X0000380O59")</f>
        <v>0034X0000380O59</v>
      </c>
      <c r="AM233" s="27" t="str">
        <f ca="1">IFERROR(__xludf.DUMMYFUNCTION("""COMPUTED_VALUE"""),"Cristine silva mendes")</f>
        <v>Cristine silva mendes</v>
      </c>
      <c r="AN233" s="27" t="str">
        <f ca="1">IFERROR(__xludf.DUMMYFUNCTION("""COMPUTED_VALUE"""),"Ativo")</f>
        <v>Ativo</v>
      </c>
      <c r="AO233" s="27"/>
      <c r="AP233" s="27"/>
      <c r="AQ233" s="27" t="str">
        <f ca="1">IFERROR(__xludf.DUMMYFUNCTION("""COMPUTED_VALUE"""),"Primeiro Semestre 2022")</f>
        <v>Primeiro Semestre 2022</v>
      </c>
      <c r="AR233" s="27" t="str">
        <f ca="1">IFERROR(__xludf.DUMMYFUNCTION("""COMPUTED_VALUE"""),"giselemendes7288@gmail.com")</f>
        <v>giselemendes7288@gmail.com</v>
      </c>
      <c r="AS233" s="27">
        <f ca="1">IFERROR(__xludf.DUMMYFUNCTION("""COMPUTED_VALUE"""),91988724718)</f>
        <v>91988724718</v>
      </c>
      <c r="AT233" s="30">
        <f ca="1">IFERROR(__xludf.DUMMYFUNCTION("""COMPUTED_VALUE"""),29770)</f>
        <v>29770</v>
      </c>
      <c r="AU233" s="27">
        <f ca="1">IFERROR(__xludf.DUMMYFUNCTION("""COMPUTED_VALUE"""),41)</f>
        <v>41</v>
      </c>
      <c r="AV233" s="27">
        <f ca="1">IFERROR(__xludf.DUMMYFUNCTION("""COMPUTED_VALUE"""),71378138287)</f>
        <v>71378138287</v>
      </c>
      <c r="AW233" s="27">
        <f ca="1">IFERROR(__xludf.DUMMYFUNCTION("""COMPUTED_VALUE"""),2882752)</f>
        <v>2882752</v>
      </c>
      <c r="AX233" s="27"/>
      <c r="AY233" s="27"/>
      <c r="AZ233" s="27" t="str">
        <f ca="1">IFERROR(__xludf.DUMMYFUNCTION("""COMPUTED_VALUE"""),"P")</f>
        <v>P</v>
      </c>
      <c r="BA233" s="27" t="str">
        <f ca="1">IFERROR(__xludf.DUMMYFUNCTION("""COMPUTED_VALUE"""),"Preta")</f>
        <v>Preta</v>
      </c>
      <c r="BB233" s="27"/>
      <c r="BC233" s="27"/>
      <c r="BD233" s="27" t="str">
        <f ca="1">IFERROR(__xludf.DUMMYFUNCTION("""COMPUTED_VALUE"""),"Sou paraense* da cidade de Belém do Pará* mulher periférica e construtora de sonhos individuais e coletivos.
Carrego comigo a fé que me encoraja e me fortalece a cada dia a buscar melhorias enquanto ser humano* que gosta de missão.")</f>
        <v>Sou paraense* da cidade de Belém do Pará* mulher periférica e construtora de sonhos individuais e coletivos.
Carrego comigo a fé que me encoraja e me fortalece a cada dia a buscar melhorias enquanto ser humano* que gosta de missão.</v>
      </c>
      <c r="BE233" s="27" t="str">
        <f ca="1">IFERROR(__xludf.DUMMYFUNCTION("""COMPUTED_VALUE"""),"Feminino")</f>
        <v>Feminino</v>
      </c>
      <c r="BF233" s="27" t="str">
        <f ca="1">IFERROR(__xludf.DUMMYFUNCTION("""COMPUTED_VALUE"""),"Heterossexual")</f>
        <v>Heterossexual</v>
      </c>
      <c r="BG233" s="27"/>
      <c r="BH233" s="27" t="str">
        <f ca="1">IFERROR(__xludf.DUMMYFUNCTION("""COMPUTED_VALUE"""),"Privado")</f>
        <v>Privado</v>
      </c>
      <c r="BI233" s="27" t="str">
        <f ca="1">IFERROR(__xludf.DUMMYFUNCTION("""COMPUTED_VALUE"""),"Pós-Graduação")</f>
        <v>Pós-Graduação</v>
      </c>
      <c r="BJ233" s="27" t="str">
        <f ca="1">IFERROR(__xludf.DUMMYFUNCTION("""COMPUTED_VALUE"""),"Público")</f>
        <v>Público</v>
      </c>
      <c r="BK233" s="27" t="str">
        <f ca="1">IFERROR(__xludf.DUMMYFUNCTION("""COMPUTED_VALUE"""),"Conjunto Catarina Labouré.Alameda São Sebastião.")</f>
        <v>Conjunto Catarina Labouré.Alameda São Sebastião.</v>
      </c>
      <c r="BL233" s="27">
        <f ca="1">IFERROR(__xludf.DUMMYFUNCTION("""COMPUTED_VALUE"""),66)</f>
        <v>66</v>
      </c>
      <c r="BM233" s="27"/>
      <c r="BN233" s="27"/>
      <c r="BO233" s="27">
        <f ca="1">IFERROR(__xludf.DUMMYFUNCTION("""COMPUTED_VALUE"""),66123030)</f>
        <v>66123030</v>
      </c>
      <c r="BP233" s="27" t="str">
        <f ca="1">IFERROR(__xludf.DUMMYFUNCTION("""COMPUTED_VALUE"""),"PA")</f>
        <v>PA</v>
      </c>
      <c r="BQ233" s="27" t="str">
        <f ca="1">IFERROR(__xludf.DUMMYFUNCTION("""COMPUTED_VALUE"""),"Entre 1 até 3 salários mínimos")</f>
        <v>Entre 1 até 3 salários mínimos</v>
      </c>
      <c r="BR233" s="27" t="str">
        <f ca="1">IFERROR(__xludf.DUMMYFUNCTION("""COMPUTED_VALUE"""),"Trabalho informal")</f>
        <v>Trabalho informal</v>
      </c>
      <c r="BS233" s="27" t="str">
        <f ca="1">IFERROR(__xludf.DUMMYFUNCTION("""COMPUTED_VALUE"""),"Casa própria")</f>
        <v>Casa própria</v>
      </c>
      <c r="BT233" s="27">
        <f ca="1">IFERROR(__xludf.DUMMYFUNCTION("""COMPUTED_VALUE"""),1)</f>
        <v>1</v>
      </c>
      <c r="BU233" s="27" t="str">
        <f ca="1">IFERROR(__xludf.DUMMYFUNCTION("""COMPUTED_VALUE"""),"Não tem")</f>
        <v>Não tem</v>
      </c>
      <c r="BV233" s="27" t="str">
        <f ca="1">IFERROR(__xludf.DUMMYFUNCTION("""COMPUTED_VALUE"""),"Não")</f>
        <v>Não</v>
      </c>
      <c r="BW233" s="27"/>
      <c r="BX233" s="21" t="str">
        <f ca="1">IFERROR(__xludf.DUMMYFUNCTION("""COMPUTED_VALUE"""),"https://www.instagram.com/p/CYv2Da4uKHuzBTqe-qUk55UBgeQdoAkAo3DXdc0/")</f>
        <v>https://www.instagram.com/p/CYv2Da4uKHuzBTqe-qUk55UBgeQdoAkAo3DXdc0/</v>
      </c>
      <c r="BY233" s="21" t="str">
        <f ca="1">IFERROR(__xludf.DUMMYFUNCTION("""COMPUTED_VALUE"""),"https://drive.google.com/open?id=18p5_PXIU6XPQWmXHv8NrldKY6-VRakoh")</f>
        <v>https://drive.google.com/open?id=18p5_PXIU6XPQWmXHv8NrldKY6-VRakoh</v>
      </c>
    </row>
    <row r="234" spans="1:77" ht="12.5" hidden="1" x14ac:dyDescent="0.25">
      <c r="A234" s="21" t="str">
        <f ca="1">IFERROR(__xludf.DUMMYFUNCTION("""COMPUTED_VALUE"""),"0014P00003YSp7SQAT")</f>
        <v>0014P00003YSp7SQAT</v>
      </c>
      <c r="B234" s="27" t="str">
        <f ca="1">IFERROR(__xludf.DUMMYFUNCTION("""COMPUTED_VALUE"""),"Fase Inicial")</f>
        <v>Fase Inicial</v>
      </c>
      <c r="C234" s="27" t="str">
        <f ca="1">IFERROR(__xludf.DUMMYFUNCTION("""COMPUTED_VALUE"""),"Fellow")</f>
        <v>Fellow</v>
      </c>
      <c r="D234" s="27" t="str">
        <f ca="1">IFERROR(__xludf.DUMMYFUNCTION("""COMPUTED_VALUE"""),"Ativo")</f>
        <v>Ativo</v>
      </c>
      <c r="E234" s="27" t="str">
        <f ca="1">IFERROR(__xludf.DUMMYFUNCTION("""COMPUTED_VALUE"""),"Complexo Encanto Grupo de Apoio Social - CEGAS")</f>
        <v>Complexo Encanto Grupo de Apoio Social - CEGAS</v>
      </c>
      <c r="F234" s="27" t="str">
        <f ca="1">IFERROR(__xludf.DUMMYFUNCTION("""COMPUTED_VALUE"""),"Antonio")</f>
        <v>Antonio</v>
      </c>
      <c r="G234" s="27"/>
      <c r="H234" s="27"/>
      <c r="I234" s="27" t="str">
        <f ca="1">IFERROR(__xludf.DUMMYFUNCTION("""COMPUTED_VALUE"""),"Rita de Cássia Pantoja Cravo")</f>
        <v>Rita de Cássia Pantoja Cravo</v>
      </c>
      <c r="J234" s="27" t="str">
        <f ca="1">IFERROR(__xludf.DUMMYFUNCTION("""COMPUTED_VALUE"""),"complexoencanto@gmail.com")</f>
        <v>complexoencanto@gmail.com</v>
      </c>
      <c r="K234" s="27" t="str">
        <f ca="1">IFERROR(__xludf.DUMMYFUNCTION("""COMPUTED_VALUE"""),"(91)98805-1496")</f>
        <v>(91)98805-1496</v>
      </c>
      <c r="L234" s="27" t="str">
        <f ca="1">IFERROR(__xludf.DUMMYFUNCTION("""COMPUTED_VALUE"""),"PA")</f>
        <v>PA</v>
      </c>
      <c r="M234" s="27" t="str">
        <f ca="1">IFERROR(__xludf.DUMMYFUNCTION("""COMPUTED_VALUE"""),"Passagem Combatente")</f>
        <v>Passagem Combatente</v>
      </c>
      <c r="N234" s="27" t="str">
        <f ca="1">IFERROR(__xludf.DUMMYFUNCTION("""COMPUTED_VALUE"""),"Brasília")</f>
        <v>Brasília</v>
      </c>
      <c r="O234" s="27">
        <f ca="1">IFERROR(__xludf.DUMMYFUNCTION("""COMPUTED_VALUE"""),92)</f>
        <v>92</v>
      </c>
      <c r="P234" s="27" t="str">
        <f ca="1">IFERROR(__xludf.DUMMYFUNCTION("""COMPUTED_VALUE"""),"Belém")</f>
        <v>Belém</v>
      </c>
      <c r="Q234" s="27" t="str">
        <f ca="1">IFERROR(__xludf.DUMMYFUNCTION("""COMPUTED_VALUE"""),"Entrada pela BL-10")</f>
        <v>Entrada pela BL-10</v>
      </c>
      <c r="R234" s="27" t="str">
        <f ca="1">IFERROR(__xludf.DUMMYFUNCTION("""COMPUTED_VALUE"""),"66845-100")</f>
        <v>66845-100</v>
      </c>
      <c r="S234" s="27"/>
      <c r="T234" s="27" t="str">
        <f ca="1">IFERROR(__xludf.DUMMYFUNCTION("""COMPUTED_VALUE"""),"Esporte; Educação; Cultura; Qualificação Profissional; Empreendedorismo; Meio ambiente; Negócios Sociais")</f>
        <v>Esporte; Educação; Cultura; Qualificação Profissional; Empreendedorismo; Meio ambiente; Negócios Sociais</v>
      </c>
      <c r="U234" s="27" t="str">
        <f ca="1">IFERROR(__xludf.DUMMYFUNCTION("""COMPUTED_VALUE"""),"Crianças (6 a 12 anos); Adolescentes (12 aos 18 anos); Jovens (18 aos 24 anos); Adultos; Idosos (60 anos ou mais)")</f>
        <v>Crianças (6 a 12 anos); Adolescentes (12 aos 18 anos); Jovens (18 aos 24 anos); Adultos; Idosos (60 anos ou mais)</v>
      </c>
      <c r="V234" s="27" t="str">
        <f ca="1">IFERROR(__xludf.DUMMYFUNCTION("""COMPUTED_VALUE"""),"Moradores de Favelas; Outros")</f>
        <v>Moradores de Favelas; Outros</v>
      </c>
      <c r="W234" s="27">
        <f ca="1">IFERROR(__xludf.DUMMYFUNCTION("""COMPUTED_VALUE"""),9)</f>
        <v>9</v>
      </c>
      <c r="X234" s="27"/>
      <c r="Y234" s="27"/>
      <c r="Z234" s="27">
        <f ca="1">IFERROR(__xludf.DUMMYFUNCTION("""COMPUTED_VALUE"""),650)</f>
        <v>650</v>
      </c>
      <c r="AA234" s="29">
        <f ca="1">IFERROR(__xludf.DUMMYFUNCTION("""COMPUTED_VALUE"""),39168)</f>
        <v>39168</v>
      </c>
      <c r="AB234" s="27" t="str">
        <f ca="1">IFERROR(__xludf.DUMMYFUNCTION("""COMPUTED_VALUE"""),"Não")</f>
        <v>Não</v>
      </c>
      <c r="AC234" s="27">
        <f ca="1">IFERROR(__xludf.DUMMYFUNCTION("""COMPUTED_VALUE"""),0)</f>
        <v>0</v>
      </c>
      <c r="AD234" s="27">
        <f ca="1">IFERROR(__xludf.DUMMYFUNCTION("""COMPUTED_VALUE"""),0)</f>
        <v>0</v>
      </c>
      <c r="AE234" s="27">
        <f ca="1">IFERROR(__xludf.DUMMYFUNCTION("""COMPUTED_VALUE"""),12)</f>
        <v>12</v>
      </c>
      <c r="AF234" s="27">
        <f ca="1">IFERROR(__xludf.DUMMYFUNCTION("""COMPUTED_VALUE"""),12)</f>
        <v>12</v>
      </c>
      <c r="AG234" s="27">
        <f ca="1">IFERROR(__xludf.DUMMYFUNCTION("""COMPUTED_VALUE"""),2)</f>
        <v>2</v>
      </c>
      <c r="AH234" s="27" t="str">
        <f ca="1">IFERROR(__xludf.DUMMYFUNCTION("""COMPUTED_VALUE"""),"Recursos próprios")</f>
        <v>Recursos próprios</v>
      </c>
      <c r="AI234" s="27">
        <f ca="1">IFERROR(__xludf.DUMMYFUNCTION("""COMPUTED_VALUE"""),0)</f>
        <v>0</v>
      </c>
      <c r="AJ234" s="27"/>
      <c r="AK234" s="27"/>
      <c r="AL234" s="21" t="str">
        <f ca="1">IFERROR(__xludf.DUMMYFUNCTION("""COMPUTED_VALUE"""),"0034P000045kxi3")</f>
        <v>0034P000045kxi3</v>
      </c>
      <c r="AM234" s="27" t="str">
        <f ca="1">IFERROR(__xludf.DUMMYFUNCTION("""COMPUTED_VALUE"""),"Seabra Pantoja Junior")</f>
        <v>Seabra Pantoja Junior</v>
      </c>
      <c r="AN234" s="27" t="str">
        <f ca="1">IFERROR(__xludf.DUMMYFUNCTION("""COMPUTED_VALUE"""),"Ativo")</f>
        <v>Ativo</v>
      </c>
      <c r="AO234" s="30">
        <f ca="1">IFERROR(__xludf.DUMMYFUNCTION("""COMPUTED_VALUE"""),44551)</f>
        <v>44551</v>
      </c>
      <c r="AP234" s="27">
        <f ca="1">IFERROR(__xludf.DUMMYFUNCTION("""COMPUTED_VALUE"""),9)</f>
        <v>9</v>
      </c>
      <c r="AQ234" s="27" t="str">
        <f ca="1">IFERROR(__xludf.DUMMYFUNCTION("""COMPUTED_VALUE"""),"Segundo Semestre 2021")</f>
        <v>Segundo Semestre 2021</v>
      </c>
      <c r="AR234" s="27" t="str">
        <f ca="1">IFERROR(__xludf.DUMMYFUNCTION("""COMPUTED_VALUE"""),"seabrapantoja@gmail.com")</f>
        <v>seabrapantoja@gmail.com</v>
      </c>
      <c r="AS234" s="27" t="str">
        <f ca="1">IFERROR(__xludf.DUMMYFUNCTION("""COMPUTED_VALUE"""),"(91)98805-1496")</f>
        <v>(91)98805-1496</v>
      </c>
      <c r="AT234" s="29">
        <f ca="1">IFERROR(__xludf.DUMMYFUNCTION("""COMPUTED_VALUE"""),28615)</f>
        <v>28615</v>
      </c>
      <c r="AU234" s="27">
        <f ca="1">IFERROR(__xludf.DUMMYFUNCTION("""COMPUTED_VALUE"""),44)</f>
        <v>44</v>
      </c>
      <c r="AV234" s="27">
        <f ca="1">IFERROR(__xludf.DUMMYFUNCTION("""COMPUTED_VALUE"""),66561051220)</f>
        <v>66561051220</v>
      </c>
      <c r="AW234" s="27">
        <f ca="1">IFERROR(__xludf.DUMMYFUNCTION("""COMPUTED_VALUE"""),3459216)</f>
        <v>3459216</v>
      </c>
      <c r="AX234" s="27"/>
      <c r="AY234" s="27"/>
      <c r="AZ234" s="27" t="str">
        <f ca="1">IFERROR(__xludf.DUMMYFUNCTION("""COMPUTED_VALUE"""),"M")</f>
        <v>M</v>
      </c>
      <c r="BA234" s="27" t="str">
        <f ca="1">IFERROR(__xludf.DUMMYFUNCTION("""COMPUTED_VALUE"""),"Preta")</f>
        <v>Preta</v>
      </c>
      <c r="BB234" s="27" t="str">
        <f ca="1">IFERROR(__xludf.DUMMYFUNCTION("""COMPUTED_VALUE"""),"Homem, cisgênero")</f>
        <v>Homem, cisgênero</v>
      </c>
      <c r="BC234" s="27" t="str">
        <f ca="1">IFERROR(__xludf.DUMMYFUNCTION("""COMPUTED_VALUE"""),"Não")</f>
        <v>Não</v>
      </c>
      <c r="BD234" s="27" t="str">
        <f ca="1">IFERROR(__xludf.DUMMYFUNCTION("""COMPUTED_VALUE"""),"Alguém que sempre foi inconformado com a realidade social em que se encontrava, que hoje, pensa todos os dias em formas de resolver ou ao menos minimizar a dificuldades no entorno de si!")</f>
        <v>Alguém que sempre foi inconformado com a realidade social em que se encontrava, que hoje, pensa todos os dias em formas de resolver ou ao menos minimizar a dificuldades no entorno de si!</v>
      </c>
      <c r="BE234" s="27"/>
      <c r="BF234" s="27" t="str">
        <f ca="1">IFERROR(__xludf.DUMMYFUNCTION("""COMPUTED_VALUE"""),"Heterossexual")</f>
        <v>Heterossexual</v>
      </c>
      <c r="BG234" s="27" t="str">
        <f ca="1">IFERROR(__xludf.DUMMYFUNCTION("""COMPUTED_VALUE"""),"Ensino Superior - Completo")</f>
        <v>Ensino Superior - Completo</v>
      </c>
      <c r="BH234" s="27" t="str">
        <f ca="1">IFERROR(__xludf.DUMMYFUNCTION("""COMPUTED_VALUE"""),"Público")</f>
        <v>Público</v>
      </c>
      <c r="BI234" s="27" t="str">
        <f ca="1">IFERROR(__xludf.DUMMYFUNCTION("""COMPUTED_VALUE"""),"Graduação")</f>
        <v>Graduação</v>
      </c>
      <c r="BJ234" s="27" t="str">
        <f ca="1">IFERROR(__xludf.DUMMYFUNCTION("""COMPUTED_VALUE"""),"Público")</f>
        <v>Público</v>
      </c>
      <c r="BK234" s="27" t="str">
        <f ca="1">IFERROR(__xludf.DUMMYFUNCTION("""COMPUTED_VALUE"""),"Passagem Combatente")</f>
        <v>Passagem Combatente</v>
      </c>
      <c r="BL234" s="27">
        <f ca="1">IFERROR(__xludf.DUMMYFUNCTION("""COMPUTED_VALUE"""),91)</f>
        <v>91</v>
      </c>
      <c r="BM234" s="27" t="str">
        <f ca="1">IFERROR(__xludf.DUMMYFUNCTION("""COMPUTED_VALUE"""),"entre Marechal e Juscelino")</f>
        <v>entre Marechal e Juscelino</v>
      </c>
      <c r="BN234" s="27" t="str">
        <f ca="1">IFERROR(__xludf.DUMMYFUNCTION("""COMPUTED_VALUE"""),"Belém")</f>
        <v>Belém</v>
      </c>
      <c r="BO234" s="27" t="str">
        <f ca="1">IFERROR(__xludf.DUMMYFUNCTION("""COMPUTED_VALUE"""),"66845-100")</f>
        <v>66845-100</v>
      </c>
      <c r="BP234" s="27" t="str">
        <f ca="1">IFERROR(__xludf.DUMMYFUNCTION("""COMPUTED_VALUE"""),"PA")</f>
        <v>PA</v>
      </c>
      <c r="BQ234" s="27" t="str">
        <f ca="1">IFERROR(__xludf.DUMMYFUNCTION("""COMPUTED_VALUE"""),"Entre 1 até 3 salários mínimos")</f>
        <v>Entre 1 até 3 salários mínimos</v>
      </c>
      <c r="BR234" s="27" t="str">
        <f ca="1">IFERROR(__xludf.DUMMYFUNCTION("""COMPUTED_VALUE"""),"Desempregado")</f>
        <v>Desempregado</v>
      </c>
      <c r="BS234" s="27" t="str">
        <f ca="1">IFERROR(__xludf.DUMMYFUNCTION("""COMPUTED_VALUE"""),"Casa própria")</f>
        <v>Casa própria</v>
      </c>
      <c r="BT234" s="27">
        <f ca="1">IFERROR(__xludf.DUMMYFUNCTION("""COMPUTED_VALUE"""),4)</f>
        <v>4</v>
      </c>
      <c r="BU234" s="27" t="str">
        <f ca="1">IFERROR(__xludf.DUMMYFUNCTION("""COMPUTED_VALUE"""),"Não tem")</f>
        <v>Não tem</v>
      </c>
      <c r="BV234" s="27"/>
      <c r="BW234" s="21" t="str">
        <f ca="1">IFERROR(__xludf.DUMMYFUNCTION("""COMPUTED_VALUE"""),"linkedin.com/in/antonio-pantoja-70267485")</f>
        <v>linkedin.com/in/antonio-pantoja-70267485</v>
      </c>
      <c r="BX234" s="21" t="str">
        <f ca="1">IFERROR(__xludf.DUMMYFUNCTION("""COMPUTED_VALUE"""),"https://www.instagram.com/seabrapantoja/")</f>
        <v>https://www.instagram.com/seabrapantoja/</v>
      </c>
      <c r="BY234" s="21" t="str">
        <f ca="1">IFERROR(__xludf.DUMMYFUNCTION("""COMPUTED_VALUE"""),"https://drive.google.com/open?id=1Gssnn35jMpTcNOtvFuM6csVgnIEkJaPL")</f>
        <v>https://drive.google.com/open?id=1Gssnn35jMpTcNOtvFuM6csVgnIEkJaPL</v>
      </c>
    </row>
    <row r="235" spans="1:77" ht="12.5" x14ac:dyDescent="0.25">
      <c r="A235" s="21" t="str">
        <f ca="1">IFERROR(__xludf.DUMMYFUNCTION("""COMPUTED_VALUE"""),"0014X00002VKCqSQAX")</f>
        <v>0014X00002VKCqSQAX</v>
      </c>
      <c r="B235" s="27" t="str">
        <f ca="1">IFERROR(__xludf.DUMMYFUNCTION("""COMPUTED_VALUE"""),"Fase Inicial")</f>
        <v>Fase Inicial</v>
      </c>
      <c r="C235" s="27" t="str">
        <f ca="1">IFERROR(__xludf.DUMMYFUNCTION("""COMPUTED_VALUE"""),"Fellow")</f>
        <v>Fellow</v>
      </c>
      <c r="D235" s="27" t="str">
        <f ca="1">IFERROR(__xludf.DUMMYFUNCTION("""COMPUTED_VALUE"""),"Ativo")</f>
        <v>Ativo</v>
      </c>
      <c r="E235" s="27" t="str">
        <f ca="1">IFERROR(__xludf.DUMMYFUNCTION("""COMPUTED_VALUE"""),"Comunidade Porta da Esperança do Bairro Padre Andrade")</f>
        <v>Comunidade Porta da Esperança do Bairro Padre Andrade</v>
      </c>
      <c r="F235" s="27" t="str">
        <f ca="1">IFERROR(__xludf.DUMMYFUNCTION("""COMPUTED_VALUE"""),"Renata")</f>
        <v>Renata</v>
      </c>
      <c r="G235" s="27" t="str">
        <f ca="1">IFERROR(__xludf.DUMMYFUNCTION("""COMPUTED_VALUE"""),"PORTA DA ESPERANÇA")</f>
        <v>PORTA DA ESPERANÇA</v>
      </c>
      <c r="H235" s="27" t="str">
        <f ca="1">IFERROR(__xludf.DUMMYFUNCTION("""COMPUTED_VALUE"""),"12.460.705/0001-70")</f>
        <v>12.460.705/0001-70</v>
      </c>
      <c r="I235" s="27" t="str">
        <f ca="1">IFERROR(__xludf.DUMMYFUNCTION("""COMPUTED_VALUE"""),"Renata Alves dos Santos Bandeira")</f>
        <v>Renata Alves dos Santos Bandeira</v>
      </c>
      <c r="J235" s="27" t="str">
        <f ca="1">IFERROR(__xludf.DUMMYFUNCTION("""COMPUTED_VALUE"""),"portacomunidade@gmail.com")</f>
        <v>portacomunidade@gmail.com</v>
      </c>
      <c r="K235" s="27" t="str">
        <f ca="1">IFERROR(__xludf.DUMMYFUNCTION("""COMPUTED_VALUE"""),"(85)98844-6011")</f>
        <v>(85)98844-6011</v>
      </c>
      <c r="L235" s="27" t="str">
        <f ca="1">IFERROR(__xludf.DUMMYFUNCTION("""COMPUTED_VALUE"""),"CE")</f>
        <v>CE</v>
      </c>
      <c r="M235" s="27" t="str">
        <f ca="1">IFERROR(__xludf.DUMMYFUNCTION("""COMPUTED_VALUE"""),"Av Major Assis")</f>
        <v>Av Major Assis</v>
      </c>
      <c r="N235" s="27" t="str">
        <f ca="1">IFERROR(__xludf.DUMMYFUNCTION("""COMPUTED_VALUE"""),"Floresta")</f>
        <v>Floresta</v>
      </c>
      <c r="O235" s="27">
        <f ca="1">IFERROR(__xludf.DUMMYFUNCTION("""COMPUTED_VALUE"""),31)</f>
        <v>31</v>
      </c>
      <c r="P235" s="27" t="str">
        <f ca="1">IFERROR(__xludf.DUMMYFUNCTION("""COMPUTED_VALUE"""),"Fortaleza")</f>
        <v>Fortaleza</v>
      </c>
      <c r="Q235" s="27" t="str">
        <f ca="1">IFERROR(__xludf.DUMMYFUNCTION("""COMPUTED_VALUE"""),"Antigo bairro Padre Andrade")</f>
        <v>Antigo bairro Padre Andrade</v>
      </c>
      <c r="R235" s="27" t="str">
        <f ca="1">IFERROR(__xludf.DUMMYFUNCTION("""COMPUTED_VALUE"""),"60340-250")</f>
        <v>60340-250</v>
      </c>
      <c r="S235" s="27"/>
      <c r="T235" s="27"/>
      <c r="U235"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235" s="27" t="str">
        <f ca="1">IFERROR(__xludf.DUMMYFUNCTION("""COMPUTED_VALUE"""),"Moradores de Favelas")</f>
        <v>Moradores de Favelas</v>
      </c>
      <c r="W235" s="27">
        <f ca="1">IFERROR(__xludf.DUMMYFUNCTION("""COMPUTED_VALUE"""),170)</f>
        <v>170</v>
      </c>
      <c r="X235" s="27" t="str">
        <f ca="1">IFERROR(__xludf.DUMMYFUNCTION("""COMPUTED_VALUE"""),"Atendemos os moradores do nosso bairro e também os moradores dos bairros vizinhos* jardim Iracema e Vila Velha 4")</f>
        <v>Atendemos os moradores do nosso bairro e também os moradores dos bairros vizinhos* jardim Iracema e Vila Velha 4</v>
      </c>
      <c r="Y235" s="27"/>
      <c r="Z235" s="27">
        <f ca="1">IFERROR(__xludf.DUMMYFUNCTION("""COMPUTED_VALUE"""),40)</f>
        <v>40</v>
      </c>
      <c r="AA235" s="29">
        <f ca="1">IFERROR(__xludf.DUMMYFUNCTION("""COMPUTED_VALUE"""),31295)</f>
        <v>31295</v>
      </c>
      <c r="AB235" s="27" t="str">
        <f ca="1">IFERROR(__xludf.DUMMYFUNCTION("""COMPUTED_VALUE"""),"Sim")</f>
        <v>Sim</v>
      </c>
      <c r="AC235" s="27">
        <f ca="1">IFERROR(__xludf.DUMMYFUNCTION("""COMPUTED_VALUE"""),0)</f>
        <v>0</v>
      </c>
      <c r="AD235" s="27">
        <f ca="1">IFERROR(__xludf.DUMMYFUNCTION("""COMPUTED_VALUE"""),11)</f>
        <v>11</v>
      </c>
      <c r="AE235" s="27">
        <f ca="1">IFERROR(__xludf.DUMMYFUNCTION("""COMPUTED_VALUE"""),13)</f>
        <v>13</v>
      </c>
      <c r="AF235" s="27">
        <f ca="1">IFERROR(__xludf.DUMMYFUNCTION("""COMPUTED_VALUE"""),11)</f>
        <v>11</v>
      </c>
      <c r="AG235" s="27">
        <f ca="1">IFERROR(__xludf.DUMMYFUNCTION("""COMPUTED_VALUE"""),3)</f>
        <v>3</v>
      </c>
      <c r="AH235" s="27" t="str">
        <f ca="1">IFERROR(__xludf.DUMMYFUNCTION("""COMPUTED_VALUE"""),"Outro(s), Doações, Recursos próprios")</f>
        <v>Outro(s), Doações, Recursos próprios</v>
      </c>
      <c r="AI235" s="27" t="str">
        <f ca="1">IFERROR(__xludf.DUMMYFUNCTION("""COMPUTED_VALUE"""),"20% Doações /40% Recursos Próprios/40%Feiras e Bingo")</f>
        <v>20% Doações /40% Recursos Próprios/40%Feiras e Bingo</v>
      </c>
      <c r="AJ235" s="27" t="str">
        <f ca="1">IFERROR(__xludf.DUMMYFUNCTION("""COMPUTED_VALUE"""),"Não")</f>
        <v>Não</v>
      </c>
      <c r="AK235" s="27"/>
      <c r="AL235" s="21" t="str">
        <f ca="1">IFERROR(__xludf.DUMMYFUNCTION("""COMPUTED_VALUE"""),"0034X0000380O1b")</f>
        <v>0034X0000380O1b</v>
      </c>
      <c r="AM235" s="27" t="str">
        <f ca="1">IFERROR(__xludf.DUMMYFUNCTION("""COMPUTED_VALUE"""),"Alves dos santos bandeira")</f>
        <v>Alves dos santos bandeira</v>
      </c>
      <c r="AN235" s="27" t="str">
        <f ca="1">IFERROR(__xludf.DUMMYFUNCTION("""COMPUTED_VALUE"""),"Ativo")</f>
        <v>Ativo</v>
      </c>
      <c r="AO235" s="30">
        <f ca="1">IFERROR(__xludf.DUMMYFUNCTION("""COMPUTED_VALUE"""),44763)</f>
        <v>44763</v>
      </c>
      <c r="AP235" s="27">
        <f ca="1">IFERROR(__xludf.DUMMYFUNCTION("""COMPUTED_VALUE"""),2)</f>
        <v>2</v>
      </c>
      <c r="AQ235" s="27" t="str">
        <f ca="1">IFERROR(__xludf.DUMMYFUNCTION("""COMPUTED_VALUE"""),"Primeiro Semestre 2022")</f>
        <v>Primeiro Semestre 2022</v>
      </c>
      <c r="AR235" s="27" t="str">
        <f ca="1">IFERROR(__xludf.DUMMYFUNCTION("""COMPUTED_VALUE"""),"ciroerenata@yahoo.com.br")</f>
        <v>ciroerenata@yahoo.com.br</v>
      </c>
      <c r="AS235" s="27">
        <f ca="1">IFERROR(__xludf.DUMMYFUNCTION("""COMPUTED_VALUE"""),85988446011)</f>
        <v>85988446011</v>
      </c>
      <c r="AT235" s="29">
        <f ca="1">IFERROR(__xludf.DUMMYFUNCTION("""COMPUTED_VALUE"""),30028)</f>
        <v>30028</v>
      </c>
      <c r="AU235" s="27">
        <f ca="1">IFERROR(__xludf.DUMMYFUNCTION("""COMPUTED_VALUE"""),40)</f>
        <v>40</v>
      </c>
      <c r="AV235" s="27">
        <f ca="1">IFERROR(__xludf.DUMMYFUNCTION("""COMPUTED_VALUE"""),62871188300)</f>
        <v>62871188300</v>
      </c>
      <c r="AW235" s="27">
        <f ca="1">IFERROR(__xludf.DUMMYFUNCTION("""COMPUTED_VALUE"""),98002038081)</f>
        <v>98002038081</v>
      </c>
      <c r="AX235" s="27"/>
      <c r="AY235" s="27"/>
      <c r="AZ235" s="27" t="str">
        <f ca="1">IFERROR(__xludf.DUMMYFUNCTION("""COMPUTED_VALUE"""),"G")</f>
        <v>G</v>
      </c>
      <c r="BA235" s="27" t="str">
        <f ca="1">IFERROR(__xludf.DUMMYFUNCTION("""COMPUTED_VALUE"""),"Parda")</f>
        <v>Parda</v>
      </c>
      <c r="BB235" s="27"/>
      <c r="BC235" s="27"/>
      <c r="BD235" s="27" t="str">
        <f ca="1">IFERROR(__xludf.DUMMYFUNCTION("""COMPUTED_VALUE"""),"Me chamo Renata* nasce no dia 18 de março de 1982 na cidade de Fortaleza do estado de Ceará* sou casada com o Ciro e  tenho dois filho um de 12 anos Pedro Enrique que é Autista e o João Nicolas de 04 anos* moro no bairro de vila velha* trabalho desde de a"&amp;"dolescente* porque o meu pai saiu de casa e como me mãe não trabalhava tinha que sustentar a casa* terminei o meu ensino médio mas não cursei faculdade porque tinha que trabalhar* sempre ajudei a minha mãe na Associação e fui tomando gosto de ajudar as pe"&amp;"ssoas e ficava muito feliz com o sorriso no rosto de cada um* principalmente das Idosas e crianças* casei e me afastei o pouco das atividades* trabalhei por 16 anos na empresa Etufor de Fiscal de ônibus e também no monitoramento das linhas* e no momento e"&amp;"stou sem trabalhar de carteira assinada* mas trabalhando muito na Associação desde de 2020 e feliz demais por continuar o trabalho que iníciou com a minha mãe.")</f>
        <v>Me chamo Renata* nasce no dia 18 de março de 1982 na cidade de Fortaleza do estado de Ceará* sou casada com o Ciro e  tenho dois filho um de 12 anos Pedro Enrique que é Autista e o João Nicolas de 04 anos* moro no bairro de vila velha* trabalho desde de adolescente* porque o meu pai saiu de casa e como me mãe não trabalhava tinha que sustentar a casa* terminei o meu ensino médio mas não cursei faculdade porque tinha que trabalhar* sempre ajudei a minha mãe na Associação e fui tomando gosto de ajudar as pessoas e ficava muito feliz com o sorriso no rosto de cada um* principalmente das Idosas e crianças* casei e me afastei o pouco das atividades* trabalhei por 16 anos na empresa Etufor de Fiscal de ônibus e também no monitoramento das linhas* e no momento estou sem trabalhar de carteira assinada* mas trabalhando muito na Associação desde de 2020 e feliz demais por continuar o trabalho que iníciou com a minha mãe.</v>
      </c>
      <c r="BE235" s="27" t="str">
        <f ca="1">IFERROR(__xludf.DUMMYFUNCTION("""COMPUTED_VALUE"""),"Feminino")</f>
        <v>Feminino</v>
      </c>
      <c r="BF235" s="27" t="str">
        <f ca="1">IFERROR(__xludf.DUMMYFUNCTION("""COMPUTED_VALUE"""),"Heterossexual")</f>
        <v>Heterossexual</v>
      </c>
      <c r="BG235" s="27"/>
      <c r="BH235" s="27" t="str">
        <f ca="1">IFERROR(__xludf.DUMMYFUNCTION("""COMPUTED_VALUE"""),"Público")</f>
        <v>Público</v>
      </c>
      <c r="BI235" s="27"/>
      <c r="BJ235" s="27"/>
      <c r="BK235" s="27" t="str">
        <f ca="1">IFERROR(__xludf.DUMMYFUNCTION("""COMPUTED_VALUE"""),"Rua A")</f>
        <v>Rua A</v>
      </c>
      <c r="BL235" s="27">
        <f ca="1">IFERROR(__xludf.DUMMYFUNCTION("""COMPUTED_VALUE"""),108)</f>
        <v>108</v>
      </c>
      <c r="BM235" s="27"/>
      <c r="BN235" s="27"/>
      <c r="BO235" s="27">
        <f ca="1">IFERROR(__xludf.DUMMYFUNCTION("""COMPUTED_VALUE"""),60349010)</f>
        <v>60349010</v>
      </c>
      <c r="BP235" s="27" t="str">
        <f ca="1">IFERROR(__xludf.DUMMYFUNCTION("""COMPUTED_VALUE"""),"CE")</f>
        <v>CE</v>
      </c>
      <c r="BQ235" s="27" t="str">
        <f ca="1">IFERROR(__xludf.DUMMYFUNCTION("""COMPUTED_VALUE"""),"Entre 1 até 3 salários mínimos")</f>
        <v>Entre 1 até 3 salários mínimos</v>
      </c>
      <c r="BR235" s="27" t="str">
        <f ca="1">IFERROR(__xludf.DUMMYFUNCTION("""COMPUTED_VALUE"""),"Desempregado")</f>
        <v>Desempregado</v>
      </c>
      <c r="BS235" s="27" t="str">
        <f ca="1">IFERROR(__xludf.DUMMYFUNCTION("""COMPUTED_VALUE"""),"Casa própria")</f>
        <v>Casa própria</v>
      </c>
      <c r="BT235" s="27">
        <f ca="1">IFERROR(__xludf.DUMMYFUNCTION("""COMPUTED_VALUE"""),4)</f>
        <v>4</v>
      </c>
      <c r="BU235" s="27" t="str">
        <f ca="1">IFERROR(__xludf.DUMMYFUNCTION("""COMPUTED_VALUE"""),"Não tem")</f>
        <v>Não tem</v>
      </c>
      <c r="BV235" s="27" t="str">
        <f ca="1">IFERROR(__xludf.DUMMYFUNCTION("""COMPUTED_VALUE"""),"Não")</f>
        <v>Não</v>
      </c>
      <c r="BW235" s="27"/>
      <c r="BX235" s="21" t="str">
        <f ca="1">IFERROR(__xludf.DUMMYFUNCTION("""COMPUTED_VALUE"""),"https://instagram.com/renatapedroenrique?utm_medium=copy_link")</f>
        <v>https://instagram.com/renatapedroenrique?utm_medium=copy_link</v>
      </c>
      <c r="BY235" s="21" t="str">
        <f ca="1">IFERROR(__xludf.DUMMYFUNCTION("""COMPUTED_VALUE"""),"https://drive.google.com/open?id=15c1bR3HiBBg2Wkn7JBWmEREMXW6zN9Vw")</f>
        <v>https://drive.google.com/open?id=15c1bR3HiBBg2Wkn7JBWmEREMXW6zN9Vw</v>
      </c>
    </row>
    <row r="236" spans="1:77" ht="12.5" hidden="1" x14ac:dyDescent="0.25">
      <c r="A236" s="21" t="str">
        <f ca="1">IFERROR(__xludf.DUMMYFUNCTION("""COMPUTED_VALUE"""),"0014X00002VMXzMQAX")</f>
        <v>0014X00002VMXzMQAX</v>
      </c>
      <c r="B236" s="27" t="str">
        <f ca="1">IFERROR(__xludf.DUMMYFUNCTION("""COMPUTED_VALUE"""),"Fase Inicial")</f>
        <v>Fase Inicial</v>
      </c>
      <c r="C236" s="27" t="str">
        <f ca="1">IFERROR(__xludf.DUMMYFUNCTION("""COMPUTED_VALUE"""),"Fellow")</f>
        <v>Fellow</v>
      </c>
      <c r="D236" s="27" t="str">
        <f ca="1">IFERROR(__xludf.DUMMYFUNCTION("""COMPUTED_VALUE"""),"Ativo")</f>
        <v>Ativo</v>
      </c>
      <c r="E236" s="27" t="str">
        <f ca="1">IFERROR(__xludf.DUMMYFUNCTION("""COMPUTED_VALUE"""),"Comunidade pro moradia")</f>
        <v>Comunidade pro moradia</v>
      </c>
      <c r="F236" s="27" t="str">
        <f ca="1">IFERROR(__xludf.DUMMYFUNCTION("""COMPUTED_VALUE"""),"Ana")</f>
        <v>Ana</v>
      </c>
      <c r="G236" s="27" t="str">
        <f ca="1">IFERROR(__xludf.DUMMYFUNCTION("""COMPUTED_VALUE"""),"COMUNIDADE PRO")</f>
        <v>COMUNIDADE PRO</v>
      </c>
      <c r="H236" s="27" t="str">
        <f ca="1">IFERROR(__xludf.DUMMYFUNCTION("""COMPUTED_VALUE"""),"41.840.029/0001-69")</f>
        <v>41.840.029/0001-69</v>
      </c>
      <c r="I236" s="27" t="str">
        <f ca="1">IFERROR(__xludf.DUMMYFUNCTION("""COMPUTED_VALUE"""),"Aucília Maria Santana Silva")</f>
        <v>Aucília Maria Santana Silva</v>
      </c>
      <c r="J236" s="27" t="str">
        <f ca="1">IFERROR(__xludf.DUMMYFUNCTION("""COMPUTED_VALUE"""),"profa.auciliamaria@gmail.com")</f>
        <v>profa.auciliamaria@gmail.com</v>
      </c>
      <c r="K236" s="27" t="str">
        <f ca="1">IFERROR(__xludf.DUMMYFUNCTION("""COMPUTED_VALUE"""),"(71)99948-7575")</f>
        <v>(71)99948-7575</v>
      </c>
      <c r="L236" s="27" t="str">
        <f ca="1">IFERROR(__xludf.DUMMYFUNCTION("""COMPUTED_VALUE"""),"BA")</f>
        <v>BA</v>
      </c>
      <c r="M236" s="27" t="str">
        <f ca="1">IFERROR(__xludf.DUMMYFUNCTION("""COMPUTED_VALUE"""),"Rua Dr. Odilon Machado 657")</f>
        <v>Rua Dr. Odilon Machado 657</v>
      </c>
      <c r="N236" s="27" t="str">
        <f ca="1">IFERROR(__xludf.DUMMYFUNCTION("""COMPUTED_VALUE"""),"IAPI")</f>
        <v>IAPI</v>
      </c>
      <c r="O236" s="27">
        <f ca="1">IFERROR(__xludf.DUMMYFUNCTION("""COMPUTED_VALUE"""),657)</f>
        <v>657</v>
      </c>
      <c r="P236" s="27" t="str">
        <f ca="1">IFERROR(__xludf.DUMMYFUNCTION("""COMPUTED_VALUE"""),"Salvador")</f>
        <v>Salvador</v>
      </c>
      <c r="Q236" s="27" t="str">
        <f ca="1">IFERROR(__xludf.DUMMYFUNCTION("""COMPUTED_VALUE"""),"Cond Jd. Santa Mônica Ed. Patricia APt 701")</f>
        <v>Cond Jd. Santa Mônica Ed. Patricia APt 701</v>
      </c>
      <c r="R236" s="27" t="str">
        <f ca="1">IFERROR(__xludf.DUMMYFUNCTION("""COMPUTED_VALUE"""),"40340-420")</f>
        <v>40340-420</v>
      </c>
      <c r="S236" s="27" t="str">
        <f ca="1">IFERROR(__xludf.DUMMYFUNCTION("""COMPUTED_VALUE"""),"Sim")</f>
        <v>Sim</v>
      </c>
      <c r="T236" s="27"/>
      <c r="U236" s="27" t="str">
        <f ca="1">IFERROR(__xludf.DUMMYFUNCTION("""COMPUTED_VALUE"""),"Adultos")</f>
        <v>Adultos</v>
      </c>
      <c r="V236" s="27" t="str">
        <f ca="1">IFERROR(__xludf.DUMMYFUNCTION("""COMPUTED_VALUE"""),"Afrodescendentes, Outros")</f>
        <v>Afrodescendentes, Outros</v>
      </c>
      <c r="W236" s="27">
        <f ca="1">IFERROR(__xludf.DUMMYFUNCTION("""COMPUTED_VALUE"""),5)</f>
        <v>5</v>
      </c>
      <c r="X236" s="27"/>
      <c r="Y236" s="27"/>
      <c r="Z236" s="27">
        <f ca="1">IFERROR(__xludf.DUMMYFUNCTION("""COMPUTED_VALUE"""),10)</f>
        <v>10</v>
      </c>
      <c r="AA236" s="29">
        <f ca="1">IFERROR(__xludf.DUMMYFUNCTION("""COMPUTED_VALUE"""),44321)</f>
        <v>44321</v>
      </c>
      <c r="AB236" s="27"/>
      <c r="AC236" s="27">
        <f ca="1">IFERROR(__xludf.DUMMYFUNCTION("""COMPUTED_VALUE"""),1)</f>
        <v>1</v>
      </c>
      <c r="AD236" s="27">
        <f ca="1">IFERROR(__xludf.DUMMYFUNCTION("""COMPUTED_VALUE"""),1)</f>
        <v>1</v>
      </c>
      <c r="AE236" s="27">
        <f ca="1">IFERROR(__xludf.DUMMYFUNCTION("""COMPUTED_VALUE"""),5)</f>
        <v>5</v>
      </c>
      <c r="AF236" s="27">
        <f ca="1">IFERROR(__xludf.DUMMYFUNCTION("""COMPUTED_VALUE"""),0)</f>
        <v>0</v>
      </c>
      <c r="AG236" s="27">
        <f ca="1">IFERROR(__xludf.DUMMYFUNCTION("""COMPUTED_VALUE"""),2)</f>
        <v>2</v>
      </c>
      <c r="AH236" s="27" t="str">
        <f ca="1">IFERROR(__xludf.DUMMYFUNCTION("""COMPUTED_VALUE"""),"Negócio Social")</f>
        <v>Negócio Social</v>
      </c>
      <c r="AI236" s="27">
        <f ca="1">IFERROR(__xludf.DUMMYFUNCTION("""COMPUTED_VALUE"""),1)</f>
        <v>1</v>
      </c>
      <c r="AJ236" s="27" t="str">
        <f ca="1">IFERROR(__xludf.DUMMYFUNCTION("""COMPUTED_VALUE"""),"Sim")</f>
        <v>Sim</v>
      </c>
      <c r="AK236" s="27"/>
      <c r="AL236" s="21" t="str">
        <f ca="1">IFERROR(__xludf.DUMMYFUNCTION("""COMPUTED_VALUE"""),"0034X000038zvcw")</f>
        <v>0034X000038zvcw</v>
      </c>
      <c r="AM236" s="27" t="str">
        <f ca="1">IFERROR(__xludf.DUMMYFUNCTION("""COMPUTED_VALUE"""),"Paula dos santos modesto")</f>
        <v>Paula dos santos modesto</v>
      </c>
      <c r="AN236" s="27" t="str">
        <f ca="1">IFERROR(__xludf.DUMMYFUNCTION("""COMPUTED_VALUE"""),"Ativo")</f>
        <v>Ativo</v>
      </c>
      <c r="AO236" s="29">
        <f ca="1">IFERROR(__xludf.DUMMYFUNCTION("""COMPUTED_VALUE"""),44763)</f>
        <v>44763</v>
      </c>
      <c r="AP236" s="27">
        <f ca="1">IFERROR(__xludf.DUMMYFUNCTION("""COMPUTED_VALUE"""),2)</f>
        <v>2</v>
      </c>
      <c r="AQ236" s="27" t="str">
        <f ca="1">IFERROR(__xludf.DUMMYFUNCTION("""COMPUTED_VALUE"""),"Primeiro Semestre 2022")</f>
        <v>Primeiro Semestre 2022</v>
      </c>
      <c r="AR236" s="27" t="str">
        <f ca="1">IFERROR(__xludf.DUMMYFUNCTION("""COMPUTED_VALUE"""),"anaoliveiramodestobernardo@gmail.com")</f>
        <v>anaoliveiramodestobernardo@gmail.com</v>
      </c>
      <c r="AS236" s="27">
        <f ca="1">IFERROR(__xludf.DUMMYFUNCTION("""COMPUTED_VALUE"""),11990110209)</f>
        <v>11990110209</v>
      </c>
      <c r="AT236" s="29">
        <f ca="1">IFERROR(__xludf.DUMMYFUNCTION("""COMPUTED_VALUE"""),29508)</f>
        <v>29508</v>
      </c>
      <c r="AU236" s="27">
        <f ca="1">IFERROR(__xludf.DUMMYFUNCTION("""COMPUTED_VALUE"""),42)</f>
        <v>42</v>
      </c>
      <c r="AV236" s="27">
        <f ca="1">IFERROR(__xludf.DUMMYFUNCTION("""COMPUTED_VALUE"""),28455670819)</f>
        <v>28455670819</v>
      </c>
      <c r="AW236" s="27" t="str">
        <f ca="1">IFERROR(__xludf.DUMMYFUNCTION("""COMPUTED_VALUE"""),"23.727.128-X")</f>
        <v>23.727.128-X</v>
      </c>
      <c r="AX236" s="27"/>
      <c r="AY236" s="27"/>
      <c r="AZ236" s="27" t="str">
        <f ca="1">IFERROR(__xludf.DUMMYFUNCTION("""COMPUTED_VALUE"""),"G2")</f>
        <v>G2</v>
      </c>
      <c r="BA236" s="27" t="str">
        <f ca="1">IFERROR(__xludf.DUMMYFUNCTION("""COMPUTED_VALUE"""),"Parda")</f>
        <v>Parda</v>
      </c>
      <c r="BB236" s="27" t="str">
        <f ca="1">IFERROR(__xludf.DUMMYFUNCTION("""COMPUTED_VALUE"""),"Mulher transgênero")</f>
        <v>Mulher transgênero</v>
      </c>
      <c r="BC236" s="27"/>
      <c r="BD236" s="27" t="str">
        <f ca="1">IFERROR(__xludf.DUMMYFUNCTION("""COMPUTED_VALUE"""),"Tenho 41 anos sou líder de minha comunidade* procuro fazer o meu melhor e trazer de benefícios e projetos que os proponha novos horizontes dentro de minhas condições e parcerias* sou auxiliar de enfermagem e amo minha profissão* amo cuidar de pessoas* amo"&amp;" fazer o bem aos meus e a quem se permite receber o bem* sou otimista porém não admito coisas erradas estou sempre abertas a novos aprendizados e oportunidades. Bom é isso!")</f>
        <v>Tenho 41 anos sou líder de minha comunidade* procuro fazer o meu melhor e trazer de benefícios e projetos que os proponha novos horizontes dentro de minhas condições e parcerias* sou auxiliar de enfermagem e amo minha profissão* amo cuidar de pessoas* amo fazer o bem aos meus e a quem se permite receber o bem* sou otimista porém não admito coisas erradas estou sempre abertas a novos aprendizados e oportunidades. Bom é isso!</v>
      </c>
      <c r="BE236" s="27" t="str">
        <f ca="1">IFERROR(__xludf.DUMMYFUNCTION("""COMPUTED_VALUE"""),"Feminino")</f>
        <v>Feminino</v>
      </c>
      <c r="BF236" s="27" t="str">
        <f ca="1">IFERROR(__xludf.DUMMYFUNCTION("""COMPUTED_VALUE"""),"Heterossexual")</f>
        <v>Heterossexual</v>
      </c>
      <c r="BG236" s="27" t="str">
        <f ca="1">IFERROR(__xludf.DUMMYFUNCTION("""COMPUTED_VALUE"""),"Ensino Médio")</f>
        <v>Ensino Médio</v>
      </c>
      <c r="BH236" s="27"/>
      <c r="BI236" s="27"/>
      <c r="BJ236" s="27"/>
      <c r="BK236" s="27" t="str">
        <f ca="1">IFERROR(__xludf.DUMMYFUNCTION("""COMPUTED_VALUE"""),"Rua koichi Yoshikawa")</f>
        <v>Rua koichi Yoshikawa</v>
      </c>
      <c r="BL236" s="27"/>
      <c r="BM236" s="27"/>
      <c r="BN236" s="27" t="str">
        <f ca="1">IFERROR(__xludf.DUMMYFUNCTION("""COMPUTED_VALUE"""),"Suzano")</f>
        <v>Suzano</v>
      </c>
      <c r="BO236" s="27" t="str">
        <f ca="1">IFERROR(__xludf.DUMMYFUNCTION("""COMPUTED_VALUE"""),"08683-200")</f>
        <v>08683-200</v>
      </c>
      <c r="BP236" s="27" t="str">
        <f ca="1">IFERROR(__xludf.DUMMYFUNCTION("""COMPUTED_VALUE"""),"SP")</f>
        <v>SP</v>
      </c>
      <c r="BQ236" s="27" t="str">
        <f ca="1">IFERROR(__xludf.DUMMYFUNCTION("""COMPUTED_VALUE"""),"Entre 1 até 3 salários mínimos")</f>
        <v>Entre 1 até 3 salários mínimos</v>
      </c>
      <c r="BR236" s="27" t="str">
        <f ca="1">IFERROR(__xludf.DUMMYFUNCTION("""COMPUTED_VALUE"""),"CLT")</f>
        <v>CLT</v>
      </c>
      <c r="BS236" s="27" t="str">
        <f ca="1">IFERROR(__xludf.DUMMYFUNCTION("""COMPUTED_VALUE"""),"Casa própria")</f>
        <v>Casa própria</v>
      </c>
      <c r="BT236" s="27">
        <f ca="1">IFERROR(__xludf.DUMMYFUNCTION("""COMPUTED_VALUE"""),7)</f>
        <v>7</v>
      </c>
      <c r="BU236" s="27"/>
      <c r="BV236" s="27"/>
      <c r="BW236" s="27"/>
      <c r="BX236" s="27"/>
      <c r="BY236" s="21" t="str">
        <f ca="1">IFERROR(__xludf.DUMMYFUNCTION("""COMPUTED_VALUE"""),"https://drive.google.com/open?id=1H_xJFtWztK_HgBtqRBCqFxyL6EDkqjQ-")</f>
        <v>https://drive.google.com/open?id=1H_xJFtWztK_HgBtqRBCqFxyL6EDkqjQ-</v>
      </c>
    </row>
    <row r="237" spans="1:77" ht="12.5" hidden="1" x14ac:dyDescent="0.25">
      <c r="A237" s="21" t="str">
        <f ca="1">IFERROR(__xludf.DUMMYFUNCTION("""COMPUTED_VALUE"""),"0014X00002VKCpwQAH")</f>
        <v>0014X00002VKCpwQAH</v>
      </c>
      <c r="B237" s="27" t="str">
        <f ca="1">IFERROR(__xludf.DUMMYFUNCTION("""COMPUTED_VALUE"""),"Fase Inicial")</f>
        <v>Fase Inicial</v>
      </c>
      <c r="C237" s="27" t="str">
        <f ca="1">IFERROR(__xludf.DUMMYFUNCTION("""COMPUTED_VALUE"""),"Fellow")</f>
        <v>Fellow</v>
      </c>
      <c r="D237" s="27" t="str">
        <f ca="1">IFERROR(__xludf.DUMMYFUNCTION("""COMPUTED_VALUE"""),"Ativo")</f>
        <v>Ativo</v>
      </c>
      <c r="E237" s="27" t="str">
        <f ca="1">IFERROR(__xludf.DUMMYFUNCTION("""COMPUTED_VALUE"""),"CONJER - Conselho Comunitário do Alto Jerusalém")</f>
        <v>CONJER - Conselho Comunitário do Alto Jerusalém</v>
      </c>
      <c r="F237" s="27" t="str">
        <f ca="1">IFERROR(__xludf.DUMMYFUNCTION("""COMPUTED_VALUE"""),"Francisca")</f>
        <v>Francisca</v>
      </c>
      <c r="G237" s="27" t="str">
        <f ca="1">IFERROR(__xludf.DUMMYFUNCTION("""COMPUTED_VALUE"""),"CONJER")</f>
        <v>CONJER</v>
      </c>
      <c r="H237" s="27" t="str">
        <f ca="1">IFERROR(__xludf.DUMMYFUNCTION("""COMPUTED_VALUE"""),"04.213.444/0001-66")</f>
        <v>04.213.444/0001-66</v>
      </c>
      <c r="I237" s="27" t="str">
        <f ca="1">IFERROR(__xludf.DUMMYFUNCTION("""COMPUTED_VALUE"""),"FRANCISCA SELMA FERREIRA GOMES")</f>
        <v>FRANCISCA SELMA FERREIRA GOMES</v>
      </c>
      <c r="J237" s="27" t="str">
        <f ca="1">IFERROR(__xludf.DUMMYFUNCTION("""COMPUTED_VALUE"""),"altojerusalem@gmail.com")</f>
        <v>altojerusalem@gmail.com</v>
      </c>
      <c r="K237" s="27" t="str">
        <f ca="1">IFERROR(__xludf.DUMMYFUNCTION("""COMPUTED_VALUE"""),"(85)8583-3154")</f>
        <v>(85)8583-3154</v>
      </c>
      <c r="L237" s="27" t="str">
        <f ca="1">IFERROR(__xludf.DUMMYFUNCTION("""COMPUTED_VALUE"""),"CE")</f>
        <v>CE</v>
      </c>
      <c r="M237" s="27" t="str">
        <f ca="1">IFERROR(__xludf.DUMMYFUNCTION("""COMPUTED_VALUE"""),"Moisés")</f>
        <v>Moisés</v>
      </c>
      <c r="N237" s="27" t="str">
        <f ca="1">IFERROR(__xludf.DUMMYFUNCTION("""COMPUTED_VALUE"""),"QUINTNO CUNHA")</f>
        <v>QUINTNO CUNHA</v>
      </c>
      <c r="O237" s="27">
        <f ca="1">IFERROR(__xludf.DUMMYFUNCTION("""COMPUTED_VALUE"""),290)</f>
        <v>290</v>
      </c>
      <c r="P237" s="27" t="str">
        <f ca="1">IFERROR(__xludf.DUMMYFUNCTION("""COMPUTED_VALUE"""),"Fortaleza")</f>
        <v>Fortaleza</v>
      </c>
      <c r="Q237" s="27"/>
      <c r="R237" s="27" t="str">
        <f ca="1">IFERROR(__xludf.DUMMYFUNCTION("""COMPUTED_VALUE"""),"60165-160")</f>
        <v>60165-160</v>
      </c>
      <c r="S237" s="27" t="str">
        <f ca="1">IFERROR(__xludf.DUMMYFUNCTION("""COMPUTED_VALUE"""),"não")</f>
        <v>não</v>
      </c>
      <c r="T237" s="27"/>
      <c r="U237" s="27" t="str">
        <f ca="1">IFERROR(__xludf.DUMMYFUNCTION("""COMPUTED_VALUE"""),"Crianças (6 a 12 anos), Adolescentes (12 aos 18 anos), Jovens (18 aos 24 anos), Adultos, Idosos (60 anos ou mais)")</f>
        <v>Crianças (6 a 12 anos), Adolescentes (12 aos 18 anos), Jovens (18 aos 24 anos), Adultos, Idosos (60 anos ou mais)</v>
      </c>
      <c r="V237" s="27" t="str">
        <f ca="1">IFERROR(__xludf.DUMMYFUNCTION("""COMPUTED_VALUE"""),"Moradores de Favelas")</f>
        <v>Moradores de Favelas</v>
      </c>
      <c r="W237" s="27">
        <f ca="1">IFERROR(__xludf.DUMMYFUNCTION("""COMPUTED_VALUE"""),4)</f>
        <v>4</v>
      </c>
      <c r="X237" s="27"/>
      <c r="Y237" s="27"/>
      <c r="Z237" s="27">
        <f ca="1">IFERROR(__xludf.DUMMYFUNCTION("""COMPUTED_VALUE"""),400)</f>
        <v>400</v>
      </c>
      <c r="AA237" s="29">
        <f ca="1">IFERROR(__xludf.DUMMYFUNCTION("""COMPUTED_VALUE"""),36880)</f>
        <v>36880</v>
      </c>
      <c r="AB237" s="27" t="str">
        <f ca="1">IFERROR(__xludf.DUMMYFUNCTION("""COMPUTED_VALUE"""),"Sim")</f>
        <v>Sim</v>
      </c>
      <c r="AC237" s="27">
        <f ca="1">IFERROR(__xludf.DUMMYFUNCTION("""COMPUTED_VALUE"""),0)</f>
        <v>0</v>
      </c>
      <c r="AD237" s="27">
        <f ca="1">IFERROR(__xludf.DUMMYFUNCTION("""COMPUTED_VALUE"""),0)</f>
        <v>0</v>
      </c>
      <c r="AE237" s="27">
        <f ca="1">IFERROR(__xludf.DUMMYFUNCTION("""COMPUTED_VALUE"""),12)</f>
        <v>12</v>
      </c>
      <c r="AF237" s="27">
        <f ca="1">IFERROR(__xludf.DUMMYFUNCTION("""COMPUTED_VALUE"""),12)</f>
        <v>12</v>
      </c>
      <c r="AG237" s="27">
        <f ca="1">IFERROR(__xludf.DUMMYFUNCTION("""COMPUTED_VALUE"""),2)</f>
        <v>2</v>
      </c>
      <c r="AH237" s="27" t="str">
        <f ca="1">IFERROR(__xludf.DUMMYFUNCTION("""COMPUTED_VALUE"""),"Eventos/Ações para captação, Doações")</f>
        <v>Eventos/Ações para captação, Doações</v>
      </c>
      <c r="AI237" s="27">
        <f ca="1">IFERROR(__xludf.DUMMYFUNCTION("""COMPUTED_VALUE"""),0)</f>
        <v>0</v>
      </c>
      <c r="AJ237" s="27" t="str">
        <f ca="1">IFERROR(__xludf.DUMMYFUNCTION("""COMPUTED_VALUE"""),"Não")</f>
        <v>Não</v>
      </c>
      <c r="AK237" s="27"/>
      <c r="AL237" s="21" t="str">
        <f ca="1">IFERROR(__xludf.DUMMYFUNCTION("""COMPUTED_VALUE"""),"0034X0000380O2U")</f>
        <v>0034X0000380O2U</v>
      </c>
      <c r="AM237" s="27" t="str">
        <f ca="1">IFERROR(__xludf.DUMMYFUNCTION("""COMPUTED_VALUE"""),"Selma ferreira gomes")</f>
        <v>Selma ferreira gomes</v>
      </c>
      <c r="AN237" s="27" t="str">
        <f ca="1">IFERROR(__xludf.DUMMYFUNCTION("""COMPUTED_VALUE"""),"Ativo")</f>
        <v>Ativo</v>
      </c>
      <c r="AO237" s="29">
        <f ca="1">IFERROR(__xludf.DUMMYFUNCTION("""COMPUTED_VALUE"""),44763)</f>
        <v>44763</v>
      </c>
      <c r="AP237" s="27">
        <f ca="1">IFERROR(__xludf.DUMMYFUNCTION("""COMPUTED_VALUE"""),2)</f>
        <v>2</v>
      </c>
      <c r="AQ237" s="27" t="str">
        <f ca="1">IFERROR(__xludf.DUMMYFUNCTION("""COMPUTED_VALUE"""),"Primeiro Semestre 2022")</f>
        <v>Primeiro Semestre 2022</v>
      </c>
      <c r="AR237" s="27" t="str">
        <f ca="1">IFERROR(__xludf.DUMMYFUNCTION("""COMPUTED_VALUE"""),"selmagomes3456@gmail.com")</f>
        <v>selmagomes3456@gmail.com</v>
      </c>
      <c r="AS237" s="27">
        <f ca="1">IFERROR(__xludf.DUMMYFUNCTION("""COMPUTED_VALUE"""),85986614323)</f>
        <v>85986614323</v>
      </c>
      <c r="AT237" s="30">
        <f ca="1">IFERROR(__xludf.DUMMYFUNCTION("""COMPUTED_VALUE"""),27423)</f>
        <v>27423</v>
      </c>
      <c r="AU237" s="27">
        <f ca="1">IFERROR(__xludf.DUMMYFUNCTION("""COMPUTED_VALUE"""),47)</f>
        <v>47</v>
      </c>
      <c r="AV237" s="27">
        <f ca="1">IFERROR(__xludf.DUMMYFUNCTION("""COMPUTED_VALUE"""),71491309334)</f>
        <v>71491309334</v>
      </c>
      <c r="AW237" s="27">
        <f ca="1">IFERROR(__xludf.DUMMYFUNCTION("""COMPUTED_VALUE"""),93020002521)</f>
        <v>93020002521</v>
      </c>
      <c r="AX237" s="27"/>
      <c r="AY237" s="27"/>
      <c r="AZ237" s="27" t="str">
        <f ca="1">IFERROR(__xludf.DUMMYFUNCTION("""COMPUTED_VALUE"""),"G")</f>
        <v>G</v>
      </c>
      <c r="BA237" s="27" t="str">
        <f ca="1">IFERROR(__xludf.DUMMYFUNCTION("""COMPUTED_VALUE"""),"Parda")</f>
        <v>Parda</v>
      </c>
      <c r="BB237" s="27"/>
      <c r="BC237" s="27"/>
      <c r="BD237" s="27" t="str">
        <f ca="1">IFERROR(__xludf.DUMMYFUNCTION("""COMPUTED_VALUE"""),"Me chamo Selma * tenho 46 anos * moro na favela do Alto Jerusalém desde os 14 anos * idade com que comecei a ser voluntária na associação de moradores* desde então tenho me dedicado ao social* seja na comunidade* nas pastorais sociais * nos conselhos de A"&amp;"ssistência e onde houver necessidade de uma voz em defesa dos direitos humanos e sociais. Tenho um filho ( lindo) de 22 anos que também é engajado nos projetos sociais da comunidade. Estou concluindo minha graduação em serviço social. Atualmente estou com"&amp;"o presidente do CONJER- Conselho Comunitário do Alto Jerusalém* instituição que trabalha com diversos projetos na favela.")</f>
        <v>Me chamo Selma * tenho 46 anos * moro na favela do Alto Jerusalém desde os 14 anos * idade com que comecei a ser voluntária na associação de moradores* desde então tenho me dedicado ao social* seja na comunidade* nas pastorais sociais * nos conselhos de Assistência e onde houver necessidade de uma voz em defesa dos direitos humanos e sociais. Tenho um filho ( lindo) de 22 anos que também é engajado nos projetos sociais da comunidade. Estou concluindo minha graduação em serviço social. Atualmente estou como presidente do CONJER- Conselho Comunitário do Alto Jerusalém* instituição que trabalha com diversos projetos na favela.</v>
      </c>
      <c r="BE237" s="27" t="str">
        <f ca="1">IFERROR(__xludf.DUMMYFUNCTION("""COMPUTED_VALUE"""),"Feminino")</f>
        <v>Feminino</v>
      </c>
      <c r="BF237" s="27" t="str">
        <f ca="1">IFERROR(__xludf.DUMMYFUNCTION("""COMPUTED_VALUE"""),"Heterossexual")</f>
        <v>Heterossexual</v>
      </c>
      <c r="BG237" s="27"/>
      <c r="BH237" s="27" t="str">
        <f ca="1">IFERROR(__xludf.DUMMYFUNCTION("""COMPUTED_VALUE"""),"Público")</f>
        <v>Público</v>
      </c>
      <c r="BI237" s="27"/>
      <c r="BJ237" s="27"/>
      <c r="BK237" s="27" t="str">
        <f ca="1">IFERROR(__xludf.DUMMYFUNCTION("""COMPUTED_VALUE"""),"Avenida Independência")</f>
        <v>Avenida Independência</v>
      </c>
      <c r="BL237" s="27">
        <f ca="1">IFERROR(__xludf.DUMMYFUNCTION("""COMPUTED_VALUE"""),2583)</f>
        <v>2583</v>
      </c>
      <c r="BM237" s="27"/>
      <c r="BN237" s="27"/>
      <c r="BO237" s="27">
        <f ca="1">IFERROR(__xludf.DUMMYFUNCTION("""COMPUTED_VALUE"""),60353165)</f>
        <v>60353165</v>
      </c>
      <c r="BP237" s="27" t="str">
        <f ca="1">IFERROR(__xludf.DUMMYFUNCTION("""COMPUTED_VALUE"""),"CE")</f>
        <v>CE</v>
      </c>
      <c r="BQ237" s="27" t="str">
        <f ca="1">IFERROR(__xludf.DUMMYFUNCTION("""COMPUTED_VALUE"""),"De 3 até 5 salários mínimos")</f>
        <v>De 3 até 5 salários mínimos</v>
      </c>
      <c r="BR237" s="27" t="str">
        <f ca="1">IFERROR(__xludf.DUMMYFUNCTION("""COMPUTED_VALUE"""),"CLT")</f>
        <v>CLT</v>
      </c>
      <c r="BS237" s="27" t="str">
        <f ca="1">IFERROR(__xludf.DUMMYFUNCTION("""COMPUTED_VALUE"""),"Aluguel")</f>
        <v>Aluguel</v>
      </c>
      <c r="BT237" s="27">
        <f ca="1">IFERROR(__xludf.DUMMYFUNCTION("""COMPUTED_VALUE"""),7)</f>
        <v>7</v>
      </c>
      <c r="BU237" s="27" t="str">
        <f ca="1">IFERROR(__xludf.DUMMYFUNCTION("""COMPUTED_VALUE"""),"Não tem")</f>
        <v>Não tem</v>
      </c>
      <c r="BV237" s="27" t="str">
        <f ca="1">IFERROR(__xludf.DUMMYFUNCTION("""COMPUTED_VALUE"""),"Não")</f>
        <v>Não</v>
      </c>
      <c r="BW237" s="27"/>
      <c r="BX237" s="27"/>
      <c r="BY237" s="21" t="str">
        <f ca="1">IFERROR(__xludf.DUMMYFUNCTION("""COMPUTED_VALUE"""),"https://drive.google.com/open?id=1PfbGNl0JS3wD9XQbpc4Dmax5oiWgqZO4")</f>
        <v>https://drive.google.com/open?id=1PfbGNl0JS3wD9XQbpc4Dmax5oiWgqZO4</v>
      </c>
    </row>
    <row r="238" spans="1:77" ht="12.5" hidden="1" x14ac:dyDescent="0.25">
      <c r="A238" s="21" t="str">
        <f ca="1">IFERROR(__xludf.DUMMYFUNCTION("""COMPUTED_VALUE"""),"0014X00002VKCq1QAH")</f>
        <v>0014X00002VKCq1QAH</v>
      </c>
      <c r="B238" s="27" t="str">
        <f ca="1">IFERROR(__xludf.DUMMYFUNCTION("""COMPUTED_VALUE"""),"Fase Inicial")</f>
        <v>Fase Inicial</v>
      </c>
      <c r="C238" s="27" t="str">
        <f ca="1">IFERROR(__xludf.DUMMYFUNCTION("""COMPUTED_VALUE"""),"Fellow")</f>
        <v>Fellow</v>
      </c>
      <c r="D238" s="27" t="str">
        <f ca="1">IFERROR(__xludf.DUMMYFUNCTION("""COMPUTED_VALUE"""),"Ativo")</f>
        <v>Ativo</v>
      </c>
      <c r="E238" s="27" t="str">
        <f ca="1">IFERROR(__xludf.DUMMYFUNCTION("""COMPUTED_VALUE"""),"Conselho Comunitário de Ações Sociais do Conjunto Vila Velha")</f>
        <v>Conselho Comunitário de Ações Sociais do Conjunto Vila Velha</v>
      </c>
      <c r="F238" s="27" t="str">
        <f ca="1">IFERROR(__xludf.DUMMYFUNCTION("""COMPUTED_VALUE"""),"Gloria")</f>
        <v>Gloria</v>
      </c>
      <c r="G238" s="27" t="str">
        <f ca="1">IFERROR(__xludf.DUMMYFUNCTION("""COMPUTED_VALUE"""),"CENTRO DE INTEGRAÇÃO SOCIAL")</f>
        <v>CENTRO DE INTEGRAÇÃO SOCIAL</v>
      </c>
      <c r="H238" s="27" t="str">
        <f ca="1">IFERROR(__xludf.DUMMYFUNCTION("""COMPUTED_VALUE"""),"03.275.495/0001-50")</f>
        <v>03.275.495/0001-50</v>
      </c>
      <c r="I238" s="27" t="str">
        <f ca="1">IFERROR(__xludf.DUMMYFUNCTION("""COMPUTED_VALUE"""),"Glória Maria Silveira dos Santos")</f>
        <v>Glória Maria Silveira dos Santos</v>
      </c>
      <c r="J238" s="27" t="str">
        <f ca="1">IFERROR(__xludf.DUMMYFUNCTION("""COMPUTED_VALUE"""),"conselhocomunitariocis@gmail.com")</f>
        <v>conselhocomunitariocis@gmail.com</v>
      </c>
      <c r="K238" s="27" t="str">
        <f ca="1">IFERROR(__xludf.DUMMYFUNCTION("""COMPUTED_VALUE"""),"(85)99183-6587")</f>
        <v>(85)99183-6587</v>
      </c>
      <c r="L238" s="27" t="str">
        <f ca="1">IFERROR(__xludf.DUMMYFUNCTION("""COMPUTED_VALUE"""),"CE")</f>
        <v>CE</v>
      </c>
      <c r="M238" s="27" t="str">
        <f ca="1">IFERROR(__xludf.DUMMYFUNCTION("""COMPUTED_VALUE"""),"Rua E")</f>
        <v>Rua E</v>
      </c>
      <c r="N238" s="27" t="str">
        <f ca="1">IFERROR(__xludf.DUMMYFUNCTION("""COMPUTED_VALUE"""),"Vila velha 2")</f>
        <v>Vila velha 2</v>
      </c>
      <c r="O238" s="27">
        <f ca="1">IFERROR(__xludf.DUMMYFUNCTION("""COMPUTED_VALUE"""),314)</f>
        <v>314</v>
      </c>
      <c r="P238" s="27" t="str">
        <f ca="1">IFERROR(__xludf.DUMMYFUNCTION("""COMPUTED_VALUE"""),"Fortaleza")</f>
        <v>Fortaleza</v>
      </c>
      <c r="Q238" s="27"/>
      <c r="R238" s="27" t="str">
        <f ca="1">IFERROR(__xludf.DUMMYFUNCTION("""COMPUTED_VALUE"""),"60349-050")</f>
        <v>60349-050</v>
      </c>
      <c r="S238" s="27" t="str">
        <f ca="1">IFERROR(__xludf.DUMMYFUNCTION("""COMPUTED_VALUE"""),"No momento não")</f>
        <v>No momento não</v>
      </c>
      <c r="T238" s="27"/>
      <c r="U238"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238" s="27" t="str">
        <f ca="1">IFERROR(__xludf.DUMMYFUNCTION("""COMPUTED_VALUE"""),"Moradores de Favelas, População LGBTQ+, Dependentes Químicos")</f>
        <v>Moradores de Favelas, População LGBTQ+, Dependentes Químicos</v>
      </c>
      <c r="W238" s="27">
        <f ca="1">IFERROR(__xludf.DUMMYFUNCTION("""COMPUTED_VALUE"""),2000)</f>
        <v>2000</v>
      </c>
      <c r="X238" s="27"/>
      <c r="Y238" s="27"/>
      <c r="Z238" s="27">
        <f ca="1">IFERROR(__xludf.DUMMYFUNCTION("""COMPUTED_VALUE"""),100)</f>
        <v>100</v>
      </c>
      <c r="AA238" s="30">
        <f ca="1">IFERROR(__xludf.DUMMYFUNCTION("""COMPUTED_VALUE"""),36330)</f>
        <v>36330</v>
      </c>
      <c r="AB238" s="27" t="str">
        <f ca="1">IFERROR(__xludf.DUMMYFUNCTION("""COMPUTED_VALUE"""),"Sim")</f>
        <v>Sim</v>
      </c>
      <c r="AC238" s="27">
        <f ca="1">IFERROR(__xludf.DUMMYFUNCTION("""COMPUTED_VALUE"""),0)</f>
        <v>0</v>
      </c>
      <c r="AD238" s="27">
        <f ca="1">IFERROR(__xludf.DUMMYFUNCTION("""COMPUTED_VALUE"""),20)</f>
        <v>20</v>
      </c>
      <c r="AE238" s="27">
        <f ca="1">IFERROR(__xludf.DUMMYFUNCTION("""COMPUTED_VALUE"""),15)</f>
        <v>15</v>
      </c>
      <c r="AF238" s="27">
        <f ca="1">IFERROR(__xludf.DUMMYFUNCTION("""COMPUTED_VALUE"""),19)</f>
        <v>19</v>
      </c>
      <c r="AG238" s="27">
        <f ca="1">IFERROR(__xludf.DUMMYFUNCTION("""COMPUTED_VALUE"""),2)</f>
        <v>2</v>
      </c>
      <c r="AH238" s="27" t="str">
        <f ca="1">IFERROR(__xludf.DUMMYFUNCTION("""COMPUTED_VALUE"""),"Eventos/Ações para captação, Doações")</f>
        <v>Eventos/Ações para captação, Doações</v>
      </c>
      <c r="AI238" s="27" t="str">
        <f ca="1">IFERROR(__xludf.DUMMYFUNCTION("""COMPUTED_VALUE"""),"60% eventos, 40% Doações")</f>
        <v>60% eventos, 40% Doações</v>
      </c>
      <c r="AJ238" s="27" t="str">
        <f ca="1">IFERROR(__xludf.DUMMYFUNCTION("""COMPUTED_VALUE"""),"Vamos iniciar esse ano")</f>
        <v>Vamos iniciar esse ano</v>
      </c>
      <c r="AK238" s="27"/>
      <c r="AL238" s="21" t="str">
        <f ca="1">IFERROR(__xludf.DUMMYFUNCTION("""COMPUTED_VALUE"""),"0034X0000380O1G")</f>
        <v>0034X0000380O1G</v>
      </c>
      <c r="AM238" s="27" t="str">
        <f ca="1">IFERROR(__xludf.DUMMYFUNCTION("""COMPUTED_VALUE"""),"Maria silveira dos santos")</f>
        <v>Maria silveira dos santos</v>
      </c>
      <c r="AN238" s="27" t="str">
        <f ca="1">IFERROR(__xludf.DUMMYFUNCTION("""COMPUTED_VALUE"""),"Ativo")</f>
        <v>Ativo</v>
      </c>
      <c r="AO238" s="27"/>
      <c r="AP238" s="27"/>
      <c r="AQ238" s="27" t="str">
        <f ca="1">IFERROR(__xludf.DUMMYFUNCTION("""COMPUTED_VALUE"""),"Primeiro Semestre 2022")</f>
        <v>Primeiro Semestre 2022</v>
      </c>
      <c r="AR238" s="27" t="str">
        <f ca="1">IFERROR(__xludf.DUMMYFUNCTION("""COMPUTED_VALUE"""),"godoiamaria7@gmail.com")</f>
        <v>godoiamaria7@gmail.com</v>
      </c>
      <c r="AS238" s="27">
        <f ca="1">IFERROR(__xludf.DUMMYFUNCTION("""COMPUTED_VALUE"""),85991836587)</f>
        <v>85991836587</v>
      </c>
      <c r="AT238" s="29">
        <f ca="1">IFERROR(__xludf.DUMMYFUNCTION("""COMPUTED_VALUE"""),24799)</f>
        <v>24799</v>
      </c>
      <c r="AU238" s="27">
        <f ca="1">IFERROR(__xludf.DUMMYFUNCTION("""COMPUTED_VALUE"""),55)</f>
        <v>55</v>
      </c>
      <c r="AV238" s="27">
        <f ca="1">IFERROR(__xludf.DUMMYFUNCTION("""COMPUTED_VALUE"""),31005691304)</f>
        <v>31005691304</v>
      </c>
      <c r="AW238" s="27">
        <f ca="1">IFERROR(__xludf.DUMMYFUNCTION("""COMPUTED_VALUE"""),91002321460)</f>
        <v>91002321460</v>
      </c>
      <c r="AX238" s="27"/>
      <c r="AY238" s="27"/>
      <c r="AZ238" s="27" t="str">
        <f ca="1">IFERROR(__xludf.DUMMYFUNCTION("""COMPUTED_VALUE"""),"GG")</f>
        <v>GG</v>
      </c>
      <c r="BA238" s="27" t="str">
        <f ca="1">IFERROR(__xludf.DUMMYFUNCTION("""COMPUTED_VALUE"""),"Parda")</f>
        <v>Parda</v>
      </c>
      <c r="BB238" s="27"/>
      <c r="BC238" s="27"/>
      <c r="BD238" s="27" t="str">
        <f ca="1">IFERROR(__xludf.DUMMYFUNCTION("""COMPUTED_VALUE"""),"Filha de mãe solteira* aos 14 anos comecei a dedicar-me a cursos na perspectiva de conquistar o primeiro emprego para ajudar na sustentabilidade da casa com 7 irmãos* todos alunos da rede pública* que por muitas vezes nosso almoço e janta era o que comíam"&amp;"os na escola.  Aos 17 anos conquistei o meu primeiro emprego com carteira assinada onde tive que alterar minha idade de nascimento passando apenas 2 anos com carteira assinada. Casei aos 19 anos* aos 20 tive minha primeira filha e conquistei o direito da "&amp;"casa própria contribuindo com a diretoria da Associação dos moradores do bairro do Tirou (Favela). Eleita presidente da SCHP - São Francisco de Assis me dediquei por tempo integral a minha vida como voluntária para a comunidade criada no Conjunto Vila vel"&amp;"ha no ano de 1992 quando construímos as casas de mutirão habitacional. Percebendo que apenas moradia não traria a dignidade a comunidade buscamos alternativas para melhorar a condição de vida de seus habitantes. Aos 35 anos tive meu segundo filho e aos 50"&amp;" anos tive novamente minha carteira assinada* continuo dedicando-me ao social e tendo ainda certeza que é preciso continuar fazendo o bem.")</f>
        <v>Filha de mãe solteira* aos 14 anos comecei a dedicar-me a cursos na perspectiva de conquistar o primeiro emprego para ajudar na sustentabilidade da casa com 7 irmãos* todos alunos da rede pública* que por muitas vezes nosso almoço e janta era o que comíamos na escola.  Aos 17 anos conquistei o meu primeiro emprego com carteira assinada onde tive que alterar minha idade de nascimento passando apenas 2 anos com carteira assinada. Casei aos 19 anos* aos 20 tive minha primeira filha e conquistei o direito da casa própria contribuindo com a diretoria da Associação dos moradores do bairro do Tirou (Favela). Eleita presidente da SCHP - São Francisco de Assis me dediquei por tempo integral a minha vida como voluntária para a comunidade criada no Conjunto Vila velha no ano de 1992 quando construímos as casas de mutirão habitacional. Percebendo que apenas moradia não traria a dignidade a comunidade buscamos alternativas para melhorar a condição de vida de seus habitantes. Aos 35 anos tive meu segundo filho e aos 50 anos tive novamente minha carteira assinada* continuo dedicando-me ao social e tendo ainda certeza que é preciso continuar fazendo o bem.</v>
      </c>
      <c r="BE238" s="27" t="str">
        <f ca="1">IFERROR(__xludf.DUMMYFUNCTION("""COMPUTED_VALUE"""),"Feminino")</f>
        <v>Feminino</v>
      </c>
      <c r="BF238" s="27" t="str">
        <f ca="1">IFERROR(__xludf.DUMMYFUNCTION("""COMPUTED_VALUE"""),"Heterossexual")</f>
        <v>Heterossexual</v>
      </c>
      <c r="BG238" s="27"/>
      <c r="BH238" s="27" t="str">
        <f ca="1">IFERROR(__xludf.DUMMYFUNCTION("""COMPUTED_VALUE"""),"Público")</f>
        <v>Público</v>
      </c>
      <c r="BI238" s="27"/>
      <c r="BJ238" s="27"/>
      <c r="BK238" s="27" t="str">
        <f ca="1">IFERROR(__xludf.DUMMYFUNCTION("""COMPUTED_VALUE"""),"Rua 22")</f>
        <v>Rua 22</v>
      </c>
      <c r="BL238" s="27">
        <f ca="1">IFERROR(__xludf.DUMMYFUNCTION("""COMPUTED_VALUE"""),617)</f>
        <v>617</v>
      </c>
      <c r="BM238" s="27"/>
      <c r="BN238" s="27"/>
      <c r="BO238" s="27">
        <f ca="1">IFERROR(__xludf.DUMMYFUNCTION("""COMPUTED_VALUE"""),60348200)</f>
        <v>60348200</v>
      </c>
      <c r="BP238" s="27" t="str">
        <f ca="1">IFERROR(__xludf.DUMMYFUNCTION("""COMPUTED_VALUE"""),"CE")</f>
        <v>CE</v>
      </c>
      <c r="BQ238" s="27" t="str">
        <f ca="1">IFERROR(__xludf.DUMMYFUNCTION("""COMPUTED_VALUE"""),"Entre 1 até 3 salários mínimos")</f>
        <v>Entre 1 até 3 salários mínimos</v>
      </c>
      <c r="BR238" s="27" t="str">
        <f ca="1">IFERROR(__xludf.DUMMYFUNCTION("""COMPUTED_VALUE"""),"CLT")</f>
        <v>CLT</v>
      </c>
      <c r="BS238" s="27" t="str">
        <f ca="1">IFERROR(__xludf.DUMMYFUNCTION("""COMPUTED_VALUE"""),"Casa própria")</f>
        <v>Casa própria</v>
      </c>
      <c r="BT238" s="27">
        <f ca="1">IFERROR(__xludf.DUMMYFUNCTION("""COMPUTED_VALUE"""),2)</f>
        <v>2</v>
      </c>
      <c r="BU238" s="27" t="str">
        <f ca="1">IFERROR(__xludf.DUMMYFUNCTION("""COMPUTED_VALUE"""),"Não tem")</f>
        <v>Não tem</v>
      </c>
      <c r="BV238" s="27" t="str">
        <f ca="1">IFERROR(__xludf.DUMMYFUNCTION("""COMPUTED_VALUE"""),"Não")</f>
        <v>Não</v>
      </c>
      <c r="BW238" s="27"/>
      <c r="BX238" s="27"/>
      <c r="BY238" s="21" t="str">
        <f ca="1">IFERROR(__xludf.DUMMYFUNCTION("""COMPUTED_VALUE"""),"https://drive.google.com/open?id=12SJaODvFWo7gGyc52I8n2z4lQea1JvcN")</f>
        <v>https://drive.google.com/open?id=12SJaODvFWo7gGyc52I8n2z4lQea1JvcN</v>
      </c>
    </row>
    <row r="239" spans="1:77" ht="12.5" hidden="1" x14ac:dyDescent="0.25">
      <c r="A239" s="21" t="str">
        <f ca="1">IFERROR(__xludf.DUMMYFUNCTION("""COMPUTED_VALUE"""),"0014X00002VKCr2QAH")</f>
        <v>0014X00002VKCr2QAH</v>
      </c>
      <c r="B239" s="27" t="str">
        <f ca="1">IFERROR(__xludf.DUMMYFUNCTION("""COMPUTED_VALUE"""),"Fase Inicial")</f>
        <v>Fase Inicial</v>
      </c>
      <c r="C239" s="27" t="str">
        <f ca="1">IFERROR(__xludf.DUMMYFUNCTION("""COMPUTED_VALUE"""),"Fellow")</f>
        <v>Fellow</v>
      </c>
      <c r="D239" s="27" t="str">
        <f ca="1">IFERROR(__xludf.DUMMYFUNCTION("""COMPUTED_VALUE"""),"Ativo")</f>
        <v>Ativo</v>
      </c>
      <c r="E239" s="27" t="str">
        <f ca="1">IFERROR(__xludf.DUMMYFUNCTION("""COMPUTED_VALUE"""),"CONSELHO DE APOIO AS ASSOCIAÇOES DE UBERABA")</f>
        <v>CONSELHO DE APOIO AS ASSOCIAÇOES DE UBERABA</v>
      </c>
      <c r="F239" s="27" t="str">
        <f ca="1">IFERROR(__xludf.DUMMYFUNCTION("""COMPUTED_VALUE"""),"Maria")</f>
        <v>Maria</v>
      </c>
      <c r="G239" s="27" t="str">
        <f ca="1">IFERROR(__xludf.DUMMYFUNCTION("""COMPUTED_VALUE"""),"CONSELHO ASSOCIAÇÃO")</f>
        <v>CONSELHO ASSOCIAÇÃO</v>
      </c>
      <c r="H239" s="27" t="str">
        <f ca="1">IFERROR(__xludf.DUMMYFUNCTION("""COMPUTED_VALUE"""),"21.968.484/0001-37")</f>
        <v>21.968.484/0001-37</v>
      </c>
      <c r="I239" s="27" t="str">
        <f ca="1">IFERROR(__xludf.DUMMYFUNCTION("""COMPUTED_VALUE"""),"Maria Aparecida Ferreira Alves")</f>
        <v>Maria Aparecida Ferreira Alves</v>
      </c>
      <c r="J239" s="27" t="str">
        <f ca="1">IFERROR(__xludf.DUMMYFUNCTION("""COMPUTED_VALUE"""),"cidaferreiraalves1@gmail.com")</f>
        <v>cidaferreiraalves1@gmail.com</v>
      </c>
      <c r="K239" s="27" t="str">
        <f ca="1">IFERROR(__xludf.DUMMYFUNCTION("""COMPUTED_VALUE"""),"(34)99894-5101")</f>
        <v>(34)99894-5101</v>
      </c>
      <c r="L239" s="27" t="str">
        <f ca="1">IFERROR(__xludf.DUMMYFUNCTION("""COMPUTED_VALUE"""),"MG")</f>
        <v>MG</v>
      </c>
      <c r="M239" s="27" t="str">
        <f ca="1">IFERROR(__xludf.DUMMYFUNCTION("""COMPUTED_VALUE"""),"José Marajo de Carvalho")</f>
        <v>José Marajo de Carvalho</v>
      </c>
      <c r="N239" s="27" t="str">
        <f ca="1">IFERROR(__xludf.DUMMYFUNCTION("""COMPUTED_VALUE"""),"Vila São Cristóvão")</f>
        <v>Vila São Cristóvão</v>
      </c>
      <c r="O239" s="27">
        <f ca="1">IFERROR(__xludf.DUMMYFUNCTION("""COMPUTED_VALUE"""),85)</f>
        <v>85</v>
      </c>
      <c r="P239" s="27" t="str">
        <f ca="1">IFERROR(__xludf.DUMMYFUNCTION("""COMPUTED_VALUE"""),"Uberaba")</f>
        <v>Uberaba</v>
      </c>
      <c r="Q239" s="27"/>
      <c r="R239" s="27" t="str">
        <f ca="1">IFERROR(__xludf.DUMMYFUNCTION("""COMPUTED_VALUE"""),"38040-330")</f>
        <v>38040-330</v>
      </c>
      <c r="S239" s="27" t="str">
        <f ca="1">IFERROR(__xludf.DUMMYFUNCTION("""COMPUTED_VALUE"""),"Sim -Faculdade Talentos Humanos")</f>
        <v>Sim -Faculdade Talentos Humanos</v>
      </c>
      <c r="T239" s="27"/>
      <c r="U239" s="27" t="str">
        <f ca="1">IFERROR(__xludf.DUMMYFUNCTION("""COMPUTED_VALUE"""),"Crianças pequenas (4 anos a 5 anos e 11 meses), Crianças (6 a 12 anos), Adolescentes (12 aos 18 anos), Adultos")</f>
        <v>Crianças pequenas (4 anos a 5 anos e 11 meses), Crianças (6 a 12 anos), Adolescentes (12 aos 18 anos), Adultos</v>
      </c>
      <c r="V239" s="27" t="str">
        <f ca="1">IFERROR(__xludf.DUMMYFUNCTION("""COMPUTED_VALUE"""),"Moradores de Favelas")</f>
        <v>Moradores de Favelas</v>
      </c>
      <c r="W239" s="27">
        <f ca="1">IFERROR(__xludf.DUMMYFUNCTION("""COMPUTED_VALUE"""),15)</f>
        <v>15</v>
      </c>
      <c r="X239" s="27" t="str">
        <f ca="1">IFERROR(__xludf.DUMMYFUNCTION("""COMPUTED_VALUE"""),"PUBLICO ATENDIDO* ADULTOS* CRIANÇAS E ADOLESCENTES")</f>
        <v>PUBLICO ATENDIDO* ADULTOS* CRIANÇAS E ADOLESCENTES</v>
      </c>
      <c r="Y239" s="27"/>
      <c r="Z239" s="27">
        <f ca="1">IFERROR(__xludf.DUMMYFUNCTION("""COMPUTED_VALUE"""),25)</f>
        <v>25</v>
      </c>
      <c r="AA239" s="29">
        <f ca="1">IFERROR(__xludf.DUMMYFUNCTION("""COMPUTED_VALUE"""),41989)</f>
        <v>41989</v>
      </c>
      <c r="AB239" s="27" t="str">
        <f ca="1">IFERROR(__xludf.DUMMYFUNCTION("""COMPUTED_VALUE"""),"Sim")</f>
        <v>Sim</v>
      </c>
      <c r="AC239" s="27">
        <f ca="1">IFERROR(__xludf.DUMMYFUNCTION("""COMPUTED_VALUE"""),8)</f>
        <v>8</v>
      </c>
      <c r="AD239" s="27">
        <f ca="1">IFERROR(__xludf.DUMMYFUNCTION("""COMPUTED_VALUE"""),8)</f>
        <v>8</v>
      </c>
      <c r="AE239" s="27">
        <f ca="1">IFERROR(__xludf.DUMMYFUNCTION("""COMPUTED_VALUE"""),9)</f>
        <v>9</v>
      </c>
      <c r="AF239" s="27">
        <f ca="1">IFERROR(__xludf.DUMMYFUNCTION("""COMPUTED_VALUE"""),8)</f>
        <v>8</v>
      </c>
      <c r="AG239" s="27">
        <f ca="1">IFERROR(__xludf.DUMMYFUNCTION("""COMPUTED_VALUE"""),3)</f>
        <v>3</v>
      </c>
      <c r="AH239" s="27" t="str">
        <f ca="1">IFERROR(__xludf.DUMMYFUNCTION("""COMPUTED_VALUE"""),"Outro(s), Doações, Recursos próprios")</f>
        <v>Outro(s), Doações, Recursos próprios</v>
      </c>
      <c r="AI239" s="27" t="str">
        <f ca="1">IFERROR(__xludf.DUMMYFUNCTION("""COMPUTED_VALUE"""),"50%doações 25% recursos próprios e 25 % CAMPANHAS")</f>
        <v>50%doações 25% recursos próprios e 25 % CAMPANHAS</v>
      </c>
      <c r="AJ239" s="27" t="str">
        <f ca="1">IFERROR(__xludf.DUMMYFUNCTION("""COMPUTED_VALUE"""),"Sim")</f>
        <v>Sim</v>
      </c>
      <c r="AK239" s="27"/>
      <c r="AL239" s="21" t="str">
        <f ca="1">IFERROR(__xludf.DUMMYFUNCTION("""COMPUTED_VALUE"""),"0034X0000380O10")</f>
        <v>0034X0000380O10</v>
      </c>
      <c r="AM239" s="27" t="str">
        <f ca="1">IFERROR(__xludf.DUMMYFUNCTION("""COMPUTED_VALUE"""),"Aparecida ferreira alves")</f>
        <v>Aparecida ferreira alves</v>
      </c>
      <c r="AN239" s="27" t="str">
        <f ca="1">IFERROR(__xludf.DUMMYFUNCTION("""COMPUTED_VALUE"""),"Ativo")</f>
        <v>Ativo</v>
      </c>
      <c r="AO239" s="29">
        <f ca="1">IFERROR(__xludf.DUMMYFUNCTION("""COMPUTED_VALUE"""),44763)</f>
        <v>44763</v>
      </c>
      <c r="AP239" s="27">
        <f ca="1">IFERROR(__xludf.DUMMYFUNCTION("""COMPUTED_VALUE"""),2)</f>
        <v>2</v>
      </c>
      <c r="AQ239" s="27" t="str">
        <f ca="1">IFERROR(__xludf.DUMMYFUNCTION("""COMPUTED_VALUE"""),"Primeiro Semestre 2022")</f>
        <v>Primeiro Semestre 2022</v>
      </c>
      <c r="AR239" s="27" t="str">
        <f ca="1">IFERROR(__xludf.DUMMYFUNCTION("""COMPUTED_VALUE"""),"cidaferreiraalves1@gmail.com")</f>
        <v>cidaferreiraalves1@gmail.com</v>
      </c>
      <c r="AS239" s="27">
        <f ca="1">IFERROR(__xludf.DUMMYFUNCTION("""COMPUTED_VALUE"""),34998945101)</f>
        <v>34998945101</v>
      </c>
      <c r="AT239" s="30">
        <f ca="1">IFERROR(__xludf.DUMMYFUNCTION("""COMPUTED_VALUE"""),26548)</f>
        <v>26548</v>
      </c>
      <c r="AU239" s="27">
        <f ca="1">IFERROR(__xludf.DUMMYFUNCTION("""COMPUTED_VALUE"""),50)</f>
        <v>50</v>
      </c>
      <c r="AV239" s="27">
        <f ca="1">IFERROR(__xludf.DUMMYFUNCTION("""COMPUTED_VALUE"""),92810918600)</f>
        <v>92810918600</v>
      </c>
      <c r="AW239" s="27">
        <f ca="1">IFERROR(__xludf.DUMMYFUNCTION("""COMPUTED_VALUE"""),8896391)</f>
        <v>8896391</v>
      </c>
      <c r="AX239" s="27"/>
      <c r="AY239" s="27"/>
      <c r="AZ239" s="27" t="str">
        <f ca="1">IFERROR(__xludf.DUMMYFUNCTION("""COMPUTED_VALUE"""),"M")</f>
        <v>M</v>
      </c>
      <c r="BA239" s="27" t="str">
        <f ca="1">IFERROR(__xludf.DUMMYFUNCTION("""COMPUTED_VALUE"""),"Parda")</f>
        <v>Parda</v>
      </c>
      <c r="BB239" s="27"/>
      <c r="BC239" s="27"/>
      <c r="BD239" s="27" t="str">
        <f ca="1">IFERROR(__xludf.DUMMYFUNCTION("""COMPUTED_VALUE"""),"MARIA APARECIDA FERREIRA ALVES. Nascida em Uberaba/MG* no dia 09 de junho de 1972* sendo filha de Joâo Batista e Vera Lucia da Silva. Casada com  Alencar Auto Alves* mãe de Alysson Ferreira Alves e Arthur F Alves. Estudou na Escola Estadual  Aurelio Luiz "&amp;"da Costa*  curso técnico na CEFET* onde atuou como mobilizadora em prol da permanência da escola na cidade. Cursou serviço social na UNOPAR Uberaba. Atuou na Associação de Moradores na Vila São Cristóvão em 1991* ficou afastada até 2003 e desde então * at"&amp;"ua até  hoje junto as Associações da cidade de Uberaba. Em 2006 foi homenageado pela Camara Municipal de Uberaba* pelo trabalho realizado na periferia da cidade(recebeu um certificado). Atualmente represento o   Conselho de apoio as Associações de Uberaba"&amp;"* que por objetivo capacitação de lideranças e realizações de projetos nas periferias da cidade, sempre atuei em projetos e mobilizações sociais* participação em conselhos de saúde* segurança entre outros. Desde 2014* realiza a comemoração do dia do Líder"&amp;"* onde o líder em destaque recebe o troféu João Wagner* em reconhecimento pelos relevantes trabalho realizado para sua comunidade. Em 2020  idealizou o Projeto Meninas Kairós* na qual oferece oficinas de música* arte ecologia e tecnologia digital* para me"&amp;"ninas em situação de vulnerabilidade social* proporcionando um espaço de cultura e protagonismo através de projetos que coordena e desenvolve na comunidade de Uberaba.")</f>
        <v>MARIA APARECIDA FERREIRA ALVES. Nascida em Uberaba/MG* no dia 09 de junho de 1972* sendo filha de Joâo Batista e Vera Lucia da Silva. Casada com  Alencar Auto Alves* mãe de Alysson Ferreira Alves e Arthur F Alves. Estudou na Escola Estadual  Aurelio Luiz da Costa*  curso técnico na CEFET* onde atuou como mobilizadora em prol da permanência da escola na cidade. Cursou serviço social na UNOPAR Uberaba. Atuou na Associação de Moradores na Vila São Cristóvão em 1991* ficou afastada até 2003 e desde então * atua até  hoje junto as Associações da cidade de Uberaba. Em 2006 foi homenageado pela Camara Municipal de Uberaba* pelo trabalho realizado na periferia da cidade(recebeu um certificado). Atualmente represento o   Conselho de apoio as Associações de Uberaba* que por objetivo capacitação de lideranças e realizações de projetos nas periferias da cidade, sempre atuei em projetos e mobilizações sociais* participação em conselhos de saúde* segurança entre outros. Desde 2014* realiza a comemoração do dia do Líder* onde o líder em destaque recebe o troféu João Wagner* em reconhecimento pelos relevantes trabalho realizado para sua comunidade. Em 2020  idealizou o Projeto Meninas Kairós* na qual oferece oficinas de música* arte ecologia e tecnologia digital* para meninas em situação de vulnerabilidade social* proporcionando um espaço de cultura e protagonismo através de projetos que coordena e desenvolve na comunidade de Uberaba.</v>
      </c>
      <c r="BE239" s="27" t="str">
        <f ca="1">IFERROR(__xludf.DUMMYFUNCTION("""COMPUTED_VALUE"""),"Feminino")</f>
        <v>Feminino</v>
      </c>
      <c r="BF239" s="27" t="str">
        <f ca="1">IFERROR(__xludf.DUMMYFUNCTION("""COMPUTED_VALUE"""),"Heterossexual")</f>
        <v>Heterossexual</v>
      </c>
      <c r="BG239" s="27"/>
      <c r="BH239" s="27" t="str">
        <f ca="1">IFERROR(__xludf.DUMMYFUNCTION("""COMPUTED_VALUE"""),"Público")</f>
        <v>Público</v>
      </c>
      <c r="BI239" s="27"/>
      <c r="BJ239" s="27"/>
      <c r="BK239" s="27" t="str">
        <f ca="1">IFERROR(__xludf.DUMMYFUNCTION("""COMPUTED_VALUE"""),"RUA JOSÉ MARAJO DE CARVALHO")</f>
        <v>RUA JOSÉ MARAJO DE CARVALHO</v>
      </c>
      <c r="BL239" s="27">
        <f ca="1">IFERROR(__xludf.DUMMYFUNCTION("""COMPUTED_VALUE"""),107)</f>
        <v>107</v>
      </c>
      <c r="BM239" s="27"/>
      <c r="BN239" s="27"/>
      <c r="BO239" s="27" t="str">
        <f ca="1">IFERROR(__xludf.DUMMYFUNCTION("""COMPUTED_VALUE"""),"38040-330")</f>
        <v>38040-330</v>
      </c>
      <c r="BP239" s="27" t="str">
        <f ca="1">IFERROR(__xludf.DUMMYFUNCTION("""COMPUTED_VALUE"""),"MG")</f>
        <v>MG</v>
      </c>
      <c r="BQ239" s="27" t="str">
        <f ca="1">IFERROR(__xludf.DUMMYFUNCTION("""COMPUTED_VALUE"""),"Entre 1 até 3 salários mínimos")</f>
        <v>Entre 1 até 3 salários mínimos</v>
      </c>
      <c r="BR239" s="27" t="str">
        <f ca="1">IFERROR(__xludf.DUMMYFUNCTION("""COMPUTED_VALUE"""),"CLT")</f>
        <v>CLT</v>
      </c>
      <c r="BS239" s="27" t="str">
        <f ca="1">IFERROR(__xludf.DUMMYFUNCTION("""COMPUTED_VALUE"""),"Casa própria")</f>
        <v>Casa própria</v>
      </c>
      <c r="BT239" s="27">
        <f ca="1">IFERROR(__xludf.DUMMYFUNCTION("""COMPUTED_VALUE"""),1)</f>
        <v>1</v>
      </c>
      <c r="BU239" s="27" t="str">
        <f ca="1">IFERROR(__xludf.DUMMYFUNCTION("""COMPUTED_VALUE"""),"Não tem")</f>
        <v>Não tem</v>
      </c>
      <c r="BV239" s="27" t="str">
        <f ca="1">IFERROR(__xludf.DUMMYFUNCTION("""COMPUTED_VALUE"""),"Não")</f>
        <v>Não</v>
      </c>
      <c r="BW239" s="27"/>
      <c r="BX239" s="27"/>
      <c r="BY239" s="21" t="str">
        <f ca="1">IFERROR(__xludf.DUMMYFUNCTION("""COMPUTED_VALUE"""),"https://drive.google.com/open?id=1HPdyeRveGNA7lNEMIeeIJMj3QAzAvrxV")</f>
        <v>https://drive.google.com/open?id=1HPdyeRveGNA7lNEMIeeIJMj3QAzAvrxV</v>
      </c>
    </row>
    <row r="240" spans="1:77" ht="12.5" hidden="1" x14ac:dyDescent="0.25">
      <c r="A240" s="21" t="str">
        <f ca="1">IFERROR(__xludf.DUMMYFUNCTION("""COMPUTED_VALUE"""),"0014X00002VKCpPQAX")</f>
        <v>0014X00002VKCpPQAX</v>
      </c>
      <c r="B240" s="27" t="str">
        <f ca="1">IFERROR(__xludf.DUMMYFUNCTION("""COMPUTED_VALUE"""),"Fase Inicial")</f>
        <v>Fase Inicial</v>
      </c>
      <c r="C240" s="27" t="str">
        <f ca="1">IFERROR(__xludf.DUMMYFUNCTION("""COMPUTED_VALUE"""),"Fellow")</f>
        <v>Fellow</v>
      </c>
      <c r="D240" s="27" t="str">
        <f ca="1">IFERROR(__xludf.DUMMYFUNCTION("""COMPUTED_VALUE"""),"Ativo")</f>
        <v>Ativo</v>
      </c>
      <c r="E240" s="27" t="str">
        <f ca="1">IFERROR(__xludf.DUMMYFUNCTION("""COMPUTED_VALUE"""),"Corrente do bemfsa")</f>
        <v>Corrente do bemfsa</v>
      </c>
      <c r="F240" s="27" t="str">
        <f ca="1">IFERROR(__xludf.DUMMYFUNCTION("""COMPUTED_VALUE"""),"Lúcia")</f>
        <v>Lúcia</v>
      </c>
      <c r="G240" s="27" t="str">
        <f ca="1">IFERROR(__xludf.DUMMYFUNCTION("""COMPUTED_VALUE"""),"CORRENTE_DOBEMFSA")</f>
        <v>CORRENTE_DOBEMFSA</v>
      </c>
      <c r="H240" s="27" t="str">
        <f ca="1">IFERROR(__xludf.DUMMYFUNCTION("""COMPUTED_VALUE"""),"46.994.309/0001-45")</f>
        <v>46.994.309/0001-45</v>
      </c>
      <c r="I240" s="27" t="str">
        <f ca="1">IFERROR(__xludf.DUMMYFUNCTION("""COMPUTED_VALUE"""),"LÚCIA MARIA GOMES MENDES")</f>
        <v>LÚCIA MARIA GOMES MENDES</v>
      </c>
      <c r="J240" s="27" t="str">
        <f ca="1">IFERROR(__xludf.DUMMYFUNCTION("""COMPUTED_VALUE"""),"correntedobemfsa@gmail.com")</f>
        <v>correntedobemfsa@gmail.com</v>
      </c>
      <c r="K240" s="27" t="str">
        <f ca="1">IFERROR(__xludf.DUMMYFUNCTION("""COMPUTED_VALUE"""),"(75)99174-6520")</f>
        <v>(75)99174-6520</v>
      </c>
      <c r="L240" s="27" t="str">
        <f ca="1">IFERROR(__xludf.DUMMYFUNCTION("""COMPUTED_VALUE"""),"BA")</f>
        <v>BA</v>
      </c>
      <c r="M240" s="27" t="str">
        <f ca="1">IFERROR(__xludf.DUMMYFUNCTION("""COMPUTED_VALUE"""),"BARRA DO SÃO FRANCISCO")</f>
        <v>BARRA DO SÃO FRANCISCO</v>
      </c>
      <c r="N240" s="27" t="str">
        <f ca="1">IFERROR(__xludf.DUMMYFUNCTION("""COMPUTED_VALUE"""),"MANGABEIRA")</f>
        <v>MANGABEIRA</v>
      </c>
      <c r="O240" s="27">
        <f ca="1">IFERROR(__xludf.DUMMYFUNCTION("""COMPUTED_VALUE"""),38)</f>
        <v>38</v>
      </c>
      <c r="P240" s="27" t="str">
        <f ca="1">IFERROR(__xludf.DUMMYFUNCTION("""COMPUTED_VALUE"""),"FEIRA DE SANTANA")</f>
        <v>FEIRA DE SANTANA</v>
      </c>
      <c r="Q240" s="27">
        <f ca="1">IFERROR(__xludf.DUMMYFUNCTION("""COMPUTED_VALUE"""),1463)</f>
        <v>1463</v>
      </c>
      <c r="R240" s="27" t="str">
        <f ca="1">IFERROR(__xludf.DUMMYFUNCTION("""COMPUTED_VALUE"""),"44056-544")</f>
        <v>44056-544</v>
      </c>
      <c r="S240" s="27"/>
      <c r="T240" s="27"/>
      <c r="U240" s="27" t="str">
        <f ca="1">IFERROR(__xludf.DUMMYFUNCTION("""COMPUTED_VALUE"""),"bebês (1 a 1ano e 6 meses), Adolescentes (12 aos 18 anos), Adultos, Idosos (60 anos ou mais)")</f>
        <v>bebês (1 a 1ano e 6 meses), Adolescentes (12 aos 18 anos), Adultos, Idosos (60 anos ou mais)</v>
      </c>
      <c r="V240" s="27" t="str">
        <f ca="1">IFERROR(__xludf.DUMMYFUNCTION("""COMPUTED_VALUE"""),"Moradores de Favelas, Pessoas em situação de rua, Quilombola, Pessoas com Deficiência, Ribeirinhos, Comunidade rural")</f>
        <v>Moradores de Favelas, Pessoas em situação de rua, Quilombola, Pessoas com Deficiência, Ribeirinhos, Comunidade rural</v>
      </c>
      <c r="W240" s="27">
        <f ca="1">IFERROR(__xludf.DUMMYFUNCTION("""COMPUTED_VALUE"""),0)</f>
        <v>0</v>
      </c>
      <c r="X240" s="27" t="str">
        <f ca="1">IFERROR(__xludf.DUMMYFUNCTION("""COMPUTED_VALUE"""),"Reciclagem* catadores de lixo")</f>
        <v>Reciclagem* catadores de lixo</v>
      </c>
      <c r="Y240" s="27"/>
      <c r="Z240" s="27">
        <f ca="1">IFERROR(__xludf.DUMMYFUNCTION("""COMPUTED_VALUE"""),0)</f>
        <v>0</v>
      </c>
      <c r="AA240" s="30">
        <f ca="1">IFERROR(__xludf.DUMMYFUNCTION("""COMPUTED_VALUE"""),44743)</f>
        <v>44743</v>
      </c>
      <c r="AB240" s="27" t="str">
        <f ca="1">IFERROR(__xludf.DUMMYFUNCTION("""COMPUTED_VALUE"""),"Não")</f>
        <v>Não</v>
      </c>
      <c r="AC240" s="27">
        <f ca="1">IFERROR(__xludf.DUMMYFUNCTION("""COMPUTED_VALUE"""),0)</f>
        <v>0</v>
      </c>
      <c r="AD240" s="27">
        <f ca="1">IFERROR(__xludf.DUMMYFUNCTION("""COMPUTED_VALUE"""),5)</f>
        <v>5</v>
      </c>
      <c r="AE240" s="27">
        <f ca="1">IFERROR(__xludf.DUMMYFUNCTION("""COMPUTED_VALUE"""),6)</f>
        <v>6</v>
      </c>
      <c r="AF240" s="27">
        <f ca="1">IFERROR(__xludf.DUMMYFUNCTION("""COMPUTED_VALUE"""),5)</f>
        <v>5</v>
      </c>
      <c r="AG240" s="27">
        <f ca="1">IFERROR(__xludf.DUMMYFUNCTION("""COMPUTED_VALUE"""),3)</f>
        <v>3</v>
      </c>
      <c r="AH240" s="27" t="str">
        <f ca="1">IFERROR(__xludf.DUMMYFUNCTION("""COMPUTED_VALUE"""),"Plataforma doação online - Pessoa Física, Parceria iniciativa privada, Doações")</f>
        <v>Plataforma doação online - Pessoa Física, Parceria iniciativa privada, Doações</v>
      </c>
      <c r="AI240" s="27">
        <f ca="1">IFERROR(__xludf.DUMMYFUNCTION("""COMPUTED_VALUE"""),0)</f>
        <v>0</v>
      </c>
      <c r="AJ240" s="27" t="str">
        <f ca="1">IFERROR(__xludf.DUMMYFUNCTION("""COMPUTED_VALUE"""),"Não")</f>
        <v>Não</v>
      </c>
      <c r="AK240" s="27"/>
      <c r="AL240" s="21" t="str">
        <f ca="1">IFERROR(__xludf.DUMMYFUNCTION("""COMPUTED_VALUE"""),"0034X0000380O6M")</f>
        <v>0034X0000380O6M</v>
      </c>
      <c r="AM240" s="27" t="str">
        <f ca="1">IFERROR(__xludf.DUMMYFUNCTION("""COMPUTED_VALUE"""),"Maria gomes mendes")</f>
        <v>Maria gomes mendes</v>
      </c>
      <c r="AN240" s="27" t="str">
        <f ca="1">IFERROR(__xludf.DUMMYFUNCTION("""COMPUTED_VALUE"""),"Ativo")</f>
        <v>Ativo</v>
      </c>
      <c r="AO240" s="29">
        <f ca="1">IFERROR(__xludf.DUMMYFUNCTION("""COMPUTED_VALUE"""),44763)</f>
        <v>44763</v>
      </c>
      <c r="AP240" s="27">
        <f ca="1">IFERROR(__xludf.DUMMYFUNCTION("""COMPUTED_VALUE"""),2)</f>
        <v>2</v>
      </c>
      <c r="AQ240" s="27" t="str">
        <f ca="1">IFERROR(__xludf.DUMMYFUNCTION("""COMPUTED_VALUE"""),"Primeiro Semestre 2022")</f>
        <v>Primeiro Semestre 2022</v>
      </c>
      <c r="AR240" s="27" t="str">
        <f ca="1">IFERROR(__xludf.DUMMYFUNCTION("""COMPUTED_VALUE"""),"correntedobemfsa@gmail.com")</f>
        <v>correntedobemfsa@gmail.com</v>
      </c>
      <c r="AS240" s="27">
        <f ca="1">IFERROR(__xludf.DUMMYFUNCTION("""COMPUTED_VALUE"""),75991746520)</f>
        <v>75991746520</v>
      </c>
      <c r="AT240" s="29">
        <f ca="1">IFERROR(__xludf.DUMMYFUNCTION("""COMPUTED_VALUE"""),25174)</f>
        <v>25174</v>
      </c>
      <c r="AU240" s="27">
        <f ca="1">IFERROR(__xludf.DUMMYFUNCTION("""COMPUTED_VALUE"""),54)</f>
        <v>54</v>
      </c>
      <c r="AV240" s="27">
        <f ca="1">IFERROR(__xludf.DUMMYFUNCTION("""COMPUTED_VALUE"""),52795705591)</f>
        <v>52795705591</v>
      </c>
      <c r="AW240" s="27">
        <f ca="1">IFERROR(__xludf.DUMMYFUNCTION("""COMPUTED_VALUE"""),364760303)</f>
        <v>364760303</v>
      </c>
      <c r="AX240" s="27"/>
      <c r="AY240" s="27"/>
      <c r="AZ240" s="27" t="str">
        <f ca="1">IFERROR(__xludf.DUMMYFUNCTION("""COMPUTED_VALUE"""),"M")</f>
        <v>M</v>
      </c>
      <c r="BA240" s="27" t="str">
        <f ca="1">IFERROR(__xludf.DUMMYFUNCTION("""COMPUTED_VALUE"""),"Branca")</f>
        <v>Branca</v>
      </c>
      <c r="BB240" s="27"/>
      <c r="BC240" s="27"/>
      <c r="BD240" s="27" t="str">
        <f ca="1">IFERROR(__xludf.DUMMYFUNCTION("""COMPUTED_VALUE"""),"Somos uma junção de elos em prol de ajudar famílias e pessoas que vivem em situação de vulnerabilidade.")</f>
        <v>Somos uma junção de elos em prol de ajudar famílias e pessoas que vivem em situação de vulnerabilidade.</v>
      </c>
      <c r="BE240" s="27" t="str">
        <f ca="1">IFERROR(__xludf.DUMMYFUNCTION("""COMPUTED_VALUE"""),"Feminino")</f>
        <v>Feminino</v>
      </c>
      <c r="BF240" s="27" t="str">
        <f ca="1">IFERROR(__xludf.DUMMYFUNCTION("""COMPUTED_VALUE"""),"Heterossexual")</f>
        <v>Heterossexual</v>
      </c>
      <c r="BG240" s="27"/>
      <c r="BH240" s="27" t="str">
        <f ca="1">IFERROR(__xludf.DUMMYFUNCTION("""COMPUTED_VALUE"""),"Público")</f>
        <v>Público</v>
      </c>
      <c r="BI240" s="27"/>
      <c r="BJ240" s="27"/>
      <c r="BK240" s="27" t="str">
        <f ca="1">IFERROR(__xludf.DUMMYFUNCTION("""COMPUTED_VALUE"""),"Rua barra do São Francisco")</f>
        <v>Rua barra do São Francisco</v>
      </c>
      <c r="BL240" s="27">
        <f ca="1">IFERROR(__xludf.DUMMYFUNCTION("""COMPUTED_VALUE"""),38)</f>
        <v>38</v>
      </c>
      <c r="BM240" s="27">
        <f ca="1">IFERROR(__xludf.DUMMYFUNCTION("""COMPUTED_VALUE"""),38)</f>
        <v>38</v>
      </c>
      <c r="BN240" s="27"/>
      <c r="BO240" s="27">
        <f ca="1">IFERROR(__xludf.DUMMYFUNCTION("""COMPUTED_VALUE"""),44056544)</f>
        <v>44056544</v>
      </c>
      <c r="BP240" s="27" t="str">
        <f ca="1">IFERROR(__xludf.DUMMYFUNCTION("""COMPUTED_VALUE"""),"BA")</f>
        <v>BA</v>
      </c>
      <c r="BQ240" s="27" t="str">
        <f ca="1">IFERROR(__xludf.DUMMYFUNCTION("""COMPUTED_VALUE"""),"Entre 1 até 3 salários mínimos")</f>
        <v>Entre 1 até 3 salários mínimos</v>
      </c>
      <c r="BR240" s="27" t="str">
        <f ca="1">IFERROR(__xludf.DUMMYFUNCTION("""COMPUTED_VALUE"""),"MEI")</f>
        <v>MEI</v>
      </c>
      <c r="BS240" s="27" t="str">
        <f ca="1">IFERROR(__xludf.DUMMYFUNCTION("""COMPUTED_VALUE"""),"Casa própria")</f>
        <v>Casa própria</v>
      </c>
      <c r="BT240" s="27">
        <f ca="1">IFERROR(__xludf.DUMMYFUNCTION("""COMPUTED_VALUE"""),2)</f>
        <v>2</v>
      </c>
      <c r="BU240" s="27" t="str">
        <f ca="1">IFERROR(__xludf.DUMMYFUNCTION("""COMPUTED_VALUE"""),"Não tem")</f>
        <v>Não tem</v>
      </c>
      <c r="BV240" s="27" t="str">
        <f ca="1">IFERROR(__xludf.DUMMYFUNCTION("""COMPUTED_VALUE"""),"Não")</f>
        <v>Não</v>
      </c>
      <c r="BW240" s="27"/>
      <c r="BX240" s="21" t="str">
        <f ca="1">IFERROR(__xludf.DUMMYFUNCTION("""COMPUTED_VALUE"""),"https://www.instagram.com/p/CYkbyTHO-84/?utm_medium=copy_link")</f>
        <v>https://www.instagram.com/p/CYkbyTHO-84/?utm_medium=copy_link</v>
      </c>
      <c r="BY240" s="21" t="str">
        <f ca="1">IFERROR(__xludf.DUMMYFUNCTION("""COMPUTED_VALUE"""),"https://drive.google.com/open?id=1F9sDvK5LCJmzV7jAByB2ozTUF6Ir9316")</f>
        <v>https://drive.google.com/open?id=1F9sDvK5LCJmzV7jAByB2ozTUF6Ir9316</v>
      </c>
    </row>
    <row r="241" spans="1:77" ht="12.5" hidden="1" x14ac:dyDescent="0.25">
      <c r="A241" s="21" t="str">
        <f ca="1">IFERROR(__xludf.DUMMYFUNCTION("""COMPUTED_VALUE"""),"0014P00003YSp7WQAT")</f>
        <v>0014P00003YSp7WQAT</v>
      </c>
      <c r="B241" s="27" t="str">
        <f ca="1">IFERROR(__xludf.DUMMYFUNCTION("""COMPUTED_VALUE"""),"Fase Estruturação")</f>
        <v>Fase Estruturação</v>
      </c>
      <c r="C241" s="27" t="str">
        <f ca="1">IFERROR(__xludf.DUMMYFUNCTION("""COMPUTED_VALUE"""),"Fellow")</f>
        <v>Fellow</v>
      </c>
      <c r="D241" s="27" t="str">
        <f ca="1">IFERROR(__xludf.DUMMYFUNCTION("""COMPUTED_VALUE"""),"Ativo")</f>
        <v>Ativo</v>
      </c>
      <c r="E241" s="27" t="str">
        <f ca="1">IFERROR(__xludf.DUMMYFUNCTION("""COMPUTED_VALUE"""),"Creche Escola Maria de Nazaré")</f>
        <v>Creche Escola Maria de Nazaré</v>
      </c>
      <c r="F241" s="27" t="str">
        <f ca="1">IFERROR(__xludf.DUMMYFUNCTION("""COMPUTED_VALUE"""),"Regina")</f>
        <v>Regina</v>
      </c>
      <c r="G241" s="27"/>
      <c r="H241" s="27" t="str">
        <f ca="1">IFERROR(__xludf.DUMMYFUNCTION("""COMPUTED_VALUE"""),"02.600.373/0001-29")</f>
        <v>02.600.373/0001-29</v>
      </c>
      <c r="I241" s="27" t="str">
        <f ca="1">IFERROR(__xludf.DUMMYFUNCTION("""COMPUTED_VALUE"""),"Terezinha Farias de Lima")</f>
        <v>Terezinha Farias de Lima</v>
      </c>
      <c r="J241" s="27" t="str">
        <f ca="1">IFERROR(__xludf.DUMMYFUNCTION("""COMPUTED_VALUE"""),"cmnazare@gmail.com")</f>
        <v>cmnazare@gmail.com</v>
      </c>
      <c r="K241" s="27" t="str">
        <f ca="1">IFERROR(__xludf.DUMMYFUNCTION("""COMPUTED_VALUE"""),"(81)98736-6100")</f>
        <v>(81)98736-6100</v>
      </c>
      <c r="L241" s="27" t="str">
        <f ca="1">IFERROR(__xludf.DUMMYFUNCTION("""COMPUTED_VALUE"""),"PE")</f>
        <v>PE</v>
      </c>
      <c r="M241" s="27" t="str">
        <f ca="1">IFERROR(__xludf.DUMMYFUNCTION("""COMPUTED_VALUE"""),"Rua Cinquenta e Um")</f>
        <v>Rua Cinquenta e Um</v>
      </c>
      <c r="N241" s="27" t="str">
        <f ca="1">IFERROR(__xludf.DUMMYFUNCTION("""COMPUTED_VALUE"""),"Jardim Paulista")</f>
        <v>Jardim Paulista</v>
      </c>
      <c r="O241" s="27">
        <f ca="1">IFERROR(__xludf.DUMMYFUNCTION("""COMPUTED_VALUE"""),89)</f>
        <v>89</v>
      </c>
      <c r="P241" s="27" t="str">
        <f ca="1">IFERROR(__xludf.DUMMYFUNCTION("""COMPUTED_VALUE"""),"Paulista")</f>
        <v>Paulista</v>
      </c>
      <c r="Q241" s="27"/>
      <c r="R241" s="27" t="str">
        <f ca="1">IFERROR(__xludf.DUMMYFUNCTION("""COMPUTED_VALUE"""),"53409-580")</f>
        <v>53409-580</v>
      </c>
      <c r="S241" s="27"/>
      <c r="T241" s="27" t="str">
        <f ca="1">IFERROR(__xludf.DUMMYFUNCTION("""COMPUTED_VALUE"""),"Educação; Assistência Social; Cultura; Qualificação Profissional; Saúde; Empoderamento Feminino; Defesa de Direitos; Desenvolvimento comunitário")</f>
        <v>Educação; Assistência Social; Cultura; Qualificação Profissional; Saúde; Empoderamento Feminino; Defesa de Direitos; Desenvolvimento comunitário</v>
      </c>
      <c r="U241" s="27" t="str">
        <f ca="1">IFERROR(__xludf.DUMMYFUNCTION("""COMPUTED_VALUE"""),"Crianças (6 a 12 anos); Adolescentes (12 aos 18 anos); Jovens (18 aos 24 anos); Adultos; Idosos (60 anos ou mais)")</f>
        <v>Crianças (6 a 12 anos); Adolescentes (12 aos 18 anos); Jovens (18 aos 24 anos); Adultos; Idosos (60 anos ou mais)</v>
      </c>
      <c r="V241" s="27" t="str">
        <f ca="1">IFERROR(__xludf.DUMMYFUNCTION("""COMPUTED_VALUE"""),"Moradores de Favelas; Afrodescendentes; Comunidade rural")</f>
        <v>Moradores de Favelas; Afrodescendentes; Comunidade rural</v>
      </c>
      <c r="W241" s="27">
        <f ca="1">IFERROR(__xludf.DUMMYFUNCTION("""COMPUTED_VALUE"""),5)</f>
        <v>5</v>
      </c>
      <c r="X241" s="27" t="str">
        <f ca="1">IFERROR(__xludf.DUMMYFUNCTION("""COMPUTED_VALUE"""),"Atendemos em nossas ações as famílias como um núcleo que se complementa.")</f>
        <v>Atendemos em nossas ações as famílias como um núcleo que se complementa.</v>
      </c>
      <c r="Y241" s="27"/>
      <c r="Z241" s="27">
        <f ca="1">IFERROR(__xludf.DUMMYFUNCTION("""COMPUTED_VALUE"""),1100)</f>
        <v>1100</v>
      </c>
      <c r="AA241" s="29">
        <f ca="1">IFERROR(__xludf.DUMMYFUNCTION("""COMPUTED_VALUE"""),36070)</f>
        <v>36070</v>
      </c>
      <c r="AB241" s="27" t="str">
        <f ca="1">IFERROR(__xludf.DUMMYFUNCTION("""COMPUTED_VALUE"""),"Sim")</f>
        <v>Sim</v>
      </c>
      <c r="AC241" s="27">
        <f ca="1">IFERROR(__xludf.DUMMYFUNCTION("""COMPUTED_VALUE"""),11)</f>
        <v>11</v>
      </c>
      <c r="AD241" s="27">
        <f ca="1">IFERROR(__xludf.DUMMYFUNCTION("""COMPUTED_VALUE"""),8)</f>
        <v>8</v>
      </c>
      <c r="AE241" s="27">
        <f ca="1">IFERROR(__xludf.DUMMYFUNCTION("""COMPUTED_VALUE"""),15)</f>
        <v>15</v>
      </c>
      <c r="AF241" s="27">
        <f ca="1">IFERROR(__xludf.DUMMYFUNCTION("""COMPUTED_VALUE"""),6)</f>
        <v>6</v>
      </c>
      <c r="AG241" s="27">
        <f ca="1">IFERROR(__xludf.DUMMYFUNCTION("""COMPUTED_VALUE"""),4)</f>
        <v>4</v>
      </c>
      <c r="AH241" s="27" t="str">
        <f ca="1">IFERROR(__xludf.DUMMYFUNCTION("""COMPUTED_VALUE"""),"Lei de Incentivo; Eventos/Ações para captação; Parceria iniciativa privada; Editais; Doações; FIA; Recursos próprios")</f>
        <v>Lei de Incentivo; Eventos/Ações para captação; Parceria iniciativa privada; Editais; Doações; FIA; Recursos próprios</v>
      </c>
      <c r="AI241" s="27" t="str">
        <f ca="1">IFERROR(__xludf.DUMMYFUNCTION("""COMPUTED_VALUE"""),"15% Lei de Incentivo; 20% Convênio Público; 15% Editais; 35% Doações; 10% FIA; 5% Recursos próprios.")</f>
        <v>15% Lei de Incentivo; 20% Convênio Público; 15% Editais; 35% Doações; 10% FIA; 5% Recursos próprios.</v>
      </c>
      <c r="AJ241" s="27"/>
      <c r="AK241" s="27"/>
      <c r="AL241" s="21" t="str">
        <f ca="1">IFERROR(__xludf.DUMMYFUNCTION("""COMPUTED_VALUE"""),"0034P000045kxi7")</f>
        <v>0034P000045kxi7</v>
      </c>
      <c r="AM241" s="27" t="str">
        <f ca="1">IFERROR(__xludf.DUMMYFUNCTION("""COMPUTED_VALUE"""),"Elisabete Amaral Da Silva")</f>
        <v>Elisabete Amaral Da Silva</v>
      </c>
      <c r="AN241" s="27" t="str">
        <f ca="1">IFERROR(__xludf.DUMMYFUNCTION("""COMPUTED_VALUE"""),"Ativo")</f>
        <v>Ativo</v>
      </c>
      <c r="AO241" s="29">
        <f ca="1">IFERROR(__xludf.DUMMYFUNCTION("""COMPUTED_VALUE"""),44551)</f>
        <v>44551</v>
      </c>
      <c r="AP241" s="27">
        <f ca="1">IFERROR(__xludf.DUMMYFUNCTION("""COMPUTED_VALUE"""),9)</f>
        <v>9</v>
      </c>
      <c r="AQ241" s="27" t="str">
        <f ca="1">IFERROR(__xludf.DUMMYFUNCTION("""COMPUTED_VALUE"""),"Segundo Semestre 2021")</f>
        <v>Segundo Semestre 2021</v>
      </c>
      <c r="AR241" s="27" t="str">
        <f ca="1">IFERROR(__xludf.DUMMYFUNCTION("""COMPUTED_VALUE"""),"rreginamarall@gmail.com")</f>
        <v>rreginamarall@gmail.com</v>
      </c>
      <c r="AS241" s="27" t="str">
        <f ca="1">IFERROR(__xludf.DUMMYFUNCTION("""COMPUTED_VALUE"""),"(81)98736-6100")</f>
        <v>(81)98736-6100</v>
      </c>
      <c r="AT241" s="29">
        <f ca="1">IFERROR(__xludf.DUMMYFUNCTION("""COMPUTED_VALUE"""),27774)</f>
        <v>27774</v>
      </c>
      <c r="AU241" s="27">
        <f ca="1">IFERROR(__xludf.DUMMYFUNCTION("""COMPUTED_VALUE"""),46)</f>
        <v>46</v>
      </c>
      <c r="AV241" s="27">
        <f ca="1">IFERROR(__xludf.DUMMYFUNCTION("""COMPUTED_VALUE"""),86848887404)</f>
        <v>86848887404</v>
      </c>
      <c r="AW241" s="27">
        <f ca="1">IFERROR(__xludf.DUMMYFUNCTION("""COMPUTED_VALUE"""),4270227)</f>
        <v>4270227</v>
      </c>
      <c r="AX241" s="27"/>
      <c r="AY241" s="27"/>
      <c r="AZ241" s="27" t="str">
        <f ca="1">IFERROR(__xludf.DUMMYFUNCTION("""COMPUTED_VALUE"""),"PP")</f>
        <v>PP</v>
      </c>
      <c r="BA241" s="27" t="str">
        <f ca="1">IFERROR(__xludf.DUMMYFUNCTION("""COMPUTED_VALUE"""),"Preta")</f>
        <v>Preta</v>
      </c>
      <c r="BB241" s="27" t="str">
        <f ca="1">IFERROR(__xludf.DUMMYFUNCTION("""COMPUTED_VALUE"""),"Mulher, cisgênero")</f>
        <v>Mulher, cisgênero</v>
      </c>
      <c r="BC241" s="27" t="str">
        <f ca="1">IFERROR(__xludf.DUMMYFUNCTION("""COMPUTED_VALUE"""),"Sim")</f>
        <v>Sim</v>
      </c>
      <c r="BD241" s="27" t="str">
        <f ca="1">IFERROR(__xludf.DUMMYFUNCTION("""COMPUTED_VALUE"""),"Natural de Olinda/PE, residente em Paulista/PE, onde a ONG tem sua sede. Casada, mãe de 2 pessoinhas maravilhosas, completamente apaixonada pelas causas sociais. Atuação na ONG como coordenadora de projetos, educadora social. Também é membro do Conselho d"&amp;"a Criança e do Adolescente do Município na promoção de políticas públicas dessa parcela da população e suas famílias.")</f>
        <v>Natural de Olinda/PE, residente em Paulista/PE, onde a ONG tem sua sede. Casada, mãe de 2 pessoinhas maravilhosas, completamente apaixonada pelas causas sociais. Atuação na ONG como coordenadora de projetos, educadora social. Também é membro do Conselho da Criança e do Adolescente do Município na promoção de políticas públicas dessa parcela da população e suas famílias.</v>
      </c>
      <c r="BE241" s="27"/>
      <c r="BF241" s="27" t="str">
        <f ca="1">IFERROR(__xludf.DUMMYFUNCTION("""COMPUTED_VALUE"""),"Heterossexual")</f>
        <v>Heterossexual</v>
      </c>
      <c r="BG241" s="27" t="str">
        <f ca="1">IFERROR(__xludf.DUMMYFUNCTION("""COMPUTED_VALUE"""),"Ensino Superior - Completo")</f>
        <v>Ensino Superior - Completo</v>
      </c>
      <c r="BH241" s="27" t="str">
        <f ca="1">IFERROR(__xludf.DUMMYFUNCTION("""COMPUTED_VALUE"""),"Público")</f>
        <v>Público</v>
      </c>
      <c r="BI241" s="27" t="str">
        <f ca="1">IFERROR(__xludf.DUMMYFUNCTION("""COMPUTED_VALUE"""),"Graduação")</f>
        <v>Graduação</v>
      </c>
      <c r="BJ241" s="27" t="str">
        <f ca="1">IFERROR(__xludf.DUMMYFUNCTION("""COMPUTED_VALUE"""),"Público")</f>
        <v>Público</v>
      </c>
      <c r="BK241" s="27" t="str">
        <f ca="1">IFERROR(__xludf.DUMMYFUNCTION("""COMPUTED_VALUE"""),"Primeira Travessa da Rua Cento e Vinte e Seis")</f>
        <v>Primeira Travessa da Rua Cento e Vinte e Seis</v>
      </c>
      <c r="BL241" s="27">
        <f ca="1">IFERROR(__xludf.DUMMYFUNCTION("""COMPUTED_VALUE"""),10)</f>
        <v>10</v>
      </c>
      <c r="BM241" s="27" t="str">
        <f ca="1">IFERROR(__xludf.DUMMYFUNCTION("""COMPUTED_VALUE"""),"Casa")</f>
        <v>Casa</v>
      </c>
      <c r="BN241" s="27" t="str">
        <f ca="1">IFERROR(__xludf.DUMMYFUNCTION("""COMPUTED_VALUE"""),"Paulista")</f>
        <v>Paulista</v>
      </c>
      <c r="BO241" s="27" t="str">
        <f ca="1">IFERROR(__xludf.DUMMYFUNCTION("""COMPUTED_VALUE"""),"53407-481")</f>
        <v>53407-481</v>
      </c>
      <c r="BP241" s="27" t="str">
        <f ca="1">IFERROR(__xludf.DUMMYFUNCTION("""COMPUTED_VALUE"""),"PE")</f>
        <v>PE</v>
      </c>
      <c r="BQ241" s="27" t="str">
        <f ca="1">IFERROR(__xludf.DUMMYFUNCTION("""COMPUTED_VALUE"""),"Entre 1 até 3 salários mínimos")</f>
        <v>Entre 1 até 3 salários mínimos</v>
      </c>
      <c r="BR241" s="27" t="str">
        <f ca="1">IFERROR(__xludf.DUMMYFUNCTION("""COMPUTED_VALUE"""),"CLT")</f>
        <v>CLT</v>
      </c>
      <c r="BS241" s="27" t="str">
        <f ca="1">IFERROR(__xludf.DUMMYFUNCTION("""COMPUTED_VALUE"""),"Aluguel")</f>
        <v>Aluguel</v>
      </c>
      <c r="BT241" s="27">
        <f ca="1">IFERROR(__xludf.DUMMYFUNCTION("""COMPUTED_VALUE"""),3)</f>
        <v>3</v>
      </c>
      <c r="BU241" s="27" t="str">
        <f ca="1">IFERROR(__xludf.DUMMYFUNCTION("""COMPUTED_VALUE"""),"Não tem")</f>
        <v>Não tem</v>
      </c>
      <c r="BV241" s="27"/>
      <c r="BW241" s="27"/>
      <c r="BX241" s="27" t="str">
        <f ca="1">IFERROR(__xludf.DUMMYFUNCTION("""COMPUTED_VALUE"""),"@regina.amaral.127")</f>
        <v>@regina.amaral.127</v>
      </c>
      <c r="BY241" s="21" t="str">
        <f ca="1">IFERROR(__xludf.DUMMYFUNCTION("""COMPUTED_VALUE"""),"https://drive.google.com/open?id=1tfRd7vxv3MUeINOaP4eYdLqqEWk8xwCt")</f>
        <v>https://drive.google.com/open?id=1tfRd7vxv3MUeINOaP4eYdLqqEWk8xwCt</v>
      </c>
    </row>
    <row r="242" spans="1:77" ht="12.5" x14ac:dyDescent="0.25">
      <c r="A242" s="21" t="str">
        <f ca="1">IFERROR(__xludf.DUMMYFUNCTION("""COMPUTED_VALUE"""),"0014X00002VKCqNQAX")</f>
        <v>0014X00002VKCqNQAX</v>
      </c>
      <c r="B242" s="27" t="str">
        <f ca="1">IFERROR(__xludf.DUMMYFUNCTION("""COMPUTED_VALUE"""),"Fase Inicial")</f>
        <v>Fase Inicial</v>
      </c>
      <c r="C242" s="27" t="str">
        <f ca="1">IFERROR(__xludf.DUMMYFUNCTION("""COMPUTED_VALUE"""),"Fellow")</f>
        <v>Fellow</v>
      </c>
      <c r="D242" s="27" t="str">
        <f ca="1">IFERROR(__xludf.DUMMYFUNCTION("""COMPUTED_VALUE"""),"Ativo")</f>
        <v>Ativo</v>
      </c>
      <c r="E242" s="27" t="str">
        <f ca="1">IFERROR(__xludf.DUMMYFUNCTION("""COMPUTED_VALUE"""),"Crieatividade Gestão Esportiva Empresarial LTDA")</f>
        <v>Crieatividade Gestão Esportiva Empresarial LTDA</v>
      </c>
      <c r="F242" s="27" t="str">
        <f ca="1">IFERROR(__xludf.DUMMYFUNCTION("""COMPUTED_VALUE"""),"Natanael")</f>
        <v>Natanael</v>
      </c>
      <c r="G242" s="27" t="str">
        <f ca="1">IFERROR(__xludf.DUMMYFUNCTION("""COMPUTED_VALUE"""),"CRIEATIVIDADE")</f>
        <v>CRIEATIVIDADE</v>
      </c>
      <c r="H242" s="27" t="str">
        <f ca="1">IFERROR(__xludf.DUMMYFUNCTION("""COMPUTED_VALUE"""),"26.684.148/0001-86")</f>
        <v>26.684.148/0001-86</v>
      </c>
      <c r="I242" s="27" t="str">
        <f ca="1">IFERROR(__xludf.DUMMYFUNCTION("""COMPUTED_VALUE"""),"Natanael de Souza Ferreira")</f>
        <v>Natanael de Souza Ferreira</v>
      </c>
      <c r="J242" s="27" t="str">
        <f ca="1">IFERROR(__xludf.DUMMYFUNCTION("""COMPUTED_VALUE"""),"crieatividade.ge@gmail.com")</f>
        <v>crieatividade.ge@gmail.com</v>
      </c>
      <c r="K242" s="27" t="str">
        <f ca="1">IFERROR(__xludf.DUMMYFUNCTION("""COMPUTED_VALUE"""),"(85)99702-8409")</f>
        <v>(85)99702-8409</v>
      </c>
      <c r="L242" s="27" t="str">
        <f ca="1">IFERROR(__xludf.DUMMYFUNCTION("""COMPUTED_VALUE"""),"CE")</f>
        <v>CE</v>
      </c>
      <c r="M242" s="27" t="str">
        <f ca="1">IFERROR(__xludf.DUMMYFUNCTION("""COMPUTED_VALUE"""),"Doutor Gilberto Studart, 55")</f>
        <v>Doutor Gilberto Studart, 55</v>
      </c>
      <c r="N242" s="27" t="str">
        <f ca="1">IFERROR(__xludf.DUMMYFUNCTION("""COMPUTED_VALUE"""),"Coco")</f>
        <v>Coco</v>
      </c>
      <c r="O242" s="27">
        <f ca="1">IFERROR(__xludf.DUMMYFUNCTION("""COMPUTED_VALUE"""),55)</f>
        <v>55</v>
      </c>
      <c r="P242" s="27" t="str">
        <f ca="1">IFERROR(__xludf.DUMMYFUNCTION("""COMPUTED_VALUE"""),"Fortaleza")</f>
        <v>Fortaleza</v>
      </c>
      <c r="Q242" s="27" t="str">
        <f ca="1">IFERROR(__xludf.DUMMYFUNCTION("""COMPUTED_VALUE"""),", sala 1018, torre 1")</f>
        <v>, sala 1018, torre 1</v>
      </c>
      <c r="R242" s="27" t="str">
        <f ca="1">IFERROR(__xludf.DUMMYFUNCTION("""COMPUTED_VALUE"""),"60192-105")</f>
        <v>60192-105</v>
      </c>
      <c r="S242" s="27"/>
      <c r="T242" s="27"/>
      <c r="U242" s="27" t="str">
        <f ca="1">IFERROR(__xludf.DUMMYFUNCTION("""COMPUTED_VALUE"""),"Crianças (6 a 12 anos), Adolescentes (12 aos 18 anos), Jovens (18 aos 24 anos), Adultos, Idosos (60 anos ou mais)")</f>
        <v>Crianças (6 a 12 anos), Adolescentes (12 aos 18 anos), Jovens (18 aos 24 anos), Adultos, Idosos (60 anos ou mais)</v>
      </c>
      <c r="V242" s="27" t="str">
        <f ca="1">IFERROR(__xludf.DUMMYFUNCTION("""COMPUTED_VALUE"""),"Moradores de Favelas, População LGBTQ+, Pessoas com Deficiência, Outros")</f>
        <v>Moradores de Favelas, População LGBTQ+, Pessoas com Deficiência, Outros</v>
      </c>
      <c r="W242" s="27">
        <f ca="1">IFERROR(__xludf.DUMMYFUNCTION("""COMPUTED_VALUE"""),5)</f>
        <v>5</v>
      </c>
      <c r="X242" s="27"/>
      <c r="Y242" s="27"/>
      <c r="Z242" s="27">
        <f ca="1">IFERROR(__xludf.DUMMYFUNCTION("""COMPUTED_VALUE"""),0)</f>
        <v>0</v>
      </c>
      <c r="AA242" s="29">
        <f ca="1">IFERROR(__xludf.DUMMYFUNCTION("""COMPUTED_VALUE"""),42712)</f>
        <v>42712</v>
      </c>
      <c r="AB242" s="27" t="str">
        <f ca="1">IFERROR(__xludf.DUMMYFUNCTION("""COMPUTED_VALUE"""),"Não")</f>
        <v>Não</v>
      </c>
      <c r="AC242" s="27">
        <f ca="1">IFERROR(__xludf.DUMMYFUNCTION("""COMPUTED_VALUE"""),10)</f>
        <v>10</v>
      </c>
      <c r="AD242" s="27">
        <f ca="1">IFERROR(__xludf.DUMMYFUNCTION("""COMPUTED_VALUE"""),5)</f>
        <v>5</v>
      </c>
      <c r="AE242" s="27">
        <f ca="1">IFERROR(__xludf.DUMMYFUNCTION("""COMPUTED_VALUE"""),0)</f>
        <v>0</v>
      </c>
      <c r="AF242" s="27">
        <f ca="1">IFERROR(__xludf.DUMMYFUNCTION("""COMPUTED_VALUE"""),0)</f>
        <v>0</v>
      </c>
      <c r="AG242" s="27">
        <f ca="1">IFERROR(__xludf.DUMMYFUNCTION("""COMPUTED_VALUE"""),10)</f>
        <v>10</v>
      </c>
      <c r="AH242" s="27" t="str">
        <f ca="1">IFERROR(__xludf.DUMMYFUNCTION("""COMPUTED_VALUE"""),"Lei de Incentivo, Negócio Social, Eventos/Ações para captação, Parceria iniciativa privada, Editais, Outro(s), Lei Municipal da Cultura, Lei Estadual do Esporte, Lei Federal do Esporte, Recursos próprios")</f>
        <v>Lei de Incentivo, Negócio Social, Eventos/Ações para captação, Parceria iniciativa privada, Editais, Outro(s), Lei Municipal da Cultura, Lei Estadual do Esporte, Lei Federal do Esporte, Recursos próprios</v>
      </c>
      <c r="AI242" s="27" t="str">
        <f ca="1">IFERROR(__xludf.DUMMYFUNCTION("""COMPUTED_VALUE"""),"80% Lei estadual de esporte, 20% negócio social")</f>
        <v>80% Lei estadual de esporte, 20% negócio social</v>
      </c>
      <c r="AJ242" s="27" t="str">
        <f ca="1">IFERROR(__xludf.DUMMYFUNCTION("""COMPUTED_VALUE"""),"Sim")</f>
        <v>Sim</v>
      </c>
      <c r="AK242" s="27"/>
      <c r="AL242" s="21" t="str">
        <f ca="1">IFERROR(__xludf.DUMMYFUNCTION("""COMPUTED_VALUE"""),"0034X0000380O50")</f>
        <v>0034X0000380O50</v>
      </c>
      <c r="AM242" s="27" t="str">
        <f ca="1">IFERROR(__xludf.DUMMYFUNCTION("""COMPUTED_VALUE"""),"De souza ferreira")</f>
        <v>De souza ferreira</v>
      </c>
      <c r="AN242" s="27" t="str">
        <f ca="1">IFERROR(__xludf.DUMMYFUNCTION("""COMPUTED_VALUE"""),"Ativo")</f>
        <v>Ativo</v>
      </c>
      <c r="AO242" s="30">
        <f ca="1">IFERROR(__xludf.DUMMYFUNCTION("""COMPUTED_VALUE"""),44763)</f>
        <v>44763</v>
      </c>
      <c r="AP242" s="27">
        <f ca="1">IFERROR(__xludf.DUMMYFUNCTION("""COMPUTED_VALUE"""),2)</f>
        <v>2</v>
      </c>
      <c r="AQ242" s="27" t="str">
        <f ca="1">IFERROR(__xludf.DUMMYFUNCTION("""COMPUTED_VALUE"""),"Primeiro Semestre 2022")</f>
        <v>Primeiro Semestre 2022</v>
      </c>
      <c r="AR242" s="27" t="str">
        <f ca="1">IFERROR(__xludf.DUMMYFUNCTION("""COMPUTED_VALUE"""),"natanaelcrieatividade@gmail.com")</f>
        <v>natanaelcrieatividade@gmail.com</v>
      </c>
      <c r="AS242" s="27" t="str">
        <f ca="1">IFERROR(__xludf.DUMMYFUNCTION("""COMPUTED_VALUE"""),"(85)98945-9036")</f>
        <v>(85)98945-9036</v>
      </c>
      <c r="AT242" s="29">
        <f ca="1">IFERROR(__xludf.DUMMYFUNCTION("""COMPUTED_VALUE"""),32288)</f>
        <v>32288</v>
      </c>
      <c r="AU242" s="27">
        <f ca="1">IFERROR(__xludf.DUMMYFUNCTION("""COMPUTED_VALUE"""),34)</f>
        <v>34</v>
      </c>
      <c r="AV242" s="27">
        <f ca="1">IFERROR(__xludf.DUMMYFUNCTION("""COMPUTED_VALUE"""),3720633306)</f>
        <v>3720633306</v>
      </c>
      <c r="AW242" s="27">
        <f ca="1">IFERROR(__xludf.DUMMYFUNCTION("""COMPUTED_VALUE"""),2005010461282)</f>
        <v>2005010461282</v>
      </c>
      <c r="AX242" s="27"/>
      <c r="AY242" s="27" t="str">
        <f ca="1">IFERROR(__xludf.DUMMYFUNCTION("""COMPUTED_VALUE"""),"Gestor")</f>
        <v>Gestor</v>
      </c>
      <c r="AZ242" s="27" t="str">
        <f ca="1">IFERROR(__xludf.DUMMYFUNCTION("""COMPUTED_VALUE"""),"GG")</f>
        <v>GG</v>
      </c>
      <c r="BA242" s="27" t="str">
        <f ca="1">IFERROR(__xludf.DUMMYFUNCTION("""COMPUTED_VALUE"""),"Preta")</f>
        <v>Preta</v>
      </c>
      <c r="BB242" s="27"/>
      <c r="BC242" s="27"/>
      <c r="BD242" s="27" t="str">
        <f ca="1">IFERROR(__xludf.DUMMYFUNCTION("""COMPUTED_VALUE"""),"Nascido e criado no grande Pirambu, uma das maiores e mais belas favelas do Ceará, como principais referencias mulheres e retirantes da seca que tanto devasta em muitos locais do nosso sertão e nordeste, tenho minhas avós como norteadoras no meu propósito"&amp;" como buscar transformar vidas por meio dos meus conhecimentos como profissional de educação física, especialista em gestão de projetos esportivos.")</f>
        <v>Nascido e criado no grande Pirambu, uma das maiores e mais belas favelas do Ceará, como principais referencias mulheres e retirantes da seca que tanto devasta em muitos locais do nosso sertão e nordeste, tenho minhas avós como norteadoras no meu propósito como buscar transformar vidas por meio dos meus conhecimentos como profissional de educação física, especialista em gestão de projetos esportivos.</v>
      </c>
      <c r="BE242" s="27" t="str">
        <f ca="1">IFERROR(__xludf.DUMMYFUNCTION("""COMPUTED_VALUE"""),"Homem, cisgênero")</f>
        <v>Homem, cisgênero</v>
      </c>
      <c r="BF242" s="27" t="str">
        <f ca="1">IFERROR(__xludf.DUMMYFUNCTION("""COMPUTED_VALUE"""),"Heterossexual")</f>
        <v>Heterossexual</v>
      </c>
      <c r="BG242" s="27" t="str">
        <f ca="1">IFERROR(__xludf.DUMMYFUNCTION("""COMPUTED_VALUE"""),"Ensino Superior - Completo")</f>
        <v>Ensino Superior - Completo</v>
      </c>
      <c r="BH242" s="27" t="str">
        <f ca="1">IFERROR(__xludf.DUMMYFUNCTION("""COMPUTED_VALUE"""),"Público")</f>
        <v>Público</v>
      </c>
      <c r="BI242" s="27" t="str">
        <f ca="1">IFERROR(__xludf.DUMMYFUNCTION("""COMPUTED_VALUE"""),"Pós-Graduação")</f>
        <v>Pós-Graduação</v>
      </c>
      <c r="BJ242" s="27" t="str">
        <f ca="1">IFERROR(__xludf.DUMMYFUNCTION("""COMPUTED_VALUE"""),"Privado")</f>
        <v>Privado</v>
      </c>
      <c r="BK242" s="27" t="str">
        <f ca="1">IFERROR(__xludf.DUMMYFUNCTION("""COMPUTED_VALUE"""),"rua:  três")</f>
        <v>rua:  três</v>
      </c>
      <c r="BL242" s="27">
        <f ca="1">IFERROR(__xludf.DUMMYFUNCTION("""COMPUTED_VALUE"""),107)</f>
        <v>107</v>
      </c>
      <c r="BM242" s="27" t="str">
        <f ca="1">IFERROR(__xludf.DUMMYFUNCTION("""COMPUTED_VALUE"""),"Altos")</f>
        <v>Altos</v>
      </c>
      <c r="BN242" s="27" t="str">
        <f ca="1">IFERROR(__xludf.DUMMYFUNCTION("""COMPUTED_VALUE"""),"Fortaleza")</f>
        <v>Fortaleza</v>
      </c>
      <c r="BO242" s="27" t="str">
        <f ca="1">IFERROR(__xludf.DUMMYFUNCTION("""COMPUTED_VALUE"""),"60337-680")</f>
        <v>60337-680</v>
      </c>
      <c r="BP242" s="27" t="str">
        <f ca="1">IFERROR(__xludf.DUMMYFUNCTION("""COMPUTED_VALUE"""),"CE")</f>
        <v>CE</v>
      </c>
      <c r="BQ242" s="27" t="str">
        <f ca="1">IFERROR(__xludf.DUMMYFUNCTION("""COMPUTED_VALUE"""),"Entre 1 até 3 salários mínimos")</f>
        <v>Entre 1 até 3 salários mínimos</v>
      </c>
      <c r="BR242" s="27" t="str">
        <f ca="1">IFERROR(__xludf.DUMMYFUNCTION("""COMPUTED_VALUE"""),"MEI")</f>
        <v>MEI</v>
      </c>
      <c r="BS242" s="27" t="str">
        <f ca="1">IFERROR(__xludf.DUMMYFUNCTION("""COMPUTED_VALUE"""),"Casa própria")</f>
        <v>Casa própria</v>
      </c>
      <c r="BT242" s="27">
        <f ca="1">IFERROR(__xludf.DUMMYFUNCTION("""COMPUTED_VALUE"""),3)</f>
        <v>3</v>
      </c>
      <c r="BU242" s="27" t="str">
        <f ca="1">IFERROR(__xludf.DUMMYFUNCTION("""COMPUTED_VALUE"""),"Não tem")</f>
        <v>Não tem</v>
      </c>
      <c r="BV242" s="27" t="str">
        <f ca="1">IFERROR(__xludf.DUMMYFUNCTION("""COMPUTED_VALUE"""),"Não")</f>
        <v>Não</v>
      </c>
      <c r="BW242" s="27"/>
      <c r="BX242" s="21" t="str">
        <f ca="1">IFERROR(__xludf.DUMMYFUNCTION("""COMPUTED_VALUE"""),"https://instagram.com/nathancrieatividade?igshid=YmMyMTA2M2Y=")</f>
        <v>https://instagram.com/nathancrieatividade?igshid=YmMyMTA2M2Y=</v>
      </c>
      <c r="BY242" s="21" t="str">
        <f ca="1">IFERROR(__xludf.DUMMYFUNCTION("""COMPUTED_VALUE"""),"https://drive.google.com/open?id=1k4BAIIeuXh31Ug0tfLxLra8vVJwPDPaq")</f>
        <v>https://drive.google.com/open?id=1k4BAIIeuXh31Ug0tfLxLra8vVJwPDPaq</v>
      </c>
    </row>
    <row r="243" spans="1:77" ht="12.5" hidden="1" x14ac:dyDescent="0.25">
      <c r="A243" s="21" t="str">
        <f ca="1">IFERROR(__xludf.DUMMYFUNCTION("""COMPUTED_VALUE"""),"0014X00002VKCqzQAH")</f>
        <v>0014X00002VKCqzQAH</v>
      </c>
      <c r="B243" s="27" t="str">
        <f ca="1">IFERROR(__xludf.DUMMYFUNCTION("""COMPUTED_VALUE"""),"Fase Inicial")</f>
        <v>Fase Inicial</v>
      </c>
      <c r="C243" s="27" t="str">
        <f ca="1">IFERROR(__xludf.DUMMYFUNCTION("""COMPUTED_VALUE"""),"Fellow")</f>
        <v>Fellow</v>
      </c>
      <c r="D243" s="27" t="str">
        <f ca="1">IFERROR(__xludf.DUMMYFUNCTION("""COMPUTED_VALUE"""),"Ativo")</f>
        <v>Ativo</v>
      </c>
      <c r="E243" s="27" t="str">
        <f ca="1">IFERROR(__xludf.DUMMYFUNCTION("""COMPUTED_VALUE"""),"CUIDAR")</f>
        <v>CUIDAR</v>
      </c>
      <c r="F243" s="27" t="str">
        <f ca="1">IFERROR(__xludf.DUMMYFUNCTION("""COMPUTED_VALUE"""),"Marco")</f>
        <v>Marco</v>
      </c>
      <c r="G243" s="27" t="str">
        <f ca="1">IFERROR(__xludf.DUMMYFUNCTION("""COMPUTED_VALUE"""),"CUIDAR MENSAGEIROS DA ESPERANÇA")</f>
        <v>CUIDAR MENSAGEIROS DA ESPERANÇA</v>
      </c>
      <c r="H243" s="27" t="str">
        <f ca="1">IFERROR(__xludf.DUMMYFUNCTION("""COMPUTED_VALUE"""),"22.503.109/0001-84")</f>
        <v>22.503.109/0001-84</v>
      </c>
      <c r="I243" s="27" t="str">
        <f ca="1">IFERROR(__xludf.DUMMYFUNCTION("""COMPUTED_VALUE"""),"Marco Túlio gomes")</f>
        <v>Marco Túlio gomes</v>
      </c>
      <c r="J243" s="27" t="str">
        <f ca="1">IFERROR(__xludf.DUMMYFUNCTION("""COMPUTED_VALUE"""),"missionariotulio@gmail.com")</f>
        <v>missionariotulio@gmail.com</v>
      </c>
      <c r="K243" s="27" t="str">
        <f ca="1">IFERROR(__xludf.DUMMYFUNCTION("""COMPUTED_VALUE"""),"(31)99945-7312")</f>
        <v>(31)99945-7312</v>
      </c>
      <c r="L243" s="27" t="str">
        <f ca="1">IFERROR(__xludf.DUMMYFUNCTION("""COMPUTED_VALUE"""),"MG")</f>
        <v>MG</v>
      </c>
      <c r="M243" s="27" t="str">
        <f ca="1">IFERROR(__xludf.DUMMYFUNCTION("""COMPUTED_VALUE"""),"Rua Elce ribeiro")</f>
        <v>Rua Elce ribeiro</v>
      </c>
      <c r="N243" s="27" t="str">
        <f ca="1">IFERROR(__xludf.DUMMYFUNCTION("""COMPUTED_VALUE"""),"São João batista")</f>
        <v>São João batista</v>
      </c>
      <c r="O243" s="27">
        <f ca="1">IFERROR(__xludf.DUMMYFUNCTION("""COMPUTED_VALUE"""),75)</f>
        <v>75</v>
      </c>
      <c r="P243" s="27" t="str">
        <f ca="1">IFERROR(__xludf.DUMMYFUNCTION("""COMPUTED_VALUE"""),"Belo Horizonte")</f>
        <v>Belo Horizonte</v>
      </c>
      <c r="Q243" s="27"/>
      <c r="R243" s="27" t="str">
        <f ca="1">IFERROR(__xludf.DUMMYFUNCTION("""COMPUTED_VALUE"""),"31515-190")</f>
        <v>31515-190</v>
      </c>
      <c r="S243" s="27" t="str">
        <f ca="1">IFERROR(__xludf.DUMMYFUNCTION("""COMPUTED_VALUE"""),"Sim")</f>
        <v>Sim</v>
      </c>
      <c r="T243" s="27"/>
      <c r="U243" s="27" t="str">
        <f ca="1">IFERROR(__xludf.DUMMYFUNCTION("""COMPUTED_VALUE"""),"Crianças (6 a 12 anos), Adolescentes (12 aos 18 anos), Adultos")</f>
        <v>Crianças (6 a 12 anos), Adolescentes (12 aos 18 anos), Adultos</v>
      </c>
      <c r="V243" s="27" t="str">
        <f ca="1">IFERROR(__xludf.DUMMYFUNCTION("""COMPUTED_VALUE"""),"Moradores de Favelas, Egressos sistema carcerário, Outros")</f>
        <v>Moradores de Favelas, Egressos sistema carcerário, Outros</v>
      </c>
      <c r="W243" s="27">
        <f ca="1">IFERROR(__xludf.DUMMYFUNCTION("""COMPUTED_VALUE"""),2)</f>
        <v>2</v>
      </c>
      <c r="X243" s="27" t="str">
        <f ca="1">IFERROR(__xludf.DUMMYFUNCTION("""COMPUTED_VALUE"""),"apoio a familias envolvidas em trafico* crianças em maus tratos* mulheres violentadas* ação social em familias com apoio com alientos* acompanhamento e orientação familiar.")</f>
        <v>apoio a familias envolvidas em trafico* crianças em maus tratos* mulheres violentadas* ação social em familias com apoio com alientos* acompanhamento e orientação familiar.</v>
      </c>
      <c r="Y243" s="27"/>
      <c r="Z243" s="27">
        <f ca="1">IFERROR(__xludf.DUMMYFUNCTION("""COMPUTED_VALUE"""),15)</f>
        <v>15</v>
      </c>
      <c r="AA243" s="29">
        <f ca="1">IFERROR(__xludf.DUMMYFUNCTION("""COMPUTED_VALUE"""),42061)</f>
        <v>42061</v>
      </c>
      <c r="AB243" s="27" t="str">
        <f ca="1">IFERROR(__xludf.DUMMYFUNCTION("""COMPUTED_VALUE"""),"Sim")</f>
        <v>Sim</v>
      </c>
      <c r="AC243" s="27">
        <f ca="1">IFERROR(__xludf.DUMMYFUNCTION("""COMPUTED_VALUE"""),0)</f>
        <v>0</v>
      </c>
      <c r="AD243" s="27">
        <f ca="1">IFERROR(__xludf.DUMMYFUNCTION("""COMPUTED_VALUE"""),5)</f>
        <v>5</v>
      </c>
      <c r="AE243" s="27">
        <f ca="1">IFERROR(__xludf.DUMMYFUNCTION("""COMPUTED_VALUE"""),5)</f>
        <v>5</v>
      </c>
      <c r="AF243" s="27">
        <f ca="1">IFERROR(__xludf.DUMMYFUNCTION("""COMPUTED_VALUE"""),5)</f>
        <v>5</v>
      </c>
      <c r="AG243" s="27">
        <f ca="1">IFERROR(__xludf.DUMMYFUNCTION("""COMPUTED_VALUE"""),3)</f>
        <v>3</v>
      </c>
      <c r="AH243" s="27" t="str">
        <f ca="1">IFERROR(__xludf.DUMMYFUNCTION("""COMPUTED_VALUE"""),"Eventos/Ações para captação, Doações, Recursos próprios")</f>
        <v>Eventos/Ações para captação, Doações, Recursos próprios</v>
      </c>
      <c r="AI243" s="27" t="str">
        <f ca="1">IFERROR(__xludf.DUMMYFUNCTION("""COMPUTED_VALUE"""),"50% recurso próprio. 25% doação  25% eventos")</f>
        <v>50% recurso próprio. 25% doação  25% eventos</v>
      </c>
      <c r="AJ243" s="27" t="str">
        <f ca="1">IFERROR(__xludf.DUMMYFUNCTION("""COMPUTED_VALUE"""),"Não")</f>
        <v>Não</v>
      </c>
      <c r="AK243" s="27"/>
      <c r="AL243" s="21" t="str">
        <f ca="1">IFERROR(__xludf.DUMMYFUNCTION("""COMPUTED_VALUE"""),"0034X0000380O3t")</f>
        <v>0034X0000380O3t</v>
      </c>
      <c r="AM243" s="27" t="str">
        <f ca="1">IFERROR(__xludf.DUMMYFUNCTION("""COMPUTED_VALUE"""),"Tulio gomes")</f>
        <v>Tulio gomes</v>
      </c>
      <c r="AN243" s="27" t="str">
        <f ca="1">IFERROR(__xludf.DUMMYFUNCTION("""COMPUTED_VALUE"""),"Ativo")</f>
        <v>Ativo</v>
      </c>
      <c r="AO243" s="29">
        <f ca="1">IFERROR(__xludf.DUMMYFUNCTION("""COMPUTED_VALUE"""),44763)</f>
        <v>44763</v>
      </c>
      <c r="AP243" s="27">
        <f ca="1">IFERROR(__xludf.DUMMYFUNCTION("""COMPUTED_VALUE"""),2)</f>
        <v>2</v>
      </c>
      <c r="AQ243" s="27" t="str">
        <f ca="1">IFERROR(__xludf.DUMMYFUNCTION("""COMPUTED_VALUE"""),"Primeiro Semestre 2022")</f>
        <v>Primeiro Semestre 2022</v>
      </c>
      <c r="AR243" s="27" t="str">
        <f ca="1">IFERROR(__xludf.DUMMYFUNCTION("""COMPUTED_VALUE"""),"missionariotulio@gmail.com")</f>
        <v>missionariotulio@gmail.com</v>
      </c>
      <c r="AS243" s="27" t="str">
        <f ca="1">IFERROR(__xludf.DUMMYFUNCTION("""COMPUTED_VALUE"""),"(31)99945-7312")</f>
        <v>(31)99945-7312</v>
      </c>
      <c r="AT243" s="29">
        <f ca="1">IFERROR(__xludf.DUMMYFUNCTION("""COMPUTED_VALUE"""),27480)</f>
        <v>27480</v>
      </c>
      <c r="AU243" s="27">
        <f ca="1">IFERROR(__xludf.DUMMYFUNCTION("""COMPUTED_VALUE"""),47)</f>
        <v>47</v>
      </c>
      <c r="AV243" s="27">
        <f ca="1">IFERROR(__xludf.DUMMYFUNCTION("""COMPUTED_VALUE"""),147611652)</f>
        <v>147611652</v>
      </c>
      <c r="AW243" s="27">
        <f ca="1">IFERROR(__xludf.DUMMYFUNCTION("""COMPUTED_VALUE"""),6880756)</f>
        <v>6880756</v>
      </c>
      <c r="AX243" s="27"/>
      <c r="AY243" s="27" t="str">
        <f ca="1">IFERROR(__xludf.DUMMYFUNCTION("""COMPUTED_VALUE"""),"Vice presidente")</f>
        <v>Vice presidente</v>
      </c>
      <c r="AZ243" s="27" t="str">
        <f ca="1">IFERROR(__xludf.DUMMYFUNCTION("""COMPUTED_VALUE"""),"G1")</f>
        <v>G1</v>
      </c>
      <c r="BA243" s="27" t="str">
        <f ca="1">IFERROR(__xludf.DUMMYFUNCTION("""COMPUTED_VALUE"""),"Parda")</f>
        <v>Parda</v>
      </c>
      <c r="BB243" s="27"/>
      <c r="BC243" s="27"/>
      <c r="BD243" s="27" t="str">
        <f ca="1">IFERROR(__xludf.DUMMYFUNCTION("""COMPUTED_VALUE"""),"Casula de sete irmãos, pai de família, líder social,  professor e atuante em ações sociais , grande sonhador um um futuro melhor para próximo através do cuidado, responsável pela ONG Cuidar")</f>
        <v>Casula de sete irmãos, pai de família, líder social,  professor e atuante em ações sociais , grande sonhador um um futuro melhor para próximo através do cuidado, responsável pela ONG Cuidar</v>
      </c>
      <c r="BE243" s="27" t="str">
        <f ca="1">IFERROR(__xludf.DUMMYFUNCTION("""COMPUTED_VALUE"""),"Outro(s)")</f>
        <v>Outro(s)</v>
      </c>
      <c r="BF243" s="27" t="str">
        <f ca="1">IFERROR(__xludf.DUMMYFUNCTION("""COMPUTED_VALUE"""),"Heterossexual")</f>
        <v>Heterossexual</v>
      </c>
      <c r="BG243" s="27" t="str">
        <f ca="1">IFERROR(__xludf.DUMMYFUNCTION("""COMPUTED_VALUE"""),"Ensino Superior - Completo")</f>
        <v>Ensino Superior - Completo</v>
      </c>
      <c r="BH243" s="27" t="str">
        <f ca="1">IFERROR(__xludf.DUMMYFUNCTION("""COMPUTED_VALUE"""),"Público")</f>
        <v>Público</v>
      </c>
      <c r="BI243" s="27" t="str">
        <f ca="1">IFERROR(__xludf.DUMMYFUNCTION("""COMPUTED_VALUE"""),"Graduação")</f>
        <v>Graduação</v>
      </c>
      <c r="BJ243" s="27" t="str">
        <f ca="1">IFERROR(__xludf.DUMMYFUNCTION("""COMPUTED_VALUE"""),"Privado")</f>
        <v>Privado</v>
      </c>
      <c r="BK243" s="27" t="str">
        <f ca="1">IFERROR(__xludf.DUMMYFUNCTION("""COMPUTED_VALUE"""),"Rua Elce Ribeiro")</f>
        <v>Rua Elce Ribeiro</v>
      </c>
      <c r="BL243" s="27">
        <f ca="1">IFERROR(__xludf.DUMMYFUNCTION("""COMPUTED_VALUE"""),75)</f>
        <v>75</v>
      </c>
      <c r="BM243" s="27"/>
      <c r="BN243" s="27" t="str">
        <f ca="1">IFERROR(__xludf.DUMMYFUNCTION("""COMPUTED_VALUE"""),"Belo horizonte")</f>
        <v>Belo horizonte</v>
      </c>
      <c r="BO243" s="27" t="str">
        <f ca="1">IFERROR(__xludf.DUMMYFUNCTION("""COMPUTED_VALUE"""),"31515-190")</f>
        <v>31515-190</v>
      </c>
      <c r="BP243" s="27" t="str">
        <f ca="1">IFERROR(__xludf.DUMMYFUNCTION("""COMPUTED_VALUE"""),"MG")</f>
        <v>MG</v>
      </c>
      <c r="BQ243" s="27" t="str">
        <f ca="1">IFERROR(__xludf.DUMMYFUNCTION("""COMPUTED_VALUE"""),"Entre 1 até 3 salários mínimos")</f>
        <v>Entre 1 até 3 salários mínimos</v>
      </c>
      <c r="BR243" s="27" t="str">
        <f ca="1">IFERROR(__xludf.DUMMYFUNCTION("""COMPUTED_VALUE"""),"Trabalho informal")</f>
        <v>Trabalho informal</v>
      </c>
      <c r="BS243" s="27" t="str">
        <f ca="1">IFERROR(__xludf.DUMMYFUNCTION("""COMPUTED_VALUE"""),"Casa própria")</f>
        <v>Casa própria</v>
      </c>
      <c r="BT243" s="27">
        <f ca="1">IFERROR(__xludf.DUMMYFUNCTION("""COMPUTED_VALUE"""),3)</f>
        <v>3</v>
      </c>
      <c r="BU243" s="27" t="str">
        <f ca="1">IFERROR(__xludf.DUMMYFUNCTION("""COMPUTED_VALUE"""),"Não tem")</f>
        <v>Não tem</v>
      </c>
      <c r="BV243" s="27" t="str">
        <f ca="1">IFERROR(__xludf.DUMMYFUNCTION("""COMPUTED_VALUE"""),"Não")</f>
        <v>Não</v>
      </c>
      <c r="BW243" s="27"/>
      <c r="BX243" s="27" t="str">
        <f ca="1">IFERROR(__xludf.DUMMYFUNCTION("""COMPUTED_VALUE"""),"Prmarcotgomes")</f>
        <v>Prmarcotgomes</v>
      </c>
      <c r="BY243" s="21" t="str">
        <f ca="1">IFERROR(__xludf.DUMMYFUNCTION("""COMPUTED_VALUE"""),"https://drive.google.com/open?id=10FmT6Z56cOI9-urh7X1DcDVxdKjsovd0")</f>
        <v>https://drive.google.com/open?id=10FmT6Z56cOI9-urh7X1DcDVxdKjsovd0</v>
      </c>
    </row>
    <row r="244" spans="1:77" ht="12.5" hidden="1" x14ac:dyDescent="0.25">
      <c r="A244" s="21" t="str">
        <f ca="1">IFERROR(__xludf.DUMMYFUNCTION("""COMPUTED_VALUE"""),"0014X00002VKCpUQAX")</f>
        <v>0014X00002VKCpUQAX</v>
      </c>
      <c r="B244" s="27" t="str">
        <f ca="1">IFERROR(__xludf.DUMMYFUNCTION("""COMPUTED_VALUE"""),"Fase Inicial")</f>
        <v>Fase Inicial</v>
      </c>
      <c r="C244" s="27" t="str">
        <f ca="1">IFERROR(__xludf.DUMMYFUNCTION("""COMPUTED_VALUE"""),"Fellow")</f>
        <v>Fellow</v>
      </c>
      <c r="D244" s="27" t="str">
        <f ca="1">IFERROR(__xludf.DUMMYFUNCTION("""COMPUTED_VALUE"""),"Ativo")</f>
        <v>Ativo</v>
      </c>
      <c r="E244" s="27" t="str">
        <f ca="1">IFERROR(__xludf.DUMMYFUNCTION("""COMPUTED_VALUE"""),"Dakole")</f>
        <v>Dakole</v>
      </c>
      <c r="F244" s="27" t="str">
        <f ca="1">IFERROR(__xludf.DUMMYFUNCTION("""COMPUTED_VALUE"""),"Mirian")</f>
        <v>Mirian</v>
      </c>
      <c r="G244" s="27" t="str">
        <f ca="1">IFERROR(__xludf.DUMMYFUNCTION("""COMPUTED_VALUE"""),"DAKOLE")</f>
        <v>DAKOLE</v>
      </c>
      <c r="H244" s="27" t="str">
        <f ca="1">IFERROR(__xludf.DUMMYFUNCTION("""COMPUTED_VALUE"""),"767.236.075-20")</f>
        <v>767.236.075-20</v>
      </c>
      <c r="I244" s="27" t="str">
        <f ca="1">IFERROR(__xludf.DUMMYFUNCTION("""COMPUTED_VALUE"""),"Mirian dos Santos")</f>
        <v>Mirian dos Santos</v>
      </c>
      <c r="J244" s="27" t="str">
        <f ca="1">IFERROR(__xludf.DUMMYFUNCTION("""COMPUTED_VALUE"""),"projetoevoluirsemeandoamanha@gmail.com")</f>
        <v>projetoevoluirsemeandoamanha@gmail.com</v>
      </c>
      <c r="K244" s="27" t="str">
        <f ca="1">IFERROR(__xludf.DUMMYFUNCTION("""COMPUTED_VALUE"""),"(71)98803-5575")</f>
        <v>(71)98803-5575</v>
      </c>
      <c r="L244" s="27" t="str">
        <f ca="1">IFERROR(__xludf.DUMMYFUNCTION("""COMPUTED_VALUE"""),"BA")</f>
        <v>BA</v>
      </c>
      <c r="M244" s="27" t="str">
        <f ca="1">IFERROR(__xludf.DUMMYFUNCTION("""COMPUTED_VALUE"""),"Estrada Velha de Campinas")</f>
        <v>Estrada Velha de Campinas</v>
      </c>
      <c r="N244" s="27" t="str">
        <f ca="1">IFERROR(__xludf.DUMMYFUNCTION("""COMPUTED_VALUE"""),"Campinas")</f>
        <v>Campinas</v>
      </c>
      <c r="O244" s="27">
        <f ca="1">IFERROR(__xludf.DUMMYFUNCTION("""COMPUTED_VALUE"""),27)</f>
        <v>27</v>
      </c>
      <c r="P244" s="27" t="str">
        <f ca="1">IFERROR(__xludf.DUMMYFUNCTION("""COMPUTED_VALUE"""),"Salvador")</f>
        <v>Salvador</v>
      </c>
      <c r="Q244" s="27" t="str">
        <f ca="1">IFERROR(__xludf.DUMMYFUNCTION("""COMPUTED_VALUE"""),"Próximo a escola Filhos de Salomão")</f>
        <v>Próximo a escola Filhos de Salomão</v>
      </c>
      <c r="R244" s="27" t="str">
        <f ca="1">IFERROR(__xludf.DUMMYFUNCTION("""COMPUTED_VALUE"""),"41270-500")</f>
        <v>41270-500</v>
      </c>
      <c r="S244" s="27" t="str">
        <f ca="1">IFERROR(__xludf.DUMMYFUNCTION("""COMPUTED_VALUE"""),"sim")</f>
        <v>sim</v>
      </c>
      <c r="T244" s="27"/>
      <c r="U244" s="27" t="str">
        <f ca="1">IFERROR(__xludf.DUMMYFUNCTION("""COMPUTED_VALUE"""),"Crianças (6 a 12 anos), Adolescentes (12 aos 18 anos), Jovens (18 aos 24 anos), Adultos")</f>
        <v>Crianças (6 a 12 anos), Adolescentes (12 aos 18 anos), Jovens (18 aos 24 anos), Adultos</v>
      </c>
      <c r="V244" s="27" t="str">
        <f ca="1">IFERROR(__xludf.DUMMYFUNCTION("""COMPUTED_VALUE"""),"Moradores de Favelas, Pessoas em situação de rua, População LGBTQ+, Dependentes Químicos, Outros")</f>
        <v>Moradores de Favelas, Pessoas em situação de rua, População LGBTQ+, Dependentes Químicos, Outros</v>
      </c>
      <c r="W244" s="27">
        <f ca="1">IFERROR(__xludf.DUMMYFUNCTION("""COMPUTED_VALUE"""),3)</f>
        <v>3</v>
      </c>
      <c r="X244" s="27"/>
      <c r="Y244" s="27"/>
      <c r="Z244" s="27">
        <f ca="1">IFERROR(__xludf.DUMMYFUNCTION("""COMPUTED_VALUE"""),93)</f>
        <v>93</v>
      </c>
      <c r="AA244" s="29">
        <f ca="1">IFERROR(__xludf.DUMMYFUNCTION("""COMPUTED_VALUE"""),44242)</f>
        <v>44242</v>
      </c>
      <c r="AB244" s="27" t="str">
        <f ca="1">IFERROR(__xludf.DUMMYFUNCTION("""COMPUTED_VALUE"""),"Não")</f>
        <v>Não</v>
      </c>
      <c r="AC244" s="27">
        <f ca="1">IFERROR(__xludf.DUMMYFUNCTION("""COMPUTED_VALUE"""),3)</f>
        <v>3</v>
      </c>
      <c r="AD244" s="27">
        <f ca="1">IFERROR(__xludf.DUMMYFUNCTION("""COMPUTED_VALUE"""),1)</f>
        <v>1</v>
      </c>
      <c r="AE244" s="27">
        <f ca="1">IFERROR(__xludf.DUMMYFUNCTION("""COMPUTED_VALUE"""),3)</f>
        <v>3</v>
      </c>
      <c r="AF244" s="27">
        <f ca="1">IFERROR(__xludf.DUMMYFUNCTION("""COMPUTED_VALUE"""),1)</f>
        <v>1</v>
      </c>
      <c r="AG244" s="27">
        <f ca="1">IFERROR(__xludf.DUMMYFUNCTION("""COMPUTED_VALUE"""),2)</f>
        <v>2</v>
      </c>
      <c r="AH244" s="27" t="str">
        <f ca="1">IFERROR(__xludf.DUMMYFUNCTION("""COMPUTED_VALUE"""),"Eventos/Ações para captação, Doações")</f>
        <v>Eventos/Ações para captação, Doações</v>
      </c>
      <c r="AI244" s="27">
        <f ca="1">IFERROR(__xludf.DUMMYFUNCTION("""COMPUTED_VALUE"""),0)</f>
        <v>0</v>
      </c>
      <c r="AJ244" s="27" t="str">
        <f ca="1">IFERROR(__xludf.DUMMYFUNCTION("""COMPUTED_VALUE"""),"Não")</f>
        <v>Não</v>
      </c>
      <c r="AK244" s="27"/>
      <c r="AL244" s="21" t="str">
        <f ca="1">IFERROR(__xludf.DUMMYFUNCTION("""COMPUTED_VALUE"""),"0034X0000380O6f")</f>
        <v>0034X0000380O6f</v>
      </c>
      <c r="AM244" s="27" t="str">
        <f ca="1">IFERROR(__xludf.DUMMYFUNCTION("""COMPUTED_VALUE"""),"Dos santos")</f>
        <v>Dos santos</v>
      </c>
      <c r="AN244" s="27" t="str">
        <f ca="1">IFERROR(__xludf.DUMMYFUNCTION("""COMPUTED_VALUE"""),"Ativo")</f>
        <v>Ativo</v>
      </c>
      <c r="AO244" s="29">
        <f ca="1">IFERROR(__xludf.DUMMYFUNCTION("""COMPUTED_VALUE"""),44763)</f>
        <v>44763</v>
      </c>
      <c r="AP244" s="27">
        <f ca="1">IFERROR(__xludf.DUMMYFUNCTION("""COMPUTED_VALUE"""),2)</f>
        <v>2</v>
      </c>
      <c r="AQ244" s="27" t="str">
        <f ca="1">IFERROR(__xludf.DUMMYFUNCTION("""COMPUTED_VALUE"""),"Primeiro Semestre 2022")</f>
        <v>Primeiro Semestre 2022</v>
      </c>
      <c r="AR244" s="27" t="str">
        <f ca="1">IFERROR(__xludf.DUMMYFUNCTION("""COMPUTED_VALUE"""),"dossantosmirian286@gmail.com")</f>
        <v>dossantosmirian286@gmail.com</v>
      </c>
      <c r="AS244" s="27" t="str">
        <f ca="1">IFERROR(__xludf.DUMMYFUNCTION("""COMPUTED_VALUE"""),"71 988035575")</f>
        <v>71 988035575</v>
      </c>
      <c r="AT244" s="29">
        <f ca="1">IFERROR(__xludf.DUMMYFUNCTION("""COMPUTED_VALUE"""),27035)</f>
        <v>27035</v>
      </c>
      <c r="AU244" s="27">
        <f ca="1">IFERROR(__xludf.DUMMYFUNCTION("""COMPUTED_VALUE"""),48)</f>
        <v>48</v>
      </c>
      <c r="AV244" s="27">
        <f ca="1">IFERROR(__xludf.DUMMYFUNCTION("""COMPUTED_VALUE"""),76723607520)</f>
        <v>76723607520</v>
      </c>
      <c r="AW244" s="27">
        <f ca="1">IFERROR(__xludf.DUMMYFUNCTION("""COMPUTED_VALUE"""),567656900)</f>
        <v>567656900</v>
      </c>
      <c r="AX244" s="27"/>
      <c r="AY244" s="27"/>
      <c r="AZ244" s="27" t="str">
        <f ca="1">IFERROR(__xludf.DUMMYFUNCTION("""COMPUTED_VALUE"""),"P")</f>
        <v>P</v>
      </c>
      <c r="BA244" s="27" t="str">
        <f ca="1">IFERROR(__xludf.DUMMYFUNCTION("""COMPUTED_VALUE"""),"Preta")</f>
        <v>Preta</v>
      </c>
      <c r="BB244" s="27"/>
      <c r="BC244" s="27"/>
      <c r="BD244" s="27" t="str">
        <f ca="1">IFERROR(__xludf.DUMMYFUNCTION("""COMPUTED_VALUE"""),"Sou Mirian* professora de Educação física")</f>
        <v>Sou Mirian* professora de Educação física</v>
      </c>
      <c r="BE244" s="27" t="str">
        <f ca="1">IFERROR(__xludf.DUMMYFUNCTION("""COMPUTED_VALUE"""),"Feminino")</f>
        <v>Feminino</v>
      </c>
      <c r="BF244" s="27" t="str">
        <f ca="1">IFERROR(__xludf.DUMMYFUNCTION("""COMPUTED_VALUE"""),"Heterossexual")</f>
        <v>Heterossexual</v>
      </c>
      <c r="BG244" s="27"/>
      <c r="BH244" s="27" t="str">
        <f ca="1">IFERROR(__xludf.DUMMYFUNCTION("""COMPUTED_VALUE"""),"Público")</f>
        <v>Público</v>
      </c>
      <c r="BI244" s="27" t="str">
        <f ca="1">IFERROR(__xludf.DUMMYFUNCTION("""COMPUTED_VALUE"""),"Graduação")</f>
        <v>Graduação</v>
      </c>
      <c r="BJ244" s="27" t="str">
        <f ca="1">IFERROR(__xludf.DUMMYFUNCTION("""COMPUTED_VALUE"""),"Privado")</f>
        <v>Privado</v>
      </c>
      <c r="BK244" s="27" t="str">
        <f ca="1">IFERROR(__xludf.DUMMYFUNCTION("""COMPUTED_VALUE"""),"Rua Lellis Piedade 73")</f>
        <v>Rua Lellis Piedade 73</v>
      </c>
      <c r="BL244" s="27">
        <f ca="1">IFERROR(__xludf.DUMMYFUNCTION("""COMPUTED_VALUE"""),73)</f>
        <v>73</v>
      </c>
      <c r="BM244" s="27"/>
      <c r="BN244" s="27"/>
      <c r="BO244" s="27">
        <f ca="1">IFERROR(__xludf.DUMMYFUNCTION("""COMPUTED_VALUE"""),40420190)</f>
        <v>40420190</v>
      </c>
      <c r="BP244" s="27" t="str">
        <f ca="1">IFERROR(__xludf.DUMMYFUNCTION("""COMPUTED_VALUE"""),"BA")</f>
        <v>BA</v>
      </c>
      <c r="BQ244" s="27" t="str">
        <f ca="1">IFERROR(__xludf.DUMMYFUNCTION("""COMPUTED_VALUE"""),"Entre 1 até 3 salários mínimos")</f>
        <v>Entre 1 até 3 salários mínimos</v>
      </c>
      <c r="BR244" s="27" t="str">
        <f ca="1">IFERROR(__xludf.DUMMYFUNCTION("""COMPUTED_VALUE"""),"Desempregado")</f>
        <v>Desempregado</v>
      </c>
      <c r="BS244" s="27" t="str">
        <f ca="1">IFERROR(__xludf.DUMMYFUNCTION("""COMPUTED_VALUE"""),"Casa própria")</f>
        <v>Casa própria</v>
      </c>
      <c r="BT244" s="27">
        <f ca="1">IFERROR(__xludf.DUMMYFUNCTION("""COMPUTED_VALUE"""),3)</f>
        <v>3</v>
      </c>
      <c r="BU244" s="27" t="str">
        <f ca="1">IFERROR(__xludf.DUMMYFUNCTION("""COMPUTED_VALUE"""),"Não tem")</f>
        <v>Não tem</v>
      </c>
      <c r="BV244" s="27" t="str">
        <f ca="1">IFERROR(__xludf.DUMMYFUNCTION("""COMPUTED_VALUE"""),"Não")</f>
        <v>Não</v>
      </c>
      <c r="BW244" s="27"/>
      <c r="BX244" s="21" t="str">
        <f ca="1">IFERROR(__xludf.DUMMYFUNCTION("""COMPUTED_VALUE"""),"https://instagram.com/45preta?utm_medium=copy_link")</f>
        <v>https://instagram.com/45preta?utm_medium=copy_link</v>
      </c>
      <c r="BY244" s="21" t="str">
        <f ca="1">IFERROR(__xludf.DUMMYFUNCTION("""COMPUTED_VALUE"""),"https://drive.google.com/open?id=1S6VzZQKAEYk_pZgPxr2xEelATWdRxCSl")</f>
        <v>https://drive.google.com/open?id=1S6VzZQKAEYk_pZgPxr2xEelATWdRxCSl</v>
      </c>
    </row>
    <row r="245" spans="1:77" ht="12.5" hidden="1" x14ac:dyDescent="0.25">
      <c r="A245" s="21" t="str">
        <f ca="1">IFERROR(__xludf.DUMMYFUNCTION("""COMPUTED_VALUE"""),"0014X00002VKCreQAH")</f>
        <v>0014X00002VKCreQAH</v>
      </c>
      <c r="B245" s="27" t="str">
        <f ca="1">IFERROR(__xludf.DUMMYFUNCTION("""COMPUTED_VALUE"""),"Fase Inicial")</f>
        <v>Fase Inicial</v>
      </c>
      <c r="C245" s="27" t="str">
        <f ca="1">IFERROR(__xludf.DUMMYFUNCTION("""COMPUTED_VALUE"""),"Fellow")</f>
        <v>Fellow</v>
      </c>
      <c r="D245" s="27" t="str">
        <f ca="1">IFERROR(__xludf.DUMMYFUNCTION("""COMPUTED_VALUE"""),"Ativo")</f>
        <v>Ativo</v>
      </c>
      <c r="E245" s="27" t="str">
        <f ca="1">IFERROR(__xludf.DUMMYFUNCTION("""COMPUTED_VALUE"""),"Deficiente Eficiente")</f>
        <v>Deficiente Eficiente</v>
      </c>
      <c r="F245" s="27" t="str">
        <f ca="1">IFERROR(__xludf.DUMMYFUNCTION("""COMPUTED_VALUE"""),"Felipe")</f>
        <v>Felipe</v>
      </c>
      <c r="G245" s="27" t="str">
        <f ca="1">IFERROR(__xludf.DUMMYFUNCTION("""COMPUTED_VALUE"""),"DEFICIENTE EFICIENTE")</f>
        <v>DEFICIENTE EFICIENTE</v>
      </c>
      <c r="H245" s="27" t="str">
        <f ca="1">IFERROR(__xludf.DUMMYFUNCTION("""COMPUTED_VALUE"""),"26.682.235/0001-02")</f>
        <v>26.682.235/0001-02</v>
      </c>
      <c r="I245" s="27" t="str">
        <f ca="1">IFERROR(__xludf.DUMMYFUNCTION("""COMPUTED_VALUE"""),"Felipe Gervásio")</f>
        <v>Felipe Gervásio</v>
      </c>
      <c r="J245" s="27" t="str">
        <f ca="1">IFERROR(__xludf.DUMMYFUNCTION("""COMPUTED_VALUE"""),"deficiente07eficiente@gmail.com")</f>
        <v>deficiente07eficiente@gmail.com</v>
      </c>
      <c r="K245" s="27" t="str">
        <f ca="1">IFERROR(__xludf.DUMMYFUNCTION("""COMPUTED_VALUE"""),"(81)97906-8043")</f>
        <v>(81)97906-8043</v>
      </c>
      <c r="L245" s="27" t="str">
        <f ca="1">IFERROR(__xludf.DUMMYFUNCTION("""COMPUTED_VALUE"""),"PE")</f>
        <v>PE</v>
      </c>
      <c r="M245" s="27" t="str">
        <f ca="1">IFERROR(__xludf.DUMMYFUNCTION("""COMPUTED_VALUE"""),"Segunda Travessa José Liberato")</f>
        <v>Segunda Travessa José Liberato</v>
      </c>
      <c r="N245" s="27" t="str">
        <f ca="1">IFERROR(__xludf.DUMMYFUNCTION("""COMPUTED_VALUE"""),"Cavaleiro")</f>
        <v>Cavaleiro</v>
      </c>
      <c r="O245" s="27">
        <f ca="1">IFERROR(__xludf.DUMMYFUNCTION("""COMPUTED_VALUE"""),311)</f>
        <v>311</v>
      </c>
      <c r="P245" s="27" t="str">
        <f ca="1">IFERROR(__xludf.DUMMYFUNCTION("""COMPUTED_VALUE"""),"Jaboatão dos Guararapes")</f>
        <v>Jaboatão dos Guararapes</v>
      </c>
      <c r="Q245" s="27" t="str">
        <f ca="1">IFERROR(__xludf.DUMMYFUNCTION("""COMPUTED_VALUE"""),"casa")</f>
        <v>casa</v>
      </c>
      <c r="R245" s="27" t="str">
        <f ca="1">IFERROR(__xludf.DUMMYFUNCTION("""COMPUTED_VALUE"""),"54210-543")</f>
        <v>54210-543</v>
      </c>
      <c r="S245" s="27"/>
      <c r="T245" s="27"/>
      <c r="U245" s="27" t="str">
        <f ca="1">IFERROR(__xludf.DUMMYFUNCTION("""COMPUTED_VALUE"""),"Crianças (6 a 12 anos), Adolescentes (12 aos 18 anos), Jovens (18 aos 24 anos), Adultos")</f>
        <v>Crianças (6 a 12 anos), Adolescentes (12 aos 18 anos), Jovens (18 aos 24 anos), Adultos</v>
      </c>
      <c r="V245" s="27" t="str">
        <f ca="1">IFERROR(__xludf.DUMMYFUNCTION("""COMPUTED_VALUE"""),"Moradores de Favelas, Afrodescendentes, Pessoas com Deficiência, Outros")</f>
        <v>Moradores de Favelas, Afrodescendentes, Pessoas com Deficiência, Outros</v>
      </c>
      <c r="W245" s="27">
        <f ca="1">IFERROR(__xludf.DUMMYFUNCTION("""COMPUTED_VALUE"""),2)</f>
        <v>2</v>
      </c>
      <c r="X245" s="27" t="str">
        <f ca="1">IFERROR(__xludf.DUMMYFUNCTION("""COMPUTED_VALUE"""),"Atendimento voltado para as pessoas com deficiência* familiares e pessoas em vulnerabilidade social.")</f>
        <v>Atendimento voltado para as pessoas com deficiência* familiares e pessoas em vulnerabilidade social.</v>
      </c>
      <c r="Y245" s="27"/>
      <c r="Z245" s="27">
        <f ca="1">IFERROR(__xludf.DUMMYFUNCTION("""COMPUTED_VALUE"""),220)</f>
        <v>220</v>
      </c>
      <c r="AA245" s="29">
        <f ca="1">IFERROR(__xludf.DUMMYFUNCTION("""COMPUTED_VALUE"""),42344)</f>
        <v>42344</v>
      </c>
      <c r="AB245" s="27" t="str">
        <f ca="1">IFERROR(__xludf.DUMMYFUNCTION("""COMPUTED_VALUE"""),"Sim")</f>
        <v>Sim</v>
      </c>
      <c r="AC245" s="27">
        <f ca="1">IFERROR(__xludf.DUMMYFUNCTION("""COMPUTED_VALUE"""),0)</f>
        <v>0</v>
      </c>
      <c r="AD245" s="27">
        <f ca="1">IFERROR(__xludf.DUMMYFUNCTION("""COMPUTED_VALUE"""),1)</f>
        <v>1</v>
      </c>
      <c r="AE245" s="27">
        <f ca="1">IFERROR(__xludf.DUMMYFUNCTION("""COMPUTED_VALUE"""),9)</f>
        <v>9</v>
      </c>
      <c r="AF245" s="27">
        <f ca="1">IFERROR(__xludf.DUMMYFUNCTION("""COMPUTED_VALUE"""),7)</f>
        <v>7</v>
      </c>
      <c r="AG245" s="27">
        <f ca="1">IFERROR(__xludf.DUMMYFUNCTION("""COMPUTED_VALUE"""),1)</f>
        <v>1</v>
      </c>
      <c r="AH245" s="27" t="str">
        <f ca="1">IFERROR(__xludf.DUMMYFUNCTION("""COMPUTED_VALUE"""),"Doações")</f>
        <v>Doações</v>
      </c>
      <c r="AI245" s="27">
        <f ca="1">IFERROR(__xludf.DUMMYFUNCTION("""COMPUTED_VALUE"""),0)</f>
        <v>0</v>
      </c>
      <c r="AJ245" s="27" t="str">
        <f ca="1">IFERROR(__xludf.DUMMYFUNCTION("""COMPUTED_VALUE"""),"Não")</f>
        <v>Não</v>
      </c>
      <c r="AK245" s="27"/>
      <c r="AL245" s="21" t="str">
        <f ca="1">IFERROR(__xludf.DUMMYFUNCTION("""COMPUTED_VALUE"""),"0034X0000380O4W")</f>
        <v>0034X0000380O4W</v>
      </c>
      <c r="AM245" s="27" t="str">
        <f ca="1">IFERROR(__xludf.DUMMYFUNCTION("""COMPUTED_VALUE"""),"Gervásio")</f>
        <v>Gervásio</v>
      </c>
      <c r="AN245" s="27" t="str">
        <f ca="1">IFERROR(__xludf.DUMMYFUNCTION("""COMPUTED_VALUE"""),"Ativo")</f>
        <v>Ativo</v>
      </c>
      <c r="AO245" s="29">
        <f ca="1">IFERROR(__xludf.DUMMYFUNCTION("""COMPUTED_VALUE"""),44763)</f>
        <v>44763</v>
      </c>
      <c r="AP245" s="27">
        <f ca="1">IFERROR(__xludf.DUMMYFUNCTION("""COMPUTED_VALUE"""),2)</f>
        <v>2</v>
      </c>
      <c r="AQ245" s="27" t="str">
        <f ca="1">IFERROR(__xludf.DUMMYFUNCTION("""COMPUTED_VALUE"""),"Primeiro Semestre 2022")</f>
        <v>Primeiro Semestre 2022</v>
      </c>
      <c r="AR245" s="27" t="str">
        <f ca="1">IFERROR(__xludf.DUMMYFUNCTION("""COMPUTED_VALUE"""),"deficiente07eficiente@gmail.com")</f>
        <v>deficiente07eficiente@gmail.com</v>
      </c>
      <c r="AS245" s="27" t="str">
        <f ca="1">IFERROR(__xludf.DUMMYFUNCTION("""COMPUTED_VALUE"""),"(81)97906-8043")</f>
        <v>(81)97906-8043</v>
      </c>
      <c r="AT245" s="29">
        <f ca="1">IFERROR(__xludf.DUMMYFUNCTION("""COMPUTED_VALUE"""),31674)</f>
        <v>31674</v>
      </c>
      <c r="AU245" s="27">
        <f ca="1">IFERROR(__xludf.DUMMYFUNCTION("""COMPUTED_VALUE"""),36)</f>
        <v>36</v>
      </c>
      <c r="AV245" s="27">
        <f ca="1">IFERROR(__xludf.DUMMYFUNCTION("""COMPUTED_VALUE"""),10867881763)</f>
        <v>10867881763</v>
      </c>
      <c r="AW245" s="27">
        <f ca="1">IFERROR(__xludf.DUMMYFUNCTION("""COMPUTED_VALUE"""),9618917)</f>
        <v>9618917</v>
      </c>
      <c r="AX245" s="27"/>
      <c r="AY245" s="27" t="str">
        <f ca="1">IFERROR(__xludf.DUMMYFUNCTION("""COMPUTED_VALUE"""),"CEO")</f>
        <v>CEO</v>
      </c>
      <c r="AZ245" s="27" t="str">
        <f ca="1">IFERROR(__xludf.DUMMYFUNCTION("""COMPUTED_VALUE"""),"GG")</f>
        <v>GG</v>
      </c>
      <c r="BA245" s="27" t="str">
        <f ca="1">IFERROR(__xludf.DUMMYFUNCTION("""COMPUTED_VALUE"""),"Preta")</f>
        <v>Preta</v>
      </c>
      <c r="BB245" s="27"/>
      <c r="BC245" s="27"/>
      <c r="BD245" s="27" t="str">
        <f ca="1">IFERROR(__xludf.DUMMYFUNCTION("""COMPUTED_VALUE"""),"Me chamo Felipe Gervásio, 35 anos, casado, usuário de cadeira de rodas, militante ativo nas causas sociais há 20 anos, palestrante, poeta, fundador e CEO da Deficiente Eficiente.")</f>
        <v>Me chamo Felipe Gervásio, 35 anos, casado, usuário de cadeira de rodas, militante ativo nas causas sociais há 20 anos, palestrante, poeta, fundador e CEO da Deficiente Eficiente.</v>
      </c>
      <c r="BE245" s="27" t="str">
        <f ca="1">IFERROR(__xludf.DUMMYFUNCTION("""COMPUTED_VALUE"""),"Homem, cisgênero")</f>
        <v>Homem, cisgênero</v>
      </c>
      <c r="BF245" s="27" t="str">
        <f ca="1">IFERROR(__xludf.DUMMYFUNCTION("""COMPUTED_VALUE"""),"Heterossexual")</f>
        <v>Heterossexual</v>
      </c>
      <c r="BG245" s="27" t="str">
        <f ca="1">IFERROR(__xludf.DUMMYFUNCTION("""COMPUTED_VALUE"""),"Ensino Superior - Incompleto")</f>
        <v>Ensino Superior - Incompleto</v>
      </c>
      <c r="BH245" s="27" t="str">
        <f ca="1">IFERROR(__xludf.DUMMYFUNCTION("""COMPUTED_VALUE"""),"Público")</f>
        <v>Público</v>
      </c>
      <c r="BI245" s="27" t="str">
        <f ca="1">IFERROR(__xludf.DUMMYFUNCTION("""COMPUTED_VALUE"""),"Graduação")</f>
        <v>Graduação</v>
      </c>
      <c r="BJ245" s="27" t="str">
        <f ca="1">IFERROR(__xludf.DUMMYFUNCTION("""COMPUTED_VALUE"""),"Privado")</f>
        <v>Privado</v>
      </c>
      <c r="BK245" s="27" t="str">
        <f ca="1">IFERROR(__xludf.DUMMYFUNCTION("""COMPUTED_VALUE"""),"segunda Travessa José Liberato")</f>
        <v>segunda Travessa José Liberato</v>
      </c>
      <c r="BL245" s="27">
        <f ca="1">IFERROR(__xludf.DUMMYFUNCTION("""COMPUTED_VALUE"""),311)</f>
        <v>311</v>
      </c>
      <c r="BM245" s="27" t="str">
        <f ca="1">IFERROR(__xludf.DUMMYFUNCTION("""COMPUTED_VALUE"""),"casa")</f>
        <v>casa</v>
      </c>
      <c r="BN245" s="27" t="str">
        <f ca="1">IFERROR(__xludf.DUMMYFUNCTION("""COMPUTED_VALUE"""),"Jaboatão dos Guararapes")</f>
        <v>Jaboatão dos Guararapes</v>
      </c>
      <c r="BO245" s="27" t="str">
        <f ca="1">IFERROR(__xludf.DUMMYFUNCTION("""COMPUTED_VALUE"""),"54210-543")</f>
        <v>54210-543</v>
      </c>
      <c r="BP245" s="27" t="str">
        <f ca="1">IFERROR(__xludf.DUMMYFUNCTION("""COMPUTED_VALUE"""),"PE")</f>
        <v>PE</v>
      </c>
      <c r="BQ245" s="27" t="str">
        <f ca="1">IFERROR(__xludf.DUMMYFUNCTION("""COMPUTED_VALUE"""),"Entre 1 até 3 salários mínimos")</f>
        <v>Entre 1 até 3 salários mínimos</v>
      </c>
      <c r="BR245" s="27" t="str">
        <f ca="1">IFERROR(__xludf.DUMMYFUNCTION("""COMPUTED_VALUE"""),"Desempregado")</f>
        <v>Desempregado</v>
      </c>
      <c r="BS245" s="27" t="str">
        <f ca="1">IFERROR(__xludf.DUMMYFUNCTION("""COMPUTED_VALUE"""),"Casa própria")</f>
        <v>Casa própria</v>
      </c>
      <c r="BT245" s="27">
        <f ca="1">IFERROR(__xludf.DUMMYFUNCTION("""COMPUTED_VALUE"""),3)</f>
        <v>3</v>
      </c>
      <c r="BU245" s="27" t="str">
        <f ca="1">IFERROR(__xludf.DUMMYFUNCTION("""COMPUTED_VALUE"""),"Deficiência física")</f>
        <v>Deficiência física</v>
      </c>
      <c r="BV245" s="27" t="str">
        <f ca="1">IFERROR(__xludf.DUMMYFUNCTION("""COMPUTED_VALUE"""),"Não")</f>
        <v>Não</v>
      </c>
      <c r="BW245" s="27"/>
      <c r="BX245" s="27"/>
      <c r="BY245" s="21" t="str">
        <f ca="1">IFERROR(__xludf.DUMMYFUNCTION("""COMPUTED_VALUE"""),"https://drive.google.com/open?id=19UnzA4FBL3N8VI-o_a1ayGXC_62PPrVJ")</f>
        <v>https://drive.google.com/open?id=19UnzA4FBL3N8VI-o_a1ayGXC_62PPrVJ</v>
      </c>
    </row>
    <row r="246" spans="1:77" ht="12.5" hidden="1" x14ac:dyDescent="0.25">
      <c r="A246" s="21" t="str">
        <f ca="1">IFERROR(__xludf.DUMMYFUNCTION("""COMPUTED_VALUE"""),"0014X00002VKCpnQAH")</f>
        <v>0014X00002VKCpnQAH</v>
      </c>
      <c r="B246" s="27" t="str">
        <f ca="1">IFERROR(__xludf.DUMMYFUNCTION("""COMPUTED_VALUE"""),"Fase Inicial")</f>
        <v>Fase Inicial</v>
      </c>
      <c r="C246" s="27" t="str">
        <f ca="1">IFERROR(__xludf.DUMMYFUNCTION("""COMPUTED_VALUE"""),"Fellow")</f>
        <v>Fellow</v>
      </c>
      <c r="D246" s="27" t="str">
        <f ca="1">IFERROR(__xludf.DUMMYFUNCTION("""COMPUTED_VALUE"""),"Ativo")</f>
        <v>Ativo</v>
      </c>
      <c r="E246" s="27" t="str">
        <f ca="1">IFERROR(__xludf.DUMMYFUNCTION("""COMPUTED_VALUE"""),"Delí­cias Caseiras")</f>
        <v>Delí­cias Caseiras</v>
      </c>
      <c r="F246" s="27" t="str">
        <f ca="1">IFERROR(__xludf.DUMMYFUNCTION("""COMPUTED_VALUE"""),"Cesar")</f>
        <v>Cesar</v>
      </c>
      <c r="G246" s="27" t="str">
        <f ca="1">IFERROR(__xludf.DUMMYFUNCTION("""COMPUTED_VALUE"""),"DELÍCIAS CASEIRAS COMIDA COM AFETO")</f>
        <v>DELÍCIAS CASEIRAS COMIDA COM AFETO</v>
      </c>
      <c r="H246" s="27"/>
      <c r="I246" s="27" t="str">
        <f ca="1">IFERROR(__xludf.DUMMYFUNCTION("""COMPUTED_VALUE"""),"Cesar Augusto da Silva Filho")</f>
        <v>Cesar Augusto da Silva Filho</v>
      </c>
      <c r="J246" s="27" t="str">
        <f ca="1">IFERROR(__xludf.DUMMYFUNCTION("""COMPUTED_VALUE"""),"cesarfilho.silva@gmail.com")</f>
        <v>cesarfilho.silva@gmail.com</v>
      </c>
      <c r="K246" s="27" t="str">
        <f ca="1">IFERROR(__xludf.DUMMYFUNCTION("""COMPUTED_VALUE"""),"(85)99999-6559")</f>
        <v>(85)99999-6559</v>
      </c>
      <c r="L246" s="27" t="str">
        <f ca="1">IFERROR(__xludf.DUMMYFUNCTION("""COMPUTED_VALUE"""),"CE")</f>
        <v>CE</v>
      </c>
      <c r="M246" s="27" t="str">
        <f ca="1">IFERROR(__xludf.DUMMYFUNCTION("""COMPUTED_VALUE"""),"Cândido Jucá")</f>
        <v>Cândido Jucá</v>
      </c>
      <c r="N246" s="27" t="str">
        <f ca="1">IFERROR(__xludf.DUMMYFUNCTION("""COMPUTED_VALUE"""),"Rodolfo teófilo")</f>
        <v>Rodolfo teófilo</v>
      </c>
      <c r="O246" s="27">
        <f ca="1">IFERROR(__xludf.DUMMYFUNCTION("""COMPUTED_VALUE"""),638)</f>
        <v>638</v>
      </c>
      <c r="P246" s="27" t="str">
        <f ca="1">IFERROR(__xludf.DUMMYFUNCTION("""COMPUTED_VALUE"""),"Fortaleza")</f>
        <v>Fortaleza</v>
      </c>
      <c r="Q246" s="27"/>
      <c r="R246" s="27" t="str">
        <f ca="1">IFERROR(__xludf.DUMMYFUNCTION("""COMPUTED_VALUE"""),"60430-580")</f>
        <v>60430-580</v>
      </c>
      <c r="S246" s="27"/>
      <c r="T246" s="27"/>
      <c r="U246" s="27" t="str">
        <f ca="1">IFERROR(__xludf.DUMMYFUNCTION("""COMPUTED_VALUE"""),"Adolescentes (12 aos 18 anos), Jovens (18 aos 24 anos), Adultos, Idosos (60 anos ou mais)")</f>
        <v>Adolescentes (12 aos 18 anos), Jovens (18 aos 24 anos), Adultos, Idosos (60 anos ou mais)</v>
      </c>
      <c r="V246" s="27" t="str">
        <f ca="1">IFERROR(__xludf.DUMMYFUNCTION("""COMPUTED_VALUE"""),"Pessoas em situação de rua")</f>
        <v>Pessoas em situação de rua</v>
      </c>
      <c r="W246" s="27">
        <f ca="1">IFERROR(__xludf.DUMMYFUNCTION("""COMPUTED_VALUE"""),2)</f>
        <v>2</v>
      </c>
      <c r="X246" s="27"/>
      <c r="Y246" s="27"/>
      <c r="Z246" s="27">
        <f ca="1">IFERROR(__xludf.DUMMYFUNCTION("""COMPUTED_VALUE"""),600)</f>
        <v>600</v>
      </c>
      <c r="AA246" s="29">
        <f ca="1">IFERROR(__xludf.DUMMYFUNCTION("""COMPUTED_VALUE"""),44109)</f>
        <v>44109</v>
      </c>
      <c r="AB246" s="27" t="str">
        <f ca="1">IFERROR(__xludf.DUMMYFUNCTION("""COMPUTED_VALUE"""),"Não")</f>
        <v>Não</v>
      </c>
      <c r="AC246" s="27">
        <f ca="1">IFERROR(__xludf.DUMMYFUNCTION("""COMPUTED_VALUE"""),0)</f>
        <v>0</v>
      </c>
      <c r="AD246" s="27">
        <f ca="1">IFERROR(__xludf.DUMMYFUNCTION("""COMPUTED_VALUE"""),0)</f>
        <v>0</v>
      </c>
      <c r="AE246" s="27">
        <f ca="1">IFERROR(__xludf.DUMMYFUNCTION("""COMPUTED_VALUE"""),2)</f>
        <v>2</v>
      </c>
      <c r="AF246" s="27">
        <f ca="1">IFERROR(__xludf.DUMMYFUNCTION("""COMPUTED_VALUE"""),2)</f>
        <v>2</v>
      </c>
      <c r="AG246" s="27">
        <f ca="1">IFERROR(__xludf.DUMMYFUNCTION("""COMPUTED_VALUE"""),2)</f>
        <v>2</v>
      </c>
      <c r="AH246" s="27" t="str">
        <f ca="1">IFERROR(__xludf.DUMMYFUNCTION("""COMPUTED_VALUE"""),"Outro(s), Doações")</f>
        <v>Outro(s), Doações</v>
      </c>
      <c r="AI246" s="27" t="str">
        <f ca="1">IFERROR(__xludf.DUMMYFUNCTION("""COMPUTED_VALUE"""),"100% doação")</f>
        <v>100% doação</v>
      </c>
      <c r="AJ246" s="27" t="str">
        <f ca="1">IFERROR(__xludf.DUMMYFUNCTION("""COMPUTED_VALUE"""),"Não")</f>
        <v>Não</v>
      </c>
      <c r="AK246" s="27"/>
      <c r="AL246" s="21" t="str">
        <f ca="1">IFERROR(__xludf.DUMMYFUNCTION("""COMPUTED_VALUE"""),"0034X0000380O6W")</f>
        <v>0034X0000380O6W</v>
      </c>
      <c r="AM246" s="27" t="str">
        <f ca="1">IFERROR(__xludf.DUMMYFUNCTION("""COMPUTED_VALUE"""),"Augusto da silva filho")</f>
        <v>Augusto da silva filho</v>
      </c>
      <c r="AN246" s="27" t="str">
        <f ca="1">IFERROR(__xludf.DUMMYFUNCTION("""COMPUTED_VALUE"""),"Ativo")</f>
        <v>Ativo</v>
      </c>
      <c r="AO246" s="29">
        <f ca="1">IFERROR(__xludf.DUMMYFUNCTION("""COMPUTED_VALUE"""),44763)</f>
        <v>44763</v>
      </c>
      <c r="AP246" s="27">
        <f ca="1">IFERROR(__xludf.DUMMYFUNCTION("""COMPUTED_VALUE"""),2)</f>
        <v>2</v>
      </c>
      <c r="AQ246" s="27" t="str">
        <f ca="1">IFERROR(__xludf.DUMMYFUNCTION("""COMPUTED_VALUE"""),"Primeiro Semestre 2022")</f>
        <v>Primeiro Semestre 2022</v>
      </c>
      <c r="AR246" s="27" t="str">
        <f ca="1">IFERROR(__xludf.DUMMYFUNCTION("""COMPUTED_VALUE"""),"cesarfilho.silva@gmail.com")</f>
        <v>cesarfilho.silva@gmail.com</v>
      </c>
      <c r="AS246" s="27" t="str">
        <f ca="1">IFERROR(__xludf.DUMMYFUNCTION("""COMPUTED_VALUE"""),"(85)99999-6559")</f>
        <v>(85)99999-6559</v>
      </c>
      <c r="AT246" s="29">
        <f ca="1">IFERROR(__xludf.DUMMYFUNCTION("""COMPUTED_VALUE"""),26529)</f>
        <v>26529</v>
      </c>
      <c r="AU246" s="27">
        <f ca="1">IFERROR(__xludf.DUMMYFUNCTION("""COMPUTED_VALUE"""),50)</f>
        <v>50</v>
      </c>
      <c r="AV246" s="27">
        <f ca="1">IFERROR(__xludf.DUMMYFUNCTION("""COMPUTED_VALUE"""),38969939334)</f>
        <v>38969939334</v>
      </c>
      <c r="AW246" s="27">
        <f ca="1">IFERROR(__xludf.DUMMYFUNCTION("""COMPUTED_VALUE"""),2001010059350)</f>
        <v>2001010059350</v>
      </c>
      <c r="AX246" s="27"/>
      <c r="AY246" s="27" t="str">
        <f ca="1">IFERROR(__xludf.DUMMYFUNCTION("""COMPUTED_VALUE"""),"Coordenador")</f>
        <v>Coordenador</v>
      </c>
      <c r="AZ246" s="27" t="str">
        <f ca="1">IFERROR(__xludf.DUMMYFUNCTION("""COMPUTED_VALUE"""),"G")</f>
        <v>G</v>
      </c>
      <c r="BA246" s="27" t="str">
        <f ca="1">IFERROR(__xludf.DUMMYFUNCTION("""COMPUTED_VALUE"""),"Preta")</f>
        <v>Preta</v>
      </c>
      <c r="BB246" s="27"/>
      <c r="BC246" s="27"/>
      <c r="BD246" s="27" t="str">
        <f ca="1">IFERROR(__xludf.DUMMYFUNCTION("""COMPUTED_VALUE"""),"Jornalista e teólogo em formação, casado, três filhos, apaixonado por livros.")</f>
        <v>Jornalista e teólogo em formação, casado, três filhos, apaixonado por livros.</v>
      </c>
      <c r="BE246" s="27" t="str">
        <f ca="1">IFERROR(__xludf.DUMMYFUNCTION("""COMPUTED_VALUE"""),"Homem, cisgênero")</f>
        <v>Homem, cisgênero</v>
      </c>
      <c r="BF246" s="27" t="str">
        <f ca="1">IFERROR(__xludf.DUMMYFUNCTION("""COMPUTED_VALUE"""),"Heterossexual")</f>
        <v>Heterossexual</v>
      </c>
      <c r="BG246" s="27" t="str">
        <f ca="1">IFERROR(__xludf.DUMMYFUNCTION("""COMPUTED_VALUE"""),"Ensino Superior - Incompleto")</f>
        <v>Ensino Superior - Incompleto</v>
      </c>
      <c r="BH246" s="27" t="str">
        <f ca="1">IFERROR(__xludf.DUMMYFUNCTION("""COMPUTED_VALUE"""),"Público")</f>
        <v>Público</v>
      </c>
      <c r="BI246" s="27" t="str">
        <f ca="1">IFERROR(__xludf.DUMMYFUNCTION("""COMPUTED_VALUE"""),"Graduação")</f>
        <v>Graduação</v>
      </c>
      <c r="BJ246" s="27" t="str">
        <f ca="1">IFERROR(__xludf.DUMMYFUNCTION("""COMPUTED_VALUE"""),"Privado")</f>
        <v>Privado</v>
      </c>
      <c r="BK246" s="27" t="str">
        <f ca="1">IFERROR(__xludf.DUMMYFUNCTION("""COMPUTED_VALUE"""),"Cândido Jucá")</f>
        <v>Cândido Jucá</v>
      </c>
      <c r="BL246" s="27">
        <f ca="1">IFERROR(__xludf.DUMMYFUNCTION("""COMPUTED_VALUE"""),638)</f>
        <v>638</v>
      </c>
      <c r="BM246" s="27" t="str">
        <f ca="1">IFERROR(__xludf.DUMMYFUNCTION("""COMPUTED_VALUE"""),"casa A")</f>
        <v>casa A</v>
      </c>
      <c r="BN246" s="27" t="str">
        <f ca="1">IFERROR(__xludf.DUMMYFUNCTION("""COMPUTED_VALUE"""),"Fortaleza")</f>
        <v>Fortaleza</v>
      </c>
      <c r="BO246" s="27" t="str">
        <f ca="1">IFERROR(__xludf.DUMMYFUNCTION("""COMPUTED_VALUE"""),"60430-580")</f>
        <v>60430-580</v>
      </c>
      <c r="BP246" s="27" t="str">
        <f ca="1">IFERROR(__xludf.DUMMYFUNCTION("""COMPUTED_VALUE"""),"CE")</f>
        <v>CE</v>
      </c>
      <c r="BQ246" s="27" t="str">
        <f ca="1">IFERROR(__xludf.DUMMYFUNCTION("""COMPUTED_VALUE"""),"Entre 1 até 3 salários mínimos")</f>
        <v>Entre 1 até 3 salários mínimos</v>
      </c>
      <c r="BR246" s="27" t="str">
        <f ca="1">IFERROR(__xludf.DUMMYFUNCTION("""COMPUTED_VALUE"""),"MEI, Trabalho informal")</f>
        <v>MEI, Trabalho informal</v>
      </c>
      <c r="BS246" s="27" t="str">
        <f ca="1">IFERROR(__xludf.DUMMYFUNCTION("""COMPUTED_VALUE"""),"Casa própria")</f>
        <v>Casa própria</v>
      </c>
      <c r="BT246" s="27">
        <f ca="1">IFERROR(__xludf.DUMMYFUNCTION("""COMPUTED_VALUE"""),4)</f>
        <v>4</v>
      </c>
      <c r="BU246" s="27" t="str">
        <f ca="1">IFERROR(__xludf.DUMMYFUNCTION("""COMPUTED_VALUE"""),"Não tem")</f>
        <v>Não tem</v>
      </c>
      <c r="BV246" s="27" t="str">
        <f ca="1">IFERROR(__xludf.DUMMYFUNCTION("""COMPUTED_VALUE"""),"Não")</f>
        <v>Não</v>
      </c>
      <c r="BW246" s="27"/>
      <c r="BX246" s="21" t="str">
        <f ca="1">IFERROR(__xludf.DUMMYFUNCTION("""COMPUTED_VALUE"""),"https://www.instagram.com/cesaraugustofilho/")</f>
        <v>https://www.instagram.com/cesaraugustofilho/</v>
      </c>
      <c r="BY246" s="21" t="str">
        <f ca="1">IFERROR(__xludf.DUMMYFUNCTION("""COMPUTED_VALUE"""),"https://drive.google.com/open?id=1_1OvfdlJBqJwqoDFqOM9iGDR9R6e9Wvm")</f>
        <v>https://drive.google.com/open?id=1_1OvfdlJBqJwqoDFqOM9iGDR9R6e9Wvm</v>
      </c>
    </row>
    <row r="247" spans="1:77" ht="12.5" hidden="1" x14ac:dyDescent="0.25">
      <c r="A247" s="21" t="str">
        <f ca="1">IFERROR(__xludf.DUMMYFUNCTION("""COMPUTED_VALUE"""),"0014P00003YSp9hQAD")</f>
        <v>0014P00003YSp9hQAD</v>
      </c>
      <c r="B247" s="27" t="str">
        <f ca="1">IFERROR(__xludf.DUMMYFUNCTION("""COMPUTED_VALUE"""),"Fase Inicial")</f>
        <v>Fase Inicial</v>
      </c>
      <c r="C247" s="27" t="str">
        <f ca="1">IFERROR(__xludf.DUMMYFUNCTION("""COMPUTED_VALUE"""),"Fellow")</f>
        <v>Fellow</v>
      </c>
      <c r="D247" s="27" t="str">
        <f ca="1">IFERROR(__xludf.DUMMYFUNCTION("""COMPUTED_VALUE"""),"Ativo")</f>
        <v>Ativo</v>
      </c>
      <c r="E247" s="27" t="str">
        <f ca="1">IFERROR(__xludf.DUMMYFUNCTION("""COMPUTED_VALUE"""),"Despertando Amor hoje")</f>
        <v>Despertando Amor hoje</v>
      </c>
      <c r="F247" s="27" t="str">
        <f ca="1">IFERROR(__xludf.DUMMYFUNCTION("""COMPUTED_VALUE"""),"Daniella")</f>
        <v>Daniella</v>
      </c>
      <c r="G247" s="27"/>
      <c r="H247" s="27"/>
      <c r="I247" s="27" t="str">
        <f ca="1">IFERROR(__xludf.DUMMYFUNCTION("""COMPUTED_VALUE"""),"Daniella Cristina Rodrigues Barbosa")</f>
        <v>Daniella Cristina Rodrigues Barbosa</v>
      </c>
      <c r="J247" s="27" t="str">
        <f ca="1">IFERROR(__xludf.DUMMYFUNCTION("""COMPUTED_VALUE"""),"despertandoamorhoje@gmail.com")</f>
        <v>despertandoamorhoje@gmail.com</v>
      </c>
      <c r="K247" s="27" t="str">
        <f ca="1">IFERROR(__xludf.DUMMYFUNCTION("""COMPUTED_VALUE"""),"(12)98126-0602")</f>
        <v>(12)98126-0602</v>
      </c>
      <c r="L247" s="27" t="str">
        <f ca="1">IFERROR(__xludf.DUMMYFUNCTION("""COMPUTED_VALUE"""),"SP")</f>
        <v>SP</v>
      </c>
      <c r="M247" s="27" t="str">
        <f ca="1">IFERROR(__xludf.DUMMYFUNCTION("""COMPUTED_VALUE"""),"Antonino Rosa Junior")</f>
        <v>Antonino Rosa Junior</v>
      </c>
      <c r="N247" s="27" t="str">
        <f ca="1">IFERROR(__xludf.DUMMYFUNCTION("""COMPUTED_VALUE"""),"Vila passos")</f>
        <v>Vila passos</v>
      </c>
      <c r="O247" s="27">
        <f ca="1">IFERROR(__xludf.DUMMYFUNCTION("""COMPUTED_VALUE"""),388)</f>
        <v>388</v>
      </c>
      <c r="P247" s="27" t="str">
        <f ca="1">IFERROR(__xludf.DUMMYFUNCTION("""COMPUTED_VALUE"""),"Lorena")</f>
        <v>Lorena</v>
      </c>
      <c r="Q247" s="27" t="str">
        <f ca="1">IFERROR(__xludf.DUMMYFUNCTION("""COMPUTED_VALUE"""),"Casa")</f>
        <v>Casa</v>
      </c>
      <c r="R247" s="27" t="str">
        <f ca="1">IFERROR(__xludf.DUMMYFUNCTION("""COMPUTED_VALUE"""),"12602-040")</f>
        <v>12602-040</v>
      </c>
      <c r="S247" s="27"/>
      <c r="T247" s="27" t="str">
        <f ca="1">IFERROR(__xludf.DUMMYFUNCTION("""COMPUTED_VALUE"""),"Educação; Assistência Social; Cultura; Qualificação Profissional; Empreendedorismo; Meio ambiente; Negócios Sociais")</f>
        <v>Educação; Assistência Social; Cultura; Qualificação Profissional; Empreendedorismo; Meio ambiente; Negócios Sociais</v>
      </c>
      <c r="U247"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247" s="27" t="str">
        <f ca="1">IFERROR(__xludf.DUMMYFUNCTION("""COMPUTED_VALUE"""),"Moradores de Favelas; Pessoas em situação de rua")</f>
        <v>Moradores de Favelas; Pessoas em situação de rua</v>
      </c>
      <c r="W247" s="27">
        <f ca="1">IFERROR(__xludf.DUMMYFUNCTION("""COMPUTED_VALUE"""),1)</f>
        <v>1</v>
      </c>
      <c r="X247" s="27" t="str">
        <f ca="1">IFERROR(__xludf.DUMMYFUNCTION("""COMPUTED_VALUE"""),"Atendemos famílias que bairros distintos também.")</f>
        <v>Atendemos famílias que bairros distintos também.</v>
      </c>
      <c r="Y247" s="27"/>
      <c r="Z247" s="27">
        <f ca="1">IFERROR(__xludf.DUMMYFUNCTION("""COMPUTED_VALUE"""),140)</f>
        <v>140</v>
      </c>
      <c r="AA247" s="29">
        <f ca="1">IFERROR(__xludf.DUMMYFUNCTION("""COMPUTED_VALUE"""),41983)</f>
        <v>41983</v>
      </c>
      <c r="AB247" s="27" t="str">
        <f ca="1">IFERROR(__xludf.DUMMYFUNCTION("""COMPUTED_VALUE"""),"Não")</f>
        <v>Não</v>
      </c>
      <c r="AC247" s="27">
        <f ca="1">IFERROR(__xludf.DUMMYFUNCTION("""COMPUTED_VALUE"""),15)</f>
        <v>15</v>
      </c>
      <c r="AD247" s="27">
        <f ca="1">IFERROR(__xludf.DUMMYFUNCTION("""COMPUTED_VALUE"""),5)</f>
        <v>5</v>
      </c>
      <c r="AE247" s="27">
        <f ca="1">IFERROR(__xludf.DUMMYFUNCTION("""COMPUTED_VALUE"""),50)</f>
        <v>50</v>
      </c>
      <c r="AF247" s="27">
        <f ca="1">IFERROR(__xludf.DUMMYFUNCTION("""COMPUTED_VALUE"""),30)</f>
        <v>30</v>
      </c>
      <c r="AG247" s="27">
        <f ca="1">IFERROR(__xludf.DUMMYFUNCTION("""COMPUTED_VALUE"""),2)</f>
        <v>2</v>
      </c>
      <c r="AH247" s="27" t="str">
        <f ca="1">IFERROR(__xludf.DUMMYFUNCTION("""COMPUTED_VALUE"""),"Negócio Social; Eventos/Ações para captação; Parceria iniciativa privada; Outro(s); Doações")</f>
        <v>Negócio Social; Eventos/Ações para captação; Parceria iniciativa privada; Outro(s); Doações</v>
      </c>
      <c r="AI247" s="27" t="str">
        <f ca="1">IFERROR(__xludf.DUMMYFUNCTION("""COMPUTED_VALUE"""),"não")</f>
        <v>não</v>
      </c>
      <c r="AJ247" s="27"/>
      <c r="AK247" s="27"/>
      <c r="AL247" s="21" t="str">
        <f ca="1">IFERROR(__xludf.DUMMYFUNCTION("""COMPUTED_VALUE"""),"0034P000045kxkJ")</f>
        <v>0034P000045kxkJ</v>
      </c>
      <c r="AM247" s="27" t="str">
        <f ca="1">IFERROR(__xludf.DUMMYFUNCTION("""COMPUTED_VALUE"""),"Cristina Rodrigues Barbosa")</f>
        <v>Cristina Rodrigues Barbosa</v>
      </c>
      <c r="AN247" s="27" t="str">
        <f ca="1">IFERROR(__xludf.DUMMYFUNCTION("""COMPUTED_VALUE"""),"Ativo")</f>
        <v>Ativo</v>
      </c>
      <c r="AO247" s="29">
        <f ca="1">IFERROR(__xludf.DUMMYFUNCTION("""COMPUTED_VALUE"""),44551)</f>
        <v>44551</v>
      </c>
      <c r="AP247" s="27">
        <f ca="1">IFERROR(__xludf.DUMMYFUNCTION("""COMPUTED_VALUE"""),9)</f>
        <v>9</v>
      </c>
      <c r="AQ247" s="27" t="str">
        <f ca="1">IFERROR(__xludf.DUMMYFUNCTION("""COMPUTED_VALUE"""),"Segundo Semestre 2021")</f>
        <v>Segundo Semestre 2021</v>
      </c>
      <c r="AR247" s="27" t="str">
        <f ca="1">IFERROR(__xludf.DUMMYFUNCTION("""COMPUTED_VALUE"""),"danielladespertandoamor@gmail.com")</f>
        <v>danielladespertandoamor@gmail.com</v>
      </c>
      <c r="AS247" s="27" t="str">
        <f ca="1">IFERROR(__xludf.DUMMYFUNCTION("""COMPUTED_VALUE"""),"(12)98126-0602")</f>
        <v>(12)98126-0602</v>
      </c>
      <c r="AT247" s="29">
        <f ca="1">IFERROR(__xludf.DUMMYFUNCTION("""COMPUTED_VALUE"""),34170)</f>
        <v>34170</v>
      </c>
      <c r="AU247" s="27">
        <f ca="1">IFERROR(__xludf.DUMMYFUNCTION("""COMPUTED_VALUE"""),29)</f>
        <v>29</v>
      </c>
      <c r="AV247" s="27">
        <f ca="1">IFERROR(__xludf.DUMMYFUNCTION("""COMPUTED_VALUE"""),40853978859)</f>
        <v>40853978859</v>
      </c>
      <c r="AW247" s="27">
        <f ca="1">IFERROR(__xludf.DUMMYFUNCTION("""COMPUTED_VALUE"""),491896359)</f>
        <v>491896359</v>
      </c>
      <c r="AX247" s="27"/>
      <c r="AY247" s="27"/>
      <c r="AZ247" s="27" t="str">
        <f ca="1">IFERROR(__xludf.DUMMYFUNCTION("""COMPUTED_VALUE"""),"M")</f>
        <v>M</v>
      </c>
      <c r="BA247" s="27" t="str">
        <f ca="1">IFERROR(__xludf.DUMMYFUNCTION("""COMPUTED_VALUE"""),"Branca")</f>
        <v>Branca</v>
      </c>
      <c r="BB247" s="27" t="str">
        <f ca="1">IFERROR(__xludf.DUMMYFUNCTION("""COMPUTED_VALUE"""),"Mulher, cisgênero")</f>
        <v>Mulher, cisgênero</v>
      </c>
      <c r="BC247" s="27" t="str">
        <f ca="1">IFERROR(__xludf.DUMMYFUNCTION("""COMPUTED_VALUE"""),"Sim")</f>
        <v>Sim</v>
      </c>
      <c r="BD247" s="27" t="str">
        <f ca="1">IFERROR(__xludf.DUMMYFUNCTION("""COMPUTED_VALUE"""),"Me chamo Daniella Cristina Rodrigues Barbosa, tenho 28 anos, sou de Lorena interior de SP, filha de mãe solo, cristã, casada, mamãe de dois meninos, pedagoga, empreendedora social, fundadora/ presidente da OS Despertando AMOR HOJE, hoje parte da rede gera"&amp;"ndo falcões, vamos juntos despertar vidas, alimentar a esperança e criar oportunidades! 
""A maior tragédia na vida não é morrer, é viver sem propósito!""")</f>
        <v>Me chamo Daniella Cristina Rodrigues Barbosa, tenho 28 anos, sou de Lorena interior de SP, filha de mãe solo, cristã, casada, mamãe de dois meninos, pedagoga, empreendedora social, fundadora/ presidente da OS Despertando AMOR HOJE, hoje parte da rede gerando falcões, vamos juntos despertar vidas, alimentar a esperança e criar oportunidades! 
"A maior tragédia na vida não é morrer, é viver sem propósito!"</v>
      </c>
      <c r="BE247" s="27"/>
      <c r="BF247" s="27" t="str">
        <f ca="1">IFERROR(__xludf.DUMMYFUNCTION("""COMPUTED_VALUE"""),"Heterossexual")</f>
        <v>Heterossexual</v>
      </c>
      <c r="BG247" s="27" t="str">
        <f ca="1">IFERROR(__xludf.DUMMYFUNCTION("""COMPUTED_VALUE"""),"Ensino Superior - Completo")</f>
        <v>Ensino Superior - Completo</v>
      </c>
      <c r="BH247" s="27" t="str">
        <f ca="1">IFERROR(__xludf.DUMMYFUNCTION("""COMPUTED_VALUE"""),"Público")</f>
        <v>Público</v>
      </c>
      <c r="BI247" s="27" t="str">
        <f ca="1">IFERROR(__xludf.DUMMYFUNCTION("""COMPUTED_VALUE"""),"Graduação")</f>
        <v>Graduação</v>
      </c>
      <c r="BJ247" s="27" t="str">
        <f ca="1">IFERROR(__xludf.DUMMYFUNCTION("""COMPUTED_VALUE"""),"Privado")</f>
        <v>Privado</v>
      </c>
      <c r="BK247" s="27" t="str">
        <f ca="1">IFERROR(__xludf.DUMMYFUNCTION("""COMPUTED_VALUE"""),"Mario Prudente de Aquino filho")</f>
        <v>Mario Prudente de Aquino filho</v>
      </c>
      <c r="BL247" s="27">
        <f ca="1">IFERROR(__xludf.DUMMYFUNCTION("""COMPUTED_VALUE"""),388)</f>
        <v>388</v>
      </c>
      <c r="BM247" s="27" t="str">
        <f ca="1">IFERROR(__xludf.DUMMYFUNCTION("""COMPUTED_VALUE"""),"Casa")</f>
        <v>Casa</v>
      </c>
      <c r="BN247" s="27" t="str">
        <f ca="1">IFERROR(__xludf.DUMMYFUNCTION("""COMPUTED_VALUE"""),"Lorena")</f>
        <v>Lorena</v>
      </c>
      <c r="BO247" s="27" t="str">
        <f ca="1">IFERROR(__xludf.DUMMYFUNCTION("""COMPUTED_VALUE"""),"12605-290")</f>
        <v>12605-290</v>
      </c>
      <c r="BP247" s="27" t="str">
        <f ca="1">IFERROR(__xludf.DUMMYFUNCTION("""COMPUTED_VALUE"""),"SP")</f>
        <v>SP</v>
      </c>
      <c r="BQ247" s="27" t="str">
        <f ca="1">IFERROR(__xludf.DUMMYFUNCTION("""COMPUTED_VALUE"""),"Entre 1 até 3 salários mínimos")</f>
        <v>Entre 1 até 3 salários mínimos</v>
      </c>
      <c r="BR247" s="27" t="str">
        <f ca="1">IFERROR(__xludf.DUMMYFUNCTION("""COMPUTED_VALUE"""),"Trabalho informal")</f>
        <v>Trabalho informal</v>
      </c>
      <c r="BS247" s="27" t="str">
        <f ca="1">IFERROR(__xludf.DUMMYFUNCTION("""COMPUTED_VALUE"""),"Casa cedida")</f>
        <v>Casa cedida</v>
      </c>
      <c r="BT247" s="27">
        <f ca="1">IFERROR(__xludf.DUMMYFUNCTION("""COMPUTED_VALUE"""),4)</f>
        <v>4</v>
      </c>
      <c r="BU247" s="27" t="str">
        <f ca="1">IFERROR(__xludf.DUMMYFUNCTION("""COMPUTED_VALUE"""),"Não tem")</f>
        <v>Não tem</v>
      </c>
      <c r="BV247" s="27"/>
      <c r="BW247" s="27"/>
      <c r="BX247" s="21" t="str">
        <f ca="1">IFERROR(__xludf.DUMMYFUNCTION("""COMPUTED_VALUE"""),"https://www.instagram.com/tiadani_despertandoamor/")</f>
        <v>https://www.instagram.com/tiadani_despertandoamor/</v>
      </c>
      <c r="BY247" s="21" t="str">
        <f ca="1">IFERROR(__xludf.DUMMYFUNCTION("""COMPUTED_VALUE"""),"https://drive.google.com/open?id=1Wchw9b415gHMsWNW9a3oPIkk-m4YVYWm")</f>
        <v>https://drive.google.com/open?id=1Wchw9b415gHMsWNW9a3oPIkk-m4YVYWm</v>
      </c>
    </row>
    <row r="248" spans="1:77" ht="12.5" hidden="1" x14ac:dyDescent="0.25">
      <c r="A248" s="21" t="str">
        <f ca="1">IFERROR(__xludf.DUMMYFUNCTION("""COMPUTED_VALUE"""),"0014X00002VKCtjQAH")</f>
        <v>0014X00002VKCtjQAH</v>
      </c>
      <c r="B248" s="27" t="str">
        <f ca="1">IFERROR(__xludf.DUMMYFUNCTION("""COMPUTED_VALUE"""),"Fase Inicial")</f>
        <v>Fase Inicial</v>
      </c>
      <c r="C248" s="27" t="str">
        <f ca="1">IFERROR(__xludf.DUMMYFUNCTION("""COMPUTED_VALUE"""),"Fellow")</f>
        <v>Fellow</v>
      </c>
      <c r="D248" s="27" t="str">
        <f ca="1">IFERROR(__xludf.DUMMYFUNCTION("""COMPUTED_VALUE"""),"Ativo")</f>
        <v>Ativo</v>
      </c>
      <c r="E248" s="27" t="str">
        <f ca="1">IFERROR(__xludf.DUMMYFUNCTION("""COMPUTED_VALUE"""),"Dia do Amor")</f>
        <v>Dia do Amor</v>
      </c>
      <c r="F248" s="27" t="str">
        <f ca="1">IFERROR(__xludf.DUMMYFUNCTION("""COMPUTED_VALUE"""),"Carla")</f>
        <v>Carla</v>
      </c>
      <c r="G248" s="27" t="str">
        <f ca="1">IFERROR(__xludf.DUMMYFUNCTION("""COMPUTED_VALUE"""),"DIA DO AMOR")</f>
        <v>DIA DO AMOR</v>
      </c>
      <c r="H248" s="27" t="str">
        <f ca="1">IFERROR(__xludf.DUMMYFUNCTION("""COMPUTED_VALUE"""),"36.287.872/0001-20")</f>
        <v>36.287.872/0001-20</v>
      </c>
      <c r="I248" s="27" t="str">
        <f ca="1">IFERROR(__xludf.DUMMYFUNCTION("""COMPUTED_VALUE"""),"Carla Aristonara Müller")</f>
        <v>Carla Aristonara Müller</v>
      </c>
      <c r="J248" s="27" t="str">
        <f ca="1">IFERROR(__xludf.DUMMYFUNCTION("""COMPUTED_VALUE"""),"carla@diadoamor.org")</f>
        <v>carla@diadoamor.org</v>
      </c>
      <c r="K248" s="27" t="str">
        <f ca="1">IFERROR(__xludf.DUMMYFUNCTION("""COMPUTED_VALUE"""),"(00)0000-0000")</f>
        <v>(00)0000-0000</v>
      </c>
      <c r="L248" s="27" t="str">
        <f ca="1">IFERROR(__xludf.DUMMYFUNCTION("""COMPUTED_VALUE"""),"RS")</f>
        <v>RS</v>
      </c>
      <c r="M248" s="27" t="str">
        <f ca="1">IFERROR(__xludf.DUMMYFUNCTION("""COMPUTED_VALUE"""),"Travessa vileta")</f>
        <v>Travessa vileta</v>
      </c>
      <c r="N248" s="27" t="str">
        <f ca="1">IFERROR(__xludf.DUMMYFUNCTION("""COMPUTED_VALUE"""),"Jardim botânico")</f>
        <v>Jardim botânico</v>
      </c>
      <c r="O248" s="27">
        <f ca="1">IFERROR(__xludf.DUMMYFUNCTION("""COMPUTED_VALUE"""),54)</f>
        <v>54</v>
      </c>
      <c r="P248" s="27" t="str">
        <f ca="1">IFERROR(__xludf.DUMMYFUNCTION("""COMPUTED_VALUE"""),"Porto Alegre")</f>
        <v>Porto Alegre</v>
      </c>
      <c r="Q248" s="27">
        <f ca="1">IFERROR(__xludf.DUMMYFUNCTION("""COMPUTED_VALUE"""),303)</f>
        <v>303</v>
      </c>
      <c r="R248" s="27" t="str">
        <f ca="1">IFERROR(__xludf.DUMMYFUNCTION("""COMPUTED_VALUE"""),"90690-150")</f>
        <v>90690-150</v>
      </c>
      <c r="S248" s="21" t="str">
        <f ca="1">IFERROR(__xludf.DUMMYFUNCTION("""COMPUTED_VALUE"""),"https://www.diadoamor.org.br/")</f>
        <v>https://www.diadoamor.org.br/</v>
      </c>
      <c r="T248" s="27"/>
      <c r="U248" s="27" t="str">
        <f ca="1">IFERROR(__xludf.DUMMYFUNCTION("""COMPUTED_VALUE"""),"Crianças (6 a 12 anos), Adolescentes (12 aos 18 anos)")</f>
        <v>Crianças (6 a 12 anos), Adolescentes (12 aos 18 anos)</v>
      </c>
      <c r="V248" s="27" t="str">
        <f ca="1">IFERROR(__xludf.DUMMYFUNCTION("""COMPUTED_VALUE"""),"Moradores de Favelas, Pessoas em situação de rua, Povos Indígenas")</f>
        <v>Moradores de Favelas, Pessoas em situação de rua, Povos Indígenas</v>
      </c>
      <c r="W248" s="27">
        <f ca="1">IFERROR(__xludf.DUMMYFUNCTION("""COMPUTED_VALUE"""),3)</f>
        <v>3</v>
      </c>
      <c r="X248" s="27"/>
      <c r="Y248" s="27"/>
      <c r="Z248" s="27">
        <f ca="1">IFERROR(__xludf.DUMMYFUNCTION("""COMPUTED_VALUE"""),100)</f>
        <v>100</v>
      </c>
      <c r="AA248" s="30">
        <f ca="1">IFERROR(__xludf.DUMMYFUNCTION("""COMPUTED_VALUE"""),43836)</f>
        <v>43836</v>
      </c>
      <c r="AB248" s="27" t="str">
        <f ca="1">IFERROR(__xludf.DUMMYFUNCTION("""COMPUTED_VALUE"""),"Sim")</f>
        <v>Sim</v>
      </c>
      <c r="AC248" s="27">
        <f ca="1">IFERROR(__xludf.DUMMYFUNCTION("""COMPUTED_VALUE"""),0)</f>
        <v>0</v>
      </c>
      <c r="AD248" s="27">
        <f ca="1">IFERROR(__xludf.DUMMYFUNCTION("""COMPUTED_VALUE"""),6)</f>
        <v>6</v>
      </c>
      <c r="AE248" s="27">
        <f ca="1">IFERROR(__xludf.DUMMYFUNCTION("""COMPUTED_VALUE"""),203)</f>
        <v>203</v>
      </c>
      <c r="AF248" s="27">
        <f ca="1">IFERROR(__xludf.DUMMYFUNCTION("""COMPUTED_VALUE"""),203)</f>
        <v>203</v>
      </c>
      <c r="AG248" s="27">
        <f ca="1">IFERROR(__xludf.DUMMYFUNCTION("""COMPUTED_VALUE"""),3)</f>
        <v>3</v>
      </c>
      <c r="AH248" s="27" t="str">
        <f ca="1">IFERROR(__xludf.DUMMYFUNCTION("""COMPUTED_VALUE"""),"Negócio Social, Plataforma doação online - Pessoa Física, Parceria iniciativa privada, Doações")</f>
        <v>Negócio Social, Plataforma doação online - Pessoa Física, Parceria iniciativa privada, Doações</v>
      </c>
      <c r="AI248" s="27" t="str">
        <f ca="1">IFERROR(__xludf.DUMMYFUNCTION("""COMPUTED_VALUE"""),"30% doação / 25% negócio social / 25% parceria privada / 20% doação recorrente")</f>
        <v>30% doação / 25% negócio social / 25% parceria privada / 20% doação recorrente</v>
      </c>
      <c r="AJ248" s="27" t="str">
        <f ca="1">IFERROR(__xludf.DUMMYFUNCTION("""COMPUTED_VALUE"""),"Vamos iniciar esse ano")</f>
        <v>Vamos iniciar esse ano</v>
      </c>
      <c r="AK248" s="27"/>
      <c r="AL248" s="21" t="str">
        <f ca="1">IFERROR(__xludf.DUMMYFUNCTION("""COMPUTED_VALUE"""),"0034X0000380O6F")</f>
        <v>0034X0000380O6F</v>
      </c>
      <c r="AM248" s="27" t="str">
        <f ca="1">IFERROR(__xludf.DUMMYFUNCTION("""COMPUTED_VALUE"""),"Aristonara Müller")</f>
        <v>Aristonara Müller</v>
      </c>
      <c r="AN248" s="27" t="str">
        <f ca="1">IFERROR(__xludf.DUMMYFUNCTION("""COMPUTED_VALUE"""),"Ativo")</f>
        <v>Ativo</v>
      </c>
      <c r="AO248" s="30">
        <f ca="1">IFERROR(__xludf.DUMMYFUNCTION("""COMPUTED_VALUE"""),44763)</f>
        <v>44763</v>
      </c>
      <c r="AP248" s="27">
        <f ca="1">IFERROR(__xludf.DUMMYFUNCTION("""COMPUTED_VALUE"""),2)</f>
        <v>2</v>
      </c>
      <c r="AQ248" s="27" t="str">
        <f ca="1">IFERROR(__xludf.DUMMYFUNCTION("""COMPUTED_VALUE"""),"Primeiro Semestre 2022")</f>
        <v>Primeiro Semestre 2022</v>
      </c>
      <c r="AR248" s="27" t="str">
        <f ca="1">IFERROR(__xludf.DUMMYFUNCTION("""COMPUTED_VALUE"""),"carla.amuller@gmail.com")</f>
        <v>carla.amuller@gmail.com</v>
      </c>
      <c r="AS248" s="27">
        <f ca="1">IFERROR(__xludf.DUMMYFUNCTION("""COMPUTED_VALUE"""),51999610402)</f>
        <v>51999610402</v>
      </c>
      <c r="AT248" s="29">
        <f ca="1">IFERROR(__xludf.DUMMYFUNCTION("""COMPUTED_VALUE"""),32814)</f>
        <v>32814</v>
      </c>
      <c r="AU248" s="27">
        <f ca="1">IFERROR(__xludf.DUMMYFUNCTION("""COMPUTED_VALUE"""),33)</f>
        <v>33</v>
      </c>
      <c r="AV248" s="27">
        <f ca="1">IFERROR(__xludf.DUMMYFUNCTION("""COMPUTED_VALUE"""),749987065)</f>
        <v>749987065</v>
      </c>
      <c r="AW248" s="27">
        <f ca="1">IFERROR(__xludf.DUMMYFUNCTION("""COMPUTED_VALUE"""),7079503285)</f>
        <v>7079503285</v>
      </c>
      <c r="AX248" s="27"/>
      <c r="AY248" s="27"/>
      <c r="AZ248" s="27" t="str">
        <f ca="1">IFERROR(__xludf.DUMMYFUNCTION("""COMPUTED_VALUE"""),"M")</f>
        <v>M</v>
      </c>
      <c r="BA248" s="27" t="str">
        <f ca="1">IFERROR(__xludf.DUMMYFUNCTION("""COMPUTED_VALUE"""),"Branca")</f>
        <v>Branca</v>
      </c>
      <c r="BB248" s="27"/>
      <c r="BC248" s="27"/>
      <c r="BD248" s="27" t="str">
        <f ca="1">IFERROR(__xludf.DUMMYFUNCTION("""COMPUTED_VALUE"""),"Acredito que duas coisas podem mudar as pessoas e o mundo: amor e educação. Tento colocar essas duas coisas em tudo que eu faço.")</f>
        <v>Acredito que duas coisas podem mudar as pessoas e o mundo: amor e educação. Tento colocar essas duas coisas em tudo que eu faço.</v>
      </c>
      <c r="BE248" s="27" t="str">
        <f ca="1">IFERROR(__xludf.DUMMYFUNCTION("""COMPUTED_VALUE"""),"Feminino")</f>
        <v>Feminino</v>
      </c>
      <c r="BF248" s="27" t="str">
        <f ca="1">IFERROR(__xludf.DUMMYFUNCTION("""COMPUTED_VALUE"""),"Heterossexual")</f>
        <v>Heterossexual</v>
      </c>
      <c r="BG248" s="27"/>
      <c r="BH248" s="27" t="str">
        <f ca="1">IFERROR(__xludf.DUMMYFUNCTION("""COMPUTED_VALUE"""),"Privado")</f>
        <v>Privado</v>
      </c>
      <c r="BI248" s="27" t="str">
        <f ca="1">IFERROR(__xludf.DUMMYFUNCTION("""COMPUTED_VALUE"""),"Doutorado")</f>
        <v>Doutorado</v>
      </c>
      <c r="BJ248" s="27" t="str">
        <f ca="1">IFERROR(__xludf.DUMMYFUNCTION("""COMPUTED_VALUE"""),"Público")</f>
        <v>Público</v>
      </c>
      <c r="BK248" s="27" t="str">
        <f ca="1">IFERROR(__xludf.DUMMYFUNCTION("""COMPUTED_VALUE"""),"Travessa vileta")</f>
        <v>Travessa vileta</v>
      </c>
      <c r="BL248" s="27">
        <f ca="1">IFERROR(__xludf.DUMMYFUNCTION("""COMPUTED_VALUE"""),54)</f>
        <v>54</v>
      </c>
      <c r="BM248" s="27">
        <f ca="1">IFERROR(__xludf.DUMMYFUNCTION("""COMPUTED_VALUE"""),303)</f>
        <v>303</v>
      </c>
      <c r="BN248" s="27"/>
      <c r="BO248" s="27">
        <f ca="1">IFERROR(__xludf.DUMMYFUNCTION("""COMPUTED_VALUE"""),90690150)</f>
        <v>90690150</v>
      </c>
      <c r="BP248" s="27" t="str">
        <f ca="1">IFERROR(__xludf.DUMMYFUNCTION("""COMPUTED_VALUE"""),"RS")</f>
        <v>RS</v>
      </c>
      <c r="BQ248" s="27" t="str">
        <f ca="1">IFERROR(__xludf.DUMMYFUNCTION("""COMPUTED_VALUE"""),"Entre 1 até 3 salários mínimos")</f>
        <v>Entre 1 até 3 salários mínimos</v>
      </c>
      <c r="BR248" s="27" t="str">
        <f ca="1">IFERROR(__xludf.DUMMYFUNCTION("""COMPUTED_VALUE"""),"Trabalho informal")</f>
        <v>Trabalho informal</v>
      </c>
      <c r="BS248" s="27" t="str">
        <f ca="1">IFERROR(__xludf.DUMMYFUNCTION("""COMPUTED_VALUE"""),"Aluguel")</f>
        <v>Aluguel</v>
      </c>
      <c r="BT248" s="27">
        <f ca="1">IFERROR(__xludf.DUMMYFUNCTION("""COMPUTED_VALUE"""),1)</f>
        <v>1</v>
      </c>
      <c r="BU248" s="27" t="str">
        <f ca="1">IFERROR(__xludf.DUMMYFUNCTION("""COMPUTED_VALUE"""),"Não tem")</f>
        <v>Não tem</v>
      </c>
      <c r="BV248" s="27" t="str">
        <f ca="1">IFERROR(__xludf.DUMMYFUNCTION("""COMPUTED_VALUE"""),"Não")</f>
        <v>Não</v>
      </c>
      <c r="BW248" s="27"/>
      <c r="BX248" s="21" t="str">
        <f ca="1">IFERROR(__xludf.DUMMYFUNCTION("""COMPUTED_VALUE"""),"https://instagram.com/carlamuller?utm_medium=copy_link")</f>
        <v>https://instagram.com/carlamuller?utm_medium=copy_link</v>
      </c>
      <c r="BY248" s="21" t="str">
        <f ca="1">IFERROR(__xludf.DUMMYFUNCTION("""COMPUTED_VALUE"""),"https://drive.google.com/open?id=1OGkEOsC_2v9Hhk5tdonIKLlV4iG6tvlX")</f>
        <v>https://drive.google.com/open?id=1OGkEOsC_2v9Hhk5tdonIKLlV4iG6tvlX</v>
      </c>
    </row>
    <row r="249" spans="1:77" ht="12.5" hidden="1" x14ac:dyDescent="0.25">
      <c r="A249" s="21" t="str">
        <f ca="1">IFERROR(__xludf.DUMMYFUNCTION("""COMPUTED_VALUE"""),"0014P00003YSp86QAD")</f>
        <v>0014P00003YSp86QAD</v>
      </c>
      <c r="B249" s="27" t="str">
        <f ca="1">IFERROR(__xludf.DUMMYFUNCTION("""COMPUTED_VALUE"""),"Fase Inicial")</f>
        <v>Fase Inicial</v>
      </c>
      <c r="C249" s="27" t="str">
        <f ca="1">IFERROR(__xludf.DUMMYFUNCTION("""COMPUTED_VALUE"""),"Fellow")</f>
        <v>Fellow</v>
      </c>
      <c r="D249" s="27" t="str">
        <f ca="1">IFERROR(__xludf.DUMMYFUNCTION("""COMPUTED_VALUE"""),"Ativo")</f>
        <v>Ativo</v>
      </c>
      <c r="E249" s="27" t="str">
        <f ca="1">IFERROR(__xludf.DUMMYFUNCTION("""COMPUTED_VALUE"""),"DOA??AÇÃO")</f>
        <v>DOA??AÇÃO</v>
      </c>
      <c r="F249" s="27" t="str">
        <f ca="1">IFERROR(__xludf.DUMMYFUNCTION("""COMPUTED_VALUE"""),"Amanda")</f>
        <v>Amanda</v>
      </c>
      <c r="G249" s="27"/>
      <c r="H249" s="27"/>
      <c r="I249" s="27" t="str">
        <f ca="1">IFERROR(__xludf.DUMMYFUNCTION("""COMPUTED_VALUE"""),"Amanda Marques Machado de Oliveira")</f>
        <v>Amanda Marques Machado de Oliveira</v>
      </c>
      <c r="J249" s="27"/>
      <c r="K249" s="27" t="str">
        <f ca="1">IFERROR(__xludf.DUMMYFUNCTION("""COMPUTED_VALUE"""),"(21)99836-7515")</f>
        <v>(21)99836-7515</v>
      </c>
      <c r="L249" s="27" t="str">
        <f ca="1">IFERROR(__xludf.DUMMYFUNCTION("""COMPUTED_VALUE"""),"RJ")</f>
        <v>RJ</v>
      </c>
      <c r="M249" s="27" t="str">
        <f ca="1">IFERROR(__xludf.DUMMYFUNCTION("""COMPUTED_VALUE"""),"Rua Joaquim Méier")</f>
        <v>Rua Joaquim Méier</v>
      </c>
      <c r="N249" s="27" t="str">
        <f ca="1">IFERROR(__xludf.DUMMYFUNCTION("""COMPUTED_VALUE"""),"Méier")</f>
        <v>Méier</v>
      </c>
      <c r="O249" s="27">
        <f ca="1">IFERROR(__xludf.DUMMYFUNCTION("""COMPUTED_VALUE"""),218)</f>
        <v>218</v>
      </c>
      <c r="P249" s="27" t="str">
        <f ca="1">IFERROR(__xludf.DUMMYFUNCTION("""COMPUTED_VALUE"""),"Rio de Janeiro")</f>
        <v>Rio de Janeiro</v>
      </c>
      <c r="Q249" s="27" t="str">
        <f ca="1">IFERROR(__xludf.DUMMYFUNCTION("""COMPUTED_VALUE"""),"Subsolo")</f>
        <v>Subsolo</v>
      </c>
      <c r="R249" s="27" t="str">
        <f ca="1">IFERROR(__xludf.DUMMYFUNCTION("""COMPUTED_VALUE"""),"20725-050")</f>
        <v>20725-050</v>
      </c>
      <c r="S249" s="27"/>
      <c r="T249" s="27" t="str">
        <f ca="1">IFERROR(__xludf.DUMMYFUNCTION("""COMPUTED_VALUE"""),"Esporte; Educação")</f>
        <v>Esporte; Educação</v>
      </c>
      <c r="U249" s="27" t="str">
        <f ca="1">IFERROR(__xludf.DUMMYFUNCTION("""COMPUTED_VALUE"""),"Bebês (0 a 1 ano e 6 meses); Crianças bem pequenas (1 ano e 7 meses até 3 anos e 11 meses); Crianças pequenas (4 anos a 5 anos e 11 meses); Crianças (6 a 12 anos); Adolescentes (12 aos 18 anos)")</f>
        <v>Bebês (0 a 1 ano e 6 meses); Crianças bem pequenas (1 ano e 7 meses até 3 anos e 11 meses); Crianças pequenas (4 anos a 5 anos e 11 meses); Crianças (6 a 12 anos); Adolescentes (12 aos 18 anos)</v>
      </c>
      <c r="V249" s="27" t="str">
        <f ca="1">IFERROR(__xludf.DUMMYFUNCTION("""COMPUTED_VALUE"""),"Moradores de Favelas")</f>
        <v>Moradores de Favelas</v>
      </c>
      <c r="W249" s="27">
        <f ca="1">IFERROR(__xludf.DUMMYFUNCTION("""COMPUTED_VALUE"""),1)</f>
        <v>1</v>
      </c>
      <c r="X249" s="27"/>
      <c r="Y249" s="27"/>
      <c r="Z249" s="27">
        <f ca="1">IFERROR(__xludf.DUMMYFUNCTION("""COMPUTED_VALUE"""),70)</f>
        <v>70</v>
      </c>
      <c r="AA249" s="29">
        <f ca="1">IFERROR(__xludf.DUMMYFUNCTION("""COMPUTED_VALUE"""),42006)</f>
        <v>42006</v>
      </c>
      <c r="AB249" s="27" t="str">
        <f ca="1">IFERROR(__xludf.DUMMYFUNCTION("""COMPUTED_VALUE"""),"Não")</f>
        <v>Não</v>
      </c>
      <c r="AC249" s="27">
        <f ca="1">IFERROR(__xludf.DUMMYFUNCTION("""COMPUTED_VALUE"""),0)</f>
        <v>0</v>
      </c>
      <c r="AD249" s="27">
        <f ca="1">IFERROR(__xludf.DUMMYFUNCTION("""COMPUTED_VALUE"""),0)</f>
        <v>0</v>
      </c>
      <c r="AE249" s="27">
        <f ca="1">IFERROR(__xludf.DUMMYFUNCTION("""COMPUTED_VALUE"""),0)</f>
        <v>0</v>
      </c>
      <c r="AF249" s="27">
        <f ca="1">IFERROR(__xludf.DUMMYFUNCTION("""COMPUTED_VALUE"""),0)</f>
        <v>0</v>
      </c>
      <c r="AG249" s="27">
        <f ca="1">IFERROR(__xludf.DUMMYFUNCTION("""COMPUTED_VALUE"""),2)</f>
        <v>2</v>
      </c>
      <c r="AH249" s="27" t="str">
        <f ca="1">IFERROR(__xludf.DUMMYFUNCTION("""COMPUTED_VALUE"""),"Doações; Recursos próprios")</f>
        <v>Doações; Recursos próprios</v>
      </c>
      <c r="AI249" s="27" t="str">
        <f ca="1">IFERROR(__xludf.DUMMYFUNCTION("""COMPUTED_VALUE"""),"Não possuo")</f>
        <v>Não possuo</v>
      </c>
      <c r="AJ249" s="27"/>
      <c r="AK249" s="27"/>
      <c r="AL249" s="21" t="str">
        <f ca="1">IFERROR(__xludf.DUMMYFUNCTION("""COMPUTED_VALUE"""),"0034P000045kxih")</f>
        <v>0034P000045kxih</v>
      </c>
      <c r="AM249" s="27" t="str">
        <f ca="1">IFERROR(__xludf.DUMMYFUNCTION("""COMPUTED_VALUE"""),"Marques Machado De Oliveira")</f>
        <v>Marques Machado De Oliveira</v>
      </c>
      <c r="AN249" s="27" t="str">
        <f ca="1">IFERROR(__xludf.DUMMYFUNCTION("""COMPUTED_VALUE"""),"Ativo")</f>
        <v>Ativo</v>
      </c>
      <c r="AO249" s="29">
        <f ca="1">IFERROR(__xludf.DUMMYFUNCTION("""COMPUTED_VALUE"""),44551)</f>
        <v>44551</v>
      </c>
      <c r="AP249" s="27">
        <f ca="1">IFERROR(__xludf.DUMMYFUNCTION("""COMPUTED_VALUE"""),9)</f>
        <v>9</v>
      </c>
      <c r="AQ249" s="27" t="str">
        <f ca="1">IFERROR(__xludf.DUMMYFUNCTION("""COMPUTED_VALUE"""),"Segundo Semestre 2021")</f>
        <v>Segundo Semestre 2021</v>
      </c>
      <c r="AR249" s="27" t="str">
        <f ca="1">IFERROR(__xludf.DUMMYFUNCTION("""COMPUTED_VALUE"""),"marquesamand@gmail.com")</f>
        <v>marquesamand@gmail.com</v>
      </c>
      <c r="AS249" s="27" t="str">
        <f ca="1">IFERROR(__xludf.DUMMYFUNCTION("""COMPUTED_VALUE"""),"(21)99836-7515")</f>
        <v>(21)99836-7515</v>
      </c>
      <c r="AT249" s="29">
        <f ca="1">IFERROR(__xludf.DUMMYFUNCTION("""COMPUTED_VALUE"""),29992)</f>
        <v>29992</v>
      </c>
      <c r="AU249" s="27">
        <f ca="1">IFERROR(__xludf.DUMMYFUNCTION("""COMPUTED_VALUE"""),40)</f>
        <v>40</v>
      </c>
      <c r="AV249" s="27">
        <f ca="1">IFERROR(__xludf.DUMMYFUNCTION("""COMPUTED_VALUE"""),9955560754)</f>
        <v>9955560754</v>
      </c>
      <c r="AW249" s="27">
        <f ca="1">IFERROR(__xludf.DUMMYFUNCTION("""COMPUTED_VALUE"""),203313812)</f>
        <v>203313812</v>
      </c>
      <c r="AX249" s="27"/>
      <c r="AY249" s="27"/>
      <c r="AZ249" s="27" t="str">
        <f ca="1">IFERROR(__xludf.DUMMYFUNCTION("""COMPUTED_VALUE"""),"XG")</f>
        <v>XG</v>
      </c>
      <c r="BA249" s="27" t="str">
        <f ca="1">IFERROR(__xludf.DUMMYFUNCTION("""COMPUTED_VALUE"""),"Branca")</f>
        <v>Branca</v>
      </c>
      <c r="BB249" s="27" t="str">
        <f ca="1">IFERROR(__xludf.DUMMYFUNCTION("""COMPUTED_VALUE"""),"Mulher, cisgênero")</f>
        <v>Mulher, cisgênero</v>
      </c>
      <c r="BC249" s="27" t="str">
        <f ca="1">IFERROR(__xludf.DUMMYFUNCTION("""COMPUTED_VALUE"""),"Não")</f>
        <v>Não</v>
      </c>
      <c r="BD249" s="27" t="str">
        <f ca="1">IFERROR(__xludf.DUMMYFUNCTION("""COMPUTED_VALUE"""),"Professora, casada, mãe de duas meninas, hoje com 39 anos, criada em comunidade, vivi todas as realidades de uma favela. 
Com o desejo de mudar a realidade das famílias ao meu redor, iniciei um trabalho educacional e pedagógico com as crianças da favela, "&amp;"assim nascia o projeto DOA💓AÇÃO.")</f>
        <v>Professora, casada, mãe de duas meninas, hoje com 39 anos, criada em comunidade, vivi todas as realidades de uma favela. 
Com o desejo de mudar a realidade das famílias ao meu redor, iniciei um trabalho educacional e pedagógico com as crianças da favela, assim nascia o projeto DOA💓AÇÃO.</v>
      </c>
      <c r="BE249" s="27"/>
      <c r="BF249" s="27" t="str">
        <f ca="1">IFERROR(__xludf.DUMMYFUNCTION("""COMPUTED_VALUE"""),"Heterossexual")</f>
        <v>Heterossexual</v>
      </c>
      <c r="BG249" s="27" t="str">
        <f ca="1">IFERROR(__xludf.DUMMYFUNCTION("""COMPUTED_VALUE"""),"Ensino Superior - Incompleto")</f>
        <v>Ensino Superior - Incompleto</v>
      </c>
      <c r="BH249" s="27" t="str">
        <f ca="1">IFERROR(__xludf.DUMMYFUNCTION("""COMPUTED_VALUE"""),"Público")</f>
        <v>Público</v>
      </c>
      <c r="BI249" s="27" t="str">
        <f ca="1">IFERROR(__xludf.DUMMYFUNCTION("""COMPUTED_VALUE"""),"Graduação")</f>
        <v>Graduação</v>
      </c>
      <c r="BJ249" s="27" t="str">
        <f ca="1">IFERROR(__xludf.DUMMYFUNCTION("""COMPUTED_VALUE"""),"Privado")</f>
        <v>Privado</v>
      </c>
      <c r="BK249" s="27" t="str">
        <f ca="1">IFERROR(__xludf.DUMMYFUNCTION("""COMPUTED_VALUE"""),"Rua Manuel Correia")</f>
        <v>Rua Manuel Correia</v>
      </c>
      <c r="BL249" s="27">
        <f ca="1">IFERROR(__xludf.DUMMYFUNCTION("""COMPUTED_VALUE"""),13)</f>
        <v>13</v>
      </c>
      <c r="BM249" s="27">
        <f ca="1">IFERROR(__xludf.DUMMYFUNCTION("""COMPUTED_VALUE"""),201)</f>
        <v>201</v>
      </c>
      <c r="BN249" s="27" t="str">
        <f ca="1">IFERROR(__xludf.DUMMYFUNCTION("""COMPUTED_VALUE"""),"Rio de Janeiro")</f>
        <v>Rio de Janeiro</v>
      </c>
      <c r="BO249" s="27" t="str">
        <f ca="1">IFERROR(__xludf.DUMMYFUNCTION("""COMPUTED_VALUE"""),"20381-400")</f>
        <v>20381-400</v>
      </c>
      <c r="BP249" s="27" t="str">
        <f ca="1">IFERROR(__xludf.DUMMYFUNCTION("""COMPUTED_VALUE"""),"RJ")</f>
        <v>RJ</v>
      </c>
      <c r="BQ249" s="27" t="str">
        <f ca="1">IFERROR(__xludf.DUMMYFUNCTION("""COMPUTED_VALUE"""),"Entre 1 até 3 salários mínimos")</f>
        <v>Entre 1 até 3 salários mínimos</v>
      </c>
      <c r="BR249" s="27" t="str">
        <f ca="1">IFERROR(__xludf.DUMMYFUNCTION("""COMPUTED_VALUE"""),"CLT")</f>
        <v>CLT</v>
      </c>
      <c r="BS249" s="27" t="str">
        <f ca="1">IFERROR(__xludf.DUMMYFUNCTION("""COMPUTED_VALUE"""),"Casa própria")</f>
        <v>Casa própria</v>
      </c>
      <c r="BT249" s="27">
        <f ca="1">IFERROR(__xludf.DUMMYFUNCTION("""COMPUTED_VALUE"""),3)</f>
        <v>3</v>
      </c>
      <c r="BU249" s="27" t="str">
        <f ca="1">IFERROR(__xludf.DUMMYFUNCTION("""COMPUTED_VALUE"""),"Não tem")</f>
        <v>Não tem</v>
      </c>
      <c r="BV249" s="27"/>
      <c r="BW249" s="27"/>
      <c r="BX249" s="21" t="str">
        <f ca="1">IFERROR(__xludf.DUMMYFUNCTION("""COMPUTED_VALUE"""),"https://instagram.com/amanda.marques.3781?utm_medium=copy_link")</f>
        <v>https://instagram.com/amanda.marques.3781?utm_medium=copy_link</v>
      </c>
      <c r="BY249" s="21" t="str">
        <f ca="1">IFERROR(__xludf.DUMMYFUNCTION("""COMPUTED_VALUE"""),"https://drive.google.com/open?id=1HdsfVH9xyWjPzEDHcAiTdF3JxOmmHCNt")</f>
        <v>https://drive.google.com/open?id=1HdsfVH9xyWjPzEDHcAiTdF3JxOmmHCNt</v>
      </c>
    </row>
    <row r="250" spans="1:77" ht="12.5" x14ac:dyDescent="0.25">
      <c r="A250" s="21" t="str">
        <f ca="1">IFERROR(__xludf.DUMMYFUNCTION("""COMPUTED_VALUE"""),"0014P00003YSp9dQAD")</f>
        <v>0014P00003YSp9dQAD</v>
      </c>
      <c r="B250" s="27" t="str">
        <f ca="1">IFERROR(__xludf.DUMMYFUNCTION("""COMPUTED_VALUE"""),"Fase Inicial")</f>
        <v>Fase Inicial</v>
      </c>
      <c r="C250" s="27" t="str">
        <f ca="1">IFERROR(__xludf.DUMMYFUNCTION("""COMPUTED_VALUE"""),"Fellow")</f>
        <v>Fellow</v>
      </c>
      <c r="D250" s="27" t="str">
        <f ca="1">IFERROR(__xludf.DUMMYFUNCTION("""COMPUTED_VALUE"""),"Ativo")</f>
        <v>Ativo</v>
      </c>
      <c r="E250" s="27" t="str">
        <f ca="1">IFERROR(__xludf.DUMMYFUNCTION("""COMPUTED_VALUE"""),"Doa Cg")</f>
        <v>Doa Cg</v>
      </c>
      <c r="F250" s="27" t="str">
        <f ca="1">IFERROR(__xludf.DUMMYFUNCTION("""COMPUTED_VALUE"""),"Guilherme")</f>
        <v>Guilherme</v>
      </c>
      <c r="G250" s="27"/>
      <c r="H250" s="27"/>
      <c r="I250" s="27" t="str">
        <f ca="1">IFERROR(__xludf.DUMMYFUNCTION("""COMPUTED_VALUE"""),"Guilherme")</f>
        <v>Guilherme</v>
      </c>
      <c r="J250" s="27" t="str">
        <f ca="1">IFERROR(__xludf.DUMMYFUNCTION("""COMPUTED_VALUE"""),"doacampogrande@gmail.com")</f>
        <v>doacampogrande@gmail.com</v>
      </c>
      <c r="K250" s="27" t="str">
        <f ca="1">IFERROR(__xludf.DUMMYFUNCTION("""COMPUTED_VALUE"""),"(67)99105-7716")</f>
        <v>(67)99105-7716</v>
      </c>
      <c r="L250" s="27" t="str">
        <f ca="1">IFERROR(__xludf.DUMMYFUNCTION("""COMPUTED_VALUE"""),"MS")</f>
        <v>MS</v>
      </c>
      <c r="M250" s="27" t="str">
        <f ca="1">IFERROR(__xludf.DUMMYFUNCTION("""COMPUTED_VALUE"""),"Rua Jauaperi 669")</f>
        <v>Rua Jauaperi 669</v>
      </c>
      <c r="N250" s="27" t="str">
        <f ca="1">IFERROR(__xludf.DUMMYFUNCTION("""COMPUTED_VALUE"""),"Jardim Columbia")</f>
        <v>Jardim Columbia</v>
      </c>
      <c r="O250" s="27">
        <f ca="1">IFERROR(__xludf.DUMMYFUNCTION("""COMPUTED_VALUE"""),669)</f>
        <v>669</v>
      </c>
      <c r="P250" s="27" t="str">
        <f ca="1">IFERROR(__xludf.DUMMYFUNCTION("""COMPUTED_VALUE"""),"Campo Grande")</f>
        <v>Campo Grande</v>
      </c>
      <c r="Q250" s="27"/>
      <c r="R250" s="27" t="str">
        <f ca="1">IFERROR(__xludf.DUMMYFUNCTION("""COMPUTED_VALUE"""),"79018-081")</f>
        <v>79018-081</v>
      </c>
      <c r="S250" s="27"/>
      <c r="T250" s="27" t="str">
        <f ca="1">IFERROR(__xludf.DUMMYFUNCTION("""COMPUTED_VALUE"""),"Assistência Social; Desenvolvimento comunitário")</f>
        <v>Assistência Social; Desenvolvimento comunitário</v>
      </c>
      <c r="U250" s="27" t="str">
        <f ca="1">IFERROR(__xludf.DUMMYFUNCTION("""COMPUTED_VALUE"""),"Jovens (18 aos 24 anos); Adultos")</f>
        <v>Jovens (18 aos 24 anos); Adultos</v>
      </c>
      <c r="V250" s="27" t="str">
        <f ca="1">IFERROR(__xludf.DUMMYFUNCTION("""COMPUTED_VALUE"""),"Moradores de Favelas")</f>
        <v>Moradores de Favelas</v>
      </c>
      <c r="W250" s="27">
        <f ca="1">IFERROR(__xludf.DUMMYFUNCTION("""COMPUTED_VALUE"""),1)</f>
        <v>1</v>
      </c>
      <c r="X250" s="27"/>
      <c r="Y250" s="27"/>
      <c r="Z250" s="27">
        <f ca="1">IFERROR(__xludf.DUMMYFUNCTION("""COMPUTED_VALUE"""),200)</f>
        <v>200</v>
      </c>
      <c r="AA250" s="29">
        <f ca="1">IFERROR(__xludf.DUMMYFUNCTION("""COMPUTED_VALUE"""),43108)</f>
        <v>43108</v>
      </c>
      <c r="AB250" s="27" t="str">
        <f ca="1">IFERROR(__xludf.DUMMYFUNCTION("""COMPUTED_VALUE"""),"Não")</f>
        <v>Não</v>
      </c>
      <c r="AC250" s="27">
        <f ca="1">IFERROR(__xludf.DUMMYFUNCTION("""COMPUTED_VALUE"""),0)</f>
        <v>0</v>
      </c>
      <c r="AD250" s="27">
        <f ca="1">IFERROR(__xludf.DUMMYFUNCTION("""COMPUTED_VALUE"""),0)</f>
        <v>0</v>
      </c>
      <c r="AE250" s="27">
        <f ca="1">IFERROR(__xludf.DUMMYFUNCTION("""COMPUTED_VALUE"""),30)</f>
        <v>30</v>
      </c>
      <c r="AF250" s="27">
        <f ca="1">IFERROR(__xludf.DUMMYFUNCTION("""COMPUTED_VALUE"""),12)</f>
        <v>12</v>
      </c>
      <c r="AG250" s="27">
        <f ca="1">IFERROR(__xludf.DUMMYFUNCTION("""COMPUTED_VALUE"""),2)</f>
        <v>2</v>
      </c>
      <c r="AH250" s="27" t="str">
        <f ca="1">IFERROR(__xludf.DUMMYFUNCTION("""COMPUTED_VALUE"""),"Doações; Recursos próprios")</f>
        <v>Doações; Recursos próprios</v>
      </c>
      <c r="AI250" s="27">
        <f ca="1">IFERROR(__xludf.DUMMYFUNCTION("""COMPUTED_VALUE"""),0)</f>
        <v>0</v>
      </c>
      <c r="AJ250" s="27"/>
      <c r="AK250" s="27"/>
      <c r="AL250" s="21" t="str">
        <f ca="1">IFERROR(__xludf.DUMMYFUNCTION("""COMPUTED_VALUE"""),"0034P000045kxkF")</f>
        <v>0034P000045kxkF</v>
      </c>
      <c r="AM250" s="27" t="str">
        <f ca="1">IFERROR(__xludf.DUMMYFUNCTION("""COMPUTED_VALUE"""),"Nascimento Goularte")</f>
        <v>Nascimento Goularte</v>
      </c>
      <c r="AN250" s="27" t="str">
        <f ca="1">IFERROR(__xludf.DUMMYFUNCTION("""COMPUTED_VALUE"""),"Ativo")</f>
        <v>Ativo</v>
      </c>
      <c r="AO250" s="30">
        <f ca="1">IFERROR(__xludf.DUMMYFUNCTION("""COMPUTED_VALUE"""),44551)</f>
        <v>44551</v>
      </c>
      <c r="AP250" s="27">
        <f ca="1">IFERROR(__xludf.DUMMYFUNCTION("""COMPUTED_VALUE"""),9)</f>
        <v>9</v>
      </c>
      <c r="AQ250" s="27" t="str">
        <f ca="1">IFERROR(__xludf.DUMMYFUNCTION("""COMPUTED_VALUE"""),"Segundo Semestre 2021")</f>
        <v>Segundo Semestre 2021</v>
      </c>
      <c r="AR250" s="27" t="str">
        <f ca="1">IFERROR(__xludf.DUMMYFUNCTION("""COMPUTED_VALUE"""),"ggoularte1@gmail.com")</f>
        <v>ggoularte1@gmail.com</v>
      </c>
      <c r="AS250" s="27" t="str">
        <f ca="1">IFERROR(__xludf.DUMMYFUNCTION("""COMPUTED_VALUE"""),"(67)99105-7716")</f>
        <v>(67)99105-7716</v>
      </c>
      <c r="AT250" s="29">
        <f ca="1">IFERROR(__xludf.DUMMYFUNCTION("""COMPUTED_VALUE"""),34592)</f>
        <v>34592</v>
      </c>
      <c r="AU250" s="27">
        <f ca="1">IFERROR(__xludf.DUMMYFUNCTION("""COMPUTED_VALUE"""),28)</f>
        <v>28</v>
      </c>
      <c r="AV250" s="27">
        <f ca="1">IFERROR(__xludf.DUMMYFUNCTION("""COMPUTED_VALUE"""),1932433180)</f>
        <v>1932433180</v>
      </c>
      <c r="AW250" s="27">
        <f ca="1">IFERROR(__xludf.DUMMYFUNCTION("""COMPUTED_VALUE"""),1684407)</f>
        <v>1684407</v>
      </c>
      <c r="AX250" s="27"/>
      <c r="AY250" s="27"/>
      <c r="AZ250" s="27" t="str">
        <f ca="1">IFERROR(__xludf.DUMMYFUNCTION("""COMPUTED_VALUE"""),"G")</f>
        <v>G</v>
      </c>
      <c r="BA250" s="27" t="str">
        <f ca="1">IFERROR(__xludf.DUMMYFUNCTION("""COMPUTED_VALUE"""),"Branca")</f>
        <v>Branca</v>
      </c>
      <c r="BB250" s="27" t="str">
        <f ca="1">IFERROR(__xludf.DUMMYFUNCTION("""COMPUTED_VALUE"""),"Outro(s)")</f>
        <v>Outro(s)</v>
      </c>
      <c r="BC250" s="27" t="str">
        <f ca="1">IFERROR(__xludf.DUMMYFUNCTION("""COMPUTED_VALUE"""),"Não")</f>
        <v>Não</v>
      </c>
      <c r="BD250" s="27" t="str">
        <f ca="1">IFERROR(__xludf.DUMMYFUNCTION("""COMPUTED_VALUE"""),"Guilherme Goularte")</f>
        <v>Guilherme Goularte</v>
      </c>
      <c r="BE250" s="27"/>
      <c r="BF250" s="27" t="str">
        <f ca="1">IFERROR(__xludf.DUMMYFUNCTION("""COMPUTED_VALUE"""),"Heterossexual")</f>
        <v>Heterossexual</v>
      </c>
      <c r="BG250" s="27" t="str">
        <f ca="1">IFERROR(__xludf.DUMMYFUNCTION("""COMPUTED_VALUE"""),"Ensino Superior - Completo")</f>
        <v>Ensino Superior - Completo</v>
      </c>
      <c r="BH250" s="27" t="str">
        <f ca="1">IFERROR(__xludf.DUMMYFUNCTION("""COMPUTED_VALUE"""),"Público")</f>
        <v>Público</v>
      </c>
      <c r="BI250" s="27" t="str">
        <f ca="1">IFERROR(__xludf.DUMMYFUNCTION("""COMPUTED_VALUE"""),"Graduação")</f>
        <v>Graduação</v>
      </c>
      <c r="BJ250" s="27" t="str">
        <f ca="1">IFERROR(__xludf.DUMMYFUNCTION("""COMPUTED_VALUE"""),"Privado")</f>
        <v>Privado</v>
      </c>
      <c r="BK250" s="27" t="str">
        <f ca="1">IFERROR(__xludf.DUMMYFUNCTION("""COMPUTED_VALUE"""),"Avenida Coronel Antonino")</f>
        <v>Avenida Coronel Antonino</v>
      </c>
      <c r="BL250" s="27">
        <f ca="1">IFERROR(__xludf.DUMMYFUNCTION("""COMPUTED_VALUE"""),633)</f>
        <v>633</v>
      </c>
      <c r="BM250" s="27"/>
      <c r="BN250" s="27" t="str">
        <f ca="1">IFERROR(__xludf.DUMMYFUNCTION("""COMPUTED_VALUE"""),"Campo Grande")</f>
        <v>Campo Grande</v>
      </c>
      <c r="BO250" s="27" t="str">
        <f ca="1">IFERROR(__xludf.DUMMYFUNCTION("""COMPUTED_VALUE"""),"79010-000")</f>
        <v>79010-000</v>
      </c>
      <c r="BP250" s="27" t="str">
        <f ca="1">IFERROR(__xludf.DUMMYFUNCTION("""COMPUTED_VALUE"""),"MS")</f>
        <v>MS</v>
      </c>
      <c r="BQ250" s="27" t="str">
        <f ca="1">IFERROR(__xludf.DUMMYFUNCTION("""COMPUTED_VALUE"""),"Acima de 5 salários mínimos")</f>
        <v>Acima de 5 salários mínimos</v>
      </c>
      <c r="BR250" s="27" t="str">
        <f ca="1">IFERROR(__xludf.DUMMYFUNCTION("""COMPUTED_VALUE"""),"CLT")</f>
        <v>CLT</v>
      </c>
      <c r="BS250" s="27" t="str">
        <f ca="1">IFERROR(__xludf.DUMMYFUNCTION("""COMPUTED_VALUE"""),"Casa própria")</f>
        <v>Casa própria</v>
      </c>
      <c r="BT250" s="27">
        <f ca="1">IFERROR(__xludf.DUMMYFUNCTION("""COMPUTED_VALUE"""),2)</f>
        <v>2</v>
      </c>
      <c r="BU250" s="27" t="str">
        <f ca="1">IFERROR(__xludf.DUMMYFUNCTION("""COMPUTED_VALUE"""),"Não tem")</f>
        <v>Não tem</v>
      </c>
      <c r="BV250" s="27"/>
      <c r="BW250" s="27"/>
      <c r="BX250" s="21" t="str">
        <f ca="1">IFERROR(__xludf.DUMMYFUNCTION("""COMPUTED_VALUE"""),"instagram.com/guilhermengoularte")</f>
        <v>instagram.com/guilhermengoularte</v>
      </c>
      <c r="BY250" s="21" t="str">
        <f ca="1">IFERROR(__xludf.DUMMYFUNCTION("""COMPUTED_VALUE"""),"https://drive.google.com/open?id=1K0uPLD82Xv86MaKjBfjcq-65Vyzl8-Pa")</f>
        <v>https://drive.google.com/open?id=1K0uPLD82Xv86MaKjBfjcq-65Vyzl8-Pa</v>
      </c>
    </row>
    <row r="251" spans="1:77" ht="12.5" x14ac:dyDescent="0.25">
      <c r="A251" s="21" t="str">
        <f ca="1">IFERROR(__xludf.DUMMYFUNCTION("""COMPUTED_VALUE"""),"0014X00002VKCqoQAH")</f>
        <v>0014X00002VKCqoQAH</v>
      </c>
      <c r="B251" s="27" t="str">
        <f ca="1">IFERROR(__xludf.DUMMYFUNCTION("""COMPUTED_VALUE"""),"Fase Inicial")</f>
        <v>Fase Inicial</v>
      </c>
      <c r="C251" s="27" t="str">
        <f ca="1">IFERROR(__xludf.DUMMYFUNCTION("""COMPUTED_VALUE"""),"Fellow")</f>
        <v>Fellow</v>
      </c>
      <c r="D251" s="27" t="str">
        <f ca="1">IFERROR(__xludf.DUMMYFUNCTION("""COMPUTED_VALUE"""),"Ativo")</f>
        <v>Ativo</v>
      </c>
      <c r="E251" s="27" t="str">
        <f ca="1">IFERROR(__xludf.DUMMYFUNCTION("""COMPUTED_VALUE"""),"Educação para a Liberdade")</f>
        <v>Educação para a Liberdade</v>
      </c>
      <c r="F251" s="27" t="str">
        <f ca="1">IFERROR(__xludf.DUMMYFUNCTION("""COMPUTED_VALUE"""),"João")</f>
        <v>João</v>
      </c>
      <c r="G251" s="27" t="str">
        <f ca="1">IFERROR(__xludf.DUMMYFUNCTION("""COMPUTED_VALUE"""),"EDUCAÇÃO PARA A LIBERDADE")</f>
        <v>EDUCAÇÃO PARA A LIBERDADE</v>
      </c>
      <c r="H251" s="27" t="str">
        <f ca="1">IFERROR(__xludf.DUMMYFUNCTION("""COMPUTED_VALUE"""),"41.659.203/0001-71")</f>
        <v>41.659.203/0001-71</v>
      </c>
      <c r="I251" s="27" t="str">
        <f ca="1">IFERROR(__xludf.DUMMYFUNCTION("""COMPUTED_VALUE"""),"João Paulo Rocha Camargo")</f>
        <v>João Paulo Rocha Camargo</v>
      </c>
      <c r="J251" s="27" t="str">
        <f ca="1">IFERROR(__xludf.DUMMYFUNCTION("""COMPUTED_VALUE"""),"contato@epl.social")</f>
        <v>contato@epl.social</v>
      </c>
      <c r="K251" s="27" t="str">
        <f ca="1">IFERROR(__xludf.DUMMYFUNCTION("""COMPUTED_VALUE"""),"(27)98823-8201")</f>
        <v>(27)98823-8201</v>
      </c>
      <c r="L251" s="27" t="str">
        <f ca="1">IFERROR(__xludf.DUMMYFUNCTION("""COMPUTED_VALUE"""),"ES")</f>
        <v>ES</v>
      </c>
      <c r="M251" s="27" t="str">
        <f ca="1">IFERROR(__xludf.DUMMYFUNCTION("""COMPUTED_VALUE"""),"Avenida Nossa Senhora da Penha")</f>
        <v>Avenida Nossa Senhora da Penha</v>
      </c>
      <c r="N251" s="27" t="str">
        <f ca="1">IFERROR(__xludf.DUMMYFUNCTION("""COMPUTED_VALUE"""),"Santa Luíza")</f>
        <v>Santa Luíza</v>
      </c>
      <c r="O251" s="27">
        <f ca="1">IFERROR(__xludf.DUMMYFUNCTION("""COMPUTED_VALUE"""),2796)</f>
        <v>2796</v>
      </c>
      <c r="P251" s="27" t="str">
        <f ca="1">IFERROR(__xludf.DUMMYFUNCTION("""COMPUTED_VALUE"""),"Vitória")</f>
        <v>Vitória</v>
      </c>
      <c r="Q251" s="27" t="str">
        <f ca="1">IFERROR(__xludf.DUMMYFUNCTION("""COMPUTED_VALUE"""),"Sala 804")</f>
        <v>Sala 804</v>
      </c>
      <c r="R251" s="27" t="str">
        <f ca="1">IFERROR(__xludf.DUMMYFUNCTION("""COMPUTED_VALUE"""),"29045-402")</f>
        <v>29045-402</v>
      </c>
      <c r="S251" s="27"/>
      <c r="T251" s="27"/>
      <c r="U251" s="27" t="str">
        <f ca="1">IFERROR(__xludf.DUMMYFUNCTION("""COMPUTED_VALUE"""),"Adolescentes (12 aos 18 anos)")</f>
        <v>Adolescentes (12 aos 18 anos)</v>
      </c>
      <c r="V251" s="27" t="str">
        <f ca="1">IFERROR(__xludf.DUMMYFUNCTION("""COMPUTED_VALUE"""),"Moradores de Favelas, Comunidade rural")</f>
        <v>Moradores de Favelas, Comunidade rural</v>
      </c>
      <c r="W251" s="27">
        <f ca="1">IFERROR(__xludf.DUMMYFUNCTION("""COMPUTED_VALUE"""),2)</f>
        <v>2</v>
      </c>
      <c r="X251" s="27"/>
      <c r="Y251" s="27"/>
      <c r="Z251" s="27">
        <f ca="1">IFERROR(__xludf.DUMMYFUNCTION("""COMPUTED_VALUE"""),0)</f>
        <v>0</v>
      </c>
      <c r="AA251" s="29">
        <f ca="1">IFERROR(__xludf.DUMMYFUNCTION("""COMPUTED_VALUE"""),44300)</f>
        <v>44300</v>
      </c>
      <c r="AB251" s="27" t="str">
        <f ca="1">IFERROR(__xludf.DUMMYFUNCTION("""COMPUTED_VALUE"""),"Sim")</f>
        <v>Sim</v>
      </c>
      <c r="AC251" s="27">
        <f ca="1">IFERROR(__xludf.DUMMYFUNCTION("""COMPUTED_VALUE"""),1)</f>
        <v>1</v>
      </c>
      <c r="AD251" s="27">
        <f ca="1">IFERROR(__xludf.DUMMYFUNCTION("""COMPUTED_VALUE"""),1)</f>
        <v>1</v>
      </c>
      <c r="AE251" s="27">
        <f ca="1">IFERROR(__xludf.DUMMYFUNCTION("""COMPUTED_VALUE"""),7)</f>
        <v>7</v>
      </c>
      <c r="AF251" s="27">
        <f ca="1">IFERROR(__xludf.DUMMYFUNCTION("""COMPUTED_VALUE"""),7)</f>
        <v>7</v>
      </c>
      <c r="AG251" s="27">
        <f ca="1">IFERROR(__xludf.DUMMYFUNCTION("""COMPUTED_VALUE"""),7)</f>
        <v>7</v>
      </c>
      <c r="AH251" s="27" t="str">
        <f ca="1">IFERROR(__xludf.DUMMYFUNCTION("""COMPUTED_VALUE"""),"Lei de Incentivo, Negócio Social, Plataforma doação online - Pessoa Física, Editais, Doações, FIA, Recursos próprios")</f>
        <v>Lei de Incentivo, Negócio Social, Plataforma doação online - Pessoa Física, Editais, Doações, FIA, Recursos próprios</v>
      </c>
      <c r="AI251" s="27" t="str">
        <f ca="1">IFERROR(__xludf.DUMMYFUNCTION("""COMPUTED_VALUE"""),"Estamos iniciando a estruturação dos processos de captação. Até hoje foi 30% recursos próprios e 70% doações de pessoas físicas")</f>
        <v>Estamos iniciando a estruturação dos processos de captação. Até hoje foi 30% recursos próprios e 70% doações de pessoas físicas</v>
      </c>
      <c r="AJ251" s="27" t="str">
        <f ca="1">IFERROR(__xludf.DUMMYFUNCTION("""COMPUTED_VALUE"""),"Não")</f>
        <v>Não</v>
      </c>
      <c r="AK251" s="27"/>
      <c r="AL251" s="21" t="str">
        <f ca="1">IFERROR(__xludf.DUMMYFUNCTION("""COMPUTED_VALUE"""),"0034X0000380O51")</f>
        <v>0034X0000380O51</v>
      </c>
      <c r="AM251" s="27" t="str">
        <f ca="1">IFERROR(__xludf.DUMMYFUNCTION("""COMPUTED_VALUE"""),"Paulo rocha camargo")</f>
        <v>Paulo rocha camargo</v>
      </c>
      <c r="AN251" s="27" t="str">
        <f ca="1">IFERROR(__xludf.DUMMYFUNCTION("""COMPUTED_VALUE"""),"Ativo")</f>
        <v>Ativo</v>
      </c>
      <c r="AO251" s="27"/>
      <c r="AP251" s="27"/>
      <c r="AQ251" s="27" t="str">
        <f ca="1">IFERROR(__xludf.DUMMYFUNCTION("""COMPUTED_VALUE"""),"Primeiro Semestre 2022")</f>
        <v>Primeiro Semestre 2022</v>
      </c>
      <c r="AR251" s="27" t="str">
        <f ca="1">IFERROR(__xludf.DUMMYFUNCTION("""COMPUTED_VALUE"""),"joaopaulo.camargo@educacaoparaaliberdade.org")</f>
        <v>joaopaulo.camargo@educacaoparaaliberdade.org</v>
      </c>
      <c r="AS251" s="27" t="str">
        <f ca="1">IFERROR(__xludf.DUMMYFUNCTION("""COMPUTED_VALUE"""),"(27)99757-0324")</f>
        <v>(27)99757-0324</v>
      </c>
      <c r="AT251" s="29">
        <f ca="1">IFERROR(__xludf.DUMMYFUNCTION("""COMPUTED_VALUE"""),34733)</f>
        <v>34733</v>
      </c>
      <c r="AU251" s="27">
        <f ca="1">IFERROR(__xludf.DUMMYFUNCTION("""COMPUTED_VALUE"""),27)</f>
        <v>27</v>
      </c>
      <c r="AV251" s="27">
        <f ca="1">IFERROR(__xludf.DUMMYFUNCTION("""COMPUTED_VALUE"""),12873758716)</f>
        <v>12873758716</v>
      </c>
      <c r="AW251" s="27">
        <f ca="1">IFERROR(__xludf.DUMMYFUNCTION("""COMPUTED_VALUE"""),3288619)</f>
        <v>3288619</v>
      </c>
      <c r="AX251" s="27"/>
      <c r="AY251" s="27" t="str">
        <f ca="1">IFERROR(__xludf.DUMMYFUNCTION("""COMPUTED_VALUE"""),"Presidente")</f>
        <v>Presidente</v>
      </c>
      <c r="AZ251" s="27" t="str">
        <f ca="1">IFERROR(__xludf.DUMMYFUNCTION("""COMPUTED_VALUE"""),"M")</f>
        <v>M</v>
      </c>
      <c r="BA251" s="27" t="str">
        <f ca="1">IFERROR(__xludf.DUMMYFUNCTION("""COMPUTED_VALUE"""),"Branca")</f>
        <v>Branca</v>
      </c>
      <c r="BB251" s="27"/>
      <c r="BC251" s="27"/>
      <c r="BD251" s="27" t="str">
        <f ca="1">IFERROR(__xludf.DUMMYFUNCTION("""COMPUTED_VALUE"""),"Fundador e CEO (EPL)
Designer de Processos de Grupo
Facilitador Virtual
Líder (Gerando Falcões)
Diretor de Vendas e de Progr. Educacionais
Bacharel em Engenharia Civil (UFES)")</f>
        <v>Fundador e CEO (EPL)
Designer de Processos de Grupo
Facilitador Virtual
Líder (Gerando Falcões)
Diretor de Vendas e de Progr. Educacionais
Bacharel em Engenharia Civil (UFES)</v>
      </c>
      <c r="BE251" s="27" t="str">
        <f ca="1">IFERROR(__xludf.DUMMYFUNCTION("""COMPUTED_VALUE"""),"Homem, cisgênero")</f>
        <v>Homem, cisgênero</v>
      </c>
      <c r="BF251" s="27" t="str">
        <f ca="1">IFERROR(__xludf.DUMMYFUNCTION("""COMPUTED_VALUE"""),"Heterossexual")</f>
        <v>Heterossexual</v>
      </c>
      <c r="BG251" s="27" t="str">
        <f ca="1">IFERROR(__xludf.DUMMYFUNCTION("""COMPUTED_VALUE"""),"Ensino Superior - Completo")</f>
        <v>Ensino Superior - Completo</v>
      </c>
      <c r="BH251" s="27" t="str">
        <f ca="1">IFERROR(__xludf.DUMMYFUNCTION("""COMPUTED_VALUE"""),"Privado")</f>
        <v>Privado</v>
      </c>
      <c r="BI251" s="27" t="str">
        <f ca="1">IFERROR(__xludf.DUMMYFUNCTION("""COMPUTED_VALUE"""),"Graduação")</f>
        <v>Graduação</v>
      </c>
      <c r="BJ251" s="27" t="str">
        <f ca="1">IFERROR(__xludf.DUMMYFUNCTION("""COMPUTED_VALUE"""),"Público")</f>
        <v>Público</v>
      </c>
      <c r="BK251" s="27" t="str">
        <f ca="1">IFERROR(__xludf.DUMMYFUNCTION("""COMPUTED_VALUE"""),"Rua Romão Gomes")</f>
        <v>Rua Romão Gomes</v>
      </c>
      <c r="BL251" s="27">
        <f ca="1">IFERROR(__xludf.DUMMYFUNCTION("""COMPUTED_VALUE"""),394)</f>
        <v>394</v>
      </c>
      <c r="BM251" s="27" t="str">
        <f ca="1">IFERROR(__xludf.DUMMYFUNCTION("""COMPUTED_VALUE"""),"Casa")</f>
        <v>Casa</v>
      </c>
      <c r="BN251" s="27" t="str">
        <f ca="1">IFERROR(__xludf.DUMMYFUNCTION("""COMPUTED_VALUE"""),"São Paulo")</f>
        <v>São Paulo</v>
      </c>
      <c r="BO251" s="27" t="str">
        <f ca="1">IFERROR(__xludf.DUMMYFUNCTION("""COMPUTED_VALUE"""),"05502-030")</f>
        <v>05502-030</v>
      </c>
      <c r="BP251" s="27" t="str">
        <f ca="1">IFERROR(__xludf.DUMMYFUNCTION("""COMPUTED_VALUE"""),"SP")</f>
        <v>SP</v>
      </c>
      <c r="BQ251" s="27" t="str">
        <f ca="1">IFERROR(__xludf.DUMMYFUNCTION("""COMPUTED_VALUE"""),"De 3 até 5 salários mínimos")</f>
        <v>De 3 até 5 salários mínimos</v>
      </c>
      <c r="BR251" s="27" t="str">
        <f ca="1">IFERROR(__xludf.DUMMYFUNCTION("""COMPUTED_VALUE"""),"MEI, Funcionário Público")</f>
        <v>MEI, Funcionário Público</v>
      </c>
      <c r="BS251" s="27" t="str">
        <f ca="1">IFERROR(__xludf.DUMMYFUNCTION("""COMPUTED_VALUE"""),"Aluguel")</f>
        <v>Aluguel</v>
      </c>
      <c r="BT251" s="27">
        <f ca="1">IFERROR(__xludf.DUMMYFUNCTION("""COMPUTED_VALUE"""),1)</f>
        <v>1</v>
      </c>
      <c r="BU251" s="27" t="str">
        <f ca="1">IFERROR(__xludf.DUMMYFUNCTION("""COMPUTED_VALUE"""),"Não tem")</f>
        <v>Não tem</v>
      </c>
      <c r="BV251" s="27" t="str">
        <f ca="1">IFERROR(__xludf.DUMMYFUNCTION("""COMPUTED_VALUE"""),"Não")</f>
        <v>Não</v>
      </c>
      <c r="BW251" s="21" t="str">
        <f ca="1">IFERROR(__xludf.DUMMYFUNCTION("""COMPUTED_VALUE"""),"https://www.linkedin.com/in/joaopaulorochacamargo/")</f>
        <v>https://www.linkedin.com/in/joaopaulorochacamargo/</v>
      </c>
      <c r="BX251" s="21" t="str">
        <f ca="1">IFERROR(__xludf.DUMMYFUNCTION("""COMPUTED_VALUE"""),"https://www.instagram.com/joaopaulo_epl/")</f>
        <v>https://www.instagram.com/joaopaulo_epl/</v>
      </c>
      <c r="BY251" s="21" t="str">
        <f ca="1">IFERROR(__xludf.DUMMYFUNCTION("""COMPUTED_VALUE"""),"https://drive.google.com/open?id=1t3zPR_a3R-ua7g9dt25GEXxHgrF0s7Zg")</f>
        <v>https://drive.google.com/open?id=1t3zPR_a3R-ua7g9dt25GEXxHgrF0s7Zg</v>
      </c>
    </row>
    <row r="252" spans="1:77" ht="12.5" hidden="1" x14ac:dyDescent="0.25">
      <c r="A252" s="21" t="str">
        <f ca="1">IFERROR(__xludf.DUMMYFUNCTION("""COMPUTED_VALUE"""),"0014X00002VKCrbQAH")</f>
        <v>0014X00002VKCrbQAH</v>
      </c>
      <c r="B252" s="27" t="str">
        <f ca="1">IFERROR(__xludf.DUMMYFUNCTION("""COMPUTED_VALUE"""),"Fase Inicial")</f>
        <v>Fase Inicial</v>
      </c>
      <c r="C252" s="27" t="str">
        <f ca="1">IFERROR(__xludf.DUMMYFUNCTION("""COMPUTED_VALUE"""),"Fellow")</f>
        <v>Fellow</v>
      </c>
      <c r="D252" s="27" t="str">
        <f ca="1">IFERROR(__xludf.DUMMYFUNCTION("""COMPUTED_VALUE"""),"Ativo")</f>
        <v>Ativo</v>
      </c>
      <c r="E252" s="27" t="str">
        <f ca="1">IFERROR(__xludf.DUMMYFUNCTION("""COMPUTED_VALUE"""),"Emanuela Tereza Betancourt Ortiz Ferreira")</f>
        <v>Emanuela Tereza Betancourt Ortiz Ferreira</v>
      </c>
      <c r="F252" s="27" t="str">
        <f ca="1">IFERROR(__xludf.DUMMYFUNCTION("""COMPUTED_VALUE"""),"Emanuela")</f>
        <v>Emanuela</v>
      </c>
      <c r="G252" s="27" t="str">
        <f ca="1">IFERROR(__xludf.DUMMYFUNCTION("""COMPUTED_VALUE"""),"OXENTE MAINHA SOCIAL")</f>
        <v>OXENTE MAINHA SOCIAL</v>
      </c>
      <c r="H252" s="27"/>
      <c r="I252" s="27" t="str">
        <f ca="1">IFERROR(__xludf.DUMMYFUNCTION("""COMPUTED_VALUE"""),"Emanuela Tereza Betancourt Ortiz Ferreira")</f>
        <v>Emanuela Tereza Betancourt Ortiz Ferreira</v>
      </c>
      <c r="J252" s="27" t="str">
        <f ca="1">IFERROR(__xludf.DUMMYFUNCTION("""COMPUTED_VALUE"""),"oxentemainha2017@gmail.com")</f>
        <v>oxentemainha2017@gmail.com</v>
      </c>
      <c r="K252" s="27" t="str">
        <f ca="1">IFERROR(__xludf.DUMMYFUNCTION("""COMPUTED_VALUE"""),"(81)99999-6623")</f>
        <v>(81)99999-6623</v>
      </c>
      <c r="L252" s="27" t="str">
        <f ca="1">IFERROR(__xludf.DUMMYFUNCTION("""COMPUTED_VALUE"""),"PE")</f>
        <v>PE</v>
      </c>
      <c r="M252" s="27" t="str">
        <f ca="1">IFERROR(__xludf.DUMMYFUNCTION("""COMPUTED_VALUE"""),"Rua José Avelar 44")</f>
        <v>Rua José Avelar 44</v>
      </c>
      <c r="N252" s="27" t="str">
        <f ca="1">IFERROR(__xludf.DUMMYFUNCTION("""COMPUTED_VALUE"""),"Várzea")</f>
        <v>Várzea</v>
      </c>
      <c r="O252" s="27">
        <f ca="1">IFERROR(__xludf.DUMMYFUNCTION("""COMPUTED_VALUE"""),44)</f>
        <v>44</v>
      </c>
      <c r="P252" s="27" t="str">
        <f ca="1">IFERROR(__xludf.DUMMYFUNCTION("""COMPUTED_VALUE"""),"Recife")</f>
        <v>Recife</v>
      </c>
      <c r="Q252" s="27" t="str">
        <f ca="1">IFERROR(__xludf.DUMMYFUNCTION("""COMPUTED_VALUE"""),"Casa provisória")</f>
        <v>Casa provisória</v>
      </c>
      <c r="R252" s="27" t="str">
        <f ca="1">IFERROR(__xludf.DUMMYFUNCTION("""COMPUTED_VALUE"""),"50810-220")</f>
        <v>50810-220</v>
      </c>
      <c r="S252" s="27" t="str">
        <f ca="1">IFERROR(__xludf.DUMMYFUNCTION("""COMPUTED_VALUE"""),"Ar livre, ou espaço alugado.")</f>
        <v>Ar livre, ou espaço alugado.</v>
      </c>
      <c r="T252" s="27"/>
      <c r="U252" s="27" t="str">
        <f ca="1">IFERROR(__xludf.DUMMYFUNCTION("""COMPUTED_VALUE"""),"Crianças pequenas (4 anos a 5 anos e 11 meses), Crianças (6 a 12 anos), Adolescentes (12 aos 18 anos), Adultos, Idosos (60 anos ou mais)")</f>
        <v>Crianças pequenas (4 anos a 5 anos e 11 meses), Crianças (6 a 12 anos), Adolescentes (12 aos 18 anos), Adultos, Idosos (60 anos ou mais)</v>
      </c>
      <c r="V252" s="27" t="str">
        <f ca="1">IFERROR(__xludf.DUMMYFUNCTION("""COMPUTED_VALUE"""),"Moradores de Favelas, Pessoas em situação de rua")</f>
        <v>Moradores de Favelas, Pessoas em situação de rua</v>
      </c>
      <c r="W252" s="27">
        <f ca="1">IFERROR(__xludf.DUMMYFUNCTION("""COMPUTED_VALUE"""),2)</f>
        <v>2</v>
      </c>
      <c r="X252" s="27"/>
      <c r="Y252" s="27"/>
      <c r="Z252" s="27">
        <f ca="1">IFERROR(__xludf.DUMMYFUNCTION("""COMPUTED_VALUE"""),50)</f>
        <v>50</v>
      </c>
      <c r="AA252" s="29">
        <f ca="1">IFERROR(__xludf.DUMMYFUNCTION("""COMPUTED_VALUE"""),42178)</f>
        <v>42178</v>
      </c>
      <c r="AB252" s="27" t="str">
        <f ca="1">IFERROR(__xludf.DUMMYFUNCTION("""COMPUTED_VALUE"""),"Não")</f>
        <v>Não</v>
      </c>
      <c r="AC252" s="27">
        <f ca="1">IFERROR(__xludf.DUMMYFUNCTION("""COMPUTED_VALUE"""),0)</f>
        <v>0</v>
      </c>
      <c r="AD252" s="27">
        <f ca="1">IFERROR(__xludf.DUMMYFUNCTION("""COMPUTED_VALUE"""),0)</f>
        <v>0</v>
      </c>
      <c r="AE252" s="27">
        <f ca="1">IFERROR(__xludf.DUMMYFUNCTION("""COMPUTED_VALUE"""),20)</f>
        <v>20</v>
      </c>
      <c r="AF252" s="27">
        <f ca="1">IFERROR(__xludf.DUMMYFUNCTION("""COMPUTED_VALUE"""),20)</f>
        <v>20</v>
      </c>
      <c r="AG252" s="27">
        <f ca="1">IFERROR(__xludf.DUMMYFUNCTION("""COMPUTED_VALUE"""),3)</f>
        <v>3</v>
      </c>
      <c r="AH252" s="27" t="str">
        <f ca="1">IFERROR(__xludf.DUMMYFUNCTION("""COMPUTED_VALUE"""),"Convênio Público, Outro(s), Recursos próprios")</f>
        <v>Convênio Público, Outro(s), Recursos próprios</v>
      </c>
      <c r="AI252" s="27" t="str">
        <f ca="1">IFERROR(__xludf.DUMMYFUNCTION("""COMPUTED_VALUE"""),"0.5")</f>
        <v>0.5</v>
      </c>
      <c r="AJ252" s="27" t="str">
        <f ca="1">IFERROR(__xludf.DUMMYFUNCTION("""COMPUTED_VALUE"""),"Não")</f>
        <v>Não</v>
      </c>
      <c r="AK252" s="27"/>
      <c r="AL252" s="21" t="str">
        <f ca="1">IFERROR(__xludf.DUMMYFUNCTION("""COMPUTED_VALUE"""),"0034X0000380O6d")</f>
        <v>0034X0000380O6d</v>
      </c>
      <c r="AM252" s="27" t="str">
        <f ca="1">IFERROR(__xludf.DUMMYFUNCTION("""COMPUTED_VALUE"""),"Tereza betancourt ortiz ferreira")</f>
        <v>Tereza betancourt ortiz ferreira</v>
      </c>
      <c r="AN252" s="27" t="str">
        <f ca="1">IFERROR(__xludf.DUMMYFUNCTION("""COMPUTED_VALUE"""),"Ativo")</f>
        <v>Ativo</v>
      </c>
      <c r="AO252" s="29">
        <f ca="1">IFERROR(__xludf.DUMMYFUNCTION("""COMPUTED_VALUE"""),44763)</f>
        <v>44763</v>
      </c>
      <c r="AP252" s="27">
        <f ca="1">IFERROR(__xludf.DUMMYFUNCTION("""COMPUTED_VALUE"""),2)</f>
        <v>2</v>
      </c>
      <c r="AQ252" s="27" t="str">
        <f ca="1">IFERROR(__xludf.DUMMYFUNCTION("""COMPUTED_VALUE"""),"Primeiro Semestre 2022")</f>
        <v>Primeiro Semestre 2022</v>
      </c>
      <c r="AR252" s="27" t="str">
        <f ca="1">IFERROR(__xludf.DUMMYFUNCTION("""COMPUTED_VALUE"""),"emanuela.betancourt28@gmail.com")</f>
        <v>emanuela.betancourt28@gmail.com</v>
      </c>
      <c r="AS252" s="27">
        <f ca="1">IFERROR(__xludf.DUMMYFUNCTION("""COMPUTED_VALUE"""),81999996623)</f>
        <v>81999996623</v>
      </c>
      <c r="AT252" s="29">
        <f ca="1">IFERROR(__xludf.DUMMYFUNCTION("""COMPUTED_VALUE"""),31148)</f>
        <v>31148</v>
      </c>
      <c r="AU252" s="27">
        <f ca="1">IFERROR(__xludf.DUMMYFUNCTION("""COMPUTED_VALUE"""),37)</f>
        <v>37</v>
      </c>
      <c r="AV252" s="27">
        <f ca="1">IFERROR(__xludf.DUMMYFUNCTION("""COMPUTED_VALUE"""),6244179480)</f>
        <v>6244179480</v>
      </c>
      <c r="AW252" s="27">
        <f ca="1">IFERROR(__xludf.DUMMYFUNCTION("""COMPUTED_VALUE"""),8354448)</f>
        <v>8354448</v>
      </c>
      <c r="AX252" s="27"/>
      <c r="AY252" s="27"/>
      <c r="AZ252" s="27" t="str">
        <f ca="1">IFERROR(__xludf.DUMMYFUNCTION("""COMPUTED_VALUE"""),"P")</f>
        <v>P</v>
      </c>
      <c r="BA252" s="27" t="str">
        <f ca="1">IFERROR(__xludf.DUMMYFUNCTION("""COMPUTED_VALUE"""),"Branca")</f>
        <v>Branca</v>
      </c>
      <c r="BB252" s="27"/>
      <c r="BC252" s="27"/>
      <c r="BD252" s="27" t="str">
        <f ca="1">IFERROR(__xludf.DUMMYFUNCTION("""COMPUTED_VALUE"""),"Tenho 36 anos*  mãe* casada.  Responsável* proativa.")</f>
        <v>Tenho 36 anos*  mãe* casada.  Responsável* proativa.</v>
      </c>
      <c r="BE252" s="27" t="str">
        <f ca="1">IFERROR(__xludf.DUMMYFUNCTION("""COMPUTED_VALUE"""),"Feminino")</f>
        <v>Feminino</v>
      </c>
      <c r="BF252" s="27" t="str">
        <f ca="1">IFERROR(__xludf.DUMMYFUNCTION("""COMPUTED_VALUE"""),"Heterossexual")</f>
        <v>Heterossexual</v>
      </c>
      <c r="BG252" s="27"/>
      <c r="BH252" s="27" t="str">
        <f ca="1">IFERROR(__xludf.DUMMYFUNCTION("""COMPUTED_VALUE"""),"Público")</f>
        <v>Público</v>
      </c>
      <c r="BI252" s="27"/>
      <c r="BJ252" s="27"/>
      <c r="BK252" s="27" t="str">
        <f ca="1">IFERROR(__xludf.DUMMYFUNCTION("""COMPUTED_VALUE"""),"Rua José Avelar")</f>
        <v>Rua José Avelar</v>
      </c>
      <c r="BL252" s="27">
        <f ca="1">IFERROR(__xludf.DUMMYFUNCTION("""COMPUTED_VALUE"""),44)</f>
        <v>44</v>
      </c>
      <c r="BM252" s="27">
        <f ca="1">IFERROR(__xludf.DUMMYFUNCTION("""COMPUTED_VALUE"""),44)</f>
        <v>44</v>
      </c>
      <c r="BN252" s="27"/>
      <c r="BO252" s="27">
        <f ca="1">IFERROR(__xludf.DUMMYFUNCTION("""COMPUTED_VALUE"""),50810220)</f>
        <v>50810220</v>
      </c>
      <c r="BP252" s="27" t="str">
        <f ca="1">IFERROR(__xludf.DUMMYFUNCTION("""COMPUTED_VALUE"""),"PE")</f>
        <v>PE</v>
      </c>
      <c r="BQ252" s="27" t="str">
        <f ca="1">IFERROR(__xludf.DUMMYFUNCTION("""COMPUTED_VALUE"""),"Entre 1 até 3 salários mínimos")</f>
        <v>Entre 1 até 3 salários mínimos</v>
      </c>
      <c r="BR252" s="27" t="str">
        <f ca="1">IFERROR(__xludf.DUMMYFUNCTION("""COMPUTED_VALUE"""),"Funcionário Público")</f>
        <v>Funcionário Público</v>
      </c>
      <c r="BS252" s="27" t="str">
        <f ca="1">IFERROR(__xludf.DUMMYFUNCTION("""COMPUTED_VALUE"""),"Casa própria")</f>
        <v>Casa própria</v>
      </c>
      <c r="BT252" s="27">
        <f ca="1">IFERROR(__xludf.DUMMYFUNCTION("""COMPUTED_VALUE"""),3)</f>
        <v>3</v>
      </c>
      <c r="BU252" s="27" t="str">
        <f ca="1">IFERROR(__xludf.DUMMYFUNCTION("""COMPUTED_VALUE"""),"Não tem")</f>
        <v>Não tem</v>
      </c>
      <c r="BV252" s="27" t="str">
        <f ca="1">IFERROR(__xludf.DUMMYFUNCTION("""COMPUTED_VALUE"""),"Não")</f>
        <v>Não</v>
      </c>
      <c r="BW252" s="27"/>
      <c r="BX252" s="27"/>
      <c r="BY252" s="21" t="str">
        <f ca="1">IFERROR(__xludf.DUMMYFUNCTION("""COMPUTED_VALUE"""),"https://drive.google.com/open?id=1W5EEXZrOu9b1r4kirwhWmOwoTzTF2WTJ")</f>
        <v>https://drive.google.com/open?id=1W5EEXZrOu9b1r4kirwhWmOwoTzTF2WTJ</v>
      </c>
    </row>
    <row r="253" spans="1:77" ht="12.5" hidden="1" x14ac:dyDescent="0.25">
      <c r="A253" s="21" t="str">
        <f ca="1">IFERROR(__xludf.DUMMYFUNCTION("""COMPUTED_VALUE"""),"0014P00003YSp7PQAT")</f>
        <v>0014P00003YSp7PQAT</v>
      </c>
      <c r="B253" s="27" t="str">
        <f ca="1">IFERROR(__xludf.DUMMYFUNCTION("""COMPUTED_VALUE"""),"Fase Inicial")</f>
        <v>Fase Inicial</v>
      </c>
      <c r="C253" s="27" t="str">
        <f ca="1">IFERROR(__xludf.DUMMYFUNCTION("""COMPUTED_VALUE"""),"Fellow")</f>
        <v>Fellow</v>
      </c>
      <c r="D253" s="27" t="str">
        <f ca="1">IFERROR(__xludf.DUMMYFUNCTION("""COMPUTED_VALUE"""),"Ativo")</f>
        <v>Ativo</v>
      </c>
      <c r="E253" s="27" t="str">
        <f ca="1">IFERROR(__xludf.DUMMYFUNCTION("""COMPUTED_VALUE"""),"Em Cena Arte e Cidadania")</f>
        <v>Em Cena Arte e Cidadania</v>
      </c>
      <c r="F253" s="27" t="str">
        <f ca="1">IFERROR(__xludf.DUMMYFUNCTION("""COMPUTED_VALUE"""),"Betania")</f>
        <v>Betania</v>
      </c>
      <c r="G253" s="27"/>
      <c r="H253" s="27" t="str">
        <f ca="1">IFERROR(__xludf.DUMMYFUNCTION("""COMPUTED_VALUE"""),"02.978.621/0001-70")</f>
        <v>02.978.621/0001-70</v>
      </c>
      <c r="I253" s="27" t="str">
        <f ca="1">IFERROR(__xludf.DUMMYFUNCTION("""COMPUTED_VALUE"""),"Maria Edeltrudes Gonçalves Paes Barreto")</f>
        <v>Maria Edeltrudes Gonçalves Paes Barreto</v>
      </c>
      <c r="J253" s="27" t="str">
        <f ca="1">IFERROR(__xludf.DUMMYFUNCTION("""COMPUTED_VALUE"""),"emcena@hotlink.com.br")</f>
        <v>emcena@hotlink.com.br</v>
      </c>
      <c r="K253" s="27" t="str">
        <f ca="1">IFERROR(__xludf.DUMMYFUNCTION("""COMPUTED_VALUE"""),"(81)99601-4500")</f>
        <v>(81)99601-4500</v>
      </c>
      <c r="L253" s="27" t="str">
        <f ca="1">IFERROR(__xludf.DUMMYFUNCTION("""COMPUTED_VALUE"""),"PE")</f>
        <v>PE</v>
      </c>
      <c r="M253" s="27" t="str">
        <f ca="1">IFERROR(__xludf.DUMMYFUNCTION("""COMPUTED_VALUE"""),"Rua Francisco Alves")</f>
        <v>Rua Francisco Alves</v>
      </c>
      <c r="N253" s="27" t="str">
        <f ca="1">IFERROR(__xludf.DUMMYFUNCTION("""COMPUTED_VALUE"""),"Coelhos")</f>
        <v>Coelhos</v>
      </c>
      <c r="O253" s="27">
        <f ca="1">IFERROR(__xludf.DUMMYFUNCTION("""COMPUTED_VALUE"""),75)</f>
        <v>75</v>
      </c>
      <c r="P253" s="27" t="str">
        <f ca="1">IFERROR(__xludf.DUMMYFUNCTION("""COMPUTED_VALUE"""),"Recife")</f>
        <v>Recife</v>
      </c>
      <c r="Q253" s="27" t="str">
        <f ca="1">IFERROR(__xludf.DUMMYFUNCTION("""COMPUTED_VALUE"""),"Sala 206")</f>
        <v>Sala 206</v>
      </c>
      <c r="R253" s="27" t="str">
        <f ca="1">IFERROR(__xludf.DUMMYFUNCTION("""COMPUTED_VALUE"""),"50070-565")</f>
        <v>50070-565</v>
      </c>
      <c r="S253" s="27"/>
      <c r="T253" s="27" t="str">
        <f ca="1">IFERROR(__xludf.DUMMYFUNCTION("""COMPUTED_VALUE"""),"Educação; Assistência Social; Cultura; Empoderamento Feminino; Desenvolvimento comunitário")</f>
        <v>Educação; Assistência Social; Cultura; Empoderamento Feminino; Desenvolvimento comunitário</v>
      </c>
      <c r="U253" s="27" t="str">
        <f ca="1">IFERROR(__xludf.DUMMYFUNCTION("""COMPUTED_VALUE"""),"Crianças pequenas (4 anos a 5 anos e 11 meses); Crianças (6 a 12 anos); Adolescentes (12 aos 18 anos); Adultos")</f>
        <v>Crianças pequenas (4 anos a 5 anos e 11 meses); Crianças (6 a 12 anos); Adolescentes (12 aos 18 anos); Adultos</v>
      </c>
      <c r="V253" s="27" t="str">
        <f ca="1">IFERROR(__xludf.DUMMYFUNCTION("""COMPUTED_VALUE"""),"Moradores de Favelas")</f>
        <v>Moradores de Favelas</v>
      </c>
      <c r="W253" s="27">
        <f ca="1">IFERROR(__xludf.DUMMYFUNCTION("""COMPUTED_VALUE"""),2)</f>
        <v>2</v>
      </c>
      <c r="X253" s="27"/>
      <c r="Y253" s="27"/>
      <c r="Z253" s="27">
        <f ca="1">IFERROR(__xludf.DUMMYFUNCTION("""COMPUTED_VALUE"""),390)</f>
        <v>390</v>
      </c>
      <c r="AA253" s="29">
        <f ca="1">IFERROR(__xludf.DUMMYFUNCTION("""COMPUTED_VALUE"""),36126)</f>
        <v>36126</v>
      </c>
      <c r="AB253" s="27" t="str">
        <f ca="1">IFERROR(__xludf.DUMMYFUNCTION("""COMPUTED_VALUE"""),"Sim")</f>
        <v>Sim</v>
      </c>
      <c r="AC253" s="27">
        <f ca="1">IFERROR(__xludf.DUMMYFUNCTION("""COMPUTED_VALUE"""),5)</f>
        <v>5</v>
      </c>
      <c r="AD253" s="27">
        <f ca="1">IFERROR(__xludf.DUMMYFUNCTION("""COMPUTED_VALUE"""),5)</f>
        <v>5</v>
      </c>
      <c r="AE253" s="27">
        <f ca="1">IFERROR(__xludf.DUMMYFUNCTION("""COMPUTED_VALUE"""),5)</f>
        <v>5</v>
      </c>
      <c r="AF253" s="27">
        <f ca="1">IFERROR(__xludf.DUMMYFUNCTION("""COMPUTED_VALUE"""),1)</f>
        <v>1</v>
      </c>
      <c r="AG253" s="27">
        <f ca="1">IFERROR(__xludf.DUMMYFUNCTION("""COMPUTED_VALUE"""),3)</f>
        <v>3</v>
      </c>
      <c r="AH253" s="27" t="str">
        <f ca="1">IFERROR(__xludf.DUMMYFUNCTION("""COMPUTED_VALUE"""),"Lei de Incentivo; Plataforma doação online - Pessoa Física; Editais; Lei Rouanet; FIA; Recursos próprios")</f>
        <v>Lei de Incentivo; Plataforma doação online - Pessoa Física; Editais; Lei Rouanet; FIA; Recursos próprios</v>
      </c>
      <c r="AI253" s="27" t="str">
        <f ca="1">IFERROR(__xludf.DUMMYFUNCTION("""COMPUTED_VALUE"""),"RECEITAS:			% Contribuições ou doações individuais		 105.906,13 	32,41 Doações não incentivadas (Em Cena)	48.963,33		 Doações não incentivadas (Responsáveis das crianças)	342,80		 Doações com incentivo da Lei Rouanet	56.600,00		 Empresas privadas, institu"&amp;"tos ou fundações empresarias		 103.581,60 	31,70 Associação dos Procuradores do Município do Recife	2.842,00		 Gerando Falcões (Doação Filantrópica)	60.000,00		 Laboratório Marcelo Magalhães (Lei Rouanet)	40.000,00		 Lalica Doces 	739,60		 Entidades gover"&amp;"namentais e Empresas estatais		 111.325,00 	34,07 Fundo Mun.Crianças/Adolescentes-FMCA(Comdica)	45.000,00		 Fiocruz 	9.325,00		 Fundação de Cultura da Cidade do Recife (Lei Aldir Blanc)	15.000,00		 Secretaria de Cultura do Estado de Pernambuco (LAB)	12.00"&amp;"0,00		 Emenda Parlamentar Deputada Tereza Leitão	30.000,00		 Venda de produtos e serviços		 426,00 	0,13 Produtos (camisa, DVD, CD, Cartilha, etc)	5,00		 Bazar	351,00		 Produtos recicláveis	70,00		 Rendimento financeiro		 5.485,40 	1,68 Poupança EM CENA	7"&amp;"69,27		 Investimento EM CENA	3.226,42		 Investimento MINC	1.427,32		 Pagseguro	62,39		 TOTAL		 326.724,13 	100,00")</f>
        <v>RECEITAS:			% Contribuições ou doações individuais		 105.906,13 	32,41 Doações não incentivadas (Em Cena)	48.963,33		 Doações não incentivadas (Responsáveis das crianças)	342,80		 Doações com incentivo da Lei Rouanet	56.600,00		 Empresas privadas, institutos ou fundações empresarias		 103.581,60 	31,70 Associação dos Procuradores do Município do Recife	2.842,00		 Gerando Falcões (Doação Filantrópica)	60.000,00		 Laboratório Marcelo Magalhães (Lei Rouanet)	40.000,00		 Lalica Doces 	739,60		 Entidades governamentais e Empresas estatais		 111.325,00 	34,07 Fundo Mun.Crianças/Adolescentes-FMCA(Comdica)	45.000,00		 Fiocruz 	9.325,00		 Fundação de Cultura da Cidade do Recife (Lei Aldir Blanc)	15.000,00		 Secretaria de Cultura do Estado de Pernambuco (LAB)	12.000,00		 Emenda Parlamentar Deputada Tereza Leitão	30.000,00		 Venda de produtos e serviços		 426,00 	0,13 Produtos (camisa, DVD, CD, Cartilha, etc)	5,00		 Bazar	351,00		 Produtos recicláveis	70,00		 Rendimento financeiro		 5.485,40 	1,68 Poupança EM CENA	769,27		 Investimento EM CENA	3.226,42		 Investimento MINC	1.427,32		 Pagseguro	62,39		 TOTAL		 326.724,13 	100,00</v>
      </c>
      <c r="AJ253" s="27"/>
      <c r="AK253" s="27"/>
      <c r="AL253" s="21" t="str">
        <f ca="1">IFERROR(__xludf.DUMMYFUNCTION("""COMPUTED_VALUE"""),"0034P000045kxi0")</f>
        <v>0034P000045kxi0</v>
      </c>
      <c r="AM253" s="27" t="str">
        <f ca="1">IFERROR(__xludf.DUMMYFUNCTION("""COMPUTED_VALUE"""),"Gonçalves Da Silva")</f>
        <v>Gonçalves Da Silva</v>
      </c>
      <c r="AN253" s="27" t="str">
        <f ca="1">IFERROR(__xludf.DUMMYFUNCTION("""COMPUTED_VALUE"""),"Ativo")</f>
        <v>Ativo</v>
      </c>
      <c r="AO253" s="29">
        <f ca="1">IFERROR(__xludf.DUMMYFUNCTION("""COMPUTED_VALUE"""),44551)</f>
        <v>44551</v>
      </c>
      <c r="AP253" s="27">
        <f ca="1">IFERROR(__xludf.DUMMYFUNCTION("""COMPUTED_VALUE"""),9)</f>
        <v>9</v>
      </c>
      <c r="AQ253" s="27" t="str">
        <f ca="1">IFERROR(__xludf.DUMMYFUNCTION("""COMPUTED_VALUE"""),"Segundo Semestre 2021")</f>
        <v>Segundo Semestre 2021</v>
      </c>
      <c r="AR253" s="27" t="str">
        <f ca="1">IFERROR(__xludf.DUMMYFUNCTION("""COMPUTED_VALUE"""),"betania.emcena@gmail.com")</f>
        <v>betania.emcena@gmail.com</v>
      </c>
      <c r="AS253" s="27" t="str">
        <f ca="1">IFERROR(__xludf.DUMMYFUNCTION("""COMPUTED_VALUE"""),"(81)99601-4500")</f>
        <v>(81)99601-4500</v>
      </c>
      <c r="AT253" s="29">
        <f ca="1">IFERROR(__xludf.DUMMYFUNCTION("""COMPUTED_VALUE"""),26393)</f>
        <v>26393</v>
      </c>
      <c r="AU253" s="27">
        <f ca="1">IFERROR(__xludf.DUMMYFUNCTION("""COMPUTED_VALUE"""),50)</f>
        <v>50</v>
      </c>
      <c r="AV253" s="27">
        <f ca="1">IFERROR(__xludf.DUMMYFUNCTION("""COMPUTED_VALUE"""),87891620482)</f>
        <v>87891620482</v>
      </c>
      <c r="AW253" s="27" t="str">
        <f ca="1">IFERROR(__xludf.DUMMYFUNCTION("""COMPUTED_VALUE"""),"03290626-0")</f>
        <v>03290626-0</v>
      </c>
      <c r="AX253" s="27"/>
      <c r="AY253" s="27"/>
      <c r="AZ253" s="27" t="str">
        <f ca="1">IFERROR(__xludf.DUMMYFUNCTION("""COMPUTED_VALUE"""),"P")</f>
        <v>P</v>
      </c>
      <c r="BA253" s="27" t="str">
        <f ca="1">IFERROR(__xludf.DUMMYFUNCTION("""COMPUTED_VALUE"""),"Branca")</f>
        <v>Branca</v>
      </c>
      <c r="BB253" s="27" t="str">
        <f ca="1">IFERROR(__xludf.DUMMYFUNCTION("""COMPUTED_VALUE"""),"Mulher, cisgênero")</f>
        <v>Mulher, cisgênero</v>
      </c>
      <c r="BC253" s="27" t="str">
        <f ca="1">IFERROR(__xludf.DUMMYFUNCTION("""COMPUTED_VALUE"""),"Não")</f>
        <v>Não</v>
      </c>
      <c r="BD253" s="27" t="str">
        <f ca="1">IFERROR(__xludf.DUMMYFUNCTION("""COMPUTED_VALUE"""),"Betania Gonçalves, 49 anos, uma mulheres que a dança, aprender línguas estrangeiras e política. Inspirada pelo trabalho de meus pais que eram membros da Comissão de Justiça e Paz admiradores do Dom da Paz, o Dom Helder Câmara. A Em Cena Arte e Cidadania c"&amp;"omeçou em  1998, como o sonho de duas jovens, uma bailarina e eu, professora de teatro. Hoje estou como coordenadora executiva responsável por  liderar equipe, mobilizar recursos, representar a organização e etc.")</f>
        <v>Betania Gonçalves, 49 anos, uma mulheres que a dança, aprender línguas estrangeiras e política. Inspirada pelo trabalho de meus pais que eram membros da Comissão de Justiça e Paz admiradores do Dom da Paz, o Dom Helder Câmara. A Em Cena Arte e Cidadania começou em  1998, como o sonho de duas jovens, uma bailarina e eu, professora de teatro. Hoje estou como coordenadora executiva responsável por  liderar equipe, mobilizar recursos, representar a organização e etc.</v>
      </c>
      <c r="BE253" s="27"/>
      <c r="BF253" s="27" t="str">
        <f ca="1">IFERROR(__xludf.DUMMYFUNCTION("""COMPUTED_VALUE"""),"Heterossexual")</f>
        <v>Heterossexual</v>
      </c>
      <c r="BG253" s="27" t="str">
        <f ca="1">IFERROR(__xludf.DUMMYFUNCTION("""COMPUTED_VALUE"""),"Ensino Superior - Completo")</f>
        <v>Ensino Superior - Completo</v>
      </c>
      <c r="BH253" s="27" t="str">
        <f ca="1">IFERROR(__xludf.DUMMYFUNCTION("""COMPUTED_VALUE"""),"Privado")</f>
        <v>Privado</v>
      </c>
      <c r="BI253" s="27" t="str">
        <f ca="1">IFERROR(__xludf.DUMMYFUNCTION("""COMPUTED_VALUE"""),"Graduação")</f>
        <v>Graduação</v>
      </c>
      <c r="BJ253" s="27" t="str">
        <f ca="1">IFERROR(__xludf.DUMMYFUNCTION("""COMPUTED_VALUE"""),"Público")</f>
        <v>Público</v>
      </c>
      <c r="BK253" s="27" t="str">
        <f ca="1">IFERROR(__xludf.DUMMYFUNCTION("""COMPUTED_VALUE"""),"Avenida dezessete de Agosto")</f>
        <v>Avenida dezessete de Agosto</v>
      </c>
      <c r="BL253" s="27">
        <f ca="1">IFERROR(__xludf.DUMMYFUNCTION("""COMPUTED_VALUE"""),934)</f>
        <v>934</v>
      </c>
      <c r="BM253" s="27" t="str">
        <f ca="1">IFERROR(__xludf.DUMMYFUNCTION("""COMPUTED_VALUE"""),"Apto 308")</f>
        <v>Apto 308</v>
      </c>
      <c r="BN253" s="27" t="str">
        <f ca="1">IFERROR(__xludf.DUMMYFUNCTION("""COMPUTED_VALUE"""),"Recife")</f>
        <v>Recife</v>
      </c>
      <c r="BO253" s="27" t="str">
        <f ca="1">IFERROR(__xludf.DUMMYFUNCTION("""COMPUTED_VALUE"""),"52060-335")</f>
        <v>52060-335</v>
      </c>
      <c r="BP253" s="27" t="str">
        <f ca="1">IFERROR(__xludf.DUMMYFUNCTION("""COMPUTED_VALUE"""),"PE")</f>
        <v>PE</v>
      </c>
      <c r="BQ253" s="27" t="str">
        <f ca="1">IFERROR(__xludf.DUMMYFUNCTION("""COMPUTED_VALUE"""),"De 3 até 5 salários mínimos")</f>
        <v>De 3 até 5 salários mínimos</v>
      </c>
      <c r="BR253" s="27" t="str">
        <f ca="1">IFERROR(__xludf.DUMMYFUNCTION("""COMPUTED_VALUE"""),"CLT")</f>
        <v>CLT</v>
      </c>
      <c r="BS253" s="27" t="str">
        <f ca="1">IFERROR(__xludf.DUMMYFUNCTION("""COMPUTED_VALUE"""),"Casa própria")</f>
        <v>Casa própria</v>
      </c>
      <c r="BT253" s="27">
        <f ca="1">IFERROR(__xludf.DUMMYFUNCTION("""COMPUTED_VALUE"""),2)</f>
        <v>2</v>
      </c>
      <c r="BU253" s="27" t="str">
        <f ca="1">IFERROR(__xludf.DUMMYFUNCTION("""COMPUTED_VALUE"""),"Não tem")</f>
        <v>Não tem</v>
      </c>
      <c r="BV253" s="27"/>
      <c r="BW253" s="21" t="str">
        <f ca="1">IFERROR(__xludf.DUMMYFUNCTION("""COMPUTED_VALUE"""),"https://www.linkedin.com/in/betania-silva-261930b0/")</f>
        <v>https://www.linkedin.com/in/betania-silva-261930b0/</v>
      </c>
      <c r="BX253" s="27"/>
      <c r="BY253" s="21" t="str">
        <f ca="1">IFERROR(__xludf.DUMMYFUNCTION("""COMPUTED_VALUE"""),"https://drive.google.com/open?id=13Ez0cfIDcPir9sGobJV1LfgzKYdfOt1Z")</f>
        <v>https://drive.google.com/open?id=13Ez0cfIDcPir9sGobJV1LfgzKYdfOt1Z</v>
      </c>
    </row>
    <row r="254" spans="1:77" ht="12.5" x14ac:dyDescent="0.25">
      <c r="A254" s="21" t="str">
        <f ca="1">IFERROR(__xludf.DUMMYFUNCTION("""COMPUTED_VALUE"""),"0014X00002VKCuZQAX")</f>
        <v>0014X00002VKCuZQAX</v>
      </c>
      <c r="B254" s="27"/>
      <c r="C254" s="27" t="str">
        <f ca="1">IFERROR(__xludf.DUMMYFUNCTION("""COMPUTED_VALUE"""),"Fellow")</f>
        <v>Fellow</v>
      </c>
      <c r="D254" s="27" t="str">
        <f ca="1">IFERROR(__xludf.DUMMYFUNCTION("""COMPUTED_VALUE"""),"Ativo")</f>
        <v>Ativo</v>
      </c>
      <c r="E254" s="27" t="str">
        <f ca="1">IFERROR(__xludf.DUMMYFUNCTION("""COMPUTED_VALUE"""),"Empodera")</f>
        <v>Empodera</v>
      </c>
      <c r="F254" s="27" t="str">
        <f ca="1">IFERROR(__xludf.DUMMYFUNCTION("""COMPUTED_VALUE"""),"Cibele")</f>
        <v>Cibele</v>
      </c>
      <c r="G254" s="27" t="str">
        <f ca="1">IFERROR(__xludf.DUMMYFUNCTION("""COMPUTED_VALUE"""),"EMPODERA")</f>
        <v>EMPODERA</v>
      </c>
      <c r="H254" s="27">
        <f ca="1">IFERROR(__xludf.DUMMYFUNCTION("""COMPUTED_VALUE"""),0)</f>
        <v>0</v>
      </c>
      <c r="I254" s="27" t="str">
        <f ca="1">IFERROR(__xludf.DUMMYFUNCTION("""COMPUTED_VALUE"""),"Cibele Campos")</f>
        <v>Cibele Campos</v>
      </c>
      <c r="J254" s="27"/>
      <c r="K254" s="27"/>
      <c r="L254" s="27" t="str">
        <f ca="1">IFERROR(__xludf.DUMMYFUNCTION("""COMPUTED_VALUE"""),"SP")</f>
        <v>SP</v>
      </c>
      <c r="M254" s="27" t="str">
        <f ca="1">IFERROR(__xludf.DUMMYFUNCTION("""COMPUTED_VALUE"""),"Rua Eloy Domingues da Silva")</f>
        <v>Rua Eloy Domingues da Silva</v>
      </c>
      <c r="N254" s="27" t="str">
        <f ca="1">IFERROR(__xludf.DUMMYFUNCTION("""COMPUTED_VALUE"""),"Parelheiros")</f>
        <v>Parelheiros</v>
      </c>
      <c r="O254" s="27">
        <f ca="1">IFERROR(__xludf.DUMMYFUNCTION("""COMPUTED_VALUE"""),223)</f>
        <v>223</v>
      </c>
      <c r="P254" s="27" t="str">
        <f ca="1">IFERROR(__xludf.DUMMYFUNCTION("""COMPUTED_VALUE"""),"São Paulo")</f>
        <v>São Paulo</v>
      </c>
      <c r="Q254" s="27" t="str">
        <f ca="1">IFERROR(__xludf.DUMMYFUNCTION("""COMPUTED_VALUE"""),"Casa")</f>
        <v>Casa</v>
      </c>
      <c r="R254" s="27">
        <f ca="1">IFERROR(__xludf.DUMMYFUNCTION("""COMPUTED_VALUE"""),4890185)</f>
        <v>4890185</v>
      </c>
      <c r="S254" s="27"/>
      <c r="T254" s="27"/>
      <c r="U254" s="27"/>
      <c r="V254" s="27"/>
      <c r="W254" s="27">
        <f ca="1">IFERROR(__xludf.DUMMYFUNCTION("""COMPUTED_VALUE"""),1)</f>
        <v>1</v>
      </c>
      <c r="X254" s="27"/>
      <c r="Y254" s="27"/>
      <c r="Z254" s="27">
        <f ca="1">IFERROR(__xludf.DUMMYFUNCTION("""COMPUTED_VALUE"""),25)</f>
        <v>25</v>
      </c>
      <c r="AA254" s="30">
        <f ca="1">IFERROR(__xludf.DUMMYFUNCTION("""COMPUTED_VALUE"""),44247)</f>
        <v>44247</v>
      </c>
      <c r="AB254" s="27" t="str">
        <f ca="1">IFERROR(__xludf.DUMMYFUNCTION("""COMPUTED_VALUE"""),"Não")</f>
        <v>Não</v>
      </c>
      <c r="AC254" s="27">
        <f ca="1">IFERROR(__xludf.DUMMYFUNCTION("""COMPUTED_VALUE"""),0)</f>
        <v>0</v>
      </c>
      <c r="AD254" s="27"/>
      <c r="AE254" s="27">
        <f ca="1">IFERROR(__xludf.DUMMYFUNCTION("""COMPUTED_VALUE"""),5)</f>
        <v>5</v>
      </c>
      <c r="AF254" s="27"/>
      <c r="AG254" s="27">
        <f ca="1">IFERROR(__xludf.DUMMYFUNCTION("""COMPUTED_VALUE"""),0)</f>
        <v>0</v>
      </c>
      <c r="AH254" s="27"/>
      <c r="AI254" s="27"/>
      <c r="AJ254" s="27"/>
      <c r="AK254" s="27"/>
      <c r="AL254" s="21" t="str">
        <f ca="1">IFERROR(__xludf.DUMMYFUNCTION("""COMPUTED_VALUE"""),"0034X0000380O4M")</f>
        <v>0034X0000380O4M</v>
      </c>
      <c r="AM254" s="27" t="str">
        <f ca="1">IFERROR(__xludf.DUMMYFUNCTION("""COMPUTED_VALUE"""),"Da conceicao campos")</f>
        <v>Da conceicao campos</v>
      </c>
      <c r="AN254" s="27" t="str">
        <f ca="1">IFERROR(__xludf.DUMMYFUNCTION("""COMPUTED_VALUE"""),"Ativo")</f>
        <v>Ativo</v>
      </c>
      <c r="AO254" s="30">
        <f ca="1">IFERROR(__xludf.DUMMYFUNCTION("""COMPUTED_VALUE"""),44763)</f>
        <v>44763</v>
      </c>
      <c r="AP254" s="27">
        <f ca="1">IFERROR(__xludf.DUMMYFUNCTION("""COMPUTED_VALUE"""),2)</f>
        <v>2</v>
      </c>
      <c r="AQ254" s="27" t="str">
        <f ca="1">IFERROR(__xludf.DUMMYFUNCTION("""COMPUTED_VALUE"""),"Primeiro Semestre 2022")</f>
        <v>Primeiro Semestre 2022</v>
      </c>
      <c r="AR254" s="27" t="str">
        <f ca="1">IFERROR(__xludf.DUMMYFUNCTION("""COMPUTED_VALUE"""),"cibelle.campos.ca@gmail.com")</f>
        <v>cibelle.campos.ca@gmail.com</v>
      </c>
      <c r="AS254" s="27">
        <f ca="1">IFERROR(__xludf.DUMMYFUNCTION("""COMPUTED_VALUE"""),11988853212)</f>
        <v>11988853212</v>
      </c>
      <c r="AT254" s="29">
        <f ca="1">IFERROR(__xludf.DUMMYFUNCTION("""COMPUTED_VALUE"""),29292)</f>
        <v>29292</v>
      </c>
      <c r="AU254" s="27">
        <f ca="1">IFERROR(__xludf.DUMMYFUNCTION("""COMPUTED_VALUE"""),42)</f>
        <v>42</v>
      </c>
      <c r="AV254" s="27">
        <f ca="1">IFERROR(__xludf.DUMMYFUNCTION("""COMPUTED_VALUE"""),22140845846)</f>
        <v>22140845846</v>
      </c>
      <c r="AW254" s="27">
        <f ca="1">IFERROR(__xludf.DUMMYFUNCTION("""COMPUTED_VALUE"""),336553924)</f>
        <v>336553924</v>
      </c>
      <c r="AX254" s="27"/>
      <c r="AY254" s="27"/>
      <c r="AZ254" s="27" t="str">
        <f ca="1">IFERROR(__xludf.DUMMYFUNCTION("""COMPUTED_VALUE"""),"G")</f>
        <v>G</v>
      </c>
      <c r="BA254" s="27" t="str">
        <f ca="1">IFERROR(__xludf.DUMMYFUNCTION("""COMPUTED_VALUE"""),"Parda")</f>
        <v>Parda</v>
      </c>
      <c r="BB254" s="27"/>
      <c r="BC254" s="27"/>
      <c r="BD254" s="27" t="str">
        <f ca="1">IFERROR(__xludf.DUMMYFUNCTION("""COMPUTED_VALUE"""),"Me chamo Cibele* tenho 41 anos sou Mãe de um adolescente de 16 anos*chamado Fernando. Sou  técnica de segurança do trabalho atuante desde o ano de 2009 * Estudante do 4° ano de Direito* moro na região de Parelheiros* conhecido como Extremo Sul da capital."&amp;" Mas horas vagas* gosto de ouvir músicas e conversar com amigos!")</f>
        <v>Me chamo Cibele* tenho 41 anos sou Mãe de um adolescente de 16 anos*chamado Fernando. Sou  técnica de segurança do trabalho atuante desde o ano de 2009 * Estudante do 4° ano de Direito* moro na região de Parelheiros* conhecido como Extremo Sul da capital. Mas horas vagas* gosto de ouvir músicas e conversar com amigos!</v>
      </c>
      <c r="BE254" s="27" t="str">
        <f ca="1">IFERROR(__xludf.DUMMYFUNCTION("""COMPUTED_VALUE"""),"Feminino")</f>
        <v>Feminino</v>
      </c>
      <c r="BF254" s="27" t="str">
        <f ca="1">IFERROR(__xludf.DUMMYFUNCTION("""COMPUTED_VALUE"""),"Heterossexual")</f>
        <v>Heterossexual</v>
      </c>
      <c r="BG254" s="27"/>
      <c r="BH254" s="27" t="str">
        <f ca="1">IFERROR(__xludf.DUMMYFUNCTION("""COMPUTED_VALUE"""),"Público")</f>
        <v>Público</v>
      </c>
      <c r="BI254" s="27"/>
      <c r="BJ254" s="27"/>
      <c r="BK254" s="27" t="str">
        <f ca="1">IFERROR(__xludf.DUMMYFUNCTION("""COMPUTED_VALUE"""),"Rua Eloy Domingues da Silva")</f>
        <v>Rua Eloy Domingues da Silva</v>
      </c>
      <c r="BL254" s="27">
        <f ca="1">IFERROR(__xludf.DUMMYFUNCTION("""COMPUTED_VALUE"""),223)</f>
        <v>223</v>
      </c>
      <c r="BM254" s="27"/>
      <c r="BN254" s="27"/>
      <c r="BO254" s="27" t="str">
        <f ca="1">IFERROR(__xludf.DUMMYFUNCTION("""COMPUTED_VALUE"""),"04890-185")</f>
        <v>04890-185</v>
      </c>
      <c r="BP254" s="27" t="str">
        <f ca="1">IFERROR(__xludf.DUMMYFUNCTION("""COMPUTED_VALUE"""),"SP")</f>
        <v>SP</v>
      </c>
      <c r="BQ254" s="27" t="str">
        <f ca="1">IFERROR(__xludf.DUMMYFUNCTION("""COMPUTED_VALUE"""),"Entre 1 até 3 salários mínimos")</f>
        <v>Entre 1 até 3 salários mínimos</v>
      </c>
      <c r="BR254" s="27" t="str">
        <f ca="1">IFERROR(__xludf.DUMMYFUNCTION("""COMPUTED_VALUE"""),"CLT")</f>
        <v>CLT</v>
      </c>
      <c r="BS254" s="27" t="str">
        <f ca="1">IFERROR(__xludf.DUMMYFUNCTION("""COMPUTED_VALUE"""),"Casa cedida")</f>
        <v>Casa cedida</v>
      </c>
      <c r="BT254" s="27">
        <f ca="1">IFERROR(__xludf.DUMMYFUNCTION("""COMPUTED_VALUE"""),2)</f>
        <v>2</v>
      </c>
      <c r="BU254" s="27" t="str">
        <f ca="1">IFERROR(__xludf.DUMMYFUNCTION("""COMPUTED_VALUE"""),"Não tem")</f>
        <v>Não tem</v>
      </c>
      <c r="BV254" s="27" t="str">
        <f ca="1">IFERROR(__xludf.DUMMYFUNCTION("""COMPUTED_VALUE"""),"Sim")</f>
        <v>Sim</v>
      </c>
      <c r="BW254" s="21" t="str">
        <f ca="1">IFERROR(__xludf.DUMMYFUNCTION("""COMPUTED_VALUE"""),"www.linkedin.com/in/cibele-campos-38555035")</f>
        <v>www.linkedin.com/in/cibele-campos-38555035</v>
      </c>
      <c r="BX254" s="27" t="str">
        <f ca="1">IFERROR(__xludf.DUMMYFUNCTION("""COMPUTED_VALUE"""),"belle.campos")</f>
        <v>belle.campos</v>
      </c>
      <c r="BY254" s="27"/>
    </row>
    <row r="255" spans="1:77" ht="12.5" x14ac:dyDescent="0.25">
      <c r="A255" s="21" t="str">
        <f ca="1">IFERROR(__xludf.DUMMYFUNCTION("""COMPUTED_VALUE"""),"0014X00002VKCsGQAX")</f>
        <v>0014X00002VKCsGQAX</v>
      </c>
      <c r="B255" s="27" t="str">
        <f ca="1">IFERROR(__xludf.DUMMYFUNCTION("""COMPUTED_VALUE"""),"Fase Inicial")</f>
        <v>Fase Inicial</v>
      </c>
      <c r="C255" s="27" t="str">
        <f ca="1">IFERROR(__xludf.DUMMYFUNCTION("""COMPUTED_VALUE"""),"Fellow")</f>
        <v>Fellow</v>
      </c>
      <c r="D255" s="27" t="str">
        <f ca="1">IFERROR(__xludf.DUMMYFUNCTION("""COMPUTED_VALUE"""),"Ativo")</f>
        <v>Ativo</v>
      </c>
      <c r="E255" s="27" t="str">
        <f ca="1">IFERROR(__xludf.DUMMYFUNCTION("""COMPUTED_VALUE"""),"Empório Germine")</f>
        <v>Empório Germine</v>
      </c>
      <c r="F255" s="27" t="str">
        <f ca="1">IFERROR(__xludf.DUMMYFUNCTION("""COMPUTED_VALUE"""),"Adriana")</f>
        <v>Adriana</v>
      </c>
      <c r="G255" s="27" t="str">
        <f ca="1">IFERROR(__xludf.DUMMYFUNCTION("""COMPUTED_VALUE"""),"EMPÓRIO GERMINE")</f>
        <v>EMPÓRIO GERMINE</v>
      </c>
      <c r="H255" s="27"/>
      <c r="I255" s="27" t="str">
        <f ca="1">IFERROR(__xludf.DUMMYFUNCTION("""COMPUTED_VALUE"""),"Adriana do Amaral Silva")</f>
        <v>Adriana do Amaral Silva</v>
      </c>
      <c r="J255" s="27" t="str">
        <f ca="1">IFERROR(__xludf.DUMMYFUNCTION("""COMPUTED_VALUE"""),"emporiogermine@gmail.com")</f>
        <v>emporiogermine@gmail.com</v>
      </c>
      <c r="K255" s="27" t="str">
        <f ca="1">IFERROR(__xludf.DUMMYFUNCTION("""COMPUTED_VALUE"""),"(21)99636-4086")</f>
        <v>(21)99636-4086</v>
      </c>
      <c r="L255" s="27" t="str">
        <f ca="1">IFERROR(__xludf.DUMMYFUNCTION("""COMPUTED_VALUE"""),"RJ")</f>
        <v>RJ</v>
      </c>
      <c r="M255" s="27" t="str">
        <f ca="1">IFERROR(__xludf.DUMMYFUNCTION("""COMPUTED_VALUE"""),"Rua Antônio Silva")</f>
        <v>Rua Antônio Silva</v>
      </c>
      <c r="N255" s="27" t="str">
        <f ca="1">IFERROR(__xludf.DUMMYFUNCTION("""COMPUTED_VALUE"""),"Fonseca")</f>
        <v>Fonseca</v>
      </c>
      <c r="O255" s="27">
        <f ca="1">IFERROR(__xludf.DUMMYFUNCTION("""COMPUTED_VALUE"""),18)</f>
        <v>18</v>
      </c>
      <c r="P255" s="27" t="str">
        <f ca="1">IFERROR(__xludf.DUMMYFUNCTION("""COMPUTED_VALUE"""),"Niterói")</f>
        <v>Niterói</v>
      </c>
      <c r="Q255" s="27" t="str">
        <f ca="1">IFERROR(__xludf.DUMMYFUNCTION("""COMPUTED_VALUE"""),"Apt 204")</f>
        <v>Apt 204</v>
      </c>
      <c r="R255" s="27" t="str">
        <f ca="1">IFERROR(__xludf.DUMMYFUNCTION("""COMPUTED_VALUE"""),"24130-175")</f>
        <v>24130-175</v>
      </c>
      <c r="S255" s="27"/>
      <c r="T255" s="27"/>
      <c r="U255" s="27" t="str">
        <f ca="1">IFERROR(__xludf.DUMMYFUNCTION("""COMPUTED_VALUE"""),"Adultos, Idosos (60 anos ou mais)")</f>
        <v>Adultos, Idosos (60 anos ou mais)</v>
      </c>
      <c r="V255" s="27" t="str">
        <f ca="1">IFERROR(__xludf.DUMMYFUNCTION("""COMPUTED_VALUE"""),"Pessoas em situação de rua, Dependentes Químicos")</f>
        <v>Pessoas em situação de rua, Dependentes Químicos</v>
      </c>
      <c r="W255" s="27">
        <f ca="1">IFERROR(__xludf.DUMMYFUNCTION("""COMPUTED_VALUE"""),1)</f>
        <v>1</v>
      </c>
      <c r="X255" s="27"/>
      <c r="Y255" s="27"/>
      <c r="Z255" s="27">
        <f ca="1">IFERROR(__xludf.DUMMYFUNCTION("""COMPUTED_VALUE"""),100)</f>
        <v>100</v>
      </c>
      <c r="AA255" s="29">
        <f ca="1">IFERROR(__xludf.DUMMYFUNCTION("""COMPUTED_VALUE"""),44958)</f>
        <v>44958</v>
      </c>
      <c r="AB255" s="27" t="str">
        <f ca="1">IFERROR(__xludf.DUMMYFUNCTION("""COMPUTED_VALUE"""),"Não")</f>
        <v>Não</v>
      </c>
      <c r="AC255" s="27">
        <f ca="1">IFERROR(__xludf.DUMMYFUNCTION("""COMPUTED_VALUE"""),0)</f>
        <v>0</v>
      </c>
      <c r="AD255" s="27">
        <f ca="1">IFERROR(__xludf.DUMMYFUNCTION("""COMPUTED_VALUE"""),1)</f>
        <v>1</v>
      </c>
      <c r="AE255" s="27">
        <f ca="1">IFERROR(__xludf.DUMMYFUNCTION("""COMPUTED_VALUE"""),2)</f>
        <v>2</v>
      </c>
      <c r="AF255" s="27">
        <f ca="1">IFERROR(__xludf.DUMMYFUNCTION("""COMPUTED_VALUE"""),1)</f>
        <v>1</v>
      </c>
      <c r="AG255" s="27">
        <f ca="1">IFERROR(__xludf.DUMMYFUNCTION("""COMPUTED_VALUE"""),9)</f>
        <v>9</v>
      </c>
      <c r="AH255" s="27" t="str">
        <f ca="1">IFERROR(__xludf.DUMMYFUNCTION("""COMPUTED_VALUE"""),"Negócio Social, Convênio Público, Eventos/Ações para captação, Plataforma doação online - Pessoa Física, Parceria iniciativa privada, Editais, Doações, Lei Municipal da Cultura, Recursos próprios")</f>
        <v>Negócio Social, Convênio Público, Eventos/Ações para captação, Plataforma doação online - Pessoa Física, Parceria iniciativa privada, Editais, Doações, Lei Municipal da Cultura, Recursos próprios</v>
      </c>
      <c r="AI255" s="27" t="str">
        <f ca="1">IFERROR(__xludf.DUMMYFUNCTION("""COMPUTED_VALUE"""),"50% Editais e Recursos de Terceiros e 50% Negócio Social e Doações")</f>
        <v>50% Editais e Recursos de Terceiros e 50% Negócio Social e Doações</v>
      </c>
      <c r="AJ255" s="27" t="str">
        <f ca="1">IFERROR(__xludf.DUMMYFUNCTION("""COMPUTED_VALUE"""),"Não")</f>
        <v>Não</v>
      </c>
      <c r="AK255" s="27"/>
      <c r="AL255" s="21" t="str">
        <f ca="1">IFERROR(__xludf.DUMMYFUNCTION("""COMPUTED_VALUE"""),"0034X0000380O4t")</f>
        <v>0034X0000380O4t</v>
      </c>
      <c r="AM255" s="27" t="str">
        <f ca="1">IFERROR(__xludf.DUMMYFUNCTION("""COMPUTED_VALUE"""),"Do amaral silva")</f>
        <v>Do amaral silva</v>
      </c>
      <c r="AN255" s="27" t="str">
        <f ca="1">IFERROR(__xludf.DUMMYFUNCTION("""COMPUTED_VALUE"""),"Ativo")</f>
        <v>Ativo</v>
      </c>
      <c r="AO255" s="27"/>
      <c r="AP255" s="27"/>
      <c r="AQ255" s="27" t="str">
        <f ca="1">IFERROR(__xludf.DUMMYFUNCTION("""COMPUTED_VALUE"""),"Primeiro Semestre 2022")</f>
        <v>Primeiro Semestre 2022</v>
      </c>
      <c r="AR255" s="27" t="str">
        <f ca="1">IFERROR(__xludf.DUMMYFUNCTION("""COMPUTED_VALUE"""),"adrianamake@gmail.com")</f>
        <v>adrianamake@gmail.com</v>
      </c>
      <c r="AS255" s="27">
        <f ca="1">IFERROR(__xludf.DUMMYFUNCTION("""COMPUTED_VALUE"""),21996364086)</f>
        <v>21996364086</v>
      </c>
      <c r="AT255" s="29">
        <f ca="1">IFERROR(__xludf.DUMMYFUNCTION("""COMPUTED_VALUE"""),24649)</f>
        <v>24649</v>
      </c>
      <c r="AU255" s="27">
        <f ca="1">IFERROR(__xludf.DUMMYFUNCTION("""COMPUTED_VALUE"""),55)</f>
        <v>55</v>
      </c>
      <c r="AV255" s="27">
        <f ca="1">IFERROR(__xludf.DUMMYFUNCTION("""COMPUTED_VALUE"""),40897265572)</f>
        <v>40897265572</v>
      </c>
      <c r="AW255" s="27" t="str">
        <f ca="1">IFERROR(__xludf.DUMMYFUNCTION("""COMPUTED_VALUE"""),"874058-5-SSP/SE")</f>
        <v>874058-5-SSP/SE</v>
      </c>
      <c r="AX255" s="27"/>
      <c r="AY255" s="27"/>
      <c r="AZ255" s="27" t="str">
        <f ca="1">IFERROR(__xludf.DUMMYFUNCTION("""COMPUTED_VALUE"""),"G")</f>
        <v>G</v>
      </c>
      <c r="BA255" s="27" t="str">
        <f ca="1">IFERROR(__xludf.DUMMYFUNCTION("""COMPUTED_VALUE"""),"Branca")</f>
        <v>Branca</v>
      </c>
      <c r="BB255" s="27"/>
      <c r="BC255" s="27"/>
      <c r="BD255" s="27" t="str">
        <f ca="1">IFERROR(__xludf.DUMMYFUNCTION("""COMPUTED_VALUE"""),"Em busca de soluções sociais para problemas que persistem* mas não mais justificam numa sociedade 5G. Sou uma mulher que somente após criar os filhos pude estudar e me especializar na área com a qual poderei contribuir de forma além empírica para a socied"&amp;"ade.")</f>
        <v>Em busca de soluções sociais para problemas que persistem* mas não mais justificam numa sociedade 5G. Sou uma mulher que somente após criar os filhos pude estudar e me especializar na área com a qual poderei contribuir de forma além empírica para a sociedade.</v>
      </c>
      <c r="BE255" s="27" t="str">
        <f ca="1">IFERROR(__xludf.DUMMYFUNCTION("""COMPUTED_VALUE"""),"Feminino")</f>
        <v>Feminino</v>
      </c>
      <c r="BF255" s="27" t="str">
        <f ca="1">IFERROR(__xludf.DUMMYFUNCTION("""COMPUTED_VALUE"""),"Heterossexual")</f>
        <v>Heterossexual</v>
      </c>
      <c r="BG255" s="27"/>
      <c r="BH255" s="27" t="str">
        <f ca="1">IFERROR(__xludf.DUMMYFUNCTION("""COMPUTED_VALUE"""),"Público")</f>
        <v>Público</v>
      </c>
      <c r="BI255" s="27" t="str">
        <f ca="1">IFERROR(__xludf.DUMMYFUNCTION("""COMPUTED_VALUE"""),"Mestrado")</f>
        <v>Mestrado</v>
      </c>
      <c r="BJ255" s="27" t="str">
        <f ca="1">IFERROR(__xludf.DUMMYFUNCTION("""COMPUTED_VALUE"""),"Público")</f>
        <v>Público</v>
      </c>
      <c r="BK255" s="27" t="str">
        <f ca="1">IFERROR(__xludf.DUMMYFUNCTION("""COMPUTED_VALUE"""),"Rua Antônio Silva")</f>
        <v>Rua Antônio Silva</v>
      </c>
      <c r="BL255" s="27">
        <f ca="1">IFERROR(__xludf.DUMMYFUNCTION("""COMPUTED_VALUE"""),18)</f>
        <v>18</v>
      </c>
      <c r="BM255" s="27"/>
      <c r="BN255" s="27"/>
      <c r="BO255" s="27">
        <f ca="1">IFERROR(__xludf.DUMMYFUNCTION("""COMPUTED_VALUE"""),24130175)</f>
        <v>24130175</v>
      </c>
      <c r="BP255" s="27" t="str">
        <f ca="1">IFERROR(__xludf.DUMMYFUNCTION("""COMPUTED_VALUE"""),"RJ")</f>
        <v>RJ</v>
      </c>
      <c r="BQ255" s="27" t="str">
        <f ca="1">IFERROR(__xludf.DUMMYFUNCTION("""COMPUTED_VALUE"""),"Entre 1 até 3 salários mínimos")</f>
        <v>Entre 1 até 3 salários mínimos</v>
      </c>
      <c r="BR255" s="27" t="str">
        <f ca="1">IFERROR(__xludf.DUMMYFUNCTION("""COMPUTED_VALUE"""),"Trabalho informal")</f>
        <v>Trabalho informal</v>
      </c>
      <c r="BS255" s="27" t="str">
        <f ca="1">IFERROR(__xludf.DUMMYFUNCTION("""COMPUTED_VALUE"""),"Aluguel")</f>
        <v>Aluguel</v>
      </c>
      <c r="BT255" s="27">
        <f ca="1">IFERROR(__xludf.DUMMYFUNCTION("""COMPUTED_VALUE"""),1)</f>
        <v>1</v>
      </c>
      <c r="BU255" s="27" t="str">
        <f ca="1">IFERROR(__xludf.DUMMYFUNCTION("""COMPUTED_VALUE"""),"Não tem")</f>
        <v>Não tem</v>
      </c>
      <c r="BV255" s="27" t="str">
        <f ca="1">IFERROR(__xludf.DUMMYFUNCTION("""COMPUTED_VALUE"""),"Não")</f>
        <v>Não</v>
      </c>
      <c r="BW255" s="27"/>
      <c r="BX255" s="27"/>
      <c r="BY255" s="27"/>
    </row>
    <row r="256" spans="1:77" ht="12.5" hidden="1" x14ac:dyDescent="0.25">
      <c r="A256" s="21" t="str">
        <f ca="1">IFERROR(__xludf.DUMMYFUNCTION("""COMPUTED_VALUE"""),"0014X00002VKCtyQAH")</f>
        <v>0014X00002VKCtyQAH</v>
      </c>
      <c r="B256" s="27" t="str">
        <f ca="1">IFERROR(__xludf.DUMMYFUNCTION("""COMPUTED_VALUE"""),"Fase Inicial")</f>
        <v>Fase Inicial</v>
      </c>
      <c r="C256" s="27" t="str">
        <f ca="1">IFERROR(__xludf.DUMMYFUNCTION("""COMPUTED_VALUE"""),"Fellow")</f>
        <v>Fellow</v>
      </c>
      <c r="D256" s="27" t="str">
        <f ca="1">IFERROR(__xludf.DUMMYFUNCTION("""COMPUTED_VALUE"""),"Ativo")</f>
        <v>Ativo</v>
      </c>
      <c r="E256" s="27" t="str">
        <f ca="1">IFERROR(__xludf.DUMMYFUNCTION("""COMPUTED_VALUE"""),"EMPREENDE MENINA")</f>
        <v>EMPREENDE MENINA</v>
      </c>
      <c r="F256" s="27" t="str">
        <f ca="1">IFERROR(__xludf.DUMMYFUNCTION("""COMPUTED_VALUE"""),"Helena")</f>
        <v>Helena</v>
      </c>
      <c r="G256" s="27" t="str">
        <f ca="1">IFERROR(__xludf.DUMMYFUNCTION("""COMPUTED_VALUE"""),"EMPREENDE MENINA")</f>
        <v>EMPREENDE MENINA</v>
      </c>
      <c r="H256" s="27" t="str">
        <f ca="1">IFERROR(__xludf.DUMMYFUNCTION("""COMPUTED_VALUE"""),"42.509.472/0001-14")</f>
        <v>42.509.472/0001-14</v>
      </c>
      <c r="I256" s="27" t="str">
        <f ca="1">IFERROR(__xludf.DUMMYFUNCTION("""COMPUTED_VALUE"""),"HELENA FAGUNDES ASSUMPÇÃO")</f>
        <v>HELENA FAGUNDES ASSUMPÇÃO</v>
      </c>
      <c r="J256" s="27" t="str">
        <f ca="1">IFERROR(__xludf.DUMMYFUNCTION("""COMPUTED_VALUE"""),"empreendemeninas@gmail.com")</f>
        <v>empreendemeninas@gmail.com</v>
      </c>
      <c r="K256" s="27" t="str">
        <f ca="1">IFERROR(__xludf.DUMMYFUNCTION("""COMPUTED_VALUE"""),"(53)99966-7059")</f>
        <v>(53)99966-7059</v>
      </c>
      <c r="L256" s="27" t="str">
        <f ca="1">IFERROR(__xludf.DUMMYFUNCTION("""COMPUTED_VALUE"""),"RS")</f>
        <v>RS</v>
      </c>
      <c r="M256" s="27" t="str">
        <f ca="1">IFERROR(__xludf.DUMMYFUNCTION("""COMPUTED_VALUE"""),"Rua Dom Bosco")</f>
        <v>Rua Dom Bosco</v>
      </c>
      <c r="N256" s="27" t="str">
        <f ca="1">IFERROR(__xludf.DUMMYFUNCTION("""COMPUTED_VALUE"""),"Centro")</f>
        <v>Centro</v>
      </c>
      <c r="O256" s="27">
        <f ca="1">IFERROR(__xludf.DUMMYFUNCTION("""COMPUTED_VALUE"""),117)</f>
        <v>117</v>
      </c>
      <c r="P256" s="27" t="str">
        <f ca="1">IFERROR(__xludf.DUMMYFUNCTION("""COMPUTED_VALUE"""),"Bagé")</f>
        <v>Bagé</v>
      </c>
      <c r="Q256" s="27"/>
      <c r="R256" s="27" t="str">
        <f ca="1">IFERROR(__xludf.DUMMYFUNCTION("""COMPUTED_VALUE"""),"96400-011")</f>
        <v>96400-011</v>
      </c>
      <c r="S256" s="27" t="str">
        <f ca="1">IFERROR(__xludf.DUMMYFUNCTION("""COMPUTED_VALUE"""),"URCAMP - Ginásio")</f>
        <v>URCAMP - Ginásio</v>
      </c>
      <c r="T256" s="27"/>
      <c r="U256" s="27" t="str">
        <f ca="1">IFERROR(__xludf.DUMMYFUNCTION("""COMPUTED_VALUE"""),"Crianças (6 a 12 anos), Adolescentes (12 aos 18 anos), Jovens (18 aos 24 anos)")</f>
        <v>Crianças (6 a 12 anos), Adolescentes (12 aos 18 anos), Jovens (18 aos 24 anos)</v>
      </c>
      <c r="V256" s="27" t="str">
        <f ca="1">IFERROR(__xludf.DUMMYFUNCTION("""COMPUTED_VALUE"""),"Moradores de Favelas, Comunidade rural")</f>
        <v>Moradores de Favelas, Comunidade rural</v>
      </c>
      <c r="W256" s="27">
        <f ca="1">IFERROR(__xludf.DUMMYFUNCTION("""COMPUTED_VALUE"""),5)</f>
        <v>5</v>
      </c>
      <c r="X256" s="27"/>
      <c r="Y256" s="27"/>
      <c r="Z256" s="27">
        <f ca="1">IFERROR(__xludf.DUMMYFUNCTION("""COMPUTED_VALUE"""),0)</f>
        <v>0</v>
      </c>
      <c r="AA256" s="29">
        <f ca="1">IFERROR(__xludf.DUMMYFUNCTION("""COMPUTED_VALUE"""),43592)</f>
        <v>43592</v>
      </c>
      <c r="AB256" s="27" t="str">
        <f ca="1">IFERROR(__xludf.DUMMYFUNCTION("""COMPUTED_VALUE"""),"Sim")</f>
        <v>Sim</v>
      </c>
      <c r="AC256" s="27">
        <f ca="1">IFERROR(__xludf.DUMMYFUNCTION("""COMPUTED_VALUE"""),0)</f>
        <v>0</v>
      </c>
      <c r="AD256" s="27">
        <f ca="1">IFERROR(__xludf.DUMMYFUNCTION("""COMPUTED_VALUE"""),0)</f>
        <v>0</v>
      </c>
      <c r="AE256" s="27">
        <f ca="1">IFERROR(__xludf.DUMMYFUNCTION("""COMPUTED_VALUE"""),30)</f>
        <v>30</v>
      </c>
      <c r="AF256" s="27">
        <f ca="1">IFERROR(__xludf.DUMMYFUNCTION("""COMPUTED_VALUE"""),20)</f>
        <v>20</v>
      </c>
      <c r="AG256" s="27">
        <f ca="1">IFERROR(__xludf.DUMMYFUNCTION("""COMPUTED_VALUE"""),4)</f>
        <v>4</v>
      </c>
      <c r="AH256" s="27" t="str">
        <f ca="1">IFERROR(__xludf.DUMMYFUNCTION("""COMPUTED_VALUE"""),"Negócio Social, Convênio Público, Parceria iniciativa privada, Editais")</f>
        <v>Negócio Social, Convênio Público, Parceria iniciativa privada, Editais</v>
      </c>
      <c r="AI256" s="27" t="str">
        <f ca="1">IFERROR(__xludf.DUMMYFUNCTION("""COMPUTED_VALUE"""),"50% iniciativa privada, 25% editais, 15% convênio púbico, 10% negócio de impacto")</f>
        <v>50% iniciativa privada, 25% editais, 15% convênio púbico, 10% negócio de impacto</v>
      </c>
      <c r="AJ256" s="27" t="str">
        <f ca="1">IFERROR(__xludf.DUMMYFUNCTION("""COMPUTED_VALUE"""),"Não")</f>
        <v>Não</v>
      </c>
      <c r="AK256" s="27"/>
      <c r="AL256" s="21" t="str">
        <f ca="1">IFERROR(__xludf.DUMMYFUNCTION("""COMPUTED_VALUE"""),"0034X0000380O1c")</f>
        <v>0034X0000380O1c</v>
      </c>
      <c r="AM256" s="27" t="str">
        <f ca="1">IFERROR(__xludf.DUMMYFUNCTION("""COMPUTED_VALUE"""),"Fagundes Assumpção")</f>
        <v>Fagundes Assumpção</v>
      </c>
      <c r="AN256" s="27" t="str">
        <f ca="1">IFERROR(__xludf.DUMMYFUNCTION("""COMPUTED_VALUE"""),"Ativo")</f>
        <v>Ativo</v>
      </c>
      <c r="AO256" s="29">
        <f ca="1">IFERROR(__xludf.DUMMYFUNCTION("""COMPUTED_VALUE"""),44763)</f>
        <v>44763</v>
      </c>
      <c r="AP256" s="27">
        <f ca="1">IFERROR(__xludf.DUMMYFUNCTION("""COMPUTED_VALUE"""),2)</f>
        <v>2</v>
      </c>
      <c r="AQ256" s="27" t="str">
        <f ca="1">IFERROR(__xludf.DUMMYFUNCTION("""COMPUTED_VALUE"""),"Primeiro Semestre 2022")</f>
        <v>Primeiro Semestre 2022</v>
      </c>
      <c r="AR256" s="27" t="str">
        <f ca="1">IFERROR(__xludf.DUMMYFUNCTION("""COMPUTED_VALUE"""),"helenafagundesassumpcao@gmail.com")</f>
        <v>helenafagundesassumpcao@gmail.com</v>
      </c>
      <c r="AS256" s="27">
        <f ca="1">IFERROR(__xludf.DUMMYFUNCTION("""COMPUTED_VALUE"""),53999957592)</f>
        <v>53999957592</v>
      </c>
      <c r="AT256" s="29">
        <f ca="1">IFERROR(__xludf.DUMMYFUNCTION("""COMPUTED_VALUE"""),31912)</f>
        <v>31912</v>
      </c>
      <c r="AU256" s="27">
        <f ca="1">IFERROR(__xludf.DUMMYFUNCTION("""COMPUTED_VALUE"""),35)</f>
        <v>35</v>
      </c>
      <c r="AV256" s="27">
        <f ca="1">IFERROR(__xludf.DUMMYFUNCTION("""COMPUTED_VALUE"""),1211459055)</f>
        <v>1211459055</v>
      </c>
      <c r="AW256" s="27">
        <f ca="1">IFERROR(__xludf.DUMMYFUNCTION("""COMPUTED_VALUE"""),9090076192)</f>
        <v>9090076192</v>
      </c>
      <c r="AX256" s="27"/>
      <c r="AY256" s="27"/>
      <c r="AZ256" s="27" t="str">
        <f ca="1">IFERROR(__xludf.DUMMYFUNCTION("""COMPUTED_VALUE"""),"M")</f>
        <v>M</v>
      </c>
      <c r="BA256" s="27" t="str">
        <f ca="1">IFERROR(__xludf.DUMMYFUNCTION("""COMPUTED_VALUE"""),"Branca")</f>
        <v>Branca</v>
      </c>
      <c r="BB256" s="27"/>
      <c r="BC256" s="27"/>
      <c r="BD256" s="27" t="str">
        <f ca="1">IFERROR(__xludf.DUMMYFUNCTION("""COMPUTED_VALUE"""),"Helena é casada* mãe do Ivo* empreendeu aos 19 anos em diversas áreas* atuou na captação de recursos para eventos e na gestão de uma Agência de Publicidade. Foi a primeira mulher a ser Presidente da Associação de Jovens Empreendedores de Bagé* é idealizad"&amp;"ora do Empreende Menina* projeto social que tem como propósito dar voz a meninas em vulnerabilidade social desenvolvendo autoestima e liberdade através do empoderamento econômico e é fundadora do Núcleo Bagé do Grupo Mulheres do Brasil. 
Pós Graduada em V"&amp;"endas Negociações e Resultados de Alta Performance pela PUCRS* atualmente gerencia um canal de vendas na área de Educação com mais de 2800 consultores independentes.
""Empreender e fazer voluntariado me ensinou a fazer do limão uma limonada e eu acredito "&amp;"que sempre é possível fazer mais e melhor. Sou apaixonada por gerar resultado por onde passo* meu propósito é me realizar e gerar impacto positivo no mundo!""")</f>
        <v>Helena é casada* mãe do Ivo* empreendeu aos 19 anos em diversas áreas* atuou na captação de recursos para eventos e na gestão de uma Agência de Publicidade. Foi a primeira mulher a ser Presidente da Associação de Jovens Empreendedores de Bagé* é idealizadora do Empreende Menina* projeto social que tem como propósito dar voz a meninas em vulnerabilidade social desenvolvendo autoestima e liberdade através do empoderamento econômico e é fundadora do Núcleo Bagé do Grupo Mulheres do Brasil. 
Pós Graduada em Vendas Negociações e Resultados de Alta Performance pela PUCRS* atualmente gerencia um canal de vendas na área de Educação com mais de 2800 consultores independentes.
"Empreender e fazer voluntariado me ensinou a fazer do limão uma limonada e eu acredito que sempre é possível fazer mais e melhor. Sou apaixonada por gerar resultado por onde passo* meu propósito é me realizar e gerar impacto positivo no mundo!"</v>
      </c>
      <c r="BE256" s="27" t="str">
        <f ca="1">IFERROR(__xludf.DUMMYFUNCTION("""COMPUTED_VALUE"""),"Feminino")</f>
        <v>Feminino</v>
      </c>
      <c r="BF256" s="27" t="str">
        <f ca="1">IFERROR(__xludf.DUMMYFUNCTION("""COMPUTED_VALUE"""),"Heterossexual")</f>
        <v>Heterossexual</v>
      </c>
      <c r="BG256" s="27"/>
      <c r="BH256" s="27" t="str">
        <f ca="1">IFERROR(__xludf.DUMMYFUNCTION("""COMPUTED_VALUE"""),"Privado")</f>
        <v>Privado</v>
      </c>
      <c r="BI256" s="27" t="str">
        <f ca="1">IFERROR(__xludf.DUMMYFUNCTION("""COMPUTED_VALUE"""),"Pós-Graduação")</f>
        <v>Pós-Graduação</v>
      </c>
      <c r="BJ256" s="27" t="str">
        <f ca="1">IFERROR(__xludf.DUMMYFUNCTION("""COMPUTED_VALUE"""),"Privado")</f>
        <v>Privado</v>
      </c>
      <c r="BK256" s="27" t="str">
        <f ca="1">IFERROR(__xludf.DUMMYFUNCTION("""COMPUTED_VALUE"""),"Marechal Floriano")</f>
        <v>Marechal Floriano</v>
      </c>
      <c r="BL256" s="27">
        <f ca="1">IFERROR(__xludf.DUMMYFUNCTION("""COMPUTED_VALUE"""),2281)</f>
        <v>2281</v>
      </c>
      <c r="BM256" s="27"/>
      <c r="BN256" s="27"/>
      <c r="BO256" s="27" t="str">
        <f ca="1">IFERROR(__xludf.DUMMYFUNCTION("""COMPUTED_VALUE"""),"96400-011")</f>
        <v>96400-011</v>
      </c>
      <c r="BP256" s="27" t="str">
        <f ca="1">IFERROR(__xludf.DUMMYFUNCTION("""COMPUTED_VALUE"""),"RS")</f>
        <v>RS</v>
      </c>
      <c r="BQ256" s="27" t="str">
        <f ca="1">IFERROR(__xludf.DUMMYFUNCTION("""COMPUTED_VALUE"""),"Acima de 5 salários mínimos")</f>
        <v>Acima de 5 salários mínimos</v>
      </c>
      <c r="BR256" s="27" t="str">
        <f ca="1">IFERROR(__xludf.DUMMYFUNCTION("""COMPUTED_VALUE"""),"CLT")</f>
        <v>CLT</v>
      </c>
      <c r="BS256" s="27" t="str">
        <f ca="1">IFERROR(__xludf.DUMMYFUNCTION("""COMPUTED_VALUE"""),"Casa própria")</f>
        <v>Casa própria</v>
      </c>
      <c r="BT256" s="27">
        <f ca="1">IFERROR(__xludf.DUMMYFUNCTION("""COMPUTED_VALUE"""),3)</f>
        <v>3</v>
      </c>
      <c r="BU256" s="27" t="str">
        <f ca="1">IFERROR(__xludf.DUMMYFUNCTION("""COMPUTED_VALUE"""),"Não tem")</f>
        <v>Não tem</v>
      </c>
      <c r="BV256" s="27" t="str">
        <f ca="1">IFERROR(__xludf.DUMMYFUNCTION("""COMPUTED_VALUE"""),"Não")</f>
        <v>Não</v>
      </c>
      <c r="BW256" s="27" t="str">
        <f ca="1">IFERROR(__xludf.DUMMYFUNCTION("""COMPUTED_VALUE"""),"linkedin.com/in/helenaassumpção")</f>
        <v>linkedin.com/in/helenaassumpção</v>
      </c>
      <c r="BX256" s="21" t="str">
        <f ca="1">IFERROR(__xludf.DUMMYFUNCTION("""COMPUTED_VALUE"""),"https://www.instagram.com/helena_assumpcao/")</f>
        <v>https://www.instagram.com/helena_assumpcao/</v>
      </c>
      <c r="BY256" s="21" t="str">
        <f ca="1">IFERROR(__xludf.DUMMYFUNCTION("""COMPUTED_VALUE"""),"https://drive.google.com/open?id=1vhTDJVb0ziojcXV-YhtumfArGYATymAt")</f>
        <v>https://drive.google.com/open?id=1vhTDJVb0ziojcXV-YhtumfArGYATymAt</v>
      </c>
    </row>
    <row r="257" spans="1:77" ht="12.5" hidden="1" x14ac:dyDescent="0.25">
      <c r="A257" s="21" t="str">
        <f ca="1">IFERROR(__xludf.DUMMYFUNCTION("""COMPUTED_VALUE"""),"0014X00002VKCutQAH")</f>
        <v>0014X00002VKCutQAH</v>
      </c>
      <c r="B257" s="27" t="str">
        <f ca="1">IFERROR(__xludf.DUMMYFUNCTION("""COMPUTED_VALUE"""),"Fase Inicial")</f>
        <v>Fase Inicial</v>
      </c>
      <c r="C257" s="27" t="str">
        <f ca="1">IFERROR(__xludf.DUMMYFUNCTION("""COMPUTED_VALUE"""),"Fellow")</f>
        <v>Fellow</v>
      </c>
      <c r="D257" s="27" t="str">
        <f ca="1">IFERROR(__xludf.DUMMYFUNCTION("""COMPUTED_VALUE"""),"Ativo")</f>
        <v>Ativo</v>
      </c>
      <c r="E257" s="27" t="str">
        <f ca="1">IFERROR(__xludf.DUMMYFUNCTION("""COMPUTED_VALUE"""),"ENCANTOS INSTITUTO SÓCIO CULTURAL E BENEFICENTE")</f>
        <v>ENCANTOS INSTITUTO SÓCIO CULTURAL E BENEFICENTE</v>
      </c>
      <c r="F257" s="27" t="str">
        <f ca="1">IFERROR(__xludf.DUMMYFUNCTION("""COMPUTED_VALUE"""),"Maria")</f>
        <v>Maria</v>
      </c>
      <c r="G257" s="27" t="str">
        <f ca="1">IFERROR(__xludf.DUMMYFUNCTION("""COMPUTED_VALUE"""),"INSTITUTO ENCANTOS")</f>
        <v>INSTITUTO ENCANTOS</v>
      </c>
      <c r="H257" s="27" t="str">
        <f ca="1">IFERROR(__xludf.DUMMYFUNCTION("""COMPUTED_VALUE"""),"13.315.822/0001-03")</f>
        <v>13.315.822/0001-03</v>
      </c>
      <c r="I257" s="27" t="str">
        <f ca="1">IFERROR(__xludf.DUMMYFUNCTION("""COMPUTED_VALUE"""),"MARIA LAURA DA COSTA COELHO")</f>
        <v>MARIA LAURA DA COSTA COELHO</v>
      </c>
      <c r="J257" s="27" t="str">
        <f ca="1">IFERROR(__xludf.DUMMYFUNCTION("""COMPUTED_VALUE"""),"instituto.encantos@hotmail.com")</f>
        <v>instituto.encantos@hotmail.com</v>
      </c>
      <c r="K257" s="27" t="str">
        <f ca="1">IFERROR(__xludf.DUMMYFUNCTION("""COMPUTED_VALUE"""),"(11)3424-6994")</f>
        <v>(11)3424-6994</v>
      </c>
      <c r="L257" s="27" t="str">
        <f ca="1">IFERROR(__xludf.DUMMYFUNCTION("""COMPUTED_VALUE"""),"SP")</f>
        <v>SP</v>
      </c>
      <c r="M257" s="27" t="str">
        <f ca="1">IFERROR(__xludf.DUMMYFUNCTION("""COMPUTED_VALUE"""),"Avenida Massao Watanabe")</f>
        <v>Avenida Massao Watanabe</v>
      </c>
      <c r="N257" s="27" t="str">
        <f ca="1">IFERROR(__xludf.DUMMYFUNCTION("""COMPUTED_VALUE"""),"Jardim Santa Cruz")</f>
        <v>Jardim Santa Cruz</v>
      </c>
      <c r="O257" s="27">
        <f ca="1">IFERROR(__xludf.DUMMYFUNCTION("""COMPUTED_VALUE"""),79)</f>
        <v>79</v>
      </c>
      <c r="P257" s="27" t="str">
        <f ca="1">IFERROR(__xludf.DUMMYFUNCTION("""COMPUTED_VALUE"""),"São Paulo")</f>
        <v>São Paulo</v>
      </c>
      <c r="Q257" s="27">
        <f ca="1">IFERROR(__xludf.DUMMYFUNCTION("""COMPUTED_VALUE"""),73)</f>
        <v>73</v>
      </c>
      <c r="R257" s="27" t="str">
        <f ca="1">IFERROR(__xludf.DUMMYFUNCTION("""COMPUTED_VALUE"""),"02672-000")</f>
        <v>02672-000</v>
      </c>
      <c r="S257" s="27" t="str">
        <f ca="1">IFERROR(__xludf.DUMMYFUNCTION("""COMPUTED_VALUE"""),"Não")</f>
        <v>Não</v>
      </c>
      <c r="T257" s="27"/>
      <c r="U257"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257" s="27" t="str">
        <f ca="1">IFERROR(__xludf.DUMMYFUNCTION("""COMPUTED_VALUE"""),"Moradores de Favelas, Outros")</f>
        <v>Moradores de Favelas, Outros</v>
      </c>
      <c r="W257" s="27">
        <f ca="1">IFERROR(__xludf.DUMMYFUNCTION("""COMPUTED_VALUE"""),4)</f>
        <v>4</v>
      </c>
      <c r="X257" s="27"/>
      <c r="Y257" s="27"/>
      <c r="Z257" s="27">
        <f ca="1">IFERROR(__xludf.DUMMYFUNCTION("""COMPUTED_VALUE"""),300)</f>
        <v>300</v>
      </c>
      <c r="AA257" s="29">
        <f ca="1">IFERROR(__xludf.DUMMYFUNCTION("""COMPUTED_VALUE"""),40007)</f>
        <v>40007</v>
      </c>
      <c r="AB257" s="27" t="str">
        <f ca="1">IFERROR(__xludf.DUMMYFUNCTION("""COMPUTED_VALUE"""),"Sim")</f>
        <v>Sim</v>
      </c>
      <c r="AC257" s="27">
        <f ca="1">IFERROR(__xludf.DUMMYFUNCTION("""COMPUTED_VALUE"""),8)</f>
        <v>8</v>
      </c>
      <c r="AD257" s="27">
        <f ca="1">IFERROR(__xludf.DUMMYFUNCTION("""COMPUTED_VALUE"""),11)</f>
        <v>11</v>
      </c>
      <c r="AE257" s="27">
        <f ca="1">IFERROR(__xludf.DUMMYFUNCTION("""COMPUTED_VALUE"""),4)</f>
        <v>4</v>
      </c>
      <c r="AF257" s="27">
        <f ca="1">IFERROR(__xludf.DUMMYFUNCTION("""COMPUTED_VALUE"""),3)</f>
        <v>3</v>
      </c>
      <c r="AG257" s="27">
        <f ca="1">IFERROR(__xludf.DUMMYFUNCTION("""COMPUTED_VALUE"""),6)</f>
        <v>6</v>
      </c>
      <c r="AH257" s="27" t="str">
        <f ca="1">IFERROR(__xludf.DUMMYFUNCTION("""COMPUTED_VALUE"""),"Eventos/Ações para captação, Plataforma doação online - Pessoa Física, Editais, Doações, Lei Estadual da Cultura")</f>
        <v>Eventos/Ações para captação, Plataforma doação online - Pessoa Física, Editais, Doações, Lei Estadual da Cultura</v>
      </c>
      <c r="AI257" s="27" t="str">
        <f ca="1">IFERROR(__xludf.DUMMYFUNCTION("""COMPUTED_VALUE"""),"30% Edital Lei Estadual de Cultura - 20% Edital Lei Municipal de Cultura - 10% Eventos - 40% Doações pessoa física")</f>
        <v>30% Edital Lei Estadual de Cultura - 20% Edital Lei Municipal de Cultura - 10% Eventos - 40% Doações pessoa física</v>
      </c>
      <c r="AJ257" s="27" t="str">
        <f ca="1">IFERROR(__xludf.DUMMYFUNCTION("""COMPUTED_VALUE"""),"Não")</f>
        <v>Não</v>
      </c>
      <c r="AK257" s="27"/>
      <c r="AL257" s="21" t="str">
        <f ca="1">IFERROR(__xludf.DUMMYFUNCTION("""COMPUTED_VALUE"""),"0034X0000380O2j")</f>
        <v>0034X0000380O2j</v>
      </c>
      <c r="AM257" s="27" t="str">
        <f ca="1">IFERROR(__xludf.DUMMYFUNCTION("""COMPUTED_VALUE"""),"Laura da costa coelho")</f>
        <v>Laura da costa coelho</v>
      </c>
      <c r="AN257" s="27" t="str">
        <f ca="1">IFERROR(__xludf.DUMMYFUNCTION("""COMPUTED_VALUE"""),"Ativo")</f>
        <v>Ativo</v>
      </c>
      <c r="AO257" s="27"/>
      <c r="AP257" s="27"/>
      <c r="AQ257" s="27" t="str">
        <f ca="1">IFERROR(__xludf.DUMMYFUNCTION("""COMPUTED_VALUE"""),"Primeiro Semestre 2022")</f>
        <v>Primeiro Semestre 2022</v>
      </c>
      <c r="AR257" s="27" t="str">
        <f ca="1">IFERROR(__xludf.DUMMYFUNCTION("""COMPUTED_VALUE"""),"lauracosta_28@yahoo.com.br")</f>
        <v>lauracosta_28@yahoo.com.br</v>
      </c>
      <c r="AS257" s="27">
        <f ca="1">IFERROR(__xludf.DUMMYFUNCTION("""COMPUTED_VALUE"""),11998530870)</f>
        <v>11998530870</v>
      </c>
      <c r="AT257" s="29">
        <f ca="1">IFERROR(__xludf.DUMMYFUNCTION("""COMPUTED_VALUE"""),22674)</f>
        <v>22674</v>
      </c>
      <c r="AU257" s="27">
        <f ca="1">IFERROR(__xludf.DUMMYFUNCTION("""COMPUTED_VALUE"""),60)</f>
        <v>60</v>
      </c>
      <c r="AV257" s="27">
        <f ca="1">IFERROR(__xludf.DUMMYFUNCTION("""COMPUTED_VALUE"""),5227349878)</f>
        <v>5227349878</v>
      </c>
      <c r="AW257" s="27" t="str">
        <f ca="1">IFERROR(__xludf.DUMMYFUNCTION("""COMPUTED_VALUE"""),"15.191.560-x")</f>
        <v>15.191.560-x</v>
      </c>
      <c r="AX257" s="27"/>
      <c r="AY257" s="27"/>
      <c r="AZ257" s="27" t="str">
        <f ca="1">IFERROR(__xludf.DUMMYFUNCTION("""COMPUTED_VALUE"""),"G")</f>
        <v>G</v>
      </c>
      <c r="BA257" s="27" t="str">
        <f ca="1">IFERROR(__xludf.DUMMYFUNCTION("""COMPUTED_VALUE"""),"Branca")</f>
        <v>Branca</v>
      </c>
      <c r="BB257" s="27"/>
      <c r="BC257" s="27"/>
      <c r="BD257" s="27" t="str">
        <f ca="1">IFERROR(__xludf.DUMMYFUNCTION("""COMPUTED_VALUE"""),"Sou funcionária pública estadual aposentada há tres anos. Tenho 59 anos* sou viúva com um casal de filhos adultos. Minha residência é no mesmo terreno que a casa de meus pais* sendo que minha mãe faleceu em setembro do ano passado devido a alzheimer. Desd"&amp;"e que me aposentei passei a trabalhar diariamente na ong* onde já exercia anteriormente a direção. Não me sinto capacitada o suficiente para exercer a gestão da instituição. Comecei  lá como integrante do coral* porque adoro cantar e depois passei a traba"&amp;"lhar na área administrativa da ong como voluntária.")</f>
        <v>Sou funcionária pública estadual aposentada há tres anos. Tenho 59 anos* sou viúva com um casal de filhos adultos. Minha residência é no mesmo terreno que a casa de meus pais* sendo que minha mãe faleceu em setembro do ano passado devido a alzheimer. Desde que me aposentei passei a trabalhar diariamente na ong* onde já exercia anteriormente a direção. Não me sinto capacitada o suficiente para exercer a gestão da instituição. Comecei  lá como integrante do coral* porque adoro cantar e depois passei a trabalhar na área administrativa da ong como voluntária.</v>
      </c>
      <c r="BE257" s="27" t="str">
        <f ca="1">IFERROR(__xludf.DUMMYFUNCTION("""COMPUTED_VALUE"""),"Feminino")</f>
        <v>Feminino</v>
      </c>
      <c r="BF257" s="27" t="str">
        <f ca="1">IFERROR(__xludf.DUMMYFUNCTION("""COMPUTED_VALUE"""),"Heterossexual")</f>
        <v>Heterossexual</v>
      </c>
      <c r="BG257" s="27"/>
      <c r="BH257" s="27" t="str">
        <f ca="1">IFERROR(__xludf.DUMMYFUNCTION("""COMPUTED_VALUE"""),"Público")</f>
        <v>Público</v>
      </c>
      <c r="BI257" s="27"/>
      <c r="BJ257" s="27"/>
      <c r="BK257" s="27" t="str">
        <f ca="1">IFERROR(__xludf.DUMMYFUNCTION("""COMPUTED_VALUE"""),"Rua Monsenhor João Lauriano")</f>
        <v>Rua Monsenhor João Lauriano</v>
      </c>
      <c r="BL257" s="27">
        <f ca="1">IFERROR(__xludf.DUMMYFUNCTION("""COMPUTED_VALUE"""),361)</f>
        <v>361</v>
      </c>
      <c r="BM257" s="27"/>
      <c r="BN257" s="27"/>
      <c r="BO257" s="27">
        <f ca="1">IFERROR(__xludf.DUMMYFUNCTION("""COMPUTED_VALUE"""),2760000)</f>
        <v>2760000</v>
      </c>
      <c r="BP257" s="27" t="str">
        <f ca="1">IFERROR(__xludf.DUMMYFUNCTION("""COMPUTED_VALUE"""),"SP")</f>
        <v>SP</v>
      </c>
      <c r="BQ257" s="27" t="str">
        <f ca="1">IFERROR(__xludf.DUMMYFUNCTION("""COMPUTED_VALUE"""),"Acima de 5 salários mínimos")</f>
        <v>Acima de 5 salários mínimos</v>
      </c>
      <c r="BR257" s="27" t="str">
        <f ca="1">IFERROR(__xludf.DUMMYFUNCTION("""COMPUTED_VALUE"""),"CLT")</f>
        <v>CLT</v>
      </c>
      <c r="BS257" s="27" t="str">
        <f ca="1">IFERROR(__xludf.DUMMYFUNCTION("""COMPUTED_VALUE"""),"Casa própria")</f>
        <v>Casa própria</v>
      </c>
      <c r="BT257" s="27">
        <f ca="1">IFERROR(__xludf.DUMMYFUNCTION("""COMPUTED_VALUE"""),2)</f>
        <v>2</v>
      </c>
      <c r="BU257" s="27" t="str">
        <f ca="1">IFERROR(__xludf.DUMMYFUNCTION("""COMPUTED_VALUE"""),"Não tem")</f>
        <v>Não tem</v>
      </c>
      <c r="BV257" s="27" t="str">
        <f ca="1">IFERROR(__xludf.DUMMYFUNCTION("""COMPUTED_VALUE"""),"Não")</f>
        <v>Não</v>
      </c>
      <c r="BW257" s="21" t="str">
        <f ca="1">IFERROR(__xludf.DUMMYFUNCTION("""COMPUTED_VALUE"""),"https://www.linkedin.com/in/maria-laura-da-costa-coelho")</f>
        <v>https://www.linkedin.com/in/maria-laura-da-costa-coelho</v>
      </c>
      <c r="BX257" s="21" t="str">
        <f ca="1">IFERROR(__xludf.DUMMYFUNCTION("""COMPUTED_VALUE"""),"instagran.com/marialauracostacoelho")</f>
        <v>instagran.com/marialauracostacoelho</v>
      </c>
      <c r="BY257" s="21" t="str">
        <f ca="1">IFERROR(__xludf.DUMMYFUNCTION("""COMPUTED_VALUE"""),"https://drive.google.com/open?id=1BcqfDOMnifC2l91kDs-IeUk9U-L005dh")</f>
        <v>https://drive.google.com/open?id=1BcqfDOMnifC2l91kDs-IeUk9U-L005dh</v>
      </c>
    </row>
    <row r="258" spans="1:77" ht="12.5" hidden="1" x14ac:dyDescent="0.25">
      <c r="A258" s="21" t="str">
        <f ca="1">IFERROR(__xludf.DUMMYFUNCTION("""COMPUTED_VALUE"""),"0014X00002VKCsYQAX")</f>
        <v>0014X00002VKCsYQAX</v>
      </c>
      <c r="B258" s="27" t="str">
        <f ca="1">IFERROR(__xludf.DUMMYFUNCTION("""COMPUTED_VALUE"""),"Fase Inicial")</f>
        <v>Fase Inicial</v>
      </c>
      <c r="C258" s="27" t="str">
        <f ca="1">IFERROR(__xludf.DUMMYFUNCTION("""COMPUTED_VALUE"""),"Fellow")</f>
        <v>Fellow</v>
      </c>
      <c r="D258" s="27" t="str">
        <f ca="1">IFERROR(__xludf.DUMMYFUNCTION("""COMPUTED_VALUE"""),"Ativo")</f>
        <v>Ativo</v>
      </c>
      <c r="E258" s="27" t="str">
        <f ca="1">IFERROR(__xludf.DUMMYFUNCTION("""COMPUTED_VALUE"""),"Ensinar Xadrez para as crianças que necessitam um futuro melhor")</f>
        <v>Ensinar Xadrez para as crianças que necessitam um futuro melhor</v>
      </c>
      <c r="F258" s="27" t="str">
        <f ca="1">IFERROR(__xludf.DUMMYFUNCTION("""COMPUTED_VALUE"""),"Fabiana")</f>
        <v>Fabiana</v>
      </c>
      <c r="G258" s="27" t="str">
        <f ca="1">IFERROR(__xludf.DUMMYFUNCTION("""COMPUTED_VALUE"""),"CANTINHO DA AMIZADE")</f>
        <v>CANTINHO DA AMIZADE</v>
      </c>
      <c r="H258" s="27"/>
      <c r="I258" s="27" t="str">
        <f ca="1">IFERROR(__xludf.DUMMYFUNCTION("""COMPUTED_VALUE"""),"Fabiana Sampaio")</f>
        <v>Fabiana Sampaio</v>
      </c>
      <c r="J258" s="27" t="str">
        <f ca="1">IFERROR(__xludf.DUMMYFUNCTION("""COMPUTED_VALUE"""),"sedecantinhodaamizade@gmail.com")</f>
        <v>sedecantinhodaamizade@gmail.com</v>
      </c>
      <c r="K258" s="27"/>
      <c r="L258" s="27" t="str">
        <f ca="1">IFERROR(__xludf.DUMMYFUNCTION("""COMPUTED_VALUE"""),"RJ")</f>
        <v>RJ</v>
      </c>
      <c r="M258" s="27" t="str">
        <f ca="1">IFERROR(__xludf.DUMMYFUNCTION("""COMPUTED_VALUE"""),"Rua Correia de Oliveira")</f>
        <v>Rua Correia de Oliveira</v>
      </c>
      <c r="N258" s="27" t="str">
        <f ca="1">IFERROR(__xludf.DUMMYFUNCTION("""COMPUTED_VALUE"""),"Vila Isabel")</f>
        <v>Vila Isabel</v>
      </c>
      <c r="O258" s="27">
        <f ca="1">IFERROR(__xludf.DUMMYFUNCTION("""COMPUTED_VALUE"""),52)</f>
        <v>52</v>
      </c>
      <c r="P258" s="27" t="str">
        <f ca="1">IFERROR(__xludf.DUMMYFUNCTION("""COMPUTED_VALUE"""),"Rio de Janeiro")</f>
        <v>Rio de Janeiro</v>
      </c>
      <c r="Q258" s="27">
        <f ca="1">IFERROR(__xludf.DUMMYFUNCTION("""COMPUTED_VALUE"""),20551200)</f>
        <v>20551200</v>
      </c>
      <c r="R258" s="27" t="str">
        <f ca="1">IFERROR(__xludf.DUMMYFUNCTION("""COMPUTED_VALUE"""),"20551-200")</f>
        <v>20551-200</v>
      </c>
      <c r="S258" s="27"/>
      <c r="T258" s="27"/>
      <c r="U258" s="27"/>
      <c r="V258" s="27"/>
      <c r="W258" s="27">
        <f ca="1">IFERROR(__xludf.DUMMYFUNCTION("""COMPUTED_VALUE"""),2)</f>
        <v>2</v>
      </c>
      <c r="X258" s="27" t="str">
        <f ca="1">IFERROR(__xludf.DUMMYFUNCTION("""COMPUTED_VALUE"""),"Literatura")</f>
        <v>Literatura</v>
      </c>
      <c r="Y258" s="27"/>
      <c r="Z258" s="27">
        <f ca="1">IFERROR(__xludf.DUMMYFUNCTION("""COMPUTED_VALUE"""),30)</f>
        <v>30</v>
      </c>
      <c r="AA258" s="29">
        <f ca="1">IFERROR(__xludf.DUMMYFUNCTION("""COMPUTED_VALUE"""),44146)</f>
        <v>44146</v>
      </c>
      <c r="AB258" s="27" t="str">
        <f ca="1">IFERROR(__xludf.DUMMYFUNCTION("""COMPUTED_VALUE"""),"Não")</f>
        <v>Não</v>
      </c>
      <c r="AC258" s="27"/>
      <c r="AD258" s="27"/>
      <c r="AE258" s="27">
        <f ca="1">IFERROR(__xludf.DUMMYFUNCTION("""COMPUTED_VALUE"""),4)</f>
        <v>4</v>
      </c>
      <c r="AF258" s="27"/>
      <c r="AG258" s="27">
        <f ca="1">IFERROR(__xludf.DUMMYFUNCTION("""COMPUTED_VALUE"""),1)</f>
        <v>1</v>
      </c>
      <c r="AH258" s="27"/>
      <c r="AI258" s="27"/>
      <c r="AJ258" s="27" t="str">
        <f ca="1">IFERROR(__xludf.DUMMYFUNCTION("""COMPUTED_VALUE"""),"Sim")</f>
        <v>Sim</v>
      </c>
      <c r="AK258" s="27"/>
      <c r="AL258" s="21" t="str">
        <f ca="1">IFERROR(__xludf.DUMMYFUNCTION("""COMPUTED_VALUE"""),"0034X0000380O5x")</f>
        <v>0034X0000380O5x</v>
      </c>
      <c r="AM258" s="27" t="str">
        <f ca="1">IFERROR(__xludf.DUMMYFUNCTION("""COMPUTED_VALUE"""),"Sampaio da silva alfaia")</f>
        <v>Sampaio da silva alfaia</v>
      </c>
      <c r="AN258" s="27" t="str">
        <f ca="1">IFERROR(__xludf.DUMMYFUNCTION("""COMPUTED_VALUE"""),"Ativo")</f>
        <v>Ativo</v>
      </c>
      <c r="AO258" s="29">
        <f ca="1">IFERROR(__xludf.DUMMYFUNCTION("""COMPUTED_VALUE"""),44763)</f>
        <v>44763</v>
      </c>
      <c r="AP258" s="27">
        <f ca="1">IFERROR(__xludf.DUMMYFUNCTION("""COMPUTED_VALUE"""),2)</f>
        <v>2</v>
      </c>
      <c r="AQ258" s="27" t="str">
        <f ca="1">IFERROR(__xludf.DUMMYFUNCTION("""COMPUTED_VALUE"""),"Primeiro Semestre 2022")</f>
        <v>Primeiro Semestre 2022</v>
      </c>
      <c r="AR258" s="27" t="str">
        <f ca="1">IFERROR(__xludf.DUMMYFUNCTION("""COMPUTED_VALUE"""),"sedecantinhodaamizade@gmail.com")</f>
        <v>sedecantinhodaamizade@gmail.com</v>
      </c>
      <c r="AS258" s="27">
        <f ca="1">IFERROR(__xludf.DUMMYFUNCTION("""COMPUTED_VALUE"""),21984442713)</f>
        <v>21984442713</v>
      </c>
      <c r="AT258" s="29">
        <f ca="1">IFERROR(__xludf.DUMMYFUNCTION("""COMPUTED_VALUE"""),27456)</f>
        <v>27456</v>
      </c>
      <c r="AU258" s="27">
        <f ca="1">IFERROR(__xludf.DUMMYFUNCTION("""COMPUTED_VALUE"""),47)</f>
        <v>47</v>
      </c>
      <c r="AV258" s="27">
        <f ca="1">IFERROR(__xludf.DUMMYFUNCTION("""COMPUTED_VALUE"""),11026678706)</f>
        <v>11026678706</v>
      </c>
      <c r="AW258" s="27">
        <f ca="1">IFERROR(__xludf.DUMMYFUNCTION("""COMPUTED_VALUE"""),94792918)</f>
        <v>94792918</v>
      </c>
      <c r="AX258" s="27"/>
      <c r="AY258" s="27"/>
      <c r="AZ258" s="27" t="str">
        <f ca="1">IFERROR(__xludf.DUMMYFUNCTION("""COMPUTED_VALUE"""),"M")</f>
        <v>M</v>
      </c>
      <c r="BA258" s="27" t="str">
        <f ca="1">IFERROR(__xludf.DUMMYFUNCTION("""COMPUTED_VALUE"""),"Branca")</f>
        <v>Branca</v>
      </c>
      <c r="BB258" s="27"/>
      <c r="BC258" s="27"/>
      <c r="BD258" s="27" t="str">
        <f ca="1">IFERROR(__xludf.DUMMYFUNCTION("""COMPUTED_VALUE"""),"A felicidade dos alunos ao aprender a pensar antes de agir mostra o caminho em direção a um futuro brilhante. Essa é a nossa alimentação mental e corporal!")</f>
        <v>A felicidade dos alunos ao aprender a pensar antes de agir mostra o caminho em direção a um futuro brilhante. Essa é a nossa alimentação mental e corporal!</v>
      </c>
      <c r="BE258" s="27" t="str">
        <f ca="1">IFERROR(__xludf.DUMMYFUNCTION("""COMPUTED_VALUE"""),"Feminino")</f>
        <v>Feminino</v>
      </c>
      <c r="BF258" s="27" t="str">
        <f ca="1">IFERROR(__xludf.DUMMYFUNCTION("""COMPUTED_VALUE"""),"Heterossexual")</f>
        <v>Heterossexual</v>
      </c>
      <c r="BG258" s="27"/>
      <c r="BH258" s="27" t="str">
        <f ca="1">IFERROR(__xludf.DUMMYFUNCTION("""COMPUTED_VALUE"""),"Público")</f>
        <v>Público</v>
      </c>
      <c r="BI258" s="27"/>
      <c r="BJ258" s="27"/>
      <c r="BK258" s="27" t="str">
        <f ca="1">IFERROR(__xludf.DUMMYFUNCTION("""COMPUTED_VALUE"""),"Rua Senador Nabuco")</f>
        <v>Rua Senador Nabuco</v>
      </c>
      <c r="BL258" s="27">
        <f ca="1">IFERROR(__xludf.DUMMYFUNCTION("""COMPUTED_VALUE"""),134)</f>
        <v>134</v>
      </c>
      <c r="BM258" s="27">
        <f ca="1">IFERROR(__xludf.DUMMYFUNCTION("""COMPUTED_VALUE"""),101)</f>
        <v>101</v>
      </c>
      <c r="BN258" s="27"/>
      <c r="BO258" s="27">
        <f ca="1">IFERROR(__xludf.DUMMYFUNCTION("""COMPUTED_VALUE"""),20551230)</f>
        <v>20551230</v>
      </c>
      <c r="BP258" s="27" t="str">
        <f ca="1">IFERROR(__xludf.DUMMYFUNCTION("""COMPUTED_VALUE"""),"RJ")</f>
        <v>RJ</v>
      </c>
      <c r="BQ258" s="27" t="str">
        <f ca="1">IFERROR(__xludf.DUMMYFUNCTION("""COMPUTED_VALUE"""),"Entre 1 até 3 salários mínimos")</f>
        <v>Entre 1 até 3 salários mínimos</v>
      </c>
      <c r="BR258" s="27" t="str">
        <f ca="1">IFERROR(__xludf.DUMMYFUNCTION("""COMPUTED_VALUE"""),"Desempregado")</f>
        <v>Desempregado</v>
      </c>
      <c r="BS258" s="27" t="str">
        <f ca="1">IFERROR(__xludf.DUMMYFUNCTION("""COMPUTED_VALUE"""),"Aluguel")</f>
        <v>Aluguel</v>
      </c>
      <c r="BT258" s="27">
        <f ca="1">IFERROR(__xludf.DUMMYFUNCTION("""COMPUTED_VALUE"""),3)</f>
        <v>3</v>
      </c>
      <c r="BU258" s="27" t="str">
        <f ca="1">IFERROR(__xludf.DUMMYFUNCTION("""COMPUTED_VALUE"""),"Não tem")</f>
        <v>Não tem</v>
      </c>
      <c r="BV258" s="27" t="str">
        <f ca="1">IFERROR(__xludf.DUMMYFUNCTION("""COMPUTED_VALUE"""),"Não")</f>
        <v>Não</v>
      </c>
      <c r="BW258" s="27"/>
      <c r="BX258" s="21" t="str">
        <f ca="1">IFERROR(__xludf.DUMMYFUNCTION("""COMPUTED_VALUE"""),"https://www.instagram.com/explore/tags/cantinhodaamizade??/")</f>
        <v>https://www.instagram.com/explore/tags/cantinhodaamizade??/</v>
      </c>
      <c r="BY258" s="21" t="str">
        <f ca="1">IFERROR(__xludf.DUMMYFUNCTION("""COMPUTED_VALUE"""),"https://drive.google.com/open?id=1W4v3kidhiYPXUns4-PB8GBCUW47-9Gv6")</f>
        <v>https://drive.google.com/open?id=1W4v3kidhiYPXUns4-PB8GBCUW47-9Gv6</v>
      </c>
    </row>
    <row r="259" spans="1:77" ht="12.5" hidden="1" x14ac:dyDescent="0.25">
      <c r="A259" s="21" t="str">
        <f ca="1">IFERROR(__xludf.DUMMYFUNCTION("""COMPUTED_VALUE"""),"0014P00003YSp8pQAD")</f>
        <v>0014P00003YSp8pQAD</v>
      </c>
      <c r="B259" s="27" t="str">
        <f ca="1">IFERROR(__xludf.DUMMYFUNCTION("""COMPUTED_VALUE"""),"Fase Inicial")</f>
        <v>Fase Inicial</v>
      </c>
      <c r="C259" s="27" t="str">
        <f ca="1">IFERROR(__xludf.DUMMYFUNCTION("""COMPUTED_VALUE"""),"Fellow")</f>
        <v>Fellow</v>
      </c>
      <c r="D259" s="27" t="str">
        <f ca="1">IFERROR(__xludf.DUMMYFUNCTION("""COMPUTED_VALUE"""),"Ativo")</f>
        <v>Ativo</v>
      </c>
      <c r="E259" s="27" t="str">
        <f ca="1">IFERROR(__xludf.DUMMYFUNCTION("""COMPUTED_VALUE"""),"Entregue Sorrisos")</f>
        <v>Entregue Sorrisos</v>
      </c>
      <c r="F259" s="27" t="str">
        <f ca="1">IFERROR(__xludf.DUMMYFUNCTION("""COMPUTED_VALUE"""),"Maria")</f>
        <v>Maria</v>
      </c>
      <c r="G259" s="27"/>
      <c r="H259" s="27" t="str">
        <f ca="1">IFERROR(__xludf.DUMMYFUNCTION("""COMPUTED_VALUE"""),"44.640.950/0001-56")</f>
        <v>44.640.950/0001-56</v>
      </c>
      <c r="I259" s="27" t="str">
        <f ca="1">IFERROR(__xludf.DUMMYFUNCTION("""COMPUTED_VALUE"""),"Maria Aparecida Souza Ribeiro")</f>
        <v>Maria Aparecida Souza Ribeiro</v>
      </c>
      <c r="J259" s="27" t="str">
        <f ca="1">IFERROR(__xludf.DUMMYFUNCTION("""COMPUTED_VALUE"""),"entreguesorrisos@gmail.com")</f>
        <v>entreguesorrisos@gmail.com</v>
      </c>
      <c r="K259" s="27" t="str">
        <f ca="1">IFERROR(__xludf.DUMMYFUNCTION("""COMPUTED_VALUE"""),"(11)94995-0142")</f>
        <v>(11)94995-0142</v>
      </c>
      <c r="L259" s="27" t="str">
        <f ca="1">IFERROR(__xludf.DUMMYFUNCTION("""COMPUTED_VALUE"""),"SP")</f>
        <v>SP</v>
      </c>
      <c r="M259" s="27" t="str">
        <f ca="1">IFERROR(__xludf.DUMMYFUNCTION("""COMPUTED_VALUE"""),"Rua Alberto Borges Soveral, 86")</f>
        <v>Rua Alberto Borges Soveral, 86</v>
      </c>
      <c r="N259" s="27" t="str">
        <f ca="1">IFERROR(__xludf.DUMMYFUNCTION("""COMPUTED_VALUE"""),"Pq independencia")</f>
        <v>Pq independencia</v>
      </c>
      <c r="O259" s="27">
        <f ca="1">IFERROR(__xludf.DUMMYFUNCTION("""COMPUTED_VALUE"""),86)</f>
        <v>86</v>
      </c>
      <c r="P259" s="27" t="str">
        <f ca="1">IFERROR(__xludf.DUMMYFUNCTION("""COMPUTED_VALUE"""),"São Paulo")</f>
        <v>São Paulo</v>
      </c>
      <c r="Q259" s="27"/>
      <c r="R259" s="27" t="str">
        <f ca="1">IFERROR(__xludf.DUMMYFUNCTION("""COMPUTED_VALUE"""),"05875-210")</f>
        <v>05875-210</v>
      </c>
      <c r="S259" s="27"/>
      <c r="T259" s="27" t="str">
        <f ca="1">IFERROR(__xludf.DUMMYFUNCTION("""COMPUTED_VALUE"""),"Assistência Social; Cultura")</f>
        <v>Assistência Social; Cultura</v>
      </c>
      <c r="U259" s="27" t="str">
        <f ca="1">IFERROR(__xludf.DUMMYFUNCTION("""COMPUTED_VALUE"""),"Bebês (0 a 1 ano e 6 meses); Crianças bem pequenas (1 ano e 7 meses até 3 anos e 11 meses); Crianças pequenas (4 anos a 5 anos e 11 meses); Crianças (6 a 12 anos); Adolescentes (12 aos 18 anos); Jovens (18 aos 24 anos)")</f>
        <v>Bebês (0 a 1 ano e 6 meses); Crianças bem pequenas (1 ano e 7 meses até 3 anos e 11 meses); Crianças pequenas (4 anos a 5 anos e 11 meses); Crianças (6 a 12 anos); Adolescentes (12 aos 18 anos); Jovens (18 aos 24 anos)</v>
      </c>
      <c r="V259" s="27" t="str">
        <f ca="1">IFERROR(__xludf.DUMMYFUNCTION("""COMPUTED_VALUE"""),"Moradores de Favelas; Pessoas em situação de rua; Outros")</f>
        <v>Moradores de Favelas; Pessoas em situação de rua; Outros</v>
      </c>
      <c r="W259" s="27">
        <f ca="1">IFERROR(__xludf.DUMMYFUNCTION("""COMPUTED_VALUE"""),5)</f>
        <v>5</v>
      </c>
      <c r="X259" s="27"/>
      <c r="Y259" s="27"/>
      <c r="Z259" s="27">
        <f ca="1">IFERROR(__xludf.DUMMYFUNCTION("""COMPUTED_VALUE"""),2000)</f>
        <v>2000</v>
      </c>
      <c r="AA259" s="30">
        <f ca="1">IFERROR(__xludf.DUMMYFUNCTION("""COMPUTED_VALUE"""),43078)</f>
        <v>43078</v>
      </c>
      <c r="AB259" s="27" t="str">
        <f ca="1">IFERROR(__xludf.DUMMYFUNCTION("""COMPUTED_VALUE"""),"Não")</f>
        <v>Não</v>
      </c>
      <c r="AC259" s="27">
        <f ca="1">IFERROR(__xludf.DUMMYFUNCTION("""COMPUTED_VALUE"""),0)</f>
        <v>0</v>
      </c>
      <c r="AD259" s="27">
        <f ca="1">IFERROR(__xludf.DUMMYFUNCTION("""COMPUTED_VALUE"""),0)</f>
        <v>0</v>
      </c>
      <c r="AE259" s="27">
        <f ca="1">IFERROR(__xludf.DUMMYFUNCTION("""COMPUTED_VALUE"""),15)</f>
        <v>15</v>
      </c>
      <c r="AF259" s="27">
        <f ca="1">IFERROR(__xludf.DUMMYFUNCTION("""COMPUTED_VALUE"""),10)</f>
        <v>10</v>
      </c>
      <c r="AG259" s="27">
        <f ca="1">IFERROR(__xludf.DUMMYFUNCTION("""COMPUTED_VALUE"""),2)</f>
        <v>2</v>
      </c>
      <c r="AH259" s="27" t="str">
        <f ca="1">IFERROR(__xludf.DUMMYFUNCTION("""COMPUTED_VALUE"""),"Doações")</f>
        <v>Doações</v>
      </c>
      <c r="AI259" s="27" t="str">
        <f ca="1">IFERROR(__xludf.DUMMYFUNCTION("""COMPUTED_VALUE"""),"Nt")</f>
        <v>Nt</v>
      </c>
      <c r="AJ259" s="27"/>
      <c r="AK259" s="27"/>
      <c r="AL259" s="21" t="str">
        <f ca="1">IFERROR(__xludf.DUMMYFUNCTION("""COMPUTED_VALUE"""),"0034P000045kxjR")</f>
        <v>0034P000045kxjR</v>
      </c>
      <c r="AM259" s="27" t="str">
        <f ca="1">IFERROR(__xludf.DUMMYFUNCTION("""COMPUTED_VALUE"""),"Maria Aparecida Souza Ribeiro")</f>
        <v>Maria Aparecida Souza Ribeiro</v>
      </c>
      <c r="AN259" s="27" t="str">
        <f ca="1">IFERROR(__xludf.DUMMYFUNCTION("""COMPUTED_VALUE"""),"Ativo")</f>
        <v>Ativo</v>
      </c>
      <c r="AO259" s="29">
        <f ca="1">IFERROR(__xludf.DUMMYFUNCTION("""COMPUTED_VALUE"""),44551)</f>
        <v>44551</v>
      </c>
      <c r="AP259" s="27">
        <f ca="1">IFERROR(__xludf.DUMMYFUNCTION("""COMPUTED_VALUE"""),9)</f>
        <v>9</v>
      </c>
      <c r="AQ259" s="27" t="str">
        <f ca="1">IFERROR(__xludf.DUMMYFUNCTION("""COMPUTED_VALUE"""),"Segundo Semestre 2021")</f>
        <v>Segundo Semestre 2021</v>
      </c>
      <c r="AR259" s="27" t="str">
        <f ca="1">IFERROR(__xludf.DUMMYFUNCTION("""COMPUTED_VALUE"""),"msuzaribeiro@hotmail.com")</f>
        <v>msuzaribeiro@hotmail.com</v>
      </c>
      <c r="AS259" s="27" t="str">
        <f ca="1">IFERROR(__xludf.DUMMYFUNCTION("""COMPUTED_VALUE"""),"(11)95125-4535")</f>
        <v>(11)95125-4535</v>
      </c>
      <c r="AT259" s="29">
        <f ca="1">IFERROR(__xludf.DUMMYFUNCTION("""COMPUTED_VALUE"""),33486)</f>
        <v>33486</v>
      </c>
      <c r="AU259" s="27">
        <f ca="1">IFERROR(__xludf.DUMMYFUNCTION("""COMPUTED_VALUE"""),31)</f>
        <v>31</v>
      </c>
      <c r="AV259" s="27">
        <f ca="1">IFERROR(__xludf.DUMMYFUNCTION("""COMPUTED_VALUE"""),40715210823)</f>
        <v>40715210823</v>
      </c>
      <c r="AW259" s="27">
        <f ca="1">IFERROR(__xludf.DUMMYFUNCTION("""COMPUTED_VALUE"""),493645421)</f>
        <v>493645421</v>
      </c>
      <c r="AX259" s="27"/>
      <c r="AY259" s="27"/>
      <c r="AZ259" s="27" t="str">
        <f ca="1">IFERROR(__xludf.DUMMYFUNCTION("""COMPUTED_VALUE"""),"G")</f>
        <v>G</v>
      </c>
      <c r="BA259" s="27" t="str">
        <f ca="1">IFERROR(__xludf.DUMMYFUNCTION("""COMPUTED_VALUE"""),"Parda")</f>
        <v>Parda</v>
      </c>
      <c r="BB259" s="27" t="str">
        <f ca="1">IFERROR(__xludf.DUMMYFUNCTION("""COMPUTED_VALUE"""),"Mulher, cisgênero")</f>
        <v>Mulher, cisgênero</v>
      </c>
      <c r="BC259" s="27" t="str">
        <f ca="1">IFERROR(__xludf.DUMMYFUNCTION("""COMPUTED_VALUE"""),"Sim")</f>
        <v>Sim</v>
      </c>
      <c r="BD259" s="27" t="str">
        <f ca="1">IFERROR(__xludf.DUMMYFUNCTION("""COMPUTED_VALUE"""),"Nascida e criada no Jd Angela, vi minha vida  e meus sonhos mudarem quando fui diagnostica com câncer, um Linfoma avançado. Entre um internação e outra conheci uma garota que também estava passando por um tratamento de CA, nos tornamos amigas e então deci"&amp;"dimos que queriamos fazer algo que ajudasse os demais jovens que estavam enfrentando o mesmo. Infelizmente ela faleceu no final de 2016, e então, em Agosto de 2017 nasceu o Entregue Sorrisos")</f>
        <v>Nascida e criada no Jd Angela, vi minha vida  e meus sonhos mudarem quando fui diagnostica com câncer, um Linfoma avançado. Entre um internação e outra conheci uma garota que também estava passando por um tratamento de CA, nos tornamos amigas e então decidimos que queriamos fazer algo que ajudasse os demais jovens que estavam enfrentando o mesmo. Infelizmente ela faleceu no final de 2016, e então, em Agosto de 2017 nasceu o Entregue Sorrisos</v>
      </c>
      <c r="BE259" s="27"/>
      <c r="BF259" s="27" t="str">
        <f ca="1">IFERROR(__xludf.DUMMYFUNCTION("""COMPUTED_VALUE"""),"Heterossexual")</f>
        <v>Heterossexual</v>
      </c>
      <c r="BG259" s="27" t="str">
        <f ca="1">IFERROR(__xludf.DUMMYFUNCTION("""COMPUTED_VALUE"""),"Ensino Médio - Completo")</f>
        <v>Ensino Médio - Completo</v>
      </c>
      <c r="BH259" s="27" t="str">
        <f ca="1">IFERROR(__xludf.DUMMYFUNCTION("""COMPUTED_VALUE"""),"Pública")</f>
        <v>Pública</v>
      </c>
      <c r="BI259" s="27"/>
      <c r="BJ259" s="27"/>
      <c r="BK259" s="27" t="str">
        <f ca="1">IFERROR(__xludf.DUMMYFUNCTION("""COMPUTED_VALUE"""),"Alberto Borges Soveral,")</f>
        <v>Alberto Borges Soveral,</v>
      </c>
      <c r="BL259" s="27">
        <f ca="1">IFERROR(__xludf.DUMMYFUNCTION("""COMPUTED_VALUE"""),86)</f>
        <v>86</v>
      </c>
      <c r="BM259" s="27"/>
      <c r="BN259" s="27" t="str">
        <f ca="1">IFERROR(__xludf.DUMMYFUNCTION("""COMPUTED_VALUE"""),"São Paulo")</f>
        <v>São Paulo</v>
      </c>
      <c r="BO259" s="27" t="str">
        <f ca="1">IFERROR(__xludf.DUMMYFUNCTION("""COMPUTED_VALUE"""),"05875-210")</f>
        <v>05875-210</v>
      </c>
      <c r="BP259" s="27" t="str">
        <f ca="1">IFERROR(__xludf.DUMMYFUNCTION("""COMPUTED_VALUE"""),"SP")</f>
        <v>SP</v>
      </c>
      <c r="BQ259" s="27" t="str">
        <f ca="1">IFERROR(__xludf.DUMMYFUNCTION("""COMPUTED_VALUE"""),"Entre 1 até 3 salários mínimos")</f>
        <v>Entre 1 até 3 salários mínimos</v>
      </c>
      <c r="BR259" s="27" t="str">
        <f ca="1">IFERROR(__xludf.DUMMYFUNCTION("""COMPUTED_VALUE"""),"Trabalho informal")</f>
        <v>Trabalho informal</v>
      </c>
      <c r="BS259" s="27" t="str">
        <f ca="1">IFERROR(__xludf.DUMMYFUNCTION("""COMPUTED_VALUE"""),"Casa própria")</f>
        <v>Casa própria</v>
      </c>
      <c r="BT259" s="27">
        <f ca="1">IFERROR(__xludf.DUMMYFUNCTION("""COMPUTED_VALUE"""),2)</f>
        <v>2</v>
      </c>
      <c r="BU259" s="27" t="str">
        <f ca="1">IFERROR(__xludf.DUMMYFUNCTION("""COMPUTED_VALUE"""),"Não tem")</f>
        <v>Não tem</v>
      </c>
      <c r="BV259" s="27" t="str">
        <f ca="1">IFERROR(__xludf.DUMMYFUNCTION("""COMPUTED_VALUE"""),"Intolerância a lactose")</f>
        <v>Intolerância a lactose</v>
      </c>
      <c r="BW259" s="27"/>
      <c r="BX259" s="21" t="str">
        <f ca="1">IFERROR(__xludf.DUMMYFUNCTION("""COMPUTED_VALUE"""),"https://instagram.com/sulasouza?utm_medium=copy_link")</f>
        <v>https://instagram.com/sulasouza?utm_medium=copy_link</v>
      </c>
      <c r="BY259" s="21" t="str">
        <f ca="1">IFERROR(__xludf.DUMMYFUNCTION("""COMPUTED_VALUE"""),"https://drive.google.com/open?id=1qvE8fN0aN5hVDltkRttTK1zfrul3EATd")</f>
        <v>https://drive.google.com/open?id=1qvE8fN0aN5hVDltkRttTK1zfrul3EATd</v>
      </c>
    </row>
    <row r="260" spans="1:77" ht="12.5" x14ac:dyDescent="0.25">
      <c r="A260" s="21" t="str">
        <f ca="1">IFERROR(__xludf.DUMMYFUNCTION("""COMPUTED_VALUE"""),"0014X00002VKCtpQAH")</f>
        <v>0014X00002VKCtpQAH</v>
      </c>
      <c r="B260" s="27" t="str">
        <f ca="1">IFERROR(__xludf.DUMMYFUNCTION("""COMPUTED_VALUE"""),"Fase Inicial")</f>
        <v>Fase Inicial</v>
      </c>
      <c r="C260" s="27" t="str">
        <f ca="1">IFERROR(__xludf.DUMMYFUNCTION("""COMPUTED_VALUE"""),"Fellow")</f>
        <v>Fellow</v>
      </c>
      <c r="D260" s="27" t="str">
        <f ca="1">IFERROR(__xludf.DUMMYFUNCTION("""COMPUTED_VALUE"""),"Ativo")</f>
        <v>Ativo</v>
      </c>
      <c r="E260" s="27" t="str">
        <f ca="1">IFERROR(__xludf.DUMMYFUNCTION("""COMPUTED_VALUE"""),"Escola Pública Presente")</f>
        <v>Escola Pública Presente</v>
      </c>
      <c r="F260" s="27" t="str">
        <f ca="1">IFERROR(__xludf.DUMMYFUNCTION("""COMPUTED_VALUE"""),"Davi")</f>
        <v>Davi</v>
      </c>
      <c r="G260" s="27" t="str">
        <f ca="1">IFERROR(__xludf.DUMMYFUNCTION("""COMPUTED_VALUE"""),"ESCOLA PÚBLICA PRESENTE")</f>
        <v>ESCOLA PÚBLICA PRESENTE</v>
      </c>
      <c r="H260" s="27"/>
      <c r="I260" s="27" t="str">
        <f ca="1">IFERROR(__xludf.DUMMYFUNCTION("""COMPUTED_VALUE"""),"Davi Alexandre Schoenardie")</f>
        <v>Davi Alexandre Schoenardie</v>
      </c>
      <c r="J260" s="27" t="str">
        <f ca="1">IFERROR(__xludf.DUMMYFUNCTION("""COMPUTED_VALUE"""),"escolapublicapresente@gmail.com")</f>
        <v>escolapublicapresente@gmail.com</v>
      </c>
      <c r="K260" s="27" t="str">
        <f ca="1">IFERROR(__xludf.DUMMYFUNCTION("""COMPUTED_VALUE"""),"(49)99809-5363")</f>
        <v>(49)99809-5363</v>
      </c>
      <c r="L260" s="27" t="str">
        <f ca="1">IFERROR(__xludf.DUMMYFUNCTION("""COMPUTED_VALUE"""),"SC")</f>
        <v>SC</v>
      </c>
      <c r="M260" s="27" t="str">
        <f ca="1">IFERROR(__xludf.DUMMYFUNCTION("""COMPUTED_VALUE"""),"São Pedro")</f>
        <v>São Pedro</v>
      </c>
      <c r="N260" s="27" t="str">
        <f ca="1">IFERROR(__xludf.DUMMYFUNCTION("""COMPUTED_VALUE"""),"Interior")</f>
        <v>Interior</v>
      </c>
      <c r="O260" s="27">
        <f ca="1">IFERROR(__xludf.DUMMYFUNCTION("""COMPUTED_VALUE"""),1)</f>
        <v>1</v>
      </c>
      <c r="P260" s="27" t="str">
        <f ca="1">IFERROR(__xludf.DUMMYFUNCTION("""COMPUTED_VALUE"""),"Celso Ramos")</f>
        <v>Celso Ramos</v>
      </c>
      <c r="Q260" s="27" t="str">
        <f ca="1">IFERROR(__xludf.DUMMYFUNCTION("""COMPUTED_VALUE"""),"Interior")</f>
        <v>Interior</v>
      </c>
      <c r="R260" s="27" t="str">
        <f ca="1">IFERROR(__xludf.DUMMYFUNCTION("""COMPUTED_VALUE"""),"88598-000")</f>
        <v>88598-000</v>
      </c>
      <c r="S260" s="27"/>
      <c r="T260" s="27"/>
      <c r="U260" s="27" t="str">
        <f ca="1">IFERROR(__xludf.DUMMYFUNCTION("""COMPUTED_VALUE"""),"Adolescentes (12 aos 18 anos), Jovens (18 aos 24 anos), Adultos")</f>
        <v>Adolescentes (12 aos 18 anos), Jovens (18 aos 24 anos), Adultos</v>
      </c>
      <c r="V260" s="27" t="str">
        <f ca="1">IFERROR(__xludf.DUMMYFUNCTION("""COMPUTED_VALUE"""),"Moradores de Favelas, População LGBTQ+, Afrodescendentes, Comunidade rural")</f>
        <v>Moradores de Favelas, População LGBTQ+, Afrodescendentes, Comunidade rural</v>
      </c>
      <c r="W260" s="27">
        <f ca="1">IFERROR(__xludf.DUMMYFUNCTION("""COMPUTED_VALUE"""),1)</f>
        <v>1</v>
      </c>
      <c r="X260" s="27" t="str">
        <f ca="1">IFERROR(__xludf.DUMMYFUNCTION("""COMPUTED_VALUE"""),"Impactamos mais de 200 estudantes de forma direta e mais de 700 pessoas de forma indireta* presente em todos os estados brasileiros. Quase 80% do nosso público são mulheres entre 13 e 24 anos. O Projeto Escola Pública Presente tem como público-alvo estuda"&amp;"ntes de escolas públicas que comprovadamente não possuam condições de arcar com custos de cursos preparatórios para o Exame Nacional do Ensino Médio (ENEM). Nós priorizamos nossas correções a estudantes de baixa renda* com renda per capita de no máximo 1 "&amp;"salário mínimo e meio por mês* negros* indígenas* mulheres* membros da comunidade LGBTQI+* filhos de pequenos proprietários rurais* imigrantes e pessoas com deficiência. Nosso público-alvo é consideravelmente feminina* com idade entre 13 e 24 anos* que pr"&amp;"etende ingressar no ensino superior público por meio do SISU* utilizando a nota do ENEM.")</f>
        <v>Impactamos mais de 200 estudantes de forma direta e mais de 700 pessoas de forma indireta* presente em todos os estados brasileiros. Quase 80% do nosso público são mulheres entre 13 e 24 anos. O Projeto Escola Pública Presente tem como público-alvo estudantes de escolas públicas que comprovadamente não possuam condições de arcar com custos de cursos preparatórios para o Exame Nacional do Ensino Médio (ENEM). Nós priorizamos nossas correções a estudantes de baixa renda* com renda per capita de no máximo 1 salário mínimo e meio por mês* negros* indígenas* mulheres* membros da comunidade LGBTQI+* filhos de pequenos proprietários rurais* imigrantes e pessoas com deficiência. Nosso público-alvo é consideravelmente feminina* com idade entre 13 e 24 anos* que pretende ingressar no ensino superior público por meio do SISU* utilizando a nota do ENEM.</v>
      </c>
      <c r="Y260" s="27"/>
      <c r="Z260" s="27">
        <f ca="1">IFERROR(__xludf.DUMMYFUNCTION("""COMPUTED_VALUE"""),0)</f>
        <v>0</v>
      </c>
      <c r="AA260" s="29">
        <f ca="1">IFERROR(__xludf.DUMMYFUNCTION("""COMPUTED_VALUE"""),44013)</f>
        <v>44013</v>
      </c>
      <c r="AB260" s="27" t="str">
        <f ca="1">IFERROR(__xludf.DUMMYFUNCTION("""COMPUTED_VALUE"""),"Não")</f>
        <v>Não</v>
      </c>
      <c r="AC260" s="27">
        <f ca="1">IFERROR(__xludf.DUMMYFUNCTION("""COMPUTED_VALUE"""),0)</f>
        <v>0</v>
      </c>
      <c r="AD260" s="27">
        <f ca="1">IFERROR(__xludf.DUMMYFUNCTION("""COMPUTED_VALUE"""),3)</f>
        <v>3</v>
      </c>
      <c r="AE260" s="27">
        <f ca="1">IFERROR(__xludf.DUMMYFUNCTION("""COMPUTED_VALUE"""),7)</f>
        <v>7</v>
      </c>
      <c r="AF260" s="27">
        <f ca="1">IFERROR(__xludf.DUMMYFUNCTION("""COMPUTED_VALUE"""),3)</f>
        <v>3</v>
      </c>
      <c r="AG260" s="27">
        <f ca="1">IFERROR(__xludf.DUMMYFUNCTION("""COMPUTED_VALUE"""),2)</f>
        <v>2</v>
      </c>
      <c r="AH260" s="27" t="str">
        <f ca="1">IFERROR(__xludf.DUMMYFUNCTION("""COMPUTED_VALUE"""),"Recursos próprios")</f>
        <v>Recursos próprios</v>
      </c>
      <c r="AI260" s="27">
        <f ca="1">IFERROR(__xludf.DUMMYFUNCTION("""COMPUTED_VALUE"""),2)</f>
        <v>2</v>
      </c>
      <c r="AJ260" s="27"/>
      <c r="AK260" s="27"/>
      <c r="AL260" s="21" t="str">
        <f ca="1">IFERROR(__xludf.DUMMYFUNCTION("""COMPUTED_VALUE"""),"0034X0000380O2R")</f>
        <v>0034X0000380O2R</v>
      </c>
      <c r="AM260" s="27" t="str">
        <f ca="1">IFERROR(__xludf.DUMMYFUNCTION("""COMPUTED_VALUE"""),"Alexandre schoenardie")</f>
        <v>Alexandre schoenardie</v>
      </c>
      <c r="AN260" s="27" t="str">
        <f ca="1">IFERROR(__xludf.DUMMYFUNCTION("""COMPUTED_VALUE"""),"Ativo")</f>
        <v>Ativo</v>
      </c>
      <c r="AO260" s="30">
        <f ca="1">IFERROR(__xludf.DUMMYFUNCTION("""COMPUTED_VALUE"""),44763)</f>
        <v>44763</v>
      </c>
      <c r="AP260" s="27">
        <f ca="1">IFERROR(__xludf.DUMMYFUNCTION("""COMPUTED_VALUE"""),2)</f>
        <v>2</v>
      </c>
      <c r="AQ260" s="27" t="str">
        <f ca="1">IFERROR(__xludf.DUMMYFUNCTION("""COMPUTED_VALUE"""),"Primeiro Semestre 2022")</f>
        <v>Primeiro Semestre 2022</v>
      </c>
      <c r="AR260" s="27" t="str">
        <f ca="1">IFERROR(__xludf.DUMMYFUNCTION("""COMPUTED_VALUE"""),"davischoenardie2002@gmail.com")</f>
        <v>davischoenardie2002@gmail.com</v>
      </c>
      <c r="AS260" s="27" t="str">
        <f ca="1">IFERROR(__xludf.DUMMYFUNCTION("""COMPUTED_VALUE"""),"(49)99809-5363")</f>
        <v>(49)99809-5363</v>
      </c>
      <c r="AT260" s="29">
        <f ca="1">IFERROR(__xludf.DUMMYFUNCTION("""COMPUTED_VALUE"""),37289)</f>
        <v>37289</v>
      </c>
      <c r="AU260" s="27">
        <f ca="1">IFERROR(__xludf.DUMMYFUNCTION("""COMPUTED_VALUE"""),20)</f>
        <v>20</v>
      </c>
      <c r="AV260" s="27">
        <f ca="1">IFERROR(__xludf.DUMMYFUNCTION("""COMPUTED_VALUE"""),12511194929)</f>
        <v>12511194929</v>
      </c>
      <c r="AW260" s="27">
        <f ca="1">IFERROR(__xludf.DUMMYFUNCTION("""COMPUTED_VALUE"""),7600963)</f>
        <v>7600963</v>
      </c>
      <c r="AX260" s="27"/>
      <c r="AY260" s="27" t="str">
        <f ca="1">IFERROR(__xludf.DUMMYFUNCTION("""COMPUTED_VALUE"""),"Coordenador Geral")</f>
        <v>Coordenador Geral</v>
      </c>
      <c r="AZ260" s="27" t="str">
        <f ca="1">IFERROR(__xludf.DUMMYFUNCTION("""COMPUTED_VALUE"""),"GG")</f>
        <v>GG</v>
      </c>
      <c r="BA260" s="27" t="str">
        <f ca="1">IFERROR(__xludf.DUMMYFUNCTION("""COMPUTED_VALUE"""),"Branca")</f>
        <v>Branca</v>
      </c>
      <c r="BB260" s="27"/>
      <c r="BC260" s="27"/>
      <c r="BD260" s="27" t="str">
        <f ca="1">IFERROR(__xludf.DUMMYFUNCTION("""COMPUTED_VALUE"""),"Morador de uma comunidade rural do município de Celso Ramos/SC. Bolsista Integral do Programa Universidade para Todos  (PROUNI) e Acadêmico de Publicidade e Propaganda na Universidade do Oeste de Santa Catarina (UNOESC). Bolsista de Inovação UNOESC. Diret"&amp;"or de Imprensa e Relações Públicas do Diretório Central dos Estudantes (DCE) da UNOESC. Articulador do Engajamundo, membro do LabPimenta e do Podcast “Pimenta pra Jovem é Refresco”. Alumni da Latin American Leadership Academy (LALA).")</f>
        <v>Morador de uma comunidade rural do município de Celso Ramos/SC. Bolsista Integral do Programa Universidade para Todos  (PROUNI) e Acadêmico de Publicidade e Propaganda na Universidade do Oeste de Santa Catarina (UNOESC). Bolsista de Inovação UNOESC. Diretor de Imprensa e Relações Públicas do Diretório Central dos Estudantes (DCE) da UNOESC. Articulador do Engajamundo, membro do LabPimenta e do Podcast “Pimenta pra Jovem é Refresco”. Alumni da Latin American Leadership Academy (LALA).</v>
      </c>
      <c r="BE260" s="27" t="str">
        <f ca="1">IFERROR(__xludf.DUMMYFUNCTION("""COMPUTED_VALUE"""),"Homem, cisgênero")</f>
        <v>Homem, cisgênero</v>
      </c>
      <c r="BF260" s="27" t="str">
        <f ca="1">IFERROR(__xludf.DUMMYFUNCTION("""COMPUTED_VALUE"""),"Homossexual")</f>
        <v>Homossexual</v>
      </c>
      <c r="BG260" s="27" t="str">
        <f ca="1">IFERROR(__xludf.DUMMYFUNCTION("""COMPUTED_VALUE"""),"Ensino Superior - Incompleto")</f>
        <v>Ensino Superior - Incompleto</v>
      </c>
      <c r="BH260" s="27" t="str">
        <f ca="1">IFERROR(__xludf.DUMMYFUNCTION("""COMPUTED_VALUE"""),"Público")</f>
        <v>Público</v>
      </c>
      <c r="BI260" s="27" t="str">
        <f ca="1">IFERROR(__xludf.DUMMYFUNCTION("""COMPUTED_VALUE"""),"Graduação")</f>
        <v>Graduação</v>
      </c>
      <c r="BJ260" s="27" t="str">
        <f ca="1">IFERROR(__xludf.DUMMYFUNCTION("""COMPUTED_VALUE"""),"Privado")</f>
        <v>Privado</v>
      </c>
      <c r="BK260" s="27" t="str">
        <f ca="1">IFERROR(__xludf.DUMMYFUNCTION("""COMPUTED_VALUE"""),"São Pedro")</f>
        <v>São Pedro</v>
      </c>
      <c r="BL260" s="27">
        <f ca="1">IFERROR(__xludf.DUMMYFUNCTION("""COMPUTED_VALUE"""),1)</f>
        <v>1</v>
      </c>
      <c r="BM260" s="27" t="str">
        <f ca="1">IFERROR(__xludf.DUMMYFUNCTION("""COMPUTED_VALUE"""),"Comunidade Rural")</f>
        <v>Comunidade Rural</v>
      </c>
      <c r="BN260" s="27" t="str">
        <f ca="1">IFERROR(__xludf.DUMMYFUNCTION("""COMPUTED_VALUE"""),"Celso Ramos")</f>
        <v>Celso Ramos</v>
      </c>
      <c r="BO260" s="27" t="str">
        <f ca="1">IFERROR(__xludf.DUMMYFUNCTION("""COMPUTED_VALUE"""),"88598-000")</f>
        <v>88598-000</v>
      </c>
      <c r="BP260" s="27" t="str">
        <f ca="1">IFERROR(__xludf.DUMMYFUNCTION("""COMPUTED_VALUE"""),"SC")</f>
        <v>SC</v>
      </c>
      <c r="BQ260" s="27" t="str">
        <f ca="1">IFERROR(__xludf.DUMMYFUNCTION("""COMPUTED_VALUE"""),"Entre 1 até 3 salários mínimos")</f>
        <v>Entre 1 até 3 salários mínimos</v>
      </c>
      <c r="BR260" s="27" t="str">
        <f ca="1">IFERROR(__xludf.DUMMYFUNCTION("""COMPUTED_VALUE"""),"MEI, Funcionário Público, Desempregado")</f>
        <v>MEI, Funcionário Público, Desempregado</v>
      </c>
      <c r="BS260" s="27" t="str">
        <f ca="1">IFERROR(__xludf.DUMMYFUNCTION("""COMPUTED_VALUE"""),"Casa própria")</f>
        <v>Casa própria</v>
      </c>
      <c r="BT260" s="27">
        <f ca="1">IFERROR(__xludf.DUMMYFUNCTION("""COMPUTED_VALUE"""),3)</f>
        <v>3</v>
      </c>
      <c r="BU260" s="27" t="str">
        <f ca="1">IFERROR(__xludf.DUMMYFUNCTION("""COMPUTED_VALUE"""),"Não tem")</f>
        <v>Não tem</v>
      </c>
      <c r="BV260" s="27" t="str">
        <f ca="1">IFERROR(__xludf.DUMMYFUNCTION("""COMPUTED_VALUE"""),"Frutos do Mar")</f>
        <v>Frutos do Mar</v>
      </c>
      <c r="BW260" s="21" t="str">
        <f ca="1">IFERROR(__xludf.DUMMYFUNCTION("""COMPUTED_VALUE"""),"https://www.linkedin.com/in/davihschoenar/")</f>
        <v>https://www.linkedin.com/in/davihschoenar/</v>
      </c>
      <c r="BX260" s="21" t="str">
        <f ca="1">IFERROR(__xludf.DUMMYFUNCTION("""COMPUTED_VALUE"""),"https://www.instagram.com/davihschoenar/")</f>
        <v>https://www.instagram.com/davihschoenar/</v>
      </c>
      <c r="BY260" s="21" t="str">
        <f ca="1">IFERROR(__xludf.DUMMYFUNCTION("""COMPUTED_VALUE"""),"https://drive.google.com/open?id=1w0HMeIkgg_Beu3Avu-vfkg6dFTDknm6Q")</f>
        <v>https://drive.google.com/open?id=1w0HMeIkgg_Beu3Avu-vfkg6dFTDknm6Q</v>
      </c>
    </row>
    <row r="261" spans="1:77" ht="12.5" hidden="1" x14ac:dyDescent="0.25">
      <c r="A261" s="21" t="str">
        <f ca="1">IFERROR(__xludf.DUMMYFUNCTION("""COMPUTED_VALUE"""),"0014X00002VKCrHQAX")</f>
        <v>0014X00002VKCrHQAX</v>
      </c>
      <c r="B261" s="27" t="str">
        <f ca="1">IFERROR(__xludf.DUMMYFUNCTION("""COMPUTED_VALUE"""),"Fase Inicial")</f>
        <v>Fase Inicial</v>
      </c>
      <c r="C261" s="27" t="str">
        <f ca="1">IFERROR(__xludf.DUMMYFUNCTION("""COMPUTED_VALUE"""),"Fellow")</f>
        <v>Fellow</v>
      </c>
      <c r="D261" s="27" t="str">
        <f ca="1">IFERROR(__xludf.DUMMYFUNCTION("""COMPUTED_VALUE"""),"Ativo")</f>
        <v>Ativo</v>
      </c>
      <c r="E261" s="27" t="str">
        <f ca="1">IFERROR(__xludf.DUMMYFUNCTION("""COMPUTED_VALUE"""),"ESCOLINHA DE FUTEBOL CRAQUE NA BOLA E CRAQUE NA ESCOLA")</f>
        <v>ESCOLINHA DE FUTEBOL CRAQUE NA BOLA E CRAQUE NA ESCOLA</v>
      </c>
      <c r="F261" s="27" t="str">
        <f ca="1">IFERROR(__xludf.DUMMYFUNCTION("""COMPUTED_VALUE"""),"Valdir")</f>
        <v>Valdir</v>
      </c>
      <c r="G261" s="27" t="str">
        <f ca="1">IFERROR(__xludf.DUMMYFUNCTION("""COMPUTED_VALUE"""),"ASSOCIACAO INSTITUTO SOCIAL DE ASSISTENCIA COMUNITARIA BRANDAO 10 - ISACB10")</f>
        <v>ASSOCIACAO INSTITUTO SOCIAL DE ASSISTENCIA COMUNITARIA BRANDAO 10 - ISACB10</v>
      </c>
      <c r="H261" s="27" t="str">
        <f ca="1">IFERROR(__xludf.DUMMYFUNCTION("""COMPUTED_VALUE"""),"47.601.294/0001-70")</f>
        <v>47.601.294/0001-70</v>
      </c>
      <c r="I261" s="27" t="str">
        <f ca="1">IFERROR(__xludf.DUMMYFUNCTION("""COMPUTED_VALUE"""),"Valdir Gonçalves brandão")</f>
        <v>Valdir Gonçalves brandão</v>
      </c>
      <c r="J261" s="27" t="str">
        <f ca="1">IFERROR(__xludf.DUMMYFUNCTION("""COMPUTED_VALUE"""),"valdiresportes7@gmail.com")</f>
        <v>valdiresportes7@gmail.com</v>
      </c>
      <c r="K261" s="27" t="str">
        <f ca="1">IFERROR(__xludf.DUMMYFUNCTION("""COMPUTED_VALUE"""),"(77)99978-8704")</f>
        <v>(77)99978-8704</v>
      </c>
      <c r="L261" s="27" t="str">
        <f ca="1">IFERROR(__xludf.DUMMYFUNCTION("""COMPUTED_VALUE"""),"BA")</f>
        <v>BA</v>
      </c>
      <c r="M261" s="27" t="str">
        <f ca="1">IFERROR(__xludf.DUMMYFUNCTION("""COMPUTED_VALUE"""),"Fazenda teiu")</f>
        <v>Fazenda teiu</v>
      </c>
      <c r="N261" s="27" t="str">
        <f ca="1">IFERROR(__xludf.DUMMYFUNCTION("""COMPUTED_VALUE"""),"Teiu")</f>
        <v>Teiu</v>
      </c>
      <c r="O261" s="27">
        <f ca="1">IFERROR(__xludf.DUMMYFUNCTION("""COMPUTED_VALUE"""),100)</f>
        <v>100</v>
      </c>
      <c r="P261" s="27" t="str">
        <f ca="1">IFERROR(__xludf.DUMMYFUNCTION("""COMPUTED_VALUE"""),"Paratinga")</f>
        <v>Paratinga</v>
      </c>
      <c r="Q261" s="27"/>
      <c r="R261" s="27" t="str">
        <f ca="1">IFERROR(__xludf.DUMMYFUNCTION("""COMPUTED_VALUE"""),"47500-000")</f>
        <v>47500-000</v>
      </c>
      <c r="S261" s="27"/>
      <c r="T261" s="27"/>
      <c r="U261" s="27" t="str">
        <f ca="1">IFERROR(__xludf.DUMMYFUNCTION("""COMPUTED_VALUE"""),"Crianças (6 a 12 anos), Adolescentes (12 aos 18 anos), Jovens (18 aos 24 anos), Adultos")</f>
        <v>Crianças (6 a 12 anos), Adolescentes (12 aos 18 anos), Jovens (18 aos 24 anos), Adultos</v>
      </c>
      <c r="V261" s="27" t="str">
        <f ca="1">IFERROR(__xludf.DUMMYFUNCTION("""COMPUTED_VALUE"""),"Quilombola, Afrodescendentes, Dependentes Químicos, Ribeirinhos, Comunidade rural")</f>
        <v>Quilombola, Afrodescendentes, Dependentes Químicos, Ribeirinhos, Comunidade rural</v>
      </c>
      <c r="W261" s="27">
        <f ca="1">IFERROR(__xludf.DUMMYFUNCTION("""COMPUTED_VALUE"""),3)</f>
        <v>3</v>
      </c>
      <c r="X261" s="27"/>
      <c r="Y261" s="27"/>
      <c r="Z261" s="27">
        <f ca="1">IFERROR(__xludf.DUMMYFUNCTION("""COMPUTED_VALUE"""),180)</f>
        <v>180</v>
      </c>
      <c r="AA261" s="29">
        <f ca="1">IFERROR(__xludf.DUMMYFUNCTION("""COMPUTED_VALUE"""),42353)</f>
        <v>42353</v>
      </c>
      <c r="AB261" s="27" t="str">
        <f ca="1">IFERROR(__xludf.DUMMYFUNCTION("""COMPUTED_VALUE"""),"Não")</f>
        <v>Não</v>
      </c>
      <c r="AC261" s="27">
        <f ca="1">IFERROR(__xludf.DUMMYFUNCTION("""COMPUTED_VALUE"""),0)</f>
        <v>0</v>
      </c>
      <c r="AD261" s="27">
        <f ca="1">IFERROR(__xludf.DUMMYFUNCTION("""COMPUTED_VALUE"""),2)</f>
        <v>2</v>
      </c>
      <c r="AE261" s="27">
        <f ca="1">IFERROR(__xludf.DUMMYFUNCTION("""COMPUTED_VALUE"""),5)</f>
        <v>5</v>
      </c>
      <c r="AF261" s="27">
        <f ca="1">IFERROR(__xludf.DUMMYFUNCTION("""COMPUTED_VALUE"""),2)</f>
        <v>2</v>
      </c>
      <c r="AG261" s="27">
        <f ca="1">IFERROR(__xludf.DUMMYFUNCTION("""COMPUTED_VALUE"""),3)</f>
        <v>3</v>
      </c>
      <c r="AH261" s="27" t="str">
        <f ca="1">IFERROR(__xludf.DUMMYFUNCTION("""COMPUTED_VALUE"""),"Negócio Social, Eventos/Ações para captação, Doações")</f>
        <v>Negócio Social, Eventos/Ações para captação, Doações</v>
      </c>
      <c r="AI261" s="27">
        <f ca="1">IFERROR(__xludf.DUMMYFUNCTION("""COMPUTED_VALUE"""),0)</f>
        <v>0</v>
      </c>
      <c r="AJ261" s="27" t="str">
        <f ca="1">IFERROR(__xludf.DUMMYFUNCTION("""COMPUTED_VALUE"""),"Não")</f>
        <v>Não</v>
      </c>
      <c r="AK261" s="27"/>
      <c r="AL261" s="21" t="str">
        <f ca="1">IFERROR(__xludf.DUMMYFUNCTION("""COMPUTED_VALUE"""),"0034X0000380O1n")</f>
        <v>0034X0000380O1n</v>
      </c>
      <c r="AM261" s="27" t="str">
        <f ca="1">IFERROR(__xludf.DUMMYFUNCTION("""COMPUTED_VALUE"""),"Gonçalves brandão")</f>
        <v>Gonçalves brandão</v>
      </c>
      <c r="AN261" s="27" t="str">
        <f ca="1">IFERROR(__xludf.DUMMYFUNCTION("""COMPUTED_VALUE"""),"Ativo")</f>
        <v>Ativo</v>
      </c>
      <c r="AO261" s="29">
        <f ca="1">IFERROR(__xludf.DUMMYFUNCTION("""COMPUTED_VALUE"""),44763)</f>
        <v>44763</v>
      </c>
      <c r="AP261" s="27">
        <f ca="1">IFERROR(__xludf.DUMMYFUNCTION("""COMPUTED_VALUE"""),2)</f>
        <v>2</v>
      </c>
      <c r="AQ261" s="27" t="str">
        <f ca="1">IFERROR(__xludf.DUMMYFUNCTION("""COMPUTED_VALUE"""),"Primeiro Semestre 2022")</f>
        <v>Primeiro Semestre 2022</v>
      </c>
      <c r="AR261" s="27" t="str">
        <f ca="1">IFERROR(__xludf.DUMMYFUNCTION("""COMPUTED_VALUE"""),"valdiresportes7@gmail.com")</f>
        <v>valdiresportes7@gmail.com</v>
      </c>
      <c r="AS261" s="27" t="str">
        <f ca="1">IFERROR(__xludf.DUMMYFUNCTION("""COMPUTED_VALUE"""),"(77)99978-8704")</f>
        <v>(77)99978-8704</v>
      </c>
      <c r="AT261" s="29">
        <f ca="1">IFERROR(__xludf.DUMMYFUNCTION("""COMPUTED_VALUE"""),29427)</f>
        <v>29427</v>
      </c>
      <c r="AU261" s="27">
        <f ca="1">IFERROR(__xludf.DUMMYFUNCTION("""COMPUTED_VALUE"""),42)</f>
        <v>42</v>
      </c>
      <c r="AV261" s="27">
        <f ca="1">IFERROR(__xludf.DUMMYFUNCTION("""COMPUTED_VALUE"""),714204528)</f>
        <v>714204528</v>
      </c>
      <c r="AW261" s="27">
        <f ca="1">IFERROR(__xludf.DUMMYFUNCTION("""COMPUTED_VALUE"""),1008399590)</f>
        <v>1008399590</v>
      </c>
      <c r="AX261" s="27"/>
      <c r="AY261" s="27" t="str">
        <f ca="1">IFERROR(__xludf.DUMMYFUNCTION("""COMPUTED_VALUE"""),"presidente")</f>
        <v>presidente</v>
      </c>
      <c r="AZ261" s="27" t="str">
        <f ca="1">IFERROR(__xludf.DUMMYFUNCTION("""COMPUTED_VALUE"""),"G")</f>
        <v>G</v>
      </c>
      <c r="BA261" s="27" t="str">
        <f ca="1">IFERROR(__xludf.DUMMYFUNCTION("""COMPUTED_VALUE"""),"Parda")</f>
        <v>Parda</v>
      </c>
      <c r="BB261" s="27"/>
      <c r="BC261" s="27"/>
      <c r="BD261" s="27" t="str">
        <f ca="1">IFERROR(__xludf.DUMMYFUNCTION("""COMPUTED_VALUE"""),"Sou Cristão, busco dentro da minha fé e convicção levar o conforto as pessoas que chegam até minha instituição, levando em consideração que todas as vidas importam.
Em minha vida sou aquele que vivenciou as dificuldades de viver em uma região
Onde tudo é "&amp;"mais difícil, onde as oportunidades chegam para poucos e onde crianças, jovens e adultos são adotados pelos vícios. Diante dessa situação me vi na responsabilidade de ser instrumento para o auxilio e resgate dessas pessoas.")</f>
        <v>Sou Cristão, busco dentro da minha fé e convicção levar o conforto as pessoas que chegam até minha instituição, levando em consideração que todas as vidas importam.
Em minha vida sou aquele que vivenciou as dificuldades de viver em uma região
Onde tudo é mais difícil, onde as oportunidades chegam para poucos e onde crianças, jovens e adultos são adotados pelos vícios. Diante dessa situação me vi na responsabilidade de ser instrumento para o auxilio e resgate dessas pessoas.</v>
      </c>
      <c r="BE261" s="27" t="str">
        <f ca="1">IFERROR(__xludf.DUMMYFUNCTION("""COMPUTED_VALUE"""),"Homem, cisgênero")</f>
        <v>Homem, cisgênero</v>
      </c>
      <c r="BF261" s="27" t="str">
        <f ca="1">IFERROR(__xludf.DUMMYFUNCTION("""COMPUTED_VALUE"""),"Heterossexual")</f>
        <v>Heterossexual</v>
      </c>
      <c r="BG261" s="27" t="str">
        <f ca="1">IFERROR(__xludf.DUMMYFUNCTION("""COMPUTED_VALUE"""),"Ensino Médio - Completo")</f>
        <v>Ensino Médio - Completo</v>
      </c>
      <c r="BH261" s="27" t="str">
        <f ca="1">IFERROR(__xludf.DUMMYFUNCTION("""COMPUTED_VALUE"""),"Público")</f>
        <v>Público</v>
      </c>
      <c r="BI261" s="27"/>
      <c r="BJ261" s="27"/>
      <c r="BK261" s="27" t="str">
        <f ca="1">IFERROR(__xludf.DUMMYFUNCTION("""COMPUTED_VALUE"""),"fazenda teiu")</f>
        <v>fazenda teiu</v>
      </c>
      <c r="BL261" s="27">
        <f ca="1">IFERROR(__xludf.DUMMYFUNCTION("""COMPUTED_VALUE"""),100)</f>
        <v>100</v>
      </c>
      <c r="BM261" s="27"/>
      <c r="BN261" s="27" t="str">
        <f ca="1">IFERROR(__xludf.DUMMYFUNCTION("""COMPUTED_VALUE"""),"Paratinga")</f>
        <v>Paratinga</v>
      </c>
      <c r="BO261" s="27" t="str">
        <f ca="1">IFERROR(__xludf.DUMMYFUNCTION("""COMPUTED_VALUE"""),"47500-000")</f>
        <v>47500-000</v>
      </c>
      <c r="BP261" s="27" t="str">
        <f ca="1">IFERROR(__xludf.DUMMYFUNCTION("""COMPUTED_VALUE"""),"BA")</f>
        <v>BA</v>
      </c>
      <c r="BQ261" s="27" t="str">
        <f ca="1">IFERROR(__xludf.DUMMYFUNCTION("""COMPUTED_VALUE"""),"Entre 1 até 3 salários mínimos")</f>
        <v>Entre 1 até 3 salários mínimos</v>
      </c>
      <c r="BR261" s="27" t="str">
        <f ca="1">IFERROR(__xludf.DUMMYFUNCTION("""COMPUTED_VALUE"""),"Desempregado")</f>
        <v>Desempregado</v>
      </c>
      <c r="BS261" s="27" t="str">
        <f ca="1">IFERROR(__xludf.DUMMYFUNCTION("""COMPUTED_VALUE"""),"Casa própria")</f>
        <v>Casa própria</v>
      </c>
      <c r="BT261" s="27">
        <f ca="1">IFERROR(__xludf.DUMMYFUNCTION("""COMPUTED_VALUE"""),4)</f>
        <v>4</v>
      </c>
      <c r="BU261" s="27" t="str">
        <f ca="1">IFERROR(__xludf.DUMMYFUNCTION("""COMPUTED_VALUE"""),"Não tem")</f>
        <v>Não tem</v>
      </c>
      <c r="BV261" s="27" t="str">
        <f ca="1">IFERROR(__xludf.DUMMYFUNCTION("""COMPUTED_VALUE"""),"Não")</f>
        <v>Não</v>
      </c>
      <c r="BW261" s="21" t="str">
        <f ca="1">IFERROR(__xludf.DUMMYFUNCTION("""COMPUTED_VALUE"""),"https://www.linkedin.com/in/valdir-brand%C3%A3o-50468b241/")</f>
        <v>https://www.linkedin.com/in/valdir-brand%C3%A3o-50468b241/</v>
      </c>
      <c r="BX261" s="21" t="str">
        <f ca="1">IFERROR(__xludf.DUMMYFUNCTION("""COMPUTED_VALUE"""),"https://www.instagram.com/institutobrandao10/?hl=pt-br")</f>
        <v>https://www.instagram.com/institutobrandao10/?hl=pt-br</v>
      </c>
      <c r="BY261" s="21" t="str">
        <f ca="1">IFERROR(__xludf.DUMMYFUNCTION("""COMPUTED_VALUE"""),"https://drive.google.com/open?id=10BU7j0TwYfVdCuljIv7JOKco0PI0iHne")</f>
        <v>https://drive.google.com/open?id=10BU7j0TwYfVdCuljIv7JOKco0PI0iHne</v>
      </c>
    </row>
    <row r="262" spans="1:77" ht="12.5" hidden="1" x14ac:dyDescent="0.25">
      <c r="A262" s="21" t="str">
        <f ca="1">IFERROR(__xludf.DUMMYFUNCTION("""COMPUTED_VALUE"""),"0014P00003YSp92QAD")</f>
        <v>0014P00003YSp92QAD</v>
      </c>
      <c r="B262" s="27" t="str">
        <f ca="1">IFERROR(__xludf.DUMMYFUNCTION("""COMPUTED_VALUE"""),"Fase Inicial")</f>
        <v>Fase Inicial</v>
      </c>
      <c r="C262" s="27" t="str">
        <f ca="1">IFERROR(__xludf.DUMMYFUNCTION("""COMPUTED_VALUE"""),"Fellow")</f>
        <v>Fellow</v>
      </c>
      <c r="D262" s="27" t="str">
        <f ca="1">IFERROR(__xludf.DUMMYFUNCTION("""COMPUTED_VALUE"""),"Ativo")</f>
        <v>Ativo</v>
      </c>
      <c r="E262" s="27" t="str">
        <f ca="1">IFERROR(__xludf.DUMMYFUNCTION("""COMPUTED_VALUE"""),"Espaço Cultural Nova Bonsucesso")</f>
        <v>Espaço Cultural Nova Bonsucesso</v>
      </c>
      <c r="F262" s="27" t="str">
        <f ca="1">IFERROR(__xludf.DUMMYFUNCTION("""COMPUTED_VALUE"""),"Leda")</f>
        <v>Leda</v>
      </c>
      <c r="G262" s="27"/>
      <c r="H262" s="27" t="str">
        <f ca="1">IFERROR(__xludf.DUMMYFUNCTION("""COMPUTED_VALUE"""),"40.255.912/0001-29")</f>
        <v>40.255.912/0001-29</v>
      </c>
      <c r="I262" s="27" t="str">
        <f ca="1">IFERROR(__xludf.DUMMYFUNCTION("""COMPUTED_VALUE"""),"Luiz Carlos de Oliveira")</f>
        <v>Luiz Carlos de Oliveira</v>
      </c>
      <c r="J262" s="27" t="str">
        <f ca="1">IFERROR(__xludf.DUMMYFUNCTION("""COMPUTED_VALUE"""),"ecultural20@gmail.com")</f>
        <v>ecultural20@gmail.com</v>
      </c>
      <c r="K262" s="27" t="str">
        <f ca="1">IFERROR(__xludf.DUMMYFUNCTION("""COMPUTED_VALUE"""),"(11)99339-2539")</f>
        <v>(11)99339-2539</v>
      </c>
      <c r="L262" s="27" t="str">
        <f ca="1">IFERROR(__xludf.DUMMYFUNCTION("""COMPUTED_VALUE"""),"SP")</f>
        <v>SP</v>
      </c>
      <c r="M262" s="27" t="str">
        <f ca="1">IFERROR(__xludf.DUMMYFUNCTION("""COMPUTED_VALUE"""),"Rua Aracitaba, 340")</f>
        <v>Rua Aracitaba, 340</v>
      </c>
      <c r="N262" s="27" t="str">
        <f ca="1">IFERROR(__xludf.DUMMYFUNCTION("""COMPUTED_VALUE"""),"Nova Bonsucesso")</f>
        <v>Nova Bonsucesso</v>
      </c>
      <c r="O262" s="27">
        <f ca="1">IFERROR(__xludf.DUMMYFUNCTION("""COMPUTED_VALUE"""),340)</f>
        <v>340</v>
      </c>
      <c r="P262" s="27" t="str">
        <f ca="1">IFERROR(__xludf.DUMMYFUNCTION("""COMPUTED_VALUE"""),"Guarulhos")</f>
        <v>Guarulhos</v>
      </c>
      <c r="Q262" s="27" t="str">
        <f ca="1">IFERROR(__xludf.DUMMYFUNCTION("""COMPUTED_VALUE"""),"endereço rescente")</f>
        <v>endereço rescente</v>
      </c>
      <c r="R262" s="27" t="str">
        <f ca="1">IFERROR(__xludf.DUMMYFUNCTION("""COMPUTED_VALUE"""),"07176-371")</f>
        <v>07176-371</v>
      </c>
      <c r="S262" s="27"/>
      <c r="T262" s="27" t="str">
        <f ca="1">IFERROR(__xludf.DUMMYFUNCTION("""COMPUTED_VALUE"""),"Esporte; Educação; Empregabilidade; Assistência Social; Cultura; Qualificação Profissional; Empreendedorismo; Negócios Sociais; Defesa de Direitos; Desenvolvimento comunitário")</f>
        <v>Esporte; Educação; Empregabilidade; Assistência Social; Cultura; Qualificação Profissional; Empreendedorismo; Negócios Sociais; Defesa de Direitos; Desenvolvimento comunitário</v>
      </c>
      <c r="U262" s="27" t="str">
        <f ca="1">IFERROR(__xludf.DUMMYFUNCTION("""COMPUTED_VALUE"""),"Crianças (6 a 12 anos); Adolescentes (12 aos 18 anos); Jovens (18 aos 24 anos); Adultos")</f>
        <v>Crianças (6 a 12 anos); Adolescentes (12 aos 18 anos); Jovens (18 aos 24 anos); Adultos</v>
      </c>
      <c r="V262" s="27" t="str">
        <f ca="1">IFERROR(__xludf.DUMMYFUNCTION("""COMPUTED_VALUE"""),"Moradores de Favelas")</f>
        <v>Moradores de Favelas</v>
      </c>
      <c r="W262" s="27">
        <f ca="1">IFERROR(__xludf.DUMMYFUNCTION("""COMPUTED_VALUE"""),4)</f>
        <v>4</v>
      </c>
      <c r="X262" s="27" t="str">
        <f ca="1">IFERROR(__xludf.DUMMYFUNCTION("""COMPUTED_VALUE"""),"São crianças e adolescentes em situação de vulnerabilidade social")</f>
        <v>São crianças e adolescentes em situação de vulnerabilidade social</v>
      </c>
      <c r="Y262" s="27"/>
      <c r="Z262" s="27">
        <f ca="1">IFERROR(__xludf.DUMMYFUNCTION("""COMPUTED_VALUE"""),453)</f>
        <v>453</v>
      </c>
      <c r="AA262" s="30">
        <f ca="1">IFERROR(__xludf.DUMMYFUNCTION("""COMPUTED_VALUE"""),43838)</f>
        <v>43838</v>
      </c>
      <c r="AB262" s="27" t="str">
        <f ca="1">IFERROR(__xludf.DUMMYFUNCTION("""COMPUTED_VALUE"""),"Sim")</f>
        <v>Sim</v>
      </c>
      <c r="AC262" s="27">
        <f ca="1">IFERROR(__xludf.DUMMYFUNCTION("""COMPUTED_VALUE"""),2)</f>
        <v>2</v>
      </c>
      <c r="AD262" s="27">
        <f ca="1">IFERROR(__xludf.DUMMYFUNCTION("""COMPUTED_VALUE"""),2)</f>
        <v>2</v>
      </c>
      <c r="AE262" s="27">
        <f ca="1">IFERROR(__xludf.DUMMYFUNCTION("""COMPUTED_VALUE"""),22)</f>
        <v>22</v>
      </c>
      <c r="AF262" s="27">
        <f ca="1">IFERROR(__xludf.DUMMYFUNCTION("""COMPUTED_VALUE"""),5)</f>
        <v>5</v>
      </c>
      <c r="AG262" s="27">
        <f ca="1">IFERROR(__xludf.DUMMYFUNCTION("""COMPUTED_VALUE"""),2)</f>
        <v>2</v>
      </c>
      <c r="AH262" s="27" t="str">
        <f ca="1">IFERROR(__xludf.DUMMYFUNCTION("""COMPUTED_VALUE"""),"Negócio Social; Eventos/Ações para captação; Doações")</f>
        <v>Negócio Social; Eventos/Ações para captação; Doações</v>
      </c>
      <c r="AI262" s="27">
        <f ca="1">IFERROR(__xludf.DUMMYFUNCTION("""COMPUTED_VALUE"""),0)</f>
        <v>0</v>
      </c>
      <c r="AJ262" s="27"/>
      <c r="AK262" s="27"/>
      <c r="AL262" s="21" t="str">
        <f ca="1">IFERROR(__xludf.DUMMYFUNCTION("""COMPUTED_VALUE"""),"0034P000045kxje")</f>
        <v>0034P000045kxje</v>
      </c>
      <c r="AM262" s="27" t="str">
        <f ca="1">IFERROR(__xludf.DUMMYFUNCTION("""COMPUTED_VALUE"""),"Brito Dos Santos")</f>
        <v>Brito Dos Santos</v>
      </c>
      <c r="AN262" s="27" t="str">
        <f ca="1">IFERROR(__xludf.DUMMYFUNCTION("""COMPUTED_VALUE"""),"Ativo")</f>
        <v>Ativo</v>
      </c>
      <c r="AO262" s="29">
        <f ca="1">IFERROR(__xludf.DUMMYFUNCTION("""COMPUTED_VALUE"""),44551)</f>
        <v>44551</v>
      </c>
      <c r="AP262" s="27">
        <f ca="1">IFERROR(__xludf.DUMMYFUNCTION("""COMPUTED_VALUE"""),9)</f>
        <v>9</v>
      </c>
      <c r="AQ262" s="27" t="str">
        <f ca="1">IFERROR(__xludf.DUMMYFUNCTION("""COMPUTED_VALUE"""),"Segundo Semestre 2021")</f>
        <v>Segundo Semestre 2021</v>
      </c>
      <c r="AR262" s="27" t="str">
        <f ca="1">IFERROR(__xludf.DUMMYFUNCTION("""COMPUTED_VALUE"""),"ledasantosbahia@gmail.com")</f>
        <v>ledasantosbahia@gmail.com</v>
      </c>
      <c r="AS262" s="27" t="str">
        <f ca="1">IFERROR(__xludf.DUMMYFUNCTION("""COMPUTED_VALUE"""),"(11)99339-2539")</f>
        <v>(11)99339-2539</v>
      </c>
      <c r="AT262" s="29">
        <f ca="1">IFERROR(__xludf.DUMMYFUNCTION("""COMPUTED_VALUE"""),28303)</f>
        <v>28303</v>
      </c>
      <c r="AU262" s="27">
        <f ca="1">IFERROR(__xludf.DUMMYFUNCTION("""COMPUTED_VALUE"""),45)</f>
        <v>45</v>
      </c>
      <c r="AV262" s="27">
        <f ca="1">IFERROR(__xludf.DUMMYFUNCTION("""COMPUTED_VALUE"""),26388793800)</f>
        <v>26388793800</v>
      </c>
      <c r="AW262" s="27" t="str">
        <f ca="1">IFERROR(__xludf.DUMMYFUNCTION("""COMPUTED_VALUE"""),"28212188-2")</f>
        <v>28212188-2</v>
      </c>
      <c r="AX262" s="27"/>
      <c r="AY262" s="27"/>
      <c r="AZ262" s="27" t="str">
        <f ca="1">IFERROR(__xludf.DUMMYFUNCTION("""COMPUTED_VALUE"""),"G")</f>
        <v>G</v>
      </c>
      <c r="BA262" s="27" t="str">
        <f ca="1">IFERROR(__xludf.DUMMYFUNCTION("""COMPUTED_VALUE"""),"Parda")</f>
        <v>Parda</v>
      </c>
      <c r="BB262" s="27" t="str">
        <f ca="1">IFERROR(__xludf.DUMMYFUNCTION("""COMPUTED_VALUE"""),"Mulher, cisgênero")</f>
        <v>Mulher, cisgênero</v>
      </c>
      <c r="BC262" s="27" t="str">
        <f ca="1">IFERROR(__xludf.DUMMYFUNCTION("""COMPUTED_VALUE"""),"Sim")</f>
        <v>Sim</v>
      </c>
      <c r="BD262" s="27" t="str">
        <f ca="1">IFERROR(__xludf.DUMMYFUNCTION("""COMPUTED_VALUE"""),"Leda Brito, líder e fundadora do Espaço Cultural Nova Bonsucesso. Casada, mãe de 2 filhos, nascida em Feira de Santana, Bahia e como muitos retirantes deixei minha terra natal em busca de uma vida melhor. Chegando aqui em 1989, São Paulo percebi que as de"&amp;"sigualdades sociais eram as mesmas. Inconformada com tal situação, voltei a estudarem 2016 onde fiz minha primeira graduação em Licenciatura em Pedagogia, logo decidi 
 pontar uma Associação para amenizar as dores dos meus vizinhos.")</f>
        <v>Leda Brito, líder e fundadora do Espaço Cultural Nova Bonsucesso. Casada, mãe de 2 filhos, nascida em Feira de Santana, Bahia e como muitos retirantes deixei minha terra natal em busca de uma vida melhor. Chegando aqui em 1989, São Paulo percebi que as desigualdades sociais eram as mesmas. Inconformada com tal situação, voltei a estudarem 2016 onde fiz minha primeira graduação em Licenciatura em Pedagogia, logo decidi 
 pontar uma Associação para amenizar as dores dos meus vizinhos.</v>
      </c>
      <c r="BE262" s="27"/>
      <c r="BF262" s="27" t="str">
        <f ca="1">IFERROR(__xludf.DUMMYFUNCTION("""COMPUTED_VALUE"""),"Heterossexual")</f>
        <v>Heterossexual</v>
      </c>
      <c r="BG262" s="27" t="str">
        <f ca="1">IFERROR(__xludf.DUMMYFUNCTION("""COMPUTED_VALUE"""),"Ensino Superior - Completo")</f>
        <v>Ensino Superior - Completo</v>
      </c>
      <c r="BH262" s="27" t="str">
        <f ca="1">IFERROR(__xludf.DUMMYFUNCTION("""COMPUTED_VALUE"""),"Público")</f>
        <v>Público</v>
      </c>
      <c r="BI262" s="27" t="str">
        <f ca="1">IFERROR(__xludf.DUMMYFUNCTION("""COMPUTED_VALUE"""),"Graduação")</f>
        <v>Graduação</v>
      </c>
      <c r="BJ262" s="27" t="str">
        <f ca="1">IFERROR(__xludf.DUMMYFUNCTION("""COMPUTED_VALUE"""),"Privado")</f>
        <v>Privado</v>
      </c>
      <c r="BK262" s="27" t="str">
        <f ca="1">IFERROR(__xludf.DUMMYFUNCTION("""COMPUTED_VALUE"""),"Tenry")</f>
        <v>Tenry</v>
      </c>
      <c r="BL262" s="27">
        <f ca="1">IFERROR(__xludf.DUMMYFUNCTION("""COMPUTED_VALUE"""),175)</f>
        <v>175</v>
      </c>
      <c r="BM262" s="27" t="str">
        <f ca="1">IFERROR(__xludf.DUMMYFUNCTION("""COMPUTED_VALUE"""),"bloco 3C, ap 44")</f>
        <v>bloco 3C, ap 44</v>
      </c>
      <c r="BN262" s="27" t="str">
        <f ca="1">IFERROR(__xludf.DUMMYFUNCTION("""COMPUTED_VALUE"""),"Guarulhos")</f>
        <v>Guarulhos</v>
      </c>
      <c r="BO262" s="27" t="str">
        <f ca="1">IFERROR(__xludf.DUMMYFUNCTION("""COMPUTED_VALUE"""),"07176-455")</f>
        <v>07176-455</v>
      </c>
      <c r="BP262" s="27" t="str">
        <f ca="1">IFERROR(__xludf.DUMMYFUNCTION("""COMPUTED_VALUE"""),"SP")</f>
        <v>SP</v>
      </c>
      <c r="BQ262" s="27" t="str">
        <f ca="1">IFERROR(__xludf.DUMMYFUNCTION("""COMPUTED_VALUE"""),"Entre 1 até 3 salários mínimos")</f>
        <v>Entre 1 até 3 salários mínimos</v>
      </c>
      <c r="BR262" s="27" t="str">
        <f ca="1">IFERROR(__xludf.DUMMYFUNCTION("""COMPUTED_VALUE"""),"CLT")</f>
        <v>CLT</v>
      </c>
      <c r="BS262" s="27" t="str">
        <f ca="1">IFERROR(__xludf.DUMMYFUNCTION("""COMPUTED_VALUE"""),"Casa própria")</f>
        <v>Casa própria</v>
      </c>
      <c r="BT262" s="27">
        <f ca="1">IFERROR(__xludf.DUMMYFUNCTION("""COMPUTED_VALUE"""),2)</f>
        <v>2</v>
      </c>
      <c r="BU262" s="27" t="str">
        <f ca="1">IFERROR(__xludf.DUMMYFUNCTION("""COMPUTED_VALUE"""),"Não tem")</f>
        <v>Não tem</v>
      </c>
      <c r="BV262" s="27"/>
      <c r="BW262" s="27" t="str">
        <f ca="1">IFERROR(__xludf.DUMMYFUNCTION("""COMPUTED_VALUE"""),"não tenho")</f>
        <v>não tenho</v>
      </c>
      <c r="BX262" s="21" t="str">
        <f ca="1">IFERROR(__xludf.DUMMYFUNCTION("""COMPUTED_VALUE"""),"https://www.instagram.com/ledabritodos/")</f>
        <v>https://www.instagram.com/ledabritodos/</v>
      </c>
      <c r="BY262" s="21" t="str">
        <f ca="1">IFERROR(__xludf.DUMMYFUNCTION("""COMPUTED_VALUE"""),"https://drive.google.com/open?id=1G8weItdmvo3bWZTbPvteV4dNycEqznAQ")</f>
        <v>https://drive.google.com/open?id=1G8weItdmvo3bWZTbPvteV4dNycEqznAQ</v>
      </c>
    </row>
    <row r="263" spans="1:77" ht="12.5" x14ac:dyDescent="0.25">
      <c r="A263" s="21" t="str">
        <f ca="1">IFERROR(__xludf.DUMMYFUNCTION("""COMPUTED_VALUE"""),"0014P00003SGWPTQA5")</f>
        <v>0014P00003SGWPTQA5</v>
      </c>
      <c r="B263" s="27" t="str">
        <f ca="1">IFERROR(__xludf.DUMMYFUNCTION("""COMPUTED_VALUE"""),"Fase Inicial")</f>
        <v>Fase Inicial</v>
      </c>
      <c r="C263" s="27" t="str">
        <f ca="1">IFERROR(__xludf.DUMMYFUNCTION("""COMPUTED_VALUE"""),"Fellow")</f>
        <v>Fellow</v>
      </c>
      <c r="D263" s="27" t="str">
        <f ca="1">IFERROR(__xludf.DUMMYFUNCTION("""COMPUTED_VALUE"""),"Ativo")</f>
        <v>Ativo</v>
      </c>
      <c r="E263" s="27" t="str">
        <f ca="1">IFERROR(__xludf.DUMMYFUNCTION("""COMPUTED_VALUE"""),"ESPAÇO DE ACOLHIMENTO DA CRIANÇA E DO ADOLESCENTE - EACA")</f>
        <v>ESPAÇO DE ACOLHIMENTO DA CRIANÇA E DO ADOLESCENTE - EACA</v>
      </c>
      <c r="F263" s="27" t="str">
        <f ca="1">IFERROR(__xludf.DUMMYFUNCTION("""COMPUTED_VALUE"""),"Claudia")</f>
        <v>Claudia</v>
      </c>
      <c r="G263" s="27" t="str">
        <f ca="1">IFERROR(__xludf.DUMMYFUNCTION("""COMPUTED_VALUE"""),"EACA")</f>
        <v>EACA</v>
      </c>
      <c r="H263" s="27" t="str">
        <f ca="1">IFERROR(__xludf.DUMMYFUNCTION("""COMPUTED_VALUE"""),"17.074.109/0001-76")</f>
        <v>17.074.109/0001-76</v>
      </c>
      <c r="I263" s="27" t="str">
        <f ca="1">IFERROR(__xludf.DUMMYFUNCTION("""COMPUTED_VALUE"""),"Claudia Souza Da Silva")</f>
        <v>Claudia Souza Da Silva</v>
      </c>
      <c r="J263" s="27" t="str">
        <f ca="1">IFERROR(__xludf.DUMMYFUNCTION("""COMPUTED_VALUE"""),"eacainstituto@gmail.com")</f>
        <v>eacainstituto@gmail.com</v>
      </c>
      <c r="K263" s="27" t="str">
        <f ca="1">IFERROR(__xludf.DUMMYFUNCTION("""COMPUTED_VALUE"""),"(21)98469-7301")</f>
        <v>(21)98469-7301</v>
      </c>
      <c r="L263" s="27" t="str">
        <f ca="1">IFERROR(__xludf.DUMMYFUNCTION("""COMPUTED_VALUE"""),"RJ")</f>
        <v>RJ</v>
      </c>
      <c r="M263" s="27" t="str">
        <f ca="1">IFERROR(__xludf.DUMMYFUNCTION("""COMPUTED_VALUE"""),"Estrada do Itararé")</f>
        <v>Estrada do Itararé</v>
      </c>
      <c r="N263" s="27" t="str">
        <f ca="1">IFERROR(__xludf.DUMMYFUNCTION("""COMPUTED_VALUE"""),"Ramos")</f>
        <v>Ramos</v>
      </c>
      <c r="O263" s="27" t="str">
        <f ca="1">IFERROR(__xludf.DUMMYFUNCTION("""COMPUTED_VALUE"""),"(21)8469-7301")</f>
        <v>(21)8469-7301</v>
      </c>
      <c r="P263" s="27" t="str">
        <f ca="1">IFERROR(__xludf.DUMMYFUNCTION("""COMPUTED_VALUE"""),"Rio de Janeiro")</f>
        <v>Rio de Janeiro</v>
      </c>
      <c r="Q263" s="27" t="str">
        <f ca="1">IFERROR(__xludf.DUMMYFUNCTION("""COMPUTED_VALUE"""),"Anexo 2")</f>
        <v>Anexo 2</v>
      </c>
      <c r="R263" s="27" t="str">
        <f ca="1">IFERROR(__xludf.DUMMYFUNCTION("""COMPUTED_VALUE"""),"21061-240")</f>
        <v>21061-240</v>
      </c>
      <c r="S263" s="27" t="str">
        <f ca="1">IFERROR(__xludf.DUMMYFUNCTION("""COMPUTED_VALUE"""),"Rua Roberto Silva 726 - Ramos - Cep: 21060-230")</f>
        <v>Rua Roberto Silva 726 - Ramos - Cep: 21060-230</v>
      </c>
      <c r="T263" s="27" t="str">
        <f ca="1">IFERROR(__xludf.DUMMYFUNCTION("""COMPUTED_VALUE"""),"Esporte; Assistência Social; Cultura; Saúde; Assistência Psicológica")</f>
        <v>Esporte; Assistência Social; Cultura; Saúde; Assistência Psicológica</v>
      </c>
      <c r="U263" s="27" t="str">
        <f ca="1">IFERROR(__xludf.DUMMYFUNCTION("""COMPUTED_VALUE"""),"Crianças (6 a 12 anos); Adolescentes (12 aos 18 anos); Jovens (18 aos 24 anos); Adultos")</f>
        <v>Crianças (6 a 12 anos); Adolescentes (12 aos 18 anos); Jovens (18 aos 24 anos); Adultos</v>
      </c>
      <c r="V263" s="27" t="str">
        <f ca="1">IFERROR(__xludf.DUMMYFUNCTION("""COMPUTED_VALUE"""),"Moradores de Favelas; Dependentes Químicos")</f>
        <v>Moradores de Favelas; Dependentes Químicos</v>
      </c>
      <c r="W263" s="27">
        <f ca="1">IFERROR(__xludf.DUMMYFUNCTION("""COMPUTED_VALUE"""),7)</f>
        <v>7</v>
      </c>
      <c r="X263" s="27" t="str">
        <f ca="1">IFERROR(__xludf.DUMMYFUNCTION("""COMPUTED_VALUE"""),"Atendemos também as famílias de alunos com psicoterapia.")</f>
        <v>Atendemos também as famílias de alunos com psicoterapia.</v>
      </c>
      <c r="Y263" s="27">
        <f ca="1">IFERROR(__xludf.DUMMYFUNCTION("""COMPUTED_VALUE"""),30)</f>
        <v>30</v>
      </c>
      <c r="Z263" s="27">
        <f ca="1">IFERROR(__xludf.DUMMYFUNCTION("""COMPUTED_VALUE"""),800)</f>
        <v>800</v>
      </c>
      <c r="AA263" s="29">
        <f ca="1">IFERROR(__xludf.DUMMYFUNCTION("""COMPUTED_VALUE"""),41253)</f>
        <v>41253</v>
      </c>
      <c r="AB263" s="27" t="str">
        <f ca="1">IFERROR(__xludf.DUMMYFUNCTION("""COMPUTED_VALUE"""),"Sim")</f>
        <v>Sim</v>
      </c>
      <c r="AC263" s="27">
        <f ca="1">IFERROR(__xludf.DUMMYFUNCTION("""COMPUTED_VALUE"""),0)</f>
        <v>0</v>
      </c>
      <c r="AD263" s="27">
        <f ca="1">IFERROR(__xludf.DUMMYFUNCTION("""COMPUTED_VALUE"""),0)</f>
        <v>0</v>
      </c>
      <c r="AE263" s="27">
        <f ca="1">IFERROR(__xludf.DUMMYFUNCTION("""COMPUTED_VALUE"""),8)</f>
        <v>8</v>
      </c>
      <c r="AF263" s="27">
        <f ca="1">IFERROR(__xludf.DUMMYFUNCTION("""COMPUTED_VALUE"""),3)</f>
        <v>3</v>
      </c>
      <c r="AG263" s="27">
        <f ca="1">IFERROR(__xludf.DUMMYFUNCTION("""COMPUTED_VALUE"""),1)</f>
        <v>1</v>
      </c>
      <c r="AH263" s="27" t="str">
        <f ca="1">IFERROR(__xludf.DUMMYFUNCTION("""COMPUTED_VALUE"""),"Negócio Social; Doações; Recursos próprios")</f>
        <v>Negócio Social; Doações; Recursos próprios</v>
      </c>
      <c r="AI263" s="27">
        <f ca="1">IFERROR(__xludf.DUMMYFUNCTION("""COMPUTED_VALUE"""),1)</f>
        <v>1</v>
      </c>
      <c r="AJ263" s="27" t="str">
        <f ca="1">IFERROR(__xludf.DUMMYFUNCTION("""COMPUTED_VALUE"""),"Sim")</f>
        <v>Sim</v>
      </c>
      <c r="AK263" s="27" t="str">
        <f ca="1">IFERROR(__xludf.DUMMYFUNCTION("""COMPUTED_VALUE"""),"Não")</f>
        <v>Não</v>
      </c>
      <c r="AL263" s="21" t="str">
        <f ca="1">IFERROR(__xludf.DUMMYFUNCTION("""COMPUTED_VALUE"""),"0034P000043fOna")</f>
        <v>0034P000043fOna</v>
      </c>
      <c r="AM263" s="27" t="str">
        <f ca="1">IFERROR(__xludf.DUMMYFUNCTION("""COMPUTED_VALUE"""),"Souza Da Silva")</f>
        <v>Souza Da Silva</v>
      </c>
      <c r="AN263" s="27" t="str">
        <f ca="1">IFERROR(__xludf.DUMMYFUNCTION("""COMPUTED_VALUE"""),"Ativo")</f>
        <v>Ativo</v>
      </c>
      <c r="AO263" s="30">
        <f ca="1">IFERROR(__xludf.DUMMYFUNCTION("""COMPUTED_VALUE"""),44432)</f>
        <v>44432</v>
      </c>
      <c r="AP263" s="27">
        <f ca="1">IFERROR(__xludf.DUMMYFUNCTION("""COMPUTED_VALUE"""),13)</f>
        <v>13</v>
      </c>
      <c r="AQ263" s="27" t="str">
        <f ca="1">IFERROR(__xludf.DUMMYFUNCTION("""COMPUTED_VALUE"""),"Primeiro Semestre 2021")</f>
        <v>Primeiro Semestre 2021</v>
      </c>
      <c r="AR263" s="27" t="str">
        <f ca="1">IFERROR(__xludf.DUMMYFUNCTION("""COMPUTED_VALUE"""),"claudiasouacs@gmail.com")</f>
        <v>claudiasouacs@gmail.com</v>
      </c>
      <c r="AS263" s="27" t="str">
        <f ca="1">IFERROR(__xludf.DUMMYFUNCTION("""COMPUTED_VALUE"""),"(21)8469-7301")</f>
        <v>(21)8469-7301</v>
      </c>
      <c r="AT263" s="29">
        <f ca="1">IFERROR(__xludf.DUMMYFUNCTION("""COMPUTED_VALUE"""),26171)</f>
        <v>26171</v>
      </c>
      <c r="AU263" s="27">
        <f ca="1">IFERROR(__xludf.DUMMYFUNCTION("""COMPUTED_VALUE"""),51)</f>
        <v>51</v>
      </c>
      <c r="AV263" s="27">
        <f ca="1">IFERROR(__xludf.DUMMYFUNCTION("""COMPUTED_VALUE"""),2096782759)</f>
        <v>2096782759</v>
      </c>
      <c r="AW263" s="27">
        <f ca="1">IFERROR(__xludf.DUMMYFUNCTION("""COMPUTED_VALUE"""),103827135)</f>
        <v>103827135</v>
      </c>
      <c r="AX263" s="27" t="str">
        <f ca="1">IFERROR(__xludf.DUMMYFUNCTION("""COMPUTED_VALUE"""),"Psicologia")</f>
        <v>Psicologia</v>
      </c>
      <c r="AY263" s="27"/>
      <c r="AZ263" s="27" t="str">
        <f ca="1">IFERROR(__xludf.DUMMYFUNCTION("""COMPUTED_VALUE"""),"M")</f>
        <v>M</v>
      </c>
      <c r="BA263" s="27" t="str">
        <f ca="1">IFERROR(__xludf.DUMMYFUNCTION("""COMPUTED_VALUE"""),"Parda")</f>
        <v>Parda</v>
      </c>
      <c r="BB263" s="27"/>
      <c r="BC263" s="27" t="str">
        <f ca="1">IFERROR(__xludf.DUMMYFUNCTION("""COMPUTED_VALUE"""),"Sim")</f>
        <v>Sim</v>
      </c>
      <c r="BD263" s="27" t="str">
        <f ca="1">IFERROR(__xludf.DUMMYFUNCTION("""COMPUTED_VALUE"""),"Atuando no Complexo do Alemão há 20 anos, sinto orgulho de dizer que somos uma OnG que se empenha em cuidar da saúde física e mental dos atendidos. Temos um trabalho constante e conhecido nesse lugar, pois buscamos atender as  famílias em todas as necessi"&amp;"dades.")</f>
        <v>Atuando no Complexo do Alemão há 20 anos, sinto orgulho de dizer que somos uma OnG que se empenha em cuidar da saúde física e mental dos atendidos. Temos um trabalho constante e conhecido nesse lugar, pois buscamos atender as  famílias em todas as necessidades.</v>
      </c>
      <c r="BE263" s="27" t="str">
        <f ca="1">IFERROR(__xludf.DUMMYFUNCTION("""COMPUTED_VALUE"""),"Feminino")</f>
        <v>Feminino</v>
      </c>
      <c r="BF263" s="27" t="str">
        <f ca="1">IFERROR(__xludf.DUMMYFUNCTION("""COMPUTED_VALUE"""),"Heterossexual")</f>
        <v>Heterossexual</v>
      </c>
      <c r="BG263" s="27" t="str">
        <f ca="1">IFERROR(__xludf.DUMMYFUNCTION("""COMPUTED_VALUE"""),"Ensino Superior - Completo")</f>
        <v>Ensino Superior - Completo</v>
      </c>
      <c r="BH263" s="27"/>
      <c r="BI263" s="27" t="str">
        <f ca="1">IFERROR(__xludf.DUMMYFUNCTION("""COMPUTED_VALUE"""),"Graduação")</f>
        <v>Graduação</v>
      </c>
      <c r="BJ263" s="27" t="str">
        <f ca="1">IFERROR(__xludf.DUMMYFUNCTION("""COMPUTED_VALUE"""),"Privado")</f>
        <v>Privado</v>
      </c>
      <c r="BK263" s="27" t="str">
        <f ca="1">IFERROR(__xludf.DUMMYFUNCTION("""COMPUTED_VALUE"""),"Estrada do Itararé")</f>
        <v>Estrada do Itararé</v>
      </c>
      <c r="BL263" s="27" t="str">
        <f ca="1">IFERROR(__xludf.DUMMYFUNCTION("""COMPUTED_VALUE"""),"690/ b 1")</f>
        <v>690/ b 1</v>
      </c>
      <c r="BM263" s="27" t="str">
        <f ca="1">IFERROR(__xludf.DUMMYFUNCTION("""COMPUTED_VALUE"""),"Bloco 1/202")</f>
        <v>Bloco 1/202</v>
      </c>
      <c r="BN263" s="27" t="str">
        <f ca="1">IFERROR(__xludf.DUMMYFUNCTION("""COMPUTED_VALUE"""),"Rio de Janeiro")</f>
        <v>Rio de Janeiro</v>
      </c>
      <c r="BO263" s="27" t="str">
        <f ca="1">IFERROR(__xludf.DUMMYFUNCTION("""COMPUTED_VALUE"""),"21061-240")</f>
        <v>21061-240</v>
      </c>
      <c r="BP263" s="27" t="str">
        <f ca="1">IFERROR(__xludf.DUMMYFUNCTION("""COMPUTED_VALUE"""),"RJ")</f>
        <v>RJ</v>
      </c>
      <c r="BQ263" s="27" t="str">
        <f ca="1">IFERROR(__xludf.DUMMYFUNCTION("""COMPUTED_VALUE"""),"Entre 1 até 3 salários mínimos")</f>
        <v>Entre 1 até 3 salários mínimos</v>
      </c>
      <c r="BR263" s="27" t="str">
        <f ca="1">IFERROR(__xludf.DUMMYFUNCTION("""COMPUTED_VALUE"""),"Trabalho informal")</f>
        <v>Trabalho informal</v>
      </c>
      <c r="BS263" s="27" t="str">
        <f ca="1">IFERROR(__xludf.DUMMYFUNCTION("""COMPUTED_VALUE"""),"Casa própria")</f>
        <v>Casa própria</v>
      </c>
      <c r="BT263" s="27">
        <f ca="1">IFERROR(__xludf.DUMMYFUNCTION("""COMPUTED_VALUE"""),3)</f>
        <v>3</v>
      </c>
      <c r="BU263" s="27"/>
      <c r="BV263" s="27"/>
      <c r="BW263" s="21" t="str">
        <f ca="1">IFERROR(__xludf.DUMMYFUNCTION("""COMPUTED_VALUE"""),"https://www.linkedin.com/in/claudia-souza-da-silva-189060204")</f>
        <v>https://www.linkedin.com/in/claudia-souza-da-silva-189060204</v>
      </c>
      <c r="BX263" s="21" t="str">
        <f ca="1">IFERROR(__xludf.DUMMYFUNCTION("""COMPUTED_VALUE"""),"https://www.instagram.com/p/CaE46CzuSzv/?utm_medium=copy_link")</f>
        <v>https://www.instagram.com/p/CaE46CzuSzv/?utm_medium=copy_link</v>
      </c>
      <c r="BY263" s="21" t="str">
        <f ca="1">IFERROR(__xludf.DUMMYFUNCTION("""COMPUTED_VALUE"""),"https://drive.google.com/open?id=1Zp_IvgzRTSUdoH-GoiZZXzO6ybjqgyss")</f>
        <v>https://drive.google.com/open?id=1Zp_IvgzRTSUdoH-GoiZZXzO6ybjqgyss</v>
      </c>
    </row>
    <row r="264" spans="1:77" ht="12.5" x14ac:dyDescent="0.25">
      <c r="A264" s="21" t="str">
        <f ca="1">IFERROR(__xludf.DUMMYFUNCTION("""COMPUTED_VALUE"""),"0014P00003SGWPgQAP")</f>
        <v>0014P00003SGWPgQAP</v>
      </c>
      <c r="B264" s="27" t="str">
        <f ca="1">IFERROR(__xludf.DUMMYFUNCTION("""COMPUTED_VALUE"""),"Fase Inicial")</f>
        <v>Fase Inicial</v>
      </c>
      <c r="C264" s="27" t="str">
        <f ca="1">IFERROR(__xludf.DUMMYFUNCTION("""COMPUTED_VALUE"""),"Fellow")</f>
        <v>Fellow</v>
      </c>
      <c r="D264" s="27" t="str">
        <f ca="1">IFERROR(__xludf.DUMMYFUNCTION("""COMPUTED_VALUE"""),"Ativo")</f>
        <v>Ativo</v>
      </c>
      <c r="E264" s="27" t="str">
        <f ca="1">IFERROR(__xludf.DUMMYFUNCTION("""COMPUTED_VALUE"""),"ESPAÇO HUMANA.MENTE PSICOLOGIA SOCIAL E COMUNITÁRIA NA FAVELA")</f>
        <v>ESPAÇO HUMANA.MENTE PSICOLOGIA SOCIAL E COMUNITÁRIA NA FAVELA</v>
      </c>
      <c r="F264" s="27" t="str">
        <f ca="1">IFERROR(__xludf.DUMMYFUNCTION("""COMPUTED_VALUE"""),"Ana")</f>
        <v>Ana</v>
      </c>
      <c r="G264" s="27" t="str">
        <f ca="1">IFERROR(__xludf.DUMMYFUNCTION("""COMPUTED_VALUE"""),"ESPAÇO HUMANA.MENTE")</f>
        <v>ESPAÇO HUMANA.MENTE</v>
      </c>
      <c r="H264" s="27" t="str">
        <f ca="1">IFERROR(__xludf.DUMMYFUNCTION("""COMPUTED_VALUE"""),"42784.472/00001-22")</f>
        <v>42784.472/00001-22</v>
      </c>
      <c r="I264" s="27" t="str">
        <f ca="1">IFERROR(__xludf.DUMMYFUNCTION("""COMPUTED_VALUE"""),"Ana Maria Silva Novais Oliveira")</f>
        <v>Ana Maria Silva Novais Oliveira</v>
      </c>
      <c r="J264" s="27" t="str">
        <f ca="1">IFERROR(__xludf.DUMMYFUNCTION("""COMPUTED_VALUE"""),"psihumana.mente@outlook.com")</f>
        <v>psihumana.mente@outlook.com</v>
      </c>
      <c r="K264" s="27" t="str">
        <f ca="1">IFERROR(__xludf.DUMMYFUNCTION("""COMPUTED_VALUE"""),"(31)98719-9524")</f>
        <v>(31)98719-9524</v>
      </c>
      <c r="L264" s="27" t="str">
        <f ca="1">IFERROR(__xludf.DUMMYFUNCTION("""COMPUTED_VALUE"""),"MG")</f>
        <v>MG</v>
      </c>
      <c r="M264" s="27" t="str">
        <f ca="1">IFERROR(__xludf.DUMMYFUNCTION("""COMPUTED_VALUE"""),"Rua Nelson Gonçalves da Costa")</f>
        <v>Rua Nelson Gonçalves da Costa</v>
      </c>
      <c r="N264" s="27" t="str">
        <f ca="1">IFERROR(__xludf.DUMMYFUNCTION("""COMPUTED_VALUE"""),"LAGOA")</f>
        <v>LAGOA</v>
      </c>
      <c r="O264" s="27" t="str">
        <f ca="1">IFERROR(__xludf.DUMMYFUNCTION("""COMPUTED_VALUE"""),"(31)98719-9524")</f>
        <v>(31)98719-9524</v>
      </c>
      <c r="P264" s="27" t="str">
        <f ca="1">IFERROR(__xludf.DUMMYFUNCTION("""COMPUTED_VALUE"""),"Belo Horizonte")</f>
        <v>Belo Horizonte</v>
      </c>
      <c r="Q264" s="27" t="str">
        <f ca="1">IFERROR(__xludf.DUMMYFUNCTION("""COMPUTED_VALUE"""),"PRÓXIMO AO CRAS E CENTRO DE SAÚDE LAGOA")</f>
        <v>PRÓXIMO AO CRAS E CENTRO DE SAÚDE LAGOA</v>
      </c>
      <c r="R264" s="27" t="str">
        <f ca="1">IFERROR(__xludf.DUMMYFUNCTION("""COMPUTED_VALUE"""),"31578-080")</f>
        <v>31578-080</v>
      </c>
      <c r="S264" s="27"/>
      <c r="T264" s="27" t="str">
        <f ca="1">IFERROR(__xludf.DUMMYFUNCTION("""COMPUTED_VALUE"""),"Educação; Empregabilidade; Qualificação Profissional; Saúde; Empoderamento Feminino; Assistência Psicológica; Desenvolvimento comunitário")</f>
        <v>Educação; Empregabilidade; Qualificação Profissional; Saúde; Empoderamento Feminino; Assistência Psicológica; Desenvolvimento comunitário</v>
      </c>
      <c r="U264"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264" s="27" t="str">
        <f ca="1">IFERROR(__xludf.DUMMYFUNCTION("""COMPUTED_VALUE"""),"Moradores de Favelas; Afrodescendentes; Dependentes Químicos; Pessoas com Deficiência; Egressos sistema carcerário")</f>
        <v>Moradores de Favelas; Afrodescendentes; Dependentes Químicos; Pessoas com Deficiência; Egressos sistema carcerário</v>
      </c>
      <c r="W264" s="27">
        <f ca="1">IFERROR(__xludf.DUMMYFUNCTION("""COMPUTED_VALUE"""),6)</f>
        <v>6</v>
      </c>
      <c r="X264" s="27" t="str">
        <f ca="1">IFERROR(__xludf.DUMMYFUNCTION("""COMPUTED_VALUE"""),"O ATENDIMENTO É REALIZADO PRIORITÁRIAMENTE A MULHERES CHEFES DE FAMILIA MÃE SOLOS EM SITUAÇÃO DE VIOLENCIA DOMESTICAS VULNERABILIDADE SOCIOEMOCIONAL CRIANÇAS E ADOLESCENTES")</f>
        <v>O ATENDIMENTO É REALIZADO PRIORITÁRIAMENTE A MULHERES CHEFES DE FAMILIA MÃE SOLOS EM SITUAÇÃO DE VIOLENCIA DOMESTICAS VULNERABILIDADE SOCIOEMOCIONAL CRIANÇAS E ADOLESCENTES</v>
      </c>
      <c r="Y264" s="27">
        <f ca="1">IFERROR(__xludf.DUMMYFUNCTION("""COMPUTED_VALUE"""),20)</f>
        <v>20</v>
      </c>
      <c r="Z264" s="27">
        <f ca="1">IFERROR(__xludf.DUMMYFUNCTION("""COMPUTED_VALUE"""),100)</f>
        <v>100</v>
      </c>
      <c r="AA264" s="30">
        <f ca="1">IFERROR(__xludf.DUMMYFUNCTION("""COMPUTED_VALUE"""),43941)</f>
        <v>43941</v>
      </c>
      <c r="AB264" s="27" t="str">
        <f ca="1">IFERROR(__xludf.DUMMYFUNCTION("""COMPUTED_VALUE"""),"Sim")</f>
        <v>Sim</v>
      </c>
      <c r="AC264" s="27">
        <f ca="1">IFERROR(__xludf.DUMMYFUNCTION("""COMPUTED_VALUE"""),4)</f>
        <v>4</v>
      </c>
      <c r="AD264" s="27">
        <f ca="1">IFERROR(__xludf.DUMMYFUNCTION("""COMPUTED_VALUE"""),0)</f>
        <v>0</v>
      </c>
      <c r="AE264" s="27">
        <f ca="1">IFERROR(__xludf.DUMMYFUNCTION("""COMPUTED_VALUE"""),12)</f>
        <v>12</v>
      </c>
      <c r="AF264" s="27">
        <f ca="1">IFERROR(__xludf.DUMMYFUNCTION("""COMPUTED_VALUE"""),4)</f>
        <v>4</v>
      </c>
      <c r="AG264" s="27">
        <f ca="1">IFERROR(__xludf.DUMMYFUNCTION("""COMPUTED_VALUE"""),0)</f>
        <v>0</v>
      </c>
      <c r="AH264" s="27" t="str">
        <f ca="1">IFERROR(__xludf.DUMMYFUNCTION("""COMPUTED_VALUE"""),"Recursos próprios")</f>
        <v>Recursos próprios</v>
      </c>
      <c r="AI264" s="27" t="str">
        <f ca="1">IFERROR(__xludf.DUMMYFUNCTION("""COMPUTED_VALUE"""),"25%PLATAFORMA DE DOAÇÕES E 75% AÇÕES DE CAPTAÇÕES COM PESSOAS FÍSICAS")</f>
        <v>25%PLATAFORMA DE DOAÇÕES E 75% AÇÕES DE CAPTAÇÕES COM PESSOAS FÍSICAS</v>
      </c>
      <c r="AJ264" s="27" t="str">
        <f ca="1">IFERROR(__xludf.DUMMYFUNCTION("""COMPUTED_VALUE"""),"Não")</f>
        <v>Não</v>
      </c>
      <c r="AK264" s="27" t="str">
        <f ca="1">IFERROR(__xludf.DUMMYFUNCTION("""COMPUTED_VALUE"""),"Sim")</f>
        <v>Sim</v>
      </c>
      <c r="AL264" s="21" t="str">
        <f ca="1">IFERROR(__xludf.DUMMYFUNCTION("""COMPUTED_VALUE"""),"0034P000043fOnn")</f>
        <v>0034P000043fOnn</v>
      </c>
      <c r="AM264" s="27" t="str">
        <f ca="1">IFERROR(__xludf.DUMMYFUNCTION("""COMPUTED_VALUE"""),"Maria Silva Novais Oliveira")</f>
        <v>Maria Silva Novais Oliveira</v>
      </c>
      <c r="AN264" s="27" t="str">
        <f ca="1">IFERROR(__xludf.DUMMYFUNCTION("""COMPUTED_VALUE"""),"Ativo")</f>
        <v>Ativo</v>
      </c>
      <c r="AO264" s="29">
        <f ca="1">IFERROR(__xludf.DUMMYFUNCTION("""COMPUTED_VALUE"""),44432)</f>
        <v>44432</v>
      </c>
      <c r="AP264" s="27">
        <f ca="1">IFERROR(__xludf.DUMMYFUNCTION("""COMPUTED_VALUE"""),13)</f>
        <v>13</v>
      </c>
      <c r="AQ264" s="27" t="str">
        <f ca="1">IFERROR(__xludf.DUMMYFUNCTION("""COMPUTED_VALUE"""),"Primeiro Semestre 2021")</f>
        <v>Primeiro Semestre 2021</v>
      </c>
      <c r="AR264" s="27" t="str">
        <f ca="1">IFERROR(__xludf.DUMMYFUNCTION("""COMPUTED_VALUE"""),"aninhanovaisoliveira@hotmail.com")</f>
        <v>aninhanovaisoliveira@hotmail.com</v>
      </c>
      <c r="AS264" s="27" t="str">
        <f ca="1">IFERROR(__xludf.DUMMYFUNCTION("""COMPUTED_VALUE"""),"(31)98719-9524")</f>
        <v>(31)98719-9524</v>
      </c>
      <c r="AT264" s="29">
        <f ca="1">IFERROR(__xludf.DUMMYFUNCTION("""COMPUTED_VALUE"""),30202)</f>
        <v>30202</v>
      </c>
      <c r="AU264" s="27">
        <f ca="1">IFERROR(__xludf.DUMMYFUNCTION("""COMPUTED_VALUE"""),40)</f>
        <v>40</v>
      </c>
      <c r="AV264" s="27">
        <f ca="1">IFERROR(__xludf.DUMMYFUNCTION("""COMPUTED_VALUE"""),1446910601)</f>
        <v>1446910601</v>
      </c>
      <c r="AW264" s="27">
        <f ca="1">IFERROR(__xludf.DUMMYFUNCTION("""COMPUTED_VALUE"""),9022050)</f>
        <v>9022050</v>
      </c>
      <c r="AX264" s="27" t="str">
        <f ca="1">IFERROR(__xludf.DUMMYFUNCTION("""COMPUTED_VALUE"""),"Graduação - Psicologia")</f>
        <v>Graduação - Psicologia</v>
      </c>
      <c r="AY264" s="27"/>
      <c r="AZ264" s="27" t="str">
        <f ca="1">IFERROR(__xludf.DUMMYFUNCTION("""COMPUTED_VALUE"""),"G")</f>
        <v>G</v>
      </c>
      <c r="BA264" s="27" t="str">
        <f ca="1">IFERROR(__xludf.DUMMYFUNCTION("""COMPUTED_VALUE"""),"Parda")</f>
        <v>Parda</v>
      </c>
      <c r="BB264" s="27"/>
      <c r="BC264" s="27" t="str">
        <f ca="1">IFERROR(__xludf.DUMMYFUNCTION("""COMPUTED_VALUE"""),"Sim")</f>
        <v>Sim</v>
      </c>
      <c r="BD264" s="27" t="str">
        <f ca="1">IFERROR(__xludf.DUMMYFUNCTION("""COMPUTED_VALUE"""),"Ana Maria Oliveira, 39 anos, Psicóloga, mãe de 4 crianças, apaixonada por servir encontrei na psicologia a possibilidade de fazer a diferença na vida de muitos. Com um projeto pioneiro levo com o time humana.MENTE  os fazeres da psicologia para dentro das"&amp;" vilas e favelas a fim de fortalecer o protagonismo do sujeito de periferia que não se percebe no direito de ter saúde mental de qualidade. Solidariedade está para além de  matar a fome, está para dar voz e  ouvidos a esses atores “invisíveis “")</f>
        <v>Ana Maria Oliveira, 39 anos, Psicóloga, mãe de 4 crianças, apaixonada por servir encontrei na psicologia a possibilidade de fazer a diferença na vida de muitos. Com um projeto pioneiro levo com o time humana.MENTE  os fazeres da psicologia para dentro das vilas e favelas a fim de fortalecer o protagonismo do sujeito de periferia que não se percebe no direito de ter saúde mental de qualidade. Solidariedade está para além de  matar a fome, está para dar voz e  ouvidos a esses atores “invisíveis “</v>
      </c>
      <c r="BE264" s="27" t="str">
        <f ca="1">IFERROR(__xludf.DUMMYFUNCTION("""COMPUTED_VALUE"""),"Feminino")</f>
        <v>Feminino</v>
      </c>
      <c r="BF264" s="27" t="str">
        <f ca="1">IFERROR(__xludf.DUMMYFUNCTION("""COMPUTED_VALUE"""),"Heterossexual")</f>
        <v>Heterossexual</v>
      </c>
      <c r="BG264" s="27" t="str">
        <f ca="1">IFERROR(__xludf.DUMMYFUNCTION("""COMPUTED_VALUE"""),"Ensino Superior - Completo")</f>
        <v>Ensino Superior - Completo</v>
      </c>
      <c r="BH264" s="27"/>
      <c r="BI264" s="27" t="str">
        <f ca="1">IFERROR(__xludf.DUMMYFUNCTION("""COMPUTED_VALUE"""),"Graduação")</f>
        <v>Graduação</v>
      </c>
      <c r="BJ264" s="27" t="str">
        <f ca="1">IFERROR(__xludf.DUMMYFUNCTION("""COMPUTED_VALUE"""),"Privado")</f>
        <v>Privado</v>
      </c>
      <c r="BK264" s="27" t="str">
        <f ca="1">IFERROR(__xludf.DUMMYFUNCTION("""COMPUTED_VALUE"""),"Marrocos")</f>
        <v>Marrocos</v>
      </c>
      <c r="BL264" s="27">
        <f ca="1">IFERROR(__xludf.DUMMYFUNCTION("""COMPUTED_VALUE"""),47)</f>
        <v>47</v>
      </c>
      <c r="BM264" s="27" t="str">
        <f ca="1">IFERROR(__xludf.DUMMYFUNCTION("""COMPUTED_VALUE"""),"apto 204")</f>
        <v>apto 204</v>
      </c>
      <c r="BN264" s="27" t="str">
        <f ca="1">IFERROR(__xludf.DUMMYFUNCTION("""COMPUTED_VALUE"""),"BH")</f>
        <v>BH</v>
      </c>
      <c r="BO264" s="27" t="str">
        <f ca="1">IFERROR(__xludf.DUMMYFUNCTION("""COMPUTED_VALUE"""),"31540-230")</f>
        <v>31540-230</v>
      </c>
      <c r="BP264" s="27" t="str">
        <f ca="1">IFERROR(__xludf.DUMMYFUNCTION("""COMPUTED_VALUE"""),"MG")</f>
        <v>MG</v>
      </c>
      <c r="BQ264" s="27" t="str">
        <f ca="1">IFERROR(__xludf.DUMMYFUNCTION("""COMPUTED_VALUE"""),"Entre 1 até 3 salários mínimos")</f>
        <v>Entre 1 até 3 salários mínimos</v>
      </c>
      <c r="BR264" s="27" t="str">
        <f ca="1">IFERROR(__xludf.DUMMYFUNCTION("""COMPUTED_VALUE"""),"CLT")</f>
        <v>CLT</v>
      </c>
      <c r="BS264" s="27" t="str">
        <f ca="1">IFERROR(__xludf.DUMMYFUNCTION("""COMPUTED_VALUE"""),"Aluguel")</f>
        <v>Aluguel</v>
      </c>
      <c r="BT264" s="27">
        <f ca="1">IFERROR(__xludf.DUMMYFUNCTION("""COMPUTED_VALUE"""),6)</f>
        <v>6</v>
      </c>
      <c r="BU264" s="27"/>
      <c r="BV264" s="27"/>
      <c r="BW264" s="27" t="str">
        <f ca="1">IFERROR(__xludf.DUMMYFUNCTION("""COMPUTED_VALUE"""),"Ana Maria Oliveira")</f>
        <v>Ana Maria Oliveira</v>
      </c>
      <c r="BX264" s="27" t="str">
        <f ca="1">IFERROR(__xludf.DUMMYFUNCTION("""COMPUTED_VALUE"""),"@ana.oliveirapsi")</f>
        <v>@ana.oliveirapsi</v>
      </c>
      <c r="BY264" s="21" t="str">
        <f ca="1">IFERROR(__xludf.DUMMYFUNCTION("""COMPUTED_VALUE"""),"https://drive.google.com/open?id=1CmKPbPO66niLZ8l2D8MHK5sNWaKsYBBW")</f>
        <v>https://drive.google.com/open?id=1CmKPbPO66niLZ8l2D8MHK5sNWaKsYBBW</v>
      </c>
    </row>
    <row r="265" spans="1:77" ht="12.5" x14ac:dyDescent="0.25">
      <c r="A265" s="21" t="str">
        <f ca="1">IFERROR(__xludf.DUMMYFUNCTION("""COMPUTED_VALUE"""),"0014P00003YSpACQA1")</f>
        <v>0014P00003YSpACQA1</v>
      </c>
      <c r="B265" s="27" t="str">
        <f ca="1">IFERROR(__xludf.DUMMYFUNCTION("""COMPUTED_VALUE"""),"Fase Inicial")</f>
        <v>Fase Inicial</v>
      </c>
      <c r="C265" s="27" t="str">
        <f ca="1">IFERROR(__xludf.DUMMYFUNCTION("""COMPUTED_VALUE"""),"Fellow")</f>
        <v>Fellow</v>
      </c>
      <c r="D265" s="27" t="str">
        <f ca="1">IFERROR(__xludf.DUMMYFUNCTION("""COMPUTED_VALUE"""),"Ativo")</f>
        <v>Ativo</v>
      </c>
      <c r="E265" s="27" t="str">
        <f ca="1">IFERROR(__xludf.DUMMYFUNCTION("""COMPUTED_VALUE"""),"Espaço Social e Cultural É Tudo Nosso")</f>
        <v>Espaço Social e Cultural É Tudo Nosso</v>
      </c>
      <c r="F265" s="27" t="str">
        <f ca="1">IFERROR(__xludf.DUMMYFUNCTION("""COMPUTED_VALUE"""),"Angela")</f>
        <v>Angela</v>
      </c>
      <c r="G265" s="27"/>
      <c r="H265" s="27"/>
      <c r="I265" s="27" t="str">
        <f ca="1">IFERROR(__xludf.DUMMYFUNCTION("""COMPUTED_VALUE"""),"ANGELA DA SILVA JUSCELINO")</f>
        <v>ANGELA DA SILVA JUSCELINO</v>
      </c>
      <c r="J265" s="27" t="str">
        <f ca="1">IFERROR(__xludf.DUMMYFUNCTION("""COMPUTED_VALUE"""),"angelajuscelino01@gmail.com")</f>
        <v>angelajuscelino01@gmail.com</v>
      </c>
      <c r="K265" s="27" t="str">
        <f ca="1">IFERROR(__xludf.DUMMYFUNCTION("""COMPUTED_VALUE"""),"(31)99427-0896")</f>
        <v>(31)99427-0896</v>
      </c>
      <c r="L265" s="27" t="str">
        <f ca="1">IFERROR(__xludf.DUMMYFUNCTION("""COMPUTED_VALUE"""),"MG")</f>
        <v>MG</v>
      </c>
      <c r="M265" s="27" t="str">
        <f ca="1">IFERROR(__xludf.DUMMYFUNCTION("""COMPUTED_VALUE"""),"Rua Marcelo de Araújo Braga 473")</f>
        <v>Rua Marcelo de Araújo Braga 473</v>
      </c>
      <c r="N265" s="27" t="str">
        <f ca="1">IFERROR(__xludf.DUMMYFUNCTION("""COMPUTED_VALUE"""),"MORRO DAS PEDRAS")</f>
        <v>MORRO DAS PEDRAS</v>
      </c>
      <c r="O265" s="27">
        <f ca="1">IFERROR(__xludf.DUMMYFUNCTION("""COMPUTED_VALUE"""),472)</f>
        <v>472</v>
      </c>
      <c r="P265" s="27" t="str">
        <f ca="1">IFERROR(__xludf.DUMMYFUNCTION("""COMPUTED_VALUE"""),"BELO HORIZONTE")</f>
        <v>BELO HORIZONTE</v>
      </c>
      <c r="Q265" s="27" t="str">
        <f ca="1">IFERROR(__xludf.DUMMYFUNCTION("""COMPUTED_VALUE"""),"VILA SÃO JORGE III")</f>
        <v>VILA SÃO JORGE III</v>
      </c>
      <c r="R265" s="27" t="str">
        <f ca="1">IFERROR(__xludf.DUMMYFUNCTION("""COMPUTED_VALUE"""),"30451-237")</f>
        <v>30451-237</v>
      </c>
      <c r="S265" s="27"/>
      <c r="T265" s="27" t="str">
        <f ca="1">IFERROR(__xludf.DUMMYFUNCTION("""COMPUTED_VALUE"""),"Esporte; Educação; Assistência Social; Cultura; Qualificação Profissional; Defesa de Direitos")</f>
        <v>Esporte; Educação; Assistência Social; Cultura; Qualificação Profissional; Defesa de Direitos</v>
      </c>
      <c r="U265"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265" s="27" t="str">
        <f ca="1">IFERROR(__xludf.DUMMYFUNCTION("""COMPUTED_VALUE"""),"Moradores de Favelas; Egressos sistema carcerário")</f>
        <v>Moradores de Favelas; Egressos sistema carcerário</v>
      </c>
      <c r="W265" s="27">
        <f ca="1">IFERROR(__xludf.DUMMYFUNCTION("""COMPUTED_VALUE"""),7)</f>
        <v>7</v>
      </c>
      <c r="X265" s="27" t="str">
        <f ca="1">IFERROR(__xludf.DUMMYFUNCTION("""COMPUTED_VALUE"""),"Atendemos  qualquer publico porém priorizamos as famílias das áreas de risco familiares de pessoas privadas de liberdade e mães solos")</f>
        <v>Atendemos  qualquer publico porém priorizamos as famílias das áreas de risco familiares de pessoas privadas de liberdade e mães solos</v>
      </c>
      <c r="Y265" s="27"/>
      <c r="Z265" s="27">
        <f ca="1">IFERROR(__xludf.DUMMYFUNCTION("""COMPUTED_VALUE"""),600)</f>
        <v>600</v>
      </c>
      <c r="AA265" s="29">
        <f ca="1">IFERROR(__xludf.DUMMYFUNCTION("""COMPUTED_VALUE"""),42598)</f>
        <v>42598</v>
      </c>
      <c r="AB265" s="27" t="str">
        <f ca="1">IFERROR(__xludf.DUMMYFUNCTION("""COMPUTED_VALUE"""),"Não")</f>
        <v>Não</v>
      </c>
      <c r="AC265" s="27">
        <f ca="1">IFERROR(__xludf.DUMMYFUNCTION("""COMPUTED_VALUE"""),2)</f>
        <v>2</v>
      </c>
      <c r="AD265" s="27">
        <f ca="1">IFERROR(__xludf.DUMMYFUNCTION("""COMPUTED_VALUE"""),2)</f>
        <v>2</v>
      </c>
      <c r="AE265" s="27">
        <f ca="1">IFERROR(__xludf.DUMMYFUNCTION("""COMPUTED_VALUE"""),25)</f>
        <v>25</v>
      </c>
      <c r="AF265" s="27">
        <f ca="1">IFERROR(__xludf.DUMMYFUNCTION("""COMPUTED_VALUE"""),25)</f>
        <v>25</v>
      </c>
      <c r="AG265" s="27">
        <f ca="1">IFERROR(__xludf.DUMMYFUNCTION("""COMPUTED_VALUE"""),2)</f>
        <v>2</v>
      </c>
      <c r="AH265" s="27" t="str">
        <f ca="1">IFERROR(__xludf.DUMMYFUNCTION("""COMPUTED_VALUE"""),"Eventos/Ações para captação")</f>
        <v>Eventos/Ações para captação</v>
      </c>
      <c r="AI265" s="27" t="str">
        <f ca="1">IFERROR(__xludf.DUMMYFUNCTION("""COMPUTED_VALUE"""),"não")</f>
        <v>não</v>
      </c>
      <c r="AJ265" s="27"/>
      <c r="AK265" s="27"/>
      <c r="AL265" s="21" t="str">
        <f ca="1">IFERROR(__xludf.DUMMYFUNCTION("""COMPUTED_VALUE"""),"0034P000045kxko")</f>
        <v>0034P000045kxko</v>
      </c>
      <c r="AM265" s="27" t="str">
        <f ca="1">IFERROR(__xludf.DUMMYFUNCTION("""COMPUTED_VALUE"""),"Da Silva Juscelino")</f>
        <v>Da Silva Juscelino</v>
      </c>
      <c r="AN265" s="27" t="str">
        <f ca="1">IFERROR(__xludf.DUMMYFUNCTION("""COMPUTED_VALUE"""),"Ativo")</f>
        <v>Ativo</v>
      </c>
      <c r="AO265" s="29">
        <f ca="1">IFERROR(__xludf.DUMMYFUNCTION("""COMPUTED_VALUE"""),44551)</f>
        <v>44551</v>
      </c>
      <c r="AP265" s="27">
        <f ca="1">IFERROR(__xludf.DUMMYFUNCTION("""COMPUTED_VALUE"""),9)</f>
        <v>9</v>
      </c>
      <c r="AQ265" s="27" t="str">
        <f ca="1">IFERROR(__xludf.DUMMYFUNCTION("""COMPUTED_VALUE"""),"Segundo Semestre 2021")</f>
        <v>Segundo Semestre 2021</v>
      </c>
      <c r="AR265" s="27" t="str">
        <f ca="1">IFERROR(__xludf.DUMMYFUNCTION("""COMPUTED_VALUE"""),"angelajuscelino01@gmail.com")</f>
        <v>angelajuscelino01@gmail.com</v>
      </c>
      <c r="AS265" s="27" t="str">
        <f ca="1">IFERROR(__xludf.DUMMYFUNCTION("""COMPUTED_VALUE"""),"(31)99427-0896")</f>
        <v>(31)99427-0896</v>
      </c>
      <c r="AT265" s="29">
        <f ca="1">IFERROR(__xludf.DUMMYFUNCTION("""COMPUTED_VALUE"""),28800)</f>
        <v>28800</v>
      </c>
      <c r="AU265" s="27">
        <f ca="1">IFERROR(__xludf.DUMMYFUNCTION("""COMPUTED_VALUE"""),44)</f>
        <v>44</v>
      </c>
      <c r="AV265" s="27">
        <f ca="1">IFERROR(__xludf.DUMMYFUNCTION("""COMPUTED_VALUE"""),4079398654)</f>
        <v>4079398654</v>
      </c>
      <c r="AW265" s="27">
        <f ca="1">IFERROR(__xludf.DUMMYFUNCTION("""COMPUTED_VALUE"""),10893469)</f>
        <v>10893469</v>
      </c>
      <c r="AX265" s="27"/>
      <c r="AY265" s="27"/>
      <c r="AZ265" s="27" t="str">
        <f ca="1">IFERROR(__xludf.DUMMYFUNCTION("""COMPUTED_VALUE"""),"P")</f>
        <v>P</v>
      </c>
      <c r="BA265" s="27" t="str">
        <f ca="1">IFERROR(__xludf.DUMMYFUNCTION("""COMPUTED_VALUE"""),"Parda")</f>
        <v>Parda</v>
      </c>
      <c r="BB265" s="27" t="str">
        <f ca="1">IFERROR(__xludf.DUMMYFUNCTION("""COMPUTED_VALUE"""),"Mulher, cisgênero")</f>
        <v>Mulher, cisgênero</v>
      </c>
      <c r="BC265" s="27" t="str">
        <f ca="1">IFERROR(__xludf.DUMMYFUNCTION("""COMPUTED_VALUE"""),"Não")</f>
        <v>Não</v>
      </c>
      <c r="BD265" s="27" t="str">
        <f ca="1">IFERROR(__xludf.DUMMYFUNCTION("""COMPUTED_VALUE"""),"Mãe Solo da Larissa e avó da Lara Valentina. Moradora do Aglomerado Morro das Pedras , é educadora, foi professora da educação infantil , orientadora social no Serviço de Convivência e Fortalecimento de Vínculos para JOVENS do Morro das Pedras.  Desde os "&amp;"19 anos, quando as creches ainda eram comunitárias e não  tinham parcerias com o município. Conselheira Tutelar em 2007à 2009, gerente de eventos esportivos na PBH. Atualmente gestora na ONG ÉH TUDO NOSSO, agente de ações sociais na saude mental")</f>
        <v>Mãe Solo da Larissa e avó da Lara Valentina. Moradora do Aglomerado Morro das Pedras , é educadora, foi professora da educação infantil , orientadora social no Serviço de Convivência e Fortalecimento de Vínculos para JOVENS do Morro das Pedras.  Desde os 19 anos, quando as creches ainda eram comunitárias e não  tinham parcerias com o município. Conselheira Tutelar em 2007à 2009, gerente de eventos esportivos na PBH. Atualmente gestora na ONG ÉH TUDO NOSSO, agente de ações sociais na saude mental</v>
      </c>
      <c r="BE265" s="27"/>
      <c r="BF265" s="27" t="str">
        <f ca="1">IFERROR(__xludf.DUMMYFUNCTION("""COMPUTED_VALUE"""),"Heterossexual")</f>
        <v>Heterossexual</v>
      </c>
      <c r="BG265" s="27" t="str">
        <f ca="1">IFERROR(__xludf.DUMMYFUNCTION("""COMPUTED_VALUE"""),"Ensino Superior - Completo")</f>
        <v>Ensino Superior - Completo</v>
      </c>
      <c r="BH265" s="27" t="str">
        <f ca="1">IFERROR(__xludf.DUMMYFUNCTION("""COMPUTED_VALUE"""),"Público")</f>
        <v>Público</v>
      </c>
      <c r="BI265" s="27" t="str">
        <f ca="1">IFERROR(__xludf.DUMMYFUNCTION("""COMPUTED_VALUE"""),"Pós-Graduação")</f>
        <v>Pós-Graduação</v>
      </c>
      <c r="BJ265" s="27" t="str">
        <f ca="1">IFERROR(__xludf.DUMMYFUNCTION("""COMPUTED_VALUE"""),"Privado")</f>
        <v>Privado</v>
      </c>
      <c r="BK265" s="27" t="str">
        <f ca="1">IFERROR(__xludf.DUMMYFUNCTION("""COMPUTED_VALUE"""),"Rua Cachoeira de Minas")</f>
        <v>Rua Cachoeira de Minas</v>
      </c>
      <c r="BL265" s="27">
        <f ca="1">IFERROR(__xludf.DUMMYFUNCTION("""COMPUTED_VALUE"""),449)</f>
        <v>449</v>
      </c>
      <c r="BM265" s="27" t="str">
        <f ca="1">IFERROR(__xludf.DUMMYFUNCTION("""COMPUTED_VALUE"""),"Vila Antena")</f>
        <v>Vila Antena</v>
      </c>
      <c r="BN265" s="27" t="str">
        <f ca="1">IFERROR(__xludf.DUMMYFUNCTION("""COMPUTED_VALUE"""),"BELO HORIZONTE")</f>
        <v>BELO HORIZONTE</v>
      </c>
      <c r="BO265" s="27" t="str">
        <f ca="1">IFERROR(__xludf.DUMMYFUNCTION("""COMPUTED_VALUE"""),"30441-190")</f>
        <v>30441-190</v>
      </c>
      <c r="BP265" s="27" t="str">
        <f ca="1">IFERROR(__xludf.DUMMYFUNCTION("""COMPUTED_VALUE"""),"MG")</f>
        <v>MG</v>
      </c>
      <c r="BQ265" s="27" t="str">
        <f ca="1">IFERROR(__xludf.DUMMYFUNCTION("""COMPUTED_VALUE"""),"Entre 1 até 3 salários mínimos")</f>
        <v>Entre 1 até 3 salários mínimos</v>
      </c>
      <c r="BR265" s="27" t="str">
        <f ca="1">IFERROR(__xludf.DUMMYFUNCTION("""COMPUTED_VALUE"""),"CLT; MEI")</f>
        <v>CLT; MEI</v>
      </c>
      <c r="BS265" s="27" t="str">
        <f ca="1">IFERROR(__xludf.DUMMYFUNCTION("""COMPUTED_VALUE"""),"Casa própria")</f>
        <v>Casa própria</v>
      </c>
      <c r="BT265" s="27">
        <f ca="1">IFERROR(__xludf.DUMMYFUNCTION("""COMPUTED_VALUE"""),3)</f>
        <v>3</v>
      </c>
      <c r="BU265" s="27" t="str">
        <f ca="1">IFERROR(__xludf.DUMMYFUNCTION("""COMPUTED_VALUE"""),"Não tem")</f>
        <v>Não tem</v>
      </c>
      <c r="BV265" s="27"/>
      <c r="BW265" s="27"/>
      <c r="BX265" s="27" t="str">
        <f ca="1">IFERROR(__xludf.DUMMYFUNCTION("""COMPUTED_VALUE"""),"angela_juscelino")</f>
        <v>angela_juscelino</v>
      </c>
      <c r="BY265" s="21" t="str">
        <f ca="1">IFERROR(__xludf.DUMMYFUNCTION("""COMPUTED_VALUE"""),"https://drive.google.com/open?id=1VOuzwniU_as2i_QKJJe44rk9EDy8WEju")</f>
        <v>https://drive.google.com/open?id=1VOuzwniU_as2i_QKJJe44rk9EDy8WEju</v>
      </c>
    </row>
    <row r="266" spans="1:77" ht="12.5" hidden="1" x14ac:dyDescent="0.25">
      <c r="A266" s="21" t="str">
        <f ca="1">IFERROR(__xludf.DUMMYFUNCTION("""COMPUTED_VALUE"""),"0014X00002VKCsKQAX")</f>
        <v>0014X00002VKCsKQAX</v>
      </c>
      <c r="B266" s="27"/>
      <c r="C266" s="27" t="str">
        <f ca="1">IFERROR(__xludf.DUMMYFUNCTION("""COMPUTED_VALUE"""),"Fellow")</f>
        <v>Fellow</v>
      </c>
      <c r="D266" s="27" t="str">
        <f ca="1">IFERROR(__xludf.DUMMYFUNCTION("""COMPUTED_VALUE"""),"Ativo")</f>
        <v>Ativo</v>
      </c>
      <c r="E266" s="27" t="str">
        <f ca="1">IFERROR(__xludf.DUMMYFUNCTION("""COMPUTED_VALUE"""),"Esporte e educação")</f>
        <v>Esporte e educação</v>
      </c>
      <c r="F266" s="27" t="str">
        <f ca="1">IFERROR(__xludf.DUMMYFUNCTION("""COMPUTED_VALUE"""),"Ana")</f>
        <v>Ana</v>
      </c>
      <c r="G266" s="27" t="str">
        <f ca="1">IFERROR(__xludf.DUMMYFUNCTION("""COMPUTED_VALUE"""),"PROJETO JACARÉ BASQUETE")</f>
        <v>PROJETO JACARÉ BASQUETE</v>
      </c>
      <c r="H266" s="27"/>
      <c r="I266" s="27" t="str">
        <f ca="1">IFERROR(__xludf.DUMMYFUNCTION("""COMPUTED_VALUE"""),"Thiago Nascimento")</f>
        <v>Thiago Nascimento</v>
      </c>
      <c r="J266" s="27" t="str">
        <f ca="1">IFERROR(__xludf.DUMMYFUNCTION("""COMPUTED_VALUE"""),"projetojacarebasquete@gmail.com")</f>
        <v>projetojacarebasquete@gmail.com</v>
      </c>
      <c r="K266" s="27">
        <f ca="1">IFERROR(__xludf.DUMMYFUNCTION("""COMPUTED_VALUE"""),21978900996)</f>
        <v>21978900996</v>
      </c>
      <c r="L266" s="27" t="str">
        <f ca="1">IFERROR(__xludf.DUMMYFUNCTION("""COMPUTED_VALUE"""),"RJ")</f>
        <v>RJ</v>
      </c>
      <c r="M266" s="27" t="str">
        <f ca="1">IFERROR(__xludf.DUMMYFUNCTION("""COMPUTED_VALUE"""),"Rua Reginaldo Pardelha")</f>
        <v>Rua Reginaldo Pardelha</v>
      </c>
      <c r="N266" s="27" t="str">
        <f ca="1">IFERROR(__xludf.DUMMYFUNCTION("""COMPUTED_VALUE"""),"Cachambi")</f>
        <v>Cachambi</v>
      </c>
      <c r="O266" s="27">
        <f ca="1">IFERROR(__xludf.DUMMYFUNCTION("""COMPUTED_VALUE"""),186)</f>
        <v>186</v>
      </c>
      <c r="P266" s="27" t="str">
        <f ca="1">IFERROR(__xludf.DUMMYFUNCTION("""COMPUTED_VALUE"""),"Rio de Janeiro")</f>
        <v>Rio de Janeiro</v>
      </c>
      <c r="Q266" s="27"/>
      <c r="R266" s="27" t="str">
        <f ca="1">IFERROR(__xludf.DUMMYFUNCTION("""COMPUTED_VALUE"""),"20785-170")</f>
        <v>20785-170</v>
      </c>
      <c r="S266" s="27"/>
      <c r="T266" s="27"/>
      <c r="U266" s="27"/>
      <c r="V266" s="27"/>
      <c r="W266" s="27">
        <f ca="1">IFERROR(__xludf.DUMMYFUNCTION("""COMPUTED_VALUE"""),2)</f>
        <v>2</v>
      </c>
      <c r="X266" s="27" t="str">
        <f ca="1">IFERROR(__xludf.DUMMYFUNCTION("""COMPUTED_VALUE"""),"Atendemos os alunos e seus responsáveis* mantemos contato direto com os adultos responsáveis pelas crianças.")</f>
        <v>Atendemos os alunos e seus responsáveis* mantemos contato direto com os adultos responsáveis pelas crianças.</v>
      </c>
      <c r="Y266" s="27"/>
      <c r="Z266" s="27">
        <f ca="1">IFERROR(__xludf.DUMMYFUNCTION("""COMPUTED_VALUE"""),60)</f>
        <v>60</v>
      </c>
      <c r="AA266" s="29">
        <f ca="1">IFERROR(__xludf.DUMMYFUNCTION("""COMPUTED_VALUE"""),44174)</f>
        <v>44174</v>
      </c>
      <c r="AB266" s="27" t="str">
        <f ca="1">IFERROR(__xludf.DUMMYFUNCTION("""COMPUTED_VALUE"""),"Não")</f>
        <v>Não</v>
      </c>
      <c r="AC266" s="27"/>
      <c r="AD266" s="27"/>
      <c r="AE266" s="27">
        <f ca="1">IFERROR(__xludf.DUMMYFUNCTION("""COMPUTED_VALUE"""),10)</f>
        <v>10</v>
      </c>
      <c r="AF266" s="27"/>
      <c r="AG266" s="27">
        <f ca="1">IFERROR(__xludf.DUMMYFUNCTION("""COMPUTED_VALUE"""),1)</f>
        <v>1</v>
      </c>
      <c r="AH266" s="27"/>
      <c r="AI266" s="27"/>
      <c r="AJ266" s="27" t="str">
        <f ca="1">IFERROR(__xludf.DUMMYFUNCTION("""COMPUTED_VALUE"""),"Não")</f>
        <v>Não</v>
      </c>
      <c r="AK266" s="27"/>
      <c r="AL266" s="21" t="str">
        <f ca="1">IFERROR(__xludf.DUMMYFUNCTION("""COMPUTED_VALUE"""),"0034X0000380O2b")</f>
        <v>0034X0000380O2b</v>
      </c>
      <c r="AM266" s="27" t="str">
        <f ca="1">IFERROR(__xludf.DUMMYFUNCTION("""COMPUTED_VALUE"""),"Beatriz lucio freire")</f>
        <v>Beatriz lucio freire</v>
      </c>
      <c r="AN266" s="27" t="str">
        <f ca="1">IFERROR(__xludf.DUMMYFUNCTION("""COMPUTED_VALUE"""),"Ativo")</f>
        <v>Ativo</v>
      </c>
      <c r="AO266" s="30">
        <f ca="1">IFERROR(__xludf.DUMMYFUNCTION("""COMPUTED_VALUE"""),44763)</f>
        <v>44763</v>
      </c>
      <c r="AP266" s="27">
        <f ca="1">IFERROR(__xludf.DUMMYFUNCTION("""COMPUTED_VALUE"""),2)</f>
        <v>2</v>
      </c>
      <c r="AQ266" s="27" t="str">
        <f ca="1">IFERROR(__xludf.DUMMYFUNCTION("""COMPUTED_VALUE"""),"Primeiro Semestre 2022")</f>
        <v>Primeiro Semestre 2022</v>
      </c>
      <c r="AR266" s="27" t="str">
        <f ca="1">IFERROR(__xludf.DUMMYFUNCTION("""COMPUTED_VALUE"""),"biafreiree25@gmail.com")</f>
        <v>biafreiree25@gmail.com</v>
      </c>
      <c r="AS266" s="27">
        <f ca="1">IFERROR(__xludf.DUMMYFUNCTION("""COMPUTED_VALUE"""),21964239859)</f>
        <v>21964239859</v>
      </c>
      <c r="AT266" s="29">
        <f ca="1">IFERROR(__xludf.DUMMYFUNCTION("""COMPUTED_VALUE"""),37585)</f>
        <v>37585</v>
      </c>
      <c r="AU266" s="27">
        <f ca="1">IFERROR(__xludf.DUMMYFUNCTION("""COMPUTED_VALUE"""),20)</f>
        <v>20</v>
      </c>
      <c r="AV266" s="27">
        <f ca="1">IFERROR(__xludf.DUMMYFUNCTION("""COMPUTED_VALUE"""),18269992720)</f>
        <v>18269992720</v>
      </c>
      <c r="AW266" s="27" t="str">
        <f ca="1">IFERROR(__xludf.DUMMYFUNCTION("""COMPUTED_VALUE"""),"29.826.334-4")</f>
        <v>29.826.334-4</v>
      </c>
      <c r="AX266" s="27"/>
      <c r="AY266" s="27"/>
      <c r="AZ266" s="27" t="str">
        <f ca="1">IFERROR(__xludf.DUMMYFUNCTION("""COMPUTED_VALUE"""),"P")</f>
        <v>P</v>
      </c>
      <c r="BA266" s="27" t="str">
        <f ca="1">IFERROR(__xludf.DUMMYFUNCTION("""COMPUTED_VALUE"""),"Preta")</f>
        <v>Preta</v>
      </c>
      <c r="BB266" s="27"/>
      <c r="BC266" s="27"/>
      <c r="BD266" s="27" t="str">
        <f ca="1">IFERROR(__xludf.DUMMYFUNCTION("""COMPUTED_VALUE"""),"Ana Beatriz* filha da Diva e do Jorge* nascida em Queimados na Baixada Fluminense e atualmente sou moradora do subúrbio carioca.
 Defensora da educação de qualidade e a escola como local de potência em territórios e vidas. Cursei meu ensino médio no I.E. "&amp;"Carmela Dutra* uma escola normalista que me entregou o diploma de Professora de E.I. 
Estou junto com o Projeto Jacaré Basquete* uma colaboração coletiva que vê o esporte como ferramenta de transformação de realidades. Oferecemos gratuitamente treinos de "&amp;"basquete para crianças e adolescentes que morem na Favela do Jacarezinho.")</f>
        <v>Ana Beatriz* filha da Diva e do Jorge* nascida em Queimados na Baixada Fluminense e atualmente sou moradora do subúrbio carioca.
 Defensora da educação de qualidade e a escola como local de potência em territórios e vidas. Cursei meu ensino médio no I.E. Carmela Dutra* uma escola normalista que me entregou o diploma de Professora de E.I. 
Estou junto com o Projeto Jacaré Basquete* uma colaboração coletiva que vê o esporte como ferramenta de transformação de realidades. Oferecemos gratuitamente treinos de basquete para crianças e adolescentes que morem na Favela do Jacarezinho.</v>
      </c>
      <c r="BE266" s="27" t="str">
        <f ca="1">IFERROR(__xludf.DUMMYFUNCTION("""COMPUTED_VALUE"""),"Feminino")</f>
        <v>Feminino</v>
      </c>
      <c r="BF266" s="27" t="str">
        <f ca="1">IFERROR(__xludf.DUMMYFUNCTION("""COMPUTED_VALUE"""),"Heterossexual")</f>
        <v>Heterossexual</v>
      </c>
      <c r="BG266" s="27"/>
      <c r="BH266" s="27" t="str">
        <f ca="1">IFERROR(__xludf.DUMMYFUNCTION("""COMPUTED_VALUE"""),"Público")</f>
        <v>Público</v>
      </c>
      <c r="BI266" s="27"/>
      <c r="BJ266" s="27"/>
      <c r="BK266" s="27" t="str">
        <f ca="1">IFERROR(__xludf.DUMMYFUNCTION("""COMPUTED_VALUE"""),"Rua Vlaminck")</f>
        <v>Rua Vlaminck</v>
      </c>
      <c r="BL266" s="27">
        <f ca="1">IFERROR(__xludf.DUMMYFUNCTION("""COMPUTED_VALUE"""),124)</f>
        <v>124</v>
      </c>
      <c r="BM266" s="27">
        <f ca="1">IFERROR(__xludf.DUMMYFUNCTION("""COMPUTED_VALUE"""),10)</f>
        <v>10</v>
      </c>
      <c r="BN266" s="27"/>
      <c r="BO266" s="27">
        <f ca="1">IFERROR(__xludf.DUMMYFUNCTION("""COMPUTED_VALUE"""),20771360)</f>
        <v>20771360</v>
      </c>
      <c r="BP266" s="27" t="str">
        <f ca="1">IFERROR(__xludf.DUMMYFUNCTION("""COMPUTED_VALUE"""),"RJ")</f>
        <v>RJ</v>
      </c>
      <c r="BQ266" s="27" t="str">
        <f ca="1">IFERROR(__xludf.DUMMYFUNCTION("""COMPUTED_VALUE"""),"Entre 1 até 3 salários mínimos")</f>
        <v>Entre 1 até 3 salários mínimos</v>
      </c>
      <c r="BR266" s="27" t="str">
        <f ca="1">IFERROR(__xludf.DUMMYFUNCTION("""COMPUTED_VALUE"""),"Trabalho informal")</f>
        <v>Trabalho informal</v>
      </c>
      <c r="BS266" s="27" t="str">
        <f ca="1">IFERROR(__xludf.DUMMYFUNCTION("""COMPUTED_VALUE"""),"Aluguel")</f>
        <v>Aluguel</v>
      </c>
      <c r="BT266" s="27">
        <f ca="1">IFERROR(__xludf.DUMMYFUNCTION("""COMPUTED_VALUE"""),2)</f>
        <v>2</v>
      </c>
      <c r="BU266" s="27" t="str">
        <f ca="1">IFERROR(__xludf.DUMMYFUNCTION("""COMPUTED_VALUE"""),"Não tem")</f>
        <v>Não tem</v>
      </c>
      <c r="BV266" s="27" t="str">
        <f ca="1">IFERROR(__xludf.DUMMYFUNCTION("""COMPUTED_VALUE"""),"Não")</f>
        <v>Não</v>
      </c>
      <c r="BW266" s="21" t="str">
        <f ca="1">IFERROR(__xludf.DUMMYFUNCTION("""COMPUTED_VALUE"""),"https://www.linkedin.com/in/anabeatriz-freire/")</f>
        <v>https://www.linkedin.com/in/anabeatriz-freire/</v>
      </c>
      <c r="BX266" s="21" t="str">
        <f ca="1">IFERROR(__xludf.DUMMYFUNCTION("""COMPUTED_VALUE"""),"https://www.instagram.com/biafree_/")</f>
        <v>https://www.instagram.com/biafree_/</v>
      </c>
      <c r="BY266" s="21" t="str">
        <f ca="1">IFERROR(__xludf.DUMMYFUNCTION("""COMPUTED_VALUE"""),"https://drive.google.com/open?id=1O_sJeycCFlGKBUuTcMGwhCNeiLPz4CkV")</f>
        <v>https://drive.google.com/open?id=1O_sJeycCFlGKBUuTcMGwhCNeiLPz4CkV</v>
      </c>
    </row>
    <row r="267" spans="1:77" ht="12.5" x14ac:dyDescent="0.25">
      <c r="A267" s="21" t="str">
        <f ca="1">IFERROR(__xludf.DUMMYFUNCTION("""COMPUTED_VALUE"""),"0014X00002VKCs4QAH")</f>
        <v>0014X00002VKCs4QAH</v>
      </c>
      <c r="B267" s="27" t="str">
        <f ca="1">IFERROR(__xludf.DUMMYFUNCTION("""COMPUTED_VALUE"""),"Fase Inicial")</f>
        <v>Fase Inicial</v>
      </c>
      <c r="C267" s="27" t="str">
        <f ca="1">IFERROR(__xludf.DUMMYFUNCTION("""COMPUTED_VALUE"""),"Fellow")</f>
        <v>Fellow</v>
      </c>
      <c r="D267" s="27" t="str">
        <f ca="1">IFERROR(__xludf.DUMMYFUNCTION("""COMPUTED_VALUE"""),"Ativo")</f>
        <v>Ativo</v>
      </c>
      <c r="E267" s="27" t="str">
        <f ca="1">IFERROR(__xludf.DUMMYFUNCTION("""COMPUTED_VALUE"""),"Extraordinários")</f>
        <v>Extraordinários</v>
      </c>
      <c r="F267" s="27" t="str">
        <f ca="1">IFERROR(__xludf.DUMMYFUNCTION("""COMPUTED_VALUE"""),"Renato")</f>
        <v>Renato</v>
      </c>
      <c r="G267" s="27" t="str">
        <f ca="1">IFERROR(__xludf.DUMMYFUNCTION("""COMPUTED_VALUE"""),"EXTRAORDINÁRIOS CARUARU")</f>
        <v>EXTRAORDINÁRIOS CARUARU</v>
      </c>
      <c r="H267" s="27"/>
      <c r="I267" s="27" t="str">
        <f ca="1">IFERROR(__xludf.DUMMYFUNCTION("""COMPUTED_VALUE"""),"Renato Paulo dos santos")</f>
        <v>Renato Paulo dos santos</v>
      </c>
      <c r="J267" s="27" t="str">
        <f ca="1">IFERROR(__xludf.DUMMYFUNCTION("""COMPUTED_VALUE"""),"ongextraordinarios@gmail.com")</f>
        <v>ongextraordinarios@gmail.com</v>
      </c>
      <c r="K267" s="27"/>
      <c r="L267" s="27" t="str">
        <f ca="1">IFERROR(__xludf.DUMMYFUNCTION("""COMPUTED_VALUE"""),"PE")</f>
        <v>PE</v>
      </c>
      <c r="M267" s="27" t="str">
        <f ca="1">IFERROR(__xludf.DUMMYFUNCTION("""COMPUTED_VALUE"""),"Avenida Rubem Florêncio de Moura")</f>
        <v>Avenida Rubem Florêncio de Moura</v>
      </c>
      <c r="N267" s="27" t="str">
        <f ca="1">IFERROR(__xludf.DUMMYFUNCTION("""COMPUTED_VALUE"""),"Kennedy")</f>
        <v>Kennedy</v>
      </c>
      <c r="O267" s="27">
        <f ca="1">IFERROR(__xludf.DUMMYFUNCTION("""COMPUTED_VALUE"""),336)</f>
        <v>336</v>
      </c>
      <c r="P267" s="27" t="str">
        <f ca="1">IFERROR(__xludf.DUMMYFUNCTION("""COMPUTED_VALUE"""),"Caruaru")</f>
        <v>Caruaru</v>
      </c>
      <c r="Q267" s="27"/>
      <c r="R267" s="27" t="str">
        <f ca="1">IFERROR(__xludf.DUMMYFUNCTION("""COMPUTED_VALUE"""),"55036-567")</f>
        <v>55036-567</v>
      </c>
      <c r="S267" s="27"/>
      <c r="T267" s="27"/>
      <c r="U267" s="27"/>
      <c r="V267" s="27"/>
      <c r="W267" s="27">
        <f ca="1">IFERROR(__xludf.DUMMYFUNCTION("""COMPUTED_VALUE"""),4)</f>
        <v>4</v>
      </c>
      <c r="X267" s="27"/>
      <c r="Y267" s="27"/>
      <c r="Z267" s="27">
        <f ca="1">IFERROR(__xludf.DUMMYFUNCTION("""COMPUTED_VALUE"""),60)</f>
        <v>60</v>
      </c>
      <c r="AA267" s="29">
        <f ca="1">IFERROR(__xludf.DUMMYFUNCTION("""COMPUTED_VALUE"""),44421)</f>
        <v>44421</v>
      </c>
      <c r="AB267" s="27" t="str">
        <f ca="1">IFERROR(__xludf.DUMMYFUNCTION("""COMPUTED_VALUE"""),"Não")</f>
        <v>Não</v>
      </c>
      <c r="AC267" s="27">
        <f ca="1">IFERROR(__xludf.DUMMYFUNCTION("""COMPUTED_VALUE"""),0)</f>
        <v>0</v>
      </c>
      <c r="AD267" s="27"/>
      <c r="AE267" s="27">
        <f ca="1">IFERROR(__xludf.DUMMYFUNCTION("""COMPUTED_VALUE"""),8)</f>
        <v>8</v>
      </c>
      <c r="AF267" s="27"/>
      <c r="AG267" s="27">
        <f ca="1">IFERROR(__xludf.DUMMYFUNCTION("""COMPUTED_VALUE"""),2)</f>
        <v>2</v>
      </c>
      <c r="AH267" s="27"/>
      <c r="AI267" s="27"/>
      <c r="AJ267" s="27"/>
      <c r="AK267" s="27"/>
      <c r="AL267" s="21" t="str">
        <f ca="1">IFERROR(__xludf.DUMMYFUNCTION("""COMPUTED_VALUE"""),"0034X0000380O3d")</f>
        <v>0034X0000380O3d</v>
      </c>
      <c r="AM267" s="27" t="str">
        <f ca="1">IFERROR(__xludf.DUMMYFUNCTION("""COMPUTED_VALUE"""),"Paulo dos santos")</f>
        <v>Paulo dos santos</v>
      </c>
      <c r="AN267" s="27" t="str">
        <f ca="1">IFERROR(__xludf.DUMMYFUNCTION("""COMPUTED_VALUE"""),"Ativo")</f>
        <v>Ativo</v>
      </c>
      <c r="AO267" s="29">
        <f ca="1">IFERROR(__xludf.DUMMYFUNCTION("""COMPUTED_VALUE"""),44763)</f>
        <v>44763</v>
      </c>
      <c r="AP267" s="27">
        <f ca="1">IFERROR(__xludf.DUMMYFUNCTION("""COMPUTED_VALUE"""),2)</f>
        <v>2</v>
      </c>
      <c r="AQ267" s="27" t="str">
        <f ca="1">IFERROR(__xludf.DUMMYFUNCTION("""COMPUTED_VALUE"""),"Primeiro Semestre 2022")</f>
        <v>Primeiro Semestre 2022</v>
      </c>
      <c r="AR267" s="27" t="str">
        <f ca="1">IFERROR(__xludf.DUMMYFUNCTION("""COMPUTED_VALUE"""),"santosrenato760@gmail.com")</f>
        <v>santosrenato760@gmail.com</v>
      </c>
      <c r="AS267" s="27" t="str">
        <f ca="1">IFERROR(__xludf.DUMMYFUNCTION("""COMPUTED_VALUE"""),"(81)99674-4393")</f>
        <v>(81)99674-4393</v>
      </c>
      <c r="AT267" s="30">
        <f ca="1">IFERROR(__xludf.DUMMYFUNCTION("""COMPUTED_VALUE"""),31686)</f>
        <v>31686</v>
      </c>
      <c r="AU267" s="27">
        <f ca="1">IFERROR(__xludf.DUMMYFUNCTION("""COMPUTED_VALUE"""),36)</f>
        <v>36</v>
      </c>
      <c r="AV267" s="27">
        <f ca="1">IFERROR(__xludf.DUMMYFUNCTION("""COMPUTED_VALUE"""),7723277423)</f>
        <v>7723277423</v>
      </c>
      <c r="AW267" s="27">
        <f ca="1">IFERROR(__xludf.DUMMYFUNCTION("""COMPUTED_VALUE"""),7875810)</f>
        <v>7875810</v>
      </c>
      <c r="AX267" s="27"/>
      <c r="AY267" s="27" t="str">
        <f ca="1">IFERROR(__xludf.DUMMYFUNCTION("""COMPUTED_VALUE"""),"CEO")</f>
        <v>CEO</v>
      </c>
      <c r="AZ267" s="27" t="str">
        <f ca="1">IFERROR(__xludf.DUMMYFUNCTION("""COMPUTED_VALUE"""),"GG")</f>
        <v>GG</v>
      </c>
      <c r="BA267" s="27" t="str">
        <f ca="1">IFERROR(__xludf.DUMMYFUNCTION("""COMPUTED_VALUE"""),"Parda")</f>
        <v>Parda</v>
      </c>
      <c r="BB267" s="27"/>
      <c r="BC267" s="27"/>
      <c r="BD267" s="27" t="str">
        <f ca="1">IFERROR(__xludf.DUMMYFUNCTION("""COMPUTED_VALUE"""),"Sou o significado do meu nome. Apaixonado pela minha cidade Caruaru. Workaholics por natureza. Pai de Laura e Théo. Casado com Taisa. Filho de pais separados. Criado por uma mulher analfabeta, que sabe todas as letras do mundo. Orgulhoso por tudo que desc"&amp;"onstruir e construir. Enfim, Sou eu mesmo, mas sempre mudo.")</f>
        <v>Sou o significado do meu nome. Apaixonado pela minha cidade Caruaru. Workaholics por natureza. Pai de Laura e Théo. Casado com Taisa. Filho de pais separados. Criado por uma mulher analfabeta, que sabe todas as letras do mundo. Orgulhoso por tudo que desconstruir e construir. Enfim, Sou eu mesmo, mas sempre mudo.</v>
      </c>
      <c r="BE267" s="27" t="str">
        <f ca="1">IFERROR(__xludf.DUMMYFUNCTION("""COMPUTED_VALUE"""),"Homem, cisgênero")</f>
        <v>Homem, cisgênero</v>
      </c>
      <c r="BF267" s="27" t="str">
        <f ca="1">IFERROR(__xludf.DUMMYFUNCTION("""COMPUTED_VALUE"""),"Heterossexual")</f>
        <v>Heterossexual</v>
      </c>
      <c r="BG267" s="27" t="str">
        <f ca="1">IFERROR(__xludf.DUMMYFUNCTION("""COMPUTED_VALUE"""),"Ensino Superior - Completo")</f>
        <v>Ensino Superior - Completo</v>
      </c>
      <c r="BH267" s="27" t="str">
        <f ca="1">IFERROR(__xludf.DUMMYFUNCTION("""COMPUTED_VALUE"""),"Privado")</f>
        <v>Privado</v>
      </c>
      <c r="BI267" s="27" t="str">
        <f ca="1">IFERROR(__xludf.DUMMYFUNCTION("""COMPUTED_VALUE"""),"Pós-Graduação")</f>
        <v>Pós-Graduação</v>
      </c>
      <c r="BJ267" s="27" t="str">
        <f ca="1">IFERROR(__xludf.DUMMYFUNCTION("""COMPUTED_VALUE"""),"Privado")</f>
        <v>Privado</v>
      </c>
      <c r="BK267" s="27" t="str">
        <f ca="1">IFERROR(__xludf.DUMMYFUNCTION("""COMPUTED_VALUE"""),"Rua Matias Sebastião de Ribeiro")</f>
        <v>Rua Matias Sebastião de Ribeiro</v>
      </c>
      <c r="BL267" s="27">
        <f ca="1">IFERROR(__xludf.DUMMYFUNCTION("""COMPUTED_VALUE"""),34)</f>
        <v>34</v>
      </c>
      <c r="BM267" s="27" t="str">
        <f ca="1">IFERROR(__xludf.DUMMYFUNCTION("""COMPUTED_VALUE"""),"Casa")</f>
        <v>Casa</v>
      </c>
      <c r="BN267" s="27" t="str">
        <f ca="1">IFERROR(__xludf.DUMMYFUNCTION("""COMPUTED_VALUE"""),"Riacho das Almas")</f>
        <v>Riacho das Almas</v>
      </c>
      <c r="BO267" s="27" t="str">
        <f ca="1">IFERROR(__xludf.DUMMYFUNCTION("""COMPUTED_VALUE"""),"55000-120")</f>
        <v>55000-120</v>
      </c>
      <c r="BP267" s="27" t="str">
        <f ca="1">IFERROR(__xludf.DUMMYFUNCTION("""COMPUTED_VALUE"""),"PE")</f>
        <v>PE</v>
      </c>
      <c r="BQ267" s="27" t="str">
        <f ca="1">IFERROR(__xludf.DUMMYFUNCTION("""COMPUTED_VALUE"""),"Entre 1 até 3 salários mínimos")</f>
        <v>Entre 1 até 3 salários mínimos</v>
      </c>
      <c r="BR267" s="27" t="str">
        <f ca="1">IFERROR(__xludf.DUMMYFUNCTION("""COMPUTED_VALUE"""),"CLT")</f>
        <v>CLT</v>
      </c>
      <c r="BS267" s="27" t="str">
        <f ca="1">IFERROR(__xludf.DUMMYFUNCTION("""COMPUTED_VALUE"""),"Casa própria")</f>
        <v>Casa própria</v>
      </c>
      <c r="BT267" s="27">
        <f ca="1">IFERROR(__xludf.DUMMYFUNCTION("""COMPUTED_VALUE"""),3)</f>
        <v>3</v>
      </c>
      <c r="BU267" s="27" t="str">
        <f ca="1">IFERROR(__xludf.DUMMYFUNCTION("""COMPUTED_VALUE"""),"Não tem")</f>
        <v>Não tem</v>
      </c>
      <c r="BV267" s="27" t="str">
        <f ca="1">IFERROR(__xludf.DUMMYFUNCTION("""COMPUTED_VALUE"""),"Não")</f>
        <v>Não</v>
      </c>
      <c r="BW267" s="21" t="str">
        <f ca="1">IFERROR(__xludf.DUMMYFUNCTION("""COMPUTED_VALUE"""),"https://www.linkedin.com/in/renato-santos-ab7706197")</f>
        <v>https://www.linkedin.com/in/renato-santos-ab7706197</v>
      </c>
      <c r="BX267" s="21" t="str">
        <f ca="1">IFERROR(__xludf.DUMMYFUNCTION("""COMPUTED_VALUE"""),"https://instagram.com/renators30?igshid=YmMyMTA2M2Y=")</f>
        <v>https://instagram.com/renators30?igshid=YmMyMTA2M2Y=</v>
      </c>
      <c r="BY267" s="21" t="str">
        <f ca="1">IFERROR(__xludf.DUMMYFUNCTION("""COMPUTED_VALUE"""),"https://drive.google.com/open?id=19UflmionzOOzm7lv8spKCJlvYGESwkja")</f>
        <v>https://drive.google.com/open?id=19UflmionzOOzm7lv8spKCJlvYGESwkja</v>
      </c>
    </row>
    <row r="268" spans="1:77" ht="12.5" hidden="1" x14ac:dyDescent="0.25">
      <c r="A268" s="21" t="str">
        <f ca="1">IFERROR(__xludf.DUMMYFUNCTION("""COMPUTED_VALUE"""),"0014X00002VKCslQAH")</f>
        <v>0014X00002VKCslQAH</v>
      </c>
      <c r="B268" s="27" t="str">
        <f ca="1">IFERROR(__xludf.DUMMYFUNCTION("""COMPUTED_VALUE"""),"Fase Inicial")</f>
        <v>Fase Inicial</v>
      </c>
      <c r="C268" s="27" t="str">
        <f ca="1">IFERROR(__xludf.DUMMYFUNCTION("""COMPUTED_VALUE"""),"Fellow")</f>
        <v>Fellow</v>
      </c>
      <c r="D268" s="27" t="str">
        <f ca="1">IFERROR(__xludf.DUMMYFUNCTION("""COMPUTED_VALUE"""),"Ativo")</f>
        <v>Ativo</v>
      </c>
      <c r="E268" s="27" t="str">
        <f ca="1">IFERROR(__xludf.DUMMYFUNCTION("""COMPUTED_VALUE"""),"Família Lanatanpa")</f>
        <v>Família Lanatanpa</v>
      </c>
      <c r="F268" s="27" t="str">
        <f ca="1">IFERROR(__xludf.DUMMYFUNCTION("""COMPUTED_VALUE"""),"Juliana")</f>
        <v>Juliana</v>
      </c>
      <c r="G268" s="27" t="str">
        <f ca="1">IFERROR(__xludf.DUMMYFUNCTION("""COMPUTED_VALUE"""),"PROJETO FAMÍLIA LANATANPA")</f>
        <v>PROJETO FAMÍLIA LANATANPA</v>
      </c>
      <c r="H268" s="27">
        <f ca="1">IFERROR(__xludf.DUMMYFUNCTION("""COMPUTED_VALUE"""),27867690000137)</f>
        <v>27867690000137</v>
      </c>
      <c r="I268" s="27" t="str">
        <f ca="1">IFERROR(__xludf.DUMMYFUNCTION("""COMPUTED_VALUE"""),"Juliana Oliveira da Silva Maia")</f>
        <v>Juliana Oliveira da Silva Maia</v>
      </c>
      <c r="J268" s="27" t="str">
        <f ca="1">IFERROR(__xludf.DUMMYFUNCTION("""COMPUTED_VALUE"""),"rcflanatanpa@gmail.com")</f>
        <v>rcflanatanpa@gmail.com</v>
      </c>
      <c r="K268" s="27" t="str">
        <f ca="1">IFERROR(__xludf.DUMMYFUNCTION("""COMPUTED_VALUE"""),"(21)99546-0584")</f>
        <v>(21)99546-0584</v>
      </c>
      <c r="L268" s="27" t="str">
        <f ca="1">IFERROR(__xludf.DUMMYFUNCTION("""COMPUTED_VALUE"""),"RJ")</f>
        <v>RJ</v>
      </c>
      <c r="M268" s="27" t="str">
        <f ca="1">IFERROR(__xludf.DUMMYFUNCTION("""COMPUTED_VALUE"""),"Rouget Lisle  205")</f>
        <v>Rouget Lisle  205</v>
      </c>
      <c r="N268" s="27" t="str">
        <f ca="1">IFERROR(__xludf.DUMMYFUNCTION("""COMPUTED_VALUE"""),"Vila Santo Antônio -Pantanal")</f>
        <v>Vila Santo Antônio -Pantanal</v>
      </c>
      <c r="O268" s="27">
        <f ca="1">IFERROR(__xludf.DUMMYFUNCTION("""COMPUTED_VALUE"""),205)</f>
        <v>205</v>
      </c>
      <c r="P268" s="27" t="str">
        <f ca="1">IFERROR(__xludf.DUMMYFUNCTION("""COMPUTED_VALUE"""),"Duque de Caxias")</f>
        <v>Duque de Caxias</v>
      </c>
      <c r="Q268" s="27" t="str">
        <f ca="1">IFERROR(__xludf.DUMMYFUNCTION("""COMPUTED_VALUE"""),"loja b")</f>
        <v>loja b</v>
      </c>
      <c r="R268" s="27" t="str">
        <f ca="1">IFERROR(__xludf.DUMMYFUNCTION("""COMPUTED_VALUE"""),"25040-360")</f>
        <v>25040-360</v>
      </c>
      <c r="S268" s="27" t="str">
        <f ca="1">IFERROR(__xludf.DUMMYFUNCTION("""COMPUTED_VALUE"""),"Praças e escolas públicas")</f>
        <v>Praças e escolas públicas</v>
      </c>
      <c r="T268" s="27"/>
      <c r="U268" s="27" t="str">
        <f ca="1">IFERROR(__xludf.DUMMYFUNCTION("""COMPUTED_VALUE"""),"Crianças (6 a 12 anos), Adolescentes (12 aos 18 anos), Jovens (18 aos 24 anos)")</f>
        <v>Crianças (6 a 12 anos), Adolescentes (12 aos 18 anos), Jovens (18 aos 24 anos)</v>
      </c>
      <c r="V268" s="27" t="str">
        <f ca="1">IFERROR(__xludf.DUMMYFUNCTION("""COMPUTED_VALUE"""),"Moradores de Favelas, População LGBTQ+, Povos Indígenas, Afrodescendentes")</f>
        <v>Moradores de Favelas, População LGBTQ+, Povos Indígenas, Afrodescendentes</v>
      </c>
      <c r="W268" s="27">
        <f ca="1">IFERROR(__xludf.DUMMYFUNCTION("""COMPUTED_VALUE"""),2)</f>
        <v>2</v>
      </c>
      <c r="X268" s="27"/>
      <c r="Y268" s="27"/>
      <c r="Z268" s="27">
        <f ca="1">IFERROR(__xludf.DUMMYFUNCTION("""COMPUTED_VALUE"""),20)</f>
        <v>20</v>
      </c>
      <c r="AA268" s="29">
        <f ca="1">IFERROR(__xludf.DUMMYFUNCTION("""COMPUTED_VALUE"""),43323)</f>
        <v>43323</v>
      </c>
      <c r="AB268" s="27" t="str">
        <f ca="1">IFERROR(__xludf.DUMMYFUNCTION("""COMPUTED_VALUE"""),"Não")</f>
        <v>Não</v>
      </c>
      <c r="AC268" s="27">
        <f ca="1">IFERROR(__xludf.DUMMYFUNCTION("""COMPUTED_VALUE"""),0)</f>
        <v>0</v>
      </c>
      <c r="AD268" s="27">
        <f ca="1">IFERROR(__xludf.DUMMYFUNCTION("""COMPUTED_VALUE"""),2)</f>
        <v>2</v>
      </c>
      <c r="AE268" s="27">
        <f ca="1">IFERROR(__xludf.DUMMYFUNCTION("""COMPUTED_VALUE"""),4)</f>
        <v>4</v>
      </c>
      <c r="AF268" s="27">
        <f ca="1">IFERROR(__xludf.DUMMYFUNCTION("""COMPUTED_VALUE"""),4)</f>
        <v>4</v>
      </c>
      <c r="AG268" s="27">
        <f ca="1">IFERROR(__xludf.DUMMYFUNCTION("""COMPUTED_VALUE"""),2)</f>
        <v>2</v>
      </c>
      <c r="AH268" s="27" t="str">
        <f ca="1">IFERROR(__xludf.DUMMYFUNCTION("""COMPUTED_VALUE"""),"Editais, Doações")</f>
        <v>Editais, Doações</v>
      </c>
      <c r="AI268" s="27" t="str">
        <f ca="1">IFERROR(__xludf.DUMMYFUNCTION("""COMPUTED_VALUE"""),"80% doações 20% editais")</f>
        <v>80% doações 20% editais</v>
      </c>
      <c r="AJ268" s="27" t="str">
        <f ca="1">IFERROR(__xludf.DUMMYFUNCTION("""COMPUTED_VALUE"""),"Vamos iniciar esse ano")</f>
        <v>Vamos iniciar esse ano</v>
      </c>
      <c r="AK268" s="27"/>
      <c r="AL268" s="21" t="str">
        <f ca="1">IFERROR(__xludf.DUMMYFUNCTION("""COMPUTED_VALUE"""),"0034X0000380O63")</f>
        <v>0034X0000380O63</v>
      </c>
      <c r="AM268" s="27" t="str">
        <f ca="1">IFERROR(__xludf.DUMMYFUNCTION("""COMPUTED_VALUE"""),"Oliveira da silva maia")</f>
        <v>Oliveira da silva maia</v>
      </c>
      <c r="AN268" s="27" t="str">
        <f ca="1">IFERROR(__xludf.DUMMYFUNCTION("""COMPUTED_VALUE"""),"Ativo")</f>
        <v>Ativo</v>
      </c>
      <c r="AO268" s="29">
        <f ca="1">IFERROR(__xludf.DUMMYFUNCTION("""COMPUTED_VALUE"""),44763)</f>
        <v>44763</v>
      </c>
      <c r="AP268" s="27">
        <f ca="1">IFERROR(__xludf.DUMMYFUNCTION("""COMPUTED_VALUE"""),2)</f>
        <v>2</v>
      </c>
      <c r="AQ268" s="27" t="str">
        <f ca="1">IFERROR(__xludf.DUMMYFUNCTION("""COMPUTED_VALUE"""),"Primeiro Semestre 2022")</f>
        <v>Primeiro Semestre 2022</v>
      </c>
      <c r="AR268" s="27" t="str">
        <f ca="1">IFERROR(__xludf.DUMMYFUNCTION("""COMPUTED_VALUE"""),"maia.oliveira.juliana@gmail.com")</f>
        <v>maia.oliveira.juliana@gmail.com</v>
      </c>
      <c r="AS268" s="27" t="str">
        <f ca="1">IFERROR(__xludf.DUMMYFUNCTION("""COMPUTED_VALUE"""),"?+55 21 99546?0584?")</f>
        <v>?+55 21 99546?0584?</v>
      </c>
      <c r="AT268" s="29">
        <f ca="1">IFERROR(__xludf.DUMMYFUNCTION("""COMPUTED_VALUE"""),30581)</f>
        <v>30581</v>
      </c>
      <c r="AU268" s="27">
        <f ca="1">IFERROR(__xludf.DUMMYFUNCTION("""COMPUTED_VALUE"""),39)</f>
        <v>39</v>
      </c>
      <c r="AV268" s="27">
        <f ca="1">IFERROR(__xludf.DUMMYFUNCTION("""COMPUTED_VALUE"""),10416108741)</f>
        <v>10416108741</v>
      </c>
      <c r="AW268" s="27">
        <f ca="1">IFERROR(__xludf.DUMMYFUNCTION("""COMPUTED_VALUE"""),201867575)</f>
        <v>201867575</v>
      </c>
      <c r="AX268" s="27"/>
      <c r="AY268" s="27"/>
      <c r="AZ268" s="27" t="str">
        <f ca="1">IFERROR(__xludf.DUMMYFUNCTION("""COMPUTED_VALUE"""),"GG")</f>
        <v>GG</v>
      </c>
      <c r="BA268" s="27" t="str">
        <f ca="1">IFERROR(__xludf.DUMMYFUNCTION("""COMPUTED_VALUE"""),"Parda")</f>
        <v>Parda</v>
      </c>
      <c r="BB268" s="27"/>
      <c r="BC268" s="27"/>
      <c r="BD268" s="27" t="str">
        <f ca="1">IFERROR(__xludf.DUMMYFUNCTION("""COMPUTED_VALUE"""),"Idealizadora do Projeto Sociocultural Família Lanatanpa desde 2018 atuando com crianças e adolescentes no território. Com educação e ações culturais.")</f>
        <v>Idealizadora do Projeto Sociocultural Família Lanatanpa desde 2018 atuando com crianças e adolescentes no território. Com educação e ações culturais.</v>
      </c>
      <c r="BE268" s="27" t="str">
        <f ca="1">IFERROR(__xludf.DUMMYFUNCTION("""COMPUTED_VALUE"""),"Feminino")</f>
        <v>Feminino</v>
      </c>
      <c r="BF268" s="27" t="str">
        <f ca="1">IFERROR(__xludf.DUMMYFUNCTION("""COMPUTED_VALUE"""),"Heterossexual")</f>
        <v>Heterossexual</v>
      </c>
      <c r="BG268" s="27"/>
      <c r="BH268" s="27" t="str">
        <f ca="1">IFERROR(__xludf.DUMMYFUNCTION("""COMPUTED_VALUE"""),"Privado")</f>
        <v>Privado</v>
      </c>
      <c r="BI268" s="27"/>
      <c r="BJ268" s="27"/>
      <c r="BK268" s="27" t="str">
        <f ca="1">IFERROR(__xludf.DUMMYFUNCTION("""COMPUTED_VALUE"""),"Rouget Lisle")</f>
        <v>Rouget Lisle</v>
      </c>
      <c r="BL268" s="27">
        <f ca="1">IFERROR(__xludf.DUMMYFUNCTION("""COMPUTED_VALUE"""),205)</f>
        <v>205</v>
      </c>
      <c r="BM268" s="27">
        <f ca="1">IFERROR(__xludf.DUMMYFUNCTION("""COMPUTED_VALUE"""),7)</f>
        <v>7</v>
      </c>
      <c r="BN268" s="27"/>
      <c r="BO268" s="27">
        <f ca="1">IFERROR(__xludf.DUMMYFUNCTION("""COMPUTED_VALUE"""),25040360)</f>
        <v>25040360</v>
      </c>
      <c r="BP268" s="27" t="str">
        <f ca="1">IFERROR(__xludf.DUMMYFUNCTION("""COMPUTED_VALUE"""),"RJ")</f>
        <v>RJ</v>
      </c>
      <c r="BQ268" s="27" t="str">
        <f ca="1">IFERROR(__xludf.DUMMYFUNCTION("""COMPUTED_VALUE"""),"Entre 1 até 3 salários mínimos")</f>
        <v>Entre 1 até 3 salários mínimos</v>
      </c>
      <c r="BR268" s="27" t="str">
        <f ca="1">IFERROR(__xludf.DUMMYFUNCTION("""COMPUTED_VALUE"""),"MEI")</f>
        <v>MEI</v>
      </c>
      <c r="BS268" s="27" t="str">
        <f ca="1">IFERROR(__xludf.DUMMYFUNCTION("""COMPUTED_VALUE"""),"Casa cedida")</f>
        <v>Casa cedida</v>
      </c>
      <c r="BT268" s="27">
        <f ca="1">IFERROR(__xludf.DUMMYFUNCTION("""COMPUTED_VALUE"""),4)</f>
        <v>4</v>
      </c>
      <c r="BU268" s="27" t="str">
        <f ca="1">IFERROR(__xludf.DUMMYFUNCTION("""COMPUTED_VALUE"""),"Não tem")</f>
        <v>Não tem</v>
      </c>
      <c r="BV268" s="27" t="str">
        <f ca="1">IFERROR(__xludf.DUMMYFUNCTION("""COMPUTED_VALUE"""),"Não")</f>
        <v>Não</v>
      </c>
      <c r="BW268" s="21" t="str">
        <f ca="1">IFERROR(__xludf.DUMMYFUNCTION("""COMPUTED_VALUE"""),"https://instagram.com/julianamaiareal")</f>
        <v>https://instagram.com/julianamaiareal</v>
      </c>
      <c r="BX268" s="21" t="str">
        <f ca="1">IFERROR(__xludf.DUMMYFUNCTION("""COMPUTED_VALUE"""),"https://instagram.com/julianamaiareal")</f>
        <v>https://instagram.com/julianamaiareal</v>
      </c>
      <c r="BY268" s="21" t="str">
        <f ca="1">IFERROR(__xludf.DUMMYFUNCTION("""COMPUTED_VALUE"""),"https://drive.google.com/open?id=1KZMRLmxRys9oJaJt5X5xyFNFh4UAsvto")</f>
        <v>https://drive.google.com/open?id=1KZMRLmxRys9oJaJt5X5xyFNFh4UAsvto</v>
      </c>
    </row>
    <row r="269" spans="1:77" ht="12.5" hidden="1" x14ac:dyDescent="0.25">
      <c r="A269" s="21" t="str">
        <f ca="1">IFERROR(__xludf.DUMMYFUNCTION("""COMPUTED_VALUE"""),"0014P00003AN2FwQAL")</f>
        <v>0014P00003AN2FwQAL</v>
      </c>
      <c r="B269" s="27" t="str">
        <f ca="1">IFERROR(__xludf.DUMMYFUNCTION("""COMPUTED_VALUE"""),"Fase Inicial")</f>
        <v>Fase Inicial</v>
      </c>
      <c r="C269" s="27" t="str">
        <f ca="1">IFERROR(__xludf.DUMMYFUNCTION("""COMPUTED_VALUE"""),"Acelerada")</f>
        <v>Acelerada</v>
      </c>
      <c r="D269" s="27" t="str">
        <f ca="1">IFERROR(__xludf.DUMMYFUNCTION("""COMPUTED_VALUE"""),"Ativo")</f>
        <v>Ativo</v>
      </c>
      <c r="E269" s="27" t="str">
        <f ca="1">IFERROR(__xludf.DUMMYFUNCTION("""COMPUTED_VALUE"""),"Favela Radical")</f>
        <v>Favela Radical</v>
      </c>
      <c r="F269" s="27" t="str">
        <f ca="1">IFERROR(__xludf.DUMMYFUNCTION("""COMPUTED_VALUE"""),"Jefferson")</f>
        <v>Jefferson</v>
      </c>
      <c r="G269" s="27" t="str">
        <f ca="1">IFERROR(__xludf.DUMMYFUNCTION("""COMPUTED_VALUE"""),"FAVELA RADICAL")</f>
        <v>FAVELA RADICAL</v>
      </c>
      <c r="H269" s="27" t="str">
        <f ca="1">IFERROR(__xludf.DUMMYFUNCTION("""COMPUTED_VALUE"""),"39.421.031/0001-51")</f>
        <v>39.421.031/0001-51</v>
      </c>
      <c r="I269" s="27"/>
      <c r="J269" s="27" t="str">
        <f ca="1">IFERROR(__xludf.DUMMYFUNCTION("""COMPUTED_VALUE"""),"favelaradical@gmail.com")</f>
        <v>favelaradical@gmail.com</v>
      </c>
      <c r="K269" s="27" t="str">
        <f ca="1">IFERROR(__xludf.DUMMYFUNCTION("""COMPUTED_VALUE"""),"(21)99809-9817")</f>
        <v>(21)99809-9817</v>
      </c>
      <c r="L269" s="27" t="str">
        <f ca="1">IFERROR(__xludf.DUMMYFUNCTION("""COMPUTED_VALUE"""),"RJ")</f>
        <v>RJ</v>
      </c>
      <c r="M269" s="27" t="str">
        <f ca="1">IFERROR(__xludf.DUMMYFUNCTION("""COMPUTED_VALUE"""),"Rua Infante de Sagres")</f>
        <v>Rua Infante de Sagres</v>
      </c>
      <c r="N269" s="27"/>
      <c r="O269" s="27" t="str">
        <f ca="1">IFERROR(__xludf.DUMMYFUNCTION("""COMPUTED_VALUE"""),"(21)99809-9817")</f>
        <v>(21)99809-9817</v>
      </c>
      <c r="P269" s="27" t="str">
        <f ca="1">IFERROR(__xludf.DUMMYFUNCTION("""COMPUTED_VALUE"""),"Rio de Janeiro")</f>
        <v>Rio de Janeiro</v>
      </c>
      <c r="Q269" s="27"/>
      <c r="R269" s="27" t="str">
        <f ca="1">IFERROR(__xludf.DUMMYFUNCTION("""COMPUTED_VALUE"""),"20261-160")</f>
        <v>20261-160</v>
      </c>
      <c r="S269" s="27" t="str">
        <f ca="1">IFERROR(__xludf.DUMMYFUNCTION("""COMPUTED_VALUE"""),"Praia do Arpoador 
Univercidade Estacio ( Rua do Bispo 83 Rio Comprido 20261-063")</f>
        <v>Praia do Arpoador 
Univercidade Estacio ( Rua do Bispo 83 Rio Comprido 20261-063</v>
      </c>
      <c r="T269" s="27" t="str">
        <f ca="1">IFERROR(__xludf.DUMMYFUNCTION("""COMPUTED_VALUE"""),"Esporte; Empregabilidade; Qualificação Profissional; Meio ambiente; Ciência e Tecnologia")</f>
        <v>Esporte; Empregabilidade; Qualificação Profissional; Meio ambiente; Ciência e Tecnologia</v>
      </c>
      <c r="U269" s="27" t="str">
        <f ca="1">IFERROR(__xludf.DUMMYFUNCTION("""COMPUTED_VALUE"""),"Crianças (6 a 12 anos); Adolescentes (12 aos 18 anos); Jovens (18 aos 24 anos)")</f>
        <v>Crianças (6 a 12 anos); Adolescentes (12 aos 18 anos); Jovens (18 aos 24 anos)</v>
      </c>
      <c r="V269" s="27" t="str">
        <f ca="1">IFERROR(__xludf.DUMMYFUNCTION("""COMPUTED_VALUE"""),"Moradores de Favelas")</f>
        <v>Moradores de Favelas</v>
      </c>
      <c r="W269" s="27">
        <f ca="1">IFERROR(__xludf.DUMMYFUNCTION("""COMPUTED_VALUE"""),3)</f>
        <v>3</v>
      </c>
      <c r="X269" s="27"/>
      <c r="Y269" s="27"/>
      <c r="Z269" s="27"/>
      <c r="AA269" s="29">
        <f ca="1">IFERROR(__xludf.DUMMYFUNCTION("""COMPUTED_VALUE"""),43961)</f>
        <v>43961</v>
      </c>
      <c r="AB269" s="27" t="str">
        <f ca="1">IFERROR(__xludf.DUMMYFUNCTION("""COMPUTED_VALUE"""),"Sim")</f>
        <v>Sim</v>
      </c>
      <c r="AC269" s="27">
        <f ca="1">IFERROR(__xludf.DUMMYFUNCTION("""COMPUTED_VALUE"""),15)</f>
        <v>15</v>
      </c>
      <c r="AD269" s="27">
        <f ca="1">IFERROR(__xludf.DUMMYFUNCTION("""COMPUTED_VALUE"""),8)</f>
        <v>8</v>
      </c>
      <c r="AE269" s="27">
        <f ca="1">IFERROR(__xludf.DUMMYFUNCTION("""COMPUTED_VALUE"""),5)</f>
        <v>5</v>
      </c>
      <c r="AF269" s="27">
        <f ca="1">IFERROR(__xludf.DUMMYFUNCTION("""COMPUTED_VALUE"""),8)</f>
        <v>8</v>
      </c>
      <c r="AG269" s="27">
        <f ca="1">IFERROR(__xludf.DUMMYFUNCTION("""COMPUTED_VALUE"""),1)</f>
        <v>1</v>
      </c>
      <c r="AH269" s="27" t="str">
        <f ca="1">IFERROR(__xludf.DUMMYFUNCTION("""COMPUTED_VALUE"""),"Parceria iniciativa privada; Editais")</f>
        <v>Parceria iniciativa privada; Editais</v>
      </c>
      <c r="AI269" s="27" t="str">
        <f ca="1">IFERROR(__xludf.DUMMYFUNCTION("""COMPUTED_VALUE"""),"Plataform doação online 90%  Eventos 10%")</f>
        <v>Plataform doação online 90%  Eventos 10%</v>
      </c>
      <c r="AJ269" s="27" t="str">
        <f ca="1">IFERROR(__xludf.DUMMYFUNCTION("""COMPUTED_VALUE"""),"Não")</f>
        <v>Não</v>
      </c>
      <c r="AK269" s="27" t="str">
        <f ca="1">IFERROR(__xludf.DUMMYFUNCTION("""COMPUTED_VALUE"""),"Não")</f>
        <v>Não</v>
      </c>
      <c r="AL269" s="21" t="str">
        <f ca="1">IFERROR(__xludf.DUMMYFUNCTION("""COMPUTED_VALUE"""),"0034P00003maBVN")</f>
        <v>0034P00003maBVN</v>
      </c>
      <c r="AM269" s="27" t="str">
        <f ca="1">IFERROR(__xludf.DUMMYFUNCTION("""COMPUTED_VALUE"""),"Figueiredo Quirino")</f>
        <v>Figueiredo Quirino</v>
      </c>
      <c r="AN269" s="27" t="str">
        <f ca="1">IFERROR(__xludf.DUMMYFUNCTION("""COMPUTED_VALUE"""),"Ativo")</f>
        <v>Ativo</v>
      </c>
      <c r="AO269" s="29">
        <f ca="1">IFERROR(__xludf.DUMMYFUNCTION("""COMPUTED_VALUE"""),44141)</f>
        <v>44141</v>
      </c>
      <c r="AP269" s="27">
        <f ca="1">IFERROR(__xludf.DUMMYFUNCTION("""COMPUTED_VALUE"""),22)</f>
        <v>22</v>
      </c>
      <c r="AQ269" s="27" t="str">
        <f ca="1">IFERROR(__xludf.DUMMYFUNCTION("""COMPUTED_VALUE"""),"Primeiro Semestre 2020")</f>
        <v>Primeiro Semestre 2020</v>
      </c>
      <c r="AR269" s="27" t="str">
        <f ca="1">IFERROR(__xludf.DUMMYFUNCTION("""COMPUTED_VALUE"""),"jeffquirino@favelaradical.com.br")</f>
        <v>jeffquirino@favelaradical.com.br</v>
      </c>
      <c r="AS269" s="27" t="str">
        <f ca="1">IFERROR(__xludf.DUMMYFUNCTION("""COMPUTED_VALUE"""),"(21)99809-9817")</f>
        <v>(21)99809-9817</v>
      </c>
      <c r="AT269" s="29">
        <f ca="1">IFERROR(__xludf.DUMMYFUNCTION("""COMPUTED_VALUE"""),32065)</f>
        <v>32065</v>
      </c>
      <c r="AU269" s="27">
        <f ca="1">IFERROR(__xludf.DUMMYFUNCTION("""COMPUTED_VALUE"""),35)</f>
        <v>35</v>
      </c>
      <c r="AV269" s="27">
        <f ca="1">IFERROR(__xludf.DUMMYFUNCTION("""COMPUTED_VALUE"""),5904431783)</f>
        <v>5904431783</v>
      </c>
      <c r="AW269" s="27">
        <f ca="1">IFERROR(__xludf.DUMMYFUNCTION("""COMPUTED_VALUE"""),213056716)</f>
        <v>213056716</v>
      </c>
      <c r="AX269" s="27" t="str">
        <f ca="1">IFERROR(__xludf.DUMMYFUNCTION("""COMPUTED_VALUE"""),"Liderança Social")</f>
        <v>Liderança Social</v>
      </c>
      <c r="AY269" s="27"/>
      <c r="AZ269" s="27" t="str">
        <f ca="1">IFERROR(__xludf.DUMMYFUNCTION("""COMPUTED_VALUE"""),"GG")</f>
        <v>GG</v>
      </c>
      <c r="BA269" s="27"/>
      <c r="BB269" s="27"/>
      <c r="BC269" s="27" t="str">
        <f ca="1">IFERROR(__xludf.DUMMYFUNCTION("""COMPUTED_VALUE"""),"Sim")</f>
        <v>Sim</v>
      </c>
      <c r="BD269" s="27" t="str">
        <f ca="1">IFERROR(__xludf.DUMMYFUNCTION("""COMPUTED_VALUE"""),"Sou nascido e criado na comunidade do Turano, na Zona Norte do Rio de Janeiro, durante a minha adolescência e  juventude eu fiz partes das estatísticas negativas registradas em minha comunidade.
No ano de 2010 após conquistar minha liberdade,  eu tive um "&amp;"contato próximo com as demandas sociais da minha Favela, e percebi a necessidade de ter  um projeto no centro da comunidade, que pudesse criar uma revolução de dentro para fora  e transformar a realidade atual do Turano.")</f>
        <v>Sou nascido e criado na comunidade do Turano, na Zona Norte do Rio de Janeiro, durante a minha adolescência e  juventude eu fiz partes das estatísticas negativas registradas em minha comunidade.
No ano de 2010 após conquistar minha liberdade,  eu tive um contato próximo com as demandas sociais da minha Favela, e percebi a necessidade de ter  um projeto no centro da comunidade, que pudesse criar uma revolução de dentro para fora  e transformar a realidade atual do Turano.</v>
      </c>
      <c r="BE269" s="27"/>
      <c r="BF269" s="27"/>
      <c r="BG269" s="27" t="str">
        <f ca="1">IFERROR(__xludf.DUMMYFUNCTION("""COMPUTED_VALUE"""),"Ensino Médio - Completo")</f>
        <v>Ensino Médio - Completo</v>
      </c>
      <c r="BH269" s="27"/>
      <c r="BI269" s="27"/>
      <c r="BJ269" s="27"/>
      <c r="BK269" s="27" t="str">
        <f ca="1">IFERROR(__xludf.DUMMYFUNCTION("""COMPUTED_VALUE"""),"Rua do Bispo")</f>
        <v>Rua do Bispo</v>
      </c>
      <c r="BL269" s="27">
        <f ca="1">IFERROR(__xludf.DUMMYFUNCTION("""COMPUTED_VALUE"""),117)</f>
        <v>117</v>
      </c>
      <c r="BM269" s="27" t="str">
        <f ca="1">IFERROR(__xludf.DUMMYFUNCTION("""COMPUTED_VALUE"""),"alameda da luz casa 6")</f>
        <v>alameda da luz casa 6</v>
      </c>
      <c r="BN269" s="27" t="str">
        <f ca="1">IFERROR(__xludf.DUMMYFUNCTION("""COMPUTED_VALUE"""),"Rio de Janeiro")</f>
        <v>Rio de Janeiro</v>
      </c>
      <c r="BO269" s="27" t="str">
        <f ca="1">IFERROR(__xludf.DUMMYFUNCTION("""COMPUTED_VALUE"""),"20261-163")</f>
        <v>20261-163</v>
      </c>
      <c r="BP269" s="27" t="str">
        <f ca="1">IFERROR(__xludf.DUMMYFUNCTION("""COMPUTED_VALUE"""),"RJ")</f>
        <v>RJ</v>
      </c>
      <c r="BQ269" s="27" t="str">
        <f ca="1">IFERROR(__xludf.DUMMYFUNCTION("""COMPUTED_VALUE"""),"Entre 1 até 3 salários mínimos")</f>
        <v>Entre 1 até 3 salários mínimos</v>
      </c>
      <c r="BR269" s="27" t="str">
        <f ca="1">IFERROR(__xludf.DUMMYFUNCTION("""COMPUTED_VALUE"""),"CLT")</f>
        <v>CLT</v>
      </c>
      <c r="BS269" s="27" t="str">
        <f ca="1">IFERROR(__xludf.DUMMYFUNCTION("""COMPUTED_VALUE"""),"Casa própria")</f>
        <v>Casa própria</v>
      </c>
      <c r="BT269" s="27">
        <f ca="1">IFERROR(__xludf.DUMMYFUNCTION("""COMPUTED_VALUE"""),5)</f>
        <v>5</v>
      </c>
      <c r="BU269" s="27"/>
      <c r="BV269" s="27"/>
      <c r="BW269" s="21" t="str">
        <f ca="1">IFERROR(__xludf.DUMMYFUNCTION("""COMPUTED_VALUE"""),"https://br.linkedin.com/in/jefferson-quirino-44780a185")</f>
        <v>https://br.linkedin.com/in/jefferson-quirino-44780a185</v>
      </c>
      <c r="BX269" s="21" t="str">
        <f ca="1">IFERROR(__xludf.DUMMYFUNCTION("""COMPUTED_VALUE"""),"https://www.instagram.com/jeffersonfquirino/")</f>
        <v>https://www.instagram.com/jeffersonfquirino/</v>
      </c>
      <c r="BY269" s="21" t="str">
        <f ca="1">IFERROR(__xludf.DUMMYFUNCTION("""COMPUTED_VALUE"""),"https://drive.google.com/open?id=1JHepvg1jatmx6voECdYhnDBsZMz9X1Y7")</f>
        <v>https://drive.google.com/open?id=1JHepvg1jatmx6voECdYhnDBsZMz9X1Y7</v>
      </c>
    </row>
    <row r="270" spans="1:77" ht="12.5" x14ac:dyDescent="0.25">
      <c r="A270" s="21" t="str">
        <f ca="1">IFERROR(__xludf.DUMMYFUNCTION("""COMPUTED_VALUE"""),"0014X00002VKCsNQAX")</f>
        <v>0014X00002VKCsNQAX</v>
      </c>
      <c r="B270" s="27"/>
      <c r="C270" s="27" t="str">
        <f ca="1">IFERROR(__xludf.DUMMYFUNCTION("""COMPUTED_VALUE"""),"Fellow")</f>
        <v>Fellow</v>
      </c>
      <c r="D270" s="27" t="str">
        <f ca="1">IFERROR(__xludf.DUMMYFUNCTION("""COMPUTED_VALUE"""),"Ativo")</f>
        <v>Ativo</v>
      </c>
      <c r="E270" s="27" t="str">
        <f ca="1">IFERROR(__xludf.DUMMYFUNCTION("""COMPUTED_VALUE"""),"favela surf clube")</f>
        <v>favela surf clube</v>
      </c>
      <c r="F270" s="27" t="str">
        <f ca="1">IFERROR(__xludf.DUMMYFUNCTION("""COMPUTED_VALUE"""),"Anderson")</f>
        <v>Anderson</v>
      </c>
      <c r="G270" s="27" t="str">
        <f ca="1">IFERROR(__xludf.DUMMYFUNCTION("""COMPUTED_VALUE"""),"ANDERSON SURF")</f>
        <v>ANDERSON SURF</v>
      </c>
      <c r="H270" s="27" t="str">
        <f ca="1">IFERROR(__xludf.DUMMYFUNCTION("""COMPUTED_VALUE"""),"03.914.4450001-75")</f>
        <v>03.914.4450001-75</v>
      </c>
      <c r="I270" s="27" t="str">
        <f ca="1">IFERROR(__xludf.DUMMYFUNCTION("""COMPUTED_VALUE"""),"sim")</f>
        <v>sim</v>
      </c>
      <c r="J270" s="27" t="str">
        <f ca="1">IFERROR(__xludf.DUMMYFUNCTION("""COMPUTED_VALUE"""),"favelasurfclube12@gmail.com")</f>
        <v>favelasurfclube12@gmail.com</v>
      </c>
      <c r="K270" s="27"/>
      <c r="L270" s="27" t="str">
        <f ca="1">IFERROR(__xludf.DUMMYFUNCTION("""COMPUTED_VALUE"""),"RJ")</f>
        <v>RJ</v>
      </c>
      <c r="M270" s="27" t="str">
        <f ca="1">IFERROR(__xludf.DUMMYFUNCTION("""COMPUTED_VALUE"""),"Rua Alberto de Campos")</f>
        <v>Rua Alberto de Campos</v>
      </c>
      <c r="N270" s="27" t="str">
        <f ca="1">IFERROR(__xludf.DUMMYFUNCTION("""COMPUTED_VALUE"""),"Ipanema")</f>
        <v>Ipanema</v>
      </c>
      <c r="O270" s="27">
        <f ca="1">IFERROR(__xludf.DUMMYFUNCTION("""COMPUTED_VALUE"""),12)</f>
        <v>12</v>
      </c>
      <c r="P270" s="27" t="str">
        <f ca="1">IFERROR(__xludf.DUMMYFUNCTION("""COMPUTED_VALUE"""),"Rio de Janeiro")</f>
        <v>Rio de Janeiro</v>
      </c>
      <c r="Q270" s="27"/>
      <c r="R270" s="27" t="str">
        <f ca="1">IFERROR(__xludf.DUMMYFUNCTION("""COMPUTED_VALUE"""),"22411-030")</f>
        <v>22411-030</v>
      </c>
      <c r="S270" s="27"/>
      <c r="T270" s="27"/>
      <c r="U270" s="27"/>
      <c r="V270" s="27"/>
      <c r="W270" s="27">
        <f ca="1">IFERROR(__xludf.DUMMYFUNCTION("""COMPUTED_VALUE"""),5)</f>
        <v>5</v>
      </c>
      <c r="X270" s="27"/>
      <c r="Y270" s="27"/>
      <c r="Z270" s="27">
        <f ca="1">IFERROR(__xludf.DUMMYFUNCTION("""COMPUTED_VALUE"""),200)</f>
        <v>200</v>
      </c>
      <c r="AA270" s="29">
        <f ca="1">IFERROR(__xludf.DUMMYFUNCTION("""COMPUTED_VALUE"""),35815)</f>
        <v>35815</v>
      </c>
      <c r="AB270" s="27" t="str">
        <f ca="1">IFERROR(__xludf.DUMMYFUNCTION("""COMPUTED_VALUE"""),"Sim")</f>
        <v>Sim</v>
      </c>
      <c r="AC270" s="27"/>
      <c r="AD270" s="27"/>
      <c r="AE270" s="27">
        <f ca="1">IFERROR(__xludf.DUMMYFUNCTION("""COMPUTED_VALUE"""),10)</f>
        <v>10</v>
      </c>
      <c r="AF270" s="27"/>
      <c r="AG270" s="27">
        <f ca="1">IFERROR(__xludf.DUMMYFUNCTION("""COMPUTED_VALUE"""),0)</f>
        <v>0</v>
      </c>
      <c r="AH270" s="27"/>
      <c r="AI270" s="27"/>
      <c r="AJ270" s="27"/>
      <c r="AK270" s="27"/>
      <c r="AL270" s="21" t="str">
        <f ca="1">IFERROR(__xludf.DUMMYFUNCTION("""COMPUTED_VALUE"""),"0034X0000380O5c")</f>
        <v>0034X0000380O5c</v>
      </c>
      <c r="AM270" s="27" t="str">
        <f ca="1">IFERROR(__xludf.DUMMYFUNCTION("""COMPUTED_VALUE"""),"Da silva costa")</f>
        <v>Da silva costa</v>
      </c>
      <c r="AN270" s="27" t="str">
        <f ca="1">IFERROR(__xludf.DUMMYFUNCTION("""COMPUTED_VALUE"""),"Ativo")</f>
        <v>Ativo</v>
      </c>
      <c r="AO270" s="29">
        <f ca="1">IFERROR(__xludf.DUMMYFUNCTION("""COMPUTED_VALUE"""),44763)</f>
        <v>44763</v>
      </c>
      <c r="AP270" s="27">
        <f ca="1">IFERROR(__xludf.DUMMYFUNCTION("""COMPUTED_VALUE"""),2)</f>
        <v>2</v>
      </c>
      <c r="AQ270" s="27" t="str">
        <f ca="1">IFERROR(__xludf.DUMMYFUNCTION("""COMPUTED_VALUE"""),"Primeiro Semestre 2022")</f>
        <v>Primeiro Semestre 2022</v>
      </c>
      <c r="AR270" s="27" t="str">
        <f ca="1">IFERROR(__xludf.DUMMYFUNCTION("""COMPUTED_VALUE"""),"andersonsurfclass@gmail.com")</f>
        <v>andersonsurfclass@gmail.com</v>
      </c>
      <c r="AS270" s="27" t="str">
        <f ca="1">IFERROR(__xludf.DUMMYFUNCTION("""COMPUTED_VALUE"""),"2197200-0543")</f>
        <v>2197200-0543</v>
      </c>
      <c r="AT270" s="30">
        <f ca="1">IFERROR(__xludf.DUMMYFUNCTION("""COMPUTED_VALUE"""),32194)</f>
        <v>32194</v>
      </c>
      <c r="AU270" s="27">
        <f ca="1">IFERROR(__xludf.DUMMYFUNCTION("""COMPUTED_VALUE"""),34)</f>
        <v>34</v>
      </c>
      <c r="AV270" s="27">
        <f ca="1">IFERROR(__xludf.DUMMYFUNCTION("""COMPUTED_VALUE"""),12226080732)</f>
        <v>12226080732</v>
      </c>
      <c r="AW270" s="27" t="str">
        <f ca="1">IFERROR(__xludf.DUMMYFUNCTION("""COMPUTED_VALUE"""),"21.469.178-4")</f>
        <v>21.469.178-4</v>
      </c>
      <c r="AX270" s="27"/>
      <c r="AY270" s="27"/>
      <c r="AZ270" s="27" t="str">
        <f ca="1">IFERROR(__xludf.DUMMYFUNCTION("""COMPUTED_VALUE"""),"GG")</f>
        <v>GG</v>
      </c>
      <c r="BA270" s="27" t="str">
        <f ca="1">IFERROR(__xludf.DUMMYFUNCTION("""COMPUTED_VALUE"""),"Preta")</f>
        <v>Preta</v>
      </c>
      <c r="BB270" s="27"/>
      <c r="BC270" s="27"/>
      <c r="BD270" s="27" t="str">
        <f ca="1">IFERROR(__xludf.DUMMYFUNCTION("""COMPUTED_VALUE"""),"Eu me chamo * Anderson tenho 33 anos e moro na comunidade do cantagalo* e eu iniciei no projeto com 8nanos de idade como aluno * e hoje sou coordenador do projeto social Favela surf clabe.")</f>
        <v>Eu me chamo * Anderson tenho 33 anos e moro na comunidade do cantagalo* e eu iniciei no projeto com 8nanos de idade como aluno * e hoje sou coordenador do projeto social Favela surf clabe.</v>
      </c>
      <c r="BE270" s="27" t="str">
        <f ca="1">IFERROR(__xludf.DUMMYFUNCTION("""COMPUTED_VALUE"""),"Masculino")</f>
        <v>Masculino</v>
      </c>
      <c r="BF270" s="27" t="str">
        <f ca="1">IFERROR(__xludf.DUMMYFUNCTION("""COMPUTED_VALUE"""),"Heterossexual")</f>
        <v>Heterossexual</v>
      </c>
      <c r="BG270" s="27"/>
      <c r="BH270" s="27" t="str">
        <f ca="1">IFERROR(__xludf.DUMMYFUNCTION("""COMPUTED_VALUE"""),"Público")</f>
        <v>Público</v>
      </c>
      <c r="BI270" s="27"/>
      <c r="BJ270" s="27"/>
      <c r="BK270" s="27" t="str">
        <f ca="1">IFERROR(__xludf.DUMMYFUNCTION("""COMPUTED_VALUE"""),"Saint Roman")</f>
        <v>Saint Roman</v>
      </c>
      <c r="BL270" s="27">
        <f ca="1">IFERROR(__xludf.DUMMYFUNCTION("""COMPUTED_VALUE"""),200)</f>
        <v>200</v>
      </c>
      <c r="BM270" s="27"/>
      <c r="BN270" s="27"/>
      <c r="BO270" s="27" t="str">
        <f ca="1">IFERROR(__xludf.DUMMYFUNCTION("""COMPUTED_VALUE"""),"22071-060")</f>
        <v>22071-060</v>
      </c>
      <c r="BP270" s="27" t="str">
        <f ca="1">IFERROR(__xludf.DUMMYFUNCTION("""COMPUTED_VALUE"""),"RJ")</f>
        <v>RJ</v>
      </c>
      <c r="BQ270" s="27" t="str">
        <f ca="1">IFERROR(__xludf.DUMMYFUNCTION("""COMPUTED_VALUE"""),"Entre 1 até 3 salários mínimos")</f>
        <v>Entre 1 até 3 salários mínimos</v>
      </c>
      <c r="BR270" s="27" t="str">
        <f ca="1">IFERROR(__xludf.DUMMYFUNCTION("""COMPUTED_VALUE"""),"Desempregado")</f>
        <v>Desempregado</v>
      </c>
      <c r="BS270" s="27" t="str">
        <f ca="1">IFERROR(__xludf.DUMMYFUNCTION("""COMPUTED_VALUE"""),"Aluguel")</f>
        <v>Aluguel</v>
      </c>
      <c r="BT270" s="27">
        <f ca="1">IFERROR(__xludf.DUMMYFUNCTION("""COMPUTED_VALUE"""),6)</f>
        <v>6</v>
      </c>
      <c r="BU270" s="27" t="str">
        <f ca="1">IFERROR(__xludf.DUMMYFUNCTION("""COMPUTED_VALUE"""),"Não tem")</f>
        <v>Não tem</v>
      </c>
      <c r="BV270" s="27" t="str">
        <f ca="1">IFERROR(__xludf.DUMMYFUNCTION("""COMPUTED_VALUE"""),"Não")</f>
        <v>Não</v>
      </c>
      <c r="BW270" s="27"/>
      <c r="BX270" s="27"/>
      <c r="BY270" s="27"/>
    </row>
    <row r="271" spans="1:77" ht="12.5" x14ac:dyDescent="0.25">
      <c r="A271" s="21" t="str">
        <f ca="1">IFERROR(__xludf.DUMMYFUNCTION("""COMPUTED_VALUE"""),"0014X00002VKCtZQAX")</f>
        <v>0014X00002VKCtZQAX</v>
      </c>
      <c r="B271" s="27"/>
      <c r="C271" s="27" t="str">
        <f ca="1">IFERROR(__xludf.DUMMYFUNCTION("""COMPUTED_VALUE"""),"Fellow")</f>
        <v>Fellow</v>
      </c>
      <c r="D271" s="27" t="str">
        <f ca="1">IFERROR(__xludf.DUMMYFUNCTION("""COMPUTED_VALUE"""),"Ativo")</f>
        <v>Ativo</v>
      </c>
      <c r="E271" s="27" t="str">
        <f ca="1">IFERROR(__xludf.DUMMYFUNCTION("""COMPUTED_VALUE"""),"Fazer a diferença")</f>
        <v>Fazer a diferença</v>
      </c>
      <c r="F271" s="27" t="str">
        <f ca="1">IFERROR(__xludf.DUMMYFUNCTION("""COMPUTED_VALUE"""),"Maria")</f>
        <v>Maria</v>
      </c>
      <c r="G271" s="27" t="str">
        <f ca="1">IFERROR(__xludf.DUMMYFUNCTION("""COMPUTED_VALUE"""),"CRESCENDO COM VOCÊ")</f>
        <v>CRESCENDO COM VOCÊ</v>
      </c>
      <c r="H271" s="27"/>
      <c r="I271" s="27" t="str">
        <f ca="1">IFERROR(__xludf.DUMMYFUNCTION("""COMPUTED_VALUE"""),"Maria dos prazeres Herculano da")</f>
        <v>Maria dos prazeres Herculano da</v>
      </c>
      <c r="J271" s="27" t="str">
        <f ca="1">IFERROR(__xludf.DUMMYFUNCTION("""COMPUTED_VALUE"""),"mariaprazeres07@gmail.com")</f>
        <v>mariaprazeres07@gmail.com</v>
      </c>
      <c r="K271" s="27">
        <f ca="1">IFERROR(__xludf.DUMMYFUNCTION("""COMPUTED_VALUE"""),84981202686)</f>
        <v>84981202686</v>
      </c>
      <c r="L271" s="27" t="str">
        <f ca="1">IFERROR(__xludf.DUMMYFUNCTION("""COMPUTED_VALUE"""),"RN")</f>
        <v>RN</v>
      </c>
      <c r="M271" s="27" t="str">
        <f ca="1">IFERROR(__xludf.DUMMYFUNCTION("""COMPUTED_VALUE"""),"Sitio maxixi")</f>
        <v>Sitio maxixi</v>
      </c>
      <c r="N271" s="27" t="str">
        <f ca="1">IFERROR(__xludf.DUMMYFUNCTION("""COMPUTED_VALUE"""),"Maxixi")</f>
        <v>Maxixi</v>
      </c>
      <c r="O271" s="27">
        <f ca="1">IFERROR(__xludf.DUMMYFUNCTION("""COMPUTED_VALUE"""),5)</f>
        <v>5</v>
      </c>
      <c r="P271" s="27" t="str">
        <f ca="1">IFERROR(__xludf.DUMMYFUNCTION("""COMPUTED_VALUE"""),"Canguaretama")</f>
        <v>Canguaretama</v>
      </c>
      <c r="Q271" s="27">
        <f ca="1">IFERROR(__xludf.DUMMYFUNCTION("""COMPUTED_VALUE"""),5)</f>
        <v>5</v>
      </c>
      <c r="R271" s="27" t="str">
        <f ca="1">IFERROR(__xludf.DUMMYFUNCTION("""COMPUTED_VALUE"""),"59190-000")</f>
        <v>59190-000</v>
      </c>
      <c r="S271" s="27"/>
      <c r="T271" s="27"/>
      <c r="U271" s="27"/>
      <c r="V271" s="27"/>
      <c r="W271" s="27">
        <f ca="1">IFERROR(__xludf.DUMMYFUNCTION("""COMPUTED_VALUE"""),4)</f>
        <v>4</v>
      </c>
      <c r="X271" s="27">
        <f ca="1">IFERROR(__xludf.DUMMYFUNCTION("""COMPUTED_VALUE"""),200)</f>
        <v>200</v>
      </c>
      <c r="Y271" s="27"/>
      <c r="Z271" s="27">
        <f ca="1">IFERROR(__xludf.DUMMYFUNCTION("""COMPUTED_VALUE"""),150)</f>
        <v>150</v>
      </c>
      <c r="AA271" s="29">
        <f ca="1">IFERROR(__xludf.DUMMYFUNCTION("""COMPUTED_VALUE"""),44580)</f>
        <v>44580</v>
      </c>
      <c r="AB271" s="27" t="str">
        <f ca="1">IFERROR(__xludf.DUMMYFUNCTION("""COMPUTED_VALUE"""),"Não")</f>
        <v>Não</v>
      </c>
      <c r="AC271" s="27"/>
      <c r="AD271" s="27"/>
      <c r="AE271" s="27">
        <f ca="1">IFERROR(__xludf.DUMMYFUNCTION("""COMPUTED_VALUE"""),10)</f>
        <v>10</v>
      </c>
      <c r="AF271" s="27"/>
      <c r="AG271" s="27">
        <f ca="1">IFERROR(__xludf.DUMMYFUNCTION("""COMPUTED_VALUE"""),0)</f>
        <v>0</v>
      </c>
      <c r="AH271" s="27"/>
      <c r="AI271" s="27">
        <f ca="1">IFERROR(__xludf.DUMMYFUNCTION("""COMPUTED_VALUE"""),0)</f>
        <v>0</v>
      </c>
      <c r="AJ271" s="27" t="str">
        <f ca="1">IFERROR(__xludf.DUMMYFUNCTION("""COMPUTED_VALUE"""),"Não")</f>
        <v>Não</v>
      </c>
      <c r="AK271" s="27"/>
      <c r="AL271" s="21" t="str">
        <f ca="1">IFERROR(__xludf.DUMMYFUNCTION("""COMPUTED_VALUE"""),"0034X0000380O6m")</f>
        <v>0034X0000380O6m</v>
      </c>
      <c r="AM271" s="27" t="str">
        <f ca="1">IFERROR(__xludf.DUMMYFUNCTION("""COMPUTED_VALUE"""),"Dos prazeres herculano da silva")</f>
        <v>Dos prazeres herculano da silva</v>
      </c>
      <c r="AN271" s="27" t="str">
        <f ca="1">IFERROR(__xludf.DUMMYFUNCTION("""COMPUTED_VALUE"""),"Ativo")</f>
        <v>Ativo</v>
      </c>
      <c r="AO271" s="29">
        <f ca="1">IFERROR(__xludf.DUMMYFUNCTION("""COMPUTED_VALUE"""),44763)</f>
        <v>44763</v>
      </c>
      <c r="AP271" s="27">
        <f ca="1">IFERROR(__xludf.DUMMYFUNCTION("""COMPUTED_VALUE"""),2)</f>
        <v>2</v>
      </c>
      <c r="AQ271" s="27" t="str">
        <f ca="1">IFERROR(__xludf.DUMMYFUNCTION("""COMPUTED_VALUE"""),"Primeiro Semestre 2022")</f>
        <v>Primeiro Semestre 2022</v>
      </c>
      <c r="AR271" s="27" t="str">
        <f ca="1">IFERROR(__xludf.DUMMYFUNCTION("""COMPUTED_VALUE"""),"mariaprazeres07@gmail.com")</f>
        <v>mariaprazeres07@gmail.com</v>
      </c>
      <c r="AS271" s="27" t="str">
        <f ca="1">IFERROR(__xludf.DUMMYFUNCTION("""COMPUTED_VALUE"""),"(84)98120-2686")</f>
        <v>(84)98120-2686</v>
      </c>
      <c r="AT271" s="29">
        <f ca="1">IFERROR(__xludf.DUMMYFUNCTION("""COMPUTED_VALUE"""),33648)</f>
        <v>33648</v>
      </c>
      <c r="AU271" s="27">
        <f ca="1">IFERROR(__xludf.DUMMYFUNCTION("""COMPUTED_VALUE"""),30)</f>
        <v>30</v>
      </c>
      <c r="AV271" s="27">
        <f ca="1">IFERROR(__xludf.DUMMYFUNCTION("""COMPUTED_VALUE"""),9753242417)</f>
        <v>9753242417</v>
      </c>
      <c r="AW271" s="27">
        <f ca="1">IFERROR(__xludf.DUMMYFUNCTION("""COMPUTED_VALUE"""),3057519)</f>
        <v>3057519</v>
      </c>
      <c r="AX271" s="27"/>
      <c r="AY271" s="27" t="str">
        <f ca="1">IFERROR(__xludf.DUMMYFUNCTION("""COMPUTED_VALUE"""),"Lider")</f>
        <v>Lider</v>
      </c>
      <c r="AZ271" s="27" t="str">
        <f ca="1">IFERROR(__xludf.DUMMYFUNCTION("""COMPUTED_VALUE"""),"G")</f>
        <v>G</v>
      </c>
      <c r="BA271" s="27" t="str">
        <f ca="1">IFERROR(__xludf.DUMMYFUNCTION("""COMPUTED_VALUE"""),"Parda")</f>
        <v>Parda</v>
      </c>
      <c r="BB271" s="27"/>
      <c r="BC271" s="27"/>
      <c r="BD271" s="27" t="str">
        <f ca="1">IFERROR(__xludf.DUMMYFUNCTION("""COMPUTED_VALUE"""),"Dês e fiel")</f>
        <v>Dês e fiel</v>
      </c>
      <c r="BE271" s="27" t="str">
        <f ca="1">IFERROR(__xludf.DUMMYFUNCTION("""COMPUTED_VALUE"""),"Outro(s)")</f>
        <v>Outro(s)</v>
      </c>
      <c r="BF271" s="27" t="str">
        <f ca="1">IFERROR(__xludf.DUMMYFUNCTION("""COMPUTED_VALUE"""),"Heterossexual")</f>
        <v>Heterossexual</v>
      </c>
      <c r="BG271" s="27" t="str">
        <f ca="1">IFERROR(__xludf.DUMMYFUNCTION("""COMPUTED_VALUE"""),"Ensino Médio - Completo")</f>
        <v>Ensino Médio - Completo</v>
      </c>
      <c r="BH271" s="27" t="str">
        <f ca="1">IFERROR(__xludf.DUMMYFUNCTION("""COMPUTED_VALUE"""),"Público")</f>
        <v>Público</v>
      </c>
      <c r="BI271" s="27" t="str">
        <f ca="1">IFERROR(__xludf.DUMMYFUNCTION("""COMPUTED_VALUE"""),"Graduação")</f>
        <v>Graduação</v>
      </c>
      <c r="BJ271" s="27" t="str">
        <f ca="1">IFERROR(__xludf.DUMMYFUNCTION("""COMPUTED_VALUE"""),"Público")</f>
        <v>Público</v>
      </c>
      <c r="BK271" s="27" t="str">
        <f ca="1">IFERROR(__xludf.DUMMYFUNCTION("""COMPUTED_VALUE"""),"Sitio maxixi")</f>
        <v>Sitio maxixi</v>
      </c>
      <c r="BL271" s="27">
        <f ca="1">IFERROR(__xludf.DUMMYFUNCTION("""COMPUTED_VALUE"""),5)</f>
        <v>5</v>
      </c>
      <c r="BM271" s="27" t="str">
        <f ca="1">IFERROR(__xludf.DUMMYFUNCTION("""COMPUTED_VALUE"""),"Casa")</f>
        <v>Casa</v>
      </c>
      <c r="BN271" s="27" t="str">
        <f ca="1">IFERROR(__xludf.DUMMYFUNCTION("""COMPUTED_VALUE"""),"CANGUARETAMA")</f>
        <v>CANGUARETAMA</v>
      </c>
      <c r="BO271" s="27" t="str">
        <f ca="1">IFERROR(__xludf.DUMMYFUNCTION("""COMPUTED_VALUE"""),"59190-000")</f>
        <v>59190-000</v>
      </c>
      <c r="BP271" s="27" t="str">
        <f ca="1">IFERROR(__xludf.DUMMYFUNCTION("""COMPUTED_VALUE"""),"RN")</f>
        <v>RN</v>
      </c>
      <c r="BQ271" s="27" t="str">
        <f ca="1">IFERROR(__xludf.DUMMYFUNCTION("""COMPUTED_VALUE"""),"Entre 1 até 3 salários mínimos")</f>
        <v>Entre 1 até 3 salários mínimos</v>
      </c>
      <c r="BR271" s="27" t="str">
        <f ca="1">IFERROR(__xludf.DUMMYFUNCTION("""COMPUTED_VALUE"""),"Trabalho informal")</f>
        <v>Trabalho informal</v>
      </c>
      <c r="BS271" s="27" t="str">
        <f ca="1">IFERROR(__xludf.DUMMYFUNCTION("""COMPUTED_VALUE"""),"Casa própria")</f>
        <v>Casa própria</v>
      </c>
      <c r="BT271" s="27">
        <f ca="1">IFERROR(__xludf.DUMMYFUNCTION("""COMPUTED_VALUE"""),7)</f>
        <v>7</v>
      </c>
      <c r="BU271" s="27" t="str">
        <f ca="1">IFERROR(__xludf.DUMMYFUNCTION("""COMPUTED_VALUE"""),"Não tem")</f>
        <v>Não tem</v>
      </c>
      <c r="BV271" s="27" t="str">
        <f ca="1">IFERROR(__xludf.DUMMYFUNCTION("""COMPUTED_VALUE"""),"Não")</f>
        <v>Não</v>
      </c>
      <c r="BW271" s="27" t="str">
        <f ca="1">IFERROR(__xludf.DUMMYFUNCTION("""COMPUTED_VALUE"""),"mariaprazeres07@gmail.com")</f>
        <v>mariaprazeres07@gmail.com</v>
      </c>
      <c r="BX271" s="27" t="str">
        <f ca="1">IFERROR(__xludf.DUMMYFUNCTION("""COMPUTED_VALUE"""),"mariaprazeres07@gmail.com")</f>
        <v>mariaprazeres07@gmail.com</v>
      </c>
      <c r="BY271" s="21" t="str">
        <f ca="1">IFERROR(__xludf.DUMMYFUNCTION("""COMPUTED_VALUE"""),"https://drive.google.com/open?id=1-px_7b9AqiI4graA-LAgL6ug5QTqwfZx")</f>
        <v>https://drive.google.com/open?id=1-px_7b9AqiI4graA-LAgL6ug5QTqwfZx</v>
      </c>
    </row>
    <row r="272" spans="1:77" ht="12.5" x14ac:dyDescent="0.25">
      <c r="A272" s="21" t="str">
        <f ca="1">IFERROR(__xludf.DUMMYFUNCTION("""COMPUTED_VALUE"""),"0014X00002VKD05QAH")</f>
        <v>0014X00002VKD05QAH</v>
      </c>
      <c r="B272" s="27" t="str">
        <f ca="1">IFERROR(__xludf.DUMMYFUNCTION("""COMPUTED_VALUE"""),"Fase Inicial")</f>
        <v>Fase Inicial</v>
      </c>
      <c r="C272" s="27" t="str">
        <f ca="1">IFERROR(__xludf.DUMMYFUNCTION("""COMPUTED_VALUE"""),"Fellow")</f>
        <v>Fellow</v>
      </c>
      <c r="D272" s="27" t="str">
        <f ca="1">IFERROR(__xludf.DUMMYFUNCTION("""COMPUTED_VALUE"""),"Ativo")</f>
        <v>Ativo</v>
      </c>
      <c r="E272" s="27" t="str">
        <f ca="1">IFERROR(__xludf.DUMMYFUNCTION("""COMPUTED_VALUE"""),"Federação Internacional de Sorvebol")</f>
        <v>Federação Internacional de Sorvebol</v>
      </c>
      <c r="F272" s="27" t="str">
        <f ca="1">IFERROR(__xludf.DUMMYFUNCTION("""COMPUTED_VALUE"""),"Cláudio")</f>
        <v>Cláudio</v>
      </c>
      <c r="G272" s="27" t="str">
        <f ca="1">IFERROR(__xludf.DUMMYFUNCTION("""COMPUTED_VALUE"""),"FEDERAÇÃO INTERNACIONAL DE SORVEBOL")</f>
        <v>FEDERAÇÃO INTERNACIONAL DE SORVEBOL</v>
      </c>
      <c r="H272" s="27" t="str">
        <f ca="1">IFERROR(__xludf.DUMMYFUNCTION("""COMPUTED_VALUE"""),"29.124.530/0001-23")</f>
        <v>29.124.530/0001-23</v>
      </c>
      <c r="I272" s="27" t="str">
        <f ca="1">IFERROR(__xludf.DUMMYFUNCTION("""COMPUTED_VALUE"""),"Cláudio Gomes Mendes")</f>
        <v>Cláudio Gomes Mendes</v>
      </c>
      <c r="J272" s="27" t="str">
        <f ca="1">IFERROR(__xludf.DUMMYFUNCTION("""COMPUTED_VALUE"""),"suporte.sorvebol@gmail.com")</f>
        <v>suporte.sorvebol@gmail.com</v>
      </c>
      <c r="K272" s="27" t="str">
        <f ca="1">IFERROR(__xludf.DUMMYFUNCTION("""COMPUTED_VALUE"""),"(31)4101-0638")</f>
        <v>(31)4101-0638</v>
      </c>
      <c r="L272" s="27" t="str">
        <f ca="1">IFERROR(__xludf.DUMMYFUNCTION("""COMPUTED_VALUE"""),"MG")</f>
        <v>MG</v>
      </c>
      <c r="M272" s="27" t="str">
        <f ca="1">IFERROR(__xludf.DUMMYFUNCTION("""COMPUTED_VALUE"""),"Rua Ludgero Dolabela")</f>
        <v>Rua Ludgero Dolabela</v>
      </c>
      <c r="N272" s="27" t="str">
        <f ca="1">IFERROR(__xludf.DUMMYFUNCTION("""COMPUTED_VALUE"""),"Gutierrez")</f>
        <v>Gutierrez</v>
      </c>
      <c r="O272" s="27">
        <f ca="1">IFERROR(__xludf.DUMMYFUNCTION("""COMPUTED_VALUE"""),1021)</f>
        <v>1021</v>
      </c>
      <c r="P272" s="27" t="str">
        <f ca="1">IFERROR(__xludf.DUMMYFUNCTION("""COMPUTED_VALUE"""),"Belo Horizonte")</f>
        <v>Belo Horizonte</v>
      </c>
      <c r="Q272" s="27" t="str">
        <f ca="1">IFERROR(__xludf.DUMMYFUNCTION("""COMPUTED_VALUE"""),"Sala 510")</f>
        <v>Sala 510</v>
      </c>
      <c r="R272" s="27" t="str">
        <f ca="1">IFERROR(__xludf.DUMMYFUNCTION("""COMPUTED_VALUE"""),"30441-048")</f>
        <v>30441-048</v>
      </c>
      <c r="S272" s="27" t="str">
        <f ca="1">IFERROR(__xludf.DUMMYFUNCTION("""COMPUTED_VALUE"""),"Atividades feita nas escolas ou comunidade")</f>
        <v>Atividades feita nas escolas ou comunidade</v>
      </c>
      <c r="T272" s="27"/>
      <c r="U272"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272" s="27" t="str">
        <f ca="1">IFERROR(__xludf.DUMMYFUNCTION("""COMPUTED_VALUE"""),"Moradores de Favelas, Quilombola, Afrodescendentes, Imigrantes, Refugiados, Ribeirinhos, Outros")</f>
        <v>Moradores de Favelas, Quilombola, Afrodescendentes, Imigrantes, Refugiados, Ribeirinhos, Outros</v>
      </c>
      <c r="W272" s="27">
        <f ca="1">IFERROR(__xludf.DUMMYFUNCTION("""COMPUTED_VALUE"""),6)</f>
        <v>6</v>
      </c>
      <c r="X272" s="27" t="str">
        <f ca="1">IFERROR(__xludf.DUMMYFUNCTION("""COMPUTED_VALUE"""),"Além das comunidades que atendemos*  levamos formação para profissionais da infância* como professores de educação física e monitores* em   associações* ONGs e escolas* para que possam inovar em suas práticas com  Sorvebol e seus alunos possam desenvolver"&amp;"  suas habilidades psicomotoras* cognitivas e socioemocionais.
Observação: 440 é o número de pessoas atendidas* sendo que 240 são através do projeto via lei de incentivo ao esporte e 200 de atendimento diretamente através de nossas ações educativas esport"&amp;"ivas e campeonatos anuais.")</f>
        <v>Além das comunidades que atendemos*  levamos formação para profissionais da infância* como professores de educação física e monitores* em   associações* ONGs e escolas* para que possam inovar em suas práticas com  Sorvebol e seus alunos possam desenvolver  suas habilidades psicomotoras* cognitivas e socioemocionais.
Observação: 440 é o número de pessoas atendidas* sendo que 240 são através do projeto via lei de incentivo ao esporte e 200 de atendimento diretamente através de nossas ações educativas esportivas e campeonatos anuais.</v>
      </c>
      <c r="Y272" s="27"/>
      <c r="Z272" s="27">
        <f ca="1">IFERROR(__xludf.DUMMYFUNCTION("""COMPUTED_VALUE"""),240)</f>
        <v>240</v>
      </c>
      <c r="AA272" s="29">
        <f ca="1">IFERROR(__xludf.DUMMYFUNCTION("""COMPUTED_VALUE"""),42939)</f>
        <v>42939</v>
      </c>
      <c r="AB272" s="27" t="str">
        <f ca="1">IFERROR(__xludf.DUMMYFUNCTION("""COMPUTED_VALUE"""),"Sim")</f>
        <v>Sim</v>
      </c>
      <c r="AC272" s="27">
        <f ca="1">IFERROR(__xludf.DUMMYFUNCTION("""COMPUTED_VALUE"""),0)</f>
        <v>0</v>
      </c>
      <c r="AD272" s="27">
        <f ca="1">IFERROR(__xludf.DUMMYFUNCTION("""COMPUTED_VALUE"""),0)</f>
        <v>0</v>
      </c>
      <c r="AE272" s="27">
        <f ca="1">IFERROR(__xludf.DUMMYFUNCTION("""COMPUTED_VALUE"""),2)</f>
        <v>2</v>
      </c>
      <c r="AF272" s="27">
        <f ca="1">IFERROR(__xludf.DUMMYFUNCTION("""COMPUTED_VALUE"""),2)</f>
        <v>2</v>
      </c>
      <c r="AG272" s="27">
        <f ca="1">IFERROR(__xludf.DUMMYFUNCTION("""COMPUTED_VALUE"""),2)</f>
        <v>2</v>
      </c>
      <c r="AH272" s="27" t="str">
        <f ca="1">IFERROR(__xludf.DUMMYFUNCTION("""COMPUTED_VALUE"""),"Lei Federal do Esporte")</f>
        <v>Lei Federal do Esporte</v>
      </c>
      <c r="AI272" s="27">
        <f ca="1">IFERROR(__xludf.DUMMYFUNCTION("""COMPUTED_VALUE"""),100)</f>
        <v>100</v>
      </c>
      <c r="AJ272" s="27" t="str">
        <f ca="1">IFERROR(__xludf.DUMMYFUNCTION("""COMPUTED_VALUE"""),"Sim")</f>
        <v>Sim</v>
      </c>
      <c r="AK272" s="27"/>
      <c r="AL272" s="21" t="str">
        <f ca="1">IFERROR(__xludf.DUMMYFUNCTION("""COMPUTED_VALUE"""),"0034X0000380O2X")</f>
        <v>0034X0000380O2X</v>
      </c>
      <c r="AM272" s="27" t="str">
        <f ca="1">IFERROR(__xludf.DUMMYFUNCTION("""COMPUTED_VALUE"""),"Gomes mendes")</f>
        <v>Gomes mendes</v>
      </c>
      <c r="AN272" s="27" t="str">
        <f ca="1">IFERROR(__xludf.DUMMYFUNCTION("""COMPUTED_VALUE"""),"Ativo")</f>
        <v>Ativo</v>
      </c>
      <c r="AO272" s="29">
        <f ca="1">IFERROR(__xludf.DUMMYFUNCTION("""COMPUTED_VALUE"""),44763)</f>
        <v>44763</v>
      </c>
      <c r="AP272" s="27">
        <f ca="1">IFERROR(__xludf.DUMMYFUNCTION("""COMPUTED_VALUE"""),2)</f>
        <v>2</v>
      </c>
      <c r="AQ272" s="27" t="str">
        <f ca="1">IFERROR(__xludf.DUMMYFUNCTION("""COMPUTED_VALUE"""),"Primeiro Semestre 2022")</f>
        <v>Primeiro Semestre 2022</v>
      </c>
      <c r="AR272" s="27" t="str">
        <f ca="1">IFERROR(__xludf.DUMMYFUNCTION("""COMPUTED_VALUE"""),"claudiogm3@gmail.com")</f>
        <v>claudiogm3@gmail.com</v>
      </c>
      <c r="AS272" s="27" t="str">
        <f ca="1">IFERROR(__xludf.DUMMYFUNCTION("""COMPUTED_VALUE"""),"(31)99138-0872")</f>
        <v>(31)99138-0872</v>
      </c>
      <c r="AT272" s="29">
        <f ca="1">IFERROR(__xludf.DUMMYFUNCTION("""COMPUTED_VALUE"""),29432)</f>
        <v>29432</v>
      </c>
      <c r="AU272" s="27">
        <f ca="1">IFERROR(__xludf.DUMMYFUNCTION("""COMPUTED_VALUE"""),42)</f>
        <v>42</v>
      </c>
      <c r="AV272" s="27">
        <f ca="1">IFERROR(__xludf.DUMMYFUNCTION("""COMPUTED_VALUE"""),5611757642)</f>
        <v>5611757642</v>
      </c>
      <c r="AW272" s="27" t="str">
        <f ca="1">IFERROR(__xludf.DUMMYFUNCTION("""COMPUTED_VALUE"""),"MG10916790")</f>
        <v>MG10916790</v>
      </c>
      <c r="AX272" s="27"/>
      <c r="AY272" s="27" t="str">
        <f ca="1">IFERROR(__xludf.DUMMYFUNCTION("""COMPUTED_VALUE"""),"Presidente")</f>
        <v>Presidente</v>
      </c>
      <c r="AZ272" s="27" t="str">
        <f ca="1">IFERROR(__xludf.DUMMYFUNCTION("""COMPUTED_VALUE"""),"M")</f>
        <v>M</v>
      </c>
      <c r="BA272" s="27" t="str">
        <f ca="1">IFERROR(__xludf.DUMMYFUNCTION("""COMPUTED_VALUE"""),"Parda")</f>
        <v>Parda</v>
      </c>
      <c r="BB272" s="27"/>
      <c r="BC272" s="27"/>
      <c r="BD272" s="27" t="str">
        <f ca="1">IFERROR(__xludf.DUMMYFUNCTION("""COMPUTED_VALUE"""),"Sou Cláudio Mendes, professor e presidente  da Federação Internacional de Sorvebol. 
Sorvebol é um esporte brasileiro que vem crescendo pelo país e outras nações,  sou o criador do esporte Sorvebol,  venho promovendo ações sociais  através deste esporte.
"&amp;"O objetivo é levar formação na modalidade esportiva Sorvebol para os professores da rede pública e privada levando mais inovação para suas aulas de educação física.")</f>
        <v>Sou Cláudio Mendes, professor e presidente  da Federação Internacional de Sorvebol. 
Sorvebol é um esporte brasileiro que vem crescendo pelo país e outras nações,  sou o criador do esporte Sorvebol,  venho promovendo ações sociais  através deste esporte.
O objetivo é levar formação na modalidade esportiva Sorvebol para os professores da rede pública e privada levando mais inovação para suas aulas de educação física.</v>
      </c>
      <c r="BE272" s="27" t="str">
        <f ca="1">IFERROR(__xludf.DUMMYFUNCTION("""COMPUTED_VALUE"""),"Homem, cisgênero")</f>
        <v>Homem, cisgênero</v>
      </c>
      <c r="BF272" s="27" t="str">
        <f ca="1">IFERROR(__xludf.DUMMYFUNCTION("""COMPUTED_VALUE"""),"Heterossexual")</f>
        <v>Heterossexual</v>
      </c>
      <c r="BG272" s="27" t="str">
        <f ca="1">IFERROR(__xludf.DUMMYFUNCTION("""COMPUTED_VALUE"""),"Ensino Superior - Completo")</f>
        <v>Ensino Superior - Completo</v>
      </c>
      <c r="BH272" s="27" t="str">
        <f ca="1">IFERROR(__xludf.DUMMYFUNCTION("""COMPUTED_VALUE"""),"Público")</f>
        <v>Público</v>
      </c>
      <c r="BI272" s="27" t="str">
        <f ca="1">IFERROR(__xludf.DUMMYFUNCTION("""COMPUTED_VALUE"""),"Pós-Graduação")</f>
        <v>Pós-Graduação</v>
      </c>
      <c r="BJ272" s="27" t="str">
        <f ca="1">IFERROR(__xludf.DUMMYFUNCTION("""COMPUTED_VALUE"""),"Privado")</f>
        <v>Privado</v>
      </c>
      <c r="BK272" s="27" t="str">
        <f ca="1">IFERROR(__xludf.DUMMYFUNCTION("""COMPUTED_VALUE"""),"Rua Polônia")</f>
        <v>Rua Polônia</v>
      </c>
      <c r="BL272" s="27">
        <f ca="1">IFERROR(__xludf.DUMMYFUNCTION("""COMPUTED_VALUE"""),1201)</f>
        <v>1201</v>
      </c>
      <c r="BM272" s="27" t="str">
        <f ca="1">IFERROR(__xludf.DUMMYFUNCTION("""COMPUTED_VALUE"""),"Casa")</f>
        <v>Casa</v>
      </c>
      <c r="BN272" s="27" t="str">
        <f ca="1">IFERROR(__xludf.DUMMYFUNCTION("""COMPUTED_VALUE"""),"Belo Horizonte")</f>
        <v>Belo Horizonte</v>
      </c>
      <c r="BO272" s="27" t="str">
        <f ca="1">IFERROR(__xludf.DUMMYFUNCTION("""COMPUTED_VALUE"""),"31540-190")</f>
        <v>31540-190</v>
      </c>
      <c r="BP272" s="27" t="str">
        <f ca="1">IFERROR(__xludf.DUMMYFUNCTION("""COMPUTED_VALUE"""),"MG")</f>
        <v>MG</v>
      </c>
      <c r="BQ272" s="27" t="str">
        <f ca="1">IFERROR(__xludf.DUMMYFUNCTION("""COMPUTED_VALUE"""),"Entre 1 até 3 salários mínimos")</f>
        <v>Entre 1 até 3 salários mínimos</v>
      </c>
      <c r="BR272" s="27" t="str">
        <f ca="1">IFERROR(__xludf.DUMMYFUNCTION("""COMPUTED_VALUE"""),"Trabalho informal")</f>
        <v>Trabalho informal</v>
      </c>
      <c r="BS272" s="27" t="str">
        <f ca="1">IFERROR(__xludf.DUMMYFUNCTION("""COMPUTED_VALUE"""),"Casa própria")</f>
        <v>Casa própria</v>
      </c>
      <c r="BT272" s="27">
        <f ca="1">IFERROR(__xludf.DUMMYFUNCTION("""COMPUTED_VALUE"""),3)</f>
        <v>3</v>
      </c>
      <c r="BU272" s="27" t="str">
        <f ca="1">IFERROR(__xludf.DUMMYFUNCTION("""COMPUTED_VALUE"""),"Não tem")</f>
        <v>Não tem</v>
      </c>
      <c r="BV272" s="27" t="str">
        <f ca="1">IFERROR(__xludf.DUMMYFUNCTION("""COMPUTED_VALUE"""),"Não")</f>
        <v>Não</v>
      </c>
      <c r="BW272" s="27"/>
      <c r="BX272" s="21" t="str">
        <f ca="1">IFERROR(__xludf.DUMMYFUNCTION("""COMPUTED_VALUE"""),"https://www.instagram.com/claudio.mendes1980/")</f>
        <v>https://www.instagram.com/claudio.mendes1980/</v>
      </c>
      <c r="BY272" s="21" t="str">
        <f ca="1">IFERROR(__xludf.DUMMYFUNCTION("""COMPUTED_VALUE"""),"https://drive.google.com/open?id=1HHDJ1oMa-CNRkpLdVHTCus7eLKLYLAuE")</f>
        <v>https://drive.google.com/open?id=1HHDJ1oMa-CNRkpLdVHTCus7eLKLYLAuE</v>
      </c>
    </row>
    <row r="273" spans="1:77" ht="12.5" hidden="1" x14ac:dyDescent="0.25">
      <c r="A273" s="21" t="str">
        <f ca="1">IFERROR(__xludf.DUMMYFUNCTION("""COMPUTED_VALUE"""),"0014P00003AN2FpQAL")</f>
        <v>0014P00003AN2FpQAL</v>
      </c>
      <c r="B273" s="27" t="str">
        <f ca="1">IFERROR(__xludf.DUMMYFUNCTION("""COMPUTED_VALUE"""),"Fase Estruturação")</f>
        <v>Fase Estruturação</v>
      </c>
      <c r="C273" s="27" t="str">
        <f ca="1">IFERROR(__xludf.DUMMYFUNCTION("""COMPUTED_VALUE"""),"Acelerada")</f>
        <v>Acelerada</v>
      </c>
      <c r="D273" s="27" t="str">
        <f ca="1">IFERROR(__xludf.DUMMYFUNCTION("""COMPUTED_VALUE"""),"Ativo")</f>
        <v>Ativo</v>
      </c>
      <c r="E273" s="27" t="str">
        <f ca="1">IFERROR(__xludf.DUMMYFUNCTION("""COMPUTED_VALUE"""),"Fortini Investimento Social")</f>
        <v>Fortini Investimento Social</v>
      </c>
      <c r="F273" s="27" t="str">
        <f ca="1">IFERROR(__xludf.DUMMYFUNCTION("""COMPUTED_VALUE"""),"Maiara")</f>
        <v>Maiara</v>
      </c>
      <c r="G273" s="27" t="str">
        <f ca="1">IFERROR(__xludf.DUMMYFUNCTION("""COMPUTED_VALUE"""),"FORTINI")</f>
        <v>FORTINI</v>
      </c>
      <c r="H273" s="27" t="str">
        <f ca="1">IFERROR(__xludf.DUMMYFUNCTION("""COMPUTED_VALUE"""),"26.628.632/0001-98")</f>
        <v>26.628.632/0001-98</v>
      </c>
      <c r="I273" s="27"/>
      <c r="J273" s="27" t="str">
        <f ca="1">IFERROR(__xludf.DUMMYFUNCTION("""COMPUTED_VALUE"""),"maiara@fortini.org.br")</f>
        <v>maiara@fortini.org.br</v>
      </c>
      <c r="K273" s="27" t="str">
        <f ca="1">IFERROR(__xludf.DUMMYFUNCTION("""COMPUTED_VALUE"""),"(31)99850-4420")</f>
        <v>(31)99850-4420</v>
      </c>
      <c r="L273" s="27" t="str">
        <f ca="1">IFERROR(__xludf.DUMMYFUNCTION("""COMPUTED_VALUE"""),"MG")</f>
        <v>MG</v>
      </c>
      <c r="M273" s="27" t="str">
        <f ca="1">IFERROR(__xludf.DUMMYFUNCTION("""COMPUTED_VALUE"""),"Rua Rio Negro")</f>
        <v>Rua Rio Negro</v>
      </c>
      <c r="N273" s="27" t="str">
        <f ca="1">IFERROR(__xludf.DUMMYFUNCTION("""COMPUTED_VALUE"""),"Riacho das Pedras")</f>
        <v>Riacho das Pedras</v>
      </c>
      <c r="O273" s="27" t="str">
        <f ca="1">IFERROR(__xludf.DUMMYFUNCTION("""COMPUTED_VALUE"""),"(31)99850-4420")</f>
        <v>(31)99850-4420</v>
      </c>
      <c r="P273" s="27" t="str">
        <f ca="1">IFERROR(__xludf.DUMMYFUNCTION("""COMPUTED_VALUE"""),"Contagem")</f>
        <v>Contagem</v>
      </c>
      <c r="Q273" s="27"/>
      <c r="R273" s="27" t="str">
        <f ca="1">IFERROR(__xludf.DUMMYFUNCTION("""COMPUTED_VALUE"""),"32280-000")</f>
        <v>32280-000</v>
      </c>
      <c r="S273" s="27" t="str">
        <f ca="1">IFERROR(__xludf.DUMMYFUNCTION("""COMPUTED_VALUE"""),"Academia Tennis Hall
E. M. Carlos Drummond de Andrade
E. E. Padre Camargos
E. M. Heitor Villa Lobos")</f>
        <v>Academia Tennis Hall
E. M. Carlos Drummond de Andrade
E. E. Padre Camargos
E. M. Heitor Villa Lobos</v>
      </c>
      <c r="T273" s="27" t="str">
        <f ca="1">IFERROR(__xludf.DUMMYFUNCTION("""COMPUTED_VALUE"""),"Esporte; Educação; Cultura")</f>
        <v>Esporte; Educação; Cultura</v>
      </c>
      <c r="U273" s="27" t="str">
        <f ca="1">IFERROR(__xludf.DUMMYFUNCTION("""COMPUTED_VALUE"""),"Crianças (6 a 12 anos); Adolescentes (12 aos 18 anos)")</f>
        <v>Crianças (6 a 12 anos); Adolescentes (12 aos 18 anos)</v>
      </c>
      <c r="V273" s="27" t="str">
        <f ca="1">IFERROR(__xludf.DUMMYFUNCTION("""COMPUTED_VALUE"""),"Moradores de Favelas; Outros")</f>
        <v>Moradores de Favelas; Outros</v>
      </c>
      <c r="W273" s="27">
        <f ca="1">IFERROR(__xludf.DUMMYFUNCTION("""COMPUTED_VALUE"""),7)</f>
        <v>7</v>
      </c>
      <c r="X273" s="27" t="str">
        <f ca="1">IFERROR(__xludf.DUMMYFUNCTION("""COMPUTED_VALUE"""),"Estudantes de escolas públicas parceiras localizadas na Região Metropolitana de Belo Horizonte")</f>
        <v>Estudantes de escolas públicas parceiras localizadas na Região Metropolitana de Belo Horizonte</v>
      </c>
      <c r="Y273" s="27"/>
      <c r="Z273" s="27"/>
      <c r="AA273" s="29">
        <f ca="1">IFERROR(__xludf.DUMMYFUNCTION("""COMPUTED_VALUE"""),42542)</f>
        <v>42542</v>
      </c>
      <c r="AB273" s="27" t="str">
        <f ca="1">IFERROR(__xludf.DUMMYFUNCTION("""COMPUTED_VALUE"""),"Sim")</f>
        <v>Sim</v>
      </c>
      <c r="AC273" s="27">
        <f ca="1">IFERROR(__xludf.DUMMYFUNCTION("""COMPUTED_VALUE"""),16)</f>
        <v>16</v>
      </c>
      <c r="AD273" s="27">
        <f ca="1">IFERROR(__xludf.DUMMYFUNCTION("""COMPUTED_VALUE"""),0)</f>
        <v>0</v>
      </c>
      <c r="AE273" s="27">
        <f ca="1">IFERROR(__xludf.DUMMYFUNCTION("""COMPUTED_VALUE"""),8)</f>
        <v>8</v>
      </c>
      <c r="AF273" s="27">
        <f ca="1">IFERROR(__xludf.DUMMYFUNCTION("""COMPUTED_VALUE"""),45)</f>
        <v>45</v>
      </c>
      <c r="AG273" s="27">
        <f ca="1">IFERROR(__xludf.DUMMYFUNCTION("""COMPUTED_VALUE"""),2)</f>
        <v>2</v>
      </c>
      <c r="AH273" s="27" t="str">
        <f ca="1">IFERROR(__xludf.DUMMYFUNCTION("""COMPUTED_VALUE"""),"Eventos/Ações para captação; Plataforma doação online - Pessoa Física; Lei Estadual do Esporte")</f>
        <v>Eventos/Ações para captação; Plataforma doação online - Pessoa Física; Lei Estadual do Esporte</v>
      </c>
      <c r="AI273" s="27" t="str">
        <f ca="1">IFERROR(__xludf.DUMMYFUNCTION("""COMPUTED_VALUE"""),"Lei Estadual de Incentivo ao Esporte 83,9%, Gerando Falcões 13,8% PF 2,3%")</f>
        <v>Lei Estadual de Incentivo ao Esporte 83,9%, Gerando Falcões 13,8% PF 2,3%</v>
      </c>
      <c r="AJ273" s="27" t="str">
        <f ca="1">IFERROR(__xludf.DUMMYFUNCTION("""COMPUTED_VALUE"""),"Não")</f>
        <v>Não</v>
      </c>
      <c r="AK273" s="27" t="str">
        <f ca="1">IFERROR(__xludf.DUMMYFUNCTION("""COMPUTED_VALUE"""),"Não")</f>
        <v>Não</v>
      </c>
      <c r="AL273" s="21" t="str">
        <f ca="1">IFERROR(__xludf.DUMMYFUNCTION("""COMPUTED_VALUE"""),"0034P00003maBVG")</f>
        <v>0034P00003maBVG</v>
      </c>
      <c r="AM273" s="27" t="str">
        <f ca="1">IFERROR(__xludf.DUMMYFUNCTION("""COMPUTED_VALUE"""),"De Aquino Wenceslau")</f>
        <v>De Aquino Wenceslau</v>
      </c>
      <c r="AN273" s="27" t="str">
        <f ca="1">IFERROR(__xludf.DUMMYFUNCTION("""COMPUTED_VALUE"""),"Ativo")</f>
        <v>Ativo</v>
      </c>
      <c r="AO273" s="29">
        <f ca="1">IFERROR(__xludf.DUMMYFUNCTION("""COMPUTED_VALUE"""),44141)</f>
        <v>44141</v>
      </c>
      <c r="AP273" s="27">
        <f ca="1">IFERROR(__xludf.DUMMYFUNCTION("""COMPUTED_VALUE"""),22)</f>
        <v>22</v>
      </c>
      <c r="AQ273" s="27" t="str">
        <f ca="1">IFERROR(__xludf.DUMMYFUNCTION("""COMPUTED_VALUE"""),"Primeiro Semestre 2020")</f>
        <v>Primeiro Semestre 2020</v>
      </c>
      <c r="AR273" s="27" t="str">
        <f ca="1">IFERROR(__xludf.DUMMYFUNCTION("""COMPUTED_VALUE"""),"maiara@fortini.org.br")</f>
        <v>maiara@fortini.org.br</v>
      </c>
      <c r="AS273" s="27" t="str">
        <f ca="1">IFERROR(__xludf.DUMMYFUNCTION("""COMPUTED_VALUE"""),"(31)99850-4420")</f>
        <v>(31)99850-4420</v>
      </c>
      <c r="AT273" s="29">
        <f ca="1">IFERROR(__xludf.DUMMYFUNCTION("""COMPUTED_VALUE"""),32590)</f>
        <v>32590</v>
      </c>
      <c r="AU273" s="27">
        <f ca="1">IFERROR(__xludf.DUMMYFUNCTION("""COMPUTED_VALUE"""),33)</f>
        <v>33</v>
      </c>
      <c r="AV273" s="27">
        <f ca="1">IFERROR(__xludf.DUMMYFUNCTION("""COMPUTED_VALUE"""),9849625651)</f>
        <v>9849625651</v>
      </c>
      <c r="AW273" s="27" t="str">
        <f ca="1">IFERROR(__xludf.DUMMYFUNCTION("""COMPUTED_VALUE"""),"MG15.765.056")</f>
        <v>MG15.765.056</v>
      </c>
      <c r="AX273" s="27" t="str">
        <f ca="1">IFERROR(__xludf.DUMMYFUNCTION("""COMPUTED_VALUE"""),"Relações Internacionais")</f>
        <v>Relações Internacionais</v>
      </c>
      <c r="AY273" s="27"/>
      <c r="AZ273" s="27" t="str">
        <f ca="1">IFERROR(__xludf.DUMMYFUNCTION("""COMPUTED_VALUE"""),"M")</f>
        <v>M</v>
      </c>
      <c r="BA273" s="27"/>
      <c r="BB273" s="27"/>
      <c r="BC273" s="27" t="str">
        <f ca="1">IFERROR(__xludf.DUMMYFUNCTION("""COMPUTED_VALUE"""),"Sim")</f>
        <v>Sim</v>
      </c>
      <c r="BD273" s="27" t="str">
        <f ca="1">IFERROR(__xludf.DUMMYFUNCTION("""COMPUTED_VALUE"""),"Maiara Wenceslau viveu a infância na favela
do Maracanã (Contagem, MG). Iniciou sua
atuação como líder social aos 23 anos,
coordenando um projeto social, em dez
comunidades diferentes. Em 2016, fundou
a Fortini - Investimento Social, associação
sem fins l"&amp;"ucrativos que tem como objetivo
proporcionar o acesso ao esporte, cultura
e a uma educação inclusiva e mais cidadã
para crianças e adolescentes estudantes de
escolas públicas da região metropolitana de
Belo Horizonte.")</f>
        <v>Maiara Wenceslau viveu a infância na favela
do Maracanã (Contagem, MG). Iniciou sua
atuação como líder social aos 23 anos,
coordenando um projeto social, em dez
comunidades diferentes. Em 2016, fundou
a Fortini - Investimento Social, associação
sem fins lucrativos que tem como objetivo
proporcionar o acesso ao esporte, cultura
e a uma educação inclusiva e mais cidadã
para crianças e adolescentes estudantes de
escolas públicas da região metropolitana de
Belo Horizonte.</v>
      </c>
      <c r="BE273" s="27"/>
      <c r="BF273" s="27"/>
      <c r="BG273" s="27" t="str">
        <f ca="1">IFERROR(__xludf.DUMMYFUNCTION("""COMPUTED_VALUE"""),"Ensino Superior - Completo")</f>
        <v>Ensino Superior - Completo</v>
      </c>
      <c r="BH273" s="27"/>
      <c r="BI273" s="27" t="str">
        <f ca="1">IFERROR(__xludf.DUMMYFUNCTION("""COMPUTED_VALUE"""),"Graduação")</f>
        <v>Graduação</v>
      </c>
      <c r="BJ273" s="27" t="str">
        <f ca="1">IFERROR(__xludf.DUMMYFUNCTION("""COMPUTED_VALUE"""),"Privado")</f>
        <v>Privado</v>
      </c>
      <c r="BK273" s="27" t="str">
        <f ca="1">IFERROR(__xludf.DUMMYFUNCTION("""COMPUTED_VALUE"""),"Papa Paulo VI")</f>
        <v>Papa Paulo VI</v>
      </c>
      <c r="BL273" s="27">
        <f ca="1">IFERROR(__xludf.DUMMYFUNCTION("""COMPUTED_VALUE"""),197)</f>
        <v>197</v>
      </c>
      <c r="BM273" s="27" t="str">
        <f ca="1">IFERROR(__xludf.DUMMYFUNCTION("""COMPUTED_VALUE"""),"Apto 302")</f>
        <v>Apto 302</v>
      </c>
      <c r="BN273" s="27" t="str">
        <f ca="1">IFERROR(__xludf.DUMMYFUNCTION("""COMPUTED_VALUE"""),"Contagem")</f>
        <v>Contagem</v>
      </c>
      <c r="BO273" s="27" t="str">
        <f ca="1">IFERROR(__xludf.DUMMYFUNCTION("""COMPUTED_VALUE"""),"32260-370")</f>
        <v>32260-370</v>
      </c>
      <c r="BP273" s="27" t="str">
        <f ca="1">IFERROR(__xludf.DUMMYFUNCTION("""COMPUTED_VALUE"""),"MG")</f>
        <v>MG</v>
      </c>
      <c r="BQ273" s="27" t="str">
        <f ca="1">IFERROR(__xludf.DUMMYFUNCTION("""COMPUTED_VALUE"""),"Acima de 5 salários mínimos")</f>
        <v>Acima de 5 salários mínimos</v>
      </c>
      <c r="BR273" s="27" t="str">
        <f ca="1">IFERROR(__xludf.DUMMYFUNCTION("""COMPUTED_VALUE"""),"MEI")</f>
        <v>MEI</v>
      </c>
      <c r="BS273" s="27" t="str">
        <f ca="1">IFERROR(__xludf.DUMMYFUNCTION("""COMPUTED_VALUE"""),"Aluguel")</f>
        <v>Aluguel</v>
      </c>
      <c r="BT273" s="27">
        <f ca="1">IFERROR(__xludf.DUMMYFUNCTION("""COMPUTED_VALUE"""),2)</f>
        <v>2</v>
      </c>
      <c r="BU273" s="27"/>
      <c r="BV273" s="27"/>
      <c r="BW273" s="21" t="str">
        <f ca="1">IFERROR(__xludf.DUMMYFUNCTION("""COMPUTED_VALUE"""),"https://www.linkedin.com/in/maiarawenceslau/")</f>
        <v>https://www.linkedin.com/in/maiarawenceslau/</v>
      </c>
      <c r="BX273" s="27" t="str">
        <f ca="1">IFERROR(__xludf.DUMMYFUNCTION("""COMPUTED_VALUE"""),"wenceslau.maiara")</f>
        <v>wenceslau.maiara</v>
      </c>
      <c r="BY273" s="21" t="str">
        <f ca="1">IFERROR(__xludf.DUMMYFUNCTION("""COMPUTED_VALUE"""),"https://drive.google.com/open?id=1m32qZqSFa1DIecIL-GkrHBaQr9pZwA-T")</f>
        <v>https://drive.google.com/open?id=1m32qZqSFa1DIecIL-GkrHBaQr9pZwA-T</v>
      </c>
    </row>
    <row r="274" spans="1:77" ht="12.5" x14ac:dyDescent="0.25">
      <c r="A274" s="21" t="str">
        <f ca="1">IFERROR(__xludf.DUMMYFUNCTION("""COMPUTED_VALUE"""),"0014P00003YSp8XQAT")</f>
        <v>0014P00003YSp8XQAT</v>
      </c>
      <c r="B274" s="27" t="str">
        <f ca="1">IFERROR(__xludf.DUMMYFUNCTION("""COMPUTED_VALUE"""),"Fase Inicial")</f>
        <v>Fase Inicial</v>
      </c>
      <c r="C274" s="27" t="str">
        <f ca="1">IFERROR(__xludf.DUMMYFUNCTION("""COMPUTED_VALUE"""),"Fellow")</f>
        <v>Fellow</v>
      </c>
      <c r="D274" s="27" t="str">
        <f ca="1">IFERROR(__xludf.DUMMYFUNCTION("""COMPUTED_VALUE"""),"Ativo")</f>
        <v>Ativo</v>
      </c>
      <c r="E274" s="27" t="str">
        <f ca="1">IFERROR(__xludf.DUMMYFUNCTION("""COMPUTED_VALUE"""),"Fórum de Juventudes do Território do Bem")</f>
        <v>Fórum de Juventudes do Território do Bem</v>
      </c>
      <c r="F274" s="27" t="str">
        <f ca="1">IFERROR(__xludf.DUMMYFUNCTION("""COMPUTED_VALUE"""),"Marly")</f>
        <v>Marly</v>
      </c>
      <c r="G274" s="27"/>
      <c r="H274" s="27"/>
      <c r="I274" s="27" t="str">
        <f ca="1">IFERROR(__xludf.DUMMYFUNCTION("""COMPUTED_VALUE"""),"Marly Rodrigues Gabriel")</f>
        <v>Marly Rodrigues Gabriel</v>
      </c>
      <c r="J274" s="27" t="str">
        <f ca="1">IFERROR(__xludf.DUMMYFUNCTION("""COMPUTED_VALUE"""),"fjterritoriodobem@gmail.com")</f>
        <v>fjterritoriodobem@gmail.com</v>
      </c>
      <c r="K274" s="27" t="str">
        <f ca="1">IFERROR(__xludf.DUMMYFUNCTION("""COMPUTED_VALUE"""),"(27)99939-9580")</f>
        <v>(27)99939-9580</v>
      </c>
      <c r="L274" s="27" t="str">
        <f ca="1">IFERROR(__xludf.DUMMYFUNCTION("""COMPUTED_VALUE"""),"ES")</f>
        <v>ES</v>
      </c>
      <c r="M274" s="27" t="str">
        <f ca="1">IFERROR(__xludf.DUMMYFUNCTION("""COMPUTED_VALUE"""),"Escadaria do Cafezal, 39")</f>
        <v>Escadaria do Cafezal, 39</v>
      </c>
      <c r="N274" s="27" t="str">
        <f ca="1">IFERROR(__xludf.DUMMYFUNCTION("""COMPUTED_VALUE"""),"Território do Bem")</f>
        <v>Território do Bem</v>
      </c>
      <c r="O274" s="27">
        <f ca="1">IFERROR(__xludf.DUMMYFUNCTION("""COMPUTED_VALUE"""),39)</f>
        <v>39</v>
      </c>
      <c r="P274" s="27" t="str">
        <f ca="1">IFERROR(__xludf.DUMMYFUNCTION("""COMPUTED_VALUE"""),"Vitória")</f>
        <v>Vitória</v>
      </c>
      <c r="Q274" s="27" t="str">
        <f ca="1">IFERROR(__xludf.DUMMYFUNCTION("""COMPUTED_VALUE"""),"OBS.: Não temos espaço físico este endereço corresponde ao meu endereço residencial.")</f>
        <v>OBS.: Não temos espaço físico este endereço corresponde ao meu endereço residencial.</v>
      </c>
      <c r="R274" s="27" t="str">
        <f ca="1">IFERROR(__xludf.DUMMYFUNCTION("""COMPUTED_VALUE"""),"29047-879")</f>
        <v>29047-879</v>
      </c>
      <c r="S274" s="27"/>
      <c r="T274" s="27" t="str">
        <f ca="1">IFERROR(__xludf.DUMMYFUNCTION("""COMPUTED_VALUE"""),"Esporte; Educação; Empregabilidade; Assistência Social; Cultura; Empoderamento Feminino; Ciência e Tecnologia; Defesa de Direitos; Comunicação; Desenvolvimento comunitário; Outro(s)")</f>
        <v>Esporte; Educação; Empregabilidade; Assistência Social; Cultura; Empoderamento Feminino; Ciência e Tecnologia; Defesa de Direitos; Comunicação; Desenvolvimento comunitário; Outro(s)</v>
      </c>
      <c r="U274" s="27" t="str">
        <f ca="1">IFERROR(__xludf.DUMMYFUNCTION("""COMPUTED_VALUE"""),"Adolescentes (12 aos 18 anos); Jovens (18 aos 24 anos); Adultos")</f>
        <v>Adolescentes (12 aos 18 anos); Jovens (18 aos 24 anos); Adultos</v>
      </c>
      <c r="V274" s="27" t="str">
        <f ca="1">IFERROR(__xludf.DUMMYFUNCTION("""COMPUTED_VALUE"""),"Moradores de Favelas; Outros")</f>
        <v>Moradores de Favelas; Outros</v>
      </c>
      <c r="W274" s="27">
        <f ca="1">IFERROR(__xludf.DUMMYFUNCTION("""COMPUTED_VALUE"""),9)</f>
        <v>9</v>
      </c>
      <c r="X274" s="27"/>
      <c r="Y274" s="27"/>
      <c r="Z274" s="27">
        <f ca="1">IFERROR(__xludf.DUMMYFUNCTION("""COMPUTED_VALUE"""),100)</f>
        <v>100</v>
      </c>
      <c r="AA274" s="29">
        <f ca="1">IFERROR(__xludf.DUMMYFUNCTION("""COMPUTED_VALUE"""),43464)</f>
        <v>43464</v>
      </c>
      <c r="AB274" s="27" t="str">
        <f ca="1">IFERROR(__xludf.DUMMYFUNCTION("""COMPUTED_VALUE"""),"Não")</f>
        <v>Não</v>
      </c>
      <c r="AC274" s="27">
        <f ca="1">IFERROR(__xludf.DUMMYFUNCTION("""COMPUTED_VALUE"""),0)</f>
        <v>0</v>
      </c>
      <c r="AD274" s="27">
        <f ca="1">IFERROR(__xludf.DUMMYFUNCTION("""COMPUTED_VALUE"""),0)</f>
        <v>0</v>
      </c>
      <c r="AE274" s="27">
        <f ca="1">IFERROR(__xludf.DUMMYFUNCTION("""COMPUTED_VALUE"""),20)</f>
        <v>20</v>
      </c>
      <c r="AF274" s="27">
        <f ca="1">IFERROR(__xludf.DUMMYFUNCTION("""COMPUTED_VALUE"""),12)</f>
        <v>12</v>
      </c>
      <c r="AG274" s="27">
        <f ca="1">IFERROR(__xludf.DUMMYFUNCTION("""COMPUTED_VALUE"""),2)</f>
        <v>2</v>
      </c>
      <c r="AH274" s="27" t="str">
        <f ca="1">IFERROR(__xludf.DUMMYFUNCTION("""COMPUTED_VALUE"""),"Doações; Recursos próprios")</f>
        <v>Doações; Recursos próprios</v>
      </c>
      <c r="AI274" s="27">
        <f ca="1">IFERROR(__xludf.DUMMYFUNCTION("""COMPUTED_VALUE"""),0)</f>
        <v>0</v>
      </c>
      <c r="AJ274" s="27"/>
      <c r="AK274" s="27"/>
      <c r="AL274" s="21" t="str">
        <f ca="1">IFERROR(__xludf.DUMMYFUNCTION("""COMPUTED_VALUE"""),"0034P000045kxj8")</f>
        <v>0034P000045kxj8</v>
      </c>
      <c r="AM274" s="27" t="str">
        <f ca="1">IFERROR(__xludf.DUMMYFUNCTION("""COMPUTED_VALUE"""),"Rodrigues Gabriel")</f>
        <v>Rodrigues Gabriel</v>
      </c>
      <c r="AN274" s="27" t="str">
        <f ca="1">IFERROR(__xludf.DUMMYFUNCTION("""COMPUTED_VALUE"""),"Ativo")</f>
        <v>Ativo</v>
      </c>
      <c r="AO274" s="29">
        <f ca="1">IFERROR(__xludf.DUMMYFUNCTION("""COMPUTED_VALUE"""),44551)</f>
        <v>44551</v>
      </c>
      <c r="AP274" s="27">
        <f ca="1">IFERROR(__xludf.DUMMYFUNCTION("""COMPUTED_VALUE"""),9)</f>
        <v>9</v>
      </c>
      <c r="AQ274" s="27" t="str">
        <f ca="1">IFERROR(__xludf.DUMMYFUNCTION("""COMPUTED_VALUE"""),"Segundo Semestre 2021")</f>
        <v>Segundo Semestre 2021</v>
      </c>
      <c r="AR274" s="27" t="str">
        <f ca="1">IFERROR(__xludf.DUMMYFUNCTION("""COMPUTED_VALUE"""),"rodriguesgmarly@gmail.com")</f>
        <v>rodriguesgmarly@gmail.com</v>
      </c>
      <c r="AS274" s="27" t="str">
        <f ca="1">IFERROR(__xludf.DUMMYFUNCTION("""COMPUTED_VALUE"""),"(27)99939-9580")</f>
        <v>(27)99939-9580</v>
      </c>
      <c r="AT274" s="29">
        <f ca="1">IFERROR(__xludf.DUMMYFUNCTION("""COMPUTED_VALUE"""),30597)</f>
        <v>30597</v>
      </c>
      <c r="AU274" s="27">
        <f ca="1">IFERROR(__xludf.DUMMYFUNCTION("""COMPUTED_VALUE"""),39)</f>
        <v>39</v>
      </c>
      <c r="AV274" s="27">
        <f ca="1">IFERROR(__xludf.DUMMYFUNCTION("""COMPUTED_VALUE"""),9567693730)</f>
        <v>9567693730</v>
      </c>
      <c r="AW274" s="27">
        <f ca="1">IFERROR(__xludf.DUMMYFUNCTION("""COMPUTED_VALUE"""),1819474)</f>
        <v>1819474</v>
      </c>
      <c r="AX274" s="27"/>
      <c r="AY274" s="27"/>
      <c r="AZ274" s="27" t="str">
        <f ca="1">IFERROR(__xludf.DUMMYFUNCTION("""COMPUTED_VALUE"""),"P")</f>
        <v>P</v>
      </c>
      <c r="BA274" s="27" t="str">
        <f ca="1">IFERROR(__xludf.DUMMYFUNCTION("""COMPUTED_VALUE"""),"Preta")</f>
        <v>Preta</v>
      </c>
      <c r="BB274" s="27" t="str">
        <f ca="1">IFERROR(__xludf.DUMMYFUNCTION("""COMPUTED_VALUE"""),"Mulher, cisgênero")</f>
        <v>Mulher, cisgênero</v>
      </c>
      <c r="BC274" s="27" t="str">
        <f ca="1">IFERROR(__xludf.DUMMYFUNCTION("""COMPUTED_VALUE"""),"Não")</f>
        <v>Não</v>
      </c>
      <c r="BD274" s="27" t="str">
        <f ca="1">IFERROR(__xludf.DUMMYFUNCTION("""COMPUTED_VALUE"""),"Apaixonada pelo Território do Bem, tem 38 anos é cria do Morro São Benedito. É Pedagoga, Educadora, e Empreendedora Social,  possui uma longa experiência com trabalho social em Organizações Sociais do Território do Bem desde 2005. É membra do Conselho Mun"&amp;"icipal de Juventude de Vitória, co-fundadora do Coletivo Viella Films e do Fórum de Juventudes do Território do Bem. Sua rede de relações é enorme no Território do Bem, em especial com os Coletivos de Jovens e lideranças comunitárias.")</f>
        <v>Apaixonada pelo Território do Bem, tem 38 anos é cria do Morro São Benedito. É Pedagoga, Educadora, e Empreendedora Social,  possui uma longa experiência com trabalho social em Organizações Sociais do Território do Bem desde 2005. É membra do Conselho Municipal de Juventude de Vitória, co-fundadora do Coletivo Viella Films e do Fórum de Juventudes do Território do Bem. Sua rede de relações é enorme no Território do Bem, em especial com os Coletivos de Jovens e lideranças comunitárias.</v>
      </c>
      <c r="BE274" s="27"/>
      <c r="BF274" s="27" t="str">
        <f ca="1">IFERROR(__xludf.DUMMYFUNCTION("""COMPUTED_VALUE"""),"Bissexual")</f>
        <v>Bissexual</v>
      </c>
      <c r="BG274" s="27" t="str">
        <f ca="1">IFERROR(__xludf.DUMMYFUNCTION("""COMPUTED_VALUE"""),"Ensino Superior - Completo")</f>
        <v>Ensino Superior - Completo</v>
      </c>
      <c r="BH274" s="27" t="str">
        <f ca="1">IFERROR(__xludf.DUMMYFUNCTION("""COMPUTED_VALUE"""),"Público")</f>
        <v>Público</v>
      </c>
      <c r="BI274" s="27" t="str">
        <f ca="1">IFERROR(__xludf.DUMMYFUNCTION("""COMPUTED_VALUE"""),"Graduação")</f>
        <v>Graduação</v>
      </c>
      <c r="BJ274" s="27" t="str">
        <f ca="1">IFERROR(__xludf.DUMMYFUNCTION("""COMPUTED_VALUE"""),"Privado")</f>
        <v>Privado</v>
      </c>
      <c r="BK274" s="27" t="str">
        <f ca="1">IFERROR(__xludf.DUMMYFUNCTION("""COMPUTED_VALUE"""),"Escadaria do Cafezal")</f>
        <v>Escadaria do Cafezal</v>
      </c>
      <c r="BL274" s="27">
        <f ca="1">IFERROR(__xludf.DUMMYFUNCTION("""COMPUTED_VALUE"""),39)</f>
        <v>39</v>
      </c>
      <c r="BM274" s="27"/>
      <c r="BN274" s="27" t="str">
        <f ca="1">IFERROR(__xludf.DUMMYFUNCTION("""COMPUTED_VALUE"""),"Vitória ES")</f>
        <v>Vitória ES</v>
      </c>
      <c r="BO274" s="27" t="str">
        <f ca="1">IFERROR(__xludf.DUMMYFUNCTION("""COMPUTED_VALUE"""),"29047-879")</f>
        <v>29047-879</v>
      </c>
      <c r="BP274" s="27" t="str">
        <f ca="1">IFERROR(__xludf.DUMMYFUNCTION("""COMPUTED_VALUE"""),"ES")</f>
        <v>ES</v>
      </c>
      <c r="BQ274" s="27" t="str">
        <f ca="1">IFERROR(__xludf.DUMMYFUNCTION("""COMPUTED_VALUE"""),"Entre 1 até 3 salários mínimos")</f>
        <v>Entre 1 até 3 salários mínimos</v>
      </c>
      <c r="BR274" s="27" t="str">
        <f ca="1">IFERROR(__xludf.DUMMYFUNCTION("""COMPUTED_VALUE"""),"Desempregado")</f>
        <v>Desempregado</v>
      </c>
      <c r="BS274" s="27" t="str">
        <f ca="1">IFERROR(__xludf.DUMMYFUNCTION("""COMPUTED_VALUE"""),"Casa cedida")</f>
        <v>Casa cedida</v>
      </c>
      <c r="BT274" s="27">
        <f ca="1">IFERROR(__xludf.DUMMYFUNCTION("""COMPUTED_VALUE"""),2)</f>
        <v>2</v>
      </c>
      <c r="BU274" s="27" t="str">
        <f ca="1">IFERROR(__xludf.DUMMYFUNCTION("""COMPUTED_VALUE"""),"Não tem")</f>
        <v>Não tem</v>
      </c>
      <c r="BV274" s="27"/>
      <c r="BW274" s="27"/>
      <c r="BX274" s="21" t="str">
        <f ca="1">IFERROR(__xludf.DUMMYFUNCTION("""COMPUTED_VALUE"""),"https://www.instagram.com/marlyroodrigues/")</f>
        <v>https://www.instagram.com/marlyroodrigues/</v>
      </c>
      <c r="BY274" s="21" t="str">
        <f ca="1">IFERROR(__xludf.DUMMYFUNCTION("""COMPUTED_VALUE"""),"https://drive.google.com/open?id=1TbReOcBxZf4O0ucSfR_EtBicRG66lffB")</f>
        <v>https://drive.google.com/open?id=1TbReOcBxZf4O0ucSfR_EtBicRG66lffB</v>
      </c>
    </row>
    <row r="275" spans="1:77" ht="12.5" x14ac:dyDescent="0.25">
      <c r="A275" s="21" t="str">
        <f ca="1">IFERROR(__xludf.DUMMYFUNCTION("""COMPUTED_VALUE"""),"0014P00003YSp8KQAT")</f>
        <v>0014P00003YSp8KQAT</v>
      </c>
      <c r="B275" s="27" t="str">
        <f ca="1">IFERROR(__xludf.DUMMYFUNCTION("""COMPUTED_VALUE"""),"Fase Inicial")</f>
        <v>Fase Inicial</v>
      </c>
      <c r="C275" s="27" t="str">
        <f ca="1">IFERROR(__xludf.DUMMYFUNCTION("""COMPUTED_VALUE"""),"Fellow")</f>
        <v>Fellow</v>
      </c>
      <c r="D275" s="27" t="str">
        <f ca="1">IFERROR(__xludf.DUMMYFUNCTION("""COMPUTED_VALUE"""),"Ativo")</f>
        <v>Ativo</v>
      </c>
      <c r="E275" s="27" t="str">
        <f ca="1">IFERROR(__xludf.DUMMYFUNCTION("""COMPUTED_VALUE"""),"Fundação Beneficente Evangélica Jesus de Nazaré")</f>
        <v>Fundação Beneficente Evangélica Jesus de Nazaré</v>
      </c>
      <c r="F275" s="27" t="str">
        <f ca="1">IFERROR(__xludf.DUMMYFUNCTION("""COMPUTED_VALUE"""),"Daiene")</f>
        <v>Daiene</v>
      </c>
      <c r="G275" s="27"/>
      <c r="H275" s="27" t="str">
        <f ca="1">IFERROR(__xludf.DUMMYFUNCTION("""COMPUTED_VALUE"""),"03.552.801/0001-58")</f>
        <v>03.552.801/0001-58</v>
      </c>
      <c r="I275" s="27" t="str">
        <f ca="1">IFERROR(__xludf.DUMMYFUNCTION("""COMPUTED_VALUE"""),"CLAUDIA ABREU BRANDÃO SANTOS")</f>
        <v>CLAUDIA ABREU BRANDÃO SANTOS</v>
      </c>
      <c r="J275" s="27" t="str">
        <f ca="1">IFERROR(__xludf.DUMMYFUNCTION("""COMPUTED_VALUE"""),"daienematteus@gmail.com")</f>
        <v>daienematteus@gmail.com</v>
      </c>
      <c r="K275" s="27" t="str">
        <f ca="1">IFERROR(__xludf.DUMMYFUNCTION("""COMPUTED_VALUE"""),"(21)3666-1076")</f>
        <v>(21)3666-1076</v>
      </c>
      <c r="L275" s="27" t="str">
        <f ca="1">IFERROR(__xludf.DUMMYFUNCTION("""COMPUTED_VALUE"""),"RJ")</f>
        <v>RJ</v>
      </c>
      <c r="M275" s="27">
        <f ca="1">IFERROR(__xludf.DUMMYFUNCTION("""COMPUTED_VALUE"""),3)</f>
        <v>3</v>
      </c>
      <c r="N275" s="27" t="str">
        <f ca="1">IFERROR(__xludf.DUMMYFUNCTION("""COMPUTED_VALUE"""),"Nova Campinas")</f>
        <v>Nova Campinas</v>
      </c>
      <c r="O275" s="27">
        <f ca="1">IFERROR(__xludf.DUMMYFUNCTION("""COMPUTED_VALUE"""),644)</f>
        <v>644</v>
      </c>
      <c r="P275" s="27" t="str">
        <f ca="1">IFERROR(__xludf.DUMMYFUNCTION("""COMPUTED_VALUE"""),"DUQUE DE CAXIAS")</f>
        <v>DUQUE DE CAXIAS</v>
      </c>
      <c r="Q275" s="27" t="str">
        <f ca="1">IFERROR(__xludf.DUMMYFUNCTION("""COMPUTED_VALUE"""),"Área 2")</f>
        <v>Área 2</v>
      </c>
      <c r="R275" s="27" t="str">
        <f ca="1">IFERROR(__xludf.DUMMYFUNCTION("""COMPUTED_VALUE"""),"25268-060")</f>
        <v>25268-060</v>
      </c>
      <c r="S275" s="27"/>
      <c r="T275" s="27" t="str">
        <f ca="1">IFERROR(__xludf.DUMMYFUNCTION("""COMPUTED_VALUE"""),"Educação; Assistência Social")</f>
        <v>Educação; Assistência Social</v>
      </c>
      <c r="U275" s="27" t="str">
        <f ca="1">IFERROR(__xludf.DUMMYFUNCTION("""COMPUTED_VALUE"""),"Crianças bem pequenas (1 ano e 7 meses até 3 anos e 11 meses); Crianças pequenas (4 anos a 5 anos e 11 meses); Crianças (6 a 12 anos); Adultos; Idosos (60 anos ou mais)")</f>
        <v>Crianças bem pequenas (1 ano e 7 meses até 3 anos e 11 meses); Crianças pequenas (4 anos a 5 anos e 11 meses); Crianças (6 a 12 anos); Adultos; Idosos (60 anos ou mais)</v>
      </c>
      <c r="V275" s="27" t="str">
        <f ca="1">IFERROR(__xludf.DUMMYFUNCTION("""COMPUTED_VALUE"""),"Moradores de Favelas")</f>
        <v>Moradores de Favelas</v>
      </c>
      <c r="W275" s="27">
        <f ca="1">IFERROR(__xludf.DUMMYFUNCTION("""COMPUTED_VALUE"""),10)</f>
        <v>10</v>
      </c>
      <c r="X275" s="27" t="str">
        <f ca="1">IFERROR(__xludf.DUMMYFUNCTION("""COMPUTED_VALUE"""),"Foco na Família")</f>
        <v>Foco na Família</v>
      </c>
      <c r="Y275" s="27"/>
      <c r="Z275" s="27">
        <f ca="1">IFERROR(__xludf.DUMMYFUNCTION("""COMPUTED_VALUE"""),6000)</f>
        <v>6000</v>
      </c>
      <c r="AA275" s="30">
        <f ca="1">IFERROR(__xludf.DUMMYFUNCTION("""COMPUTED_VALUE"""),36447)</f>
        <v>36447</v>
      </c>
      <c r="AB275" s="27" t="str">
        <f ca="1">IFERROR(__xludf.DUMMYFUNCTION("""COMPUTED_VALUE"""),"Sim")</f>
        <v>Sim</v>
      </c>
      <c r="AC275" s="27">
        <f ca="1">IFERROR(__xludf.DUMMYFUNCTION("""COMPUTED_VALUE"""),2)</f>
        <v>2</v>
      </c>
      <c r="AD275" s="27">
        <f ca="1">IFERROR(__xludf.DUMMYFUNCTION("""COMPUTED_VALUE"""),3)</f>
        <v>3</v>
      </c>
      <c r="AE275" s="27">
        <f ca="1">IFERROR(__xludf.DUMMYFUNCTION("""COMPUTED_VALUE"""),20)</f>
        <v>20</v>
      </c>
      <c r="AF275" s="27">
        <f ca="1">IFERROR(__xludf.DUMMYFUNCTION("""COMPUTED_VALUE"""),21)</f>
        <v>21</v>
      </c>
      <c r="AG275" s="27">
        <f ca="1">IFERROR(__xludf.DUMMYFUNCTION("""COMPUTED_VALUE"""),4)</f>
        <v>4</v>
      </c>
      <c r="AH275" s="27" t="str">
        <f ca="1">IFERROR(__xludf.DUMMYFUNCTION("""COMPUTED_VALUE"""),"Convênio Público; Eventos/Ações para captação; Parceria iniciativa privada; Doações")</f>
        <v>Convênio Público; Eventos/Ações para captação; Parceria iniciativa privada; Doações</v>
      </c>
      <c r="AI275" s="27" t="str">
        <f ca="1">IFERROR(__xludf.DUMMYFUNCTION("""COMPUTED_VALUE"""),"40% DOAÇÕES, 30% CONVENIO PUBLICO, 20% EVENTOS/BAZAR E 10% INICIATIVA PRIVADA")</f>
        <v>40% DOAÇÕES, 30% CONVENIO PUBLICO, 20% EVENTOS/BAZAR E 10% INICIATIVA PRIVADA</v>
      </c>
      <c r="AJ275" s="27"/>
      <c r="AK275" s="27"/>
      <c r="AL275" s="21" t="str">
        <f ca="1">IFERROR(__xludf.DUMMYFUNCTION("""COMPUTED_VALUE"""),"0034P000045kxiv")</f>
        <v>0034P000045kxiv</v>
      </c>
      <c r="AM275" s="27" t="str">
        <f ca="1">IFERROR(__xludf.DUMMYFUNCTION("""COMPUTED_VALUE"""),"Brandão Santos")</f>
        <v>Brandão Santos</v>
      </c>
      <c r="AN275" s="27" t="str">
        <f ca="1">IFERROR(__xludf.DUMMYFUNCTION("""COMPUTED_VALUE"""),"Ativo")</f>
        <v>Ativo</v>
      </c>
      <c r="AO275" s="30">
        <f ca="1">IFERROR(__xludf.DUMMYFUNCTION("""COMPUTED_VALUE"""),44551)</f>
        <v>44551</v>
      </c>
      <c r="AP275" s="27">
        <f ca="1">IFERROR(__xludf.DUMMYFUNCTION("""COMPUTED_VALUE"""),9)</f>
        <v>9</v>
      </c>
      <c r="AQ275" s="27" t="str">
        <f ca="1">IFERROR(__xludf.DUMMYFUNCTION("""COMPUTED_VALUE"""),"Segundo Semestre 2021")</f>
        <v>Segundo Semestre 2021</v>
      </c>
      <c r="AR275" s="27" t="str">
        <f ca="1">IFERROR(__xludf.DUMMYFUNCTION("""COMPUTED_VALUE"""),"daienematteus@gmail.com")</f>
        <v>daienematteus@gmail.com</v>
      </c>
      <c r="AS275" s="27">
        <f ca="1">IFERROR(__xludf.DUMMYFUNCTION("""COMPUTED_VALUE"""),21975167278)</f>
        <v>21975167278</v>
      </c>
      <c r="AT275" s="29">
        <f ca="1">IFERROR(__xludf.DUMMYFUNCTION("""COMPUTED_VALUE"""),32497)</f>
        <v>32497</v>
      </c>
      <c r="AU275" s="27">
        <f ca="1">IFERROR(__xludf.DUMMYFUNCTION("""COMPUTED_VALUE"""),34)</f>
        <v>34</v>
      </c>
      <c r="AV275" s="27">
        <f ca="1">IFERROR(__xludf.DUMMYFUNCTION("""COMPUTED_VALUE"""),13700432798)</f>
        <v>13700432798</v>
      </c>
      <c r="AW275" s="27">
        <f ca="1">IFERROR(__xludf.DUMMYFUNCTION("""COMPUTED_VALUE"""),202398400)</f>
        <v>202398400</v>
      </c>
      <c r="AX275" s="27"/>
      <c r="AY275" s="27"/>
      <c r="AZ275" s="27" t="str">
        <f ca="1">IFERROR(__xludf.DUMMYFUNCTION("""COMPUTED_VALUE"""),"G2")</f>
        <v>G2</v>
      </c>
      <c r="BA275" s="27" t="str">
        <f ca="1">IFERROR(__xludf.DUMMYFUNCTION("""COMPUTED_VALUE"""),"Prefiro não declarar")</f>
        <v>Prefiro não declarar</v>
      </c>
      <c r="BB275" s="27"/>
      <c r="BC275" s="27" t="str">
        <f ca="1">IFERROR(__xludf.DUMMYFUNCTION("""COMPUTED_VALUE"""),"Não")</f>
        <v>Não</v>
      </c>
      <c r="BD275" s="27" t="str">
        <f ca="1">IFERROR(__xludf.DUMMYFUNCTION("""COMPUTED_VALUE"""),"Me Chamo Daiene Brandão tenho 32 anos;; casada;; 2 filhos da barriga e 1 do coração, Desde meus 14 anos sou voluntária na Fundação Jesus de Nazaré;; em diversos setores;; hoje estou como membro da diretoria;; no cargo de tesoureira;; e na busca incansável"&amp;" de capacitação para melhor ajudar minha comunidade através dos trabalhos ofertados pela Jesus de Nazaré;; captação e gestão de recurso também são parte da minha atribuição; hoje sou empresária no ramo de sapatos femininos;; mas já fui muito abençoada pel"&amp;"os projetos sociais e me vejo na responsabilidade de multiplicar para mais famílias essa ajuda; Tem orgulho de dizer nas palestras que: _ Eu precisei de apoio;; e agora sou eu que apoio;; e um dia serão vocês a multiplicar essa ação de amor ao próximo!")</f>
        <v>Me Chamo Daiene Brandão tenho 32 anos;; casada;; 2 filhos da barriga e 1 do coração, Desde meus 14 anos sou voluntária na Fundação Jesus de Nazaré;; em diversos setores;; hoje estou como membro da diretoria;; no cargo de tesoureira;; e na busca incansável de capacitação para melhor ajudar minha comunidade através dos trabalhos ofertados pela Jesus de Nazaré;; captação e gestão de recurso também são parte da minha atribuição; hoje sou empresária no ramo de sapatos femininos;; mas já fui muito abençoada pelos projetos sociais e me vejo na responsabilidade de multiplicar para mais famílias essa ajuda; Tem orgulho de dizer nas palestras que: _ Eu precisei de apoio;; e agora sou eu que apoio;; e um dia serão vocês a multiplicar essa ação de amor ao próximo!</v>
      </c>
      <c r="BE275" s="27"/>
      <c r="BF275" s="27"/>
      <c r="BG275" s="27" t="str">
        <f ca="1">IFERROR(__xludf.DUMMYFUNCTION("""COMPUTED_VALUE"""),"Ensino Médio - Incompleto")</f>
        <v>Ensino Médio - Incompleto</v>
      </c>
      <c r="BH275" s="27" t="str">
        <f ca="1">IFERROR(__xludf.DUMMYFUNCTION("""COMPUTED_VALUE"""),"Privado")</f>
        <v>Privado</v>
      </c>
      <c r="BI275" s="27"/>
      <c r="BJ275" s="27"/>
      <c r="BK275" s="27" t="str">
        <f ca="1">IFERROR(__xludf.DUMMYFUNCTION("""COMPUTED_VALUE"""),"Daiene Brandão Santos")</f>
        <v>Daiene Brandão Santos</v>
      </c>
      <c r="BL275" s="27">
        <f ca="1">IFERROR(__xludf.DUMMYFUNCTION("""COMPUTED_VALUE"""),651)</f>
        <v>651</v>
      </c>
      <c r="BM275" s="27" t="str">
        <f ca="1">IFERROR(__xludf.DUMMYFUNCTION("""COMPUTED_VALUE"""),"casa 51 Condomínio América")</f>
        <v>casa 51 Condomínio América</v>
      </c>
      <c r="BN275" s="27" t="str">
        <f ca="1">IFERROR(__xludf.DUMMYFUNCTION("""COMPUTED_VALUE"""),"Duque de Caxias")</f>
        <v>Duque de Caxias</v>
      </c>
      <c r="BO275" s="27">
        <f ca="1">IFERROR(__xludf.DUMMYFUNCTION("""COMPUTED_VALUE"""),25251090)</f>
        <v>25251090</v>
      </c>
      <c r="BP275" s="27" t="str">
        <f ca="1">IFERROR(__xludf.DUMMYFUNCTION("""COMPUTED_VALUE"""),"RJ")</f>
        <v>RJ</v>
      </c>
      <c r="BQ275" s="27"/>
      <c r="BR275" s="27"/>
      <c r="BS275" s="27"/>
      <c r="BT275" s="27"/>
      <c r="BU275" s="27" t="str">
        <f ca="1">IFERROR(__xludf.DUMMYFUNCTION("""COMPUTED_VALUE"""),"Obesidade")</f>
        <v>Obesidade</v>
      </c>
      <c r="BV275" s="27"/>
      <c r="BW275" s="27"/>
      <c r="BX275" s="21" t="str">
        <f ca="1">IFERROR(__xludf.DUMMYFUNCTION("""COMPUTED_VALUE"""),"instagram.com/vai_daiene")</f>
        <v>instagram.com/vai_daiene</v>
      </c>
      <c r="BY275" s="21" t="str">
        <f ca="1">IFERROR(__xludf.DUMMYFUNCTION("""COMPUTED_VALUE"""),"https://drive.google.com/open?id=1KLrJUgdGXcZfDlu-VjLqYiL--mx8WG1G")</f>
        <v>https://drive.google.com/open?id=1KLrJUgdGXcZfDlu-VjLqYiL--mx8WG1G</v>
      </c>
    </row>
    <row r="276" spans="1:77" ht="12.5" x14ac:dyDescent="0.25">
      <c r="A276" s="21" t="str">
        <f ca="1">IFERROR(__xludf.DUMMYFUNCTION("""COMPUTED_VALUE"""),"0014P00003YSp9ZQAT")</f>
        <v>0014P00003YSp9ZQAT</v>
      </c>
      <c r="B276" s="27" t="str">
        <f ca="1">IFERROR(__xludf.DUMMYFUNCTION("""COMPUTED_VALUE"""),"Fase Inicial")</f>
        <v>Fase Inicial</v>
      </c>
      <c r="C276" s="27" t="str">
        <f ca="1">IFERROR(__xludf.DUMMYFUNCTION("""COMPUTED_VALUE"""),"Fellow")</f>
        <v>Fellow</v>
      </c>
      <c r="D276" s="27" t="str">
        <f ca="1">IFERROR(__xludf.DUMMYFUNCTION("""COMPUTED_VALUE"""),"Afastado")</f>
        <v>Afastado</v>
      </c>
      <c r="E276" s="27" t="str">
        <f ca="1">IFERROR(__xludf.DUMMYFUNCTION("""COMPUTED_VALUE"""),"Fundação Getsêmani")</f>
        <v>Fundação Getsêmani</v>
      </c>
      <c r="F276" s="27" t="str">
        <f ca="1">IFERROR(__xludf.DUMMYFUNCTION("""COMPUTED_VALUE"""),"Elaine")</f>
        <v>Elaine</v>
      </c>
      <c r="G276" s="27"/>
      <c r="H276" s="27" t="str">
        <f ca="1">IFERROR(__xludf.DUMMYFUNCTION("""COMPUTED_VALUE"""),"38.442.875/0001-16")</f>
        <v>38.442.875/0001-16</v>
      </c>
      <c r="I276" s="27" t="str">
        <f ca="1">IFERROR(__xludf.DUMMYFUNCTION("""COMPUTED_VALUE"""),"Rodrigo Lima")</f>
        <v>Rodrigo Lima</v>
      </c>
      <c r="J276" s="27" t="str">
        <f ca="1">IFERROR(__xludf.DUMMYFUNCTION("""COMPUTED_VALUE"""),"getsemani@ipgnet.com.br")</f>
        <v>getsemani@ipgnet.com.br</v>
      </c>
      <c r="K276" s="27">
        <f ca="1">IFERROR(__xludf.DUMMYFUNCTION("""COMPUTED_VALUE"""),11947284220)</f>
        <v>11947284220</v>
      </c>
      <c r="L276" s="27" t="str">
        <f ca="1">IFERROR(__xludf.DUMMYFUNCTION("""COMPUTED_VALUE"""),"SP")</f>
        <v>SP</v>
      </c>
      <c r="M276" s="27" t="str">
        <f ca="1">IFERROR(__xludf.DUMMYFUNCTION("""COMPUTED_VALUE"""),"Rua Dom Estevão Pimentel")</f>
        <v>Rua Dom Estevão Pimentel</v>
      </c>
      <c r="N276" s="27" t="str">
        <f ca="1">IFERROR(__xludf.DUMMYFUNCTION("""COMPUTED_VALUE"""),"V formosa")</f>
        <v>V formosa</v>
      </c>
      <c r="O276" s="27">
        <f ca="1">IFERROR(__xludf.DUMMYFUNCTION("""COMPUTED_VALUE"""),383)</f>
        <v>383</v>
      </c>
      <c r="P276" s="27" t="str">
        <f ca="1">IFERROR(__xludf.DUMMYFUNCTION("""COMPUTED_VALUE"""),"São Paulo")</f>
        <v>São Paulo</v>
      </c>
      <c r="Q276" s="27"/>
      <c r="R276" s="27">
        <f ca="1">IFERROR(__xludf.DUMMYFUNCTION("""COMPUTED_VALUE"""),3378050)</f>
        <v>3378050</v>
      </c>
      <c r="S276" s="27"/>
      <c r="T276" s="27"/>
      <c r="U276" s="27"/>
      <c r="V276" s="27"/>
      <c r="W276" s="27">
        <f ca="1">IFERROR(__xludf.DUMMYFUNCTION("""COMPUTED_VALUE"""),4)</f>
        <v>4</v>
      </c>
      <c r="X276" s="27"/>
      <c r="Y276" s="27"/>
      <c r="Z276" s="27">
        <f ca="1">IFERROR(__xludf.DUMMYFUNCTION("""COMPUTED_VALUE"""),150)</f>
        <v>150</v>
      </c>
      <c r="AA276" s="30">
        <f ca="1">IFERROR(__xludf.DUMMYFUNCTION("""COMPUTED_VALUE"""),44056)</f>
        <v>44056</v>
      </c>
      <c r="AB276" s="27" t="str">
        <f ca="1">IFERROR(__xludf.DUMMYFUNCTION("""COMPUTED_VALUE"""),"Sim")</f>
        <v>Sim</v>
      </c>
      <c r="AC276" s="27">
        <f ca="1">IFERROR(__xludf.DUMMYFUNCTION("""COMPUTED_VALUE"""),2)</f>
        <v>2</v>
      </c>
      <c r="AD276" s="27"/>
      <c r="AE276" s="27">
        <f ca="1">IFERROR(__xludf.DUMMYFUNCTION("""COMPUTED_VALUE"""),20)</f>
        <v>20</v>
      </c>
      <c r="AF276" s="27"/>
      <c r="AG276" s="27"/>
      <c r="AH276" s="27"/>
      <c r="AI276" s="27"/>
      <c r="AJ276" s="27"/>
      <c r="AK276" s="27"/>
      <c r="AL276" s="21" t="str">
        <f ca="1">IFERROR(__xludf.DUMMYFUNCTION("""COMPUTED_VALUE"""),"0034P000045kxkB")</f>
        <v>0034P000045kxkB</v>
      </c>
      <c r="AM276" s="27" t="str">
        <f ca="1">IFERROR(__xludf.DUMMYFUNCTION("""COMPUTED_VALUE"""),"Cristina De Moraes Marcondes")</f>
        <v>Cristina De Moraes Marcondes</v>
      </c>
      <c r="AN276" s="27" t="str">
        <f ca="1">IFERROR(__xludf.DUMMYFUNCTION("""COMPUTED_VALUE"""),"Afastado")</f>
        <v>Afastado</v>
      </c>
      <c r="AO276" s="30">
        <f ca="1">IFERROR(__xludf.DUMMYFUNCTION("""COMPUTED_VALUE"""),44551)</f>
        <v>44551</v>
      </c>
      <c r="AP276" s="27">
        <f ca="1">IFERROR(__xludf.DUMMYFUNCTION("""COMPUTED_VALUE"""),9)</f>
        <v>9</v>
      </c>
      <c r="AQ276" s="27" t="str">
        <f ca="1">IFERROR(__xludf.DUMMYFUNCTION("""COMPUTED_VALUE"""),"Segundo Semestre 2021")</f>
        <v>Segundo Semestre 2021</v>
      </c>
      <c r="AR276" s="27" t="str">
        <f ca="1">IFERROR(__xludf.DUMMYFUNCTION("""COMPUTED_VALUE"""),"elaine.morac@gmail.com")</f>
        <v>elaine.morac@gmail.com</v>
      </c>
      <c r="AS276" s="27">
        <f ca="1">IFERROR(__xludf.DUMMYFUNCTION("""COMPUTED_VALUE"""),11997132649)</f>
        <v>11997132649</v>
      </c>
      <c r="AT276" s="30">
        <f ca="1">IFERROR(__xludf.DUMMYFUNCTION("""COMPUTED_VALUE"""),25545)</f>
        <v>25545</v>
      </c>
      <c r="AU276" s="27">
        <f ca="1">IFERROR(__xludf.DUMMYFUNCTION("""COMPUTED_VALUE"""),53)</f>
        <v>53</v>
      </c>
      <c r="AV276" s="27">
        <f ca="1">IFERROR(__xludf.DUMMYFUNCTION("""COMPUTED_VALUE"""),8630444870)</f>
        <v>8630444870</v>
      </c>
      <c r="AW276" s="27">
        <f ca="1">IFERROR(__xludf.DUMMYFUNCTION("""COMPUTED_VALUE"""),195822745)</f>
        <v>195822745</v>
      </c>
      <c r="AX276" s="27"/>
      <c r="AY276" s="27"/>
      <c r="AZ276" s="27" t="str">
        <f ca="1">IFERROR(__xludf.DUMMYFUNCTION("""COMPUTED_VALUE"""),"G")</f>
        <v>G</v>
      </c>
      <c r="BA276" s="27" t="str">
        <f ca="1">IFERROR(__xludf.DUMMYFUNCTION("""COMPUTED_VALUE"""),"Parda")</f>
        <v>Parda</v>
      </c>
      <c r="BB276" s="27"/>
      <c r="BC276" s="27" t="str">
        <f ca="1">IFERROR(__xludf.DUMMYFUNCTION("""COMPUTED_VALUE"""),"Sim")</f>
        <v>Sim</v>
      </c>
      <c r="BD276" s="27" t="str">
        <f ca="1">IFERROR(__xludf.DUMMYFUNCTION("""COMPUTED_VALUE"""),"Tenho 52 anos tenho 2 filhos formada em enfermagem obstetrícia
Trabalho c serviço social a mais de dez anos")</f>
        <v>Tenho 52 anos tenho 2 filhos formada em enfermagem obstetrícia
Trabalho c serviço social a mais de dez anos</v>
      </c>
      <c r="BE276" s="27"/>
      <c r="BF276" s="27"/>
      <c r="BG276" s="27" t="str">
        <f ca="1">IFERROR(__xludf.DUMMYFUNCTION("""COMPUTED_VALUE"""),"Ensino Superior - Incompleto")</f>
        <v>Ensino Superior - Incompleto</v>
      </c>
      <c r="BH276" s="27" t="str">
        <f ca="1">IFERROR(__xludf.DUMMYFUNCTION("""COMPUTED_VALUE"""),"Privado")</f>
        <v>Privado</v>
      </c>
      <c r="BI276" s="27" t="str">
        <f ca="1">IFERROR(__xludf.DUMMYFUNCTION("""COMPUTED_VALUE"""),"Pós-Graduação")</f>
        <v>Pós-Graduação</v>
      </c>
      <c r="BJ276" s="27" t="str">
        <f ca="1">IFERROR(__xludf.DUMMYFUNCTION("""COMPUTED_VALUE"""),"Privado")</f>
        <v>Privado</v>
      </c>
      <c r="BK276" s="27" t="str">
        <f ca="1">IFERROR(__xludf.DUMMYFUNCTION("""COMPUTED_VALUE"""),"Rua sargento claudiner Evaristo dias")</f>
        <v>Rua sargento claudiner Evaristo dias</v>
      </c>
      <c r="BL276" s="27">
        <f ca="1">IFERROR(__xludf.DUMMYFUNCTION("""COMPUTED_VALUE"""),18)</f>
        <v>18</v>
      </c>
      <c r="BM276" s="27"/>
      <c r="BN276" s="27" t="str">
        <f ca="1">IFERROR(__xludf.DUMMYFUNCTION("""COMPUTED_VALUE"""),"SAO PAULO")</f>
        <v>SAO PAULO</v>
      </c>
      <c r="BO276" s="27">
        <f ca="1">IFERROR(__xludf.DUMMYFUNCTION("""COMPUTED_VALUE"""),3386150)</f>
        <v>3386150</v>
      </c>
      <c r="BP276" s="27" t="str">
        <f ca="1">IFERROR(__xludf.DUMMYFUNCTION("""COMPUTED_VALUE"""),"SP")</f>
        <v>SP</v>
      </c>
      <c r="BQ276" s="27"/>
      <c r="BR276" s="27"/>
      <c r="BS276" s="27"/>
      <c r="BT276" s="27"/>
      <c r="BU276" s="27" t="str">
        <f ca="1">IFERROR(__xludf.DUMMYFUNCTION("""COMPUTED_VALUE"""),"Surdez leve/moderada")</f>
        <v>Surdez leve/moderada</v>
      </c>
      <c r="BV276" s="27"/>
      <c r="BW276" s="27"/>
      <c r="BX276" s="21" t="str">
        <f ca="1">IFERROR(__xludf.DUMMYFUNCTION("""COMPUTED_VALUE"""),"https://instagram.com/elainecmmarcondes?utm_medium=copy_link")</f>
        <v>https://instagram.com/elainecmmarcondes?utm_medium=copy_link</v>
      </c>
      <c r="BY276" s="21" t="str">
        <f ca="1">IFERROR(__xludf.DUMMYFUNCTION("""COMPUTED_VALUE"""),"https://drive.google.com/open?id=1OFT6kzVB68N37t5wv7oU6Z29Ty40EB9E")</f>
        <v>https://drive.google.com/open?id=1OFT6kzVB68N37t5wv7oU6Z29Ty40EB9E</v>
      </c>
    </row>
    <row r="277" spans="1:77" ht="12.5" x14ac:dyDescent="0.25">
      <c r="A277" s="21" t="str">
        <f ca="1">IFERROR(__xludf.DUMMYFUNCTION("""COMPUTED_VALUE"""),"0014X00002VKCr7QAH")</f>
        <v>0014X00002VKCr7QAH</v>
      </c>
      <c r="B277" s="27" t="str">
        <f ca="1">IFERROR(__xludf.DUMMYFUNCTION("""COMPUTED_VALUE"""),"Fase Inicial")</f>
        <v>Fase Inicial</v>
      </c>
      <c r="C277" s="27" t="str">
        <f ca="1">IFERROR(__xludf.DUMMYFUNCTION("""COMPUTED_VALUE"""),"Fellow")</f>
        <v>Fellow</v>
      </c>
      <c r="D277" s="27" t="str">
        <f ca="1">IFERROR(__xludf.DUMMYFUNCTION("""COMPUTED_VALUE"""),"Ativo")</f>
        <v>Ativo</v>
      </c>
      <c r="E277" s="27" t="str">
        <f ca="1">IFERROR(__xludf.DUMMYFUNCTION("""COMPUTED_VALUE"""),"Geração GK")</f>
        <v>Geração GK</v>
      </c>
      <c r="F277" s="27" t="str">
        <f ca="1">IFERROR(__xludf.DUMMYFUNCTION("""COMPUTED_VALUE"""),"Naiara")</f>
        <v>Naiara</v>
      </c>
      <c r="G277" s="27" t="str">
        <f ca="1">IFERROR(__xludf.DUMMYFUNCTION("""COMPUTED_VALUE"""),"PROJETO GERAÇÃO GK")</f>
        <v>PROJETO GERAÇÃO GK</v>
      </c>
      <c r="H277" s="27"/>
      <c r="I277" s="27" t="str">
        <f ca="1">IFERROR(__xludf.DUMMYFUNCTION("""COMPUTED_VALUE"""),"Naiara Rocha Pereira")</f>
        <v>Naiara Rocha Pereira</v>
      </c>
      <c r="J277" s="27" t="str">
        <f ca="1">IFERROR(__xludf.DUMMYFUNCTION("""COMPUTED_VALUE"""),"naiararochatnt@gmail.com")</f>
        <v>naiararochatnt@gmail.com</v>
      </c>
      <c r="K277" s="27" t="str">
        <f ca="1">IFERROR(__xludf.DUMMYFUNCTION("""COMPUTED_VALUE"""),"(31)98544-1480")</f>
        <v>(31)98544-1480</v>
      </c>
      <c r="L277" s="27" t="str">
        <f ca="1">IFERROR(__xludf.DUMMYFUNCTION("""COMPUTED_VALUE"""),"MG")</f>
        <v>MG</v>
      </c>
      <c r="M277" s="27" t="str">
        <f ca="1">IFERROR(__xludf.DUMMYFUNCTION("""COMPUTED_VALUE"""),"rua emanuelita chaves")</f>
        <v>rua emanuelita chaves</v>
      </c>
      <c r="N277" s="27" t="str">
        <f ca="1">IFERROR(__xludf.DUMMYFUNCTION("""COMPUTED_VALUE"""),"ressaca")</f>
        <v>ressaca</v>
      </c>
      <c r="O277" s="27">
        <f ca="1">IFERROR(__xludf.DUMMYFUNCTION("""COMPUTED_VALUE"""),227)</f>
        <v>227</v>
      </c>
      <c r="P277" s="27" t="str">
        <f ca="1">IFERROR(__xludf.DUMMYFUNCTION("""COMPUTED_VALUE"""),"contagem")</f>
        <v>contagem</v>
      </c>
      <c r="Q277" s="27">
        <f ca="1">IFERROR(__xludf.DUMMYFUNCTION("""COMPUTED_VALUE"""),1)</f>
        <v>1</v>
      </c>
      <c r="R277" s="27" t="str">
        <f ca="1">IFERROR(__xludf.DUMMYFUNCTION("""COMPUTED_VALUE"""),"32113-480")</f>
        <v>32113-480</v>
      </c>
      <c r="S277" s="27"/>
      <c r="T277" s="27"/>
      <c r="U277"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277" s="27" t="str">
        <f ca="1">IFERROR(__xludf.DUMMYFUNCTION("""COMPUTED_VALUE"""),"Moradores de Favelas, Afrodescendentes")</f>
        <v>Moradores de Favelas, Afrodescendentes</v>
      </c>
      <c r="W277" s="27">
        <f ca="1">IFERROR(__xludf.DUMMYFUNCTION("""COMPUTED_VALUE"""),1)</f>
        <v>1</v>
      </c>
      <c r="X277" s="27"/>
      <c r="Y277" s="27"/>
      <c r="Z277" s="27">
        <f ca="1">IFERROR(__xludf.DUMMYFUNCTION("""COMPUTED_VALUE"""),600)</f>
        <v>600</v>
      </c>
      <c r="AA277" s="29">
        <f ca="1">IFERROR(__xludf.DUMMYFUNCTION("""COMPUTED_VALUE"""),43101)</f>
        <v>43101</v>
      </c>
      <c r="AB277" s="27" t="str">
        <f ca="1">IFERROR(__xludf.DUMMYFUNCTION("""COMPUTED_VALUE"""),"Não")</f>
        <v>Não</v>
      </c>
      <c r="AC277" s="27">
        <f ca="1">IFERROR(__xludf.DUMMYFUNCTION("""COMPUTED_VALUE"""),0)</f>
        <v>0</v>
      </c>
      <c r="AD277" s="27">
        <f ca="1">IFERROR(__xludf.DUMMYFUNCTION("""COMPUTED_VALUE"""),4)</f>
        <v>4</v>
      </c>
      <c r="AE277" s="27">
        <f ca="1">IFERROR(__xludf.DUMMYFUNCTION("""COMPUTED_VALUE"""),7)</f>
        <v>7</v>
      </c>
      <c r="AF277" s="27">
        <f ca="1">IFERROR(__xludf.DUMMYFUNCTION("""COMPUTED_VALUE"""),4)</f>
        <v>4</v>
      </c>
      <c r="AG277" s="27">
        <f ca="1">IFERROR(__xludf.DUMMYFUNCTION("""COMPUTED_VALUE"""),2)</f>
        <v>2</v>
      </c>
      <c r="AH277" s="27" t="str">
        <f ca="1">IFERROR(__xludf.DUMMYFUNCTION("""COMPUTED_VALUE"""),"Plataforma doação online - Pessoa Física, Parceria iniciativa privada")</f>
        <v>Plataforma doação online - Pessoa Física, Parceria iniciativa privada</v>
      </c>
      <c r="AI277" s="27" t="str">
        <f ca="1">IFERROR(__xludf.DUMMYFUNCTION("""COMPUTED_VALUE"""),"50% doações 50% parceria")</f>
        <v>50% doações 50% parceria</v>
      </c>
      <c r="AJ277" s="27" t="str">
        <f ca="1">IFERROR(__xludf.DUMMYFUNCTION("""COMPUTED_VALUE"""),"Não")</f>
        <v>Não</v>
      </c>
      <c r="AK277" s="27"/>
      <c r="AL277" s="21" t="str">
        <f ca="1">IFERROR(__xludf.DUMMYFUNCTION("""COMPUTED_VALUE"""),"0034X0000380O3I")</f>
        <v>0034X0000380O3I</v>
      </c>
      <c r="AM277" s="27" t="str">
        <f ca="1">IFERROR(__xludf.DUMMYFUNCTION("""COMPUTED_VALUE"""),"Rocha pereira")</f>
        <v>Rocha pereira</v>
      </c>
      <c r="AN277" s="27" t="str">
        <f ca="1">IFERROR(__xludf.DUMMYFUNCTION("""COMPUTED_VALUE"""),"Ativo")</f>
        <v>Ativo</v>
      </c>
      <c r="AO277" s="30">
        <f ca="1">IFERROR(__xludf.DUMMYFUNCTION("""COMPUTED_VALUE"""),44763)</f>
        <v>44763</v>
      </c>
      <c r="AP277" s="27">
        <f ca="1">IFERROR(__xludf.DUMMYFUNCTION("""COMPUTED_VALUE"""),2)</f>
        <v>2</v>
      </c>
      <c r="AQ277" s="27" t="str">
        <f ca="1">IFERROR(__xludf.DUMMYFUNCTION("""COMPUTED_VALUE"""),"Primeiro Semestre 2022")</f>
        <v>Primeiro Semestre 2022</v>
      </c>
      <c r="AR277" s="27" t="str">
        <f ca="1">IFERROR(__xludf.DUMMYFUNCTION("""COMPUTED_VALUE"""),"naiararochatnt@gmail.com")</f>
        <v>naiararochatnt@gmail.com</v>
      </c>
      <c r="AS277" s="27">
        <f ca="1">IFERROR(__xludf.DUMMYFUNCTION("""COMPUTED_VALUE"""),31985441480)</f>
        <v>31985441480</v>
      </c>
      <c r="AT277" s="29">
        <f ca="1">IFERROR(__xludf.DUMMYFUNCTION("""COMPUTED_VALUE"""),33270)</f>
        <v>33270</v>
      </c>
      <c r="AU277" s="27">
        <f ca="1">IFERROR(__xludf.DUMMYFUNCTION("""COMPUTED_VALUE"""),31)</f>
        <v>31</v>
      </c>
      <c r="AV277" s="27">
        <f ca="1">IFERROR(__xludf.DUMMYFUNCTION("""COMPUTED_VALUE"""),11025094697)</f>
        <v>11025094697</v>
      </c>
      <c r="AW277" s="27">
        <f ca="1">IFERROR(__xludf.DUMMYFUNCTION("""COMPUTED_VALUE"""),16304986)</f>
        <v>16304986</v>
      </c>
      <c r="AX277" s="27"/>
      <c r="AY277" s="27"/>
      <c r="AZ277" s="27" t="str">
        <f ca="1">IFERROR(__xludf.DUMMYFUNCTION("""COMPUTED_VALUE"""),"M")</f>
        <v>M</v>
      </c>
      <c r="BA277" s="27" t="str">
        <f ca="1">IFERROR(__xludf.DUMMYFUNCTION("""COMPUTED_VALUE"""),"Indígena")</f>
        <v>Indígena</v>
      </c>
      <c r="BB277" s="27"/>
      <c r="BC277" s="27"/>
      <c r="BD277" s="27" t="str">
        <f ca="1">IFERROR(__xludf.DUMMYFUNCTION("""COMPUTED_VALUE"""),"Meu nome é Naiara rocha. Sou liderança na ocupação Guarani kaiowá em habita em Contagem município e de Belo Horizonte* sou liderança a 4 anos criem pojeto geração gk  por meio de ver tantas pessoas necessitadas sem ajuda e não poder fazer nada* gracas a D"&amp;"eus está dando certo hoje consigo ajudar os moradores da ocupação. mães gestantes* adolescentes carentes* moradores de situações de rua* entrega de enxoval para bebes* sou pessoa bem determinada a vencer")</f>
        <v>Meu nome é Naiara rocha. Sou liderança na ocupação Guarani kaiowá em habita em Contagem município e de Belo Horizonte* sou liderança a 4 anos criem pojeto geração gk  por meio de ver tantas pessoas necessitadas sem ajuda e não poder fazer nada* gracas a Deus está dando certo hoje consigo ajudar os moradores da ocupação. mães gestantes* adolescentes carentes* moradores de situações de rua* entrega de enxoval para bebes* sou pessoa bem determinada a vencer</v>
      </c>
      <c r="BE277" s="27" t="str">
        <f ca="1">IFERROR(__xludf.DUMMYFUNCTION("""COMPUTED_VALUE"""),"Feminino")</f>
        <v>Feminino</v>
      </c>
      <c r="BF277" s="27" t="str">
        <f ca="1">IFERROR(__xludf.DUMMYFUNCTION("""COMPUTED_VALUE"""),"Heterossexual")</f>
        <v>Heterossexual</v>
      </c>
      <c r="BG277" s="27"/>
      <c r="BH277" s="27" t="str">
        <f ca="1">IFERROR(__xludf.DUMMYFUNCTION("""COMPUTED_VALUE"""),"Público")</f>
        <v>Público</v>
      </c>
      <c r="BI277" s="27"/>
      <c r="BJ277" s="27" t="str">
        <f ca="1">IFERROR(__xludf.DUMMYFUNCTION("""COMPUTED_VALUE"""),"Público")</f>
        <v>Público</v>
      </c>
      <c r="BK277" s="27" t="str">
        <f ca="1">IFERROR(__xludf.DUMMYFUNCTION("""COMPUTED_VALUE"""),"Av. Alterosa")</f>
        <v>Av. Alterosa</v>
      </c>
      <c r="BL277" s="27">
        <f ca="1">IFERROR(__xludf.DUMMYFUNCTION("""COMPUTED_VALUE"""),991)</f>
        <v>991</v>
      </c>
      <c r="BM277" s="27">
        <f ca="1">IFERROR(__xludf.DUMMYFUNCTION("""COMPUTED_VALUE"""),1)</f>
        <v>1</v>
      </c>
      <c r="BN277" s="27"/>
      <c r="BO277" s="27">
        <f ca="1">IFERROR(__xludf.DUMMYFUNCTION("""COMPUTED_VALUE"""),11025094697)</f>
        <v>11025094697</v>
      </c>
      <c r="BP277" s="27" t="str">
        <f ca="1">IFERROR(__xludf.DUMMYFUNCTION("""COMPUTED_VALUE"""),"MG")</f>
        <v>MG</v>
      </c>
      <c r="BQ277" s="27" t="str">
        <f ca="1">IFERROR(__xludf.DUMMYFUNCTION("""COMPUTED_VALUE"""),"Entre 1 até 3 salários mínimos")</f>
        <v>Entre 1 até 3 salários mínimos</v>
      </c>
      <c r="BR277" s="27" t="str">
        <f ca="1">IFERROR(__xludf.DUMMYFUNCTION("""COMPUTED_VALUE"""),"Desempregado")</f>
        <v>Desempregado</v>
      </c>
      <c r="BS277" s="27" t="str">
        <f ca="1">IFERROR(__xludf.DUMMYFUNCTION("""COMPUTED_VALUE"""),"Ocupação/Invasão")</f>
        <v>Ocupação/Invasão</v>
      </c>
      <c r="BT277" s="27">
        <f ca="1">IFERROR(__xludf.DUMMYFUNCTION("""COMPUTED_VALUE"""),5)</f>
        <v>5</v>
      </c>
      <c r="BU277" s="27" t="str">
        <f ca="1">IFERROR(__xludf.DUMMYFUNCTION("""COMPUTED_VALUE"""),"Não tem")</f>
        <v>Não tem</v>
      </c>
      <c r="BV277" s="27" t="str">
        <f ca="1">IFERROR(__xludf.DUMMYFUNCTION("""COMPUTED_VALUE"""),"Não")</f>
        <v>Não</v>
      </c>
      <c r="BW277" s="27"/>
      <c r="BX277" s="21" t="str">
        <f ca="1">IFERROR(__xludf.DUMMYFUNCTION("""COMPUTED_VALUE"""),"https://instagram.com/projeto_geracao_gk?utm_medium=copy_link")</f>
        <v>https://instagram.com/projeto_geracao_gk?utm_medium=copy_link</v>
      </c>
      <c r="BY277" s="21" t="str">
        <f ca="1">IFERROR(__xludf.DUMMYFUNCTION("""COMPUTED_VALUE"""),"https://drive.google.com/open?id=1GyR81bknWt8oajozWNTUrLma3vUPQ8ul")</f>
        <v>https://drive.google.com/open?id=1GyR81bknWt8oajozWNTUrLma3vUPQ8ul</v>
      </c>
    </row>
    <row r="278" spans="1:77" ht="12.5" hidden="1" x14ac:dyDescent="0.25">
      <c r="A278" s="21" t="str">
        <f ca="1">IFERROR(__xludf.DUMMYFUNCTION("""COMPUTED_VALUE"""),"0014X00002VKCpQQAX")</f>
        <v>0014X00002VKCpQQAX</v>
      </c>
      <c r="B278" s="27" t="str">
        <f ca="1">IFERROR(__xludf.DUMMYFUNCTION("""COMPUTED_VALUE"""),"Fase Inicial")</f>
        <v>Fase Inicial</v>
      </c>
      <c r="C278" s="27" t="str">
        <f ca="1">IFERROR(__xludf.DUMMYFUNCTION("""COMPUTED_VALUE"""),"Fellow")</f>
        <v>Fellow</v>
      </c>
      <c r="D278" s="27" t="str">
        <f ca="1">IFERROR(__xludf.DUMMYFUNCTION("""COMPUTED_VALUE"""),"Ativo")</f>
        <v>Ativo</v>
      </c>
      <c r="E278" s="27" t="str">
        <f ca="1">IFERROR(__xludf.DUMMYFUNCTION("""COMPUTED_VALUE"""),"GESCA - Grêmio Educacional* Social e Cultural Águias de Santo Antônio de Jesus")</f>
        <v>GESCA - Grêmio Educacional* Social e Cultural Águias de Santo Antônio de Jesus</v>
      </c>
      <c r="F278" s="27" t="str">
        <f ca="1">IFERROR(__xludf.DUMMYFUNCTION("""COMPUTED_VALUE"""),"Lucilene")</f>
        <v>Lucilene</v>
      </c>
      <c r="G278" s="27" t="str">
        <f ca="1">IFERROR(__xludf.DUMMYFUNCTION("""COMPUTED_VALUE"""),"GESCA")</f>
        <v>GESCA</v>
      </c>
      <c r="H278" s="27" t="str">
        <f ca="1">IFERROR(__xludf.DUMMYFUNCTION("""COMPUTED_VALUE"""),"42.243.956/0001-64")</f>
        <v>42.243.956/0001-64</v>
      </c>
      <c r="I278" s="27" t="str">
        <f ca="1">IFERROR(__xludf.DUMMYFUNCTION("""COMPUTED_VALUE"""),"Manoela de Jesus Santos")</f>
        <v>Manoela de Jesus Santos</v>
      </c>
      <c r="J278" s="27" t="str">
        <f ca="1">IFERROR(__xludf.DUMMYFUNCTION("""COMPUTED_VALUE"""),"contato@gesca.org.br")</f>
        <v>contato@gesca.org.br</v>
      </c>
      <c r="K278" s="27" t="str">
        <f ca="1">IFERROR(__xludf.DUMMYFUNCTION("""COMPUTED_VALUE"""),"(75)98348-1819")</f>
        <v>(75)98348-1819</v>
      </c>
      <c r="L278" s="27" t="str">
        <f ca="1">IFERROR(__xludf.DUMMYFUNCTION("""COMPUTED_VALUE"""),"BA")</f>
        <v>BA</v>
      </c>
      <c r="M278" s="27" t="str">
        <f ca="1">IFERROR(__xludf.DUMMYFUNCTION("""COMPUTED_VALUE"""),"Rua independência")</f>
        <v>Rua independência</v>
      </c>
      <c r="N278" s="27" t="str">
        <f ca="1">IFERROR(__xludf.DUMMYFUNCTION("""COMPUTED_VALUE"""),"Cajueiro")</f>
        <v>Cajueiro</v>
      </c>
      <c r="O278" s="27">
        <f ca="1">IFERROR(__xludf.DUMMYFUNCTION("""COMPUTED_VALUE"""),165)</f>
        <v>165</v>
      </c>
      <c r="P278" s="27" t="str">
        <f ca="1">IFERROR(__xludf.DUMMYFUNCTION("""COMPUTED_VALUE"""),"Santo Antônio de Jesus")</f>
        <v>Santo Antônio de Jesus</v>
      </c>
      <c r="Q278" s="27"/>
      <c r="R278" s="27" t="str">
        <f ca="1">IFERROR(__xludf.DUMMYFUNCTION("""COMPUTED_VALUE"""),"44430-574")</f>
        <v>44430-574</v>
      </c>
      <c r="S278" s="27" t="str">
        <f ca="1">IFERROR(__xludf.DUMMYFUNCTION("""COMPUTED_VALUE"""),"CSU Centro Social Urbano e Estação Cidadania (Praça Céus)")</f>
        <v>CSU Centro Social Urbano e Estação Cidadania (Praça Céus)</v>
      </c>
      <c r="T278" s="27"/>
      <c r="U278"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278" s="27" t="str">
        <f ca="1">IFERROR(__xludf.DUMMYFUNCTION("""COMPUTED_VALUE"""),"Moradores de Favelas, População LGBTQ+, Afrodescendentes, Outros")</f>
        <v>Moradores de Favelas, População LGBTQ+, Afrodescendentes, Outros</v>
      </c>
      <c r="W278" s="27">
        <f ca="1">IFERROR(__xludf.DUMMYFUNCTION("""COMPUTED_VALUE"""),10)</f>
        <v>10</v>
      </c>
      <c r="X278" s="27"/>
      <c r="Y278" s="27"/>
      <c r="Z278" s="27">
        <f ca="1">IFERROR(__xludf.DUMMYFUNCTION("""COMPUTED_VALUE"""),150)</f>
        <v>150</v>
      </c>
      <c r="AA278" s="29">
        <f ca="1">IFERROR(__xludf.DUMMYFUNCTION("""COMPUTED_VALUE"""),33929)</f>
        <v>33929</v>
      </c>
      <c r="AB278" s="27" t="str">
        <f ca="1">IFERROR(__xludf.DUMMYFUNCTION("""COMPUTED_VALUE"""),"Sim")</f>
        <v>Sim</v>
      </c>
      <c r="AC278" s="27">
        <f ca="1">IFERROR(__xludf.DUMMYFUNCTION("""COMPUTED_VALUE"""),0)</f>
        <v>0</v>
      </c>
      <c r="AD278" s="27">
        <f ca="1">IFERROR(__xludf.DUMMYFUNCTION("""COMPUTED_VALUE"""),7)</f>
        <v>7</v>
      </c>
      <c r="AE278" s="27">
        <f ca="1">IFERROR(__xludf.DUMMYFUNCTION("""COMPUTED_VALUE"""),10)</f>
        <v>10</v>
      </c>
      <c r="AF278" s="27">
        <f ca="1">IFERROR(__xludf.DUMMYFUNCTION("""COMPUTED_VALUE"""),5)</f>
        <v>5</v>
      </c>
      <c r="AG278" s="27">
        <f ca="1">IFERROR(__xludf.DUMMYFUNCTION("""COMPUTED_VALUE"""),6)</f>
        <v>6</v>
      </c>
      <c r="AH278" s="27" t="str">
        <f ca="1">IFERROR(__xludf.DUMMYFUNCTION("""COMPUTED_VALUE"""),"Eventos/Ações para captação, Parceria iniciativa privada, Editais, Outro(s), Doações, FIA")</f>
        <v>Eventos/Ações para captação, Parceria iniciativa privada, Editais, Outro(s), Doações, FIA</v>
      </c>
      <c r="AI278" s="27" t="str">
        <f ca="1">IFERROR(__xludf.DUMMYFUNCTION("""COMPUTED_VALUE"""),"5% Eventos/Ações para captação ; 55% Editais;  10% Outros; 20% Parcerias; 5% Doações; 5% FIA")</f>
        <v>5% Eventos/Ações para captação ; 55% Editais;  10% Outros; 20% Parcerias; 5% Doações; 5% FIA</v>
      </c>
      <c r="AJ278" s="27" t="str">
        <f ca="1">IFERROR(__xludf.DUMMYFUNCTION("""COMPUTED_VALUE"""),"Sim")</f>
        <v>Sim</v>
      </c>
      <c r="AK278" s="27"/>
      <c r="AL278" s="21" t="str">
        <f ca="1">IFERROR(__xludf.DUMMYFUNCTION("""COMPUTED_VALUE"""),"0034X0000380O0t")</f>
        <v>0034X0000380O0t</v>
      </c>
      <c r="AM278" s="27" t="str">
        <f ca="1">IFERROR(__xludf.DUMMYFUNCTION("""COMPUTED_VALUE"""),"Silva queiroz souza")</f>
        <v>Silva queiroz souza</v>
      </c>
      <c r="AN278" s="27" t="str">
        <f ca="1">IFERROR(__xludf.DUMMYFUNCTION("""COMPUTED_VALUE"""),"Ativo")</f>
        <v>Ativo</v>
      </c>
      <c r="AO278" s="29">
        <f ca="1">IFERROR(__xludf.DUMMYFUNCTION("""COMPUTED_VALUE"""),44763)</f>
        <v>44763</v>
      </c>
      <c r="AP278" s="27">
        <f ca="1">IFERROR(__xludf.DUMMYFUNCTION("""COMPUTED_VALUE"""),2)</f>
        <v>2</v>
      </c>
      <c r="AQ278" s="27" t="str">
        <f ca="1">IFERROR(__xludf.DUMMYFUNCTION("""COMPUTED_VALUE"""),"Primeiro Semestre 2022")</f>
        <v>Primeiro Semestre 2022</v>
      </c>
      <c r="AR278" s="27" t="str">
        <f ca="1">IFERROR(__xludf.DUMMYFUNCTION("""COMPUTED_VALUE"""),"lucilenesqueiroz.souza@gmail.com")</f>
        <v>lucilenesqueiroz.souza@gmail.com</v>
      </c>
      <c r="AS278" s="27">
        <f ca="1">IFERROR(__xludf.DUMMYFUNCTION("""COMPUTED_VALUE"""),75991103998)</f>
        <v>75991103998</v>
      </c>
      <c r="AT278" s="29">
        <f ca="1">IFERROR(__xludf.DUMMYFUNCTION("""COMPUTED_VALUE"""),27826)</f>
        <v>27826</v>
      </c>
      <c r="AU278" s="27">
        <f ca="1">IFERROR(__xludf.DUMMYFUNCTION("""COMPUTED_VALUE"""),46)</f>
        <v>46</v>
      </c>
      <c r="AV278" s="27">
        <f ca="1">IFERROR(__xludf.DUMMYFUNCTION("""COMPUTED_VALUE"""),95614036504)</f>
        <v>95614036504</v>
      </c>
      <c r="AW278" s="27" t="str">
        <f ca="1">IFERROR(__xludf.DUMMYFUNCTION("""COMPUTED_VALUE"""),"07.643.004-90")</f>
        <v>07.643.004-90</v>
      </c>
      <c r="AX278" s="27"/>
      <c r="AY278" s="27"/>
      <c r="AZ278" s="27" t="str">
        <f ca="1">IFERROR(__xludf.DUMMYFUNCTION("""COMPUTED_VALUE"""),"G")</f>
        <v>G</v>
      </c>
      <c r="BA278" s="27" t="str">
        <f ca="1">IFERROR(__xludf.DUMMYFUNCTION("""COMPUTED_VALUE"""),"Parda")</f>
        <v>Parda</v>
      </c>
      <c r="BB278" s="27"/>
      <c r="BC278" s="27"/>
      <c r="BD278" s="27" t="str">
        <f ca="1">IFERROR(__xludf.DUMMYFUNCTION("""COMPUTED_VALUE"""),"Lucilene* mulher parda* casada* mãe de 2 meninos lindos. Nascida na zona rural do município de Aratuípe Bahia. Filha de lavradores vim morar em Santo Antônio de Jesus aos 10 anos para iniciar meus estudos pois não tinha escola onde morava. Sou filha caçul"&amp;"a* sendo a 18ª dos filhos de Miguel e Lídia. Formada em Administração pela Universidade do Estado da Bahia (UNEB)* fui a primeira da família a concluir o ensino superior.  Aos 17 anos comecei meu trabalho social  numa favela do município* atuando na orien"&amp;"tação de meninas. Trabalho desde os 20 anos conciliando com os estudos. Meu esposo é Líder Social e fundador do GESCA a mais de 29 anos. A 15 anos casada* sempre colaborei no que pude com a OSC. Mas em 2015 meu esposo precisou se afastar da liderança do O"&amp;"SC e eu me envolvi mais diretamente. Sempre fui apaixonada por gente. Na minha profissão sempre trabalhei em setores que lidavam diretamente com público o que me ajudou a criar boas relações e a facilidade de lidar com o público. Fiz teatro 10 anos (dos 1"&amp;"5 aos 25 anos) o que foi um divisor na minha vida porque me ajudou a  vencer mais a timidez. Canto em Coral desde os 15 anos daí a minha paixão por música e por canto coral. Me afastei do trabalho por 2 anos para me dedicar a causa social e aprender como "&amp;"trazer transformação para a OSC da qual sou voluntária. Tem sido um tempo extraordinário. É maravilhoso ajudar pessoas* colaborar com a transformação de jovens e ver meninos e meninas que começaram conosco* hoje* seguindo uma carreira e mudando a sua real"&amp;"idade. Tenho aprendido muito nesse tempo e a cada dia me descobrindo. Amo o que faço e faço e porque amo.")</f>
        <v>Lucilene* mulher parda* casada* mãe de 2 meninos lindos. Nascida na zona rural do município de Aratuípe Bahia. Filha de lavradores vim morar em Santo Antônio de Jesus aos 10 anos para iniciar meus estudos pois não tinha escola onde morava. Sou filha caçula* sendo a 18ª dos filhos de Miguel e Lídia. Formada em Administração pela Universidade do Estado da Bahia (UNEB)* fui a primeira da família a concluir o ensino superior.  Aos 17 anos comecei meu trabalho social  numa favela do município* atuando na orientação de meninas. Trabalho desde os 20 anos conciliando com os estudos. Meu esposo é Líder Social e fundador do GESCA a mais de 29 anos. A 15 anos casada* sempre colaborei no que pude com a OSC. Mas em 2015 meu esposo precisou se afastar da liderança do OSC e eu me envolvi mais diretamente. Sempre fui apaixonada por gente. Na minha profissão sempre trabalhei em setores que lidavam diretamente com público o que me ajudou a criar boas relações e a facilidade de lidar com o público. Fiz teatro 10 anos (dos 15 aos 25 anos) o que foi um divisor na minha vida porque me ajudou a  vencer mais a timidez. Canto em Coral desde os 15 anos daí a minha paixão por música e por canto coral. Me afastei do trabalho por 2 anos para me dedicar a causa social e aprender como trazer transformação para a OSC da qual sou voluntária. Tem sido um tempo extraordinário. É maravilhoso ajudar pessoas* colaborar com a transformação de jovens e ver meninos e meninas que começaram conosco* hoje* seguindo uma carreira e mudando a sua realidade. Tenho aprendido muito nesse tempo e a cada dia me descobrindo. Amo o que faço e faço e porque amo.</v>
      </c>
      <c r="BE278" s="27" t="str">
        <f ca="1">IFERROR(__xludf.DUMMYFUNCTION("""COMPUTED_VALUE"""),"Feminino")</f>
        <v>Feminino</v>
      </c>
      <c r="BF278" s="27" t="str">
        <f ca="1">IFERROR(__xludf.DUMMYFUNCTION("""COMPUTED_VALUE"""),"Heterossexual")</f>
        <v>Heterossexual</v>
      </c>
      <c r="BG278" s="27"/>
      <c r="BH278" s="27" t="str">
        <f ca="1">IFERROR(__xludf.DUMMYFUNCTION("""COMPUTED_VALUE"""),"Público")</f>
        <v>Público</v>
      </c>
      <c r="BI278" s="27" t="str">
        <f ca="1">IFERROR(__xludf.DUMMYFUNCTION("""COMPUTED_VALUE"""),"Graduação")</f>
        <v>Graduação</v>
      </c>
      <c r="BJ278" s="27" t="str">
        <f ca="1">IFERROR(__xludf.DUMMYFUNCTION("""COMPUTED_VALUE"""),"Público")</f>
        <v>Público</v>
      </c>
      <c r="BK278" s="27" t="str">
        <f ca="1">IFERROR(__xludf.DUMMYFUNCTION("""COMPUTED_VALUE"""),"Rua Cabo Luiz Cesar do Rosário")</f>
        <v>Rua Cabo Luiz Cesar do Rosário</v>
      </c>
      <c r="BL278" s="27">
        <f ca="1">IFERROR(__xludf.DUMMYFUNCTION("""COMPUTED_VALUE"""),40)</f>
        <v>40</v>
      </c>
      <c r="BM278" s="27"/>
      <c r="BN278" s="27"/>
      <c r="BO278" s="27">
        <f ca="1">IFERROR(__xludf.DUMMYFUNCTION("""COMPUTED_VALUE"""),44442076)</f>
        <v>44442076</v>
      </c>
      <c r="BP278" s="27" t="str">
        <f ca="1">IFERROR(__xludf.DUMMYFUNCTION("""COMPUTED_VALUE"""),"BA")</f>
        <v>BA</v>
      </c>
      <c r="BQ278" s="27" t="str">
        <f ca="1">IFERROR(__xludf.DUMMYFUNCTION("""COMPUTED_VALUE"""),"Entre 1 até 3 salários mínimos")</f>
        <v>Entre 1 até 3 salários mínimos</v>
      </c>
      <c r="BR278" s="27" t="str">
        <f ca="1">IFERROR(__xludf.DUMMYFUNCTION("""COMPUTED_VALUE"""),"Trabalho informal")</f>
        <v>Trabalho informal</v>
      </c>
      <c r="BS278" s="27" t="str">
        <f ca="1">IFERROR(__xludf.DUMMYFUNCTION("""COMPUTED_VALUE"""),"Casa própria")</f>
        <v>Casa própria</v>
      </c>
      <c r="BT278" s="27">
        <f ca="1">IFERROR(__xludf.DUMMYFUNCTION("""COMPUTED_VALUE"""),4)</f>
        <v>4</v>
      </c>
      <c r="BU278" s="27" t="str">
        <f ca="1">IFERROR(__xludf.DUMMYFUNCTION("""COMPUTED_VALUE"""),"Não tem")</f>
        <v>Não tem</v>
      </c>
      <c r="BV278" s="27" t="str">
        <f ca="1">IFERROR(__xludf.DUMMYFUNCTION("""COMPUTED_VALUE"""),"Não")</f>
        <v>Não</v>
      </c>
      <c r="BW278" s="27"/>
      <c r="BX278" s="21" t="str">
        <f ca="1">IFERROR(__xludf.DUMMYFUNCTION("""COMPUTED_VALUE"""),"https://www.instagram.com/lucilene_queiroz_adm/")</f>
        <v>https://www.instagram.com/lucilene_queiroz_adm/</v>
      </c>
      <c r="BY278" s="21" t="str">
        <f ca="1">IFERROR(__xludf.DUMMYFUNCTION("""COMPUTED_VALUE"""),"https://drive.google.com/open?id=1qzgzznhG6K-pdYKrLKhu5c4n9mzB-A6O")</f>
        <v>https://drive.google.com/open?id=1qzgzznhG6K-pdYKrLKhu5c4n9mzB-A6O</v>
      </c>
    </row>
    <row r="279" spans="1:77" ht="12.5" hidden="1" x14ac:dyDescent="0.25">
      <c r="A279" s="21" t="str">
        <f ca="1">IFERROR(__xludf.DUMMYFUNCTION("""COMPUTED_VALUE"""),"0014X00002VKCt7QAH")</f>
        <v>0014X00002VKCt7QAH</v>
      </c>
      <c r="B279" s="27" t="str">
        <f ca="1">IFERROR(__xludf.DUMMYFUNCTION("""COMPUTED_VALUE"""),"Fase Inicial")</f>
        <v>Fase Inicial</v>
      </c>
      <c r="C279" s="27" t="str">
        <f ca="1">IFERROR(__xludf.DUMMYFUNCTION("""COMPUTED_VALUE"""),"Fellow")</f>
        <v>Fellow</v>
      </c>
      <c r="D279" s="27" t="str">
        <f ca="1">IFERROR(__xludf.DUMMYFUNCTION("""COMPUTED_VALUE"""),"Ativo")</f>
        <v>Ativo</v>
      </c>
      <c r="E279" s="27" t="str">
        <f ca="1">IFERROR(__xludf.DUMMYFUNCTION("""COMPUTED_VALUE"""),"GRAM Grupo de Apoio à Mulher")</f>
        <v>GRAM Grupo de Apoio à Mulher</v>
      </c>
      <c r="F279" s="27" t="str">
        <f ca="1">IFERROR(__xludf.DUMMYFUNCTION("""COMPUTED_VALUE"""),"Solange")</f>
        <v>Solange</v>
      </c>
      <c r="G279" s="27" t="str">
        <f ca="1">IFERROR(__xludf.DUMMYFUNCTION("""COMPUTED_VALUE"""),"GRAM GRUPO DE APOIO À MULHER")</f>
        <v>GRAM GRUPO DE APOIO À MULHER</v>
      </c>
      <c r="H279" s="27"/>
      <c r="I279" s="27" t="str">
        <f ca="1">IFERROR(__xludf.DUMMYFUNCTION("""COMPUTED_VALUE"""),"Solange Pires Revoredo")</f>
        <v>Solange Pires Revoredo</v>
      </c>
      <c r="J279" s="27" t="str">
        <f ca="1">IFERROR(__xludf.DUMMYFUNCTION("""COMPUTED_VALUE"""),"gramfalesconosco@gmail.com")</f>
        <v>gramfalesconosco@gmail.com</v>
      </c>
      <c r="K279" s="27" t="str">
        <f ca="1">IFERROR(__xludf.DUMMYFUNCTION("""COMPUTED_VALUE"""),"(21)96967-7721")</f>
        <v>(21)96967-7721</v>
      </c>
      <c r="L279" s="27" t="str">
        <f ca="1">IFERROR(__xludf.DUMMYFUNCTION("""COMPUTED_VALUE"""),"RJ")</f>
        <v>RJ</v>
      </c>
      <c r="M279" s="27" t="str">
        <f ca="1">IFERROR(__xludf.DUMMYFUNCTION("""COMPUTED_VALUE"""),"O GRAM  nao tem sede")</f>
        <v>O GRAM  nao tem sede</v>
      </c>
      <c r="N279" s="27" t="str">
        <f ca="1">IFERROR(__xludf.DUMMYFUNCTION("""COMPUTED_VALUE"""),"Nao temos sede")</f>
        <v>Nao temos sede</v>
      </c>
      <c r="O279" s="27">
        <f ca="1">IFERROR(__xludf.DUMMYFUNCTION("""COMPUTED_VALUE"""),39)</f>
        <v>39</v>
      </c>
      <c r="P279" s="27" t="str">
        <f ca="1">IFERROR(__xludf.DUMMYFUNCTION("""COMPUTED_VALUE"""),"Rio de Janeiro")</f>
        <v>Rio de Janeiro</v>
      </c>
      <c r="Q279" s="27"/>
      <c r="R279" s="27" t="str">
        <f ca="1">IFERROR(__xludf.DUMMYFUNCTION("""COMPUTED_VALUE"""),"21930-155")</f>
        <v>21930-155</v>
      </c>
      <c r="S279" s="27" t="str">
        <f ca="1">IFERROR(__xludf.DUMMYFUNCTION("""COMPUTED_VALUE"""),"O GRAM é virtual e itinerante")</f>
        <v>O GRAM é virtual e itinerante</v>
      </c>
      <c r="T279" s="27"/>
      <c r="U279" s="27" t="str">
        <f ca="1">IFERROR(__xludf.DUMMYFUNCTION("""COMPUTED_VALUE"""),"Jovens (18 aos 24 anos), Adultos")</f>
        <v>Jovens (18 aos 24 anos), Adultos</v>
      </c>
      <c r="V279" s="27" t="str">
        <f ca="1">IFERROR(__xludf.DUMMYFUNCTION("""COMPUTED_VALUE"""),"Moradores de Favelas, Afrodescendentes")</f>
        <v>Moradores de Favelas, Afrodescendentes</v>
      </c>
      <c r="W279" s="27">
        <f ca="1">IFERROR(__xludf.DUMMYFUNCTION("""COMPUTED_VALUE"""),2)</f>
        <v>2</v>
      </c>
      <c r="X279" s="27" t="str">
        <f ca="1">IFERROR(__xludf.DUMMYFUNCTION("""COMPUTED_VALUE"""),"Atendemos mulheres vítimas de violência")</f>
        <v>Atendemos mulheres vítimas de violência</v>
      </c>
      <c r="Y279" s="27"/>
      <c r="Z279" s="27">
        <f ca="1">IFERROR(__xludf.DUMMYFUNCTION("""COMPUTED_VALUE"""),120)</f>
        <v>120</v>
      </c>
      <c r="AA279" s="30">
        <f ca="1">IFERROR(__xludf.DUMMYFUNCTION("""COMPUTED_VALUE"""),40808)</f>
        <v>40808</v>
      </c>
      <c r="AB279" s="27" t="str">
        <f ca="1">IFERROR(__xludf.DUMMYFUNCTION("""COMPUTED_VALUE"""),"Não")</f>
        <v>Não</v>
      </c>
      <c r="AC279" s="27">
        <f ca="1">IFERROR(__xludf.DUMMYFUNCTION("""COMPUTED_VALUE"""),0)</f>
        <v>0</v>
      </c>
      <c r="AD279" s="27">
        <f ca="1">IFERROR(__xludf.DUMMYFUNCTION("""COMPUTED_VALUE"""),80)</f>
        <v>80</v>
      </c>
      <c r="AE279" s="27">
        <f ca="1">IFERROR(__xludf.DUMMYFUNCTION("""COMPUTED_VALUE"""),90)</f>
        <v>90</v>
      </c>
      <c r="AF279" s="27">
        <f ca="1">IFERROR(__xludf.DUMMYFUNCTION("""COMPUTED_VALUE"""),80)</f>
        <v>80</v>
      </c>
      <c r="AG279" s="27">
        <f ca="1">IFERROR(__xludf.DUMMYFUNCTION("""COMPUTED_VALUE"""),3)</f>
        <v>3</v>
      </c>
      <c r="AH279" s="27" t="str">
        <f ca="1">IFERROR(__xludf.DUMMYFUNCTION("""COMPUTED_VALUE"""),"Eventos/Ações para captação, Doações, Recursos próprios")</f>
        <v>Eventos/Ações para captação, Doações, Recursos próprios</v>
      </c>
      <c r="AI279" s="27">
        <f ca="1">IFERROR(__xludf.DUMMYFUNCTION("""COMPUTED_VALUE"""),0)</f>
        <v>0</v>
      </c>
      <c r="AJ279" s="27" t="str">
        <f ca="1">IFERROR(__xludf.DUMMYFUNCTION("""COMPUTED_VALUE"""),"Vamos iniciar esse ano")</f>
        <v>Vamos iniciar esse ano</v>
      </c>
      <c r="AK279" s="27"/>
      <c r="AL279" s="21" t="str">
        <f ca="1">IFERROR(__xludf.DUMMYFUNCTION("""COMPUTED_VALUE"""),"0034X0000380O2Q")</f>
        <v>0034X0000380O2Q</v>
      </c>
      <c r="AM279" s="27" t="str">
        <f ca="1">IFERROR(__xludf.DUMMYFUNCTION("""COMPUTED_VALUE"""),"Pires revoredo")</f>
        <v>Pires revoredo</v>
      </c>
      <c r="AN279" s="27" t="str">
        <f ca="1">IFERROR(__xludf.DUMMYFUNCTION("""COMPUTED_VALUE"""),"Ativo")</f>
        <v>Ativo</v>
      </c>
      <c r="AO279" s="27"/>
      <c r="AP279" s="27"/>
      <c r="AQ279" s="27" t="str">
        <f ca="1">IFERROR(__xludf.DUMMYFUNCTION("""COMPUTED_VALUE"""),"Primeiro Semestre 2022")</f>
        <v>Primeiro Semestre 2022</v>
      </c>
      <c r="AR279" s="27" t="str">
        <f ca="1">IFERROR(__xludf.DUMMYFUNCTION("""COMPUTED_VALUE"""),"solrevoredo@gmail.com")</f>
        <v>solrevoredo@gmail.com</v>
      </c>
      <c r="AS279" s="27" t="str">
        <f ca="1">IFERROR(__xludf.DUMMYFUNCTION("""COMPUTED_VALUE"""),"21969677721 e 21 996620619")</f>
        <v>21969677721 e 21 996620619</v>
      </c>
      <c r="AT279" s="29">
        <f ca="1">IFERROR(__xludf.DUMMYFUNCTION("""COMPUTED_VALUE"""),25726)</f>
        <v>25726</v>
      </c>
      <c r="AU279" s="27">
        <f ca="1">IFERROR(__xludf.DUMMYFUNCTION("""COMPUTED_VALUE"""),52)</f>
        <v>52</v>
      </c>
      <c r="AV279" s="27">
        <f ca="1">IFERROR(__xludf.DUMMYFUNCTION("""COMPUTED_VALUE"""),2720696714)</f>
        <v>2720696714</v>
      </c>
      <c r="AW279" s="27" t="str">
        <f ca="1">IFERROR(__xludf.DUMMYFUNCTION("""COMPUTED_VALUE"""),"083.490.64-9")</f>
        <v>083.490.64-9</v>
      </c>
      <c r="AX279" s="27"/>
      <c r="AY279" s="27"/>
      <c r="AZ279" s="27" t="str">
        <f ca="1">IFERROR(__xludf.DUMMYFUNCTION("""COMPUTED_VALUE"""),"G")</f>
        <v>G</v>
      </c>
      <c r="BA279" s="27" t="str">
        <f ca="1">IFERROR(__xludf.DUMMYFUNCTION("""COMPUTED_VALUE"""),"Preta")</f>
        <v>Preta</v>
      </c>
      <c r="BB279" s="27"/>
      <c r="BC279" s="27"/>
      <c r="BD279" s="27" t="str">
        <f ca="1">IFERROR(__xludf.DUMMYFUNCTION("""COMPUTED_VALUE"""),"Me chamo Solange Pires Revorêdo* mais me chamam de Sol do GRAM.
Pertenço a diáspora de Matrizes Africanas* carioca*  mãe de dois adolescentes Igor e Hugo*  afrodescendente* empreendedora social* sobrevivente de tentativa de feminicídio* militante e ativis"&amp;"ta no combate a violência contra a mulher e idealizadora do GRAM Grupo de Apoio a Mulher*  uma rede de apoio virtual a vítimas de violência onde reunimos no WhatsApp mais de 200  mulheres vítimas de violência em todo país* temos uma rede nacional de 81 pa"&amp;"rceiros voluntários (entre profissionais liberais e Ongs) para dar apoio jurídico* psicológico e social as assistidas da nossa rede de apoio.")</f>
        <v>Me chamo Solange Pires Revorêdo* mais me chamam de Sol do GRAM.
Pertenço a diáspora de Matrizes Africanas* carioca*  mãe de dois adolescentes Igor e Hugo*  afrodescendente* empreendedora social* sobrevivente de tentativa de feminicídio* militante e ativista no combate a violência contra a mulher e idealizadora do GRAM Grupo de Apoio a Mulher*  uma rede de apoio virtual a vítimas de violência onde reunimos no WhatsApp mais de 200  mulheres vítimas de violência em todo país* temos uma rede nacional de 81 parceiros voluntários (entre profissionais liberais e Ongs) para dar apoio jurídico* psicológico e social as assistidas da nossa rede de apoio.</v>
      </c>
      <c r="BE279" s="27" t="str">
        <f ca="1">IFERROR(__xludf.DUMMYFUNCTION("""COMPUTED_VALUE"""),"Feminino")</f>
        <v>Feminino</v>
      </c>
      <c r="BF279" s="27" t="str">
        <f ca="1">IFERROR(__xludf.DUMMYFUNCTION("""COMPUTED_VALUE"""),"Heterossexual")</f>
        <v>Heterossexual</v>
      </c>
      <c r="BG279" s="27"/>
      <c r="BH279" s="27" t="str">
        <f ca="1">IFERROR(__xludf.DUMMYFUNCTION("""COMPUTED_VALUE"""),"Público")</f>
        <v>Público</v>
      </c>
      <c r="BI279" s="27"/>
      <c r="BJ279" s="27"/>
      <c r="BK279" s="27" t="str">
        <f ca="1">IFERROR(__xludf.DUMMYFUNCTION("""COMPUTED_VALUE"""),"Praia do Zumbi  Casa 7")</f>
        <v>Praia do Zumbi  Casa 7</v>
      </c>
      <c r="BL279" s="27">
        <f ca="1">IFERROR(__xludf.DUMMYFUNCTION("""COMPUTED_VALUE"""),39)</f>
        <v>39</v>
      </c>
      <c r="BM279" s="27"/>
      <c r="BN279" s="27"/>
      <c r="BO279" s="27">
        <f ca="1">IFERROR(__xludf.DUMMYFUNCTION("""COMPUTED_VALUE"""),21930155)</f>
        <v>21930155</v>
      </c>
      <c r="BP279" s="27" t="str">
        <f ca="1">IFERROR(__xludf.DUMMYFUNCTION("""COMPUTED_VALUE"""),"RJ")</f>
        <v>RJ</v>
      </c>
      <c r="BQ279" s="27" t="str">
        <f ca="1">IFERROR(__xludf.DUMMYFUNCTION("""COMPUTED_VALUE"""),"De 3 até 5 salários mínimos")</f>
        <v>De 3 até 5 salários mínimos</v>
      </c>
      <c r="BR279" s="27" t="str">
        <f ca="1">IFERROR(__xludf.DUMMYFUNCTION("""COMPUTED_VALUE"""),"Desempregado")</f>
        <v>Desempregado</v>
      </c>
      <c r="BS279" s="27" t="str">
        <f ca="1">IFERROR(__xludf.DUMMYFUNCTION("""COMPUTED_VALUE"""),"Casa própria")</f>
        <v>Casa própria</v>
      </c>
      <c r="BT279" s="27">
        <f ca="1">IFERROR(__xludf.DUMMYFUNCTION("""COMPUTED_VALUE"""),3)</f>
        <v>3</v>
      </c>
      <c r="BU279" s="27" t="str">
        <f ca="1">IFERROR(__xludf.DUMMYFUNCTION("""COMPUTED_VALUE"""),"Não tem")</f>
        <v>Não tem</v>
      </c>
      <c r="BV279" s="27" t="str">
        <f ca="1">IFERROR(__xludf.DUMMYFUNCTION("""COMPUTED_VALUE"""),"Não")</f>
        <v>Não</v>
      </c>
      <c r="BW279" s="27"/>
      <c r="BX279" s="21" t="str">
        <f ca="1">IFERROR(__xludf.DUMMYFUNCTION("""COMPUTED_VALUE"""),"https://www.instagram.com/solrevoredo/")</f>
        <v>https://www.instagram.com/solrevoredo/</v>
      </c>
      <c r="BY279" s="21" t="str">
        <f ca="1">IFERROR(__xludf.DUMMYFUNCTION("""COMPUTED_VALUE"""),"https://drive.google.com/open?id=1-qUORzM0dfqwIkRyeX8lS50td8hES08B")</f>
        <v>https://drive.google.com/open?id=1-qUORzM0dfqwIkRyeX8lS50td8hES08B</v>
      </c>
    </row>
    <row r="280" spans="1:77" ht="12.5" hidden="1" x14ac:dyDescent="0.25">
      <c r="A280" s="21" t="str">
        <f ca="1">IFERROR(__xludf.DUMMYFUNCTION("""COMPUTED_VALUE"""),"0014P00003AN2FmQAL")</f>
        <v>0014P00003AN2FmQAL</v>
      </c>
      <c r="B280" s="27" t="str">
        <f ca="1">IFERROR(__xludf.DUMMYFUNCTION("""COMPUTED_VALUE"""),"Fase Avançada")</f>
        <v>Fase Avançada</v>
      </c>
      <c r="C280" s="27" t="str">
        <f ca="1">IFERROR(__xludf.DUMMYFUNCTION("""COMPUTED_VALUE"""),"Acelerada")</f>
        <v>Acelerada</v>
      </c>
      <c r="D280" s="27" t="str">
        <f ca="1">IFERROR(__xludf.DUMMYFUNCTION("""COMPUTED_VALUE"""),"Ativo")</f>
        <v>Ativo</v>
      </c>
      <c r="E280" s="27" t="str">
        <f ca="1">IFERROR(__xludf.DUMMYFUNCTION("""COMPUTED_VALUE"""),"Grupo Anjos da Tia Stellinha")</f>
        <v>Grupo Anjos da Tia Stellinha</v>
      </c>
      <c r="F280" s="27" t="str">
        <f ca="1">IFERROR(__xludf.DUMMYFUNCTION("""COMPUTED_VALUE"""),"Stella")</f>
        <v>Stella</v>
      </c>
      <c r="G280" s="27" t="str">
        <f ca="1">IFERROR(__xludf.DUMMYFUNCTION("""COMPUTED_VALUE"""),"ANJOS DA TIA STELLINHA")</f>
        <v>ANJOS DA TIA STELLINHA</v>
      </c>
      <c r="H280" s="27" t="str">
        <f ca="1">IFERROR(__xludf.DUMMYFUNCTION("""COMPUTED_VALUE"""),"27.481.838/0001-09")</f>
        <v>27.481.838/0001-09</v>
      </c>
      <c r="I280" s="27"/>
      <c r="J280" s="27" t="str">
        <f ca="1">IFERROR(__xludf.DUMMYFUNCTION("""COMPUTED_VALUE"""),"direcao@grupoanjosdatiastellinha.org.br")</f>
        <v>direcao@grupoanjosdatiastellinha.org.br</v>
      </c>
      <c r="K280" s="27" t="str">
        <f ca="1">IFERROR(__xludf.DUMMYFUNCTION("""COMPUTED_VALUE"""),"(21)96820-9843")</f>
        <v>(21)96820-9843</v>
      </c>
      <c r="L280" s="27" t="str">
        <f ca="1">IFERROR(__xludf.DUMMYFUNCTION("""COMPUTED_VALUE"""),"RJ")</f>
        <v>RJ</v>
      </c>
      <c r="M280" s="27" t="str">
        <f ca="1">IFERROR(__xludf.DUMMYFUNCTION("""COMPUTED_VALUE"""),"Avenida Engenheiro Richard 25")</f>
        <v>Avenida Engenheiro Richard 25</v>
      </c>
      <c r="N280" s="27"/>
      <c r="O280" s="27">
        <f ca="1">IFERROR(__xludf.DUMMYFUNCTION("""COMPUTED_VALUE"""),25)</f>
        <v>25</v>
      </c>
      <c r="P280" s="27" t="str">
        <f ca="1">IFERROR(__xludf.DUMMYFUNCTION("""COMPUTED_VALUE"""),"Rio de Janeiro")</f>
        <v>Rio de Janeiro</v>
      </c>
      <c r="Q280" s="27"/>
      <c r="R280" s="27" t="str">
        <f ca="1">IFERROR(__xludf.DUMMYFUNCTION("""COMPUTED_VALUE"""),"20561-092")</f>
        <v>20561-092</v>
      </c>
      <c r="S280" s="27"/>
      <c r="T280" s="27" t="str">
        <f ca="1">IFERROR(__xludf.DUMMYFUNCTION("""COMPUTED_VALUE"""),"Educação; Assistência Social; Cultura; Qualificação Profissional; Empreendedorismo; Empoderamento Feminino; Apoio à gestão de organizações de Terceiro Setor; Defesa de Direitos; Assistência Psicológica")</f>
        <v>Educação; Assistência Social; Cultura; Qualificação Profissional; Empreendedorismo; Empoderamento Feminino; Apoio à gestão de organizações de Terceiro Setor; Defesa de Direitos; Assistência Psicológica</v>
      </c>
      <c r="U280" s="27" t="str">
        <f ca="1">IFERROR(__xludf.DUMMYFUNCTION("""COMPUTED_VALUE"""),"Crianças (6 a 12 anos); Adolescentes (12 aos 18 anos); Jovens (18 aos 24 anos); Adultos")</f>
        <v>Crianças (6 a 12 anos); Adolescentes (12 aos 18 anos); Jovens (18 aos 24 anos); Adultos</v>
      </c>
      <c r="V280" s="27" t="str">
        <f ca="1">IFERROR(__xludf.DUMMYFUNCTION("""COMPUTED_VALUE"""),"Moradores de Favelas; Afrodescendentes; Dependentes Químicos")</f>
        <v>Moradores de Favelas; Afrodescendentes; Dependentes Químicos</v>
      </c>
      <c r="W280" s="27">
        <f ca="1">IFERROR(__xludf.DUMMYFUNCTION("""COMPUTED_VALUE"""),1)</f>
        <v>1</v>
      </c>
      <c r="X280" s="27" t="str">
        <f ca="1">IFERROR(__xludf.DUMMYFUNCTION("""COMPUTED_VALUE"""),"Famílias com a mulher como a chefe de família e seus filhos")</f>
        <v>Famílias com a mulher como a chefe de família e seus filhos</v>
      </c>
      <c r="Y280" s="27"/>
      <c r="Z280" s="27"/>
      <c r="AA280" s="29">
        <f ca="1">IFERROR(__xludf.DUMMYFUNCTION("""COMPUTED_VALUE"""),41736)</f>
        <v>41736</v>
      </c>
      <c r="AB280" s="27" t="str">
        <f ca="1">IFERROR(__xludf.DUMMYFUNCTION("""COMPUTED_VALUE"""),"Sim")</f>
        <v>Sim</v>
      </c>
      <c r="AC280" s="27">
        <f ca="1">IFERROR(__xludf.DUMMYFUNCTION("""COMPUTED_VALUE"""),30)</f>
        <v>30</v>
      </c>
      <c r="AD280" s="27">
        <f ca="1">IFERROR(__xludf.DUMMYFUNCTION("""COMPUTED_VALUE"""),5)</f>
        <v>5</v>
      </c>
      <c r="AE280" s="27">
        <f ca="1">IFERROR(__xludf.DUMMYFUNCTION("""COMPUTED_VALUE"""),20)</f>
        <v>20</v>
      </c>
      <c r="AF280" s="27">
        <f ca="1">IFERROR(__xludf.DUMMYFUNCTION("""COMPUTED_VALUE"""),20)</f>
        <v>20</v>
      </c>
      <c r="AG280" s="27">
        <f ca="1">IFERROR(__xludf.DUMMYFUNCTION("""COMPUTED_VALUE"""),5)</f>
        <v>5</v>
      </c>
      <c r="AH280" s="27" t="str">
        <f ca="1">IFERROR(__xludf.DUMMYFUNCTION("""COMPUTED_VALUE"""),"Plataforma doação online - Pessoa Física; Parceria iniciativa privada; Editais; Doações")</f>
        <v>Plataforma doação online - Pessoa Física; Parceria iniciativa privada; Editais; Doações</v>
      </c>
      <c r="AI280" s="27" t="str">
        <f ca="1">IFERROR(__xludf.DUMMYFUNCTION("""COMPUTED_VALUE"""),".")</f>
        <v>.</v>
      </c>
      <c r="AJ280" s="27" t="str">
        <f ca="1">IFERROR(__xludf.DUMMYFUNCTION("""COMPUTED_VALUE"""),"Não")</f>
        <v>Não</v>
      </c>
      <c r="AK280" s="27" t="str">
        <f ca="1">IFERROR(__xludf.DUMMYFUNCTION("""COMPUTED_VALUE"""),"Não")</f>
        <v>Não</v>
      </c>
      <c r="AL280" s="21" t="str">
        <f ca="1">IFERROR(__xludf.DUMMYFUNCTION("""COMPUTED_VALUE"""),"0034P00003maBVD")</f>
        <v>0034P00003maBVD</v>
      </c>
      <c r="AM280" s="27" t="str">
        <f ca="1">IFERROR(__xludf.DUMMYFUNCTION("""COMPUTED_VALUE"""),"Maris Monteiro Moraes")</f>
        <v>Maris Monteiro Moraes</v>
      </c>
      <c r="AN280" s="27" t="str">
        <f ca="1">IFERROR(__xludf.DUMMYFUNCTION("""COMPUTED_VALUE"""),"Ativo")</f>
        <v>Ativo</v>
      </c>
      <c r="AO280" s="29">
        <f ca="1">IFERROR(__xludf.DUMMYFUNCTION("""COMPUTED_VALUE"""),44285)</f>
        <v>44285</v>
      </c>
      <c r="AP280" s="27">
        <f ca="1">IFERROR(__xludf.DUMMYFUNCTION("""COMPUTED_VALUE"""),18)</f>
        <v>18</v>
      </c>
      <c r="AQ280" s="27" t="str">
        <f ca="1">IFERROR(__xludf.DUMMYFUNCTION("""COMPUTED_VALUE"""),"Segundo Semestre 2020")</f>
        <v>Segundo Semestre 2020</v>
      </c>
      <c r="AR280" s="27" t="str">
        <f ca="1">IFERROR(__xludf.DUMMYFUNCTION("""COMPUTED_VALUE"""),"direcao@grupoanjosdatiastellinha.org.br")</f>
        <v>direcao@grupoanjosdatiastellinha.org.br</v>
      </c>
      <c r="AS280" s="27" t="str">
        <f ca="1">IFERROR(__xludf.DUMMYFUNCTION("""COMPUTED_VALUE"""),"(21)96820-9843")</f>
        <v>(21)96820-9843</v>
      </c>
      <c r="AT280" s="29">
        <f ca="1">IFERROR(__xludf.DUMMYFUNCTION("""COMPUTED_VALUE"""),31165)</f>
        <v>31165</v>
      </c>
      <c r="AU280" s="27">
        <f ca="1">IFERROR(__xludf.DUMMYFUNCTION("""COMPUTED_VALUE"""),37)</f>
        <v>37</v>
      </c>
      <c r="AV280" s="27">
        <f ca="1">IFERROR(__xludf.DUMMYFUNCTION("""COMPUTED_VALUE"""),11370929714)</f>
        <v>11370929714</v>
      </c>
      <c r="AW280" s="27">
        <f ca="1">IFERROR(__xludf.DUMMYFUNCTION("""COMPUTED_VALUE"""),200486132)</f>
        <v>200486132</v>
      </c>
      <c r="AX280" s="27" t="str">
        <f ca="1">IFERROR(__xludf.DUMMYFUNCTION("""COMPUTED_VALUE"""),"Graduação em Serviço social- pós graduação em gestão de políticas públicas para a família- infância e juventude- pós graduação em elaboração e gestão de projetos sociais e pós graduação em direitos humanos- cidadania global e responsabilidade social")</f>
        <v>Graduação em Serviço social- pós graduação em gestão de políticas públicas para a família- infância e juventude- pós graduação em elaboração e gestão de projetos sociais e pós graduação em direitos humanos- cidadania global e responsabilidade social</v>
      </c>
      <c r="AY280" s="27"/>
      <c r="AZ280" s="27" t="str">
        <f ca="1">IFERROR(__xludf.DUMMYFUNCTION("""COMPUTED_VALUE"""),"P")</f>
        <v>P</v>
      </c>
      <c r="BA280" s="27"/>
      <c r="BB280" s="27"/>
      <c r="BC280" s="27" t="str">
        <f ca="1">IFERROR(__xludf.DUMMYFUNCTION("""COMPUTED_VALUE"""),"Sim")</f>
        <v>Sim</v>
      </c>
      <c r="BD280" s="27" t="str">
        <f ca="1">IFERROR(__xludf.DUMMYFUNCTION("""COMPUTED_VALUE"""),"Assistente social por formação, especialista em elaboração e gestão de projetos sociais, especialista em gestão de políticas públicas para a família, criança e adolescente, especialista em direitos humanos, cidadania global e responsabilidade social e mes"&amp;"tranda em desenvolvimento local. Fundadora e gestora da ONG Anjos da Tia Stellinha. Consultora e mentora do Terceiro setor e de responsabilidade social. E criadora de tecnologias sociais.")</f>
        <v>Assistente social por formação, especialista em elaboração e gestão de projetos sociais, especialista em gestão de políticas públicas para a família, criança e adolescente, especialista em direitos humanos, cidadania global e responsabilidade social e mestranda em desenvolvimento local. Fundadora e gestora da ONG Anjos da Tia Stellinha. Consultora e mentora do Terceiro setor e de responsabilidade social. E criadora de tecnologias sociais.</v>
      </c>
      <c r="BE280" s="27"/>
      <c r="BF280" s="27"/>
      <c r="BG280" s="27" t="str">
        <f ca="1">IFERROR(__xludf.DUMMYFUNCTION("""COMPUTED_VALUE"""),"Ensino Superior - Completo")</f>
        <v>Ensino Superior - Completo</v>
      </c>
      <c r="BH280" s="27"/>
      <c r="BI280" s="27" t="str">
        <f ca="1">IFERROR(__xludf.DUMMYFUNCTION("""COMPUTED_VALUE"""),"Mestrado")</f>
        <v>Mestrado</v>
      </c>
      <c r="BJ280" s="27" t="str">
        <f ca="1">IFERROR(__xludf.DUMMYFUNCTION("""COMPUTED_VALUE"""),"Privado")</f>
        <v>Privado</v>
      </c>
      <c r="BK280" s="27" t="str">
        <f ca="1">IFERROR(__xludf.DUMMYFUNCTION("""COMPUTED_VALUE"""),"Rua Leopoldino Bastos")</f>
        <v>Rua Leopoldino Bastos</v>
      </c>
      <c r="BL280" s="27">
        <f ca="1">IFERROR(__xludf.DUMMYFUNCTION("""COMPUTED_VALUE"""),130)</f>
        <v>130</v>
      </c>
      <c r="BM280" s="27" t="str">
        <f ca="1">IFERROR(__xludf.DUMMYFUNCTION("""COMPUTED_VALUE"""),"Bloco 2 apt 802")</f>
        <v>Bloco 2 apt 802</v>
      </c>
      <c r="BN280" s="27" t="str">
        <f ca="1">IFERROR(__xludf.DUMMYFUNCTION("""COMPUTED_VALUE"""),"Rio de Janeiro")</f>
        <v>Rio de Janeiro</v>
      </c>
      <c r="BO280" s="27" t="str">
        <f ca="1">IFERROR(__xludf.DUMMYFUNCTION("""COMPUTED_VALUE"""),"20715-200")</f>
        <v>20715-200</v>
      </c>
      <c r="BP280" s="27" t="str">
        <f ca="1">IFERROR(__xludf.DUMMYFUNCTION("""COMPUTED_VALUE"""),"RJ")</f>
        <v>RJ</v>
      </c>
      <c r="BQ280" s="27" t="str">
        <f ca="1">IFERROR(__xludf.DUMMYFUNCTION("""COMPUTED_VALUE"""),"Acima de 5 salários mínimos")</f>
        <v>Acima de 5 salários mínimos</v>
      </c>
      <c r="BR280" s="27" t="str">
        <f ca="1">IFERROR(__xludf.DUMMYFUNCTION("""COMPUTED_VALUE"""),"Funcionário Público")</f>
        <v>Funcionário Público</v>
      </c>
      <c r="BS280" s="27" t="str">
        <f ca="1">IFERROR(__xludf.DUMMYFUNCTION("""COMPUTED_VALUE"""),"Casa própria")</f>
        <v>Casa própria</v>
      </c>
      <c r="BT280" s="27">
        <f ca="1">IFERROR(__xludf.DUMMYFUNCTION("""COMPUTED_VALUE"""),7)</f>
        <v>7</v>
      </c>
      <c r="BU280" s="27"/>
      <c r="BV280" s="27"/>
      <c r="BW280" s="27" t="str">
        <f ca="1">IFERROR(__xludf.DUMMYFUNCTION("""COMPUTED_VALUE"""),"Stellinha Moraes")</f>
        <v>Stellinha Moraes</v>
      </c>
      <c r="BX280" s="27" t="str">
        <f ca="1">IFERROR(__xludf.DUMMYFUNCTION("""COMPUTED_VALUE"""),"Stellinha Moraes")</f>
        <v>Stellinha Moraes</v>
      </c>
      <c r="BY280" s="21" t="str">
        <f ca="1">IFERROR(__xludf.DUMMYFUNCTION("""COMPUTED_VALUE"""),"https://drive.google.com/open?id=160KSnZ325d9Gqzne1yqUQsimzYRWZtI2")</f>
        <v>https://drive.google.com/open?id=160KSnZ325d9Gqzne1yqUQsimzYRWZtI2</v>
      </c>
    </row>
    <row r="281" spans="1:77" ht="12.5" x14ac:dyDescent="0.25">
      <c r="A281" s="21" t="str">
        <f ca="1">IFERROR(__xludf.DUMMYFUNCTION("""COMPUTED_VALUE"""),"0014P00003YSp8MQAT")</f>
        <v>0014P00003YSp8MQAT</v>
      </c>
      <c r="B281" s="27" t="str">
        <f ca="1">IFERROR(__xludf.DUMMYFUNCTION("""COMPUTED_VALUE"""),"Fase Estruturação")</f>
        <v>Fase Estruturação</v>
      </c>
      <c r="C281" s="27" t="str">
        <f ca="1">IFERROR(__xludf.DUMMYFUNCTION("""COMPUTED_VALUE"""),"Fellow")</f>
        <v>Fellow</v>
      </c>
      <c r="D281" s="27" t="str">
        <f ca="1">IFERROR(__xludf.DUMMYFUNCTION("""COMPUTED_VALUE"""),"Ativo")</f>
        <v>Ativo</v>
      </c>
      <c r="E281" s="27" t="str">
        <f ca="1">IFERROR(__xludf.DUMMYFUNCTION("""COMPUTED_VALUE"""),"Grupo Central Cultura Urbana")</f>
        <v>Grupo Central Cultura Urbana</v>
      </c>
      <c r="F281" s="27" t="str">
        <f ca="1">IFERROR(__xludf.DUMMYFUNCTION("""COMPUTED_VALUE"""),"Fabrício")</f>
        <v>Fabrício</v>
      </c>
      <c r="G281" s="27"/>
      <c r="H281" s="27" t="str">
        <f ca="1">IFERROR(__xludf.DUMMYFUNCTION("""COMPUTED_VALUE"""),"14.434.311/0001-73")</f>
        <v>14.434.311/0001-73</v>
      </c>
      <c r="I281" s="27" t="str">
        <f ca="1">IFERROR(__xludf.DUMMYFUNCTION("""COMPUTED_VALUE"""),"Fabrício Silvestre de Oliveira")</f>
        <v>Fabrício Silvestre de Oliveira</v>
      </c>
      <c r="J281" s="27" t="str">
        <f ca="1">IFERROR(__xludf.DUMMYFUNCTION("""COMPUTED_VALUE"""),"contato@grupoculturaurbana.org")</f>
        <v>contato@grupoculturaurbana.org</v>
      </c>
      <c r="K281" s="27" t="str">
        <f ca="1">IFERROR(__xludf.DUMMYFUNCTION("""COMPUTED_VALUE"""),"(21)98072-8803")</f>
        <v>(21)98072-8803</v>
      </c>
      <c r="L281" s="27" t="str">
        <f ca="1">IFERROR(__xludf.DUMMYFUNCTION("""COMPUTED_VALUE"""),"RJ")</f>
        <v>RJ</v>
      </c>
      <c r="M281" s="27" t="str">
        <f ca="1">IFERROR(__xludf.DUMMYFUNCTION("""COMPUTED_VALUE"""),"Rua Godofredo Viana, 64")</f>
        <v>Rua Godofredo Viana, 64</v>
      </c>
      <c r="N281" s="27" t="str">
        <f ca="1">IFERROR(__xludf.DUMMYFUNCTION("""COMPUTED_VALUE"""),"Taquara")</f>
        <v>Taquara</v>
      </c>
      <c r="O281" s="27">
        <f ca="1">IFERROR(__xludf.DUMMYFUNCTION("""COMPUTED_VALUE"""),64)</f>
        <v>64</v>
      </c>
      <c r="P281" s="27" t="str">
        <f ca="1">IFERROR(__xludf.DUMMYFUNCTION("""COMPUTED_VALUE"""),"Rio de Janeiro")</f>
        <v>Rio de Janeiro</v>
      </c>
      <c r="Q281" s="27" t="str">
        <f ca="1">IFERROR(__xludf.DUMMYFUNCTION("""COMPUTED_VALUE"""),"Cine Teatro")</f>
        <v>Cine Teatro</v>
      </c>
      <c r="R281" s="27" t="str">
        <f ca="1">IFERROR(__xludf.DUMMYFUNCTION("""COMPUTED_VALUE"""),"22730-020")</f>
        <v>22730-020</v>
      </c>
      <c r="S281" s="27"/>
      <c r="T281" s="27" t="str">
        <f ca="1">IFERROR(__xludf.DUMMYFUNCTION("""COMPUTED_VALUE"""),"Cultura")</f>
        <v>Cultura</v>
      </c>
      <c r="U281" s="27" t="str">
        <f ca="1">IFERROR(__xludf.DUMMYFUNCTION("""COMPUTED_VALUE"""),"Crianças (6 a 12 anos); Adolescentes (12 aos 18 anos); Jovens (18 aos 24 anos); Adultos")</f>
        <v>Crianças (6 a 12 anos); Adolescentes (12 aos 18 anos); Jovens (18 aos 24 anos); Adultos</v>
      </c>
      <c r="V281" s="27" t="str">
        <f ca="1">IFERROR(__xludf.DUMMYFUNCTION("""COMPUTED_VALUE"""),"Moradores de Favelas")</f>
        <v>Moradores de Favelas</v>
      </c>
      <c r="W281" s="27">
        <f ca="1">IFERROR(__xludf.DUMMYFUNCTION("""COMPUTED_VALUE"""),6)</f>
        <v>6</v>
      </c>
      <c r="X281" s="27"/>
      <c r="Y281" s="27"/>
      <c r="Z281" s="27">
        <f ca="1">IFERROR(__xludf.DUMMYFUNCTION("""COMPUTED_VALUE"""),20000)</f>
        <v>20000</v>
      </c>
      <c r="AA281" s="29">
        <f ca="1">IFERROR(__xludf.DUMMYFUNCTION("""COMPUTED_VALUE"""),40704)</f>
        <v>40704</v>
      </c>
      <c r="AB281" s="27" t="str">
        <f ca="1">IFERROR(__xludf.DUMMYFUNCTION("""COMPUTED_VALUE"""),"Sim")</f>
        <v>Sim</v>
      </c>
      <c r="AC281" s="27">
        <f ca="1">IFERROR(__xludf.DUMMYFUNCTION("""COMPUTED_VALUE"""),15)</f>
        <v>15</v>
      </c>
      <c r="AD281" s="27">
        <f ca="1">IFERROR(__xludf.DUMMYFUNCTION("""COMPUTED_VALUE"""),10)</f>
        <v>10</v>
      </c>
      <c r="AE281" s="27">
        <f ca="1">IFERROR(__xludf.DUMMYFUNCTION("""COMPUTED_VALUE"""),15)</f>
        <v>15</v>
      </c>
      <c r="AF281" s="27">
        <f ca="1">IFERROR(__xludf.DUMMYFUNCTION("""COMPUTED_VALUE"""),15)</f>
        <v>15</v>
      </c>
      <c r="AG281" s="27">
        <f ca="1">IFERROR(__xludf.DUMMYFUNCTION("""COMPUTED_VALUE"""),2)</f>
        <v>2</v>
      </c>
      <c r="AH281" s="27" t="str">
        <f ca="1">IFERROR(__xludf.DUMMYFUNCTION("""COMPUTED_VALUE"""),"Parceria iniciativa privada; Lei Municipal da Cultura; Lei Federal do Esporte")</f>
        <v>Parceria iniciativa privada; Lei Municipal da Cultura; Lei Federal do Esporte</v>
      </c>
      <c r="AI281" s="27" t="str">
        <f ca="1">IFERROR(__xludf.DUMMYFUNCTION("""COMPUTED_VALUE"""),"Parceria privados (Itaú): 40%, Lei Municipal de Incentivo à Cultura: 30% Lei Federal de Incentivo ao Esporte: 30%")</f>
        <v>Parceria privados (Itaú): 40%, Lei Municipal de Incentivo à Cultura: 30% Lei Federal de Incentivo ao Esporte: 30%</v>
      </c>
      <c r="AJ281" s="27"/>
      <c r="AK281" s="27"/>
      <c r="AL281" s="21" t="str">
        <f ca="1">IFERROR(__xludf.DUMMYFUNCTION("""COMPUTED_VALUE"""),"0034P000045kxix")</f>
        <v>0034P000045kxix</v>
      </c>
      <c r="AM281" s="27" t="str">
        <f ca="1">IFERROR(__xludf.DUMMYFUNCTION("""COMPUTED_VALUE"""),"Silvestre De Oliveira")</f>
        <v>Silvestre De Oliveira</v>
      </c>
      <c r="AN281" s="27" t="str">
        <f ca="1">IFERROR(__xludf.DUMMYFUNCTION("""COMPUTED_VALUE"""),"Ativo")</f>
        <v>Ativo</v>
      </c>
      <c r="AO281" s="29">
        <f ca="1">IFERROR(__xludf.DUMMYFUNCTION("""COMPUTED_VALUE"""),44551)</f>
        <v>44551</v>
      </c>
      <c r="AP281" s="27">
        <f ca="1">IFERROR(__xludf.DUMMYFUNCTION("""COMPUTED_VALUE"""),9)</f>
        <v>9</v>
      </c>
      <c r="AQ281" s="27" t="str">
        <f ca="1">IFERROR(__xludf.DUMMYFUNCTION("""COMPUTED_VALUE"""),"Segundo Semestre 2021")</f>
        <v>Segundo Semestre 2021</v>
      </c>
      <c r="AR281" s="27" t="str">
        <f ca="1">IFERROR(__xludf.DUMMYFUNCTION("""COMPUTED_VALUE"""),"fabricio@grupoculturaurbana.org")</f>
        <v>fabricio@grupoculturaurbana.org</v>
      </c>
      <c r="AS281" s="27" t="str">
        <f ca="1">IFERROR(__xludf.DUMMYFUNCTION("""COMPUTED_VALUE"""),"(21)98072-8803")</f>
        <v>(21)98072-8803</v>
      </c>
      <c r="AT281" s="29">
        <f ca="1">IFERROR(__xludf.DUMMYFUNCTION("""COMPUTED_VALUE"""),31122)</f>
        <v>31122</v>
      </c>
      <c r="AU281" s="27">
        <f ca="1">IFERROR(__xludf.DUMMYFUNCTION("""COMPUTED_VALUE"""),37)</f>
        <v>37</v>
      </c>
      <c r="AV281" s="27">
        <f ca="1">IFERROR(__xludf.DUMMYFUNCTION("""COMPUTED_VALUE"""),705508161)</f>
        <v>705508161</v>
      </c>
      <c r="AW281" s="27">
        <f ca="1">IFERROR(__xludf.DUMMYFUNCTION("""COMPUTED_VALUE"""),270119274)</f>
        <v>270119274</v>
      </c>
      <c r="AX281" s="27"/>
      <c r="AY281" s="27"/>
      <c r="AZ281" s="27" t="str">
        <f ca="1">IFERROR(__xludf.DUMMYFUNCTION("""COMPUTED_VALUE"""),"M")</f>
        <v>M</v>
      </c>
      <c r="BA281" s="27" t="str">
        <f ca="1">IFERROR(__xludf.DUMMYFUNCTION("""COMPUTED_VALUE"""),"Branca")</f>
        <v>Branca</v>
      </c>
      <c r="BB281" s="27" t="str">
        <f ca="1">IFERROR(__xludf.DUMMYFUNCTION("""COMPUTED_VALUE"""),"Outro(s)")</f>
        <v>Outro(s)</v>
      </c>
      <c r="BC281" s="27" t="str">
        <f ca="1">IFERROR(__xludf.DUMMYFUNCTION("""COMPUTED_VALUE"""),"Sim")</f>
        <v>Sim</v>
      </c>
      <c r="BD281" s="27" t="str">
        <f ca="1">IFERROR(__xludf.DUMMYFUNCTION("""COMPUTED_VALUE"""),"Fabrício Silvestre, é um empreendedor social goiano que reside no Rio de Janeiro desde 2006. Foi no Rio que nasceu o desejo de promover a inclusão social através da arte e da cultura. Fundou a ONG Cultura Urbana e criou diversos projetos  que vem impactan"&amp;"do centenas de jovens cariocas.")</f>
        <v>Fabrício Silvestre, é um empreendedor social goiano que reside no Rio de Janeiro desde 2006. Foi no Rio que nasceu o desejo de promover a inclusão social através da arte e da cultura. Fundou a ONG Cultura Urbana e criou diversos projetos  que vem impactando centenas de jovens cariocas.</v>
      </c>
      <c r="BE281" s="27"/>
      <c r="BF281" s="27" t="str">
        <f ca="1">IFERROR(__xludf.DUMMYFUNCTION("""COMPUTED_VALUE"""),"Homossexual")</f>
        <v>Homossexual</v>
      </c>
      <c r="BG281" s="27" t="str">
        <f ca="1">IFERROR(__xludf.DUMMYFUNCTION("""COMPUTED_VALUE"""),"Ensino Superior - Incompleto")</f>
        <v>Ensino Superior - Incompleto</v>
      </c>
      <c r="BH281" s="27" t="str">
        <f ca="1">IFERROR(__xludf.DUMMYFUNCTION("""COMPUTED_VALUE"""),"Privado")</f>
        <v>Privado</v>
      </c>
      <c r="BI281" s="27" t="str">
        <f ca="1">IFERROR(__xludf.DUMMYFUNCTION("""COMPUTED_VALUE"""),"Graduação")</f>
        <v>Graduação</v>
      </c>
      <c r="BJ281" s="27" t="str">
        <f ca="1">IFERROR(__xludf.DUMMYFUNCTION("""COMPUTED_VALUE"""),"Privado")</f>
        <v>Privado</v>
      </c>
      <c r="BK281" s="27" t="str">
        <f ca="1">IFERROR(__xludf.DUMMYFUNCTION("""COMPUTED_VALUE"""),"Aroazes")</f>
        <v>Aroazes</v>
      </c>
      <c r="BL281" s="27">
        <f ca="1">IFERROR(__xludf.DUMMYFUNCTION("""COMPUTED_VALUE"""),672)</f>
        <v>672</v>
      </c>
      <c r="BM281" s="27" t="str">
        <f ca="1">IFERROR(__xludf.DUMMYFUNCTION("""COMPUTED_VALUE"""),"B 2 - Apt 1005")</f>
        <v>B 2 - Apt 1005</v>
      </c>
      <c r="BN281" s="27" t="str">
        <f ca="1">IFERROR(__xludf.DUMMYFUNCTION("""COMPUTED_VALUE"""),"Rio de Janeiro")</f>
        <v>Rio de Janeiro</v>
      </c>
      <c r="BO281" s="27" t="str">
        <f ca="1">IFERROR(__xludf.DUMMYFUNCTION("""COMPUTED_VALUE"""),"22775-060")</f>
        <v>22775-060</v>
      </c>
      <c r="BP281" s="27" t="str">
        <f ca="1">IFERROR(__xludf.DUMMYFUNCTION("""COMPUTED_VALUE"""),"RJ")</f>
        <v>RJ</v>
      </c>
      <c r="BQ281" s="27" t="str">
        <f ca="1">IFERROR(__xludf.DUMMYFUNCTION("""COMPUTED_VALUE"""),"De 3 até 5 salários mínimos")</f>
        <v>De 3 até 5 salários mínimos</v>
      </c>
      <c r="BR281" s="27" t="str">
        <f ca="1">IFERROR(__xludf.DUMMYFUNCTION("""COMPUTED_VALUE"""),"CLT")</f>
        <v>CLT</v>
      </c>
      <c r="BS281" s="27" t="str">
        <f ca="1">IFERROR(__xludf.DUMMYFUNCTION("""COMPUTED_VALUE"""),"Aluguel")</f>
        <v>Aluguel</v>
      </c>
      <c r="BT281" s="27">
        <f ca="1">IFERROR(__xludf.DUMMYFUNCTION("""COMPUTED_VALUE"""),2)</f>
        <v>2</v>
      </c>
      <c r="BU281" s="27" t="str">
        <f ca="1">IFERROR(__xludf.DUMMYFUNCTION("""COMPUTED_VALUE"""),"Não tem")</f>
        <v>Não tem</v>
      </c>
      <c r="BV281" s="27"/>
      <c r="BW281" s="21" t="str">
        <f ca="1">IFERROR(__xludf.DUMMYFUNCTION("""COMPUTED_VALUE"""),"https://br.linkedin.com/in/fabr%C3%ADcio-silvestre-94b35b20a")</f>
        <v>https://br.linkedin.com/in/fabr%C3%ADcio-silvestre-94b35b20a</v>
      </c>
      <c r="BX281" s="21" t="str">
        <f ca="1">IFERROR(__xludf.DUMMYFUNCTION("""COMPUTED_VALUE"""),"www.instagram.com/fabriciosilvestre")</f>
        <v>www.instagram.com/fabriciosilvestre</v>
      </c>
      <c r="BY281" s="21" t="str">
        <f ca="1">IFERROR(__xludf.DUMMYFUNCTION("""COMPUTED_VALUE"""),"https://drive.google.com/open?id=1n3xSctsNxYHgzB6nSco9yWYHAI3fAb6r")</f>
        <v>https://drive.google.com/open?id=1n3xSctsNxYHgzB6nSco9yWYHAI3fAb6r</v>
      </c>
    </row>
    <row r="282" spans="1:77" ht="12.5" x14ac:dyDescent="0.25">
      <c r="A282" s="21" t="str">
        <f ca="1">IFERROR(__xludf.DUMMYFUNCTION("""COMPUTED_VALUE"""),"0014X00002VKCqMQAX")</f>
        <v>0014X00002VKCqMQAX</v>
      </c>
      <c r="B282" s="27" t="str">
        <f ca="1">IFERROR(__xludf.DUMMYFUNCTION("""COMPUTED_VALUE"""),"Fase Inicial")</f>
        <v>Fase Inicial</v>
      </c>
      <c r="C282" s="27" t="str">
        <f ca="1">IFERROR(__xludf.DUMMYFUNCTION("""COMPUTED_VALUE"""),"Fellow")</f>
        <v>Fellow</v>
      </c>
      <c r="D282" s="27" t="str">
        <f ca="1">IFERROR(__xludf.DUMMYFUNCTION("""COMPUTED_VALUE"""),"Ativo")</f>
        <v>Ativo</v>
      </c>
      <c r="E282" s="27" t="str">
        <f ca="1">IFERROR(__xludf.DUMMYFUNCTION("""COMPUTED_VALUE"""),"Grupo Comunitário Semente da Esperança")</f>
        <v>Grupo Comunitário Semente da Esperança</v>
      </c>
      <c r="F282" s="27" t="str">
        <f ca="1">IFERROR(__xludf.DUMMYFUNCTION("""COMPUTED_VALUE"""),"Narlize")</f>
        <v>Narlize</v>
      </c>
      <c r="G282" s="27" t="str">
        <f ca="1">IFERROR(__xludf.DUMMYFUNCTION("""COMPUTED_VALUE"""),"GCSE")</f>
        <v>GCSE</v>
      </c>
      <c r="H282" s="27" t="str">
        <f ca="1">IFERROR(__xludf.DUMMYFUNCTION("""COMPUTED_VALUE"""),"69.382.455/0001-15")</f>
        <v>69.382.455/0001-15</v>
      </c>
      <c r="I282" s="27" t="str">
        <f ca="1">IFERROR(__xludf.DUMMYFUNCTION("""COMPUTED_VALUE"""),"Helena de Jesus dos Santos")</f>
        <v>Helena de Jesus dos Santos</v>
      </c>
      <c r="J282" s="27" t="str">
        <f ca="1">IFERROR(__xludf.DUMMYFUNCTION("""COMPUTED_VALUE"""),"gcse1992@gmail.com")</f>
        <v>gcse1992@gmail.com</v>
      </c>
      <c r="K282" s="27" t="str">
        <f ca="1">IFERROR(__xludf.DUMMYFUNCTION("""COMPUTED_VALUE"""),"(98)98426-1215")</f>
        <v>(98)98426-1215</v>
      </c>
      <c r="L282" s="27" t="str">
        <f ca="1">IFERROR(__xludf.DUMMYFUNCTION("""COMPUTED_VALUE"""),"MA")</f>
        <v>MA</v>
      </c>
      <c r="M282" s="27" t="str">
        <f ca="1">IFERROR(__xludf.DUMMYFUNCTION("""COMPUTED_VALUE"""),"Travessa Nossa Senhora Aparecida")</f>
        <v>Travessa Nossa Senhora Aparecida</v>
      </c>
      <c r="N282" s="27" t="str">
        <f ca="1">IFERROR(__xludf.DUMMYFUNCTION("""COMPUTED_VALUE"""),"Coroadinho")</f>
        <v>Coroadinho</v>
      </c>
      <c r="O282" s="27">
        <f ca="1">IFERROR(__xludf.DUMMYFUNCTION("""COMPUTED_VALUE"""),13)</f>
        <v>13</v>
      </c>
      <c r="P282" s="27" t="str">
        <f ca="1">IFERROR(__xludf.DUMMYFUNCTION("""COMPUTED_VALUE"""),"São Luís")</f>
        <v>São Luís</v>
      </c>
      <c r="Q282" s="27"/>
      <c r="R282" s="27" t="str">
        <f ca="1">IFERROR(__xludf.DUMMYFUNCTION("""COMPUTED_VALUE"""),"65040-882")</f>
        <v>65040-882</v>
      </c>
      <c r="S282" s="27"/>
      <c r="T282" s="27"/>
      <c r="U282"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282" s="27" t="str">
        <f ca="1">IFERROR(__xludf.DUMMYFUNCTION("""COMPUTED_VALUE"""),"Moradores de Favelas, Afrodescendentes")</f>
        <v>Moradores de Favelas, Afrodescendentes</v>
      </c>
      <c r="W282" s="27">
        <f ca="1">IFERROR(__xludf.DUMMYFUNCTION("""COMPUTED_VALUE"""),4)</f>
        <v>4</v>
      </c>
      <c r="X282" s="27"/>
      <c r="Y282" s="27"/>
      <c r="Z282" s="27">
        <f ca="1">IFERROR(__xludf.DUMMYFUNCTION("""COMPUTED_VALUE"""),98)</f>
        <v>98</v>
      </c>
      <c r="AA282" s="29">
        <f ca="1">IFERROR(__xludf.DUMMYFUNCTION("""COMPUTED_VALUE"""),33860)</f>
        <v>33860</v>
      </c>
      <c r="AB282" s="27" t="str">
        <f ca="1">IFERROR(__xludf.DUMMYFUNCTION("""COMPUTED_VALUE"""),"Sim")</f>
        <v>Sim</v>
      </c>
      <c r="AC282" s="27">
        <f ca="1">IFERROR(__xludf.DUMMYFUNCTION("""COMPUTED_VALUE"""),2)</f>
        <v>2</v>
      </c>
      <c r="AD282" s="27">
        <f ca="1">IFERROR(__xludf.DUMMYFUNCTION("""COMPUTED_VALUE"""),0)</f>
        <v>0</v>
      </c>
      <c r="AE282" s="27">
        <f ca="1">IFERROR(__xludf.DUMMYFUNCTION("""COMPUTED_VALUE"""),1)</f>
        <v>1</v>
      </c>
      <c r="AF282" s="27">
        <f ca="1">IFERROR(__xludf.DUMMYFUNCTION("""COMPUTED_VALUE"""),1)</f>
        <v>1</v>
      </c>
      <c r="AG282" s="27">
        <f ca="1">IFERROR(__xludf.DUMMYFUNCTION("""COMPUTED_VALUE"""),3)</f>
        <v>3</v>
      </c>
      <c r="AH282" s="27" t="str">
        <f ca="1">IFERROR(__xludf.DUMMYFUNCTION("""COMPUTED_VALUE"""),"Convênio Público, Editais, Lei Municipal da Cultura")</f>
        <v>Convênio Público, Editais, Lei Municipal da Cultura</v>
      </c>
      <c r="AI282" s="27">
        <f ca="1">IFERROR(__xludf.DUMMYFUNCTION("""COMPUTED_VALUE"""),50)</f>
        <v>50</v>
      </c>
      <c r="AJ282" s="27" t="str">
        <f ca="1">IFERROR(__xludf.DUMMYFUNCTION("""COMPUTED_VALUE"""),"Sim")</f>
        <v>Sim</v>
      </c>
      <c r="AK282" s="27"/>
      <c r="AL282" s="21" t="str">
        <f ca="1">IFERROR(__xludf.DUMMYFUNCTION("""COMPUTED_VALUE"""),"0034X0000380O4q")</f>
        <v>0034X0000380O4q</v>
      </c>
      <c r="AM282" s="27" t="str">
        <f ca="1">IFERROR(__xludf.DUMMYFUNCTION("""COMPUTED_VALUE"""),"Costa fonseca")</f>
        <v>Costa fonseca</v>
      </c>
      <c r="AN282" s="27" t="str">
        <f ca="1">IFERROR(__xludf.DUMMYFUNCTION("""COMPUTED_VALUE"""),"Ativo")</f>
        <v>Ativo</v>
      </c>
      <c r="AO282" s="27"/>
      <c r="AP282" s="27"/>
      <c r="AQ282" s="27" t="str">
        <f ca="1">IFERROR(__xludf.DUMMYFUNCTION("""COMPUTED_VALUE"""),"Primeiro Semestre 2022")</f>
        <v>Primeiro Semestre 2022</v>
      </c>
      <c r="AR282" s="27" t="str">
        <f ca="1">IFERROR(__xludf.DUMMYFUNCTION("""COMPUTED_VALUE"""),"narlize30@gmail.com")</f>
        <v>narlize30@gmail.com</v>
      </c>
      <c r="AS282" s="27">
        <f ca="1">IFERROR(__xludf.DUMMYFUNCTION("""COMPUTED_VALUE"""),98987159149)</f>
        <v>98987159149</v>
      </c>
      <c r="AT282" s="29">
        <f ca="1">IFERROR(__xludf.DUMMYFUNCTION("""COMPUTED_VALUE"""),30371)</f>
        <v>30371</v>
      </c>
      <c r="AU282" s="27">
        <f ca="1">IFERROR(__xludf.DUMMYFUNCTION("""COMPUTED_VALUE"""),39)</f>
        <v>39</v>
      </c>
      <c r="AV282" s="27">
        <f ca="1">IFERROR(__xludf.DUMMYFUNCTION("""COMPUTED_VALUE"""),52333302)</f>
        <v>52333302</v>
      </c>
      <c r="AW282" s="27">
        <f ca="1">IFERROR(__xludf.DUMMYFUNCTION("""COMPUTED_VALUE"""),180743520010)</f>
        <v>180743520010</v>
      </c>
      <c r="AX282" s="27"/>
      <c r="AY282" s="27"/>
      <c r="AZ282" s="27" t="str">
        <f ca="1">IFERROR(__xludf.DUMMYFUNCTION("""COMPUTED_VALUE"""),"G")</f>
        <v>G</v>
      </c>
      <c r="BA282" s="27" t="str">
        <f ca="1">IFERROR(__xludf.DUMMYFUNCTION("""COMPUTED_VALUE"""),"Preta")</f>
        <v>Preta</v>
      </c>
      <c r="BB282" s="27"/>
      <c r="BC282" s="27"/>
      <c r="BD282" s="27" t="str">
        <f ca="1">IFERROR(__xludf.DUMMYFUNCTION("""COMPUTED_VALUE"""),"Sou formada em Pedagogia a 10 anos* lecionei por 5 anos series inicias. Atuo como mediadora de leitura na Biblioteca Comunitária Semente Literária* da Rede Ilha Literária de São Luís (MA). Milito na área de políticas públicas para o livro no município de "&amp;"São Luís")</f>
        <v>Sou formada em Pedagogia a 10 anos* lecionei por 5 anos series inicias. Atuo como mediadora de leitura na Biblioteca Comunitária Semente Literária* da Rede Ilha Literária de São Luís (MA). Milito na área de políticas públicas para o livro no município de São Luís</v>
      </c>
      <c r="BE282" s="27" t="str">
        <f ca="1">IFERROR(__xludf.DUMMYFUNCTION("""COMPUTED_VALUE"""),"Feminino")</f>
        <v>Feminino</v>
      </c>
      <c r="BF282" s="27" t="str">
        <f ca="1">IFERROR(__xludf.DUMMYFUNCTION("""COMPUTED_VALUE"""),"Bissexual")</f>
        <v>Bissexual</v>
      </c>
      <c r="BG282" s="27"/>
      <c r="BH282" s="27" t="str">
        <f ca="1">IFERROR(__xludf.DUMMYFUNCTION("""COMPUTED_VALUE"""),"Privado")</f>
        <v>Privado</v>
      </c>
      <c r="BI282" s="27" t="str">
        <f ca="1">IFERROR(__xludf.DUMMYFUNCTION("""COMPUTED_VALUE"""),"Pós-Graduação")</f>
        <v>Pós-Graduação</v>
      </c>
      <c r="BJ282" s="27" t="str">
        <f ca="1">IFERROR(__xludf.DUMMYFUNCTION("""COMPUTED_VALUE"""),"Privado")</f>
        <v>Privado</v>
      </c>
      <c r="BK282" s="27" t="str">
        <f ca="1">IFERROR(__xludf.DUMMYFUNCTION("""COMPUTED_VALUE"""),"Rua Goverdanor Epitacio Cafeteira")</f>
        <v>Rua Goverdanor Epitacio Cafeteira</v>
      </c>
      <c r="BL282" s="27">
        <f ca="1">IFERROR(__xludf.DUMMYFUNCTION("""COMPUTED_VALUE"""),1)</f>
        <v>1</v>
      </c>
      <c r="BM282" s="27"/>
      <c r="BN282" s="27"/>
      <c r="BO282" s="27" t="str">
        <f ca="1">IFERROR(__xludf.DUMMYFUNCTION("""COMPUTED_VALUE"""),"65044-030")</f>
        <v>65044-030</v>
      </c>
      <c r="BP282" s="27" t="str">
        <f ca="1">IFERROR(__xludf.DUMMYFUNCTION("""COMPUTED_VALUE"""),"MA")</f>
        <v>MA</v>
      </c>
      <c r="BQ282" s="27" t="str">
        <f ca="1">IFERROR(__xludf.DUMMYFUNCTION("""COMPUTED_VALUE"""),"Entre 1 até 3 salários mínimos")</f>
        <v>Entre 1 até 3 salários mínimos</v>
      </c>
      <c r="BR282" s="27" t="str">
        <f ca="1">IFERROR(__xludf.DUMMYFUNCTION("""COMPUTED_VALUE"""),"Desempregado")</f>
        <v>Desempregado</v>
      </c>
      <c r="BS282" s="27" t="str">
        <f ca="1">IFERROR(__xludf.DUMMYFUNCTION("""COMPUTED_VALUE"""),"Aluguel")</f>
        <v>Aluguel</v>
      </c>
      <c r="BT282" s="27">
        <f ca="1">IFERROR(__xludf.DUMMYFUNCTION("""COMPUTED_VALUE"""),2)</f>
        <v>2</v>
      </c>
      <c r="BU282" s="27" t="str">
        <f ca="1">IFERROR(__xludf.DUMMYFUNCTION("""COMPUTED_VALUE"""),"Não tem")</f>
        <v>Não tem</v>
      </c>
      <c r="BV282" s="27" t="str">
        <f ca="1">IFERROR(__xludf.DUMMYFUNCTION("""COMPUTED_VALUE"""),"Não")</f>
        <v>Não</v>
      </c>
      <c r="BW282" s="21" t="str">
        <f ca="1">IFERROR(__xludf.DUMMYFUNCTION("""COMPUTED_VALUE"""),"www.linkedin.com/in/narlize-costa-fonseca-0b78651b7")</f>
        <v>www.linkedin.com/in/narlize-costa-fonseca-0b78651b7</v>
      </c>
      <c r="BX282" s="21" t="str">
        <f ca="1">IFERROR(__xludf.DUMMYFUNCTION("""COMPUTED_VALUE"""),"https://www.instagram.com/narlizecf34/")</f>
        <v>https://www.instagram.com/narlizecf34/</v>
      </c>
      <c r="BY282" s="21" t="str">
        <f ca="1">IFERROR(__xludf.DUMMYFUNCTION("""COMPUTED_VALUE"""),"https://drive.google.com/open?id=1RwiVosia2vn_uvKa8peUmPVynYuF6tr8")</f>
        <v>https://drive.google.com/open?id=1RwiVosia2vn_uvKa8peUmPVynYuF6tr8</v>
      </c>
    </row>
    <row r="283" spans="1:77" ht="12.5" hidden="1" x14ac:dyDescent="0.25">
      <c r="A283" s="21" t="str">
        <f ca="1">IFERROR(__xludf.DUMMYFUNCTION("""COMPUTED_VALUE"""),"0014X00002VKCtVQAX")</f>
        <v>0014X00002VKCtVQAX</v>
      </c>
      <c r="B283" s="27" t="str">
        <f ca="1">IFERROR(__xludf.DUMMYFUNCTION("""COMPUTED_VALUE"""),"Fase Inicial")</f>
        <v>Fase Inicial</v>
      </c>
      <c r="C283" s="27" t="str">
        <f ca="1">IFERROR(__xludf.DUMMYFUNCTION("""COMPUTED_VALUE"""),"Fellow")</f>
        <v>Fellow</v>
      </c>
      <c r="D283" s="27" t="str">
        <f ca="1">IFERROR(__xludf.DUMMYFUNCTION("""COMPUTED_VALUE"""),"Ativo")</f>
        <v>Ativo</v>
      </c>
      <c r="E283" s="27" t="str">
        <f ca="1">IFERROR(__xludf.DUMMYFUNCTION("""COMPUTED_VALUE"""),"GRUPO CULTURAL ARTD'RUA")</f>
        <v>GRUPO CULTURAL ARTD'RUA</v>
      </c>
      <c r="F283" s="27" t="str">
        <f ca="1">IFERROR(__xludf.DUMMYFUNCTION("""COMPUTED_VALUE"""),"Luciano")</f>
        <v>Luciano</v>
      </c>
      <c r="G283" s="27" t="str">
        <f ca="1">IFERROR(__xludf.DUMMYFUNCTION("""COMPUTED_VALUE"""),"GRUPO CULTURAL ARTD'RUA")</f>
        <v>GRUPO CULTURAL ARTD'RUA</v>
      </c>
      <c r="H283" s="27"/>
      <c r="I283" s="27" t="str">
        <f ca="1">IFERROR(__xludf.DUMMYFUNCTION("""COMPUTED_VALUE"""),"Luciano Inácio Tavares")</f>
        <v>Luciano Inácio Tavares</v>
      </c>
      <c r="J283" s="27"/>
      <c r="K283" s="27" t="str">
        <f ca="1">IFERROR(__xludf.DUMMYFUNCTION("""COMPUTED_VALUE"""),"(84)98823-1176")</f>
        <v>(84)98823-1176</v>
      </c>
      <c r="L283" s="27" t="str">
        <f ca="1">IFERROR(__xludf.DUMMYFUNCTION("""COMPUTED_VALUE"""),"RN")</f>
        <v>RN</v>
      </c>
      <c r="M283" s="27" t="str">
        <f ca="1">IFERROR(__xludf.DUMMYFUNCTION("""COMPUTED_VALUE"""),"SEGUNDA TRAVESSA PRESIDENTE MÉDICI")</f>
        <v>SEGUNDA TRAVESSA PRESIDENTE MÉDICI</v>
      </c>
      <c r="N283" s="27" t="str">
        <f ca="1">IFERROR(__xludf.DUMMYFUNCTION("""COMPUTED_VALUE"""),"IGAPÓ")</f>
        <v>IGAPÓ</v>
      </c>
      <c r="O283" s="27" t="str">
        <f ca="1">IFERROR(__xludf.DUMMYFUNCTION("""COMPUTED_VALUE"""),"(84)988231176")</f>
        <v>(84)988231176</v>
      </c>
      <c r="P283" s="27" t="str">
        <f ca="1">IFERROR(__xludf.DUMMYFUNCTION("""COMPUTED_VALUE"""),"NATAL")</f>
        <v>NATAL</v>
      </c>
      <c r="Q283" s="27"/>
      <c r="R283" s="27" t="str">
        <f ca="1">IFERROR(__xludf.DUMMYFUNCTION("""COMPUTED_VALUE"""),"59106-014")</f>
        <v>59106-014</v>
      </c>
      <c r="S283" s="27"/>
      <c r="T283" s="27"/>
      <c r="U283" s="27" t="str">
        <f ca="1">IFERROR(__xludf.DUMMYFUNCTION("""COMPUTED_VALUE"""),"Adolescentes (12 aos 18 anos)")</f>
        <v>Adolescentes (12 aos 18 anos)</v>
      </c>
      <c r="V283" s="27" t="str">
        <f ca="1">IFERROR(__xludf.DUMMYFUNCTION("""COMPUTED_VALUE"""),"Moradores de Favelas")</f>
        <v>Moradores de Favelas</v>
      </c>
      <c r="W283" s="27">
        <f ca="1">IFERROR(__xludf.DUMMYFUNCTION("""COMPUTED_VALUE"""),2)</f>
        <v>2</v>
      </c>
      <c r="X283" s="27"/>
      <c r="Y283" s="27"/>
      <c r="Z283" s="27">
        <f ca="1">IFERROR(__xludf.DUMMYFUNCTION("""COMPUTED_VALUE"""),37)</f>
        <v>37</v>
      </c>
      <c r="AA283" s="29">
        <f ca="1">IFERROR(__xludf.DUMMYFUNCTION("""COMPUTED_VALUE"""),38088)</f>
        <v>38088</v>
      </c>
      <c r="AB283" s="27" t="str">
        <f ca="1">IFERROR(__xludf.DUMMYFUNCTION("""COMPUTED_VALUE"""),"Sim")</f>
        <v>Sim</v>
      </c>
      <c r="AC283" s="27">
        <f ca="1">IFERROR(__xludf.DUMMYFUNCTION("""COMPUTED_VALUE"""),8)</f>
        <v>8</v>
      </c>
      <c r="AD283" s="27">
        <f ca="1">IFERROR(__xludf.DUMMYFUNCTION("""COMPUTED_VALUE"""),4)</f>
        <v>4</v>
      </c>
      <c r="AE283" s="27">
        <f ca="1">IFERROR(__xludf.DUMMYFUNCTION("""COMPUTED_VALUE"""),8)</f>
        <v>8</v>
      </c>
      <c r="AF283" s="27">
        <f ca="1">IFERROR(__xludf.DUMMYFUNCTION("""COMPUTED_VALUE"""),6)</f>
        <v>6</v>
      </c>
      <c r="AG283" s="27">
        <f ca="1">IFERROR(__xludf.DUMMYFUNCTION("""COMPUTED_VALUE"""),2)</f>
        <v>2</v>
      </c>
      <c r="AH283" s="27" t="str">
        <f ca="1">IFERROR(__xludf.DUMMYFUNCTION("""COMPUTED_VALUE"""),"Recursos próprios")</f>
        <v>Recursos próprios</v>
      </c>
      <c r="AI283" s="27" t="str">
        <f ca="1">IFERROR(__xludf.DUMMYFUNCTION("""COMPUTED_VALUE"""),"0.25")</f>
        <v>0.25</v>
      </c>
      <c r="AJ283" s="27" t="str">
        <f ca="1">IFERROR(__xludf.DUMMYFUNCTION("""COMPUTED_VALUE"""),"Não")</f>
        <v>Não</v>
      </c>
      <c r="AK283" s="27"/>
      <c r="AL283" s="21" t="str">
        <f ca="1">IFERROR(__xludf.DUMMYFUNCTION("""COMPUTED_VALUE"""),"0034X0000380O1w")</f>
        <v>0034X0000380O1w</v>
      </c>
      <c r="AM283" s="27" t="str">
        <f ca="1">IFERROR(__xludf.DUMMYFUNCTION("""COMPUTED_VALUE"""),"Inácio tavares")</f>
        <v>Inácio tavares</v>
      </c>
      <c r="AN283" s="27" t="str">
        <f ca="1">IFERROR(__xludf.DUMMYFUNCTION("""COMPUTED_VALUE"""),"Ativo")</f>
        <v>Ativo</v>
      </c>
      <c r="AO283" s="27"/>
      <c r="AP283" s="27"/>
      <c r="AQ283" s="27" t="str">
        <f ca="1">IFERROR(__xludf.DUMMYFUNCTION("""COMPUTED_VALUE"""),"Primeiro Semestre 2022")</f>
        <v>Primeiro Semestre 2022</v>
      </c>
      <c r="AR283" s="27" t="str">
        <f ca="1">IFERROR(__xludf.DUMMYFUNCTION("""COMPUTED_VALUE"""),"lucianoadrcrew@gmail.com")</f>
        <v>lucianoadrcrew@gmail.com</v>
      </c>
      <c r="AS283" s="27" t="str">
        <f ca="1">IFERROR(__xludf.DUMMYFUNCTION("""COMPUTED_VALUE"""),"(84)98823-1176")</f>
        <v>(84)98823-1176</v>
      </c>
      <c r="AT283" s="29">
        <f ca="1">IFERROR(__xludf.DUMMYFUNCTION("""COMPUTED_VALUE"""),28510)</f>
        <v>28510</v>
      </c>
      <c r="AU283" s="27">
        <f ca="1">IFERROR(__xludf.DUMMYFUNCTION("""COMPUTED_VALUE"""),44)</f>
        <v>44</v>
      </c>
      <c r="AV283" s="27">
        <f ca="1">IFERROR(__xludf.DUMMYFUNCTION("""COMPUTED_VALUE"""),2687394475)</f>
        <v>2687394475</v>
      </c>
      <c r="AW283" s="27">
        <f ca="1">IFERROR(__xludf.DUMMYFUNCTION("""COMPUTED_VALUE"""),1621466)</f>
        <v>1621466</v>
      </c>
      <c r="AX283" s="27"/>
      <c r="AY283" s="27" t="str">
        <f ca="1">IFERROR(__xludf.DUMMYFUNCTION("""COMPUTED_VALUE"""),"Presidente")</f>
        <v>Presidente</v>
      </c>
      <c r="AZ283" s="27" t="str">
        <f ca="1">IFERROR(__xludf.DUMMYFUNCTION("""COMPUTED_VALUE"""),"M")</f>
        <v>M</v>
      </c>
      <c r="BA283" s="27" t="str">
        <f ca="1">IFERROR(__xludf.DUMMYFUNCTION("""COMPUTED_VALUE"""),"Parda")</f>
        <v>Parda</v>
      </c>
      <c r="BB283" s="27"/>
      <c r="BC283" s="27"/>
      <c r="BD283" s="27" t="str">
        <f ca="1">IFERROR(__xludf.DUMMYFUNCTION("""COMPUTED_VALUE"""),"Luciano I Tavares
Ensino Superior: Educação Física - Especialista
o meu contato com a dança iniciou no ano de 1998 na comunidade de Mãe Luiza, bairro periférico da cidade do Natal, atuando como dançarino até 2003. Em 11 de abril de 2004, ano da fundado o"&amp;" grupo Art D'Rua, intitulado Amigo não Oferece Drogas, no bairro Nossa Senhora da Apresentação, Natal/RN, continuo atuando para que as comunidades onde o projeto atua, as crianças e jovens continue recebendo assistência de forma gratuita.")</f>
        <v>Luciano I Tavares
Ensino Superior: Educação Física - Especialista
o meu contato com a dança iniciou no ano de 1998 na comunidade de Mãe Luiza, bairro periférico da cidade do Natal, atuando como dançarino até 2003. Em 11 de abril de 2004, ano da fundado o grupo Art D'Rua, intitulado Amigo não Oferece Drogas, no bairro Nossa Senhora da Apresentação, Natal/RN, continuo atuando para que as comunidades onde o projeto atua, as crianças e jovens continue recebendo assistência de forma gratuita.</v>
      </c>
      <c r="BE283" s="27" t="str">
        <f ca="1">IFERROR(__xludf.DUMMYFUNCTION("""COMPUTED_VALUE"""),"Homem, cisgênero")</f>
        <v>Homem, cisgênero</v>
      </c>
      <c r="BF283" s="27" t="str">
        <f ca="1">IFERROR(__xludf.DUMMYFUNCTION("""COMPUTED_VALUE"""),"Heterossexual")</f>
        <v>Heterossexual</v>
      </c>
      <c r="BG283" s="27" t="str">
        <f ca="1">IFERROR(__xludf.DUMMYFUNCTION("""COMPUTED_VALUE"""),"Ensino Superior - Incompleto")</f>
        <v>Ensino Superior - Incompleto</v>
      </c>
      <c r="BH283" s="27" t="str">
        <f ca="1">IFERROR(__xludf.DUMMYFUNCTION("""COMPUTED_VALUE"""),"Público")</f>
        <v>Público</v>
      </c>
      <c r="BI283" s="27" t="str">
        <f ca="1">IFERROR(__xludf.DUMMYFUNCTION("""COMPUTED_VALUE"""),"Pós-Graduação")</f>
        <v>Pós-Graduação</v>
      </c>
      <c r="BJ283" s="27" t="str">
        <f ca="1">IFERROR(__xludf.DUMMYFUNCTION("""COMPUTED_VALUE"""),"Público")</f>
        <v>Público</v>
      </c>
      <c r="BK283" s="27" t="str">
        <f ca="1">IFERROR(__xludf.DUMMYFUNCTION("""COMPUTED_VALUE"""),"segunda travessa Presidente Médici")</f>
        <v>segunda travessa Presidente Médici</v>
      </c>
      <c r="BL283" s="27">
        <f ca="1">IFERROR(__xludf.DUMMYFUNCTION("""COMPUTED_VALUE"""),162)</f>
        <v>162</v>
      </c>
      <c r="BM283" s="27"/>
      <c r="BN283" s="27" t="str">
        <f ca="1">IFERROR(__xludf.DUMMYFUNCTION("""COMPUTED_VALUE"""),"Natal")</f>
        <v>Natal</v>
      </c>
      <c r="BO283" s="27" t="str">
        <f ca="1">IFERROR(__xludf.DUMMYFUNCTION("""COMPUTED_VALUE"""),"59106-014")</f>
        <v>59106-014</v>
      </c>
      <c r="BP283" s="27" t="str">
        <f ca="1">IFERROR(__xludf.DUMMYFUNCTION("""COMPUTED_VALUE"""),"RN")</f>
        <v>RN</v>
      </c>
      <c r="BQ283" s="27" t="str">
        <f ca="1">IFERROR(__xludf.DUMMYFUNCTION("""COMPUTED_VALUE"""),"Entre 1 até 3 salários mínimos")</f>
        <v>Entre 1 até 3 salários mínimos</v>
      </c>
      <c r="BR283" s="27" t="str">
        <f ca="1">IFERROR(__xludf.DUMMYFUNCTION("""COMPUTED_VALUE"""),"Trabalho informal")</f>
        <v>Trabalho informal</v>
      </c>
      <c r="BS283" s="27" t="str">
        <f ca="1">IFERROR(__xludf.DUMMYFUNCTION("""COMPUTED_VALUE"""),"Casa própria")</f>
        <v>Casa própria</v>
      </c>
      <c r="BT283" s="27">
        <f ca="1">IFERROR(__xludf.DUMMYFUNCTION("""COMPUTED_VALUE"""),1)</f>
        <v>1</v>
      </c>
      <c r="BU283" s="27" t="str">
        <f ca="1">IFERROR(__xludf.DUMMYFUNCTION("""COMPUTED_VALUE"""),"Não tem")</f>
        <v>Não tem</v>
      </c>
      <c r="BV283" s="27" t="str">
        <f ca="1">IFERROR(__xludf.DUMMYFUNCTION("""COMPUTED_VALUE"""),"Vegetariana(o)")</f>
        <v>Vegetariana(o)</v>
      </c>
      <c r="BW283" s="27"/>
      <c r="BX283" s="21" t="str">
        <f ca="1">IFERROR(__xludf.DUMMYFUNCTION("""COMPUTED_VALUE"""),"https://instagram.com/prof.lucianotavares?utm_medium=copy_link")</f>
        <v>https://instagram.com/prof.lucianotavares?utm_medium=copy_link</v>
      </c>
      <c r="BY283" s="21" t="str">
        <f ca="1">IFERROR(__xludf.DUMMYFUNCTION("""COMPUTED_VALUE"""),"https://drive.google.com/open?id=1AjXqd6Bd4csw8z7lEfjPI1wirSW21NLN")</f>
        <v>https://drive.google.com/open?id=1AjXqd6Bd4csw8z7lEfjPI1wirSW21NLN</v>
      </c>
    </row>
    <row r="284" spans="1:77" ht="12.5" hidden="1" x14ac:dyDescent="0.25">
      <c r="A284" s="21" t="str">
        <f ca="1">IFERROR(__xludf.DUMMYFUNCTION("""COMPUTED_VALUE"""),"0014X00002VKCrTQAX")</f>
        <v>0014X00002VKCrTQAX</v>
      </c>
      <c r="B284" s="27" t="str">
        <f ca="1">IFERROR(__xludf.DUMMYFUNCTION("""COMPUTED_VALUE"""),"Fase Inicial")</f>
        <v>Fase Inicial</v>
      </c>
      <c r="C284" s="27" t="str">
        <f ca="1">IFERROR(__xludf.DUMMYFUNCTION("""COMPUTED_VALUE"""),"Fellow")</f>
        <v>Fellow</v>
      </c>
      <c r="D284" s="27" t="str">
        <f ca="1">IFERROR(__xludf.DUMMYFUNCTION("""COMPUTED_VALUE"""),"Ativo")</f>
        <v>Ativo</v>
      </c>
      <c r="E284" s="27" t="str">
        <f ca="1">IFERROR(__xludf.DUMMYFUNCTION("""COMPUTED_VALUE"""),"GRUPO DE ASSISTENCIA SOCIAL* CULTURAL* ESPORTES E LAZER - G.A.S")</f>
        <v>GRUPO DE ASSISTENCIA SOCIAL* CULTURAL* ESPORTES E LAZER - G.A.S</v>
      </c>
      <c r="F284" s="27" t="str">
        <f ca="1">IFERROR(__xludf.DUMMYFUNCTION("""COMPUTED_VALUE"""),"Claudionora")</f>
        <v>Claudionora</v>
      </c>
      <c r="G284" s="27" t="str">
        <f ca="1">IFERROR(__xludf.DUMMYFUNCTION("""COMPUTED_VALUE"""),"GAS")</f>
        <v>GAS</v>
      </c>
      <c r="H284" s="27" t="str">
        <f ca="1">IFERROR(__xludf.DUMMYFUNCTION("""COMPUTED_VALUE"""),"14.472.022/0001-69")</f>
        <v>14.472.022/0001-69</v>
      </c>
      <c r="I284" s="27" t="str">
        <f ca="1">IFERROR(__xludf.DUMMYFUNCTION("""COMPUTED_VALUE"""),"Claudionora Ferreira")</f>
        <v>Claudionora Ferreira</v>
      </c>
      <c r="J284" s="27"/>
      <c r="K284" s="27" t="str">
        <f ca="1">IFERROR(__xludf.DUMMYFUNCTION("""COMPUTED_VALUE"""),"(81)98724-5450")</f>
        <v>(81)98724-5450</v>
      </c>
      <c r="L284" s="27" t="str">
        <f ca="1">IFERROR(__xludf.DUMMYFUNCTION("""COMPUTED_VALUE"""),"PE")</f>
        <v>PE</v>
      </c>
      <c r="M284" s="27" t="str">
        <f ca="1">IFERROR(__xludf.DUMMYFUNCTION("""COMPUTED_VALUE"""),"Rua cantora clara nunes")</f>
        <v>Rua cantora clara nunes</v>
      </c>
      <c r="N284" s="27" t="str">
        <f ca="1">IFERROR(__xludf.DUMMYFUNCTION("""COMPUTED_VALUE"""),"Torre")</f>
        <v>Torre</v>
      </c>
      <c r="O284" s="27">
        <f ca="1">IFERROR(__xludf.DUMMYFUNCTION("""COMPUTED_VALUE"""),1)</f>
        <v>1</v>
      </c>
      <c r="P284" s="27" t="str">
        <f ca="1">IFERROR(__xludf.DUMMYFUNCTION("""COMPUTED_VALUE"""),"Recife")</f>
        <v>Recife</v>
      </c>
      <c r="Q284" s="27" t="str">
        <f ca="1">IFERROR(__xludf.DUMMYFUNCTION("""COMPUTED_VALUE"""),"Quadra c")</f>
        <v>Quadra c</v>
      </c>
      <c r="R284" s="27" t="str">
        <f ca="1">IFERROR(__xludf.DUMMYFUNCTION("""COMPUTED_VALUE"""),"50711-550")</f>
        <v>50711-550</v>
      </c>
      <c r="S284" s="27"/>
      <c r="T284" s="27"/>
      <c r="U284"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284" s="27" t="str">
        <f ca="1">IFERROR(__xludf.DUMMYFUNCTION("""COMPUTED_VALUE"""),"Moradores de Favelas, Pessoas em situação de rua")</f>
        <v>Moradores de Favelas, Pessoas em situação de rua</v>
      </c>
      <c r="W284" s="27">
        <f ca="1">IFERROR(__xludf.DUMMYFUNCTION("""COMPUTED_VALUE"""),4)</f>
        <v>4</v>
      </c>
      <c r="X284" s="27"/>
      <c r="Y284" s="27"/>
      <c r="Z284" s="27">
        <f ca="1">IFERROR(__xludf.DUMMYFUNCTION("""COMPUTED_VALUE"""),300)</f>
        <v>300</v>
      </c>
      <c r="AA284" s="29">
        <f ca="1">IFERROR(__xludf.DUMMYFUNCTION("""COMPUTED_VALUE"""),41345)</f>
        <v>41345</v>
      </c>
      <c r="AB284" s="27" t="str">
        <f ca="1">IFERROR(__xludf.DUMMYFUNCTION("""COMPUTED_VALUE"""),"Sim")</f>
        <v>Sim</v>
      </c>
      <c r="AC284" s="27">
        <f ca="1">IFERROR(__xludf.DUMMYFUNCTION("""COMPUTED_VALUE"""),0)</f>
        <v>0</v>
      </c>
      <c r="AD284" s="27">
        <f ca="1">IFERROR(__xludf.DUMMYFUNCTION("""COMPUTED_VALUE"""),2)</f>
        <v>2</v>
      </c>
      <c r="AE284" s="27">
        <f ca="1">IFERROR(__xludf.DUMMYFUNCTION("""COMPUTED_VALUE"""),6)</f>
        <v>6</v>
      </c>
      <c r="AF284" s="27">
        <f ca="1">IFERROR(__xludf.DUMMYFUNCTION("""COMPUTED_VALUE"""),5)</f>
        <v>5</v>
      </c>
      <c r="AG284" s="27">
        <f ca="1">IFERROR(__xludf.DUMMYFUNCTION("""COMPUTED_VALUE"""),5)</f>
        <v>5</v>
      </c>
      <c r="AH284" s="27" t="str">
        <f ca="1">IFERROR(__xludf.DUMMYFUNCTION("""COMPUTED_VALUE"""),"Doações")</f>
        <v>Doações</v>
      </c>
      <c r="AI284" s="27">
        <f ca="1">IFERROR(__xludf.DUMMYFUNCTION("""COMPUTED_VALUE"""),1)</f>
        <v>1</v>
      </c>
      <c r="AJ284" s="27" t="str">
        <f ca="1">IFERROR(__xludf.DUMMYFUNCTION("""COMPUTED_VALUE"""),"Não")</f>
        <v>Não</v>
      </c>
      <c r="AK284" s="27"/>
      <c r="AL284" s="21" t="str">
        <f ca="1">IFERROR(__xludf.DUMMYFUNCTION("""COMPUTED_VALUE"""),"0034X0000380O3h")</f>
        <v>0034X0000380O3h</v>
      </c>
      <c r="AM284" s="27" t="str">
        <f ca="1">IFERROR(__xludf.DUMMYFUNCTION("""COMPUTED_VALUE"""),"Da silva ferreira")</f>
        <v>Da silva ferreira</v>
      </c>
      <c r="AN284" s="27" t="str">
        <f ca="1">IFERROR(__xludf.DUMMYFUNCTION("""COMPUTED_VALUE"""),"Ativo")</f>
        <v>Ativo</v>
      </c>
      <c r="AO284" s="27"/>
      <c r="AP284" s="27"/>
      <c r="AQ284" s="27" t="str">
        <f ca="1">IFERROR(__xludf.DUMMYFUNCTION("""COMPUTED_VALUE"""),"Primeiro Semestre 2022")</f>
        <v>Primeiro Semestre 2022</v>
      </c>
      <c r="AR284" s="27" t="str">
        <f ca="1">IFERROR(__xludf.DUMMYFUNCTION("""COMPUTED_VALUE"""),"jhupriscila@gmail.com")</f>
        <v>jhupriscila@gmail.com</v>
      </c>
      <c r="AS284" s="27">
        <f ca="1">IFERROR(__xludf.DUMMYFUNCTION("""COMPUTED_VALUE"""),81987245450)</f>
        <v>81987245450</v>
      </c>
      <c r="AT284" s="29">
        <f ca="1">IFERROR(__xludf.DUMMYFUNCTION("""COMPUTED_VALUE"""),26123)</f>
        <v>26123</v>
      </c>
      <c r="AU284" s="27">
        <f ca="1">IFERROR(__xludf.DUMMYFUNCTION("""COMPUTED_VALUE"""),51)</f>
        <v>51</v>
      </c>
      <c r="AV284" s="27">
        <f ca="1">IFERROR(__xludf.DUMMYFUNCTION("""COMPUTED_VALUE"""),79594506415)</f>
        <v>79594506415</v>
      </c>
      <c r="AW284" s="27">
        <f ca="1">IFERROR(__xludf.DUMMYFUNCTION("""COMPUTED_VALUE"""),4185257)</f>
        <v>4185257</v>
      </c>
      <c r="AX284" s="27"/>
      <c r="AY284" s="27"/>
      <c r="AZ284" s="27" t="str">
        <f ca="1">IFERROR(__xludf.DUMMYFUNCTION("""COMPUTED_VALUE"""),"M")</f>
        <v>M</v>
      </c>
      <c r="BA284" s="27" t="str">
        <f ca="1">IFERROR(__xludf.DUMMYFUNCTION("""COMPUTED_VALUE"""),"Branca")</f>
        <v>Branca</v>
      </c>
      <c r="BB284" s="27"/>
      <c r="BC284" s="27"/>
      <c r="BD284" s="27" t="str">
        <f ca="1">IFERROR(__xludf.DUMMYFUNCTION("""COMPUTED_VALUE"""),"Me chamo Claudionora* sou casada* tenho 03 filhas e 03 netos* minha família é a minha base* sou formada em serviço social e sou conselheira tutelar* desde nova sempre gostei de ajudar as pessoas* começando pela minha família trabalhando cedo para dar sust"&amp;"ento as minhas irmãs e ajudar minha mãe* pretendo seguir meu caminho ajudando sempre no que eu puder aqueles que mais necessitam.")</f>
        <v>Me chamo Claudionora* sou casada* tenho 03 filhas e 03 netos* minha família é a minha base* sou formada em serviço social e sou conselheira tutelar* desde nova sempre gostei de ajudar as pessoas* começando pela minha família trabalhando cedo para dar sustento as minhas irmãs e ajudar minha mãe* pretendo seguir meu caminho ajudando sempre no que eu puder aqueles que mais necessitam.</v>
      </c>
      <c r="BE284" s="27" t="str">
        <f ca="1">IFERROR(__xludf.DUMMYFUNCTION("""COMPUTED_VALUE"""),"Feminino")</f>
        <v>Feminino</v>
      </c>
      <c r="BF284" s="27" t="str">
        <f ca="1">IFERROR(__xludf.DUMMYFUNCTION("""COMPUTED_VALUE"""),"Heterossexual")</f>
        <v>Heterossexual</v>
      </c>
      <c r="BG284" s="27"/>
      <c r="BH284" s="27" t="str">
        <f ca="1">IFERROR(__xludf.DUMMYFUNCTION("""COMPUTED_VALUE"""),"Público")</f>
        <v>Público</v>
      </c>
      <c r="BI284" s="27" t="str">
        <f ca="1">IFERROR(__xludf.DUMMYFUNCTION("""COMPUTED_VALUE"""),"Graduação")</f>
        <v>Graduação</v>
      </c>
      <c r="BJ284" s="27" t="str">
        <f ca="1">IFERROR(__xludf.DUMMYFUNCTION("""COMPUTED_VALUE"""),"Privado")</f>
        <v>Privado</v>
      </c>
      <c r="BK284" s="27" t="str">
        <f ca="1">IFERROR(__xludf.DUMMYFUNCTION("""COMPUTED_VALUE"""),"Rua Cantora Clara Nunes")</f>
        <v>Rua Cantora Clara Nunes</v>
      </c>
      <c r="BL284" s="27" t="str">
        <f ca="1">IFERROR(__xludf.DUMMYFUNCTION("""COMPUTED_VALUE"""),"01 quadra c")</f>
        <v>01 quadra c</v>
      </c>
      <c r="BM284" s="27"/>
      <c r="BN284" s="27"/>
      <c r="BO284" s="27">
        <f ca="1">IFERROR(__xludf.DUMMYFUNCTION("""COMPUTED_VALUE"""),50711550)</f>
        <v>50711550</v>
      </c>
      <c r="BP284" s="27" t="str">
        <f ca="1">IFERROR(__xludf.DUMMYFUNCTION("""COMPUTED_VALUE"""),"PE")</f>
        <v>PE</v>
      </c>
      <c r="BQ284" s="27" t="str">
        <f ca="1">IFERROR(__xludf.DUMMYFUNCTION("""COMPUTED_VALUE"""),"De 3 até 5 salários mínimos")</f>
        <v>De 3 até 5 salários mínimos</v>
      </c>
      <c r="BR284" s="27" t="str">
        <f ca="1">IFERROR(__xludf.DUMMYFUNCTION("""COMPUTED_VALUE"""),"Funcionário Público")</f>
        <v>Funcionário Público</v>
      </c>
      <c r="BS284" s="27" t="str">
        <f ca="1">IFERROR(__xludf.DUMMYFUNCTION("""COMPUTED_VALUE"""),"Casa própria")</f>
        <v>Casa própria</v>
      </c>
      <c r="BT284" s="27">
        <f ca="1">IFERROR(__xludf.DUMMYFUNCTION("""COMPUTED_VALUE"""),2)</f>
        <v>2</v>
      </c>
      <c r="BU284" s="27" t="str">
        <f ca="1">IFERROR(__xludf.DUMMYFUNCTION("""COMPUTED_VALUE"""),"Não tem")</f>
        <v>Não tem</v>
      </c>
      <c r="BV284" s="27" t="str">
        <f ca="1">IFERROR(__xludf.DUMMYFUNCTION("""COMPUTED_VALUE"""),"Não")</f>
        <v>Não</v>
      </c>
      <c r="BW284" s="27"/>
      <c r="BX284" s="21" t="str">
        <f ca="1">IFERROR(__xludf.DUMMYFUNCTION("""COMPUTED_VALUE"""),"https://www.instagram.com/kalferreira.71/")</f>
        <v>https://www.instagram.com/kalferreira.71/</v>
      </c>
      <c r="BY284" s="21" t="str">
        <f ca="1">IFERROR(__xludf.DUMMYFUNCTION("""COMPUTED_VALUE"""),"https://drive.google.com/open?id=1D708KwqVGxig8Gfxl13p7CByiPULx5Gp")</f>
        <v>https://drive.google.com/open?id=1D708KwqVGxig8Gfxl13p7CByiPULx5Gp</v>
      </c>
    </row>
    <row r="285" spans="1:77" ht="12.5" hidden="1" x14ac:dyDescent="0.25">
      <c r="A285" s="21" t="str">
        <f ca="1">IFERROR(__xludf.DUMMYFUNCTION("""COMPUTED_VALUE"""),"0014X00002VKCpdQAH")</f>
        <v>0014X00002VKCpdQAH</v>
      </c>
      <c r="B285" s="27" t="str">
        <f ca="1">IFERROR(__xludf.DUMMYFUNCTION("""COMPUTED_VALUE"""),"Fase Estruturação")</f>
        <v>Fase Estruturação</v>
      </c>
      <c r="C285" s="27" t="str">
        <f ca="1">IFERROR(__xludf.DUMMYFUNCTION("""COMPUTED_VALUE"""),"Fellow")</f>
        <v>Fellow</v>
      </c>
      <c r="D285" s="27" t="str">
        <f ca="1">IFERROR(__xludf.DUMMYFUNCTION("""COMPUTED_VALUE"""),"Ativo")</f>
        <v>Ativo</v>
      </c>
      <c r="E285" s="27" t="str">
        <f ca="1">IFERROR(__xludf.DUMMYFUNCTION("""COMPUTED_VALUE"""),"IASAL")</f>
        <v>IASAL</v>
      </c>
      <c r="F285" s="27" t="str">
        <f ca="1">IFERROR(__xludf.DUMMYFUNCTION("""COMPUTED_VALUE"""),"Tiberio")</f>
        <v>Tiberio</v>
      </c>
      <c r="G285" s="27" t="str">
        <f ca="1">IFERROR(__xludf.DUMMYFUNCTION("""COMPUTED_VALUE"""),"INSTITUTO AMIGOS DA SOPA DE ALAGOAS")</f>
        <v>INSTITUTO AMIGOS DA SOPA DE ALAGOAS</v>
      </c>
      <c r="H285" s="27" t="str">
        <f ca="1">IFERROR(__xludf.DUMMYFUNCTION("""COMPUTED_VALUE"""),"25.243.955/0001-09")</f>
        <v>25.243.955/0001-09</v>
      </c>
      <c r="I285" s="27" t="str">
        <f ca="1">IFERROR(__xludf.DUMMYFUNCTION("""COMPUTED_VALUE"""),"TIBERIO JORGE DA S. VERA CRUZ")</f>
        <v>TIBERIO JORGE DA S. VERA CRUZ</v>
      </c>
      <c r="J285" s="27" t="str">
        <f ca="1">IFERROR(__xludf.DUMMYFUNCTION("""COMPUTED_VALUE"""),"contato@institutoamigosdasopa.org.br")</f>
        <v>contato@institutoamigosdasopa.org.br</v>
      </c>
      <c r="K285" s="27" t="str">
        <f ca="1">IFERROR(__xludf.DUMMYFUNCTION("""COMPUTED_VALUE"""),"(82)99341-1960")</f>
        <v>(82)99341-1960</v>
      </c>
      <c r="L285" s="27" t="str">
        <f ca="1">IFERROR(__xludf.DUMMYFUNCTION("""COMPUTED_VALUE"""),"AL")</f>
        <v>AL</v>
      </c>
      <c r="M285" s="27" t="str">
        <f ca="1">IFERROR(__xludf.DUMMYFUNCTION("""COMPUTED_VALUE"""),"RUA ALLAN KARDEC,")</f>
        <v>RUA ALLAN KARDEC,</v>
      </c>
      <c r="N285" s="27" t="str">
        <f ca="1">IFERROR(__xludf.DUMMYFUNCTION("""COMPUTED_VALUE"""),"ANTARES")</f>
        <v>ANTARES</v>
      </c>
      <c r="O285" s="27" t="str">
        <f ca="1">IFERROR(__xludf.DUMMYFUNCTION("""COMPUTED_VALUE"""),"LOTES 01 A 03")</f>
        <v>LOTES 01 A 03</v>
      </c>
      <c r="P285" s="27" t="str">
        <f ca="1">IFERROR(__xludf.DUMMYFUNCTION("""COMPUTED_VALUE"""),"MACEIÓ")</f>
        <v>MACEIÓ</v>
      </c>
      <c r="Q285" s="27" t="str">
        <f ca="1">IFERROR(__xludf.DUMMYFUNCTION("""COMPUTED_VALUE"""),"QD 12")</f>
        <v>QD 12</v>
      </c>
      <c r="R285" s="27" t="str">
        <f ca="1">IFERROR(__xludf.DUMMYFUNCTION("""COMPUTED_VALUE"""),"57048-270")</f>
        <v>57048-270</v>
      </c>
      <c r="S285" s="27" t="str">
        <f ca="1">IFERROR(__xludf.DUMMYFUNCTION("""COMPUTED_VALUE"""),"CIDADE UNIVERSITÁRIA- IGREJA  MANÁ AULA DE MUSICA")</f>
        <v>CIDADE UNIVERSITÁRIA- IGREJA  MANÁ AULA DE MUSICA</v>
      </c>
      <c r="T285" s="27"/>
      <c r="U285" s="27" t="str">
        <f ca="1">IFERROR(__xludf.DUMMYFUNCTION("""COMPUTED_VALUE"""),"Crianças (6 a 12 anos), Adolescentes (12 aos 18 anos), Jovens (18 aos 24 anos), Adultos, Idosos (60 anos ou mais)")</f>
        <v>Crianças (6 a 12 anos), Adolescentes (12 aos 18 anos), Jovens (18 aos 24 anos), Adultos, Idosos (60 anos ou mais)</v>
      </c>
      <c r="V285" s="27" t="str">
        <f ca="1">IFERROR(__xludf.DUMMYFUNCTION("""COMPUTED_VALUE"""),"Moradores de Favelas")</f>
        <v>Moradores de Favelas</v>
      </c>
      <c r="W285" s="27">
        <f ca="1">IFERROR(__xludf.DUMMYFUNCTION("""COMPUTED_VALUE"""),1)</f>
        <v>1</v>
      </c>
      <c r="X285" s="27"/>
      <c r="Y285" s="27"/>
      <c r="Z285" s="27">
        <f ca="1">IFERROR(__xludf.DUMMYFUNCTION("""COMPUTED_VALUE"""),520)</f>
        <v>520</v>
      </c>
      <c r="AA285" s="29">
        <f ca="1">IFERROR(__xludf.DUMMYFUNCTION("""COMPUTED_VALUE"""),41157)</f>
        <v>41157</v>
      </c>
      <c r="AB285" s="27" t="str">
        <f ca="1">IFERROR(__xludf.DUMMYFUNCTION("""COMPUTED_VALUE"""),"Sim")</f>
        <v>Sim</v>
      </c>
      <c r="AC285" s="27">
        <f ca="1">IFERROR(__xludf.DUMMYFUNCTION("""COMPUTED_VALUE"""),22)</f>
        <v>22</v>
      </c>
      <c r="AD285" s="27">
        <f ca="1">IFERROR(__xludf.DUMMYFUNCTION("""COMPUTED_VALUE"""),22)</f>
        <v>22</v>
      </c>
      <c r="AE285" s="27">
        <f ca="1">IFERROR(__xludf.DUMMYFUNCTION("""COMPUTED_VALUE"""),30)</f>
        <v>30</v>
      </c>
      <c r="AF285" s="27">
        <f ca="1">IFERROR(__xludf.DUMMYFUNCTION("""COMPUTED_VALUE"""),30)</f>
        <v>30</v>
      </c>
      <c r="AG285" s="27">
        <f ca="1">IFERROR(__xludf.DUMMYFUNCTION("""COMPUTED_VALUE"""),3)</f>
        <v>3</v>
      </c>
      <c r="AH285" s="27" t="str">
        <f ca="1">IFERROR(__xludf.DUMMYFUNCTION("""COMPUTED_VALUE"""),"Convênio Público, Doações, Recursos próprios")</f>
        <v>Convênio Público, Doações, Recursos próprios</v>
      </c>
      <c r="AI285" s="27">
        <f ca="1">IFERROR(__xludf.DUMMYFUNCTION("""COMPUTED_VALUE"""),0)</f>
        <v>0</v>
      </c>
      <c r="AJ285" s="27" t="str">
        <f ca="1">IFERROR(__xludf.DUMMYFUNCTION("""COMPUTED_VALUE"""),"Não")</f>
        <v>Não</v>
      </c>
      <c r="AK285" s="27"/>
      <c r="AL285" s="21" t="str">
        <f ca="1">IFERROR(__xludf.DUMMYFUNCTION("""COMPUTED_VALUE"""),"0034X0000380O64")</f>
        <v>0034X0000380O64</v>
      </c>
      <c r="AM285" s="27" t="str">
        <f ca="1">IFERROR(__xludf.DUMMYFUNCTION("""COMPUTED_VALUE"""),"Jorge da silva vera cruz")</f>
        <v>Jorge da silva vera cruz</v>
      </c>
      <c r="AN285" s="27" t="str">
        <f ca="1">IFERROR(__xludf.DUMMYFUNCTION("""COMPUTED_VALUE"""),"Ativo")</f>
        <v>Ativo</v>
      </c>
      <c r="AO285" s="29">
        <f ca="1">IFERROR(__xludf.DUMMYFUNCTION("""COMPUTED_VALUE"""),44763)</f>
        <v>44763</v>
      </c>
      <c r="AP285" s="27">
        <f ca="1">IFERROR(__xludf.DUMMYFUNCTION("""COMPUTED_VALUE"""),2)</f>
        <v>2</v>
      </c>
      <c r="AQ285" s="27" t="str">
        <f ca="1">IFERROR(__xludf.DUMMYFUNCTION("""COMPUTED_VALUE"""),"Primeiro Semestre 2022")</f>
        <v>Primeiro Semestre 2022</v>
      </c>
      <c r="AR285" s="27" t="str">
        <f ca="1">IFERROR(__xludf.DUMMYFUNCTION("""COMPUTED_VALUE"""),"diretoria@institutoamigosdasopa.org.br")</f>
        <v>diretoria@institutoamigosdasopa.org.br</v>
      </c>
      <c r="AS285" s="27" t="str">
        <f ca="1">IFERROR(__xludf.DUMMYFUNCTION("""COMPUTED_VALUE"""),"(82)99995-2020")</f>
        <v>(82)99995-2020</v>
      </c>
      <c r="AT285" s="29">
        <f ca="1">IFERROR(__xludf.DUMMYFUNCTION("""COMPUTED_VALUE"""),28333)</f>
        <v>28333</v>
      </c>
      <c r="AU285" s="27">
        <f ca="1">IFERROR(__xludf.DUMMYFUNCTION("""COMPUTED_VALUE"""),45)</f>
        <v>45</v>
      </c>
      <c r="AV285" s="27">
        <f ca="1">IFERROR(__xludf.DUMMYFUNCTION("""COMPUTED_VALUE"""),2509041444)</f>
        <v>2509041444</v>
      </c>
      <c r="AW285" s="27" t="str">
        <f ca="1">IFERROR(__xludf.DUMMYFUNCTION("""COMPUTED_VALUE"""),"1.581641 SSPAL")</f>
        <v>1.581641 SSPAL</v>
      </c>
      <c r="AX285" s="27"/>
      <c r="AY285" s="27" t="str">
        <f ca="1">IFERROR(__xludf.DUMMYFUNCTION("""COMPUTED_VALUE"""),"Presidente")</f>
        <v>Presidente</v>
      </c>
      <c r="AZ285" s="27" t="str">
        <f ca="1">IFERROR(__xludf.DUMMYFUNCTION("""COMPUTED_VALUE"""),"G")</f>
        <v>G</v>
      </c>
      <c r="BA285" s="27" t="str">
        <f ca="1">IFERROR(__xludf.DUMMYFUNCTION("""COMPUTED_VALUE"""),"Parda")</f>
        <v>Parda</v>
      </c>
      <c r="BB285" s="27"/>
      <c r="BC285" s="27"/>
      <c r="BD285" s="27" t="str">
        <f ca="1">IFERROR(__xludf.DUMMYFUNCTION("""COMPUTED_VALUE"""),"Tiberio Jorge, tenho 44anos,Crsitão, casado com Michelle, tenho dois filhos, Teógenes e Themístocles . Empreendedor Social. Busco Inovações e estou sempre me capacitando. Sempre  gostei da área de vendas e de fazer o social.  Com o tempo percebi que meu p"&amp;"róposito de vida é ajuda pessoas em situação de vulnerabilidade social, desde  então ,dedico 100% do meu trabalho para ações de transformações de vida. A vinda da GF foi um divisor de águas na minha atuação no terceiro setor.")</f>
        <v>Tiberio Jorge, tenho 44anos,Crsitão, casado com Michelle, tenho dois filhos, Teógenes e Themístocles . Empreendedor Social. Busco Inovações e estou sempre me capacitando. Sempre  gostei da área de vendas e de fazer o social.  Com o tempo percebi que meu próposito de vida é ajuda pessoas em situação de vulnerabilidade social, desde  então ,dedico 100% do meu trabalho para ações de transformações de vida. A vinda da GF foi um divisor de águas na minha atuação no terceiro setor.</v>
      </c>
      <c r="BE285" s="27" t="str">
        <f ca="1">IFERROR(__xludf.DUMMYFUNCTION("""COMPUTED_VALUE"""),"Homem, cisgênero")</f>
        <v>Homem, cisgênero</v>
      </c>
      <c r="BF285" s="27" t="str">
        <f ca="1">IFERROR(__xludf.DUMMYFUNCTION("""COMPUTED_VALUE"""),"Heterossexual")</f>
        <v>Heterossexual</v>
      </c>
      <c r="BG285" s="27" t="str">
        <f ca="1">IFERROR(__xludf.DUMMYFUNCTION("""COMPUTED_VALUE"""),"Ensino Médio - Completo")</f>
        <v>Ensino Médio - Completo</v>
      </c>
      <c r="BH285" s="27" t="str">
        <f ca="1">IFERROR(__xludf.DUMMYFUNCTION("""COMPUTED_VALUE"""),"Privado")</f>
        <v>Privado</v>
      </c>
      <c r="BI285" s="27"/>
      <c r="BJ285" s="27"/>
      <c r="BK285" s="27" t="str">
        <f ca="1">IFERROR(__xludf.DUMMYFUNCTION("""COMPUTED_VALUE"""),"QD C@")</f>
        <v>QD C@</v>
      </c>
      <c r="BL285" s="27" t="str">
        <f ca="1">IFERROR(__xludf.DUMMYFUNCTION("""COMPUTED_VALUE"""),"Lotes 3 e 4")</f>
        <v>Lotes 3 e 4</v>
      </c>
      <c r="BM285" s="27"/>
      <c r="BN285" s="27" t="str">
        <f ca="1">IFERROR(__xludf.DUMMYFUNCTION("""COMPUTED_VALUE"""),"Maceió")</f>
        <v>Maceió</v>
      </c>
      <c r="BO285" s="27" t="str">
        <f ca="1">IFERROR(__xludf.DUMMYFUNCTION("""COMPUTED_VALUE"""),"57048-375")</f>
        <v>57048-375</v>
      </c>
      <c r="BP285" s="27" t="str">
        <f ca="1">IFERROR(__xludf.DUMMYFUNCTION("""COMPUTED_VALUE"""),"AL")</f>
        <v>AL</v>
      </c>
      <c r="BQ285" s="27" t="str">
        <f ca="1">IFERROR(__xludf.DUMMYFUNCTION("""COMPUTED_VALUE"""),"Entre 1 até 3 salários mínimos")</f>
        <v>Entre 1 até 3 salários mínimos</v>
      </c>
      <c r="BR285" s="27" t="str">
        <f ca="1">IFERROR(__xludf.DUMMYFUNCTION("""COMPUTED_VALUE"""),"CLT, Trabalho informal")</f>
        <v>CLT, Trabalho informal</v>
      </c>
      <c r="BS285" s="27" t="str">
        <f ca="1">IFERROR(__xludf.DUMMYFUNCTION("""COMPUTED_VALUE"""),"Casa própria")</f>
        <v>Casa própria</v>
      </c>
      <c r="BT285" s="27">
        <f ca="1">IFERROR(__xludf.DUMMYFUNCTION("""COMPUTED_VALUE"""),2)</f>
        <v>2</v>
      </c>
      <c r="BU285" s="27" t="str">
        <f ca="1">IFERROR(__xludf.DUMMYFUNCTION("""COMPUTED_VALUE"""),"Não tem")</f>
        <v>Não tem</v>
      </c>
      <c r="BV285" s="27" t="str">
        <f ca="1">IFERROR(__xludf.DUMMYFUNCTION("""COMPUTED_VALUE"""),"Não")</f>
        <v>Não</v>
      </c>
      <c r="BW285" s="27" t="str">
        <f ca="1">IFERROR(__xludf.DUMMYFUNCTION("""COMPUTED_VALUE"""),"TIBERIO JORGE")</f>
        <v>TIBERIO JORGE</v>
      </c>
      <c r="BX285" s="27" t="str">
        <f ca="1">IFERROR(__xludf.DUMMYFUNCTION("""COMPUTED_VALUE"""),"TIBERIOJORGEE")</f>
        <v>TIBERIOJORGEE</v>
      </c>
      <c r="BY285" s="21" t="str">
        <f ca="1">IFERROR(__xludf.DUMMYFUNCTION("""COMPUTED_VALUE"""),"https://drive.google.com/open?id=1e6oD5vc4ixoG7hz-YfgqdJZURVbYIxSH")</f>
        <v>https://drive.google.com/open?id=1e6oD5vc4ixoG7hz-YfgqdJZURVbYIxSH</v>
      </c>
    </row>
    <row r="286" spans="1:77" ht="12.5" hidden="1" x14ac:dyDescent="0.25">
      <c r="A286" s="21" t="str">
        <f ca="1">IFERROR(__xludf.DUMMYFUNCTION("""COMPUTED_VALUE"""),"0014P00003SGWPVQA5")</f>
        <v>0014P00003SGWPVQA5</v>
      </c>
      <c r="B286" s="27" t="str">
        <f ca="1">IFERROR(__xludf.DUMMYFUNCTION("""COMPUTED_VALUE"""),"Fase Inicial")</f>
        <v>Fase Inicial</v>
      </c>
      <c r="C286" s="27" t="str">
        <f ca="1">IFERROR(__xludf.DUMMYFUNCTION("""COMPUTED_VALUE"""),"Fellow")</f>
        <v>Fellow</v>
      </c>
      <c r="D286" s="27" t="str">
        <f ca="1">IFERROR(__xludf.DUMMYFUNCTION("""COMPUTED_VALUE"""),"Ativo")</f>
        <v>Ativo</v>
      </c>
      <c r="E286" s="27" t="str">
        <f ca="1">IFERROR(__xludf.DUMMYFUNCTION("""COMPUTED_VALUE"""),"ICEF- INSTITUTO DOM")</f>
        <v>ICEF- INSTITUTO DOM</v>
      </c>
      <c r="F286" s="27" t="str">
        <f ca="1">IFERROR(__xludf.DUMMYFUNCTION("""COMPUTED_VALUE"""),"Edmar")</f>
        <v>Edmar</v>
      </c>
      <c r="G286" s="27" t="str">
        <f ca="1">IFERROR(__xludf.DUMMYFUNCTION("""COMPUTED_VALUE"""),"ICEF")</f>
        <v>ICEF</v>
      </c>
      <c r="H286" s="27" t="str">
        <f ca="1">IFERROR(__xludf.DUMMYFUNCTION("""COMPUTED_VALUE"""),"42.586.712/0001-84")</f>
        <v>42.586.712/0001-84</v>
      </c>
      <c r="I286" s="27" t="str">
        <f ca="1">IFERROR(__xludf.DUMMYFUNCTION("""COMPUTED_VALUE"""),"Edmar Cassimiro Pedro")</f>
        <v>Edmar Cassimiro Pedro</v>
      </c>
      <c r="J286" s="27" t="str">
        <f ca="1">IFERROR(__xludf.DUMMYFUNCTION("""COMPUTED_VALUE"""),"grupodomjf@gmail.com")</f>
        <v>grupodomjf@gmail.com</v>
      </c>
      <c r="K286" s="27" t="str">
        <f ca="1">IFERROR(__xludf.DUMMYFUNCTION("""COMPUTED_VALUE"""),"(32)8417-0749")</f>
        <v>(32)8417-0749</v>
      </c>
      <c r="L286" s="27" t="str">
        <f ca="1">IFERROR(__xludf.DUMMYFUNCTION("""COMPUTED_VALUE"""),"MG")</f>
        <v>MG</v>
      </c>
      <c r="M286" s="27" t="str">
        <f ca="1">IFERROR(__xludf.DUMMYFUNCTION("""COMPUTED_VALUE"""),"Belo vale 166")</f>
        <v>Belo vale 166</v>
      </c>
      <c r="N286" s="27" t="str">
        <f ca="1">IFERROR(__xludf.DUMMYFUNCTION("""COMPUTED_VALUE"""),"Dom Bosco")</f>
        <v>Dom Bosco</v>
      </c>
      <c r="O286" s="27" t="str">
        <f ca="1">IFERROR(__xludf.DUMMYFUNCTION("""COMPUTED_VALUE"""),"(32)8417-0749")</f>
        <v>(32)8417-0749</v>
      </c>
      <c r="P286" s="27" t="str">
        <f ca="1">IFERROR(__xludf.DUMMYFUNCTION("""COMPUTED_VALUE"""),"Juiz de fora")</f>
        <v>Juiz de fora</v>
      </c>
      <c r="Q286" s="27" t="str">
        <f ca="1">IFERROR(__xludf.DUMMYFUNCTION("""COMPUTED_VALUE"""),"casa")</f>
        <v>casa</v>
      </c>
      <c r="R286" s="27" t="str">
        <f ca="1">IFERROR(__xludf.DUMMYFUNCTION("""COMPUTED_VALUE"""),"36025-540")</f>
        <v>36025-540</v>
      </c>
      <c r="S286" s="27"/>
      <c r="T286" s="27" t="str">
        <f ca="1">IFERROR(__xludf.DUMMYFUNCTION("""COMPUTED_VALUE"""),"Esporte; Educação; Assistência Social; Cultura; Qualificação Profissional; Empreendedorismo; Assistência Psicológica; Desenvolvimento comunitário")</f>
        <v>Esporte; Educação; Assistência Social; Cultura; Qualificação Profissional; Empreendedorismo; Assistência Psicológica; Desenvolvimento comunitário</v>
      </c>
      <c r="U286" s="27" t="str">
        <f ca="1">IFERROR(__xludf.DUMMYFUNCTION("""COMPUTED_VALUE"""),"Crianças bem pequenas (1 ano e 7 meses até 3 anos e 11 meses); Crianças pequenas (4 anos a 5 anos e 11 meses); Crianças (6 a 12 anos); Adolescentes (12 aos 18 anos); Jovens (18 aos 24 anos)")</f>
        <v>Crianças bem pequenas (1 ano e 7 meses até 3 anos e 11 meses); Crianças pequenas (4 anos a 5 anos e 11 meses); Crianças (6 a 12 anos); Adolescentes (12 aos 18 anos); Jovens (18 aos 24 anos)</v>
      </c>
      <c r="V286" s="27" t="str">
        <f ca="1">IFERROR(__xludf.DUMMYFUNCTION("""COMPUTED_VALUE"""),"Moradores de Favelas; População LGBTQ+; Afrodescendentes; Pessoas com Deficiência; Comunidade rural")</f>
        <v>Moradores de Favelas; População LGBTQ+; Afrodescendentes; Pessoas com Deficiência; Comunidade rural</v>
      </c>
      <c r="W286" s="27">
        <f ca="1">IFERROR(__xludf.DUMMYFUNCTION("""COMPUTED_VALUE"""),6)</f>
        <v>6</v>
      </c>
      <c r="X286" s="27"/>
      <c r="Y286" s="27">
        <f ca="1">IFERROR(__xludf.DUMMYFUNCTION("""COMPUTED_VALUE"""),70)</f>
        <v>70</v>
      </c>
      <c r="Z286" s="27">
        <f ca="1">IFERROR(__xludf.DUMMYFUNCTION("""COMPUTED_VALUE"""),3952)</f>
        <v>3952</v>
      </c>
      <c r="AA286" s="29">
        <f ca="1">IFERROR(__xludf.DUMMYFUNCTION("""COMPUTED_VALUE"""),43133)</f>
        <v>43133</v>
      </c>
      <c r="AB286" s="27" t="str">
        <f ca="1">IFERROR(__xludf.DUMMYFUNCTION("""COMPUTED_VALUE"""),"Sim")</f>
        <v>Sim</v>
      </c>
      <c r="AC286" s="27">
        <f ca="1">IFERROR(__xludf.DUMMYFUNCTION("""COMPUTED_VALUE"""),0)</f>
        <v>0</v>
      </c>
      <c r="AD286" s="27">
        <f ca="1">IFERROR(__xludf.DUMMYFUNCTION("""COMPUTED_VALUE"""),4)</f>
        <v>4</v>
      </c>
      <c r="AE286" s="27">
        <f ca="1">IFERROR(__xludf.DUMMYFUNCTION("""COMPUTED_VALUE"""),15)</f>
        <v>15</v>
      </c>
      <c r="AF286" s="27">
        <f ca="1">IFERROR(__xludf.DUMMYFUNCTION("""COMPUTED_VALUE"""),4)</f>
        <v>4</v>
      </c>
      <c r="AG286" s="27">
        <f ca="1">IFERROR(__xludf.DUMMYFUNCTION("""COMPUTED_VALUE"""),1)</f>
        <v>1</v>
      </c>
      <c r="AH286" s="27" t="str">
        <f ca="1">IFERROR(__xludf.DUMMYFUNCTION("""COMPUTED_VALUE"""),"Negócio Social; Parceria iniciativa privada; Doações")</f>
        <v>Negócio Social; Parceria iniciativa privada; Doações</v>
      </c>
      <c r="AI286" s="27" t="str">
        <f ca="1">IFERROR(__xludf.DUMMYFUNCTION("""COMPUTED_VALUE"""),"5%editais")</f>
        <v>5%editais</v>
      </c>
      <c r="AJ286" s="27" t="str">
        <f ca="1">IFERROR(__xludf.DUMMYFUNCTION("""COMPUTED_VALUE"""),"Não")</f>
        <v>Não</v>
      </c>
      <c r="AK286" s="27" t="str">
        <f ca="1">IFERROR(__xludf.DUMMYFUNCTION("""COMPUTED_VALUE"""),"Sim")</f>
        <v>Sim</v>
      </c>
      <c r="AL286" s="21" t="str">
        <f ca="1">IFERROR(__xludf.DUMMYFUNCTION("""COMPUTED_VALUE"""),"0034P000043fOnc")</f>
        <v>0034P000043fOnc</v>
      </c>
      <c r="AM286" s="27" t="str">
        <f ca="1">IFERROR(__xludf.DUMMYFUNCTION("""COMPUTED_VALUE"""),"Cassimiro Pedro")</f>
        <v>Cassimiro Pedro</v>
      </c>
      <c r="AN286" s="27" t="str">
        <f ca="1">IFERROR(__xludf.DUMMYFUNCTION("""COMPUTED_VALUE"""),"Ativo")</f>
        <v>Ativo</v>
      </c>
      <c r="AO286" s="29">
        <f ca="1">IFERROR(__xludf.DUMMYFUNCTION("""COMPUTED_VALUE"""),44432)</f>
        <v>44432</v>
      </c>
      <c r="AP286" s="27">
        <f ca="1">IFERROR(__xludf.DUMMYFUNCTION("""COMPUTED_VALUE"""),13)</f>
        <v>13</v>
      </c>
      <c r="AQ286" s="27" t="str">
        <f ca="1">IFERROR(__xludf.DUMMYFUNCTION("""COMPUTED_VALUE"""),"Primeiro Semestre 2021")</f>
        <v>Primeiro Semestre 2021</v>
      </c>
      <c r="AR286" s="27" t="str">
        <f ca="1">IFERROR(__xludf.DUMMYFUNCTION("""COMPUTED_VALUE"""),"edmarufjf@gmail.com")</f>
        <v>edmarufjf@gmail.com</v>
      </c>
      <c r="AS286" s="27" t="str">
        <f ca="1">IFERROR(__xludf.DUMMYFUNCTION("""COMPUTED_VALUE"""),"(32)8417-0749")</f>
        <v>(32)8417-0749</v>
      </c>
      <c r="AT286" s="29">
        <f ca="1">IFERROR(__xludf.DUMMYFUNCTION("""COMPUTED_VALUE"""),32766)</f>
        <v>32766</v>
      </c>
      <c r="AU286" s="27">
        <f ca="1">IFERROR(__xludf.DUMMYFUNCTION("""COMPUTED_VALUE"""),33)</f>
        <v>33</v>
      </c>
      <c r="AV286" s="27">
        <f ca="1">IFERROR(__xludf.DUMMYFUNCTION("""COMPUTED_VALUE"""),9229708666)</f>
        <v>9229708666</v>
      </c>
      <c r="AW286" s="27">
        <f ca="1">IFERROR(__xludf.DUMMYFUNCTION("""COMPUTED_VALUE"""),15891455)</f>
        <v>15891455</v>
      </c>
      <c r="AX286" s="27" t="str">
        <f ca="1">IFERROR(__xludf.DUMMYFUNCTION("""COMPUTED_VALUE"""),"Educação Física / Música")</f>
        <v>Educação Física / Música</v>
      </c>
      <c r="AY286" s="27"/>
      <c r="AZ286" s="27" t="str">
        <f ca="1">IFERROR(__xludf.DUMMYFUNCTION("""COMPUTED_VALUE"""),"M")</f>
        <v>M</v>
      </c>
      <c r="BA286" s="27" t="str">
        <f ca="1">IFERROR(__xludf.DUMMYFUNCTION("""COMPUTED_VALUE"""),"Branca")</f>
        <v>Branca</v>
      </c>
      <c r="BB286" s="27"/>
      <c r="BC286" s="27" t="str">
        <f ca="1">IFERROR(__xludf.DUMMYFUNCTION("""COMPUTED_VALUE"""),"Não")</f>
        <v>Não</v>
      </c>
      <c r="BD286" s="27" t="str">
        <f ca="1">IFERROR(__xludf.DUMMYFUNCTION("""COMPUTED_VALUE"""),"Instituto DOM é uma organização social, com sede a rua Belo vale,166, Dom Bosco, MG. Nossa missão é ampliar o acesso a comunidades em situações de vulnerabilidade social, visando interromper o ciclo da pobreza.")</f>
        <v>Instituto DOM é uma organização social, com sede a rua Belo vale,166, Dom Bosco, MG. Nossa missão é ampliar o acesso a comunidades em situações de vulnerabilidade social, visando interromper o ciclo da pobreza.</v>
      </c>
      <c r="BE286" s="27" t="str">
        <f ca="1">IFERROR(__xludf.DUMMYFUNCTION("""COMPUTED_VALUE"""),"Feminino")</f>
        <v>Feminino</v>
      </c>
      <c r="BF286" s="27" t="str">
        <f ca="1">IFERROR(__xludf.DUMMYFUNCTION("""COMPUTED_VALUE"""),"Heterossexual")</f>
        <v>Heterossexual</v>
      </c>
      <c r="BG286" s="27" t="str">
        <f ca="1">IFERROR(__xludf.DUMMYFUNCTION("""COMPUTED_VALUE"""),"Ensino Superior - Completo")</f>
        <v>Ensino Superior - Completo</v>
      </c>
      <c r="BH286" s="27"/>
      <c r="BI286" s="27" t="str">
        <f ca="1">IFERROR(__xludf.DUMMYFUNCTION("""COMPUTED_VALUE"""),"Graduação")</f>
        <v>Graduação</v>
      </c>
      <c r="BJ286" s="27" t="str">
        <f ca="1">IFERROR(__xludf.DUMMYFUNCTION("""COMPUTED_VALUE"""),"Público")</f>
        <v>Público</v>
      </c>
      <c r="BK286" s="27" t="str">
        <f ca="1">IFERROR(__xludf.DUMMYFUNCTION("""COMPUTED_VALUE"""),"Rua Silvério da silveira")</f>
        <v>Rua Silvério da silveira</v>
      </c>
      <c r="BL286" s="27">
        <f ca="1">IFERROR(__xludf.DUMMYFUNCTION("""COMPUTED_VALUE"""),425)</f>
        <v>425</v>
      </c>
      <c r="BM286" s="27" t="str">
        <f ca="1">IFERROR(__xludf.DUMMYFUNCTION("""COMPUTED_VALUE"""),"Casa")</f>
        <v>Casa</v>
      </c>
      <c r="BN286" s="27" t="str">
        <f ca="1">IFERROR(__xludf.DUMMYFUNCTION("""COMPUTED_VALUE"""),"Juiz de fora")</f>
        <v>Juiz de fora</v>
      </c>
      <c r="BO286" s="27" t="str">
        <f ca="1">IFERROR(__xludf.DUMMYFUNCTION("""COMPUTED_VALUE"""),"36025-610")</f>
        <v>36025-610</v>
      </c>
      <c r="BP286" s="27" t="str">
        <f ca="1">IFERROR(__xludf.DUMMYFUNCTION("""COMPUTED_VALUE"""),"MG")</f>
        <v>MG</v>
      </c>
      <c r="BQ286" s="27" t="str">
        <f ca="1">IFERROR(__xludf.DUMMYFUNCTION("""COMPUTED_VALUE"""),"Entre 1 até 3 salários mínimos")</f>
        <v>Entre 1 até 3 salários mínimos</v>
      </c>
      <c r="BR286" s="27" t="str">
        <f ca="1">IFERROR(__xludf.DUMMYFUNCTION("""COMPUTED_VALUE"""),"Desempregado")</f>
        <v>Desempregado</v>
      </c>
      <c r="BS286" s="27" t="str">
        <f ca="1">IFERROR(__xludf.DUMMYFUNCTION("""COMPUTED_VALUE"""),"Casa própria")</f>
        <v>Casa própria</v>
      </c>
      <c r="BT286" s="27">
        <f ca="1">IFERROR(__xludf.DUMMYFUNCTION("""COMPUTED_VALUE"""),2)</f>
        <v>2</v>
      </c>
      <c r="BU286" s="27"/>
      <c r="BV286" s="27"/>
      <c r="BW286" s="27" t="str">
        <f ca="1">IFERROR(__xludf.DUMMYFUNCTION("""COMPUTED_VALUE"""),"cassimiro.edmar")</f>
        <v>cassimiro.edmar</v>
      </c>
      <c r="BX286" s="27" t="str">
        <f ca="1">IFERROR(__xludf.DUMMYFUNCTION("""COMPUTED_VALUE"""),"CASSIMIRO.edmar")</f>
        <v>CASSIMIRO.edmar</v>
      </c>
      <c r="BY286" s="21" t="str">
        <f ca="1">IFERROR(__xludf.DUMMYFUNCTION("""COMPUTED_VALUE"""),"https://drive.google.com/open?id=1Rmdbt8O7YB11o-idYSMZeghnTIyBbsjE")</f>
        <v>https://drive.google.com/open?id=1Rmdbt8O7YB11o-idYSMZeghnTIyBbsjE</v>
      </c>
    </row>
    <row r="287" spans="1:77" ht="12.5" x14ac:dyDescent="0.25">
      <c r="A287" s="21" t="str">
        <f ca="1">IFERROR(__xludf.DUMMYFUNCTION("""COMPUTED_VALUE"""),"0014X00002VKCqyQAH")</f>
        <v>0014X00002VKCqyQAH</v>
      </c>
      <c r="B287" s="27" t="str">
        <f ca="1">IFERROR(__xludf.DUMMYFUNCTION("""COMPUTED_VALUE"""),"Fase Inicial")</f>
        <v>Fase Inicial</v>
      </c>
      <c r="C287" s="27" t="str">
        <f ca="1">IFERROR(__xludf.DUMMYFUNCTION("""COMPUTED_VALUE"""),"Fellow")</f>
        <v>Fellow</v>
      </c>
      <c r="D287" s="27" t="str">
        <f ca="1">IFERROR(__xludf.DUMMYFUNCTION("""COMPUTED_VALUE"""),"Ativo")</f>
        <v>Ativo</v>
      </c>
      <c r="E287" s="27" t="str">
        <f ca="1">IFERROR(__xludf.DUMMYFUNCTION("""COMPUTED_VALUE"""),"Ideal do Amanhã Guaicuy")</f>
        <v>Ideal do Amanhã Guaicuy</v>
      </c>
      <c r="F287" s="27" t="str">
        <f ca="1">IFERROR(__xludf.DUMMYFUNCTION("""COMPUTED_VALUE"""),"Marcia")</f>
        <v>Marcia</v>
      </c>
      <c r="G287" s="27" t="str">
        <f ca="1">IFERROR(__xludf.DUMMYFUNCTION("""COMPUTED_VALUE"""),"IDEAL DO AMANHÃ")</f>
        <v>IDEAL DO AMANHÃ</v>
      </c>
      <c r="H287" s="27" t="str">
        <f ca="1">IFERROR(__xludf.DUMMYFUNCTION("""COMPUTED_VALUE"""),"44.449.612/0001-31")</f>
        <v>44.449.612/0001-31</v>
      </c>
      <c r="I287" s="27" t="str">
        <f ca="1">IFERROR(__xludf.DUMMYFUNCTION("""COMPUTED_VALUE"""),"Marcia Rodrigues Tomaz")</f>
        <v>Marcia Rodrigues Tomaz</v>
      </c>
      <c r="J287" s="27" t="str">
        <f ca="1">IFERROR(__xludf.DUMMYFUNCTION("""COMPUTED_VALUE"""),"idealdoamanha.org@gmail.com")</f>
        <v>idealdoamanha.org@gmail.com</v>
      </c>
      <c r="K287" s="27" t="str">
        <f ca="1">IFERROR(__xludf.DUMMYFUNCTION("""COMPUTED_VALUE"""),"(31)99938-8077")</f>
        <v>(31)99938-8077</v>
      </c>
      <c r="L287" s="27" t="str">
        <f ca="1">IFERROR(__xludf.DUMMYFUNCTION("""COMPUTED_VALUE"""),"MG")</f>
        <v>MG</v>
      </c>
      <c r="M287" s="27" t="str">
        <f ca="1">IFERROR(__xludf.DUMMYFUNCTION("""COMPUTED_VALUE"""),"BOLIVAR DE FREITAS")</f>
        <v>BOLIVAR DE FREITAS</v>
      </c>
      <c r="N287" s="27" t="str">
        <f ca="1">IFERROR(__xludf.DUMMYFUNCTION("""COMPUTED_VALUE"""),"CENTRO")</f>
        <v>CENTRO</v>
      </c>
      <c r="O287" s="27">
        <f ca="1">IFERROR(__xludf.DUMMYFUNCTION("""COMPUTED_VALUE"""),35)</f>
        <v>35</v>
      </c>
      <c r="P287" s="27" t="str">
        <f ca="1">IFERROR(__xludf.DUMMYFUNCTION("""COMPUTED_VALUE"""),"RAPOSOS")</f>
        <v>RAPOSOS</v>
      </c>
      <c r="Q287" s="27"/>
      <c r="R287" s="27" t="str">
        <f ca="1">IFERROR(__xludf.DUMMYFUNCTION("""COMPUTED_VALUE"""),"34400-000")</f>
        <v>34400-000</v>
      </c>
      <c r="S287" s="27" t="str">
        <f ca="1">IFERROR(__xludf.DUMMYFUNCTION("""COMPUTED_VALUE"""),"CAMPO DE FUTEBOL CEDIDO")</f>
        <v>CAMPO DE FUTEBOL CEDIDO</v>
      </c>
      <c r="T287" s="27"/>
      <c r="U287" s="27" t="str">
        <f ca="1">IFERROR(__xludf.DUMMYFUNCTION("""COMPUTED_VALUE"""),"Crianças (6 a 12 anos), Adolescentes (12 aos 18 anos), Jovens (18 aos 24 anos), Adultos")</f>
        <v>Crianças (6 a 12 anos), Adolescentes (12 aos 18 anos), Jovens (18 aos 24 anos), Adultos</v>
      </c>
      <c r="V287" s="27" t="str">
        <f ca="1">IFERROR(__xludf.DUMMYFUNCTION("""COMPUTED_VALUE"""),"Moradores de Favelas, Comunidade rural, Outros")</f>
        <v>Moradores de Favelas, Comunidade rural, Outros</v>
      </c>
      <c r="W287" s="27">
        <f ca="1">IFERROR(__xludf.DUMMYFUNCTION("""COMPUTED_VALUE"""),10)</f>
        <v>10</v>
      </c>
      <c r="X287" s="27" t="str">
        <f ca="1">IFERROR(__xludf.DUMMYFUNCTION("""COMPUTED_VALUE"""),"Damos orientação para as famílias q na maioria das vezes sofreram algum trauma. Assistimos  algumas profissionais do sexo")</f>
        <v>Damos orientação para as famílias q na maioria das vezes sofreram algum trauma. Assistimos  algumas profissionais do sexo</v>
      </c>
      <c r="Y287" s="27"/>
      <c r="Z287" s="27">
        <f ca="1">IFERROR(__xludf.DUMMYFUNCTION("""COMPUTED_VALUE"""),300)</f>
        <v>300</v>
      </c>
      <c r="AA287" s="29">
        <f ca="1">IFERROR(__xludf.DUMMYFUNCTION("""COMPUTED_VALUE"""),44531)</f>
        <v>44531</v>
      </c>
      <c r="AB287" s="27" t="str">
        <f ca="1">IFERROR(__xludf.DUMMYFUNCTION("""COMPUTED_VALUE"""),"Não")</f>
        <v>Não</v>
      </c>
      <c r="AC287" s="27">
        <f ca="1">IFERROR(__xludf.DUMMYFUNCTION("""COMPUTED_VALUE"""),20)</f>
        <v>20</v>
      </c>
      <c r="AD287" s="27">
        <f ca="1">IFERROR(__xludf.DUMMYFUNCTION("""COMPUTED_VALUE"""),20)</f>
        <v>20</v>
      </c>
      <c r="AE287" s="27">
        <f ca="1">IFERROR(__xludf.DUMMYFUNCTION("""COMPUTED_VALUE"""),20)</f>
        <v>20</v>
      </c>
      <c r="AF287" s="27">
        <f ca="1">IFERROR(__xludf.DUMMYFUNCTION("""COMPUTED_VALUE"""),20)</f>
        <v>20</v>
      </c>
      <c r="AG287" s="27">
        <f ca="1">IFERROR(__xludf.DUMMYFUNCTION("""COMPUTED_VALUE"""),3)</f>
        <v>3</v>
      </c>
      <c r="AH287" s="27" t="str">
        <f ca="1">IFERROR(__xludf.DUMMYFUNCTION("""COMPUTED_VALUE"""),"Eventos/Ações para captação, Parceria iniciativa privada, Doações")</f>
        <v>Eventos/Ações para captação, Parceria iniciativa privada, Doações</v>
      </c>
      <c r="AI287" s="27" t="str">
        <f ca="1">IFERROR(__xludf.DUMMYFUNCTION("""COMPUTED_VALUE"""),"25%,DOAÇÕES,  50% EVENTO\CAPITAÇÃO RECURSO,25% INICIATIVAPRIVADO")</f>
        <v>25%,DOAÇÕES,  50% EVENTO\CAPITAÇÃO RECURSO,25% INICIATIVAPRIVADO</v>
      </c>
      <c r="AJ287" s="27" t="str">
        <f ca="1">IFERROR(__xludf.DUMMYFUNCTION("""COMPUTED_VALUE"""),"Sim")</f>
        <v>Sim</v>
      </c>
      <c r="AK287" s="27"/>
      <c r="AL287" s="21" t="str">
        <f ca="1">IFERROR(__xludf.DUMMYFUNCTION("""COMPUTED_VALUE"""),"0034X0000380O4l")</f>
        <v>0034X0000380O4l</v>
      </c>
      <c r="AM287" s="27" t="str">
        <f ca="1">IFERROR(__xludf.DUMMYFUNCTION("""COMPUTED_VALUE"""),"Rodrigues tomaz")</f>
        <v>Rodrigues tomaz</v>
      </c>
      <c r="AN287" s="27" t="str">
        <f ca="1">IFERROR(__xludf.DUMMYFUNCTION("""COMPUTED_VALUE"""),"Ativo")</f>
        <v>Ativo</v>
      </c>
      <c r="AO287" s="29">
        <f ca="1">IFERROR(__xludf.DUMMYFUNCTION("""COMPUTED_VALUE"""),44763)</f>
        <v>44763</v>
      </c>
      <c r="AP287" s="27">
        <f ca="1">IFERROR(__xludf.DUMMYFUNCTION("""COMPUTED_VALUE"""),2)</f>
        <v>2</v>
      </c>
      <c r="AQ287" s="27" t="str">
        <f ca="1">IFERROR(__xludf.DUMMYFUNCTION("""COMPUTED_VALUE"""),"Primeiro Semestre 2022")</f>
        <v>Primeiro Semestre 2022</v>
      </c>
      <c r="AR287" s="27" t="str">
        <f ca="1">IFERROR(__xludf.DUMMYFUNCTION("""COMPUTED_VALUE"""),"marciatrodrigues@yahoo.com.br")</f>
        <v>marciatrodrigues@yahoo.com.br</v>
      </c>
      <c r="AS287" s="27">
        <f ca="1">IFERROR(__xludf.DUMMYFUNCTION("""COMPUTED_VALUE"""),31999388077)</f>
        <v>31999388077</v>
      </c>
      <c r="AT287" s="29">
        <f ca="1">IFERROR(__xludf.DUMMYFUNCTION("""COMPUTED_VALUE"""),26158)</f>
        <v>26158</v>
      </c>
      <c r="AU287" s="27">
        <f ca="1">IFERROR(__xludf.DUMMYFUNCTION("""COMPUTED_VALUE"""),51)</f>
        <v>51</v>
      </c>
      <c r="AV287" s="27">
        <f ca="1">IFERROR(__xludf.DUMMYFUNCTION("""COMPUTED_VALUE"""),384025641)</f>
        <v>384025641</v>
      </c>
      <c r="AW287" s="27" t="str">
        <f ca="1">IFERROR(__xludf.DUMMYFUNCTION("""COMPUTED_VALUE"""),"Mg7054370")</f>
        <v>Mg7054370</v>
      </c>
      <c r="AX287" s="27"/>
      <c r="AY287" s="27"/>
      <c r="AZ287" s="27" t="str">
        <f ca="1">IFERROR(__xludf.DUMMYFUNCTION("""COMPUTED_VALUE"""),"G")</f>
        <v>G</v>
      </c>
      <c r="BA287" s="27" t="str">
        <f ca="1">IFERROR(__xludf.DUMMYFUNCTION("""COMPUTED_VALUE"""),"Parda")</f>
        <v>Parda</v>
      </c>
      <c r="BB287" s="27"/>
      <c r="BC287" s="27"/>
      <c r="BD287" s="27" t="str">
        <f ca="1">IFERROR(__xludf.DUMMYFUNCTION("""COMPUTED_VALUE"""),"Sou Marcia Rodrigues Tomaz* tenho 50 anos*  casada* sou nascida e criada em  Raposos Minas Gerais* Estou no 8 período de  estudante de  Serviço Social. Sou funcionaria publica a mais de 15 anos* e atuo como voluntaria na associação Ideal do Amanha Guaycui"&amp;"   a mais de 4 anos.")</f>
        <v>Sou Marcia Rodrigues Tomaz* tenho 50 anos*  casada* sou nascida e criada em  Raposos Minas Gerais* Estou no 8 período de  estudante de  Serviço Social. Sou funcionaria publica a mais de 15 anos* e atuo como voluntaria na associação Ideal do Amanha Guaycui   a mais de 4 anos.</v>
      </c>
      <c r="BE287" s="27" t="str">
        <f ca="1">IFERROR(__xludf.DUMMYFUNCTION("""COMPUTED_VALUE"""),"Feminino")</f>
        <v>Feminino</v>
      </c>
      <c r="BF287" s="27" t="str">
        <f ca="1">IFERROR(__xludf.DUMMYFUNCTION("""COMPUTED_VALUE"""),"Heterossexual")</f>
        <v>Heterossexual</v>
      </c>
      <c r="BG287" s="27"/>
      <c r="BH287" s="27" t="str">
        <f ca="1">IFERROR(__xludf.DUMMYFUNCTION("""COMPUTED_VALUE"""),"Público")</f>
        <v>Público</v>
      </c>
      <c r="BI287" s="27" t="str">
        <f ca="1">IFERROR(__xludf.DUMMYFUNCTION("""COMPUTED_VALUE"""),"Graduação")</f>
        <v>Graduação</v>
      </c>
      <c r="BJ287" s="27" t="str">
        <f ca="1">IFERROR(__xludf.DUMMYFUNCTION("""COMPUTED_VALUE"""),"Privado")</f>
        <v>Privado</v>
      </c>
      <c r="BK287" s="27" t="str">
        <f ca="1">IFERROR(__xludf.DUMMYFUNCTION("""COMPUTED_VALUE"""),"Rua António carlos")</f>
        <v>Rua António carlos</v>
      </c>
      <c r="BL287" s="27">
        <f ca="1">IFERROR(__xludf.DUMMYFUNCTION("""COMPUTED_VALUE"""),377)</f>
        <v>377</v>
      </c>
      <c r="BM287" s="27"/>
      <c r="BN287" s="27"/>
      <c r="BO287" s="27">
        <f ca="1">IFERROR(__xludf.DUMMYFUNCTION("""COMPUTED_VALUE"""),34400000)</f>
        <v>34400000</v>
      </c>
      <c r="BP287" s="27" t="str">
        <f ca="1">IFERROR(__xludf.DUMMYFUNCTION("""COMPUTED_VALUE"""),"MG")</f>
        <v>MG</v>
      </c>
      <c r="BQ287" s="27" t="str">
        <f ca="1">IFERROR(__xludf.DUMMYFUNCTION("""COMPUTED_VALUE"""),"Entre 1 até 3 salários mínimos")</f>
        <v>Entre 1 até 3 salários mínimos</v>
      </c>
      <c r="BR287" s="27" t="str">
        <f ca="1">IFERROR(__xludf.DUMMYFUNCTION("""COMPUTED_VALUE"""),"Funcionário Público")</f>
        <v>Funcionário Público</v>
      </c>
      <c r="BS287" s="27" t="str">
        <f ca="1">IFERROR(__xludf.DUMMYFUNCTION("""COMPUTED_VALUE"""),"Casa própria")</f>
        <v>Casa própria</v>
      </c>
      <c r="BT287" s="27">
        <f ca="1">IFERROR(__xludf.DUMMYFUNCTION("""COMPUTED_VALUE"""),4)</f>
        <v>4</v>
      </c>
      <c r="BU287" s="27" t="str">
        <f ca="1">IFERROR(__xludf.DUMMYFUNCTION("""COMPUTED_VALUE"""),"Não tem")</f>
        <v>Não tem</v>
      </c>
      <c r="BV287" s="27" t="str">
        <f ca="1">IFERROR(__xludf.DUMMYFUNCTION("""COMPUTED_VALUE"""),"Não")</f>
        <v>Não</v>
      </c>
      <c r="BW287" s="27"/>
      <c r="BX287" s="27"/>
      <c r="BY287" s="21" t="str">
        <f ca="1">IFERROR(__xludf.DUMMYFUNCTION("""COMPUTED_VALUE"""),"https://drive.google.com/open?id=1bHsGUao27GzzCvoqQtdNG0YlcaZ8r7HK")</f>
        <v>https://drive.google.com/open?id=1bHsGUao27GzzCvoqQtdNG0YlcaZ8r7HK</v>
      </c>
    </row>
    <row r="288" spans="1:77" ht="12.5" hidden="1" x14ac:dyDescent="0.25">
      <c r="A288" s="21" t="str">
        <f ca="1">IFERROR(__xludf.DUMMYFUNCTION("""COMPUTED_VALUE"""),"0014P00003YSp8tQAD")</f>
        <v>0014P00003YSp8tQAD</v>
      </c>
      <c r="B288" s="27" t="str">
        <f ca="1">IFERROR(__xludf.DUMMYFUNCTION("""COMPUTED_VALUE"""),"Fase Inicial")</f>
        <v>Fase Inicial</v>
      </c>
      <c r="C288" s="27" t="str">
        <f ca="1">IFERROR(__xludf.DUMMYFUNCTION("""COMPUTED_VALUE"""),"Fellow")</f>
        <v>Fellow</v>
      </c>
      <c r="D288" s="27" t="str">
        <f ca="1">IFERROR(__xludf.DUMMYFUNCTION("""COMPUTED_VALUE"""),"Ativo")</f>
        <v>Ativo</v>
      </c>
      <c r="E288" s="27" t="str">
        <f ca="1">IFERROR(__xludf.DUMMYFUNCTION("""COMPUTED_VALUE"""),"Impactação Transformação Social")</f>
        <v>Impactação Transformação Social</v>
      </c>
      <c r="F288" s="27" t="str">
        <f ca="1">IFERROR(__xludf.DUMMYFUNCTION("""COMPUTED_VALUE"""),"Gilberto")</f>
        <v>Gilberto</v>
      </c>
      <c r="G288" s="27"/>
      <c r="H288" s="27"/>
      <c r="I288" s="27" t="str">
        <f ca="1">IFERROR(__xludf.DUMMYFUNCTION("""COMPUTED_VALUE"""),"Gilberto")</f>
        <v>Gilberto</v>
      </c>
      <c r="J288" s="27" t="str">
        <f ca="1">IFERROR(__xludf.DUMMYFUNCTION("""COMPUTED_VALUE"""),"impactacaosocial@gmail.com")</f>
        <v>impactacaosocial@gmail.com</v>
      </c>
      <c r="K288" s="27" t="str">
        <f ca="1">IFERROR(__xludf.DUMMYFUNCTION("""COMPUTED_VALUE"""),"(11)98798-1374")</f>
        <v>(11)98798-1374</v>
      </c>
      <c r="L288" s="27" t="str">
        <f ca="1">IFERROR(__xludf.DUMMYFUNCTION("""COMPUTED_VALUE"""),"SP")</f>
        <v>SP</v>
      </c>
      <c r="M288" s="27" t="str">
        <f ca="1">IFERROR(__xludf.DUMMYFUNCTION("""COMPUTED_VALUE"""),"Sem sede")</f>
        <v>Sem sede</v>
      </c>
      <c r="N288" s="27" t="str">
        <f ca="1">IFERROR(__xludf.DUMMYFUNCTION("""COMPUTED_VALUE"""),"Vila Osasco")</f>
        <v>Vila Osasco</v>
      </c>
      <c r="O288" s="27">
        <f ca="1">IFERROR(__xludf.DUMMYFUNCTION("""COMPUTED_VALUE"""),136)</f>
        <v>136</v>
      </c>
      <c r="P288" s="27" t="str">
        <f ca="1">IFERROR(__xludf.DUMMYFUNCTION("""COMPUTED_VALUE"""),"Osasco")</f>
        <v>Osasco</v>
      </c>
      <c r="Q288" s="27" t="str">
        <f ca="1">IFERROR(__xludf.DUMMYFUNCTION("""COMPUTED_VALUE"""),"Apartamento 81")</f>
        <v>Apartamento 81</v>
      </c>
      <c r="R288" s="27" t="str">
        <f ca="1">IFERROR(__xludf.DUMMYFUNCTION("""COMPUTED_VALUE"""),"06028-010")</f>
        <v>06028-010</v>
      </c>
      <c r="S288" s="27"/>
      <c r="T288" s="27" t="str">
        <f ca="1">IFERROR(__xludf.DUMMYFUNCTION("""COMPUTED_VALUE"""),"Empregabilidade; Assistência Social; Meio ambiente; Animais; Desenvolvimento comunitário")</f>
        <v>Empregabilidade; Assistência Social; Meio ambiente; Animais; Desenvolvimento comunitário</v>
      </c>
      <c r="U288"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288" s="27" t="str">
        <f ca="1">IFERROR(__xludf.DUMMYFUNCTION("""COMPUTED_VALUE"""),"Moradores de Favelas; Pessoas em situação de rua")</f>
        <v>Moradores de Favelas; Pessoas em situação de rua</v>
      </c>
      <c r="W288" s="27">
        <f ca="1">IFERROR(__xludf.DUMMYFUNCTION("""COMPUTED_VALUE"""),2)</f>
        <v>2</v>
      </c>
      <c r="X288" s="27"/>
      <c r="Y288" s="27"/>
      <c r="Z288" s="27">
        <f ca="1">IFERROR(__xludf.DUMMYFUNCTION("""COMPUTED_VALUE"""),740)</f>
        <v>740</v>
      </c>
      <c r="AA288" s="29">
        <f ca="1">IFERROR(__xludf.DUMMYFUNCTION("""COMPUTED_VALUE"""),44104)</f>
        <v>44104</v>
      </c>
      <c r="AB288" s="27" t="str">
        <f ca="1">IFERROR(__xludf.DUMMYFUNCTION("""COMPUTED_VALUE"""),"Não")</f>
        <v>Não</v>
      </c>
      <c r="AC288" s="27">
        <f ca="1">IFERROR(__xludf.DUMMYFUNCTION("""COMPUTED_VALUE"""),0)</f>
        <v>0</v>
      </c>
      <c r="AD288" s="27">
        <f ca="1">IFERROR(__xludf.DUMMYFUNCTION("""COMPUTED_VALUE"""),0)</f>
        <v>0</v>
      </c>
      <c r="AE288" s="27">
        <f ca="1">IFERROR(__xludf.DUMMYFUNCTION("""COMPUTED_VALUE"""),49)</f>
        <v>49</v>
      </c>
      <c r="AF288" s="27">
        <f ca="1">IFERROR(__xludf.DUMMYFUNCTION("""COMPUTED_VALUE"""),70)</f>
        <v>70</v>
      </c>
      <c r="AG288" s="27">
        <f ca="1">IFERROR(__xludf.DUMMYFUNCTION("""COMPUTED_VALUE"""),2)</f>
        <v>2</v>
      </c>
      <c r="AH288" s="27" t="str">
        <f ca="1">IFERROR(__xludf.DUMMYFUNCTION("""COMPUTED_VALUE"""),"Doações; Recursos próprios")</f>
        <v>Doações; Recursos próprios</v>
      </c>
      <c r="AI288" s="27" t="str">
        <f ca="1">IFERROR(__xludf.DUMMYFUNCTION("""COMPUTED_VALUE"""),"Não aplicável")</f>
        <v>Não aplicável</v>
      </c>
      <c r="AJ288" s="27"/>
      <c r="AK288" s="27"/>
      <c r="AL288" s="21" t="str">
        <f ca="1">IFERROR(__xludf.DUMMYFUNCTION("""COMPUTED_VALUE"""),"0034P000045kxjV")</f>
        <v>0034P000045kxjV</v>
      </c>
      <c r="AM288" s="27" t="str">
        <f ca="1">IFERROR(__xludf.DUMMYFUNCTION("""COMPUTED_VALUE"""),"Rodrilla")</f>
        <v>Rodrilla</v>
      </c>
      <c r="AN288" s="27" t="str">
        <f ca="1">IFERROR(__xludf.DUMMYFUNCTION("""COMPUTED_VALUE"""),"Ativo")</f>
        <v>Ativo</v>
      </c>
      <c r="AO288" s="29">
        <f ca="1">IFERROR(__xludf.DUMMYFUNCTION("""COMPUTED_VALUE"""),44551)</f>
        <v>44551</v>
      </c>
      <c r="AP288" s="27">
        <f ca="1">IFERROR(__xludf.DUMMYFUNCTION("""COMPUTED_VALUE"""),9)</f>
        <v>9</v>
      </c>
      <c r="AQ288" s="27" t="str">
        <f ca="1">IFERROR(__xludf.DUMMYFUNCTION("""COMPUTED_VALUE"""),"Segundo Semestre 2021")</f>
        <v>Segundo Semestre 2021</v>
      </c>
      <c r="AR288" s="27" t="str">
        <f ca="1">IFERROR(__xludf.DUMMYFUNCTION("""COMPUTED_VALUE"""),"gilbertorodrilla@gmail.com")</f>
        <v>gilbertorodrilla@gmail.com</v>
      </c>
      <c r="AS288" s="27" t="str">
        <f ca="1">IFERROR(__xludf.DUMMYFUNCTION("""COMPUTED_VALUE"""),"(11)98798-1374")</f>
        <v>(11)98798-1374</v>
      </c>
      <c r="AT288" s="29">
        <f ca="1">IFERROR(__xludf.DUMMYFUNCTION("""COMPUTED_VALUE"""),26995)</f>
        <v>26995</v>
      </c>
      <c r="AU288" s="27">
        <f ca="1">IFERROR(__xludf.DUMMYFUNCTION("""COMPUTED_VALUE"""),49)</f>
        <v>49</v>
      </c>
      <c r="AV288" s="27">
        <f ca="1">IFERROR(__xludf.DUMMYFUNCTION("""COMPUTED_VALUE"""),12951216890)</f>
        <v>12951216890</v>
      </c>
      <c r="AW288" s="27">
        <f ca="1">IFERROR(__xludf.DUMMYFUNCTION("""COMPUTED_VALUE"""),218176946)</f>
        <v>218176946</v>
      </c>
      <c r="AX288" s="27"/>
      <c r="AY288" s="27"/>
      <c r="AZ288" s="27" t="str">
        <f ca="1">IFERROR(__xludf.DUMMYFUNCTION("""COMPUTED_VALUE"""),"M")</f>
        <v>M</v>
      </c>
      <c r="BA288" s="27" t="str">
        <f ca="1">IFERROR(__xludf.DUMMYFUNCTION("""COMPUTED_VALUE"""),"Branca")</f>
        <v>Branca</v>
      </c>
      <c r="BB288" s="27" t="str">
        <f ca="1">IFERROR(__xludf.DUMMYFUNCTION("""COMPUTED_VALUE"""),"Homem, transgênero")</f>
        <v>Homem, transgênero</v>
      </c>
      <c r="BC288" s="27" t="str">
        <f ca="1">IFERROR(__xludf.DUMMYFUNCTION("""COMPUTED_VALUE"""),"Não")</f>
        <v>Não</v>
      </c>
      <c r="BD288" s="27" t="str">
        <f ca="1">IFERROR(__xludf.DUMMYFUNCTION("""COMPUTED_VALUE"""),"Não resido na Favela mas atuo em causas sociais há mais de 20 anos.")</f>
        <v>Não resido na Favela mas atuo em causas sociais há mais de 20 anos.</v>
      </c>
      <c r="BE288" s="27"/>
      <c r="BF288" s="27" t="str">
        <f ca="1">IFERROR(__xludf.DUMMYFUNCTION("""COMPUTED_VALUE"""),"Heterossexual")</f>
        <v>Heterossexual</v>
      </c>
      <c r="BG288" s="27" t="str">
        <f ca="1">IFERROR(__xludf.DUMMYFUNCTION("""COMPUTED_VALUE"""),"Ensino Superior - Completo")</f>
        <v>Ensino Superior - Completo</v>
      </c>
      <c r="BH288" s="27" t="str">
        <f ca="1">IFERROR(__xludf.DUMMYFUNCTION("""COMPUTED_VALUE"""),"Público")</f>
        <v>Público</v>
      </c>
      <c r="BI288" s="27" t="str">
        <f ca="1">IFERROR(__xludf.DUMMYFUNCTION("""COMPUTED_VALUE"""),"Pós-Graduação")</f>
        <v>Pós-Graduação</v>
      </c>
      <c r="BJ288" s="27" t="str">
        <f ca="1">IFERROR(__xludf.DUMMYFUNCTION("""COMPUTED_VALUE"""),"Privado")</f>
        <v>Privado</v>
      </c>
      <c r="BK288" s="27" t="str">
        <f ca="1">IFERROR(__xludf.DUMMYFUNCTION("""COMPUTED_VALUE"""),"Rua Paulo Lício Rizzo")</f>
        <v>Rua Paulo Lício Rizzo</v>
      </c>
      <c r="BL288" s="27">
        <f ca="1">IFERROR(__xludf.DUMMYFUNCTION("""COMPUTED_VALUE"""),136)</f>
        <v>136</v>
      </c>
      <c r="BM288" s="27" t="str">
        <f ca="1">IFERROR(__xludf.DUMMYFUNCTION("""COMPUTED_VALUE"""),"Apto 81")</f>
        <v>Apto 81</v>
      </c>
      <c r="BN288" s="27" t="str">
        <f ca="1">IFERROR(__xludf.DUMMYFUNCTION("""COMPUTED_VALUE"""),"Osasco")</f>
        <v>Osasco</v>
      </c>
      <c r="BO288" s="27" t="str">
        <f ca="1">IFERROR(__xludf.DUMMYFUNCTION("""COMPUTED_VALUE"""),"06018-010")</f>
        <v>06018-010</v>
      </c>
      <c r="BP288" s="27" t="str">
        <f ca="1">IFERROR(__xludf.DUMMYFUNCTION("""COMPUTED_VALUE"""),"SP")</f>
        <v>SP</v>
      </c>
      <c r="BQ288" s="27" t="str">
        <f ca="1">IFERROR(__xludf.DUMMYFUNCTION("""COMPUTED_VALUE"""),"Acima de 5 salários mínimos")</f>
        <v>Acima de 5 salários mínimos</v>
      </c>
      <c r="BR288" s="27" t="str">
        <f ca="1">IFERROR(__xludf.DUMMYFUNCTION("""COMPUTED_VALUE"""),"CLT")</f>
        <v>CLT</v>
      </c>
      <c r="BS288" s="27" t="str">
        <f ca="1">IFERROR(__xludf.DUMMYFUNCTION("""COMPUTED_VALUE"""),"Casa própria")</f>
        <v>Casa própria</v>
      </c>
      <c r="BT288" s="27">
        <f ca="1">IFERROR(__xludf.DUMMYFUNCTION("""COMPUTED_VALUE"""),2)</f>
        <v>2</v>
      </c>
      <c r="BU288" s="27" t="str">
        <f ca="1">IFERROR(__xludf.DUMMYFUNCTION("""COMPUTED_VALUE"""),"Não tem")</f>
        <v>Não tem</v>
      </c>
      <c r="BV288" s="27"/>
      <c r="BW288" s="27" t="str">
        <f ca="1">IFERROR(__xludf.DUMMYFUNCTION("""COMPUTED_VALUE"""),"www.linkedin.com/in/  gilberto-rodrilla-6980882a")</f>
        <v>www.linkedin.com/in/  gilberto-rodrilla-6980882a</v>
      </c>
      <c r="BX288" s="21" t="str">
        <f ca="1">IFERROR(__xludf.DUMMYFUNCTION("""COMPUTED_VALUE"""),"https://instagram.com/impactacao.social?igshid=78bok3lfo1lb")</f>
        <v>https://instagram.com/impactacao.social?igshid=78bok3lfo1lb</v>
      </c>
      <c r="BY288" s="21" t="str">
        <f ca="1">IFERROR(__xludf.DUMMYFUNCTION("""COMPUTED_VALUE"""),"https://drive.google.com/open?id=1w2x1FOnVpdxpl-AREkdjJx6S9wTz_fKS")</f>
        <v>https://drive.google.com/open?id=1w2x1FOnVpdxpl-AREkdjJx6S9wTz_fKS</v>
      </c>
    </row>
    <row r="289" spans="1:77" ht="12.5" x14ac:dyDescent="0.25">
      <c r="A289" s="21" t="str">
        <f ca="1">IFERROR(__xludf.DUMMYFUNCTION("""COMPUTED_VALUE"""),"0014P00003AN2h5QAD")</f>
        <v>0014P00003AN2h5QAD</v>
      </c>
      <c r="B289" s="27" t="str">
        <f ca="1">IFERROR(__xludf.DUMMYFUNCTION("""COMPUTED_VALUE"""),"Fase Avançada")</f>
        <v>Fase Avançada</v>
      </c>
      <c r="C289" s="27" t="str">
        <f ca="1">IFERROR(__xludf.DUMMYFUNCTION("""COMPUTED_VALUE"""),"Acelerada")</f>
        <v>Acelerada</v>
      </c>
      <c r="D289" s="27" t="str">
        <f ca="1">IFERROR(__xludf.DUMMYFUNCTION("""COMPUTED_VALUE"""),"Ativo")</f>
        <v>Ativo</v>
      </c>
      <c r="E289" s="27" t="str">
        <f ca="1">IFERROR(__xludf.DUMMYFUNCTION("""COMPUTED_VALUE"""),"Incanto - Instituto de Cultura Arte e Novas Tecnologias")</f>
        <v>Incanto - Instituto de Cultura Arte e Novas Tecnologias</v>
      </c>
      <c r="F289" s="27" t="str">
        <f ca="1">IFERROR(__xludf.DUMMYFUNCTION("""COMPUTED_VALUE"""),"Camila")</f>
        <v>Camila</v>
      </c>
      <c r="G289" s="27" t="str">
        <f ca="1">IFERROR(__xludf.DUMMYFUNCTION("""COMPUTED_VALUE"""),"INCANTO")</f>
        <v>INCANTO</v>
      </c>
      <c r="H289" s="27" t="str">
        <f ca="1">IFERROR(__xludf.DUMMYFUNCTION("""COMPUTED_VALUE"""),"33.282.678/0001-63")</f>
        <v>33.282.678/0001-63</v>
      </c>
      <c r="I289" s="27"/>
      <c r="J289" s="27" t="str">
        <f ca="1">IFERROR(__xludf.DUMMYFUNCTION("""COMPUTED_VALUE"""),"camila@institutoincanto.org.br")</f>
        <v>camila@institutoincanto.org.br</v>
      </c>
      <c r="K289" s="27" t="str">
        <f ca="1">IFERROR(__xludf.DUMMYFUNCTION("""COMPUTED_VALUE"""),"(41)99758-5118")</f>
        <v>(41)99758-5118</v>
      </c>
      <c r="L289" s="27" t="str">
        <f ca="1">IFERROR(__xludf.DUMMYFUNCTION("""COMPUTED_VALUE"""),"PR")</f>
        <v>PR</v>
      </c>
      <c r="M289" s="27" t="str">
        <f ca="1">IFERROR(__xludf.DUMMYFUNCTION("""COMPUTED_VALUE"""),"Rua Adalberto Gil da Silva")</f>
        <v>Rua Adalberto Gil da Silva</v>
      </c>
      <c r="N289" s="27" t="str">
        <f ca="1">IFERROR(__xludf.DUMMYFUNCTION("""COMPUTED_VALUE"""),"Santa Quitéria")</f>
        <v>Santa Quitéria</v>
      </c>
      <c r="O289" s="27">
        <f ca="1">IFERROR(__xludf.DUMMYFUNCTION("""COMPUTED_VALUE"""),205)</f>
        <v>205</v>
      </c>
      <c r="P289" s="27" t="str">
        <f ca="1">IFERROR(__xludf.DUMMYFUNCTION("""COMPUTED_VALUE"""),"Curitiba")</f>
        <v>Curitiba</v>
      </c>
      <c r="Q289" s="27"/>
      <c r="R289" s="27" t="str">
        <f ca="1">IFERROR(__xludf.DUMMYFUNCTION("""COMPUTED_VALUE"""),"80310-400")</f>
        <v>80310-400</v>
      </c>
      <c r="S289" s="27" t="str">
        <f ca="1">IFERROR(__xludf.DUMMYFUNCTION("""COMPUTED_VALUE"""),"Rua Astholpho Nogueira 83 - Santa Quitéria - Concessão de Uso de Espaço para os Cursos de Qualificação Profissional
Atendimento ás Ong's parceiras do Incanto nos próprios locais delas")</f>
        <v>Rua Astholpho Nogueira 83 - Santa Quitéria - Concessão de Uso de Espaço para os Cursos de Qualificação Profissional
Atendimento ás Ong's parceiras do Incanto nos próprios locais delas</v>
      </c>
      <c r="T289" s="27" t="str">
        <f ca="1">IFERROR(__xludf.DUMMYFUNCTION("""COMPUTED_VALUE"""),"Esporte; Educação; Empregabilidade; Assistência Social; Cultura; Qualificação Profissional; Empreendedorismo; Meio ambiente; Empoderamento Feminino; Negócios Sociais; Apoio à gestão de organizações de Terceiro Setor; Defesa de Direitos; Assistência Psicol"&amp;"ógica; Desenvolvimento comunitário")</f>
        <v>Esporte; Educação; Empregabilidade; Assistência Social; Cultura; Qualificação Profissional; Empreendedorismo; Meio ambiente; Empoderamento Feminino; Negócios Sociais; Apoio à gestão de organizações de Terceiro Setor; Defesa de Direitos; Assistência Psicológica; Desenvolvimento comunitário</v>
      </c>
      <c r="U289" s="27" t="str">
        <f ca="1">IFERROR(__xludf.DUMMYFUNCTION("""COMPUTED_VALUE"""),"Crianças (6 a 12 anos); Adolescentes (12 aos 18 anos)")</f>
        <v>Crianças (6 a 12 anos); Adolescentes (12 aos 18 anos)</v>
      </c>
      <c r="V289" s="27" t="str">
        <f ca="1">IFERROR(__xludf.DUMMYFUNCTION("""COMPUTED_VALUE"""),"Moradores de Favelas")</f>
        <v>Moradores de Favelas</v>
      </c>
      <c r="W289" s="27">
        <f ca="1">IFERROR(__xludf.DUMMYFUNCTION("""COMPUTED_VALUE"""),11)</f>
        <v>11</v>
      </c>
      <c r="X289" s="27" t="str">
        <f ca="1">IFERROR(__xludf.DUMMYFUNCTION("""COMPUTED_VALUE"""),"O trabalho na Portelinha e no Jardim Santos Andrade mais de perto começou em 2020 com a chegada do Centro Cultural Incanto antes eram apenas Ong's parceiras mas com a consolidação do espaço próprio no território o trabalho começou a se aprofundar mais.")</f>
        <v>O trabalho na Portelinha e no Jardim Santos Andrade mais de perto começou em 2020 com a chegada do Centro Cultural Incanto antes eram apenas Ong's parceiras mas com a consolidação do espaço próprio no território o trabalho começou a se aprofundar mais.</v>
      </c>
      <c r="Y289" s="27"/>
      <c r="Z289" s="27"/>
      <c r="AA289" s="29">
        <f ca="1">IFERROR(__xludf.DUMMYFUNCTION("""COMPUTED_VALUE"""),42999)</f>
        <v>42999</v>
      </c>
      <c r="AB289" s="27" t="str">
        <f ca="1">IFERROR(__xludf.DUMMYFUNCTION("""COMPUTED_VALUE"""),"Sim")</f>
        <v>Sim</v>
      </c>
      <c r="AC289" s="27">
        <f ca="1">IFERROR(__xludf.DUMMYFUNCTION("""COMPUTED_VALUE"""),25)</f>
        <v>25</v>
      </c>
      <c r="AD289" s="27">
        <f ca="1">IFERROR(__xludf.DUMMYFUNCTION("""COMPUTED_VALUE"""),1)</f>
        <v>1</v>
      </c>
      <c r="AE289" s="27">
        <f ca="1">IFERROR(__xludf.DUMMYFUNCTION("""COMPUTED_VALUE"""),150)</f>
        <v>150</v>
      </c>
      <c r="AF289" s="27">
        <f ca="1">IFERROR(__xludf.DUMMYFUNCTION("""COMPUTED_VALUE"""),72)</f>
        <v>72</v>
      </c>
      <c r="AG289" s="27">
        <f ca="1">IFERROR(__xludf.DUMMYFUNCTION("""COMPUTED_VALUE"""),3)</f>
        <v>3</v>
      </c>
      <c r="AH289" s="27" t="str">
        <f ca="1">IFERROR(__xludf.DUMMYFUNCTION("""COMPUTED_VALUE"""),"Lei de Incentivo; Eventos/Ações para captação; Plataforma doação online - Pessoa Física; Parceria iniciativa privada; Editais; Doações; Lei Rouanet")</f>
        <v>Lei de Incentivo; Eventos/Ações para captação; Plataforma doação online - Pessoa Física; Parceria iniciativa privada; Editais; Doações; Lei Rouanet</v>
      </c>
      <c r="AI289" s="27" t="str">
        <f ca="1">IFERROR(__xludf.DUMMYFUNCTION("""COMPUTED_VALUE"""),"80% Lei Rouanet / 15% Patrocinio direto / 5% Doação Recorrente")</f>
        <v>80% Lei Rouanet / 15% Patrocinio direto / 5% Doação Recorrente</v>
      </c>
      <c r="AJ289" s="27" t="str">
        <f ca="1">IFERROR(__xludf.DUMMYFUNCTION("""COMPUTED_VALUE"""),"Não")</f>
        <v>Não</v>
      </c>
      <c r="AK289" s="27" t="str">
        <f ca="1">IFERROR(__xludf.DUMMYFUNCTION("""COMPUTED_VALUE"""),"Não")</f>
        <v>Não</v>
      </c>
      <c r="AL289" s="21" t="str">
        <f ca="1">IFERROR(__xludf.DUMMYFUNCTION("""COMPUTED_VALUE"""),"0034P00003maBVM")</f>
        <v>0034P00003maBVM</v>
      </c>
      <c r="AM289" s="27" t="str">
        <f ca="1">IFERROR(__xludf.DUMMYFUNCTION("""COMPUTED_VALUE"""),"Casagrande")</f>
        <v>Casagrande</v>
      </c>
      <c r="AN289" s="27" t="str">
        <f ca="1">IFERROR(__xludf.DUMMYFUNCTION("""COMPUTED_VALUE"""),"Ativo")</f>
        <v>Ativo</v>
      </c>
      <c r="AO289" s="30">
        <f ca="1">IFERROR(__xludf.DUMMYFUNCTION("""COMPUTED_VALUE"""),44253)</f>
        <v>44253</v>
      </c>
      <c r="AP289" s="27">
        <f ca="1">IFERROR(__xludf.DUMMYFUNCTION("""COMPUTED_VALUE"""),19)</f>
        <v>19</v>
      </c>
      <c r="AQ289" s="27" t="str">
        <f ca="1">IFERROR(__xludf.DUMMYFUNCTION("""COMPUTED_VALUE"""),"Primeiro Semestre 2020")</f>
        <v>Primeiro Semestre 2020</v>
      </c>
      <c r="AR289" s="27" t="str">
        <f ca="1">IFERROR(__xludf.DUMMYFUNCTION("""COMPUTED_VALUE"""),"camila@institutoincanto.org.br")</f>
        <v>camila@institutoincanto.org.br</v>
      </c>
      <c r="AS289" s="27" t="str">
        <f ca="1">IFERROR(__xludf.DUMMYFUNCTION("""COMPUTED_VALUE"""),"(41)99758-5118")</f>
        <v>(41)99758-5118</v>
      </c>
      <c r="AT289" s="30">
        <f ca="1">IFERROR(__xludf.DUMMYFUNCTION("""COMPUTED_VALUE"""),33938)</f>
        <v>33938</v>
      </c>
      <c r="AU289" s="27">
        <f ca="1">IFERROR(__xludf.DUMMYFUNCTION("""COMPUTED_VALUE"""),30)</f>
        <v>30</v>
      </c>
      <c r="AV289" s="27">
        <f ca="1">IFERROR(__xludf.DUMMYFUNCTION("""COMPUTED_VALUE"""),7806187936)</f>
        <v>7806187936</v>
      </c>
      <c r="AW289" s="27">
        <f ca="1">IFERROR(__xludf.DUMMYFUNCTION("""COMPUTED_VALUE"""),109669598)</f>
        <v>109669598</v>
      </c>
      <c r="AX289" s="27" t="str">
        <f ca="1">IFERROR(__xludf.DUMMYFUNCTION("""COMPUTED_VALUE"""),"Publicidade e Propaganda / Pós: Empreendedorismo Social e Negócios Sociais / Mba em Dança - Gestão e Produção Cultural / Produção de Arte e Gestão da Cultura")</f>
        <v>Publicidade e Propaganda / Pós: Empreendedorismo Social e Negócios Sociais / Mba em Dança - Gestão e Produção Cultural / Produção de Arte e Gestão da Cultura</v>
      </c>
      <c r="AY289" s="27"/>
      <c r="AZ289" s="27" t="str">
        <f ca="1">IFERROR(__xludf.DUMMYFUNCTION("""COMPUTED_VALUE"""),"P")</f>
        <v>P</v>
      </c>
      <c r="BA289" s="27"/>
      <c r="BB289" s="27"/>
      <c r="BC289" s="27" t="str">
        <f ca="1">IFERROR(__xludf.DUMMYFUNCTION("""COMPUTED_VALUE"""),"Sim")</f>
        <v>Sim</v>
      </c>
      <c r="BD289" s="27" t="str">
        <f ca="1">IFERROR(__xludf.DUMMYFUNCTION("""COMPUTED_VALUE"""),"Desde pequena apaixonada por arte, minha dedicação e força de vontade foram fundamentais na realização de inúmeras produções culturais e eventos em meus 10 anos de caminhada como coreógrafa do Grupo de Dança Senses, que em 2017 se transformou no Incanto -"&amp;" Instituto de Cultura, Arte e Novas Tecnologias.  O Incanto é uma Ong que transforma a vida de crianças e adolescentes, em vulnerabilidade social em Curitiba e Região, por meio da arte e da cultura como ferramentas de transformação &lt;3")</f>
        <v>Desde pequena apaixonada por arte, minha dedicação e força de vontade foram fundamentais na realização de inúmeras produções culturais e eventos em meus 10 anos de caminhada como coreógrafa do Grupo de Dança Senses, que em 2017 se transformou no Incanto - Instituto de Cultura, Arte e Novas Tecnologias.  O Incanto é uma Ong que transforma a vida de crianças e adolescentes, em vulnerabilidade social em Curitiba e Região, por meio da arte e da cultura como ferramentas de transformação &lt;3</v>
      </c>
      <c r="BE289" s="27"/>
      <c r="BF289" s="27"/>
      <c r="BG289" s="27" t="str">
        <f ca="1">IFERROR(__xludf.DUMMYFUNCTION("""COMPUTED_VALUE"""),"Ensino Superior - Completo")</f>
        <v>Ensino Superior - Completo</v>
      </c>
      <c r="BH289" s="27"/>
      <c r="BI289" s="27" t="str">
        <f ca="1">IFERROR(__xludf.DUMMYFUNCTION("""COMPUTED_VALUE"""),"Pós-Graduação")</f>
        <v>Pós-Graduação</v>
      </c>
      <c r="BJ289" s="27" t="str">
        <f ca="1">IFERROR(__xludf.DUMMYFUNCTION("""COMPUTED_VALUE"""),"Privado")</f>
        <v>Privado</v>
      </c>
      <c r="BK289" s="27" t="str">
        <f ca="1">IFERROR(__xludf.DUMMYFUNCTION("""COMPUTED_VALUE"""),"Rua Rezala Simão")</f>
        <v>Rua Rezala Simão</v>
      </c>
      <c r="BL289" s="27">
        <f ca="1">IFERROR(__xludf.DUMMYFUNCTION("""COMPUTED_VALUE"""),1335)</f>
        <v>1335</v>
      </c>
      <c r="BM289" s="27" t="str">
        <f ca="1">IFERROR(__xludf.DUMMYFUNCTION("""COMPUTED_VALUE"""),"Casa fundos")</f>
        <v>Casa fundos</v>
      </c>
      <c r="BN289" s="27" t="str">
        <f ca="1">IFERROR(__xludf.DUMMYFUNCTION("""COMPUTED_VALUE"""),"Curitiba")</f>
        <v>Curitiba</v>
      </c>
      <c r="BO289" s="27" t="str">
        <f ca="1">IFERROR(__xludf.DUMMYFUNCTION("""COMPUTED_VALUE"""),"80330-180")</f>
        <v>80330-180</v>
      </c>
      <c r="BP289" s="27" t="str">
        <f ca="1">IFERROR(__xludf.DUMMYFUNCTION("""COMPUTED_VALUE"""),"PR")</f>
        <v>PR</v>
      </c>
      <c r="BQ289" s="27" t="str">
        <f ca="1">IFERROR(__xludf.DUMMYFUNCTION("""COMPUTED_VALUE"""),"De 3 até 5 salários mínimos")</f>
        <v>De 3 até 5 salários mínimos</v>
      </c>
      <c r="BR289" s="27" t="str">
        <f ca="1">IFERROR(__xludf.DUMMYFUNCTION("""COMPUTED_VALUE"""),"MEI")</f>
        <v>MEI</v>
      </c>
      <c r="BS289" s="27" t="str">
        <f ca="1">IFERROR(__xludf.DUMMYFUNCTION("""COMPUTED_VALUE"""),"Aluguel")</f>
        <v>Aluguel</v>
      </c>
      <c r="BT289" s="27">
        <f ca="1">IFERROR(__xludf.DUMMYFUNCTION("""COMPUTED_VALUE"""),1)</f>
        <v>1</v>
      </c>
      <c r="BU289" s="27"/>
      <c r="BV289" s="27"/>
      <c r="BW289" s="21" t="str">
        <f ca="1">IFERROR(__xludf.DUMMYFUNCTION("""COMPUTED_VALUE"""),"https://www.linkedin.com/in/camilaincanto/")</f>
        <v>https://www.linkedin.com/in/camilaincanto/</v>
      </c>
      <c r="BX289" s="21" t="str">
        <f ca="1">IFERROR(__xludf.DUMMYFUNCTION("""COMPUTED_VALUE"""),"https://www.instagram.com/camilaincanto/")</f>
        <v>https://www.instagram.com/camilaincanto/</v>
      </c>
      <c r="BY289" s="21" t="str">
        <f ca="1">IFERROR(__xludf.DUMMYFUNCTION("""COMPUTED_VALUE"""),"https://drive.google.com/open?id=1_nn4G9CZQ-pjqVsCxboy1vZs5RUBpf6i")</f>
        <v>https://drive.google.com/open?id=1_nn4G9CZQ-pjqVsCxboy1vZs5RUBpf6i</v>
      </c>
    </row>
    <row r="290" spans="1:77" ht="12.5" x14ac:dyDescent="0.25">
      <c r="A290" s="21" t="str">
        <f ca="1">IFERROR(__xludf.DUMMYFUNCTION("""COMPUTED_VALUE"""),"0014P00003YSp9SQAT")</f>
        <v>0014P00003YSp9SQAT</v>
      </c>
      <c r="B290" s="27" t="str">
        <f ca="1">IFERROR(__xludf.DUMMYFUNCTION("""COMPUTED_VALUE"""),"Fase Inicial")</f>
        <v>Fase Inicial</v>
      </c>
      <c r="C290" s="27" t="str">
        <f ca="1">IFERROR(__xludf.DUMMYFUNCTION("""COMPUTED_VALUE"""),"Fellow")</f>
        <v>Fellow</v>
      </c>
      <c r="D290" s="27" t="str">
        <f ca="1">IFERROR(__xludf.DUMMYFUNCTION("""COMPUTED_VALUE"""),"Ativo")</f>
        <v>Ativo</v>
      </c>
      <c r="E290" s="27" t="str">
        <f ca="1">IFERROR(__xludf.DUMMYFUNCTION("""COMPUTED_VALUE"""),"Inspirando Gerações em Amor")</f>
        <v>Inspirando Gerações em Amor</v>
      </c>
      <c r="F290" s="27" t="str">
        <f ca="1">IFERROR(__xludf.DUMMYFUNCTION("""COMPUTED_VALUE"""),"Eduardo")</f>
        <v>Eduardo</v>
      </c>
      <c r="G290" s="27"/>
      <c r="H290" s="27" t="str">
        <f ca="1">IFERROR(__xludf.DUMMYFUNCTION("""COMPUTED_VALUE"""),"44.713.381/0001-21")</f>
        <v>44.713.381/0001-21</v>
      </c>
      <c r="I290" s="27" t="str">
        <f ca="1">IFERROR(__xludf.DUMMYFUNCTION("""COMPUTED_VALUE"""),"Eduardo Augusto Beijo")</f>
        <v>Eduardo Augusto Beijo</v>
      </c>
      <c r="J290" s="27" t="str">
        <f ca="1">IFERROR(__xludf.DUMMYFUNCTION("""COMPUTED_VALUE"""),"contatoinspirando@hotmail.com")</f>
        <v>contatoinspirando@hotmail.com</v>
      </c>
      <c r="K290" s="27" t="str">
        <f ca="1">IFERROR(__xludf.DUMMYFUNCTION("""COMPUTED_VALUE"""),"(14)3232-2786")</f>
        <v>(14)3232-2786</v>
      </c>
      <c r="L290" s="27" t="str">
        <f ca="1">IFERROR(__xludf.DUMMYFUNCTION("""COMPUTED_VALUE"""),"SP")</f>
        <v>SP</v>
      </c>
      <c r="M290" s="27" t="str">
        <f ca="1">IFERROR(__xludf.DUMMYFUNCTION("""COMPUTED_VALUE"""),"José Costa Ribeiro")</f>
        <v>José Costa Ribeiro</v>
      </c>
      <c r="N290" s="27" t="str">
        <f ca="1">IFERROR(__xludf.DUMMYFUNCTION("""COMPUTED_VALUE"""),"Jd Vãnia Maria")</f>
        <v>Jd Vãnia Maria</v>
      </c>
      <c r="O290" s="27">
        <f ca="1">IFERROR(__xludf.DUMMYFUNCTION("""COMPUTED_VALUE"""),175)</f>
        <v>175</v>
      </c>
      <c r="P290" s="27" t="str">
        <f ca="1">IFERROR(__xludf.DUMMYFUNCTION("""COMPUTED_VALUE"""),"Bauru")</f>
        <v>Bauru</v>
      </c>
      <c r="Q290" s="27"/>
      <c r="R290" s="27" t="str">
        <f ca="1">IFERROR(__xludf.DUMMYFUNCTION("""COMPUTED_VALUE"""),"17063-480")</f>
        <v>17063-480</v>
      </c>
      <c r="S290" s="27"/>
      <c r="T290" s="27" t="str">
        <f ca="1">IFERROR(__xludf.DUMMYFUNCTION("""COMPUTED_VALUE"""),"Esporte; Educação; Empregabilidade; Assistência Social; Cultura; Qualificação Profissional; Defesa de Direitos; Assistência Psicológica; Desenvolvimento comunitário")</f>
        <v>Esporte; Educação; Empregabilidade; Assistência Social; Cultura; Qualificação Profissional; Defesa de Direitos; Assistência Psicológica; Desenvolvimento comunitário</v>
      </c>
      <c r="U290" s="27" t="str">
        <f ca="1">IFERROR(__xludf.DUMMYFUNCTION("""COMPUTED_VALUE"""),"Crianças (6 a 12 anos); Adolescentes (12 aos 18 anos); Jovens (18 aos 24 anos); Adultos; Idosos (60 anos ou mais)")</f>
        <v>Crianças (6 a 12 anos); Adolescentes (12 aos 18 anos); Jovens (18 aos 24 anos); Adultos; Idosos (60 anos ou mais)</v>
      </c>
      <c r="V290" s="27" t="str">
        <f ca="1">IFERROR(__xludf.DUMMYFUNCTION("""COMPUTED_VALUE"""),"Moradores de Favelas; Pessoas em situação de rua; Outros")</f>
        <v>Moradores de Favelas; Pessoas em situação de rua; Outros</v>
      </c>
      <c r="W290" s="27">
        <f ca="1">IFERROR(__xludf.DUMMYFUNCTION("""COMPUTED_VALUE"""),12)</f>
        <v>12</v>
      </c>
      <c r="X290" s="27"/>
      <c r="Y290" s="27"/>
      <c r="Z290" s="27">
        <f ca="1">IFERROR(__xludf.DUMMYFUNCTION("""COMPUTED_VALUE"""),1000)</f>
        <v>1000</v>
      </c>
      <c r="AA290" s="29">
        <f ca="1">IFERROR(__xludf.DUMMYFUNCTION("""COMPUTED_VALUE"""),39816)</f>
        <v>39816</v>
      </c>
      <c r="AB290" s="27" t="str">
        <f ca="1">IFERROR(__xludf.DUMMYFUNCTION("""COMPUTED_VALUE"""),"Não")</f>
        <v>Não</v>
      </c>
      <c r="AC290" s="27">
        <f ca="1">IFERROR(__xludf.DUMMYFUNCTION("""COMPUTED_VALUE"""),3)</f>
        <v>3</v>
      </c>
      <c r="AD290" s="27">
        <f ca="1">IFERROR(__xludf.DUMMYFUNCTION("""COMPUTED_VALUE"""),2)</f>
        <v>2</v>
      </c>
      <c r="AE290" s="27">
        <f ca="1">IFERROR(__xludf.DUMMYFUNCTION("""COMPUTED_VALUE"""),30)</f>
        <v>30</v>
      </c>
      <c r="AF290" s="27">
        <f ca="1">IFERROR(__xludf.DUMMYFUNCTION("""COMPUTED_VALUE"""),20)</f>
        <v>20</v>
      </c>
      <c r="AG290" s="27">
        <f ca="1">IFERROR(__xludf.DUMMYFUNCTION("""COMPUTED_VALUE"""),4)</f>
        <v>4</v>
      </c>
      <c r="AH290" s="27" t="str">
        <f ca="1">IFERROR(__xludf.DUMMYFUNCTION("""COMPUTED_VALUE"""),"Eventos/Ações para captação; Parceria iniciativa privada; Doações; Recursos próprios")</f>
        <v>Eventos/Ações para captação; Parceria iniciativa privada; Doações; Recursos próprios</v>
      </c>
      <c r="AI290" s="27">
        <f ca="1">IFERROR(__xludf.DUMMYFUNCTION("""COMPUTED_VALUE"""),0)</f>
        <v>0</v>
      </c>
      <c r="AJ290" s="27"/>
      <c r="AK290" s="27"/>
      <c r="AL290" s="21" t="str">
        <f ca="1">IFERROR(__xludf.DUMMYFUNCTION("""COMPUTED_VALUE"""),"0034P000045kxk4")</f>
        <v>0034P000045kxk4</v>
      </c>
      <c r="AM290" s="27" t="str">
        <f ca="1">IFERROR(__xludf.DUMMYFUNCTION("""COMPUTED_VALUE"""),"Augusto Beijo")</f>
        <v>Augusto Beijo</v>
      </c>
      <c r="AN290" s="27" t="str">
        <f ca="1">IFERROR(__xludf.DUMMYFUNCTION("""COMPUTED_VALUE"""),"Ativo")</f>
        <v>Ativo</v>
      </c>
      <c r="AO290" s="29">
        <f ca="1">IFERROR(__xludf.DUMMYFUNCTION("""COMPUTED_VALUE"""),44551)</f>
        <v>44551</v>
      </c>
      <c r="AP290" s="27">
        <f ca="1">IFERROR(__xludf.DUMMYFUNCTION("""COMPUTED_VALUE"""),9)</f>
        <v>9</v>
      </c>
      <c r="AQ290" s="27" t="str">
        <f ca="1">IFERROR(__xludf.DUMMYFUNCTION("""COMPUTED_VALUE"""),"Segundo Semestre 2021")</f>
        <v>Segundo Semestre 2021</v>
      </c>
      <c r="AR290" s="27" t="str">
        <f ca="1">IFERROR(__xludf.DUMMYFUNCTION("""COMPUTED_VALUE"""),"contatoedubeijo@gmail.com")</f>
        <v>contatoedubeijo@gmail.com</v>
      </c>
      <c r="AS290" s="27" t="str">
        <f ca="1">IFERROR(__xludf.DUMMYFUNCTION("""COMPUTED_VALUE"""),"(14)98820-4329")</f>
        <v>(14)98820-4329</v>
      </c>
      <c r="AT290" s="30">
        <f ca="1">IFERROR(__xludf.DUMMYFUNCTION("""COMPUTED_VALUE"""),29164)</f>
        <v>29164</v>
      </c>
      <c r="AU290" s="27">
        <f ca="1">IFERROR(__xludf.DUMMYFUNCTION("""COMPUTED_VALUE"""),43)</f>
        <v>43</v>
      </c>
      <c r="AV290" s="27">
        <f ca="1">IFERROR(__xludf.DUMMYFUNCTION("""COMPUTED_VALUE"""),22731734825)</f>
        <v>22731734825</v>
      </c>
      <c r="AW290" s="27" t="str">
        <f ca="1">IFERROR(__xludf.DUMMYFUNCTION("""COMPUTED_VALUE"""),"27803370-2")</f>
        <v>27803370-2</v>
      </c>
      <c r="AX290" s="27"/>
      <c r="AY290" s="27"/>
      <c r="AZ290" s="27" t="str">
        <f ca="1">IFERROR(__xludf.DUMMYFUNCTION("""COMPUTED_VALUE"""),"G")</f>
        <v>G</v>
      </c>
      <c r="BA290" s="27" t="str">
        <f ca="1">IFERROR(__xludf.DUMMYFUNCTION("""COMPUTED_VALUE"""),"Branca")</f>
        <v>Branca</v>
      </c>
      <c r="BB290" s="27" t="str">
        <f ca="1">IFERROR(__xludf.DUMMYFUNCTION("""COMPUTED_VALUE"""),"Homem, cisgênero")</f>
        <v>Homem, cisgênero</v>
      </c>
      <c r="BC290" s="27" t="str">
        <f ca="1">IFERROR(__xludf.DUMMYFUNCTION("""COMPUTED_VALUE"""),"Não")</f>
        <v>Não</v>
      </c>
      <c r="BD290" s="27" t="str">
        <f ca="1">IFERROR(__xludf.DUMMYFUNCTION("""COMPUTED_VALUE"""),"Eduardo Augusto, Empreendedor Social,  infelismente é que cabe nessa mini da mini bio")</f>
        <v>Eduardo Augusto, Empreendedor Social,  infelismente é que cabe nessa mini da mini bio</v>
      </c>
      <c r="BE290" s="27"/>
      <c r="BF290" s="27" t="str">
        <f ca="1">IFERROR(__xludf.DUMMYFUNCTION("""COMPUTED_VALUE"""),"Heterossexual")</f>
        <v>Heterossexual</v>
      </c>
      <c r="BG290" s="27" t="str">
        <f ca="1">IFERROR(__xludf.DUMMYFUNCTION("""COMPUTED_VALUE"""),"Ensino Fundamento - Completo")</f>
        <v>Ensino Fundamento - Completo</v>
      </c>
      <c r="BH290" s="27" t="str">
        <f ca="1">IFERROR(__xludf.DUMMYFUNCTION("""COMPUTED_VALUE"""),"Pública")</f>
        <v>Pública</v>
      </c>
      <c r="BI290" s="27"/>
      <c r="BJ290" s="27"/>
      <c r="BK290" s="27" t="str">
        <f ca="1">IFERROR(__xludf.DUMMYFUNCTION("""COMPUTED_VALUE"""),"Jose costa ribeiro")</f>
        <v>Jose costa ribeiro</v>
      </c>
      <c r="BL290" s="27" t="str">
        <f ca="1">IFERROR(__xludf.DUMMYFUNCTION("""COMPUTED_VALUE"""),"1-75")</f>
        <v>1-75</v>
      </c>
      <c r="BM290" s="27"/>
      <c r="BN290" s="27" t="str">
        <f ca="1">IFERROR(__xludf.DUMMYFUNCTION("""COMPUTED_VALUE"""),"Bauru")</f>
        <v>Bauru</v>
      </c>
      <c r="BO290" s="27" t="str">
        <f ca="1">IFERROR(__xludf.DUMMYFUNCTION("""COMPUTED_VALUE"""),"17063-480")</f>
        <v>17063-480</v>
      </c>
      <c r="BP290" s="27" t="str">
        <f ca="1">IFERROR(__xludf.DUMMYFUNCTION("""COMPUTED_VALUE"""),"SP")</f>
        <v>SP</v>
      </c>
      <c r="BQ290" s="27" t="str">
        <f ca="1">IFERROR(__xludf.DUMMYFUNCTION("""COMPUTED_VALUE"""),"Entre 1 até 3 salários mínimos")</f>
        <v>Entre 1 até 3 salários mínimos</v>
      </c>
      <c r="BR290" s="27" t="str">
        <f ca="1">IFERROR(__xludf.DUMMYFUNCTION("""COMPUTED_VALUE"""),"MEI")</f>
        <v>MEI</v>
      </c>
      <c r="BS290" s="27" t="str">
        <f ca="1">IFERROR(__xludf.DUMMYFUNCTION("""COMPUTED_VALUE"""),"Casa própria")</f>
        <v>Casa própria</v>
      </c>
      <c r="BT290" s="27">
        <f ca="1">IFERROR(__xludf.DUMMYFUNCTION("""COMPUTED_VALUE"""),4)</f>
        <v>4</v>
      </c>
      <c r="BU290" s="27" t="str">
        <f ca="1">IFERROR(__xludf.DUMMYFUNCTION("""COMPUTED_VALUE"""),"Não tem")</f>
        <v>Não tem</v>
      </c>
      <c r="BV290" s="27"/>
      <c r="BW290" s="27"/>
      <c r="BX290" s="21" t="str">
        <f ca="1">IFERROR(__xludf.DUMMYFUNCTION("""COMPUTED_VALUE"""),"https://instagram.com/eduardobeijo?utm_medium=copy_link")</f>
        <v>https://instagram.com/eduardobeijo?utm_medium=copy_link</v>
      </c>
      <c r="BY290" s="21" t="str">
        <f ca="1">IFERROR(__xludf.DUMMYFUNCTION("""COMPUTED_VALUE"""),"https://drive.google.com/open?id=1-j9s7QePGLTyWOuXHV7NoblF8HsDWPQF")</f>
        <v>https://drive.google.com/open?id=1-j9s7QePGLTyWOuXHV7NoblF8HsDWPQF</v>
      </c>
    </row>
    <row r="291" spans="1:77" ht="12.5" x14ac:dyDescent="0.25">
      <c r="A291" s="21" t="str">
        <f ca="1">IFERROR(__xludf.DUMMYFUNCTION("""COMPUTED_VALUE"""),"0014X00002VKCvDQAX")</f>
        <v>0014X00002VKCvDQAX</v>
      </c>
      <c r="B291" s="27"/>
      <c r="C291" s="27" t="str">
        <f ca="1">IFERROR(__xludf.DUMMYFUNCTION("""COMPUTED_VALUE"""),"Fellow")</f>
        <v>Fellow</v>
      </c>
      <c r="D291" s="27" t="str">
        <f ca="1">IFERROR(__xludf.DUMMYFUNCTION("""COMPUTED_VALUE"""),"Ativo")</f>
        <v>Ativo</v>
      </c>
      <c r="E291" s="27" t="str">
        <f ca="1">IFERROR(__xludf.DUMMYFUNCTION("""COMPUTED_VALUE"""),"Instituição Cultural Transmutar Geração")</f>
        <v>Instituição Cultural Transmutar Geração</v>
      </c>
      <c r="F291" s="27" t="str">
        <f ca="1">IFERROR(__xludf.DUMMYFUNCTION("""COMPUTED_VALUE"""),"Tuany")</f>
        <v>Tuany</v>
      </c>
      <c r="G291" s="27" t="str">
        <f ca="1">IFERROR(__xludf.DUMMYFUNCTION("""COMPUTED_VALUE"""),"TRANSMUTAR GERAÇÃO")</f>
        <v>TRANSMUTAR GERAÇÃO</v>
      </c>
      <c r="H291" s="27" t="str">
        <f ca="1">IFERROR(__xludf.DUMMYFUNCTION("""COMPUTED_VALUE"""),"30.118.927/0001-91")</f>
        <v>30.118.927/0001-91</v>
      </c>
      <c r="I291" s="27" t="str">
        <f ca="1">IFERROR(__xludf.DUMMYFUNCTION("""COMPUTED_VALUE"""),"Tuany Franciele Lopes de Oliveira")</f>
        <v>Tuany Franciele Lopes de Oliveira</v>
      </c>
      <c r="J291" s="27" t="str">
        <f ca="1">IFERROR(__xludf.DUMMYFUNCTION("""COMPUTED_VALUE"""),"tuanyadmtransmutar@gmail.com")</f>
        <v>tuanyadmtransmutar@gmail.com</v>
      </c>
      <c r="K291" s="27" t="str">
        <f ca="1">IFERROR(__xludf.DUMMYFUNCTION("""COMPUTED_VALUE"""),"(11)98852-4918")</f>
        <v>(11)98852-4918</v>
      </c>
      <c r="L291" s="27" t="str">
        <f ca="1">IFERROR(__xludf.DUMMYFUNCTION("""COMPUTED_VALUE"""),"SP")</f>
        <v>SP</v>
      </c>
      <c r="M291" s="27" t="str">
        <f ca="1">IFERROR(__xludf.DUMMYFUNCTION("""COMPUTED_VALUE"""),"Rua José Greff Borba")</f>
        <v>Rua José Greff Borba</v>
      </c>
      <c r="N291" s="27" t="str">
        <f ca="1">IFERROR(__xludf.DUMMYFUNCTION("""COMPUTED_VALUE"""),"Parque Santa Rita")</f>
        <v>Parque Santa Rita</v>
      </c>
      <c r="O291" s="27">
        <f ca="1">IFERROR(__xludf.DUMMYFUNCTION("""COMPUTED_VALUE"""),63)</f>
        <v>63</v>
      </c>
      <c r="P291" s="27" t="str">
        <f ca="1">IFERROR(__xludf.DUMMYFUNCTION("""COMPUTED_VALUE"""),"São Paulo")</f>
        <v>São Paulo</v>
      </c>
      <c r="Q291" s="27" t="str">
        <f ca="1">IFERROR(__xludf.DUMMYFUNCTION("""COMPUTED_VALUE"""),"Endereço espaço cultural aonde acontece as oficinas")</f>
        <v>Endereço espaço cultural aonde acontece as oficinas</v>
      </c>
      <c r="R291" s="27" t="str">
        <f ca="1">IFERROR(__xludf.DUMMYFUNCTION("""COMPUTED_VALUE"""),"08150-130")</f>
        <v>08150-130</v>
      </c>
      <c r="S291" s="27"/>
      <c r="T291" s="27"/>
      <c r="U291" s="27" t="str">
        <f ca="1">IFERROR(__xludf.DUMMYFUNCTION("""COMPUTED_VALUE"""),"Crianças pequenas (4 anos a 5 anos e 11 meses), Crianças (6 a 12 anos), Adolescentes (12 aos 18 anos)")</f>
        <v>Crianças pequenas (4 anos a 5 anos e 11 meses), Crianças (6 a 12 anos), Adolescentes (12 aos 18 anos)</v>
      </c>
      <c r="V291" s="27" t="str">
        <f ca="1">IFERROR(__xludf.DUMMYFUNCTION("""COMPUTED_VALUE"""),"Moradores de Favelas, Outros")</f>
        <v>Moradores de Favelas, Outros</v>
      </c>
      <c r="W291" s="27">
        <f ca="1">IFERROR(__xludf.DUMMYFUNCTION("""COMPUTED_VALUE"""),5)</f>
        <v>5</v>
      </c>
      <c r="X291" s="27"/>
      <c r="Y291" s="27"/>
      <c r="Z291" s="27">
        <f ca="1">IFERROR(__xludf.DUMMYFUNCTION("""COMPUTED_VALUE"""),200)</f>
        <v>200</v>
      </c>
      <c r="AA291" s="29">
        <f ca="1">IFERROR(__xludf.DUMMYFUNCTION("""COMPUTED_VALUE"""),43140)</f>
        <v>43140</v>
      </c>
      <c r="AB291" s="27" t="str">
        <f ca="1">IFERROR(__xludf.DUMMYFUNCTION("""COMPUTED_VALUE"""),"Não")</f>
        <v>Não</v>
      </c>
      <c r="AC291" s="27">
        <f ca="1">IFERROR(__xludf.DUMMYFUNCTION("""COMPUTED_VALUE"""),0)</f>
        <v>0</v>
      </c>
      <c r="AD291" s="27">
        <f ca="1">IFERROR(__xludf.DUMMYFUNCTION("""COMPUTED_VALUE"""),0)</f>
        <v>0</v>
      </c>
      <c r="AE291" s="27">
        <f ca="1">IFERROR(__xludf.DUMMYFUNCTION("""COMPUTED_VALUE"""),6)</f>
        <v>6</v>
      </c>
      <c r="AF291" s="27"/>
      <c r="AG291" s="27">
        <f ca="1">IFERROR(__xludf.DUMMYFUNCTION("""COMPUTED_VALUE"""),1)</f>
        <v>1</v>
      </c>
      <c r="AH291" s="27"/>
      <c r="AI291" s="27">
        <f ca="1">IFERROR(__xludf.DUMMYFUNCTION("""COMPUTED_VALUE"""),0)</f>
        <v>0</v>
      </c>
      <c r="AJ291" s="27" t="str">
        <f ca="1">IFERROR(__xludf.DUMMYFUNCTION("""COMPUTED_VALUE"""),"Vamos iniciar esse ano")</f>
        <v>Vamos iniciar esse ano</v>
      </c>
      <c r="AK291" s="27"/>
      <c r="AL291" s="21" t="str">
        <f ca="1">IFERROR(__xludf.DUMMYFUNCTION("""COMPUTED_VALUE"""),"0034X0000380O4w")</f>
        <v>0034X0000380O4w</v>
      </c>
      <c r="AM291" s="27" t="str">
        <f ca="1">IFERROR(__xludf.DUMMYFUNCTION("""COMPUTED_VALUE"""),"Franciele lopes de oliveira")</f>
        <v>Franciele lopes de oliveira</v>
      </c>
      <c r="AN291" s="27" t="str">
        <f ca="1">IFERROR(__xludf.DUMMYFUNCTION("""COMPUTED_VALUE"""),"Ativo")</f>
        <v>Ativo</v>
      </c>
      <c r="AO291" s="30">
        <f ca="1">IFERROR(__xludf.DUMMYFUNCTION("""COMPUTED_VALUE"""),44763)</f>
        <v>44763</v>
      </c>
      <c r="AP291" s="27">
        <f ca="1">IFERROR(__xludf.DUMMYFUNCTION("""COMPUTED_VALUE"""),2)</f>
        <v>2</v>
      </c>
      <c r="AQ291" s="27" t="str">
        <f ca="1">IFERROR(__xludf.DUMMYFUNCTION("""COMPUTED_VALUE"""),"Primeiro Semestre 2022")</f>
        <v>Primeiro Semestre 2022</v>
      </c>
      <c r="AR291" s="27" t="str">
        <f ca="1">IFERROR(__xludf.DUMMYFUNCTION("""COMPUTED_VALUE"""),"tuany.franciele@gmail.com")</f>
        <v>tuany.franciele@gmail.com</v>
      </c>
      <c r="AS291" s="27" t="str">
        <f ca="1">IFERROR(__xludf.DUMMYFUNCTION("""COMPUTED_VALUE"""),"(11)95179-8086")</f>
        <v>(11)95179-8086</v>
      </c>
      <c r="AT291" s="29">
        <f ca="1">IFERROR(__xludf.DUMMYFUNCTION("""COMPUTED_VALUE"""),32584)</f>
        <v>32584</v>
      </c>
      <c r="AU291" s="27">
        <f ca="1">IFERROR(__xludf.DUMMYFUNCTION("""COMPUTED_VALUE"""),33)</f>
        <v>33</v>
      </c>
      <c r="AV291" s="27">
        <f ca="1">IFERROR(__xludf.DUMMYFUNCTION("""COMPUTED_VALUE"""),37770407893)</f>
        <v>37770407893</v>
      </c>
      <c r="AW291" s="27" t="str">
        <f ca="1">IFERROR(__xludf.DUMMYFUNCTION("""COMPUTED_VALUE"""),"44983931-x")</f>
        <v>44983931-x</v>
      </c>
      <c r="AX291" s="27"/>
      <c r="AY291" s="27" t="str">
        <f ca="1">IFERROR(__xludf.DUMMYFUNCTION("""COMPUTED_VALUE"""),"Presidente")</f>
        <v>Presidente</v>
      </c>
      <c r="AZ291" s="27" t="str">
        <f ca="1">IFERROR(__xludf.DUMMYFUNCTION("""COMPUTED_VALUE"""),"M")</f>
        <v>M</v>
      </c>
      <c r="BA291" s="27" t="str">
        <f ca="1">IFERROR(__xludf.DUMMYFUNCTION("""COMPUTED_VALUE"""),"Parda")</f>
        <v>Parda</v>
      </c>
      <c r="BB291" s="27"/>
      <c r="BC291" s="27"/>
      <c r="BD291" s="27" t="str">
        <f ca="1">IFERROR(__xludf.DUMMYFUNCTION("""COMPUTED_VALUE"""),"Sou Tuany, moro na zona leste de São Paulo – Itaim Paulista. 
Uma menina mulher, mãe, amiga e justa. 
Empreendedora social, pedagoga , dançarina, fundadora e proprietária da Instituição Transmutar Geração . 
Apaixonada por relações sociais, amante da cul"&amp;"tura corporal, que uni estes dois fatores com objetivo de tornar um hospital para cura  das feridas causada pela diferenças e desigualdade social por meio da arte.")</f>
        <v>Sou Tuany, moro na zona leste de São Paulo – Itaim Paulista. 
Uma menina mulher, mãe, amiga e justa. 
Empreendedora social, pedagoga , dançarina, fundadora e proprietária da Instituição Transmutar Geração . 
Apaixonada por relações sociais, amante da cultura corporal, que uni estes dois fatores com objetivo de tornar um hospital para cura  das feridas causada pela diferenças e desigualdade social por meio da arte.</v>
      </c>
      <c r="BE291" s="27" t="str">
        <f ca="1">IFERROR(__xludf.DUMMYFUNCTION("""COMPUTED_VALUE"""),"Outro(s)")</f>
        <v>Outro(s)</v>
      </c>
      <c r="BF291" s="27" t="str">
        <f ca="1">IFERROR(__xludf.DUMMYFUNCTION("""COMPUTED_VALUE"""),"Heterossexual")</f>
        <v>Heterossexual</v>
      </c>
      <c r="BG291" s="27" t="str">
        <f ca="1">IFERROR(__xludf.DUMMYFUNCTION("""COMPUTED_VALUE"""),"Ensino Superior - Completo")</f>
        <v>Ensino Superior - Completo</v>
      </c>
      <c r="BH291" s="27" t="str">
        <f ca="1">IFERROR(__xludf.DUMMYFUNCTION("""COMPUTED_VALUE"""),"Público")</f>
        <v>Público</v>
      </c>
      <c r="BI291" s="27" t="str">
        <f ca="1">IFERROR(__xludf.DUMMYFUNCTION("""COMPUTED_VALUE"""),"Pós-Graduação")</f>
        <v>Pós-Graduação</v>
      </c>
      <c r="BJ291" s="27" t="str">
        <f ca="1">IFERROR(__xludf.DUMMYFUNCTION("""COMPUTED_VALUE"""),"Privado")</f>
        <v>Privado</v>
      </c>
      <c r="BK291" s="27" t="str">
        <f ca="1">IFERROR(__xludf.DUMMYFUNCTION("""COMPUTED_VALUE"""),"Erva Botão")</f>
        <v>Erva Botão</v>
      </c>
      <c r="BL291" s="27">
        <f ca="1">IFERROR(__xludf.DUMMYFUNCTION("""COMPUTED_VALUE"""),274)</f>
        <v>274</v>
      </c>
      <c r="BM291" s="27" t="str">
        <f ca="1">IFERROR(__xludf.DUMMYFUNCTION("""COMPUTED_VALUE"""),"casa")</f>
        <v>casa</v>
      </c>
      <c r="BN291" s="27" t="str">
        <f ca="1">IFERROR(__xludf.DUMMYFUNCTION("""COMPUTED_VALUE"""),"São Paulo")</f>
        <v>São Paulo</v>
      </c>
      <c r="BO291" s="27" t="str">
        <f ca="1">IFERROR(__xludf.DUMMYFUNCTION("""COMPUTED_VALUE"""),"08161-270")</f>
        <v>08161-270</v>
      </c>
      <c r="BP291" s="27" t="str">
        <f ca="1">IFERROR(__xludf.DUMMYFUNCTION("""COMPUTED_VALUE"""),"SP")</f>
        <v>SP</v>
      </c>
      <c r="BQ291" s="27" t="str">
        <f ca="1">IFERROR(__xludf.DUMMYFUNCTION("""COMPUTED_VALUE"""),"De 3 até 5 salários mínimos")</f>
        <v>De 3 até 5 salários mínimos</v>
      </c>
      <c r="BR291" s="27" t="str">
        <f ca="1">IFERROR(__xludf.DUMMYFUNCTION("""COMPUTED_VALUE"""),"Desempregado")</f>
        <v>Desempregado</v>
      </c>
      <c r="BS291" s="27" t="str">
        <f ca="1">IFERROR(__xludf.DUMMYFUNCTION("""COMPUTED_VALUE"""),"Aluguel")</f>
        <v>Aluguel</v>
      </c>
      <c r="BT291" s="27">
        <f ca="1">IFERROR(__xludf.DUMMYFUNCTION("""COMPUTED_VALUE"""),3)</f>
        <v>3</v>
      </c>
      <c r="BU291" s="27" t="str">
        <f ca="1">IFERROR(__xludf.DUMMYFUNCTION("""COMPUTED_VALUE"""),"Não tem")</f>
        <v>Não tem</v>
      </c>
      <c r="BV291" s="27" t="str">
        <f ca="1">IFERROR(__xludf.DUMMYFUNCTION("""COMPUTED_VALUE"""),"Não")</f>
        <v>Não</v>
      </c>
      <c r="BW291" s="27"/>
      <c r="BX291" s="21" t="str">
        <f ca="1">IFERROR(__xludf.DUMMYFUNCTION("""COMPUTED_VALUE"""),"https://www.instagram.com/reel/Cft8Vl_O5hl/?utm_source=ig_web_copy_link")</f>
        <v>https://www.instagram.com/reel/Cft8Vl_O5hl/?utm_source=ig_web_copy_link</v>
      </c>
      <c r="BY291" s="21" t="str">
        <f ca="1">IFERROR(__xludf.DUMMYFUNCTION("""COMPUTED_VALUE"""),"https://drive.google.com/open?id=1YUXXGrUr90tGP5PhxkyqYR__fXEeePM7")</f>
        <v>https://drive.google.com/open?id=1YUXXGrUr90tGP5PhxkyqYR__fXEeePM7</v>
      </c>
    </row>
    <row r="292" spans="1:77" ht="12.5" x14ac:dyDescent="0.25">
      <c r="A292" s="21" t="str">
        <f ca="1">IFERROR(__xludf.DUMMYFUNCTION("""COMPUTED_VALUE"""),"0014P00003YSp9XQAT")</f>
        <v>0014P00003YSp9XQAT</v>
      </c>
      <c r="B292" s="27" t="str">
        <f ca="1">IFERROR(__xludf.DUMMYFUNCTION("""COMPUTED_VALUE"""),"Fase Avançada")</f>
        <v>Fase Avançada</v>
      </c>
      <c r="C292" s="27" t="str">
        <f ca="1">IFERROR(__xludf.DUMMYFUNCTION("""COMPUTED_VALUE"""),"Fellow")</f>
        <v>Fellow</v>
      </c>
      <c r="D292" s="27" t="str">
        <f ca="1">IFERROR(__xludf.DUMMYFUNCTION("""COMPUTED_VALUE"""),"Ativo")</f>
        <v>Ativo</v>
      </c>
      <c r="E292" s="27" t="str">
        <f ca="1">IFERROR(__xludf.DUMMYFUNCTION("""COMPUTED_VALUE"""),"Instituição de Incentivo à Criança e ao Adolescente de Mogi Mirim")</f>
        <v>Instituição de Incentivo à Criança e ao Adolescente de Mogi Mirim</v>
      </c>
      <c r="F292" s="27" t="str">
        <f ca="1">IFERROR(__xludf.DUMMYFUNCTION("""COMPUTED_VALUE"""),"Marilene")</f>
        <v>Marilene</v>
      </c>
      <c r="G292" s="27"/>
      <c r="H292" s="27" t="str">
        <f ca="1">IFERROR(__xludf.DUMMYFUNCTION("""COMPUTED_VALUE"""),"02.030.097/0001-00")</f>
        <v>02.030.097/0001-00</v>
      </c>
      <c r="I292" s="27" t="str">
        <f ca="1">IFERROR(__xludf.DUMMYFUNCTION("""COMPUTED_VALUE"""),"Maristela Mazon Albejante")</f>
        <v>Maristela Mazon Albejante</v>
      </c>
      <c r="J292" s="27" t="str">
        <f ca="1">IFERROR(__xludf.DUMMYFUNCTION("""COMPUTED_VALUE"""),"comunicacao@projetoica.org.br")</f>
        <v>comunicacao@projetoica.org.br</v>
      </c>
      <c r="K292" s="27" t="str">
        <f ca="1">IFERROR(__xludf.DUMMYFUNCTION("""COMPUTED_VALUE"""),"(19)3862-3794")</f>
        <v>(19)3862-3794</v>
      </c>
      <c r="L292" s="27" t="str">
        <f ca="1">IFERROR(__xludf.DUMMYFUNCTION("""COMPUTED_VALUE"""),"SP")</f>
        <v>SP</v>
      </c>
      <c r="M292" s="27" t="str">
        <f ca="1">IFERROR(__xludf.DUMMYFUNCTION("""COMPUTED_VALUE"""),"Avenida Brasilia 350")</f>
        <v>Avenida Brasilia 350</v>
      </c>
      <c r="N292" s="27" t="str">
        <f ca="1">IFERROR(__xludf.DUMMYFUNCTION("""COMPUTED_VALUE"""),"Loteamento Nova Mogi")</f>
        <v>Loteamento Nova Mogi</v>
      </c>
      <c r="O292" s="27">
        <f ca="1">IFERROR(__xludf.DUMMYFUNCTION("""COMPUTED_VALUE"""),350)</f>
        <v>350</v>
      </c>
      <c r="P292" s="27" t="str">
        <f ca="1">IFERROR(__xludf.DUMMYFUNCTION("""COMPUTED_VALUE"""),"Mogi Mirim")</f>
        <v>Mogi Mirim</v>
      </c>
      <c r="Q292" s="27"/>
      <c r="R292" s="27" t="str">
        <f ca="1">IFERROR(__xludf.DUMMYFUNCTION("""COMPUTED_VALUE"""),"13800-280")</f>
        <v>13800-280</v>
      </c>
      <c r="S292" s="27"/>
      <c r="T292" s="27" t="str">
        <f ca="1">IFERROR(__xludf.DUMMYFUNCTION("""COMPUTED_VALUE"""),"Assistência Social")</f>
        <v>Assistência Social</v>
      </c>
      <c r="U292" s="27" t="str">
        <f ca="1">IFERROR(__xludf.DUMMYFUNCTION("""COMPUTED_VALUE"""),"Crianças (6 a 12 anos); Adolescentes (12 aos 18 anos); Jovens (18 aos 24 anos); Adultos")</f>
        <v>Crianças (6 a 12 anos); Adolescentes (12 aos 18 anos); Jovens (18 aos 24 anos); Adultos</v>
      </c>
      <c r="V292" s="27" t="str">
        <f ca="1">IFERROR(__xludf.DUMMYFUNCTION("""COMPUTED_VALUE"""),"Outros")</f>
        <v>Outros</v>
      </c>
      <c r="W292" s="27">
        <f ca="1">IFERROR(__xludf.DUMMYFUNCTION("""COMPUTED_VALUE"""),5)</f>
        <v>5</v>
      </c>
      <c r="X292" s="27" t="str">
        <f ca="1">IFERROR(__xludf.DUMMYFUNCTION("""COMPUTED_VALUE"""),"Na cidade de Mogi Mirim não temos favelas como as de São Paulo então consideramos aqui os dois territórios de maior vulnerabilidade social onde realizamos atendimento.
Vale ressaltar que com o investimento em atendimentos no território conseguimos disponi"&amp;"bilizar hoje 165 vagas nas comunidade mencionadas. Mas além dessas vagas nos pontos externos da instituição a maioria dos educandos atendidos na sede são moradores das regiões mencionadas.
Na projeção de vagas que fizemos no início do ano imaginávamos um "&amp;"cenário de atendimentos presenciais mas com a situação atual precisamos adaptar para o atendimento híbrido dando preferência para os casos de maior vulnerabilidade no caso presencial.")</f>
        <v>Na cidade de Mogi Mirim não temos favelas como as de São Paulo então consideramos aqui os dois territórios de maior vulnerabilidade social onde realizamos atendimento.
Vale ressaltar que com o investimento em atendimentos no território conseguimos disponibilizar hoje 165 vagas nas comunidade mencionadas. Mas além dessas vagas nos pontos externos da instituição a maioria dos educandos atendidos na sede são moradores das regiões mencionadas.
Na projeção de vagas que fizemos no início do ano imaginávamos um cenário de atendimentos presenciais mas com a situação atual precisamos adaptar para o atendimento híbrido dando preferência para os casos de maior vulnerabilidade no caso presencial.</v>
      </c>
      <c r="Y292" s="27"/>
      <c r="Z292" s="27">
        <f ca="1">IFERROR(__xludf.DUMMYFUNCTION("""COMPUTED_VALUE"""),35376)</f>
        <v>35376</v>
      </c>
      <c r="AA292" s="29">
        <f ca="1">IFERROR(__xludf.DUMMYFUNCTION("""COMPUTED_VALUE"""),35595)</f>
        <v>35595</v>
      </c>
      <c r="AB292" s="27" t="str">
        <f ca="1">IFERROR(__xludf.DUMMYFUNCTION("""COMPUTED_VALUE"""),"Sim")</f>
        <v>Sim</v>
      </c>
      <c r="AC292" s="27">
        <f ca="1">IFERROR(__xludf.DUMMYFUNCTION("""COMPUTED_VALUE"""),53)</f>
        <v>53</v>
      </c>
      <c r="AD292" s="27">
        <f ca="1">IFERROR(__xludf.DUMMYFUNCTION("""COMPUTED_VALUE"""),53)</f>
        <v>53</v>
      </c>
      <c r="AE292" s="27">
        <f ca="1">IFERROR(__xludf.DUMMYFUNCTION("""COMPUTED_VALUE"""),80)</f>
        <v>80</v>
      </c>
      <c r="AF292" s="27">
        <f ca="1">IFERROR(__xludf.DUMMYFUNCTION("""COMPUTED_VALUE"""),80)</f>
        <v>80</v>
      </c>
      <c r="AG292" s="27">
        <f ca="1">IFERROR(__xludf.DUMMYFUNCTION("""COMPUTED_VALUE"""),13)</f>
        <v>13</v>
      </c>
      <c r="AH292" s="27" t="str">
        <f ca="1">IFERROR(__xludf.DUMMYFUNCTION("""COMPUTED_VALUE"""),"Lei de Incentivo; Convênio Público; Eventos/Ações para captação; Plataforma doação online - Pessoa Física; Parceria iniciativa privada; Editais; Outro(s); Doações; Lei Estadual da Cultura; Lei Estadual do Esporte; Lei Rouanet; FIA; Recursos próprios")</f>
        <v>Lei de Incentivo; Convênio Público; Eventos/Ações para captação; Plataforma doação online - Pessoa Física; Parceria iniciativa privada; Editais; Outro(s); Doações; Lei Estadual da Cultura; Lei Estadual do Esporte; Lei Rouanet; FIA; Recursos próprios</v>
      </c>
      <c r="AI292" s="27" t="str">
        <f ca="1">IFERROR(__xludf.DUMMYFUNCTION("""COMPUTED_VALUE"""),"Convênios públicos	28% Lei Federal - IR	37% Editais	19% Lei Estadual - ICMS	4% Empresas - verba carimbada	1% Empresas - verba livre	3% Investimentos	4% Recurso Próprio	2% Pessoa Física	2%")</f>
        <v>Convênios públicos	28% Lei Federal - IR	37% Editais	19% Lei Estadual - ICMS	4% Empresas - verba carimbada	1% Empresas - verba livre	3% Investimentos	4% Recurso Próprio	2% Pessoa Física	2%</v>
      </c>
      <c r="AJ292" s="27"/>
      <c r="AK292" s="27"/>
      <c r="AL292" s="21" t="str">
        <f ca="1">IFERROR(__xludf.DUMMYFUNCTION("""COMPUTED_VALUE"""),"0034P000045kxk9")</f>
        <v>0034P000045kxk9</v>
      </c>
      <c r="AM292" s="27" t="str">
        <f ca="1">IFERROR(__xludf.DUMMYFUNCTION("""COMPUTED_VALUE"""),"Balbino Rodrigues")</f>
        <v>Balbino Rodrigues</v>
      </c>
      <c r="AN292" s="27" t="str">
        <f ca="1">IFERROR(__xludf.DUMMYFUNCTION("""COMPUTED_VALUE"""),"Inativo")</f>
        <v>Inativo</v>
      </c>
      <c r="AO292" s="29">
        <f ca="1">IFERROR(__xludf.DUMMYFUNCTION("""COMPUTED_VALUE"""),44551)</f>
        <v>44551</v>
      </c>
      <c r="AP292" s="27">
        <f ca="1">IFERROR(__xludf.DUMMYFUNCTION("""COMPUTED_VALUE"""),9)</f>
        <v>9</v>
      </c>
      <c r="AQ292" s="27" t="str">
        <f ca="1">IFERROR(__xludf.DUMMYFUNCTION("""COMPUTED_VALUE"""),"Segundo Semestre 2021")</f>
        <v>Segundo Semestre 2021</v>
      </c>
      <c r="AR292" s="27" t="str">
        <f ca="1">IFERROR(__xludf.DUMMYFUNCTION("""COMPUTED_VALUE"""),"marilene_rodrigues15@hotmail.com")</f>
        <v>marilene_rodrigues15@hotmail.com</v>
      </c>
      <c r="AS292" s="27">
        <f ca="1">IFERROR(__xludf.DUMMYFUNCTION("""COMPUTED_VALUE"""),19998014293)</f>
        <v>19998014293</v>
      </c>
      <c r="AT292" s="29">
        <f ca="1">IFERROR(__xludf.DUMMYFUNCTION("""COMPUTED_VALUE"""),34773)</f>
        <v>34773</v>
      </c>
      <c r="AU292" s="27">
        <f ca="1">IFERROR(__xludf.DUMMYFUNCTION("""COMPUTED_VALUE"""),27)</f>
        <v>27</v>
      </c>
      <c r="AV292" s="27">
        <f ca="1">IFERROR(__xludf.DUMMYFUNCTION("""COMPUTED_VALUE"""),42283198828)</f>
        <v>42283198828</v>
      </c>
      <c r="AW292" s="27">
        <f ca="1">IFERROR(__xludf.DUMMYFUNCTION("""COMPUTED_VALUE"""),459782393)</f>
        <v>459782393</v>
      </c>
      <c r="AX292" s="27"/>
      <c r="AY292" s="27"/>
      <c r="AZ292" s="27" t="str">
        <f ca="1">IFERROR(__xludf.DUMMYFUNCTION("""COMPUTED_VALUE"""),"P")</f>
        <v>P</v>
      </c>
      <c r="BA292" s="27" t="str">
        <f ca="1">IFERROR(__xludf.DUMMYFUNCTION("""COMPUTED_VALUE"""),"Preta")</f>
        <v>Preta</v>
      </c>
      <c r="BB292" s="27"/>
      <c r="BC292" s="27" t="str">
        <f ca="1">IFERROR(__xludf.DUMMYFUNCTION("""COMPUTED_VALUE"""),"Sim")</f>
        <v>Sim</v>
      </c>
      <c r="BD292" s="27" t="str">
        <f ca="1">IFERROR(__xludf.DUMMYFUNCTION("""COMPUTED_VALUE"""),"Educadora Social engajada atuando desde 2011 no Terceiro Setor com oficinas socioeducativas para crianças;; adolescentes e jovens em vulnerabilidade;; promovendo o fortalecimento de vínculos entre participantes;; escolas;; famílias e comunidades;; além de"&amp;" ações de fomento ao desenvolvimento territorial e às lideranças juvenis em Mogi Mirim; Desde 2016 à frente da elaboração e execução do Projeto Garatujas na Escola Estadual Valério Strang com oficinas de Educação Social e Pedagogia de Projetos pela Instit"&amp;"uição ICA de Mogi Mirim; Tive a oportunidade de desenvolver oficinas Arte e Cultura durante 2 anos para adolescentes em cumprimento de Medida Socioeducativa de internação na Fundação CASA;; experiência que me oportunizou ampliar meus conhecimentos acerca "&amp;"do ECA e SINASE; Ministrei oficinas de Expressão Corporal e Teatro por 2 anos no Centro de Convivência Infantil de Mogi Mirim;; desenvolvendo também;; pequenas produções culturais com as crianças atendidas; Durante quase 2 anos;; estive responsável pela b"&amp;"iblioteca de pequeno porte da Instituição ICA;; desenvolvendo ações de fomento à leitura;; além de promover formações de Mediadores de Leitura;; simultaneamente atuando em oficinas de apoio escolar; Sou Voluntária;; desde 2013;; do Centro de Voluntariado "&amp;"de Mogi Mirim;; tendo;; por diversas vezes;; o prazer de contribuir em ações sociais pontuais desenvolvidas pelas Instituições e Entidades parceiras;")</f>
        <v>Educadora Social engajada atuando desde 2011 no Terceiro Setor com oficinas socioeducativas para crianças;; adolescentes e jovens em vulnerabilidade;; promovendo o fortalecimento de vínculos entre participantes;; escolas;; famílias e comunidades;; além de ações de fomento ao desenvolvimento territorial e às lideranças juvenis em Mogi Mirim; Desde 2016 à frente da elaboração e execução do Projeto Garatujas na Escola Estadual Valério Strang com oficinas de Educação Social e Pedagogia de Projetos pela Instituição ICA de Mogi Mirim; Tive a oportunidade de desenvolver oficinas Arte e Cultura durante 2 anos para adolescentes em cumprimento de Medida Socioeducativa de internação na Fundação CASA;; experiência que me oportunizou ampliar meus conhecimentos acerca do ECA e SINASE; Ministrei oficinas de Expressão Corporal e Teatro por 2 anos no Centro de Convivência Infantil de Mogi Mirim;; desenvolvendo também;; pequenas produções culturais com as crianças atendidas; Durante quase 2 anos;; estive responsável pela biblioteca de pequeno porte da Instituição ICA;; desenvolvendo ações de fomento à leitura;; além de promover formações de Mediadores de Leitura;; simultaneamente atuando em oficinas de apoio escolar; Sou Voluntária;; desde 2013;; do Centro de Voluntariado de Mogi Mirim;; tendo;; por diversas vezes;; o prazer de contribuir em ações sociais pontuais desenvolvidas pelas Instituições e Entidades parceiras;</v>
      </c>
      <c r="BE292" s="27"/>
      <c r="BF292" s="27"/>
      <c r="BG292" s="27" t="str">
        <f ca="1">IFERROR(__xludf.DUMMYFUNCTION("""COMPUTED_VALUE"""),"Ensino Superior - Incompleto")</f>
        <v>Ensino Superior - Incompleto</v>
      </c>
      <c r="BH292" s="27" t="str">
        <f ca="1">IFERROR(__xludf.DUMMYFUNCTION("""COMPUTED_VALUE"""),"Público")</f>
        <v>Público</v>
      </c>
      <c r="BI292" s="27" t="str">
        <f ca="1">IFERROR(__xludf.DUMMYFUNCTION("""COMPUTED_VALUE"""),"Graduação")</f>
        <v>Graduação</v>
      </c>
      <c r="BJ292" s="27" t="str">
        <f ca="1">IFERROR(__xludf.DUMMYFUNCTION("""COMPUTED_VALUE"""),"Privado")</f>
        <v>Privado</v>
      </c>
      <c r="BK292" s="27" t="str">
        <f ca="1">IFERROR(__xludf.DUMMYFUNCTION("""COMPUTED_VALUE"""),"Cesarino Stort")</f>
        <v>Cesarino Stort</v>
      </c>
      <c r="BL292" s="27">
        <f ca="1">IFERROR(__xludf.DUMMYFUNCTION("""COMPUTED_VALUE"""),171)</f>
        <v>171</v>
      </c>
      <c r="BM292" s="27"/>
      <c r="BN292" s="27" t="str">
        <f ca="1">IFERROR(__xludf.DUMMYFUNCTION("""COMPUTED_VALUE"""),"Mogi Mirim")</f>
        <v>Mogi Mirim</v>
      </c>
      <c r="BO292" s="27">
        <f ca="1">IFERROR(__xludf.DUMMYFUNCTION("""COMPUTED_VALUE"""),13802294)</f>
        <v>13802294</v>
      </c>
      <c r="BP292" s="27" t="str">
        <f ca="1">IFERROR(__xludf.DUMMYFUNCTION("""COMPUTED_VALUE"""),"SP")</f>
        <v>SP</v>
      </c>
      <c r="BQ292" s="27"/>
      <c r="BR292" s="27"/>
      <c r="BS292" s="27"/>
      <c r="BT292" s="27"/>
      <c r="BU292" s="27" t="str">
        <f ca="1">IFERROR(__xludf.DUMMYFUNCTION("""COMPUTED_VALUE"""),"Não tem")</f>
        <v>Não tem</v>
      </c>
      <c r="BV292" s="27"/>
      <c r="BW292" s="21" t="str">
        <f ca="1">IFERROR(__xludf.DUMMYFUNCTION("""COMPUTED_VALUE"""),"https://www.linkedin.com/in/marilene-rodrigues-a74774115/")</f>
        <v>https://www.linkedin.com/in/marilene-rodrigues-a74774115/</v>
      </c>
      <c r="BX292" s="21" t="str">
        <f ca="1">IFERROR(__xludf.DUMMYFUNCTION("""COMPUTED_VALUE"""),"https://www.instagram.com/mrdrgs_/?utm_medium=copy_link")</f>
        <v>https://www.instagram.com/mrdrgs_/?utm_medium=copy_link</v>
      </c>
      <c r="BY292" s="21" t="str">
        <f ca="1">IFERROR(__xludf.DUMMYFUNCTION("""COMPUTED_VALUE"""),"https://drive.google.com/open?id=1FS1cYvmyQ1TCh2s1iBCFGARCtzywTJM7")</f>
        <v>https://drive.google.com/open?id=1FS1cYvmyQ1TCh2s1iBCFGARCtzywTJM7</v>
      </c>
    </row>
    <row r="293" spans="1:77" ht="12.5" x14ac:dyDescent="0.25">
      <c r="A293" s="21" t="str">
        <f ca="1">IFERROR(__xludf.DUMMYFUNCTION("""COMPUTED_VALUE"""),"0014P00003YSpAJQA1")</f>
        <v>0014P00003YSpAJQA1</v>
      </c>
      <c r="B293" s="27" t="str">
        <f ca="1">IFERROR(__xludf.DUMMYFUNCTION("""COMPUTED_VALUE"""),"Fase Inicial")</f>
        <v>Fase Inicial</v>
      </c>
      <c r="C293" s="27" t="str">
        <f ca="1">IFERROR(__xludf.DUMMYFUNCTION("""COMPUTED_VALUE"""),"Fellow")</f>
        <v>Fellow</v>
      </c>
      <c r="D293" s="27" t="str">
        <f ca="1">IFERROR(__xludf.DUMMYFUNCTION("""COMPUTED_VALUE"""),"Ativo")</f>
        <v>Ativo</v>
      </c>
      <c r="E293" s="27" t="str">
        <f ca="1">IFERROR(__xludf.DUMMYFUNCTION("""COMPUTED_VALUE"""),"INSTITUIÇÃO SOCIAL DE AMOR CRISTÃO-ISAC")</f>
        <v>INSTITUIÇÃO SOCIAL DE AMOR CRISTÃO-ISAC</v>
      </c>
      <c r="F293" s="27" t="str">
        <f ca="1">IFERROR(__xludf.DUMMYFUNCTION("""COMPUTED_VALUE"""),"Odete")</f>
        <v>Odete</v>
      </c>
      <c r="G293" s="27"/>
      <c r="H293" s="27" t="str">
        <f ca="1">IFERROR(__xludf.DUMMYFUNCTION("""COMPUTED_VALUE"""),"14.121.020/0001-25")</f>
        <v>14.121.020/0001-25</v>
      </c>
      <c r="I293" s="27" t="str">
        <f ca="1">IFERROR(__xludf.DUMMYFUNCTION("""COMPUTED_VALUE"""),"Odete Avelino de Aquino")</f>
        <v>Odete Avelino de Aquino</v>
      </c>
      <c r="J293" s="27" t="str">
        <f ca="1">IFERROR(__xludf.DUMMYFUNCTION("""COMPUTED_VALUE"""),"isacprojetosocial@gmail.com")</f>
        <v>isacprojetosocial@gmail.com</v>
      </c>
      <c r="K293" s="27" t="str">
        <f ca="1">IFERROR(__xludf.DUMMYFUNCTION("""COMPUTED_VALUE"""),"(38)99150-0060")</f>
        <v>(38)99150-0060</v>
      </c>
      <c r="L293" s="27" t="str">
        <f ca="1">IFERROR(__xludf.DUMMYFUNCTION("""COMPUTED_VALUE"""),"MG")</f>
        <v>MG</v>
      </c>
      <c r="M293" s="27" t="str">
        <f ca="1">IFERROR(__xludf.DUMMYFUNCTION("""COMPUTED_VALUE"""),"""D""")</f>
        <v>"D"</v>
      </c>
      <c r="N293" s="27" t="str">
        <f ca="1">IFERROR(__xludf.DUMMYFUNCTION("""COMPUTED_VALUE"""),"Vargem grande II")</f>
        <v>Vargem grande II</v>
      </c>
      <c r="O293" s="27">
        <f ca="1">IFERROR(__xludf.DUMMYFUNCTION("""COMPUTED_VALUE"""),590)</f>
        <v>590</v>
      </c>
      <c r="P293" s="27" t="str">
        <f ca="1">IFERROR(__xludf.DUMMYFUNCTION("""COMPUTED_VALUE"""),"Montes Claros")</f>
        <v>Montes Claros</v>
      </c>
      <c r="Q293" s="27"/>
      <c r="R293" s="27" t="str">
        <f ca="1">IFERROR(__xludf.DUMMYFUNCTION("""COMPUTED_VALUE"""),"39403-090")</f>
        <v>39403-090</v>
      </c>
      <c r="S293" s="27"/>
      <c r="T293" s="27" t="str">
        <f ca="1">IFERROR(__xludf.DUMMYFUNCTION("""COMPUTED_VALUE"""),"Esporte; Assistência Social; Cultura; Empreendedorismo; Meio ambiente; Negócios Sociais; Defesa de Direitos; Desenvolvimento comunitário")</f>
        <v>Esporte; Assistência Social; Cultura; Empreendedorismo; Meio ambiente; Negócios Sociais; Defesa de Direitos; Desenvolvimento comunitário</v>
      </c>
      <c r="U293" s="27" t="str">
        <f ca="1">IFERROR(__xludf.DUMMYFUNCTION("""COMPUTED_VALUE"""),"Crianças (6 a 12 anos); Adolescentes (12 aos 18 anos)")</f>
        <v>Crianças (6 a 12 anos); Adolescentes (12 aos 18 anos)</v>
      </c>
      <c r="V293" s="27" t="str">
        <f ca="1">IFERROR(__xludf.DUMMYFUNCTION("""COMPUTED_VALUE"""),"Moradores de Favelas")</f>
        <v>Moradores de Favelas</v>
      </c>
      <c r="W293" s="27">
        <f ca="1">IFERROR(__xludf.DUMMYFUNCTION("""COMPUTED_VALUE"""),7)</f>
        <v>7</v>
      </c>
      <c r="X293" s="27" t="str">
        <f ca="1">IFERROR(__xludf.DUMMYFUNCTION("""COMPUTED_VALUE"""),"Nosso  publico alvo são crianças e adolescentes em situação de risco social de 6 a 15 anos")</f>
        <v>Nosso  publico alvo são crianças e adolescentes em situação de risco social de 6 a 15 anos</v>
      </c>
      <c r="Y293" s="27"/>
      <c r="Z293" s="27">
        <f ca="1">IFERROR(__xludf.DUMMYFUNCTION("""COMPUTED_VALUE"""),1400)</f>
        <v>1400</v>
      </c>
      <c r="AA293" s="29">
        <f ca="1">IFERROR(__xludf.DUMMYFUNCTION("""COMPUTED_VALUE"""),40671)</f>
        <v>40671</v>
      </c>
      <c r="AB293" s="27" t="str">
        <f ca="1">IFERROR(__xludf.DUMMYFUNCTION("""COMPUTED_VALUE"""),"Sim")</f>
        <v>Sim</v>
      </c>
      <c r="AC293" s="27">
        <f ca="1">IFERROR(__xludf.DUMMYFUNCTION("""COMPUTED_VALUE"""),3)</f>
        <v>3</v>
      </c>
      <c r="AD293" s="27">
        <f ca="1">IFERROR(__xludf.DUMMYFUNCTION("""COMPUTED_VALUE"""),1)</f>
        <v>1</v>
      </c>
      <c r="AE293" s="27">
        <f ca="1">IFERROR(__xludf.DUMMYFUNCTION("""COMPUTED_VALUE"""),8)</f>
        <v>8</v>
      </c>
      <c r="AF293" s="27">
        <f ca="1">IFERROR(__xludf.DUMMYFUNCTION("""COMPUTED_VALUE"""),4)</f>
        <v>4</v>
      </c>
      <c r="AG293" s="27">
        <f ca="1">IFERROR(__xludf.DUMMYFUNCTION("""COMPUTED_VALUE"""),5)</f>
        <v>5</v>
      </c>
      <c r="AH293" s="27" t="str">
        <f ca="1">IFERROR(__xludf.DUMMYFUNCTION("""COMPUTED_VALUE"""),"Negócio Social; Eventos/Ações para captação; Editais; Doações; FIA")</f>
        <v>Negócio Social; Eventos/Ações para captação; Editais; Doações; FIA</v>
      </c>
      <c r="AI293" s="27" t="str">
        <f ca="1">IFERROR(__xludf.DUMMYFUNCTION("""COMPUTED_VALUE"""),"0% em todas  por enquanto")</f>
        <v>0% em todas  por enquanto</v>
      </c>
      <c r="AJ293" s="27"/>
      <c r="AK293" s="27"/>
      <c r="AL293" s="21" t="str">
        <f ca="1">IFERROR(__xludf.DUMMYFUNCTION("""COMPUTED_VALUE"""),"0034P000045kxkv")</f>
        <v>0034P000045kxkv</v>
      </c>
      <c r="AM293" s="27" t="str">
        <f ca="1">IFERROR(__xludf.DUMMYFUNCTION("""COMPUTED_VALUE"""),"Avelino De Aquino")</f>
        <v>Avelino De Aquino</v>
      </c>
      <c r="AN293" s="27" t="str">
        <f ca="1">IFERROR(__xludf.DUMMYFUNCTION("""COMPUTED_VALUE"""),"Ativo")</f>
        <v>Ativo</v>
      </c>
      <c r="AO293" s="30">
        <f ca="1">IFERROR(__xludf.DUMMYFUNCTION("""COMPUTED_VALUE"""),44551)</f>
        <v>44551</v>
      </c>
      <c r="AP293" s="27">
        <f ca="1">IFERROR(__xludf.DUMMYFUNCTION("""COMPUTED_VALUE"""),9)</f>
        <v>9</v>
      </c>
      <c r="AQ293" s="27" t="str">
        <f ca="1">IFERROR(__xludf.DUMMYFUNCTION("""COMPUTED_VALUE"""),"Segundo Semestre 2021")</f>
        <v>Segundo Semestre 2021</v>
      </c>
      <c r="AR293" s="27" t="str">
        <f ca="1">IFERROR(__xludf.DUMMYFUNCTION("""COMPUTED_VALUE"""),"isacprojetosocial@gmail.com")</f>
        <v>isacprojetosocial@gmail.com</v>
      </c>
      <c r="AS293" s="27" t="str">
        <f ca="1">IFERROR(__xludf.DUMMYFUNCTION("""COMPUTED_VALUE"""),"(38)99150-0060")</f>
        <v>(38)99150-0060</v>
      </c>
      <c r="AT293" s="29">
        <f ca="1">IFERROR(__xludf.DUMMYFUNCTION("""COMPUTED_VALUE"""),24803)</f>
        <v>24803</v>
      </c>
      <c r="AU293" s="27">
        <f ca="1">IFERROR(__xludf.DUMMYFUNCTION("""COMPUTED_VALUE"""),55)</f>
        <v>55</v>
      </c>
      <c r="AV293" s="27">
        <f ca="1">IFERROR(__xludf.DUMMYFUNCTION("""COMPUTED_VALUE"""),58625445691)</f>
        <v>58625445691</v>
      </c>
      <c r="AW293" s="27">
        <f ca="1">IFERROR(__xludf.DUMMYFUNCTION("""COMPUTED_VALUE"""),4102501)</f>
        <v>4102501</v>
      </c>
      <c r="AX293" s="27"/>
      <c r="AY293" s="27"/>
      <c r="AZ293" s="27" t="str">
        <f ca="1">IFERROR(__xludf.DUMMYFUNCTION("""COMPUTED_VALUE"""),"M")</f>
        <v>M</v>
      </c>
      <c r="BA293" s="27" t="str">
        <f ca="1">IFERROR(__xludf.DUMMYFUNCTION("""COMPUTED_VALUE"""),"Parda")</f>
        <v>Parda</v>
      </c>
      <c r="BB293" s="27" t="str">
        <f ca="1">IFERROR(__xludf.DUMMYFUNCTION("""COMPUTED_VALUE"""),"Mulher, cisgênero")</f>
        <v>Mulher, cisgênero</v>
      </c>
      <c r="BC293" s="27" t="str">
        <f ca="1">IFERROR(__xludf.DUMMYFUNCTION("""COMPUTED_VALUE"""),"Não")</f>
        <v>Não</v>
      </c>
      <c r="BD293" s="27" t="str">
        <f ca="1">IFERROR(__xludf.DUMMYFUNCTION("""COMPUTED_VALUE"""),"Odete Avelino de Aquino, Assistente Social e fundadora da Instituição Social de Amor Cristão-ISAC, onde atua voluntariamente como presidente e coordenadora desde 2011. Odete é casada, mãe de duas filhas e avó de um neto. Nas comunidades que assiste em Mon"&amp;"tes Claros- Norte de Minas Gerais é líder de destaque com formação na Falcons University.")</f>
        <v>Odete Avelino de Aquino, Assistente Social e fundadora da Instituição Social de Amor Cristão-ISAC, onde atua voluntariamente como presidente e coordenadora desde 2011. Odete é casada, mãe de duas filhas e avó de um neto. Nas comunidades que assiste em Montes Claros- Norte de Minas Gerais é líder de destaque com formação na Falcons University.</v>
      </c>
      <c r="BE293" s="27"/>
      <c r="BF293" s="27" t="str">
        <f ca="1">IFERROR(__xludf.DUMMYFUNCTION("""COMPUTED_VALUE"""),"Heterossexual")</f>
        <v>Heterossexual</v>
      </c>
      <c r="BG293" s="27" t="str">
        <f ca="1">IFERROR(__xludf.DUMMYFUNCTION("""COMPUTED_VALUE"""),"Ensino Superior - Completo")</f>
        <v>Ensino Superior - Completo</v>
      </c>
      <c r="BH293" s="27" t="str">
        <f ca="1">IFERROR(__xludf.DUMMYFUNCTION("""COMPUTED_VALUE"""),"Privado")</f>
        <v>Privado</v>
      </c>
      <c r="BI293" s="27" t="str">
        <f ca="1">IFERROR(__xludf.DUMMYFUNCTION("""COMPUTED_VALUE"""),"Graduação")</f>
        <v>Graduação</v>
      </c>
      <c r="BJ293" s="27" t="str">
        <f ca="1">IFERROR(__xludf.DUMMYFUNCTION("""COMPUTED_VALUE"""),"Privado")</f>
        <v>Privado</v>
      </c>
      <c r="BK293" s="27" t="str">
        <f ca="1">IFERROR(__xludf.DUMMYFUNCTION("""COMPUTED_VALUE"""),"Cristiano do O")</f>
        <v>Cristiano do O</v>
      </c>
      <c r="BL293" s="27">
        <f ca="1">IFERROR(__xludf.DUMMYFUNCTION("""COMPUTED_VALUE"""),579)</f>
        <v>579</v>
      </c>
      <c r="BM293" s="27"/>
      <c r="BN293" s="27" t="str">
        <f ca="1">IFERROR(__xludf.DUMMYFUNCTION("""COMPUTED_VALUE"""),"Montes Claros")</f>
        <v>Montes Claros</v>
      </c>
      <c r="BO293" s="27" t="str">
        <f ca="1">IFERROR(__xludf.DUMMYFUNCTION("""COMPUTED_VALUE"""),"39400-465")</f>
        <v>39400-465</v>
      </c>
      <c r="BP293" s="27" t="str">
        <f ca="1">IFERROR(__xludf.DUMMYFUNCTION("""COMPUTED_VALUE"""),"MG")</f>
        <v>MG</v>
      </c>
      <c r="BQ293" s="27" t="str">
        <f ca="1">IFERROR(__xludf.DUMMYFUNCTION("""COMPUTED_VALUE"""),"Entre 1 até 3 salários mínimos")</f>
        <v>Entre 1 até 3 salários mínimos</v>
      </c>
      <c r="BR293" s="27" t="str">
        <f ca="1">IFERROR(__xludf.DUMMYFUNCTION("""COMPUTED_VALUE"""),"Trabalho informal")</f>
        <v>Trabalho informal</v>
      </c>
      <c r="BS293" s="27" t="str">
        <f ca="1">IFERROR(__xludf.DUMMYFUNCTION("""COMPUTED_VALUE"""),"Casa própria")</f>
        <v>Casa própria</v>
      </c>
      <c r="BT293" s="27">
        <f ca="1">IFERROR(__xludf.DUMMYFUNCTION("""COMPUTED_VALUE"""),2)</f>
        <v>2</v>
      </c>
      <c r="BU293" s="27" t="str">
        <f ca="1">IFERROR(__xludf.DUMMYFUNCTION("""COMPUTED_VALUE"""),"Não tem")</f>
        <v>Não tem</v>
      </c>
      <c r="BV293" s="27"/>
      <c r="BW293" s="21" t="str">
        <f ca="1">IFERROR(__xludf.DUMMYFUNCTION("""COMPUTED_VALUE"""),"https://www.linkedin.com/in/odete-aquino-47946b236")</f>
        <v>https://www.linkedin.com/in/odete-aquino-47946b236</v>
      </c>
      <c r="BX293" s="21" t="str">
        <f ca="1">IFERROR(__xludf.DUMMYFUNCTION("""COMPUTED_VALUE"""),"https://instagram.com/detinha_aquino?utm_medium=copy_link")</f>
        <v>https://instagram.com/detinha_aquino?utm_medium=copy_link</v>
      </c>
      <c r="BY293" s="21" t="str">
        <f ca="1">IFERROR(__xludf.DUMMYFUNCTION("""COMPUTED_VALUE"""),"https://drive.google.com/open?id=1bGwzS2FbXBNqxyIOHeu_sV2tLssT2zBu")</f>
        <v>https://drive.google.com/open?id=1bGwzS2FbXBNqxyIOHeu_sV2tLssT2zBu</v>
      </c>
    </row>
    <row r="294" spans="1:77" ht="12.5" x14ac:dyDescent="0.25">
      <c r="A294" s="21" t="str">
        <f ca="1">IFERROR(__xludf.DUMMYFUNCTION("""COMPUTED_VALUE"""),"0014X00002VKCsyQAH")</f>
        <v>0014X00002VKCsyQAH</v>
      </c>
      <c r="B294" s="27" t="str">
        <f ca="1">IFERROR(__xludf.DUMMYFUNCTION("""COMPUTED_VALUE"""),"Fase Inicial")</f>
        <v>Fase Inicial</v>
      </c>
      <c r="C294" s="27" t="str">
        <f ca="1">IFERROR(__xludf.DUMMYFUNCTION("""COMPUTED_VALUE"""),"Fellow")</f>
        <v>Fellow</v>
      </c>
      <c r="D294" s="27" t="str">
        <f ca="1">IFERROR(__xludf.DUMMYFUNCTION("""COMPUTED_VALUE"""),"Ativo")</f>
        <v>Ativo</v>
      </c>
      <c r="E294" s="27" t="str">
        <f ca="1">IFERROR(__xludf.DUMMYFUNCTION("""COMPUTED_VALUE"""),"Instituição Sociedade Plural São João Batista / ISP-SJB")</f>
        <v>Instituição Sociedade Plural São João Batista / ISP-SJB</v>
      </c>
      <c r="F294" s="27" t="str">
        <f ca="1">IFERROR(__xludf.DUMMYFUNCTION("""COMPUTED_VALUE"""),"Nayra")</f>
        <v>Nayra</v>
      </c>
      <c r="G294" s="27" t="str">
        <f ca="1">IFERROR(__xludf.DUMMYFUNCTION("""COMPUTED_VALUE"""),"IEC")</f>
        <v>IEC</v>
      </c>
      <c r="H294" s="27" t="str">
        <f ca="1">IFERROR(__xludf.DUMMYFUNCTION("""COMPUTED_VALUE"""),"17.525.660/0001-99")</f>
        <v>17.525.660/0001-99</v>
      </c>
      <c r="I294" s="27" t="str">
        <f ca="1">IFERROR(__xludf.DUMMYFUNCTION("""COMPUTED_VALUE"""),"Nayra Madeira Santos")</f>
        <v>Nayra Madeira Santos</v>
      </c>
      <c r="J294" s="27" t="str">
        <f ca="1">IFERROR(__xludf.DUMMYFUNCTION("""COMPUTED_VALUE"""),"sociedadeplural@gmail.com")</f>
        <v>sociedadeplural@gmail.com</v>
      </c>
      <c r="K294" s="27" t="str">
        <f ca="1">IFERROR(__xludf.DUMMYFUNCTION("""COMPUTED_VALUE"""),"(21)96693-3400")</f>
        <v>(21)96693-3400</v>
      </c>
      <c r="L294" s="27" t="str">
        <f ca="1">IFERROR(__xludf.DUMMYFUNCTION("""COMPUTED_VALUE"""),"RJ")</f>
        <v>RJ</v>
      </c>
      <c r="M294" s="27" t="str">
        <f ca="1">IFERROR(__xludf.DUMMYFUNCTION("""COMPUTED_VALUE"""),"Rua Projetada R")</f>
        <v>Rua Projetada R</v>
      </c>
      <c r="N294" s="27" t="str">
        <f ca="1">IFERROR(__xludf.DUMMYFUNCTION("""COMPUTED_VALUE"""),"Centro")</f>
        <v>Centro</v>
      </c>
      <c r="O294" s="27" t="str">
        <f ca="1">IFERROR(__xludf.DUMMYFUNCTION("""COMPUTED_VALUE"""),"s/n")</f>
        <v>s/n</v>
      </c>
      <c r="P294" s="27" t="str">
        <f ca="1">IFERROR(__xludf.DUMMYFUNCTION("""COMPUTED_VALUE"""),"Duque de Caxias")</f>
        <v>Duque de Caxias</v>
      </c>
      <c r="Q294" s="27"/>
      <c r="R294" s="27" t="str">
        <f ca="1">IFERROR(__xludf.DUMMYFUNCTION("""COMPUTED_VALUE"""),"25011-540")</f>
        <v>25011-540</v>
      </c>
      <c r="S294" s="27" t="str">
        <f ca="1">IFERROR(__xludf.DUMMYFUNCTION("""COMPUTED_VALUE"""),"Dentro da favela, utilizamos 2 espaços e o campo da favela")</f>
        <v>Dentro da favela, utilizamos 2 espaços e o campo da favela</v>
      </c>
      <c r="T294" s="27"/>
      <c r="U294"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294" s="27" t="str">
        <f ca="1">IFERROR(__xludf.DUMMYFUNCTION("""COMPUTED_VALUE"""),"Moradores de Favelas")</f>
        <v>Moradores de Favelas</v>
      </c>
      <c r="W294" s="27">
        <f ca="1">IFERROR(__xludf.DUMMYFUNCTION("""COMPUTED_VALUE"""),1)</f>
        <v>1</v>
      </c>
      <c r="X294" s="27"/>
      <c r="Y294" s="27"/>
      <c r="Z294" s="27">
        <f ca="1">IFERROR(__xludf.DUMMYFUNCTION("""COMPUTED_VALUE"""),200)</f>
        <v>200</v>
      </c>
      <c r="AA294" s="29">
        <f ca="1">IFERROR(__xludf.DUMMYFUNCTION("""COMPUTED_VALUE"""),41257)</f>
        <v>41257</v>
      </c>
      <c r="AB294" s="27" t="str">
        <f ca="1">IFERROR(__xludf.DUMMYFUNCTION("""COMPUTED_VALUE"""),"Sim")</f>
        <v>Sim</v>
      </c>
      <c r="AC294" s="27">
        <f ca="1">IFERROR(__xludf.DUMMYFUNCTION("""COMPUTED_VALUE"""),0)</f>
        <v>0</v>
      </c>
      <c r="AD294" s="27">
        <f ca="1">IFERROR(__xludf.DUMMYFUNCTION("""COMPUTED_VALUE"""),3)</f>
        <v>3</v>
      </c>
      <c r="AE294" s="27">
        <f ca="1">IFERROR(__xludf.DUMMYFUNCTION("""COMPUTED_VALUE"""),14)</f>
        <v>14</v>
      </c>
      <c r="AF294" s="27">
        <f ca="1">IFERROR(__xludf.DUMMYFUNCTION("""COMPUTED_VALUE"""),2)</f>
        <v>2</v>
      </c>
      <c r="AG294" s="27">
        <f ca="1">IFERROR(__xludf.DUMMYFUNCTION("""COMPUTED_VALUE"""),3)</f>
        <v>3</v>
      </c>
      <c r="AH294" s="27" t="str">
        <f ca="1">IFERROR(__xludf.DUMMYFUNCTION("""COMPUTED_VALUE"""),"Eventos/Ações para captação, Outro(s), Doações")</f>
        <v>Eventos/Ações para captação, Outro(s), Doações</v>
      </c>
      <c r="AI294" s="27" t="str">
        <f ca="1">IFERROR(__xludf.DUMMYFUNCTION("""COMPUTED_VALUE"""),"80% doações ; 10% eventos para captação de recursos; 10% remuneração de voluntários pois somos 1 polo de cultura gov do estado (contrato)")</f>
        <v>80% doações ; 10% eventos para captação de recursos; 10% remuneração de voluntários pois somos 1 polo de cultura gov do estado (contrato)</v>
      </c>
      <c r="AJ294" s="27" t="str">
        <f ca="1">IFERROR(__xludf.DUMMYFUNCTION("""COMPUTED_VALUE"""),"Vamos iniciar esse ano")</f>
        <v>Vamos iniciar esse ano</v>
      </c>
      <c r="AK294" s="27"/>
      <c r="AL294" s="21" t="str">
        <f ca="1">IFERROR(__xludf.DUMMYFUNCTION("""COMPUTED_VALUE"""),"0034X0000380O2c")</f>
        <v>0034X0000380O2c</v>
      </c>
      <c r="AM294" s="27" t="str">
        <f ca="1">IFERROR(__xludf.DUMMYFUNCTION("""COMPUTED_VALUE"""),"Madeira santos")</f>
        <v>Madeira santos</v>
      </c>
      <c r="AN294" s="27" t="str">
        <f ca="1">IFERROR(__xludf.DUMMYFUNCTION("""COMPUTED_VALUE"""),"Ativo")</f>
        <v>Ativo</v>
      </c>
      <c r="AO294" s="30">
        <f ca="1">IFERROR(__xludf.DUMMYFUNCTION("""COMPUTED_VALUE"""),44763)</f>
        <v>44763</v>
      </c>
      <c r="AP294" s="27">
        <f ca="1">IFERROR(__xludf.DUMMYFUNCTION("""COMPUTED_VALUE"""),2)</f>
        <v>2</v>
      </c>
      <c r="AQ294" s="27" t="str">
        <f ca="1">IFERROR(__xludf.DUMMYFUNCTION("""COMPUTED_VALUE"""),"Primeiro Semestre 2022")</f>
        <v>Primeiro Semestre 2022</v>
      </c>
      <c r="AR294" s="27" t="str">
        <f ca="1">IFERROR(__xludf.DUMMYFUNCTION("""COMPUTED_VALUE"""),"sociedadeplural@gmail.com")</f>
        <v>sociedadeplural@gmail.com</v>
      </c>
      <c r="AS294" s="27" t="str">
        <f ca="1">IFERROR(__xludf.DUMMYFUNCTION("""COMPUTED_VALUE"""),"21976754403 ou 21 966933400")</f>
        <v>21976754403 ou 21 966933400</v>
      </c>
      <c r="AT294" s="30">
        <f ca="1">IFERROR(__xludf.DUMMYFUNCTION("""COMPUTED_VALUE"""),32893)</f>
        <v>32893</v>
      </c>
      <c r="AU294" s="27">
        <f ca="1">IFERROR(__xludf.DUMMYFUNCTION("""COMPUTED_VALUE"""),32)</f>
        <v>32</v>
      </c>
      <c r="AV294" s="27">
        <f ca="1">IFERROR(__xludf.DUMMYFUNCTION("""COMPUTED_VALUE"""),13957467705)</f>
        <v>13957467705</v>
      </c>
      <c r="AW294" s="27">
        <f ca="1">IFERROR(__xludf.DUMMYFUNCTION("""COMPUTED_VALUE"""),269412045)</f>
        <v>269412045</v>
      </c>
      <c r="AX294" s="27"/>
      <c r="AY294" s="27"/>
      <c r="AZ294" s="27" t="str">
        <f ca="1">IFERROR(__xludf.DUMMYFUNCTION("""COMPUTED_VALUE"""),"G")</f>
        <v>G</v>
      </c>
      <c r="BA294" s="27" t="str">
        <f ca="1">IFERROR(__xludf.DUMMYFUNCTION("""COMPUTED_VALUE"""),"Prefiro não declarar")</f>
        <v>Prefiro não declarar</v>
      </c>
      <c r="BB294" s="27"/>
      <c r="BC294" s="27"/>
      <c r="BD294" s="27" t="str">
        <f ca="1">IFERROR(__xludf.DUMMYFUNCTION("""COMPUTED_VALUE"""),"Moradora de Duque de Caxias* perdi minha mãe aos 8 anos. Fui criada pelo meu pai* com o apoio da minha família. A partir desta referência* meu herói contribuiu para a formação do meu caráter e valores. 
Ajudar ao próximo faz parte da minha essência. Segui"&amp;"ndo meus ideais* escolhi ser professora de história. Tem sido um desafio incrível. 
A Instituição veio através da oportunidade de trabalhar em escolas e observar as injustiças sociais* mas sozinha não consigo. Através de uma corrente pelo bem* sigo buscan"&amp;"do transformar  a sociedade em que vivo* sonhando com um mundo mais justo.")</f>
        <v>Moradora de Duque de Caxias* perdi minha mãe aos 8 anos. Fui criada pelo meu pai* com o apoio da minha família. A partir desta referência* meu herói contribuiu para a formação do meu caráter e valores. 
Ajudar ao próximo faz parte da minha essência. Seguindo meus ideais* escolhi ser professora de história. Tem sido um desafio incrível. 
A Instituição veio através da oportunidade de trabalhar em escolas e observar as injustiças sociais* mas sozinha não consigo. Através de uma corrente pelo bem* sigo buscando transformar  a sociedade em que vivo* sonhando com um mundo mais justo.</v>
      </c>
      <c r="BE294" s="27" t="str">
        <f ca="1">IFERROR(__xludf.DUMMYFUNCTION("""COMPUTED_VALUE"""),"Feminino")</f>
        <v>Feminino</v>
      </c>
      <c r="BF294" s="27" t="str">
        <f ca="1">IFERROR(__xludf.DUMMYFUNCTION("""COMPUTED_VALUE"""),"Homossexual")</f>
        <v>Homossexual</v>
      </c>
      <c r="BG294" s="27"/>
      <c r="BH294" s="27" t="str">
        <f ca="1">IFERROR(__xludf.DUMMYFUNCTION("""COMPUTED_VALUE"""),"Público")</f>
        <v>Público</v>
      </c>
      <c r="BI294" s="27" t="str">
        <f ca="1">IFERROR(__xludf.DUMMYFUNCTION("""COMPUTED_VALUE"""),"Graduação")</f>
        <v>Graduação</v>
      </c>
      <c r="BJ294" s="27" t="str">
        <f ca="1">IFERROR(__xludf.DUMMYFUNCTION("""COMPUTED_VALUE"""),"Privado")</f>
        <v>Privado</v>
      </c>
      <c r="BK294" s="27" t="str">
        <f ca="1">IFERROR(__xludf.DUMMYFUNCTION("""COMPUTED_VALUE"""),"Rua Maria Luiza Reis")</f>
        <v>Rua Maria Luiza Reis</v>
      </c>
      <c r="BL294" s="27">
        <f ca="1">IFERROR(__xludf.DUMMYFUNCTION("""COMPUTED_VALUE"""),919)</f>
        <v>919</v>
      </c>
      <c r="BM294" s="27">
        <f ca="1">IFERROR(__xludf.DUMMYFUNCTION("""COMPUTED_VALUE"""),12)</f>
        <v>12</v>
      </c>
      <c r="BN294" s="27"/>
      <c r="BO294" s="27">
        <f ca="1">IFERROR(__xludf.DUMMYFUNCTION("""COMPUTED_VALUE"""),25015045)</f>
        <v>25015045</v>
      </c>
      <c r="BP294" s="27" t="str">
        <f ca="1">IFERROR(__xludf.DUMMYFUNCTION("""COMPUTED_VALUE"""),"RJ")</f>
        <v>RJ</v>
      </c>
      <c r="BQ294" s="27" t="str">
        <f ca="1">IFERROR(__xludf.DUMMYFUNCTION("""COMPUTED_VALUE"""),"Entre 1 até 3 salários mínimos")</f>
        <v>Entre 1 até 3 salários mínimos</v>
      </c>
      <c r="BR294" s="27" t="str">
        <f ca="1">IFERROR(__xludf.DUMMYFUNCTION("""COMPUTED_VALUE"""),"Trabalho informal")</f>
        <v>Trabalho informal</v>
      </c>
      <c r="BS294" s="27" t="str">
        <f ca="1">IFERROR(__xludf.DUMMYFUNCTION("""COMPUTED_VALUE"""),"Outros")</f>
        <v>Outros</v>
      </c>
      <c r="BT294" s="27">
        <f ca="1">IFERROR(__xludf.DUMMYFUNCTION("""COMPUTED_VALUE"""),0)</f>
        <v>0</v>
      </c>
      <c r="BU294" s="27" t="str">
        <f ca="1">IFERROR(__xludf.DUMMYFUNCTION("""COMPUTED_VALUE"""),"Não tem")</f>
        <v>Não tem</v>
      </c>
      <c r="BV294" s="27" t="str">
        <f ca="1">IFERROR(__xludf.DUMMYFUNCTION("""COMPUTED_VALUE"""),"Não")</f>
        <v>Não</v>
      </c>
      <c r="BW294" s="27"/>
      <c r="BX294" s="21" t="str">
        <f ca="1">IFERROR(__xludf.DUMMYFUNCTION("""COMPUTED_VALUE"""),"https://instagram.com/nayra.santos90?utm_medium=copy_link")</f>
        <v>https://instagram.com/nayra.santos90?utm_medium=copy_link</v>
      </c>
      <c r="BY294" s="21" t="str">
        <f ca="1">IFERROR(__xludf.DUMMYFUNCTION("""COMPUTED_VALUE"""),"https://drive.google.com/open?id=1NQmOvFTOd2Qfziq8z5XYBBfJCoJNU-Gc")</f>
        <v>https://drive.google.com/open?id=1NQmOvFTOd2Qfziq8z5XYBBfJCoJNU-Gc</v>
      </c>
    </row>
    <row r="295" spans="1:77" ht="12.5" hidden="1" x14ac:dyDescent="0.25">
      <c r="A295" s="21" t="str">
        <f ca="1">IFERROR(__xludf.DUMMYFUNCTION("""COMPUTED_VALUE"""),"0014X00002UGqWjQAL")</f>
        <v>0014X00002UGqWjQAL</v>
      </c>
      <c r="B295" s="27" t="str">
        <f ca="1">IFERROR(__xludf.DUMMYFUNCTION("""COMPUTED_VALUE"""),"Fase Inicial")</f>
        <v>Fase Inicial</v>
      </c>
      <c r="C295" s="27" t="str">
        <f ca="1">IFERROR(__xludf.DUMMYFUNCTION("""COMPUTED_VALUE"""),"Fellow")</f>
        <v>Fellow</v>
      </c>
      <c r="D295" s="27" t="str">
        <f ca="1">IFERROR(__xludf.DUMMYFUNCTION("""COMPUTED_VALUE"""),"Ativo")</f>
        <v>Ativo</v>
      </c>
      <c r="E295" s="27" t="str">
        <f ca="1">IFERROR(__xludf.DUMMYFUNCTION("""COMPUTED_VALUE"""),"Instituto 100% MORRO")</f>
        <v>Instituto 100% MORRO</v>
      </c>
      <c r="F295" s="27" t="str">
        <f ca="1">IFERROR(__xludf.DUMMYFUNCTION("""COMPUTED_VALUE"""),"Elaine")</f>
        <v>Elaine</v>
      </c>
      <c r="G295" s="27" t="str">
        <f ca="1">IFERROR(__xludf.DUMMYFUNCTION("""COMPUTED_VALUE"""),"Instituto 100% Morro")</f>
        <v>Instituto 100% Morro</v>
      </c>
      <c r="H295" s="27"/>
      <c r="I295" s="27" t="str">
        <f ca="1">IFERROR(__xludf.DUMMYFUNCTION("""COMPUTED_VALUE"""),"Elaine Pinheiro")</f>
        <v>Elaine Pinheiro</v>
      </c>
      <c r="J295" s="27" t="str">
        <f ca="1">IFERROR(__xludf.DUMMYFUNCTION("""COMPUTED_VALUE"""),"institutomorro@gmail.com")</f>
        <v>institutomorro@gmail.com</v>
      </c>
      <c r="K295" s="27" t="str">
        <f ca="1">IFERROR(__xludf.DUMMYFUNCTION("""COMPUTED_VALUE"""),"(31)99568-3398")</f>
        <v>(31)99568-3398</v>
      </c>
      <c r="L295" s="27" t="str">
        <f ca="1">IFERROR(__xludf.DUMMYFUNCTION("""COMPUTED_VALUE"""),"MG")</f>
        <v>MG</v>
      </c>
      <c r="M295" s="27" t="str">
        <f ca="1">IFERROR(__xludf.DUMMYFUNCTION("""COMPUTED_VALUE"""),"Rua São Tomaz de Aquino")</f>
        <v>Rua São Tomaz de Aquino</v>
      </c>
      <c r="N295" s="27" t="str">
        <f ca="1">IFERROR(__xludf.DUMMYFUNCTION("""COMPUTED_VALUE"""),"Santa Rita de Cássia")</f>
        <v>Santa Rita de Cássia</v>
      </c>
      <c r="O295" s="27"/>
      <c r="P295" s="27" t="str">
        <f ca="1">IFERROR(__xludf.DUMMYFUNCTION("""COMPUTED_VALUE"""),"Belo Horizonte")</f>
        <v>Belo Horizonte</v>
      </c>
      <c r="Q295" s="27"/>
      <c r="R295" s="27" t="str">
        <f ca="1">IFERROR(__xludf.DUMMYFUNCTION("""COMPUTED_VALUE"""),"30330-530")</f>
        <v>30330-530</v>
      </c>
      <c r="S295" s="27"/>
      <c r="T295" s="27" t="str">
        <f ca="1">IFERROR(__xludf.DUMMYFUNCTION("""COMPUTED_VALUE"""),"Esporte; Educação; Assistência Social; Cultura; Qualificação Profissional; Empreendedorismo; Meio ambiente; Defesa de Direitos; Outro(s)")</f>
        <v>Esporte; Educação; Assistência Social; Cultura; Qualificação Profissional; Empreendedorismo; Meio ambiente; Defesa de Direitos; Outro(s)</v>
      </c>
      <c r="U295"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295" s="27" t="str">
        <f ca="1">IFERROR(__xludf.DUMMYFUNCTION("""COMPUTED_VALUE"""),"Moradores de Favelas; Pessoas em situação de rua; População LGBTQ+; Dependentes Químicos; Pessoas com Deficiência; Egressos sistema carcerário")</f>
        <v>Moradores de Favelas; Pessoas em situação de rua; População LGBTQ+; Dependentes Químicos; Pessoas com Deficiência; Egressos sistema carcerário</v>
      </c>
      <c r="W295" s="27">
        <f ca="1">IFERROR(__xludf.DUMMYFUNCTION("""COMPUTED_VALUE"""),4)</f>
        <v>4</v>
      </c>
      <c r="X295" s="27"/>
      <c r="Y295" s="27"/>
      <c r="Z295" s="27"/>
      <c r="AA295" s="30">
        <f ca="1">IFERROR(__xludf.DUMMYFUNCTION("""COMPUTED_VALUE"""),44449)</f>
        <v>44449</v>
      </c>
      <c r="AB295" s="27"/>
      <c r="AC295" s="27">
        <f ca="1">IFERROR(__xludf.DUMMYFUNCTION("""COMPUTED_VALUE"""),0)</f>
        <v>0</v>
      </c>
      <c r="AD295" s="27">
        <f ca="1">IFERROR(__xludf.DUMMYFUNCTION("""COMPUTED_VALUE"""),0)</f>
        <v>0</v>
      </c>
      <c r="AE295" s="27">
        <f ca="1">IFERROR(__xludf.DUMMYFUNCTION("""COMPUTED_VALUE"""),6)</f>
        <v>6</v>
      </c>
      <c r="AF295" s="27">
        <f ca="1">IFERROR(__xludf.DUMMYFUNCTION("""COMPUTED_VALUE"""),2)</f>
        <v>2</v>
      </c>
      <c r="AG295" s="27">
        <f ca="1">IFERROR(__xludf.DUMMYFUNCTION("""COMPUTED_VALUE"""),2)</f>
        <v>2</v>
      </c>
      <c r="AH295" s="27" t="str">
        <f ca="1">IFERROR(__xludf.DUMMYFUNCTION("""COMPUTED_VALUE"""),"Doações")</f>
        <v>Doações</v>
      </c>
      <c r="AI295" s="27" t="str">
        <f ca="1">IFERROR(__xludf.DUMMYFUNCTION("""COMPUTED_VALUE"""),"100% Ceapa")</f>
        <v>100% Ceapa</v>
      </c>
      <c r="AJ295" s="27"/>
      <c r="AK295" s="27"/>
      <c r="AL295" s="21" t="str">
        <f ca="1">IFERROR(__xludf.DUMMYFUNCTION("""COMPUTED_VALUE"""),"0034P000045kxkg")</f>
        <v>0034P000045kxkg</v>
      </c>
      <c r="AM295" s="27" t="str">
        <f ca="1">IFERROR(__xludf.DUMMYFUNCTION("""COMPUTED_VALUE"""),"Pinheiro Dos Reis")</f>
        <v>Pinheiro Dos Reis</v>
      </c>
      <c r="AN295" s="27" t="str">
        <f ca="1">IFERROR(__xludf.DUMMYFUNCTION("""COMPUTED_VALUE"""),"Ativo")</f>
        <v>Ativo</v>
      </c>
      <c r="AO295" s="29">
        <f ca="1">IFERROR(__xludf.DUMMYFUNCTION("""COMPUTED_VALUE"""),44562)</f>
        <v>44562</v>
      </c>
      <c r="AP295" s="27">
        <f ca="1">IFERROR(__xludf.DUMMYFUNCTION("""COMPUTED_VALUE"""),8)</f>
        <v>8</v>
      </c>
      <c r="AQ295" s="27" t="str">
        <f ca="1">IFERROR(__xludf.DUMMYFUNCTION("""COMPUTED_VALUE"""),"Segundo Semestre 2021")</f>
        <v>Segundo Semestre 2021</v>
      </c>
      <c r="AR295" s="27" t="str">
        <f ca="1">IFERROR(__xludf.DUMMYFUNCTION("""COMPUTED_VALUE"""),"elainepinheiro795@gmail.com")</f>
        <v>elainepinheiro795@gmail.com</v>
      </c>
      <c r="AS295" s="27" t="str">
        <f ca="1">IFERROR(__xludf.DUMMYFUNCTION("""COMPUTED_VALUE"""),"(31)99568-3398")</f>
        <v>(31)99568-3398</v>
      </c>
      <c r="AT295" s="29">
        <f ca="1">IFERROR(__xludf.DUMMYFUNCTION("""COMPUTED_VALUE"""),30512)</f>
        <v>30512</v>
      </c>
      <c r="AU295" s="27">
        <f ca="1">IFERROR(__xludf.DUMMYFUNCTION("""COMPUTED_VALUE"""),39)</f>
        <v>39</v>
      </c>
      <c r="AV295" s="27">
        <f ca="1">IFERROR(__xludf.DUMMYFUNCTION("""COMPUTED_VALUE"""),6231073688)</f>
        <v>6231073688</v>
      </c>
      <c r="AW295" s="27">
        <f ca="1">IFERROR(__xludf.DUMMYFUNCTION("""COMPUTED_VALUE"""),12263611)</f>
        <v>12263611</v>
      </c>
      <c r="AX295" s="27"/>
      <c r="AY295" s="27"/>
      <c r="AZ295" s="27" t="str">
        <f ca="1">IFERROR(__xludf.DUMMYFUNCTION("""COMPUTED_VALUE"""),"G2")</f>
        <v>G2</v>
      </c>
      <c r="BA295" s="27" t="str">
        <f ca="1">IFERROR(__xludf.DUMMYFUNCTION("""COMPUTED_VALUE"""),"Parda")</f>
        <v>Parda</v>
      </c>
      <c r="BB295" s="27" t="str">
        <f ca="1">IFERROR(__xludf.DUMMYFUNCTION("""COMPUTED_VALUE"""),"Mulher, cisgênero")</f>
        <v>Mulher, cisgênero</v>
      </c>
      <c r="BC295" s="27" t="str">
        <f ca="1">IFERROR(__xludf.DUMMYFUNCTION("""COMPUTED_VALUE"""),"Sim")</f>
        <v>Sim</v>
      </c>
      <c r="BD295" s="27" t="str">
        <f ca="1">IFERROR(__xludf.DUMMYFUNCTION("""COMPUTED_VALUE"""),"Meu nome é Elaine Pinheiro, 38anos, casada, mãe de 2 filhas, formada em Direito, pós graduanda em Direito Penal e Processo Penal, voluntária no EAM, representante da Comissão local CORAS,
Conselheira Municipal Suplente representando a regional Centro Sul "&amp;"de BH, representante da Comissão de Sistema de Justiça e Garantia de Direitos - SGD e SJ, pelo Conselho Municipal de Assistência Social-CMAS, Voluntária da Justiça Restaurativa, Vice-presidente do CDC, presidente e CEO do instituto 100% Morro.")</f>
        <v>Meu nome é Elaine Pinheiro, 38anos, casada, mãe de 2 filhas, formada em Direito, pós graduanda em Direito Penal e Processo Penal, voluntária no EAM, representante da Comissão local CORAS,
Conselheira Municipal Suplente representando a regional Centro Sul de BH, representante da Comissão de Sistema de Justiça e Garantia de Direitos - SGD e SJ, pelo Conselho Municipal de Assistência Social-CMAS, Voluntária da Justiça Restaurativa, Vice-presidente do CDC, presidente e CEO do instituto 100% Morro.</v>
      </c>
      <c r="BE295" s="27"/>
      <c r="BF295" s="27" t="str">
        <f ca="1">IFERROR(__xludf.DUMMYFUNCTION("""COMPUTED_VALUE"""),"Heterossexual")</f>
        <v>Heterossexual</v>
      </c>
      <c r="BG295" s="27" t="str">
        <f ca="1">IFERROR(__xludf.DUMMYFUNCTION("""COMPUTED_VALUE"""),"Ensino Superior - Completo")</f>
        <v>Ensino Superior - Completo</v>
      </c>
      <c r="BH295" s="27" t="str">
        <f ca="1">IFERROR(__xludf.DUMMYFUNCTION("""COMPUTED_VALUE"""),"Público")</f>
        <v>Público</v>
      </c>
      <c r="BI295" s="27" t="str">
        <f ca="1">IFERROR(__xludf.DUMMYFUNCTION("""COMPUTED_VALUE"""),"Pós-Graduação")</f>
        <v>Pós-Graduação</v>
      </c>
      <c r="BJ295" s="27" t="str">
        <f ca="1">IFERROR(__xludf.DUMMYFUNCTION("""COMPUTED_VALUE"""),"Privado")</f>
        <v>Privado</v>
      </c>
      <c r="BK295" s="27" t="str">
        <f ca="1">IFERROR(__xludf.DUMMYFUNCTION("""COMPUTED_VALUE"""),"Beco São Miguel")</f>
        <v>Beco São Miguel</v>
      </c>
      <c r="BL295" s="27">
        <f ca="1">IFERROR(__xludf.DUMMYFUNCTION("""COMPUTED_VALUE"""),60)</f>
        <v>60</v>
      </c>
      <c r="BM295" s="27" t="str">
        <f ca="1">IFERROR(__xludf.DUMMYFUNCTION("""COMPUTED_VALUE"""),"Rua Bolívia")</f>
        <v>Rua Bolívia</v>
      </c>
      <c r="BN295" s="27" t="str">
        <f ca="1">IFERROR(__xludf.DUMMYFUNCTION("""COMPUTED_VALUE"""),"Belo Horizonte")</f>
        <v>Belo Horizonte</v>
      </c>
      <c r="BO295" s="27" t="str">
        <f ca="1">IFERROR(__xludf.DUMMYFUNCTION("""COMPUTED_VALUE"""),"30335-250")</f>
        <v>30335-250</v>
      </c>
      <c r="BP295" s="27" t="str">
        <f ca="1">IFERROR(__xludf.DUMMYFUNCTION("""COMPUTED_VALUE"""),"MG")</f>
        <v>MG</v>
      </c>
      <c r="BQ295" s="27" t="str">
        <f ca="1">IFERROR(__xludf.DUMMYFUNCTION("""COMPUTED_VALUE"""),"Entre 1 até 3 salários mínimos")</f>
        <v>Entre 1 até 3 salários mínimos</v>
      </c>
      <c r="BR295" s="27" t="str">
        <f ca="1">IFERROR(__xludf.DUMMYFUNCTION("""COMPUTED_VALUE"""),"Trabalho informal; Desempregado")</f>
        <v>Trabalho informal; Desempregado</v>
      </c>
      <c r="BS295" s="27" t="str">
        <f ca="1">IFERROR(__xludf.DUMMYFUNCTION("""COMPUTED_VALUE"""),"Casa própria")</f>
        <v>Casa própria</v>
      </c>
      <c r="BT295" s="27">
        <f ca="1">IFERROR(__xludf.DUMMYFUNCTION("""COMPUTED_VALUE"""),5)</f>
        <v>5</v>
      </c>
      <c r="BU295" s="27" t="str">
        <f ca="1">IFERROR(__xludf.DUMMYFUNCTION("""COMPUTED_VALUE"""),"Baixa visão")</f>
        <v>Baixa visão</v>
      </c>
      <c r="BV295" s="27"/>
      <c r="BW295" s="27"/>
      <c r="BX295" s="27" t="str">
        <f ca="1">IFERROR(__xludf.DUMMYFUNCTION("""COMPUTED_VALUE"""),"@pinheiro.elaine")</f>
        <v>@pinheiro.elaine</v>
      </c>
      <c r="BY295" s="21" t="str">
        <f ca="1">IFERROR(__xludf.DUMMYFUNCTION("""COMPUTED_VALUE"""),"https://drive.google.com/open?id=1qPlGqS03kcODDXb1OvWZMlJIT5qPjU21")</f>
        <v>https://drive.google.com/open?id=1qPlGqS03kcODDXb1OvWZMlJIT5qPjU21</v>
      </c>
    </row>
    <row r="296" spans="1:77" ht="12.5" x14ac:dyDescent="0.25">
      <c r="A296" s="21" t="str">
        <f ca="1">IFERROR(__xludf.DUMMYFUNCTION("""COMPUTED_VALUE"""),"0014X00002VKCqlQAH")</f>
        <v>0014X00002VKCqlQAH</v>
      </c>
      <c r="B296" s="27" t="str">
        <f ca="1">IFERROR(__xludf.DUMMYFUNCTION("""COMPUTED_VALUE"""),"Fase Inicial")</f>
        <v>Fase Inicial</v>
      </c>
      <c r="C296" s="27" t="str">
        <f ca="1">IFERROR(__xludf.DUMMYFUNCTION("""COMPUTED_VALUE"""),"Fellow")</f>
        <v>Fellow</v>
      </c>
      <c r="D296" s="27" t="str">
        <f ca="1">IFERROR(__xludf.DUMMYFUNCTION("""COMPUTED_VALUE"""),"Ativo")</f>
        <v>Ativo</v>
      </c>
      <c r="E296" s="27" t="str">
        <f ca="1">IFERROR(__xludf.DUMMYFUNCTION("""COMPUTED_VALUE"""),"Instituto 7 Gerações")</f>
        <v>Instituto 7 Gerações</v>
      </c>
      <c r="F296" s="27" t="str">
        <f ca="1">IFERROR(__xludf.DUMMYFUNCTION("""COMPUTED_VALUE"""),"Hans")</f>
        <v>Hans</v>
      </c>
      <c r="G296" s="27" t="str">
        <f ca="1">IFERROR(__xludf.DUMMYFUNCTION("""COMPUTED_VALUE"""),"7 GERAÇÕES")</f>
        <v>7 GERAÇÕES</v>
      </c>
      <c r="H296" s="27" t="str">
        <f ca="1">IFERROR(__xludf.DUMMYFUNCTION("""COMPUTED_VALUE"""),"28.932.203/0001-35")</f>
        <v>28.932.203/0001-35</v>
      </c>
      <c r="I296" s="27" t="str">
        <f ca="1">IFERROR(__xludf.DUMMYFUNCTION("""COMPUTED_VALUE"""),"Marcia Alminda Silva Costa")</f>
        <v>Marcia Alminda Silva Costa</v>
      </c>
      <c r="J296" s="27" t="str">
        <f ca="1">IFERROR(__xludf.DUMMYFUNCTION("""COMPUTED_VALUE"""),"hans@7geracoes.org.br")</f>
        <v>hans@7geracoes.org.br</v>
      </c>
      <c r="K296" s="27" t="str">
        <f ca="1">IFERROR(__xludf.DUMMYFUNCTION("""COMPUTED_VALUE"""),"(35)99809-8137")</f>
        <v>(35)99809-8137</v>
      </c>
      <c r="L296" s="27" t="str">
        <f ca="1">IFERROR(__xludf.DUMMYFUNCTION("""COMPUTED_VALUE"""),"MG")</f>
        <v>MG</v>
      </c>
      <c r="M296" s="27" t="str">
        <f ca="1">IFERROR(__xludf.DUMMYFUNCTION("""COMPUTED_VALUE"""),"Av. Silvio Menicucci")</f>
        <v>Av. Silvio Menicucci</v>
      </c>
      <c r="N296" s="27" t="str">
        <f ca="1">IFERROR(__xludf.DUMMYFUNCTION("""COMPUTED_VALUE"""),"Olaria")</f>
        <v>Olaria</v>
      </c>
      <c r="O296" s="27">
        <f ca="1">IFERROR(__xludf.DUMMYFUNCTION("""COMPUTED_VALUE"""),1295)</f>
        <v>1295</v>
      </c>
      <c r="P296" s="27" t="str">
        <f ca="1">IFERROR(__xludf.DUMMYFUNCTION("""COMPUTED_VALUE"""),"Lavras")</f>
        <v>Lavras</v>
      </c>
      <c r="Q296" s="27" t="str">
        <f ca="1">IFERROR(__xludf.DUMMYFUNCTION("""COMPUTED_VALUE"""),"A")</f>
        <v>A</v>
      </c>
      <c r="R296" s="27" t="str">
        <f ca="1">IFERROR(__xludf.DUMMYFUNCTION("""COMPUTED_VALUE"""),"37202-480")</f>
        <v>37202-480</v>
      </c>
      <c r="S296" s="27" t="str">
        <f ca="1">IFERROR(__xludf.DUMMYFUNCTION("""COMPUTED_VALUE"""),"Escola do bairro (anexa ao núcleo)")</f>
        <v>Escola do bairro (anexa ao núcleo)</v>
      </c>
      <c r="T296" s="27"/>
      <c r="U296" s="27" t="str">
        <f ca="1">IFERROR(__xludf.DUMMYFUNCTION("""COMPUTED_VALUE"""),"Crianças (6 a 12 anos), Adolescentes (12 aos 18 anos)")</f>
        <v>Crianças (6 a 12 anos), Adolescentes (12 aos 18 anos)</v>
      </c>
      <c r="V296" s="27" t="str">
        <f ca="1">IFERROR(__xludf.DUMMYFUNCTION("""COMPUTED_VALUE"""),"Moradores de Favelas, Afrodescendentes")</f>
        <v>Moradores de Favelas, Afrodescendentes</v>
      </c>
      <c r="W296" s="27">
        <f ca="1">IFERROR(__xludf.DUMMYFUNCTION("""COMPUTED_VALUE"""),1)</f>
        <v>1</v>
      </c>
      <c r="X296" s="27" t="str">
        <f ca="1">IFERROR(__xludf.DUMMYFUNCTION("""COMPUTED_VALUE"""),"São comunidades de alta vulnerabilidade social* marcada pela presença do tráfico de drogas e por um alto índice de gravidez na adolescência. Grande incidência de evasão escolar e falta de oporttunidades para jovens e adultos. Tudo foi agravado com a reali"&amp;"dade da pandemia.")</f>
        <v>São comunidades de alta vulnerabilidade social* marcada pela presença do tráfico de drogas e por um alto índice de gravidez na adolescência. Grande incidência de evasão escolar e falta de oporttunidades para jovens e adultos. Tudo foi agravado com a realidade da pandemia.</v>
      </c>
      <c r="Y296" s="27"/>
      <c r="Z296" s="27">
        <f ca="1">IFERROR(__xludf.DUMMYFUNCTION("""COMPUTED_VALUE"""),0)</f>
        <v>0</v>
      </c>
      <c r="AA296" s="29">
        <f ca="1">IFERROR(__xludf.DUMMYFUNCTION("""COMPUTED_VALUE"""),42990)</f>
        <v>42990</v>
      </c>
      <c r="AB296" s="27" t="str">
        <f ca="1">IFERROR(__xludf.DUMMYFUNCTION("""COMPUTED_VALUE"""),"Sim")</f>
        <v>Sim</v>
      </c>
      <c r="AC296" s="27">
        <f ca="1">IFERROR(__xludf.DUMMYFUNCTION("""COMPUTED_VALUE"""),5)</f>
        <v>5</v>
      </c>
      <c r="AD296" s="27">
        <f ca="1">IFERROR(__xludf.DUMMYFUNCTION("""COMPUTED_VALUE"""),5)</f>
        <v>5</v>
      </c>
      <c r="AE296" s="27">
        <f ca="1">IFERROR(__xludf.DUMMYFUNCTION("""COMPUTED_VALUE"""),3)</f>
        <v>3</v>
      </c>
      <c r="AF296" s="27">
        <f ca="1">IFERROR(__xludf.DUMMYFUNCTION("""COMPUTED_VALUE"""),3)</f>
        <v>3</v>
      </c>
      <c r="AG296" s="27">
        <f ca="1">IFERROR(__xludf.DUMMYFUNCTION("""COMPUTED_VALUE"""),5)</f>
        <v>5</v>
      </c>
      <c r="AH296" s="27" t="str">
        <f ca="1">IFERROR(__xludf.DUMMYFUNCTION("""COMPUTED_VALUE"""),"Plataforma doação online - Pessoa Física, Parceria iniciativa privada, Editais, Doações, FIA")</f>
        <v>Plataforma doação online - Pessoa Física, Parceria iniciativa privada, Editais, Doações, FIA</v>
      </c>
      <c r="AI296" s="27" t="str">
        <f ca="1">IFERROR(__xludf.DUMMYFUNCTION("""COMPUTED_VALUE"""),"Estamos iniciando essa diversificação esse ano. Em 2022, será aproximadamente, 50% Doação / 30% Fia / 15% Empresas Privadas / 5% Doação online recorrente")</f>
        <v>Estamos iniciando essa diversificação esse ano. Em 2022, será aproximadamente, 50% Doação / 30% Fia / 15% Empresas Privadas / 5% Doação online recorrente</v>
      </c>
      <c r="AJ296" s="27" t="str">
        <f ca="1">IFERROR(__xludf.DUMMYFUNCTION("""COMPUTED_VALUE"""),"Não")</f>
        <v>Não</v>
      </c>
      <c r="AK296" s="27"/>
      <c r="AL296" s="21" t="str">
        <f ca="1">IFERROR(__xludf.DUMMYFUNCTION("""COMPUTED_VALUE"""),"0034X0000380O3l")</f>
        <v>0034X0000380O3l</v>
      </c>
      <c r="AM296" s="27" t="str">
        <f ca="1">IFERROR(__xludf.DUMMYFUNCTION("""COMPUTED_VALUE"""),"Henrique da silva mendonça")</f>
        <v>Henrique da silva mendonça</v>
      </c>
      <c r="AN296" s="27" t="str">
        <f ca="1">IFERROR(__xludf.DUMMYFUNCTION("""COMPUTED_VALUE"""),"Ativo")</f>
        <v>Ativo</v>
      </c>
      <c r="AO296" s="27"/>
      <c r="AP296" s="27"/>
      <c r="AQ296" s="27" t="str">
        <f ca="1">IFERROR(__xludf.DUMMYFUNCTION("""COMPUTED_VALUE"""),"Primeiro Semestre 2022")</f>
        <v>Primeiro Semestre 2022</v>
      </c>
      <c r="AR296" s="27" t="str">
        <f ca="1">IFERROR(__xludf.DUMMYFUNCTION("""COMPUTED_VALUE"""),"7geracoes@gmail.com")</f>
        <v>7geracoes@gmail.com</v>
      </c>
      <c r="AS296" s="27" t="str">
        <f ca="1">IFERROR(__xludf.DUMMYFUNCTION("""COMPUTED_VALUE"""),"(35)99809-8137")</f>
        <v>(35)99809-8137</v>
      </c>
      <c r="AT296" s="29">
        <f ca="1">IFERROR(__xludf.DUMMYFUNCTION("""COMPUTED_VALUE"""),32652)</f>
        <v>32652</v>
      </c>
      <c r="AU296" s="27">
        <f ca="1">IFERROR(__xludf.DUMMYFUNCTION("""COMPUTED_VALUE"""),33)</f>
        <v>33</v>
      </c>
      <c r="AV296" s="27">
        <f ca="1">IFERROR(__xludf.DUMMYFUNCTION("""COMPUTED_VALUE"""),6887064600)</f>
        <v>6887064600</v>
      </c>
      <c r="AW296" s="27">
        <f ca="1">IFERROR(__xludf.DUMMYFUNCTION("""COMPUTED_VALUE"""),12291631)</f>
        <v>12291631</v>
      </c>
      <c r="AX296" s="27"/>
      <c r="AY296" s="27" t="str">
        <f ca="1">IFERROR(__xludf.DUMMYFUNCTION("""COMPUTED_VALUE"""),"Gerente Executivo")</f>
        <v>Gerente Executivo</v>
      </c>
      <c r="AZ296" s="27" t="str">
        <f ca="1">IFERROR(__xludf.DUMMYFUNCTION("""COMPUTED_VALUE"""),"M")</f>
        <v>M</v>
      </c>
      <c r="BA296" s="27" t="str">
        <f ca="1">IFERROR(__xludf.DUMMYFUNCTION("""COMPUTED_VALUE"""),"Branca")</f>
        <v>Branca</v>
      </c>
      <c r="BB296" s="27"/>
      <c r="BC296" s="27"/>
      <c r="BD296" s="27" t="str">
        <f ca="1">IFERROR(__xludf.DUMMYFUNCTION("""COMPUTED_VALUE"""),"Um sonhador com os pés no chão. Alguém que acredita que precisa pensar e discutir ideias macro e agir de modo efetivo localmente. ossui graduação em filosofia pela Faculdade São Luiz. Pós-Graduado em Psicologia e Orientação Profissional pela Uniara. Mestr"&amp;"e em Educação pela UFLA. Atualmente é Gerente Executivo do Instituto 7 Gerações, integra o Conselho Deliberativo da Fundação Padre Dehon e é membro do Conselho Municipal do Direito da Criança e do Adolescente.")</f>
        <v>Um sonhador com os pés no chão. Alguém que acredita que precisa pensar e discutir ideias macro e agir de modo efetivo localmente. ossui graduação em filosofia pela Faculdade São Luiz. Pós-Graduado em Psicologia e Orientação Profissional pela Uniara. Mestre em Educação pela UFLA. Atualmente é Gerente Executivo do Instituto 7 Gerações, integra o Conselho Deliberativo da Fundação Padre Dehon e é membro do Conselho Municipal do Direito da Criança e do Adolescente.</v>
      </c>
      <c r="BE296" s="27" t="str">
        <f ca="1">IFERROR(__xludf.DUMMYFUNCTION("""COMPUTED_VALUE"""),"Homem, cisgênero")</f>
        <v>Homem, cisgênero</v>
      </c>
      <c r="BF296" s="27" t="str">
        <f ca="1">IFERROR(__xludf.DUMMYFUNCTION("""COMPUTED_VALUE"""),"Heterossexual")</f>
        <v>Heterossexual</v>
      </c>
      <c r="BG296" s="27" t="str">
        <f ca="1">IFERROR(__xludf.DUMMYFUNCTION("""COMPUTED_VALUE"""),"Ensino Superior - Completo")</f>
        <v>Ensino Superior - Completo</v>
      </c>
      <c r="BH296" s="27" t="str">
        <f ca="1">IFERROR(__xludf.DUMMYFUNCTION("""COMPUTED_VALUE"""),"Público")</f>
        <v>Público</v>
      </c>
      <c r="BI296" s="27" t="str">
        <f ca="1">IFERROR(__xludf.DUMMYFUNCTION("""COMPUTED_VALUE"""),"Mestrado")</f>
        <v>Mestrado</v>
      </c>
      <c r="BJ296" s="27" t="str">
        <f ca="1">IFERROR(__xludf.DUMMYFUNCTION("""COMPUTED_VALUE"""),"Público")</f>
        <v>Público</v>
      </c>
      <c r="BK296" s="27" t="str">
        <f ca="1">IFERROR(__xludf.DUMMYFUNCTION("""COMPUTED_VALUE"""),"Rua José Moreira")</f>
        <v>Rua José Moreira</v>
      </c>
      <c r="BL296" s="27">
        <f ca="1">IFERROR(__xludf.DUMMYFUNCTION("""COMPUTED_VALUE"""),126)</f>
        <v>126</v>
      </c>
      <c r="BM296" s="27"/>
      <c r="BN296" s="27" t="str">
        <f ca="1">IFERROR(__xludf.DUMMYFUNCTION("""COMPUTED_VALUE"""),"Lavras")</f>
        <v>Lavras</v>
      </c>
      <c r="BO296" s="27" t="str">
        <f ca="1">IFERROR(__xludf.DUMMYFUNCTION("""COMPUTED_VALUE"""),"37200-088")</f>
        <v>37200-088</v>
      </c>
      <c r="BP296" s="27" t="str">
        <f ca="1">IFERROR(__xludf.DUMMYFUNCTION("""COMPUTED_VALUE"""),"MG")</f>
        <v>MG</v>
      </c>
      <c r="BQ296" s="27" t="str">
        <f ca="1">IFERROR(__xludf.DUMMYFUNCTION("""COMPUTED_VALUE"""),"De 3 até 5 salários mínimos")</f>
        <v>De 3 até 5 salários mínimos</v>
      </c>
      <c r="BR296" s="27" t="str">
        <f ca="1">IFERROR(__xludf.DUMMYFUNCTION("""COMPUTED_VALUE"""),"CLT")</f>
        <v>CLT</v>
      </c>
      <c r="BS296" s="27" t="str">
        <f ca="1">IFERROR(__xludf.DUMMYFUNCTION("""COMPUTED_VALUE"""),"Aluguel")</f>
        <v>Aluguel</v>
      </c>
      <c r="BT296" s="27">
        <f ca="1">IFERROR(__xludf.DUMMYFUNCTION("""COMPUTED_VALUE"""),3)</f>
        <v>3</v>
      </c>
      <c r="BU296" s="27" t="str">
        <f ca="1">IFERROR(__xludf.DUMMYFUNCTION("""COMPUTED_VALUE"""),"Não tem")</f>
        <v>Não tem</v>
      </c>
      <c r="BV296" s="27" t="str">
        <f ca="1">IFERROR(__xludf.DUMMYFUNCTION("""COMPUTED_VALUE"""),"Não")</f>
        <v>Não</v>
      </c>
      <c r="BW296" s="21" t="str">
        <f ca="1">IFERROR(__xludf.DUMMYFUNCTION("""COMPUTED_VALUE"""),"https://www.linkedin.com/in/hans-henrique-s-mendon%C3%A7a-128589169/")</f>
        <v>https://www.linkedin.com/in/hans-henrique-s-mendon%C3%A7a-128589169/</v>
      </c>
      <c r="BX296" s="27" t="str">
        <f ca="1">IFERROR(__xludf.DUMMYFUNCTION("""COMPUTED_VALUE"""),"@hansmendonca")</f>
        <v>@hansmendonca</v>
      </c>
      <c r="BY296" s="21" t="str">
        <f ca="1">IFERROR(__xludf.DUMMYFUNCTION("""COMPUTED_VALUE"""),"https://drive.google.com/open?id=13Jl-sDSLcfJIM7cLtRIL1m6N0RK0Ihi4")</f>
        <v>https://drive.google.com/open?id=13Jl-sDSLcfJIM7cLtRIL1m6N0RK0Ihi4</v>
      </c>
    </row>
    <row r="297" spans="1:77" ht="12.5" hidden="1" x14ac:dyDescent="0.25">
      <c r="A297" s="21" t="str">
        <f ca="1">IFERROR(__xludf.DUMMYFUNCTION("""COMPUTED_VALUE"""),"0014X00002VKCq8QAH")</f>
        <v>0014X00002VKCq8QAH</v>
      </c>
      <c r="B297" s="27" t="str">
        <f ca="1">IFERROR(__xludf.DUMMYFUNCTION("""COMPUTED_VALUE"""),"Fase Inicial")</f>
        <v>Fase Inicial</v>
      </c>
      <c r="C297" s="27" t="str">
        <f ca="1">IFERROR(__xludf.DUMMYFUNCTION("""COMPUTED_VALUE"""),"Fellow")</f>
        <v>Fellow</v>
      </c>
      <c r="D297" s="27" t="str">
        <f ca="1">IFERROR(__xludf.DUMMYFUNCTION("""COMPUTED_VALUE"""),"Ativo")</f>
        <v>Ativo</v>
      </c>
      <c r="E297" s="27" t="str">
        <f ca="1">IFERROR(__xludf.DUMMYFUNCTION("""COMPUTED_VALUE"""),"Instituto Ágape")</f>
        <v>Instituto Ágape</v>
      </c>
      <c r="F297" s="27" t="str">
        <f ca="1">IFERROR(__xludf.DUMMYFUNCTION("""COMPUTED_VALUE"""),"Jozielda")</f>
        <v>Jozielda</v>
      </c>
      <c r="G297" s="27" t="str">
        <f ca="1">IFERROR(__xludf.DUMMYFUNCTION("""COMPUTED_VALUE"""),"AGAPE")</f>
        <v>AGAPE</v>
      </c>
      <c r="H297" s="27" t="str">
        <f ca="1">IFERROR(__xludf.DUMMYFUNCTION("""COMPUTED_VALUE"""),"37.565.394/0001-35")</f>
        <v>37.565.394/0001-35</v>
      </c>
      <c r="I297" s="27" t="str">
        <f ca="1">IFERROR(__xludf.DUMMYFUNCTION("""COMPUTED_VALUE"""),"SUELEN KAROLINE PRESTES ARAUJO")</f>
        <v>SUELEN KAROLINE PRESTES ARAUJO</v>
      </c>
      <c r="J297" s="27" t="str">
        <f ca="1">IFERROR(__xludf.DUMMYFUNCTION("""COMPUTED_VALUE"""),"ps.agapemanaus@gmail.com")</f>
        <v>ps.agapemanaus@gmail.com</v>
      </c>
      <c r="K297" s="27" t="str">
        <f ca="1">IFERROR(__xludf.DUMMYFUNCTION("""COMPUTED_VALUE"""),"(92)98801-7520")</f>
        <v>(92)98801-7520</v>
      </c>
      <c r="L297" s="27" t="str">
        <f ca="1">IFERROR(__xludf.DUMMYFUNCTION("""COMPUTED_VALUE"""),"AM")</f>
        <v>AM</v>
      </c>
      <c r="M297" s="27" t="str">
        <f ca="1">IFERROR(__xludf.DUMMYFUNCTION("""COMPUTED_VALUE"""),"Rua Pinheiro Brasileiro")</f>
        <v>Rua Pinheiro Brasileiro</v>
      </c>
      <c r="N297" s="27" t="str">
        <f ca="1">IFERROR(__xludf.DUMMYFUNCTION("""COMPUTED_VALUE"""),"Monte das Oliveiras")</f>
        <v>Monte das Oliveiras</v>
      </c>
      <c r="O297" s="27">
        <f ca="1">IFERROR(__xludf.DUMMYFUNCTION("""COMPUTED_VALUE"""),95)</f>
        <v>95</v>
      </c>
      <c r="P297" s="27" t="str">
        <f ca="1">IFERROR(__xludf.DUMMYFUNCTION("""COMPUTED_VALUE"""),"Manaus")</f>
        <v>Manaus</v>
      </c>
      <c r="Q297" s="27"/>
      <c r="R297" s="27" t="str">
        <f ca="1">IFERROR(__xludf.DUMMYFUNCTION("""COMPUTED_VALUE"""),"69093-141")</f>
        <v>69093-141</v>
      </c>
      <c r="S297" s="27" t="str">
        <f ca="1">IFERROR(__xludf.DUMMYFUNCTION("""COMPUTED_VALUE"""),"Em igrejas, quadra de escola")</f>
        <v>Em igrejas, quadra de escola</v>
      </c>
      <c r="T297" s="27" t="str">
        <f ca="1">IFERROR(__xludf.DUMMYFUNCTION("""COMPUTED_VALUE"""),"Educação; Assistência Social; Cultura; Qualificação Profissional; Empreendedorismo; Meio ambiente; Empoderamento Feminino; Defesa de Direitos; Assistência Psicológica; Desenvolvimento comunitário")</f>
        <v>Educação; Assistência Social; Cultura; Qualificação Profissional; Empreendedorismo; Meio ambiente; Empoderamento Feminino; Defesa de Direitos; Assistência Psicológica; Desenvolvimento comunitário</v>
      </c>
      <c r="U297" s="27" t="str">
        <f ca="1">IFERROR(__xludf.DUMMYFUNCTION("""COMPUTED_VALUE"""),"Crianças (6 a 12 anos), Adolescentes (12 aos 18 anos), Adultos")</f>
        <v>Crianças (6 a 12 anos), Adolescentes (12 aos 18 anos), Adultos</v>
      </c>
      <c r="V297" s="27" t="str">
        <f ca="1">IFERROR(__xludf.DUMMYFUNCTION("""COMPUTED_VALUE"""),"Moradores de Favelas")</f>
        <v>Moradores de Favelas</v>
      </c>
      <c r="W297" s="27">
        <f ca="1">IFERROR(__xludf.DUMMYFUNCTION("""COMPUTED_VALUE"""),1)</f>
        <v>1</v>
      </c>
      <c r="X297" s="27" t="str">
        <f ca="1">IFERROR(__xludf.DUMMYFUNCTION("""COMPUTED_VALUE"""),"Atendemos um público desde 4 anos até idosos*desenvolvemos atividades semanais e quinzenais para os nossos beneficiários*uma de nossas comunidade e situada em uma área totalmente de risco *em cima de um canal e de lado com um trilho ferroviário ativo*luga"&amp;"r de ocupação invadida pelos seus moradores *trabalhamos com dinâmicas *ensino*encontros e recreação contemplando o maior número de pessoas possíveis")</f>
        <v>Atendemos um público desde 4 anos até idosos*desenvolvemos atividades semanais e quinzenais para os nossos beneficiários*uma de nossas comunidade e situada em uma área totalmente de risco *em cima de um canal e de lado com um trilho ferroviário ativo*lugar de ocupação invadida pelos seus moradores *trabalhamos com dinâmicas *ensino*encontros e recreação contemplando o maior número de pessoas possíveis</v>
      </c>
      <c r="Y297" s="27"/>
      <c r="Z297" s="27">
        <f ca="1">IFERROR(__xludf.DUMMYFUNCTION("""COMPUTED_VALUE"""),800)</f>
        <v>800</v>
      </c>
      <c r="AA297" s="29">
        <f ca="1">IFERROR(__xludf.DUMMYFUNCTION("""COMPUTED_VALUE"""),42114)</f>
        <v>42114</v>
      </c>
      <c r="AB297" s="27" t="str">
        <f ca="1">IFERROR(__xludf.DUMMYFUNCTION("""COMPUTED_VALUE"""),"Não")</f>
        <v>Não</v>
      </c>
      <c r="AC297" s="27">
        <f ca="1">IFERROR(__xludf.DUMMYFUNCTION("""COMPUTED_VALUE"""),0)</f>
        <v>0</v>
      </c>
      <c r="AD297" s="27">
        <f ca="1">IFERROR(__xludf.DUMMYFUNCTION("""COMPUTED_VALUE"""),7)</f>
        <v>7</v>
      </c>
      <c r="AE297" s="27">
        <f ca="1">IFERROR(__xludf.DUMMYFUNCTION("""COMPUTED_VALUE"""),25)</f>
        <v>25</v>
      </c>
      <c r="AF297" s="27">
        <f ca="1">IFERROR(__xludf.DUMMYFUNCTION("""COMPUTED_VALUE"""),7)</f>
        <v>7</v>
      </c>
      <c r="AG297" s="27">
        <f ca="1">IFERROR(__xludf.DUMMYFUNCTION("""COMPUTED_VALUE"""),3)</f>
        <v>3</v>
      </c>
      <c r="AH297" s="27" t="str">
        <f ca="1">IFERROR(__xludf.DUMMYFUNCTION("""COMPUTED_VALUE"""),"Eventos/Ações para captação, Parceria iniciativa privada, Doações")</f>
        <v>Eventos/Ações para captação, Parceria iniciativa privada, Doações</v>
      </c>
      <c r="AI297" s="27" t="str">
        <f ca="1">IFERROR(__xludf.DUMMYFUNCTION("""COMPUTED_VALUE"""),"50%: doações, 25% ação de arrecadação e 25% parceria com setor privado")</f>
        <v>50%: doações, 25% ação de arrecadação e 25% parceria com setor privado</v>
      </c>
      <c r="AJ297" s="27" t="str">
        <f ca="1">IFERROR(__xludf.DUMMYFUNCTION("""COMPUTED_VALUE"""),"Não")</f>
        <v>Não</v>
      </c>
      <c r="AK297" s="27"/>
      <c r="AL297" s="21" t="str">
        <f ca="1">IFERROR(__xludf.DUMMYFUNCTION("""COMPUTED_VALUE"""),"0034X0000380O3K")</f>
        <v>0034X0000380O3K</v>
      </c>
      <c r="AM297" s="27" t="str">
        <f ca="1">IFERROR(__xludf.DUMMYFUNCTION("""COMPUTED_VALUE"""),"Carneiro do nascimento costa")</f>
        <v>Carneiro do nascimento costa</v>
      </c>
      <c r="AN297" s="27" t="str">
        <f ca="1">IFERROR(__xludf.DUMMYFUNCTION("""COMPUTED_VALUE"""),"Ativo")</f>
        <v>Ativo</v>
      </c>
      <c r="AO297" s="29">
        <f ca="1">IFERROR(__xludf.DUMMYFUNCTION("""COMPUTED_VALUE"""),44763)</f>
        <v>44763</v>
      </c>
      <c r="AP297" s="27">
        <f ca="1">IFERROR(__xludf.DUMMYFUNCTION("""COMPUTED_VALUE"""),2)</f>
        <v>2</v>
      </c>
      <c r="AQ297" s="27" t="str">
        <f ca="1">IFERROR(__xludf.DUMMYFUNCTION("""COMPUTED_VALUE"""),"Primeiro Semestre 2022")</f>
        <v>Primeiro Semestre 2022</v>
      </c>
      <c r="AR297" s="27" t="str">
        <f ca="1">IFERROR(__xludf.DUMMYFUNCTION("""COMPUTED_VALUE"""),"eldanascimento60@gmail.com")</f>
        <v>eldanascimento60@gmail.com</v>
      </c>
      <c r="AS297" s="27" t="str">
        <f ca="1">IFERROR(__xludf.DUMMYFUNCTION("""COMPUTED_VALUE"""),"(85)989718701")</f>
        <v>(85)989718701</v>
      </c>
      <c r="AT297" s="29">
        <f ca="1">IFERROR(__xludf.DUMMYFUNCTION("""COMPUTED_VALUE"""),30172)</f>
        <v>30172</v>
      </c>
      <c r="AU297" s="27">
        <f ca="1">IFERROR(__xludf.DUMMYFUNCTION("""COMPUTED_VALUE"""),40)</f>
        <v>40</v>
      </c>
      <c r="AV297" s="27">
        <f ca="1">IFERROR(__xludf.DUMMYFUNCTION("""COMPUTED_VALUE"""),64846083349)</f>
        <v>64846083349</v>
      </c>
      <c r="AW297" s="27">
        <f ca="1">IFERROR(__xludf.DUMMYFUNCTION("""COMPUTED_VALUE"""),98010182188)</f>
        <v>98010182188</v>
      </c>
      <c r="AX297" s="27"/>
      <c r="AY297" s="27"/>
      <c r="AZ297" s="27" t="str">
        <f ca="1">IFERROR(__xludf.DUMMYFUNCTION("""COMPUTED_VALUE"""),"M")</f>
        <v>M</v>
      </c>
      <c r="BA297" s="27" t="str">
        <f ca="1">IFERROR(__xludf.DUMMYFUNCTION("""COMPUTED_VALUE"""),"Preta")</f>
        <v>Preta</v>
      </c>
      <c r="BB297" s="27"/>
      <c r="BC297" s="27"/>
      <c r="BD297" s="27" t="str">
        <f ca="1">IFERROR(__xludf.DUMMYFUNCTION("""COMPUTED_VALUE"""),"Me chamo Jozielda carneiro*mais conhecida como Elda*Mãe esposa * Voluntária*Sou líder social e comunitária  há 10 anos*atuante em 2 comunidades de Fortaleza*que se situam em uma área de risco*Fundadora e líder do Instituto Ágape*o qual desenvolve e realiz"&amp;"a serviços sociais*recreativos e esportivos*com crianças e suas famílias *em situações de vulnerabilidade*onde nosso maior.instuito é mudar a realidade e fazer parte da melhoria de nossas comunidade.")</f>
        <v>Me chamo Jozielda carneiro*mais conhecida como Elda*Mãe esposa * Voluntária*Sou líder social e comunitária  há 10 anos*atuante em 2 comunidades de Fortaleza*que se situam em uma área de risco*Fundadora e líder do Instituto Ágape*o qual desenvolve e realiza serviços sociais*recreativos e esportivos*com crianças e suas famílias *em situações de vulnerabilidade*onde nosso maior.instuito é mudar a realidade e fazer parte da melhoria de nossas comunidade.</v>
      </c>
      <c r="BE297" s="27" t="str">
        <f ca="1">IFERROR(__xludf.DUMMYFUNCTION("""COMPUTED_VALUE"""),"Feminino")</f>
        <v>Feminino</v>
      </c>
      <c r="BF297" s="27" t="str">
        <f ca="1">IFERROR(__xludf.DUMMYFUNCTION("""COMPUTED_VALUE"""),"Heterossexual")</f>
        <v>Heterossexual</v>
      </c>
      <c r="BG297" s="27"/>
      <c r="BH297" s="27" t="str">
        <f ca="1">IFERROR(__xludf.DUMMYFUNCTION("""COMPUTED_VALUE"""),"Público")</f>
        <v>Público</v>
      </c>
      <c r="BI297" s="27"/>
      <c r="BJ297" s="27"/>
      <c r="BK297" s="27" t="str">
        <f ca="1">IFERROR(__xludf.DUMMYFUNCTION("""COMPUTED_VALUE"""),"Rua: Pedro Sampaio")</f>
        <v>Rua: Pedro Sampaio</v>
      </c>
      <c r="BL297" s="27">
        <f ca="1">IFERROR(__xludf.DUMMYFUNCTION("""COMPUTED_VALUE"""),454)</f>
        <v>454</v>
      </c>
      <c r="BM297" s="27"/>
      <c r="BN297" s="27"/>
      <c r="BO297" s="27" t="str">
        <f ca="1">IFERROR(__xludf.DUMMYFUNCTION("""COMPUTED_VALUE"""),"60346-285")</f>
        <v>60346-285</v>
      </c>
      <c r="BP297" s="27" t="str">
        <f ca="1">IFERROR(__xludf.DUMMYFUNCTION("""COMPUTED_VALUE"""),"CE")</f>
        <v>CE</v>
      </c>
      <c r="BQ297" s="27" t="str">
        <f ca="1">IFERROR(__xludf.DUMMYFUNCTION("""COMPUTED_VALUE"""),"Entre 1 até 3 salários mínimos")</f>
        <v>Entre 1 até 3 salários mínimos</v>
      </c>
      <c r="BR297" s="27" t="str">
        <f ca="1">IFERROR(__xludf.DUMMYFUNCTION("""COMPUTED_VALUE"""),"Desempregado")</f>
        <v>Desempregado</v>
      </c>
      <c r="BS297" s="27" t="str">
        <f ca="1">IFERROR(__xludf.DUMMYFUNCTION("""COMPUTED_VALUE"""),"Casa própria")</f>
        <v>Casa própria</v>
      </c>
      <c r="BT297" s="27">
        <f ca="1">IFERROR(__xludf.DUMMYFUNCTION("""COMPUTED_VALUE"""),5)</f>
        <v>5</v>
      </c>
      <c r="BU297" s="27" t="str">
        <f ca="1">IFERROR(__xludf.DUMMYFUNCTION("""COMPUTED_VALUE"""),"Não tem")</f>
        <v>Não tem</v>
      </c>
      <c r="BV297" s="27" t="str">
        <f ca="1">IFERROR(__xludf.DUMMYFUNCTION("""COMPUTED_VALUE"""),"Não")</f>
        <v>Não</v>
      </c>
      <c r="BW297" s="27"/>
      <c r="BX297" s="21" t="str">
        <f ca="1">IFERROR(__xludf.DUMMYFUNCTION("""COMPUTED_VALUE"""),"https://instagram.com/elda.nascimento.7334?utm_medium=copy_link")</f>
        <v>https://instagram.com/elda.nascimento.7334?utm_medium=copy_link</v>
      </c>
      <c r="BY297" s="21" t="str">
        <f ca="1">IFERROR(__xludf.DUMMYFUNCTION("""COMPUTED_VALUE"""),"https://drive.google.com/open?id=1tc78ni2iSK-AiUVvkC_T-WDFjGeL4L9F")</f>
        <v>https://drive.google.com/open?id=1tc78ni2iSK-AiUVvkC_T-WDFjGeL4L9F</v>
      </c>
    </row>
    <row r="298" spans="1:77" ht="12.5" hidden="1" x14ac:dyDescent="0.25">
      <c r="A298" s="21" t="str">
        <f ca="1">IFERROR(__xludf.DUMMYFUNCTION("""COMPUTED_VALUE"""),"0014P00003YSp8hQAD")</f>
        <v>0014P00003YSp8hQAD</v>
      </c>
      <c r="B298" s="27" t="str">
        <f ca="1">IFERROR(__xludf.DUMMYFUNCTION("""COMPUTED_VALUE"""),"Fase Inicial")</f>
        <v>Fase Inicial</v>
      </c>
      <c r="C298" s="27" t="str">
        <f ca="1">IFERROR(__xludf.DUMMYFUNCTION("""COMPUTED_VALUE"""),"Fellow")</f>
        <v>Fellow</v>
      </c>
      <c r="D298" s="27" t="str">
        <f ca="1">IFERROR(__xludf.DUMMYFUNCTION("""COMPUTED_VALUE"""),"Ativo")</f>
        <v>Ativo</v>
      </c>
      <c r="E298" s="27" t="str">
        <f ca="1">IFERROR(__xludf.DUMMYFUNCTION("""COMPUTED_VALUE"""),"Instituto Ágape")</f>
        <v>Instituto Ágape</v>
      </c>
      <c r="F298" s="27" t="str">
        <f ca="1">IFERROR(__xludf.DUMMYFUNCTION("""COMPUTED_VALUE"""),"Sara")</f>
        <v>Sara</v>
      </c>
      <c r="G298" s="27"/>
      <c r="H298" s="27"/>
      <c r="I298" s="27" t="str">
        <f ca="1">IFERROR(__xludf.DUMMYFUNCTION("""COMPUTED_VALUE"""),"Sara Almeida")</f>
        <v>Sara Almeida</v>
      </c>
      <c r="J298" s="27" t="str">
        <f ca="1">IFERROR(__xludf.DUMMYFUNCTION("""COMPUTED_VALUE"""),"projetoagape98@gmail.com")</f>
        <v>projetoagape98@gmail.com</v>
      </c>
      <c r="K298" s="27" t="str">
        <f ca="1">IFERROR(__xludf.DUMMYFUNCTION("""COMPUTED_VALUE"""),"(21)97657-9727")</f>
        <v>(21)97657-9727</v>
      </c>
      <c r="L298" s="27" t="str">
        <f ca="1">IFERROR(__xludf.DUMMYFUNCTION("""COMPUTED_VALUE"""),"RJ")</f>
        <v>RJ</v>
      </c>
      <c r="M298" s="27" t="str">
        <f ca="1">IFERROR(__xludf.DUMMYFUNCTION("""COMPUTED_VALUE"""),"Rua Pedro Birges de Freitas")</f>
        <v>Rua Pedro Birges de Freitas</v>
      </c>
      <c r="N298" s="27" t="str">
        <f ca="1">IFERROR(__xludf.DUMMYFUNCTION("""COMPUTED_VALUE"""),"Irajá")</f>
        <v>Irajá</v>
      </c>
      <c r="O298" s="27">
        <f ca="1">IFERROR(__xludf.DUMMYFUNCTION("""COMPUTED_VALUE"""),0)</f>
        <v>0</v>
      </c>
      <c r="P298" s="27" t="str">
        <f ca="1">IFERROR(__xludf.DUMMYFUNCTION("""COMPUTED_VALUE"""),"Rio de Janeiro")</f>
        <v>Rio de Janeiro</v>
      </c>
      <c r="Q298" s="27"/>
      <c r="R298" s="27">
        <f ca="1">IFERROR(__xludf.DUMMYFUNCTION("""COMPUTED_VALUE"""),21235390)</f>
        <v>21235390</v>
      </c>
      <c r="S298" s="27"/>
      <c r="T298" s="27"/>
      <c r="U298" s="27"/>
      <c r="V298" s="27"/>
      <c r="W298" s="27">
        <f ca="1">IFERROR(__xludf.DUMMYFUNCTION("""COMPUTED_VALUE"""),7)</f>
        <v>7</v>
      </c>
      <c r="X298" s="27" t="str">
        <f ca="1">IFERROR(__xludf.DUMMYFUNCTION("""COMPUTED_VALUE"""),"Temos nossa sede na Favela Para Pedro e em todos territórios vulneráveis atuamos nos espaços emprestados pelas igrejas e praças ao longo desses anos  otimizando informações e atividades no interior dos territórios")</f>
        <v>Temos nossa sede na Favela Para Pedro e em todos territórios vulneráveis atuamos nos espaços emprestados pelas igrejas e praças ao longo desses anos  otimizando informações e atividades no interior dos territórios</v>
      </c>
      <c r="Y298" s="27"/>
      <c r="Z298" s="27">
        <f ca="1">IFERROR(__xludf.DUMMYFUNCTION("""COMPUTED_VALUE"""),800)</f>
        <v>800</v>
      </c>
      <c r="AA298" s="29">
        <f ca="1">IFERROR(__xludf.DUMMYFUNCTION("""COMPUTED_VALUE"""),44107)</f>
        <v>44107</v>
      </c>
      <c r="AB298" s="27" t="str">
        <f ca="1">IFERROR(__xludf.DUMMYFUNCTION("""COMPUTED_VALUE"""),"Não")</f>
        <v>Não</v>
      </c>
      <c r="AC298" s="27">
        <f ca="1">IFERROR(__xludf.DUMMYFUNCTION("""COMPUTED_VALUE"""),10)</f>
        <v>10</v>
      </c>
      <c r="AD298" s="27"/>
      <c r="AE298" s="27">
        <f ca="1">IFERROR(__xludf.DUMMYFUNCTION("""COMPUTED_VALUE"""),170)</f>
        <v>170</v>
      </c>
      <c r="AF298" s="27"/>
      <c r="AG298" s="27">
        <f ca="1">IFERROR(__xludf.DUMMYFUNCTION("""COMPUTED_VALUE"""),2)</f>
        <v>2</v>
      </c>
      <c r="AH298" s="27"/>
      <c r="AI298" s="27"/>
      <c r="AJ298" s="27"/>
      <c r="AK298" s="27"/>
      <c r="AL298" s="21" t="str">
        <f ca="1">IFERROR(__xludf.DUMMYFUNCTION("""COMPUTED_VALUE"""),"0034P000045kxjI")</f>
        <v>0034P000045kxjI</v>
      </c>
      <c r="AM298" s="27" t="str">
        <f ca="1">IFERROR(__xludf.DUMMYFUNCTION("""COMPUTED_VALUE"""),"Almeida Da Cunha")</f>
        <v>Almeida Da Cunha</v>
      </c>
      <c r="AN298" s="27" t="str">
        <f ca="1">IFERROR(__xludf.DUMMYFUNCTION("""COMPUTED_VALUE"""),"Ativo")</f>
        <v>Ativo</v>
      </c>
      <c r="AO298" s="29">
        <f ca="1">IFERROR(__xludf.DUMMYFUNCTION("""COMPUTED_VALUE"""),44551)</f>
        <v>44551</v>
      </c>
      <c r="AP298" s="27">
        <f ca="1">IFERROR(__xludf.DUMMYFUNCTION("""COMPUTED_VALUE"""),9)</f>
        <v>9</v>
      </c>
      <c r="AQ298" s="27" t="str">
        <f ca="1">IFERROR(__xludf.DUMMYFUNCTION("""COMPUTED_VALUE"""),"Segundo Semestre 2021")</f>
        <v>Segundo Semestre 2021</v>
      </c>
      <c r="AR298" s="27" t="str">
        <f ca="1">IFERROR(__xludf.DUMMYFUNCTION("""COMPUTED_VALUE"""),"projetoagape98@gmail.com")</f>
        <v>projetoagape98@gmail.com</v>
      </c>
      <c r="AS298" s="27" t="str">
        <f ca="1">IFERROR(__xludf.DUMMYFUNCTION("""COMPUTED_VALUE"""),"(21)97657-9727")</f>
        <v>(21)97657-9727</v>
      </c>
      <c r="AT298" s="29">
        <f ca="1">IFERROR(__xludf.DUMMYFUNCTION("""COMPUTED_VALUE"""),26383)</f>
        <v>26383</v>
      </c>
      <c r="AU298" s="27">
        <f ca="1">IFERROR(__xludf.DUMMYFUNCTION("""COMPUTED_VALUE"""),50)</f>
        <v>50</v>
      </c>
      <c r="AV298" s="27">
        <f ca="1">IFERROR(__xludf.DUMMYFUNCTION("""COMPUTED_VALUE"""),2879860717)</f>
        <v>2879860717</v>
      </c>
      <c r="AW298" s="27" t="str">
        <f ca="1">IFERROR(__xludf.DUMMYFUNCTION("""COMPUTED_VALUE"""),"099449469-7")</f>
        <v>099449469-7</v>
      </c>
      <c r="AX298" s="27"/>
      <c r="AY298" s="27"/>
      <c r="AZ298" s="27" t="str">
        <f ca="1">IFERROR(__xludf.DUMMYFUNCTION("""COMPUTED_VALUE"""),"P")</f>
        <v>P</v>
      </c>
      <c r="BA298" s="27" t="str">
        <f ca="1">IFERROR(__xludf.DUMMYFUNCTION("""COMPUTED_VALUE"""),"Preta")</f>
        <v>Preta</v>
      </c>
      <c r="BB298" s="27" t="str">
        <f ca="1">IFERROR(__xludf.DUMMYFUNCTION("""COMPUTED_VALUE"""),"Mulher, cisgênero")</f>
        <v>Mulher, cisgênero</v>
      </c>
      <c r="BC298" s="27" t="str">
        <f ca="1">IFERROR(__xludf.DUMMYFUNCTION("""COMPUTED_VALUE"""),"Sim")</f>
        <v>Sim</v>
      </c>
      <c r="BD298" s="27" t="str">
        <f ca="1">IFERROR(__xludf.DUMMYFUNCTION("""COMPUTED_VALUE"""),"Me chamo Sara Almeida, 50 anos, filha única Dn.Edna casada 26 anos com Gilberto e mãe Alvinho 24 e Gustavo 16 .Família Porto Seguro .
Graduando Serviço Social e na  Década 90 conclui  Técnico Patologia Clinica após planilha territorial altos índices Gravi"&amp;"dez na Adolescência iniciamos  palestras Educaticas e preventivas ocasionando Impacto social 93% dos casos. No periodo Chacina Vigario Geral idealizamos Projeto Ágape nasComunidades Rj , com principal  objetivo estimular autoestima infantil")</f>
        <v>Me chamo Sara Almeida, 50 anos, filha única Dn.Edna casada 26 anos com Gilberto e mãe Alvinho 24 e Gustavo 16 .Família Porto Seguro .
Graduando Serviço Social e na  Década 90 conclui  Técnico Patologia Clinica após planilha territorial altos índices Gravidez na Adolescência iniciamos  palestras Educaticas e preventivas ocasionando Impacto social 93% dos casos. No periodo Chacina Vigario Geral idealizamos Projeto Ágape nasComunidades Rj , com principal  objetivo estimular autoestima infantil</v>
      </c>
      <c r="BE298" s="27"/>
      <c r="BF298" s="27" t="str">
        <f ca="1">IFERROR(__xludf.DUMMYFUNCTION("""COMPUTED_VALUE"""),"Heterossexual")</f>
        <v>Heterossexual</v>
      </c>
      <c r="BG298" s="27" t="str">
        <f ca="1">IFERROR(__xludf.DUMMYFUNCTION("""COMPUTED_VALUE"""),"Ensino Superior - Incompleto")</f>
        <v>Ensino Superior - Incompleto</v>
      </c>
      <c r="BH298" s="27" t="str">
        <f ca="1">IFERROR(__xludf.DUMMYFUNCTION("""COMPUTED_VALUE"""),"Público")</f>
        <v>Público</v>
      </c>
      <c r="BI298" s="27" t="str">
        <f ca="1">IFERROR(__xludf.DUMMYFUNCTION("""COMPUTED_VALUE"""),"Graduação")</f>
        <v>Graduação</v>
      </c>
      <c r="BJ298" s="27" t="str">
        <f ca="1">IFERROR(__xludf.DUMMYFUNCTION("""COMPUTED_VALUE"""),"Público")</f>
        <v>Público</v>
      </c>
      <c r="BK298" s="27" t="str">
        <f ca="1">IFERROR(__xludf.DUMMYFUNCTION("""COMPUTED_VALUE"""),"Rua Vitalino Ribeiro")</f>
        <v>Rua Vitalino Ribeiro</v>
      </c>
      <c r="BL298" s="27">
        <f ca="1">IFERROR(__xludf.DUMMYFUNCTION("""COMPUTED_VALUE"""),87)</f>
        <v>87</v>
      </c>
      <c r="BM298" s="27" t="str">
        <f ca="1">IFERROR(__xludf.DUMMYFUNCTION("""COMPUTED_VALUE"""),"Casa")</f>
        <v>Casa</v>
      </c>
      <c r="BN298" s="27" t="str">
        <f ca="1">IFERROR(__xludf.DUMMYFUNCTION("""COMPUTED_VALUE"""),"Rio de Janeiro")</f>
        <v>Rio de Janeiro</v>
      </c>
      <c r="BO298" s="27" t="str">
        <f ca="1">IFERROR(__xludf.DUMMYFUNCTION("""COMPUTED_VALUE"""),"21235-415")</f>
        <v>21235-415</v>
      </c>
      <c r="BP298" s="27" t="str">
        <f ca="1">IFERROR(__xludf.DUMMYFUNCTION("""COMPUTED_VALUE"""),"RJ")</f>
        <v>RJ</v>
      </c>
      <c r="BQ298" s="27" t="str">
        <f ca="1">IFERROR(__xludf.DUMMYFUNCTION("""COMPUTED_VALUE"""),"Entre 1 até 3 salários mínimos")</f>
        <v>Entre 1 até 3 salários mínimos</v>
      </c>
      <c r="BR298" s="27" t="str">
        <f ca="1">IFERROR(__xludf.DUMMYFUNCTION("""COMPUTED_VALUE"""),"Trabalho informal; Desempregado")</f>
        <v>Trabalho informal; Desempregado</v>
      </c>
      <c r="BS298" s="27" t="str">
        <f ca="1">IFERROR(__xludf.DUMMYFUNCTION("""COMPUTED_VALUE"""),"Aluguel")</f>
        <v>Aluguel</v>
      </c>
      <c r="BT298" s="27">
        <f ca="1">IFERROR(__xludf.DUMMYFUNCTION("""COMPUTED_VALUE"""),7)</f>
        <v>7</v>
      </c>
      <c r="BU298" s="27" t="str">
        <f ca="1">IFERROR(__xludf.DUMMYFUNCTION("""COMPUTED_VALUE"""),"Não tem")</f>
        <v>Não tem</v>
      </c>
      <c r="BV298" s="27"/>
      <c r="BW298" s="27" t="str">
        <f ca="1">IFERROR(__xludf.DUMMYFUNCTION("""COMPUTED_VALUE"""),"Em construcao")</f>
        <v>Em construcao</v>
      </c>
      <c r="BX298" s="27" t="str">
        <f ca="1">IFERROR(__xludf.DUMMYFUNCTION("""COMPUTED_VALUE"""),"Em construção ( Pq conseguimos realizar  sonho da 1° creche da favela e assim em andamento )")</f>
        <v>Em construção ( Pq conseguimos realizar  sonho da 1° creche da favela e assim em andamento )</v>
      </c>
      <c r="BY298" s="21" t="str">
        <f ca="1">IFERROR(__xludf.DUMMYFUNCTION("""COMPUTED_VALUE"""),"https://drive.google.com/open?id=1YCUTags12IeOmwiyZ47diFhl9c3EeLhb")</f>
        <v>https://drive.google.com/open?id=1YCUTags12IeOmwiyZ47diFhl9c3EeLhb</v>
      </c>
    </row>
    <row r="299" spans="1:77" ht="12.5" x14ac:dyDescent="0.25">
      <c r="A299" s="21" t="str">
        <f ca="1">IFERROR(__xludf.DUMMYFUNCTION("""COMPUTED_VALUE"""),"0014X00002VKCtdQAH")</f>
        <v>0014X00002VKCtdQAH</v>
      </c>
      <c r="B299" s="27"/>
      <c r="C299" s="27" t="str">
        <f ca="1">IFERROR(__xludf.DUMMYFUNCTION("""COMPUTED_VALUE"""),"Fellow")</f>
        <v>Fellow</v>
      </c>
      <c r="D299" s="27" t="str">
        <f ca="1">IFERROR(__xludf.DUMMYFUNCTION("""COMPUTED_VALUE"""),"Ativo")</f>
        <v>Ativo</v>
      </c>
      <c r="E299" s="27" t="str">
        <f ca="1">IFERROR(__xludf.DUMMYFUNCTION("""COMPUTED_VALUE"""),"INSTITUTO ÁGAPE MANAUS")</f>
        <v>INSTITUTO ÁGAPE MANAUS</v>
      </c>
      <c r="F299" s="27" t="str">
        <f ca="1">IFERROR(__xludf.DUMMYFUNCTION("""COMPUTED_VALUE"""),"Suelen")</f>
        <v>Suelen</v>
      </c>
      <c r="G299" s="27" t="str">
        <f ca="1">IFERROR(__xludf.DUMMYFUNCTION("""COMPUTED_VALUE"""),"INSTITUTO ÁGAPE MANAUS")</f>
        <v>INSTITUTO ÁGAPE MANAUS</v>
      </c>
      <c r="H299" s="27" t="str">
        <f ca="1">IFERROR(__xludf.DUMMYFUNCTION("""COMPUTED_VALUE"""),"37.565.394/0001-35")</f>
        <v>37.565.394/0001-35</v>
      </c>
      <c r="I299" s="27" t="str">
        <f ca="1">IFERROR(__xludf.DUMMYFUNCTION("""COMPUTED_VALUE"""),"SUELEN KAROLINE PRESTES ARAUJO")</f>
        <v>SUELEN KAROLINE PRESTES ARAUJO</v>
      </c>
      <c r="J299" s="27" t="str">
        <f ca="1">IFERROR(__xludf.DUMMYFUNCTION("""COMPUTED_VALUE"""),"ps.agapemanaus@gmail.com")</f>
        <v>ps.agapemanaus@gmail.com</v>
      </c>
      <c r="K299" s="27">
        <f ca="1">IFERROR(__xludf.DUMMYFUNCTION("""COMPUTED_VALUE"""),92994988675)</f>
        <v>92994988675</v>
      </c>
      <c r="L299" s="27" t="str">
        <f ca="1">IFERROR(__xludf.DUMMYFUNCTION("""COMPUTED_VALUE"""),"AM")</f>
        <v>AM</v>
      </c>
      <c r="M299" s="27" t="str">
        <f ca="1">IFERROR(__xludf.DUMMYFUNCTION("""COMPUTED_VALUE"""),"Avenida Arquiteto José Henriques B. Rodrigues")</f>
        <v>Avenida Arquiteto José Henriques B. Rodrigues</v>
      </c>
      <c r="N299" s="27" t="str">
        <f ca="1">IFERROR(__xludf.DUMMYFUNCTION("""COMPUTED_VALUE"""),"Monte das Oliveiras")</f>
        <v>Monte das Oliveiras</v>
      </c>
      <c r="O299" s="27">
        <f ca="1">IFERROR(__xludf.DUMMYFUNCTION("""COMPUTED_VALUE"""),3760)</f>
        <v>3760</v>
      </c>
      <c r="P299" s="27" t="str">
        <f ca="1">IFERROR(__xludf.DUMMYFUNCTION("""COMPUTED_VALUE"""),"Manaus")</f>
        <v>Manaus</v>
      </c>
      <c r="Q299" s="27" t="str">
        <f ca="1">IFERROR(__xludf.DUMMYFUNCTION("""COMPUTED_VALUE"""),"SALA 2B* 2º ANDAR")</f>
        <v>SALA 2B* 2º ANDAR</v>
      </c>
      <c r="R299" s="27" t="str">
        <f ca="1">IFERROR(__xludf.DUMMYFUNCTION("""COMPUTED_VALUE"""),"69093-149")</f>
        <v>69093-149</v>
      </c>
      <c r="S299" s="27"/>
      <c r="T299" s="27"/>
      <c r="U299" s="27"/>
      <c r="V299" s="27"/>
      <c r="W299" s="27">
        <f ca="1">IFERROR(__xludf.DUMMYFUNCTION("""COMPUTED_VALUE"""),2)</f>
        <v>2</v>
      </c>
      <c r="X299" s="27"/>
      <c r="Y299" s="27"/>
      <c r="Z299" s="27">
        <f ca="1">IFERROR(__xludf.DUMMYFUNCTION("""COMPUTED_VALUE"""),400)</f>
        <v>400</v>
      </c>
      <c r="AA299" s="29">
        <f ca="1">IFERROR(__xludf.DUMMYFUNCTION("""COMPUTED_VALUE"""),42114)</f>
        <v>42114</v>
      </c>
      <c r="AB299" s="27" t="str">
        <f ca="1">IFERROR(__xludf.DUMMYFUNCTION("""COMPUTED_VALUE"""),"Sim")</f>
        <v>Sim</v>
      </c>
      <c r="AC299" s="27"/>
      <c r="AD299" s="27"/>
      <c r="AE299" s="27">
        <f ca="1">IFERROR(__xludf.DUMMYFUNCTION("""COMPUTED_VALUE"""),10)</f>
        <v>10</v>
      </c>
      <c r="AF299" s="27"/>
      <c r="AG299" s="27">
        <f ca="1">IFERROR(__xludf.DUMMYFUNCTION("""COMPUTED_VALUE"""),1)</f>
        <v>1</v>
      </c>
      <c r="AH299" s="27"/>
      <c r="AI299" s="27"/>
      <c r="AJ299" s="27" t="str">
        <f ca="1">IFERROR(__xludf.DUMMYFUNCTION("""COMPUTED_VALUE"""),"Não")</f>
        <v>Não</v>
      </c>
      <c r="AK299" s="27"/>
      <c r="AL299" s="21" t="str">
        <f ca="1">IFERROR(__xludf.DUMMYFUNCTION("""COMPUTED_VALUE"""),"0034X0000380O4E")</f>
        <v>0034X0000380O4E</v>
      </c>
      <c r="AM299" s="27" t="str">
        <f ca="1">IFERROR(__xludf.DUMMYFUNCTION("""COMPUTED_VALUE"""),"Karoline prestes araújo")</f>
        <v>Karoline prestes araújo</v>
      </c>
      <c r="AN299" s="27" t="str">
        <f ca="1">IFERROR(__xludf.DUMMYFUNCTION("""COMPUTED_VALUE"""),"Ativo")</f>
        <v>Ativo</v>
      </c>
      <c r="AO299" s="27"/>
      <c r="AP299" s="27"/>
      <c r="AQ299" s="27" t="str">
        <f ca="1">IFERROR(__xludf.DUMMYFUNCTION("""COMPUTED_VALUE"""),"Primeiro Semestre 2022")</f>
        <v>Primeiro Semestre 2022</v>
      </c>
      <c r="AR299" s="27" t="str">
        <f ca="1">IFERROR(__xludf.DUMMYFUNCTION("""COMPUTED_VALUE"""),"suelenaraujo8@gmail.com")</f>
        <v>suelenaraujo8@gmail.com</v>
      </c>
      <c r="AS299" s="27">
        <f ca="1">IFERROR(__xludf.DUMMYFUNCTION("""COMPUTED_VALUE"""),92988017520)</f>
        <v>92988017520</v>
      </c>
      <c r="AT299" s="29">
        <f ca="1">IFERROR(__xludf.DUMMYFUNCTION("""COMPUTED_VALUE"""),34795)</f>
        <v>34795</v>
      </c>
      <c r="AU299" s="27">
        <f ca="1">IFERROR(__xludf.DUMMYFUNCTION("""COMPUTED_VALUE"""),27)</f>
        <v>27</v>
      </c>
      <c r="AV299" s="27">
        <f ca="1">IFERROR(__xludf.DUMMYFUNCTION("""COMPUTED_VALUE"""),2098151241)</f>
        <v>2098151241</v>
      </c>
      <c r="AW299" s="27" t="str">
        <f ca="1">IFERROR(__xludf.DUMMYFUNCTION("""COMPUTED_VALUE"""),"2647487-5")</f>
        <v>2647487-5</v>
      </c>
      <c r="AX299" s="27"/>
      <c r="AY299" s="27"/>
      <c r="AZ299" s="27" t="str">
        <f ca="1">IFERROR(__xludf.DUMMYFUNCTION("""COMPUTED_VALUE"""),"M")</f>
        <v>M</v>
      </c>
      <c r="BA299" s="27" t="str">
        <f ca="1">IFERROR(__xludf.DUMMYFUNCTION("""COMPUTED_VALUE"""),"Parda")</f>
        <v>Parda</v>
      </c>
      <c r="BB299" s="27"/>
      <c r="BC299" s="27"/>
      <c r="BD299" s="27" t="str">
        <f ca="1">IFERROR(__xludf.DUMMYFUNCTION("""COMPUTED_VALUE"""),"Assistente Social com especialização em Gestão de Políticas Sociais* entusiasta da educação* empreendedora social* presidente/fundadora do Instituto Ágape Manaus* Co-fundadora e Diretora de Desenvolvimento e Protagonismo da Iniciativa Afluentes* membro do"&amp;" Global Shapers Manaus e Assistente de Soluções Duradouras na Visão Mundial.")</f>
        <v>Assistente Social com especialização em Gestão de Políticas Sociais* entusiasta da educação* empreendedora social* presidente/fundadora do Instituto Ágape Manaus* Co-fundadora e Diretora de Desenvolvimento e Protagonismo da Iniciativa Afluentes* membro do Global Shapers Manaus e Assistente de Soluções Duradouras na Visão Mundial.</v>
      </c>
      <c r="BE299" s="27" t="str">
        <f ca="1">IFERROR(__xludf.DUMMYFUNCTION("""COMPUTED_VALUE"""),"Feminino")</f>
        <v>Feminino</v>
      </c>
      <c r="BF299" s="27" t="str">
        <f ca="1">IFERROR(__xludf.DUMMYFUNCTION("""COMPUTED_VALUE"""),"Bissexual")</f>
        <v>Bissexual</v>
      </c>
      <c r="BG299" s="27"/>
      <c r="BH299" s="27" t="str">
        <f ca="1">IFERROR(__xludf.DUMMYFUNCTION("""COMPUTED_VALUE"""),"Público")</f>
        <v>Público</v>
      </c>
      <c r="BI299" s="27" t="str">
        <f ca="1">IFERROR(__xludf.DUMMYFUNCTION("""COMPUTED_VALUE"""),"Pós-Graduação")</f>
        <v>Pós-Graduação</v>
      </c>
      <c r="BJ299" s="27" t="str">
        <f ca="1">IFERROR(__xludf.DUMMYFUNCTION("""COMPUTED_VALUE"""),"Privado")</f>
        <v>Privado</v>
      </c>
      <c r="BK299" s="27" t="str">
        <f ca="1">IFERROR(__xludf.DUMMYFUNCTION("""COMPUTED_VALUE"""),"RUA PINHEIRO BRASILEIRO")</f>
        <v>RUA PINHEIRO BRASILEIRO</v>
      </c>
      <c r="BL299" s="27">
        <f ca="1">IFERROR(__xludf.DUMMYFUNCTION("""COMPUTED_VALUE"""),95)</f>
        <v>95</v>
      </c>
      <c r="BM299" s="27"/>
      <c r="BN299" s="27"/>
      <c r="BO299" s="27">
        <f ca="1">IFERROR(__xludf.DUMMYFUNCTION("""COMPUTED_VALUE"""),69093141)</f>
        <v>69093141</v>
      </c>
      <c r="BP299" s="27" t="str">
        <f ca="1">IFERROR(__xludf.DUMMYFUNCTION("""COMPUTED_VALUE"""),"AM")</f>
        <v>AM</v>
      </c>
      <c r="BQ299" s="27" t="str">
        <f ca="1">IFERROR(__xludf.DUMMYFUNCTION("""COMPUTED_VALUE"""),"Entre 1 até 3 salários mínimos")</f>
        <v>Entre 1 até 3 salários mínimos</v>
      </c>
      <c r="BR299" s="27" t="str">
        <f ca="1">IFERROR(__xludf.DUMMYFUNCTION("""COMPUTED_VALUE"""),"CLT")</f>
        <v>CLT</v>
      </c>
      <c r="BS299" s="27" t="str">
        <f ca="1">IFERROR(__xludf.DUMMYFUNCTION("""COMPUTED_VALUE"""),"Casa cedida")</f>
        <v>Casa cedida</v>
      </c>
      <c r="BT299" s="27">
        <f ca="1">IFERROR(__xludf.DUMMYFUNCTION("""COMPUTED_VALUE"""),1)</f>
        <v>1</v>
      </c>
      <c r="BU299" s="27" t="str">
        <f ca="1">IFERROR(__xludf.DUMMYFUNCTION("""COMPUTED_VALUE"""),"Não tem")</f>
        <v>Não tem</v>
      </c>
      <c r="BV299" s="27" t="str">
        <f ca="1">IFERROR(__xludf.DUMMYFUNCTION("""COMPUTED_VALUE"""),"Não")</f>
        <v>Não</v>
      </c>
      <c r="BW299" s="21" t="str">
        <f ca="1">IFERROR(__xludf.DUMMYFUNCTION("""COMPUTED_VALUE"""),"https://www.linkedin.com/in/suelen-ara%C3%BAjo-15922310a/")</f>
        <v>https://www.linkedin.com/in/suelen-ara%C3%BAjo-15922310a/</v>
      </c>
      <c r="BX299" s="21" t="str">
        <f ca="1">IFERROR(__xludf.DUMMYFUNCTION("""COMPUTED_VALUE"""),"https://www.instagram.com/suelenaraujo__/")</f>
        <v>https://www.instagram.com/suelenaraujo__/</v>
      </c>
      <c r="BY299" s="21" t="str">
        <f ca="1">IFERROR(__xludf.DUMMYFUNCTION("""COMPUTED_VALUE"""),"https://drive.google.com/open?id=1aIakRJrrnNQI6pYM2dTa4tHlJFuSIxES")</f>
        <v>https://drive.google.com/open?id=1aIakRJrrnNQI6pYM2dTa4tHlJFuSIxES</v>
      </c>
    </row>
    <row r="300" spans="1:77" ht="12.5" x14ac:dyDescent="0.25">
      <c r="A300" s="21" t="str">
        <f ca="1">IFERROR(__xludf.DUMMYFUNCTION("""COMPUTED_VALUE"""),"0014X00002UGscXQAT")</f>
        <v>0014X00002UGscXQAT</v>
      </c>
      <c r="B300" s="27" t="str">
        <f ca="1">IFERROR(__xludf.DUMMYFUNCTION("""COMPUTED_VALUE"""),"Fase Inicial")</f>
        <v>Fase Inicial</v>
      </c>
      <c r="C300" s="27" t="str">
        <f ca="1">IFERROR(__xludf.DUMMYFUNCTION("""COMPUTED_VALUE"""),"Fellow")</f>
        <v>Fellow</v>
      </c>
      <c r="D300" s="27" t="str">
        <f ca="1">IFERROR(__xludf.DUMMYFUNCTION("""COMPUTED_VALUE"""),"Ativo")</f>
        <v>Ativo</v>
      </c>
      <c r="E300" s="27" t="str">
        <f ca="1">IFERROR(__xludf.DUMMYFUNCTION("""COMPUTED_VALUE"""),"Instituto Almas Azuis")</f>
        <v>Instituto Almas Azuis</v>
      </c>
      <c r="F300" s="27" t="str">
        <f ca="1">IFERROR(__xludf.DUMMYFUNCTION("""COMPUTED_VALUE"""),"Kelly")</f>
        <v>Kelly</v>
      </c>
      <c r="G300" s="27" t="str">
        <f ca="1">IFERROR(__xludf.DUMMYFUNCTION("""COMPUTED_VALUE"""),"Instituto Almas Azuis")</f>
        <v>Instituto Almas Azuis</v>
      </c>
      <c r="H300" s="27"/>
      <c r="I300" s="27" t="str">
        <f ca="1">IFERROR(__xludf.DUMMYFUNCTION("""COMPUTED_VALUE"""),"Vanessa Venâncio")</f>
        <v>Vanessa Venâncio</v>
      </c>
      <c r="J300" s="27" t="str">
        <f ca="1">IFERROR(__xludf.DUMMYFUNCTION("""COMPUTED_VALUE"""),"almasazuis@gmail.com")</f>
        <v>almasazuis@gmail.com</v>
      </c>
      <c r="K300" s="27" t="str">
        <f ca="1">IFERROR(__xludf.DUMMYFUNCTION("""COMPUTED_VALUE"""),"(13)97419-0758")</f>
        <v>(13)97419-0758</v>
      </c>
      <c r="L300" s="27" t="str">
        <f ca="1">IFERROR(__xludf.DUMMYFUNCTION("""COMPUTED_VALUE"""),"SP")</f>
        <v>SP</v>
      </c>
      <c r="M300" s="27" t="str">
        <f ca="1">IFERROR(__xludf.DUMMYFUNCTION("""COMPUTED_VALUE"""),"Rua: Maria Martins Baptista, 1642 Vila Sônia/Praia Grande SP")</f>
        <v>Rua: Maria Martins Baptista, 1642 Vila Sônia/Praia Grande SP</v>
      </c>
      <c r="N300" s="27" t="str">
        <f ca="1">IFERROR(__xludf.DUMMYFUNCTION("""COMPUTED_VALUE"""),"Vila Sônia")</f>
        <v>Vila Sônia</v>
      </c>
      <c r="O300" s="27"/>
      <c r="P300" s="27" t="str">
        <f ca="1">IFERROR(__xludf.DUMMYFUNCTION("""COMPUTED_VALUE"""),"Praia Grande")</f>
        <v>Praia Grande</v>
      </c>
      <c r="Q300" s="27"/>
      <c r="R300" s="27" t="str">
        <f ca="1">IFERROR(__xludf.DUMMYFUNCTION("""COMPUTED_VALUE"""),"11722-050")</f>
        <v>11722-050</v>
      </c>
      <c r="S300" s="27"/>
      <c r="T300" s="27" t="str">
        <f ca="1">IFERROR(__xludf.DUMMYFUNCTION("""COMPUTED_VALUE"""),"Empregabilidade")</f>
        <v>Empregabilidade</v>
      </c>
      <c r="U300" s="27" t="str">
        <f ca="1">IFERROR(__xludf.DUMMYFUNCTION("""COMPUTED_VALUE"""),"Crianças bem pequenas (1 ano e 7 meses até 3 anos e 11 meses); Adolescentes (12 aos 18 anos); Jovens (18 aos 24 anos)")</f>
        <v>Crianças bem pequenas (1 ano e 7 meses até 3 anos e 11 meses); Adolescentes (12 aos 18 anos); Jovens (18 aos 24 anos)</v>
      </c>
      <c r="V300" s="27"/>
      <c r="W300" s="27">
        <f ca="1">IFERROR(__xludf.DUMMYFUNCTION("""COMPUTED_VALUE"""),8)</f>
        <v>8</v>
      </c>
      <c r="X300" s="27"/>
      <c r="Y300" s="27"/>
      <c r="Z300" s="27"/>
      <c r="AA300" s="27"/>
      <c r="AB300" s="27"/>
      <c r="AC300" s="27">
        <f ca="1">IFERROR(__xludf.DUMMYFUNCTION("""COMPUTED_VALUE"""),2)</f>
        <v>2</v>
      </c>
      <c r="AD300" s="27"/>
      <c r="AE300" s="27">
        <f ca="1">IFERROR(__xludf.DUMMYFUNCTION("""COMPUTED_VALUE"""),7)</f>
        <v>7</v>
      </c>
      <c r="AF300" s="27"/>
      <c r="AG300" s="27">
        <f ca="1">IFERROR(__xludf.DUMMYFUNCTION("""COMPUTED_VALUE"""),2)</f>
        <v>2</v>
      </c>
      <c r="AH300" s="27" t="str">
        <f ca="1">IFERROR(__xludf.DUMMYFUNCTION("""COMPUTED_VALUE"""),"Negócio Social; Doações")</f>
        <v>Negócio Social; Doações</v>
      </c>
      <c r="AI300" s="27"/>
      <c r="AJ300" s="27"/>
      <c r="AK300" s="27"/>
      <c r="AL300" s="21" t="str">
        <f ca="1">IFERROR(__xludf.DUMMYFUNCTION("""COMPUTED_VALUE"""),"0034P000045kxjw")</f>
        <v>0034P000045kxjw</v>
      </c>
      <c r="AM300" s="27" t="str">
        <f ca="1">IFERROR(__xludf.DUMMYFUNCTION("""COMPUTED_VALUE"""),"Cristina De Aguiar Silva")</f>
        <v>Cristina De Aguiar Silva</v>
      </c>
      <c r="AN300" s="27" t="str">
        <f ca="1">IFERROR(__xludf.DUMMYFUNCTION("""COMPUTED_VALUE"""),"Ativo")</f>
        <v>Ativo</v>
      </c>
      <c r="AO300" s="29">
        <f ca="1">IFERROR(__xludf.DUMMYFUNCTION("""COMPUTED_VALUE"""),44645)</f>
        <v>44645</v>
      </c>
      <c r="AP300" s="27">
        <f ca="1">IFERROR(__xludf.DUMMYFUNCTION("""COMPUTED_VALUE"""),6)</f>
        <v>6</v>
      </c>
      <c r="AQ300" s="27" t="str">
        <f ca="1">IFERROR(__xludf.DUMMYFUNCTION("""COMPUTED_VALUE"""),"Segundo Semestre 2021")</f>
        <v>Segundo Semestre 2021</v>
      </c>
      <c r="AR300" s="27" t="str">
        <f ca="1">IFERROR(__xludf.DUMMYFUNCTION("""COMPUTED_VALUE"""),"kellylibras22@gmail.com")</f>
        <v>kellylibras22@gmail.com</v>
      </c>
      <c r="AS300" s="27" t="str">
        <f ca="1">IFERROR(__xludf.DUMMYFUNCTION("""COMPUTED_VALUE"""),"(13)9741-0758")</f>
        <v>(13)9741-0758</v>
      </c>
      <c r="AT300" s="29">
        <f ca="1">IFERROR(__xludf.DUMMYFUNCTION("""COMPUTED_VALUE"""),28839)</f>
        <v>28839</v>
      </c>
      <c r="AU300" s="27">
        <f ca="1">IFERROR(__xludf.DUMMYFUNCTION("""COMPUTED_VALUE"""),44)</f>
        <v>44</v>
      </c>
      <c r="AV300" s="27">
        <f ca="1">IFERROR(__xludf.DUMMYFUNCTION("""COMPUTED_VALUE"""),39503004810)</f>
        <v>39503004810</v>
      </c>
      <c r="AW300" s="27">
        <f ca="1">IFERROR(__xludf.DUMMYFUNCTION("""COMPUTED_VALUE"""),294764148)</f>
        <v>294764148</v>
      </c>
      <c r="AX300" s="27"/>
      <c r="AY300" s="27"/>
      <c r="AZ300" s="27" t="str">
        <f ca="1">IFERROR(__xludf.DUMMYFUNCTION("""COMPUTED_VALUE"""),"G")</f>
        <v>G</v>
      </c>
      <c r="BA300" s="27" t="str">
        <f ca="1">IFERROR(__xludf.DUMMYFUNCTION("""COMPUTED_VALUE"""),"Prefiro não declarar")</f>
        <v>Prefiro não declarar</v>
      </c>
      <c r="BB300" s="27" t="str">
        <f ca="1">IFERROR(__xludf.DUMMYFUNCTION("""COMPUTED_VALUE"""),"Mulher, cisgênero")</f>
        <v>Mulher, cisgênero</v>
      </c>
      <c r="BC300" s="27" t="str">
        <f ca="1">IFERROR(__xludf.DUMMYFUNCTION("""COMPUTED_VALUE"""),"Não")</f>
        <v>Não</v>
      </c>
      <c r="BD300" s="27" t="str">
        <f ca="1">IFERROR(__xludf.DUMMYFUNCTION("""COMPUTED_VALUE"""),"Sagitariana, decidida e engajada em tudo o que acredita e ama. Casada á 27 anos, mãe de 4 jovens adultos, e em breve serei vó. Luto á mais de 23 anos na Comunidade Surda, sou militante ativista dos direitos das pessoas com deficiência, pedagoga e interpre"&amp;"te de libras atuo na rede de ensino do estado de SP e sou coordenadora do Instituto Almas Azuis. Tenho como base da minha vida a filosofia humanista da Soka Gakkai e de Nitiren Sonho com uma cultura de paz, cultura e educação.")</f>
        <v>Sagitariana, decidida e engajada em tudo o que acredita e ama. Casada á 27 anos, mãe de 4 jovens adultos, e em breve serei vó. Luto á mais de 23 anos na Comunidade Surda, sou militante ativista dos direitos das pessoas com deficiência, pedagoga e interprete de libras atuo na rede de ensino do estado de SP e sou coordenadora do Instituto Almas Azuis. Tenho como base da minha vida a filosofia humanista da Soka Gakkai e de Nitiren Sonho com uma cultura de paz, cultura e educação.</v>
      </c>
      <c r="BE300" s="27"/>
      <c r="BF300" s="27" t="str">
        <f ca="1">IFERROR(__xludf.DUMMYFUNCTION("""COMPUTED_VALUE"""),"Heterossexual")</f>
        <v>Heterossexual</v>
      </c>
      <c r="BG300" s="27" t="str">
        <f ca="1">IFERROR(__xludf.DUMMYFUNCTION("""COMPUTED_VALUE"""),"Ensino Superior - Completo")</f>
        <v>Ensino Superior - Completo</v>
      </c>
      <c r="BH300" s="27" t="str">
        <f ca="1">IFERROR(__xludf.DUMMYFUNCTION("""COMPUTED_VALUE"""),"Público")</f>
        <v>Público</v>
      </c>
      <c r="BI300" s="27" t="str">
        <f ca="1">IFERROR(__xludf.DUMMYFUNCTION("""COMPUTED_VALUE"""),"Pós-Graduação")</f>
        <v>Pós-Graduação</v>
      </c>
      <c r="BJ300" s="27" t="str">
        <f ca="1">IFERROR(__xludf.DUMMYFUNCTION("""COMPUTED_VALUE"""),"Público")</f>
        <v>Público</v>
      </c>
      <c r="BK300" s="27" t="str">
        <f ca="1">IFERROR(__xludf.DUMMYFUNCTION("""COMPUTED_VALUE"""),"Fernando Sanches Carneiro")</f>
        <v>Fernando Sanches Carneiro</v>
      </c>
      <c r="BL300" s="27">
        <f ca="1">IFERROR(__xludf.DUMMYFUNCTION("""COMPUTED_VALUE"""),179)</f>
        <v>179</v>
      </c>
      <c r="BM300" s="27"/>
      <c r="BN300" s="27" t="str">
        <f ca="1">IFERROR(__xludf.DUMMYFUNCTION("""COMPUTED_VALUE"""),"Praia Grande")</f>
        <v>Praia Grande</v>
      </c>
      <c r="BO300" s="27" t="str">
        <f ca="1">IFERROR(__xludf.DUMMYFUNCTION("""COMPUTED_VALUE"""),"11718-230")</f>
        <v>11718-230</v>
      </c>
      <c r="BP300" s="27" t="str">
        <f ca="1">IFERROR(__xludf.DUMMYFUNCTION("""COMPUTED_VALUE"""),"SP")</f>
        <v>SP</v>
      </c>
      <c r="BQ300" s="27" t="str">
        <f ca="1">IFERROR(__xludf.DUMMYFUNCTION("""COMPUTED_VALUE"""),"Entre 1 até 3 salários mínimos")</f>
        <v>Entre 1 até 3 salários mínimos</v>
      </c>
      <c r="BR300" s="27" t="str">
        <f ca="1">IFERROR(__xludf.DUMMYFUNCTION("""COMPUTED_VALUE"""),"Funcionário Público")</f>
        <v>Funcionário Público</v>
      </c>
      <c r="BS300" s="27" t="str">
        <f ca="1">IFERROR(__xludf.DUMMYFUNCTION("""COMPUTED_VALUE"""),"Casa própria")</f>
        <v>Casa própria</v>
      </c>
      <c r="BT300" s="27">
        <f ca="1">IFERROR(__xludf.DUMMYFUNCTION("""COMPUTED_VALUE"""),5)</f>
        <v>5</v>
      </c>
      <c r="BU300" s="27" t="str">
        <f ca="1">IFERROR(__xludf.DUMMYFUNCTION("""COMPUTED_VALUE"""),"Não tem")</f>
        <v>Não tem</v>
      </c>
      <c r="BV300" s="27"/>
      <c r="BW300" s="27"/>
      <c r="BX300" s="27" t="str">
        <f ca="1">IFERROR(__xludf.DUMMYFUNCTION("""COMPUTED_VALUE"""),"@kellylibras")</f>
        <v>@kellylibras</v>
      </c>
      <c r="BY300" s="21" t="str">
        <f ca="1">IFERROR(__xludf.DUMMYFUNCTION("""COMPUTED_VALUE"""),"https://drive.google.com/open?id=1NaqmSUJToXATbOubX9BhwaQha-rH2Hp5")</f>
        <v>https://drive.google.com/open?id=1NaqmSUJToXATbOubX9BhwaQha-rH2Hp5</v>
      </c>
    </row>
    <row r="301" spans="1:77" ht="12.5" x14ac:dyDescent="0.25">
      <c r="A301" s="21" t="str">
        <f ca="1">IFERROR(__xludf.DUMMYFUNCTION("""COMPUTED_VALUE"""),"0014X00002VKCrMQAX")</f>
        <v>0014X00002VKCrMQAX</v>
      </c>
      <c r="B301" s="27" t="str">
        <f ca="1">IFERROR(__xludf.DUMMYFUNCTION("""COMPUTED_VALUE"""),"Fase Inicial")</f>
        <v>Fase Inicial</v>
      </c>
      <c r="C301" s="27" t="str">
        <f ca="1">IFERROR(__xludf.DUMMYFUNCTION("""COMPUTED_VALUE"""),"Fellow")</f>
        <v>Fellow</v>
      </c>
      <c r="D301" s="27" t="str">
        <f ca="1">IFERROR(__xludf.DUMMYFUNCTION("""COMPUTED_VALUE"""),"Ativo")</f>
        <v>Ativo</v>
      </c>
      <c r="E301" s="27" t="str">
        <f ca="1">IFERROR(__xludf.DUMMYFUNCTION("""COMPUTED_VALUE"""),"Instituto Amar")</f>
        <v>Instituto Amar</v>
      </c>
      <c r="F301" s="27" t="str">
        <f ca="1">IFERROR(__xludf.DUMMYFUNCTION("""COMPUTED_VALUE"""),"Allana")</f>
        <v>Allana</v>
      </c>
      <c r="G301" s="27" t="str">
        <f ca="1">IFERROR(__xludf.DUMMYFUNCTION("""COMPUTED_VALUE"""),"INSTITUTO AMAR")</f>
        <v>INSTITUTO AMAR</v>
      </c>
      <c r="H301" s="27"/>
      <c r="I301" s="27" t="str">
        <f ca="1">IFERROR(__xludf.DUMMYFUNCTION("""COMPUTED_VALUE"""),"Allana Tamires Canuto Gomes")</f>
        <v>Allana Tamires Canuto Gomes</v>
      </c>
      <c r="J301" s="27" t="str">
        <f ca="1">IFERROR(__xludf.DUMMYFUNCTION("""COMPUTED_VALUE"""),"instituto.yaaa@gmail.com")</f>
        <v>instituto.yaaa@gmail.com</v>
      </c>
      <c r="K301" s="27" t="str">
        <f ca="1">IFERROR(__xludf.DUMMYFUNCTION("""COMPUTED_VALUE"""),"(81)99946-9295")</f>
        <v>(81)99946-9295</v>
      </c>
      <c r="L301" s="27" t="str">
        <f ca="1">IFERROR(__xludf.DUMMYFUNCTION("""COMPUTED_VALUE"""),"PE")</f>
        <v>PE</v>
      </c>
      <c r="M301" s="27" t="str">
        <f ca="1">IFERROR(__xludf.DUMMYFUNCTION("""COMPUTED_VALUE"""),"Rua Leandro Barreto")</f>
        <v>Rua Leandro Barreto</v>
      </c>
      <c r="N301" s="27" t="str">
        <f ca="1">IFERROR(__xludf.DUMMYFUNCTION("""COMPUTED_VALUE"""),"Jardim São Paulo")</f>
        <v>Jardim São Paulo</v>
      </c>
      <c r="O301" s="27">
        <f ca="1">IFERROR(__xludf.DUMMYFUNCTION("""COMPUTED_VALUE"""),355)</f>
        <v>355</v>
      </c>
      <c r="P301" s="27" t="str">
        <f ca="1">IFERROR(__xludf.DUMMYFUNCTION("""COMPUTED_VALUE"""),"Recife")</f>
        <v>Recife</v>
      </c>
      <c r="Q301" s="27" t="str">
        <f ca="1">IFERROR(__xludf.DUMMYFUNCTION("""COMPUTED_VALUE"""),"Blc 04 ap 201")</f>
        <v>Blc 04 ap 201</v>
      </c>
      <c r="R301" s="27" t="str">
        <f ca="1">IFERROR(__xludf.DUMMYFUNCTION("""COMPUTED_VALUE"""),"50790-901")</f>
        <v>50790-901</v>
      </c>
      <c r="S301" s="27" t="str">
        <f ca="1">IFERROR(__xludf.DUMMYFUNCTION("""COMPUTED_VALUE"""),"Galpão de comerciantes locais. Não temos espaço próprio")</f>
        <v>Galpão de comerciantes locais. Não temos espaço próprio</v>
      </c>
      <c r="T301" s="27"/>
      <c r="U301" s="27" t="str">
        <f ca="1">IFERROR(__xludf.DUMMYFUNCTION("""COMPUTED_VALUE"""),"Crianças (6 a 12 anos), Adolescentes (12 aos 18 anos), Jovens (18 aos 24 anos), Adultos")</f>
        <v>Crianças (6 a 12 anos), Adolescentes (12 aos 18 anos), Jovens (18 aos 24 anos), Adultos</v>
      </c>
      <c r="V301" s="27" t="str">
        <f ca="1">IFERROR(__xludf.DUMMYFUNCTION("""COMPUTED_VALUE"""),"Moradores de Favelas, População LGBTQ+, Afrodescendentes")</f>
        <v>Moradores de Favelas, População LGBTQ+, Afrodescendentes</v>
      </c>
      <c r="W301" s="27">
        <f ca="1">IFERROR(__xludf.DUMMYFUNCTION("""COMPUTED_VALUE"""),6)</f>
        <v>6</v>
      </c>
      <c r="X301" s="27" t="str">
        <f ca="1">IFERROR(__xludf.DUMMYFUNCTION("""COMPUTED_VALUE"""),"Público em geral  voltado para pessoas em vunerabilidade social.")</f>
        <v>Público em geral  voltado para pessoas em vunerabilidade social.</v>
      </c>
      <c r="Y301" s="27"/>
      <c r="Z301" s="27">
        <f ca="1">IFERROR(__xludf.DUMMYFUNCTION("""COMPUTED_VALUE"""),500)</f>
        <v>500</v>
      </c>
      <c r="AA301" s="29">
        <f ca="1">IFERROR(__xludf.DUMMYFUNCTION("""COMPUTED_VALUE"""),44425)</f>
        <v>44425</v>
      </c>
      <c r="AB301" s="27" t="str">
        <f ca="1">IFERROR(__xludf.DUMMYFUNCTION("""COMPUTED_VALUE"""),"Não")</f>
        <v>Não</v>
      </c>
      <c r="AC301" s="27">
        <f ca="1">IFERROR(__xludf.DUMMYFUNCTION("""COMPUTED_VALUE"""),0)</f>
        <v>0</v>
      </c>
      <c r="AD301" s="27">
        <f ca="1">IFERROR(__xludf.DUMMYFUNCTION("""COMPUTED_VALUE"""),3)</f>
        <v>3</v>
      </c>
      <c r="AE301" s="27">
        <f ca="1">IFERROR(__xludf.DUMMYFUNCTION("""COMPUTED_VALUE"""),22)</f>
        <v>22</v>
      </c>
      <c r="AF301" s="27">
        <f ca="1">IFERROR(__xludf.DUMMYFUNCTION("""COMPUTED_VALUE"""),10)</f>
        <v>10</v>
      </c>
      <c r="AG301" s="27">
        <f ca="1">IFERROR(__xludf.DUMMYFUNCTION("""COMPUTED_VALUE"""),2)</f>
        <v>2</v>
      </c>
      <c r="AH301" s="27" t="str">
        <f ca="1">IFERROR(__xludf.DUMMYFUNCTION("""COMPUTED_VALUE"""),"Parceria iniciativa privada, Doações")</f>
        <v>Parceria iniciativa privada, Doações</v>
      </c>
      <c r="AI301" s="27" t="str">
        <f ca="1">IFERROR(__xludf.DUMMYFUNCTION("""COMPUTED_VALUE"""),"100% doações")</f>
        <v>100% doações</v>
      </c>
      <c r="AJ301" s="27" t="str">
        <f ca="1">IFERROR(__xludf.DUMMYFUNCTION("""COMPUTED_VALUE"""),"Sim")</f>
        <v>Sim</v>
      </c>
      <c r="AK301" s="27"/>
      <c r="AL301" s="21" t="str">
        <f ca="1">IFERROR(__xludf.DUMMYFUNCTION("""COMPUTED_VALUE"""),"0034X0000380O0k")</f>
        <v>0034X0000380O0k</v>
      </c>
      <c r="AM301" s="27" t="str">
        <f ca="1">IFERROR(__xludf.DUMMYFUNCTION("""COMPUTED_VALUE"""),"Tamires canuto gomes")</f>
        <v>Tamires canuto gomes</v>
      </c>
      <c r="AN301" s="27" t="str">
        <f ca="1">IFERROR(__xludf.DUMMYFUNCTION("""COMPUTED_VALUE"""),"Ativo")</f>
        <v>Ativo</v>
      </c>
      <c r="AO301" s="29">
        <f ca="1">IFERROR(__xludf.DUMMYFUNCTION("""COMPUTED_VALUE"""),44763)</f>
        <v>44763</v>
      </c>
      <c r="AP301" s="27">
        <f ca="1">IFERROR(__xludf.DUMMYFUNCTION("""COMPUTED_VALUE"""),2)</f>
        <v>2</v>
      </c>
      <c r="AQ301" s="27" t="str">
        <f ca="1">IFERROR(__xludf.DUMMYFUNCTION("""COMPUTED_VALUE"""),"Primeiro Semestre 2022")</f>
        <v>Primeiro Semestre 2022</v>
      </c>
      <c r="AR301" s="27" t="str">
        <f ca="1">IFERROR(__xludf.DUMMYFUNCTION("""COMPUTED_VALUE"""),"allana.tamires17@gmail.com")</f>
        <v>allana.tamires17@gmail.com</v>
      </c>
      <c r="AS301" s="27">
        <f ca="1">IFERROR(__xludf.DUMMYFUNCTION("""COMPUTED_VALUE"""),81987338407)</f>
        <v>81987338407</v>
      </c>
      <c r="AT301" s="30">
        <f ca="1">IFERROR(__xludf.DUMMYFUNCTION("""COMPUTED_VALUE"""),36100)</f>
        <v>36100</v>
      </c>
      <c r="AU301" s="27">
        <f ca="1">IFERROR(__xludf.DUMMYFUNCTION("""COMPUTED_VALUE"""),24)</f>
        <v>24</v>
      </c>
      <c r="AV301" s="27">
        <f ca="1">IFERROR(__xludf.DUMMYFUNCTION("""COMPUTED_VALUE"""),70547077459)</f>
        <v>70547077459</v>
      </c>
      <c r="AW301" s="27">
        <f ca="1">IFERROR(__xludf.DUMMYFUNCTION("""COMPUTED_VALUE"""),9741090)</f>
        <v>9741090</v>
      </c>
      <c r="AX301" s="27"/>
      <c r="AY301" s="27"/>
      <c r="AZ301" s="27" t="str">
        <f ca="1">IFERROR(__xludf.DUMMYFUNCTION("""COMPUTED_VALUE"""),"G")</f>
        <v>G</v>
      </c>
      <c r="BA301" s="27" t="str">
        <f ca="1">IFERROR(__xludf.DUMMYFUNCTION("""COMPUTED_VALUE"""),"Preta")</f>
        <v>Preta</v>
      </c>
      <c r="BB301" s="27"/>
      <c r="BC301" s="27"/>
      <c r="BD301" s="27"/>
      <c r="BE301" s="27" t="str">
        <f ca="1">IFERROR(__xludf.DUMMYFUNCTION("""COMPUTED_VALUE"""),"Feminino")</f>
        <v>Feminino</v>
      </c>
      <c r="BF301" s="27" t="str">
        <f ca="1">IFERROR(__xludf.DUMMYFUNCTION("""COMPUTED_VALUE"""),"Heterossexual")</f>
        <v>Heterossexual</v>
      </c>
      <c r="BG301" s="27"/>
      <c r="BH301" s="27" t="str">
        <f ca="1">IFERROR(__xludf.DUMMYFUNCTION("""COMPUTED_VALUE"""),"Público")</f>
        <v>Público</v>
      </c>
      <c r="BI301" s="27"/>
      <c r="BJ301" s="27"/>
      <c r="BK301" s="27" t="str">
        <f ca="1">IFERROR(__xludf.DUMMYFUNCTION("""COMPUTED_VALUE"""),"Rua Leandro Barreto")</f>
        <v>Rua Leandro Barreto</v>
      </c>
      <c r="BL301" s="27">
        <f ca="1">IFERROR(__xludf.DUMMYFUNCTION("""COMPUTED_VALUE"""),355)</f>
        <v>355</v>
      </c>
      <c r="BM301" s="27"/>
      <c r="BN301" s="27"/>
      <c r="BO301" s="27">
        <f ca="1">IFERROR(__xludf.DUMMYFUNCTION("""COMPUTED_VALUE"""),50790901)</f>
        <v>50790901</v>
      </c>
      <c r="BP301" s="27" t="str">
        <f ca="1">IFERROR(__xludf.DUMMYFUNCTION("""COMPUTED_VALUE"""),"PE")</f>
        <v>PE</v>
      </c>
      <c r="BQ301" s="27" t="str">
        <f ca="1">IFERROR(__xludf.DUMMYFUNCTION("""COMPUTED_VALUE"""),"Entre 1 até 3 salários mínimos")</f>
        <v>Entre 1 até 3 salários mínimos</v>
      </c>
      <c r="BR301" s="27" t="str">
        <f ca="1">IFERROR(__xludf.DUMMYFUNCTION("""COMPUTED_VALUE"""),"Funcionário Público")</f>
        <v>Funcionário Público</v>
      </c>
      <c r="BS301" s="27" t="str">
        <f ca="1">IFERROR(__xludf.DUMMYFUNCTION("""COMPUTED_VALUE"""),"Casa própria")</f>
        <v>Casa própria</v>
      </c>
      <c r="BT301" s="27">
        <f ca="1">IFERROR(__xludf.DUMMYFUNCTION("""COMPUTED_VALUE"""),4)</f>
        <v>4</v>
      </c>
      <c r="BU301" s="27" t="str">
        <f ca="1">IFERROR(__xludf.DUMMYFUNCTION("""COMPUTED_VALUE"""),"Não tem")</f>
        <v>Não tem</v>
      </c>
      <c r="BV301" s="27" t="str">
        <f ca="1">IFERROR(__xludf.DUMMYFUNCTION("""COMPUTED_VALUE"""),"Não")</f>
        <v>Não</v>
      </c>
      <c r="BW301" s="21" t="str">
        <f ca="1">IFERROR(__xludf.DUMMYFUNCTION("""COMPUTED_VALUE"""),"https://www.linkedin.com/in/allana-tamires-canuto-428397197")</f>
        <v>https://www.linkedin.com/in/allana-tamires-canuto-428397197</v>
      </c>
      <c r="BX301" s="21" t="str">
        <f ca="1">IFERROR(__xludf.DUMMYFUNCTION("""COMPUTED_VALUE"""),"https://instagram.com/allana.tamires11?utm_medium=copy_link")</f>
        <v>https://instagram.com/allana.tamires11?utm_medium=copy_link</v>
      </c>
      <c r="BY301" s="27"/>
    </row>
    <row r="302" spans="1:77" ht="12.5" hidden="1" x14ac:dyDescent="0.25">
      <c r="A302" s="21" t="str">
        <f ca="1">IFERROR(__xludf.DUMMYFUNCTION("""COMPUTED_VALUE"""),"0014P00003SGWPpQAP")</f>
        <v>0014P00003SGWPpQAP</v>
      </c>
      <c r="B302" s="27" t="str">
        <f ca="1">IFERROR(__xludf.DUMMYFUNCTION("""COMPUTED_VALUE"""),"Fase Inicial")</f>
        <v>Fase Inicial</v>
      </c>
      <c r="C302" s="27" t="str">
        <f ca="1">IFERROR(__xludf.DUMMYFUNCTION("""COMPUTED_VALUE"""),"Acelerada")</f>
        <v>Acelerada</v>
      </c>
      <c r="D302" s="27" t="str">
        <f ca="1">IFERROR(__xludf.DUMMYFUNCTION("""COMPUTED_VALUE"""),"Ativo")</f>
        <v>Ativo</v>
      </c>
      <c r="E302" s="27" t="str">
        <f ca="1">IFERROR(__xludf.DUMMYFUNCTION("""COMPUTED_VALUE"""),"INSTITUTO AMARGEN")</f>
        <v>INSTITUTO AMARGEN</v>
      </c>
      <c r="F302" s="27" t="str">
        <f ca="1">IFERROR(__xludf.DUMMYFUNCTION("""COMPUTED_VALUE"""),"Livia")</f>
        <v>Livia</v>
      </c>
      <c r="G302" s="27" t="str">
        <f ca="1">IFERROR(__xludf.DUMMYFUNCTION("""COMPUTED_VALUE"""),"Instituto Amargen")</f>
        <v>Instituto Amargen</v>
      </c>
      <c r="H302" s="27" t="str">
        <f ca="1">IFERROR(__xludf.DUMMYFUNCTION("""COMPUTED_VALUE"""),"41.159.241/0001-65")</f>
        <v>41.159.241/0001-65</v>
      </c>
      <c r="I302" s="27" t="str">
        <f ca="1">IFERROR(__xludf.DUMMYFUNCTION("""COMPUTED_VALUE"""),"Livia Silveira Sant'Anna")</f>
        <v>Livia Silveira Sant'Anna</v>
      </c>
      <c r="J302" s="27" t="str">
        <f ca="1">IFERROR(__xludf.DUMMYFUNCTION("""COMPUTED_VALUE"""),"instituto.amargen@gmail.com")</f>
        <v>instituto.amargen@gmail.com</v>
      </c>
      <c r="K302" s="27" t="str">
        <f ca="1">IFERROR(__xludf.DUMMYFUNCTION("""COMPUTED_VALUE"""),"(32)9154-9234")</f>
        <v>(32)9154-9234</v>
      </c>
      <c r="L302" s="27" t="str">
        <f ca="1">IFERROR(__xludf.DUMMYFUNCTION("""COMPUTED_VALUE"""),"MG")</f>
        <v>MG</v>
      </c>
      <c r="M302" s="27" t="str">
        <f ca="1">IFERROR(__xludf.DUMMYFUNCTION("""COMPUTED_VALUE"""),"rua professor inacio werneck")</f>
        <v>rua professor inacio werneck</v>
      </c>
      <c r="N302" s="27" t="str">
        <f ca="1">IFERROR(__xludf.DUMMYFUNCTION("""COMPUTED_VALUE"""),"Dom Bosco")</f>
        <v>Dom Bosco</v>
      </c>
      <c r="O302" s="27" t="str">
        <f ca="1">IFERROR(__xludf.DUMMYFUNCTION("""COMPUTED_VALUE"""),"(32)99130-0969")</f>
        <v>(32)99130-0969</v>
      </c>
      <c r="P302" s="27" t="str">
        <f ca="1">IFERROR(__xludf.DUMMYFUNCTION("""COMPUTED_VALUE"""),"Juiz de Fora")</f>
        <v>Juiz de Fora</v>
      </c>
      <c r="Q302" s="27"/>
      <c r="R302" s="27" t="str">
        <f ca="1">IFERROR(__xludf.DUMMYFUNCTION("""COMPUTED_VALUE"""),"36025-360")</f>
        <v>36025-360</v>
      </c>
      <c r="S302" s="27"/>
      <c r="T302" s="27" t="str">
        <f ca="1">IFERROR(__xludf.DUMMYFUNCTION("""COMPUTED_VALUE"""),"Esporte; Educação; Assistência Social; Cultura; Empreendedorismo; Meio ambiente; Empoderamento Feminino; Negócios Sociais; Defesa de Direitos; Desenvolvimento comunitário")</f>
        <v>Esporte; Educação; Assistência Social; Cultura; Empreendedorismo; Meio ambiente; Empoderamento Feminino; Negócios Sociais; Defesa de Direitos; Desenvolvimento comunitário</v>
      </c>
      <c r="U302" s="27" t="str">
        <f ca="1">IFERROR(__xludf.DUMMYFUNCTION("""COMPUTED_VALUE"""),"Crianças (6 a 12 anos); Adolescentes (12 aos 18 anos)")</f>
        <v>Crianças (6 a 12 anos); Adolescentes (12 aos 18 anos)</v>
      </c>
      <c r="V302" s="27" t="str">
        <f ca="1">IFERROR(__xludf.DUMMYFUNCTION("""COMPUTED_VALUE"""),"Moradores de Favelas; Afrodescendentes")</f>
        <v>Moradores de Favelas; Afrodescendentes</v>
      </c>
      <c r="W302" s="27">
        <f ca="1">IFERROR(__xludf.DUMMYFUNCTION("""COMPUTED_VALUE"""),5)</f>
        <v>5</v>
      </c>
      <c r="X302" s="27"/>
      <c r="Y302" s="27">
        <f ca="1">IFERROR(__xludf.DUMMYFUNCTION("""COMPUTED_VALUE"""),80)</f>
        <v>80</v>
      </c>
      <c r="Z302" s="27">
        <f ca="1">IFERROR(__xludf.DUMMYFUNCTION("""COMPUTED_VALUE"""),5120)</f>
        <v>5120</v>
      </c>
      <c r="AA302" s="29">
        <f ca="1">IFERROR(__xludf.DUMMYFUNCTION("""COMPUTED_VALUE"""),44243)</f>
        <v>44243</v>
      </c>
      <c r="AB302" s="27" t="str">
        <f ca="1">IFERROR(__xludf.DUMMYFUNCTION("""COMPUTED_VALUE"""),"Sim")</f>
        <v>Sim</v>
      </c>
      <c r="AC302" s="27">
        <f ca="1">IFERROR(__xludf.DUMMYFUNCTION("""COMPUTED_VALUE"""),1)</f>
        <v>1</v>
      </c>
      <c r="AD302" s="27">
        <f ca="1">IFERROR(__xludf.DUMMYFUNCTION("""COMPUTED_VALUE"""),0)</f>
        <v>0</v>
      </c>
      <c r="AE302" s="27">
        <f ca="1">IFERROR(__xludf.DUMMYFUNCTION("""COMPUTED_VALUE"""),40)</f>
        <v>40</v>
      </c>
      <c r="AF302" s="27">
        <f ca="1">IFERROR(__xludf.DUMMYFUNCTION("""COMPUTED_VALUE"""),22)</f>
        <v>22</v>
      </c>
      <c r="AG302" s="27">
        <f ca="1">IFERROR(__xludf.DUMMYFUNCTION("""COMPUTED_VALUE"""),5)</f>
        <v>5</v>
      </c>
      <c r="AH302" s="27" t="str">
        <f ca="1">IFERROR(__xludf.DUMMYFUNCTION("""COMPUTED_VALUE"""),"Negócio Social; Eventos/Ações para captação; Plataforma doação online - Pessoa Física; Parceria iniciativa privada; Doações")</f>
        <v>Negócio Social; Eventos/Ações para captação; Plataforma doação online - Pessoa Física; Parceria iniciativa privada; Doações</v>
      </c>
      <c r="AI302" s="27" t="str">
        <f ca="1">IFERROR(__xludf.DUMMYFUNCTION("""COMPUTED_VALUE"""),"70% doaçoes e campanhas 30% vendas produto")</f>
        <v>70% doaçoes e campanhas 30% vendas produto</v>
      </c>
      <c r="AJ302" s="27" t="str">
        <f ca="1">IFERROR(__xludf.DUMMYFUNCTION("""COMPUTED_VALUE"""),"Não")</f>
        <v>Não</v>
      </c>
      <c r="AK302" s="27" t="str">
        <f ca="1">IFERROR(__xludf.DUMMYFUNCTION("""COMPUTED_VALUE"""),"Não")</f>
        <v>Não</v>
      </c>
      <c r="AL302" s="21" t="str">
        <f ca="1">IFERROR(__xludf.DUMMYFUNCTION("""COMPUTED_VALUE"""),"0034P000043fOnu")</f>
        <v>0034P000043fOnu</v>
      </c>
      <c r="AM302" s="27" t="str">
        <f ca="1">IFERROR(__xludf.DUMMYFUNCTION("""COMPUTED_VALUE"""),"Silveira Sant'Anna")</f>
        <v>Silveira Sant'Anna</v>
      </c>
      <c r="AN302" s="27" t="str">
        <f ca="1">IFERROR(__xludf.DUMMYFUNCTION("""COMPUTED_VALUE"""),"Ativo")</f>
        <v>Ativo</v>
      </c>
      <c r="AO302" s="29">
        <f ca="1">IFERROR(__xludf.DUMMYFUNCTION("""COMPUTED_VALUE"""),44432)</f>
        <v>44432</v>
      </c>
      <c r="AP302" s="27">
        <f ca="1">IFERROR(__xludf.DUMMYFUNCTION("""COMPUTED_VALUE"""),13)</f>
        <v>13</v>
      </c>
      <c r="AQ302" s="27" t="str">
        <f ca="1">IFERROR(__xludf.DUMMYFUNCTION("""COMPUTED_VALUE"""),"Primeiro Semestre 2021")</f>
        <v>Primeiro Semestre 2021</v>
      </c>
      <c r="AR302" s="27" t="str">
        <f ca="1">IFERROR(__xludf.DUMMYFUNCTION("""COMPUTED_VALUE"""),"liviasilveirasantanna@gmail.com")</f>
        <v>liviasilveirasantanna@gmail.com</v>
      </c>
      <c r="AS302" s="27" t="str">
        <f ca="1">IFERROR(__xludf.DUMMYFUNCTION("""COMPUTED_VALUE"""),"(32)99130-0969")</f>
        <v>(32)99130-0969</v>
      </c>
      <c r="AT302" s="29">
        <f ca="1">IFERROR(__xludf.DUMMYFUNCTION("""COMPUTED_VALUE"""),35217)</f>
        <v>35217</v>
      </c>
      <c r="AU302" s="27">
        <f ca="1">IFERROR(__xludf.DUMMYFUNCTION("""COMPUTED_VALUE"""),26)</f>
        <v>26</v>
      </c>
      <c r="AV302" s="27">
        <f ca="1">IFERROR(__xludf.DUMMYFUNCTION("""COMPUTED_VALUE"""),12884455639)</f>
        <v>12884455639</v>
      </c>
      <c r="AW302" s="27">
        <f ca="1">IFERROR(__xludf.DUMMYFUNCTION("""COMPUTED_VALUE"""),18694251)</f>
        <v>18694251</v>
      </c>
      <c r="AX302" s="27" t="str">
        <f ca="1">IFERROR(__xludf.DUMMYFUNCTION("""COMPUTED_VALUE"""),"Direito")</f>
        <v>Direito</v>
      </c>
      <c r="AY302" s="27"/>
      <c r="AZ302" s="27" t="str">
        <f ca="1">IFERROR(__xludf.DUMMYFUNCTION("""COMPUTED_VALUE"""),"P")</f>
        <v>P</v>
      </c>
      <c r="BA302" s="27" t="str">
        <f ca="1">IFERROR(__xludf.DUMMYFUNCTION("""COMPUTED_VALUE"""),"Parda")</f>
        <v>Parda</v>
      </c>
      <c r="BB302" s="27"/>
      <c r="BC302" s="27" t="str">
        <f ca="1">IFERROR(__xludf.DUMMYFUNCTION("""COMPUTED_VALUE"""),"Sim")</f>
        <v>Sim</v>
      </c>
      <c r="BD302" s="27" t="str">
        <f ca="1">IFERROR(__xludf.DUMMYFUNCTION("""COMPUTED_VALUE"""),"Fundadora e CEO do Instituto Amargen, filha da Rose e do Sérgio, irmã do Arthur, namorada do Leo e mãe da Jade (filha de quatro patas). Formada academicamente em direito e formada pela vida como empreendedora social. Vivo e trabalho diariamente investindo"&amp;" minha vida, meu amor e todo meu conhecimento em pessoas por acreditar em um mundo transformado socialmente, de forma mais digna, mais humana, mais justa e mais feliz.")</f>
        <v>Fundadora e CEO do Instituto Amargen, filha da Rose e do Sérgio, irmã do Arthur, namorada do Leo e mãe da Jade (filha de quatro patas). Formada academicamente em direito e formada pela vida como empreendedora social. Vivo e trabalho diariamente investindo minha vida, meu amor e todo meu conhecimento em pessoas por acreditar em um mundo transformado socialmente, de forma mais digna, mais humana, mais justa e mais feliz.</v>
      </c>
      <c r="BE302" s="27" t="str">
        <f ca="1">IFERROR(__xludf.DUMMYFUNCTION("""COMPUTED_VALUE"""),"Masculino")</f>
        <v>Masculino</v>
      </c>
      <c r="BF302" s="27" t="str">
        <f ca="1">IFERROR(__xludf.DUMMYFUNCTION("""COMPUTED_VALUE"""),"Heterossexual")</f>
        <v>Heterossexual</v>
      </c>
      <c r="BG302" s="27" t="str">
        <f ca="1">IFERROR(__xludf.DUMMYFUNCTION("""COMPUTED_VALUE"""),"Ensino Superior - Completo")</f>
        <v>Ensino Superior - Completo</v>
      </c>
      <c r="BH302" s="27"/>
      <c r="BI302" s="27" t="str">
        <f ca="1">IFERROR(__xludf.DUMMYFUNCTION("""COMPUTED_VALUE"""),"Graduação")</f>
        <v>Graduação</v>
      </c>
      <c r="BJ302" s="27" t="str">
        <f ca="1">IFERROR(__xludf.DUMMYFUNCTION("""COMPUTED_VALUE"""),"Privado")</f>
        <v>Privado</v>
      </c>
      <c r="BK302" s="27" t="str">
        <f ca="1">IFERROR(__xludf.DUMMYFUNCTION("""COMPUTED_VALUE"""),"rua augustinho guerra pontes")</f>
        <v>rua augustinho guerra pontes</v>
      </c>
      <c r="BL302" s="27">
        <f ca="1">IFERROR(__xludf.DUMMYFUNCTION("""COMPUTED_VALUE"""),34)</f>
        <v>34</v>
      </c>
      <c r="BM302" s="27" t="str">
        <f ca="1">IFERROR(__xludf.DUMMYFUNCTION("""COMPUTED_VALUE"""),"casa 2")</f>
        <v>casa 2</v>
      </c>
      <c r="BN302" s="27" t="str">
        <f ca="1">IFERROR(__xludf.DUMMYFUNCTION("""COMPUTED_VALUE"""),"Juiz de Fora")</f>
        <v>Juiz de Fora</v>
      </c>
      <c r="BO302" s="27" t="str">
        <f ca="1">IFERROR(__xludf.DUMMYFUNCTION("""COMPUTED_VALUE"""),"36032-480")</f>
        <v>36032-480</v>
      </c>
      <c r="BP302" s="27" t="str">
        <f ca="1">IFERROR(__xludf.DUMMYFUNCTION("""COMPUTED_VALUE"""),"MG")</f>
        <v>MG</v>
      </c>
      <c r="BQ302" s="27" t="str">
        <f ca="1">IFERROR(__xludf.DUMMYFUNCTION("""COMPUTED_VALUE"""),"Entre 1 até 3 salários mínimos")</f>
        <v>Entre 1 até 3 salários mínimos</v>
      </c>
      <c r="BR302" s="27" t="str">
        <f ca="1">IFERROR(__xludf.DUMMYFUNCTION("""COMPUTED_VALUE"""),"Funcionário Público")</f>
        <v>Funcionário Público</v>
      </c>
      <c r="BS302" s="27" t="str">
        <f ca="1">IFERROR(__xludf.DUMMYFUNCTION("""COMPUTED_VALUE"""),"Casa cedida")</f>
        <v>Casa cedida</v>
      </c>
      <c r="BT302" s="27">
        <f ca="1">IFERROR(__xludf.DUMMYFUNCTION("""COMPUTED_VALUE"""),3)</f>
        <v>3</v>
      </c>
      <c r="BU302" s="27"/>
      <c r="BV302" s="27"/>
      <c r="BW302" s="21" t="str">
        <f ca="1">IFERROR(__xludf.DUMMYFUNCTION("""COMPUTED_VALUE"""),"https://www.instagram.com/liviasilveiraa/?hl=pt-br")</f>
        <v>https://www.instagram.com/liviasilveiraa/?hl=pt-br</v>
      </c>
      <c r="BX302" s="21" t="str">
        <f ca="1">IFERROR(__xludf.DUMMYFUNCTION("""COMPUTED_VALUE"""),"https://www.instagram.com/liviasilveiraa/")</f>
        <v>https://www.instagram.com/liviasilveiraa/</v>
      </c>
      <c r="BY302" s="21" t="str">
        <f ca="1">IFERROR(__xludf.DUMMYFUNCTION("""COMPUTED_VALUE"""),"https://drive.google.com/open?id=1kHOJza-pShgYhPJVrQCFpf0zSdCllfSP")</f>
        <v>https://drive.google.com/open?id=1kHOJza-pShgYhPJVrQCFpf0zSdCllfSP</v>
      </c>
    </row>
    <row r="303" spans="1:77" ht="12.5" x14ac:dyDescent="0.25">
      <c r="A303" s="21" t="str">
        <f ca="1">IFERROR(__xludf.DUMMYFUNCTION("""COMPUTED_VALUE"""),"0014P00003YSp8OQAT")</f>
        <v>0014P00003YSp8OQAT</v>
      </c>
      <c r="B303" s="27" t="str">
        <f ca="1">IFERROR(__xludf.DUMMYFUNCTION("""COMPUTED_VALUE"""),"Fase Inicial")</f>
        <v>Fase Inicial</v>
      </c>
      <c r="C303" s="27" t="str">
        <f ca="1">IFERROR(__xludf.DUMMYFUNCTION("""COMPUTED_VALUE"""),"Fellow")</f>
        <v>Fellow</v>
      </c>
      <c r="D303" s="27" t="str">
        <f ca="1">IFERROR(__xludf.DUMMYFUNCTION("""COMPUTED_VALUE"""),"Ativo")</f>
        <v>Ativo</v>
      </c>
      <c r="E303" s="27" t="str">
        <f ca="1">IFERROR(__xludf.DUMMYFUNCTION("""COMPUTED_VALUE"""),"Instituto Ame Mais")</f>
        <v>Instituto Ame Mais</v>
      </c>
      <c r="F303" s="27" t="str">
        <f ca="1">IFERROR(__xludf.DUMMYFUNCTION("""COMPUTED_VALUE"""),"Dalilla")</f>
        <v>Dalilla</v>
      </c>
      <c r="G303" s="27"/>
      <c r="H303" s="27" t="str">
        <f ca="1">IFERROR(__xludf.DUMMYFUNCTION("""COMPUTED_VALUE"""),"37.128.663/0001-04")</f>
        <v>37.128.663/0001-04</v>
      </c>
      <c r="I303" s="27" t="str">
        <f ca="1">IFERROR(__xludf.DUMMYFUNCTION("""COMPUTED_VALUE"""),"Dalilla dos Santos Pereira")</f>
        <v>Dalilla dos Santos Pereira</v>
      </c>
      <c r="J303" s="27" t="str">
        <f ca="1">IFERROR(__xludf.DUMMYFUNCTION("""COMPUTED_VALUE"""),"psamemais@gmail.com")</f>
        <v>psamemais@gmail.com</v>
      </c>
      <c r="K303" s="27" t="str">
        <f ca="1">IFERROR(__xludf.DUMMYFUNCTION("""COMPUTED_VALUE"""),"(27)99999-3945")</f>
        <v>(27)99999-3945</v>
      </c>
      <c r="L303" s="27" t="str">
        <f ca="1">IFERROR(__xludf.DUMMYFUNCTION("""COMPUTED_VALUE"""),"ES")</f>
        <v>ES</v>
      </c>
      <c r="M303" s="27" t="str">
        <f ca="1">IFERROR(__xludf.DUMMYFUNCTION("""COMPUTED_VALUE"""),"Benedito Muniz")</f>
        <v>Benedito Muniz</v>
      </c>
      <c r="N303" s="27" t="str">
        <f ca="1">IFERROR(__xludf.DUMMYFUNCTION("""COMPUTED_VALUE"""),"Santa Martha/ Mangue Seco")</f>
        <v>Santa Martha/ Mangue Seco</v>
      </c>
      <c r="O303" s="27">
        <f ca="1">IFERROR(__xludf.DUMMYFUNCTION("""COMPUTED_VALUE"""),439)</f>
        <v>439</v>
      </c>
      <c r="P303" s="27" t="str">
        <f ca="1">IFERROR(__xludf.DUMMYFUNCTION("""COMPUTED_VALUE"""),"Vitória")</f>
        <v>Vitória</v>
      </c>
      <c r="Q303" s="27" t="str">
        <f ca="1">IFERROR(__xludf.DUMMYFUNCTION("""COMPUTED_VALUE"""),"Casa")</f>
        <v>Casa</v>
      </c>
      <c r="R303" s="27" t="str">
        <f ca="1">IFERROR(__xludf.DUMMYFUNCTION("""COMPUTED_VALUE"""),"29046-670")</f>
        <v>29046-670</v>
      </c>
      <c r="S303" s="27"/>
      <c r="T303" s="27" t="str">
        <f ca="1">IFERROR(__xludf.DUMMYFUNCTION("""COMPUTED_VALUE"""),"Esporte; Educação; Apoio à gestão de organizações de Terceiro Setor; Desenvolvimento comunitário")</f>
        <v>Esporte; Educação; Apoio à gestão de organizações de Terceiro Setor; Desenvolvimento comunitário</v>
      </c>
      <c r="U303" s="27" t="str">
        <f ca="1">IFERROR(__xludf.DUMMYFUNCTION("""COMPUTED_VALUE"""),"Crianças (6 a 12 anos)")</f>
        <v>Crianças (6 a 12 anos)</v>
      </c>
      <c r="V303" s="27" t="str">
        <f ca="1">IFERROR(__xludf.DUMMYFUNCTION("""COMPUTED_VALUE"""),"Moradores de Favelas; Pessoas em situação de rua")</f>
        <v>Moradores de Favelas; Pessoas em situação de rua</v>
      </c>
      <c r="W303" s="27">
        <f ca="1">IFERROR(__xludf.DUMMYFUNCTION("""COMPUTED_VALUE"""),5)</f>
        <v>5</v>
      </c>
      <c r="X303" s="27" t="str">
        <f ca="1">IFERROR(__xludf.DUMMYFUNCTION("""COMPUTED_VALUE"""),"Algumas outros comunidades ao lado mas mais com assistencialismo")</f>
        <v>Algumas outros comunidades ao lado mas mais com assistencialismo</v>
      </c>
      <c r="Y303" s="27"/>
      <c r="Z303" s="27">
        <f ca="1">IFERROR(__xludf.DUMMYFUNCTION("""COMPUTED_VALUE"""),300)</f>
        <v>300</v>
      </c>
      <c r="AA303" s="29">
        <f ca="1">IFERROR(__xludf.DUMMYFUNCTION("""COMPUTED_VALUE"""),43949)</f>
        <v>43949</v>
      </c>
      <c r="AB303" s="27" t="str">
        <f ca="1">IFERROR(__xludf.DUMMYFUNCTION("""COMPUTED_VALUE"""),"Sim")</f>
        <v>Sim</v>
      </c>
      <c r="AC303" s="27">
        <f ca="1">IFERROR(__xludf.DUMMYFUNCTION("""COMPUTED_VALUE"""),1)</f>
        <v>1</v>
      </c>
      <c r="AD303" s="27">
        <f ca="1">IFERROR(__xludf.DUMMYFUNCTION("""COMPUTED_VALUE"""),1)</f>
        <v>1</v>
      </c>
      <c r="AE303" s="27">
        <f ca="1">IFERROR(__xludf.DUMMYFUNCTION("""COMPUTED_VALUE"""),15)</f>
        <v>15</v>
      </c>
      <c r="AF303" s="27">
        <f ca="1">IFERROR(__xludf.DUMMYFUNCTION("""COMPUTED_VALUE"""),10)</f>
        <v>10</v>
      </c>
      <c r="AG303" s="27">
        <f ca="1">IFERROR(__xludf.DUMMYFUNCTION("""COMPUTED_VALUE"""),3)</f>
        <v>3</v>
      </c>
      <c r="AH303" s="27" t="str">
        <f ca="1">IFERROR(__xludf.DUMMYFUNCTION("""COMPUTED_VALUE"""),"Negócio Social; Eventos/Ações para captação; Parceria iniciativa privada; Outro(s); Doações")</f>
        <v>Negócio Social; Eventos/Ações para captação; Parceria iniciativa privada; Outro(s); Doações</v>
      </c>
      <c r="AI303" s="27" t="str">
        <f ca="1">IFERROR(__xludf.DUMMYFUNCTION("""COMPUTED_VALUE"""),"70% negócio social / 10% doações / 10% ações / 10% parceiros")</f>
        <v>70% negócio social / 10% doações / 10% ações / 10% parceiros</v>
      </c>
      <c r="AJ303" s="27"/>
      <c r="AK303" s="27"/>
      <c r="AL303" s="21" t="str">
        <f ca="1">IFERROR(__xludf.DUMMYFUNCTION("""COMPUTED_VALUE"""),"0034P000045kxiz")</f>
        <v>0034P000045kxiz</v>
      </c>
      <c r="AM303" s="27" t="str">
        <f ca="1">IFERROR(__xludf.DUMMYFUNCTION("""COMPUTED_VALUE"""),"Dos Santos Pereira")</f>
        <v>Dos Santos Pereira</v>
      </c>
      <c r="AN303" s="27" t="str">
        <f ca="1">IFERROR(__xludf.DUMMYFUNCTION("""COMPUTED_VALUE"""),"Ativo")</f>
        <v>Ativo</v>
      </c>
      <c r="AO303" s="29">
        <f ca="1">IFERROR(__xludf.DUMMYFUNCTION("""COMPUTED_VALUE"""),44551)</f>
        <v>44551</v>
      </c>
      <c r="AP303" s="27">
        <f ca="1">IFERROR(__xludf.DUMMYFUNCTION("""COMPUTED_VALUE"""),9)</f>
        <v>9</v>
      </c>
      <c r="AQ303" s="27" t="str">
        <f ca="1">IFERROR(__xludf.DUMMYFUNCTION("""COMPUTED_VALUE"""),"Segundo Semestre 2021")</f>
        <v>Segundo Semestre 2021</v>
      </c>
      <c r="AR303" s="27" t="str">
        <f ca="1">IFERROR(__xludf.DUMMYFUNCTION("""COMPUTED_VALUE"""),"psamemais@gmail.com")</f>
        <v>psamemais@gmail.com</v>
      </c>
      <c r="AS303" s="27" t="str">
        <f ca="1">IFERROR(__xludf.DUMMYFUNCTION("""COMPUTED_VALUE"""),"(27)99999-3945")</f>
        <v>(27)99999-3945</v>
      </c>
      <c r="AT303" s="29">
        <f ca="1">IFERROR(__xludf.DUMMYFUNCTION("""COMPUTED_VALUE"""),33015)</f>
        <v>33015</v>
      </c>
      <c r="AU303" s="27">
        <f ca="1">IFERROR(__xludf.DUMMYFUNCTION("""COMPUTED_VALUE"""),32)</f>
        <v>32</v>
      </c>
      <c r="AV303" s="27">
        <f ca="1">IFERROR(__xludf.DUMMYFUNCTION("""COMPUTED_VALUE"""),12043918745)</f>
        <v>12043918745</v>
      </c>
      <c r="AW303" s="27">
        <f ca="1">IFERROR(__xludf.DUMMYFUNCTION("""COMPUTED_VALUE"""),2279918)</f>
        <v>2279918</v>
      </c>
      <c r="AX303" s="27"/>
      <c r="AY303" s="27"/>
      <c r="AZ303" s="27" t="str">
        <f ca="1">IFERROR(__xludf.DUMMYFUNCTION("""COMPUTED_VALUE"""),"PP")</f>
        <v>PP</v>
      </c>
      <c r="BA303" s="27" t="str">
        <f ca="1">IFERROR(__xludf.DUMMYFUNCTION("""COMPUTED_VALUE"""),"Preta")</f>
        <v>Preta</v>
      </c>
      <c r="BB303" s="27" t="str">
        <f ca="1">IFERROR(__xludf.DUMMYFUNCTION("""COMPUTED_VALUE"""),"Mulher, cisgênero")</f>
        <v>Mulher, cisgênero</v>
      </c>
      <c r="BC303" s="27" t="str">
        <f ca="1">IFERROR(__xludf.DUMMYFUNCTION("""COMPUTED_VALUE"""),"Sim")</f>
        <v>Sim</v>
      </c>
      <c r="BD303" s="27" t="str">
        <f ca="1">IFERROR(__xludf.DUMMYFUNCTION("""COMPUTED_VALUE"""),"De projeto social de vela, nascida e criada na comunidade de Santa Martha, passou a juventude fora da comunidade para estudar, fazer cursos e aos 30 anos retornou para cuidar (principalmente) daqueles a sua volta: As crianças. De pais casados, casa estrut"&amp;"urada encontrei desafios por ser uma criança diferente, que fugia do padrão de filha. Hoje vejo a necessidade de fazer com que as crianças se sintam aceitas e que tenham boas referencias para seguir.")</f>
        <v>De projeto social de vela, nascida e criada na comunidade de Santa Martha, passou a juventude fora da comunidade para estudar, fazer cursos e aos 30 anos retornou para cuidar (principalmente) daqueles a sua volta: As crianças. De pais casados, casa estruturada encontrei desafios por ser uma criança diferente, que fugia do padrão de filha. Hoje vejo a necessidade de fazer com que as crianças se sintam aceitas e que tenham boas referencias para seguir.</v>
      </c>
      <c r="BE303" s="27"/>
      <c r="BF303" s="27" t="str">
        <f ca="1">IFERROR(__xludf.DUMMYFUNCTION("""COMPUTED_VALUE"""),"Heterossexual")</f>
        <v>Heterossexual</v>
      </c>
      <c r="BG303" s="27" t="str">
        <f ca="1">IFERROR(__xludf.DUMMYFUNCTION("""COMPUTED_VALUE"""),"Ensino Superior - Completo")</f>
        <v>Ensino Superior - Completo</v>
      </c>
      <c r="BH303" s="27" t="str">
        <f ca="1">IFERROR(__xludf.DUMMYFUNCTION("""COMPUTED_VALUE"""),"Público")</f>
        <v>Público</v>
      </c>
      <c r="BI303" s="27" t="str">
        <f ca="1">IFERROR(__xludf.DUMMYFUNCTION("""COMPUTED_VALUE"""),"Graduação")</f>
        <v>Graduação</v>
      </c>
      <c r="BJ303" s="27" t="str">
        <f ca="1">IFERROR(__xludf.DUMMYFUNCTION("""COMPUTED_VALUE"""),"Privado")</f>
        <v>Privado</v>
      </c>
      <c r="BK303" s="27" t="str">
        <f ca="1">IFERROR(__xludf.DUMMYFUNCTION("""COMPUTED_VALUE"""),"Laury Tavares")</f>
        <v>Laury Tavares</v>
      </c>
      <c r="BL303" s="27">
        <f ca="1">IFERROR(__xludf.DUMMYFUNCTION("""COMPUTED_VALUE"""),204)</f>
        <v>204</v>
      </c>
      <c r="BM303" s="27" t="str">
        <f ca="1">IFERROR(__xludf.DUMMYFUNCTION("""COMPUTED_VALUE"""),"Casa")</f>
        <v>Casa</v>
      </c>
      <c r="BN303" s="27" t="str">
        <f ca="1">IFERROR(__xludf.DUMMYFUNCTION("""COMPUTED_VALUE"""),"Vitoria")</f>
        <v>Vitoria</v>
      </c>
      <c r="BO303" s="27" t="str">
        <f ca="1">IFERROR(__xludf.DUMMYFUNCTION("""COMPUTED_VALUE"""),"29046-590")</f>
        <v>29046-590</v>
      </c>
      <c r="BP303" s="27" t="str">
        <f ca="1">IFERROR(__xludf.DUMMYFUNCTION("""COMPUTED_VALUE"""),"ES")</f>
        <v>ES</v>
      </c>
      <c r="BQ303" s="27" t="str">
        <f ca="1">IFERROR(__xludf.DUMMYFUNCTION("""COMPUTED_VALUE"""),"Entre 1 até 3 salários mínimos")</f>
        <v>Entre 1 até 3 salários mínimos</v>
      </c>
      <c r="BR303" s="27" t="str">
        <f ca="1">IFERROR(__xludf.DUMMYFUNCTION("""COMPUTED_VALUE"""),"CLT")</f>
        <v>CLT</v>
      </c>
      <c r="BS303" s="27" t="str">
        <f ca="1">IFERROR(__xludf.DUMMYFUNCTION("""COMPUTED_VALUE"""),"Aluguel")</f>
        <v>Aluguel</v>
      </c>
      <c r="BT303" s="27">
        <f ca="1">IFERROR(__xludf.DUMMYFUNCTION("""COMPUTED_VALUE"""),2)</f>
        <v>2</v>
      </c>
      <c r="BU303" s="27" t="str">
        <f ca="1">IFERROR(__xludf.DUMMYFUNCTION("""COMPUTED_VALUE"""),"Não tem")</f>
        <v>Não tem</v>
      </c>
      <c r="BV303" s="27"/>
      <c r="BW303" s="27"/>
      <c r="BX303" s="21" t="str">
        <f ca="1">IFERROR(__xludf.DUMMYFUNCTION("""COMPUTED_VALUE"""),"https://www.instagram.com/pereiradalilla/")</f>
        <v>https://www.instagram.com/pereiradalilla/</v>
      </c>
      <c r="BY303" s="21" t="str">
        <f ca="1">IFERROR(__xludf.DUMMYFUNCTION("""COMPUTED_VALUE"""),"https://drive.google.com/open?id=1MWcxDyY72LE5a0FAEkrRPESAhcbkJKea")</f>
        <v>https://drive.google.com/open?id=1MWcxDyY72LE5a0FAEkrRPESAhcbkJKea</v>
      </c>
    </row>
    <row r="304" spans="1:77" ht="12.5" x14ac:dyDescent="0.25">
      <c r="A304" s="21" t="str">
        <f ca="1">IFERROR(__xludf.DUMMYFUNCTION("""COMPUTED_VALUE"""),"0014X00002VKCt4QAH")</f>
        <v>0014X00002VKCt4QAH</v>
      </c>
      <c r="B304" s="27" t="str">
        <f ca="1">IFERROR(__xludf.DUMMYFUNCTION("""COMPUTED_VALUE"""),"Fase Inicial")</f>
        <v>Fase Inicial</v>
      </c>
      <c r="C304" s="27" t="str">
        <f ca="1">IFERROR(__xludf.DUMMYFUNCTION("""COMPUTED_VALUE"""),"Fellow")</f>
        <v>Fellow</v>
      </c>
      <c r="D304" s="27" t="str">
        <f ca="1">IFERROR(__xludf.DUMMYFUNCTION("""COMPUTED_VALUE"""),"Ativo")</f>
        <v>Ativo</v>
      </c>
      <c r="E304" s="27" t="str">
        <f ca="1">IFERROR(__xludf.DUMMYFUNCTION("""COMPUTED_VALUE"""),"Instituto Amparando")</f>
        <v>Instituto Amparando</v>
      </c>
      <c r="F304" s="27" t="str">
        <f ca="1">IFERROR(__xludf.DUMMYFUNCTION("""COMPUTED_VALUE"""),"Roberta")</f>
        <v>Roberta</v>
      </c>
      <c r="G304" s="27" t="str">
        <f ca="1">IFERROR(__xludf.DUMMYFUNCTION("""COMPUTED_VALUE"""),"INSTITUTO AMPARANDO")</f>
        <v>INSTITUTO AMPARANDO</v>
      </c>
      <c r="H304" s="27" t="str">
        <f ca="1">IFERROR(__xludf.DUMMYFUNCTION("""COMPUTED_VALUE"""),"22.415.812/0001-30")</f>
        <v>22.415.812/0001-30</v>
      </c>
      <c r="I304" s="27" t="str">
        <f ca="1">IFERROR(__xludf.DUMMYFUNCTION("""COMPUTED_VALUE"""),"Alexandre Santos Ditta")</f>
        <v>Alexandre Santos Ditta</v>
      </c>
      <c r="J304" s="27" t="str">
        <f ca="1">IFERROR(__xludf.DUMMYFUNCTION("""COMPUTED_VALUE"""),"administrativo@institutoamparando.org")</f>
        <v>administrativo@institutoamparando.org</v>
      </c>
      <c r="K304" s="27" t="str">
        <f ca="1">IFERROR(__xludf.DUMMYFUNCTION("""COMPUTED_VALUE"""),"(21)99071-9298")</f>
        <v>(21)99071-9298</v>
      </c>
      <c r="L304" s="27" t="str">
        <f ca="1">IFERROR(__xludf.DUMMYFUNCTION("""COMPUTED_VALUE"""),"RJ")</f>
        <v>RJ</v>
      </c>
      <c r="M304" s="27" t="str">
        <f ca="1">IFERROR(__xludf.DUMMYFUNCTION("""COMPUTED_VALUE"""),"Estrada do Cassiano")</f>
        <v>Estrada do Cassiano</v>
      </c>
      <c r="N304" s="27" t="str">
        <f ca="1">IFERROR(__xludf.DUMMYFUNCTION("""COMPUTED_VALUE"""),"Figueira II")</f>
        <v>Figueira II</v>
      </c>
      <c r="O304" s="27">
        <f ca="1">IFERROR(__xludf.DUMMYFUNCTION("""COMPUTED_VALUE"""),812)</f>
        <v>812</v>
      </c>
      <c r="P304" s="27" t="str">
        <f ca="1">IFERROR(__xludf.DUMMYFUNCTION("""COMPUTED_VALUE"""),"Nova Iguaçu")</f>
        <v>Nova Iguaçu</v>
      </c>
      <c r="Q304" s="27" t="str">
        <f ca="1">IFERROR(__xludf.DUMMYFUNCTION("""COMPUTED_VALUE"""),"Rua do Cajueiro casa 04")</f>
        <v>Rua do Cajueiro casa 04</v>
      </c>
      <c r="R304" s="27" t="str">
        <f ca="1">IFERROR(__xludf.DUMMYFUNCTION("""COMPUTED_VALUE"""),"26060-530")</f>
        <v>26060-530</v>
      </c>
      <c r="S304" s="27" t="str">
        <f ca="1">IFERROR(__xludf.DUMMYFUNCTION("""COMPUTED_VALUE"""),"Não")</f>
        <v>Não</v>
      </c>
      <c r="T304" s="27"/>
      <c r="U304"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304" s="27" t="str">
        <f ca="1">IFERROR(__xludf.DUMMYFUNCTION("""COMPUTED_VALUE"""),"Moradores de Favelas")</f>
        <v>Moradores de Favelas</v>
      </c>
      <c r="W304" s="27">
        <f ca="1">IFERROR(__xludf.DUMMYFUNCTION("""COMPUTED_VALUE"""),1)</f>
        <v>1</v>
      </c>
      <c r="X304" s="27"/>
      <c r="Y304" s="27"/>
      <c r="Z304" s="27">
        <f ca="1">IFERROR(__xludf.DUMMYFUNCTION("""COMPUTED_VALUE"""),179)</f>
        <v>179</v>
      </c>
      <c r="AA304" s="29">
        <f ca="1">IFERROR(__xludf.DUMMYFUNCTION("""COMPUTED_VALUE"""),42066)</f>
        <v>42066</v>
      </c>
      <c r="AB304" s="27" t="str">
        <f ca="1">IFERROR(__xludf.DUMMYFUNCTION("""COMPUTED_VALUE"""),"Sim")</f>
        <v>Sim</v>
      </c>
      <c r="AC304" s="27">
        <f ca="1">IFERROR(__xludf.DUMMYFUNCTION("""COMPUTED_VALUE"""),0)</f>
        <v>0</v>
      </c>
      <c r="AD304" s="27">
        <f ca="1">IFERROR(__xludf.DUMMYFUNCTION("""COMPUTED_VALUE"""),32)</f>
        <v>32</v>
      </c>
      <c r="AE304" s="27">
        <f ca="1">IFERROR(__xludf.DUMMYFUNCTION("""COMPUTED_VALUE"""),32)</f>
        <v>32</v>
      </c>
      <c r="AF304" s="27">
        <f ca="1">IFERROR(__xludf.DUMMYFUNCTION("""COMPUTED_VALUE"""),25)</f>
        <v>25</v>
      </c>
      <c r="AG304" s="27">
        <f ca="1">IFERROR(__xludf.DUMMYFUNCTION("""COMPUTED_VALUE"""),4)</f>
        <v>4</v>
      </c>
      <c r="AH304" s="27" t="str">
        <f ca="1">IFERROR(__xludf.DUMMYFUNCTION("""COMPUTED_VALUE"""),"Eventos/Ações para captação, Plataforma doação online - Pessoa Física, Parceria iniciativa privada, Doações")</f>
        <v>Eventos/Ações para captação, Plataforma doação online - Pessoa Física, Parceria iniciativa privada, Doações</v>
      </c>
      <c r="AI304" s="27" t="str">
        <f ca="1">IFERROR(__xludf.DUMMYFUNCTION("""COMPUTED_VALUE"""),"23.37% PHI; 76.63% (Doações, Apadrinhamento, Eventos e outros)")</f>
        <v>23.37% PHI; 76.63% (Doações, Apadrinhamento, Eventos e outros)</v>
      </c>
      <c r="AJ304" s="27" t="str">
        <f ca="1">IFERROR(__xludf.DUMMYFUNCTION("""COMPUTED_VALUE"""),"Não")</f>
        <v>Não</v>
      </c>
      <c r="AK304" s="27"/>
      <c r="AL304" s="21" t="str">
        <f ca="1">IFERROR(__xludf.DUMMYFUNCTION("""COMPUTED_VALUE"""),"0034X0000380O0y")</f>
        <v>0034X0000380O0y</v>
      </c>
      <c r="AM304" s="27" t="str">
        <f ca="1">IFERROR(__xludf.DUMMYFUNCTION("""COMPUTED_VALUE"""),"Da silva azevedo")</f>
        <v>Da silva azevedo</v>
      </c>
      <c r="AN304" s="27" t="str">
        <f ca="1">IFERROR(__xludf.DUMMYFUNCTION("""COMPUTED_VALUE"""),"Ativo")</f>
        <v>Ativo</v>
      </c>
      <c r="AO304" s="30">
        <f ca="1">IFERROR(__xludf.DUMMYFUNCTION("""COMPUTED_VALUE"""),44763)</f>
        <v>44763</v>
      </c>
      <c r="AP304" s="27">
        <f ca="1">IFERROR(__xludf.DUMMYFUNCTION("""COMPUTED_VALUE"""),2)</f>
        <v>2</v>
      </c>
      <c r="AQ304" s="27" t="str">
        <f ca="1">IFERROR(__xludf.DUMMYFUNCTION("""COMPUTED_VALUE"""),"Primeiro Semestre 2022")</f>
        <v>Primeiro Semestre 2022</v>
      </c>
      <c r="AR304" s="27" t="str">
        <f ca="1">IFERROR(__xludf.DUMMYFUNCTION("""COMPUTED_VALUE"""),"robertaazevedo@institutoamparando.org")</f>
        <v>robertaazevedo@institutoamparando.org</v>
      </c>
      <c r="AS304" s="27">
        <f ca="1">IFERROR(__xludf.DUMMYFUNCTION("""COMPUTED_VALUE"""),21994924661)</f>
        <v>21994924661</v>
      </c>
      <c r="AT304" s="29">
        <f ca="1">IFERROR(__xludf.DUMMYFUNCTION("""COMPUTED_VALUE"""),29949)</f>
        <v>29949</v>
      </c>
      <c r="AU304" s="27">
        <f ca="1">IFERROR(__xludf.DUMMYFUNCTION("""COMPUTED_VALUE"""),41)</f>
        <v>41</v>
      </c>
      <c r="AV304" s="27">
        <f ca="1">IFERROR(__xludf.DUMMYFUNCTION("""COMPUTED_VALUE"""),8892107720)</f>
        <v>8892107720</v>
      </c>
      <c r="AW304" s="27">
        <f ca="1">IFERROR(__xludf.DUMMYFUNCTION("""COMPUTED_VALUE"""),129623203)</f>
        <v>129623203</v>
      </c>
      <c r="AX304" s="27"/>
      <c r="AY304" s="27"/>
      <c r="AZ304" s="27" t="str">
        <f ca="1">IFERROR(__xludf.DUMMYFUNCTION("""COMPUTED_VALUE"""),"GG")</f>
        <v>GG</v>
      </c>
      <c r="BA304" s="27" t="str">
        <f ca="1">IFERROR(__xludf.DUMMYFUNCTION("""COMPUTED_VALUE"""),"Branca")</f>
        <v>Branca</v>
      </c>
      <c r="BB304" s="27"/>
      <c r="BC304" s="27"/>
      <c r="BD304" s="27" t="str">
        <f ca="1">IFERROR(__xludf.DUMMYFUNCTION("""COMPUTED_VALUE"""),"Fundadora do Instituto Amparando* formada em Serviço Social* com pós-graduação em Serviço Social e Trabalho com as Família e pós-graduação em Psicopedagogia. Sou esposa do Alexandre Ditta e mãe do Jerônimo Bento* que irá fazer 2 anos em fevereiro. Atualme"&amp;"nte* estou vice-presidente da instituição e gestora da instituição* além de responder pela parte técnica do Serviço Social. Sou consultora* mentora e palestrante pela R.A. Consulltoria* nas áreas do Terceiro Setor* Impacto Social* Voluntariado e Legalizaç"&amp;"ão. Minha história começou em 2014* em Jardim Gramacho* Duque de Caxias (RJ)* quando sensibilizada com a situação de risco social da população de catadores de lixo* decidi que era a hora de colocar a mão na massa e trabalhar em prol das famílias que vivem"&amp;" nos arredores do antigo Aterro Metropolitano de Jardim Gramacho. Em 2017* conheci a Comunidade Bico do Urubu* em Figueiras* Nova Iguaçu (RJ) e iniciei o trabalho junto àquela comunidade. Em 2021* no meio da pandemia* precisei tomar uma decisão estratégic"&amp;"a importante e decidi* juntamente com a minha equipe* encerrar as atividades em Jardim Gramacho* tendo em vista as dificuldades existentes na localidade* principalmente relacionadas à segurança. Desde então* tenho centralizado todos os esforços para fazer"&amp;" crescer o Instituto Amparando em Nova Iguaçu* onde* hoje* atendemos 30 famílias e 70 crianças* oferecendo educação complementar gratuita* atendimento social* psicológico* fonoaudiológico e jurídico.")</f>
        <v>Fundadora do Instituto Amparando* formada em Serviço Social* com pós-graduação em Serviço Social e Trabalho com as Família e pós-graduação em Psicopedagogia. Sou esposa do Alexandre Ditta e mãe do Jerônimo Bento* que irá fazer 2 anos em fevereiro. Atualmente* estou vice-presidente da instituição e gestora da instituição* além de responder pela parte técnica do Serviço Social. Sou consultora* mentora e palestrante pela R.A. Consulltoria* nas áreas do Terceiro Setor* Impacto Social* Voluntariado e Legalização. Minha história começou em 2014* em Jardim Gramacho* Duque de Caxias (RJ)* quando sensibilizada com a situação de risco social da população de catadores de lixo* decidi que era a hora de colocar a mão na massa e trabalhar em prol das famílias que vivem nos arredores do antigo Aterro Metropolitano de Jardim Gramacho. Em 2017* conheci a Comunidade Bico do Urubu* em Figueiras* Nova Iguaçu (RJ) e iniciei o trabalho junto àquela comunidade. Em 2021* no meio da pandemia* precisei tomar uma decisão estratégica importante e decidi* juntamente com a minha equipe* encerrar as atividades em Jardim Gramacho* tendo em vista as dificuldades existentes na localidade* principalmente relacionadas à segurança. Desde então* tenho centralizado todos os esforços para fazer crescer o Instituto Amparando em Nova Iguaçu* onde* hoje* atendemos 30 famílias e 70 crianças* oferecendo educação complementar gratuita* atendimento social* psicológico* fonoaudiológico e jurídico.</v>
      </c>
      <c r="BE304" s="27" t="str">
        <f ca="1">IFERROR(__xludf.DUMMYFUNCTION("""COMPUTED_VALUE"""),"Feminino")</f>
        <v>Feminino</v>
      </c>
      <c r="BF304" s="27" t="str">
        <f ca="1">IFERROR(__xludf.DUMMYFUNCTION("""COMPUTED_VALUE"""),"Heterossexual")</f>
        <v>Heterossexual</v>
      </c>
      <c r="BG304" s="27"/>
      <c r="BH304" s="27" t="str">
        <f ca="1">IFERROR(__xludf.DUMMYFUNCTION("""COMPUTED_VALUE"""),"Público")</f>
        <v>Público</v>
      </c>
      <c r="BI304" s="27" t="str">
        <f ca="1">IFERROR(__xludf.DUMMYFUNCTION("""COMPUTED_VALUE"""),"Pós-Graduação")</f>
        <v>Pós-Graduação</v>
      </c>
      <c r="BJ304" s="27" t="str">
        <f ca="1">IFERROR(__xludf.DUMMYFUNCTION("""COMPUTED_VALUE"""),"Privado")</f>
        <v>Privado</v>
      </c>
      <c r="BK304" s="27" t="str">
        <f ca="1">IFERROR(__xludf.DUMMYFUNCTION("""COMPUTED_VALUE"""),"Estrada do Cassiano")</f>
        <v>Estrada do Cassiano</v>
      </c>
      <c r="BL304" s="27">
        <f ca="1">IFERROR(__xludf.DUMMYFUNCTION("""COMPUTED_VALUE"""),812)</f>
        <v>812</v>
      </c>
      <c r="BM304" s="27"/>
      <c r="BN304" s="27"/>
      <c r="BO304" s="27">
        <f ca="1">IFERROR(__xludf.DUMMYFUNCTION("""COMPUTED_VALUE"""),26060530)</f>
        <v>26060530</v>
      </c>
      <c r="BP304" s="27" t="str">
        <f ca="1">IFERROR(__xludf.DUMMYFUNCTION("""COMPUTED_VALUE"""),"RJ")</f>
        <v>RJ</v>
      </c>
      <c r="BQ304" s="27" t="str">
        <f ca="1">IFERROR(__xludf.DUMMYFUNCTION("""COMPUTED_VALUE"""),"Entre 1 até 3 salários mínimos")</f>
        <v>Entre 1 até 3 salários mínimos</v>
      </c>
      <c r="BR304" s="27" t="str">
        <f ca="1">IFERROR(__xludf.DUMMYFUNCTION("""COMPUTED_VALUE"""),"Funcionário Público")</f>
        <v>Funcionário Público</v>
      </c>
      <c r="BS304" s="27" t="str">
        <f ca="1">IFERROR(__xludf.DUMMYFUNCTION("""COMPUTED_VALUE"""),"Aluguel")</f>
        <v>Aluguel</v>
      </c>
      <c r="BT304" s="27">
        <f ca="1">IFERROR(__xludf.DUMMYFUNCTION("""COMPUTED_VALUE"""),2)</f>
        <v>2</v>
      </c>
      <c r="BU304" s="27" t="str">
        <f ca="1">IFERROR(__xludf.DUMMYFUNCTION("""COMPUTED_VALUE"""),"Não tem")</f>
        <v>Não tem</v>
      </c>
      <c r="BV304" s="27" t="str">
        <f ca="1">IFERROR(__xludf.DUMMYFUNCTION("""COMPUTED_VALUE"""),"Não")</f>
        <v>Não</v>
      </c>
      <c r="BW304" s="27"/>
      <c r="BX304" s="21" t="str">
        <f ca="1">IFERROR(__xludf.DUMMYFUNCTION("""COMPUTED_VALUE"""),"https://www.instagram.com/robertaazevedo2020/")</f>
        <v>https://www.instagram.com/robertaazevedo2020/</v>
      </c>
      <c r="BY304" s="21" t="str">
        <f ca="1">IFERROR(__xludf.DUMMYFUNCTION("""COMPUTED_VALUE"""),"https://drive.google.com/open?id=114LbThhw49ODDTSx5kz04NEI_mAj5O6k")</f>
        <v>https://drive.google.com/open?id=114LbThhw49ODDTSx5kz04NEI_mAj5O6k</v>
      </c>
    </row>
    <row r="305" spans="1:77" ht="12.5" hidden="1" x14ac:dyDescent="0.25">
      <c r="A305" s="21" t="str">
        <f ca="1">IFERROR(__xludf.DUMMYFUNCTION("""COMPUTED_VALUE"""),"0014X00002VKCqfQAH")</f>
        <v>0014X00002VKCqfQAH</v>
      </c>
      <c r="B305" s="27" t="str">
        <f ca="1">IFERROR(__xludf.DUMMYFUNCTION("""COMPUTED_VALUE"""),"Fase Inicial")</f>
        <v>Fase Inicial</v>
      </c>
      <c r="C305" s="27" t="str">
        <f ca="1">IFERROR(__xludf.DUMMYFUNCTION("""COMPUTED_VALUE"""),"Fellow")</f>
        <v>Fellow</v>
      </c>
      <c r="D305" s="27" t="str">
        <f ca="1">IFERROR(__xludf.DUMMYFUNCTION("""COMPUTED_VALUE"""),"Ativo")</f>
        <v>Ativo</v>
      </c>
      <c r="E305" s="27" t="str">
        <f ca="1">IFERROR(__xludf.DUMMYFUNCTION("""COMPUTED_VALUE"""),"Instituto Antônio Coelho de Castro")</f>
        <v>Instituto Antônio Coelho de Castro</v>
      </c>
      <c r="F305" s="27" t="str">
        <f ca="1">IFERROR(__xludf.DUMMYFUNCTION("""COMPUTED_VALUE"""),"Denise")</f>
        <v>Denise</v>
      </c>
      <c r="G305" s="27" t="str">
        <f ca="1">IFERROR(__xludf.DUMMYFUNCTION("""COMPUTED_VALUE"""),"INSTITUTO GERAÇÃO FUTURO")</f>
        <v>INSTITUTO GERAÇÃO FUTURO</v>
      </c>
      <c r="H305" s="27" t="str">
        <f ca="1">IFERROR(__xludf.DUMMYFUNCTION("""COMPUTED_VALUE"""),"33.802.776/0001-84")</f>
        <v>33.802.776/0001-84</v>
      </c>
      <c r="I305" s="27" t="str">
        <f ca="1">IFERROR(__xludf.DUMMYFUNCTION("""COMPUTED_VALUE"""),"Denise Burjack da Silva de Sousa")</f>
        <v>Denise Burjack da Silva de Sousa</v>
      </c>
      <c r="J305" s="27" t="str">
        <f ca="1">IFERROR(__xludf.DUMMYFUNCTION("""COMPUTED_VALUE"""),"institutoantoniocoelhodecastro@gmail.com")</f>
        <v>institutoantoniocoelhodecastro@gmail.com</v>
      </c>
      <c r="K305" s="27" t="str">
        <f ca="1">IFERROR(__xludf.DUMMYFUNCTION("""COMPUTED_VALUE"""),"(63)98488-4657")</f>
        <v>(63)98488-4657</v>
      </c>
      <c r="L305" s="27" t="str">
        <f ca="1">IFERROR(__xludf.DUMMYFUNCTION("""COMPUTED_VALUE"""),"TO")</f>
        <v>TO</v>
      </c>
      <c r="M305" s="27" t="str">
        <f ca="1">IFERROR(__xludf.DUMMYFUNCTION("""COMPUTED_VALUE"""),"Alameda 43")</f>
        <v>Alameda 43</v>
      </c>
      <c r="N305" s="27" t="str">
        <f ca="1">IFERROR(__xludf.DUMMYFUNCTION("""COMPUTED_VALUE"""),"Plano diretor sul")</f>
        <v>Plano diretor sul</v>
      </c>
      <c r="O305" s="27" t="str">
        <f ca="1">IFERROR(__xludf.DUMMYFUNCTION("""COMPUTED_VALUE"""),"Qi 42  cr 01")</f>
        <v>Qi 42  cr 01</v>
      </c>
      <c r="P305" s="27" t="str">
        <f ca="1">IFERROR(__xludf.DUMMYFUNCTION("""COMPUTED_VALUE"""),"Palmas")</f>
        <v>Palmas</v>
      </c>
      <c r="Q305" s="27"/>
      <c r="R305" s="27" t="str">
        <f ca="1">IFERROR(__xludf.DUMMYFUNCTION("""COMPUTED_VALUE"""),"77024-504")</f>
        <v>77024-504</v>
      </c>
      <c r="S305" s="27" t="str">
        <f ca="1">IFERROR(__xludf.DUMMYFUNCTION("""COMPUTED_VALUE"""),"Não")</f>
        <v>Não</v>
      </c>
      <c r="T305" s="27"/>
      <c r="U305" s="27" t="str">
        <f ca="1">IFERROR(__xludf.DUMMYFUNCTION("""COMPUTED_VALUE"""),"Crianças (6 a 12 anos), Adultos")</f>
        <v>Crianças (6 a 12 anos), Adultos</v>
      </c>
      <c r="V305" s="27" t="str">
        <f ca="1">IFERROR(__xludf.DUMMYFUNCTION("""COMPUTED_VALUE"""),"Pessoas em situação de rua, Outros")</f>
        <v>Pessoas em situação de rua, Outros</v>
      </c>
      <c r="W305" s="27">
        <f ca="1">IFERROR(__xludf.DUMMYFUNCTION("""COMPUTED_VALUE"""),3)</f>
        <v>3</v>
      </c>
      <c r="X305" s="27"/>
      <c r="Y305" s="27"/>
      <c r="Z305" s="27">
        <f ca="1">IFERROR(__xludf.DUMMYFUNCTION("""COMPUTED_VALUE"""),0)</f>
        <v>0</v>
      </c>
      <c r="AA305" s="29">
        <f ca="1">IFERROR(__xludf.DUMMYFUNCTION("""COMPUTED_VALUE"""),43528)</f>
        <v>43528</v>
      </c>
      <c r="AB305" s="27" t="str">
        <f ca="1">IFERROR(__xludf.DUMMYFUNCTION("""COMPUTED_VALUE"""),"Sim")</f>
        <v>Sim</v>
      </c>
      <c r="AC305" s="27">
        <f ca="1">IFERROR(__xludf.DUMMYFUNCTION("""COMPUTED_VALUE"""),0)</f>
        <v>0</v>
      </c>
      <c r="AD305" s="27">
        <f ca="1">IFERROR(__xludf.DUMMYFUNCTION("""COMPUTED_VALUE"""),0)</f>
        <v>0</v>
      </c>
      <c r="AE305" s="27">
        <f ca="1">IFERROR(__xludf.DUMMYFUNCTION("""COMPUTED_VALUE"""),20)</f>
        <v>20</v>
      </c>
      <c r="AF305" s="27">
        <f ca="1">IFERROR(__xludf.DUMMYFUNCTION("""COMPUTED_VALUE"""),17)</f>
        <v>17</v>
      </c>
      <c r="AG305" s="27">
        <f ca="1">IFERROR(__xludf.DUMMYFUNCTION("""COMPUTED_VALUE"""),2)</f>
        <v>2</v>
      </c>
      <c r="AH305" s="27" t="str">
        <f ca="1">IFERROR(__xludf.DUMMYFUNCTION("""COMPUTED_VALUE"""),"Eventos/Ações para captação, Doações")</f>
        <v>Eventos/Ações para captação, Doações</v>
      </c>
      <c r="AI305" s="27">
        <f ca="1">IFERROR(__xludf.DUMMYFUNCTION("""COMPUTED_VALUE"""),0)</f>
        <v>0</v>
      </c>
      <c r="AJ305" s="27" t="str">
        <f ca="1">IFERROR(__xludf.DUMMYFUNCTION("""COMPUTED_VALUE"""),"Sim")</f>
        <v>Sim</v>
      </c>
      <c r="AK305" s="27"/>
      <c r="AL305" s="21" t="str">
        <f ca="1">IFERROR(__xludf.DUMMYFUNCTION("""COMPUTED_VALUE"""),"0034X0000380O3C")</f>
        <v>0034X0000380O3C</v>
      </c>
      <c r="AM305" s="27" t="str">
        <f ca="1">IFERROR(__xludf.DUMMYFUNCTION("""COMPUTED_VALUE"""),"Burjack da silva de sousa")</f>
        <v>Burjack da silva de sousa</v>
      </c>
      <c r="AN305" s="27" t="str">
        <f ca="1">IFERROR(__xludf.DUMMYFUNCTION("""COMPUTED_VALUE"""),"Ativo")</f>
        <v>Ativo</v>
      </c>
      <c r="AO305" s="29">
        <f ca="1">IFERROR(__xludf.DUMMYFUNCTION("""COMPUTED_VALUE"""),44763)</f>
        <v>44763</v>
      </c>
      <c r="AP305" s="27">
        <f ca="1">IFERROR(__xludf.DUMMYFUNCTION("""COMPUTED_VALUE"""),2)</f>
        <v>2</v>
      </c>
      <c r="AQ305" s="27" t="str">
        <f ca="1">IFERROR(__xludf.DUMMYFUNCTION("""COMPUTED_VALUE"""),"Primeiro Semestre 2022")</f>
        <v>Primeiro Semestre 2022</v>
      </c>
      <c r="AR305" s="27" t="str">
        <f ca="1">IFERROR(__xludf.DUMMYFUNCTION("""COMPUTED_VALUE"""),"deniseburjack7@gmail.com")</f>
        <v>deniseburjack7@gmail.com</v>
      </c>
      <c r="AS305" s="27">
        <f ca="1">IFERROR(__xludf.DUMMYFUNCTION("""COMPUTED_VALUE"""),63984884657)</f>
        <v>63984884657</v>
      </c>
      <c r="AT305" s="30">
        <f ca="1">IFERROR(__xludf.DUMMYFUNCTION("""COMPUTED_VALUE"""),30871)</f>
        <v>30871</v>
      </c>
      <c r="AU305" s="27">
        <f ca="1">IFERROR(__xludf.DUMMYFUNCTION("""COMPUTED_VALUE"""),38)</f>
        <v>38</v>
      </c>
      <c r="AV305" s="27">
        <f ca="1">IFERROR(__xludf.DUMMYFUNCTION("""COMPUTED_VALUE"""),855290102)</f>
        <v>855290102</v>
      </c>
      <c r="AW305" s="27">
        <f ca="1">IFERROR(__xludf.DUMMYFUNCTION("""COMPUTED_VALUE"""),354906)</f>
        <v>354906</v>
      </c>
      <c r="AX305" s="27"/>
      <c r="AY305" s="27"/>
      <c r="AZ305" s="27" t="str">
        <f ca="1">IFERROR(__xludf.DUMMYFUNCTION("""COMPUTED_VALUE"""),"G")</f>
        <v>G</v>
      </c>
      <c r="BA305" s="27" t="str">
        <f ca="1">IFERROR(__xludf.DUMMYFUNCTION("""COMPUTED_VALUE"""),"Preta")</f>
        <v>Preta</v>
      </c>
      <c r="BB305" s="27"/>
      <c r="BC305" s="27"/>
      <c r="BD305" s="27" t="str">
        <f ca="1">IFERROR(__xludf.DUMMYFUNCTION("""COMPUTED_VALUE"""),"Meu nome é Denise Burjack* tenho 37 anos de idade* sou casada há 20 anos com Martim Neto* deste casamento temos duas filhas chamadas Maria Eduarda (18 anos) e Maria Clara (13 anos)* atualmente sou estudante de Pedagogia e cristã a mais de 30 anos. Trabalh"&amp;"o com projeto social há 10 anos* cuidando de crianças da comunidade e acompanhando suas famílias* com o aumento das demandas foi criado o Instituto Antônio Coelho de Castro* o qual atualmente está sobre minha liderança.")</f>
        <v>Meu nome é Denise Burjack* tenho 37 anos de idade* sou casada há 20 anos com Martim Neto* deste casamento temos duas filhas chamadas Maria Eduarda (18 anos) e Maria Clara (13 anos)* atualmente sou estudante de Pedagogia e cristã a mais de 30 anos. Trabalho com projeto social há 10 anos* cuidando de crianças da comunidade e acompanhando suas famílias* com o aumento das demandas foi criado o Instituto Antônio Coelho de Castro* o qual atualmente está sobre minha liderança.</v>
      </c>
      <c r="BE305" s="27" t="str">
        <f ca="1">IFERROR(__xludf.DUMMYFUNCTION("""COMPUTED_VALUE"""),"Feminino")</f>
        <v>Feminino</v>
      </c>
      <c r="BF305" s="27" t="str">
        <f ca="1">IFERROR(__xludf.DUMMYFUNCTION("""COMPUTED_VALUE"""),"Heterossexual")</f>
        <v>Heterossexual</v>
      </c>
      <c r="BG305" s="27"/>
      <c r="BH305" s="27" t="str">
        <f ca="1">IFERROR(__xludf.DUMMYFUNCTION("""COMPUTED_VALUE"""),"Público")</f>
        <v>Público</v>
      </c>
      <c r="BI305" s="27"/>
      <c r="BJ305" s="27"/>
      <c r="BK305" s="27" t="str">
        <f ca="1">IFERROR(__xludf.DUMMYFUNCTION("""COMPUTED_VALUE"""),"Quadra 1306 sul alameda 04 Qi 11 Lote 11")</f>
        <v>Quadra 1306 sul alameda 04 Qi 11 Lote 11</v>
      </c>
      <c r="BL305" s="27" t="str">
        <f ca="1">IFERROR(__xludf.DUMMYFUNCTION("""COMPUTED_VALUE"""),"N 11")</f>
        <v>N 11</v>
      </c>
      <c r="BM305" s="27"/>
      <c r="BN305" s="27"/>
      <c r="BO305" s="27">
        <f ca="1">IFERROR(__xludf.DUMMYFUNCTION("""COMPUTED_VALUE"""),77024586)</f>
        <v>77024586</v>
      </c>
      <c r="BP305" s="27" t="str">
        <f ca="1">IFERROR(__xludf.DUMMYFUNCTION("""COMPUTED_VALUE"""),"TO")</f>
        <v>TO</v>
      </c>
      <c r="BQ305" s="27" t="str">
        <f ca="1">IFERROR(__xludf.DUMMYFUNCTION("""COMPUTED_VALUE"""),"Entre 1 até 3 salários mínimos")</f>
        <v>Entre 1 até 3 salários mínimos</v>
      </c>
      <c r="BR305" s="27" t="str">
        <f ca="1">IFERROR(__xludf.DUMMYFUNCTION("""COMPUTED_VALUE"""),"CLT")</f>
        <v>CLT</v>
      </c>
      <c r="BS305" s="27" t="str">
        <f ca="1">IFERROR(__xludf.DUMMYFUNCTION("""COMPUTED_VALUE"""),"Casa própria")</f>
        <v>Casa própria</v>
      </c>
      <c r="BT305" s="27">
        <f ca="1">IFERROR(__xludf.DUMMYFUNCTION("""COMPUTED_VALUE"""),4)</f>
        <v>4</v>
      </c>
      <c r="BU305" s="27" t="str">
        <f ca="1">IFERROR(__xludf.DUMMYFUNCTION("""COMPUTED_VALUE"""),"Não tem")</f>
        <v>Não tem</v>
      </c>
      <c r="BV305" s="27" t="str">
        <f ca="1">IFERROR(__xludf.DUMMYFUNCTION("""COMPUTED_VALUE"""),"Não")</f>
        <v>Não</v>
      </c>
      <c r="BW305" s="27"/>
      <c r="BX305" s="21" t="str">
        <f ca="1">IFERROR(__xludf.DUMMYFUNCTION("""COMPUTED_VALUE"""),"https://www.instagram.com/deniseburjack/")</f>
        <v>https://www.instagram.com/deniseburjack/</v>
      </c>
      <c r="BY305" s="21" t="str">
        <f ca="1">IFERROR(__xludf.DUMMYFUNCTION("""COMPUTED_VALUE"""),"https://drive.google.com/open?id=1yhjmJSHKLHQ69HPnEz6-zTM0xr_bhItu")</f>
        <v>https://drive.google.com/open?id=1yhjmJSHKLHQ69HPnEz6-zTM0xr_bhItu</v>
      </c>
    </row>
    <row r="306" spans="1:77" ht="12.5" hidden="1" x14ac:dyDescent="0.25">
      <c r="A306" s="21" t="str">
        <f ca="1">IFERROR(__xludf.DUMMYFUNCTION("""COMPUTED_VALUE"""),"0014X00002PUOTvQAP")</f>
        <v>0014X00002PUOTvQAP</v>
      </c>
      <c r="B306" s="27" t="str">
        <f ca="1">IFERROR(__xludf.DUMMYFUNCTION("""COMPUTED_VALUE"""),"Fase Inicial")</f>
        <v>Fase Inicial</v>
      </c>
      <c r="C306" s="27" t="str">
        <f ca="1">IFERROR(__xludf.DUMMYFUNCTION("""COMPUTED_VALUE"""),"Fellow")</f>
        <v>Fellow</v>
      </c>
      <c r="D306" s="27" t="str">
        <f ca="1">IFERROR(__xludf.DUMMYFUNCTION("""COMPUTED_VALUE"""),"Ativo")</f>
        <v>Ativo</v>
      </c>
      <c r="E306" s="27" t="str">
        <f ca="1">IFERROR(__xludf.DUMMYFUNCTION("""COMPUTED_VALUE"""),"Instituto Árvore da Vida")</f>
        <v>Instituto Árvore da Vida</v>
      </c>
      <c r="F306" s="27" t="str">
        <f ca="1">IFERROR(__xludf.DUMMYFUNCTION("""COMPUTED_VALUE"""),"Bianca")</f>
        <v>Bianca</v>
      </c>
      <c r="G306" s="27" t="str">
        <f ca="1">IFERROR(__xludf.DUMMYFUNCTION("""COMPUTED_VALUE"""),"Árvore da Vida")</f>
        <v>Árvore da Vida</v>
      </c>
      <c r="H306" s="27" t="str">
        <f ca="1">IFERROR(__xludf.DUMMYFUNCTION("""COMPUTED_VALUE"""),"28.995.182/0001-05")</f>
        <v>28.995.182/0001-05</v>
      </c>
      <c r="I306" s="27" t="str">
        <f ca="1">IFERROR(__xludf.DUMMYFUNCTION("""COMPUTED_VALUE"""),"Bianca Aragão Esteves")</f>
        <v>Bianca Aragão Esteves</v>
      </c>
      <c r="J306" s="27" t="str">
        <f ca="1">IFERROR(__xludf.DUMMYFUNCTION("""COMPUTED_VALUE"""),"erliaesteves@gmail.com")</f>
        <v>erliaesteves@gmail.com</v>
      </c>
      <c r="K306" s="27">
        <f ca="1">IFERROR(__xludf.DUMMYFUNCTION("""COMPUTED_VALUE"""),31973117450)</f>
        <v>31973117450</v>
      </c>
      <c r="L306" s="27" t="str">
        <f ca="1">IFERROR(__xludf.DUMMYFUNCTION("""COMPUTED_VALUE"""),"MG")</f>
        <v>MG</v>
      </c>
      <c r="M306" s="27" t="str">
        <f ca="1">IFERROR(__xludf.DUMMYFUNCTION("""COMPUTED_VALUE"""),"Rua, Duque de Caxias 956")</f>
        <v>Rua, Duque de Caxias 956</v>
      </c>
      <c r="N306" s="27" t="str">
        <f ca="1">IFERROR(__xludf.DUMMYFUNCTION("""COMPUTED_VALUE"""),"Jardim Teresópolis")</f>
        <v>Jardim Teresópolis</v>
      </c>
      <c r="O306" s="27"/>
      <c r="P306" s="27" t="str">
        <f ca="1">IFERROR(__xludf.DUMMYFUNCTION("""COMPUTED_VALUE"""),"Betim")</f>
        <v>Betim</v>
      </c>
      <c r="Q306" s="27"/>
      <c r="R306" s="27">
        <f ca="1">IFERROR(__xludf.DUMMYFUNCTION("""COMPUTED_VALUE"""),32681672)</f>
        <v>32681672</v>
      </c>
      <c r="S306" s="27" t="str">
        <f ca="1">IFERROR(__xludf.DUMMYFUNCTION("""COMPUTED_VALUE"""),"Salas da Igreja São José - Rua Duque de Caxias, bairro Jardim Teresópolis.")</f>
        <v>Salas da Igreja São José - Rua Duque de Caxias, bairro Jardim Teresópolis.</v>
      </c>
      <c r="T306" s="27" t="str">
        <f ca="1">IFERROR(__xludf.DUMMYFUNCTION("""COMPUTED_VALUE"""),"Educação; Cultura; Qualificação Profissional")</f>
        <v>Educação; Cultura; Qualificação Profissional</v>
      </c>
      <c r="U306" s="27" t="str">
        <f ca="1">IFERROR(__xludf.DUMMYFUNCTION("""COMPUTED_VALUE"""),"Crianças pequenas (4 anos a 5 anos e 11 meses); Adolescentes (12 aos 18 anos); Jovens (18 aos 24 anos); Adultos")</f>
        <v>Crianças pequenas (4 anos a 5 anos e 11 meses); Adolescentes (12 aos 18 anos); Jovens (18 aos 24 anos); Adultos</v>
      </c>
      <c r="V306" s="27"/>
      <c r="W306" s="27">
        <f ca="1">IFERROR(__xludf.DUMMYFUNCTION("""COMPUTED_VALUE"""),3)</f>
        <v>3</v>
      </c>
      <c r="X306" s="27" t="str">
        <f ca="1">IFERROR(__xludf.DUMMYFUNCTION("""COMPUTED_VALUE"""),"Moradores da favela")</f>
        <v>Moradores da favela</v>
      </c>
      <c r="Y306" s="27"/>
      <c r="Z306" s="27"/>
      <c r="AA306" s="27"/>
      <c r="AB306" s="27" t="str">
        <f ca="1">IFERROR(__xludf.DUMMYFUNCTION("""COMPUTED_VALUE"""),"Sim")</f>
        <v>Sim</v>
      </c>
      <c r="AC306" s="27">
        <f ca="1">IFERROR(__xludf.DUMMYFUNCTION("""COMPUTED_VALUE"""),3)</f>
        <v>3</v>
      </c>
      <c r="AD306" s="27"/>
      <c r="AE306" s="27">
        <f ca="1">IFERROR(__xludf.DUMMYFUNCTION("""COMPUTED_VALUE"""),22)</f>
        <v>22</v>
      </c>
      <c r="AF306" s="27"/>
      <c r="AG306" s="27">
        <f ca="1">IFERROR(__xludf.DUMMYFUNCTION("""COMPUTED_VALUE"""),1)</f>
        <v>1</v>
      </c>
      <c r="AH306" s="27" t="str">
        <f ca="1">IFERROR(__xludf.DUMMYFUNCTION("""COMPUTED_VALUE"""),"Lei de Incentivo; Parceria iniciativa privada")</f>
        <v>Lei de Incentivo; Parceria iniciativa privada</v>
      </c>
      <c r="AI306" s="27" t="str">
        <f ca="1">IFERROR(__xludf.DUMMYFUNCTION("""COMPUTED_VALUE"""),"Projetos Empresas 76% ; Projetos incentivados 24%")</f>
        <v>Projetos Empresas 76% ; Projetos incentivados 24%</v>
      </c>
      <c r="AJ306" s="27" t="str">
        <f ca="1">IFERROR(__xludf.DUMMYFUNCTION("""COMPUTED_VALUE"""),"Vamos iniciar esse ano")</f>
        <v>Vamos iniciar esse ano</v>
      </c>
      <c r="AK306" s="27" t="str">
        <f ca="1">IFERROR(__xludf.DUMMYFUNCTION("""COMPUTED_VALUE"""),"Sim")</f>
        <v>Sim</v>
      </c>
      <c r="AL306" s="21" t="str">
        <f ca="1">IFERROR(__xludf.DUMMYFUNCTION("""COMPUTED_VALUE"""),"0034X000032Hrzz")</f>
        <v>0034X000032Hrzz</v>
      </c>
      <c r="AM306" s="27" t="str">
        <f ca="1">IFERROR(__xludf.DUMMYFUNCTION("""COMPUTED_VALUE"""),"Esteves")</f>
        <v>Esteves</v>
      </c>
      <c r="AN306" s="27" t="str">
        <f ca="1">IFERROR(__xludf.DUMMYFUNCTION("""COMPUTED_VALUE"""),"Ativo")</f>
        <v>Ativo</v>
      </c>
      <c r="AO306" s="29">
        <f ca="1">IFERROR(__xludf.DUMMYFUNCTION("""COMPUTED_VALUE"""),44487)</f>
        <v>44487</v>
      </c>
      <c r="AP306" s="27">
        <f ca="1">IFERROR(__xludf.DUMMYFUNCTION("""COMPUTED_VALUE"""),11)</f>
        <v>11</v>
      </c>
      <c r="AQ306" s="27" t="str">
        <f ca="1">IFERROR(__xludf.DUMMYFUNCTION("""COMPUTED_VALUE"""),"Primeiro Semestre 2020")</f>
        <v>Primeiro Semestre 2020</v>
      </c>
      <c r="AR306" s="27" t="str">
        <f ca="1">IFERROR(__xludf.DUMMYFUNCTION("""COMPUTED_VALUE"""),"bianca.aragao@institutoarvoredavida.org")</f>
        <v>bianca.aragao@institutoarvoredavida.org</v>
      </c>
      <c r="AS306" s="27">
        <f ca="1">IFERROR(__xludf.DUMMYFUNCTION("""COMPUTED_VALUE"""),31973117450)</f>
        <v>31973117450</v>
      </c>
      <c r="AT306" s="29">
        <f ca="1">IFERROR(__xludf.DUMMYFUNCTION("""COMPUTED_VALUE"""),34852)</f>
        <v>34852</v>
      </c>
      <c r="AU306" s="27">
        <f ca="1">IFERROR(__xludf.DUMMYFUNCTION("""COMPUTED_VALUE"""),27)</f>
        <v>27</v>
      </c>
      <c r="AV306" s="27">
        <f ca="1">IFERROR(__xludf.DUMMYFUNCTION("""COMPUTED_VALUE"""),12243828626)</f>
        <v>12243828626</v>
      </c>
      <c r="AW306" s="27" t="str">
        <f ca="1">IFERROR(__xludf.DUMMYFUNCTION("""COMPUTED_VALUE"""),"MG 18540506")</f>
        <v>MG 18540506</v>
      </c>
      <c r="AX306" s="27"/>
      <c r="AY306" s="27"/>
      <c r="AZ306" s="27"/>
      <c r="BA306" s="27"/>
      <c r="BB306" s="27"/>
      <c r="BC306" s="27" t="str">
        <f ca="1">IFERROR(__xludf.DUMMYFUNCTION("""COMPUTED_VALUE"""),"Sim")</f>
        <v>Sim</v>
      </c>
      <c r="BD306" s="27"/>
      <c r="BE306" s="27" t="str">
        <f ca="1">IFERROR(__xludf.DUMMYFUNCTION("""COMPUTED_VALUE"""),"Feminino")</f>
        <v>Feminino</v>
      </c>
      <c r="BF306" s="27"/>
      <c r="BG306" s="27" t="str">
        <f ca="1">IFERROR(__xludf.DUMMYFUNCTION("""COMPUTED_VALUE"""),"Ensino Médio - Incompleto")</f>
        <v>Ensino Médio - Incompleto</v>
      </c>
      <c r="BH306" s="27" t="str">
        <f ca="1">IFERROR(__xludf.DUMMYFUNCTION("""COMPUTED_VALUE"""),"Público")</f>
        <v>Público</v>
      </c>
      <c r="BI306" s="27" t="str">
        <f ca="1">IFERROR(__xludf.DUMMYFUNCTION("""COMPUTED_VALUE"""),"Graduação")</f>
        <v>Graduação</v>
      </c>
      <c r="BJ306" s="27" t="str">
        <f ca="1">IFERROR(__xludf.DUMMYFUNCTION("""COMPUTED_VALUE"""),"Privado")</f>
        <v>Privado</v>
      </c>
      <c r="BK306" s="27" t="str">
        <f ca="1">IFERROR(__xludf.DUMMYFUNCTION("""COMPUTED_VALUE"""),"Rua Botumirim, 214")</f>
        <v>Rua Botumirim, 214</v>
      </c>
      <c r="BL306" s="27">
        <f ca="1">IFERROR(__xludf.DUMMYFUNCTION("""COMPUTED_VALUE"""),214)</f>
        <v>214</v>
      </c>
      <c r="BM306" s="27"/>
      <c r="BN306" s="27" t="str">
        <f ca="1">IFERROR(__xludf.DUMMYFUNCTION("""COMPUTED_VALUE"""),"Betim")</f>
        <v>Betim</v>
      </c>
      <c r="BO306" s="27" t="str">
        <f ca="1">IFERROR(__xludf.DUMMYFUNCTION("""COMPUTED_VALUE"""),"32684-046")</f>
        <v>32684-046</v>
      </c>
      <c r="BP306" s="27" t="str">
        <f ca="1">IFERROR(__xludf.DUMMYFUNCTION("""COMPUTED_VALUE"""),"MG")</f>
        <v>MG</v>
      </c>
      <c r="BQ306" s="27" t="str">
        <f ca="1">IFERROR(__xludf.DUMMYFUNCTION("""COMPUTED_VALUE"""),"Acima de 5 salários mínimos")</f>
        <v>Acima de 5 salários mínimos</v>
      </c>
      <c r="BR306" s="27" t="str">
        <f ca="1">IFERROR(__xludf.DUMMYFUNCTION("""COMPUTED_VALUE"""),"Funcionário Público")</f>
        <v>Funcionário Público</v>
      </c>
      <c r="BS306" s="27" t="str">
        <f ca="1">IFERROR(__xludf.DUMMYFUNCTION("""COMPUTED_VALUE"""),"Casa própria")</f>
        <v>Casa própria</v>
      </c>
      <c r="BT306" s="27">
        <f ca="1">IFERROR(__xludf.DUMMYFUNCTION("""COMPUTED_VALUE"""),4)</f>
        <v>4</v>
      </c>
      <c r="BU306" s="27"/>
      <c r="BV306" s="27"/>
      <c r="BW306" s="27"/>
      <c r="BX306" s="27"/>
      <c r="BY306" s="27"/>
    </row>
    <row r="307" spans="1:77" ht="12.5" x14ac:dyDescent="0.25">
      <c r="A307" s="21" t="str">
        <f ca="1">IFERROR(__xludf.DUMMYFUNCTION("""COMPUTED_VALUE"""),"0014P00003AN2FjQAL")</f>
        <v>0014P00003AN2FjQAL</v>
      </c>
      <c r="B307" s="27" t="str">
        <f ca="1">IFERROR(__xludf.DUMMYFUNCTION("""COMPUTED_VALUE"""),"Fase Inicial")</f>
        <v>Fase Inicial</v>
      </c>
      <c r="C307" s="27" t="str">
        <f ca="1">IFERROR(__xludf.DUMMYFUNCTION("""COMPUTED_VALUE"""),"Acelerada")</f>
        <v>Acelerada</v>
      </c>
      <c r="D307" s="27" t="str">
        <f ca="1">IFERROR(__xludf.DUMMYFUNCTION("""COMPUTED_VALUE"""),"Ativo")</f>
        <v>Ativo</v>
      </c>
      <c r="E307" s="27" t="str">
        <f ca="1">IFERROR(__xludf.DUMMYFUNCTION("""COMPUTED_VALUE"""),"INSTITUTO ASCENDENDO MENTES")</f>
        <v>INSTITUTO ASCENDENDO MENTES</v>
      </c>
      <c r="F307" s="27" t="str">
        <f ca="1">IFERROR(__xludf.DUMMYFUNCTION("""COMPUTED_VALUE"""),"Nina")</f>
        <v>Nina</v>
      </c>
      <c r="G307" s="27" t="str">
        <f ca="1">IFERROR(__xludf.DUMMYFUNCTION("""COMPUTED_VALUE"""),"ASCENDENDO MENTES")</f>
        <v>ASCENDENDO MENTES</v>
      </c>
      <c r="H307" s="27" t="str">
        <f ca="1">IFERROR(__xludf.DUMMYFUNCTION("""COMPUTED_VALUE"""),"39.974.512/0001-94")</f>
        <v>39.974.512/0001-94</v>
      </c>
      <c r="I307" s="27" t="str">
        <f ca="1">IFERROR(__xludf.DUMMYFUNCTION("""COMPUTED_VALUE"""),"Nina Cardoso")</f>
        <v>Nina Cardoso</v>
      </c>
      <c r="J307" s="27" t="str">
        <f ca="1">IFERROR(__xludf.DUMMYFUNCTION("""COMPUTED_VALUE"""),"rdcnina@gmail.com")</f>
        <v>rdcnina@gmail.com</v>
      </c>
      <c r="K307" s="27" t="str">
        <f ca="1">IFERROR(__xludf.DUMMYFUNCTION("""COMPUTED_VALUE"""),"(51) 99620-6480")</f>
        <v>(51) 99620-6480</v>
      </c>
      <c r="L307" s="27" t="str">
        <f ca="1">IFERROR(__xludf.DUMMYFUNCTION("""COMPUTED_VALUE"""),"RS")</f>
        <v>RS</v>
      </c>
      <c r="M307" s="27" t="str">
        <f ca="1">IFERROR(__xludf.DUMMYFUNCTION("""COMPUTED_VALUE"""),"Rua Intendente Alfredo Azevedo")</f>
        <v>Rua Intendente Alfredo Azevedo</v>
      </c>
      <c r="N307" s="27"/>
      <c r="O307" s="27" t="str">
        <f ca="1">IFERROR(__xludf.DUMMYFUNCTION("""COMPUTED_VALUE"""),"(51)99620-6480")</f>
        <v>(51)99620-6480</v>
      </c>
      <c r="P307" s="27" t="str">
        <f ca="1">IFERROR(__xludf.DUMMYFUNCTION("""COMPUTED_VALUE"""),"Porto Alegre")</f>
        <v>Porto Alegre</v>
      </c>
      <c r="Q307" s="27"/>
      <c r="R307" s="27" t="str">
        <f ca="1">IFERROR(__xludf.DUMMYFUNCTION("""COMPUTED_VALUE"""),"91710-010")</f>
        <v>91710-010</v>
      </c>
      <c r="S307" s="27"/>
      <c r="T307" s="27" t="str">
        <f ca="1">IFERROR(__xludf.DUMMYFUNCTION("""COMPUTED_VALUE"""),"Esporte; Educação; Empregabilidade; Assistência Social; Cultura; Qualificação Profissional; Empreendedorismo; Saúde; Empoderamento Feminino; Negócios Sociais; Ciência e Tecnologia; Defesa de Direitos; Assistência Psicológica; Desenvolvimento comunitário")</f>
        <v>Esporte; Educação; Empregabilidade; Assistência Social; Cultura; Qualificação Profissional; Empreendedorismo; Saúde; Empoderamento Feminino; Negócios Sociais; Ciência e Tecnologia; Defesa de Direitos; Assistência Psicológica; Desenvolvimento comunitário</v>
      </c>
      <c r="U307" s="27" t="str">
        <f ca="1">IFERROR(__xludf.DUMMYFUNCTION("""COMPUTED_VALUE"""),"Crianças (6 a 12 anos); Adolescentes (12 aos 18 anos); Jovens (18 aos 24 anos)")</f>
        <v>Crianças (6 a 12 anos); Adolescentes (12 aos 18 anos); Jovens (18 aos 24 anos)</v>
      </c>
      <c r="V307" s="27" t="str">
        <f ca="1">IFERROR(__xludf.DUMMYFUNCTION("""COMPUTED_VALUE"""),"Moradores de Favelas; População LGBTQ+; Afrodescendentes; Dependentes Químicos; Pessoas com Deficiência")</f>
        <v>Moradores de Favelas; População LGBTQ+; Afrodescendentes; Dependentes Químicos; Pessoas com Deficiência</v>
      </c>
      <c r="W307" s="27">
        <f ca="1">IFERROR(__xludf.DUMMYFUNCTION("""COMPUTED_VALUE"""),6)</f>
        <v>6</v>
      </c>
      <c r="X307" s="27"/>
      <c r="Y307" s="27"/>
      <c r="Z307" s="27"/>
      <c r="AA307" s="30">
        <f ca="1">IFERROR(__xludf.DUMMYFUNCTION("""COMPUTED_VALUE"""),44134)</f>
        <v>44134</v>
      </c>
      <c r="AB307" s="27" t="str">
        <f ca="1">IFERROR(__xludf.DUMMYFUNCTION("""COMPUTED_VALUE"""),"Sim")</f>
        <v>Sim</v>
      </c>
      <c r="AC307" s="27">
        <f ca="1">IFERROR(__xludf.DUMMYFUNCTION("""COMPUTED_VALUE"""),5)</f>
        <v>5</v>
      </c>
      <c r="AD307" s="27">
        <f ca="1">IFERROR(__xludf.DUMMYFUNCTION("""COMPUTED_VALUE"""),0)</f>
        <v>0</v>
      </c>
      <c r="AE307" s="27">
        <f ca="1">IFERROR(__xludf.DUMMYFUNCTION("""COMPUTED_VALUE"""),20)</f>
        <v>20</v>
      </c>
      <c r="AF307" s="27">
        <f ca="1">IFERROR(__xludf.DUMMYFUNCTION("""COMPUTED_VALUE"""),0)</f>
        <v>0</v>
      </c>
      <c r="AG307" s="27">
        <f ca="1">IFERROR(__xludf.DUMMYFUNCTION("""COMPUTED_VALUE"""),4)</f>
        <v>4</v>
      </c>
      <c r="AH307" s="27" t="str">
        <f ca="1">IFERROR(__xludf.DUMMYFUNCTION("""COMPUTED_VALUE"""),"Negócio Social; Eventos/Ações para captação; Plataforma doação online - Pessoa Física; Parceria iniciativa privada; Doações")</f>
        <v>Negócio Social; Eventos/Ações para captação; Plataforma doação online - Pessoa Física; Parceria iniciativa privada; Doações</v>
      </c>
      <c r="AI307" s="27" t="str">
        <f ca="1">IFERROR(__xludf.DUMMYFUNCTION("""COMPUTED_VALUE"""),"40% Negocio Social -  Eventos/ações -30%  -Plataforma 10% - Projetos específicos - 20%")</f>
        <v>40% Negocio Social -  Eventos/ações -30%  -Plataforma 10% - Projetos específicos - 20%</v>
      </c>
      <c r="AJ307" s="27" t="str">
        <f ca="1">IFERROR(__xludf.DUMMYFUNCTION("""COMPUTED_VALUE"""),"Não")</f>
        <v>Não</v>
      </c>
      <c r="AK307" s="27" t="str">
        <f ca="1">IFERROR(__xludf.DUMMYFUNCTION("""COMPUTED_VALUE"""),"Não")</f>
        <v>Não</v>
      </c>
      <c r="AL307" s="21" t="str">
        <f ca="1">IFERROR(__xludf.DUMMYFUNCTION("""COMPUTED_VALUE"""),"0034P00003maBV9")</f>
        <v>0034P00003maBV9</v>
      </c>
      <c r="AM307" s="27" t="str">
        <f ca="1">IFERROR(__xludf.DUMMYFUNCTION("""COMPUTED_VALUE"""),"Cardoso")</f>
        <v>Cardoso</v>
      </c>
      <c r="AN307" s="27" t="str">
        <f ca="1">IFERROR(__xludf.DUMMYFUNCTION("""COMPUTED_VALUE"""),"Ativo")</f>
        <v>Ativo</v>
      </c>
      <c r="AO307" s="30">
        <f ca="1">IFERROR(__xludf.DUMMYFUNCTION("""COMPUTED_VALUE"""),44161)</f>
        <v>44161</v>
      </c>
      <c r="AP307" s="27">
        <f ca="1">IFERROR(__xludf.DUMMYFUNCTION("""COMPUTED_VALUE"""),22)</f>
        <v>22</v>
      </c>
      <c r="AQ307" s="27" t="str">
        <f ca="1">IFERROR(__xludf.DUMMYFUNCTION("""COMPUTED_VALUE"""),"Primeiro Semestre 2020")</f>
        <v>Primeiro Semestre 2020</v>
      </c>
      <c r="AR307" s="27" t="str">
        <f ca="1">IFERROR(__xludf.DUMMYFUNCTION("""COMPUTED_VALUE"""),"ninacardoso@ascendendomentes.org.br")</f>
        <v>ninacardoso@ascendendomentes.org.br</v>
      </c>
      <c r="AS307" s="27" t="str">
        <f ca="1">IFERROR(__xludf.DUMMYFUNCTION("""COMPUTED_VALUE"""),"(51)99620-6480")</f>
        <v>(51)99620-6480</v>
      </c>
      <c r="AT307" s="29">
        <f ca="1">IFERROR(__xludf.DUMMYFUNCTION("""COMPUTED_VALUE"""),29299)</f>
        <v>29299</v>
      </c>
      <c r="AU307" s="27">
        <f ca="1">IFERROR(__xludf.DUMMYFUNCTION("""COMPUTED_VALUE"""),42)</f>
        <v>42</v>
      </c>
      <c r="AV307" s="27">
        <f ca="1">IFERROR(__xludf.DUMMYFUNCTION("""COMPUTED_VALUE"""),80674607015)</f>
        <v>80674607015</v>
      </c>
      <c r="AW307" s="27">
        <f ca="1">IFERROR(__xludf.DUMMYFUNCTION("""COMPUTED_VALUE"""),1073275453)</f>
        <v>1073275453</v>
      </c>
      <c r="AX307" s="27" t="str">
        <f ca="1">IFERROR(__xludf.DUMMYFUNCTION("""COMPUTED_VALUE"""),"Pedagogia")</f>
        <v>Pedagogia</v>
      </c>
      <c r="AY307" s="27" t="str">
        <f ca="1">IFERROR(__xludf.DUMMYFUNCTION("""COMPUTED_VALUE"""),"Coordenadora Pedagógica e administrativa no Centro Social Padre Irineu Brand")</f>
        <v>Coordenadora Pedagógica e administrativa no Centro Social Padre Irineu Brand</v>
      </c>
      <c r="AZ307" s="27" t="str">
        <f ca="1">IFERROR(__xludf.DUMMYFUNCTION("""COMPUTED_VALUE"""),"G")</f>
        <v>G</v>
      </c>
      <c r="BA307" s="27"/>
      <c r="BB307" s="27"/>
      <c r="BC307" s="27" t="str">
        <f ca="1">IFERROR(__xludf.DUMMYFUNCTION("""COMPUTED_VALUE"""),"Sim")</f>
        <v>Sim</v>
      </c>
      <c r="BD307" s="27" t="str">
        <f ca="1">IFERROR(__xludf.DUMMYFUNCTION("""COMPUTED_VALUE"""),"Pedagoga, ativista , líder e empreendedora social! Nos 20 anos em que  VIVO o 3º Setor, já liderei projetos na Proteção Social da baixa até a alta complexidade! Acredito que cada ser humano é um tesouro precioso e único. Meu propósito é transformar vidas,"&amp;" atuando como uma facilitadora para que cada um possa se ver como peça única a movimentar esta energia positiva e maravilhosa que move o mundo. Sonho e trabalho duro por um mundo mais justo, inclusivo, pacifico, harmonioso e tolerante!")</f>
        <v>Pedagoga, ativista , líder e empreendedora social! Nos 20 anos em que  VIVO o 3º Setor, já liderei projetos na Proteção Social da baixa até a alta complexidade! Acredito que cada ser humano é um tesouro precioso e único. Meu propósito é transformar vidas, atuando como uma facilitadora para que cada um possa se ver como peça única a movimentar esta energia positiva e maravilhosa que move o mundo. Sonho e trabalho duro por um mundo mais justo, inclusivo, pacifico, harmonioso e tolerante!</v>
      </c>
      <c r="BE307" s="27"/>
      <c r="BF307" s="27"/>
      <c r="BG307" s="27" t="str">
        <f ca="1">IFERROR(__xludf.DUMMYFUNCTION("""COMPUTED_VALUE"""),"Ensino Superior - Completo")</f>
        <v>Ensino Superior - Completo</v>
      </c>
      <c r="BH307" s="27"/>
      <c r="BI307" s="27" t="str">
        <f ca="1">IFERROR(__xludf.DUMMYFUNCTION("""COMPUTED_VALUE"""),"Graduação")</f>
        <v>Graduação</v>
      </c>
      <c r="BJ307" s="27" t="str">
        <f ca="1">IFERROR(__xludf.DUMMYFUNCTION("""COMPUTED_VALUE"""),"Privado")</f>
        <v>Privado</v>
      </c>
      <c r="BK307" s="27" t="str">
        <f ca="1">IFERROR(__xludf.DUMMYFUNCTION("""COMPUTED_VALUE"""),"Elias Cirne Lima")</f>
        <v>Elias Cirne Lima</v>
      </c>
      <c r="BL307" s="27">
        <f ca="1">IFERROR(__xludf.DUMMYFUNCTION("""COMPUTED_VALUE"""),203)</f>
        <v>203</v>
      </c>
      <c r="BM307" s="27" t="str">
        <f ca="1">IFERROR(__xludf.DUMMYFUNCTION("""COMPUTED_VALUE"""),"casa")</f>
        <v>casa</v>
      </c>
      <c r="BN307" s="27" t="str">
        <f ca="1">IFERROR(__xludf.DUMMYFUNCTION("""COMPUTED_VALUE"""),"Porto Alegre")</f>
        <v>Porto Alegre</v>
      </c>
      <c r="BO307" s="27" t="str">
        <f ca="1">IFERROR(__xludf.DUMMYFUNCTION("""COMPUTED_VALUE"""),"91530-310")</f>
        <v>91530-310</v>
      </c>
      <c r="BP307" s="27" t="str">
        <f ca="1">IFERROR(__xludf.DUMMYFUNCTION("""COMPUTED_VALUE"""),"RS")</f>
        <v>RS</v>
      </c>
      <c r="BQ307" s="27" t="str">
        <f ca="1">IFERROR(__xludf.DUMMYFUNCTION("""COMPUTED_VALUE"""),"Entre 1 até 3 salários mínimos")</f>
        <v>Entre 1 até 3 salários mínimos</v>
      </c>
      <c r="BR307" s="27" t="str">
        <f ca="1">IFERROR(__xludf.DUMMYFUNCTION("""COMPUTED_VALUE"""),"MEI")</f>
        <v>MEI</v>
      </c>
      <c r="BS307" s="27" t="str">
        <f ca="1">IFERROR(__xludf.DUMMYFUNCTION("""COMPUTED_VALUE"""),"Aluguel")</f>
        <v>Aluguel</v>
      </c>
      <c r="BT307" s="27">
        <f ca="1">IFERROR(__xludf.DUMMYFUNCTION("""COMPUTED_VALUE"""),4)</f>
        <v>4</v>
      </c>
      <c r="BU307" s="27"/>
      <c r="BV307" s="27"/>
      <c r="BW307" s="21" t="str">
        <f ca="1">IFERROR(__xludf.DUMMYFUNCTION("""COMPUTED_VALUE"""),"https://www.linkedin.com/in/nina-cardoso")</f>
        <v>https://www.linkedin.com/in/nina-cardoso</v>
      </c>
      <c r="BX307" s="21" t="str">
        <f ca="1">IFERROR(__xludf.DUMMYFUNCTION("""COMPUTED_VALUE"""),"https://instagram.com/nina.cardoso.dias?utm_medium=copy_link")</f>
        <v>https://instagram.com/nina.cardoso.dias?utm_medium=copy_link</v>
      </c>
      <c r="BY307" s="21" t="str">
        <f ca="1">IFERROR(__xludf.DUMMYFUNCTION("""COMPUTED_VALUE"""),"https://drive.google.com/open?id=1PY0kMS1OR8X1jAKlWyIYLPZQbzdw4osp")</f>
        <v>https://drive.google.com/open?id=1PY0kMS1OR8X1jAKlWyIYLPZQbzdw4osp</v>
      </c>
    </row>
    <row r="308" spans="1:77" ht="12.5" x14ac:dyDescent="0.25">
      <c r="A308" s="21" t="str">
        <f ca="1">IFERROR(__xludf.DUMMYFUNCTION("""COMPUTED_VALUE"""),"0014P00003AN2FqQAL")</f>
        <v>0014P00003AN2FqQAL</v>
      </c>
      <c r="B308" s="27" t="str">
        <f ca="1">IFERROR(__xludf.DUMMYFUNCTION("""COMPUTED_VALUE"""),"Fase Avançada")</f>
        <v>Fase Avançada</v>
      </c>
      <c r="C308" s="27" t="str">
        <f ca="1">IFERROR(__xludf.DUMMYFUNCTION("""COMPUTED_VALUE"""),"Acelerada")</f>
        <v>Acelerada</v>
      </c>
      <c r="D308" s="27" t="str">
        <f ca="1">IFERROR(__xludf.DUMMYFUNCTION("""COMPUTED_VALUE"""),"Ativo")</f>
        <v>Ativo</v>
      </c>
      <c r="E308" s="27" t="str">
        <f ca="1">IFERROR(__xludf.DUMMYFUNCTION("""COMPUTED_VALUE"""),"Instituto As Valquirias")</f>
        <v>Instituto As Valquirias</v>
      </c>
      <c r="F308" s="27" t="str">
        <f ca="1">IFERROR(__xludf.DUMMYFUNCTION("""COMPUTED_VALUE"""),"Amanda")</f>
        <v>Amanda</v>
      </c>
      <c r="G308" s="27" t="str">
        <f ca="1">IFERROR(__xludf.DUMMYFUNCTION("""COMPUTED_VALUE"""),"AS VALQUÍRIAS")</f>
        <v>AS VALQUÍRIAS</v>
      </c>
      <c r="H308" s="27" t="str">
        <f ca="1">IFERROR(__xludf.DUMMYFUNCTION("""COMPUTED_VALUE"""),"29.106.314/0001-55")</f>
        <v>29.106.314/0001-55</v>
      </c>
      <c r="I308" s="27"/>
      <c r="J308" s="27" t="str">
        <f ca="1">IFERROR(__xludf.DUMMYFUNCTION("""COMPUTED_VALUE"""),"amandaoliveiraes@gmail.com")</f>
        <v>amandaoliveiraes@gmail.com</v>
      </c>
      <c r="K308" s="27" t="str">
        <f ca="1">IFERROR(__xludf.DUMMYFUNCTION("""COMPUTED_VALUE"""),"(17)98226-0179")</f>
        <v>(17)98226-0179</v>
      </c>
      <c r="L308" s="27" t="str">
        <f ca="1">IFERROR(__xludf.DUMMYFUNCTION("""COMPUTED_VALUE"""),"SP")</f>
        <v>SP</v>
      </c>
      <c r="M308" s="27" t="str">
        <f ca="1">IFERROR(__xludf.DUMMYFUNCTION("""COMPUTED_VALUE"""),"Pachoal Decrescenzo, 599 -")</f>
        <v>Pachoal Decrescenzo, 599 -</v>
      </c>
      <c r="N308" s="27" t="str">
        <f ca="1">IFERROR(__xludf.DUMMYFUNCTION("""COMPUTED_VALUE"""),"Vila Mayor")</f>
        <v>Vila Mayor</v>
      </c>
      <c r="O308" s="27" t="str">
        <f ca="1">IFERROR(__xludf.DUMMYFUNCTION("""COMPUTED_VALUE"""),"(17)98226-0179")</f>
        <v>(17)98226-0179</v>
      </c>
      <c r="P308" s="27" t="str">
        <f ca="1">IFERROR(__xludf.DUMMYFUNCTION("""COMPUTED_VALUE"""),"São José do Rio Preto")</f>
        <v>São José do Rio Preto</v>
      </c>
      <c r="Q308" s="27"/>
      <c r="R308" s="27" t="str">
        <f ca="1">IFERROR(__xludf.DUMMYFUNCTION("""COMPUTED_VALUE"""),"15035-333")</f>
        <v>15035-333</v>
      </c>
      <c r="S308" s="27"/>
      <c r="T308" s="27" t="str">
        <f ca="1">IFERROR(__xludf.DUMMYFUNCTION("""COMPUTED_VALUE"""),"Educação; Empregabilidade; Assistência Social; Cultura; Qualificação Profissional; Empreendedorismo; Saúde; Meio ambiente; Empoderamento Feminino; Negócios Sociais; Defesa de Direitos; Comunicação; Assistência Psicológica; Desenvolvimento comunitário")</f>
        <v>Educação; Empregabilidade; Assistência Social; Cultura; Qualificação Profissional; Empreendedorismo; Saúde; Meio ambiente; Empoderamento Feminino; Negócios Sociais; Defesa de Direitos; Comunicação; Assistência Psicológica; Desenvolvimento comunitário</v>
      </c>
      <c r="U308"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308" s="27" t="str">
        <f ca="1">IFERROR(__xludf.DUMMYFUNCTION("""COMPUTED_VALUE"""),"Moradores de Favelas; População LGBTQ+; Afrodescendentes")</f>
        <v>Moradores de Favelas; População LGBTQ+; Afrodescendentes</v>
      </c>
      <c r="W308" s="27">
        <f ca="1">IFERROR(__xludf.DUMMYFUNCTION("""COMPUTED_VALUE"""),7)</f>
        <v>7</v>
      </c>
      <c r="X308" s="27" t="str">
        <f ca="1">IFERROR(__xludf.DUMMYFUNCTION("""COMPUTED_VALUE"""),"Meninas e Mulheres")</f>
        <v>Meninas e Mulheres</v>
      </c>
      <c r="Y308" s="27"/>
      <c r="Z308" s="27"/>
      <c r="AA308" s="30">
        <f ca="1">IFERROR(__xludf.DUMMYFUNCTION("""COMPUTED_VALUE"""),42835)</f>
        <v>42835</v>
      </c>
      <c r="AB308" s="27" t="str">
        <f ca="1">IFERROR(__xludf.DUMMYFUNCTION("""COMPUTED_VALUE"""),"Sim")</f>
        <v>Sim</v>
      </c>
      <c r="AC308" s="27">
        <f ca="1">IFERROR(__xludf.DUMMYFUNCTION("""COMPUTED_VALUE"""),46)</f>
        <v>46</v>
      </c>
      <c r="AD308" s="27">
        <f ca="1">IFERROR(__xludf.DUMMYFUNCTION("""COMPUTED_VALUE"""),6)</f>
        <v>6</v>
      </c>
      <c r="AE308" s="27">
        <f ca="1">IFERROR(__xludf.DUMMYFUNCTION("""COMPUTED_VALUE"""),27)</f>
        <v>27</v>
      </c>
      <c r="AF308" s="27">
        <f ca="1">IFERROR(__xludf.DUMMYFUNCTION("""COMPUTED_VALUE"""),20)</f>
        <v>20</v>
      </c>
      <c r="AG308" s="27">
        <f ca="1">IFERROR(__xludf.DUMMYFUNCTION("""COMPUTED_VALUE"""),4)</f>
        <v>4</v>
      </c>
      <c r="AH308" s="27" t="str">
        <f ca="1">IFERROR(__xludf.DUMMYFUNCTION("""COMPUTED_VALUE"""),"Negócio Social; Convênio Público; Eventos/Ações para captação; Parceria iniciativa privada; Editais; Recursos próprios")</f>
        <v>Negócio Social; Convênio Público; Eventos/Ações para captação; Parceria iniciativa privada; Editais; Recursos próprios</v>
      </c>
      <c r="AI308" s="27" t="str">
        <f ca="1">IFERROR(__xludf.DUMMYFUNCTION("""COMPUTED_VALUE"""),"Vamos levantar com o financeiro o número exato")</f>
        <v>Vamos levantar com o financeiro o número exato</v>
      </c>
      <c r="AJ308" s="27" t="str">
        <f ca="1">IFERROR(__xludf.DUMMYFUNCTION("""COMPUTED_VALUE"""),"Sim")</f>
        <v>Sim</v>
      </c>
      <c r="AK308" s="27" t="str">
        <f ca="1">IFERROR(__xludf.DUMMYFUNCTION("""COMPUTED_VALUE"""),"Sim")</f>
        <v>Sim</v>
      </c>
      <c r="AL308" s="21" t="str">
        <f ca="1">IFERROR(__xludf.DUMMYFUNCTION("""COMPUTED_VALUE"""),"0034P00003maBVH")</f>
        <v>0034P00003maBVH</v>
      </c>
      <c r="AM308" s="27" t="str">
        <f ca="1">IFERROR(__xludf.DUMMYFUNCTION("""COMPUTED_VALUE"""),"Priscila Oliveira Da Silva")</f>
        <v>Priscila Oliveira Da Silva</v>
      </c>
      <c r="AN308" s="27" t="str">
        <f ca="1">IFERROR(__xludf.DUMMYFUNCTION("""COMPUTED_VALUE"""),"Ativo")</f>
        <v>Ativo</v>
      </c>
      <c r="AO308" s="30">
        <f ca="1">IFERROR(__xludf.DUMMYFUNCTION("""COMPUTED_VALUE"""),43922)</f>
        <v>43922</v>
      </c>
      <c r="AP308" s="27">
        <f ca="1">IFERROR(__xludf.DUMMYFUNCTION("""COMPUTED_VALUE"""),29)</f>
        <v>29</v>
      </c>
      <c r="AQ308" s="27" t="str">
        <f ca="1">IFERROR(__xludf.DUMMYFUNCTION("""COMPUTED_VALUE"""),"Primeiro Semestre 2019")</f>
        <v>Primeiro Semestre 2019</v>
      </c>
      <c r="AR308" s="27" t="str">
        <f ca="1">IFERROR(__xludf.DUMMYFUNCTION("""COMPUTED_VALUE"""),"amandaoliveiraes@gmail.com")</f>
        <v>amandaoliveiraes@gmail.com</v>
      </c>
      <c r="AS308" s="27" t="str">
        <f ca="1">IFERROR(__xludf.DUMMYFUNCTION("""COMPUTED_VALUE"""),"(17)98226-0179")</f>
        <v>(17)98226-0179</v>
      </c>
      <c r="AT308" s="29">
        <f ca="1">IFERROR(__xludf.DUMMYFUNCTION("""COMPUTED_VALUE"""),32633)</f>
        <v>32633</v>
      </c>
      <c r="AU308" s="27">
        <f ca="1">IFERROR(__xludf.DUMMYFUNCTION("""COMPUTED_VALUE"""),33)</f>
        <v>33</v>
      </c>
      <c r="AV308" s="27">
        <f ca="1">IFERROR(__xludf.DUMMYFUNCTION("""COMPUTED_VALUE"""),38255078827)</f>
        <v>38255078827</v>
      </c>
      <c r="AW308" s="27">
        <f ca="1">IFERROR(__xludf.DUMMYFUNCTION("""COMPUTED_VALUE"""),448376799)</f>
        <v>448376799</v>
      </c>
      <c r="AX308" s="27" t="str">
        <f ca="1">IFERROR(__xludf.DUMMYFUNCTION("""COMPUTED_VALUE"""),"Psicologia e Pedagogia")</f>
        <v>Psicologia e Pedagogia</v>
      </c>
      <c r="AY308" s="27"/>
      <c r="AZ308" s="27" t="str">
        <f ca="1">IFERROR(__xludf.DUMMYFUNCTION("""COMPUTED_VALUE"""),"PP")</f>
        <v>PP</v>
      </c>
      <c r="BA308" s="27"/>
      <c r="BB308" s="27"/>
      <c r="BC308" s="27" t="str">
        <f ca="1">IFERROR(__xludf.DUMMYFUNCTION("""COMPUTED_VALUE"""),"Sim")</f>
        <v>Sim</v>
      </c>
      <c r="BD308" s="27" t="str">
        <f ca="1">IFERROR(__xludf.DUMMYFUNCTION("""COMPUTED_VALUE"""),"Amanda Olliveira  nasceu em uma favela,  viu sua vida mudar por meio da musica, que vinham das salas de aula de um projeto social, cresceu e resolveu múltiplicar o impacto, portanto é fundadora e CEO do Valquirias World, uma holding de iniciativas que ger"&amp;"am impacto social , escritora prestes a lançar seu primeiro livro, já recebeu vinte e oito premiações e trabalha para que o tema Desigualdade Social e de gênero sejam muito em breve vistos somente nos livros de história.")</f>
        <v>Amanda Olliveira  nasceu em uma favela,  viu sua vida mudar por meio da musica, que vinham das salas de aula de um projeto social, cresceu e resolveu múltiplicar o impacto, portanto é fundadora e CEO do Valquirias World, uma holding de iniciativas que geram impacto social , escritora prestes a lançar seu primeiro livro, já recebeu vinte e oito premiações e trabalha para que o tema Desigualdade Social e de gênero sejam muito em breve vistos somente nos livros de história.</v>
      </c>
      <c r="BE308" s="27"/>
      <c r="BF308" s="27"/>
      <c r="BG308" s="27" t="str">
        <f ca="1">IFERROR(__xludf.DUMMYFUNCTION("""COMPUTED_VALUE"""),"Ensino Médio - Completo")</f>
        <v>Ensino Médio - Completo</v>
      </c>
      <c r="BH308" s="27"/>
      <c r="BI308" s="27" t="str">
        <f ca="1">IFERROR(__xludf.DUMMYFUNCTION("""COMPUTED_VALUE"""),"Graduação")</f>
        <v>Graduação</v>
      </c>
      <c r="BJ308" s="27" t="str">
        <f ca="1">IFERROR(__xludf.DUMMYFUNCTION("""COMPUTED_VALUE"""),"Público")</f>
        <v>Público</v>
      </c>
      <c r="BK308" s="27" t="str">
        <f ca="1">IFERROR(__xludf.DUMMYFUNCTION("""COMPUTED_VALUE"""),"Walterio de oliveira Verdi")</f>
        <v>Walterio de oliveira Verdi</v>
      </c>
      <c r="BL308" s="27">
        <f ca="1">IFERROR(__xludf.DUMMYFUNCTION("""COMPUTED_VALUE"""),300)</f>
        <v>300</v>
      </c>
      <c r="BM308" s="27" t="str">
        <f ca="1">IFERROR(__xludf.DUMMYFUNCTION("""COMPUTED_VALUE"""),"Condomínio")</f>
        <v>Condomínio</v>
      </c>
      <c r="BN308" s="27" t="str">
        <f ca="1">IFERROR(__xludf.DUMMYFUNCTION("""COMPUTED_VALUE"""),"São José do Rio Preto")</f>
        <v>São José do Rio Preto</v>
      </c>
      <c r="BO308" s="27" t="str">
        <f ca="1">IFERROR(__xludf.DUMMYFUNCTION("""COMPUTED_VALUE"""),"15076-130")</f>
        <v>15076-130</v>
      </c>
      <c r="BP308" s="27" t="str">
        <f ca="1">IFERROR(__xludf.DUMMYFUNCTION("""COMPUTED_VALUE"""),"SP")</f>
        <v>SP</v>
      </c>
      <c r="BQ308" s="27" t="str">
        <f ca="1">IFERROR(__xludf.DUMMYFUNCTION("""COMPUTED_VALUE"""),"Acima de 5 salários mínimos")</f>
        <v>Acima de 5 salários mínimos</v>
      </c>
      <c r="BR308" s="27" t="str">
        <f ca="1">IFERROR(__xludf.DUMMYFUNCTION("""COMPUTED_VALUE"""),"MEI")</f>
        <v>MEI</v>
      </c>
      <c r="BS308" s="27" t="str">
        <f ca="1">IFERROR(__xludf.DUMMYFUNCTION("""COMPUTED_VALUE"""),"Aluguel")</f>
        <v>Aluguel</v>
      </c>
      <c r="BT308" s="27">
        <f ca="1">IFERROR(__xludf.DUMMYFUNCTION("""COMPUTED_VALUE"""),2)</f>
        <v>2</v>
      </c>
      <c r="BU308" s="27"/>
      <c r="BV308" s="27"/>
      <c r="BW308" s="21" t="str">
        <f ca="1">IFERROR(__xludf.DUMMYFUNCTION("""COMPUTED_VALUE"""),"https://br.linkedin.com/in/amanda-oliveira-b197a2178")</f>
        <v>https://br.linkedin.com/in/amanda-oliveira-b197a2178</v>
      </c>
      <c r="BX308" s="21" t="str">
        <f ca="1">IFERROR(__xludf.DUMMYFUNCTION("""COMPUTED_VALUE"""),"https://instagram.com/amandaoliveiravw?utm_medium=copy_link")</f>
        <v>https://instagram.com/amandaoliveiravw?utm_medium=copy_link</v>
      </c>
      <c r="BY308" s="27"/>
    </row>
    <row r="309" spans="1:77" ht="12.5" x14ac:dyDescent="0.25">
      <c r="A309" s="21" t="str">
        <f ca="1">IFERROR(__xludf.DUMMYFUNCTION("""COMPUTED_VALUE"""),"0014X00002VKCuHQAX")</f>
        <v>0014X00002VKCuHQAX</v>
      </c>
      <c r="B309" s="27" t="str">
        <f ca="1">IFERROR(__xludf.DUMMYFUNCTION("""COMPUTED_VALUE"""),"Fase Inicial")</f>
        <v>Fase Inicial</v>
      </c>
      <c r="C309" s="27" t="str">
        <f ca="1">IFERROR(__xludf.DUMMYFUNCTION("""COMPUTED_VALUE"""),"Fellow")</f>
        <v>Fellow</v>
      </c>
      <c r="D309" s="27" t="str">
        <f ca="1">IFERROR(__xludf.DUMMYFUNCTION("""COMPUTED_VALUE"""),"Ativo")</f>
        <v>Ativo</v>
      </c>
      <c r="E309" s="27" t="str">
        <f ca="1">IFERROR(__xludf.DUMMYFUNCTION("""COMPUTED_VALUE"""),"Instituto Atitude SP")</f>
        <v>Instituto Atitude SP</v>
      </c>
      <c r="F309" s="27" t="str">
        <f ca="1">IFERROR(__xludf.DUMMYFUNCTION("""COMPUTED_VALUE"""),"Aline")</f>
        <v>Aline</v>
      </c>
      <c r="G309" s="27" t="str">
        <f ca="1">IFERROR(__xludf.DUMMYFUNCTION("""COMPUTED_VALUE"""),"INSTITUTO ATITUDE SP")</f>
        <v>INSTITUTO ATITUDE SP</v>
      </c>
      <c r="H309" s="27"/>
      <c r="I309" s="27" t="str">
        <f ca="1">IFERROR(__xludf.DUMMYFUNCTION("""COMPUTED_VALUE"""),"Aline Pierrobom Cordeiro")</f>
        <v>Aline Pierrobom Cordeiro</v>
      </c>
      <c r="J309" s="27" t="str">
        <f ca="1">IFERROR(__xludf.DUMMYFUNCTION("""COMPUTED_VALUE"""),"fazerobem@gmail.com")</f>
        <v>fazerobem@gmail.com</v>
      </c>
      <c r="K309" s="27" t="str">
        <f ca="1">IFERROR(__xludf.DUMMYFUNCTION("""COMPUTED_VALUE"""),"(11)98111-4838")</f>
        <v>(11)98111-4838</v>
      </c>
      <c r="L309" s="27" t="str">
        <f ca="1">IFERROR(__xludf.DUMMYFUNCTION("""COMPUTED_VALUE"""),"SP")</f>
        <v>SP</v>
      </c>
      <c r="M309" s="27" t="str">
        <f ca="1">IFERROR(__xludf.DUMMYFUNCTION("""COMPUTED_VALUE"""),"Rua Barra de São Miguel")</f>
        <v>Rua Barra de São Miguel</v>
      </c>
      <c r="N309" s="27" t="str">
        <f ca="1">IFERROR(__xludf.DUMMYFUNCTION("""COMPUTED_VALUE"""),"Jd Nova Cumbica")</f>
        <v>Jd Nova Cumbica</v>
      </c>
      <c r="O309" s="27">
        <f ca="1">IFERROR(__xludf.DUMMYFUNCTION("""COMPUTED_VALUE"""),0)</f>
        <v>0</v>
      </c>
      <c r="P309" s="27" t="str">
        <f ca="1">IFERROR(__xludf.DUMMYFUNCTION("""COMPUTED_VALUE"""),"Guarulhos")</f>
        <v>Guarulhos</v>
      </c>
      <c r="Q309" s="27">
        <f ca="1">IFERROR(__xludf.DUMMYFUNCTION("""COMPUTED_VALUE"""),0)</f>
        <v>0</v>
      </c>
      <c r="R309" s="27" t="str">
        <f ca="1">IFERROR(__xludf.DUMMYFUNCTION("""COMPUTED_VALUE"""),"07231-030")</f>
        <v>07231-030</v>
      </c>
      <c r="S309" s="27" t="str">
        <f ca="1">IFERROR(__xludf.DUMMYFUNCTION("""COMPUTED_VALUE"""),"Não")</f>
        <v>Não</v>
      </c>
      <c r="T309" s="27"/>
      <c r="U309" s="27" t="str">
        <f ca="1">IFERROR(__xludf.DUMMYFUNCTION("""COMPUTED_VALUE"""),"Jovens (18 aos 24 anos), Adultos")</f>
        <v>Jovens (18 aos 24 anos), Adultos</v>
      </c>
      <c r="V309" s="27" t="str">
        <f ca="1">IFERROR(__xludf.DUMMYFUNCTION("""COMPUTED_VALUE"""),"Moradores de Favelas")</f>
        <v>Moradores de Favelas</v>
      </c>
      <c r="W309" s="27">
        <f ca="1">IFERROR(__xludf.DUMMYFUNCTION("""COMPUTED_VALUE"""),1)</f>
        <v>1</v>
      </c>
      <c r="X309" s="27" t="str">
        <f ca="1">IFERROR(__xludf.DUMMYFUNCTION("""COMPUTED_VALUE"""),"Nosso foco é trabalhar com as mulheres da comunidade trazendo educação básica a profissional* desenvolvimento do potencial que elas tem.")</f>
        <v>Nosso foco é trabalhar com as mulheres da comunidade trazendo educação básica a profissional* desenvolvimento do potencial que elas tem.</v>
      </c>
      <c r="Y309" s="27"/>
      <c r="Z309" s="27">
        <f ca="1">IFERROR(__xludf.DUMMYFUNCTION("""COMPUTED_VALUE"""),150)</f>
        <v>150</v>
      </c>
      <c r="AA309" s="29">
        <f ca="1">IFERROR(__xludf.DUMMYFUNCTION("""COMPUTED_VALUE"""),44275)</f>
        <v>44275</v>
      </c>
      <c r="AB309" s="27" t="str">
        <f ca="1">IFERROR(__xludf.DUMMYFUNCTION("""COMPUTED_VALUE"""),"Não")</f>
        <v>Não</v>
      </c>
      <c r="AC309" s="27">
        <f ca="1">IFERROR(__xludf.DUMMYFUNCTION("""COMPUTED_VALUE"""),0)</f>
        <v>0</v>
      </c>
      <c r="AD309" s="27">
        <f ca="1">IFERROR(__xludf.DUMMYFUNCTION("""COMPUTED_VALUE"""),0)</f>
        <v>0</v>
      </c>
      <c r="AE309" s="27">
        <f ca="1">IFERROR(__xludf.DUMMYFUNCTION("""COMPUTED_VALUE"""),15)</f>
        <v>15</v>
      </c>
      <c r="AF309" s="27">
        <f ca="1">IFERROR(__xludf.DUMMYFUNCTION("""COMPUTED_VALUE"""),8)</f>
        <v>8</v>
      </c>
      <c r="AG309" s="27">
        <f ca="1">IFERROR(__xludf.DUMMYFUNCTION("""COMPUTED_VALUE"""),3)</f>
        <v>3</v>
      </c>
      <c r="AH309" s="27" t="str">
        <f ca="1">IFERROR(__xludf.DUMMYFUNCTION("""COMPUTED_VALUE"""),"Outro(s), Doações, Recursos próprios")</f>
        <v>Outro(s), Doações, Recursos próprios</v>
      </c>
      <c r="AI309" s="27" t="str">
        <f ca="1">IFERROR(__xludf.DUMMYFUNCTION("""COMPUTED_VALUE"""),"30% doações 60% rifa 20% recurso próprio")</f>
        <v>30% doações 60% rifa 20% recurso próprio</v>
      </c>
      <c r="AJ309" s="27" t="str">
        <f ca="1">IFERROR(__xludf.DUMMYFUNCTION("""COMPUTED_VALUE"""),"Não")</f>
        <v>Não</v>
      </c>
      <c r="AK309" s="27"/>
      <c r="AL309" s="21" t="str">
        <f ca="1">IFERROR(__xludf.DUMMYFUNCTION("""COMPUTED_VALUE"""),"0034X0000380O1M")</f>
        <v>0034X0000380O1M</v>
      </c>
      <c r="AM309" s="27" t="str">
        <f ca="1">IFERROR(__xludf.DUMMYFUNCTION("""COMPUTED_VALUE"""),"Pierrobom cordeiro")</f>
        <v>Pierrobom cordeiro</v>
      </c>
      <c r="AN309" s="27" t="str">
        <f ca="1">IFERROR(__xludf.DUMMYFUNCTION("""COMPUTED_VALUE"""),"Ativo")</f>
        <v>Ativo</v>
      </c>
      <c r="AO309" s="29">
        <f ca="1">IFERROR(__xludf.DUMMYFUNCTION("""COMPUTED_VALUE"""),44763)</f>
        <v>44763</v>
      </c>
      <c r="AP309" s="27">
        <f ca="1">IFERROR(__xludf.DUMMYFUNCTION("""COMPUTED_VALUE"""),2)</f>
        <v>2</v>
      </c>
      <c r="AQ309" s="27" t="str">
        <f ca="1">IFERROR(__xludf.DUMMYFUNCTION("""COMPUTED_VALUE"""),"Primeiro Semestre 2022")</f>
        <v>Primeiro Semestre 2022</v>
      </c>
      <c r="AR309" s="27" t="str">
        <f ca="1">IFERROR(__xludf.DUMMYFUNCTION("""COMPUTED_VALUE"""),"alinepierrobom@gmail.com")</f>
        <v>alinepierrobom@gmail.com</v>
      </c>
      <c r="AS309" s="27">
        <f ca="1">IFERROR(__xludf.DUMMYFUNCTION("""COMPUTED_VALUE"""),11981114838)</f>
        <v>11981114838</v>
      </c>
      <c r="AT309" s="29">
        <f ca="1">IFERROR(__xludf.DUMMYFUNCTION("""COMPUTED_VALUE"""),30592)</f>
        <v>30592</v>
      </c>
      <c r="AU309" s="27">
        <f ca="1">IFERROR(__xludf.DUMMYFUNCTION("""COMPUTED_VALUE"""),39)</f>
        <v>39</v>
      </c>
      <c r="AV309" s="27">
        <f ca="1">IFERROR(__xludf.DUMMYFUNCTION("""COMPUTED_VALUE"""),30164430822)</f>
        <v>30164430822</v>
      </c>
      <c r="AW309" s="27" t="str">
        <f ca="1">IFERROR(__xludf.DUMMYFUNCTION("""COMPUTED_VALUE"""),"25087037x")</f>
        <v>25087037x</v>
      </c>
      <c r="AX309" s="27"/>
      <c r="AY309" s="27"/>
      <c r="AZ309" s="27" t="str">
        <f ca="1">IFERROR(__xludf.DUMMYFUNCTION("""COMPUTED_VALUE"""),"G1")</f>
        <v>G1</v>
      </c>
      <c r="BA309" s="27" t="str">
        <f ca="1">IFERROR(__xludf.DUMMYFUNCTION("""COMPUTED_VALUE"""),"Branca")</f>
        <v>Branca</v>
      </c>
      <c r="BB309" s="27"/>
      <c r="BC309" s="27"/>
      <c r="BD309" s="27" t="str">
        <f ca="1">IFERROR(__xludf.DUMMYFUNCTION("""COMPUTED_VALUE"""),"Tenho quase 39 anos* sou formada em Administração de empresas e pós em gastronomia. Sou mãe solo do Miguel de quase 9 anos* ser mãe e ser mãe solo mudou completamente a minha visão de mundo* embora sempre tenha gostado de contribuir aqui e ali* ganhei uma"&amp;" vontade de mudar o mundo* comecei a estudar* sobre política* sobre meio ambiente* aquecimento global* me tornei líder da realidade climática* e fui tendo o gostinho através do projeto da Jornada pelo Clima do gostinho de fazer essa mudança. Sou uma pesso"&amp;"a com dificuldade de falar não* sempre querendo ajudar nem que seja com uma carona* não tive ainda sucesso profissional financeiro ( passo perrengue ainda com os boletos)* já tentei e sigo tentando empreender no que sou apaixonada que é cozinhar* fazer as"&amp;" pessoas ficarem com o coração quentinho com uma boa comida. Trabalho hoje como personal chef* quando consigo algum evento* tenho uma lanchonete temporariamente na feirinha da madrugada do Brás* presto serviço pra uma empresa britânica de tintas marcadora"&amp;"s eventualmente e topo qualquer trabalho pra dar uma vida melhor para o meu pequeno.")</f>
        <v>Tenho quase 39 anos* sou formada em Administração de empresas e pós em gastronomia. Sou mãe solo do Miguel de quase 9 anos* ser mãe e ser mãe solo mudou completamente a minha visão de mundo* embora sempre tenha gostado de contribuir aqui e ali* ganhei uma vontade de mudar o mundo* comecei a estudar* sobre política* sobre meio ambiente* aquecimento global* me tornei líder da realidade climática* e fui tendo o gostinho através do projeto da Jornada pelo Clima do gostinho de fazer essa mudança. Sou uma pessoa com dificuldade de falar não* sempre querendo ajudar nem que seja com uma carona* não tive ainda sucesso profissional financeiro ( passo perrengue ainda com os boletos)* já tentei e sigo tentando empreender no que sou apaixonada que é cozinhar* fazer as pessoas ficarem com o coração quentinho com uma boa comida. Trabalho hoje como personal chef* quando consigo algum evento* tenho uma lanchonete temporariamente na feirinha da madrugada do Brás* presto serviço pra uma empresa britânica de tintas marcadoras eventualmente e topo qualquer trabalho pra dar uma vida melhor para o meu pequeno.</v>
      </c>
      <c r="BE309" s="27" t="str">
        <f ca="1">IFERROR(__xludf.DUMMYFUNCTION("""COMPUTED_VALUE"""),"Feminino")</f>
        <v>Feminino</v>
      </c>
      <c r="BF309" s="27" t="str">
        <f ca="1">IFERROR(__xludf.DUMMYFUNCTION("""COMPUTED_VALUE"""),"Heterossexual")</f>
        <v>Heterossexual</v>
      </c>
      <c r="BG309" s="27"/>
      <c r="BH309" s="27" t="str">
        <f ca="1">IFERROR(__xludf.DUMMYFUNCTION("""COMPUTED_VALUE"""),"Privado")</f>
        <v>Privado</v>
      </c>
      <c r="BI309" s="27" t="str">
        <f ca="1">IFERROR(__xludf.DUMMYFUNCTION("""COMPUTED_VALUE"""),"Pós-Graduação")</f>
        <v>Pós-Graduação</v>
      </c>
      <c r="BJ309" s="27" t="str">
        <f ca="1">IFERROR(__xludf.DUMMYFUNCTION("""COMPUTED_VALUE"""),"Privado")</f>
        <v>Privado</v>
      </c>
      <c r="BK309" s="27" t="str">
        <f ca="1">IFERROR(__xludf.DUMMYFUNCTION("""COMPUTED_VALUE"""),"Rua João Marcelo Santoni")</f>
        <v>Rua João Marcelo Santoni</v>
      </c>
      <c r="BL309" s="27">
        <f ca="1">IFERROR(__xludf.DUMMYFUNCTION("""COMPUTED_VALUE"""),208)</f>
        <v>208</v>
      </c>
      <c r="BM309" s="27"/>
      <c r="BN309" s="27"/>
      <c r="BO309" s="27">
        <f ca="1">IFERROR(__xludf.DUMMYFUNCTION("""COMPUTED_VALUE"""),7114120)</f>
        <v>7114120</v>
      </c>
      <c r="BP309" s="27" t="str">
        <f ca="1">IFERROR(__xludf.DUMMYFUNCTION("""COMPUTED_VALUE"""),"SP")</f>
        <v>SP</v>
      </c>
      <c r="BQ309" s="27" t="str">
        <f ca="1">IFERROR(__xludf.DUMMYFUNCTION("""COMPUTED_VALUE"""),"Entre 1 até 3 salários mínimos")</f>
        <v>Entre 1 até 3 salários mínimos</v>
      </c>
      <c r="BR309" s="27" t="str">
        <f ca="1">IFERROR(__xludf.DUMMYFUNCTION("""COMPUTED_VALUE"""),"Trabalho informal")</f>
        <v>Trabalho informal</v>
      </c>
      <c r="BS309" s="27" t="str">
        <f ca="1">IFERROR(__xludf.DUMMYFUNCTION("""COMPUTED_VALUE"""),"Casa cedida")</f>
        <v>Casa cedida</v>
      </c>
      <c r="BT309" s="27">
        <f ca="1">IFERROR(__xludf.DUMMYFUNCTION("""COMPUTED_VALUE"""),3)</f>
        <v>3</v>
      </c>
      <c r="BU309" s="27" t="str">
        <f ca="1">IFERROR(__xludf.DUMMYFUNCTION("""COMPUTED_VALUE"""),"Não tem")</f>
        <v>Não tem</v>
      </c>
      <c r="BV309" s="27" t="str">
        <f ca="1">IFERROR(__xludf.DUMMYFUNCTION("""COMPUTED_VALUE"""),"Não")</f>
        <v>Não</v>
      </c>
      <c r="BW309" s="21" t="str">
        <f ca="1">IFERROR(__xludf.DUMMYFUNCTION("""COMPUTED_VALUE"""),"https://www.linkedin.com/in/aline-pierrobom-cordeiro-233a8a24/")</f>
        <v>https://www.linkedin.com/in/aline-pierrobom-cordeiro-233a8a24/</v>
      </c>
      <c r="BX309" s="21" t="str">
        <f ca="1">IFERROR(__xludf.DUMMYFUNCTION("""COMPUTED_VALUE"""),"https://www.instagram.com/alinepierrobom")</f>
        <v>https://www.instagram.com/alinepierrobom</v>
      </c>
      <c r="BY309" s="21" t="str">
        <f ca="1">IFERROR(__xludf.DUMMYFUNCTION("""COMPUTED_VALUE"""),"https://drive.google.com/open?id=1dkGONLBMSJ4G-fMKSAUskITLQFPX9d6e")</f>
        <v>https://drive.google.com/open?id=1dkGONLBMSJ4G-fMKSAUskITLQFPX9d6e</v>
      </c>
    </row>
    <row r="310" spans="1:77" ht="12.5" hidden="1" x14ac:dyDescent="0.25">
      <c r="A310" s="21" t="str">
        <f ca="1">IFERROR(__xludf.DUMMYFUNCTION("""COMPUTED_VALUE"""),"0014X00002VKCpAQAX")</f>
        <v>0014X00002VKCpAQAX</v>
      </c>
      <c r="B310" s="27"/>
      <c r="C310" s="27" t="str">
        <f ca="1">IFERROR(__xludf.DUMMYFUNCTION("""COMPUTED_VALUE"""),"Fellow")</f>
        <v>Fellow</v>
      </c>
      <c r="D310" s="27" t="str">
        <f ca="1">IFERROR(__xludf.DUMMYFUNCTION("""COMPUTED_VALUE"""),"Ativo")</f>
        <v>Ativo</v>
      </c>
      <c r="E310" s="27" t="str">
        <f ca="1">IFERROR(__xludf.DUMMYFUNCTION("""COMPUTED_VALUE"""),"Instituto Avivah")</f>
        <v>Instituto Avivah</v>
      </c>
      <c r="F310" s="27" t="str">
        <f ca="1">IFERROR(__xludf.DUMMYFUNCTION("""COMPUTED_VALUE"""),"Edson")</f>
        <v>Edson</v>
      </c>
      <c r="G310" s="27" t="str">
        <f ca="1">IFERROR(__xludf.DUMMYFUNCTION("""COMPUTED_VALUE"""),"INSTITUTO AVIVAH")</f>
        <v>INSTITUTO AVIVAH</v>
      </c>
      <c r="H310" s="27" t="str">
        <f ca="1">IFERROR(__xludf.DUMMYFUNCTION("""COMPUTED_VALUE"""),"28.216429/0001-30")</f>
        <v>28.216429/0001-30</v>
      </c>
      <c r="I310" s="27" t="str">
        <f ca="1">IFERROR(__xludf.DUMMYFUNCTION("""COMPUTED_VALUE"""),"Edson Ramos da Silva")</f>
        <v>Edson Ramos da Silva</v>
      </c>
      <c r="J310" s="27" t="str">
        <f ca="1">IFERROR(__xludf.DUMMYFUNCTION("""COMPUTED_VALUE"""),"institutoavivah@gmail.com")</f>
        <v>institutoavivah@gmail.com</v>
      </c>
      <c r="K310" s="27" t="str">
        <f ca="1">IFERROR(__xludf.DUMMYFUNCTION("""COMPUTED_VALUE"""),"(82)99322-4355")</f>
        <v>(82)99322-4355</v>
      </c>
      <c r="L310" s="27" t="str">
        <f ca="1">IFERROR(__xludf.DUMMYFUNCTION("""COMPUTED_VALUE"""),"AL")</f>
        <v>AL</v>
      </c>
      <c r="M310" s="27" t="str">
        <f ca="1">IFERROR(__xludf.DUMMYFUNCTION("""COMPUTED_VALUE"""),"Rua Dom Pedro II")</f>
        <v>Rua Dom Pedro II</v>
      </c>
      <c r="N310" s="27" t="str">
        <f ca="1">IFERROR(__xludf.DUMMYFUNCTION("""COMPUTED_VALUE"""),"Pedras")</f>
        <v>Pedras</v>
      </c>
      <c r="O310" s="27">
        <f ca="1">IFERROR(__xludf.DUMMYFUNCTION("""COMPUTED_VALUE"""),19)</f>
        <v>19</v>
      </c>
      <c r="P310" s="27" t="str">
        <f ca="1">IFERROR(__xludf.DUMMYFUNCTION("""COMPUTED_VALUE"""),"Marechal Deodoro")</f>
        <v>Marechal Deodoro</v>
      </c>
      <c r="Q310" s="27"/>
      <c r="R310" s="27" t="str">
        <f ca="1">IFERROR(__xludf.DUMMYFUNCTION("""COMPUTED_VALUE"""),"57160-000")</f>
        <v>57160-000</v>
      </c>
      <c r="S310" s="27"/>
      <c r="T310" s="27"/>
      <c r="U310" s="27"/>
      <c r="V310" s="27"/>
      <c r="W310" s="27">
        <f ca="1">IFERROR(__xludf.DUMMYFUNCTION("""COMPUTED_VALUE"""),2)</f>
        <v>2</v>
      </c>
      <c r="X310" s="27"/>
      <c r="Y310" s="27"/>
      <c r="Z310" s="27">
        <f ca="1">IFERROR(__xludf.DUMMYFUNCTION("""COMPUTED_VALUE"""),150)</f>
        <v>150</v>
      </c>
      <c r="AA310" s="29">
        <f ca="1">IFERROR(__xludf.DUMMYFUNCTION("""COMPUTED_VALUE"""),42621)</f>
        <v>42621</v>
      </c>
      <c r="AB310" s="27" t="str">
        <f ca="1">IFERROR(__xludf.DUMMYFUNCTION("""COMPUTED_VALUE"""),"Sim")</f>
        <v>Sim</v>
      </c>
      <c r="AC310" s="27"/>
      <c r="AD310" s="27"/>
      <c r="AE310" s="27">
        <f ca="1">IFERROR(__xludf.DUMMYFUNCTION("""COMPUTED_VALUE"""),6)</f>
        <v>6</v>
      </c>
      <c r="AF310" s="27"/>
      <c r="AG310" s="27">
        <f ca="1">IFERROR(__xludf.DUMMYFUNCTION("""COMPUTED_VALUE"""),2)</f>
        <v>2</v>
      </c>
      <c r="AH310" s="27"/>
      <c r="AI310" s="27" t="str">
        <f ca="1">IFERROR(__xludf.DUMMYFUNCTION("""COMPUTED_VALUE"""),"Captação PJ 7*8%, Captação PF 32*3%, Convênio Público 52%")</f>
        <v>Captação PJ 7*8%, Captação PF 32*3%, Convênio Público 52%</v>
      </c>
      <c r="AJ310" s="27" t="str">
        <f ca="1">IFERROR(__xludf.DUMMYFUNCTION("""COMPUTED_VALUE"""),"Não")</f>
        <v>Não</v>
      </c>
      <c r="AK310" s="27"/>
      <c r="AL310" s="21" t="str">
        <f ca="1">IFERROR(__xludf.DUMMYFUNCTION("""COMPUTED_VALUE"""),"0034X0000380O5K")</f>
        <v>0034X0000380O5K</v>
      </c>
      <c r="AM310" s="27" t="str">
        <f ca="1">IFERROR(__xludf.DUMMYFUNCTION("""COMPUTED_VALUE"""),"Ramos da silva")</f>
        <v>Ramos da silva</v>
      </c>
      <c r="AN310" s="27" t="str">
        <f ca="1">IFERROR(__xludf.DUMMYFUNCTION("""COMPUTED_VALUE"""),"Ativo")</f>
        <v>Ativo</v>
      </c>
      <c r="AO310" s="29">
        <f ca="1">IFERROR(__xludf.DUMMYFUNCTION("""COMPUTED_VALUE"""),44763)</f>
        <v>44763</v>
      </c>
      <c r="AP310" s="27">
        <f ca="1">IFERROR(__xludf.DUMMYFUNCTION("""COMPUTED_VALUE"""),2)</f>
        <v>2</v>
      </c>
      <c r="AQ310" s="27" t="str">
        <f ca="1">IFERROR(__xludf.DUMMYFUNCTION("""COMPUTED_VALUE"""),"Primeiro Semestre 2022")</f>
        <v>Primeiro Semestre 2022</v>
      </c>
      <c r="AR310" s="27" t="str">
        <f ca="1">IFERROR(__xludf.DUMMYFUNCTION("""COMPUTED_VALUE"""),"edsonramos.opa@gmail.com")</f>
        <v>edsonramos.opa@gmail.com</v>
      </c>
      <c r="AS310" s="27">
        <f ca="1">IFERROR(__xludf.DUMMYFUNCTION("""COMPUTED_VALUE"""),82988256312)</f>
        <v>82988256312</v>
      </c>
      <c r="AT310" s="29">
        <f ca="1">IFERROR(__xludf.DUMMYFUNCTION("""COMPUTED_VALUE"""),22877)</f>
        <v>22877</v>
      </c>
      <c r="AU310" s="27">
        <f ca="1">IFERROR(__xludf.DUMMYFUNCTION("""COMPUTED_VALUE"""),60)</f>
        <v>60</v>
      </c>
      <c r="AV310" s="27">
        <f ca="1">IFERROR(__xludf.DUMMYFUNCTION("""COMPUTED_VALUE"""),32149476487)</f>
        <v>32149476487</v>
      </c>
      <c r="AW310" s="27" t="str">
        <f ca="1">IFERROR(__xludf.DUMMYFUNCTION("""COMPUTED_VALUE"""),"423314 SSP/AL")</f>
        <v>423314 SSP/AL</v>
      </c>
      <c r="AX310" s="27"/>
      <c r="AY310" s="27"/>
      <c r="AZ310" s="27" t="str">
        <f ca="1">IFERROR(__xludf.DUMMYFUNCTION("""COMPUTED_VALUE"""),"G")</f>
        <v>G</v>
      </c>
      <c r="BA310" s="27" t="str">
        <f ca="1">IFERROR(__xludf.DUMMYFUNCTION("""COMPUTED_VALUE"""),"Preta")</f>
        <v>Preta</v>
      </c>
      <c r="BB310" s="27"/>
      <c r="BC310" s="27"/>
      <c r="BD310" s="27" t="str">
        <f ca="1">IFERROR(__xludf.DUMMYFUNCTION("""COMPUTED_VALUE"""),"Sou casado com a Jane que é professora* temos 3 filhos (duas meninas e um menino)* trabalho na Casa do Marechal Deodoro* e as noites fico no Avivah* instituição que iniciamos para ajudar a crianças e adolescentes.")</f>
        <v>Sou casado com a Jane que é professora* temos 3 filhos (duas meninas e um menino)* trabalho na Casa do Marechal Deodoro* e as noites fico no Avivah* instituição que iniciamos para ajudar a crianças e adolescentes.</v>
      </c>
      <c r="BE310" s="27" t="str">
        <f ca="1">IFERROR(__xludf.DUMMYFUNCTION("""COMPUTED_VALUE"""),"Masculino")</f>
        <v>Masculino</v>
      </c>
      <c r="BF310" s="27" t="str">
        <f ca="1">IFERROR(__xludf.DUMMYFUNCTION("""COMPUTED_VALUE"""),"Heterossexual")</f>
        <v>Heterossexual</v>
      </c>
      <c r="BG310" s="27"/>
      <c r="BH310" s="27" t="str">
        <f ca="1">IFERROR(__xludf.DUMMYFUNCTION("""COMPUTED_VALUE"""),"Público")</f>
        <v>Público</v>
      </c>
      <c r="BI310" s="27" t="str">
        <f ca="1">IFERROR(__xludf.DUMMYFUNCTION("""COMPUTED_VALUE"""),"Graduação")</f>
        <v>Graduação</v>
      </c>
      <c r="BJ310" s="27" t="str">
        <f ca="1">IFERROR(__xludf.DUMMYFUNCTION("""COMPUTED_VALUE"""),"Privado")</f>
        <v>Privado</v>
      </c>
      <c r="BK310" s="27" t="str">
        <f ca="1">IFERROR(__xludf.DUMMYFUNCTION("""COMPUTED_VALUE"""),"Rua Dona Leopoldina")</f>
        <v>Rua Dona Leopoldina</v>
      </c>
      <c r="BL310" s="27" t="str">
        <f ca="1">IFERROR(__xludf.DUMMYFUNCTION("""COMPUTED_VALUE"""),"27 A")</f>
        <v>27 A</v>
      </c>
      <c r="BM310" s="27"/>
      <c r="BN310" s="27"/>
      <c r="BO310" s="27">
        <f ca="1">IFERROR(__xludf.DUMMYFUNCTION("""COMPUTED_VALUE"""),57160000)</f>
        <v>57160000</v>
      </c>
      <c r="BP310" s="27" t="str">
        <f ca="1">IFERROR(__xludf.DUMMYFUNCTION("""COMPUTED_VALUE"""),"AL")</f>
        <v>AL</v>
      </c>
      <c r="BQ310" s="27" t="str">
        <f ca="1">IFERROR(__xludf.DUMMYFUNCTION("""COMPUTED_VALUE"""),"Entre 1 até 3 salários mínimos")</f>
        <v>Entre 1 até 3 salários mínimos</v>
      </c>
      <c r="BR310" s="27" t="str">
        <f ca="1">IFERROR(__xludf.DUMMYFUNCTION("""COMPUTED_VALUE"""),"Funcionário Público")</f>
        <v>Funcionário Público</v>
      </c>
      <c r="BS310" s="27" t="str">
        <f ca="1">IFERROR(__xludf.DUMMYFUNCTION("""COMPUTED_VALUE"""),"Casa própria")</f>
        <v>Casa própria</v>
      </c>
      <c r="BT310" s="27">
        <f ca="1">IFERROR(__xludf.DUMMYFUNCTION("""COMPUTED_VALUE"""),1)</f>
        <v>1</v>
      </c>
      <c r="BU310" s="27" t="str">
        <f ca="1">IFERROR(__xludf.DUMMYFUNCTION("""COMPUTED_VALUE"""),"Surdez leve/moderada")</f>
        <v>Surdez leve/moderada</v>
      </c>
      <c r="BV310" s="27" t="str">
        <f ca="1">IFERROR(__xludf.DUMMYFUNCTION("""COMPUTED_VALUE"""),"Não")</f>
        <v>Não</v>
      </c>
      <c r="BW310" s="27"/>
      <c r="BX310" s="27" t="str">
        <f ca="1">IFERROR(__xludf.DUMMYFUNCTION("""COMPUTED_VALUE"""),"edson.ramoss")</f>
        <v>edson.ramoss</v>
      </c>
      <c r="BY310" s="21" t="str">
        <f ca="1">IFERROR(__xludf.DUMMYFUNCTION("""COMPUTED_VALUE"""),"https://drive.google.com/open?id=1jzecVy_m4r2ael14vH8L-t37J-W5FfPJ")</f>
        <v>https://drive.google.com/open?id=1jzecVy_m4r2ael14vH8L-t37J-W5FfPJ</v>
      </c>
    </row>
    <row r="311" spans="1:77" ht="12.5" x14ac:dyDescent="0.25">
      <c r="A311" s="21" t="str">
        <f ca="1">IFERROR(__xludf.DUMMYFUNCTION("""COMPUTED_VALUE"""),"0014X00002VKCuWQAX")</f>
        <v>0014X00002VKCuWQAX</v>
      </c>
      <c r="B311" s="27" t="str">
        <f ca="1">IFERROR(__xludf.DUMMYFUNCTION("""COMPUTED_VALUE"""),"Fase Inicial")</f>
        <v>Fase Inicial</v>
      </c>
      <c r="C311" s="27" t="str">
        <f ca="1">IFERROR(__xludf.DUMMYFUNCTION("""COMPUTED_VALUE"""),"Fellow")</f>
        <v>Fellow</v>
      </c>
      <c r="D311" s="27" t="str">
        <f ca="1">IFERROR(__xludf.DUMMYFUNCTION("""COMPUTED_VALUE"""),"Ativo")</f>
        <v>Ativo</v>
      </c>
      <c r="E311" s="27" t="str">
        <f ca="1">IFERROR(__xludf.DUMMYFUNCTION("""COMPUTED_VALUE"""),"Instituto Batista Simon Pr Simon Horbaczyk")</f>
        <v>Instituto Batista Simon Pr Simon Horbaczyk</v>
      </c>
      <c r="F311" s="27" t="str">
        <f ca="1">IFERROR(__xludf.DUMMYFUNCTION("""COMPUTED_VALUE"""),"Cassia")</f>
        <v>Cassia</v>
      </c>
      <c r="G311" s="27" t="str">
        <f ca="1">IFERROR(__xludf.DUMMYFUNCTION("""COMPUTED_VALUE"""),"IBSH")</f>
        <v>IBSH</v>
      </c>
      <c r="H311" s="27" t="str">
        <f ca="1">IFERROR(__xludf.DUMMYFUNCTION("""COMPUTED_VALUE"""),"07.069.676/0001-80")</f>
        <v>07.069.676/0001-80</v>
      </c>
      <c r="I311" s="27" t="str">
        <f ca="1">IFERROR(__xludf.DUMMYFUNCTION("""COMPUTED_VALUE"""),"Manoel Ramires Filho")</f>
        <v>Manoel Ramires Filho</v>
      </c>
      <c r="J311" s="27" t="str">
        <f ca="1">IFERROR(__xludf.DUMMYFUNCTION("""COMPUTED_VALUE"""),"ibsh.instituto@gmail.com")</f>
        <v>ibsh.instituto@gmail.com</v>
      </c>
      <c r="K311" s="27" t="str">
        <f ca="1">IFERROR(__xludf.DUMMYFUNCTION("""COMPUTED_VALUE"""),"(11)2017-6362")</f>
        <v>(11)2017-6362</v>
      </c>
      <c r="L311" s="27" t="str">
        <f ca="1">IFERROR(__xludf.DUMMYFUNCTION("""COMPUTED_VALUE"""),"SP")</f>
        <v>SP</v>
      </c>
      <c r="M311" s="27" t="str">
        <f ca="1">IFERROR(__xludf.DUMMYFUNCTION("""COMPUTED_VALUE"""),"Rua Ernesto Manograsso,  207")</f>
        <v>Rua Ernesto Manograsso,  207</v>
      </c>
      <c r="N311" s="27" t="str">
        <f ca="1">IFERROR(__xludf.DUMMYFUNCTION("""COMPUTED_VALUE"""),"São Mateus")</f>
        <v>São Mateus</v>
      </c>
      <c r="O311" s="27">
        <f ca="1">IFERROR(__xludf.DUMMYFUNCTION("""COMPUTED_VALUE"""),207)</f>
        <v>207</v>
      </c>
      <c r="P311" s="27" t="str">
        <f ca="1">IFERROR(__xludf.DUMMYFUNCTION("""COMPUTED_VALUE"""),"São Paulo")</f>
        <v>São Paulo</v>
      </c>
      <c r="Q311" s="27"/>
      <c r="R311" s="27" t="str">
        <f ca="1">IFERROR(__xludf.DUMMYFUNCTION("""COMPUTED_VALUE"""),"03963-100")</f>
        <v>03963-100</v>
      </c>
      <c r="S311" s="27" t="str">
        <f ca="1">IFERROR(__xludf.DUMMYFUNCTION("""COMPUTED_VALUE"""),"Igreja Batista")</f>
        <v>Igreja Batista</v>
      </c>
      <c r="T311" s="27"/>
      <c r="U311" s="27" t="str">
        <f ca="1">IFERROR(__xludf.DUMMYFUNCTION("""COMPUTED_VALUE"""),"Crianças (6 a 12 anos), Adolescentes (12 aos 18 anos), Jovens (18 aos 24 anos), Adultos, Idosos (60 anos ou mais)")</f>
        <v>Crianças (6 a 12 anos), Adolescentes (12 aos 18 anos), Jovens (18 aos 24 anos), Adultos, Idosos (60 anos ou mais)</v>
      </c>
      <c r="V311" s="27" t="str">
        <f ca="1">IFERROR(__xludf.DUMMYFUNCTION("""COMPUTED_VALUE"""),"Moradores de Favelas, Pessoas em situação de rua, Imigrantes, Refugiados, Outros")</f>
        <v>Moradores de Favelas, Pessoas em situação de rua, Imigrantes, Refugiados, Outros</v>
      </c>
      <c r="W311" s="27">
        <f ca="1">IFERROR(__xludf.DUMMYFUNCTION("""COMPUTED_VALUE"""),5)</f>
        <v>5</v>
      </c>
      <c r="X311" s="27" t="str">
        <f ca="1">IFERROR(__xludf.DUMMYFUNCTION("""COMPUTED_VALUE"""),"Estamos situados no meio de 5 comunidades* porém com a pandemia atendemos pessoas de diversas regiões")</f>
        <v>Estamos situados no meio de 5 comunidades* porém com a pandemia atendemos pessoas de diversas regiões</v>
      </c>
      <c r="Y311" s="27"/>
      <c r="Z311" s="27">
        <f ca="1">IFERROR(__xludf.DUMMYFUNCTION("""COMPUTED_VALUE"""),120)</f>
        <v>120</v>
      </c>
      <c r="AA311" s="29">
        <f ca="1">IFERROR(__xludf.DUMMYFUNCTION("""COMPUTED_VALUE"""),38281)</f>
        <v>38281</v>
      </c>
      <c r="AB311" s="27" t="str">
        <f ca="1">IFERROR(__xludf.DUMMYFUNCTION("""COMPUTED_VALUE"""),"Sim")</f>
        <v>Sim</v>
      </c>
      <c r="AC311" s="27">
        <f ca="1">IFERROR(__xludf.DUMMYFUNCTION("""COMPUTED_VALUE"""),35)</f>
        <v>35</v>
      </c>
      <c r="AD311" s="27">
        <f ca="1">IFERROR(__xludf.DUMMYFUNCTION("""COMPUTED_VALUE"""),7)</f>
        <v>7</v>
      </c>
      <c r="AE311" s="27">
        <f ca="1">IFERROR(__xludf.DUMMYFUNCTION("""COMPUTED_VALUE"""),20)</f>
        <v>20</v>
      </c>
      <c r="AF311" s="27">
        <f ca="1">IFERROR(__xludf.DUMMYFUNCTION("""COMPUTED_VALUE"""),35)</f>
        <v>35</v>
      </c>
      <c r="AG311" s="27">
        <f ca="1">IFERROR(__xludf.DUMMYFUNCTION("""COMPUTED_VALUE"""),4)</f>
        <v>4</v>
      </c>
      <c r="AH311" s="27" t="str">
        <f ca="1">IFERROR(__xludf.DUMMYFUNCTION("""COMPUTED_VALUE"""),"Negócio Social, Eventos/Ações para captação, Parceria iniciativa privada, Doações")</f>
        <v>Negócio Social, Eventos/Ações para captação, Parceria iniciativa privada, Doações</v>
      </c>
      <c r="AI311" s="27" t="str">
        <f ca="1">IFERROR(__xludf.DUMMYFUNCTION("""COMPUTED_VALUE"""),"0.5")</f>
        <v>0.5</v>
      </c>
      <c r="AJ311" s="27" t="str">
        <f ca="1">IFERROR(__xludf.DUMMYFUNCTION("""COMPUTED_VALUE"""),"Vamos iniciar esse ano")</f>
        <v>Vamos iniciar esse ano</v>
      </c>
      <c r="AK311" s="27"/>
      <c r="AL311" s="21" t="str">
        <f ca="1">IFERROR(__xludf.DUMMYFUNCTION("""COMPUTED_VALUE"""),"0034X0000380O3O")</f>
        <v>0034X0000380O3O</v>
      </c>
      <c r="AM311" s="27" t="str">
        <f ca="1">IFERROR(__xludf.DUMMYFUNCTION("""COMPUTED_VALUE"""),"Doroti silva de farias")</f>
        <v>Doroti silva de farias</v>
      </c>
      <c r="AN311" s="27" t="str">
        <f ca="1">IFERROR(__xludf.DUMMYFUNCTION("""COMPUTED_VALUE"""),"Ativo")</f>
        <v>Ativo</v>
      </c>
      <c r="AO311" s="29">
        <f ca="1">IFERROR(__xludf.DUMMYFUNCTION("""COMPUTED_VALUE"""),44763)</f>
        <v>44763</v>
      </c>
      <c r="AP311" s="27">
        <f ca="1">IFERROR(__xludf.DUMMYFUNCTION("""COMPUTED_VALUE"""),2)</f>
        <v>2</v>
      </c>
      <c r="AQ311" s="27" t="str">
        <f ca="1">IFERROR(__xludf.DUMMYFUNCTION("""COMPUTED_VALUE"""),"Primeiro Semestre 2022")</f>
        <v>Primeiro Semestre 2022</v>
      </c>
      <c r="AR311" s="27" t="str">
        <f ca="1">IFERROR(__xludf.DUMMYFUNCTION("""COMPUTED_VALUE"""),"ibsh.instituto@gmail.com")</f>
        <v>ibsh.instituto@gmail.com</v>
      </c>
      <c r="AS311" s="27">
        <f ca="1">IFERROR(__xludf.DUMMYFUNCTION("""COMPUTED_VALUE"""),11995391167)</f>
        <v>11995391167</v>
      </c>
      <c r="AT311" s="29">
        <f ca="1">IFERROR(__xludf.DUMMYFUNCTION("""COMPUTED_VALUE"""),24638)</f>
        <v>24638</v>
      </c>
      <c r="AU311" s="27">
        <f ca="1">IFERROR(__xludf.DUMMYFUNCTION("""COMPUTED_VALUE"""),55)</f>
        <v>55</v>
      </c>
      <c r="AV311" s="27">
        <f ca="1">IFERROR(__xludf.DUMMYFUNCTION("""COMPUTED_VALUE"""),9165898893)</f>
        <v>9165898893</v>
      </c>
      <c r="AW311" s="27">
        <f ca="1">IFERROR(__xludf.DUMMYFUNCTION("""COMPUTED_VALUE"""),168885773)</f>
        <v>168885773</v>
      </c>
      <c r="AX311" s="27"/>
      <c r="AY311" s="27"/>
      <c r="AZ311" s="27" t="str">
        <f ca="1">IFERROR(__xludf.DUMMYFUNCTION("""COMPUTED_VALUE"""),"P")</f>
        <v>P</v>
      </c>
      <c r="BA311" s="27" t="str">
        <f ca="1">IFERROR(__xludf.DUMMYFUNCTION("""COMPUTED_VALUE"""),"Branca")</f>
        <v>Branca</v>
      </c>
      <c r="BB311" s="27"/>
      <c r="BC311" s="27"/>
      <c r="BD311" s="27" t="str">
        <f ca="1">IFERROR(__xludf.DUMMYFUNCTION("""COMPUTED_VALUE"""),"Sou uma mulher super de bem com a vida* me entristeço ao ver situações causadas pela falta de oportunidades* procuro fazer a diferença na vida das pessoas onde convivo* se não posso ajudar com o material ao menos na empatia* com uma palavra de ânimo* proc"&amp;"uro fazer a diferença no  meu local de trabalho*  deixar um pouco mais leve* sorrindo mais* fazendo as pessoas ao meu redor se sentirem bem* mais leves pois a vida já  é  tão  difícil.")</f>
        <v>Sou uma mulher super de bem com a vida* me entristeço ao ver situações causadas pela falta de oportunidades* procuro fazer a diferença na vida das pessoas onde convivo* se não posso ajudar com o material ao menos na empatia* com uma palavra de ânimo* procuro fazer a diferença no  meu local de trabalho*  deixar um pouco mais leve* sorrindo mais* fazendo as pessoas ao meu redor se sentirem bem* mais leves pois a vida já  é  tão  difícil.</v>
      </c>
      <c r="BE311" s="27" t="str">
        <f ca="1">IFERROR(__xludf.DUMMYFUNCTION("""COMPUTED_VALUE"""),"Feminino")</f>
        <v>Feminino</v>
      </c>
      <c r="BF311" s="27" t="str">
        <f ca="1">IFERROR(__xludf.DUMMYFUNCTION("""COMPUTED_VALUE"""),"Heterossexual")</f>
        <v>Heterossexual</v>
      </c>
      <c r="BG311" s="27"/>
      <c r="BH311" s="27" t="str">
        <f ca="1">IFERROR(__xludf.DUMMYFUNCTION("""COMPUTED_VALUE"""),"Público")</f>
        <v>Público</v>
      </c>
      <c r="BI311" s="27" t="str">
        <f ca="1">IFERROR(__xludf.DUMMYFUNCTION("""COMPUTED_VALUE"""),"Pós-Graduação")</f>
        <v>Pós-Graduação</v>
      </c>
      <c r="BJ311" s="27" t="str">
        <f ca="1">IFERROR(__xludf.DUMMYFUNCTION("""COMPUTED_VALUE"""),"Privado")</f>
        <v>Privado</v>
      </c>
      <c r="BK311" s="27" t="str">
        <f ca="1">IFERROR(__xludf.DUMMYFUNCTION("""COMPUTED_VALUE"""),"Rua Jean Meyer")</f>
        <v>Rua Jean Meyer</v>
      </c>
      <c r="BL311" s="27">
        <f ca="1">IFERROR(__xludf.DUMMYFUNCTION("""COMPUTED_VALUE"""),69)</f>
        <v>69</v>
      </c>
      <c r="BM311" s="27"/>
      <c r="BN311" s="27"/>
      <c r="BO311" s="27" t="str">
        <f ca="1">IFERROR(__xludf.DUMMYFUNCTION("""COMPUTED_VALUE"""),"08275-640")</f>
        <v>08275-640</v>
      </c>
      <c r="BP311" s="27" t="str">
        <f ca="1">IFERROR(__xludf.DUMMYFUNCTION("""COMPUTED_VALUE"""),"SP")</f>
        <v>SP</v>
      </c>
      <c r="BQ311" s="27" t="str">
        <f ca="1">IFERROR(__xludf.DUMMYFUNCTION("""COMPUTED_VALUE"""),"De 3 até 5 salários mínimos")</f>
        <v>De 3 até 5 salários mínimos</v>
      </c>
      <c r="BR311" s="27" t="str">
        <f ca="1">IFERROR(__xludf.DUMMYFUNCTION("""COMPUTED_VALUE"""),"MEI")</f>
        <v>MEI</v>
      </c>
      <c r="BS311" s="27" t="str">
        <f ca="1">IFERROR(__xludf.DUMMYFUNCTION("""COMPUTED_VALUE"""),"Casa própria")</f>
        <v>Casa própria</v>
      </c>
      <c r="BT311" s="27">
        <f ca="1">IFERROR(__xludf.DUMMYFUNCTION("""COMPUTED_VALUE"""),3)</f>
        <v>3</v>
      </c>
      <c r="BU311" s="27" t="str">
        <f ca="1">IFERROR(__xludf.DUMMYFUNCTION("""COMPUTED_VALUE"""),"Não tem")</f>
        <v>Não tem</v>
      </c>
      <c r="BV311" s="27" t="str">
        <f ca="1">IFERROR(__xludf.DUMMYFUNCTION("""COMPUTED_VALUE"""),"Sim")</f>
        <v>Sim</v>
      </c>
      <c r="BW311" s="27"/>
      <c r="BX311" s="27" t="str">
        <f ca="1">IFERROR(__xludf.DUMMYFUNCTION("""COMPUTED_VALUE"""),"Cassia/Farias")</f>
        <v>Cassia/Farias</v>
      </c>
      <c r="BY311" s="21" t="str">
        <f ca="1">IFERROR(__xludf.DUMMYFUNCTION("""COMPUTED_VALUE"""),"https://drive.google.com/open?id=1XulEWimax2WJSxW_F8l37ZtUxeeFBgyR")</f>
        <v>https://drive.google.com/open?id=1XulEWimax2WJSxW_F8l37ZtUxeeFBgyR</v>
      </c>
    </row>
    <row r="312" spans="1:77" ht="12.5" hidden="1" x14ac:dyDescent="0.25">
      <c r="A312" s="21" t="str">
        <f ca="1">IFERROR(__xludf.DUMMYFUNCTION("""COMPUTED_VALUE"""),"0014X00002VKCqEQAX")</f>
        <v>0014X00002VKCqEQAX</v>
      </c>
      <c r="B312" s="27" t="str">
        <f ca="1">IFERROR(__xludf.DUMMYFUNCTION("""COMPUTED_VALUE"""),"Fase Inicial")</f>
        <v>Fase Inicial</v>
      </c>
      <c r="C312" s="27" t="str">
        <f ca="1">IFERROR(__xludf.DUMMYFUNCTION("""COMPUTED_VALUE"""),"Fellow")</f>
        <v>Fellow</v>
      </c>
      <c r="D312" s="27" t="str">
        <f ca="1">IFERROR(__xludf.DUMMYFUNCTION("""COMPUTED_VALUE"""),"Ativo")</f>
        <v>Ativo</v>
      </c>
      <c r="E312" s="27" t="str">
        <f ca="1">IFERROR(__xludf.DUMMYFUNCTION("""COMPUTED_VALUE"""),"Instituto Batucando a Esperança")</f>
        <v>Instituto Batucando a Esperança</v>
      </c>
      <c r="F312" s="27" t="str">
        <f ca="1">IFERROR(__xludf.DUMMYFUNCTION("""COMPUTED_VALUE"""),"Lucyene")</f>
        <v>Lucyene</v>
      </c>
      <c r="G312" s="27" t="str">
        <f ca="1">IFERROR(__xludf.DUMMYFUNCTION("""COMPUTED_VALUE"""),"BATUCANDO ESPERANÇA")</f>
        <v>BATUCANDO ESPERANÇA</v>
      </c>
      <c r="H312" s="27" t="str">
        <f ca="1">IFERROR(__xludf.DUMMYFUNCTION("""COMPUTED_VALUE"""),"41.245.530/0001-87")</f>
        <v>41.245.530/0001-87</v>
      </c>
      <c r="I312" s="27" t="str">
        <f ca="1">IFERROR(__xludf.DUMMYFUNCTION("""COMPUTED_VALUE"""),"Lucyene Cruz Costa")</f>
        <v>Lucyene Cruz Costa</v>
      </c>
      <c r="J312" s="27" t="str">
        <f ca="1">IFERROR(__xludf.DUMMYFUNCTION("""COMPUTED_VALUE"""),"comunicacaobatucando@gmail.com")</f>
        <v>comunicacaobatucando@gmail.com</v>
      </c>
      <c r="K312" s="27" t="str">
        <f ca="1">IFERROR(__xludf.DUMMYFUNCTION("""COMPUTED_VALUE"""),"(98)99234-3803")</f>
        <v>(98)99234-3803</v>
      </c>
      <c r="L312" s="27" t="str">
        <f ca="1">IFERROR(__xludf.DUMMYFUNCTION("""COMPUTED_VALUE"""),"MA")</f>
        <v>MA</v>
      </c>
      <c r="M312" s="27" t="str">
        <f ca="1">IFERROR(__xludf.DUMMYFUNCTION("""COMPUTED_VALUE"""),"Avenida co Contorno")</f>
        <v>Avenida co Contorno</v>
      </c>
      <c r="N312" s="27" t="str">
        <f ca="1">IFERROR(__xludf.DUMMYFUNCTION("""COMPUTED_VALUE"""),"Rio Anil")</f>
        <v>Rio Anil</v>
      </c>
      <c r="O312" s="27" t="str">
        <f ca="1">IFERROR(__xludf.DUMMYFUNCTION("""COMPUTED_VALUE"""),"sn")</f>
        <v>sn</v>
      </c>
      <c r="P312" s="27" t="str">
        <f ca="1">IFERROR(__xludf.DUMMYFUNCTION("""COMPUTED_VALUE"""),"São Luís")</f>
        <v>São Luís</v>
      </c>
      <c r="Q312" s="27" t="str">
        <f ca="1">IFERROR(__xludf.DUMMYFUNCTION("""COMPUTED_VALUE"""),"Escola Bilíngue Integral")</f>
        <v>Escola Bilíngue Integral</v>
      </c>
      <c r="R312" s="27" t="str">
        <f ca="1">IFERROR(__xludf.DUMMYFUNCTION("""COMPUTED_VALUE"""),"65000-000")</f>
        <v>65000-000</v>
      </c>
      <c r="S312" s="27"/>
      <c r="T312" s="27"/>
      <c r="U312" s="27" t="str">
        <f ca="1">IFERROR(__xludf.DUMMYFUNCTION("""COMPUTED_VALUE"""),"Crianças pequenas (4 anos a 5 anos e 11 meses), Crianças (6 a 12 anos), Adolescentes (12 aos 18 anos), Adultos")</f>
        <v>Crianças pequenas (4 anos a 5 anos e 11 meses), Crianças (6 a 12 anos), Adolescentes (12 aos 18 anos), Adultos</v>
      </c>
      <c r="V312" s="27" t="str">
        <f ca="1">IFERROR(__xludf.DUMMYFUNCTION("""COMPUTED_VALUE"""),"Moradores de Favelas, Outros")</f>
        <v>Moradores de Favelas, Outros</v>
      </c>
      <c r="W312" s="27">
        <f ca="1">IFERROR(__xludf.DUMMYFUNCTION("""COMPUTED_VALUE"""),3)</f>
        <v>3</v>
      </c>
      <c r="X312" s="27" t="str">
        <f ca="1">IFERROR(__xludf.DUMMYFUNCTION("""COMPUTED_VALUE"""),"crianças e adolescentes de 4 a 16 anos.")</f>
        <v>crianças e adolescentes de 4 a 16 anos.</v>
      </c>
      <c r="Y312" s="27"/>
      <c r="Z312" s="27">
        <f ca="1">IFERROR(__xludf.DUMMYFUNCTION("""COMPUTED_VALUE"""),116)</f>
        <v>116</v>
      </c>
      <c r="AA312" s="30">
        <f ca="1">IFERROR(__xludf.DUMMYFUNCTION("""COMPUTED_VALUE"""),42804)</f>
        <v>42804</v>
      </c>
      <c r="AB312" s="27" t="str">
        <f ca="1">IFERROR(__xludf.DUMMYFUNCTION("""COMPUTED_VALUE"""),"Sim")</f>
        <v>Sim</v>
      </c>
      <c r="AC312" s="27">
        <f ca="1">IFERROR(__xludf.DUMMYFUNCTION("""COMPUTED_VALUE"""),0)</f>
        <v>0</v>
      </c>
      <c r="AD312" s="27">
        <f ca="1">IFERROR(__xludf.DUMMYFUNCTION("""COMPUTED_VALUE"""),10)</f>
        <v>10</v>
      </c>
      <c r="AE312" s="27">
        <f ca="1">IFERROR(__xludf.DUMMYFUNCTION("""COMPUTED_VALUE"""),12)</f>
        <v>12</v>
      </c>
      <c r="AF312" s="27">
        <f ca="1">IFERROR(__xludf.DUMMYFUNCTION("""COMPUTED_VALUE"""),12)</f>
        <v>12</v>
      </c>
      <c r="AG312" s="27">
        <f ca="1">IFERROR(__xludf.DUMMYFUNCTION("""COMPUTED_VALUE"""),6)</f>
        <v>6</v>
      </c>
      <c r="AH312" s="27" t="str">
        <f ca="1">IFERROR(__xludf.DUMMYFUNCTION("""COMPUTED_VALUE"""),"Plataforma doação online - Pessoa Física, Parceria iniciativa privada, Editais, Doações, Recursos próprios")</f>
        <v>Plataforma doação online - Pessoa Física, Parceria iniciativa privada, Editais, Doações, Recursos próprios</v>
      </c>
      <c r="AI312" s="27" t="str">
        <f ca="1">IFERROR(__xludf.DUMMYFUNCTION("""COMPUTED_VALUE"""),"50% Parceria Privada; 20% Plataforma de doação online; 20% editais; 5% recursos prórpios; 5% doações.")</f>
        <v>50% Parceria Privada; 20% Plataforma de doação online; 20% editais; 5% recursos prórpios; 5% doações.</v>
      </c>
      <c r="AJ312" s="27" t="str">
        <f ca="1">IFERROR(__xludf.DUMMYFUNCTION("""COMPUTED_VALUE"""),"Não")</f>
        <v>Não</v>
      </c>
      <c r="AK312" s="27"/>
      <c r="AL312" s="21" t="str">
        <f ca="1">IFERROR(__xludf.DUMMYFUNCTION("""COMPUTED_VALUE"""),"0034X0000380O5U")</f>
        <v>0034X0000380O5U</v>
      </c>
      <c r="AM312" s="27" t="str">
        <f ca="1">IFERROR(__xludf.DUMMYFUNCTION("""COMPUTED_VALUE"""),"Cruz costa")</f>
        <v>Cruz costa</v>
      </c>
      <c r="AN312" s="27" t="str">
        <f ca="1">IFERROR(__xludf.DUMMYFUNCTION("""COMPUTED_VALUE"""),"Ativo")</f>
        <v>Ativo</v>
      </c>
      <c r="AO312" s="29">
        <f ca="1">IFERROR(__xludf.DUMMYFUNCTION("""COMPUTED_VALUE"""),44763)</f>
        <v>44763</v>
      </c>
      <c r="AP312" s="27">
        <f ca="1">IFERROR(__xludf.DUMMYFUNCTION("""COMPUTED_VALUE"""),2)</f>
        <v>2</v>
      </c>
      <c r="AQ312" s="27" t="str">
        <f ca="1">IFERROR(__xludf.DUMMYFUNCTION("""COMPUTED_VALUE"""),"Primeiro Semestre 2022")</f>
        <v>Primeiro Semestre 2022</v>
      </c>
      <c r="AR312" s="27" t="str">
        <f ca="1">IFERROR(__xludf.DUMMYFUNCTION("""COMPUTED_VALUE"""),"lucyene.costa0206@gmail.com")</f>
        <v>lucyene.costa0206@gmail.com</v>
      </c>
      <c r="AS312" s="27">
        <f ca="1">IFERROR(__xludf.DUMMYFUNCTION("""COMPUTED_VALUE"""),98992343803)</f>
        <v>98992343803</v>
      </c>
      <c r="AT312" s="29">
        <f ca="1">IFERROR(__xludf.DUMMYFUNCTION("""COMPUTED_VALUE"""),31814)</f>
        <v>31814</v>
      </c>
      <c r="AU312" s="27">
        <f ca="1">IFERROR(__xludf.DUMMYFUNCTION("""COMPUTED_VALUE"""),35)</f>
        <v>35</v>
      </c>
      <c r="AV312" s="27">
        <f ca="1">IFERROR(__xludf.DUMMYFUNCTION("""COMPUTED_VALUE"""),900487330)</f>
        <v>900487330</v>
      </c>
      <c r="AW312" s="27">
        <f ca="1">IFERROR(__xludf.DUMMYFUNCTION("""COMPUTED_VALUE"""),181320820011)</f>
        <v>181320820011</v>
      </c>
      <c r="AX312" s="27"/>
      <c r="AY312" s="27"/>
      <c r="AZ312" s="27" t="str">
        <f ca="1">IFERROR(__xludf.DUMMYFUNCTION("""COMPUTED_VALUE"""),"M")</f>
        <v>M</v>
      </c>
      <c r="BA312" s="27" t="str">
        <f ca="1">IFERROR(__xludf.DUMMYFUNCTION("""COMPUTED_VALUE"""),"Preta")</f>
        <v>Preta</v>
      </c>
      <c r="BB312" s="27"/>
      <c r="BC312" s="27"/>
      <c r="BD312" s="27" t="str">
        <f ca="1">IFERROR(__xludf.DUMMYFUNCTION("""COMPUTED_VALUE"""),"Sou filha* irmã* mãe solo* estudante de contabilidade e empregada em um escritório de advocacia, atual presidente do Instituto Batucando a Esperança* neste ano a instituição chega a marca de 5 anos.")</f>
        <v>Sou filha* irmã* mãe solo* estudante de contabilidade e empregada em um escritório de advocacia, atual presidente do Instituto Batucando a Esperança* neste ano a instituição chega a marca de 5 anos.</v>
      </c>
      <c r="BE312" s="27" t="str">
        <f ca="1">IFERROR(__xludf.DUMMYFUNCTION("""COMPUTED_VALUE"""),"Feminino")</f>
        <v>Feminino</v>
      </c>
      <c r="BF312" s="27" t="str">
        <f ca="1">IFERROR(__xludf.DUMMYFUNCTION("""COMPUTED_VALUE"""),"Heterossexual")</f>
        <v>Heterossexual</v>
      </c>
      <c r="BG312" s="27"/>
      <c r="BH312" s="27" t="str">
        <f ca="1">IFERROR(__xludf.DUMMYFUNCTION("""COMPUTED_VALUE"""),"Privado")</f>
        <v>Privado</v>
      </c>
      <c r="BI312" s="27" t="str">
        <f ca="1">IFERROR(__xludf.DUMMYFUNCTION("""COMPUTED_VALUE"""),"Graduação")</f>
        <v>Graduação</v>
      </c>
      <c r="BJ312" s="27" t="str">
        <f ca="1">IFERROR(__xludf.DUMMYFUNCTION("""COMPUTED_VALUE"""),"Privado")</f>
        <v>Privado</v>
      </c>
      <c r="BK312" s="27" t="str">
        <f ca="1">IFERROR(__xludf.DUMMYFUNCTION("""COMPUTED_VALUE"""),"Avenida Sarney Filho")</f>
        <v>Avenida Sarney Filho</v>
      </c>
      <c r="BL312" s="27">
        <f ca="1">IFERROR(__xludf.DUMMYFUNCTION("""COMPUTED_VALUE"""),60)</f>
        <v>60</v>
      </c>
      <c r="BM312" s="27"/>
      <c r="BN312" s="27"/>
      <c r="BO312" s="27" t="str">
        <f ca="1">IFERROR(__xludf.DUMMYFUNCTION("""COMPUTED_VALUE"""),"65045-425")</f>
        <v>65045-425</v>
      </c>
      <c r="BP312" s="27" t="str">
        <f ca="1">IFERROR(__xludf.DUMMYFUNCTION("""COMPUTED_VALUE"""),"MA")</f>
        <v>MA</v>
      </c>
      <c r="BQ312" s="27" t="str">
        <f ca="1">IFERROR(__xludf.DUMMYFUNCTION("""COMPUTED_VALUE"""),"Entre 1 até 3 salários mínimos")</f>
        <v>Entre 1 até 3 salários mínimos</v>
      </c>
      <c r="BR312" s="27" t="str">
        <f ca="1">IFERROR(__xludf.DUMMYFUNCTION("""COMPUTED_VALUE"""),"Desempregado")</f>
        <v>Desempregado</v>
      </c>
      <c r="BS312" s="27" t="str">
        <f ca="1">IFERROR(__xludf.DUMMYFUNCTION("""COMPUTED_VALUE"""),"Casa própria")</f>
        <v>Casa própria</v>
      </c>
      <c r="BT312" s="27">
        <f ca="1">IFERROR(__xludf.DUMMYFUNCTION("""COMPUTED_VALUE"""),3)</f>
        <v>3</v>
      </c>
      <c r="BU312" s="27" t="str">
        <f ca="1">IFERROR(__xludf.DUMMYFUNCTION("""COMPUTED_VALUE"""),"Não tem")</f>
        <v>Não tem</v>
      </c>
      <c r="BV312" s="27" t="str">
        <f ca="1">IFERROR(__xludf.DUMMYFUNCTION("""COMPUTED_VALUE"""),"Não")</f>
        <v>Não</v>
      </c>
      <c r="BW312" s="21" t="str">
        <f ca="1">IFERROR(__xludf.DUMMYFUNCTION("""COMPUTED_VALUE"""),"https://www.linkedin.com/learning/")</f>
        <v>https://www.linkedin.com/learning/</v>
      </c>
      <c r="BX312" s="21" t="str">
        <f ca="1">IFERROR(__xludf.DUMMYFUNCTION("""COMPUTED_VALUE"""),"https://instagram.com/_lucyenecosta?utm_medium=copy_link")</f>
        <v>https://instagram.com/_lucyenecosta?utm_medium=copy_link</v>
      </c>
      <c r="BY312" s="21" t="str">
        <f ca="1">IFERROR(__xludf.DUMMYFUNCTION("""COMPUTED_VALUE"""),"https://drive.google.com/open?id=1hTLSR6-GZo1Zve0K8rz16bx8eHgNOLiG")</f>
        <v>https://drive.google.com/open?id=1hTLSR6-GZo1Zve0K8rz16bx8eHgNOLiG</v>
      </c>
    </row>
    <row r="313" spans="1:77" ht="12.5" hidden="1" x14ac:dyDescent="0.25">
      <c r="A313" s="21" t="str">
        <f ca="1">IFERROR(__xludf.DUMMYFUNCTION("""COMPUTED_VALUE"""),"0014X00002VKCtwQAH")</f>
        <v>0014X00002VKCtwQAH</v>
      </c>
      <c r="B313" s="27" t="str">
        <f ca="1">IFERROR(__xludf.DUMMYFUNCTION("""COMPUTED_VALUE"""),"Fase Inicial")</f>
        <v>Fase Inicial</v>
      </c>
      <c r="C313" s="27" t="str">
        <f ca="1">IFERROR(__xludf.DUMMYFUNCTION("""COMPUTED_VALUE"""),"Fellow")</f>
        <v>Fellow</v>
      </c>
      <c r="D313" s="27" t="str">
        <f ca="1">IFERROR(__xludf.DUMMYFUNCTION("""COMPUTED_VALUE"""),"Ativo")</f>
        <v>Ativo</v>
      </c>
      <c r="E313" s="27" t="str">
        <f ca="1">IFERROR(__xludf.DUMMYFUNCTION("""COMPUTED_VALUE"""),"Instituto Brasileiro de Executivos de Finanças do Paraná")</f>
        <v>Instituto Brasileiro de Executivos de Finanças do Paraná</v>
      </c>
      <c r="F313" s="27" t="str">
        <f ca="1">IFERROR(__xludf.DUMMYFUNCTION("""COMPUTED_VALUE"""),"Gilsimara")</f>
        <v>Gilsimara</v>
      </c>
      <c r="G313" s="27" t="str">
        <f ca="1">IFERROR(__xludf.DUMMYFUNCTION("""COMPUTED_VALUE"""),"IBEF PR")</f>
        <v>IBEF PR</v>
      </c>
      <c r="H313" s="27" t="str">
        <f ca="1">IFERROR(__xludf.DUMMYFUNCTION("""COMPUTED_VALUE"""),"04.819.349/0001-00")</f>
        <v>04.819.349/0001-00</v>
      </c>
      <c r="I313" s="27" t="str">
        <f ca="1">IFERROR(__xludf.DUMMYFUNCTION("""COMPUTED_VALUE"""),"Ricardo Pereira")</f>
        <v>Ricardo Pereira</v>
      </c>
      <c r="J313" s="27" t="str">
        <f ca="1">IFERROR(__xludf.DUMMYFUNCTION("""COMPUTED_VALUE"""),"ibefpr@ibefpr.com.br")</f>
        <v>ibefpr@ibefpr.com.br</v>
      </c>
      <c r="K313" s="27" t="str">
        <f ca="1">IFERROR(__xludf.DUMMYFUNCTION("""COMPUTED_VALUE"""),"(41)99951-0490")</f>
        <v>(41)99951-0490</v>
      </c>
      <c r="L313" s="27" t="str">
        <f ca="1">IFERROR(__xludf.DUMMYFUNCTION("""COMPUTED_VALUE"""),"PR")</f>
        <v>PR</v>
      </c>
      <c r="M313" s="27" t="str">
        <f ca="1">IFERROR(__xludf.DUMMYFUNCTION("""COMPUTED_VALUE"""),"R MONSENHOR CELSO")</f>
        <v>R MONSENHOR CELSO</v>
      </c>
      <c r="N313" s="27" t="str">
        <f ca="1">IFERROR(__xludf.DUMMYFUNCTION("""COMPUTED_VALUE"""),"Centro")</f>
        <v>Centro</v>
      </c>
      <c r="O313" s="27">
        <f ca="1">IFERROR(__xludf.DUMMYFUNCTION("""COMPUTED_VALUE"""),243)</f>
        <v>243</v>
      </c>
      <c r="P313" s="27" t="str">
        <f ca="1">IFERROR(__xludf.DUMMYFUNCTION("""COMPUTED_VALUE"""),"Curitiba")</f>
        <v>Curitiba</v>
      </c>
      <c r="Q313" s="27" t="str">
        <f ca="1">IFERROR(__xludf.DUMMYFUNCTION("""COMPUTED_VALUE"""),"apto 07")</f>
        <v>apto 07</v>
      </c>
      <c r="R313" s="27" t="str">
        <f ca="1">IFERROR(__xludf.DUMMYFUNCTION("""COMPUTED_VALUE"""),"80010-150")</f>
        <v>80010-150</v>
      </c>
      <c r="S313" s="27"/>
      <c r="T313" s="27"/>
      <c r="U313" s="27" t="str">
        <f ca="1">IFERROR(__xludf.DUMMYFUNCTION("""COMPUTED_VALUE"""),"Jovens (18 aos 24 anos), Adultos")</f>
        <v>Jovens (18 aos 24 anos), Adultos</v>
      </c>
      <c r="V313" s="27" t="str">
        <f ca="1">IFERROR(__xludf.DUMMYFUNCTION("""COMPUTED_VALUE"""),"Outros")</f>
        <v>Outros</v>
      </c>
      <c r="W313" s="27">
        <f ca="1">IFERROR(__xludf.DUMMYFUNCTION("""COMPUTED_VALUE"""),0)</f>
        <v>0</v>
      </c>
      <c r="X313" s="27"/>
      <c r="Y313" s="27"/>
      <c r="Z313" s="27">
        <f ca="1">IFERROR(__xludf.DUMMYFUNCTION("""COMPUTED_VALUE"""),0)</f>
        <v>0</v>
      </c>
      <c r="AA313" s="29">
        <f ca="1">IFERROR(__xludf.DUMMYFUNCTION("""COMPUTED_VALUE"""),31048)</f>
        <v>31048</v>
      </c>
      <c r="AB313" s="27" t="str">
        <f ca="1">IFERROR(__xludf.DUMMYFUNCTION("""COMPUTED_VALUE"""),"Sim")</f>
        <v>Sim</v>
      </c>
      <c r="AC313" s="27">
        <f ca="1">IFERROR(__xludf.DUMMYFUNCTION("""COMPUTED_VALUE"""),4)</f>
        <v>4</v>
      </c>
      <c r="AD313" s="27">
        <f ca="1">IFERROR(__xludf.DUMMYFUNCTION("""COMPUTED_VALUE"""),3)</f>
        <v>3</v>
      </c>
      <c r="AE313" s="27">
        <f ca="1">IFERROR(__xludf.DUMMYFUNCTION("""COMPUTED_VALUE"""),64)</f>
        <v>64</v>
      </c>
      <c r="AF313" s="27">
        <f ca="1">IFERROR(__xludf.DUMMYFUNCTION("""COMPUTED_VALUE"""),64)</f>
        <v>64</v>
      </c>
      <c r="AG313" s="27">
        <f ca="1">IFERROR(__xludf.DUMMYFUNCTION("""COMPUTED_VALUE"""),3)</f>
        <v>3</v>
      </c>
      <c r="AH313" s="27" t="str">
        <f ca="1">IFERROR(__xludf.DUMMYFUNCTION("""COMPUTED_VALUE"""),"Eventos/Ações para captação, Parceria iniciativa privada, Outro(s)")</f>
        <v>Eventos/Ações para captação, Parceria iniciativa privada, Outro(s)</v>
      </c>
      <c r="AI313" s="27" t="str">
        <f ca="1">IFERROR(__xludf.DUMMYFUNCTION("""COMPUTED_VALUE"""),"40% Parcerias, 32% Associações e 28% Eventos")</f>
        <v>40% Parcerias, 32% Associações e 28% Eventos</v>
      </c>
      <c r="AJ313" s="27" t="str">
        <f ca="1">IFERROR(__xludf.DUMMYFUNCTION("""COMPUTED_VALUE"""),"Sim")</f>
        <v>Sim</v>
      </c>
      <c r="AK313" s="27"/>
      <c r="AL313" s="21" t="str">
        <f ca="1">IFERROR(__xludf.DUMMYFUNCTION("""COMPUTED_VALUE"""),"0034X0000380O4h")</f>
        <v>0034X0000380O4h</v>
      </c>
      <c r="AM313" s="27" t="str">
        <f ca="1">IFERROR(__xludf.DUMMYFUNCTION("""COMPUTED_VALUE"""),"Borges de lima")</f>
        <v>Borges de lima</v>
      </c>
      <c r="AN313" s="27" t="str">
        <f ca="1">IFERROR(__xludf.DUMMYFUNCTION("""COMPUTED_VALUE"""),"Ativo")</f>
        <v>Ativo</v>
      </c>
      <c r="AO313" s="29">
        <f ca="1">IFERROR(__xludf.DUMMYFUNCTION("""COMPUTED_VALUE"""),44763)</f>
        <v>44763</v>
      </c>
      <c r="AP313" s="27">
        <f ca="1">IFERROR(__xludf.DUMMYFUNCTION("""COMPUTED_VALUE"""),2)</f>
        <v>2</v>
      </c>
      <c r="AQ313" s="27" t="str">
        <f ca="1">IFERROR(__xludf.DUMMYFUNCTION("""COMPUTED_VALUE"""),"Primeiro Semestre 2022")</f>
        <v>Primeiro Semestre 2022</v>
      </c>
      <c r="AR313" s="27" t="str">
        <f ca="1">IFERROR(__xludf.DUMMYFUNCTION("""COMPUTED_VALUE"""),"gilsimara.lima@gmail.com")</f>
        <v>gilsimara.lima@gmail.com</v>
      </c>
      <c r="AS313" s="27">
        <f ca="1">IFERROR(__xludf.DUMMYFUNCTION("""COMPUTED_VALUE"""),41991650744)</f>
        <v>41991650744</v>
      </c>
      <c r="AT313" s="29">
        <f ca="1">IFERROR(__xludf.DUMMYFUNCTION("""COMPUTED_VALUE"""),31927)</f>
        <v>31927</v>
      </c>
      <c r="AU313" s="27">
        <f ca="1">IFERROR(__xludf.DUMMYFUNCTION("""COMPUTED_VALUE"""),35)</f>
        <v>35</v>
      </c>
      <c r="AV313" s="27">
        <f ca="1">IFERROR(__xludf.DUMMYFUNCTION("""COMPUTED_VALUE"""),5897292922)</f>
        <v>5897292922</v>
      </c>
      <c r="AW313" s="27">
        <f ca="1">IFERROR(__xludf.DUMMYFUNCTION("""COMPUTED_VALUE"""),87356906)</f>
        <v>87356906</v>
      </c>
      <c r="AX313" s="27"/>
      <c r="AY313" s="27"/>
      <c r="AZ313" s="27" t="str">
        <f ca="1">IFERROR(__xludf.DUMMYFUNCTION("""COMPUTED_VALUE"""),"P")</f>
        <v>P</v>
      </c>
      <c r="BA313" s="27" t="str">
        <f ca="1">IFERROR(__xludf.DUMMYFUNCTION("""COMPUTED_VALUE"""),"Parda")</f>
        <v>Parda</v>
      </c>
      <c r="BB313" s="27"/>
      <c r="BC313" s="27"/>
      <c r="BD313" s="27" t="str">
        <f ca="1">IFERROR(__xludf.DUMMYFUNCTION("""COMPUTED_VALUE"""),"Graduada em Secretariado Executivo (UNINTER),
Pós-graduada em Empreendedorismo e Novos Negócios (Universidade Católica Dom Bosco -UCDB),
Formação em Coach (Universidade Escolha sua Vida - UCESV),
Terapeuta Thetahealing,
Fundadora Espaço Conexão com Coraçã"&amp;"o, e
Voluntária Arte de Viver.")</f>
        <v>Graduada em Secretariado Executivo (UNINTER),
Pós-graduada em Empreendedorismo e Novos Negócios (Universidade Católica Dom Bosco -UCDB),
Formação em Coach (Universidade Escolha sua Vida - UCESV),
Terapeuta Thetahealing,
Fundadora Espaço Conexão com Coração, e
Voluntária Arte de Viver.</v>
      </c>
      <c r="BE313" s="27" t="str">
        <f ca="1">IFERROR(__xludf.DUMMYFUNCTION("""COMPUTED_VALUE"""),"Feminino")</f>
        <v>Feminino</v>
      </c>
      <c r="BF313" s="27" t="str">
        <f ca="1">IFERROR(__xludf.DUMMYFUNCTION("""COMPUTED_VALUE"""),"Heterossexual")</f>
        <v>Heterossexual</v>
      </c>
      <c r="BG313" s="27"/>
      <c r="BH313" s="27" t="str">
        <f ca="1">IFERROR(__xludf.DUMMYFUNCTION("""COMPUTED_VALUE"""),"Público")</f>
        <v>Público</v>
      </c>
      <c r="BI313" s="27" t="str">
        <f ca="1">IFERROR(__xludf.DUMMYFUNCTION("""COMPUTED_VALUE"""),"Pós-Graduação")</f>
        <v>Pós-Graduação</v>
      </c>
      <c r="BJ313" s="27" t="str">
        <f ca="1">IFERROR(__xludf.DUMMYFUNCTION("""COMPUTED_VALUE"""),"Privado")</f>
        <v>Privado</v>
      </c>
      <c r="BK313" s="27" t="str">
        <f ca="1">IFERROR(__xludf.DUMMYFUNCTION("""COMPUTED_VALUE"""),"Rua Costa Rica")</f>
        <v>Rua Costa Rica</v>
      </c>
      <c r="BL313" s="27">
        <f ca="1">IFERROR(__xludf.DUMMYFUNCTION("""COMPUTED_VALUE"""),202)</f>
        <v>202</v>
      </c>
      <c r="BM313" s="27">
        <f ca="1">IFERROR(__xludf.DUMMYFUNCTION("""COMPUTED_VALUE"""),242)</f>
        <v>242</v>
      </c>
      <c r="BN313" s="27"/>
      <c r="BO313" s="27">
        <f ca="1">IFERROR(__xludf.DUMMYFUNCTION("""COMPUTED_VALUE"""),82510180)</f>
        <v>82510180</v>
      </c>
      <c r="BP313" s="27" t="str">
        <f ca="1">IFERROR(__xludf.DUMMYFUNCTION("""COMPUTED_VALUE"""),"PR")</f>
        <v>PR</v>
      </c>
      <c r="BQ313" s="27" t="str">
        <f ca="1">IFERROR(__xludf.DUMMYFUNCTION("""COMPUTED_VALUE"""),"Acima de 5 salários mínimos")</f>
        <v>Acima de 5 salários mínimos</v>
      </c>
      <c r="BR313" s="27" t="str">
        <f ca="1">IFERROR(__xludf.DUMMYFUNCTION("""COMPUTED_VALUE"""),"CLT")</f>
        <v>CLT</v>
      </c>
      <c r="BS313" s="27" t="str">
        <f ca="1">IFERROR(__xludf.DUMMYFUNCTION("""COMPUTED_VALUE"""),"Aluguel")</f>
        <v>Aluguel</v>
      </c>
      <c r="BT313" s="27">
        <f ca="1">IFERROR(__xludf.DUMMYFUNCTION("""COMPUTED_VALUE"""),1)</f>
        <v>1</v>
      </c>
      <c r="BU313" s="27" t="str">
        <f ca="1">IFERROR(__xludf.DUMMYFUNCTION("""COMPUTED_VALUE"""),"Não tem")</f>
        <v>Não tem</v>
      </c>
      <c r="BV313" s="27" t="str">
        <f ca="1">IFERROR(__xludf.DUMMYFUNCTION("""COMPUTED_VALUE"""),"Sim")</f>
        <v>Sim</v>
      </c>
      <c r="BW313" s="21" t="str">
        <f ca="1">IFERROR(__xludf.DUMMYFUNCTION("""COMPUTED_VALUE"""),"https://www.linkedin.com/in/gilsimaralima/")</f>
        <v>https://www.linkedin.com/in/gilsimaralima/</v>
      </c>
      <c r="BX313" s="21" t="str">
        <f ca="1">IFERROR(__xludf.DUMMYFUNCTION("""COMPUTED_VALUE"""),"https://instagram.com/gilsimaralima?utm_medium=copy_link")</f>
        <v>https://instagram.com/gilsimaralima?utm_medium=copy_link</v>
      </c>
      <c r="BY313" s="21" t="str">
        <f ca="1">IFERROR(__xludf.DUMMYFUNCTION("""COMPUTED_VALUE"""),"https://drive.google.com/open?id=1qHiWuou3ZlcJzMiBF3ERMC3aDTI30Q9g")</f>
        <v>https://drive.google.com/open?id=1qHiWuou3ZlcJzMiBF3ERMC3aDTI30Q9g</v>
      </c>
    </row>
    <row r="314" spans="1:77" ht="12.5" hidden="1" x14ac:dyDescent="0.25">
      <c r="A314" s="21" t="str">
        <f ca="1">IFERROR(__xludf.DUMMYFUNCTION("""COMPUTED_VALUE"""),"0014P00003YSp7uQAD")</f>
        <v>0014P00003YSp7uQAD</v>
      </c>
      <c r="B314" s="27" t="str">
        <f ca="1">IFERROR(__xludf.DUMMYFUNCTION("""COMPUTED_VALUE"""),"Fase Estruturação")</f>
        <v>Fase Estruturação</v>
      </c>
      <c r="C314" s="27" t="str">
        <f ca="1">IFERROR(__xludf.DUMMYFUNCTION("""COMPUTED_VALUE"""),"Fellow")</f>
        <v>Fellow</v>
      </c>
      <c r="D314" s="27" t="str">
        <f ca="1">IFERROR(__xludf.DUMMYFUNCTION("""COMPUTED_VALUE"""),"Ativo")</f>
        <v>Ativo</v>
      </c>
      <c r="E314" s="27" t="str">
        <f ca="1">IFERROR(__xludf.DUMMYFUNCTION("""COMPUTED_VALUE"""),"INSTITUTO BRASILEIRO DE EXPEDIÇÕES SOCIAIS")</f>
        <v>INSTITUTO BRASILEIRO DE EXPEDIÇÕES SOCIAIS</v>
      </c>
      <c r="F314" s="27" t="str">
        <f ca="1">IFERROR(__xludf.DUMMYFUNCTION("""COMPUTED_VALUE"""),"Victor")</f>
        <v>Victor</v>
      </c>
      <c r="G314" s="27"/>
      <c r="H314" s="27" t="str">
        <f ca="1">IFERROR(__xludf.DUMMYFUNCTION("""COMPUTED_VALUE"""),"29.868.714/0001-06")</f>
        <v>29.868.714/0001-06</v>
      </c>
      <c r="I314" s="27" t="str">
        <f ca="1">IFERROR(__xludf.DUMMYFUNCTION("""COMPUTED_VALUE"""),"VICTOR HUGO DE OLIVEIRA BIGOLI")</f>
        <v>VICTOR HUGO DE OLIVEIRA BIGOLI</v>
      </c>
      <c r="J314" s="27" t="str">
        <f ca="1">IFERROR(__xludf.DUMMYFUNCTION("""COMPUTED_VALUE"""),"contato@ibes.org.br")</f>
        <v>contato@ibes.org.br</v>
      </c>
      <c r="K314" s="27" t="str">
        <f ca="1">IFERROR(__xludf.DUMMYFUNCTION("""COMPUTED_VALUE"""),"(11)99910-8999")</f>
        <v>(11)99910-8999</v>
      </c>
      <c r="L314" s="27" t="str">
        <f ca="1">IFERROR(__xludf.DUMMYFUNCTION("""COMPUTED_VALUE"""),"BA")</f>
        <v>BA</v>
      </c>
      <c r="M314" s="27" t="str">
        <f ca="1">IFERROR(__xludf.DUMMYFUNCTION("""COMPUTED_VALUE"""),"Rua Major Antonino, 182")</f>
        <v>Rua Major Antonino, 182</v>
      </c>
      <c r="N314" s="27" t="str">
        <f ca="1">IFERROR(__xludf.DUMMYFUNCTION("""COMPUTED_VALUE"""),"OLIMPICO")</f>
        <v>OLIMPICO</v>
      </c>
      <c r="O314" s="27">
        <f ca="1">IFERROR(__xludf.DUMMYFUNCTION("""COMPUTED_VALUE"""),679)</f>
        <v>679</v>
      </c>
      <c r="P314" s="27" t="str">
        <f ca="1">IFERROR(__xludf.DUMMYFUNCTION("""COMPUTED_VALUE"""),"Euclides da Cunha")</f>
        <v>Euclides da Cunha</v>
      </c>
      <c r="Q314" s="27"/>
      <c r="R314" s="27" t="str">
        <f ca="1">IFERROR(__xludf.DUMMYFUNCTION("""COMPUTED_VALUE"""),"48500-000")</f>
        <v>48500-000</v>
      </c>
      <c r="S314" s="27"/>
      <c r="T314" s="27" t="str">
        <f ca="1">IFERROR(__xludf.DUMMYFUNCTION("""COMPUTED_VALUE"""),"Educação; Empregabilidade; Assistência Social; Cultura; Qualificação Profissional; Empreendedorismo; Saúde; Meio ambiente; Empoderamento Feminino; Negócios Sociais; Defesa de Direitos; Comunicação; Assistência Psicológica; Desenvolvimento comunitário")</f>
        <v>Educação; Empregabilidade; Assistência Social; Cultura; Qualificação Profissional; Empreendedorismo; Saúde; Meio ambiente; Empoderamento Feminino; Negócios Sociais; Defesa de Direitos; Comunicação; Assistência Psicológica; Desenvolvimento comunitário</v>
      </c>
      <c r="U314"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314" s="27" t="str">
        <f ca="1">IFERROR(__xludf.DUMMYFUNCTION("""COMPUTED_VALUE"""),"Povos Indígenas; Quilombola; Afrodescendentes; Imigrantes; Refugiados; Ribeirinhos; Comunidade rural; Outros")</f>
        <v>Povos Indígenas; Quilombola; Afrodescendentes; Imigrantes; Refugiados; Ribeirinhos; Comunidade rural; Outros</v>
      </c>
      <c r="W314" s="27">
        <f ca="1">IFERROR(__xludf.DUMMYFUNCTION("""COMPUTED_VALUE"""),12)</f>
        <v>12</v>
      </c>
      <c r="X314" s="27" t="str">
        <f ca="1">IFERROR(__xludf.DUMMYFUNCTION("""COMPUTED_VALUE"""),"TRABALHAMOS COM COMUNIDADES TRADICIONAIS: INDIGENAS QUILOMBOLAS SERTANEJOS E RIBEIRINOS")</f>
        <v>TRABALHAMOS COM COMUNIDADES TRADICIONAIS: INDIGENAS QUILOMBOLAS SERTANEJOS E RIBEIRINOS</v>
      </c>
      <c r="Y314" s="27"/>
      <c r="Z314" s="27">
        <f ca="1">IFERROR(__xludf.DUMMYFUNCTION("""COMPUTED_VALUE"""),10000)</f>
        <v>10000</v>
      </c>
      <c r="AA314" s="29">
        <f ca="1">IFERROR(__xludf.DUMMYFUNCTION("""COMPUTED_VALUE"""),42783)</f>
        <v>42783</v>
      </c>
      <c r="AB314" s="27" t="str">
        <f ca="1">IFERROR(__xludf.DUMMYFUNCTION("""COMPUTED_VALUE"""),"Sim")</f>
        <v>Sim</v>
      </c>
      <c r="AC314" s="27">
        <f ca="1">IFERROR(__xludf.DUMMYFUNCTION("""COMPUTED_VALUE"""),5)</f>
        <v>5</v>
      </c>
      <c r="AD314" s="27">
        <f ca="1">IFERROR(__xludf.DUMMYFUNCTION("""COMPUTED_VALUE"""),5)</f>
        <v>5</v>
      </c>
      <c r="AE314" s="27">
        <f ca="1">IFERROR(__xludf.DUMMYFUNCTION("""COMPUTED_VALUE"""),50)</f>
        <v>50</v>
      </c>
      <c r="AF314" s="27">
        <f ca="1">IFERROR(__xludf.DUMMYFUNCTION("""COMPUTED_VALUE"""),50)</f>
        <v>50</v>
      </c>
      <c r="AG314" s="27">
        <f ca="1">IFERROR(__xludf.DUMMYFUNCTION("""COMPUTED_VALUE"""),6)</f>
        <v>6</v>
      </c>
      <c r="AH314" s="27" t="str">
        <f ca="1">IFERROR(__xludf.DUMMYFUNCTION("""COMPUTED_VALUE"""),"Negócio Social; Eventos/Ações para captação; Plataforma doação online - Pessoa Física; Parceria iniciativa privada; Editais; Doações")</f>
        <v>Negócio Social; Eventos/Ações para captação; Plataforma doação online - Pessoa Física; Parceria iniciativa privada; Editais; Doações</v>
      </c>
      <c r="AI314" s="27" t="str">
        <f ca="1">IFERROR(__xludf.DUMMYFUNCTION("""COMPUTED_VALUE"""),"40% Negocios socias")</f>
        <v>40% Negocios socias</v>
      </c>
      <c r="AJ314" s="27"/>
      <c r="AK314" s="27"/>
      <c r="AL314" s="21" t="str">
        <f ca="1">IFERROR(__xludf.DUMMYFUNCTION("""COMPUTED_VALUE"""),"0034P000045kxiV")</f>
        <v>0034P000045kxiV</v>
      </c>
      <c r="AM314" s="27" t="str">
        <f ca="1">IFERROR(__xludf.DUMMYFUNCTION("""COMPUTED_VALUE"""),"Hugo De Oliveira Bigoli")</f>
        <v>Hugo De Oliveira Bigoli</v>
      </c>
      <c r="AN314" s="27" t="str">
        <f ca="1">IFERROR(__xludf.DUMMYFUNCTION("""COMPUTED_VALUE"""),"Ativo")</f>
        <v>Ativo</v>
      </c>
      <c r="AO314" s="29">
        <f ca="1">IFERROR(__xludf.DUMMYFUNCTION("""COMPUTED_VALUE"""),44551)</f>
        <v>44551</v>
      </c>
      <c r="AP314" s="27">
        <f ca="1">IFERROR(__xludf.DUMMYFUNCTION("""COMPUTED_VALUE"""),9)</f>
        <v>9</v>
      </c>
      <c r="AQ314" s="27" t="str">
        <f ca="1">IFERROR(__xludf.DUMMYFUNCTION("""COMPUTED_VALUE"""),"Segundo Semestre 2021")</f>
        <v>Segundo Semestre 2021</v>
      </c>
      <c r="AR314" s="27" t="str">
        <f ca="1">IFERROR(__xludf.DUMMYFUNCTION("""COMPUTED_VALUE"""),"contato@ibes.org.br")</f>
        <v>contato@ibes.org.br</v>
      </c>
      <c r="AS314" s="27" t="str">
        <f ca="1">IFERROR(__xludf.DUMMYFUNCTION("""COMPUTED_VALUE"""),"(11)99910-8999")</f>
        <v>(11)99910-8999</v>
      </c>
      <c r="AT314" s="29">
        <f ca="1">IFERROR(__xludf.DUMMYFUNCTION("""COMPUTED_VALUE"""),29715)</f>
        <v>29715</v>
      </c>
      <c r="AU314" s="27">
        <f ca="1">IFERROR(__xludf.DUMMYFUNCTION("""COMPUTED_VALUE"""),41)</f>
        <v>41</v>
      </c>
      <c r="AV314" s="27">
        <f ca="1">IFERROR(__xludf.DUMMYFUNCTION("""COMPUTED_VALUE"""),30052975860)</f>
        <v>30052975860</v>
      </c>
      <c r="AW314" s="27" t="str">
        <f ca="1">IFERROR(__xludf.DUMMYFUNCTION("""COMPUTED_VALUE"""),"33853409X")</f>
        <v>33853409X</v>
      </c>
      <c r="AX314" s="27"/>
      <c r="AY314" s="27"/>
      <c r="AZ314" s="27" t="str">
        <f ca="1">IFERROR(__xludf.DUMMYFUNCTION("""COMPUTED_VALUE"""),"M")</f>
        <v>M</v>
      </c>
      <c r="BA314" s="27" t="str">
        <f ca="1">IFERROR(__xludf.DUMMYFUNCTION("""COMPUTED_VALUE"""),"Branca")</f>
        <v>Branca</v>
      </c>
      <c r="BB314" s="27" t="str">
        <f ca="1">IFERROR(__xludf.DUMMYFUNCTION("""COMPUTED_VALUE"""),"Homem, cisgênero")</f>
        <v>Homem, cisgênero</v>
      </c>
      <c r="BC314" s="27" t="str">
        <f ca="1">IFERROR(__xludf.DUMMYFUNCTION("""COMPUTED_VALUE"""),"Sim")</f>
        <v>Sim</v>
      </c>
      <c r="BD314" s="27" t="str">
        <f ca="1">IFERROR(__xludf.DUMMYFUNCTION("""COMPUTED_VALUE"""),"Atuando há 20 anos na área social, especialista em Epidemiologista e Sanitarista, mestre e doutorando em Psicologia da Saúde e Social com ênfase em comunidades vulneráveis, fotógrafo humanitário. Realiza projetos na area da saude, educação, geração de ren"&amp;"da e tecnologia em comunidades tradicionais brasileiras e em países da América Latina, Central e em países do continente Africano.")</f>
        <v>Atuando há 20 anos na área social, especialista em Epidemiologista e Sanitarista, mestre e doutorando em Psicologia da Saúde e Social com ênfase em comunidades vulneráveis, fotógrafo humanitário. Realiza projetos na area da saude, educação, geração de renda e tecnologia em comunidades tradicionais brasileiras e em países da América Latina, Central e em países do continente Africano.</v>
      </c>
      <c r="BE314" s="27"/>
      <c r="BF314" s="27" t="str">
        <f ca="1">IFERROR(__xludf.DUMMYFUNCTION("""COMPUTED_VALUE"""),"Heterossexual")</f>
        <v>Heterossexual</v>
      </c>
      <c r="BG314" s="27" t="str">
        <f ca="1">IFERROR(__xludf.DUMMYFUNCTION("""COMPUTED_VALUE"""),"Ensino Superior - Completo")</f>
        <v>Ensino Superior - Completo</v>
      </c>
      <c r="BH314" s="27" t="str">
        <f ca="1">IFERROR(__xludf.DUMMYFUNCTION("""COMPUTED_VALUE"""),"Privado")</f>
        <v>Privado</v>
      </c>
      <c r="BI314" s="27" t="str">
        <f ca="1">IFERROR(__xludf.DUMMYFUNCTION("""COMPUTED_VALUE"""),"Doutorado")</f>
        <v>Doutorado</v>
      </c>
      <c r="BJ314" s="27" t="str">
        <f ca="1">IFERROR(__xludf.DUMMYFUNCTION("""COMPUTED_VALUE"""),"Privado")</f>
        <v>Privado</v>
      </c>
      <c r="BK314" s="27" t="str">
        <f ca="1">IFERROR(__xludf.DUMMYFUNCTION("""COMPUTED_VALUE"""),"Rua Ivaí")</f>
        <v>Rua Ivaí</v>
      </c>
      <c r="BL314" s="27">
        <f ca="1">IFERROR(__xludf.DUMMYFUNCTION("""COMPUTED_VALUE"""),934)</f>
        <v>934</v>
      </c>
      <c r="BM314" s="27" t="str">
        <f ca="1">IFERROR(__xludf.DUMMYFUNCTION("""COMPUTED_VALUE"""),"Apto 42")</f>
        <v>Apto 42</v>
      </c>
      <c r="BN314" s="27" t="str">
        <f ca="1">IFERROR(__xludf.DUMMYFUNCTION("""COMPUTED_VALUE"""),"Euclides da Cunha")</f>
        <v>Euclides da Cunha</v>
      </c>
      <c r="BO314" s="27" t="str">
        <f ca="1">IFERROR(__xludf.DUMMYFUNCTION("""COMPUTED_VALUE"""),"09560-570")</f>
        <v>09560-570</v>
      </c>
      <c r="BP314" s="27" t="str">
        <f ca="1">IFERROR(__xludf.DUMMYFUNCTION("""COMPUTED_VALUE"""),"SP")</f>
        <v>SP</v>
      </c>
      <c r="BQ314" s="27" t="str">
        <f ca="1">IFERROR(__xludf.DUMMYFUNCTION("""COMPUTED_VALUE"""),"De 3 até 5 salários mínimos")</f>
        <v>De 3 até 5 salários mínimos</v>
      </c>
      <c r="BR314" s="27" t="str">
        <f ca="1">IFERROR(__xludf.DUMMYFUNCTION("""COMPUTED_VALUE"""),"MEI")</f>
        <v>MEI</v>
      </c>
      <c r="BS314" s="27" t="str">
        <f ca="1">IFERROR(__xludf.DUMMYFUNCTION("""COMPUTED_VALUE"""),"Casa própria")</f>
        <v>Casa própria</v>
      </c>
      <c r="BT314" s="27">
        <f ca="1">IFERROR(__xludf.DUMMYFUNCTION("""COMPUTED_VALUE"""),1)</f>
        <v>1</v>
      </c>
      <c r="BU314" s="27" t="str">
        <f ca="1">IFERROR(__xludf.DUMMYFUNCTION("""COMPUTED_VALUE"""),"Não tem")</f>
        <v>Não tem</v>
      </c>
      <c r="BV314" s="27"/>
      <c r="BW314" s="21" t="str">
        <f ca="1">IFERROR(__xludf.DUMMYFUNCTION("""COMPUTED_VALUE"""),"https://www.linkedin.com/feed/")</f>
        <v>https://www.linkedin.com/feed/</v>
      </c>
      <c r="BX314" s="27" t="str">
        <f ca="1">IFERROR(__xludf.DUMMYFUNCTION("""COMPUTED_VALUE"""),"@PROFVHB")</f>
        <v>@PROFVHB</v>
      </c>
      <c r="BY314" s="21" t="str">
        <f ca="1">IFERROR(__xludf.DUMMYFUNCTION("""COMPUTED_VALUE"""),"https://drive.google.com/open?id=1-_tSIf9D9gzdv6IZk3xXWeLHveo1BG-j")</f>
        <v>https://drive.google.com/open?id=1-_tSIf9D9gzdv6IZk3xXWeLHveo1BG-j</v>
      </c>
    </row>
    <row r="315" spans="1:77" ht="12.5" x14ac:dyDescent="0.25">
      <c r="A315" s="21" t="str">
        <f ca="1">IFERROR(__xludf.DUMMYFUNCTION("""COMPUTED_VALUE"""),"0014X00002VKCp6QAH")</f>
        <v>0014X00002VKCp6QAH</v>
      </c>
      <c r="B315" s="27" t="str">
        <f ca="1">IFERROR(__xludf.DUMMYFUNCTION("""COMPUTED_VALUE"""),"Fase Inicial")</f>
        <v>Fase Inicial</v>
      </c>
      <c r="C315" s="27" t="str">
        <f ca="1">IFERROR(__xludf.DUMMYFUNCTION("""COMPUTED_VALUE"""),"Fellow")</f>
        <v>Fellow</v>
      </c>
      <c r="D315" s="27" t="str">
        <f ca="1">IFERROR(__xludf.DUMMYFUNCTION("""COMPUTED_VALUE"""),"Ativo")</f>
        <v>Ativo</v>
      </c>
      <c r="E315" s="27" t="str">
        <f ca="1">IFERROR(__xludf.DUMMYFUNCTION("""COMPUTED_VALUE"""),"Instituto Carangondé Cidadania")</f>
        <v>Instituto Carangondé Cidadania</v>
      </c>
      <c r="F315" s="27" t="str">
        <f ca="1">IFERROR(__xludf.DUMMYFUNCTION("""COMPUTED_VALUE"""),"Daianny")</f>
        <v>Daianny</v>
      </c>
      <c r="G315" s="27" t="str">
        <f ca="1">IFERROR(__xludf.DUMMYFUNCTION("""COMPUTED_VALUE"""),"CARANGONDÉ CIDADANIA")</f>
        <v>CARANGONDÉ CIDADANIA</v>
      </c>
      <c r="H315" s="27" t="str">
        <f ca="1">IFERROR(__xludf.DUMMYFUNCTION("""COMPUTED_VALUE"""),"14.524.323/0001-99")</f>
        <v>14.524.323/0001-99</v>
      </c>
      <c r="I315" s="27" t="str">
        <f ca="1">IFERROR(__xludf.DUMMYFUNCTION("""COMPUTED_VALUE"""),"JOSE REGINALDO CORDEIRO")</f>
        <v>JOSE REGINALDO CORDEIRO</v>
      </c>
      <c r="J315" s="27" t="str">
        <f ca="1">IFERROR(__xludf.DUMMYFUNCTION("""COMPUTED_VALUE"""),"carangondecidadania@gmail.com")</f>
        <v>carangondecidadania@gmail.com</v>
      </c>
      <c r="K315" s="27" t="str">
        <f ca="1">IFERROR(__xludf.DUMMYFUNCTION("""COMPUTED_VALUE"""),"(75)99116-7366")</f>
        <v>(75)99116-7366</v>
      </c>
      <c r="L315" s="27" t="str">
        <f ca="1">IFERROR(__xludf.DUMMYFUNCTION("""COMPUTED_VALUE"""),"BA")</f>
        <v>BA</v>
      </c>
      <c r="M315" s="27" t="str">
        <f ca="1">IFERROR(__xludf.DUMMYFUNCTION("""COMPUTED_VALUE"""),"SÃO CARLOS")</f>
        <v>SÃO CARLOS</v>
      </c>
      <c r="N315" s="27" t="str">
        <f ca="1">IFERROR(__xludf.DUMMYFUNCTION("""COMPUTED_VALUE"""),"LAGOA SALGADA")</f>
        <v>LAGOA SALGADA</v>
      </c>
      <c r="O315" s="27">
        <f ca="1">IFERROR(__xludf.DUMMYFUNCTION("""COMPUTED_VALUE"""),85)</f>
        <v>85</v>
      </c>
      <c r="P315" s="27" t="str">
        <f ca="1">IFERROR(__xludf.DUMMYFUNCTION("""COMPUTED_VALUE"""),"Feira de Santana")</f>
        <v>Feira de Santana</v>
      </c>
      <c r="Q315" s="27" t="str">
        <f ca="1">IFERROR(__xludf.DUMMYFUNCTION("""COMPUTED_VALUE"""),"PROXIMO A AVENIDA NOIDE CERQUEIRA")</f>
        <v>PROXIMO A AVENIDA NOIDE CERQUEIRA</v>
      </c>
      <c r="R315" s="27" t="str">
        <f ca="1">IFERROR(__xludf.DUMMYFUNCTION("""COMPUTED_VALUE"""),"44083-684")</f>
        <v>44083-684</v>
      </c>
      <c r="S315" s="27" t="str">
        <f ca="1">IFERROR(__xludf.DUMMYFUNCTION("""COMPUTED_VALUE"""),"Sede das associais rurais, escolas, igreja, secretaria municipal, auditorio publico,")</f>
        <v>Sede das associais rurais, escolas, igreja, secretaria municipal, auditorio publico,</v>
      </c>
      <c r="T315" s="27"/>
      <c r="U315" s="27" t="str">
        <f ca="1">IFERROR(__xludf.DUMMYFUNCTION("""COMPUTED_VALUE"""),"Adolescentes (12 aos 18 anos), Jovens (18 aos 24 anos), Adultos")</f>
        <v>Adolescentes (12 aos 18 anos), Jovens (18 aos 24 anos), Adultos</v>
      </c>
      <c r="V315" s="27" t="str">
        <f ca="1">IFERROR(__xludf.DUMMYFUNCTION("""COMPUTED_VALUE"""),"Moradores de Favelas, Povos Indígenas, Quilombola, Afrodescendentes, Refugiados, Ribeirinhos, Comunidade rural")</f>
        <v>Moradores de Favelas, Povos Indígenas, Quilombola, Afrodescendentes, Refugiados, Ribeirinhos, Comunidade rural</v>
      </c>
      <c r="W315" s="27">
        <f ca="1">IFERROR(__xludf.DUMMYFUNCTION("""COMPUTED_VALUE"""),7)</f>
        <v>7</v>
      </c>
      <c r="X315" s="27" t="str">
        <f ca="1">IFERROR(__xludf.DUMMYFUNCTION("""COMPUTED_VALUE"""),"Atuamos na construção de casas nas áreas rurais e o nosso publico são em sua maioria mulheres solo acima de 18 anos. Realizamos ações sociais com cursos* palestras e oficinas sobre empreendedorismo* meio ambinete* formação de parcerias e saúde")</f>
        <v>Atuamos na construção de casas nas áreas rurais e o nosso publico são em sua maioria mulheres solo acima de 18 anos. Realizamos ações sociais com cursos* palestras e oficinas sobre empreendedorismo* meio ambinete* formação de parcerias e saúde</v>
      </c>
      <c r="Y315" s="27"/>
      <c r="Z315" s="27">
        <f ca="1">IFERROR(__xludf.DUMMYFUNCTION("""COMPUTED_VALUE"""),630)</f>
        <v>630</v>
      </c>
      <c r="AA315" s="29">
        <f ca="1">IFERROR(__xludf.DUMMYFUNCTION("""COMPUTED_VALUE"""),40195)</f>
        <v>40195</v>
      </c>
      <c r="AB315" s="27" t="str">
        <f ca="1">IFERROR(__xludf.DUMMYFUNCTION("""COMPUTED_VALUE"""),"Sim")</f>
        <v>Sim</v>
      </c>
      <c r="AC315" s="27">
        <f ca="1">IFERROR(__xludf.DUMMYFUNCTION("""COMPUTED_VALUE"""),0)</f>
        <v>0</v>
      </c>
      <c r="AD315" s="27">
        <f ca="1">IFERROR(__xludf.DUMMYFUNCTION("""COMPUTED_VALUE"""),4)</f>
        <v>4</v>
      </c>
      <c r="AE315" s="27">
        <f ca="1">IFERROR(__xludf.DUMMYFUNCTION("""COMPUTED_VALUE"""),2)</f>
        <v>2</v>
      </c>
      <c r="AF315" s="27">
        <f ca="1">IFERROR(__xludf.DUMMYFUNCTION("""COMPUTED_VALUE"""),2)</f>
        <v>2</v>
      </c>
      <c r="AG315" s="27">
        <f ca="1">IFERROR(__xludf.DUMMYFUNCTION("""COMPUTED_VALUE"""),2)</f>
        <v>2</v>
      </c>
      <c r="AH315" s="27" t="str">
        <f ca="1">IFERROR(__xludf.DUMMYFUNCTION("""COMPUTED_VALUE"""),"Convênio Público, Recursos próprios")</f>
        <v>Convênio Público, Recursos próprios</v>
      </c>
      <c r="AI315" s="27" t="str">
        <f ca="1">IFERROR(__xludf.DUMMYFUNCTION("""COMPUTED_VALUE"""),"100%Lei Federal de Habitação Rural")</f>
        <v>100%Lei Federal de Habitação Rural</v>
      </c>
      <c r="AJ315" s="27" t="str">
        <f ca="1">IFERROR(__xludf.DUMMYFUNCTION("""COMPUTED_VALUE"""),"Não")</f>
        <v>Não</v>
      </c>
      <c r="AK315" s="27"/>
      <c r="AL315" s="21" t="str">
        <f ca="1">IFERROR(__xludf.DUMMYFUNCTION("""COMPUTED_VALUE"""),"0034X0000380O2J")</f>
        <v>0034X0000380O2J</v>
      </c>
      <c r="AM315" s="27" t="str">
        <f ca="1">IFERROR(__xludf.DUMMYFUNCTION("""COMPUTED_VALUE"""),"Teles gomes cordeiro ismerim")</f>
        <v>Teles gomes cordeiro ismerim</v>
      </c>
      <c r="AN315" s="27" t="str">
        <f ca="1">IFERROR(__xludf.DUMMYFUNCTION("""COMPUTED_VALUE"""),"Ativo")</f>
        <v>Ativo</v>
      </c>
      <c r="AO315" s="30">
        <f ca="1">IFERROR(__xludf.DUMMYFUNCTION("""COMPUTED_VALUE"""),44763)</f>
        <v>44763</v>
      </c>
      <c r="AP315" s="27">
        <f ca="1">IFERROR(__xludf.DUMMYFUNCTION("""COMPUTED_VALUE"""),2)</f>
        <v>2</v>
      </c>
      <c r="AQ315" s="27" t="str">
        <f ca="1">IFERROR(__xludf.DUMMYFUNCTION("""COMPUTED_VALUE"""),"Primeiro Semestre 2022")</f>
        <v>Primeiro Semestre 2022</v>
      </c>
      <c r="AR315" s="27" t="str">
        <f ca="1">IFERROR(__xludf.DUMMYFUNCTION("""COMPUTED_VALUE"""),"daiannyaurbanista@gmail.com")</f>
        <v>daiannyaurbanista@gmail.com</v>
      </c>
      <c r="AS315" s="27">
        <f ca="1">IFERROR(__xludf.DUMMYFUNCTION("""COMPUTED_VALUE"""),75999290292)</f>
        <v>75999290292</v>
      </c>
      <c r="AT315" s="29">
        <f ca="1">IFERROR(__xludf.DUMMYFUNCTION("""COMPUTED_VALUE"""),29033)</f>
        <v>29033</v>
      </c>
      <c r="AU315" s="27">
        <f ca="1">IFERROR(__xludf.DUMMYFUNCTION("""COMPUTED_VALUE"""),43)</f>
        <v>43</v>
      </c>
      <c r="AV315" s="27">
        <f ca="1">IFERROR(__xludf.DUMMYFUNCTION("""COMPUTED_VALUE"""),89698999568)</f>
        <v>89698999568</v>
      </c>
      <c r="AW315" s="27">
        <f ca="1">IFERROR(__xludf.DUMMYFUNCTION("""COMPUTED_VALUE"""),772457760)</f>
        <v>772457760</v>
      </c>
      <c r="AX315" s="27"/>
      <c r="AY315" s="27"/>
      <c r="AZ315" s="27" t="str">
        <f ca="1">IFERROR(__xludf.DUMMYFUNCTION("""COMPUTED_VALUE"""),"M")</f>
        <v>M</v>
      </c>
      <c r="BA315" s="27" t="str">
        <f ca="1">IFERROR(__xludf.DUMMYFUNCTION("""COMPUTED_VALUE"""),"Parda")</f>
        <v>Parda</v>
      </c>
      <c r="BB315" s="27"/>
      <c r="BC315" s="27"/>
      <c r="BD315" s="27" t="str">
        <f ca="1">IFERROR(__xludf.DUMMYFUNCTION("""COMPUTED_VALUE"""),"Sou mãe de 3 criancas* esposa e filha dedicada e atenciosa. Adoro estudar e com o conhecimento adiquirido poder levar para outras pessoa. Uma eterna apaixonada pela vida e as aventuras que ela proporciona. Fiz três graduações* uma especialização e um mest"&amp;"rado. Estou me organizando para fazer meu doutorado e puder leva as ações sociais que durante mais de 10 anos nortearam minha historia profissional e de vida. Arquiteta Urbanista e Bióloga* especialista em desenho e agora Mestra em Planejamento Territoria"&amp;"l. Valorizo muito o homem e mulher do campo (áreas rurais)* trabalho como Artquiteta levando minha experiências para todos* por acreditar que moradia é direito de todos.")</f>
        <v>Sou mãe de 3 criancas* esposa e filha dedicada e atenciosa. Adoro estudar e com o conhecimento adiquirido poder levar para outras pessoa. Uma eterna apaixonada pela vida e as aventuras que ela proporciona. Fiz três graduações* uma especialização e um mestrado. Estou me organizando para fazer meu doutorado e puder leva as ações sociais que durante mais de 10 anos nortearam minha historia profissional e de vida. Arquiteta Urbanista e Bióloga* especialista em desenho e agora Mestra em Planejamento Territorial. Valorizo muito o homem e mulher do campo (áreas rurais)* trabalho como Artquiteta levando minha experiências para todos* por acreditar que moradia é direito de todos.</v>
      </c>
      <c r="BE315" s="27" t="str">
        <f ca="1">IFERROR(__xludf.DUMMYFUNCTION("""COMPUTED_VALUE"""),"Feminino")</f>
        <v>Feminino</v>
      </c>
      <c r="BF315" s="27" t="str">
        <f ca="1">IFERROR(__xludf.DUMMYFUNCTION("""COMPUTED_VALUE"""),"Heterossexual")</f>
        <v>Heterossexual</v>
      </c>
      <c r="BG315" s="27"/>
      <c r="BH315" s="27" t="str">
        <f ca="1">IFERROR(__xludf.DUMMYFUNCTION("""COMPUTED_VALUE"""),"Privado")</f>
        <v>Privado</v>
      </c>
      <c r="BI315" s="27" t="str">
        <f ca="1">IFERROR(__xludf.DUMMYFUNCTION("""COMPUTED_VALUE"""),"Mestrado")</f>
        <v>Mestrado</v>
      </c>
      <c r="BJ315" s="27" t="str">
        <f ca="1">IFERROR(__xludf.DUMMYFUNCTION("""COMPUTED_VALUE"""),"Público")</f>
        <v>Público</v>
      </c>
      <c r="BK315" s="27" t="str">
        <f ca="1">IFERROR(__xludf.DUMMYFUNCTION("""COMPUTED_VALUE"""),"Rua Rollin Popino")</f>
        <v>Rua Rollin Popino</v>
      </c>
      <c r="BL315" s="27">
        <f ca="1">IFERROR(__xludf.DUMMYFUNCTION("""COMPUTED_VALUE"""),8897)</f>
        <v>8897</v>
      </c>
      <c r="BM315" s="27"/>
      <c r="BN315" s="27"/>
      <c r="BO315" s="27">
        <f ca="1">IFERROR(__xludf.DUMMYFUNCTION("""COMPUTED_VALUE"""),44085370)</f>
        <v>44085370</v>
      </c>
      <c r="BP315" s="27" t="str">
        <f ca="1">IFERROR(__xludf.DUMMYFUNCTION("""COMPUTED_VALUE"""),"BA")</f>
        <v>BA</v>
      </c>
      <c r="BQ315" s="27" t="str">
        <f ca="1">IFERROR(__xludf.DUMMYFUNCTION("""COMPUTED_VALUE"""),"Entre 1 até 3 salários mínimos")</f>
        <v>Entre 1 até 3 salários mínimos</v>
      </c>
      <c r="BR315" s="27" t="str">
        <f ca="1">IFERROR(__xludf.DUMMYFUNCTION("""COMPUTED_VALUE"""),"MEI")</f>
        <v>MEI</v>
      </c>
      <c r="BS315" s="27" t="str">
        <f ca="1">IFERROR(__xludf.DUMMYFUNCTION("""COMPUTED_VALUE"""),"Casa própria")</f>
        <v>Casa própria</v>
      </c>
      <c r="BT315" s="27">
        <f ca="1">IFERROR(__xludf.DUMMYFUNCTION("""COMPUTED_VALUE"""),4)</f>
        <v>4</v>
      </c>
      <c r="BU315" s="27" t="str">
        <f ca="1">IFERROR(__xludf.DUMMYFUNCTION("""COMPUTED_VALUE"""),"Não tem")</f>
        <v>Não tem</v>
      </c>
      <c r="BV315" s="27" t="str">
        <f ca="1">IFERROR(__xludf.DUMMYFUNCTION("""COMPUTED_VALUE"""),"Não")</f>
        <v>Não</v>
      </c>
      <c r="BW315" s="21" t="str">
        <f ca="1">IFERROR(__xludf.DUMMYFUNCTION("""COMPUTED_VALUE"""),"linkedin.com/in/daianny-teles-3a399113a")</f>
        <v>linkedin.com/in/daianny-teles-3a399113a</v>
      </c>
      <c r="BX315" s="21" t="str">
        <f ca="1">IFERROR(__xludf.DUMMYFUNCTION("""COMPUTED_VALUE"""),"https://www.instagram.com/daiannyteles.arquiteta/?hl=pt-br")</f>
        <v>https://www.instagram.com/daiannyteles.arquiteta/?hl=pt-br</v>
      </c>
      <c r="BY315" s="21" t="str">
        <f ca="1">IFERROR(__xludf.DUMMYFUNCTION("""COMPUTED_VALUE"""),"https://drive.google.com/open?id=1aoeco4DT1rOK7tfWD-uT-laPA73OpPuK")</f>
        <v>https://drive.google.com/open?id=1aoeco4DT1rOK7tfWD-uT-laPA73OpPuK</v>
      </c>
    </row>
    <row r="316" spans="1:77" ht="12.5" hidden="1" x14ac:dyDescent="0.25">
      <c r="A316" s="21" t="str">
        <f ca="1">IFERROR(__xludf.DUMMYFUNCTION("""COMPUTED_VALUE"""),"0014P00003SGWPrQAP")</f>
        <v>0014P00003SGWPrQAP</v>
      </c>
      <c r="B316" s="27" t="str">
        <f ca="1">IFERROR(__xludf.DUMMYFUNCTION("""COMPUTED_VALUE"""),"Fase Inicial")</f>
        <v>Fase Inicial</v>
      </c>
      <c r="C316" s="27" t="str">
        <f ca="1">IFERROR(__xludf.DUMMYFUNCTION("""COMPUTED_VALUE"""),"Fellow")</f>
        <v>Fellow</v>
      </c>
      <c r="D316" s="27" t="str">
        <f ca="1">IFERROR(__xludf.DUMMYFUNCTION("""COMPUTED_VALUE"""),"Ativo")</f>
        <v>Ativo</v>
      </c>
      <c r="E316" s="27" t="str">
        <f ca="1">IFERROR(__xludf.DUMMYFUNCTION("""COMPUTED_VALUE"""),"INSTITUTO CASA DE BARRO - CULTURA ARTE EDUCAÇÃO")</f>
        <v>INSTITUTO CASA DE BARRO - CULTURA ARTE EDUCAÇÃO</v>
      </c>
      <c r="F316" s="27" t="str">
        <f ca="1">IFERROR(__xludf.DUMMYFUNCTION("""COMPUTED_VALUE"""),"Luísa")</f>
        <v>Luísa</v>
      </c>
      <c r="G316" s="27" t="str">
        <f ca="1">IFERROR(__xludf.DUMMYFUNCTION("""COMPUTED_VALUE"""),"CASA DE BARRO")</f>
        <v>CASA DE BARRO</v>
      </c>
      <c r="H316" s="27" t="str">
        <f ca="1">IFERROR(__xludf.DUMMYFUNCTION("""COMPUTED_VALUE"""),"07.552.020/0001-14")</f>
        <v>07.552.020/0001-14</v>
      </c>
      <c r="I316" s="27" t="str">
        <f ca="1">IFERROR(__xludf.DUMMYFUNCTION("""COMPUTED_VALUE"""),"Luísa Mahin Araújo Lima Do Nascimento")</f>
        <v>Luísa Mahin Araújo Lima Do Nascimento</v>
      </c>
      <c r="J316" s="27" t="str">
        <f ca="1">IFERROR(__xludf.DUMMYFUNCTION("""COMPUTED_VALUE"""),"casadebarro@gmail.com")</f>
        <v>casadebarro@gmail.com</v>
      </c>
      <c r="K316" s="27" t="str">
        <f ca="1">IFERROR(__xludf.DUMMYFUNCTION("""COMPUTED_VALUE"""),"(73)99866-2998")</f>
        <v>(73)99866-2998</v>
      </c>
      <c r="L316" s="27" t="str">
        <f ca="1">IFERROR(__xludf.DUMMYFUNCTION("""COMPUTED_VALUE"""),"BA")</f>
        <v>BA</v>
      </c>
      <c r="M316" s="27" t="str">
        <f ca="1">IFERROR(__xludf.DUMMYFUNCTION("""COMPUTED_VALUE"""),"Rua Itacaré")</f>
        <v>Rua Itacaré</v>
      </c>
      <c r="N316" s="27" t="str">
        <f ca="1">IFERROR(__xludf.DUMMYFUNCTION("""COMPUTED_VALUE"""),"Serra Grande (distrito)")</f>
        <v>Serra Grande (distrito)</v>
      </c>
      <c r="O316" s="27" t="str">
        <f ca="1">IFERROR(__xludf.DUMMYFUNCTION("""COMPUTED_VALUE"""),"(73)99866-2998")</f>
        <v>(73)99866-2998</v>
      </c>
      <c r="P316" s="27" t="str">
        <f ca="1">IFERROR(__xludf.DUMMYFUNCTION("""COMPUTED_VALUE"""),"Uruçuca")</f>
        <v>Uruçuca</v>
      </c>
      <c r="Q316" s="27"/>
      <c r="R316" s="27" t="str">
        <f ca="1">IFERROR(__xludf.DUMMYFUNCTION("""COMPUTED_VALUE"""),"45680-000")</f>
        <v>45680-000</v>
      </c>
      <c r="S316" s="27" t="str">
        <f ca="1">IFERROR(__xludf.DUMMYFUNCTION("""COMPUTED_VALUE"""),"Rua Ana Nery 16. Centro. Cachoeira/BA. CEP: 44300-000")</f>
        <v>Rua Ana Nery 16. Centro. Cachoeira/BA. CEP: 44300-000</v>
      </c>
      <c r="T316" s="27" t="str">
        <f ca="1">IFERROR(__xludf.DUMMYFUNCTION("""COMPUTED_VALUE"""),"Educação; Cultura; Qualificação Profissional; Empreendedorismo; Empoderamento Feminino; Desenvolvimento comunitário")</f>
        <v>Educação; Cultura; Qualificação Profissional; Empreendedorismo; Empoderamento Feminino; Desenvolvimento comunitário</v>
      </c>
      <c r="U316"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316" s="27" t="str">
        <f ca="1">IFERROR(__xludf.DUMMYFUNCTION("""COMPUTED_VALUE"""),"Moradores de Favelas; Povos Indígenas; Afrodescendentes; Ribeirinhos; Comunidade rural")</f>
        <v>Moradores de Favelas; Povos Indígenas; Afrodescendentes; Ribeirinhos; Comunidade rural</v>
      </c>
      <c r="W316" s="27">
        <f ca="1">IFERROR(__xludf.DUMMYFUNCTION("""COMPUTED_VALUE"""),7)</f>
        <v>7</v>
      </c>
      <c r="X316" s="27" t="str">
        <f ca="1">IFERROR(__xludf.DUMMYFUNCTION("""COMPUTED_VALUE"""),"Atuamos nas cidades de Cachoeira e São Félix (Recôncavo da Bahia) Uruçuca Itacaré e Ilhéus (Sul da Bahia). O Recôncavo é marcado pela presença negra-quilombola sendo um território que nasceu no período escravista do Brasil. O Sul é de forte presença indíg"&amp;"ena ainda que também existam comunidades quilombolas (negros).")</f>
        <v>Atuamos nas cidades de Cachoeira e São Félix (Recôncavo da Bahia) Uruçuca Itacaré e Ilhéus (Sul da Bahia). O Recôncavo é marcado pela presença negra-quilombola sendo um território que nasceu no período escravista do Brasil. O Sul é de forte presença indígena ainda que também existam comunidades quilombolas (negros).</v>
      </c>
      <c r="Y316" s="27">
        <f ca="1">IFERROR(__xludf.DUMMYFUNCTION("""COMPUTED_VALUE"""),0)</f>
        <v>0</v>
      </c>
      <c r="Z316" s="27">
        <f ca="1">IFERROR(__xludf.DUMMYFUNCTION("""COMPUTED_VALUE"""),500)</f>
        <v>500</v>
      </c>
      <c r="AA316" s="29">
        <f ca="1">IFERROR(__xludf.DUMMYFUNCTION("""COMPUTED_VALUE"""),38558)</f>
        <v>38558</v>
      </c>
      <c r="AB316" s="27" t="str">
        <f ca="1">IFERROR(__xludf.DUMMYFUNCTION("""COMPUTED_VALUE"""),"Sim")</f>
        <v>Sim</v>
      </c>
      <c r="AC316" s="27">
        <f ca="1">IFERROR(__xludf.DUMMYFUNCTION("""COMPUTED_VALUE"""),0)</f>
        <v>0</v>
      </c>
      <c r="AD316" s="27">
        <f ca="1">IFERROR(__xludf.DUMMYFUNCTION("""COMPUTED_VALUE"""),0)</f>
        <v>0</v>
      </c>
      <c r="AE316" s="27">
        <f ca="1">IFERROR(__xludf.DUMMYFUNCTION("""COMPUTED_VALUE"""),5)</f>
        <v>5</v>
      </c>
      <c r="AF316" s="27">
        <f ca="1">IFERROR(__xludf.DUMMYFUNCTION("""COMPUTED_VALUE"""),8)</f>
        <v>8</v>
      </c>
      <c r="AG316" s="27">
        <f ca="1">IFERROR(__xludf.DUMMYFUNCTION("""COMPUTED_VALUE"""),0)</f>
        <v>0</v>
      </c>
      <c r="AH316" s="27" t="str">
        <f ca="1">IFERROR(__xludf.DUMMYFUNCTION("""COMPUTED_VALUE"""),"Negócio Social; Eventos/Ações para captação; Editais")</f>
        <v>Negócio Social; Eventos/Ações para captação; Editais</v>
      </c>
      <c r="AI316" s="27" t="str">
        <f ca="1">IFERROR(__xludf.DUMMYFUNCTION("""COMPUTED_VALUE"""),"100% editais")</f>
        <v>100% editais</v>
      </c>
      <c r="AJ316" s="27" t="str">
        <f ca="1">IFERROR(__xludf.DUMMYFUNCTION("""COMPUTED_VALUE"""),"Não")</f>
        <v>Não</v>
      </c>
      <c r="AK316" s="27" t="str">
        <f ca="1">IFERROR(__xludf.DUMMYFUNCTION("""COMPUTED_VALUE"""),"Não")</f>
        <v>Não</v>
      </c>
      <c r="AL316" s="21" t="str">
        <f ca="1">IFERROR(__xludf.DUMMYFUNCTION("""COMPUTED_VALUE"""),"0034P000043fOnw")</f>
        <v>0034P000043fOnw</v>
      </c>
      <c r="AM316" s="27" t="str">
        <f ca="1">IFERROR(__xludf.DUMMYFUNCTION("""COMPUTED_VALUE"""),"Mahin Araújo Lima Do Nascimento")</f>
        <v>Mahin Araújo Lima Do Nascimento</v>
      </c>
      <c r="AN316" s="27" t="str">
        <f ca="1">IFERROR(__xludf.DUMMYFUNCTION("""COMPUTED_VALUE"""),"Ativo")</f>
        <v>Ativo</v>
      </c>
      <c r="AO316" s="29">
        <f ca="1">IFERROR(__xludf.DUMMYFUNCTION("""COMPUTED_VALUE"""),44432)</f>
        <v>44432</v>
      </c>
      <c r="AP316" s="27">
        <f ca="1">IFERROR(__xludf.DUMMYFUNCTION("""COMPUTED_VALUE"""),13)</f>
        <v>13</v>
      </c>
      <c r="AQ316" s="27" t="str">
        <f ca="1">IFERROR(__xludf.DUMMYFUNCTION("""COMPUTED_VALUE"""),"Primeiro Semestre 2021")</f>
        <v>Primeiro Semestre 2021</v>
      </c>
      <c r="AR316" s="27" t="str">
        <f ca="1">IFERROR(__xludf.DUMMYFUNCTION("""COMPUTED_VALUE"""),"luisamahin@gmail.com")</f>
        <v>luisamahin@gmail.com</v>
      </c>
      <c r="AS316" s="27" t="str">
        <f ca="1">IFERROR(__xludf.DUMMYFUNCTION("""COMPUTED_VALUE"""),"(73)99866-2998")</f>
        <v>(73)99866-2998</v>
      </c>
      <c r="AT316" s="29">
        <f ca="1">IFERROR(__xludf.DUMMYFUNCTION("""COMPUTED_VALUE"""),29634)</f>
        <v>29634</v>
      </c>
      <c r="AU316" s="27">
        <f ca="1">IFERROR(__xludf.DUMMYFUNCTION("""COMPUTED_VALUE"""),41)</f>
        <v>41</v>
      </c>
      <c r="AV316" s="27" t="str">
        <f ca="1">IFERROR(__xludf.DUMMYFUNCTION("""COMPUTED_VALUE"""),"00003011593")</f>
        <v>00003011593</v>
      </c>
      <c r="AW316" s="27">
        <f ca="1">IFERROR(__xludf.DUMMYFUNCTION("""COMPUTED_VALUE"""),755230949)</f>
        <v>755230949</v>
      </c>
      <c r="AX316" s="27" t="str">
        <f ca="1">IFERROR(__xludf.DUMMYFUNCTION("""COMPUTED_VALUE"""),"Comunicação Social (Graduação) I Desenvolvimento E Gestão Social (Mestrado 1) I Ciências Sociais (Mestrado 2)")</f>
        <v>Comunicação Social (Graduação) I Desenvolvimento E Gestão Social (Mestrado 1) I Ciências Sociais (Mestrado 2)</v>
      </c>
      <c r="AY316" s="27"/>
      <c r="AZ316" s="27" t="str">
        <f ca="1">IFERROR(__xludf.DUMMYFUNCTION("""COMPUTED_VALUE"""),"G")</f>
        <v>G</v>
      </c>
      <c r="BA316" s="27" t="str">
        <f ca="1">IFERROR(__xludf.DUMMYFUNCTION("""COMPUTED_VALUE"""),"Parda")</f>
        <v>Parda</v>
      </c>
      <c r="BB316" s="27"/>
      <c r="BC316" s="27" t="str">
        <f ca="1">IFERROR(__xludf.DUMMYFUNCTION("""COMPUTED_VALUE"""),"Não")</f>
        <v>Não</v>
      </c>
      <c r="BD316" s="27" t="str">
        <f ca="1">IFERROR(__xludf.DUMMYFUNCTION("""COMPUTED_VALUE"""),"Luísa Mahin atua na área social desde 2001 (ainda adolescente). Quando jovem fundou junto com outres o Instituto Casa de Barro. É Mestre em Desenvolvimento e Gestão Social e em Ciências Sociais. Atua nas áreas de desenvolvimento humano e social, empreende"&amp;"dorismo e empoderamento feminino. Atualmente dedica-se ao projeto Irmandade, iniciativa que acolhe, empodera e cria tecnologias sociais de desenvolvimento para mães e filhos socialmente vulneráveis.")</f>
        <v>Luísa Mahin atua na área social desde 2001 (ainda adolescente). Quando jovem fundou junto com outres o Instituto Casa de Barro. É Mestre em Desenvolvimento e Gestão Social e em Ciências Sociais. Atua nas áreas de desenvolvimento humano e social, empreendedorismo e empoderamento feminino. Atualmente dedica-se ao projeto Irmandade, iniciativa que acolhe, empodera e cria tecnologias sociais de desenvolvimento para mães e filhos socialmente vulneráveis.</v>
      </c>
      <c r="BE316" s="27" t="str">
        <f ca="1">IFERROR(__xludf.DUMMYFUNCTION("""COMPUTED_VALUE"""),"Masculino")</f>
        <v>Masculino</v>
      </c>
      <c r="BF316" s="27" t="str">
        <f ca="1">IFERROR(__xludf.DUMMYFUNCTION("""COMPUTED_VALUE"""),"Heterossexual")</f>
        <v>Heterossexual</v>
      </c>
      <c r="BG316" s="27" t="str">
        <f ca="1">IFERROR(__xludf.DUMMYFUNCTION("""COMPUTED_VALUE"""),"Ensino Superior - Completo")</f>
        <v>Ensino Superior - Completo</v>
      </c>
      <c r="BH316" s="27"/>
      <c r="BI316" s="27" t="str">
        <f ca="1">IFERROR(__xludf.DUMMYFUNCTION("""COMPUTED_VALUE"""),"Mestrado")</f>
        <v>Mestrado</v>
      </c>
      <c r="BJ316" s="27" t="str">
        <f ca="1">IFERROR(__xludf.DUMMYFUNCTION("""COMPUTED_VALUE"""),"Público")</f>
        <v>Público</v>
      </c>
      <c r="BK316" s="27" t="str">
        <f ca="1">IFERROR(__xludf.DUMMYFUNCTION("""COMPUTED_VALUE"""),"Rua Rio Tijuípe")</f>
        <v>Rua Rio Tijuípe</v>
      </c>
      <c r="BL316" s="27" t="str">
        <f ca="1">IFERROR(__xludf.DUMMYFUNCTION("""COMPUTED_VALUE"""),"Lote 22")</f>
        <v>Lote 22</v>
      </c>
      <c r="BM316" s="27" t="str">
        <f ca="1">IFERROR(__xludf.DUMMYFUNCTION("""COMPUTED_VALUE"""),"Vila Floresta")</f>
        <v>Vila Floresta</v>
      </c>
      <c r="BN316" s="27" t="str">
        <f ca="1">IFERROR(__xludf.DUMMYFUNCTION("""COMPUTED_VALUE"""),"Uruçuca")</f>
        <v>Uruçuca</v>
      </c>
      <c r="BO316" s="27" t="str">
        <f ca="1">IFERROR(__xludf.DUMMYFUNCTION("""COMPUTED_VALUE"""),"45680-000")</f>
        <v>45680-000</v>
      </c>
      <c r="BP316" s="27" t="str">
        <f ca="1">IFERROR(__xludf.DUMMYFUNCTION("""COMPUTED_VALUE"""),"BA")</f>
        <v>BA</v>
      </c>
      <c r="BQ316" s="27" t="str">
        <f ca="1">IFERROR(__xludf.DUMMYFUNCTION("""COMPUTED_VALUE"""),"Entre 1 até 3 salários mínimos")</f>
        <v>Entre 1 até 3 salários mínimos</v>
      </c>
      <c r="BR316" s="27" t="str">
        <f ca="1">IFERROR(__xludf.DUMMYFUNCTION("""COMPUTED_VALUE"""),"Desempregado")</f>
        <v>Desempregado</v>
      </c>
      <c r="BS316" s="27" t="str">
        <f ca="1">IFERROR(__xludf.DUMMYFUNCTION("""COMPUTED_VALUE"""),"Aluguel")</f>
        <v>Aluguel</v>
      </c>
      <c r="BT316" s="27">
        <f ca="1">IFERROR(__xludf.DUMMYFUNCTION("""COMPUTED_VALUE"""),4)</f>
        <v>4</v>
      </c>
      <c r="BU316" s="27"/>
      <c r="BV316" s="27"/>
      <c r="BW316" s="21" t="str">
        <f ca="1">IFERROR(__xludf.DUMMYFUNCTION("""COMPUTED_VALUE"""),"https://br.linkedin.com/")</f>
        <v>https://br.linkedin.com/</v>
      </c>
      <c r="BX316" s="21" t="str">
        <f ca="1">IFERROR(__xludf.DUMMYFUNCTION("""COMPUTED_VALUE"""),"www.instagram.com/luisamahin")</f>
        <v>www.instagram.com/luisamahin</v>
      </c>
      <c r="BY316" s="21" t="str">
        <f ca="1">IFERROR(__xludf.DUMMYFUNCTION("""COMPUTED_VALUE"""),"https://drive.google.com/open?id=1va0Ijtnwt9-5pEa-NfHCPOP3fE5wPnuk")</f>
        <v>https://drive.google.com/open?id=1va0Ijtnwt9-5pEa-NfHCPOP3fE5wPnuk</v>
      </c>
    </row>
    <row r="317" spans="1:77" ht="12.5" x14ac:dyDescent="0.25">
      <c r="A317" s="21" t="str">
        <f ca="1">IFERROR(__xludf.DUMMYFUNCTION("""COMPUTED_VALUE"""),"0014X00002VKCttQAH")</f>
        <v>0014X00002VKCttQAH</v>
      </c>
      <c r="B317" s="27" t="str">
        <f ca="1">IFERROR(__xludf.DUMMYFUNCTION("""COMPUTED_VALUE"""),"Fase Inicial")</f>
        <v>Fase Inicial</v>
      </c>
      <c r="C317" s="27" t="str">
        <f ca="1">IFERROR(__xludf.DUMMYFUNCTION("""COMPUTED_VALUE"""),"Fellow")</f>
        <v>Fellow</v>
      </c>
      <c r="D317" s="27" t="str">
        <f ca="1">IFERROR(__xludf.DUMMYFUNCTION("""COMPUTED_VALUE"""),"Ativo")</f>
        <v>Ativo</v>
      </c>
      <c r="E317" s="27" t="str">
        <f ca="1">IFERROR(__xludf.DUMMYFUNCTION("""COMPUTED_VALUE"""),"Instituto Causadores da Alegria")</f>
        <v>Instituto Causadores da Alegria</v>
      </c>
      <c r="F317" s="27" t="str">
        <f ca="1">IFERROR(__xludf.DUMMYFUNCTION("""COMPUTED_VALUE"""),"Fernando")</f>
        <v>Fernando</v>
      </c>
      <c r="G317" s="27" t="str">
        <f ca="1">IFERROR(__xludf.DUMMYFUNCTION("""COMPUTED_VALUE"""),"INSTITUTO CAUSADORES DA ALEGRIA")</f>
        <v>INSTITUTO CAUSADORES DA ALEGRIA</v>
      </c>
      <c r="H317" s="27">
        <f ca="1">IFERROR(__xludf.DUMMYFUNCTION("""COMPUTED_VALUE"""),39285582000140)</f>
        <v>39285582000140</v>
      </c>
      <c r="I317" s="27" t="str">
        <f ca="1">IFERROR(__xludf.DUMMYFUNCTION("""COMPUTED_VALUE"""),"Fernando Gomes Eufigenio dos Santos")</f>
        <v>Fernando Gomes Eufigenio dos Santos</v>
      </c>
      <c r="J317" s="27" t="str">
        <f ca="1">IFERROR(__xludf.DUMMYFUNCTION("""COMPUTED_VALUE"""),"causadoresdaalegria@gmail.com")</f>
        <v>causadoresdaalegria@gmail.com</v>
      </c>
      <c r="K317" s="27">
        <f ca="1">IFERROR(__xludf.DUMMYFUNCTION("""COMPUTED_VALUE"""),67992525318)</f>
        <v>67992525318</v>
      </c>
      <c r="L317" s="27" t="str">
        <f ca="1">IFERROR(__xludf.DUMMYFUNCTION("""COMPUTED_VALUE"""),"MS")</f>
        <v>MS</v>
      </c>
      <c r="M317" s="27" t="str">
        <f ca="1">IFERROR(__xludf.DUMMYFUNCTION("""COMPUTED_VALUE"""),"Rua José Luiz Pereira")</f>
        <v>Rua José Luiz Pereira</v>
      </c>
      <c r="N317" s="27" t="str">
        <f ca="1">IFERROR(__xludf.DUMMYFUNCTION("""COMPUTED_VALUE"""),"Jardim Monte Líbano")</f>
        <v>Jardim Monte Líbano</v>
      </c>
      <c r="O317" s="27" t="str">
        <f ca="1">IFERROR(__xludf.DUMMYFUNCTION("""COMPUTED_VALUE"""),"Unid 1: 310 / Unid 2: 128")</f>
        <v>Unid 1: 310 / Unid 2: 128</v>
      </c>
      <c r="P317" s="27" t="str">
        <f ca="1">IFERROR(__xludf.DUMMYFUNCTION("""COMPUTED_VALUE"""),"Campo Grande")</f>
        <v>Campo Grande</v>
      </c>
      <c r="Q317" s="27"/>
      <c r="R317" s="27" t="str">
        <f ca="1">IFERROR(__xludf.DUMMYFUNCTION("""COMPUTED_VALUE"""),"79004-140")</f>
        <v>79004-140</v>
      </c>
      <c r="S317" s="27"/>
      <c r="T317" s="27"/>
      <c r="U317" s="27"/>
      <c r="V317" s="27"/>
      <c r="W317" s="27">
        <f ca="1">IFERROR(__xludf.DUMMYFUNCTION("""COMPUTED_VALUE"""),3)</f>
        <v>3</v>
      </c>
      <c r="X317" s="27"/>
      <c r="Y317" s="27"/>
      <c r="Z317" s="27">
        <f ca="1">IFERROR(__xludf.DUMMYFUNCTION("""COMPUTED_VALUE"""),200)</f>
        <v>200</v>
      </c>
      <c r="AA317" s="29">
        <f ca="1">IFERROR(__xludf.DUMMYFUNCTION("""COMPUTED_VALUE"""),41277)</f>
        <v>41277</v>
      </c>
      <c r="AB317" s="27" t="str">
        <f ca="1">IFERROR(__xludf.DUMMYFUNCTION("""COMPUTED_VALUE"""),"Sim")</f>
        <v>Sim</v>
      </c>
      <c r="AC317" s="27">
        <f ca="1">IFERROR(__xludf.DUMMYFUNCTION("""COMPUTED_VALUE"""),5)</f>
        <v>5</v>
      </c>
      <c r="AD317" s="27"/>
      <c r="AE317" s="27">
        <f ca="1">IFERROR(__xludf.DUMMYFUNCTION("""COMPUTED_VALUE"""),50)</f>
        <v>50</v>
      </c>
      <c r="AF317" s="27"/>
      <c r="AG317" s="27">
        <f ca="1">IFERROR(__xludf.DUMMYFUNCTION("""COMPUTED_VALUE"""),3)</f>
        <v>3</v>
      </c>
      <c r="AH317" s="27"/>
      <c r="AI317" s="27" t="str">
        <f ca="1">IFERROR(__xludf.DUMMYFUNCTION("""COMPUTED_VALUE"""),"20 / 70  / 10")</f>
        <v>20 / 70  / 10</v>
      </c>
      <c r="AJ317" s="27" t="str">
        <f ca="1">IFERROR(__xludf.DUMMYFUNCTION("""COMPUTED_VALUE"""),"Não")</f>
        <v>Não</v>
      </c>
      <c r="AK317" s="27"/>
      <c r="AL317" s="21" t="str">
        <f ca="1">IFERROR(__xludf.DUMMYFUNCTION("""COMPUTED_VALUE"""),"0034X0000380O3Y")</f>
        <v>0034X0000380O3Y</v>
      </c>
      <c r="AM317" s="27" t="str">
        <f ca="1">IFERROR(__xludf.DUMMYFUNCTION("""COMPUTED_VALUE"""),"Gomes eufigenio dos santos")</f>
        <v>Gomes eufigenio dos santos</v>
      </c>
      <c r="AN317" s="27" t="str">
        <f ca="1">IFERROR(__xludf.DUMMYFUNCTION("""COMPUTED_VALUE"""),"Ativo")</f>
        <v>Ativo</v>
      </c>
      <c r="AO317" s="27"/>
      <c r="AP317" s="27"/>
      <c r="AQ317" s="27" t="str">
        <f ca="1">IFERROR(__xludf.DUMMYFUNCTION("""COMPUTED_VALUE"""),"Primeiro Semestre 2022")</f>
        <v>Primeiro Semestre 2022</v>
      </c>
      <c r="AR317" s="27" t="str">
        <f ca="1">IFERROR(__xludf.DUMMYFUNCTION("""COMPUTED_VALUE"""),"fernandoeufigenio@hotmail.com")</f>
        <v>fernandoeufigenio@hotmail.com</v>
      </c>
      <c r="AS317" s="27">
        <f ca="1">IFERROR(__xludf.DUMMYFUNCTION("""COMPUTED_VALUE"""),67981637842)</f>
        <v>67981637842</v>
      </c>
      <c r="AT317" s="29">
        <f ca="1">IFERROR(__xludf.DUMMYFUNCTION("""COMPUTED_VALUE"""),32684)</f>
        <v>32684</v>
      </c>
      <c r="AU317" s="27">
        <f ca="1">IFERROR(__xludf.DUMMYFUNCTION("""COMPUTED_VALUE"""),33)</f>
        <v>33</v>
      </c>
      <c r="AV317" s="27">
        <f ca="1">IFERROR(__xludf.DUMMYFUNCTION("""COMPUTED_VALUE"""),36070409825)</f>
        <v>36070409825</v>
      </c>
      <c r="AW317" s="27">
        <f ca="1">IFERROR(__xludf.DUMMYFUNCTION("""COMPUTED_VALUE"""),444987265)</f>
        <v>444987265</v>
      </c>
      <c r="AX317" s="27"/>
      <c r="AY317" s="27"/>
      <c r="AZ317" s="27" t="str">
        <f ca="1">IFERROR(__xludf.DUMMYFUNCTION("""COMPUTED_VALUE"""),"G")</f>
        <v>G</v>
      </c>
      <c r="BA317" s="27" t="str">
        <f ca="1">IFERROR(__xludf.DUMMYFUNCTION("""COMPUTED_VALUE"""),"Branca")</f>
        <v>Branca</v>
      </c>
      <c r="BB317" s="27"/>
      <c r="BC317" s="27"/>
      <c r="BD317" s="27" t="str">
        <f ca="1">IFERROR(__xludf.DUMMYFUNCTION("""COMPUTED_VALUE"""),"Tenho 32 anos* sou professor de Química na rede particular e estadual de ensino do Mato Grosso do Sul* sou sócio da Inovar Produções* empresa que realiza festas e eventos. Além disso sou presidente e fundador do Instituto Causadores da Alegria criado há m"&amp;"ais de nove anos. Gosto muito de conversar* conhecer e ajudar as pessoas. Tenho bastante facilidade em aprender coisas novas. Adoro ouvir música e viajar.")</f>
        <v>Tenho 32 anos* sou professor de Química na rede particular e estadual de ensino do Mato Grosso do Sul* sou sócio da Inovar Produções* empresa que realiza festas e eventos. Além disso sou presidente e fundador do Instituto Causadores da Alegria criado há mais de nove anos. Gosto muito de conversar* conhecer e ajudar as pessoas. Tenho bastante facilidade em aprender coisas novas. Adoro ouvir música e viajar.</v>
      </c>
      <c r="BE317" s="27" t="str">
        <f ca="1">IFERROR(__xludf.DUMMYFUNCTION("""COMPUTED_VALUE"""),"Masculino")</f>
        <v>Masculino</v>
      </c>
      <c r="BF317" s="27" t="str">
        <f ca="1">IFERROR(__xludf.DUMMYFUNCTION("""COMPUTED_VALUE"""),"Heterossexual")</f>
        <v>Heterossexual</v>
      </c>
      <c r="BG317" s="27"/>
      <c r="BH317" s="27" t="str">
        <f ca="1">IFERROR(__xludf.DUMMYFUNCTION("""COMPUTED_VALUE"""),"Público")</f>
        <v>Público</v>
      </c>
      <c r="BI317" s="27" t="str">
        <f ca="1">IFERROR(__xludf.DUMMYFUNCTION("""COMPUTED_VALUE"""),"Mestrado")</f>
        <v>Mestrado</v>
      </c>
      <c r="BJ317" s="27" t="str">
        <f ca="1">IFERROR(__xludf.DUMMYFUNCTION("""COMPUTED_VALUE"""),"Público")</f>
        <v>Público</v>
      </c>
      <c r="BK317" s="27" t="str">
        <f ca="1">IFERROR(__xludf.DUMMYFUNCTION("""COMPUTED_VALUE"""),"Rua Júlio Dittmar")</f>
        <v>Rua Júlio Dittmar</v>
      </c>
      <c r="BL317" s="27">
        <f ca="1">IFERROR(__xludf.DUMMYFUNCTION("""COMPUTED_VALUE"""),1250)</f>
        <v>1250</v>
      </c>
      <c r="BM317" s="27"/>
      <c r="BN317" s="27"/>
      <c r="BO317" s="27">
        <f ca="1">IFERROR(__xludf.DUMMYFUNCTION("""COMPUTED_VALUE"""),79004150)</f>
        <v>79004150</v>
      </c>
      <c r="BP317" s="27" t="str">
        <f ca="1">IFERROR(__xludf.DUMMYFUNCTION("""COMPUTED_VALUE"""),"MS")</f>
        <v>MS</v>
      </c>
      <c r="BQ317" s="27" t="str">
        <f ca="1">IFERROR(__xludf.DUMMYFUNCTION("""COMPUTED_VALUE"""),"De 3 até 5 salários mínimos")</f>
        <v>De 3 até 5 salários mínimos</v>
      </c>
      <c r="BR317" s="27" t="str">
        <f ca="1">IFERROR(__xludf.DUMMYFUNCTION("""COMPUTED_VALUE"""),"Funcionário Público")</f>
        <v>Funcionário Público</v>
      </c>
      <c r="BS317" s="27" t="str">
        <f ca="1">IFERROR(__xludf.DUMMYFUNCTION("""COMPUTED_VALUE"""),"Aluguel")</f>
        <v>Aluguel</v>
      </c>
      <c r="BT317" s="27">
        <f ca="1">IFERROR(__xludf.DUMMYFUNCTION("""COMPUTED_VALUE"""),2)</f>
        <v>2</v>
      </c>
      <c r="BU317" s="27"/>
      <c r="BV317" s="27" t="str">
        <f ca="1">IFERROR(__xludf.DUMMYFUNCTION("""COMPUTED_VALUE"""),"Não")</f>
        <v>Não</v>
      </c>
      <c r="BW317" s="27"/>
      <c r="BX317" s="21" t="str">
        <f ca="1">IFERROR(__xludf.DUMMYFUNCTION("""COMPUTED_VALUE"""),"https://www.instagram.com/fernando_eufigenio/p/CXs3iaQLd4O/?utm_medium=copy_link")</f>
        <v>https://www.instagram.com/fernando_eufigenio/p/CXs3iaQLd4O/?utm_medium=copy_link</v>
      </c>
      <c r="BY317" s="21" t="str">
        <f ca="1">IFERROR(__xludf.DUMMYFUNCTION("""COMPUTED_VALUE"""),"https://drive.google.com/open?id=14OYEeXNPDyuO4L63ffRh9V8L_Ov9s7nP")</f>
        <v>https://drive.google.com/open?id=14OYEeXNPDyuO4L63ffRh9V8L_Ov9s7nP</v>
      </c>
    </row>
    <row r="318" spans="1:77" ht="12.5" hidden="1" x14ac:dyDescent="0.25">
      <c r="A318" s="21" t="str">
        <f ca="1">IFERROR(__xludf.DUMMYFUNCTION("""COMPUTED_VALUE"""),"0014X00002VKCpfQAH")</f>
        <v>0014X00002VKCpfQAH</v>
      </c>
      <c r="B318" s="27" t="str">
        <f ca="1">IFERROR(__xludf.DUMMYFUNCTION("""COMPUTED_VALUE"""),"Fase Inicial")</f>
        <v>Fase Inicial</v>
      </c>
      <c r="C318" s="27" t="str">
        <f ca="1">IFERROR(__xludf.DUMMYFUNCTION("""COMPUTED_VALUE"""),"Fellow")</f>
        <v>Fellow</v>
      </c>
      <c r="D318" s="27" t="str">
        <f ca="1">IFERROR(__xludf.DUMMYFUNCTION("""COMPUTED_VALUE"""),"Ativo")</f>
        <v>Ativo</v>
      </c>
      <c r="E318" s="27" t="str">
        <f ca="1">IFERROR(__xludf.DUMMYFUNCTION("""COMPUTED_VALUE"""),"Instituto Coneragir")</f>
        <v>Instituto Coneragir</v>
      </c>
      <c r="F318" s="27" t="str">
        <f ca="1">IFERROR(__xludf.DUMMYFUNCTION("""COMPUTED_VALUE"""),"Wanderson")</f>
        <v>Wanderson</v>
      </c>
      <c r="G318" s="27" t="str">
        <f ca="1">IFERROR(__xludf.DUMMYFUNCTION("""COMPUTED_VALUE"""),"ICO")</f>
        <v>ICO</v>
      </c>
      <c r="H318" s="27" t="str">
        <f ca="1">IFERROR(__xludf.DUMMYFUNCTION("""COMPUTED_VALUE"""),"44.360.262/0001-32")</f>
        <v>44.360.262/0001-32</v>
      </c>
      <c r="I318" s="27" t="str">
        <f ca="1">IFERROR(__xludf.DUMMYFUNCTION("""COMPUTED_VALUE"""),"Wanderson Aranda de Melo Valença Silva")</f>
        <v>Wanderson Aranda de Melo Valença Silva</v>
      </c>
      <c r="J318" s="27" t="str">
        <f ca="1">IFERROR(__xludf.DUMMYFUNCTION("""COMPUTED_VALUE"""),"instituto@coneragir.org")</f>
        <v>instituto@coneragir.org</v>
      </c>
      <c r="K318" s="27" t="str">
        <f ca="1">IFERROR(__xludf.DUMMYFUNCTION("""COMPUTED_VALUE"""),"(82)98111-5567")</f>
        <v>(82)98111-5567</v>
      </c>
      <c r="L318" s="27" t="str">
        <f ca="1">IFERROR(__xludf.DUMMYFUNCTION("""COMPUTED_VALUE"""),"AL")</f>
        <v>AL</v>
      </c>
      <c r="M318" s="27" t="str">
        <f ca="1">IFERROR(__xludf.DUMMYFUNCTION("""COMPUTED_VALUE"""),"Rua Melo Póvoas")</f>
        <v>Rua Melo Póvoas</v>
      </c>
      <c r="N318" s="27" t="str">
        <f ca="1">IFERROR(__xludf.DUMMYFUNCTION("""COMPUTED_VALUE"""),"Jaraguá")</f>
        <v>Jaraguá</v>
      </c>
      <c r="O318" s="27">
        <f ca="1">IFERROR(__xludf.DUMMYFUNCTION("""COMPUTED_VALUE"""),110)</f>
        <v>110</v>
      </c>
      <c r="P318" s="27" t="str">
        <f ca="1">IFERROR(__xludf.DUMMYFUNCTION("""COMPUTED_VALUE"""),"Maceió")</f>
        <v>Maceió</v>
      </c>
      <c r="Q318" s="27" t="str">
        <f ca="1">IFERROR(__xludf.DUMMYFUNCTION("""COMPUTED_VALUE"""),"Sala 216 - Centro de Inovação")</f>
        <v>Sala 216 - Centro de Inovação</v>
      </c>
      <c r="R318" s="27" t="str">
        <f ca="1">IFERROR(__xludf.DUMMYFUNCTION("""COMPUTED_VALUE"""),"57022-230")</f>
        <v>57022-230</v>
      </c>
      <c r="S318" s="27"/>
      <c r="T318" s="27"/>
      <c r="U318" s="27" t="str">
        <f ca="1">IFERROR(__xludf.DUMMYFUNCTION("""COMPUTED_VALUE"""),"Adolescentes (12 aos 18 anos), Jovens (18 aos 24 anos), Adultos, Idosos (60 anos ou mais)")</f>
        <v>Adolescentes (12 aos 18 anos), Jovens (18 aos 24 anos), Adultos, Idosos (60 anos ou mais)</v>
      </c>
      <c r="V318" s="27" t="str">
        <f ca="1">IFERROR(__xludf.DUMMYFUNCTION("""COMPUTED_VALUE"""),"Moradores de Favelas, População LGBTQ+, Povos Indígenas, Quilombola, Afrodescendentes, Dependentes Químicos, Pessoas com Deficiência, Egressos sistema carcerário, Imigrantes, Refugiados, Ribeirinhos, Comunidade rural")</f>
        <v>Moradores de Favelas, População LGBTQ+, Povos Indígenas, Quilombola, Afrodescendentes, Dependentes Químicos, Pessoas com Deficiência, Egressos sistema carcerário, Imigrantes, Refugiados, Ribeirinhos, Comunidade rural</v>
      </c>
      <c r="W318" s="27">
        <f ca="1">IFERROR(__xludf.DUMMYFUNCTION("""COMPUTED_VALUE"""),1)</f>
        <v>1</v>
      </c>
      <c r="X318" s="27" t="str">
        <f ca="1">IFERROR(__xludf.DUMMYFUNCTION("""COMPUTED_VALUE"""),"Jovens* adolescentes* interessados em geral* que nos buscam para alguma atividade educacional / empreendedora.")</f>
        <v>Jovens* adolescentes* interessados em geral* que nos buscam para alguma atividade educacional / empreendedora.</v>
      </c>
      <c r="Y318" s="27"/>
      <c r="Z318" s="27">
        <f ca="1">IFERROR(__xludf.DUMMYFUNCTION("""COMPUTED_VALUE"""),0)</f>
        <v>0</v>
      </c>
      <c r="AA318" s="29">
        <f ca="1">IFERROR(__xludf.DUMMYFUNCTION("""COMPUTED_VALUE"""),44524)</f>
        <v>44524</v>
      </c>
      <c r="AB318" s="27" t="str">
        <f ca="1">IFERROR(__xludf.DUMMYFUNCTION("""COMPUTED_VALUE"""),"Sim")</f>
        <v>Sim</v>
      </c>
      <c r="AC318" s="27">
        <f ca="1">IFERROR(__xludf.DUMMYFUNCTION("""COMPUTED_VALUE"""),0)</f>
        <v>0</v>
      </c>
      <c r="AD318" s="27">
        <f ca="1">IFERROR(__xludf.DUMMYFUNCTION("""COMPUTED_VALUE"""),3)</f>
        <v>3</v>
      </c>
      <c r="AE318" s="27">
        <f ca="1">IFERROR(__xludf.DUMMYFUNCTION("""COMPUTED_VALUE"""),3)</f>
        <v>3</v>
      </c>
      <c r="AF318" s="27">
        <f ca="1">IFERROR(__xludf.DUMMYFUNCTION("""COMPUTED_VALUE"""),5)</f>
        <v>5</v>
      </c>
      <c r="AG318" s="27">
        <f ca="1">IFERROR(__xludf.DUMMYFUNCTION("""COMPUTED_VALUE"""),2)</f>
        <v>2</v>
      </c>
      <c r="AH318" s="27" t="str">
        <f ca="1">IFERROR(__xludf.DUMMYFUNCTION("""COMPUTED_VALUE"""),"Doações, Recursos próprios")</f>
        <v>Doações, Recursos próprios</v>
      </c>
      <c r="AI318" s="27" t="str">
        <f ca="1">IFERROR(__xludf.DUMMYFUNCTION("""COMPUTED_VALUE"""),"50% Doações de parceiros; 50% Recursos próprios")</f>
        <v>50% Doações de parceiros; 50% Recursos próprios</v>
      </c>
      <c r="AJ318" s="27" t="str">
        <f ca="1">IFERROR(__xludf.DUMMYFUNCTION("""COMPUTED_VALUE"""),"Vamos iniciar esse ano")</f>
        <v>Vamos iniciar esse ano</v>
      </c>
      <c r="AK318" s="27"/>
      <c r="AL318" s="21" t="str">
        <f ca="1">IFERROR(__xludf.DUMMYFUNCTION("""COMPUTED_VALUE"""),"0034X0000380O2h")</f>
        <v>0034X0000380O2h</v>
      </c>
      <c r="AM318" s="27" t="str">
        <f ca="1">IFERROR(__xludf.DUMMYFUNCTION("""COMPUTED_VALUE"""),"Aranda de melo valença silva")</f>
        <v>Aranda de melo valença silva</v>
      </c>
      <c r="AN318" s="27" t="str">
        <f ca="1">IFERROR(__xludf.DUMMYFUNCTION("""COMPUTED_VALUE"""),"Ativo")</f>
        <v>Ativo</v>
      </c>
      <c r="AO318" s="29">
        <f ca="1">IFERROR(__xludf.DUMMYFUNCTION("""COMPUTED_VALUE"""),44763)</f>
        <v>44763</v>
      </c>
      <c r="AP318" s="27">
        <f ca="1">IFERROR(__xludf.DUMMYFUNCTION("""COMPUTED_VALUE"""),2)</f>
        <v>2</v>
      </c>
      <c r="AQ318" s="27" t="str">
        <f ca="1">IFERROR(__xludf.DUMMYFUNCTION("""COMPUTED_VALUE"""),"Primeiro Semestre 2022")</f>
        <v>Primeiro Semestre 2022</v>
      </c>
      <c r="AR318" s="27" t="str">
        <f ca="1">IFERROR(__xludf.DUMMYFUNCTION("""COMPUTED_VALUE"""),"wanderson@coneragir.org")</f>
        <v>wanderson@coneragir.org</v>
      </c>
      <c r="AS318" s="27" t="str">
        <f ca="1">IFERROR(__xludf.DUMMYFUNCTION("""COMPUTED_VALUE"""),"(82)98111-5567")</f>
        <v>(82)98111-5567</v>
      </c>
      <c r="AT318" s="29">
        <f ca="1">IFERROR(__xludf.DUMMYFUNCTION("""COMPUTED_VALUE"""),26917)</f>
        <v>26917</v>
      </c>
      <c r="AU318" s="27">
        <f ca="1">IFERROR(__xludf.DUMMYFUNCTION("""COMPUTED_VALUE"""),49)</f>
        <v>49</v>
      </c>
      <c r="AV318" s="27">
        <f ca="1">IFERROR(__xludf.DUMMYFUNCTION("""COMPUTED_VALUE"""),91149525487)</f>
        <v>91149525487</v>
      </c>
      <c r="AW318" s="27">
        <f ca="1">IFERROR(__xludf.DUMMYFUNCTION("""COMPUTED_VALUE"""),99001318666)</f>
        <v>99001318666</v>
      </c>
      <c r="AX318" s="27"/>
      <c r="AY318" s="27" t="str">
        <f ca="1">IFERROR(__xludf.DUMMYFUNCTION("""COMPUTED_VALUE"""),"Diretor Executivo")</f>
        <v>Diretor Executivo</v>
      </c>
      <c r="AZ318" s="27" t="str">
        <f ca="1">IFERROR(__xludf.DUMMYFUNCTION("""COMPUTED_VALUE"""),"G2")</f>
        <v>G2</v>
      </c>
      <c r="BA318" s="27" t="str">
        <f ca="1">IFERROR(__xludf.DUMMYFUNCTION("""COMPUTED_VALUE"""),"Preta")</f>
        <v>Preta</v>
      </c>
      <c r="BB318" s="27"/>
      <c r="BC318" s="27"/>
      <c r="BD318" s="27" t="str">
        <f ca="1">IFERROR(__xludf.DUMMYFUNCTION("""COMPUTED_VALUE"""),"Empreendedor Social (Instituto Coneragir), Líder GEG em Maceió, Trainer  (certificado pelo Google), Psicólogo (UFAL), e Gestor de Projetos (MBA pela FGV). Executivo entusiasmado por desafios com mais de 25 anos de experiência no desenvolvimento de novos p"&amp;"rojetos em resposta às adversidades atuais. Utilizando como ferramenta chave a potencialização de pessoas no uso de novas tecnologias (TDIC) e no relacionamento interpessoal buscando maior interação entre os recursos humanos e tecnológicos.")</f>
        <v>Empreendedor Social (Instituto Coneragir), Líder GEG em Maceió, Trainer  (certificado pelo Google), Psicólogo (UFAL), e Gestor de Projetos (MBA pela FGV). Executivo entusiasmado por desafios com mais de 25 anos de experiência no desenvolvimento de novos projetos em resposta às adversidades atuais. Utilizando como ferramenta chave a potencialização de pessoas no uso de novas tecnologias (TDIC) e no relacionamento interpessoal buscando maior interação entre os recursos humanos e tecnológicos.</v>
      </c>
      <c r="BE318" s="27" t="str">
        <f ca="1">IFERROR(__xludf.DUMMYFUNCTION("""COMPUTED_VALUE"""),"Homem, cisgênero")</f>
        <v>Homem, cisgênero</v>
      </c>
      <c r="BF318" s="27" t="str">
        <f ca="1">IFERROR(__xludf.DUMMYFUNCTION("""COMPUTED_VALUE"""),"Heterossexual")</f>
        <v>Heterossexual</v>
      </c>
      <c r="BG318" s="27" t="str">
        <f ca="1">IFERROR(__xludf.DUMMYFUNCTION("""COMPUTED_VALUE"""),"Ensino Superior - Completo")</f>
        <v>Ensino Superior - Completo</v>
      </c>
      <c r="BH318" s="27" t="str">
        <f ca="1">IFERROR(__xludf.DUMMYFUNCTION("""COMPUTED_VALUE"""),"Privado")</f>
        <v>Privado</v>
      </c>
      <c r="BI318" s="27" t="str">
        <f ca="1">IFERROR(__xludf.DUMMYFUNCTION("""COMPUTED_VALUE"""),"Pós-Graduação")</f>
        <v>Pós-Graduação</v>
      </c>
      <c r="BJ318" s="27" t="str">
        <f ca="1">IFERROR(__xludf.DUMMYFUNCTION("""COMPUTED_VALUE"""),"Público")</f>
        <v>Público</v>
      </c>
      <c r="BK318" s="27" t="str">
        <f ca="1">IFERROR(__xludf.DUMMYFUNCTION("""COMPUTED_VALUE"""),"Rua Projetada 360")</f>
        <v>Rua Projetada 360</v>
      </c>
      <c r="BL318" s="27">
        <f ca="1">IFERROR(__xludf.DUMMYFUNCTION("""COMPUTED_VALUE"""),704)</f>
        <v>704</v>
      </c>
      <c r="BM318" s="27" t="str">
        <f ca="1">IFERROR(__xludf.DUMMYFUNCTION("""COMPUTED_VALUE"""),"Apto 102 - Ed. Tarrasa")</f>
        <v>Apto 102 - Ed. Tarrasa</v>
      </c>
      <c r="BN318" s="27" t="str">
        <f ca="1">IFERROR(__xludf.DUMMYFUNCTION("""COMPUTED_VALUE"""),"Maceió")</f>
        <v>Maceió</v>
      </c>
      <c r="BO318" s="27" t="str">
        <f ca="1">IFERROR(__xludf.DUMMYFUNCTION("""COMPUTED_VALUE"""),"57042-772")</f>
        <v>57042-772</v>
      </c>
      <c r="BP318" s="27" t="str">
        <f ca="1">IFERROR(__xludf.DUMMYFUNCTION("""COMPUTED_VALUE"""),"AL")</f>
        <v>AL</v>
      </c>
      <c r="BQ318" s="27" t="str">
        <f ca="1">IFERROR(__xludf.DUMMYFUNCTION("""COMPUTED_VALUE"""),"Entre 1 até 3 salários mínimos")</f>
        <v>Entre 1 até 3 salários mínimos</v>
      </c>
      <c r="BR318" s="27" t="str">
        <f ca="1">IFERROR(__xludf.DUMMYFUNCTION("""COMPUTED_VALUE"""),"MEI, Funcionário Público, Desempregado")</f>
        <v>MEI, Funcionário Público, Desempregado</v>
      </c>
      <c r="BS318" s="27" t="str">
        <f ca="1">IFERROR(__xludf.DUMMYFUNCTION("""COMPUTED_VALUE"""),"Casa cedida")</f>
        <v>Casa cedida</v>
      </c>
      <c r="BT318" s="27">
        <f ca="1">IFERROR(__xludf.DUMMYFUNCTION("""COMPUTED_VALUE"""),5)</f>
        <v>5</v>
      </c>
      <c r="BU318" s="27" t="str">
        <f ca="1">IFERROR(__xludf.DUMMYFUNCTION("""COMPUTED_VALUE"""),"Não tem")</f>
        <v>Não tem</v>
      </c>
      <c r="BV318" s="27" t="str">
        <f ca="1">IFERROR(__xludf.DUMMYFUNCTION("""COMPUTED_VALUE"""),"Não")</f>
        <v>Não</v>
      </c>
      <c r="BW318" s="27"/>
      <c r="BX318" s="27"/>
      <c r="BY318" s="21" t="str">
        <f ca="1">IFERROR(__xludf.DUMMYFUNCTION("""COMPUTED_VALUE"""),"https://drive.google.com/open?id=1SxiKyqV2xOHzIIozN5Ma7V_EM0lvm5jn")</f>
        <v>https://drive.google.com/open?id=1SxiKyqV2xOHzIIozN5Ma7V_EM0lvm5jn</v>
      </c>
    </row>
    <row r="319" spans="1:77" ht="12.5" hidden="1" x14ac:dyDescent="0.25">
      <c r="A319" s="21" t="str">
        <f ca="1">IFERROR(__xludf.DUMMYFUNCTION("""COMPUTED_VALUE"""),"0014X00002VKCuCQAX")</f>
        <v>0014X00002VKCuCQAX</v>
      </c>
      <c r="B319" s="27" t="str">
        <f ca="1">IFERROR(__xludf.DUMMYFUNCTION("""COMPUTED_VALUE"""),"Fase Inicial")</f>
        <v>Fase Inicial</v>
      </c>
      <c r="C319" s="27" t="str">
        <f ca="1">IFERROR(__xludf.DUMMYFUNCTION("""COMPUTED_VALUE"""),"Fellow")</f>
        <v>Fellow</v>
      </c>
      <c r="D319" s="27" t="str">
        <f ca="1">IFERROR(__xludf.DUMMYFUNCTION("""COMPUTED_VALUE"""),"Ativo")</f>
        <v>Ativo</v>
      </c>
      <c r="E319" s="27" t="str">
        <f ca="1">IFERROR(__xludf.DUMMYFUNCTION("""COMPUTED_VALUE"""),"INSTITUTO CONFORME")</f>
        <v>INSTITUTO CONFORME</v>
      </c>
      <c r="F319" s="27" t="str">
        <f ca="1">IFERROR(__xludf.DUMMYFUNCTION("""COMPUTED_VALUE"""),"Rosely")</f>
        <v>Rosely</v>
      </c>
      <c r="G319" s="27" t="str">
        <f ca="1">IFERROR(__xludf.DUMMYFUNCTION("""COMPUTED_VALUE"""),"INSITUTO CONFORME")</f>
        <v>INSITUTO CONFORME</v>
      </c>
      <c r="H319" s="27" t="str">
        <f ca="1">IFERROR(__xludf.DUMMYFUNCTION("""COMPUTED_VALUE"""),"26.217.425/0001-40")</f>
        <v>26.217.425/0001-40</v>
      </c>
      <c r="I319" s="27" t="str">
        <f ca="1">IFERROR(__xludf.DUMMYFUNCTION("""COMPUTED_VALUE"""),"EVALDO DUQUE ESTRADA")</f>
        <v>EVALDO DUQUE ESTRADA</v>
      </c>
      <c r="J319" s="27" t="str">
        <f ca="1">IFERROR(__xludf.DUMMYFUNCTION("""COMPUTED_VALUE"""),"institutoconforme@comunidadesiloe.com.br")</f>
        <v>institutoconforme@comunidadesiloe.com.br</v>
      </c>
      <c r="K319" s="27" t="str">
        <f ca="1">IFERROR(__xludf.DUMMYFUNCTION("""COMPUTED_VALUE"""),"(47)99133-2682")</f>
        <v>(47)99133-2682</v>
      </c>
      <c r="L319" s="27" t="str">
        <f ca="1">IFERROR(__xludf.DUMMYFUNCTION("""COMPUTED_VALUE"""),"SC")</f>
        <v>SC</v>
      </c>
      <c r="M319" s="27" t="str">
        <f ca="1">IFERROR(__xludf.DUMMYFUNCTION("""COMPUTED_VALUE"""),"rua do campo 315")</f>
        <v>rua do campo 315</v>
      </c>
      <c r="N319" s="27" t="str">
        <f ca="1">IFERROR(__xludf.DUMMYFUNCTION("""COMPUTED_VALUE"""),"Morro do MEIO")</f>
        <v>Morro do MEIO</v>
      </c>
      <c r="O319" s="27">
        <f ca="1">IFERROR(__xludf.DUMMYFUNCTION("""COMPUTED_VALUE"""),315)</f>
        <v>315</v>
      </c>
      <c r="P319" s="27" t="str">
        <f ca="1">IFERROR(__xludf.DUMMYFUNCTION("""COMPUTED_VALUE"""),"JOINVILLE")</f>
        <v>JOINVILLE</v>
      </c>
      <c r="Q319" s="27" t="str">
        <f ca="1">IFERROR(__xludf.DUMMYFUNCTION("""COMPUTED_VALUE"""),"X")</f>
        <v>X</v>
      </c>
      <c r="R319" s="27" t="str">
        <f ca="1">IFERROR(__xludf.DUMMYFUNCTION("""COMPUTED_VALUE"""),"89215-110")</f>
        <v>89215-110</v>
      </c>
      <c r="S319" s="27" t="str">
        <f ca="1">IFERROR(__xludf.DUMMYFUNCTION("""COMPUTED_VALUE"""),"não")</f>
        <v>não</v>
      </c>
      <c r="T319" s="27"/>
      <c r="U319"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319" s="27" t="str">
        <f ca="1">IFERROR(__xludf.DUMMYFUNCTION("""COMPUTED_VALUE"""),"Refugiados, Outros")</f>
        <v>Refugiados, Outros</v>
      </c>
      <c r="W319" s="27">
        <f ca="1">IFERROR(__xludf.DUMMYFUNCTION("""COMPUTED_VALUE"""),5)</f>
        <v>5</v>
      </c>
      <c r="X319" s="27" t="str">
        <f ca="1">IFERROR(__xludf.DUMMYFUNCTION("""COMPUTED_VALUE"""),"Atendenmos familias.")</f>
        <v>Atendenmos familias.</v>
      </c>
      <c r="Y319" s="27"/>
      <c r="Z319" s="27">
        <f ca="1">IFERROR(__xludf.DUMMYFUNCTION("""COMPUTED_VALUE"""),1090)</f>
        <v>1090</v>
      </c>
      <c r="AA319" s="30">
        <f ca="1">IFERROR(__xludf.DUMMYFUNCTION("""COMPUTED_VALUE"""),42345)</f>
        <v>42345</v>
      </c>
      <c r="AB319" s="27" t="str">
        <f ca="1">IFERROR(__xludf.DUMMYFUNCTION("""COMPUTED_VALUE"""),"Sim")</f>
        <v>Sim</v>
      </c>
      <c r="AC319" s="27">
        <f ca="1">IFERROR(__xludf.DUMMYFUNCTION("""COMPUTED_VALUE"""),3)</f>
        <v>3</v>
      </c>
      <c r="AD319" s="27">
        <f ca="1">IFERROR(__xludf.DUMMYFUNCTION("""COMPUTED_VALUE"""),10)</f>
        <v>10</v>
      </c>
      <c r="AE319" s="27">
        <f ca="1">IFERROR(__xludf.DUMMYFUNCTION("""COMPUTED_VALUE"""),14)</f>
        <v>14</v>
      </c>
      <c r="AF319" s="27">
        <f ca="1">IFERROR(__xludf.DUMMYFUNCTION("""COMPUTED_VALUE"""),10)</f>
        <v>10</v>
      </c>
      <c r="AG319" s="27">
        <f ca="1">IFERROR(__xludf.DUMMYFUNCTION("""COMPUTED_VALUE"""),2)</f>
        <v>2</v>
      </c>
      <c r="AH319" s="27" t="str">
        <f ca="1">IFERROR(__xludf.DUMMYFUNCTION("""COMPUTED_VALUE"""),"Negócio Social, Doações")</f>
        <v>Negócio Social, Doações</v>
      </c>
      <c r="AI319" s="27" t="str">
        <f ca="1">IFERROR(__xludf.DUMMYFUNCTION("""COMPUTED_VALUE"""),"30% Mantenedora Comunidade Siloé  - 30% brechó - 40% doações  pessoas físicas")</f>
        <v>30% Mantenedora Comunidade Siloé  - 30% brechó - 40% doações  pessoas físicas</v>
      </c>
      <c r="AJ319" s="27" t="str">
        <f ca="1">IFERROR(__xludf.DUMMYFUNCTION("""COMPUTED_VALUE"""),"Não")</f>
        <v>Não</v>
      </c>
      <c r="AK319" s="27"/>
      <c r="AL319" s="21" t="str">
        <f ca="1">IFERROR(__xludf.DUMMYFUNCTION("""COMPUTED_VALUE"""),"0034X0000380O0i")</f>
        <v>0034X0000380O0i</v>
      </c>
      <c r="AM319" s="27" t="str">
        <f ca="1">IFERROR(__xludf.DUMMYFUNCTION("""COMPUTED_VALUE"""),"Maria de oliveira")</f>
        <v>Maria de oliveira</v>
      </c>
      <c r="AN319" s="27" t="str">
        <f ca="1">IFERROR(__xludf.DUMMYFUNCTION("""COMPUTED_VALUE"""),"Ativo")</f>
        <v>Ativo</v>
      </c>
      <c r="AO319" s="29">
        <f ca="1">IFERROR(__xludf.DUMMYFUNCTION("""COMPUTED_VALUE"""),44763)</f>
        <v>44763</v>
      </c>
      <c r="AP319" s="27">
        <f ca="1">IFERROR(__xludf.DUMMYFUNCTION("""COMPUTED_VALUE"""),2)</f>
        <v>2</v>
      </c>
      <c r="AQ319" s="27" t="str">
        <f ca="1">IFERROR(__xludf.DUMMYFUNCTION("""COMPUTED_VALUE"""),"Primeiro Semestre 2022")</f>
        <v>Primeiro Semestre 2022</v>
      </c>
      <c r="AR319" s="27" t="str">
        <f ca="1">IFERROR(__xludf.DUMMYFUNCTION("""COMPUTED_VALUE"""),"rosely.oliveira@terra.com.br")</f>
        <v>rosely.oliveira@terra.com.br</v>
      </c>
      <c r="AS319" s="27">
        <f ca="1">IFERROR(__xludf.DUMMYFUNCTION("""COMPUTED_VALUE"""),47996050564)</f>
        <v>47996050564</v>
      </c>
      <c r="AT319" s="29">
        <f ca="1">IFERROR(__xludf.DUMMYFUNCTION("""COMPUTED_VALUE"""),24244)</f>
        <v>24244</v>
      </c>
      <c r="AU319" s="27">
        <f ca="1">IFERROR(__xludf.DUMMYFUNCTION("""COMPUTED_VALUE"""),56)</f>
        <v>56</v>
      </c>
      <c r="AV319" s="35">
        <f ca="1">IFERROR(__xludf.DUMMYFUNCTION("""COMPUTED_VALUE"""),66668360653)</f>
        <v>66668360653</v>
      </c>
      <c r="AW319" s="27">
        <f ca="1">IFERROR(__xludf.DUMMYFUNCTION("""COMPUTED_VALUE"""),6161265)</f>
        <v>6161265</v>
      </c>
      <c r="AX319" s="27"/>
      <c r="AY319" s="27"/>
      <c r="AZ319" s="27" t="str">
        <f ca="1">IFERROR(__xludf.DUMMYFUNCTION("""COMPUTED_VALUE"""),"G")</f>
        <v>G</v>
      </c>
      <c r="BA319" s="27" t="str">
        <f ca="1">IFERROR(__xludf.DUMMYFUNCTION("""COMPUTED_VALUE"""),"Parda")</f>
        <v>Parda</v>
      </c>
      <c r="BB319" s="27"/>
      <c r="BC319" s="27"/>
      <c r="BD319" s="27"/>
      <c r="BE319" s="27" t="str">
        <f ca="1">IFERROR(__xludf.DUMMYFUNCTION("""COMPUTED_VALUE"""),"Feminino")</f>
        <v>Feminino</v>
      </c>
      <c r="BF319" s="27" t="str">
        <f ca="1">IFERROR(__xludf.DUMMYFUNCTION("""COMPUTED_VALUE"""),"Heterossexual")</f>
        <v>Heterossexual</v>
      </c>
      <c r="BG319" s="27"/>
      <c r="BH319" s="27" t="str">
        <f ca="1">IFERROR(__xludf.DUMMYFUNCTION("""COMPUTED_VALUE"""),"Público")</f>
        <v>Público</v>
      </c>
      <c r="BI319" s="27" t="str">
        <f ca="1">IFERROR(__xludf.DUMMYFUNCTION("""COMPUTED_VALUE"""),"Pós-Graduação")</f>
        <v>Pós-Graduação</v>
      </c>
      <c r="BJ319" s="27" t="str">
        <f ca="1">IFERROR(__xludf.DUMMYFUNCTION("""COMPUTED_VALUE"""),"Privado")</f>
        <v>Privado</v>
      </c>
      <c r="BK319" s="27" t="str">
        <f ca="1">IFERROR(__xludf.DUMMYFUNCTION("""COMPUTED_VALUE"""),"Rua desemb. Nelson Nunes Guimaraes")</f>
        <v>Rua desemb. Nelson Nunes Guimaraes</v>
      </c>
      <c r="BL319" s="27">
        <f ca="1">IFERROR(__xludf.DUMMYFUNCTION("""COMPUTED_VALUE"""),97)</f>
        <v>97</v>
      </c>
      <c r="BM319" s="27">
        <f ca="1">IFERROR(__xludf.DUMMYFUNCTION("""COMPUTED_VALUE"""),1101)</f>
        <v>1101</v>
      </c>
      <c r="BN319" s="27"/>
      <c r="BO319" s="27">
        <f ca="1">IFERROR(__xludf.DUMMYFUNCTION("""COMPUTED_VALUE"""),89203060)</f>
        <v>89203060</v>
      </c>
      <c r="BP319" s="27" t="str">
        <f ca="1">IFERROR(__xludf.DUMMYFUNCTION("""COMPUTED_VALUE"""),"SC")</f>
        <v>SC</v>
      </c>
      <c r="BQ319" s="27" t="str">
        <f ca="1">IFERROR(__xludf.DUMMYFUNCTION("""COMPUTED_VALUE"""),"De 3 até 5 salários mínimos")</f>
        <v>De 3 até 5 salários mínimos</v>
      </c>
      <c r="BR319" s="27" t="str">
        <f ca="1">IFERROR(__xludf.DUMMYFUNCTION("""COMPUTED_VALUE"""),"CLT")</f>
        <v>CLT</v>
      </c>
      <c r="BS319" s="27" t="str">
        <f ca="1">IFERROR(__xludf.DUMMYFUNCTION("""COMPUTED_VALUE"""),"Casa própria")</f>
        <v>Casa própria</v>
      </c>
      <c r="BT319" s="27">
        <f ca="1">IFERROR(__xludf.DUMMYFUNCTION("""COMPUTED_VALUE"""),1)</f>
        <v>1</v>
      </c>
      <c r="BU319" s="27"/>
      <c r="BV319" s="27" t="str">
        <f ca="1">IFERROR(__xludf.DUMMYFUNCTION("""COMPUTED_VALUE"""),"Não")</f>
        <v>Não</v>
      </c>
      <c r="BW319" s="27"/>
      <c r="BX319" s="21" t="str">
        <f ca="1">IFERROR(__xludf.DUMMYFUNCTION("""COMPUTED_VALUE"""),"https://www.instagram.com/roselymaria.oliveira/")</f>
        <v>https://www.instagram.com/roselymaria.oliveira/</v>
      </c>
      <c r="BY319" s="21" t="str">
        <f ca="1">IFERROR(__xludf.DUMMYFUNCTION("""COMPUTED_VALUE"""),"https://drive.google.com/open?id=1knf9y3pOdm4Qi-UakzEVPYcG-jYz-p3s")</f>
        <v>https://drive.google.com/open?id=1knf9y3pOdm4Qi-UakzEVPYcG-jYz-p3s</v>
      </c>
    </row>
    <row r="320" spans="1:77" ht="12.5" hidden="1" x14ac:dyDescent="0.25">
      <c r="A320" s="21" t="str">
        <f ca="1">IFERROR(__xludf.DUMMYFUNCTION("""COMPUTED_VALUE"""),"0014X00002VKCtrQAH")</f>
        <v>0014X00002VKCtrQAH</v>
      </c>
      <c r="B320" s="27" t="str">
        <f ca="1">IFERROR(__xludf.DUMMYFUNCTION("""COMPUTED_VALUE"""),"Fase Inicial")</f>
        <v>Fase Inicial</v>
      </c>
      <c r="C320" s="27" t="str">
        <f ca="1">IFERROR(__xludf.DUMMYFUNCTION("""COMPUTED_VALUE"""),"Fellow")</f>
        <v>Fellow</v>
      </c>
      <c r="D320" s="27" t="str">
        <f ca="1">IFERROR(__xludf.DUMMYFUNCTION("""COMPUTED_VALUE"""),"Ativo")</f>
        <v>Ativo</v>
      </c>
      <c r="E320" s="27" t="str">
        <f ca="1">IFERROR(__xludf.DUMMYFUNCTION("""COMPUTED_VALUE"""),"Instituto Conquist")</f>
        <v>Instituto Conquist</v>
      </c>
      <c r="F320" s="27" t="str">
        <f ca="1">IFERROR(__xludf.DUMMYFUNCTION("""COMPUTED_VALUE"""),"Elaine")</f>
        <v>Elaine</v>
      </c>
      <c r="G320" s="27" t="str">
        <f ca="1">IFERROR(__xludf.DUMMYFUNCTION("""COMPUTED_VALUE"""),"INSTITUTO CONQUIST SORRISOS")</f>
        <v>INSTITUTO CONQUIST SORRISOS</v>
      </c>
      <c r="H320" s="27" t="str">
        <f ca="1">IFERROR(__xludf.DUMMYFUNCTION("""COMPUTED_VALUE"""),"31.148.441/0001-69")</f>
        <v>31.148.441/0001-69</v>
      </c>
      <c r="I320" s="27" t="str">
        <f ca="1">IFERROR(__xludf.DUMMYFUNCTION("""COMPUTED_VALUE"""),"Fabio Luiz Ramos")</f>
        <v>Fabio Luiz Ramos</v>
      </c>
      <c r="J320" s="27" t="str">
        <f ca="1">IFERROR(__xludf.DUMMYFUNCTION("""COMPUTED_VALUE"""),"contato@institutoconquistsorrisos.org")</f>
        <v>contato@institutoconquistsorrisos.org</v>
      </c>
      <c r="K320" s="27" t="str">
        <f ca="1">IFERROR(__xludf.DUMMYFUNCTION("""COMPUTED_VALUE"""),"(47)9974-5898")</f>
        <v>(47)9974-5898</v>
      </c>
      <c r="L320" s="27" t="str">
        <f ca="1">IFERROR(__xludf.DUMMYFUNCTION("""COMPUTED_VALUE"""),"SC")</f>
        <v>SC</v>
      </c>
      <c r="M320" s="27" t="str">
        <f ca="1">IFERROR(__xludf.DUMMYFUNCTION("""COMPUTED_VALUE"""),"Rua XV de novembro")</f>
        <v>Rua XV de novembro</v>
      </c>
      <c r="N320" s="27" t="str">
        <f ca="1">IFERROR(__xludf.DUMMYFUNCTION("""COMPUTED_VALUE"""),"Centro")</f>
        <v>Centro</v>
      </c>
      <c r="O320" s="27">
        <f ca="1">IFERROR(__xludf.DUMMYFUNCTION("""COMPUTED_VALUE"""),773)</f>
        <v>773</v>
      </c>
      <c r="P320" s="27" t="str">
        <f ca="1">IFERROR(__xludf.DUMMYFUNCTION("""COMPUTED_VALUE"""),"Joinville")</f>
        <v>Joinville</v>
      </c>
      <c r="Q320" s="27" t="str">
        <f ca="1">IFERROR(__xludf.DUMMYFUNCTION("""COMPUTED_VALUE"""),"Sobreloja")</f>
        <v>Sobreloja</v>
      </c>
      <c r="R320" s="27" t="str">
        <f ca="1">IFERROR(__xludf.DUMMYFUNCTION("""COMPUTED_VALUE"""),"89221-605")</f>
        <v>89221-605</v>
      </c>
      <c r="S320" s="27" t="str">
        <f ca="1">IFERROR(__xludf.DUMMYFUNCTION("""COMPUTED_VALUE"""),"Escolas, praças, eventos, associação de moradores, projetos que envolvem crianças e adolescentes.")</f>
        <v>Escolas, praças, eventos, associação de moradores, projetos que envolvem crianças e adolescentes.</v>
      </c>
      <c r="T320" s="27"/>
      <c r="U320" s="27" t="str">
        <f ca="1">IFERROR(__xludf.DUMMYFUNCTION("""COMPUTED_VALUE"""),"Crianças pequenas (4 anos a 5 anos e 11 meses), Crianças (6 a 12 anos), Adolescentes (12 aos 18 anos)")</f>
        <v>Crianças pequenas (4 anos a 5 anos e 11 meses), Crianças (6 a 12 anos), Adolescentes (12 aos 18 anos)</v>
      </c>
      <c r="V320" s="27" t="str">
        <f ca="1">IFERROR(__xludf.DUMMYFUNCTION("""COMPUTED_VALUE"""),"Moradores de Favelas, Comunidade rural, Outros")</f>
        <v>Moradores de Favelas, Comunidade rural, Outros</v>
      </c>
      <c r="W320" s="27">
        <f ca="1">IFERROR(__xludf.DUMMYFUNCTION("""COMPUTED_VALUE"""),5)</f>
        <v>5</v>
      </c>
      <c r="X320" s="27" t="str">
        <f ca="1">IFERROR(__xludf.DUMMYFUNCTION("""COMPUTED_VALUE"""),"Nosso foco é atender crianças e adolescentes carentes que precisam de atendimento odontológico e não tem condições financeiras* mas atendemos adultos vez em quando  em algum caso específico* pois é muito difícil conseguir atendimento pelo SUS na area odon"&amp;"tologica.")</f>
        <v>Nosso foco é atender crianças e adolescentes carentes que precisam de atendimento odontológico e não tem condições financeiras* mas atendemos adultos vez em quando  em algum caso específico* pois é muito difícil conseguir atendimento pelo SUS na area odontologica.</v>
      </c>
      <c r="Y320" s="27"/>
      <c r="Z320" s="27">
        <f ca="1">IFERROR(__xludf.DUMMYFUNCTION("""COMPUTED_VALUE"""),0)</f>
        <v>0</v>
      </c>
      <c r="AA320" s="29">
        <f ca="1">IFERROR(__xludf.DUMMYFUNCTION("""COMPUTED_VALUE"""),43008)</f>
        <v>43008</v>
      </c>
      <c r="AB320" s="27" t="str">
        <f ca="1">IFERROR(__xludf.DUMMYFUNCTION("""COMPUTED_VALUE"""),"Sim")</f>
        <v>Sim</v>
      </c>
      <c r="AC320" s="27">
        <f ca="1">IFERROR(__xludf.DUMMYFUNCTION("""COMPUTED_VALUE"""),0)</f>
        <v>0</v>
      </c>
      <c r="AD320" s="27">
        <f ca="1">IFERROR(__xludf.DUMMYFUNCTION("""COMPUTED_VALUE"""),0)</f>
        <v>0</v>
      </c>
      <c r="AE320" s="27">
        <f ca="1">IFERROR(__xludf.DUMMYFUNCTION("""COMPUTED_VALUE"""),5)</f>
        <v>5</v>
      </c>
      <c r="AF320" s="27">
        <f ca="1">IFERROR(__xludf.DUMMYFUNCTION("""COMPUTED_VALUE"""),3)</f>
        <v>3</v>
      </c>
      <c r="AG320" s="27">
        <f ca="1">IFERROR(__xludf.DUMMYFUNCTION("""COMPUTED_VALUE"""),2)</f>
        <v>2</v>
      </c>
      <c r="AH320" s="27" t="str">
        <f ca="1">IFERROR(__xludf.DUMMYFUNCTION("""COMPUTED_VALUE"""),"Recursos próprios")</f>
        <v>Recursos próprios</v>
      </c>
      <c r="AI320" s="27">
        <f ca="1">IFERROR(__xludf.DUMMYFUNCTION("""COMPUTED_VALUE"""),1)</f>
        <v>1</v>
      </c>
      <c r="AJ320" s="27" t="str">
        <f ca="1">IFERROR(__xludf.DUMMYFUNCTION("""COMPUTED_VALUE"""),"Não")</f>
        <v>Não</v>
      </c>
      <c r="AK320" s="27"/>
      <c r="AL320" s="21" t="str">
        <f ca="1">IFERROR(__xludf.DUMMYFUNCTION("""COMPUTED_VALUE"""),"0034X0000380O1Y")</f>
        <v>0034X0000380O1Y</v>
      </c>
      <c r="AM320" s="27" t="str">
        <f ca="1">IFERROR(__xludf.DUMMYFUNCTION("""COMPUTED_VALUE"""),"Corrêa")</f>
        <v>Corrêa</v>
      </c>
      <c r="AN320" s="27" t="str">
        <f ca="1">IFERROR(__xludf.DUMMYFUNCTION("""COMPUTED_VALUE"""),"Ativo")</f>
        <v>Ativo</v>
      </c>
      <c r="AO320" s="29">
        <f ca="1">IFERROR(__xludf.DUMMYFUNCTION("""COMPUTED_VALUE"""),44763)</f>
        <v>44763</v>
      </c>
      <c r="AP320" s="27">
        <f ca="1">IFERROR(__xludf.DUMMYFUNCTION("""COMPUTED_VALUE"""),2)</f>
        <v>2</v>
      </c>
      <c r="AQ320" s="27" t="str">
        <f ca="1">IFERROR(__xludf.DUMMYFUNCTION("""COMPUTED_VALUE"""),"Primeiro Semestre 2022")</f>
        <v>Primeiro Semestre 2022</v>
      </c>
      <c r="AR320" s="27" t="str">
        <f ca="1">IFERROR(__xludf.DUMMYFUNCTION("""COMPUTED_VALUE"""),"elainecorrea540@gmail.com")</f>
        <v>elainecorrea540@gmail.com</v>
      </c>
      <c r="AS320" s="27" t="str">
        <f ca="1">IFERROR(__xludf.DUMMYFUNCTION("""COMPUTED_VALUE"""),"47 999745898")</f>
        <v>47 999745898</v>
      </c>
      <c r="AT320" s="29">
        <f ca="1">IFERROR(__xludf.DUMMYFUNCTION("""COMPUTED_VALUE"""),29584)</f>
        <v>29584</v>
      </c>
      <c r="AU320" s="27">
        <f ca="1">IFERROR(__xludf.DUMMYFUNCTION("""COMPUTED_VALUE"""),42)</f>
        <v>42</v>
      </c>
      <c r="AV320" s="35">
        <f ca="1">IFERROR(__xludf.DUMMYFUNCTION("""COMPUTED_VALUE"""),2897314966)</f>
        <v>2897314966</v>
      </c>
      <c r="AW320" s="27">
        <f ca="1">IFERROR(__xludf.DUMMYFUNCTION("""COMPUTED_VALUE"""),3873799)</f>
        <v>3873799</v>
      </c>
      <c r="AX320" s="27"/>
      <c r="AY320" s="27"/>
      <c r="AZ320" s="27" t="str">
        <f ca="1">IFERROR(__xludf.DUMMYFUNCTION("""COMPUTED_VALUE"""),"G")</f>
        <v>G</v>
      </c>
      <c r="BA320" s="27" t="str">
        <f ca="1">IFERROR(__xludf.DUMMYFUNCTION("""COMPUTED_VALUE"""),"Branca")</f>
        <v>Branca</v>
      </c>
      <c r="BB320" s="27"/>
      <c r="BC320" s="27"/>
      <c r="BD320" s="27" t="str">
        <f ca="1">IFERROR(__xludf.DUMMYFUNCTION("""COMPUTED_VALUE"""),"Sou a Elaine* tenho 41 anos e sou extremamente apaixonada pela vida. Eu amo viver e aprender todos os dias.
Tenho 3 filhos que são incríveis* sou casada e trabalho na área da saúde com marketing ( desses responsáveis* que cuida e zela pelas pessoas)* ten"&amp;"ho em mim um desejo e necessidade de ajudar as pessoas* cresci vendo meus pais sempre estendendo as mãos para quem mais precisava.
Comecei a trabalhar na Conquist Odontologia em 2015 e deu match pois ambos tinham o desejo de cuidar do próximo* começamos "&amp;"a ser mais ativos nas ações sociais* fazendo palestras de orientação a saúde bucal* levando kits de higiene e adotando crianças e adolescentes que precisavam de tratamento odontológico e não tinham condições financeiras. 
Abrimos o Instituto para poder a"&amp;"lcançar mais vidas e hoje estou aqui na Falcons super empolgada para fazer o nosso projeto crescer* vejam como a vida nos retribuiu o bem que fazemos. Somente gratidão ate aqui.")</f>
        <v>Sou a Elaine* tenho 41 anos e sou extremamente apaixonada pela vida. Eu amo viver e aprender todos os dias.
Tenho 3 filhos que são incríveis* sou casada e trabalho na área da saúde com marketing ( desses responsáveis* que cuida e zela pelas pessoas)* tenho em mim um desejo e necessidade de ajudar as pessoas* cresci vendo meus pais sempre estendendo as mãos para quem mais precisava.
Comecei a trabalhar na Conquist Odontologia em 2015 e deu match pois ambos tinham o desejo de cuidar do próximo* começamos a ser mais ativos nas ações sociais* fazendo palestras de orientação a saúde bucal* levando kits de higiene e adotando crianças e adolescentes que precisavam de tratamento odontológico e não tinham condições financeiras. 
Abrimos o Instituto para poder alcançar mais vidas e hoje estou aqui na Falcons super empolgada para fazer o nosso projeto crescer* vejam como a vida nos retribuiu o bem que fazemos. Somente gratidão ate aqui.</v>
      </c>
      <c r="BE320" s="27" t="str">
        <f ca="1">IFERROR(__xludf.DUMMYFUNCTION("""COMPUTED_VALUE"""),"Feminino")</f>
        <v>Feminino</v>
      </c>
      <c r="BF320" s="27" t="str">
        <f ca="1">IFERROR(__xludf.DUMMYFUNCTION("""COMPUTED_VALUE"""),"Heterossexual")</f>
        <v>Heterossexual</v>
      </c>
      <c r="BG320" s="27"/>
      <c r="BH320" s="27" t="str">
        <f ca="1">IFERROR(__xludf.DUMMYFUNCTION("""COMPUTED_VALUE"""),"Público")</f>
        <v>Público</v>
      </c>
      <c r="BI320" s="27" t="str">
        <f ca="1">IFERROR(__xludf.DUMMYFUNCTION("""COMPUTED_VALUE"""),"Pós-Graduação")</f>
        <v>Pós-Graduação</v>
      </c>
      <c r="BJ320" s="27" t="str">
        <f ca="1">IFERROR(__xludf.DUMMYFUNCTION("""COMPUTED_VALUE"""),"Privado")</f>
        <v>Privado</v>
      </c>
      <c r="BK320" s="27" t="str">
        <f ca="1">IFERROR(__xludf.DUMMYFUNCTION("""COMPUTED_VALUE"""),"Rua Joao Pessoa")</f>
        <v>Rua Joao Pessoa</v>
      </c>
      <c r="BL320" s="27">
        <f ca="1">IFERROR(__xludf.DUMMYFUNCTION("""COMPUTED_VALUE"""),51)</f>
        <v>51</v>
      </c>
      <c r="BM320" s="27"/>
      <c r="BN320" s="27"/>
      <c r="BO320" s="27">
        <f ca="1">IFERROR(__xludf.DUMMYFUNCTION("""COMPUTED_VALUE"""),89221605)</f>
        <v>89221605</v>
      </c>
      <c r="BP320" s="27" t="str">
        <f ca="1">IFERROR(__xludf.DUMMYFUNCTION("""COMPUTED_VALUE"""),"SC")</f>
        <v>SC</v>
      </c>
      <c r="BQ320" s="27" t="str">
        <f ca="1">IFERROR(__xludf.DUMMYFUNCTION("""COMPUTED_VALUE"""),"De 3 até 5 salários mínimos")</f>
        <v>De 3 até 5 salários mínimos</v>
      </c>
      <c r="BR320" s="27" t="str">
        <f ca="1">IFERROR(__xludf.DUMMYFUNCTION("""COMPUTED_VALUE"""),"CLT")</f>
        <v>CLT</v>
      </c>
      <c r="BS320" s="27" t="str">
        <f ca="1">IFERROR(__xludf.DUMMYFUNCTION("""COMPUTED_VALUE"""),"Casa própria")</f>
        <v>Casa própria</v>
      </c>
      <c r="BT320" s="27">
        <f ca="1">IFERROR(__xludf.DUMMYFUNCTION("""COMPUTED_VALUE"""),3)</f>
        <v>3</v>
      </c>
      <c r="BU320" s="27" t="str">
        <f ca="1">IFERROR(__xludf.DUMMYFUNCTION("""COMPUTED_VALUE"""),"Não tem")</f>
        <v>Não tem</v>
      </c>
      <c r="BV320" s="27" t="str">
        <f ca="1">IFERROR(__xludf.DUMMYFUNCTION("""COMPUTED_VALUE"""),"Não")</f>
        <v>Não</v>
      </c>
      <c r="BW320" s="21" t="str">
        <f ca="1">IFERROR(__xludf.DUMMYFUNCTION("""COMPUTED_VALUE"""),"https://www.linkedin.com/in/elainecorreamkt/")</f>
        <v>https://www.linkedin.com/in/elainecorreamkt/</v>
      </c>
      <c r="BX320" s="21" t="str">
        <f ca="1">IFERROR(__xludf.DUMMYFUNCTION("""COMPUTED_VALUE"""),"https://www.instagram.com/nanicorrea/")</f>
        <v>https://www.instagram.com/nanicorrea/</v>
      </c>
      <c r="BY320" s="21" t="str">
        <f ca="1">IFERROR(__xludf.DUMMYFUNCTION("""COMPUTED_VALUE"""),"https://drive.google.com/open?id=1pqnyuJ25omkallO4lvBzIKmqUAvtSB7B")</f>
        <v>https://drive.google.com/open?id=1pqnyuJ25omkallO4lvBzIKmqUAvtSB7B</v>
      </c>
    </row>
    <row r="321" spans="1:77" ht="12.5" hidden="1" x14ac:dyDescent="0.25">
      <c r="A321" s="21" t="str">
        <f ca="1">IFERROR(__xludf.DUMMYFUNCTION("""COMPUTED_VALUE"""),"0014P00003AN2GMQA1")</f>
        <v>0014P00003AN2GMQA1</v>
      </c>
      <c r="B321" s="27" t="str">
        <f ca="1">IFERROR(__xludf.DUMMYFUNCTION("""COMPUTED_VALUE"""),"Fase Inicial")</f>
        <v>Fase Inicial</v>
      </c>
      <c r="C321" s="27" t="str">
        <f ca="1">IFERROR(__xludf.DUMMYFUNCTION("""COMPUTED_VALUE"""),"Acelerada")</f>
        <v>Acelerada</v>
      </c>
      <c r="D321" s="27" t="str">
        <f ca="1">IFERROR(__xludf.DUMMYFUNCTION("""COMPUTED_VALUE"""),"Ativo")</f>
        <v>Ativo</v>
      </c>
      <c r="E321" s="27" t="str">
        <f ca="1">IFERROR(__xludf.DUMMYFUNCTION("""COMPUTED_VALUE"""),"Instituto Cores do Mará")</f>
        <v>Instituto Cores do Mará</v>
      </c>
      <c r="F321" s="27" t="str">
        <f ca="1">IFERROR(__xludf.DUMMYFUNCTION("""COMPUTED_VALUE"""),"Ducilene")</f>
        <v>Ducilene</v>
      </c>
      <c r="G321" s="27" t="str">
        <f ca="1">IFERROR(__xludf.DUMMYFUNCTION("""COMPUTED_VALUE"""),"CORES DO MARÁ")</f>
        <v>CORES DO MARÁ</v>
      </c>
      <c r="H321" s="27" t="str">
        <f ca="1">IFERROR(__xludf.DUMMYFUNCTION("""COMPUTED_VALUE"""),"31.256.011/0001-60")</f>
        <v>31.256.011/0001-60</v>
      </c>
      <c r="I321" s="27"/>
      <c r="J321" s="27" t="str">
        <f ca="1">IFERROR(__xludf.DUMMYFUNCTION("""COMPUTED_VALUE"""),"duci@coresdomara.org.br")</f>
        <v>duci@coresdomara.org.br</v>
      </c>
      <c r="K321" s="27" t="str">
        <f ca="1">IFERROR(__xludf.DUMMYFUNCTION("""COMPUTED_VALUE"""),"(98)98233-0200")</f>
        <v>(98)98233-0200</v>
      </c>
      <c r="L321" s="27" t="str">
        <f ca="1">IFERROR(__xludf.DUMMYFUNCTION("""COMPUTED_VALUE"""),"MA")</f>
        <v>MA</v>
      </c>
      <c r="M321" s="27" t="str">
        <f ca="1">IFERROR(__xludf.DUMMYFUNCTION("""COMPUTED_VALUE"""),"Rua da Borboleta")</f>
        <v>Rua da Borboleta</v>
      </c>
      <c r="N321" s="27"/>
      <c r="O321" s="27" t="str">
        <f ca="1">IFERROR(__xludf.DUMMYFUNCTION("""COMPUTED_VALUE"""),"(98)98233-0200")</f>
        <v>(98)98233-0200</v>
      </c>
      <c r="P321" s="27" t="str">
        <f ca="1">IFERROR(__xludf.DUMMYFUNCTION("""COMPUTED_VALUE"""),"São Luís")</f>
        <v>São Luís</v>
      </c>
      <c r="Q321" s="27"/>
      <c r="R321" s="27" t="str">
        <f ca="1">IFERROR(__xludf.DUMMYFUNCTION("""COMPUTED_VALUE"""),"65047-170")</f>
        <v>65047-170</v>
      </c>
      <c r="S321" s="27" t="str">
        <f ca="1">IFERROR(__xludf.DUMMYFUNCTION("""COMPUTED_VALUE"""),"Rua da Companhia nr 01 Anil. Iema Rio Anil.")</f>
        <v>Rua da Companhia nr 01 Anil. Iema Rio Anil.</v>
      </c>
      <c r="T321" s="27" t="str">
        <f ca="1">IFERROR(__xludf.DUMMYFUNCTION("""COMPUTED_VALUE"""),"Educação")</f>
        <v>Educação</v>
      </c>
      <c r="U321" s="27" t="str">
        <f ca="1">IFERROR(__xludf.DUMMYFUNCTION("""COMPUTED_VALUE"""),"Crianças (6 a 12 anos)")</f>
        <v>Crianças (6 a 12 anos)</v>
      </c>
      <c r="V321" s="27" t="str">
        <f ca="1">IFERROR(__xludf.DUMMYFUNCTION("""COMPUTED_VALUE"""),"Moradores de Favelas")</f>
        <v>Moradores de Favelas</v>
      </c>
      <c r="W321" s="27">
        <f ca="1">IFERROR(__xludf.DUMMYFUNCTION("""COMPUTED_VALUE"""),2)</f>
        <v>2</v>
      </c>
      <c r="X321" s="27"/>
      <c r="Y321" s="27">
        <f ca="1">IFERROR(__xludf.DUMMYFUNCTION("""COMPUTED_VALUE"""),100)</f>
        <v>100</v>
      </c>
      <c r="Z321" s="27"/>
      <c r="AA321" s="29">
        <f ca="1">IFERROR(__xludf.DUMMYFUNCTION("""COMPUTED_VALUE"""),43319)</f>
        <v>43319</v>
      </c>
      <c r="AB321" s="27" t="str">
        <f ca="1">IFERROR(__xludf.DUMMYFUNCTION("""COMPUTED_VALUE"""),"Sim")</f>
        <v>Sim</v>
      </c>
      <c r="AC321" s="27">
        <f ca="1">IFERROR(__xludf.DUMMYFUNCTION("""COMPUTED_VALUE"""),7)</f>
        <v>7</v>
      </c>
      <c r="AD321" s="27">
        <f ca="1">IFERROR(__xludf.DUMMYFUNCTION("""COMPUTED_VALUE"""),7)</f>
        <v>7</v>
      </c>
      <c r="AE321" s="27">
        <f ca="1">IFERROR(__xludf.DUMMYFUNCTION("""COMPUTED_VALUE"""),9)</f>
        <v>9</v>
      </c>
      <c r="AF321" s="27">
        <f ca="1">IFERROR(__xludf.DUMMYFUNCTION("""COMPUTED_VALUE"""),7)</f>
        <v>7</v>
      </c>
      <c r="AG321" s="27">
        <f ca="1">IFERROR(__xludf.DUMMYFUNCTION("""COMPUTED_VALUE"""),2)</f>
        <v>2</v>
      </c>
      <c r="AH321" s="27" t="str">
        <f ca="1">IFERROR(__xludf.DUMMYFUNCTION("""COMPUTED_VALUE"""),"Plataforma doação online - Pessoa Física; Doações")</f>
        <v>Plataforma doação online - Pessoa Física; Doações</v>
      </c>
      <c r="AI321" s="27" t="str">
        <f ca="1">IFERROR(__xludf.DUMMYFUNCTION("""COMPUTED_VALUE"""),"Projetos específicos com empresas 60% 30% Ações de captação 10% plataforma de doação on-line.")</f>
        <v>Projetos específicos com empresas 60% 30% Ações de captação 10% plataforma de doação on-line.</v>
      </c>
      <c r="AJ321" s="27" t="str">
        <f ca="1">IFERROR(__xludf.DUMMYFUNCTION("""COMPUTED_VALUE"""),"Não")</f>
        <v>Não</v>
      </c>
      <c r="AK321" s="27" t="str">
        <f ca="1">IFERROR(__xludf.DUMMYFUNCTION("""COMPUTED_VALUE"""),"Não")</f>
        <v>Não</v>
      </c>
      <c r="AL321" s="21" t="str">
        <f ca="1">IFERROR(__xludf.DUMMYFUNCTION("""COMPUTED_VALUE"""),"0034P00003maBVr")</f>
        <v>0034P00003maBVr</v>
      </c>
      <c r="AM321" s="27" t="str">
        <f ca="1">IFERROR(__xludf.DUMMYFUNCTION("""COMPUTED_VALUE"""),"França Pereira")</f>
        <v>França Pereira</v>
      </c>
      <c r="AN321" s="27" t="str">
        <f ca="1">IFERROR(__xludf.DUMMYFUNCTION("""COMPUTED_VALUE"""),"Ativo")</f>
        <v>Ativo</v>
      </c>
      <c r="AO321" s="29">
        <f ca="1">IFERROR(__xludf.DUMMYFUNCTION("""COMPUTED_VALUE"""),44158)</f>
        <v>44158</v>
      </c>
      <c r="AP321" s="27">
        <f ca="1">IFERROR(__xludf.DUMMYFUNCTION("""COMPUTED_VALUE"""),22)</f>
        <v>22</v>
      </c>
      <c r="AQ321" s="27" t="str">
        <f ca="1">IFERROR(__xludf.DUMMYFUNCTION("""COMPUTED_VALUE"""),"Primeiro Semestre 2020")</f>
        <v>Primeiro Semestre 2020</v>
      </c>
      <c r="AR321" s="27" t="str">
        <f ca="1">IFERROR(__xludf.DUMMYFUNCTION("""COMPUTED_VALUE"""),"duci@coresdomara.org.br")</f>
        <v>duci@coresdomara.org.br</v>
      </c>
      <c r="AS321" s="27" t="str">
        <f ca="1">IFERROR(__xludf.DUMMYFUNCTION("""COMPUTED_VALUE"""),"(98)98233-0200")</f>
        <v>(98)98233-0200</v>
      </c>
      <c r="AT321" s="30">
        <f ca="1">IFERROR(__xludf.DUMMYFUNCTION("""COMPUTED_VALUE"""),32596)</f>
        <v>32596</v>
      </c>
      <c r="AU321" s="27">
        <f ca="1">IFERROR(__xludf.DUMMYFUNCTION("""COMPUTED_VALUE"""),33)</f>
        <v>33</v>
      </c>
      <c r="AV321" s="27">
        <f ca="1">IFERROR(__xludf.DUMMYFUNCTION("""COMPUTED_VALUE"""),3699743365)</f>
        <v>3699743365</v>
      </c>
      <c r="AW321" s="27">
        <f ca="1">IFERROR(__xludf.DUMMYFUNCTION("""COMPUTED_VALUE"""),20287420020)</f>
        <v>20287420020</v>
      </c>
      <c r="AX321" s="27" t="str">
        <f ca="1">IFERROR(__xludf.DUMMYFUNCTION("""COMPUTED_VALUE"""),"Serviço Social")</f>
        <v>Serviço Social</v>
      </c>
      <c r="AY321" s="27"/>
      <c r="AZ321" s="27" t="str">
        <f ca="1">IFERROR(__xludf.DUMMYFUNCTION("""COMPUTED_VALUE"""),"PP")</f>
        <v>PP</v>
      </c>
      <c r="BA321" s="27"/>
      <c r="BB321" s="27"/>
      <c r="BC321" s="27" t="str">
        <f ca="1">IFERROR(__xludf.DUMMYFUNCTION("""COMPUTED_VALUE"""),"Sim")</f>
        <v>Sim</v>
      </c>
      <c r="BD321" s="27" t="str">
        <f ca="1">IFERROR(__xludf.DUMMYFUNCTION("""COMPUTED_VALUE"""),"Assistente Social, idealizadora do Instituto Cores do Mará")</f>
        <v>Assistente Social, idealizadora do Instituto Cores do Mará</v>
      </c>
      <c r="BE321" s="27"/>
      <c r="BF321" s="27"/>
      <c r="BG321" s="27" t="str">
        <f ca="1">IFERROR(__xludf.DUMMYFUNCTION("""COMPUTED_VALUE"""),"Ensino Superior - Completo")</f>
        <v>Ensino Superior - Completo</v>
      </c>
      <c r="BH321" s="27"/>
      <c r="BI321" s="27" t="str">
        <f ca="1">IFERROR(__xludf.DUMMYFUNCTION("""COMPUTED_VALUE"""),"Graduação")</f>
        <v>Graduação</v>
      </c>
      <c r="BJ321" s="27" t="str">
        <f ca="1">IFERROR(__xludf.DUMMYFUNCTION("""COMPUTED_VALUE"""),"Privado")</f>
        <v>Privado</v>
      </c>
      <c r="BK321" s="27" t="str">
        <f ca="1">IFERROR(__xludf.DUMMYFUNCTION("""COMPUTED_VALUE"""),"Rua Tarquínio Lopes")</f>
        <v>Rua Tarquínio Lopes</v>
      </c>
      <c r="BL321" s="27">
        <f ca="1">IFERROR(__xludf.DUMMYFUNCTION("""COMPUTED_VALUE"""),528)</f>
        <v>528</v>
      </c>
      <c r="BM321" s="27" t="str">
        <f ca="1">IFERROR(__xludf.DUMMYFUNCTION("""COMPUTED_VALUE"""),"Prox ao Comercial Leão")</f>
        <v>Prox ao Comercial Leão</v>
      </c>
      <c r="BN321" s="27" t="str">
        <f ca="1">IFERROR(__xludf.DUMMYFUNCTION("""COMPUTED_VALUE"""),"São Luís")</f>
        <v>São Luís</v>
      </c>
      <c r="BO321" s="27" t="str">
        <f ca="1">IFERROR(__xludf.DUMMYFUNCTION("""COMPUTED_VALUE"""),"65047-170")</f>
        <v>65047-170</v>
      </c>
      <c r="BP321" s="27" t="str">
        <f ca="1">IFERROR(__xludf.DUMMYFUNCTION("""COMPUTED_VALUE"""),"MA")</f>
        <v>MA</v>
      </c>
      <c r="BQ321" s="27" t="str">
        <f ca="1">IFERROR(__xludf.DUMMYFUNCTION("""COMPUTED_VALUE"""),"Acima de 5 salários mínimos")</f>
        <v>Acima de 5 salários mínimos</v>
      </c>
      <c r="BR321" s="27" t="str">
        <f ca="1">IFERROR(__xludf.DUMMYFUNCTION("""COMPUTED_VALUE"""),"MEI; Funcionário Público")</f>
        <v>MEI; Funcionário Público</v>
      </c>
      <c r="BS321" s="27" t="str">
        <f ca="1">IFERROR(__xludf.DUMMYFUNCTION("""COMPUTED_VALUE"""),"Casa própria")</f>
        <v>Casa própria</v>
      </c>
      <c r="BT321" s="27">
        <f ca="1">IFERROR(__xludf.DUMMYFUNCTION("""COMPUTED_VALUE"""),3)</f>
        <v>3</v>
      </c>
      <c r="BU321" s="27"/>
      <c r="BV321" s="27"/>
      <c r="BW321" s="27"/>
      <c r="BX321" s="21" t="str">
        <f ca="1">IFERROR(__xludf.DUMMYFUNCTION("""COMPUTED_VALUE"""),"https://www.instagram.com/ducifpereira/")</f>
        <v>https://www.instagram.com/ducifpereira/</v>
      </c>
      <c r="BY321" s="21" t="str">
        <f ca="1">IFERROR(__xludf.DUMMYFUNCTION("""COMPUTED_VALUE"""),"https://drive.google.com/open?id=1Z7g0O8jNzhBBXqpVxRAfTjxnSBfS2s8p")</f>
        <v>https://drive.google.com/open?id=1Z7g0O8jNzhBBXqpVxRAfTjxnSBfS2s8p</v>
      </c>
    </row>
    <row r="322" spans="1:77" ht="12.5" x14ac:dyDescent="0.25">
      <c r="A322" s="21" t="str">
        <f ca="1">IFERROR(__xludf.DUMMYFUNCTION("""COMPUTED_VALUE"""),"0014X00002VKCqYQAX")</f>
        <v>0014X00002VKCqYQAX</v>
      </c>
      <c r="B322" s="27" t="str">
        <f ca="1">IFERROR(__xludf.DUMMYFUNCTION("""COMPUTED_VALUE"""),"Fase Inicial")</f>
        <v>Fase Inicial</v>
      </c>
      <c r="C322" s="27" t="str">
        <f ca="1">IFERROR(__xludf.DUMMYFUNCTION("""COMPUTED_VALUE"""),"Fellow")</f>
        <v>Fellow</v>
      </c>
      <c r="D322" s="27" t="str">
        <f ca="1">IFERROR(__xludf.DUMMYFUNCTION("""COMPUTED_VALUE"""),"Ativo")</f>
        <v>Ativo</v>
      </c>
      <c r="E322" s="27" t="str">
        <f ca="1">IFERROR(__xludf.DUMMYFUNCTION("""COMPUTED_VALUE"""),"INSTITUTO CPL PARÁ DE MINAS")</f>
        <v>INSTITUTO CPL PARÁ DE MINAS</v>
      </c>
      <c r="F322" s="27" t="str">
        <f ca="1">IFERROR(__xludf.DUMMYFUNCTION("""COMPUTED_VALUE"""),"Andrea")</f>
        <v>Andrea</v>
      </c>
      <c r="G322" s="27" t="str">
        <f ca="1">IFERROR(__xludf.DUMMYFUNCTION("""COMPUTED_VALUE"""),"INSTITUTO CASA PADRE LIBERIO")</f>
        <v>INSTITUTO CASA PADRE LIBERIO</v>
      </c>
      <c r="H322" s="27" t="str">
        <f ca="1">IFERROR(__xludf.DUMMYFUNCTION("""COMPUTED_VALUE"""),"07.604.596/0001-88")</f>
        <v>07.604.596/0001-88</v>
      </c>
      <c r="I322" s="27" t="str">
        <f ca="1">IFERROR(__xludf.DUMMYFUNCTION("""COMPUTED_VALUE"""),"ALINE DAYSE PACHECO")</f>
        <v>ALINE DAYSE PACHECO</v>
      </c>
      <c r="J322" s="27" t="str">
        <f ca="1">IFERROR(__xludf.DUMMYFUNCTION("""COMPUTED_VALUE"""),"instpadreliberio@gmail.com")</f>
        <v>instpadreliberio@gmail.com</v>
      </c>
      <c r="K322" s="27" t="str">
        <f ca="1">IFERROR(__xludf.DUMMYFUNCTION("""COMPUTED_VALUE"""),"(37)3236-0715")</f>
        <v>(37)3236-0715</v>
      </c>
      <c r="L322" s="27" t="str">
        <f ca="1">IFERROR(__xludf.DUMMYFUNCTION("""COMPUTED_VALUE"""),"MG")</f>
        <v>MG</v>
      </c>
      <c r="M322" s="27" t="str">
        <f ca="1">IFERROR(__xludf.DUMMYFUNCTION("""COMPUTED_VALUE"""),"IBRAIM SEVERINO RIBEIRO")</f>
        <v>IBRAIM SEVERINO RIBEIRO</v>
      </c>
      <c r="N322" s="27" t="str">
        <f ca="1">IFERROR(__xludf.DUMMYFUNCTION("""COMPUTED_VALUE"""),"PADRE LIBERIO")</f>
        <v>PADRE LIBERIO</v>
      </c>
      <c r="O322" s="27">
        <f ca="1">IFERROR(__xludf.DUMMYFUNCTION("""COMPUTED_VALUE"""),222)</f>
        <v>222</v>
      </c>
      <c r="P322" s="27" t="str">
        <f ca="1">IFERROR(__xludf.DUMMYFUNCTION("""COMPUTED_VALUE"""),"PARA DE MINAS")</f>
        <v>PARA DE MINAS</v>
      </c>
      <c r="Q322" s="27"/>
      <c r="R322" s="27" t="str">
        <f ca="1">IFERROR(__xludf.DUMMYFUNCTION("""COMPUTED_VALUE"""),"35660-293")</f>
        <v>35660-293</v>
      </c>
      <c r="S322" s="27" t="str">
        <f ca="1">IFERROR(__xludf.DUMMYFUNCTION("""COMPUTED_VALUE"""),"Escola Dona Cotinha")</f>
        <v>Escola Dona Cotinha</v>
      </c>
      <c r="T322" s="27"/>
      <c r="U322" s="27" t="str">
        <f ca="1">IFERROR(__xludf.DUMMYFUNCTION("""COMPUTED_VALUE"""),"Crianças pequenas (4 anos a 5 anos e 11 meses), Crianças (6 a 12 anos), Adolescentes (12 aos 18 anos)")</f>
        <v>Crianças pequenas (4 anos a 5 anos e 11 meses), Crianças (6 a 12 anos), Adolescentes (12 aos 18 anos)</v>
      </c>
      <c r="V322" s="27" t="str">
        <f ca="1">IFERROR(__xludf.DUMMYFUNCTION("""COMPUTED_VALUE"""),"Moradores de Favelas")</f>
        <v>Moradores de Favelas</v>
      </c>
      <c r="W322" s="27">
        <f ca="1">IFERROR(__xludf.DUMMYFUNCTION("""COMPUTED_VALUE"""),5)</f>
        <v>5</v>
      </c>
      <c r="X322" s="27" t="str">
        <f ca="1">IFERROR(__xludf.DUMMYFUNCTION("""COMPUTED_VALUE"""),"Atendemos idosos* PNE e pessoas com transtornos mentais em situação de pobreza com alimentação gratuita diaria")</f>
        <v>Atendemos idosos* PNE e pessoas com transtornos mentais em situação de pobreza com alimentação gratuita diaria</v>
      </c>
      <c r="Y322" s="27"/>
      <c r="Z322" s="27">
        <f ca="1">IFERROR(__xludf.DUMMYFUNCTION("""COMPUTED_VALUE"""),250)</f>
        <v>250</v>
      </c>
      <c r="AA322" s="29">
        <f ca="1">IFERROR(__xludf.DUMMYFUNCTION("""COMPUTED_VALUE"""),38588)</f>
        <v>38588</v>
      </c>
      <c r="AB322" s="27" t="str">
        <f ca="1">IFERROR(__xludf.DUMMYFUNCTION("""COMPUTED_VALUE"""),"Sim")</f>
        <v>Sim</v>
      </c>
      <c r="AC322" s="27">
        <f ca="1">IFERROR(__xludf.DUMMYFUNCTION("""COMPUTED_VALUE"""),1)</f>
        <v>1</v>
      </c>
      <c r="AD322" s="27">
        <f ca="1">IFERROR(__xludf.DUMMYFUNCTION("""COMPUTED_VALUE"""),9)</f>
        <v>9</v>
      </c>
      <c r="AE322" s="27">
        <f ca="1">IFERROR(__xludf.DUMMYFUNCTION("""COMPUTED_VALUE"""),9)</f>
        <v>9</v>
      </c>
      <c r="AF322" s="27">
        <f ca="1">IFERROR(__xludf.DUMMYFUNCTION("""COMPUTED_VALUE"""),9)</f>
        <v>9</v>
      </c>
      <c r="AG322" s="27">
        <f ca="1">IFERROR(__xludf.DUMMYFUNCTION("""COMPUTED_VALUE"""),6)</f>
        <v>6</v>
      </c>
      <c r="AH322" s="27" t="str">
        <f ca="1">IFERROR(__xludf.DUMMYFUNCTION("""COMPUTED_VALUE"""),"Lei de Incentivo, Convênio Público, Editais, Doações, FIA, Recursos próprios")</f>
        <v>Lei de Incentivo, Convênio Público, Editais, Doações, FIA, Recursos próprios</v>
      </c>
      <c r="AI322" s="27" t="str">
        <f ca="1">IFERROR(__xludf.DUMMYFUNCTION("""COMPUTED_VALUE"""),"0.25")</f>
        <v>0.25</v>
      </c>
      <c r="AJ322" s="27" t="str">
        <f ca="1">IFERROR(__xludf.DUMMYFUNCTION("""COMPUTED_VALUE"""),"Sim")</f>
        <v>Sim</v>
      </c>
      <c r="AK322" s="27"/>
      <c r="AL322" s="21" t="str">
        <f ca="1">IFERROR(__xludf.DUMMYFUNCTION("""COMPUTED_VALUE"""),"0034X0000380O5N")</f>
        <v>0034X0000380O5N</v>
      </c>
      <c r="AM322" s="27" t="str">
        <f ca="1">IFERROR(__xludf.DUMMYFUNCTION("""COMPUTED_VALUE"""),"Teixeira")</f>
        <v>Teixeira</v>
      </c>
      <c r="AN322" s="27" t="str">
        <f ca="1">IFERROR(__xludf.DUMMYFUNCTION("""COMPUTED_VALUE"""),"Ativo")</f>
        <v>Ativo</v>
      </c>
      <c r="AO322" s="30">
        <f ca="1">IFERROR(__xludf.DUMMYFUNCTION("""COMPUTED_VALUE"""),44763)</f>
        <v>44763</v>
      </c>
      <c r="AP322" s="27">
        <f ca="1">IFERROR(__xludf.DUMMYFUNCTION("""COMPUTED_VALUE"""),2)</f>
        <v>2</v>
      </c>
      <c r="AQ322" s="27" t="str">
        <f ca="1">IFERROR(__xludf.DUMMYFUNCTION("""COMPUTED_VALUE"""),"Primeiro Semestre 2022")</f>
        <v>Primeiro Semestre 2022</v>
      </c>
      <c r="AR322" s="27" t="str">
        <f ca="1">IFERROR(__xludf.DUMMYFUNCTION("""COMPUTED_VALUE"""),"andrea.attuar@gmail.com")</f>
        <v>andrea.attuar@gmail.com</v>
      </c>
      <c r="AS322" s="27">
        <f ca="1">IFERROR(__xludf.DUMMYFUNCTION("""COMPUTED_VALUE"""),37999116637)</f>
        <v>37999116637</v>
      </c>
      <c r="AT322" s="29">
        <f ca="1">IFERROR(__xludf.DUMMYFUNCTION("""COMPUTED_VALUE"""),26484)</f>
        <v>26484</v>
      </c>
      <c r="AU322" s="27">
        <f ca="1">IFERROR(__xludf.DUMMYFUNCTION("""COMPUTED_VALUE"""),50)</f>
        <v>50</v>
      </c>
      <c r="AV322" s="27">
        <f ca="1">IFERROR(__xludf.DUMMYFUNCTION("""COMPUTED_VALUE"""),82171297620)</f>
        <v>82171297620</v>
      </c>
      <c r="AW322" s="27" t="str">
        <f ca="1">IFERROR(__xludf.DUMMYFUNCTION("""COMPUTED_VALUE"""),"M-5.623.779")</f>
        <v>M-5.623.779</v>
      </c>
      <c r="AX322" s="27"/>
      <c r="AY322" s="27"/>
      <c r="AZ322" s="27" t="str">
        <f ca="1">IFERROR(__xludf.DUMMYFUNCTION("""COMPUTED_VALUE"""),"M")</f>
        <v>M</v>
      </c>
      <c r="BA322" s="27" t="str">
        <f ca="1">IFERROR(__xludf.DUMMYFUNCTION("""COMPUTED_VALUE"""),"Branca")</f>
        <v>Branca</v>
      </c>
      <c r="BB322" s="27"/>
      <c r="BC322" s="27"/>
      <c r="BD322" s="27" t="str">
        <f ca="1">IFERROR(__xludf.DUMMYFUNCTION("""COMPUTED_VALUE"""),"Acredito que todos tem potencial para desenvolver suas habilidades* falta apenas oportunidades. Um dia eu tive oportunidade e alguém que se dispôs a me ajudar* agora acredito ser meu dever levar a quem não tem*")</f>
        <v>Acredito que todos tem potencial para desenvolver suas habilidades* falta apenas oportunidades. Um dia eu tive oportunidade e alguém que se dispôs a me ajudar* agora acredito ser meu dever levar a quem não tem*</v>
      </c>
      <c r="BE322" s="27" t="str">
        <f ca="1">IFERROR(__xludf.DUMMYFUNCTION("""COMPUTED_VALUE"""),"Feminino")</f>
        <v>Feminino</v>
      </c>
      <c r="BF322" s="27" t="str">
        <f ca="1">IFERROR(__xludf.DUMMYFUNCTION("""COMPUTED_VALUE"""),"Heterossexual")</f>
        <v>Heterossexual</v>
      </c>
      <c r="BG322" s="27"/>
      <c r="BH322" s="27" t="str">
        <f ca="1">IFERROR(__xludf.DUMMYFUNCTION("""COMPUTED_VALUE"""),"Público")</f>
        <v>Público</v>
      </c>
      <c r="BI322" s="27"/>
      <c r="BJ322" s="27" t="str">
        <f ca="1">IFERROR(__xludf.DUMMYFUNCTION("""COMPUTED_VALUE"""),"Privado")</f>
        <v>Privado</v>
      </c>
      <c r="BK322" s="27" t="str">
        <f ca="1">IFERROR(__xludf.DUMMYFUNCTION("""COMPUTED_VALUE"""),"RUA CARLOS MEIRELES")</f>
        <v>RUA CARLOS MEIRELES</v>
      </c>
      <c r="BL322" s="27">
        <f ca="1">IFERROR(__xludf.DUMMYFUNCTION("""COMPUTED_VALUE"""),182)</f>
        <v>182</v>
      </c>
      <c r="BM322" s="27"/>
      <c r="BN322" s="27"/>
      <c r="BO322" s="27">
        <f ca="1">IFERROR(__xludf.DUMMYFUNCTION("""COMPUTED_VALUE"""),35660059)</f>
        <v>35660059</v>
      </c>
      <c r="BP322" s="27" t="str">
        <f ca="1">IFERROR(__xludf.DUMMYFUNCTION("""COMPUTED_VALUE"""),"MG")</f>
        <v>MG</v>
      </c>
      <c r="BQ322" s="27" t="str">
        <f ca="1">IFERROR(__xludf.DUMMYFUNCTION("""COMPUTED_VALUE"""),"Acima de 5 salários mínimos")</f>
        <v>Acima de 5 salários mínimos</v>
      </c>
      <c r="BR322" s="27" t="str">
        <f ca="1">IFERROR(__xludf.DUMMYFUNCTION("""COMPUTED_VALUE"""),"CLT")</f>
        <v>CLT</v>
      </c>
      <c r="BS322" s="27" t="str">
        <f ca="1">IFERROR(__xludf.DUMMYFUNCTION("""COMPUTED_VALUE"""),"Aluguel")</f>
        <v>Aluguel</v>
      </c>
      <c r="BT322" s="27">
        <f ca="1">IFERROR(__xludf.DUMMYFUNCTION("""COMPUTED_VALUE"""),3)</f>
        <v>3</v>
      </c>
      <c r="BU322" s="27" t="str">
        <f ca="1">IFERROR(__xludf.DUMMYFUNCTION("""COMPUTED_VALUE"""),"Não tem")</f>
        <v>Não tem</v>
      </c>
      <c r="BV322" s="27" t="str">
        <f ca="1">IFERROR(__xludf.DUMMYFUNCTION("""COMPUTED_VALUE"""),"Sim")</f>
        <v>Sim</v>
      </c>
      <c r="BW322" s="27"/>
      <c r="BX322" s="21" t="str">
        <f ca="1">IFERROR(__xludf.DUMMYFUNCTION("""COMPUTED_VALUE"""),"https://www.instagram.com/tv/CW1d4PoJ9i3uLim6a8kU-pTEolYDhGriBcV9d80/?utm_medium=copy_link")</f>
        <v>https://www.instagram.com/tv/CW1d4PoJ9i3uLim6a8kU-pTEolYDhGriBcV9d80/?utm_medium=copy_link</v>
      </c>
      <c r="BY322" s="21" t="str">
        <f ca="1">IFERROR(__xludf.DUMMYFUNCTION("""COMPUTED_VALUE"""),"https://drive.google.com/open?id=1yX6dSqsLb4mbbeget4N1u8fCSs0p3Av3")</f>
        <v>https://drive.google.com/open?id=1yX6dSqsLb4mbbeget4N1u8fCSs0p3Av3</v>
      </c>
    </row>
    <row r="323" spans="1:77" ht="12.5" hidden="1" x14ac:dyDescent="0.25">
      <c r="A323" s="21" t="str">
        <f ca="1">IFERROR(__xludf.DUMMYFUNCTION("""COMPUTED_VALUE"""),"0014P00003YSp9PQAT")</f>
        <v>0014P00003YSp9PQAT</v>
      </c>
      <c r="B323" s="27" t="str">
        <f ca="1">IFERROR(__xludf.DUMMYFUNCTION("""COMPUTED_VALUE"""),"Fase Inicial")</f>
        <v>Fase Inicial</v>
      </c>
      <c r="C323" s="27" t="str">
        <f ca="1">IFERROR(__xludf.DUMMYFUNCTION("""COMPUTED_VALUE"""),"Fellow")</f>
        <v>Fellow</v>
      </c>
      <c r="D323" s="27" t="str">
        <f ca="1">IFERROR(__xludf.DUMMYFUNCTION("""COMPUTED_VALUE"""),"Ativo")</f>
        <v>Ativo</v>
      </c>
      <c r="E323" s="27" t="str">
        <f ca="1">IFERROR(__xludf.DUMMYFUNCTION("""COMPUTED_VALUE"""),"Instituto Criança Mais Feliz RS")</f>
        <v>Instituto Criança Mais Feliz RS</v>
      </c>
      <c r="F323" s="27" t="str">
        <f ca="1">IFERROR(__xludf.DUMMYFUNCTION("""COMPUTED_VALUE"""),"Sinara")</f>
        <v>Sinara</v>
      </c>
      <c r="G323" s="27"/>
      <c r="H323" s="27" t="str">
        <f ca="1">IFERROR(__xludf.DUMMYFUNCTION("""COMPUTED_VALUE"""),"39.680.115/0001-00")</f>
        <v>39.680.115/0001-00</v>
      </c>
      <c r="I323" s="27" t="str">
        <f ca="1">IFERROR(__xludf.DUMMYFUNCTION("""COMPUTED_VALUE"""),"Sinara Sonallio")</f>
        <v>Sinara Sonallio</v>
      </c>
      <c r="J323" s="27" t="str">
        <f ca="1">IFERROR(__xludf.DUMMYFUNCTION("""COMPUTED_VALUE"""),"criancamaisfelizrstreinamento@gmail.com")</f>
        <v>criancamaisfelizrstreinamento@gmail.com</v>
      </c>
      <c r="K323" s="27" t="str">
        <f ca="1">IFERROR(__xludf.DUMMYFUNCTION("""COMPUTED_VALUE"""),"(51)99517-8730")</f>
        <v>(51)99517-8730</v>
      </c>
      <c r="L323" s="27" t="str">
        <f ca="1">IFERROR(__xludf.DUMMYFUNCTION("""COMPUTED_VALUE"""),"RS")</f>
        <v>RS</v>
      </c>
      <c r="M323" s="27" t="str">
        <f ca="1">IFERROR(__xludf.DUMMYFUNCTION("""COMPUTED_VALUE"""),"Gonçalves Dias")</f>
        <v>Gonçalves Dias</v>
      </c>
      <c r="N323" s="27" t="str">
        <f ca="1">IFERROR(__xludf.DUMMYFUNCTION("""COMPUTED_VALUE"""),"Menino Deus")</f>
        <v>Menino Deus</v>
      </c>
      <c r="O323" s="27">
        <f ca="1">IFERROR(__xludf.DUMMYFUNCTION("""COMPUTED_VALUE"""),422)</f>
        <v>422</v>
      </c>
      <c r="P323" s="27" t="str">
        <f ca="1">IFERROR(__xludf.DUMMYFUNCTION("""COMPUTED_VALUE"""),"Porto Alegre")</f>
        <v>Porto Alegre</v>
      </c>
      <c r="Q323" s="27">
        <f ca="1">IFERROR(__xludf.DUMMYFUNCTION("""COMPUTED_VALUE"""),201)</f>
        <v>201</v>
      </c>
      <c r="R323" s="27" t="str">
        <f ca="1">IFERROR(__xludf.DUMMYFUNCTION("""COMPUTED_VALUE"""),"90630-060")</f>
        <v>90630-060</v>
      </c>
      <c r="S323" s="27"/>
      <c r="T323" s="27" t="str">
        <f ca="1">IFERROR(__xludf.DUMMYFUNCTION("""COMPUTED_VALUE"""),"Assistência Social")</f>
        <v>Assistência Social</v>
      </c>
      <c r="U323" s="27" t="str">
        <f ca="1">IFERROR(__xludf.DUMMYFUNCTION("""COMPUTED_VALUE"""),"Bebês (0 a 1 ano e 6 meses); Crianças bem pequenas (1 ano e 7 meses até 3 anos e 11 meses); Crianças pequenas (4 anos a 5 anos e 11 meses); Crianças (6 a 12 anos)")</f>
        <v>Bebês (0 a 1 ano e 6 meses); Crianças bem pequenas (1 ano e 7 meses até 3 anos e 11 meses); Crianças pequenas (4 anos a 5 anos e 11 meses); Crianças (6 a 12 anos)</v>
      </c>
      <c r="V323" s="27" t="str">
        <f ca="1">IFERROR(__xludf.DUMMYFUNCTION("""COMPUTED_VALUE"""),"Moradores de Favelas")</f>
        <v>Moradores de Favelas</v>
      </c>
      <c r="W323" s="27">
        <f ca="1">IFERROR(__xludf.DUMMYFUNCTION("""COMPUTED_VALUE"""),20)</f>
        <v>20</v>
      </c>
      <c r="X323" s="27" t="str">
        <f ca="1">IFERROR(__xludf.DUMMYFUNCTION("""COMPUTED_VALUE"""),"Nós não temos um número fechado de comunidades que atendemos pois conforme recebemos pedidos das próprias comunidades e buscamos conhecer novas que estejam necessitando de doações nós entregamos")</f>
        <v>Nós não temos um número fechado de comunidades que atendemos pois conforme recebemos pedidos das próprias comunidades e buscamos conhecer novas que estejam necessitando de doações nós entregamos</v>
      </c>
      <c r="Y323" s="27"/>
      <c r="Z323" s="27">
        <f ca="1">IFERROR(__xludf.DUMMYFUNCTION("""COMPUTED_VALUE"""),20000)</f>
        <v>20000</v>
      </c>
      <c r="AA323" s="29">
        <f ca="1">IFERROR(__xludf.DUMMYFUNCTION("""COMPUTED_VALUE"""),42290)</f>
        <v>42290</v>
      </c>
      <c r="AB323" s="27" t="str">
        <f ca="1">IFERROR(__xludf.DUMMYFUNCTION("""COMPUTED_VALUE"""),"Sim")</f>
        <v>Sim</v>
      </c>
      <c r="AC323" s="27">
        <f ca="1">IFERROR(__xludf.DUMMYFUNCTION("""COMPUTED_VALUE"""),1)</f>
        <v>1</v>
      </c>
      <c r="AD323" s="27">
        <f ca="1">IFERROR(__xludf.DUMMYFUNCTION("""COMPUTED_VALUE"""),1)</f>
        <v>1</v>
      </c>
      <c r="AE323" s="27">
        <f ca="1">IFERROR(__xludf.DUMMYFUNCTION("""COMPUTED_VALUE"""),90)</f>
        <v>90</v>
      </c>
      <c r="AF323" s="27">
        <f ca="1">IFERROR(__xludf.DUMMYFUNCTION("""COMPUTED_VALUE"""),70)</f>
        <v>70</v>
      </c>
      <c r="AG323" s="27">
        <f ca="1">IFERROR(__xludf.DUMMYFUNCTION("""COMPUTED_VALUE"""),2)</f>
        <v>2</v>
      </c>
      <c r="AH323" s="27" t="str">
        <f ca="1">IFERROR(__xludf.DUMMYFUNCTION("""COMPUTED_VALUE"""),"Doações")</f>
        <v>Doações</v>
      </c>
      <c r="AI323" s="27">
        <f ca="1">IFERROR(__xludf.DUMMYFUNCTION("""COMPUTED_VALUE"""),0)</f>
        <v>0</v>
      </c>
      <c r="AJ323" s="27"/>
      <c r="AK323" s="27"/>
      <c r="AL323" s="21" t="str">
        <f ca="1">IFERROR(__xludf.DUMMYFUNCTION("""COMPUTED_VALUE"""),"0034P000045kxk1")</f>
        <v>0034P000045kxk1</v>
      </c>
      <c r="AM323" s="27" t="str">
        <f ca="1">IFERROR(__xludf.DUMMYFUNCTION("""COMPUTED_VALUE"""),"Sonallio")</f>
        <v>Sonallio</v>
      </c>
      <c r="AN323" s="27" t="str">
        <f ca="1">IFERROR(__xludf.DUMMYFUNCTION("""COMPUTED_VALUE"""),"Ativo")</f>
        <v>Ativo</v>
      </c>
      <c r="AO323" s="29">
        <f ca="1">IFERROR(__xludf.DUMMYFUNCTION("""COMPUTED_VALUE"""),44551)</f>
        <v>44551</v>
      </c>
      <c r="AP323" s="27">
        <f ca="1">IFERROR(__xludf.DUMMYFUNCTION("""COMPUTED_VALUE"""),9)</f>
        <v>9</v>
      </c>
      <c r="AQ323" s="27" t="str">
        <f ca="1">IFERROR(__xludf.DUMMYFUNCTION("""COMPUTED_VALUE"""),"Segundo Semestre 2021")</f>
        <v>Segundo Semestre 2021</v>
      </c>
      <c r="AR323" s="27" t="str">
        <f ca="1">IFERROR(__xludf.DUMMYFUNCTION("""COMPUTED_VALUE"""),"criancamaisfelizrstreinamento@gmail.com")</f>
        <v>criancamaisfelizrstreinamento@gmail.com</v>
      </c>
      <c r="AS323" s="27" t="str">
        <f ca="1">IFERROR(__xludf.DUMMYFUNCTION("""COMPUTED_VALUE"""),"(51)99517-8730")</f>
        <v>(51)99517-8730</v>
      </c>
      <c r="AT323" s="29">
        <f ca="1">IFERROR(__xludf.DUMMYFUNCTION("""COMPUTED_VALUE"""),28198)</f>
        <v>28198</v>
      </c>
      <c r="AU323" s="27">
        <f ca="1">IFERROR(__xludf.DUMMYFUNCTION("""COMPUTED_VALUE"""),45)</f>
        <v>45</v>
      </c>
      <c r="AV323" s="27">
        <f ca="1">IFERROR(__xludf.DUMMYFUNCTION("""COMPUTED_VALUE"""),1936195984)</f>
        <v>1936195984</v>
      </c>
      <c r="AW323" s="27">
        <f ca="1">IFERROR(__xludf.DUMMYFUNCTION("""COMPUTED_VALUE"""),3121405165)</f>
        <v>3121405165</v>
      </c>
      <c r="AX323" s="27"/>
      <c r="AY323" s="27"/>
      <c r="AZ323" s="27" t="str">
        <f ca="1">IFERROR(__xludf.DUMMYFUNCTION("""COMPUTED_VALUE"""),"P")</f>
        <v>P</v>
      </c>
      <c r="BA323" s="27" t="str">
        <f ca="1">IFERROR(__xludf.DUMMYFUNCTION("""COMPUTED_VALUE"""),"Branca")</f>
        <v>Branca</v>
      </c>
      <c r="BB323" s="27" t="str">
        <f ca="1">IFERROR(__xludf.DUMMYFUNCTION("""COMPUTED_VALUE"""),"Mulher, cisgênero")</f>
        <v>Mulher, cisgênero</v>
      </c>
      <c r="BC323" s="27" t="str">
        <f ca="1">IFERROR(__xludf.DUMMYFUNCTION("""COMPUTED_VALUE"""),"Sim")</f>
        <v>Sim</v>
      </c>
      <c r="BD323" s="27" t="str">
        <f ca="1">IFERROR(__xludf.DUMMYFUNCTION("""COMPUTED_VALUE"""),"Nasci em SC, morei no PR dos 7 aos 22 e desde 2010 no RS, 45 anos.
Filha da Luiza e do Eliseu (já no céu), irmã do Fabio e do Fagner, cunhada da Denise e da Anna, tia do Gustavo e da Catharina e mãe de uma gata de 4 patas. Solteira e por enquanto sem filh"&amp;"os humanos.
Produtora audiovisual, apaixonada por vôlei, chimarrão, bike, vilas e viciada nas crianças da minha ONG. Há quem encontre um propósito de vida aos 20, 40, ou, ainda siga procurando. Eu encontrei o meu em 2015, ano de Fundação da ONG.")</f>
        <v>Nasci em SC, morei no PR dos 7 aos 22 e desde 2010 no RS, 45 anos.
Filha da Luiza e do Eliseu (já no céu), irmã do Fabio e do Fagner, cunhada da Denise e da Anna, tia do Gustavo e da Catharina e mãe de uma gata de 4 patas. Solteira e por enquanto sem filhos humanos.
Produtora audiovisual, apaixonada por vôlei, chimarrão, bike, vilas e viciada nas crianças da minha ONG. Há quem encontre um propósito de vida aos 20, 40, ou, ainda siga procurando. Eu encontrei o meu em 2015, ano de Fundação da ONG.</v>
      </c>
      <c r="BE323" s="27"/>
      <c r="BF323" s="27" t="str">
        <f ca="1">IFERROR(__xludf.DUMMYFUNCTION("""COMPUTED_VALUE"""),"Heterossexual")</f>
        <v>Heterossexual</v>
      </c>
      <c r="BG323" s="27" t="str">
        <f ca="1">IFERROR(__xludf.DUMMYFUNCTION("""COMPUTED_VALUE"""),"Ensino Superior - Incompleto")</f>
        <v>Ensino Superior - Incompleto</v>
      </c>
      <c r="BH323" s="27" t="str">
        <f ca="1">IFERROR(__xludf.DUMMYFUNCTION("""COMPUTED_VALUE"""),"Público")</f>
        <v>Público</v>
      </c>
      <c r="BI323" s="27" t="str">
        <f ca="1">IFERROR(__xludf.DUMMYFUNCTION("""COMPUTED_VALUE"""),"Graduação")</f>
        <v>Graduação</v>
      </c>
      <c r="BJ323" s="27" t="str">
        <f ca="1">IFERROR(__xludf.DUMMYFUNCTION("""COMPUTED_VALUE"""),"Público")</f>
        <v>Público</v>
      </c>
      <c r="BK323" s="27" t="str">
        <f ca="1">IFERROR(__xludf.DUMMYFUNCTION("""COMPUTED_VALUE"""),"Gonçalves Dias")</f>
        <v>Gonçalves Dias</v>
      </c>
      <c r="BL323" s="27">
        <f ca="1">IFERROR(__xludf.DUMMYFUNCTION("""COMPUTED_VALUE"""),433)</f>
        <v>433</v>
      </c>
      <c r="BM323" s="27">
        <f ca="1">IFERROR(__xludf.DUMMYFUNCTION("""COMPUTED_VALUE"""),201)</f>
        <v>201</v>
      </c>
      <c r="BN323" s="27" t="str">
        <f ca="1">IFERROR(__xludf.DUMMYFUNCTION("""COMPUTED_VALUE"""),"Porto Alegre")</f>
        <v>Porto Alegre</v>
      </c>
      <c r="BO323" s="27" t="str">
        <f ca="1">IFERROR(__xludf.DUMMYFUNCTION("""COMPUTED_VALUE"""),"90130-060")</f>
        <v>90130-060</v>
      </c>
      <c r="BP323" s="27" t="str">
        <f ca="1">IFERROR(__xludf.DUMMYFUNCTION("""COMPUTED_VALUE"""),"RS")</f>
        <v>RS</v>
      </c>
      <c r="BQ323" s="27" t="str">
        <f ca="1">IFERROR(__xludf.DUMMYFUNCTION("""COMPUTED_VALUE"""),"De 3 até 5 salários mínimos")</f>
        <v>De 3 até 5 salários mínimos</v>
      </c>
      <c r="BR323" s="27" t="str">
        <f ca="1">IFERROR(__xludf.DUMMYFUNCTION("""COMPUTED_VALUE"""),"Trabalho informal")</f>
        <v>Trabalho informal</v>
      </c>
      <c r="BS323" s="27" t="str">
        <f ca="1">IFERROR(__xludf.DUMMYFUNCTION("""COMPUTED_VALUE"""),"Aluguel")</f>
        <v>Aluguel</v>
      </c>
      <c r="BT323" s="27">
        <f ca="1">IFERROR(__xludf.DUMMYFUNCTION("""COMPUTED_VALUE"""),2)</f>
        <v>2</v>
      </c>
      <c r="BU323" s="27" t="str">
        <f ca="1">IFERROR(__xludf.DUMMYFUNCTION("""COMPUTED_VALUE"""),"Ansiedade")</f>
        <v>Ansiedade</v>
      </c>
      <c r="BV323" s="27" t="str">
        <f ca="1">IFERROR(__xludf.DUMMYFUNCTION("""COMPUTED_VALUE"""),"Vegetariana(o)")</f>
        <v>Vegetariana(o)</v>
      </c>
      <c r="BW323" s="27" t="str">
        <f ca="1">IFERROR(__xludf.DUMMYFUNCTION("""COMPUTED_VALUE"""),"Não")</f>
        <v>Não</v>
      </c>
      <c r="BX323" s="21" t="str">
        <f ca="1">IFERROR(__xludf.DUMMYFUNCTION("""COMPUTED_VALUE"""),"https://instagram.com/nara_sonallio?igshid=YmMyMTA2M2Y=")</f>
        <v>https://instagram.com/nara_sonallio?igshid=YmMyMTA2M2Y=</v>
      </c>
      <c r="BY323" s="21" t="str">
        <f ca="1">IFERROR(__xludf.DUMMYFUNCTION("""COMPUTED_VALUE"""),"https://drive.google.com/open?id=1uZ7aENswb1PuUtQw8-h2ccrObgSO7Rgx")</f>
        <v>https://drive.google.com/open?id=1uZ7aENswb1PuUtQw8-h2ccrObgSO7Rgx</v>
      </c>
    </row>
    <row r="324" spans="1:77" ht="12.5" x14ac:dyDescent="0.25">
      <c r="A324" s="21" t="str">
        <f ca="1">IFERROR(__xludf.DUMMYFUNCTION("""COMPUTED_VALUE"""),"0014P00003AN2FYQA1")</f>
        <v>0014P00003AN2FYQA1</v>
      </c>
      <c r="B324" s="27" t="str">
        <f ca="1">IFERROR(__xludf.DUMMYFUNCTION("""COMPUTED_VALUE"""),"Fase Estruturação")</f>
        <v>Fase Estruturação</v>
      </c>
      <c r="C324" s="27" t="str">
        <f ca="1">IFERROR(__xludf.DUMMYFUNCTION("""COMPUTED_VALUE"""),"Fellow")</f>
        <v>Fellow</v>
      </c>
      <c r="D324" s="27" t="str">
        <f ca="1">IFERROR(__xludf.DUMMYFUNCTION("""COMPUTED_VALUE"""),"Ativo")</f>
        <v>Ativo</v>
      </c>
      <c r="E324" s="27" t="str">
        <f ca="1">IFERROR(__xludf.DUMMYFUNCTION("""COMPUTED_VALUE"""),"Instituto Cristiane Camargo")</f>
        <v>Instituto Cristiane Camargo</v>
      </c>
      <c r="F324" s="27" t="str">
        <f ca="1">IFERROR(__xludf.DUMMYFUNCTION("""COMPUTED_VALUE"""),"Luma")</f>
        <v>Luma</v>
      </c>
      <c r="G324" s="27" t="str">
        <f ca="1">IFERROR(__xludf.DUMMYFUNCTION("""COMPUTED_VALUE"""),"DOE VIDA")</f>
        <v>DOE VIDA</v>
      </c>
      <c r="H324" s="27" t="str">
        <f ca="1">IFERROR(__xludf.DUMMYFUNCTION("""COMPUTED_VALUE"""),"31.260.114/0001-02")</f>
        <v>31.260.114/0001-02</v>
      </c>
      <c r="I324" s="27"/>
      <c r="J324" s="27"/>
      <c r="K324" s="27" t="str">
        <f ca="1">IFERROR(__xludf.DUMMYFUNCTION("""COMPUTED_VALUE"""),"(11)94924-0035")</f>
        <v>(11)94924-0035</v>
      </c>
      <c r="L324" s="27" t="str">
        <f ca="1">IFERROR(__xludf.DUMMYFUNCTION("""COMPUTED_VALUE"""),"SP")</f>
        <v>SP</v>
      </c>
      <c r="M324" s="27" t="str">
        <f ca="1">IFERROR(__xludf.DUMMYFUNCTION("""COMPUTED_VALUE"""),"Rua Luís Antônio Pereira 133")</f>
        <v>Rua Luís Antônio Pereira 133</v>
      </c>
      <c r="N324" s="27"/>
      <c r="O324" s="27" t="str">
        <f ca="1">IFERROR(__xludf.DUMMYFUNCTION("""COMPUTED_VALUE"""),"(11)94924-0035")</f>
        <v>(11)94924-0035</v>
      </c>
      <c r="P324" s="27" t="str">
        <f ca="1">IFERROR(__xludf.DUMMYFUNCTION("""COMPUTED_VALUE"""),"São Paulo")</f>
        <v>São Paulo</v>
      </c>
      <c r="Q324" s="27"/>
      <c r="R324" s="27" t="str">
        <f ca="1">IFERROR(__xludf.DUMMYFUNCTION("""COMPUTED_VALUE"""),"08031-210")</f>
        <v>08031-210</v>
      </c>
      <c r="S324" s="27"/>
      <c r="T324" s="27" t="str">
        <f ca="1">IFERROR(__xludf.DUMMYFUNCTION("""COMPUTED_VALUE"""),"Educação; Assistência Social; Empreendedorismo; Empoderamento Feminino; Negócios Sociais; Apoio à gestão de organizações de Terceiro Setor")</f>
        <v>Educação; Assistência Social; Empreendedorismo; Empoderamento Feminino; Negócios Sociais; Apoio à gestão de organizações de Terceiro Setor</v>
      </c>
      <c r="U324" s="27" t="str">
        <f ca="1">IFERROR(__xludf.DUMMYFUNCTION("""COMPUTED_VALUE"""),"Crianças pequenas (4 anos a 5 anos e 11 meses); Crianças (6 a 12 anos); Adolescentes (12 aos 18 anos)")</f>
        <v>Crianças pequenas (4 anos a 5 anos e 11 meses); Crianças (6 a 12 anos); Adolescentes (12 aos 18 anos)</v>
      </c>
      <c r="V324" s="27" t="str">
        <f ca="1">IFERROR(__xludf.DUMMYFUNCTION("""COMPUTED_VALUE"""),"Moradores de Favelas; Pessoas com Deficiência")</f>
        <v>Moradores de Favelas; Pessoas com Deficiência</v>
      </c>
      <c r="W324" s="27">
        <f ca="1">IFERROR(__xludf.DUMMYFUNCTION("""COMPUTED_VALUE"""),30)</f>
        <v>30</v>
      </c>
      <c r="X324" s="27" t="str">
        <f ca="1">IFERROR(__xludf.DUMMYFUNCTION("""COMPUTED_VALUE"""),"maior parte vem das comunidades")</f>
        <v>maior parte vem das comunidades</v>
      </c>
      <c r="Y324" s="27"/>
      <c r="Z324" s="27"/>
      <c r="AA324" s="30">
        <f ca="1">IFERROR(__xludf.DUMMYFUNCTION("""COMPUTED_VALUE"""),43329)</f>
        <v>43329</v>
      </c>
      <c r="AB324" s="27" t="str">
        <f ca="1">IFERROR(__xludf.DUMMYFUNCTION("""COMPUTED_VALUE"""),"Sim")</f>
        <v>Sim</v>
      </c>
      <c r="AC324" s="27">
        <f ca="1">IFERROR(__xludf.DUMMYFUNCTION("""COMPUTED_VALUE"""),4)</f>
        <v>4</v>
      </c>
      <c r="AD324" s="27">
        <f ca="1">IFERROR(__xludf.DUMMYFUNCTION("""COMPUTED_VALUE"""),0)</f>
        <v>0</v>
      </c>
      <c r="AE324" s="27">
        <f ca="1">IFERROR(__xludf.DUMMYFUNCTION("""COMPUTED_VALUE"""),25)</f>
        <v>25</v>
      </c>
      <c r="AF324" s="27">
        <f ca="1">IFERROR(__xludf.DUMMYFUNCTION("""COMPUTED_VALUE"""),25)</f>
        <v>25</v>
      </c>
      <c r="AG324" s="27">
        <f ca="1">IFERROR(__xludf.DUMMYFUNCTION("""COMPUTED_VALUE"""),5)</f>
        <v>5</v>
      </c>
      <c r="AH324" s="27" t="str">
        <f ca="1">IFERROR(__xludf.DUMMYFUNCTION("""COMPUTED_VALUE"""),"Negócio Social; Eventos/Ações para captação; Plataforma doação online - Pessoa Física; Doações")</f>
        <v>Negócio Social; Eventos/Ações para captação; Plataforma doação online - Pessoa Física; Doações</v>
      </c>
      <c r="AI324" s="27" t="str">
        <f ca="1">IFERROR(__xludf.DUMMYFUNCTION("""COMPUTED_VALUE"""),"50% negócio social 25% doacoes 25% eventos")</f>
        <v>50% negócio social 25% doacoes 25% eventos</v>
      </c>
      <c r="AJ324" s="27" t="str">
        <f ca="1">IFERROR(__xludf.DUMMYFUNCTION("""COMPUTED_VALUE"""),"Não")</f>
        <v>Não</v>
      </c>
      <c r="AK324" s="27" t="str">
        <f ca="1">IFERROR(__xludf.DUMMYFUNCTION("""COMPUTED_VALUE"""),"Não")</f>
        <v>Não</v>
      </c>
      <c r="AL324" s="21" t="str">
        <f ca="1">IFERROR(__xludf.DUMMYFUNCTION("""COMPUTED_VALUE"""),"0034P00003maBVU")</f>
        <v>0034P00003maBVU</v>
      </c>
      <c r="AM324" s="27" t="str">
        <f ca="1">IFERROR(__xludf.DUMMYFUNCTION("""COMPUTED_VALUE"""),"De Camargo Silva Rodrigues")</f>
        <v>De Camargo Silva Rodrigues</v>
      </c>
      <c r="AN324" s="27" t="str">
        <f ca="1">IFERROR(__xludf.DUMMYFUNCTION("""COMPUTED_VALUE"""),"Ativo")</f>
        <v>Ativo</v>
      </c>
      <c r="AO324" s="30">
        <f ca="1">IFERROR(__xludf.DUMMYFUNCTION("""COMPUTED_VALUE"""),44309)</f>
        <v>44309</v>
      </c>
      <c r="AP324" s="27">
        <f ca="1">IFERROR(__xludf.DUMMYFUNCTION("""COMPUTED_VALUE"""),17)</f>
        <v>17</v>
      </c>
      <c r="AQ324" s="27" t="str">
        <f ca="1">IFERROR(__xludf.DUMMYFUNCTION("""COMPUTED_VALUE"""),"Segundo Semestre 2020")</f>
        <v>Segundo Semestre 2020</v>
      </c>
      <c r="AR324" s="27" t="str">
        <f ca="1">IFERROR(__xludf.DUMMYFUNCTION("""COMPUTED_VALUE"""),"lumarodrigues09@gmail.com")</f>
        <v>lumarodrigues09@gmail.com</v>
      </c>
      <c r="AS324" s="27" t="str">
        <f ca="1">IFERROR(__xludf.DUMMYFUNCTION("""COMPUTED_VALUE"""),"(11)94924-0035")</f>
        <v>(11)94924-0035</v>
      </c>
      <c r="AT324" s="29">
        <f ca="1">IFERROR(__xludf.DUMMYFUNCTION("""COMPUTED_VALUE"""),32640)</f>
        <v>32640</v>
      </c>
      <c r="AU324" s="27">
        <f ca="1">IFERROR(__xludf.DUMMYFUNCTION("""COMPUTED_VALUE"""),33)</f>
        <v>33</v>
      </c>
      <c r="AV324" s="27">
        <f ca="1">IFERROR(__xludf.DUMMYFUNCTION("""COMPUTED_VALUE"""),38664039844)</f>
        <v>38664039844</v>
      </c>
      <c r="AW324" s="27">
        <f ca="1">IFERROR(__xludf.DUMMYFUNCTION("""COMPUTED_VALUE"""),476299378)</f>
        <v>476299378</v>
      </c>
      <c r="AX324" s="27" t="str">
        <f ca="1">IFERROR(__xludf.DUMMYFUNCTION("""COMPUTED_VALUE"""),"Gestão do Terceiro Setor")</f>
        <v>Gestão do Terceiro Setor</v>
      </c>
      <c r="AY324" s="27" t="str">
        <f ca="1">IFERROR(__xludf.DUMMYFUNCTION("""COMPUTED_VALUE"""),"Focado 100% no projeto social")</f>
        <v>Focado 100% no projeto social</v>
      </c>
      <c r="AZ324" s="27" t="str">
        <f ca="1">IFERROR(__xludf.DUMMYFUNCTION("""COMPUTED_VALUE"""),"G")</f>
        <v>G</v>
      </c>
      <c r="BA324" s="27"/>
      <c r="BB324" s="27"/>
      <c r="BC324" s="27" t="str">
        <f ca="1">IFERROR(__xludf.DUMMYFUNCTION("""COMPUTED_VALUE"""),"Sim")</f>
        <v>Sim</v>
      </c>
      <c r="BD324" s="27" t="str">
        <f ca="1">IFERROR(__xludf.DUMMYFUNCTION("""COMPUTED_VALUE"""),"Luma Camargo é uma influenciadora digital, criadora de conteúdo para mulheres em situação de autoajuda. Em suas atividades além disso, é fundadora do Instituto Cristiane Camargo.
Através de seu ativismo, no apoio contra a patologia do câncer infantil, con"&amp;"scientização sobre o autismo, além de estender as portas de sua entidade para atendimento a pessoas da comunidade em situação vulnerável, favorecendo pessoas a conhecerem seus direitos e deveres como cidadãos.")</f>
        <v>Luma Camargo é uma influenciadora digital, criadora de conteúdo para mulheres em situação de autoajuda. Em suas atividades além disso, é fundadora do Instituto Cristiane Camargo.
Através de seu ativismo, no apoio contra a patologia do câncer infantil, conscientização sobre o autismo, além de estender as portas de sua entidade para atendimento a pessoas da comunidade em situação vulnerável, favorecendo pessoas a conhecerem seus direitos e deveres como cidadãos.</v>
      </c>
      <c r="BE324" s="27"/>
      <c r="BF324" s="27"/>
      <c r="BG324" s="27" t="str">
        <f ca="1">IFERROR(__xludf.DUMMYFUNCTION("""COMPUTED_VALUE"""),"Ensino Superior - Incompleto")</f>
        <v>Ensino Superior - Incompleto</v>
      </c>
      <c r="BH324" s="27"/>
      <c r="BI324" s="27" t="str">
        <f ca="1">IFERROR(__xludf.DUMMYFUNCTION("""COMPUTED_VALUE"""),"Graduação")</f>
        <v>Graduação</v>
      </c>
      <c r="BJ324" s="27" t="str">
        <f ca="1">IFERROR(__xludf.DUMMYFUNCTION("""COMPUTED_VALUE"""),"Privado")</f>
        <v>Privado</v>
      </c>
      <c r="BK324" s="27" t="str">
        <f ca="1">IFERROR(__xludf.DUMMYFUNCTION("""COMPUTED_VALUE"""),"Noitibo")</f>
        <v>Noitibo</v>
      </c>
      <c r="BL324" s="27">
        <f ca="1">IFERROR(__xludf.DUMMYFUNCTION("""COMPUTED_VALUE"""),365)</f>
        <v>365</v>
      </c>
      <c r="BM324" s="27" t="str">
        <f ca="1">IFERROR(__xludf.DUMMYFUNCTION("""COMPUTED_VALUE"""),"casa 1")</f>
        <v>casa 1</v>
      </c>
      <c r="BN324" s="27" t="str">
        <f ca="1">IFERROR(__xludf.DUMMYFUNCTION("""COMPUTED_VALUE"""),"Sao paulo")</f>
        <v>Sao paulo</v>
      </c>
      <c r="BO324" s="27" t="str">
        <f ca="1">IFERROR(__xludf.DUMMYFUNCTION("""COMPUTED_VALUE"""),"08031-150")</f>
        <v>08031-150</v>
      </c>
      <c r="BP324" s="27" t="str">
        <f ca="1">IFERROR(__xludf.DUMMYFUNCTION("""COMPUTED_VALUE"""),"SP")</f>
        <v>SP</v>
      </c>
      <c r="BQ324" s="27" t="str">
        <f ca="1">IFERROR(__xludf.DUMMYFUNCTION("""COMPUTED_VALUE"""),"Entre 1 até 3 salários mínimos")</f>
        <v>Entre 1 até 3 salários mínimos</v>
      </c>
      <c r="BR324" s="27" t="str">
        <f ca="1">IFERROR(__xludf.DUMMYFUNCTION("""COMPUTED_VALUE"""),"Trabalho informal")</f>
        <v>Trabalho informal</v>
      </c>
      <c r="BS324" s="27" t="str">
        <f ca="1">IFERROR(__xludf.DUMMYFUNCTION("""COMPUTED_VALUE"""),"Aluguel")</f>
        <v>Aluguel</v>
      </c>
      <c r="BT324" s="27">
        <f ca="1">IFERROR(__xludf.DUMMYFUNCTION("""COMPUTED_VALUE"""),3)</f>
        <v>3</v>
      </c>
      <c r="BU324" s="27"/>
      <c r="BV324" s="27"/>
      <c r="BW324" s="27"/>
      <c r="BX324" s="27" t="str">
        <f ca="1">IFERROR(__xludf.DUMMYFUNCTION("""COMPUTED_VALUE"""),"@lumacamargoz")</f>
        <v>@lumacamargoz</v>
      </c>
      <c r="BY324" s="27"/>
    </row>
    <row r="325" spans="1:77" ht="12.5" x14ac:dyDescent="0.25">
      <c r="A325" s="21" t="str">
        <f ca="1">IFERROR(__xludf.DUMMYFUNCTION("""COMPUTED_VALUE"""),"0014X00002VKCr1QAH")</f>
        <v>0014X00002VKCr1QAH</v>
      </c>
      <c r="B325" s="27" t="str">
        <f ca="1">IFERROR(__xludf.DUMMYFUNCTION("""COMPUTED_VALUE"""),"Fase Inicial")</f>
        <v>Fase Inicial</v>
      </c>
      <c r="C325" s="27" t="str">
        <f ca="1">IFERROR(__xludf.DUMMYFUNCTION("""COMPUTED_VALUE"""),"Fellow")</f>
        <v>Fellow</v>
      </c>
      <c r="D325" s="27" t="str">
        <f ca="1">IFERROR(__xludf.DUMMYFUNCTION("""COMPUTED_VALUE"""),"Ativo")</f>
        <v>Ativo</v>
      </c>
      <c r="E325" s="27" t="str">
        <f ca="1">IFERROR(__xludf.DUMMYFUNCTION("""COMPUTED_VALUE"""),"Instituto Cultural Aníbal Machado")</f>
        <v>Instituto Cultural Aníbal Machado</v>
      </c>
      <c r="F325" s="27" t="str">
        <f ca="1">IFERROR(__xludf.DUMMYFUNCTION("""COMPUTED_VALUE"""),"Marcos")</f>
        <v>Marcos</v>
      </c>
      <c r="G325" s="27" t="str">
        <f ca="1">IFERROR(__xludf.DUMMYFUNCTION("""COMPUTED_VALUE"""),"BORRACHALIOTECA DE SABARÁ")</f>
        <v>BORRACHALIOTECA DE SABARÁ</v>
      </c>
      <c r="H325" s="27" t="str">
        <f ca="1">IFERROR(__xludf.DUMMYFUNCTION("""COMPUTED_VALUE"""),"08.346.954/0001-62")</f>
        <v>08.346.954/0001-62</v>
      </c>
      <c r="I325" s="27" t="str">
        <f ca="1">IFERROR(__xludf.DUMMYFUNCTION("""COMPUTED_VALUE"""),"Marcos Túlio Damascena")</f>
        <v>Marcos Túlio Damascena</v>
      </c>
      <c r="J325" s="27" t="str">
        <f ca="1">IFERROR(__xludf.DUMMYFUNCTION("""COMPUTED_VALUE"""),"borrachalioteca@gmail.com")</f>
        <v>borrachalioteca@gmail.com</v>
      </c>
      <c r="K325" s="27" t="str">
        <f ca="1">IFERROR(__xludf.DUMMYFUNCTION("""COMPUTED_VALUE"""),"(31)3674-4170")</f>
        <v>(31)3674-4170</v>
      </c>
      <c r="L325" s="27" t="str">
        <f ca="1">IFERROR(__xludf.DUMMYFUNCTION("""COMPUTED_VALUE"""),"MG")</f>
        <v>MG</v>
      </c>
      <c r="M325" s="27" t="str">
        <f ca="1">IFERROR(__xludf.DUMMYFUNCTION("""COMPUTED_VALUE"""),"Rua Águas Férreas")</f>
        <v>Rua Águas Férreas</v>
      </c>
      <c r="N325" s="27" t="str">
        <f ca="1">IFERROR(__xludf.DUMMYFUNCTION("""COMPUTED_VALUE"""),"Água Férrea")</f>
        <v>Água Férrea</v>
      </c>
      <c r="O325" s="27">
        <f ca="1">IFERROR(__xludf.DUMMYFUNCTION("""COMPUTED_VALUE"""),98)</f>
        <v>98</v>
      </c>
      <c r="P325" s="27" t="str">
        <f ca="1">IFERROR(__xludf.DUMMYFUNCTION("""COMPUTED_VALUE"""),"Sabará")</f>
        <v>Sabará</v>
      </c>
      <c r="Q325" s="27"/>
      <c r="R325" s="27" t="str">
        <f ca="1">IFERROR(__xludf.DUMMYFUNCTION("""COMPUTED_VALUE"""),"34535-140")</f>
        <v>34535-140</v>
      </c>
      <c r="S325" s="27" t="str">
        <f ca="1">IFERROR(__xludf.DUMMYFUNCTION("""COMPUTED_VALUE"""),"Escolas, Museus, Praças")</f>
        <v>Escolas, Museus, Praças</v>
      </c>
      <c r="T325" s="27"/>
      <c r="U325" s="27" t="str">
        <f ca="1">IFERROR(__xludf.DUMMYFUNCTION("""COMPUTED_VALUE"""),"Crianças (6 a 12 anos), Adolescentes (12 aos 18 anos), Jovens (18 aos 24 anos), Adultos, Idosos (60 anos ou mais)")</f>
        <v>Crianças (6 a 12 anos), Adolescentes (12 aos 18 anos), Jovens (18 aos 24 anos), Adultos, Idosos (60 anos ou mais)</v>
      </c>
      <c r="V325" s="27" t="str">
        <f ca="1">IFERROR(__xludf.DUMMYFUNCTION("""COMPUTED_VALUE"""),"Moradores de Favelas, Afrodescendentes")</f>
        <v>Moradores de Favelas, Afrodescendentes</v>
      </c>
      <c r="W325" s="27">
        <f ca="1">IFERROR(__xludf.DUMMYFUNCTION("""COMPUTED_VALUE"""),2)</f>
        <v>2</v>
      </c>
      <c r="X325" s="27"/>
      <c r="Y325" s="27"/>
      <c r="Z325" s="27">
        <f ca="1">IFERROR(__xludf.DUMMYFUNCTION("""COMPUTED_VALUE"""),600)</f>
        <v>600</v>
      </c>
      <c r="AA325" s="29">
        <f ca="1">IFERROR(__xludf.DUMMYFUNCTION("""COMPUTED_VALUE"""),38982)</f>
        <v>38982</v>
      </c>
      <c r="AB325" s="27" t="str">
        <f ca="1">IFERROR(__xludf.DUMMYFUNCTION("""COMPUTED_VALUE"""),"Sim")</f>
        <v>Sim</v>
      </c>
      <c r="AC325" s="27">
        <f ca="1">IFERROR(__xludf.DUMMYFUNCTION("""COMPUTED_VALUE"""),5)</f>
        <v>5</v>
      </c>
      <c r="AD325" s="27">
        <f ca="1">IFERROR(__xludf.DUMMYFUNCTION("""COMPUTED_VALUE"""),5)</f>
        <v>5</v>
      </c>
      <c r="AE325" s="27">
        <f ca="1">IFERROR(__xludf.DUMMYFUNCTION("""COMPUTED_VALUE"""),4)</f>
        <v>4</v>
      </c>
      <c r="AF325" s="27">
        <f ca="1">IFERROR(__xludf.DUMMYFUNCTION("""COMPUTED_VALUE"""),4)</f>
        <v>4</v>
      </c>
      <c r="AG325" s="27">
        <f ca="1">IFERROR(__xludf.DUMMYFUNCTION("""COMPUTED_VALUE"""),2)</f>
        <v>2</v>
      </c>
      <c r="AH325" s="27" t="str">
        <f ca="1">IFERROR(__xludf.DUMMYFUNCTION("""COMPUTED_VALUE"""),"Convênio Público, Parceria iniciativa privada, Editais")</f>
        <v>Convênio Público, Parceria iniciativa privada, Editais</v>
      </c>
      <c r="AI325" s="27" t="str">
        <f ca="1">IFERROR(__xludf.DUMMYFUNCTION("""COMPUTED_VALUE"""),"70% Parceria iniciativa privada 30% Convênio público")</f>
        <v>70% Parceria iniciativa privada 30% Convênio público</v>
      </c>
      <c r="AJ325" s="27" t="str">
        <f ca="1">IFERROR(__xludf.DUMMYFUNCTION("""COMPUTED_VALUE"""),"Não")</f>
        <v>Não</v>
      </c>
      <c r="AK325" s="27"/>
      <c r="AL325" s="21" t="str">
        <f ca="1">IFERROR(__xludf.DUMMYFUNCTION("""COMPUTED_VALUE"""),"0034X0000380O2t")</f>
        <v>0034X0000380O2t</v>
      </c>
      <c r="AM325" s="27" t="str">
        <f ca="1">IFERROR(__xludf.DUMMYFUNCTION("""COMPUTED_VALUE"""),"Túlio damascena")</f>
        <v>Túlio damascena</v>
      </c>
      <c r="AN325" s="27" t="str">
        <f ca="1">IFERROR(__xludf.DUMMYFUNCTION("""COMPUTED_VALUE"""),"Ativo")</f>
        <v>Ativo</v>
      </c>
      <c r="AO325" s="29">
        <f ca="1">IFERROR(__xludf.DUMMYFUNCTION("""COMPUTED_VALUE"""),44763)</f>
        <v>44763</v>
      </c>
      <c r="AP325" s="27">
        <f ca="1">IFERROR(__xludf.DUMMYFUNCTION("""COMPUTED_VALUE"""),2)</f>
        <v>2</v>
      </c>
      <c r="AQ325" s="27" t="str">
        <f ca="1">IFERROR(__xludf.DUMMYFUNCTION("""COMPUTED_VALUE"""),"Primeiro Semestre 2022")</f>
        <v>Primeiro Semestre 2022</v>
      </c>
      <c r="AR325" s="27" t="str">
        <f ca="1">IFERROR(__xludf.DUMMYFUNCTION("""COMPUTED_VALUE"""),"tuliodamascena@gmail.com")</f>
        <v>tuliodamascena@gmail.com</v>
      </c>
      <c r="AS325" s="27" t="str">
        <f ca="1">IFERROR(__xludf.DUMMYFUNCTION("""COMPUTED_VALUE"""),"(31)98825-2391")</f>
        <v>(31)98825-2391</v>
      </c>
      <c r="AT325" s="29">
        <f ca="1">IFERROR(__xludf.DUMMYFUNCTION("""COMPUTED_VALUE"""),28677)</f>
        <v>28677</v>
      </c>
      <c r="AU325" s="27">
        <f ca="1">IFERROR(__xludf.DUMMYFUNCTION("""COMPUTED_VALUE"""),44)</f>
        <v>44</v>
      </c>
      <c r="AV325" s="27">
        <f ca="1">IFERROR(__xludf.DUMMYFUNCTION("""COMPUTED_VALUE"""),3209015643)</f>
        <v>3209015643</v>
      </c>
      <c r="AW325" s="27">
        <f ca="1">IFERROR(__xludf.DUMMYFUNCTION("""COMPUTED_VALUE"""),10387504)</f>
        <v>10387504</v>
      </c>
      <c r="AX325" s="27"/>
      <c r="AY325" s="27" t="str">
        <f ca="1">IFERROR(__xludf.DUMMYFUNCTION("""COMPUTED_VALUE"""),"Presidente")</f>
        <v>Presidente</v>
      </c>
      <c r="AZ325" s="27" t="str">
        <f ca="1">IFERROR(__xludf.DUMMYFUNCTION("""COMPUTED_VALUE"""),"GG")</f>
        <v>GG</v>
      </c>
      <c r="BA325" s="27" t="str">
        <f ca="1">IFERROR(__xludf.DUMMYFUNCTION("""COMPUTED_VALUE"""),"Parda")</f>
        <v>Parda</v>
      </c>
      <c r="BB325" s="27"/>
      <c r="BC325" s="27"/>
      <c r="BD325" s="27" t="str">
        <f ca="1">IFERROR(__xludf.DUMMYFUNCTION("""COMPUTED_VALUE"""),"Túlio Damascena é fundador e gestor do Instituto Cultural Aníbal Machado – A
Borrachalioteca – biblioteca comunitária nascida no interior de uma borracharia e sediada no bairro Caieira, em Sabará/MG.
Com formação acadêmica de foco multidisciplinar e Exten"&amp;"são em Empreendedorismo Cultural pelo CEFET/MG, possui prática em gestão de projetos sociais e curadoria de eventos culturais com destaque para a FLIS – Festa Literária de Sabará que chega a sua oitava edição em 2022.")</f>
        <v>Túlio Damascena é fundador e gestor do Instituto Cultural Aníbal Machado – A
Borrachalioteca – biblioteca comunitária nascida no interior de uma borracharia e sediada no bairro Caieira, em Sabará/MG.
Com formação acadêmica de foco multidisciplinar e Extensão em Empreendedorismo Cultural pelo CEFET/MG, possui prática em gestão de projetos sociais e curadoria de eventos culturais com destaque para a FLIS – Festa Literária de Sabará que chega a sua oitava edição em 2022.</v>
      </c>
      <c r="BE325" s="27" t="str">
        <f ca="1">IFERROR(__xludf.DUMMYFUNCTION("""COMPUTED_VALUE"""),"Homem, cisgênero")</f>
        <v>Homem, cisgênero</v>
      </c>
      <c r="BF325" s="27" t="str">
        <f ca="1">IFERROR(__xludf.DUMMYFUNCTION("""COMPUTED_VALUE"""),"Heterossexual")</f>
        <v>Heterossexual</v>
      </c>
      <c r="BG325" s="27" t="str">
        <f ca="1">IFERROR(__xludf.DUMMYFUNCTION("""COMPUTED_VALUE"""),"Ensino Superior - Incompleto")</f>
        <v>Ensino Superior - Incompleto</v>
      </c>
      <c r="BH325" s="27" t="str">
        <f ca="1">IFERROR(__xludf.DUMMYFUNCTION("""COMPUTED_VALUE"""),"Público")</f>
        <v>Público</v>
      </c>
      <c r="BI325" s="27" t="str">
        <f ca="1">IFERROR(__xludf.DUMMYFUNCTION("""COMPUTED_VALUE"""),"Graduação")</f>
        <v>Graduação</v>
      </c>
      <c r="BJ325" s="27" t="str">
        <f ca="1">IFERROR(__xludf.DUMMYFUNCTION("""COMPUTED_VALUE"""),"Privado")</f>
        <v>Privado</v>
      </c>
      <c r="BK325" s="27" t="str">
        <f ca="1">IFERROR(__xludf.DUMMYFUNCTION("""COMPUTED_VALUE"""),"Alvarenga Peixoto")</f>
        <v>Alvarenga Peixoto</v>
      </c>
      <c r="BL325" s="27">
        <f ca="1">IFERROR(__xludf.DUMMYFUNCTION("""COMPUTED_VALUE"""),2)</f>
        <v>2</v>
      </c>
      <c r="BM325" s="27"/>
      <c r="BN325" s="27" t="str">
        <f ca="1">IFERROR(__xludf.DUMMYFUNCTION("""COMPUTED_VALUE"""),"Sabará")</f>
        <v>Sabará</v>
      </c>
      <c r="BO325" s="27" t="str">
        <f ca="1">IFERROR(__xludf.DUMMYFUNCTION("""COMPUTED_VALUE"""),"34505-520")</f>
        <v>34505-520</v>
      </c>
      <c r="BP325" s="27" t="str">
        <f ca="1">IFERROR(__xludf.DUMMYFUNCTION("""COMPUTED_VALUE"""),"MG")</f>
        <v>MG</v>
      </c>
      <c r="BQ325" s="27" t="str">
        <f ca="1">IFERROR(__xludf.DUMMYFUNCTION("""COMPUTED_VALUE"""),"Entre 1 até 3 salários mínimos")</f>
        <v>Entre 1 até 3 salários mínimos</v>
      </c>
      <c r="BR325" s="27" t="str">
        <f ca="1">IFERROR(__xludf.DUMMYFUNCTION("""COMPUTED_VALUE"""),"Trabalho informal")</f>
        <v>Trabalho informal</v>
      </c>
      <c r="BS325" s="27" t="str">
        <f ca="1">IFERROR(__xludf.DUMMYFUNCTION("""COMPUTED_VALUE"""),"Casa própria")</f>
        <v>Casa própria</v>
      </c>
      <c r="BT325" s="27">
        <f ca="1">IFERROR(__xludf.DUMMYFUNCTION("""COMPUTED_VALUE"""),3)</f>
        <v>3</v>
      </c>
      <c r="BU325" s="27" t="str">
        <f ca="1">IFERROR(__xludf.DUMMYFUNCTION("""COMPUTED_VALUE"""),"Não tem")</f>
        <v>Não tem</v>
      </c>
      <c r="BV325" s="27" t="str">
        <f ca="1">IFERROR(__xludf.DUMMYFUNCTION("""COMPUTED_VALUE"""),"Não")</f>
        <v>Não</v>
      </c>
      <c r="BW325" s="27"/>
      <c r="BX325" s="21" t="str">
        <f ca="1">IFERROR(__xludf.DUMMYFUNCTION("""COMPUTED_VALUE"""),"https://www.instagram.com/tulio_damascena/")</f>
        <v>https://www.instagram.com/tulio_damascena/</v>
      </c>
      <c r="BY325" s="21" t="str">
        <f ca="1">IFERROR(__xludf.DUMMYFUNCTION("""COMPUTED_VALUE"""),"https://drive.google.com/open?id=1NcpScJnQR89BwYfeq5xujf8SrmWcrB42")</f>
        <v>https://drive.google.com/open?id=1NcpScJnQR89BwYfeq5xujf8SrmWcrB42</v>
      </c>
    </row>
    <row r="326" spans="1:77" ht="12.5" hidden="1" x14ac:dyDescent="0.25">
      <c r="A326" s="21" t="str">
        <f ca="1">IFERROR(__xludf.DUMMYFUNCTION("""COMPUTED_VALUE"""),"0014P00003YSpA2QAL")</f>
        <v>0014P00003YSpA2QAL</v>
      </c>
      <c r="B326" s="27" t="str">
        <f ca="1">IFERROR(__xludf.DUMMYFUNCTION("""COMPUTED_VALUE"""),"Fase Inicial")</f>
        <v>Fase Inicial</v>
      </c>
      <c r="C326" s="27" t="str">
        <f ca="1">IFERROR(__xludf.DUMMYFUNCTION("""COMPUTED_VALUE"""),"Fellow")</f>
        <v>Fellow</v>
      </c>
      <c r="D326" s="27" t="str">
        <f ca="1">IFERROR(__xludf.DUMMYFUNCTION("""COMPUTED_VALUE"""),"Ativo")</f>
        <v>Ativo</v>
      </c>
      <c r="E326" s="27" t="str">
        <f ca="1">IFERROR(__xludf.DUMMYFUNCTION("""COMPUTED_VALUE"""),"Instituto Dah Araujo")</f>
        <v>Instituto Dah Araujo</v>
      </c>
      <c r="F326" s="27" t="str">
        <f ca="1">IFERROR(__xludf.DUMMYFUNCTION("""COMPUTED_VALUE"""),"Maria")</f>
        <v>Maria</v>
      </c>
      <c r="G326" s="27"/>
      <c r="H326" s="27" t="str">
        <f ca="1">IFERROR(__xludf.DUMMYFUNCTION("""COMPUTED_VALUE"""),"43.345.097/0001-87")</f>
        <v>43.345.097/0001-87</v>
      </c>
      <c r="I326" s="27" t="str">
        <f ca="1">IFERROR(__xludf.DUMMYFUNCTION("""COMPUTED_VALUE"""),"Maria Madalena Araujo Silva")</f>
        <v>Maria Madalena Araujo Silva</v>
      </c>
      <c r="J326" s="27" t="str">
        <f ca="1">IFERROR(__xludf.DUMMYFUNCTION("""COMPUTED_VALUE"""),"contato@institutodaharaujo.com.br")</f>
        <v>contato@institutodaharaujo.com.br</v>
      </c>
      <c r="K326" s="27" t="str">
        <f ca="1">IFERROR(__xludf.DUMMYFUNCTION("""COMPUTED_VALUE"""),"(11)95793-7393")</f>
        <v>(11)95793-7393</v>
      </c>
      <c r="L326" s="27" t="str">
        <f ca="1">IFERROR(__xludf.DUMMYFUNCTION("""COMPUTED_VALUE"""),"SP")</f>
        <v>SP</v>
      </c>
      <c r="M326" s="27" t="str">
        <f ca="1">IFERROR(__xludf.DUMMYFUNCTION("""COMPUTED_VALUE"""),"Honorio Prado")</f>
        <v>Honorio Prado</v>
      </c>
      <c r="N326" s="27" t="str">
        <f ca="1">IFERROR(__xludf.DUMMYFUNCTION("""COMPUTED_VALUE"""),"Jd. Castro Alves")</f>
        <v>Jd. Castro Alves</v>
      </c>
      <c r="O326" s="27">
        <f ca="1">IFERROR(__xludf.DUMMYFUNCTION("""COMPUTED_VALUE"""),101)</f>
        <v>101</v>
      </c>
      <c r="P326" s="27" t="str">
        <f ca="1">IFERROR(__xludf.DUMMYFUNCTION("""COMPUTED_VALUE"""),"São Paulo")</f>
        <v>São Paulo</v>
      </c>
      <c r="Q326" s="27" t="str">
        <f ca="1">IFERROR(__xludf.DUMMYFUNCTION("""COMPUTED_VALUE"""),"Casa 1")</f>
        <v>Casa 1</v>
      </c>
      <c r="R326" s="27" t="str">
        <f ca="1">IFERROR(__xludf.DUMMYFUNCTION("""COMPUTED_VALUE"""),"04848-020")</f>
        <v>04848-020</v>
      </c>
      <c r="S326" s="27"/>
      <c r="T326" s="27" t="str">
        <f ca="1">IFERROR(__xludf.DUMMYFUNCTION("""COMPUTED_VALUE"""),"Esporte; Educação; Assistência Social; Negócios Sociais; Ciência e Tecnologia; Assistência Psicológica; Desenvolvimento comunitário")</f>
        <v>Esporte; Educação; Assistência Social; Negócios Sociais; Ciência e Tecnologia; Assistência Psicológica; Desenvolvimento comunitário</v>
      </c>
      <c r="U326"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326" s="27" t="str">
        <f ca="1">IFERROR(__xludf.DUMMYFUNCTION("""COMPUTED_VALUE"""),"Moradores de Favelas; Pessoas em situação de rua; Povos Indígenas; Dependentes Químicos; Pessoas com Deficiência")</f>
        <v>Moradores de Favelas; Pessoas em situação de rua; Povos Indígenas; Dependentes Químicos; Pessoas com Deficiência</v>
      </c>
      <c r="W326" s="27">
        <f ca="1">IFERROR(__xludf.DUMMYFUNCTION("""COMPUTED_VALUE"""),4)</f>
        <v>4</v>
      </c>
      <c r="X326" s="27" t="str">
        <f ca="1">IFERROR(__xludf.DUMMYFUNCTION("""COMPUTED_VALUE"""),"Pessoas em situação de vulnerabilidade  social e pessoas com câncer")</f>
        <v>Pessoas em situação de vulnerabilidade  social e pessoas com câncer</v>
      </c>
      <c r="Y326" s="27"/>
      <c r="Z326" s="27">
        <f ca="1">IFERROR(__xludf.DUMMYFUNCTION("""COMPUTED_VALUE"""),50)</f>
        <v>50</v>
      </c>
      <c r="AA326" s="29">
        <f ca="1">IFERROR(__xludf.DUMMYFUNCTION("""COMPUTED_VALUE"""),43228)</f>
        <v>43228</v>
      </c>
      <c r="AB326" s="27" t="str">
        <f ca="1">IFERROR(__xludf.DUMMYFUNCTION("""COMPUTED_VALUE"""),"Não")</f>
        <v>Não</v>
      </c>
      <c r="AC326" s="27">
        <f ca="1">IFERROR(__xludf.DUMMYFUNCTION("""COMPUTED_VALUE"""),0)</f>
        <v>0</v>
      </c>
      <c r="AD326" s="27">
        <f ca="1">IFERROR(__xludf.DUMMYFUNCTION("""COMPUTED_VALUE"""),0)</f>
        <v>0</v>
      </c>
      <c r="AE326" s="27">
        <f ca="1">IFERROR(__xludf.DUMMYFUNCTION("""COMPUTED_VALUE"""),30)</f>
        <v>30</v>
      </c>
      <c r="AF326" s="27">
        <f ca="1">IFERROR(__xludf.DUMMYFUNCTION("""COMPUTED_VALUE"""),30)</f>
        <v>30</v>
      </c>
      <c r="AG326" s="27">
        <f ca="1">IFERROR(__xludf.DUMMYFUNCTION("""COMPUTED_VALUE"""),2)</f>
        <v>2</v>
      </c>
      <c r="AH326" s="27" t="str">
        <f ca="1">IFERROR(__xludf.DUMMYFUNCTION("""COMPUTED_VALUE"""),"Doações")</f>
        <v>Doações</v>
      </c>
      <c r="AI326" s="31">
        <f ca="1">IFERROR(__xludf.DUMMYFUNCTION("""COMPUTED_VALUE"""),0)</f>
        <v>0</v>
      </c>
      <c r="AJ326" s="27"/>
      <c r="AK326" s="27"/>
      <c r="AL326" s="21" t="str">
        <f ca="1">IFERROR(__xludf.DUMMYFUNCTION("""COMPUTED_VALUE"""),"0034P000045kxke")</f>
        <v>0034P000045kxke</v>
      </c>
      <c r="AM326" s="27" t="str">
        <f ca="1">IFERROR(__xludf.DUMMYFUNCTION("""COMPUTED_VALUE"""),"Madalena Araujo Silva De Assis")</f>
        <v>Madalena Araujo Silva De Assis</v>
      </c>
      <c r="AN326" s="27" t="str">
        <f ca="1">IFERROR(__xludf.DUMMYFUNCTION("""COMPUTED_VALUE"""),"Ativo")</f>
        <v>Ativo</v>
      </c>
      <c r="AO326" s="29">
        <f ca="1">IFERROR(__xludf.DUMMYFUNCTION("""COMPUTED_VALUE"""),44551)</f>
        <v>44551</v>
      </c>
      <c r="AP326" s="27">
        <f ca="1">IFERROR(__xludf.DUMMYFUNCTION("""COMPUTED_VALUE"""),9)</f>
        <v>9</v>
      </c>
      <c r="AQ326" s="27" t="str">
        <f ca="1">IFERROR(__xludf.DUMMYFUNCTION("""COMPUTED_VALUE"""),"Segundo Semestre 2021")</f>
        <v>Segundo Semestre 2021</v>
      </c>
      <c r="AR326" s="27" t="str">
        <f ca="1">IFERROR(__xludf.DUMMYFUNCTION("""COMPUTED_VALUE"""),"dalena.lurdes@live.com")</f>
        <v>dalena.lurdes@live.com</v>
      </c>
      <c r="AS326" s="27" t="str">
        <f ca="1">IFERROR(__xludf.DUMMYFUNCTION("""COMPUTED_VALUE"""),"(11)94847-1917")</f>
        <v>(11)94847-1917</v>
      </c>
      <c r="AT326" s="29">
        <f ca="1">IFERROR(__xludf.DUMMYFUNCTION("""COMPUTED_VALUE"""),24864)</f>
        <v>24864</v>
      </c>
      <c r="AU326" s="27">
        <f ca="1">IFERROR(__xludf.DUMMYFUNCTION("""COMPUTED_VALUE"""),54)</f>
        <v>54</v>
      </c>
      <c r="AV326" s="27">
        <f ca="1">IFERROR(__xludf.DUMMYFUNCTION("""COMPUTED_VALUE"""),46021647572)</f>
        <v>46021647572</v>
      </c>
      <c r="AW326" s="27" t="str">
        <f ca="1">IFERROR(__xludf.DUMMYFUNCTION("""COMPUTED_VALUE"""),"50574746 7")</f>
        <v>50574746 7</v>
      </c>
      <c r="AX326" s="27"/>
      <c r="AY326" s="27"/>
      <c r="AZ326" s="27" t="str">
        <f ca="1">IFERROR(__xludf.DUMMYFUNCTION("""COMPUTED_VALUE"""),"G")</f>
        <v>G</v>
      </c>
      <c r="BA326" s="27" t="str">
        <f ca="1">IFERROR(__xludf.DUMMYFUNCTION("""COMPUTED_VALUE"""),"Branca")</f>
        <v>Branca</v>
      </c>
      <c r="BB326" s="27" t="str">
        <f ca="1">IFERROR(__xludf.DUMMYFUNCTION("""COMPUTED_VALUE"""),"Mulher, cisgênero")</f>
        <v>Mulher, cisgênero</v>
      </c>
      <c r="BC326" s="27" t="str">
        <f ca="1">IFERROR(__xludf.DUMMYFUNCTION("""COMPUTED_VALUE"""),"Não")</f>
        <v>Não</v>
      </c>
      <c r="BD326" s="27" t="str">
        <f ca="1">IFERROR(__xludf.DUMMYFUNCTION("""COMPUTED_VALUE"""),"Sou Madá  Professora da rede Estadual tenho 4 filhos e Fundadora do Instituto Dah Araujo")</f>
        <v>Sou Madá  Professora da rede Estadual tenho 4 filhos e Fundadora do Instituto Dah Araujo</v>
      </c>
      <c r="BE326" s="27"/>
      <c r="BF326" s="27" t="str">
        <f ca="1">IFERROR(__xludf.DUMMYFUNCTION("""COMPUTED_VALUE"""),"Heterossexual")</f>
        <v>Heterossexual</v>
      </c>
      <c r="BG326" s="27" t="str">
        <f ca="1">IFERROR(__xludf.DUMMYFUNCTION("""COMPUTED_VALUE"""),"Ensino Superior - Incompleto")</f>
        <v>Ensino Superior - Incompleto</v>
      </c>
      <c r="BH326" s="27" t="str">
        <f ca="1">IFERROR(__xludf.DUMMYFUNCTION("""COMPUTED_VALUE"""),"Privado")</f>
        <v>Privado</v>
      </c>
      <c r="BI326" s="27" t="str">
        <f ca="1">IFERROR(__xludf.DUMMYFUNCTION("""COMPUTED_VALUE"""),"Graduação")</f>
        <v>Graduação</v>
      </c>
      <c r="BJ326" s="27" t="str">
        <f ca="1">IFERROR(__xludf.DUMMYFUNCTION("""COMPUTED_VALUE"""),"Privado")</f>
        <v>Privado</v>
      </c>
      <c r="BK326" s="27" t="str">
        <f ca="1">IFERROR(__xludf.DUMMYFUNCTION("""COMPUTED_VALUE"""),"Antolin Garcia")</f>
        <v>Antolin Garcia</v>
      </c>
      <c r="BL326" s="27">
        <f ca="1">IFERROR(__xludf.DUMMYFUNCTION("""COMPUTED_VALUE"""),101)</f>
        <v>101</v>
      </c>
      <c r="BM326" s="27" t="str">
        <f ca="1">IFERROR(__xludf.DUMMYFUNCTION("""COMPUTED_VALUE"""),"Casa 1")</f>
        <v>Casa 1</v>
      </c>
      <c r="BN326" s="27" t="str">
        <f ca="1">IFERROR(__xludf.DUMMYFUNCTION("""COMPUTED_VALUE"""),"São Paulo")</f>
        <v>São Paulo</v>
      </c>
      <c r="BO326" s="27" t="str">
        <f ca="1">IFERROR(__xludf.DUMMYFUNCTION("""COMPUTED_VALUE"""),"04642-490")</f>
        <v>04642-490</v>
      </c>
      <c r="BP326" s="27" t="str">
        <f ca="1">IFERROR(__xludf.DUMMYFUNCTION("""COMPUTED_VALUE"""),"SP")</f>
        <v>SP</v>
      </c>
      <c r="BQ326" s="27" t="str">
        <f ca="1">IFERROR(__xludf.DUMMYFUNCTION("""COMPUTED_VALUE"""),"De 3 até 5 salários mínimos")</f>
        <v>De 3 até 5 salários mínimos</v>
      </c>
      <c r="BR326" s="27" t="str">
        <f ca="1">IFERROR(__xludf.DUMMYFUNCTION("""COMPUTED_VALUE"""),"Desempregado")</f>
        <v>Desempregado</v>
      </c>
      <c r="BS326" s="27" t="str">
        <f ca="1">IFERROR(__xludf.DUMMYFUNCTION("""COMPUTED_VALUE"""),"Aluguel")</f>
        <v>Aluguel</v>
      </c>
      <c r="BT326" s="27">
        <f ca="1">IFERROR(__xludf.DUMMYFUNCTION("""COMPUTED_VALUE"""),5)</f>
        <v>5</v>
      </c>
      <c r="BU326" s="27" t="str">
        <f ca="1">IFERROR(__xludf.DUMMYFUNCTION("""COMPUTED_VALUE"""),"Artrite Psoriática")</f>
        <v>Artrite Psoriática</v>
      </c>
      <c r="BV326" s="27"/>
      <c r="BW326" s="27"/>
      <c r="BX326" s="21" t="str">
        <f ca="1">IFERROR(__xludf.DUMMYFUNCTION("""COMPUTED_VALUE"""),"https://instagram.com/dah.7674?igshid=YmMyMTA2M2Y=")</f>
        <v>https://instagram.com/dah.7674?igshid=YmMyMTA2M2Y=</v>
      </c>
      <c r="BY326" s="21" t="str">
        <f ca="1">IFERROR(__xludf.DUMMYFUNCTION("""COMPUTED_VALUE"""),"https://drive.google.com/open?id=1ZH678H0YJevNusdsU4QirS0KmALi7kLa")</f>
        <v>https://drive.google.com/open?id=1ZH678H0YJevNusdsU4QirS0KmALi7kLa</v>
      </c>
    </row>
    <row r="327" spans="1:77" ht="12.5" x14ac:dyDescent="0.25">
      <c r="A327" s="21" t="str">
        <f ca="1">IFERROR(__xludf.DUMMYFUNCTION("""COMPUTED_VALUE"""),"0014P00003AN2FbQAL")</f>
        <v>0014P00003AN2FbQAL</v>
      </c>
      <c r="B327" s="27" t="str">
        <f ca="1">IFERROR(__xludf.DUMMYFUNCTION("""COMPUTED_VALUE"""),"Fase Inicial")</f>
        <v>Fase Inicial</v>
      </c>
      <c r="C327" s="27" t="str">
        <f ca="1">IFERROR(__xludf.DUMMYFUNCTION("""COMPUTED_VALUE"""),"Fellow")</f>
        <v>Fellow</v>
      </c>
      <c r="D327" s="27" t="str">
        <f ca="1">IFERROR(__xludf.DUMMYFUNCTION("""COMPUTED_VALUE"""),"Ativo")</f>
        <v>Ativo</v>
      </c>
      <c r="E327" s="27" t="str">
        <f ca="1">IFERROR(__xludf.DUMMYFUNCTION("""COMPUTED_VALUE"""),"INSTITUTO DAS ÁGUIAS")</f>
        <v>INSTITUTO DAS ÁGUIAS</v>
      </c>
      <c r="F327" s="27" t="str">
        <f ca="1">IFERROR(__xludf.DUMMYFUNCTION("""COMPUTED_VALUE"""),"André")</f>
        <v>André</v>
      </c>
      <c r="G327" s="27" t="str">
        <f ca="1">IFERROR(__xludf.DUMMYFUNCTION("""COMPUTED_VALUE"""),"ÁGUIAS")</f>
        <v>ÁGUIAS</v>
      </c>
      <c r="H327" s="27" t="str">
        <f ca="1">IFERROR(__xludf.DUMMYFUNCTION("""COMPUTED_VALUE"""),"32.490.565/0001-90")</f>
        <v>32.490.565/0001-90</v>
      </c>
      <c r="I327" s="27" t="str">
        <f ca="1">IFERROR(__xludf.DUMMYFUNCTION("""COMPUTED_VALUE"""),"André Felipe Silva De Sousa")</f>
        <v>André Felipe Silva De Sousa</v>
      </c>
      <c r="J327" s="27" t="str">
        <f ca="1">IFERROR(__xludf.DUMMYFUNCTION("""COMPUTED_VALUE"""),"institutodasaguias@gmail.com")</f>
        <v>institutodasaguias@gmail.com</v>
      </c>
      <c r="K327" s="27" t="str">
        <f ca="1">IFERROR(__xludf.DUMMYFUNCTION("""COMPUTED_VALUE"""),"(85)98930-4416")</f>
        <v>(85)98930-4416</v>
      </c>
      <c r="L327" s="27" t="str">
        <f ca="1">IFERROR(__xludf.DUMMYFUNCTION("""COMPUTED_VALUE"""),"CE")</f>
        <v>CE</v>
      </c>
      <c r="M327" s="27" t="str">
        <f ca="1">IFERROR(__xludf.DUMMYFUNCTION("""COMPUTED_VALUE"""),"Rua Tenente Renato Aguiar")</f>
        <v>Rua Tenente Renato Aguiar</v>
      </c>
      <c r="N327" s="27" t="str">
        <f ca="1">IFERROR(__xludf.DUMMYFUNCTION("""COMPUTED_VALUE"""),"Serrinha")</f>
        <v>Serrinha</v>
      </c>
      <c r="O327" s="27" t="str">
        <f ca="1">IFERROR(__xludf.DUMMYFUNCTION("""COMPUTED_VALUE"""),"(85)98930-4416")</f>
        <v>(85)98930-4416</v>
      </c>
      <c r="P327" s="27" t="str">
        <f ca="1">IFERROR(__xludf.DUMMYFUNCTION("""COMPUTED_VALUE"""),"Fortaleza")</f>
        <v>Fortaleza</v>
      </c>
      <c r="Q327" s="27"/>
      <c r="R327" s="27" t="str">
        <f ca="1">IFERROR(__xludf.DUMMYFUNCTION("""COMPUTED_VALUE"""),"60714-430")</f>
        <v>60714-430</v>
      </c>
      <c r="S327" s="27"/>
      <c r="T327" s="27" t="str">
        <f ca="1">IFERROR(__xludf.DUMMYFUNCTION("""COMPUTED_VALUE"""),"Esporte; Educação; Empregabilidade; Assistência Social; Cultura; Qualificação Profissional; Empreendedorismo; Meio ambiente; Empoderamento Feminino; Comunicação; Assistência Psicológica; Desenvolvimento comunitário")</f>
        <v>Esporte; Educação; Empregabilidade; Assistência Social; Cultura; Qualificação Profissional; Empreendedorismo; Meio ambiente; Empoderamento Feminino; Comunicação; Assistência Psicológica; Desenvolvimento comunitário</v>
      </c>
      <c r="U327" s="27" t="str">
        <f ca="1">IFERROR(__xludf.DUMMYFUNCTION("""COMPUTED_VALUE"""),"Crianças bem pequenas (1 ano e 7 meses até 3 anos e 11 meses); Crianças pequenas (4 anos a 5 anos e 11 meses); Crianças (6 a 12 anos); Adolescentes (12 aos 18 anos); Jovens (18 aos 24 anos); Adultos")</f>
        <v>Crianças bem pequenas (1 ano e 7 meses até 3 anos e 11 meses); Crianças pequenas (4 anos a 5 anos e 11 meses); Crianças (6 a 12 anos); Adolescentes (12 aos 18 anos); Jovens (18 aos 24 anos); Adultos</v>
      </c>
      <c r="V327" s="27" t="str">
        <f ca="1">IFERROR(__xludf.DUMMYFUNCTION("""COMPUTED_VALUE"""),"Moradores de Favelas; Pessoas em situação de rua; População LGBTQ+")</f>
        <v>Moradores de Favelas; Pessoas em situação de rua; População LGBTQ+</v>
      </c>
      <c r="W327" s="27">
        <f ca="1">IFERROR(__xludf.DUMMYFUNCTION("""COMPUTED_VALUE"""),8)</f>
        <v>8</v>
      </c>
      <c r="X327" s="27" t="str">
        <f ca="1">IFERROR(__xludf.DUMMYFUNCTION("""COMPUTED_VALUE"""),"Publico de periferia grande maioria crianças e jovens que moram apenas com a mãe como chefe de família.")</f>
        <v>Publico de periferia grande maioria crianças e jovens que moram apenas com a mãe como chefe de família.</v>
      </c>
      <c r="Y327" s="27">
        <f ca="1">IFERROR(__xludf.DUMMYFUNCTION("""COMPUTED_VALUE"""),80)</f>
        <v>80</v>
      </c>
      <c r="Z327" s="27">
        <f ca="1">IFERROR(__xludf.DUMMYFUNCTION("""COMPUTED_VALUE"""),600)</f>
        <v>600</v>
      </c>
      <c r="AA327" s="29">
        <f ca="1">IFERROR(__xludf.DUMMYFUNCTION("""COMPUTED_VALUE"""),43662)</f>
        <v>43662</v>
      </c>
      <c r="AB327" s="27" t="str">
        <f ca="1">IFERROR(__xludf.DUMMYFUNCTION("""COMPUTED_VALUE"""),"Sim")</f>
        <v>Sim</v>
      </c>
      <c r="AC327" s="27">
        <f ca="1">IFERROR(__xludf.DUMMYFUNCTION("""COMPUTED_VALUE"""),0)</f>
        <v>0</v>
      </c>
      <c r="AD327" s="27">
        <f ca="1">IFERROR(__xludf.DUMMYFUNCTION("""COMPUTED_VALUE"""),0)</f>
        <v>0</v>
      </c>
      <c r="AE327" s="27">
        <f ca="1">IFERROR(__xludf.DUMMYFUNCTION("""COMPUTED_VALUE"""),19)</f>
        <v>19</v>
      </c>
      <c r="AF327" s="27">
        <f ca="1">IFERROR(__xludf.DUMMYFUNCTION("""COMPUTED_VALUE"""),0)</f>
        <v>0</v>
      </c>
      <c r="AG327" s="27">
        <f ca="1">IFERROR(__xludf.DUMMYFUNCTION("""COMPUTED_VALUE"""),0)</f>
        <v>0</v>
      </c>
      <c r="AH327" s="27" t="str">
        <f ca="1">IFERROR(__xludf.DUMMYFUNCTION("""COMPUTED_VALUE"""),"Outro(s); Doações; Recursos próprios")</f>
        <v>Outro(s); Doações; Recursos próprios</v>
      </c>
      <c r="AI327" s="27">
        <f ca="1">IFERROR(__xludf.DUMMYFUNCTION("""COMPUTED_VALUE"""),0)</f>
        <v>0</v>
      </c>
      <c r="AJ327" s="27" t="str">
        <f ca="1">IFERROR(__xludf.DUMMYFUNCTION("""COMPUTED_VALUE"""),"Não")</f>
        <v>Não</v>
      </c>
      <c r="AK327" s="27" t="str">
        <f ca="1">IFERROR(__xludf.DUMMYFUNCTION("""COMPUTED_VALUE"""),"Não")</f>
        <v>Não</v>
      </c>
      <c r="AL327" s="21" t="str">
        <f ca="1">IFERROR(__xludf.DUMMYFUNCTION("""COMPUTED_VALUE"""),"0034P00003maBV1")</f>
        <v>0034P00003maBV1</v>
      </c>
      <c r="AM327" s="27" t="str">
        <f ca="1">IFERROR(__xludf.DUMMYFUNCTION("""COMPUTED_VALUE"""),"Felipe Silva De Sousa")</f>
        <v>Felipe Silva De Sousa</v>
      </c>
      <c r="AN327" s="27" t="str">
        <f ca="1">IFERROR(__xludf.DUMMYFUNCTION("""COMPUTED_VALUE"""),"Ativo")</f>
        <v>Ativo</v>
      </c>
      <c r="AO327" s="30">
        <f ca="1">IFERROR(__xludf.DUMMYFUNCTION("""COMPUTED_VALUE"""),44234)</f>
        <v>44234</v>
      </c>
      <c r="AP327" s="27">
        <f ca="1">IFERROR(__xludf.DUMMYFUNCTION("""COMPUTED_VALUE"""),19)</f>
        <v>19</v>
      </c>
      <c r="AQ327" s="27" t="str">
        <f ca="1">IFERROR(__xludf.DUMMYFUNCTION("""COMPUTED_VALUE"""),"Primeiro Semestre 2021")</f>
        <v>Primeiro Semestre 2021</v>
      </c>
      <c r="AR327" s="27" t="str">
        <f ca="1">IFERROR(__xludf.DUMMYFUNCTION("""COMPUTED_VALUE"""),"institutodasaguias@gmail.com")</f>
        <v>institutodasaguias@gmail.com</v>
      </c>
      <c r="AS327" s="27" t="str">
        <f ca="1">IFERROR(__xludf.DUMMYFUNCTION("""COMPUTED_VALUE"""),"(85)98930-4416")</f>
        <v>(85)98930-4416</v>
      </c>
      <c r="AT327" s="29">
        <f ca="1">IFERROR(__xludf.DUMMYFUNCTION("""COMPUTED_VALUE"""),35645)</f>
        <v>35645</v>
      </c>
      <c r="AU327" s="27">
        <f ca="1">IFERROR(__xludf.DUMMYFUNCTION("""COMPUTED_VALUE"""),25)</f>
        <v>25</v>
      </c>
      <c r="AV327" s="27">
        <f ca="1">IFERROR(__xludf.DUMMYFUNCTION("""COMPUTED_VALUE"""),61192114388)</f>
        <v>61192114388</v>
      </c>
      <c r="AW327" s="27">
        <f ca="1">IFERROR(__xludf.DUMMYFUNCTION("""COMPUTED_VALUE"""),20083138662)</f>
        <v>20083138662</v>
      </c>
      <c r="AX327" s="27" t="str">
        <f ca="1">IFERROR(__xludf.DUMMYFUNCTION("""COMPUTED_VALUE"""),"Curso de Treinadora de Boxe")</f>
        <v>Curso de Treinadora de Boxe</v>
      </c>
      <c r="AY327" s="27" t="str">
        <f ca="1">IFERROR(__xludf.DUMMYFUNCTION("""COMPUTED_VALUE"""),"CEO")</f>
        <v>CEO</v>
      </c>
      <c r="AZ327" s="27" t="str">
        <f ca="1">IFERROR(__xludf.DUMMYFUNCTION("""COMPUTED_VALUE"""),"M")</f>
        <v>M</v>
      </c>
      <c r="BA327" s="27"/>
      <c r="BB327" s="27"/>
      <c r="BC327" s="27" t="str">
        <f ca="1">IFERROR(__xludf.DUMMYFUNCTION("""COMPUTED_VALUE"""),"Sim")</f>
        <v>Sim</v>
      </c>
      <c r="BD327" s="27" t="str">
        <f ca="1">IFERROR(__xludf.DUMMYFUNCTION("""COMPUTED_VALUE"""),"André das Águias, jovem da periferia de Fortaleza, estudante de escola pública. Fundador e CEO do Instituto das Águias o instituto de maior impacto social na Serrinha, Fortaleza-Ce.")</f>
        <v>André das Águias, jovem da periferia de Fortaleza, estudante de escola pública. Fundador e CEO do Instituto das Águias o instituto de maior impacto social na Serrinha, Fortaleza-Ce.</v>
      </c>
      <c r="BE327" s="27"/>
      <c r="BF327" s="27"/>
      <c r="BG327" s="27" t="str">
        <f ca="1">IFERROR(__xludf.DUMMYFUNCTION("""COMPUTED_VALUE"""),"Ensino Médio - Incompleto")</f>
        <v>Ensino Médio - Incompleto</v>
      </c>
      <c r="BH327" s="27"/>
      <c r="BI327" s="27"/>
      <c r="BJ327" s="27" t="str">
        <f ca="1">IFERROR(__xludf.DUMMYFUNCTION("""COMPUTED_VALUE"""),"Público")</f>
        <v>Público</v>
      </c>
      <c r="BK327" s="27" t="str">
        <f ca="1">IFERROR(__xludf.DUMMYFUNCTION("""COMPUTED_VALUE"""),"Tenente Renato Aguiar")</f>
        <v>Tenente Renato Aguiar</v>
      </c>
      <c r="BL327" s="27">
        <f ca="1">IFERROR(__xludf.DUMMYFUNCTION("""COMPUTED_VALUE"""),165)</f>
        <v>165</v>
      </c>
      <c r="BM327" s="27" t="str">
        <f ca="1">IFERROR(__xludf.DUMMYFUNCTION("""COMPUTED_VALUE"""),"altos")</f>
        <v>altos</v>
      </c>
      <c r="BN327" s="27" t="str">
        <f ca="1">IFERROR(__xludf.DUMMYFUNCTION("""COMPUTED_VALUE"""),"Fortaleza")</f>
        <v>Fortaleza</v>
      </c>
      <c r="BO327" s="27" t="str">
        <f ca="1">IFERROR(__xludf.DUMMYFUNCTION("""COMPUTED_VALUE"""),"60714-430")</f>
        <v>60714-430</v>
      </c>
      <c r="BP327" s="27" t="str">
        <f ca="1">IFERROR(__xludf.DUMMYFUNCTION("""COMPUTED_VALUE"""),"CE")</f>
        <v>CE</v>
      </c>
      <c r="BQ327" s="27" t="str">
        <f ca="1">IFERROR(__xludf.DUMMYFUNCTION("""COMPUTED_VALUE"""),"Entre 1 até 3 salários mínimos")</f>
        <v>Entre 1 até 3 salários mínimos</v>
      </c>
      <c r="BR327" s="27" t="str">
        <f ca="1">IFERROR(__xludf.DUMMYFUNCTION("""COMPUTED_VALUE"""),"Desempregado")</f>
        <v>Desempregado</v>
      </c>
      <c r="BS327" s="27" t="str">
        <f ca="1">IFERROR(__xludf.DUMMYFUNCTION("""COMPUTED_VALUE"""),"Aluguel")</f>
        <v>Aluguel</v>
      </c>
      <c r="BT327" s="27">
        <f ca="1">IFERROR(__xludf.DUMMYFUNCTION("""COMPUTED_VALUE"""),1)</f>
        <v>1</v>
      </c>
      <c r="BU327" s="27"/>
      <c r="BV327" s="27"/>
      <c r="BW327" s="21" t="str">
        <f ca="1">IFERROR(__xludf.DUMMYFUNCTION("""COMPUTED_VALUE"""),"https://www.linkedin.com/in/andr%C3%A9-felipe-0baa0a1a4/")</f>
        <v>https://www.linkedin.com/in/andr%C3%A9-felipe-0baa0a1a4/</v>
      </c>
      <c r="BX327" s="21" t="str">
        <f ca="1">IFERROR(__xludf.DUMMYFUNCTION("""COMPUTED_VALUE"""),"https://instagram.com/andredasaguias?utm_medium=copy_link")</f>
        <v>https://instagram.com/andredasaguias?utm_medium=copy_link</v>
      </c>
      <c r="BY327" s="21" t="str">
        <f ca="1">IFERROR(__xludf.DUMMYFUNCTION("""COMPUTED_VALUE"""),"https://drive.google.com/open?id=1pCja-Trkck6fHB43ploI9confDloy1fD")</f>
        <v>https://drive.google.com/open?id=1pCja-Trkck6fHB43ploI9confDloy1fD</v>
      </c>
    </row>
    <row r="328" spans="1:77" ht="12.5" x14ac:dyDescent="0.25">
      <c r="A328" s="21" t="str">
        <f ca="1">IFERROR(__xludf.DUMMYFUNCTION("""COMPUTED_VALUE"""),"0014X00002VKCp2QAH")</f>
        <v>0014X00002VKCp2QAH</v>
      </c>
      <c r="B328" s="27"/>
      <c r="C328" s="27" t="str">
        <f ca="1">IFERROR(__xludf.DUMMYFUNCTION("""COMPUTED_VALUE"""),"Fellow")</f>
        <v>Fellow</v>
      </c>
      <c r="D328" s="27" t="str">
        <f ca="1">IFERROR(__xludf.DUMMYFUNCTION("""COMPUTED_VALUE"""),"Ativo")</f>
        <v>Ativo</v>
      </c>
      <c r="E328" s="27" t="str">
        <f ca="1">IFERROR(__xludf.DUMMYFUNCTION("""COMPUTED_VALUE"""),"Instituto de :Responsabilidade e Investimento Social IRIS")</f>
        <v>Instituto de :Responsabilidade e Investimento Social IRIS</v>
      </c>
      <c r="F328" s="27" t="str">
        <f ca="1">IFERROR(__xludf.DUMMYFUNCTION("""COMPUTED_VALUE"""),"Aucília")</f>
        <v>Aucília</v>
      </c>
      <c r="G328" s="27" t="str">
        <f ca="1">IFERROR(__xludf.DUMMYFUNCTION("""COMPUTED_VALUE"""),"INSTITUTO IRIS")</f>
        <v>INSTITUTO IRIS</v>
      </c>
      <c r="H328" s="27"/>
      <c r="I328" s="27" t="str">
        <f ca="1">IFERROR(__xludf.DUMMYFUNCTION("""COMPUTED_VALUE"""),"Lila Lopes")</f>
        <v>Lila Lopes</v>
      </c>
      <c r="J328" s="27"/>
      <c r="K328" s="27" t="str">
        <f ca="1">IFERROR(__xludf.DUMMYFUNCTION("""COMPUTED_VALUE"""),"71 3350-5526")</f>
        <v>71 3350-5526</v>
      </c>
      <c r="L328" s="27" t="str">
        <f ca="1">IFERROR(__xludf.DUMMYFUNCTION("""COMPUTED_VALUE"""),"BA")</f>
        <v>BA</v>
      </c>
      <c r="M328" s="27" t="str">
        <f ca="1">IFERROR(__xludf.DUMMYFUNCTION("""COMPUTED_VALUE"""),"Avenida Tancredo Neves")</f>
        <v>Avenida Tancredo Neves</v>
      </c>
      <c r="N328" s="27" t="str">
        <f ca="1">IFERROR(__xludf.DUMMYFUNCTION("""COMPUTED_VALUE"""),"Caminho das Árvores")</f>
        <v>Caminho das Árvores</v>
      </c>
      <c r="O328" s="27">
        <f ca="1">IFERROR(__xludf.DUMMYFUNCTION("""COMPUTED_VALUE"""),148)</f>
        <v>148</v>
      </c>
      <c r="P328" s="27" t="str">
        <f ca="1">IFERROR(__xludf.DUMMYFUNCTION("""COMPUTED_VALUE"""),"Salvador")</f>
        <v>Salvador</v>
      </c>
      <c r="Q328" s="27"/>
      <c r="R328" s="27" t="str">
        <f ca="1">IFERROR(__xludf.DUMMYFUNCTION("""COMPUTED_VALUE"""),"41820-908")</f>
        <v>41820-908</v>
      </c>
      <c r="S328" s="27"/>
      <c r="T328" s="27"/>
      <c r="U328" s="27"/>
      <c r="V328" s="27"/>
      <c r="W328" s="27">
        <f ca="1">IFERROR(__xludf.DUMMYFUNCTION("""COMPUTED_VALUE"""),3)</f>
        <v>3</v>
      </c>
      <c r="X328" s="27" t="str">
        <f ca="1">IFERROR(__xludf.DUMMYFUNCTION("""COMPUTED_VALUE"""),"Crianças* adolescentes e jovens que vivencial vulnerabilidades soais e riscos. Deslocam-se das suas comunidades para comercializar e exercer atividade de mendicância nas instalações de um Shopping da cidade de Salvador.")</f>
        <v>Crianças* adolescentes e jovens que vivencial vulnerabilidades soais e riscos. Deslocam-se das suas comunidades para comercializar e exercer atividade de mendicância nas instalações de um Shopping da cidade de Salvador.</v>
      </c>
      <c r="Y328" s="27"/>
      <c r="Z328" s="27">
        <f ca="1">IFERROR(__xludf.DUMMYFUNCTION("""COMPUTED_VALUE"""),180)</f>
        <v>180</v>
      </c>
      <c r="AA328" s="29">
        <f ca="1">IFERROR(__xludf.DUMMYFUNCTION("""COMPUTED_VALUE"""),36497)</f>
        <v>36497</v>
      </c>
      <c r="AB328" s="27" t="str">
        <f ca="1">IFERROR(__xludf.DUMMYFUNCTION("""COMPUTED_VALUE"""),"Sim")</f>
        <v>Sim</v>
      </c>
      <c r="AC328" s="27">
        <f ca="1">IFERROR(__xludf.DUMMYFUNCTION("""COMPUTED_VALUE"""),10)</f>
        <v>10</v>
      </c>
      <c r="AD328" s="27"/>
      <c r="AE328" s="27">
        <f ca="1">IFERROR(__xludf.DUMMYFUNCTION("""COMPUTED_VALUE"""),0)</f>
        <v>0</v>
      </c>
      <c r="AF328" s="27"/>
      <c r="AG328" s="27">
        <f ca="1">IFERROR(__xludf.DUMMYFUNCTION("""COMPUTED_VALUE"""),3)</f>
        <v>3</v>
      </c>
      <c r="AH328" s="27"/>
      <c r="AI328" s="27"/>
      <c r="AJ328" s="27"/>
      <c r="AK328" s="27"/>
      <c r="AL328" s="21" t="str">
        <f ca="1">IFERROR(__xludf.DUMMYFUNCTION("""COMPUTED_VALUE"""),"0034X0000380O0d")</f>
        <v>0034X0000380O0d</v>
      </c>
      <c r="AM328" s="27" t="str">
        <f ca="1">IFERROR(__xludf.DUMMYFUNCTION("""COMPUTED_VALUE"""),"Maria santana silva")</f>
        <v>Maria santana silva</v>
      </c>
      <c r="AN328" s="27" t="str">
        <f ca="1">IFERROR(__xludf.DUMMYFUNCTION("""COMPUTED_VALUE"""),"Ativo")</f>
        <v>Ativo</v>
      </c>
      <c r="AO328" s="29">
        <f ca="1">IFERROR(__xludf.DUMMYFUNCTION("""COMPUTED_VALUE"""),44763)</f>
        <v>44763</v>
      </c>
      <c r="AP328" s="27">
        <f ca="1">IFERROR(__xludf.DUMMYFUNCTION("""COMPUTED_VALUE"""),2)</f>
        <v>2</v>
      </c>
      <c r="AQ328" s="27" t="str">
        <f ca="1">IFERROR(__xludf.DUMMYFUNCTION("""COMPUTED_VALUE"""),"Primeiro Semestre 2022")</f>
        <v>Primeiro Semestre 2022</v>
      </c>
      <c r="AR328" s="27" t="str">
        <f ca="1">IFERROR(__xludf.DUMMYFUNCTION("""COMPUTED_VALUE"""),"profa.auciliamaria@gmail.com")</f>
        <v>profa.auciliamaria@gmail.com</v>
      </c>
      <c r="AS328" s="27">
        <f ca="1">IFERROR(__xludf.DUMMYFUNCTION("""COMPUTED_VALUE"""),71999487575)</f>
        <v>71999487575</v>
      </c>
      <c r="AT328" s="29">
        <f ca="1">IFERROR(__xludf.DUMMYFUNCTION("""COMPUTED_VALUE"""),28517)</f>
        <v>28517</v>
      </c>
      <c r="AU328" s="27">
        <f ca="1">IFERROR(__xludf.DUMMYFUNCTION("""COMPUTED_VALUE"""),44)</f>
        <v>44</v>
      </c>
      <c r="AV328" s="27">
        <f ca="1">IFERROR(__xludf.DUMMYFUNCTION("""COMPUTED_VALUE"""),91913462587)</f>
        <v>91913462587</v>
      </c>
      <c r="AW328" s="27">
        <f ca="1">IFERROR(__xludf.DUMMYFUNCTION("""COMPUTED_VALUE"""),600959112)</f>
        <v>600959112</v>
      </c>
      <c r="AX328" s="27"/>
      <c r="AY328" s="27"/>
      <c r="AZ328" s="27" t="str">
        <f ca="1">IFERROR(__xludf.DUMMYFUNCTION("""COMPUTED_VALUE"""),"GG")</f>
        <v>GG</v>
      </c>
      <c r="BA328" s="27" t="str">
        <f ca="1">IFERROR(__xludf.DUMMYFUNCTION("""COMPUTED_VALUE"""),"Parda")</f>
        <v>Parda</v>
      </c>
      <c r="BB328" s="27"/>
      <c r="BC328" s="27"/>
      <c r="BD328" s="27"/>
      <c r="BE328" s="27" t="str">
        <f ca="1">IFERROR(__xludf.DUMMYFUNCTION("""COMPUTED_VALUE"""),"Feminino")</f>
        <v>Feminino</v>
      </c>
      <c r="BF328" s="27" t="str">
        <f ca="1">IFERROR(__xludf.DUMMYFUNCTION("""COMPUTED_VALUE"""),"Heterossexual")</f>
        <v>Heterossexual</v>
      </c>
      <c r="BG328" s="27"/>
      <c r="BH328" s="27" t="str">
        <f ca="1">IFERROR(__xludf.DUMMYFUNCTION("""COMPUTED_VALUE"""),"Privado")</f>
        <v>Privado</v>
      </c>
      <c r="BI328" s="27" t="str">
        <f ca="1">IFERROR(__xludf.DUMMYFUNCTION("""COMPUTED_VALUE"""),"Mestrado")</f>
        <v>Mestrado</v>
      </c>
      <c r="BJ328" s="27" t="str">
        <f ca="1">IFERROR(__xludf.DUMMYFUNCTION("""COMPUTED_VALUE"""),"Privado")</f>
        <v>Privado</v>
      </c>
      <c r="BK328" s="27" t="str">
        <f ca="1">IFERROR(__xludf.DUMMYFUNCTION("""COMPUTED_VALUE"""),"Rua Doutor Odilon Machado  Condomínio Jardim Santa Mônica - Edifício Patricia")</f>
        <v>Rua Doutor Odilon Machado  Condomínio Jardim Santa Mônica - Edifício Patricia</v>
      </c>
      <c r="BL328" s="27" t="str">
        <f ca="1">IFERROR(__xludf.DUMMYFUNCTION("""COMPUTED_VALUE"""),"Nº 657")</f>
        <v>Nº 657</v>
      </c>
      <c r="BM328" s="27"/>
      <c r="BN328" s="27"/>
      <c r="BO328" s="27">
        <f ca="1">IFERROR(__xludf.DUMMYFUNCTION("""COMPUTED_VALUE"""),40340420)</f>
        <v>40340420</v>
      </c>
      <c r="BP328" s="27" t="str">
        <f ca="1">IFERROR(__xludf.DUMMYFUNCTION("""COMPUTED_VALUE"""),"BA")</f>
        <v>BA</v>
      </c>
      <c r="BQ328" s="27" t="str">
        <f ca="1">IFERROR(__xludf.DUMMYFUNCTION("""COMPUTED_VALUE"""),"De 3 até 5 salários mínimos")</f>
        <v>De 3 até 5 salários mínimos</v>
      </c>
      <c r="BR328" s="27" t="str">
        <f ca="1">IFERROR(__xludf.DUMMYFUNCTION("""COMPUTED_VALUE"""),"CLT")</f>
        <v>CLT</v>
      </c>
      <c r="BS328" s="27" t="str">
        <f ca="1">IFERROR(__xludf.DUMMYFUNCTION("""COMPUTED_VALUE"""),"Casa própria")</f>
        <v>Casa própria</v>
      </c>
      <c r="BT328" s="27">
        <f ca="1">IFERROR(__xludf.DUMMYFUNCTION("""COMPUTED_VALUE"""),4)</f>
        <v>4</v>
      </c>
      <c r="BU328" s="27" t="str">
        <f ca="1">IFERROR(__xludf.DUMMYFUNCTION("""COMPUTED_VALUE"""),"Não tem")</f>
        <v>Não tem</v>
      </c>
      <c r="BV328" s="27" t="str">
        <f ca="1">IFERROR(__xludf.DUMMYFUNCTION("""COMPUTED_VALUE"""),"Não")</f>
        <v>Não</v>
      </c>
      <c r="BW328" s="21" t="str">
        <f ca="1">IFERROR(__xludf.DUMMYFUNCTION("""COMPUTED_VALUE"""),"www.linkedin.com/in/auc%C3%ADlia-maria-silva-51a966161/")</f>
        <v>www.linkedin.com/in/auc%C3%ADlia-maria-silva-51a966161/</v>
      </c>
      <c r="BX328" s="21" t="str">
        <f ca="1">IFERROR(__xludf.DUMMYFUNCTION("""COMPUTED_VALUE"""),"www.instagram.com/auciliamaria_27/?hl=pt-br")</f>
        <v>www.instagram.com/auciliamaria_27/?hl=pt-br</v>
      </c>
      <c r="BY328" s="21" t="str">
        <f ca="1">IFERROR(__xludf.DUMMYFUNCTION("""COMPUTED_VALUE"""),"https://drive.google.com/open?id=1w7ZIPdjBfE10twZRAsU8knj-QGt-mRFB")</f>
        <v>https://drive.google.com/open?id=1w7ZIPdjBfE10twZRAsU8knj-QGt-mRFB</v>
      </c>
    </row>
    <row r="329" spans="1:77" ht="12.5" x14ac:dyDescent="0.25">
      <c r="A329" s="21" t="str">
        <f ca="1">IFERROR(__xludf.DUMMYFUNCTION("""COMPUTED_VALUE"""),"0014X00002VKCqLQAX")</f>
        <v>0014X00002VKCqLQAX</v>
      </c>
      <c r="B329" s="27" t="str">
        <f ca="1">IFERROR(__xludf.DUMMYFUNCTION("""COMPUTED_VALUE"""),"Fase Avançada")</f>
        <v>Fase Avançada</v>
      </c>
      <c r="C329" s="27" t="str">
        <f ca="1">IFERROR(__xludf.DUMMYFUNCTION("""COMPUTED_VALUE"""),"Fellow")</f>
        <v>Fellow</v>
      </c>
      <c r="D329" s="27" t="str">
        <f ca="1">IFERROR(__xludf.DUMMYFUNCTION("""COMPUTED_VALUE"""),"Ativo")</f>
        <v>Ativo</v>
      </c>
      <c r="E329" s="27" t="str">
        <f ca="1">IFERROR(__xludf.DUMMYFUNCTION("""COMPUTED_VALUE"""),"Instituto de Arte e Cidadania do Ceará")</f>
        <v>Instituto de Arte e Cidadania do Ceará</v>
      </c>
      <c r="F329" s="27" t="str">
        <f ca="1">IFERROR(__xludf.DUMMYFUNCTION("""COMPUTED_VALUE"""),"Monalice")</f>
        <v>Monalice</v>
      </c>
      <c r="G329" s="27" t="str">
        <f ca="1">IFERROR(__xludf.DUMMYFUNCTION("""COMPUTED_VALUE"""),"IAC-CE")</f>
        <v>IAC-CE</v>
      </c>
      <c r="H329" s="27" t="str">
        <f ca="1">IFERROR(__xludf.DUMMYFUNCTION("""COMPUTED_VALUE"""),"23.554.074/0001-75")</f>
        <v>23.554.074/0001-75</v>
      </c>
      <c r="I329" s="27" t="str">
        <f ca="1">IFERROR(__xludf.DUMMYFUNCTION("""COMPUTED_VALUE"""),"Monalice Araújo Batista Fernandes")</f>
        <v>Monalice Araújo Batista Fernandes</v>
      </c>
      <c r="J329" s="27" t="str">
        <f ca="1">IFERROR(__xludf.DUMMYFUNCTION("""COMPUTED_VALUE"""),"instituto-ac2017@hotmail.com")</f>
        <v>instituto-ac2017@hotmail.com</v>
      </c>
      <c r="K329" s="27" t="str">
        <f ca="1">IFERROR(__xludf.DUMMYFUNCTION("""COMPUTED_VALUE"""),"(85)3235-6683")</f>
        <v>(85)3235-6683</v>
      </c>
      <c r="L329" s="27" t="str">
        <f ca="1">IFERROR(__xludf.DUMMYFUNCTION("""COMPUTED_VALUE"""),"CE")</f>
        <v>CE</v>
      </c>
      <c r="M329" s="27" t="str">
        <f ca="1">IFERROR(__xludf.DUMMYFUNCTION("""COMPUTED_VALUE"""),"Rua Major Celestino, 1040")</f>
        <v>Rua Major Celestino, 1040</v>
      </c>
      <c r="N329" s="27" t="str">
        <f ca="1">IFERROR(__xludf.DUMMYFUNCTION("""COMPUTED_VALUE"""),"Antônio Bezerra")</f>
        <v>Antônio Bezerra</v>
      </c>
      <c r="O329" s="27">
        <f ca="1">IFERROR(__xludf.DUMMYFUNCTION("""COMPUTED_VALUE"""),1040)</f>
        <v>1040</v>
      </c>
      <c r="P329" s="27" t="str">
        <f ca="1">IFERROR(__xludf.DUMMYFUNCTION("""COMPUTED_VALUE"""),"Fortaleza")</f>
        <v>Fortaleza</v>
      </c>
      <c r="Q329" s="27"/>
      <c r="R329" s="27" t="str">
        <f ca="1">IFERROR(__xludf.DUMMYFUNCTION("""COMPUTED_VALUE"""),"60361-030")</f>
        <v>60361-030</v>
      </c>
      <c r="S329" s="27"/>
      <c r="T329" s="27"/>
      <c r="U329"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329" s="27" t="str">
        <f ca="1">IFERROR(__xludf.DUMMYFUNCTION("""COMPUTED_VALUE"""),"Moradores de Favelas, Pessoas em situação de rua, População LGBTQ+, Afrodescendentes, Pessoas com Deficiência")</f>
        <v>Moradores de Favelas, Pessoas em situação de rua, População LGBTQ+, Afrodescendentes, Pessoas com Deficiência</v>
      </c>
      <c r="W329" s="27">
        <f ca="1">IFERROR(__xludf.DUMMYFUNCTION("""COMPUTED_VALUE"""),10)</f>
        <v>10</v>
      </c>
      <c r="X329" s="27" t="str">
        <f ca="1">IFERROR(__xludf.DUMMYFUNCTION("""COMPUTED_VALUE"""),"Essas são comunidades do entorno da Institutição e que são beneficiadas pelas atividades realizadas diariamente na Sede. Mas nos equipamentos gerenciados e dispostos pela cidade de Fortaleza* existem inúmeras outras comunidades")</f>
        <v>Essas são comunidades do entorno da Institutição e que são beneficiadas pelas atividades realizadas diariamente na Sede. Mas nos equipamentos gerenciados e dispostos pela cidade de Fortaleza* existem inúmeras outras comunidades</v>
      </c>
      <c r="Y329" s="27"/>
      <c r="Z329" s="27">
        <f ca="1">IFERROR(__xludf.DUMMYFUNCTION("""COMPUTED_VALUE"""),485)</f>
        <v>485</v>
      </c>
      <c r="AA329" s="29">
        <f ca="1">IFERROR(__xludf.DUMMYFUNCTION("""COMPUTED_VALUE"""),32327)</f>
        <v>32327</v>
      </c>
      <c r="AB329" s="27" t="str">
        <f ca="1">IFERROR(__xludf.DUMMYFUNCTION("""COMPUTED_VALUE"""),"Sim")</f>
        <v>Sim</v>
      </c>
      <c r="AC329" s="27">
        <f ca="1">IFERROR(__xludf.DUMMYFUNCTION("""COMPUTED_VALUE"""),462)</f>
        <v>462</v>
      </c>
      <c r="AD329" s="27">
        <f ca="1">IFERROR(__xludf.DUMMYFUNCTION("""COMPUTED_VALUE"""),347)</f>
        <v>347</v>
      </c>
      <c r="AE329" s="27">
        <f ca="1">IFERROR(__xludf.DUMMYFUNCTION("""COMPUTED_VALUE"""),3)</f>
        <v>3</v>
      </c>
      <c r="AF329" s="27">
        <f ca="1">IFERROR(__xludf.DUMMYFUNCTION("""COMPUTED_VALUE"""),1)</f>
        <v>1</v>
      </c>
      <c r="AG329" s="27">
        <f ca="1">IFERROR(__xludf.DUMMYFUNCTION("""COMPUTED_VALUE"""),3)</f>
        <v>3</v>
      </c>
      <c r="AH329" s="27" t="str">
        <f ca="1">IFERROR(__xludf.DUMMYFUNCTION("""COMPUTED_VALUE"""),"Lei de Incentivo, Convênio Público, Editais")</f>
        <v>Lei de Incentivo, Convênio Público, Editais</v>
      </c>
      <c r="AI329" s="27" t="str">
        <f ca="1">IFERROR(__xludf.DUMMYFUNCTION("""COMPUTED_VALUE"""),"75% Convênio Público 15% Editais 10% Lei de Incetivo")</f>
        <v>75% Convênio Público 15% Editais 10% Lei de Incetivo</v>
      </c>
      <c r="AJ329" s="27" t="str">
        <f ca="1">IFERROR(__xludf.DUMMYFUNCTION("""COMPUTED_VALUE"""),"Não")</f>
        <v>Não</v>
      </c>
      <c r="AK329" s="27"/>
      <c r="AL329" s="21" t="str">
        <f ca="1">IFERROR(__xludf.DUMMYFUNCTION("""COMPUTED_VALUE"""),"0034X0000380O17")</f>
        <v>0034X0000380O17</v>
      </c>
      <c r="AM329" s="27" t="str">
        <f ca="1">IFERROR(__xludf.DUMMYFUNCTION("""COMPUTED_VALUE"""),"Araújo batista fernandes")</f>
        <v>Araújo batista fernandes</v>
      </c>
      <c r="AN329" s="27" t="str">
        <f ca="1">IFERROR(__xludf.DUMMYFUNCTION("""COMPUTED_VALUE"""),"Ativo")</f>
        <v>Ativo</v>
      </c>
      <c r="AO329" s="29">
        <f ca="1">IFERROR(__xludf.DUMMYFUNCTION("""COMPUTED_VALUE"""),44763)</f>
        <v>44763</v>
      </c>
      <c r="AP329" s="27">
        <f ca="1">IFERROR(__xludf.DUMMYFUNCTION("""COMPUTED_VALUE"""),2)</f>
        <v>2</v>
      </c>
      <c r="AQ329" s="27" t="str">
        <f ca="1">IFERROR(__xludf.DUMMYFUNCTION("""COMPUTED_VALUE"""),"Primeiro Semestre 2022")</f>
        <v>Primeiro Semestre 2022</v>
      </c>
      <c r="AR329" s="27" t="str">
        <f ca="1">IFERROR(__xludf.DUMMYFUNCTION("""COMPUTED_VALUE"""),"iacceeditais@gmail.com")</f>
        <v>iacceeditais@gmail.com</v>
      </c>
      <c r="AS329" s="27">
        <f ca="1">IFERROR(__xludf.DUMMYFUNCTION("""COMPUTED_VALUE"""),85988223134)</f>
        <v>85988223134</v>
      </c>
      <c r="AT329" s="29">
        <f ca="1">IFERROR(__xludf.DUMMYFUNCTION("""COMPUTED_VALUE"""),31320)</f>
        <v>31320</v>
      </c>
      <c r="AU329" s="27">
        <f ca="1">IFERROR(__xludf.DUMMYFUNCTION("""COMPUTED_VALUE"""),37)</f>
        <v>37</v>
      </c>
      <c r="AV329" s="27">
        <f ca="1">IFERROR(__xludf.DUMMYFUNCTION("""COMPUTED_VALUE"""),1010500384)</f>
        <v>1010500384</v>
      </c>
      <c r="AW329" s="27">
        <f ca="1">IFERROR(__xludf.DUMMYFUNCTION("""COMPUTED_VALUE"""),2000002363667)</f>
        <v>2000002363667</v>
      </c>
      <c r="AX329" s="27"/>
      <c r="AY329" s="27"/>
      <c r="AZ329" s="27" t="str">
        <f ca="1">IFERROR(__xludf.DUMMYFUNCTION("""COMPUTED_VALUE"""),"M")</f>
        <v>M</v>
      </c>
      <c r="BA329" s="27" t="str">
        <f ca="1">IFERROR(__xludf.DUMMYFUNCTION("""COMPUTED_VALUE"""),"Parda")</f>
        <v>Parda</v>
      </c>
      <c r="BB329" s="27"/>
      <c r="BC329" s="27"/>
      <c r="BD329" s="27" t="str">
        <f ca="1">IFERROR(__xludf.DUMMYFUNCTION("""COMPUTED_VALUE"""),"stou à frente da instituição desde o ano de 2016* e desde então* tomei como missão a missão do próprio Instituto* que é a de promover a inclusão social e o desenvolvimento humano integral de pessoas em situação de vulnerabilidade social. Além disso* sou m"&amp;"ulher e mãe e enfrento os desafios diários que surgem da tentativa de equilibrar e desenvolver bem esses três papéis. Antes de assumir a presidência do Instituto* atuei como estagiária em um escritório de contabilidade* onde pude conhecer um pouco sobre o"&amp;" terceiro setor. Nesse momento* auxiliando nas prestações de contas das atividades desenvolvidas pelas Organizações da Sociedade Civil – OSCs* me encantei pela possibilidade de atuar junto as comunidades* possibilitando aos moradores o acesso às políticas"&amp;" públicas existentes. O convite para a assumir a presidência do Instituto de Arte e Cidadania do Ceará – IAC-CE veio em seguida* e desde então venho buscado me qualificar* adentrar aos espaços de controle social (como conselhos municipais e estaduais) e c"&amp;"onhecer melhor a comunidade em que o Instituto está inserido* tudo voltado para suprir a minha satisfação em atuar nesse setor* e principalmente em atender as necessidades das pessoas em situação de vulnerabilidade social.")</f>
        <v>stou à frente da instituição desde o ano de 2016* e desde então* tomei como missão a missão do próprio Instituto* que é a de promover a inclusão social e o desenvolvimento humano integral de pessoas em situação de vulnerabilidade social. Além disso* sou mulher e mãe e enfrento os desafios diários que surgem da tentativa de equilibrar e desenvolver bem esses três papéis. Antes de assumir a presidência do Instituto* atuei como estagiária em um escritório de contabilidade* onde pude conhecer um pouco sobre o terceiro setor. Nesse momento* auxiliando nas prestações de contas das atividades desenvolvidas pelas Organizações da Sociedade Civil – OSCs* me encantei pela possibilidade de atuar junto as comunidades* possibilitando aos moradores o acesso às políticas públicas existentes. O convite para a assumir a presidência do Instituto de Arte e Cidadania do Ceará – IAC-CE veio em seguida* e desde então venho buscado me qualificar* adentrar aos espaços de controle social (como conselhos municipais e estaduais) e conhecer melhor a comunidade em que o Instituto está inserido* tudo voltado para suprir a minha satisfação em atuar nesse setor* e principalmente em atender as necessidades das pessoas em situação de vulnerabilidade social.</v>
      </c>
      <c r="BE329" s="27" t="str">
        <f ca="1">IFERROR(__xludf.DUMMYFUNCTION("""COMPUTED_VALUE"""),"Feminino")</f>
        <v>Feminino</v>
      </c>
      <c r="BF329" s="27" t="str">
        <f ca="1">IFERROR(__xludf.DUMMYFUNCTION("""COMPUTED_VALUE"""),"Heterossexual")</f>
        <v>Heterossexual</v>
      </c>
      <c r="BG329" s="27"/>
      <c r="BH329" s="27" t="str">
        <f ca="1">IFERROR(__xludf.DUMMYFUNCTION("""COMPUTED_VALUE"""),"Público")</f>
        <v>Público</v>
      </c>
      <c r="BI329" s="27"/>
      <c r="BJ329" s="27"/>
      <c r="BK329" s="27" t="str">
        <f ca="1">IFERROR(__xludf.DUMMYFUNCTION("""COMPUTED_VALUE"""),"Rua George Correia Nunes")</f>
        <v>Rua George Correia Nunes</v>
      </c>
      <c r="BL329" s="27">
        <f ca="1">IFERROR(__xludf.DUMMYFUNCTION("""COMPUTED_VALUE"""),662)</f>
        <v>662</v>
      </c>
      <c r="BM329" s="27">
        <f ca="1">IFERROR(__xludf.DUMMYFUNCTION("""COMPUTED_VALUE"""),302)</f>
        <v>302</v>
      </c>
      <c r="BN329" s="27"/>
      <c r="BO329" s="27">
        <f ca="1">IFERROR(__xludf.DUMMYFUNCTION("""COMPUTED_VALUE"""),61620030)</f>
        <v>61620030</v>
      </c>
      <c r="BP329" s="27" t="str">
        <f ca="1">IFERROR(__xludf.DUMMYFUNCTION("""COMPUTED_VALUE"""),"CE")</f>
        <v>CE</v>
      </c>
      <c r="BQ329" s="27" t="str">
        <f ca="1">IFERROR(__xludf.DUMMYFUNCTION("""COMPUTED_VALUE"""),"Entre 1 até 3 salários mínimos")</f>
        <v>Entre 1 até 3 salários mínimos</v>
      </c>
      <c r="BR329" s="27" t="str">
        <f ca="1">IFERROR(__xludf.DUMMYFUNCTION("""COMPUTED_VALUE"""),"CLT")</f>
        <v>CLT</v>
      </c>
      <c r="BS329" s="27" t="str">
        <f ca="1">IFERROR(__xludf.DUMMYFUNCTION("""COMPUTED_VALUE"""),"Casa própria")</f>
        <v>Casa própria</v>
      </c>
      <c r="BT329" s="27">
        <f ca="1">IFERROR(__xludf.DUMMYFUNCTION("""COMPUTED_VALUE"""),4)</f>
        <v>4</v>
      </c>
      <c r="BU329" s="27" t="str">
        <f ca="1">IFERROR(__xludf.DUMMYFUNCTION("""COMPUTED_VALUE"""),"Não tem")</f>
        <v>Não tem</v>
      </c>
      <c r="BV329" s="27" t="str">
        <f ca="1">IFERROR(__xludf.DUMMYFUNCTION("""COMPUTED_VALUE"""),"Não")</f>
        <v>Não</v>
      </c>
      <c r="BW329" s="27"/>
      <c r="BX329" s="27"/>
      <c r="BY329" s="21" t="str">
        <f ca="1">IFERROR(__xludf.DUMMYFUNCTION("""COMPUTED_VALUE"""),"https://drive.google.com/open?id=1J_HSc8fdB1ONZwFRbb9iBarbUCwDhRQ8")</f>
        <v>https://drive.google.com/open?id=1J_HSc8fdB1ONZwFRbb9iBarbUCwDhRQ8</v>
      </c>
    </row>
    <row r="330" spans="1:77" ht="12.5" hidden="1" x14ac:dyDescent="0.25">
      <c r="A330" s="21" t="str">
        <f ca="1">IFERROR(__xludf.DUMMYFUNCTION("""COMPUTED_VALUE"""),"0014P00003YSp7oQAD")</f>
        <v>0014P00003YSp7oQAD</v>
      </c>
      <c r="B330" s="27" t="str">
        <f ca="1">IFERROR(__xludf.DUMMYFUNCTION("""COMPUTED_VALUE"""),"Fase Inicial")</f>
        <v>Fase Inicial</v>
      </c>
      <c r="C330" s="27" t="str">
        <f ca="1">IFERROR(__xludf.DUMMYFUNCTION("""COMPUTED_VALUE"""),"Fellow")</f>
        <v>Fellow</v>
      </c>
      <c r="D330" s="27" t="str">
        <f ca="1">IFERROR(__xludf.DUMMYFUNCTION("""COMPUTED_VALUE"""),"Ativo")</f>
        <v>Ativo</v>
      </c>
      <c r="E330" s="27" t="str">
        <f ca="1">IFERROR(__xludf.DUMMYFUNCTION("""COMPUTED_VALUE"""),"Instituto de Arte e Educação da Bahia")</f>
        <v>Instituto de Arte e Educação da Bahia</v>
      </c>
      <c r="F330" s="27" t="str">
        <f ca="1">IFERROR(__xludf.DUMMYFUNCTION("""COMPUTED_VALUE"""),"Selmara")</f>
        <v>Selmara</v>
      </c>
      <c r="G330" s="27"/>
      <c r="H330" s="27" t="str">
        <f ca="1">IFERROR(__xludf.DUMMYFUNCTION("""COMPUTED_VALUE"""),"35.058.953/0001-95")</f>
        <v>35.058.953/0001-95</v>
      </c>
      <c r="I330" s="27" t="str">
        <f ca="1">IFERROR(__xludf.DUMMYFUNCTION("""COMPUTED_VALUE"""),"Nelrismar Araújo")</f>
        <v>Nelrismar Araújo</v>
      </c>
      <c r="J330" s="27" t="str">
        <f ca="1">IFERROR(__xludf.DUMMYFUNCTION("""COMPUTED_VALUE"""),"selmara.melina@teatroescola.org")</f>
        <v>selmara.melina@teatroescola.org</v>
      </c>
      <c r="K330" s="27" t="str">
        <f ca="1">IFERROR(__xludf.DUMMYFUNCTION("""COMPUTED_VALUE"""),"(71)99359-5307")</f>
        <v>(71)99359-5307</v>
      </c>
      <c r="L330" s="27" t="str">
        <f ca="1">IFERROR(__xludf.DUMMYFUNCTION("""COMPUTED_VALUE"""),"BA")</f>
        <v>BA</v>
      </c>
      <c r="M330" s="27" t="str">
        <f ca="1">IFERROR(__xludf.DUMMYFUNCTION("""COMPUTED_VALUE"""),"Rua São Paulo, 330")</f>
        <v>Rua São Paulo, 330</v>
      </c>
      <c r="N330" s="27" t="str">
        <f ca="1">IFERROR(__xludf.DUMMYFUNCTION("""COMPUTED_VALUE"""),"Pituba")</f>
        <v>Pituba</v>
      </c>
      <c r="O330" s="27">
        <f ca="1">IFERROR(__xludf.DUMMYFUNCTION("""COMPUTED_VALUE"""),2177)</f>
        <v>2177</v>
      </c>
      <c r="P330" s="27" t="str">
        <f ca="1">IFERROR(__xludf.DUMMYFUNCTION("""COMPUTED_VALUE"""),"Salvador")</f>
        <v>Salvador</v>
      </c>
      <c r="Q330" s="27" t="str">
        <f ca="1">IFERROR(__xludf.DUMMYFUNCTION("""COMPUTED_VALUE"""),"Sala 01")</f>
        <v>Sala 01</v>
      </c>
      <c r="R330" s="27" t="str">
        <f ca="1">IFERROR(__xludf.DUMMYFUNCTION("""COMPUTED_VALUE"""),"41830-181")</f>
        <v>41830-181</v>
      </c>
      <c r="S330" s="27"/>
      <c r="T330" s="27" t="str">
        <f ca="1">IFERROR(__xludf.DUMMYFUNCTION("""COMPUTED_VALUE"""),"Educação; Cultura; Qualificação Profissional")</f>
        <v>Educação; Cultura; Qualificação Profissional</v>
      </c>
      <c r="U330" s="27" t="str">
        <f ca="1">IFERROR(__xludf.DUMMYFUNCTION("""COMPUTED_VALUE"""),"Adolescentes (12 aos 18 anos); Jovens (18 aos 24 anos)")</f>
        <v>Adolescentes (12 aos 18 anos); Jovens (18 aos 24 anos)</v>
      </c>
      <c r="V330" s="27" t="str">
        <f ca="1">IFERROR(__xludf.DUMMYFUNCTION("""COMPUTED_VALUE"""),"Moradores de Favelas; Povos Indígenas; Quilombola; Afrodescendentes; Pessoas com Deficiência")</f>
        <v>Moradores de Favelas; Povos Indígenas; Quilombola; Afrodescendentes; Pessoas com Deficiência</v>
      </c>
      <c r="W330" s="27">
        <f ca="1">IFERROR(__xludf.DUMMYFUNCTION("""COMPUTED_VALUE"""),15)</f>
        <v>15</v>
      </c>
      <c r="X330" s="27" t="str">
        <f ca="1">IFERROR(__xludf.DUMMYFUNCTION("""COMPUTED_VALUE"""),"Jovens negros periféricos de 14 a 24 anos.")</f>
        <v>Jovens negros periféricos de 14 a 24 anos.</v>
      </c>
      <c r="Y330" s="27"/>
      <c r="Z330" s="27">
        <f ca="1">IFERROR(__xludf.DUMMYFUNCTION("""COMPUTED_VALUE"""),500)</f>
        <v>500</v>
      </c>
      <c r="AA330" s="29">
        <f ca="1">IFERROR(__xludf.DUMMYFUNCTION("""COMPUTED_VALUE"""),42986)</f>
        <v>42986</v>
      </c>
      <c r="AB330" s="27" t="str">
        <f ca="1">IFERROR(__xludf.DUMMYFUNCTION("""COMPUTED_VALUE"""),"Sim")</f>
        <v>Sim</v>
      </c>
      <c r="AC330" s="27">
        <f ca="1">IFERROR(__xludf.DUMMYFUNCTION("""COMPUTED_VALUE"""),30)</f>
        <v>30</v>
      </c>
      <c r="AD330" s="27">
        <f ca="1">IFERROR(__xludf.DUMMYFUNCTION("""COMPUTED_VALUE"""),30)</f>
        <v>30</v>
      </c>
      <c r="AE330" s="27">
        <f ca="1">IFERROR(__xludf.DUMMYFUNCTION("""COMPUTED_VALUE"""),30)</f>
        <v>30</v>
      </c>
      <c r="AF330" s="27">
        <f ca="1">IFERROR(__xludf.DUMMYFUNCTION("""COMPUTED_VALUE"""),30)</f>
        <v>30</v>
      </c>
      <c r="AG330" s="27">
        <f ca="1">IFERROR(__xludf.DUMMYFUNCTION("""COMPUTED_VALUE"""),2)</f>
        <v>2</v>
      </c>
      <c r="AH330" s="27" t="str">
        <f ca="1">IFERROR(__xludf.DUMMYFUNCTION("""COMPUTED_VALUE"""),"Parceria iniciativa privada")</f>
        <v>Parceria iniciativa privada</v>
      </c>
      <c r="AI330" s="27" t="str">
        <f ca="1">IFERROR(__xludf.DUMMYFUNCTION("""COMPUTED_VALUE"""),"100% iniciativa privada")</f>
        <v>100% iniciativa privada</v>
      </c>
      <c r="AJ330" s="27"/>
      <c r="AK330" s="27"/>
      <c r="AL330" s="21" t="str">
        <f ca="1">IFERROR(__xludf.DUMMYFUNCTION("""COMPUTED_VALUE"""),"0034P000045kxiP")</f>
        <v>0034P000045kxiP</v>
      </c>
      <c r="AM330" s="27" t="str">
        <f ca="1">IFERROR(__xludf.DUMMYFUNCTION("""COMPUTED_VALUE"""),"Melina Da Silva Gomes")</f>
        <v>Melina Da Silva Gomes</v>
      </c>
      <c r="AN330" s="27" t="str">
        <f ca="1">IFERROR(__xludf.DUMMYFUNCTION("""COMPUTED_VALUE"""),"Ativo")</f>
        <v>Ativo</v>
      </c>
      <c r="AO330" s="29">
        <f ca="1">IFERROR(__xludf.DUMMYFUNCTION("""COMPUTED_VALUE"""),44551)</f>
        <v>44551</v>
      </c>
      <c r="AP330" s="27">
        <f ca="1">IFERROR(__xludf.DUMMYFUNCTION("""COMPUTED_VALUE"""),9)</f>
        <v>9</v>
      </c>
      <c r="AQ330" s="27" t="str">
        <f ca="1">IFERROR(__xludf.DUMMYFUNCTION("""COMPUTED_VALUE"""),"Segundo Semestre 2021")</f>
        <v>Segundo Semestre 2021</v>
      </c>
      <c r="AR330" s="27" t="str">
        <f ca="1">IFERROR(__xludf.DUMMYFUNCTION("""COMPUTED_VALUE"""),"selmaramelina@gmail.com")</f>
        <v>selmaramelina@gmail.com</v>
      </c>
      <c r="AS330" s="27" t="str">
        <f ca="1">IFERROR(__xludf.DUMMYFUNCTION("""COMPUTED_VALUE"""),"(71)98359-5307")</f>
        <v>(71)98359-5307</v>
      </c>
      <c r="AT330" s="29">
        <f ca="1">IFERROR(__xludf.DUMMYFUNCTION("""COMPUTED_VALUE"""),29708)</f>
        <v>29708</v>
      </c>
      <c r="AU330" s="27">
        <f ca="1">IFERROR(__xludf.DUMMYFUNCTION("""COMPUTED_VALUE"""),41)</f>
        <v>41</v>
      </c>
      <c r="AV330" s="27">
        <f ca="1">IFERROR(__xludf.DUMMYFUNCTION("""COMPUTED_VALUE"""),224172573)</f>
        <v>224172573</v>
      </c>
      <c r="AW330" s="27">
        <f ca="1">IFERROR(__xludf.DUMMYFUNCTION("""COMPUTED_VALUE"""),979378516)</f>
        <v>979378516</v>
      </c>
      <c r="AX330" s="27"/>
      <c r="AY330" s="27"/>
      <c r="AZ330" s="27" t="str">
        <f ca="1">IFERROR(__xludf.DUMMYFUNCTION("""COMPUTED_VALUE"""),"G")</f>
        <v>G</v>
      </c>
      <c r="BA330" s="27" t="str">
        <f ca="1">IFERROR(__xludf.DUMMYFUNCTION("""COMPUTED_VALUE"""),"Preta")</f>
        <v>Preta</v>
      </c>
      <c r="BB330" s="27" t="str">
        <f ca="1">IFERROR(__xludf.DUMMYFUNCTION("""COMPUTED_VALUE"""),"Mulher, cisgênero")</f>
        <v>Mulher, cisgênero</v>
      </c>
      <c r="BC330" s="27" t="str">
        <f ca="1">IFERROR(__xludf.DUMMYFUNCTION("""COMPUTED_VALUE"""),"Sim")</f>
        <v>Sim</v>
      </c>
      <c r="BD330" s="27" t="str">
        <f ca="1">IFERROR(__xludf.DUMMYFUNCTION("""COMPUTED_VALUE"""),"Professora de Língua Portuguesa, artesã, empreendedora e líder social.")</f>
        <v>Professora de Língua Portuguesa, artesã, empreendedora e líder social.</v>
      </c>
      <c r="BE330" s="27"/>
      <c r="BF330" s="27" t="str">
        <f ca="1">IFERROR(__xludf.DUMMYFUNCTION("""COMPUTED_VALUE"""),"Heterossexual")</f>
        <v>Heterossexual</v>
      </c>
      <c r="BG330" s="27" t="str">
        <f ca="1">IFERROR(__xludf.DUMMYFUNCTION("""COMPUTED_VALUE"""),"Ensino Superior - Completo")</f>
        <v>Ensino Superior - Completo</v>
      </c>
      <c r="BH330" s="27" t="str">
        <f ca="1">IFERROR(__xludf.DUMMYFUNCTION("""COMPUTED_VALUE"""),"Privado")</f>
        <v>Privado</v>
      </c>
      <c r="BI330" s="27" t="str">
        <f ca="1">IFERROR(__xludf.DUMMYFUNCTION("""COMPUTED_VALUE"""),"Pós-Graduação")</f>
        <v>Pós-Graduação</v>
      </c>
      <c r="BJ330" s="27" t="str">
        <f ca="1">IFERROR(__xludf.DUMMYFUNCTION("""COMPUTED_VALUE"""),"Privado")</f>
        <v>Privado</v>
      </c>
      <c r="BK330" s="27" t="str">
        <f ca="1">IFERROR(__xludf.DUMMYFUNCTION("""COMPUTED_VALUE"""),"Av. Manoel dias da Silva")</f>
        <v>Av. Manoel dias da Silva</v>
      </c>
      <c r="BL330" s="27">
        <f ca="1">IFERROR(__xludf.DUMMYFUNCTION("""COMPUTED_VALUE"""),2285)</f>
        <v>2285</v>
      </c>
      <c r="BM330" s="27" t="str">
        <f ca="1">IFERROR(__xludf.DUMMYFUNCTION("""COMPUTED_VALUE"""),"Apt. 303")</f>
        <v>Apt. 303</v>
      </c>
      <c r="BN330" s="27" t="str">
        <f ca="1">IFERROR(__xludf.DUMMYFUNCTION("""COMPUTED_VALUE"""),"Salvador")</f>
        <v>Salvador</v>
      </c>
      <c r="BO330" s="27" t="str">
        <f ca="1">IFERROR(__xludf.DUMMYFUNCTION("""COMPUTED_VALUE"""),"41830-000")</f>
        <v>41830-000</v>
      </c>
      <c r="BP330" s="27" t="str">
        <f ca="1">IFERROR(__xludf.DUMMYFUNCTION("""COMPUTED_VALUE"""),"BA")</f>
        <v>BA</v>
      </c>
      <c r="BQ330" s="27" t="str">
        <f ca="1">IFERROR(__xludf.DUMMYFUNCTION("""COMPUTED_VALUE"""),"Entre 1 até 3 salários mínimos")</f>
        <v>Entre 1 até 3 salários mínimos</v>
      </c>
      <c r="BR330" s="27" t="str">
        <f ca="1">IFERROR(__xludf.DUMMYFUNCTION("""COMPUTED_VALUE"""),"MEI")</f>
        <v>MEI</v>
      </c>
      <c r="BS330" s="27" t="str">
        <f ca="1">IFERROR(__xludf.DUMMYFUNCTION("""COMPUTED_VALUE"""),"Casa própria")</f>
        <v>Casa própria</v>
      </c>
      <c r="BT330" s="27">
        <f ca="1">IFERROR(__xludf.DUMMYFUNCTION("""COMPUTED_VALUE"""),1)</f>
        <v>1</v>
      </c>
      <c r="BU330" s="27" t="str">
        <f ca="1">IFERROR(__xludf.DUMMYFUNCTION("""COMPUTED_VALUE"""),"Não tem")</f>
        <v>Não tem</v>
      </c>
      <c r="BV330" s="27"/>
      <c r="BW330" s="27"/>
      <c r="BX330" s="27" t="str">
        <f ca="1">IFERROR(__xludf.DUMMYFUNCTION("""COMPUTED_VALUE"""),"@selmaramelina")</f>
        <v>@selmaramelina</v>
      </c>
      <c r="BY330" s="21" t="str">
        <f ca="1">IFERROR(__xludf.DUMMYFUNCTION("""COMPUTED_VALUE"""),"https://drive.google.com/open?id=1cXF_Nq_oxUqIxORGcpK3B7r5HZZ3ZcN5")</f>
        <v>https://drive.google.com/open?id=1cXF_Nq_oxUqIxORGcpK3B7r5HZZ3ZcN5</v>
      </c>
    </row>
    <row r="331" spans="1:77" ht="12.5" x14ac:dyDescent="0.25">
      <c r="A331" s="21" t="str">
        <f ca="1">IFERROR(__xludf.DUMMYFUNCTION("""COMPUTED_VALUE"""),"0014P00003AN2GNQA1")</f>
        <v>0014P00003AN2GNQA1</v>
      </c>
      <c r="B331" s="27" t="str">
        <f ca="1">IFERROR(__xludf.DUMMYFUNCTION("""COMPUTED_VALUE"""),"Fase Avançada")</f>
        <v>Fase Avançada</v>
      </c>
      <c r="C331" s="27" t="str">
        <f ca="1">IFERROR(__xludf.DUMMYFUNCTION("""COMPUTED_VALUE"""),"Acelerada")</f>
        <v>Acelerada</v>
      </c>
      <c r="D331" s="27" t="str">
        <f ca="1">IFERROR(__xludf.DUMMYFUNCTION("""COMPUTED_VALUE"""),"Ativo")</f>
        <v>Ativo</v>
      </c>
      <c r="E331" s="27" t="str">
        <f ca="1">IFERROR(__xludf.DUMMYFUNCTION("""COMPUTED_VALUE"""),"Instituto de Capacitação e Ação Social O Grito")</f>
        <v>Instituto de Capacitação e Ação Social O Grito</v>
      </c>
      <c r="F331" s="27" t="str">
        <f ca="1">IFERROR(__xludf.DUMMYFUNCTION("""COMPUTED_VALUE"""),"Leandro")</f>
        <v>Leandro</v>
      </c>
      <c r="G331" s="27" t="str">
        <f ca="1">IFERROR(__xludf.DUMMYFUNCTION("""COMPUTED_VALUE"""),"O GRITO")</f>
        <v>O GRITO</v>
      </c>
      <c r="H331" s="27" t="str">
        <f ca="1">IFERROR(__xludf.DUMMYFUNCTION("""COMPUTED_VALUE"""),"28.790.664/0001-10")</f>
        <v>28.790.664/0001-10</v>
      </c>
      <c r="I331" s="27"/>
      <c r="J331" s="27" t="str">
        <f ca="1">IFERROR(__xludf.DUMMYFUNCTION("""COMPUTED_VALUE"""),"leomartins@institutoogrito.org")</f>
        <v>leomartins@institutoogrito.org</v>
      </c>
      <c r="K331" s="27" t="str">
        <f ca="1">IFERROR(__xludf.DUMMYFUNCTION("""COMPUTED_VALUE"""),"(31)97183-1708")</f>
        <v>(31)97183-1708</v>
      </c>
      <c r="L331" s="27" t="str">
        <f ca="1">IFERROR(__xludf.DUMMYFUNCTION("""COMPUTED_VALUE"""),"MG")</f>
        <v>MG</v>
      </c>
      <c r="M331" s="27" t="str">
        <f ca="1">IFERROR(__xludf.DUMMYFUNCTION("""COMPUTED_VALUE"""),"Rua Serro")</f>
        <v>Rua Serro</v>
      </c>
      <c r="N331" s="27"/>
      <c r="O331" s="27" t="str">
        <f ca="1">IFERROR(__xludf.DUMMYFUNCTION("""COMPUTED_VALUE"""),"(31)97183-1708")</f>
        <v>(31)97183-1708</v>
      </c>
      <c r="P331" s="27" t="str">
        <f ca="1">IFERROR(__xludf.DUMMYFUNCTION("""COMPUTED_VALUE"""),"Ribeirão das Neves")</f>
        <v>Ribeirão das Neves</v>
      </c>
      <c r="Q331" s="27"/>
      <c r="R331" s="27" t="str">
        <f ca="1">IFERROR(__xludf.DUMMYFUNCTION("""COMPUTED_VALUE"""),"33938-020")</f>
        <v>33938-020</v>
      </c>
      <c r="S331" s="27"/>
      <c r="T331" s="27" t="str">
        <f ca="1">IFERROR(__xludf.DUMMYFUNCTION("""COMPUTED_VALUE"""),"Esporte; Empregabilidade; Assistência Social; Cultura; Qualificação Profissional; Empreendedorismo; Negócios Sociais; Apoio à gestão de organizações de Terceiro Setor; Defesa de Direitos; Assistência Psicológica; Desenvolvimento comunitário")</f>
        <v>Esporte; Empregabilidade; Assistência Social; Cultura; Qualificação Profissional; Empreendedorismo; Negócios Sociais; Apoio à gestão de organizações de Terceiro Setor; Defesa de Direitos; Assistência Psicológica; Desenvolvimento comunitário</v>
      </c>
      <c r="U331" s="27" t="str">
        <f ca="1">IFERROR(__xludf.DUMMYFUNCTION("""COMPUTED_VALUE"""),"Crianças (6 a 12 anos); Adolescentes (12 aos 18 anos); Jovens (18 aos 24 anos); Adultos; Idosos (60 anos ou mais)")</f>
        <v>Crianças (6 a 12 anos); Adolescentes (12 aos 18 anos); Jovens (18 aos 24 anos); Adultos; Idosos (60 anos ou mais)</v>
      </c>
      <c r="V331" s="27" t="str">
        <f ca="1">IFERROR(__xludf.DUMMYFUNCTION("""COMPUTED_VALUE"""),"Moradores de Favelas")</f>
        <v>Moradores de Favelas</v>
      </c>
      <c r="W331" s="27">
        <f ca="1">IFERROR(__xludf.DUMMYFUNCTION("""COMPUTED_VALUE"""),10)</f>
        <v>10</v>
      </c>
      <c r="X331" s="27" t="str">
        <f ca="1">IFERROR(__xludf.DUMMYFUNCTION("""COMPUTED_VALUE"""),"Estamos em uma região limítrofe e atendemos as três cidades.")</f>
        <v>Estamos em uma região limítrofe e atendemos as três cidades.</v>
      </c>
      <c r="Y331" s="27"/>
      <c r="Z331" s="27"/>
      <c r="AA331" s="29">
        <f ca="1">IFERROR(__xludf.DUMMYFUNCTION("""COMPUTED_VALUE"""),42522)</f>
        <v>42522</v>
      </c>
      <c r="AB331" s="27" t="str">
        <f ca="1">IFERROR(__xludf.DUMMYFUNCTION("""COMPUTED_VALUE"""),"Sim")</f>
        <v>Sim</v>
      </c>
      <c r="AC331" s="27">
        <f ca="1">IFERROR(__xludf.DUMMYFUNCTION("""COMPUTED_VALUE"""),22)</f>
        <v>22</v>
      </c>
      <c r="AD331" s="27">
        <f ca="1">IFERROR(__xludf.DUMMYFUNCTION("""COMPUTED_VALUE"""),0)</f>
        <v>0</v>
      </c>
      <c r="AE331" s="27">
        <f ca="1">IFERROR(__xludf.DUMMYFUNCTION("""COMPUTED_VALUE"""),23)</f>
        <v>23</v>
      </c>
      <c r="AF331" s="27">
        <f ca="1">IFERROR(__xludf.DUMMYFUNCTION("""COMPUTED_VALUE"""),20)</f>
        <v>20</v>
      </c>
      <c r="AG331" s="27">
        <f ca="1">IFERROR(__xludf.DUMMYFUNCTION("""COMPUTED_VALUE"""),4)</f>
        <v>4</v>
      </c>
      <c r="AH331" s="27" t="str">
        <f ca="1">IFERROR(__xludf.DUMMYFUNCTION("""COMPUTED_VALUE"""),"Lei de Incentivo; Negócio Social; Eventos/Ações para captação; Plataforma doação online - Pessoa Física; Parceria iniciativa privada; Editais; Doações; Lei Municipal da Cultura; FIA; Recursos próprios")</f>
        <v>Lei de Incentivo; Negócio Social; Eventos/Ações para captação; Plataforma doação online - Pessoa Física; Parceria iniciativa privada; Editais; Doações; Lei Municipal da Cultura; FIA; Recursos próprios</v>
      </c>
      <c r="AI331" s="27" t="str">
        <f ca="1">IFERROR(__xludf.DUMMYFUNCTION("""COMPUTED_VALUE"""),"Eventos 33% Aporte 30% Outlet 11% Doador P. 9% Doador R. 8% Captação Setores 3% Griffte 6%")</f>
        <v>Eventos 33% Aporte 30% Outlet 11% Doador P. 9% Doador R. 8% Captação Setores 3% Griffte 6%</v>
      </c>
      <c r="AJ331" s="27" t="str">
        <f ca="1">IFERROR(__xludf.DUMMYFUNCTION("""COMPUTED_VALUE"""),"Sim")</f>
        <v>Sim</v>
      </c>
      <c r="AK331" s="27" t="str">
        <f ca="1">IFERROR(__xludf.DUMMYFUNCTION("""COMPUTED_VALUE"""),"Sim")</f>
        <v>Sim</v>
      </c>
      <c r="AL331" s="21" t="str">
        <f ca="1">IFERROR(__xludf.DUMMYFUNCTION("""COMPUTED_VALUE"""),"0034P00003maBVs")</f>
        <v>0034P00003maBVs</v>
      </c>
      <c r="AM331" s="27" t="str">
        <f ca="1">IFERROR(__xludf.DUMMYFUNCTION("""COMPUTED_VALUE"""),"Alves Martins")</f>
        <v>Alves Martins</v>
      </c>
      <c r="AN331" s="27" t="str">
        <f ca="1">IFERROR(__xludf.DUMMYFUNCTION("""COMPUTED_VALUE"""),"Ativo")</f>
        <v>Ativo</v>
      </c>
      <c r="AO331" s="30">
        <f ca="1">IFERROR(__xludf.DUMMYFUNCTION("""COMPUTED_VALUE"""),43922)</f>
        <v>43922</v>
      </c>
      <c r="AP331" s="27">
        <f ca="1">IFERROR(__xludf.DUMMYFUNCTION("""COMPUTED_VALUE"""),29)</f>
        <v>29</v>
      </c>
      <c r="AQ331" s="27" t="str">
        <f ca="1">IFERROR(__xludf.DUMMYFUNCTION("""COMPUTED_VALUE"""),"Primeiro Semestre 2019")</f>
        <v>Primeiro Semestre 2019</v>
      </c>
      <c r="AR331" s="27" t="str">
        <f ca="1">IFERROR(__xludf.DUMMYFUNCTION("""COMPUTED_VALUE"""),"leomartins@institutoogrito.org")</f>
        <v>leomartins@institutoogrito.org</v>
      </c>
      <c r="AS331" s="27" t="str">
        <f ca="1">IFERROR(__xludf.DUMMYFUNCTION("""COMPUTED_VALUE"""),"(31)97183-1708")</f>
        <v>(31)97183-1708</v>
      </c>
      <c r="AT331" s="29">
        <f ca="1">IFERROR(__xludf.DUMMYFUNCTION("""COMPUTED_VALUE"""),30589)</f>
        <v>30589</v>
      </c>
      <c r="AU331" s="27">
        <f ca="1">IFERROR(__xludf.DUMMYFUNCTION("""COMPUTED_VALUE"""),39)</f>
        <v>39</v>
      </c>
      <c r="AV331" s="27">
        <f ca="1">IFERROR(__xludf.DUMMYFUNCTION("""COMPUTED_VALUE"""),1447066600)</f>
        <v>1447066600</v>
      </c>
      <c r="AW331" s="27" t="str">
        <f ca="1">IFERROR(__xludf.DUMMYFUNCTION("""COMPUTED_VALUE"""),"MG 11606495")</f>
        <v>MG 11606495</v>
      </c>
      <c r="AX331" s="27" t="str">
        <f ca="1">IFERROR(__xludf.DUMMYFUNCTION("""COMPUTED_VALUE"""),"Designer")</f>
        <v>Designer</v>
      </c>
      <c r="AY331" s="27"/>
      <c r="AZ331" s="27" t="str">
        <f ca="1">IFERROR(__xludf.DUMMYFUNCTION("""COMPUTED_VALUE"""),"M")</f>
        <v>M</v>
      </c>
      <c r="BA331" s="27"/>
      <c r="BB331" s="27"/>
      <c r="BC331" s="27" t="str">
        <f ca="1">IFERROR(__xludf.DUMMYFUNCTION("""COMPUTED_VALUE"""),"Sim")</f>
        <v>Sim</v>
      </c>
      <c r="BD331" s="27" t="str">
        <f ca="1">IFERROR(__xludf.DUMMYFUNCTION("""COMPUTED_VALUE"""),"Léo Martins, natural de Salinas/MG, cresceu em um contexto de vulnerabilidade social. Se tornou Designer, profissão que deixou de lado para se dedicar a transformar vidas através do terceiro setor. Léo é empreendedor social, casado, pai de duas filhas, mi"&amp;"ssionário, fundador e CEO do Instituto O Grito, que tem como propósito dar voz a quem não tem. Lidera os negócios sociais do Grito, é mentor e palestrante. Ganhou premiações em reconhecimento de sua liderança e expertise em impacto social.")</f>
        <v>Léo Martins, natural de Salinas/MG, cresceu em um contexto de vulnerabilidade social. Se tornou Designer, profissão que deixou de lado para se dedicar a transformar vidas através do terceiro setor. Léo é empreendedor social, casado, pai de duas filhas, missionário, fundador e CEO do Instituto O Grito, que tem como propósito dar voz a quem não tem. Lidera os negócios sociais do Grito, é mentor e palestrante. Ganhou premiações em reconhecimento de sua liderança e expertise em impacto social.</v>
      </c>
      <c r="BE331" s="27"/>
      <c r="BF331" s="27"/>
      <c r="BG331" s="27" t="str">
        <f ca="1">IFERROR(__xludf.DUMMYFUNCTION("""COMPUTED_VALUE"""),"Ensino Médio - Completo")</f>
        <v>Ensino Médio - Completo</v>
      </c>
      <c r="BH331" s="27"/>
      <c r="BI331" s="27" t="str">
        <f ca="1">IFERROR(__xludf.DUMMYFUNCTION("""COMPUTED_VALUE"""),"Pós-Graduação")</f>
        <v>Pós-Graduação</v>
      </c>
      <c r="BJ331" s="27" t="str">
        <f ca="1">IFERROR(__xludf.DUMMYFUNCTION("""COMPUTED_VALUE"""),"Privado")</f>
        <v>Privado</v>
      </c>
      <c r="BK331" s="27" t="str">
        <f ca="1">IFERROR(__xludf.DUMMYFUNCTION("""COMPUTED_VALUE"""),"Av. Dr. Paulo Ribeiro Nunes")</f>
        <v>Av. Dr. Paulo Ribeiro Nunes</v>
      </c>
      <c r="BL331" s="27">
        <f ca="1">IFERROR(__xludf.DUMMYFUNCTION("""COMPUTED_VALUE"""),220)</f>
        <v>220</v>
      </c>
      <c r="BM331" s="27" t="str">
        <f ca="1">IFERROR(__xludf.DUMMYFUNCTION("""COMPUTED_VALUE"""),"Apto 204 BL 04")</f>
        <v>Apto 204 BL 04</v>
      </c>
      <c r="BN331" s="27" t="str">
        <f ca="1">IFERROR(__xludf.DUMMYFUNCTION("""COMPUTED_VALUE"""),"Ribeirão das Neves")</f>
        <v>Ribeirão das Neves</v>
      </c>
      <c r="BO331" s="27" t="str">
        <f ca="1">IFERROR(__xludf.DUMMYFUNCTION("""COMPUTED_VALUE"""),"32145-700")</f>
        <v>32145-700</v>
      </c>
      <c r="BP331" s="27" t="str">
        <f ca="1">IFERROR(__xludf.DUMMYFUNCTION("""COMPUTED_VALUE"""),"MG")</f>
        <v>MG</v>
      </c>
      <c r="BQ331" s="27" t="str">
        <f ca="1">IFERROR(__xludf.DUMMYFUNCTION("""COMPUTED_VALUE"""),"De 3 até 5 salários mínimos")</f>
        <v>De 3 até 5 salários mínimos</v>
      </c>
      <c r="BR331" s="27" t="str">
        <f ca="1">IFERROR(__xludf.DUMMYFUNCTION("""COMPUTED_VALUE"""),"MEI")</f>
        <v>MEI</v>
      </c>
      <c r="BS331" s="27" t="str">
        <f ca="1">IFERROR(__xludf.DUMMYFUNCTION("""COMPUTED_VALUE"""),"Casa própria")</f>
        <v>Casa própria</v>
      </c>
      <c r="BT331" s="27">
        <f ca="1">IFERROR(__xludf.DUMMYFUNCTION("""COMPUTED_VALUE"""),4)</f>
        <v>4</v>
      </c>
      <c r="BU331" s="27"/>
      <c r="BV331" s="27"/>
      <c r="BW331" s="27" t="str">
        <f ca="1">IFERROR(__xludf.DUMMYFUNCTION("""COMPUTED_VALUE"""),"www.linkedin.com/in/léo-martins-81a296b6")</f>
        <v>www.linkedin.com/in/léo-martins-81a296b6</v>
      </c>
      <c r="BX331" s="21" t="str">
        <f ca="1">IFERROR(__xludf.DUMMYFUNCTION("""COMPUTED_VALUE"""),"https://instagram.com/leoogrito?r=nametag")</f>
        <v>https://instagram.com/leoogrito?r=nametag</v>
      </c>
      <c r="BY331" s="27"/>
    </row>
    <row r="332" spans="1:77" ht="12.5" x14ac:dyDescent="0.25">
      <c r="A332" s="21" t="str">
        <f ca="1">IFERROR(__xludf.DUMMYFUNCTION("""COMPUTED_VALUE"""),"0014P00003YSp7nQAD")</f>
        <v>0014P00003YSp7nQAD</v>
      </c>
      <c r="B332" s="27" t="str">
        <f ca="1">IFERROR(__xludf.DUMMYFUNCTION("""COMPUTED_VALUE"""),"Fase Estruturação")</f>
        <v>Fase Estruturação</v>
      </c>
      <c r="C332" s="27" t="str">
        <f ca="1">IFERROR(__xludf.DUMMYFUNCTION("""COMPUTED_VALUE"""),"Fellow")</f>
        <v>Fellow</v>
      </c>
      <c r="D332" s="27" t="str">
        <f ca="1">IFERROR(__xludf.DUMMYFUNCTION("""COMPUTED_VALUE"""),"Ativo")</f>
        <v>Ativo</v>
      </c>
      <c r="E332" s="27" t="str">
        <f ca="1">IFERROR(__xludf.DUMMYFUNCTION("""COMPUTED_VALUE"""),"Instituto de Cidadania Amor ao Próximo")</f>
        <v>Instituto de Cidadania Amor ao Próximo</v>
      </c>
      <c r="F332" s="27" t="str">
        <f ca="1">IFERROR(__xludf.DUMMYFUNCTION("""COMPUTED_VALUE"""),"Caio")</f>
        <v>Caio</v>
      </c>
      <c r="G332" s="27"/>
      <c r="H332" s="27" t="str">
        <f ca="1">IFERROR(__xludf.DUMMYFUNCTION("""COMPUTED_VALUE"""),"44.155.070/0001-94")</f>
        <v>44.155.070/0001-94</v>
      </c>
      <c r="I332" s="27" t="str">
        <f ca="1">IFERROR(__xludf.DUMMYFUNCTION("""COMPUTED_VALUE"""),"Caio Lima")</f>
        <v>Caio Lima</v>
      </c>
      <c r="J332" s="27" t="str">
        <f ca="1">IFERROR(__xludf.DUMMYFUNCTION("""COMPUTED_VALUE"""),"ofamoraoproximo@gmail.com")</f>
        <v>ofamoraoproximo@gmail.com</v>
      </c>
      <c r="K332" s="27" t="str">
        <f ca="1">IFERROR(__xludf.DUMMYFUNCTION("""COMPUTED_VALUE"""),"(85)98630-1522")</f>
        <v>(85)98630-1522</v>
      </c>
      <c r="L332" s="27" t="str">
        <f ca="1">IFERROR(__xludf.DUMMYFUNCTION("""COMPUTED_VALUE"""),"CE")</f>
        <v>CE</v>
      </c>
      <c r="M332" s="27" t="str">
        <f ca="1">IFERROR(__xludf.DUMMYFUNCTION("""COMPUTED_VALUE"""),"Rua Professora Maria Clara, 2243")</f>
        <v>Rua Professora Maria Clara, 2243</v>
      </c>
      <c r="N332" s="27" t="str">
        <f ca="1">IFERROR(__xludf.DUMMYFUNCTION("""COMPUTED_VALUE"""),"Vila Velha")</f>
        <v>Vila Velha</v>
      </c>
      <c r="O332" s="27">
        <f ca="1">IFERROR(__xludf.DUMMYFUNCTION("""COMPUTED_VALUE"""),2243)</f>
        <v>2243</v>
      </c>
      <c r="P332" s="27" t="str">
        <f ca="1">IFERROR(__xludf.DUMMYFUNCTION("""COMPUTED_VALUE"""),"Fortaleza")</f>
        <v>Fortaleza</v>
      </c>
      <c r="Q332" s="27"/>
      <c r="R332" s="27" t="str">
        <f ca="1">IFERROR(__xludf.DUMMYFUNCTION("""COMPUTED_VALUE"""),"60345-292")</f>
        <v>60345-292</v>
      </c>
      <c r="S332" s="27"/>
      <c r="T332" s="27" t="str">
        <f ca="1">IFERROR(__xludf.DUMMYFUNCTION("""COMPUTED_VALUE"""),"Esporte; Educação; Empregabilidade; Assistência Social; Cultura; Qualificação Profissional; Empreendedorismo; Empoderamento Feminino; Ciência e Tecnologia; Comunicação; Assistência Psicológica; Desenvolvimento comunitário")</f>
        <v>Esporte; Educação; Empregabilidade; Assistência Social; Cultura; Qualificação Profissional; Empreendedorismo; Empoderamento Feminino; Ciência e Tecnologia; Comunicação; Assistência Psicológica; Desenvolvimento comunitário</v>
      </c>
      <c r="U332"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332" s="27" t="str">
        <f ca="1">IFERROR(__xludf.DUMMYFUNCTION("""COMPUTED_VALUE"""),"Moradores de Favelas")</f>
        <v>Moradores de Favelas</v>
      </c>
      <c r="W332" s="27">
        <f ca="1">IFERROR(__xludf.DUMMYFUNCTION("""COMPUTED_VALUE"""),3)</f>
        <v>3</v>
      </c>
      <c r="X332" s="27"/>
      <c r="Y332" s="27"/>
      <c r="Z332" s="27">
        <f ca="1">IFERROR(__xludf.DUMMYFUNCTION("""COMPUTED_VALUE"""),150)</f>
        <v>150</v>
      </c>
      <c r="AA332" s="29">
        <f ca="1">IFERROR(__xludf.DUMMYFUNCTION("""COMPUTED_VALUE"""),44465)</f>
        <v>44465</v>
      </c>
      <c r="AB332" s="27" t="str">
        <f ca="1">IFERROR(__xludf.DUMMYFUNCTION("""COMPUTED_VALUE"""),"Não")</f>
        <v>Não</v>
      </c>
      <c r="AC332" s="27">
        <f ca="1">IFERROR(__xludf.DUMMYFUNCTION("""COMPUTED_VALUE"""),7)</f>
        <v>7</v>
      </c>
      <c r="AD332" s="27">
        <f ca="1">IFERROR(__xludf.DUMMYFUNCTION("""COMPUTED_VALUE"""),3)</f>
        <v>3</v>
      </c>
      <c r="AE332" s="27">
        <f ca="1">IFERROR(__xludf.DUMMYFUNCTION("""COMPUTED_VALUE"""),12)</f>
        <v>12</v>
      </c>
      <c r="AF332" s="27">
        <f ca="1">IFERROR(__xludf.DUMMYFUNCTION("""COMPUTED_VALUE"""),35)</f>
        <v>35</v>
      </c>
      <c r="AG332" s="27">
        <f ca="1">IFERROR(__xludf.DUMMYFUNCTION("""COMPUTED_VALUE"""),6)</f>
        <v>6</v>
      </c>
      <c r="AH332" s="27" t="str">
        <f ca="1">IFERROR(__xludf.DUMMYFUNCTION("""COMPUTED_VALUE"""),"Lei de Incentivo; Eventos/Ações para captação; Plataforma doação online - Pessoa Física; Editais; Doações; Recursos próprios")</f>
        <v>Lei de Incentivo; Eventos/Ações para captação; Plataforma doação online - Pessoa Física; Editais; Doações; Recursos próprios</v>
      </c>
      <c r="AI332" s="27">
        <f ca="1">IFERROR(__xludf.DUMMYFUNCTION("""COMPUTED_VALUE"""),0)</f>
        <v>0</v>
      </c>
      <c r="AJ332" s="27"/>
      <c r="AK332" s="27"/>
      <c r="AL332" s="21" t="str">
        <f ca="1">IFERROR(__xludf.DUMMYFUNCTION("""COMPUTED_VALUE"""),"0034P000045kxiO")</f>
        <v>0034P000045kxiO</v>
      </c>
      <c r="AM332" s="27" t="str">
        <f ca="1">IFERROR(__xludf.DUMMYFUNCTION("""COMPUTED_VALUE"""),"Fabio De Lima Freire")</f>
        <v>Fabio De Lima Freire</v>
      </c>
      <c r="AN332" s="27" t="str">
        <f ca="1">IFERROR(__xludf.DUMMYFUNCTION("""COMPUTED_VALUE"""),"Ativo")</f>
        <v>Ativo</v>
      </c>
      <c r="AO332" s="29">
        <f ca="1">IFERROR(__xludf.DUMMYFUNCTION("""COMPUTED_VALUE"""),44551)</f>
        <v>44551</v>
      </c>
      <c r="AP332" s="27">
        <f ca="1">IFERROR(__xludf.DUMMYFUNCTION("""COMPUTED_VALUE"""),9)</f>
        <v>9</v>
      </c>
      <c r="AQ332" s="27" t="str">
        <f ca="1">IFERROR(__xludf.DUMMYFUNCTION("""COMPUTED_VALUE"""),"Segundo Semestre 2021")</f>
        <v>Segundo Semestre 2021</v>
      </c>
      <c r="AR332" s="27" t="str">
        <f ca="1">IFERROR(__xludf.DUMMYFUNCTION("""COMPUTED_VALUE"""),"profissionalcaiolima@gmail.com")</f>
        <v>profissionalcaiolima@gmail.com</v>
      </c>
      <c r="AS332" s="27" t="str">
        <f ca="1">IFERROR(__xludf.DUMMYFUNCTION("""COMPUTED_VALUE"""),"(85)98630-1522")</f>
        <v>(85)98630-1522</v>
      </c>
      <c r="AT332" s="29">
        <f ca="1">IFERROR(__xludf.DUMMYFUNCTION("""COMPUTED_VALUE"""),35201)</f>
        <v>35201</v>
      </c>
      <c r="AU332" s="27">
        <f ca="1">IFERROR(__xludf.DUMMYFUNCTION("""COMPUTED_VALUE"""),26)</f>
        <v>26</v>
      </c>
      <c r="AV332" s="27">
        <f ca="1">IFERROR(__xludf.DUMMYFUNCTION("""COMPUTED_VALUE"""),6002949356)</f>
        <v>6002949356</v>
      </c>
      <c r="AW332" s="27" t="str">
        <f ca="1">IFERROR(__xludf.DUMMYFUNCTION("""COMPUTED_VALUE"""),"2007674753-5")</f>
        <v>2007674753-5</v>
      </c>
      <c r="AX332" s="27"/>
      <c r="AY332" s="27"/>
      <c r="AZ332" s="27" t="str">
        <f ca="1">IFERROR(__xludf.DUMMYFUNCTION("""COMPUTED_VALUE"""),"GG")</f>
        <v>GG</v>
      </c>
      <c r="BA332" s="27" t="str">
        <f ca="1">IFERROR(__xludf.DUMMYFUNCTION("""COMPUTED_VALUE"""),"Branca")</f>
        <v>Branca</v>
      </c>
      <c r="BB332" s="27" t="str">
        <f ca="1">IFERROR(__xludf.DUMMYFUNCTION("""COMPUTED_VALUE"""),"Homem, cisgênero")</f>
        <v>Homem, cisgênero</v>
      </c>
      <c r="BC332" s="27" t="str">
        <f ca="1">IFERROR(__xludf.DUMMYFUNCTION("""COMPUTED_VALUE"""),"Sim")</f>
        <v>Sim</v>
      </c>
      <c r="BD332" s="27" t="str">
        <f ca="1">IFERROR(__xludf.DUMMYFUNCTION("""COMPUTED_VALUE"""),"Oi, tudo bom? Espero que sim! Me chamo Caio, tenho 25 anos. Sou presidente do Instituto Amor ao Próximo. 
Sou um dos líderes que acredita no fim da miséria existente nas favelas e luta para que isso aconteça. Acredito que crianças e adolescente das favela"&amp;"s são o futuro e precisam saber disso. 
Tenho um time incansável e PREPARADO! Na disputa em acabar com a miséria nas favelas meu time é atacante, goleador. E do time atacante, eu sou o capitão! 
A próxima parada? Parar o mundo!")</f>
        <v>Oi, tudo bom? Espero que sim! Me chamo Caio, tenho 25 anos. Sou presidente do Instituto Amor ao Próximo. 
Sou um dos líderes que acredita no fim da miséria existente nas favelas e luta para que isso aconteça. Acredito que crianças e adolescente das favelas são o futuro e precisam saber disso. 
Tenho um time incansável e PREPARADO! Na disputa em acabar com a miséria nas favelas meu time é atacante, goleador. E do time atacante, eu sou o capitão! 
A próxima parada? Parar o mundo!</v>
      </c>
      <c r="BE332" s="27"/>
      <c r="BF332" s="27" t="str">
        <f ca="1">IFERROR(__xludf.DUMMYFUNCTION("""COMPUTED_VALUE"""),"Heterossexual")</f>
        <v>Heterossexual</v>
      </c>
      <c r="BG332" s="27" t="str">
        <f ca="1">IFERROR(__xludf.DUMMYFUNCTION("""COMPUTED_VALUE"""),"Ensino Superior - Incompleto")</f>
        <v>Ensino Superior - Incompleto</v>
      </c>
      <c r="BH332" s="27" t="str">
        <f ca="1">IFERROR(__xludf.DUMMYFUNCTION("""COMPUTED_VALUE"""),"Público")</f>
        <v>Público</v>
      </c>
      <c r="BI332" s="27" t="str">
        <f ca="1">IFERROR(__xludf.DUMMYFUNCTION("""COMPUTED_VALUE"""),"Graduação")</f>
        <v>Graduação</v>
      </c>
      <c r="BJ332" s="27" t="str">
        <f ca="1">IFERROR(__xludf.DUMMYFUNCTION("""COMPUTED_VALUE"""),"Privado")</f>
        <v>Privado</v>
      </c>
      <c r="BK332" s="27" t="str">
        <f ca="1">IFERROR(__xludf.DUMMYFUNCTION("""COMPUTED_VALUE"""),"Travessa Arthur Borges")</f>
        <v>Travessa Arthur Borges</v>
      </c>
      <c r="BL332" s="27">
        <f ca="1">IFERROR(__xludf.DUMMYFUNCTION("""COMPUTED_VALUE"""),108)</f>
        <v>108</v>
      </c>
      <c r="BM332" s="27"/>
      <c r="BN332" s="27" t="str">
        <f ca="1">IFERROR(__xludf.DUMMYFUNCTION("""COMPUTED_VALUE"""),"Fortaleza")</f>
        <v>Fortaleza</v>
      </c>
      <c r="BO332" s="27" t="str">
        <f ca="1">IFERROR(__xludf.DUMMYFUNCTION("""COMPUTED_VALUE"""),"60345-820")</f>
        <v>60345-820</v>
      </c>
      <c r="BP332" s="27" t="str">
        <f ca="1">IFERROR(__xludf.DUMMYFUNCTION("""COMPUTED_VALUE"""),"CE")</f>
        <v>CE</v>
      </c>
      <c r="BQ332" s="27" t="str">
        <f ca="1">IFERROR(__xludf.DUMMYFUNCTION("""COMPUTED_VALUE"""),"Entre 1 até 3 salários mínimos")</f>
        <v>Entre 1 até 3 salários mínimos</v>
      </c>
      <c r="BR332" s="27" t="str">
        <f ca="1">IFERROR(__xludf.DUMMYFUNCTION("""COMPUTED_VALUE"""),"CLT")</f>
        <v>CLT</v>
      </c>
      <c r="BS332" s="27" t="str">
        <f ca="1">IFERROR(__xludf.DUMMYFUNCTION("""COMPUTED_VALUE"""),"Casa própria")</f>
        <v>Casa própria</v>
      </c>
      <c r="BT332" s="27">
        <f ca="1">IFERROR(__xludf.DUMMYFUNCTION("""COMPUTED_VALUE"""),3)</f>
        <v>3</v>
      </c>
      <c r="BU332" s="27" t="str">
        <f ca="1">IFERROR(__xludf.DUMMYFUNCTION("""COMPUTED_VALUE"""),"Não tem")</f>
        <v>Não tem</v>
      </c>
      <c r="BV332" s="27"/>
      <c r="BW332" s="27"/>
      <c r="BX332" s="21" t="str">
        <f ca="1">IFERROR(__xludf.DUMMYFUNCTION("""COMPUTED_VALUE"""),"https://instagram.com/ca1olima?utm_medium=copy_link")</f>
        <v>https://instagram.com/ca1olima?utm_medium=copy_link</v>
      </c>
      <c r="BY332" s="21" t="str">
        <f ca="1">IFERROR(__xludf.DUMMYFUNCTION("""COMPUTED_VALUE"""),"https://drive.google.com/open?id=1_kc8tmQv-q03Dp2MDK56rQjWYl55VBBg")</f>
        <v>https://drive.google.com/open?id=1_kc8tmQv-q03Dp2MDK56rQjWYl55VBBg</v>
      </c>
    </row>
    <row r="333" spans="1:77" ht="12.5" x14ac:dyDescent="0.25">
      <c r="A333" s="21" t="str">
        <f ca="1">IFERROR(__xludf.DUMMYFUNCTION("""COMPUTED_VALUE"""),"0014P00003SGWQJQA5")</f>
        <v>0014P00003SGWQJQA5</v>
      </c>
      <c r="B333" s="27" t="str">
        <f ca="1">IFERROR(__xludf.DUMMYFUNCTION("""COMPUTED_VALUE"""),"Fase Inicial")</f>
        <v>Fase Inicial</v>
      </c>
      <c r="C333" s="27" t="str">
        <f ca="1">IFERROR(__xludf.DUMMYFUNCTION("""COMPUTED_VALUE"""),"Fellow")</f>
        <v>Fellow</v>
      </c>
      <c r="D333" s="27" t="str">
        <f ca="1">IFERROR(__xludf.DUMMYFUNCTION("""COMPUTED_VALUE"""),"Ativo")</f>
        <v>Ativo</v>
      </c>
      <c r="E333" s="27" t="str">
        <f ca="1">IFERROR(__xludf.DUMMYFUNCTION("""COMPUTED_VALUE"""),"INSTITUTO DE CULTURA E LAZER EBENÉZER")</f>
        <v>INSTITUTO DE CULTURA E LAZER EBENÉZER</v>
      </c>
      <c r="F333" s="27" t="str">
        <f ca="1">IFERROR(__xludf.DUMMYFUNCTION("""COMPUTED_VALUE"""),"Ueliton")</f>
        <v>Ueliton</v>
      </c>
      <c r="G333" s="27" t="str">
        <f ca="1">IFERROR(__xludf.DUMMYFUNCTION("""COMPUTED_VALUE"""),"EBENÉZER")</f>
        <v>EBENÉZER</v>
      </c>
      <c r="H333" s="27" t="str">
        <f ca="1">IFERROR(__xludf.DUMMYFUNCTION("""COMPUTED_VALUE"""),"30.434.044/0001-90")</f>
        <v>30.434.044/0001-90</v>
      </c>
      <c r="I333" s="27" t="str">
        <f ca="1">IFERROR(__xludf.DUMMYFUNCTION("""COMPUTED_VALUE"""),"Ueliton Moreira Rocha")</f>
        <v>Ueliton Moreira Rocha</v>
      </c>
      <c r="J333" s="27" t="str">
        <f ca="1">IFERROR(__xludf.DUMMYFUNCTION("""COMPUTED_VALUE"""),"institutosocialebenezer@gmail.com")</f>
        <v>institutosocialebenezer@gmail.com</v>
      </c>
      <c r="K333" s="27">
        <f ca="1">IFERROR(__xludf.DUMMYFUNCTION("""COMPUTED_VALUE"""),21992600720)</f>
        <v>21992600720</v>
      </c>
      <c r="L333" s="27" t="str">
        <f ca="1">IFERROR(__xludf.DUMMYFUNCTION("""COMPUTED_VALUE"""),"SP")</f>
        <v>SP</v>
      </c>
      <c r="M333" s="27" t="str">
        <f ca="1">IFERROR(__xludf.DUMMYFUNCTION("""COMPUTED_VALUE"""),"Rua Alberto Borges Sorveral, 50")</f>
        <v>Rua Alberto Borges Sorveral, 50</v>
      </c>
      <c r="N333" s="27" t="str">
        <f ca="1">IFERROR(__xludf.DUMMYFUNCTION("""COMPUTED_VALUE"""),"Parque Novo Santo Amaro")</f>
        <v>Parque Novo Santo Amaro</v>
      </c>
      <c r="O333" s="27" t="str">
        <f ca="1">IFERROR(__xludf.DUMMYFUNCTION("""COMPUTED_VALUE"""),"(11)95979-0349")</f>
        <v>(11)95979-0349</v>
      </c>
      <c r="P333" s="27" t="str">
        <f ca="1">IFERROR(__xludf.DUMMYFUNCTION("""COMPUTED_VALUE"""),"São Paulo")</f>
        <v>São Paulo</v>
      </c>
      <c r="Q333" s="27"/>
      <c r="R333" s="27" t="str">
        <f ca="1">IFERROR(__xludf.DUMMYFUNCTION("""COMPUTED_VALUE"""),"05874-030")</f>
        <v>05874-030</v>
      </c>
      <c r="S333" s="27" t="str">
        <f ca="1">IFERROR(__xludf.DUMMYFUNCTION("""COMPUTED_VALUE"""),"05875-210")</f>
        <v>05875-210</v>
      </c>
      <c r="T333" s="27" t="str">
        <f ca="1">IFERROR(__xludf.DUMMYFUNCTION("""COMPUTED_VALUE"""),"Educação; Cultura; Qualificação Profissional; Empreendedorismo; Empoderamento Feminino; Ciência e Tecnologia; Defesa de Direitos; Assistência Psicológica")</f>
        <v>Educação; Cultura; Qualificação Profissional; Empreendedorismo; Empoderamento Feminino; Ciência e Tecnologia; Defesa de Direitos; Assistência Psicológica</v>
      </c>
      <c r="U333"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333" s="27" t="str">
        <f ca="1">IFERROR(__xludf.DUMMYFUNCTION("""COMPUTED_VALUE"""),"Moradores de Favelas; Pessoas em situação de rua")</f>
        <v>Moradores de Favelas; Pessoas em situação de rua</v>
      </c>
      <c r="W333" s="27">
        <f ca="1">IFERROR(__xludf.DUMMYFUNCTION("""COMPUTED_VALUE"""),6)</f>
        <v>6</v>
      </c>
      <c r="X333" s="27"/>
      <c r="Y333" s="27">
        <f ca="1">IFERROR(__xludf.DUMMYFUNCTION("""COMPUTED_VALUE"""),49)</f>
        <v>49</v>
      </c>
      <c r="Z333" s="27">
        <f ca="1">IFERROR(__xludf.DUMMYFUNCTION("""COMPUTED_VALUE"""),3321)</f>
        <v>3321</v>
      </c>
      <c r="AA333" s="29">
        <f ca="1">IFERROR(__xludf.DUMMYFUNCTION("""COMPUTED_VALUE"""),43081)</f>
        <v>43081</v>
      </c>
      <c r="AB333" s="27" t="str">
        <f ca="1">IFERROR(__xludf.DUMMYFUNCTION("""COMPUTED_VALUE"""),"Sim")</f>
        <v>Sim</v>
      </c>
      <c r="AC333" s="27">
        <f ca="1">IFERROR(__xludf.DUMMYFUNCTION("""COMPUTED_VALUE"""),2)</f>
        <v>2</v>
      </c>
      <c r="AD333" s="27">
        <f ca="1">IFERROR(__xludf.DUMMYFUNCTION("""COMPUTED_VALUE"""),2)</f>
        <v>2</v>
      </c>
      <c r="AE333" s="27">
        <f ca="1">IFERROR(__xludf.DUMMYFUNCTION("""COMPUTED_VALUE"""),12)</f>
        <v>12</v>
      </c>
      <c r="AF333" s="27">
        <f ca="1">IFERROR(__xludf.DUMMYFUNCTION("""COMPUTED_VALUE"""),12)</f>
        <v>12</v>
      </c>
      <c r="AG333" s="27">
        <f ca="1">IFERROR(__xludf.DUMMYFUNCTION("""COMPUTED_VALUE"""),2)</f>
        <v>2</v>
      </c>
      <c r="AH333" s="27" t="str">
        <f ca="1">IFERROR(__xludf.DUMMYFUNCTION("""COMPUTED_VALUE"""),"Doações")</f>
        <v>Doações</v>
      </c>
      <c r="AI333" s="27">
        <f ca="1">IFERROR(__xludf.DUMMYFUNCTION("""COMPUTED_VALUE"""),0)</f>
        <v>0</v>
      </c>
      <c r="AJ333" s="27" t="str">
        <f ca="1">IFERROR(__xludf.DUMMYFUNCTION("""COMPUTED_VALUE"""),"Não")</f>
        <v>Não</v>
      </c>
      <c r="AK333" s="27" t="str">
        <f ca="1">IFERROR(__xludf.DUMMYFUNCTION("""COMPUTED_VALUE"""),"Não")</f>
        <v>Não</v>
      </c>
      <c r="AL333" s="21" t="str">
        <f ca="1">IFERROR(__xludf.DUMMYFUNCTION("""COMPUTED_VALUE"""),"0034P000043fOoJ")</f>
        <v>0034P000043fOoJ</v>
      </c>
      <c r="AM333" s="27" t="str">
        <f ca="1">IFERROR(__xludf.DUMMYFUNCTION("""COMPUTED_VALUE"""),"Moreira Rocha")</f>
        <v>Moreira Rocha</v>
      </c>
      <c r="AN333" s="27" t="str">
        <f ca="1">IFERROR(__xludf.DUMMYFUNCTION("""COMPUTED_VALUE"""),"Ativo")</f>
        <v>Ativo</v>
      </c>
      <c r="AO333" s="30">
        <f ca="1">IFERROR(__xludf.DUMMYFUNCTION("""COMPUTED_VALUE"""),44432)</f>
        <v>44432</v>
      </c>
      <c r="AP333" s="27">
        <f ca="1">IFERROR(__xludf.DUMMYFUNCTION("""COMPUTED_VALUE"""),13)</f>
        <v>13</v>
      </c>
      <c r="AQ333" s="27" t="str">
        <f ca="1">IFERROR(__xludf.DUMMYFUNCTION("""COMPUTED_VALUE"""),"Primeiro Semestre 2021")</f>
        <v>Primeiro Semestre 2021</v>
      </c>
      <c r="AR333" s="27" t="str">
        <f ca="1">IFERROR(__xludf.DUMMYFUNCTION("""COMPUTED_VALUE"""),"uelitonmr@hotmail.com")</f>
        <v>uelitonmr@hotmail.com</v>
      </c>
      <c r="AS333" s="27" t="str">
        <f ca="1">IFERROR(__xludf.DUMMYFUNCTION("""COMPUTED_VALUE"""),"(11)95979-0349")</f>
        <v>(11)95979-0349</v>
      </c>
      <c r="AT333" s="29">
        <f ca="1">IFERROR(__xludf.DUMMYFUNCTION("""COMPUTED_VALUE"""),31332)</f>
        <v>31332</v>
      </c>
      <c r="AU333" s="27">
        <f ca="1">IFERROR(__xludf.DUMMYFUNCTION("""COMPUTED_VALUE"""),37)</f>
        <v>37</v>
      </c>
      <c r="AV333" s="27">
        <f ca="1">IFERROR(__xludf.DUMMYFUNCTION("""COMPUTED_VALUE"""),33010096895)</f>
        <v>33010096895</v>
      </c>
      <c r="AW333" s="27">
        <f ca="1">IFERROR(__xludf.DUMMYFUNCTION("""COMPUTED_VALUE"""),443804366)</f>
        <v>443804366</v>
      </c>
      <c r="AX333" s="27" t="str">
        <f ca="1">IFERROR(__xludf.DUMMYFUNCTION("""COMPUTED_VALUE"""),"Psicologia")</f>
        <v>Psicologia</v>
      </c>
      <c r="AY333" s="27"/>
      <c r="AZ333" s="27" t="str">
        <f ca="1">IFERROR(__xludf.DUMMYFUNCTION("""COMPUTED_VALUE"""),"G")</f>
        <v>G</v>
      </c>
      <c r="BA333" s="27" t="str">
        <f ca="1">IFERROR(__xludf.DUMMYFUNCTION("""COMPUTED_VALUE"""),"Preta")</f>
        <v>Preta</v>
      </c>
      <c r="BB333" s="27"/>
      <c r="BC333" s="27" t="str">
        <f ca="1">IFERROR(__xludf.DUMMYFUNCTION("""COMPUTED_VALUE"""),"Sim")</f>
        <v>Sim</v>
      </c>
      <c r="BD333" s="27" t="str">
        <f ca="1">IFERROR(__xludf.DUMMYFUNCTION("""COMPUTED_VALUE"""),"Tenho 36 anos, sou Psicólogo. Desde a minha infância moro no distrito que nos anos 90 foi considerado o distrito mais violento do mundo pela ONU, Jardim Ângela, extremo Sul de São Paulo. Em 2017 fundei a ONG Instituto Ebenézer que atende pessoas em situaç"&amp;"ão de extrema vulnerabilidade social em seis favelas no Jardim Ângela. No ano de 2019 recebi o troféu Marco da Paz por ser um dos 30 jovens que destacaram em São Paulo em ações em prol da sociedade e que contribuíram para o alcance da paz.")</f>
        <v>Tenho 36 anos, sou Psicólogo. Desde a minha infância moro no distrito que nos anos 90 foi considerado o distrito mais violento do mundo pela ONU, Jardim Ângela, extremo Sul de São Paulo. Em 2017 fundei a ONG Instituto Ebenézer que atende pessoas em situação de extrema vulnerabilidade social em seis favelas no Jardim Ângela. No ano de 2019 recebi o troféu Marco da Paz por ser um dos 30 jovens que destacaram em São Paulo em ações em prol da sociedade e que contribuíram para o alcance da paz.</v>
      </c>
      <c r="BE333" s="27" t="str">
        <f ca="1">IFERROR(__xludf.DUMMYFUNCTION("""COMPUTED_VALUE"""),"Feminino")</f>
        <v>Feminino</v>
      </c>
      <c r="BF333" s="27" t="str">
        <f ca="1">IFERROR(__xludf.DUMMYFUNCTION("""COMPUTED_VALUE"""),"Bissexual")</f>
        <v>Bissexual</v>
      </c>
      <c r="BG333" s="27" t="str">
        <f ca="1">IFERROR(__xludf.DUMMYFUNCTION("""COMPUTED_VALUE"""),"Ensino Superior - Completo")</f>
        <v>Ensino Superior - Completo</v>
      </c>
      <c r="BH333" s="27"/>
      <c r="BI333" s="27" t="str">
        <f ca="1">IFERROR(__xludf.DUMMYFUNCTION("""COMPUTED_VALUE"""),"Graduação")</f>
        <v>Graduação</v>
      </c>
      <c r="BJ333" s="27" t="str">
        <f ca="1">IFERROR(__xludf.DUMMYFUNCTION("""COMPUTED_VALUE"""),"Privado")</f>
        <v>Privado</v>
      </c>
      <c r="BK333" s="27" t="str">
        <f ca="1">IFERROR(__xludf.DUMMYFUNCTION("""COMPUTED_VALUE"""),"Rua Antônio de Melo Freitas,")</f>
        <v>Rua Antônio de Melo Freitas,</v>
      </c>
      <c r="BL333" s="27">
        <f ca="1">IFERROR(__xludf.DUMMYFUNCTION("""COMPUTED_VALUE"""),85)</f>
        <v>85</v>
      </c>
      <c r="BM333" s="27"/>
      <c r="BN333" s="27" t="str">
        <f ca="1">IFERROR(__xludf.DUMMYFUNCTION("""COMPUTED_VALUE"""),"São Paulo")</f>
        <v>São Paulo</v>
      </c>
      <c r="BO333" s="27" t="str">
        <f ca="1">IFERROR(__xludf.DUMMYFUNCTION("""COMPUTED_VALUE"""),"05874-030")</f>
        <v>05874-030</v>
      </c>
      <c r="BP333" s="27" t="str">
        <f ca="1">IFERROR(__xludf.DUMMYFUNCTION("""COMPUTED_VALUE"""),"SP")</f>
        <v>SP</v>
      </c>
      <c r="BQ333" s="27" t="str">
        <f ca="1">IFERROR(__xludf.DUMMYFUNCTION("""COMPUTED_VALUE"""),"Entre 1 até 3 salários mínimos")</f>
        <v>Entre 1 até 3 salários mínimos</v>
      </c>
      <c r="BR333" s="27" t="str">
        <f ca="1">IFERROR(__xludf.DUMMYFUNCTION("""COMPUTED_VALUE"""),"CLT; Desempregado")</f>
        <v>CLT; Desempregado</v>
      </c>
      <c r="BS333" s="27" t="str">
        <f ca="1">IFERROR(__xludf.DUMMYFUNCTION("""COMPUTED_VALUE"""),"Aluguel")</f>
        <v>Aluguel</v>
      </c>
      <c r="BT333" s="27">
        <f ca="1">IFERROR(__xludf.DUMMYFUNCTION("""COMPUTED_VALUE"""),4)</f>
        <v>4</v>
      </c>
      <c r="BU333" s="27"/>
      <c r="BV333" s="27"/>
      <c r="BW333" s="21" t="str">
        <f ca="1">IFERROR(__xludf.DUMMYFUNCTION("""COMPUTED_VALUE"""),"https://www.linkedin.com/in/uelitonrocha")</f>
        <v>https://www.linkedin.com/in/uelitonrocha</v>
      </c>
      <c r="BX333" s="21" t="str">
        <f ca="1">IFERROR(__xludf.DUMMYFUNCTION("""COMPUTED_VALUE"""),"https://www.instagram.com/uelitonrochaoficial")</f>
        <v>https://www.instagram.com/uelitonrochaoficial</v>
      </c>
      <c r="BY333" s="21" t="str">
        <f ca="1">IFERROR(__xludf.DUMMYFUNCTION("""COMPUTED_VALUE"""),"https://drive.google.com/open?id=1AvS6wJ80UsYBqa4RUeBU_ww6Mb6VcdWw")</f>
        <v>https://drive.google.com/open?id=1AvS6wJ80UsYBqa4RUeBU_ww6Mb6VcdWw</v>
      </c>
    </row>
    <row r="334" spans="1:77" ht="12.5" x14ac:dyDescent="0.25">
      <c r="A334" s="21" t="str">
        <f ca="1">IFERROR(__xludf.DUMMYFUNCTION("""COMPUTED_VALUE"""),"0014X00002VKCq0QAH")</f>
        <v>0014X00002VKCq0QAH</v>
      </c>
      <c r="B334" s="27" t="str">
        <f ca="1">IFERROR(__xludf.DUMMYFUNCTION("""COMPUTED_VALUE"""),"Fase Inicial")</f>
        <v>Fase Inicial</v>
      </c>
      <c r="C334" s="27" t="str">
        <f ca="1">IFERROR(__xludf.DUMMYFUNCTION("""COMPUTED_VALUE"""),"Fellow")</f>
        <v>Fellow</v>
      </c>
      <c r="D334" s="27" t="str">
        <f ca="1">IFERROR(__xludf.DUMMYFUNCTION("""COMPUTED_VALUE"""),"Ativo")</f>
        <v>Ativo</v>
      </c>
      <c r="E334" s="27" t="str">
        <f ca="1">IFERROR(__xludf.DUMMYFUNCTION("""COMPUTED_VALUE"""),"INSTITUTO DE DESENVOLVIMENTO ARTÍSTICO E CULTURAL DO CEARÁ")</f>
        <v>INSTITUTO DE DESENVOLVIMENTO ARTÍSTICO E CULTURAL DO CEARÁ</v>
      </c>
      <c r="F334" s="27" t="str">
        <f ca="1">IFERROR(__xludf.DUMMYFUNCTION("""COMPUTED_VALUE"""),"Gleyson")</f>
        <v>Gleyson</v>
      </c>
      <c r="G334" s="27" t="str">
        <f ca="1">IFERROR(__xludf.DUMMYFUNCTION("""COMPUTED_VALUE"""),"INSTITUTO INDACE")</f>
        <v>INSTITUTO INDACE</v>
      </c>
      <c r="H334" s="27" t="str">
        <f ca="1">IFERROR(__xludf.DUMMYFUNCTION("""COMPUTED_VALUE"""),"13.880.144/0001-21")</f>
        <v>13.880.144/0001-21</v>
      </c>
      <c r="I334" s="27" t="str">
        <f ca="1">IFERROR(__xludf.DUMMYFUNCTION("""COMPUTED_VALUE"""),"LEIDIANE SILVA SAMPAIO")</f>
        <v>LEIDIANE SILVA SAMPAIO</v>
      </c>
      <c r="J334" s="27" t="str">
        <f ca="1">IFERROR(__xludf.DUMMYFUNCTION("""COMPUTED_VALUE"""),"institutoindace@gmail.com")</f>
        <v>institutoindace@gmail.com</v>
      </c>
      <c r="K334" s="27" t="str">
        <f ca="1">IFERROR(__xludf.DUMMYFUNCTION("""COMPUTED_VALUE"""),"(85)4101-0516")</f>
        <v>(85)4101-0516</v>
      </c>
      <c r="L334" s="27" t="str">
        <f ca="1">IFERROR(__xludf.DUMMYFUNCTION("""COMPUTED_VALUE"""),"CE")</f>
        <v>CE</v>
      </c>
      <c r="M334" s="27" t="str">
        <f ca="1">IFERROR(__xludf.DUMMYFUNCTION("""COMPUTED_VALUE"""),"IPU")</f>
        <v>IPU</v>
      </c>
      <c r="N334" s="27" t="str">
        <f ca="1">IFERROR(__xludf.DUMMYFUNCTION("""COMPUTED_VALUE"""),"TABAPUA BRASILIA")</f>
        <v>TABAPUA BRASILIA</v>
      </c>
      <c r="O334" s="27" t="str">
        <f ca="1">IFERROR(__xludf.DUMMYFUNCTION("""COMPUTED_VALUE"""),"s/n")</f>
        <v>s/n</v>
      </c>
      <c r="P334" s="27" t="str">
        <f ca="1">IFERROR(__xludf.DUMMYFUNCTION("""COMPUTED_VALUE"""),"Caucaia")</f>
        <v>Caucaia</v>
      </c>
      <c r="Q334" s="27" t="str">
        <f ca="1">IFERROR(__xludf.DUMMYFUNCTION("""COMPUTED_VALUE"""),"LOTE 08 QUADRA 57")</f>
        <v>LOTE 08 QUADRA 57</v>
      </c>
      <c r="R334" s="27" t="str">
        <f ca="1">IFERROR(__xludf.DUMMYFUNCTION("""COMPUTED_VALUE"""),"61634-210")</f>
        <v>61634-210</v>
      </c>
      <c r="S334" s="27"/>
      <c r="T334" s="27"/>
      <c r="U334" s="27" t="str">
        <f ca="1">IFERROR(__xludf.DUMMYFUNCTION("""COMPUTED_VALUE"""),"Crianças (6 a 12 anos), Adolescentes (12 aos 18 anos), Jovens (18 aos 24 anos), Adultos")</f>
        <v>Crianças (6 a 12 anos), Adolescentes (12 aos 18 anos), Jovens (18 aos 24 anos), Adultos</v>
      </c>
      <c r="V334" s="27" t="str">
        <f ca="1">IFERROR(__xludf.DUMMYFUNCTION("""COMPUTED_VALUE"""),"Moradores de Favelas, População LGBTQ+, Povos Indígenas, Pessoas com Deficiência")</f>
        <v>Moradores de Favelas, População LGBTQ+, Povos Indígenas, Pessoas com Deficiência</v>
      </c>
      <c r="W334" s="27">
        <f ca="1">IFERROR(__xludf.DUMMYFUNCTION("""COMPUTED_VALUE"""),5)</f>
        <v>5</v>
      </c>
      <c r="X334" s="27"/>
      <c r="Y334" s="27"/>
      <c r="Z334" s="27">
        <f ca="1">IFERROR(__xludf.DUMMYFUNCTION("""COMPUTED_VALUE"""),120)</f>
        <v>120</v>
      </c>
      <c r="AA334" s="30">
        <f ca="1">IFERROR(__xludf.DUMMYFUNCTION("""COMPUTED_VALUE"""),40714)</f>
        <v>40714</v>
      </c>
      <c r="AB334" s="27" t="str">
        <f ca="1">IFERROR(__xludf.DUMMYFUNCTION("""COMPUTED_VALUE"""),"Sim")</f>
        <v>Sim</v>
      </c>
      <c r="AC334" s="27">
        <f ca="1">IFERROR(__xludf.DUMMYFUNCTION("""COMPUTED_VALUE"""),2)</f>
        <v>2</v>
      </c>
      <c r="AD334" s="27">
        <f ca="1">IFERROR(__xludf.DUMMYFUNCTION("""COMPUTED_VALUE"""),2)</f>
        <v>2</v>
      </c>
      <c r="AE334" s="27">
        <f ca="1">IFERROR(__xludf.DUMMYFUNCTION("""COMPUTED_VALUE"""),2)</f>
        <v>2</v>
      </c>
      <c r="AF334" s="27">
        <f ca="1">IFERROR(__xludf.DUMMYFUNCTION("""COMPUTED_VALUE"""),1)</f>
        <v>1</v>
      </c>
      <c r="AG334" s="27">
        <f ca="1">IFERROR(__xludf.DUMMYFUNCTION("""COMPUTED_VALUE"""),3)</f>
        <v>3</v>
      </c>
      <c r="AH334" s="27" t="str">
        <f ca="1">IFERROR(__xludf.DUMMYFUNCTION("""COMPUTED_VALUE"""),"Editais, Doações, Lei Estadual da Cultura")</f>
        <v>Editais, Doações, Lei Estadual da Cultura</v>
      </c>
      <c r="AI334" s="27" t="str">
        <f ca="1">IFERROR(__xludf.DUMMYFUNCTION("""COMPUTED_VALUE"""),"25% Lei Estadual da Cultura, 65% Editais Públicos, 10% doações")</f>
        <v>25% Lei Estadual da Cultura, 65% Editais Públicos, 10% doações</v>
      </c>
      <c r="AJ334" s="27" t="str">
        <f ca="1">IFERROR(__xludf.DUMMYFUNCTION("""COMPUTED_VALUE"""),"Vamos iniciar esse ano")</f>
        <v>Vamos iniciar esse ano</v>
      </c>
      <c r="AK334" s="27"/>
      <c r="AL334" s="21" t="str">
        <f ca="1">IFERROR(__xludf.DUMMYFUNCTION("""COMPUTED_VALUE"""),"0034X0000380O5i")</f>
        <v>0034X0000380O5i</v>
      </c>
      <c r="AM334" s="27" t="str">
        <f ca="1">IFERROR(__xludf.DUMMYFUNCTION("""COMPUTED_VALUE"""),"Anderson oliveira pereira")</f>
        <v>Anderson oliveira pereira</v>
      </c>
      <c r="AN334" s="27" t="str">
        <f ca="1">IFERROR(__xludf.DUMMYFUNCTION("""COMPUTED_VALUE"""),"Ativo")</f>
        <v>Ativo</v>
      </c>
      <c r="AO334" s="27"/>
      <c r="AP334" s="27"/>
      <c r="AQ334" s="27" t="str">
        <f ca="1">IFERROR(__xludf.DUMMYFUNCTION("""COMPUTED_VALUE"""),"Primeiro Semestre 2022")</f>
        <v>Primeiro Semestre 2022</v>
      </c>
      <c r="AR334" s="27" t="str">
        <f ca="1">IFERROR(__xludf.DUMMYFUNCTION("""COMPUTED_VALUE"""),"gleysonprodutor23@gmail.com")</f>
        <v>gleysonprodutor23@gmail.com</v>
      </c>
      <c r="AS334" s="27" t="str">
        <f ca="1">IFERROR(__xludf.DUMMYFUNCTION("""COMPUTED_VALUE"""),"(85)99613-3820")</f>
        <v>(85)99613-3820</v>
      </c>
      <c r="AT334" s="30">
        <f ca="1">IFERROR(__xludf.DUMMYFUNCTION("""COMPUTED_VALUE"""),32774)</f>
        <v>32774</v>
      </c>
      <c r="AU334" s="27">
        <f ca="1">IFERROR(__xludf.DUMMYFUNCTION("""COMPUTED_VALUE"""),33)</f>
        <v>33</v>
      </c>
      <c r="AV334" s="27">
        <f ca="1">IFERROR(__xludf.DUMMYFUNCTION("""COMPUTED_VALUE"""),3571536347)</f>
        <v>3571536347</v>
      </c>
      <c r="AW334" s="27">
        <f ca="1">IFERROR(__xludf.DUMMYFUNCTION("""COMPUTED_VALUE"""),2003009063361)</f>
        <v>2003009063361</v>
      </c>
      <c r="AX334" s="27"/>
      <c r="AY334" s="27" t="str">
        <f ca="1">IFERROR(__xludf.DUMMYFUNCTION("""COMPUTED_VALUE"""),"Diretor de Projetos")</f>
        <v>Diretor de Projetos</v>
      </c>
      <c r="AZ334" s="27" t="str">
        <f ca="1">IFERROR(__xludf.DUMMYFUNCTION("""COMPUTED_VALUE"""),"M")</f>
        <v>M</v>
      </c>
      <c r="BA334" s="27" t="str">
        <f ca="1">IFERROR(__xludf.DUMMYFUNCTION("""COMPUTED_VALUE"""),"Parda")</f>
        <v>Parda</v>
      </c>
      <c r="BB334" s="27"/>
      <c r="BC334" s="27"/>
      <c r="BD334" s="27" t="str">
        <f ca="1">IFERROR(__xludf.DUMMYFUNCTION("""COMPUTED_VALUE"""),"Graduado em Gestão Pública pelo Centro Universitário Estácio, MBA em gestão de projetos pela USP - Universidade de São Paulo, produtor cultural há mais de 13 anos.")</f>
        <v>Graduado em Gestão Pública pelo Centro Universitário Estácio, MBA em gestão de projetos pela USP - Universidade de São Paulo, produtor cultural há mais de 13 anos.</v>
      </c>
      <c r="BE334" s="27" t="str">
        <f ca="1">IFERROR(__xludf.DUMMYFUNCTION("""COMPUTED_VALUE"""),"Homem, cisgênero")</f>
        <v>Homem, cisgênero</v>
      </c>
      <c r="BF334" s="27" t="str">
        <f ca="1">IFERROR(__xludf.DUMMYFUNCTION("""COMPUTED_VALUE"""),"Heterossexual")</f>
        <v>Heterossexual</v>
      </c>
      <c r="BG334" s="27" t="str">
        <f ca="1">IFERROR(__xludf.DUMMYFUNCTION("""COMPUTED_VALUE"""),"Ensino Superior - Completo")</f>
        <v>Ensino Superior - Completo</v>
      </c>
      <c r="BH334" s="27" t="str">
        <f ca="1">IFERROR(__xludf.DUMMYFUNCTION("""COMPUTED_VALUE"""),"Público")</f>
        <v>Público</v>
      </c>
      <c r="BI334" s="27" t="str">
        <f ca="1">IFERROR(__xludf.DUMMYFUNCTION("""COMPUTED_VALUE"""),"Pós-Graduação")</f>
        <v>Pós-Graduação</v>
      </c>
      <c r="BJ334" s="27" t="str">
        <f ca="1">IFERROR(__xludf.DUMMYFUNCTION("""COMPUTED_VALUE"""),"Privado")</f>
        <v>Privado</v>
      </c>
      <c r="BK334" s="27" t="str">
        <f ca="1">IFERROR(__xludf.DUMMYFUNCTION("""COMPUTED_VALUE"""),"IPU")</f>
        <v>IPU</v>
      </c>
      <c r="BL334" s="27">
        <f ca="1">IFERROR(__xludf.DUMMYFUNCTION("""COMPUTED_VALUE"""),2013)</f>
        <v>2013</v>
      </c>
      <c r="BM334" s="27"/>
      <c r="BN334" s="27" t="str">
        <f ca="1">IFERROR(__xludf.DUMMYFUNCTION("""COMPUTED_VALUE"""),"CAUCAIA")</f>
        <v>CAUCAIA</v>
      </c>
      <c r="BO334" s="27" t="str">
        <f ca="1">IFERROR(__xludf.DUMMYFUNCTION("""COMPUTED_VALUE"""),"61634-210")</f>
        <v>61634-210</v>
      </c>
      <c r="BP334" s="27" t="str">
        <f ca="1">IFERROR(__xludf.DUMMYFUNCTION("""COMPUTED_VALUE"""),"CE")</f>
        <v>CE</v>
      </c>
      <c r="BQ334" s="27" t="str">
        <f ca="1">IFERROR(__xludf.DUMMYFUNCTION("""COMPUTED_VALUE"""),"De 3 até 5 salários mínimos")</f>
        <v>De 3 até 5 salários mínimos</v>
      </c>
      <c r="BR334" s="27" t="str">
        <f ca="1">IFERROR(__xludf.DUMMYFUNCTION("""COMPUTED_VALUE"""),"MEI")</f>
        <v>MEI</v>
      </c>
      <c r="BS334" s="27" t="str">
        <f ca="1">IFERROR(__xludf.DUMMYFUNCTION("""COMPUTED_VALUE"""),"Casa própria")</f>
        <v>Casa própria</v>
      </c>
      <c r="BT334" s="27">
        <f ca="1">IFERROR(__xludf.DUMMYFUNCTION("""COMPUTED_VALUE"""),2)</f>
        <v>2</v>
      </c>
      <c r="BU334" s="27" t="str">
        <f ca="1">IFERROR(__xludf.DUMMYFUNCTION("""COMPUTED_VALUE"""),"Não tem")</f>
        <v>Não tem</v>
      </c>
      <c r="BV334" s="27" t="str">
        <f ca="1">IFERROR(__xludf.DUMMYFUNCTION("""COMPUTED_VALUE"""),"Não")</f>
        <v>Não</v>
      </c>
      <c r="BW334" s="27"/>
      <c r="BX334" s="21" t="str">
        <f ca="1">IFERROR(__xludf.DUMMYFUNCTION("""COMPUTED_VALUE"""),"https://www.instagram.com/gleysonanderson23/")</f>
        <v>https://www.instagram.com/gleysonanderson23/</v>
      </c>
      <c r="BY334" s="21" t="str">
        <f ca="1">IFERROR(__xludf.DUMMYFUNCTION("""COMPUTED_VALUE"""),"https://drive.google.com/open?id=10xPON_uVNHGixJz7F7l-m8L-x7YfCs_N")</f>
        <v>https://drive.google.com/open?id=10xPON_uVNHGixJz7F7l-m8L-x7YfCs_N</v>
      </c>
    </row>
    <row r="335" spans="1:77" ht="12.5" hidden="1" x14ac:dyDescent="0.25">
      <c r="A335" s="21" t="str">
        <f ca="1">IFERROR(__xludf.DUMMYFUNCTION("""COMPUTED_VALUE"""),"0014X00002VKCpCQAX")</f>
        <v>0014X00002VKCpCQAX</v>
      </c>
      <c r="B335" s="27" t="str">
        <f ca="1">IFERROR(__xludf.DUMMYFUNCTION("""COMPUTED_VALUE"""),"Fase Inicial")</f>
        <v>Fase Inicial</v>
      </c>
      <c r="C335" s="27" t="str">
        <f ca="1">IFERROR(__xludf.DUMMYFUNCTION("""COMPUTED_VALUE"""),"Fellow")</f>
        <v>Fellow</v>
      </c>
      <c r="D335" s="27" t="str">
        <f ca="1">IFERROR(__xludf.DUMMYFUNCTION("""COMPUTED_VALUE"""),"Ativo")</f>
        <v>Ativo</v>
      </c>
      <c r="E335" s="27" t="str">
        <f ca="1">IFERROR(__xludf.DUMMYFUNCTION("""COMPUTED_VALUE"""),"Instituto de Desenvolvimento e Proteção Social")</f>
        <v>Instituto de Desenvolvimento e Proteção Social</v>
      </c>
      <c r="F335" s="27" t="str">
        <f ca="1">IFERROR(__xludf.DUMMYFUNCTION("""COMPUTED_VALUE"""),"EDVALDO")</f>
        <v>EDVALDO</v>
      </c>
      <c r="G335" s="27" t="str">
        <f ca="1">IFERROR(__xludf.DUMMYFUNCTION("""COMPUTED_VALUE"""),"INSTITUTO ACUDIR")</f>
        <v>INSTITUTO ACUDIR</v>
      </c>
      <c r="H335" s="27" t="str">
        <f ca="1">IFERROR(__xludf.DUMMYFUNCTION("""COMPUTED_VALUE"""),"42.918.520/0001-28")</f>
        <v>42.918.520/0001-28</v>
      </c>
      <c r="I335" s="27" t="str">
        <f ca="1">IFERROR(__xludf.DUMMYFUNCTION("""COMPUTED_VALUE"""),"EDVALDO CARLOS DE SAO PEDRO")</f>
        <v>EDVALDO CARLOS DE SAO PEDRO</v>
      </c>
      <c r="J335" s="27" t="str">
        <f ca="1">IFERROR(__xludf.DUMMYFUNCTION("""COMPUTED_VALUE"""),"institutoacudir@hotmail.com")</f>
        <v>institutoacudir@hotmail.com</v>
      </c>
      <c r="K335" s="27" t="str">
        <f ca="1">IFERROR(__xludf.DUMMYFUNCTION("""COMPUTED_VALUE"""),"(82)99444-1089")</f>
        <v>(82)99444-1089</v>
      </c>
      <c r="L335" s="27" t="str">
        <f ca="1">IFERROR(__xludf.DUMMYFUNCTION("""COMPUTED_VALUE"""),"AL")</f>
        <v>AL</v>
      </c>
      <c r="M335" s="27" t="str">
        <f ca="1">IFERROR(__xludf.DUMMYFUNCTION("""COMPUTED_VALUE"""),"Quadra 04")</f>
        <v>Quadra 04</v>
      </c>
      <c r="N335" s="27" t="str">
        <f ca="1">IFERROR(__xludf.DUMMYFUNCTION("""COMPUTED_VALUE"""),"Benedito Bentes II")</f>
        <v>Benedito Bentes II</v>
      </c>
      <c r="O335" s="27">
        <f ca="1">IFERROR(__xludf.DUMMYFUNCTION("""COMPUTED_VALUE"""),1)</f>
        <v>1</v>
      </c>
      <c r="P335" s="27" t="str">
        <f ca="1">IFERROR(__xludf.DUMMYFUNCTION("""COMPUTED_VALUE"""),"Maceió")</f>
        <v>Maceió</v>
      </c>
      <c r="Q335" s="27" t="str">
        <f ca="1">IFERROR(__xludf.DUMMYFUNCTION("""COMPUTED_VALUE"""),"Cj. Luiz Renato de Paiva Lima")</f>
        <v>Cj. Luiz Renato de Paiva Lima</v>
      </c>
      <c r="R335" s="27" t="str">
        <f ca="1">IFERROR(__xludf.DUMMYFUNCTION("""COMPUTED_VALUE"""),"57085-075")</f>
        <v>57085-075</v>
      </c>
      <c r="S335" s="27" t="str">
        <f ca="1">IFERROR(__xludf.DUMMYFUNCTION("""COMPUTED_VALUE"""),"Escola Municipal Benedita da Silva")</f>
        <v>Escola Municipal Benedita da Silva</v>
      </c>
      <c r="T335" s="27" t="str">
        <f ca="1">IFERROR(__xludf.DUMMYFUNCTION("""COMPUTED_VALUE"""),"Educação; Assistência Social; Cultura; Defesa de Direitos; Desenvolvimento comunitário")</f>
        <v>Educação; Assistência Social; Cultura; Defesa de Direitos; Desenvolvimento comunitário</v>
      </c>
      <c r="U335" s="27" t="str">
        <f ca="1">IFERROR(__xludf.DUMMYFUNCTION("""COMPUTED_VALUE"""),"Adolescentes (12 aos 18 anos), Jovens (18 aos 24 anos), Adultos, Idosos (60 anos ou mais)")</f>
        <v>Adolescentes (12 aos 18 anos), Jovens (18 aos 24 anos), Adultos, Idosos (60 anos ou mais)</v>
      </c>
      <c r="V335" s="27" t="str">
        <f ca="1">IFERROR(__xludf.DUMMYFUNCTION("""COMPUTED_VALUE"""),"Moradores de Favelas, Afrodescendentes, Outros")</f>
        <v>Moradores de Favelas, Afrodescendentes, Outros</v>
      </c>
      <c r="W335" s="27">
        <f ca="1">IFERROR(__xludf.DUMMYFUNCTION("""COMPUTED_VALUE"""),3)</f>
        <v>3</v>
      </c>
      <c r="X335" s="27" t="str">
        <f ca="1">IFERROR(__xludf.DUMMYFUNCTION("""COMPUTED_VALUE"""),"Serviços socioassistenciais de atenção a comunidade* às crianças* adolescentes* jovens* as mulheres* idosos e às suas famílias* que se encontrem em situação de vulnerabilidade social.")</f>
        <v>Serviços socioassistenciais de atenção a comunidade* às crianças* adolescentes* jovens* as mulheres* idosos e às suas famílias* que se encontrem em situação de vulnerabilidade social.</v>
      </c>
      <c r="Y335" s="27"/>
      <c r="Z335" s="27">
        <f ca="1">IFERROR(__xludf.DUMMYFUNCTION("""COMPUTED_VALUE"""),200)</f>
        <v>200</v>
      </c>
      <c r="AA335" s="29">
        <f ca="1">IFERROR(__xludf.DUMMYFUNCTION("""COMPUTED_VALUE"""),44359)</f>
        <v>44359</v>
      </c>
      <c r="AB335" s="27" t="str">
        <f ca="1">IFERROR(__xludf.DUMMYFUNCTION("""COMPUTED_VALUE"""),"Sim")</f>
        <v>Sim</v>
      </c>
      <c r="AC335" s="27">
        <f ca="1">IFERROR(__xludf.DUMMYFUNCTION("""COMPUTED_VALUE"""),0)</f>
        <v>0</v>
      </c>
      <c r="AD335" s="27">
        <f ca="1">IFERROR(__xludf.DUMMYFUNCTION("""COMPUTED_VALUE"""),5)</f>
        <v>5</v>
      </c>
      <c r="AE335" s="27">
        <f ca="1">IFERROR(__xludf.DUMMYFUNCTION("""COMPUTED_VALUE"""),10)</f>
        <v>10</v>
      </c>
      <c r="AF335" s="27">
        <f ca="1">IFERROR(__xludf.DUMMYFUNCTION("""COMPUTED_VALUE"""),5)</f>
        <v>5</v>
      </c>
      <c r="AG335" s="27">
        <f ca="1">IFERROR(__xludf.DUMMYFUNCTION("""COMPUTED_VALUE"""),2)</f>
        <v>2</v>
      </c>
      <c r="AH335" s="27" t="str">
        <f ca="1">IFERROR(__xludf.DUMMYFUNCTION("""COMPUTED_VALUE"""),"Outro(s), Recursos próprios")</f>
        <v>Outro(s), Recursos próprios</v>
      </c>
      <c r="AI335" s="27">
        <f ca="1">IFERROR(__xludf.DUMMYFUNCTION("""COMPUTED_VALUE"""),0)</f>
        <v>0</v>
      </c>
      <c r="AJ335" s="27" t="str">
        <f ca="1">IFERROR(__xludf.DUMMYFUNCTION("""COMPUTED_VALUE"""),"Não")</f>
        <v>Não</v>
      </c>
      <c r="AK335" s="27"/>
      <c r="AL335" s="21" t="str">
        <f ca="1">IFERROR(__xludf.DUMMYFUNCTION("""COMPUTED_VALUE"""),"0034X0000380O5E")</f>
        <v>0034X0000380O5E</v>
      </c>
      <c r="AM335" s="27" t="str">
        <f ca="1">IFERROR(__xludf.DUMMYFUNCTION("""COMPUTED_VALUE"""),"Carlos de são pedro")</f>
        <v>Carlos de são pedro</v>
      </c>
      <c r="AN335" s="27" t="str">
        <f ca="1">IFERROR(__xludf.DUMMYFUNCTION("""COMPUTED_VALUE"""),"Ativo")</f>
        <v>Ativo</v>
      </c>
      <c r="AO335" s="29">
        <f ca="1">IFERROR(__xludf.DUMMYFUNCTION("""COMPUTED_VALUE"""),44763)</f>
        <v>44763</v>
      </c>
      <c r="AP335" s="27">
        <f ca="1">IFERROR(__xludf.DUMMYFUNCTION("""COMPUTED_VALUE"""),2)</f>
        <v>2</v>
      </c>
      <c r="AQ335" s="27" t="str">
        <f ca="1">IFERROR(__xludf.DUMMYFUNCTION("""COMPUTED_VALUE"""),"Primeiro Semestre 2022")</f>
        <v>Primeiro Semestre 2022</v>
      </c>
      <c r="AR335" s="27" t="str">
        <f ca="1">IFERROR(__xludf.DUMMYFUNCTION("""COMPUTED_VALUE"""),"edvaldocarlospdt@gmail.com")</f>
        <v>edvaldocarlospdt@gmail.com</v>
      </c>
      <c r="AS335" s="27" t="str">
        <f ca="1">IFERROR(__xludf.DUMMYFUNCTION("""COMPUTED_VALUE"""),"(82)98711-9298")</f>
        <v>(82)98711-9298</v>
      </c>
      <c r="AT335" s="29">
        <f ca="1">IFERROR(__xludf.DUMMYFUNCTION("""COMPUTED_VALUE"""),26555)</f>
        <v>26555</v>
      </c>
      <c r="AU335" s="27">
        <f ca="1">IFERROR(__xludf.DUMMYFUNCTION("""COMPUTED_VALUE"""),50)</f>
        <v>50</v>
      </c>
      <c r="AV335" s="27">
        <f ca="1">IFERROR(__xludf.DUMMYFUNCTION("""COMPUTED_VALUE"""),86028430463)</f>
        <v>86028430463</v>
      </c>
      <c r="AW335" s="27">
        <f ca="1">IFERROR(__xludf.DUMMYFUNCTION("""COMPUTED_VALUE"""),1210326)</f>
        <v>1210326</v>
      </c>
      <c r="AX335" s="27"/>
      <c r="AY335" s="27" t="str">
        <f ca="1">IFERROR(__xludf.DUMMYFUNCTION("""COMPUTED_VALUE"""),"Presidente")</f>
        <v>Presidente</v>
      </c>
      <c r="AZ335" s="27" t="str">
        <f ca="1">IFERROR(__xludf.DUMMYFUNCTION("""COMPUTED_VALUE"""),"M")</f>
        <v>M</v>
      </c>
      <c r="BA335" s="27" t="str">
        <f ca="1">IFERROR(__xludf.DUMMYFUNCTION("""COMPUTED_VALUE"""),"Preta")</f>
        <v>Preta</v>
      </c>
      <c r="BB335" s="27"/>
      <c r="BC335" s="27"/>
      <c r="BD335" s="27" t="str">
        <f ca="1">IFERROR(__xludf.DUMMYFUNCTION("""COMPUTED_VALUE"""),"Tenho 49 anos de idade, sou Natural do municipio de Arapiraca/AL, filho de agricultores,  convivo em união estável, sou pai de 03 filhos e hoje com 5 netos. Exerci a profissão de Vigilante e Agente de Saúde, sou Servidor Público no municipio da Barra de S"&amp;"ão Miguel (estou licenciado), assumi diversas funções públicas. Minha Formação é de nível Superior em Gestão de Recursos Humanos, com pós graduação em Psicologia Organizacional e do Trabalho e MBA em Segurança Pública e Privada.")</f>
        <v>Tenho 49 anos de idade, sou Natural do municipio de Arapiraca/AL, filho de agricultores,  convivo em união estável, sou pai de 03 filhos e hoje com 5 netos. Exerci a profissão de Vigilante e Agente de Saúde, sou Servidor Público no municipio da Barra de São Miguel (estou licenciado), assumi diversas funções públicas. Minha Formação é de nível Superior em Gestão de Recursos Humanos, com pós graduação em Psicologia Organizacional e do Trabalho e MBA em Segurança Pública e Privada.</v>
      </c>
      <c r="BE335" s="27" t="str">
        <f ca="1">IFERROR(__xludf.DUMMYFUNCTION("""COMPUTED_VALUE"""),"Homem, cisgênero")</f>
        <v>Homem, cisgênero</v>
      </c>
      <c r="BF335" s="27" t="str">
        <f ca="1">IFERROR(__xludf.DUMMYFUNCTION("""COMPUTED_VALUE"""),"Heterossexual")</f>
        <v>Heterossexual</v>
      </c>
      <c r="BG335" s="27" t="str">
        <f ca="1">IFERROR(__xludf.DUMMYFUNCTION("""COMPUTED_VALUE"""),"Ensino Superior - Completo")</f>
        <v>Ensino Superior - Completo</v>
      </c>
      <c r="BH335" s="27" t="str">
        <f ca="1">IFERROR(__xludf.DUMMYFUNCTION("""COMPUTED_VALUE"""),"Público")</f>
        <v>Público</v>
      </c>
      <c r="BI335" s="27" t="str">
        <f ca="1">IFERROR(__xludf.DUMMYFUNCTION("""COMPUTED_VALUE"""),"Pós-Graduação")</f>
        <v>Pós-Graduação</v>
      </c>
      <c r="BJ335" s="27" t="str">
        <f ca="1">IFERROR(__xludf.DUMMYFUNCTION("""COMPUTED_VALUE"""),"Privado")</f>
        <v>Privado</v>
      </c>
      <c r="BK335" s="27" t="str">
        <f ca="1">IFERROR(__xludf.DUMMYFUNCTION("""COMPUTED_VALUE"""),"Quadra AF")</f>
        <v>Quadra AF</v>
      </c>
      <c r="BL335" s="27">
        <f ca="1">IFERROR(__xludf.DUMMYFUNCTION("""COMPUTED_VALUE"""),8)</f>
        <v>8</v>
      </c>
      <c r="BM335" s="27" t="str">
        <f ca="1">IFERROR(__xludf.DUMMYFUNCTION("""COMPUTED_VALUE"""),"Cj. Cidade Sorriso I")</f>
        <v>Cj. Cidade Sorriso I</v>
      </c>
      <c r="BN335" s="27" t="str">
        <f ca="1">IFERROR(__xludf.DUMMYFUNCTION("""COMPUTED_VALUE"""),"Maceió")</f>
        <v>Maceió</v>
      </c>
      <c r="BO335" s="27" t="str">
        <f ca="1">IFERROR(__xludf.DUMMYFUNCTION("""COMPUTED_VALUE"""),"57086-056")</f>
        <v>57086-056</v>
      </c>
      <c r="BP335" s="27" t="str">
        <f ca="1">IFERROR(__xludf.DUMMYFUNCTION("""COMPUTED_VALUE"""),"AL")</f>
        <v>AL</v>
      </c>
      <c r="BQ335" s="27" t="str">
        <f ca="1">IFERROR(__xludf.DUMMYFUNCTION("""COMPUTED_VALUE"""),"Entre 1 até 3 salários mínimos")</f>
        <v>Entre 1 até 3 salários mínimos</v>
      </c>
      <c r="BR335" s="27" t="str">
        <f ca="1">IFERROR(__xludf.DUMMYFUNCTION("""COMPUTED_VALUE"""),"Funcionário Público")</f>
        <v>Funcionário Público</v>
      </c>
      <c r="BS335" s="27" t="str">
        <f ca="1">IFERROR(__xludf.DUMMYFUNCTION("""COMPUTED_VALUE"""),"Casa própria")</f>
        <v>Casa própria</v>
      </c>
      <c r="BT335" s="27">
        <f ca="1">IFERROR(__xludf.DUMMYFUNCTION("""COMPUTED_VALUE"""),3)</f>
        <v>3</v>
      </c>
      <c r="BU335" s="27" t="str">
        <f ca="1">IFERROR(__xludf.DUMMYFUNCTION("""COMPUTED_VALUE"""),"Não tem")</f>
        <v>Não tem</v>
      </c>
      <c r="BV335" s="27" t="str">
        <f ca="1">IFERROR(__xludf.DUMMYFUNCTION("""COMPUTED_VALUE"""),"Não")</f>
        <v>Não</v>
      </c>
      <c r="BW335" s="27" t="str">
        <f ca="1">IFERROR(__xludf.DUMMYFUNCTION("""COMPUTED_VALUE"""),"edvaldo carlos")</f>
        <v>edvaldo carlos</v>
      </c>
      <c r="BX335" s="27" t="str">
        <f ca="1">IFERROR(__xludf.DUMMYFUNCTION("""COMPUTED_VALUE"""),"edvaldo.carlos.16")</f>
        <v>edvaldo.carlos.16</v>
      </c>
      <c r="BY335" s="21" t="str">
        <f ca="1">IFERROR(__xludf.DUMMYFUNCTION("""COMPUTED_VALUE"""),"https://drive.google.com/open?id=12EIlbhwv7Oh6PfQRBXXbGRUSfhmHsmCb")</f>
        <v>https://drive.google.com/open?id=12EIlbhwv7Oh6PfQRBXXbGRUSfhmHsmCb</v>
      </c>
    </row>
    <row r="336" spans="1:77" ht="12.5" hidden="1" x14ac:dyDescent="0.25">
      <c r="A336" s="21" t="str">
        <f ca="1">IFERROR(__xludf.DUMMYFUNCTION("""COMPUTED_VALUE"""),"0014X00002VKCuNQAX")</f>
        <v>0014X00002VKCuNQAX</v>
      </c>
      <c r="B336" s="27" t="str">
        <f ca="1">IFERROR(__xludf.DUMMYFUNCTION("""COMPUTED_VALUE"""),"Fase Inicial")</f>
        <v>Fase Inicial</v>
      </c>
      <c r="C336" s="27" t="str">
        <f ca="1">IFERROR(__xludf.DUMMYFUNCTION("""COMPUTED_VALUE"""),"Fellow")</f>
        <v>Fellow</v>
      </c>
      <c r="D336" s="27" t="str">
        <f ca="1">IFERROR(__xludf.DUMMYFUNCTION("""COMPUTED_VALUE"""),"Ativo")</f>
        <v>Ativo</v>
      </c>
      <c r="E336" s="27" t="str">
        <f ca="1">IFERROR(__xludf.DUMMYFUNCTION("""COMPUTED_VALUE"""),"Instituto de desenvolvimento esportivo* social e cultural Impactando Gerações")</f>
        <v>Instituto de desenvolvimento esportivo* social e cultural Impactando Gerações</v>
      </c>
      <c r="F336" s="27" t="str">
        <f ca="1">IFERROR(__xludf.DUMMYFUNCTION("""COMPUTED_VALUE"""),"Anderson")</f>
        <v>Anderson</v>
      </c>
      <c r="G336" s="27" t="str">
        <f ca="1">IFERROR(__xludf.DUMMYFUNCTION("""COMPUTED_VALUE"""),"INSTITUTO IMPACTANDO GERAÇÕES")</f>
        <v>INSTITUTO IMPACTANDO GERAÇÕES</v>
      </c>
      <c r="H336" s="27" t="str">
        <f ca="1">IFERROR(__xludf.DUMMYFUNCTION("""COMPUTED_VALUE"""),"35.618.632/0001-06")</f>
        <v>35.618.632/0001-06</v>
      </c>
      <c r="I336" s="27" t="str">
        <f ca="1">IFERROR(__xludf.DUMMYFUNCTION("""COMPUTED_VALUE"""),"Anderson Rugel Vaz")</f>
        <v>Anderson Rugel Vaz</v>
      </c>
      <c r="J336" s="27" t="str">
        <f ca="1">IFERROR(__xludf.DUMMYFUNCTION("""COMPUTED_VALUE"""),"institutoimpactandogeracoes@gmail.com")</f>
        <v>institutoimpactandogeracoes@gmail.com</v>
      </c>
      <c r="K336" s="27" t="str">
        <f ca="1">IFERROR(__xludf.DUMMYFUNCTION("""COMPUTED_VALUE"""),"(11)99385-6346")</f>
        <v>(11)99385-6346</v>
      </c>
      <c r="L336" s="27" t="str">
        <f ca="1">IFERROR(__xludf.DUMMYFUNCTION("""COMPUTED_VALUE"""),"SP")</f>
        <v>SP</v>
      </c>
      <c r="M336" s="27" t="str">
        <f ca="1">IFERROR(__xludf.DUMMYFUNCTION("""COMPUTED_VALUE"""),"Rua Orlando Peregrino")</f>
        <v>Rua Orlando Peregrino</v>
      </c>
      <c r="N336" s="27" t="str">
        <f ca="1">IFERROR(__xludf.DUMMYFUNCTION("""COMPUTED_VALUE"""),"Lauzane Paulista")</f>
        <v>Lauzane Paulista</v>
      </c>
      <c r="O336" s="27">
        <f ca="1">IFERROR(__xludf.DUMMYFUNCTION("""COMPUTED_VALUE"""),21)</f>
        <v>21</v>
      </c>
      <c r="P336" s="27" t="str">
        <f ca="1">IFERROR(__xludf.DUMMYFUNCTION("""COMPUTED_VALUE"""),"São Paulo")</f>
        <v>São Paulo</v>
      </c>
      <c r="Q336" s="27"/>
      <c r="R336" s="27" t="str">
        <f ca="1">IFERROR(__xludf.DUMMYFUNCTION("""COMPUTED_VALUE"""),"02422-180")</f>
        <v>02422-180</v>
      </c>
      <c r="S336" s="27" t="str">
        <f ca="1">IFERROR(__xludf.DUMMYFUNCTION("""COMPUTED_VALUE"""),"Escolas  e igrejas")</f>
        <v>Escolas  e igrejas</v>
      </c>
      <c r="T336" s="27"/>
      <c r="U336" s="27" t="str">
        <f ca="1">IFERROR(__xludf.DUMMYFUNCTION("""COMPUTED_VALUE"""),"Crianças (6 a 12 anos), Adolescentes (12 aos 18 anos), Jovens (18 aos 24 anos), Adultos")</f>
        <v>Crianças (6 a 12 anos), Adolescentes (12 aos 18 anos), Jovens (18 aos 24 anos), Adultos</v>
      </c>
      <c r="V336" s="27" t="str">
        <f ca="1">IFERROR(__xludf.DUMMYFUNCTION("""COMPUTED_VALUE"""),"Moradores de Favelas, Pessoas em situação de rua, Afrodescendentes, Dependentes Químicos")</f>
        <v>Moradores de Favelas, Pessoas em situação de rua, Afrodescendentes, Dependentes Químicos</v>
      </c>
      <c r="W336" s="27">
        <f ca="1">IFERROR(__xludf.DUMMYFUNCTION("""COMPUTED_VALUE"""),7)</f>
        <v>7</v>
      </c>
      <c r="X336" s="27"/>
      <c r="Y336" s="27"/>
      <c r="Z336" s="27">
        <f ca="1">IFERROR(__xludf.DUMMYFUNCTION("""COMPUTED_VALUE"""),100)</f>
        <v>100</v>
      </c>
      <c r="AA336" s="29">
        <f ca="1">IFERROR(__xludf.DUMMYFUNCTION("""COMPUTED_VALUE"""),43748)</f>
        <v>43748</v>
      </c>
      <c r="AB336" s="27" t="str">
        <f ca="1">IFERROR(__xludf.DUMMYFUNCTION("""COMPUTED_VALUE"""),"Sim")</f>
        <v>Sim</v>
      </c>
      <c r="AC336" s="27">
        <f ca="1">IFERROR(__xludf.DUMMYFUNCTION("""COMPUTED_VALUE"""),0)</f>
        <v>0</v>
      </c>
      <c r="AD336" s="27">
        <f ca="1">IFERROR(__xludf.DUMMYFUNCTION("""COMPUTED_VALUE"""),0)</f>
        <v>0</v>
      </c>
      <c r="AE336" s="27">
        <f ca="1">IFERROR(__xludf.DUMMYFUNCTION("""COMPUTED_VALUE"""),22)</f>
        <v>22</v>
      </c>
      <c r="AF336" s="27">
        <f ca="1">IFERROR(__xludf.DUMMYFUNCTION("""COMPUTED_VALUE"""),22)</f>
        <v>22</v>
      </c>
      <c r="AG336" s="27">
        <f ca="1">IFERROR(__xludf.DUMMYFUNCTION("""COMPUTED_VALUE"""),4)</f>
        <v>4</v>
      </c>
      <c r="AH336" s="27" t="str">
        <f ca="1">IFERROR(__xludf.DUMMYFUNCTION("""COMPUTED_VALUE"""),"Eventos/Ações para captação, Parceria iniciativa privada, Doações, Recursos próprios")</f>
        <v>Eventos/Ações para captação, Parceria iniciativa privada, Doações, Recursos próprios</v>
      </c>
      <c r="AI336" s="27">
        <f ca="1">IFERROR(__xludf.DUMMYFUNCTION("""COMPUTED_VALUE"""),0)</f>
        <v>0</v>
      </c>
      <c r="AJ336" s="27" t="str">
        <f ca="1">IFERROR(__xludf.DUMMYFUNCTION("""COMPUTED_VALUE"""),"Não")</f>
        <v>Não</v>
      </c>
      <c r="AK336" s="27"/>
      <c r="AL336" s="21" t="str">
        <f ca="1">IFERROR(__xludf.DUMMYFUNCTION("""COMPUTED_VALUE"""),"0034X0000380O1E")</f>
        <v>0034X0000380O1E</v>
      </c>
      <c r="AM336" s="27" t="str">
        <f ca="1">IFERROR(__xludf.DUMMYFUNCTION("""COMPUTED_VALUE"""),"Rugel vaz")</f>
        <v>Rugel vaz</v>
      </c>
      <c r="AN336" s="27" t="str">
        <f ca="1">IFERROR(__xludf.DUMMYFUNCTION("""COMPUTED_VALUE"""),"Ativo")</f>
        <v>Ativo</v>
      </c>
      <c r="AO336" s="29">
        <f ca="1">IFERROR(__xludf.DUMMYFUNCTION("""COMPUTED_VALUE"""),44763)</f>
        <v>44763</v>
      </c>
      <c r="AP336" s="27">
        <f ca="1">IFERROR(__xludf.DUMMYFUNCTION("""COMPUTED_VALUE"""),2)</f>
        <v>2</v>
      </c>
      <c r="AQ336" s="27" t="str">
        <f ca="1">IFERROR(__xludf.DUMMYFUNCTION("""COMPUTED_VALUE"""),"Primeiro Semestre 2022")</f>
        <v>Primeiro Semestre 2022</v>
      </c>
      <c r="AR336" s="27" t="str">
        <f ca="1">IFERROR(__xludf.DUMMYFUNCTION("""COMPUTED_VALUE"""),"andersonrugelvaz@gmail.com")</f>
        <v>andersonrugelvaz@gmail.com</v>
      </c>
      <c r="AS336" s="27" t="str">
        <f ca="1">IFERROR(__xludf.DUMMYFUNCTION("""COMPUTED_VALUE"""),"(11)98039-7839")</f>
        <v>(11)98039-7839</v>
      </c>
      <c r="AT336" s="29">
        <f ca="1">IFERROR(__xludf.DUMMYFUNCTION("""COMPUTED_VALUE"""),26808)</f>
        <v>26808</v>
      </c>
      <c r="AU336" s="27">
        <f ca="1">IFERROR(__xludf.DUMMYFUNCTION("""COMPUTED_VALUE"""),49)</f>
        <v>49</v>
      </c>
      <c r="AV336" s="27">
        <f ca="1">IFERROR(__xludf.DUMMYFUNCTION("""COMPUTED_VALUE"""),15155069831)</f>
        <v>15155069831</v>
      </c>
      <c r="AW336" s="27">
        <f ca="1">IFERROR(__xludf.DUMMYFUNCTION("""COMPUTED_VALUE"""),233847431)</f>
        <v>233847431</v>
      </c>
      <c r="AX336" s="27"/>
      <c r="AY336" s="27" t="str">
        <f ca="1">IFERROR(__xludf.DUMMYFUNCTION("""COMPUTED_VALUE"""),"Presidente")</f>
        <v>Presidente</v>
      </c>
      <c r="AZ336" s="27" t="str">
        <f ca="1">IFERROR(__xludf.DUMMYFUNCTION("""COMPUTED_VALUE"""),"G2")</f>
        <v>G2</v>
      </c>
      <c r="BA336" s="27" t="str">
        <f ca="1">IFERROR(__xludf.DUMMYFUNCTION("""COMPUTED_VALUE"""),"Preta")</f>
        <v>Preta</v>
      </c>
      <c r="BB336" s="27"/>
      <c r="BC336" s="27"/>
      <c r="BD336" s="27" t="str">
        <f ca="1">IFERROR(__xludf.DUMMYFUNCTION("""COMPUTED_VALUE"""),"Anderson Negrão 
Esposa da Katinha (Katia), pai de cinco filhos lindos, professor de artes marciais atleta competidor multicampeão, pentacampeão mundial jiu-jitsu pela CBJJE , um expoente de transformação nascido e criado no jaçanã periferia da Zn de São "&amp;"Paulo ,conseguindo vencer o assédio das drogas e da criminalidade,  se tornando um pai de família,  empresário e empreendedor social. E sendo um referencial  e diferencial para a sociedade.")</f>
        <v>Anderson Negrão 
Esposa da Katinha (Katia), pai de cinco filhos lindos, professor de artes marciais atleta competidor multicampeão, pentacampeão mundial jiu-jitsu pela CBJJE , um expoente de transformação nascido e criado no jaçanã periferia da Zn de São Paulo ,conseguindo vencer o assédio das drogas e da criminalidade,  se tornando um pai de família,  empresário e empreendedor social. E sendo um referencial  e diferencial para a sociedade.</v>
      </c>
      <c r="BE336" s="27" t="str">
        <f ca="1">IFERROR(__xludf.DUMMYFUNCTION("""COMPUTED_VALUE"""),"Homem, cisgênero")</f>
        <v>Homem, cisgênero</v>
      </c>
      <c r="BF336" s="27" t="str">
        <f ca="1">IFERROR(__xludf.DUMMYFUNCTION("""COMPUTED_VALUE"""),"Heterossexual")</f>
        <v>Heterossexual</v>
      </c>
      <c r="BG336" s="27" t="str">
        <f ca="1">IFERROR(__xludf.DUMMYFUNCTION("""COMPUTED_VALUE"""),"Ensino Fundamento - Completo")</f>
        <v>Ensino Fundamento - Completo</v>
      </c>
      <c r="BH336" s="27" t="str">
        <f ca="1">IFERROR(__xludf.DUMMYFUNCTION("""COMPUTED_VALUE"""),"Público")</f>
        <v>Público</v>
      </c>
      <c r="BI336" s="27"/>
      <c r="BJ336" s="27"/>
      <c r="BK336" s="27" t="str">
        <f ca="1">IFERROR(__xludf.DUMMYFUNCTION("""COMPUTED_VALUE"""),"Avenida Lazar Segall")</f>
        <v>Avenida Lazar Segall</v>
      </c>
      <c r="BL336" s="27">
        <f ca="1">IFERROR(__xludf.DUMMYFUNCTION("""COMPUTED_VALUE"""),560)</f>
        <v>560</v>
      </c>
      <c r="BM336" s="27" t="str">
        <f ca="1">IFERROR(__xludf.DUMMYFUNCTION("""COMPUTED_VALUE"""),"Casa 2")</f>
        <v>Casa 2</v>
      </c>
      <c r="BN336" s="27" t="str">
        <f ca="1">IFERROR(__xludf.DUMMYFUNCTION("""COMPUTED_VALUE"""),"São Paulo")</f>
        <v>São Paulo</v>
      </c>
      <c r="BO336" s="27" t="str">
        <f ca="1">IFERROR(__xludf.DUMMYFUNCTION("""COMPUTED_VALUE"""),"02543-010")</f>
        <v>02543-010</v>
      </c>
      <c r="BP336" s="27" t="str">
        <f ca="1">IFERROR(__xludf.DUMMYFUNCTION("""COMPUTED_VALUE"""),"SP")</f>
        <v>SP</v>
      </c>
      <c r="BQ336" s="27" t="str">
        <f ca="1">IFERROR(__xludf.DUMMYFUNCTION("""COMPUTED_VALUE"""),"Entre 1 até 3 salários mínimos")</f>
        <v>Entre 1 até 3 salários mínimos</v>
      </c>
      <c r="BR336" s="27" t="str">
        <f ca="1">IFERROR(__xludf.DUMMYFUNCTION("""COMPUTED_VALUE"""),"CLT, Desempregado")</f>
        <v>CLT, Desempregado</v>
      </c>
      <c r="BS336" s="27" t="str">
        <f ca="1">IFERROR(__xludf.DUMMYFUNCTION("""COMPUTED_VALUE"""),"Casa própria")</f>
        <v>Casa própria</v>
      </c>
      <c r="BT336" s="27">
        <f ca="1">IFERROR(__xludf.DUMMYFUNCTION("""COMPUTED_VALUE"""),4)</f>
        <v>4</v>
      </c>
      <c r="BU336" s="27" t="str">
        <f ca="1">IFERROR(__xludf.DUMMYFUNCTION("""COMPUTED_VALUE"""),"Não tem")</f>
        <v>Não tem</v>
      </c>
      <c r="BV336" s="27" t="str">
        <f ca="1">IFERROR(__xludf.DUMMYFUNCTION("""COMPUTED_VALUE"""),"Não")</f>
        <v>Não</v>
      </c>
      <c r="BW336" s="27" t="str">
        <f ca="1">IFERROR(__xludf.DUMMYFUNCTION("""COMPUTED_VALUE"""),"Anderson Negrão impactando gerações")</f>
        <v>Anderson Negrão impactando gerações</v>
      </c>
      <c r="BX336" s="21" t="str">
        <f ca="1">IFERROR(__xludf.DUMMYFUNCTION("""COMPUTED_VALUE"""),"https://instagram.com/negrao.anderson?r=nametag")</f>
        <v>https://instagram.com/negrao.anderson?r=nametag</v>
      </c>
      <c r="BY336" s="21" t="str">
        <f ca="1">IFERROR(__xludf.DUMMYFUNCTION("""COMPUTED_VALUE"""),"https://drive.google.com/open?id=1i8tO4eXLd83t9Etkl39St9KyLJdW2wwg")</f>
        <v>https://drive.google.com/open?id=1i8tO4eXLd83t9Etkl39St9KyLJdW2wwg</v>
      </c>
    </row>
    <row r="337" spans="1:77" ht="12.5" hidden="1" x14ac:dyDescent="0.25">
      <c r="A337" s="21" t="str">
        <f ca="1">IFERROR(__xludf.DUMMYFUNCTION("""COMPUTED_VALUE"""),"0014P00003YSp9mQAD")</f>
        <v>0014P00003YSp9mQAD</v>
      </c>
      <c r="B337" s="27" t="str">
        <f ca="1">IFERROR(__xludf.DUMMYFUNCTION("""COMPUTED_VALUE"""),"Fase Avançada")</f>
        <v>Fase Avançada</v>
      </c>
      <c r="C337" s="27" t="str">
        <f ca="1">IFERROR(__xludf.DUMMYFUNCTION("""COMPUTED_VALUE"""),"Acelerada")</f>
        <v>Acelerada</v>
      </c>
      <c r="D337" s="27" t="str">
        <f ca="1">IFERROR(__xludf.DUMMYFUNCTION("""COMPUTED_VALUE"""),"Ativo")</f>
        <v>Ativo</v>
      </c>
      <c r="E337" s="27" t="str">
        <f ca="1">IFERROR(__xludf.DUMMYFUNCTION("""COMPUTED_VALUE"""),"INSTITUTO DE DESENVOLVIMENTO HUMANO,SOCIAL,ECONÔMICO E CULTURAL ""MANÁ DO CÉU PARA OS POVOS""")</f>
        <v>INSTITUTO DE DESENVOLVIMENTO HUMANO,SOCIAL,ECONÔMICO E CULTURAL "MANÁ DO CÉU PARA OS POVOS"</v>
      </c>
      <c r="F337" s="27" t="str">
        <f ca="1">IFERROR(__xludf.DUMMYFUNCTION("""COMPUTED_VALUE"""),"Carla")</f>
        <v>Carla</v>
      </c>
      <c r="G337" s="27" t="str">
        <f ca="1">IFERROR(__xludf.DUMMYFUNCTION("""COMPUTED_VALUE"""),"OSCIP VILLAGE MANA DA ESPERANCA")</f>
        <v>OSCIP VILLAGE MANA DA ESPERANCA</v>
      </c>
      <c r="H337" s="27" t="str">
        <f ca="1">IFERROR(__xludf.DUMMYFUNCTION("""COMPUTED_VALUE"""),"11.067.031/0001-86")</f>
        <v>11.067.031/0001-86</v>
      </c>
      <c r="I337" s="27" t="str">
        <f ca="1">IFERROR(__xludf.DUMMYFUNCTION("""COMPUTED_VALUE"""),"Carla Alexandra Rodrigues")</f>
        <v>Carla Alexandra Rodrigues</v>
      </c>
      <c r="J337" s="27" t="str">
        <f ca="1">IFERROR(__xludf.DUMMYFUNCTION("""COMPUTED_VALUE"""),"contato@manadoceu.org.br")</f>
        <v>contato@manadoceu.org.br</v>
      </c>
      <c r="K337" s="27" t="str">
        <f ca="1">IFERROR(__xludf.DUMMYFUNCTION("""COMPUTED_VALUE"""),"(67)99275-7723")</f>
        <v>(67)99275-7723</v>
      </c>
      <c r="L337" s="27" t="str">
        <f ca="1">IFERROR(__xludf.DUMMYFUNCTION("""COMPUTED_VALUE"""),"MS")</f>
        <v>MS</v>
      </c>
      <c r="M337" s="27" t="str">
        <f ca="1">IFERROR(__xludf.DUMMYFUNCTION("""COMPUTED_VALUE"""),"Caraíba")</f>
        <v>Caraíba</v>
      </c>
      <c r="N337" s="27" t="str">
        <f ca="1">IFERROR(__xludf.DUMMYFUNCTION("""COMPUTED_VALUE"""),"Jardim Canguru")</f>
        <v>Jardim Canguru</v>
      </c>
      <c r="O337" s="27">
        <f ca="1">IFERROR(__xludf.DUMMYFUNCTION("""COMPUTED_VALUE"""),449)</f>
        <v>449</v>
      </c>
      <c r="P337" s="27" t="str">
        <f ca="1">IFERROR(__xludf.DUMMYFUNCTION("""COMPUTED_VALUE"""),"Campo Grande")</f>
        <v>Campo Grande</v>
      </c>
      <c r="Q337" s="27"/>
      <c r="R337" s="27" t="str">
        <f ca="1">IFERROR(__xludf.DUMMYFUNCTION("""COMPUTED_VALUE"""),"79072-264")</f>
        <v>79072-264</v>
      </c>
      <c r="S337" s="27"/>
      <c r="T337" s="27" t="str">
        <f ca="1">IFERROR(__xludf.DUMMYFUNCTION("""COMPUTED_VALUE"""),"Assistência Social")</f>
        <v>Assistência Social</v>
      </c>
      <c r="U337" s="27" t="str">
        <f ca="1">IFERROR(__xludf.DUMMYFUNCTION("""COMPUTED_VALUE"""),"Crianças (6 a 12 anos); Adolescentes (12 aos 18 anos); Jovens (18 aos 24 anos); Adultos")</f>
        <v>Crianças (6 a 12 anos); Adolescentes (12 aos 18 anos); Jovens (18 aos 24 anos); Adultos</v>
      </c>
      <c r="V337" s="27" t="str">
        <f ca="1">IFERROR(__xludf.DUMMYFUNCTION("""COMPUTED_VALUE"""),"Moradores de Favelas; Afrodescendentes; Pessoas com Deficiência")</f>
        <v>Moradores de Favelas; Afrodescendentes; Pessoas com Deficiência</v>
      </c>
      <c r="W337" s="27">
        <f ca="1">IFERROR(__xludf.DUMMYFUNCTION("""COMPUTED_VALUE"""),14)</f>
        <v>14</v>
      </c>
      <c r="X337" s="27"/>
      <c r="Y337" s="27"/>
      <c r="Z337" s="27">
        <f ca="1">IFERROR(__xludf.DUMMYFUNCTION("""COMPUTED_VALUE"""),1980)</f>
        <v>1980</v>
      </c>
      <c r="AA337" s="30">
        <f ca="1">IFERROR(__xludf.DUMMYFUNCTION("""COMPUTED_VALUE"""),40042)</f>
        <v>40042</v>
      </c>
      <c r="AB337" s="27" t="str">
        <f ca="1">IFERROR(__xludf.DUMMYFUNCTION("""COMPUTED_VALUE"""),"Sim")</f>
        <v>Sim</v>
      </c>
      <c r="AC337" s="27">
        <f ca="1">IFERROR(__xludf.DUMMYFUNCTION("""COMPUTED_VALUE"""),15)</f>
        <v>15</v>
      </c>
      <c r="AD337" s="27">
        <f ca="1">IFERROR(__xludf.DUMMYFUNCTION("""COMPUTED_VALUE"""),15)</f>
        <v>15</v>
      </c>
      <c r="AE337" s="27">
        <f ca="1">IFERROR(__xludf.DUMMYFUNCTION("""COMPUTED_VALUE"""),13)</f>
        <v>13</v>
      </c>
      <c r="AF337" s="27">
        <f ca="1">IFERROR(__xludf.DUMMYFUNCTION("""COMPUTED_VALUE"""),8)</f>
        <v>8</v>
      </c>
      <c r="AG337" s="27">
        <f ca="1">IFERROR(__xludf.DUMMYFUNCTION("""COMPUTED_VALUE"""),6)</f>
        <v>6</v>
      </c>
      <c r="AH337" s="27" t="str">
        <f ca="1">IFERROR(__xludf.DUMMYFUNCTION("""COMPUTED_VALUE"""),"Convênio Público; Parceria iniciativa privada; Editais; FIA")</f>
        <v>Convênio Público; Parceria iniciativa privada; Editais; FIA</v>
      </c>
      <c r="AI337" s="27" t="str">
        <f ca="1">IFERROR(__xludf.DUMMYFUNCTION("""COMPUTED_VALUE"""),"Editais 50%, FIA 10%,Convênio Publico 35%, Parceria Privada 5%")</f>
        <v>Editais 50%, FIA 10%,Convênio Publico 35%, Parceria Privada 5%</v>
      </c>
      <c r="AJ337" s="27"/>
      <c r="AK337" s="27"/>
      <c r="AL337" s="21" t="str">
        <f ca="1">IFERROR(__xludf.DUMMYFUNCTION("""COMPUTED_VALUE"""),"0034P000045kxkO")</f>
        <v>0034P000045kxkO</v>
      </c>
      <c r="AM337" s="27" t="str">
        <f ca="1">IFERROR(__xludf.DUMMYFUNCTION("""COMPUTED_VALUE"""),"Rodrigues")</f>
        <v>Rodrigues</v>
      </c>
      <c r="AN337" s="27" t="str">
        <f ca="1">IFERROR(__xludf.DUMMYFUNCTION("""COMPUTED_VALUE"""),"Ativo")</f>
        <v>Ativo</v>
      </c>
      <c r="AO337" s="29">
        <f ca="1">IFERROR(__xludf.DUMMYFUNCTION("""COMPUTED_VALUE"""),44551)</f>
        <v>44551</v>
      </c>
      <c r="AP337" s="27">
        <f ca="1">IFERROR(__xludf.DUMMYFUNCTION("""COMPUTED_VALUE"""),9)</f>
        <v>9</v>
      </c>
      <c r="AQ337" s="27" t="str">
        <f ca="1">IFERROR(__xludf.DUMMYFUNCTION("""COMPUTED_VALUE"""),"Segundo Semestre 2021")</f>
        <v>Segundo Semestre 2021</v>
      </c>
      <c r="AR337" s="27" t="str">
        <f ca="1">IFERROR(__xludf.DUMMYFUNCTION("""COMPUTED_VALUE"""),"negracarlams@gmail.com")</f>
        <v>negracarlams@gmail.com</v>
      </c>
      <c r="AS337" s="27" t="str">
        <f ca="1">IFERROR(__xludf.DUMMYFUNCTION("""COMPUTED_VALUE"""),"(67)99275-7723")</f>
        <v>(67)99275-7723</v>
      </c>
      <c r="AT337" s="29">
        <f ca="1">IFERROR(__xludf.DUMMYFUNCTION("""COMPUTED_VALUE"""),30507)</f>
        <v>30507</v>
      </c>
      <c r="AU337" s="27">
        <f ca="1">IFERROR(__xludf.DUMMYFUNCTION("""COMPUTED_VALUE"""),39)</f>
        <v>39</v>
      </c>
      <c r="AV337" s="27">
        <f ca="1">IFERROR(__xludf.DUMMYFUNCTION("""COMPUTED_VALUE"""),1184209170)</f>
        <v>1184209170</v>
      </c>
      <c r="AW337" s="27">
        <f ca="1">IFERROR(__xludf.DUMMYFUNCTION("""COMPUTED_VALUE"""),1407019)</f>
        <v>1407019</v>
      </c>
      <c r="AX337" s="27"/>
      <c r="AY337" s="27"/>
      <c r="AZ337" s="27" t="str">
        <f ca="1">IFERROR(__xludf.DUMMYFUNCTION("""COMPUTED_VALUE"""),"GG")</f>
        <v>GG</v>
      </c>
      <c r="BA337" s="27" t="str">
        <f ca="1">IFERROR(__xludf.DUMMYFUNCTION("""COMPUTED_VALUE"""),"Preta")</f>
        <v>Preta</v>
      </c>
      <c r="BB337" s="27" t="str">
        <f ca="1">IFERROR(__xludf.DUMMYFUNCTION("""COMPUTED_VALUE"""),"Mulher, cisgênero")</f>
        <v>Mulher, cisgênero</v>
      </c>
      <c r="BC337" s="27" t="str">
        <f ca="1">IFERROR(__xludf.DUMMYFUNCTION("""COMPUTED_VALUE"""),"Sim")</f>
        <v>Sim</v>
      </c>
      <c r="BD337" s="27" t="str">
        <f ca="1">IFERROR(__xludf.DUMMYFUNCTION("""COMPUTED_VALUE"""),"Carla Rodrigues,mulher,negra,mãe,esposa,Cristã, Empreendedora Social, militante de direitos humanos principalmente no que tange o direito de crianças e adolescentes. Atualmente vice-presidente do Conselho Estadual do Direito da Criança e Adolescente, Memb"&amp;"ro do Conselho Municipal do Direito da Criança e Adolescente de CG. Representante Regional do Movimento Nacional Pró Convivência Familiar e Comunitária. Está presidente do Instituto Maná do Céu. Carla Rodrigues é líder Fellow da Gerando Falcões.")</f>
        <v>Carla Rodrigues,mulher,negra,mãe,esposa,Cristã, Empreendedora Social, militante de direitos humanos principalmente no que tange o direito de crianças e adolescentes. Atualmente vice-presidente do Conselho Estadual do Direito da Criança e Adolescente, Membro do Conselho Municipal do Direito da Criança e Adolescente de CG. Representante Regional do Movimento Nacional Pró Convivência Familiar e Comunitária. Está presidente do Instituto Maná do Céu. Carla Rodrigues é líder Fellow da Gerando Falcões.</v>
      </c>
      <c r="BE337" s="27"/>
      <c r="BF337" s="27" t="str">
        <f ca="1">IFERROR(__xludf.DUMMYFUNCTION("""COMPUTED_VALUE"""),"Heterossexual")</f>
        <v>Heterossexual</v>
      </c>
      <c r="BG337" s="27" t="str">
        <f ca="1">IFERROR(__xludf.DUMMYFUNCTION("""COMPUTED_VALUE"""),"Ensino Superior - Completo")</f>
        <v>Ensino Superior - Completo</v>
      </c>
      <c r="BH337" s="27" t="str">
        <f ca="1">IFERROR(__xludf.DUMMYFUNCTION("""COMPUTED_VALUE"""),"Privado")</f>
        <v>Privado</v>
      </c>
      <c r="BI337" s="27" t="str">
        <f ca="1">IFERROR(__xludf.DUMMYFUNCTION("""COMPUTED_VALUE"""),"Graduação")</f>
        <v>Graduação</v>
      </c>
      <c r="BJ337" s="27" t="str">
        <f ca="1">IFERROR(__xludf.DUMMYFUNCTION("""COMPUTED_VALUE"""),"Público")</f>
        <v>Público</v>
      </c>
      <c r="BK337" s="27" t="str">
        <f ca="1">IFERROR(__xludf.DUMMYFUNCTION("""COMPUTED_VALUE"""),"Juacema")</f>
        <v>Juacema</v>
      </c>
      <c r="BL337" s="27">
        <f ca="1">IFERROR(__xludf.DUMMYFUNCTION("""COMPUTED_VALUE"""),128)</f>
        <v>128</v>
      </c>
      <c r="BM337" s="27"/>
      <c r="BN337" s="27" t="str">
        <f ca="1">IFERROR(__xludf.DUMMYFUNCTION("""COMPUTED_VALUE"""),"Campo Grande")</f>
        <v>Campo Grande</v>
      </c>
      <c r="BO337" s="27" t="str">
        <f ca="1">IFERROR(__xludf.DUMMYFUNCTION("""COMPUTED_VALUE"""),"79034-210")</f>
        <v>79034-210</v>
      </c>
      <c r="BP337" s="27" t="str">
        <f ca="1">IFERROR(__xludf.DUMMYFUNCTION("""COMPUTED_VALUE"""),"MS")</f>
        <v>MS</v>
      </c>
      <c r="BQ337" s="27" t="str">
        <f ca="1">IFERROR(__xludf.DUMMYFUNCTION("""COMPUTED_VALUE"""),"Acima de 5 salários mínimos")</f>
        <v>Acima de 5 salários mínimos</v>
      </c>
      <c r="BR337" s="27" t="str">
        <f ca="1">IFERROR(__xludf.DUMMYFUNCTION("""COMPUTED_VALUE"""),"MEI")</f>
        <v>MEI</v>
      </c>
      <c r="BS337" s="27" t="str">
        <f ca="1">IFERROR(__xludf.DUMMYFUNCTION("""COMPUTED_VALUE"""),"Casa própria")</f>
        <v>Casa própria</v>
      </c>
      <c r="BT337" s="27">
        <f ca="1">IFERROR(__xludf.DUMMYFUNCTION("""COMPUTED_VALUE"""),8)</f>
        <v>8</v>
      </c>
      <c r="BU337" s="27" t="str">
        <f ca="1">IFERROR(__xludf.DUMMYFUNCTION("""COMPUTED_VALUE"""),"Não tem")</f>
        <v>Não tem</v>
      </c>
      <c r="BV337" s="27"/>
      <c r="BW337" s="27"/>
      <c r="BX337" s="21" t="str">
        <f ca="1">IFERROR(__xludf.DUMMYFUNCTION("""COMPUTED_VALUE"""),"Instagram.com/carla.rodriguesms")</f>
        <v>Instagram.com/carla.rodriguesms</v>
      </c>
      <c r="BY337" s="21" t="str">
        <f ca="1">IFERROR(__xludf.DUMMYFUNCTION("""COMPUTED_VALUE"""),"https://drive.google.com/open?id=16c95grNRgvjKFGcyS0g157IQSFrActyP")</f>
        <v>https://drive.google.com/open?id=16c95grNRgvjKFGcyS0g157IQSFrActyP</v>
      </c>
    </row>
    <row r="338" spans="1:77" ht="12.5" x14ac:dyDescent="0.25">
      <c r="A338" s="21" t="str">
        <f ca="1">IFERROR(__xludf.DUMMYFUNCTION("""COMPUTED_VALUE"""),"0014P00003AN2G1QAL")</f>
        <v>0014P00003AN2G1QAL</v>
      </c>
      <c r="B338" s="27" t="str">
        <f ca="1">IFERROR(__xludf.DUMMYFUNCTION("""COMPUTED_VALUE"""),"Fase Estruturação")</f>
        <v>Fase Estruturação</v>
      </c>
      <c r="C338" s="27" t="str">
        <f ca="1">IFERROR(__xludf.DUMMYFUNCTION("""COMPUTED_VALUE"""),"Fellow")</f>
        <v>Fellow</v>
      </c>
      <c r="D338" s="27" t="str">
        <f ca="1">IFERROR(__xludf.DUMMYFUNCTION("""COMPUTED_VALUE"""),"Ativo")</f>
        <v>Ativo</v>
      </c>
      <c r="E338" s="27" t="str">
        <f ca="1">IFERROR(__xludf.DUMMYFUNCTION("""COMPUTED_VALUE"""),"Instituto de Desenvolvimento Humano e Social pelo Esporte Educação Cultura e Cidadania")</f>
        <v>Instituto de Desenvolvimento Humano e Social pelo Esporte Educação Cultura e Cidadania</v>
      </c>
      <c r="F338" s="27" t="str">
        <f ca="1">IFERROR(__xludf.DUMMYFUNCTION("""COMPUTED_VALUE"""),"Jessyca")</f>
        <v>Jessyca</v>
      </c>
      <c r="G338" s="27" t="str">
        <f ca="1">IFERROR(__xludf.DUMMYFUNCTION("""COMPUTED_VALUE"""),"Esporte Mais")</f>
        <v>Esporte Mais</v>
      </c>
      <c r="H338" s="27" t="str">
        <f ca="1">IFERROR(__xludf.DUMMYFUNCTION("""COMPUTED_VALUE"""),"20.974.017/0001-57")</f>
        <v>20.974.017/0001-57</v>
      </c>
      <c r="I338" s="27"/>
      <c r="J338" s="27"/>
      <c r="K338" s="27"/>
      <c r="L338" s="27" t="str">
        <f ca="1">IFERROR(__xludf.DUMMYFUNCTION("""COMPUTED_VALUE"""),"CE")</f>
        <v>CE</v>
      </c>
      <c r="M338" s="27" t="str">
        <f ca="1">IFERROR(__xludf.DUMMYFUNCTION("""COMPUTED_VALUE"""),"Rua Inês Brasil,484")</f>
        <v>Rua Inês Brasil,484</v>
      </c>
      <c r="N338" s="27"/>
      <c r="O338" s="27" t="str">
        <f ca="1">IFERROR(__xludf.DUMMYFUNCTION("""COMPUTED_VALUE"""),"(85)99711-8820")</f>
        <v>(85)99711-8820</v>
      </c>
      <c r="P338" s="27" t="str">
        <f ca="1">IFERROR(__xludf.DUMMYFUNCTION("""COMPUTED_VALUE"""),"Fortaleza")</f>
        <v>Fortaleza</v>
      </c>
      <c r="Q338" s="27"/>
      <c r="R338" s="27" t="str">
        <f ca="1">IFERROR(__xludf.DUMMYFUNCTION("""COMPUTED_VALUE"""),"60867-540")</f>
        <v>60867-540</v>
      </c>
      <c r="S338" s="27" t="str">
        <f ca="1">IFERROR(__xludf.DUMMYFUNCTION("""COMPUTED_VALUE"""),"Areninha do José Walter - R. Sessenta Nove 191 - Pref. José Walter Fortaleza - CE 60810-670
CITS José Walter - Av. K 330 - Pref. José Walter Fortaleza - CE 60810-670")</f>
        <v>Areninha do José Walter - R. Sessenta Nove 191 - Pref. José Walter Fortaleza - CE 60810-670
CITS José Walter - Av. K 330 - Pref. José Walter Fortaleza - CE 60810-670</v>
      </c>
      <c r="T338" s="27" t="str">
        <f ca="1">IFERROR(__xludf.DUMMYFUNCTION("""COMPUTED_VALUE"""),"Esporte; Educação; Empoderamento Feminino")</f>
        <v>Esporte; Educação; Empoderamento Feminino</v>
      </c>
      <c r="U338" s="27" t="str">
        <f ca="1">IFERROR(__xludf.DUMMYFUNCTION("""COMPUTED_VALUE"""),"Crianças (6 a 12 anos); Adolescentes (12 aos 18 anos); Jovens (18 aos 24 anos); Adultos")</f>
        <v>Crianças (6 a 12 anos); Adolescentes (12 aos 18 anos); Jovens (18 aos 24 anos); Adultos</v>
      </c>
      <c r="V338" s="27" t="str">
        <f ca="1">IFERROR(__xludf.DUMMYFUNCTION("""COMPUTED_VALUE"""),"Outros")</f>
        <v>Outros</v>
      </c>
      <c r="W338" s="27">
        <f ca="1">IFERROR(__xludf.DUMMYFUNCTION("""COMPUTED_VALUE"""),12)</f>
        <v>12</v>
      </c>
      <c r="X338" s="27" t="str">
        <f ca="1">IFERROR(__xludf.DUMMYFUNCTION("""COMPUTED_VALUE"""),"Em sua maioria mulheres em situação de vulnerabilidade e algumas em situação de violência doméstica.")</f>
        <v>Em sua maioria mulheres em situação de vulnerabilidade e algumas em situação de violência doméstica.</v>
      </c>
      <c r="Y338" s="27"/>
      <c r="Z338" s="27"/>
      <c r="AA338" s="29">
        <f ca="1">IFERROR(__xludf.DUMMYFUNCTION("""COMPUTED_VALUE"""),41876)</f>
        <v>41876</v>
      </c>
      <c r="AB338" s="27" t="str">
        <f ca="1">IFERROR(__xludf.DUMMYFUNCTION("""COMPUTED_VALUE"""),"Sim")</f>
        <v>Sim</v>
      </c>
      <c r="AC338" s="27">
        <f ca="1">IFERROR(__xludf.DUMMYFUNCTION("""COMPUTED_VALUE"""),10)</f>
        <v>10</v>
      </c>
      <c r="AD338" s="27">
        <f ca="1">IFERROR(__xludf.DUMMYFUNCTION("""COMPUTED_VALUE"""),4)</f>
        <v>4</v>
      </c>
      <c r="AE338" s="27">
        <f ca="1">IFERROR(__xludf.DUMMYFUNCTION("""COMPUTED_VALUE"""),10)</f>
        <v>10</v>
      </c>
      <c r="AF338" s="27">
        <f ca="1">IFERROR(__xludf.DUMMYFUNCTION("""COMPUTED_VALUE"""),20)</f>
        <v>20</v>
      </c>
      <c r="AG338" s="27">
        <f ca="1">IFERROR(__xludf.DUMMYFUNCTION("""COMPUTED_VALUE"""),3)</f>
        <v>3</v>
      </c>
      <c r="AH338" s="27" t="str">
        <f ca="1">IFERROR(__xludf.DUMMYFUNCTION("""COMPUTED_VALUE"""),"Lei de Incentivo; Editais; Lei Estadual do Esporte")</f>
        <v>Lei de Incentivo; Editais; Lei Estadual do Esporte</v>
      </c>
      <c r="AI338" s="27" t="str">
        <f ca="1">IFERROR(__xludf.DUMMYFUNCTION("""COMPUTED_VALUE"""),"Lei Estadual do Esporte -30% Editais - 20% - Lei Federal de Incentivo ao Esporte - 50%")</f>
        <v>Lei Estadual do Esporte -30% Editais - 20% - Lei Federal de Incentivo ao Esporte - 50%</v>
      </c>
      <c r="AJ338" s="27" t="str">
        <f ca="1">IFERROR(__xludf.DUMMYFUNCTION("""COMPUTED_VALUE"""),"Não")</f>
        <v>Não</v>
      </c>
      <c r="AK338" s="27" t="str">
        <f ca="1">IFERROR(__xludf.DUMMYFUNCTION("""COMPUTED_VALUE"""),"Não")</f>
        <v>Não</v>
      </c>
      <c r="AL338" s="21" t="str">
        <f ca="1">IFERROR(__xludf.DUMMYFUNCTION("""COMPUTED_VALUE"""),"0034P00003maBVV")</f>
        <v>0034P00003maBVV</v>
      </c>
      <c r="AM338" s="27" t="str">
        <f ca="1">IFERROR(__xludf.DUMMYFUNCTION("""COMPUTED_VALUE"""),"Rodrigues Lopes")</f>
        <v>Rodrigues Lopes</v>
      </c>
      <c r="AN338" s="27" t="str">
        <f ca="1">IFERROR(__xludf.DUMMYFUNCTION("""COMPUTED_VALUE"""),"Ativo")</f>
        <v>Ativo</v>
      </c>
      <c r="AO338" s="30">
        <f ca="1">IFERROR(__xludf.DUMMYFUNCTION("""COMPUTED_VALUE"""),44253)</f>
        <v>44253</v>
      </c>
      <c r="AP338" s="27">
        <f ca="1">IFERROR(__xludf.DUMMYFUNCTION("""COMPUTED_VALUE"""),19)</f>
        <v>19</v>
      </c>
      <c r="AQ338" s="27" t="str">
        <f ca="1">IFERROR(__xludf.DUMMYFUNCTION("""COMPUTED_VALUE"""),"Segundo Semestre 2020")</f>
        <v>Segundo Semestre 2020</v>
      </c>
      <c r="AR338" s="27" t="str">
        <f ca="1">IFERROR(__xludf.DUMMYFUNCTION("""COMPUTED_VALUE"""),"jessyca@esportemais.org")</f>
        <v>jessyca@esportemais.org</v>
      </c>
      <c r="AS338" s="27" t="str">
        <f ca="1">IFERROR(__xludf.DUMMYFUNCTION("""COMPUTED_VALUE"""),"(85)99711-8820")</f>
        <v>(85)99711-8820</v>
      </c>
      <c r="AT338" s="29">
        <f ca="1">IFERROR(__xludf.DUMMYFUNCTION("""COMPUTED_VALUE"""),33410)</f>
        <v>33410</v>
      </c>
      <c r="AU338" s="27">
        <f ca="1">IFERROR(__xludf.DUMMYFUNCTION("""COMPUTED_VALUE"""),31)</f>
        <v>31</v>
      </c>
      <c r="AV338" s="27">
        <f ca="1">IFERROR(__xludf.DUMMYFUNCTION("""COMPUTED_VALUE"""),4265310354)</f>
        <v>4265310354</v>
      </c>
      <c r="AW338" s="27">
        <f ca="1">IFERROR(__xludf.DUMMYFUNCTION("""COMPUTED_VALUE"""),2005007012227)</f>
        <v>2005007012227</v>
      </c>
      <c r="AX338" s="27" t="str">
        <f ca="1">IFERROR(__xludf.DUMMYFUNCTION("""COMPUTED_VALUE"""),"Educação Física")</f>
        <v>Educação Física</v>
      </c>
      <c r="AY338" s="27" t="str">
        <f ca="1">IFERROR(__xludf.DUMMYFUNCTION("""COMPUTED_VALUE"""),"Técnica Esportiva no Centro de Formação Olímpica -  CFO")</f>
        <v>Técnica Esportiva no Centro de Formação Olímpica -  CFO</v>
      </c>
      <c r="AZ338" s="27" t="str">
        <f ca="1">IFERROR(__xludf.DUMMYFUNCTION("""COMPUTED_VALUE"""),"M")</f>
        <v>M</v>
      </c>
      <c r="BA338" s="27"/>
      <c r="BB338" s="27"/>
      <c r="BC338" s="27" t="str">
        <f ca="1">IFERROR(__xludf.DUMMYFUNCTION("""COMPUTED_VALUE"""),"Não")</f>
        <v>Não</v>
      </c>
      <c r="BD338" s="27" t="str">
        <f ca="1">IFERROR(__xludf.DUMMYFUNCTION("""COMPUTED_VALUE"""),"Apaixonada por esporte, inquieta com os problemas sociais e intolerante à injustiça. Co-fundadora e Diretora Executiva do Instituto Esporte Mais, trabalha com o propósito de reduzir as barreiras enfrentadas pelas meninas no esporte. Com um olhar humano e "&amp;"empático, ela lidera a equipe e está sempre em busca de melhorias e oportunidades para a organização que só cresce. Além disso, está na Coordenação de Formação e Esportes do Centro de Formação Olímpica - CFO, o maior equipamento deesportes doNE")</f>
        <v>Apaixonada por esporte, inquieta com os problemas sociais e intolerante à injustiça. Co-fundadora e Diretora Executiva do Instituto Esporte Mais, trabalha com o propósito de reduzir as barreiras enfrentadas pelas meninas no esporte. Com um olhar humano e empático, ela lidera a equipe e está sempre em busca de melhorias e oportunidades para a organização que só cresce. Além disso, está na Coordenação de Formação e Esportes do Centro de Formação Olímpica - CFO, o maior equipamento deesportes doNE</v>
      </c>
      <c r="BE338" s="27"/>
      <c r="BF338" s="27"/>
      <c r="BG338" s="27" t="str">
        <f ca="1">IFERROR(__xludf.DUMMYFUNCTION("""COMPUTED_VALUE"""),"Ensino Superior - Completo")</f>
        <v>Ensino Superior - Completo</v>
      </c>
      <c r="BH338" s="27"/>
      <c r="BI338" s="27" t="str">
        <f ca="1">IFERROR(__xludf.DUMMYFUNCTION("""COMPUTED_VALUE"""),"Graduação")</f>
        <v>Graduação</v>
      </c>
      <c r="BJ338" s="27" t="str">
        <f ca="1">IFERROR(__xludf.DUMMYFUNCTION("""COMPUTED_VALUE"""),"Público")</f>
        <v>Público</v>
      </c>
      <c r="BK338" s="27" t="str">
        <f ca="1">IFERROR(__xludf.DUMMYFUNCTION("""COMPUTED_VALUE"""),"Rua Paraisópolis")</f>
        <v>Rua Paraisópolis</v>
      </c>
      <c r="BL338" s="27">
        <f ca="1">IFERROR(__xludf.DUMMYFUNCTION("""COMPUTED_VALUE"""),193)</f>
        <v>193</v>
      </c>
      <c r="BM338" s="27"/>
      <c r="BN338" s="27" t="str">
        <f ca="1">IFERROR(__xludf.DUMMYFUNCTION("""COMPUTED_VALUE"""),"Fortaleza")</f>
        <v>Fortaleza</v>
      </c>
      <c r="BO338" s="27" t="str">
        <f ca="1">IFERROR(__xludf.DUMMYFUNCTION("""COMPUTED_VALUE"""),"60865-140")</f>
        <v>60865-140</v>
      </c>
      <c r="BP338" s="27" t="str">
        <f ca="1">IFERROR(__xludf.DUMMYFUNCTION("""COMPUTED_VALUE"""),"CE")</f>
        <v>CE</v>
      </c>
      <c r="BQ338" s="27" t="str">
        <f ca="1">IFERROR(__xludf.DUMMYFUNCTION("""COMPUTED_VALUE"""),"De 3 até 5 salários mínimos")</f>
        <v>De 3 até 5 salários mínimos</v>
      </c>
      <c r="BR338" s="27" t="str">
        <f ca="1">IFERROR(__xludf.DUMMYFUNCTION("""COMPUTED_VALUE"""),"CLT")</f>
        <v>CLT</v>
      </c>
      <c r="BS338" s="27" t="str">
        <f ca="1">IFERROR(__xludf.DUMMYFUNCTION("""COMPUTED_VALUE"""),"Aluguel")</f>
        <v>Aluguel</v>
      </c>
      <c r="BT338" s="27">
        <f ca="1">IFERROR(__xludf.DUMMYFUNCTION("""COMPUTED_VALUE"""),2)</f>
        <v>2</v>
      </c>
      <c r="BU338" s="27"/>
      <c r="BV338" s="27"/>
      <c r="BW338" s="27" t="str">
        <f ca="1">IFERROR(__xludf.DUMMYFUNCTION("""COMPUTED_VALUE"""),"jessycarlopes")</f>
        <v>jessycarlopes</v>
      </c>
      <c r="BX338" s="27" t="str">
        <f ca="1">IFERROR(__xludf.DUMMYFUNCTION("""COMPUTED_VALUE"""),"jessycarlopes")</f>
        <v>jessycarlopes</v>
      </c>
      <c r="BY338" s="21" t="str">
        <f ca="1">IFERROR(__xludf.DUMMYFUNCTION("""COMPUTED_VALUE"""),"https://drive.google.com/open?id=1DbeysCamRKbMPNKy6N8-CB_ga-BzCG6x")</f>
        <v>https://drive.google.com/open?id=1DbeysCamRKbMPNKy6N8-CB_ga-BzCG6x</v>
      </c>
    </row>
    <row r="339" spans="1:77" ht="12.5" x14ac:dyDescent="0.25">
      <c r="A339" s="21" t="str">
        <f ca="1">IFERROR(__xludf.DUMMYFUNCTION("""COMPUTED_VALUE"""),"0014X00002PUOaDQAX")</f>
        <v>0014X00002PUOaDQAX</v>
      </c>
      <c r="B339" s="27" t="str">
        <f ca="1">IFERROR(__xludf.DUMMYFUNCTION("""COMPUTED_VALUE"""),"Fase Estruturação")</f>
        <v>Fase Estruturação</v>
      </c>
      <c r="C339" s="27" t="str">
        <f ca="1">IFERROR(__xludf.DUMMYFUNCTION("""COMPUTED_VALUE"""),"Fellow")</f>
        <v>Fellow</v>
      </c>
      <c r="D339" s="27" t="str">
        <f ca="1">IFERROR(__xludf.DUMMYFUNCTION("""COMPUTED_VALUE"""),"Ativo")</f>
        <v>Ativo</v>
      </c>
      <c r="E339" s="27" t="str">
        <f ca="1">IFERROR(__xludf.DUMMYFUNCTION("""COMPUTED_VALUE"""),"Instituto de Desenvolvimento Pessoal e Social Os Sonhadores")</f>
        <v>Instituto de Desenvolvimento Pessoal e Social Os Sonhadores</v>
      </c>
      <c r="F339" s="27" t="str">
        <f ca="1">IFERROR(__xludf.DUMMYFUNCTION("""COMPUTED_VALUE"""),"Juliana")</f>
        <v>Juliana</v>
      </c>
      <c r="G339" s="27" t="str">
        <f ca="1">IFERROR(__xludf.DUMMYFUNCTION("""COMPUTED_VALUE"""),"Os sonhadores")</f>
        <v>Os sonhadores</v>
      </c>
      <c r="H339" s="27"/>
      <c r="I339" s="27"/>
      <c r="J339" s="27"/>
      <c r="K339" s="27" t="str">
        <f ca="1">IFERROR(__xludf.DUMMYFUNCTION("""COMPUTED_VALUE"""),"(17)3442-7666")</f>
        <v>(17)3442-7666</v>
      </c>
      <c r="L339" s="27" t="str">
        <f ca="1">IFERROR(__xludf.DUMMYFUNCTION("""COMPUTED_VALUE"""),"SP")</f>
        <v>SP</v>
      </c>
      <c r="M339" s="27" t="str">
        <f ca="1">IFERROR(__xludf.DUMMYFUNCTION("""COMPUTED_VALUE"""),"Rua João Batista Laceda")</f>
        <v>Rua João Batista Laceda</v>
      </c>
      <c r="N339" s="27" t="str">
        <f ca="1">IFERROR(__xludf.DUMMYFUNCTION("""COMPUTED_VALUE"""),"Jardim Barbosa")</f>
        <v>Jardim Barbosa</v>
      </c>
      <c r="O339" s="27" t="str">
        <f ca="1">IFERROR(__xludf.DUMMYFUNCTION("""COMPUTED_VALUE"""),"(17)99743-3941")</f>
        <v>(17)99743-3941</v>
      </c>
      <c r="P339" s="27" t="str">
        <f ca="1">IFERROR(__xludf.DUMMYFUNCTION("""COMPUTED_VALUE"""),"Fernandópolis")</f>
        <v>Fernandópolis</v>
      </c>
      <c r="Q339" s="27"/>
      <c r="R339" s="27" t="str">
        <f ca="1">IFERROR(__xludf.DUMMYFUNCTION("""COMPUTED_VALUE"""),"15606-104")</f>
        <v>15606-104</v>
      </c>
      <c r="S339" s="27"/>
      <c r="T339" s="27" t="str">
        <f ca="1">IFERROR(__xludf.DUMMYFUNCTION("""COMPUTED_VALUE"""),"Esporte; Assistência Social; Cultura")</f>
        <v>Esporte; Assistência Social; Cultura</v>
      </c>
      <c r="U339" s="27" t="str">
        <f ca="1">IFERROR(__xludf.DUMMYFUNCTION("""COMPUTED_VALUE"""),"Crianças (6 a 12 anos); Adolescentes (12 aos 18 anos)")</f>
        <v>Crianças (6 a 12 anos); Adolescentes (12 aos 18 anos)</v>
      </c>
      <c r="V339" s="27" t="str">
        <f ca="1">IFERROR(__xludf.DUMMYFUNCTION("""COMPUTED_VALUE"""),"Moradores de Favelas")</f>
        <v>Moradores de Favelas</v>
      </c>
      <c r="W339" s="27">
        <f ca="1">IFERROR(__xludf.DUMMYFUNCTION("""COMPUTED_VALUE"""),1)</f>
        <v>1</v>
      </c>
      <c r="X339" s="27"/>
      <c r="Y339" s="27"/>
      <c r="Z339" s="27"/>
      <c r="AA339" s="27"/>
      <c r="AB339" s="27"/>
      <c r="AC339" s="27">
        <f ca="1">IFERROR(__xludf.DUMMYFUNCTION("""COMPUTED_VALUE"""),11)</f>
        <v>11</v>
      </c>
      <c r="AD339" s="27">
        <f ca="1">IFERROR(__xludf.DUMMYFUNCTION("""COMPUTED_VALUE"""),8)</f>
        <v>8</v>
      </c>
      <c r="AE339" s="27">
        <f ca="1">IFERROR(__xludf.DUMMYFUNCTION("""COMPUTED_VALUE"""),5)</f>
        <v>5</v>
      </c>
      <c r="AF339" s="27">
        <f ca="1">IFERROR(__xludf.DUMMYFUNCTION("""COMPUTED_VALUE"""),10)</f>
        <v>10</v>
      </c>
      <c r="AG339" s="27">
        <f ca="1">IFERROR(__xludf.DUMMYFUNCTION("""COMPUTED_VALUE"""),5)</f>
        <v>5</v>
      </c>
      <c r="AH339" s="27" t="str">
        <f ca="1">IFERROR(__xludf.DUMMYFUNCTION("""COMPUTED_VALUE"""),"Negócio Social; Convênio Público; Doações; Recursos próprios")</f>
        <v>Negócio Social; Convênio Público; Doações; Recursos próprios</v>
      </c>
      <c r="AI339" s="27" t="str">
        <f ca="1">IFERROR(__xludf.DUMMYFUNCTION("""COMPUTED_VALUE"""),"Convênio com munícipio: 78%, Pessoa Jurídica: 5%, Pessoa Física: 3%, Produção Própria: 1%, Doações: 10%")</f>
        <v>Convênio com munícipio: 78%, Pessoa Jurídica: 5%, Pessoa Física: 3%, Produção Própria: 1%, Doações: 10%</v>
      </c>
      <c r="AJ339" s="27" t="str">
        <f ca="1">IFERROR(__xludf.DUMMYFUNCTION("""COMPUTED_VALUE"""),"Vamos iniciar esse ano")</f>
        <v>Vamos iniciar esse ano</v>
      </c>
      <c r="AK339" s="27" t="str">
        <f ca="1">IFERROR(__xludf.DUMMYFUNCTION("""COMPUTED_VALUE"""),"Sim")</f>
        <v>Sim</v>
      </c>
      <c r="AL339" s="21" t="str">
        <f ca="1">IFERROR(__xludf.DUMMYFUNCTION("""COMPUTED_VALUE"""),"0034X000032HsDd")</f>
        <v>0034X000032HsDd</v>
      </c>
      <c r="AM339" s="27" t="str">
        <f ca="1">IFERROR(__xludf.DUMMYFUNCTION("""COMPUTED_VALUE"""),"Alves Da Silva")</f>
        <v>Alves Da Silva</v>
      </c>
      <c r="AN339" s="27" t="str">
        <f ca="1">IFERROR(__xludf.DUMMYFUNCTION("""COMPUTED_VALUE"""),"Ativo")</f>
        <v>Ativo</v>
      </c>
      <c r="AO339" s="29">
        <f ca="1">IFERROR(__xludf.DUMMYFUNCTION("""COMPUTED_VALUE"""),44487)</f>
        <v>44487</v>
      </c>
      <c r="AP339" s="27">
        <f ca="1">IFERROR(__xludf.DUMMYFUNCTION("""COMPUTED_VALUE"""),11)</f>
        <v>11</v>
      </c>
      <c r="AQ339" s="27" t="str">
        <f ca="1">IFERROR(__xludf.DUMMYFUNCTION("""COMPUTED_VALUE"""),"Primeiro Semestre 2020")</f>
        <v>Primeiro Semestre 2020</v>
      </c>
      <c r="AR339" s="27" t="str">
        <f ca="1">IFERROR(__xludf.DUMMYFUNCTION("""COMPUTED_VALUE"""),"juliana.psicologa@outlook.com.br")</f>
        <v>juliana.psicologa@outlook.com.br</v>
      </c>
      <c r="AS339" s="27" t="str">
        <f ca="1">IFERROR(__xludf.DUMMYFUNCTION("""COMPUTED_VALUE"""),"(17)99743-3941")</f>
        <v>(17)99743-3941</v>
      </c>
      <c r="AT339" s="29">
        <f ca="1">IFERROR(__xludf.DUMMYFUNCTION("""COMPUTED_VALUE"""),31866)</f>
        <v>31866</v>
      </c>
      <c r="AU339" s="27">
        <f ca="1">IFERROR(__xludf.DUMMYFUNCTION("""COMPUTED_VALUE"""),35)</f>
        <v>35</v>
      </c>
      <c r="AV339" s="27">
        <f ca="1">IFERROR(__xludf.DUMMYFUNCTION("""COMPUTED_VALUE"""),34504841843)</f>
        <v>34504841843</v>
      </c>
      <c r="AW339" s="27" t="str">
        <f ca="1">IFERROR(__xludf.DUMMYFUNCTION("""COMPUTED_VALUE"""),"415424239")</f>
        <v>415424239</v>
      </c>
      <c r="AX339" s="27"/>
      <c r="AY339" s="27"/>
      <c r="AZ339" s="27" t="str">
        <f ca="1">IFERROR(__xludf.DUMMYFUNCTION("""COMPUTED_VALUE"""),"PP")</f>
        <v>PP</v>
      </c>
      <c r="BA339" s="27"/>
      <c r="BB339" s="27"/>
      <c r="BC339" s="27" t="str">
        <f ca="1">IFERROR(__xludf.DUMMYFUNCTION("""COMPUTED_VALUE"""),"Sim")</f>
        <v>Sim</v>
      </c>
      <c r="BD339" s="27" t="str">
        <f ca="1">IFERROR(__xludf.DUMMYFUNCTION("""COMPUTED_VALUE"""),"Sou psicóloga, líder social que acredita na transformação do mundo através do desenvolvimento integral do ser humano.")</f>
        <v>Sou psicóloga, líder social que acredita na transformação do mundo através do desenvolvimento integral do ser humano.</v>
      </c>
      <c r="BE339" s="27" t="str">
        <f ca="1">IFERROR(__xludf.DUMMYFUNCTION("""COMPUTED_VALUE"""),"Feminino")</f>
        <v>Feminino</v>
      </c>
      <c r="BF339" s="27"/>
      <c r="BG339" s="27" t="str">
        <f ca="1">IFERROR(__xludf.DUMMYFUNCTION("""COMPUTED_VALUE"""),"Ensino Superior - Completo")</f>
        <v>Ensino Superior - Completo</v>
      </c>
      <c r="BH339" s="27" t="str">
        <f ca="1">IFERROR(__xludf.DUMMYFUNCTION("""COMPUTED_VALUE"""),"Público")</f>
        <v>Público</v>
      </c>
      <c r="BI339" s="27" t="str">
        <f ca="1">IFERROR(__xludf.DUMMYFUNCTION("""COMPUTED_VALUE"""),"Pós-Graduação")</f>
        <v>Pós-Graduação</v>
      </c>
      <c r="BJ339" s="27" t="str">
        <f ca="1">IFERROR(__xludf.DUMMYFUNCTION("""COMPUTED_VALUE"""),"Privado")</f>
        <v>Privado</v>
      </c>
      <c r="BK339" s="27" t="str">
        <f ca="1">IFERROR(__xludf.DUMMYFUNCTION("""COMPUTED_VALUE"""),"Guilherme Cechini")</f>
        <v>Guilherme Cechini</v>
      </c>
      <c r="BL339" s="27">
        <f ca="1">IFERROR(__xludf.DUMMYFUNCTION("""COMPUTED_VALUE"""),98)</f>
        <v>98</v>
      </c>
      <c r="BM339" s="27"/>
      <c r="BN339" s="27" t="str">
        <f ca="1">IFERROR(__xludf.DUMMYFUNCTION("""COMPUTED_VALUE"""),"Fernandópolis")</f>
        <v>Fernandópolis</v>
      </c>
      <c r="BO339" s="27" t="str">
        <f ca="1">IFERROR(__xludf.DUMMYFUNCTION("""COMPUTED_VALUE"""),"15603-750")</f>
        <v>15603-750</v>
      </c>
      <c r="BP339" s="27" t="str">
        <f ca="1">IFERROR(__xludf.DUMMYFUNCTION("""COMPUTED_VALUE"""),"SP")</f>
        <v>SP</v>
      </c>
      <c r="BQ339" s="27" t="str">
        <f ca="1">IFERROR(__xludf.DUMMYFUNCTION("""COMPUTED_VALUE"""),"Entre 1 até 3 salários mínimos")</f>
        <v>Entre 1 até 3 salários mínimos</v>
      </c>
      <c r="BR339" s="27" t="str">
        <f ca="1">IFERROR(__xludf.DUMMYFUNCTION("""COMPUTED_VALUE"""),"CLT")</f>
        <v>CLT</v>
      </c>
      <c r="BS339" s="27" t="str">
        <f ca="1">IFERROR(__xludf.DUMMYFUNCTION("""COMPUTED_VALUE"""),"Casa própria")</f>
        <v>Casa própria</v>
      </c>
      <c r="BT339" s="27">
        <f ca="1">IFERROR(__xludf.DUMMYFUNCTION("""COMPUTED_VALUE"""),4)</f>
        <v>4</v>
      </c>
      <c r="BU339" s="27"/>
      <c r="BV339" s="27"/>
      <c r="BW339" s="21" t="str">
        <f ca="1">IFERROR(__xludf.DUMMYFUNCTION("""COMPUTED_VALUE"""),"https://www.linkedin.com/in/projeto-os-sonhadores-fernand%C3%B3polis-214b35200/")</f>
        <v>https://www.linkedin.com/in/projeto-os-sonhadores-fernand%C3%B3polis-214b35200/</v>
      </c>
      <c r="BX339" s="21" t="str">
        <f ca="1">IFERROR(__xludf.DUMMYFUNCTION("""COMPUTED_VALUE"""),"https://www.instagram.com/juhalves98/")</f>
        <v>https://www.instagram.com/juhalves98/</v>
      </c>
      <c r="BY339" s="21" t="str">
        <f ca="1">IFERROR(__xludf.DUMMYFUNCTION("""COMPUTED_VALUE"""),"https://drive.google.com/open?id=1yPAfU7NiOiHCtCgAYlXpFLL2cCYucTG-")</f>
        <v>https://drive.google.com/open?id=1yPAfU7NiOiHCtCgAYlXpFLL2cCYucTG-</v>
      </c>
    </row>
    <row r="340" spans="1:77" ht="12.5" x14ac:dyDescent="0.25">
      <c r="A340" s="21" t="str">
        <f ca="1">IFERROR(__xludf.DUMMYFUNCTION("""COMPUTED_VALUE"""),"0014P00003SGWQAQA5")</f>
        <v>0014P00003SGWQAQA5</v>
      </c>
      <c r="B340" s="27" t="str">
        <f ca="1">IFERROR(__xludf.DUMMYFUNCTION("""COMPUTED_VALUE"""),"Fase Inicial")</f>
        <v>Fase Inicial</v>
      </c>
      <c r="C340" s="27" t="str">
        <f ca="1">IFERROR(__xludf.DUMMYFUNCTION("""COMPUTED_VALUE"""),"Fellow")</f>
        <v>Fellow</v>
      </c>
      <c r="D340" s="27" t="str">
        <f ca="1">IFERROR(__xludf.DUMMYFUNCTION("""COMPUTED_VALUE"""),"Ativo")</f>
        <v>Ativo</v>
      </c>
      <c r="E340" s="27" t="str">
        <f ca="1">IFERROR(__xludf.DUMMYFUNCTION("""COMPUTED_VALUE"""),"INSTITUTO DE EDUCACAO CULTURA E MINISTERIO EDUCARE")</f>
        <v>INSTITUTO DE EDUCACAO CULTURA E MINISTERIO EDUCARE</v>
      </c>
      <c r="F340" s="27" t="str">
        <f ca="1">IFERROR(__xludf.DUMMYFUNCTION("""COMPUTED_VALUE"""),"Sadraque")</f>
        <v>Sadraque</v>
      </c>
      <c r="G340" s="27" t="str">
        <f ca="1">IFERROR(__xludf.DUMMYFUNCTION("""COMPUTED_VALUE"""),"EDUCARE- ME EDUCA")</f>
        <v>EDUCARE- ME EDUCA</v>
      </c>
      <c r="H340" s="27" t="str">
        <f ca="1">IFERROR(__xludf.DUMMYFUNCTION("""COMPUTED_VALUE"""),"10.514.598/0001-90")</f>
        <v>10.514.598/0001-90</v>
      </c>
      <c r="I340" s="27" t="str">
        <f ca="1">IFERROR(__xludf.DUMMYFUNCTION("""COMPUTED_VALUE"""),"Marcio Fernando Pereira Goncalves")</f>
        <v>Marcio Fernando Pereira Goncalves</v>
      </c>
      <c r="J340" s="27" t="str">
        <f ca="1">IFERROR(__xludf.DUMMYFUNCTION("""COMPUTED_VALUE"""),"institutomeduca@gmail.com")</f>
        <v>institutomeduca@gmail.com</v>
      </c>
      <c r="K340" s="27" t="str">
        <f ca="1">IFERROR(__xludf.DUMMYFUNCTION("""COMPUTED_VALUE"""),"(21)2660-3333")</f>
        <v>(21)2660-3333</v>
      </c>
      <c r="L340" s="27" t="str">
        <f ca="1">IFERROR(__xludf.DUMMYFUNCTION("""COMPUTED_VALUE"""),"RJ")</f>
        <v>RJ</v>
      </c>
      <c r="M340" s="27" t="str">
        <f ca="1">IFERROR(__xludf.DUMMYFUNCTION("""COMPUTED_VALUE"""),"rua verde")</f>
        <v>rua verde</v>
      </c>
      <c r="N340" s="27" t="str">
        <f ca="1">IFERROR(__xludf.DUMMYFUNCTION("""COMPUTED_VALUE"""),"MARAPICU")</f>
        <v>MARAPICU</v>
      </c>
      <c r="O340" s="27" t="str">
        <f ca="1">IFERROR(__xludf.DUMMYFUNCTION("""COMPUTED_VALUE"""),"(21)9551-6397")</f>
        <v>(21)9551-6397</v>
      </c>
      <c r="P340" s="27" t="str">
        <f ca="1">IFERROR(__xludf.DUMMYFUNCTION("""COMPUTED_VALUE"""),"Nova Iguaçu")</f>
        <v>Nova Iguaçu</v>
      </c>
      <c r="Q340" s="27" t="str">
        <f ca="1">IFERROR(__xludf.DUMMYFUNCTION("""COMPUTED_VALUE"""),"AP 201")</f>
        <v>AP 201</v>
      </c>
      <c r="R340" s="27" t="str">
        <f ca="1">IFERROR(__xludf.DUMMYFUNCTION("""COMPUTED_VALUE"""),"26295-093")</f>
        <v>26295-093</v>
      </c>
      <c r="S340" s="27"/>
      <c r="T340" s="27" t="str">
        <f ca="1">IFERROR(__xludf.DUMMYFUNCTION("""COMPUTED_VALUE"""),"Esporte; Educação; Assistência Social; Cultura; Empoderamento Feminino; Assistência Psicológica")</f>
        <v>Esporte; Educação; Assistência Social; Cultura; Empoderamento Feminino; Assistência Psicológica</v>
      </c>
      <c r="U340" s="27" t="str">
        <f ca="1">IFERROR(__xludf.DUMMYFUNCTION("""COMPUTED_VALUE"""),"Crianças bem pequenas (1 ano e 7 meses até 3 anos e 11 meses); Crianças pequenas (4 anos a 5 anos e 11 meses); Crianças (6 a 12 anos); Adolescentes (12 aos 18 anos)")</f>
        <v>Crianças bem pequenas (1 ano e 7 meses até 3 anos e 11 meses); Crianças pequenas (4 anos a 5 anos e 11 meses); Crianças (6 a 12 anos); Adolescentes (12 aos 18 anos)</v>
      </c>
      <c r="V340" s="27" t="str">
        <f ca="1">IFERROR(__xludf.DUMMYFUNCTION("""COMPUTED_VALUE"""),"Moradores de Favelas")</f>
        <v>Moradores de Favelas</v>
      </c>
      <c r="W340" s="27">
        <f ca="1">IFERROR(__xludf.DUMMYFUNCTION("""COMPUTED_VALUE"""),7)</f>
        <v>7</v>
      </c>
      <c r="X340" s="27"/>
      <c r="Y340" s="27">
        <f ca="1">IFERROR(__xludf.DUMMYFUNCTION("""COMPUTED_VALUE"""),200)</f>
        <v>200</v>
      </c>
      <c r="Z340" s="27">
        <f ca="1">IFERROR(__xludf.DUMMYFUNCTION("""COMPUTED_VALUE"""),6000)</f>
        <v>6000</v>
      </c>
      <c r="AA340" s="29">
        <f ca="1">IFERROR(__xludf.DUMMYFUNCTION("""COMPUTED_VALUE"""),39459)</f>
        <v>39459</v>
      </c>
      <c r="AB340" s="27" t="str">
        <f ca="1">IFERROR(__xludf.DUMMYFUNCTION("""COMPUTED_VALUE"""),"Sim")</f>
        <v>Sim</v>
      </c>
      <c r="AC340" s="27">
        <f ca="1">IFERROR(__xludf.DUMMYFUNCTION("""COMPUTED_VALUE"""),0)</f>
        <v>0</v>
      </c>
      <c r="AD340" s="27">
        <f ca="1">IFERROR(__xludf.DUMMYFUNCTION("""COMPUTED_VALUE"""),0)</f>
        <v>0</v>
      </c>
      <c r="AE340" s="27">
        <f ca="1">IFERROR(__xludf.DUMMYFUNCTION("""COMPUTED_VALUE"""),10)</f>
        <v>10</v>
      </c>
      <c r="AF340" s="27">
        <f ca="1">IFERROR(__xludf.DUMMYFUNCTION("""COMPUTED_VALUE"""),8)</f>
        <v>8</v>
      </c>
      <c r="AG340" s="27">
        <f ca="1">IFERROR(__xludf.DUMMYFUNCTION("""COMPUTED_VALUE"""),1)</f>
        <v>1</v>
      </c>
      <c r="AH340" s="27" t="str">
        <f ca="1">IFERROR(__xludf.DUMMYFUNCTION("""COMPUTED_VALUE"""),"Eventos/Ações para captação; Doações")</f>
        <v>Eventos/Ações para captação; Doações</v>
      </c>
      <c r="AI340" s="27" t="str">
        <f ca="1">IFERROR(__xludf.DUMMYFUNCTION("""COMPUTED_VALUE"""),"40% doacoes 60% acoes/eventos")</f>
        <v>40% doacoes 60% acoes/eventos</v>
      </c>
      <c r="AJ340" s="27" t="str">
        <f ca="1">IFERROR(__xludf.DUMMYFUNCTION("""COMPUTED_VALUE"""),"Não")</f>
        <v>Não</v>
      </c>
      <c r="AK340" s="27" t="str">
        <f ca="1">IFERROR(__xludf.DUMMYFUNCTION("""COMPUTED_VALUE"""),"Não")</f>
        <v>Não</v>
      </c>
      <c r="AL340" s="21" t="str">
        <f ca="1">IFERROR(__xludf.DUMMYFUNCTION("""COMPUTED_VALUE"""),"0034P000043fOoB")</f>
        <v>0034P000043fOoB</v>
      </c>
      <c r="AM340" s="27" t="str">
        <f ca="1">IFERROR(__xludf.DUMMYFUNCTION("""COMPUTED_VALUE"""),"Albino De Souza")</f>
        <v>Albino De Souza</v>
      </c>
      <c r="AN340" s="27" t="str">
        <f ca="1">IFERROR(__xludf.DUMMYFUNCTION("""COMPUTED_VALUE"""),"Ativo")</f>
        <v>Ativo</v>
      </c>
      <c r="AO340" s="30">
        <f ca="1">IFERROR(__xludf.DUMMYFUNCTION("""COMPUTED_VALUE"""),44432)</f>
        <v>44432</v>
      </c>
      <c r="AP340" s="27">
        <f ca="1">IFERROR(__xludf.DUMMYFUNCTION("""COMPUTED_VALUE"""),13)</f>
        <v>13</v>
      </c>
      <c r="AQ340" s="27" t="str">
        <f ca="1">IFERROR(__xludf.DUMMYFUNCTION("""COMPUTED_VALUE"""),"Primeiro Semestre 2021")</f>
        <v>Primeiro Semestre 2021</v>
      </c>
      <c r="AR340" s="27" t="str">
        <f ca="1">IFERROR(__xludf.DUMMYFUNCTION("""COMPUTED_VALUE"""),"sadraquealbino@gmail.com")</f>
        <v>sadraquealbino@gmail.com</v>
      </c>
      <c r="AS340" s="27" t="str">
        <f ca="1">IFERROR(__xludf.DUMMYFUNCTION("""COMPUTED_VALUE"""),"(21)9551-6397")</f>
        <v>(21)9551-6397</v>
      </c>
      <c r="AT340" s="29">
        <f ca="1">IFERROR(__xludf.DUMMYFUNCTION("""COMPUTED_VALUE"""),28073)</f>
        <v>28073</v>
      </c>
      <c r="AU340" s="27">
        <f ca="1">IFERROR(__xludf.DUMMYFUNCTION("""COMPUTED_VALUE"""),46)</f>
        <v>46</v>
      </c>
      <c r="AV340" s="27">
        <f ca="1">IFERROR(__xludf.DUMMYFUNCTION("""COMPUTED_VALUE"""),3864241790)</f>
        <v>3864241790</v>
      </c>
      <c r="AW340" s="27">
        <f ca="1">IFERROR(__xludf.DUMMYFUNCTION("""COMPUTED_VALUE"""),101619989)</f>
        <v>101619989</v>
      </c>
      <c r="AX340" s="27" t="str">
        <f ca="1">IFERROR(__xludf.DUMMYFUNCTION("""COMPUTED_VALUE"""),"Direito")</f>
        <v>Direito</v>
      </c>
      <c r="AY340" s="27"/>
      <c r="AZ340" s="27" t="str">
        <f ca="1">IFERROR(__xludf.DUMMYFUNCTION("""COMPUTED_VALUE"""),"G")</f>
        <v>G</v>
      </c>
      <c r="BA340" s="27" t="str">
        <f ca="1">IFERROR(__xludf.DUMMYFUNCTION("""COMPUTED_VALUE"""),"Preta")</f>
        <v>Preta</v>
      </c>
      <c r="BB340" s="27"/>
      <c r="BC340" s="27" t="str">
        <f ca="1">IFERROR(__xludf.DUMMYFUNCTION("""COMPUTED_VALUE"""),"Sim")</f>
        <v>Sim</v>
      </c>
      <c r="BD340" s="27" t="str">
        <f ca="1">IFERROR(__xludf.DUMMYFUNCTION("""COMPUTED_VALUE"""),"Bacharel em Direito
Bacharel em  Teologia
Pos Graduado em Gestao Publica
Mestrado em Psicologia Pastoral
Estratégia - ADESG-RJ
Gestao de Projetos Socio comunitários - FIOCRUZ")</f>
        <v>Bacharel em Direito
Bacharel em  Teologia
Pos Graduado em Gestao Publica
Mestrado em Psicologia Pastoral
Estratégia - ADESG-RJ
Gestao de Projetos Socio comunitários - FIOCRUZ</v>
      </c>
      <c r="BE340" s="27" t="str">
        <f ca="1">IFERROR(__xludf.DUMMYFUNCTION("""COMPUTED_VALUE"""),"Masculino")</f>
        <v>Masculino</v>
      </c>
      <c r="BF340" s="27" t="str">
        <f ca="1">IFERROR(__xludf.DUMMYFUNCTION("""COMPUTED_VALUE"""),"Heterossexual")</f>
        <v>Heterossexual</v>
      </c>
      <c r="BG340" s="27" t="str">
        <f ca="1">IFERROR(__xludf.DUMMYFUNCTION("""COMPUTED_VALUE"""),"Ensino Superior - Completo")</f>
        <v>Ensino Superior - Completo</v>
      </c>
      <c r="BH340" s="27"/>
      <c r="BI340" s="27" t="str">
        <f ca="1">IFERROR(__xludf.DUMMYFUNCTION("""COMPUTED_VALUE"""),"Pós-Graduação")</f>
        <v>Pós-Graduação</v>
      </c>
      <c r="BJ340" s="27" t="str">
        <f ca="1">IFERROR(__xludf.DUMMYFUNCTION("""COMPUTED_VALUE"""),"Privado")</f>
        <v>Privado</v>
      </c>
      <c r="BK340" s="27" t="str">
        <f ca="1">IFERROR(__xludf.DUMMYFUNCTION("""COMPUTED_VALUE"""),"rua jose venancio de souza")</f>
        <v>rua jose venancio de souza</v>
      </c>
      <c r="BL340" s="27">
        <f ca="1">IFERROR(__xludf.DUMMYFUNCTION("""COMPUTED_VALUE"""),181)</f>
        <v>181</v>
      </c>
      <c r="BM340" s="27"/>
      <c r="BN340" s="27" t="str">
        <f ca="1">IFERROR(__xludf.DUMMYFUNCTION("""COMPUTED_VALUE"""),"nova iguacu")</f>
        <v>nova iguacu</v>
      </c>
      <c r="BO340" s="27" t="str">
        <f ca="1">IFERROR(__xludf.DUMMYFUNCTION("""COMPUTED_VALUE"""),"26225-340")</f>
        <v>26225-340</v>
      </c>
      <c r="BP340" s="27" t="str">
        <f ca="1">IFERROR(__xludf.DUMMYFUNCTION("""COMPUTED_VALUE"""),"RJ")</f>
        <v>RJ</v>
      </c>
      <c r="BQ340" s="27" t="str">
        <f ca="1">IFERROR(__xludf.DUMMYFUNCTION("""COMPUTED_VALUE"""),"De 3 até 5 salários mínimos")</f>
        <v>De 3 até 5 salários mínimos</v>
      </c>
      <c r="BR340" s="27" t="str">
        <f ca="1">IFERROR(__xludf.DUMMYFUNCTION("""COMPUTED_VALUE"""),"Desempregado")</f>
        <v>Desempregado</v>
      </c>
      <c r="BS340" s="27" t="str">
        <f ca="1">IFERROR(__xludf.DUMMYFUNCTION("""COMPUTED_VALUE"""),"Casa própria")</f>
        <v>Casa própria</v>
      </c>
      <c r="BT340" s="27">
        <f ca="1">IFERROR(__xludf.DUMMYFUNCTION("""COMPUTED_VALUE"""),3)</f>
        <v>3</v>
      </c>
      <c r="BU340" s="27"/>
      <c r="BV340" s="27"/>
      <c r="BW340" s="21" t="str">
        <f ca="1">IFERROR(__xludf.DUMMYFUNCTION("""COMPUTED_VALUE"""),"https://www.linkedin.com/in/sadraque-albino-de-souza-57600871/")</f>
        <v>https://www.linkedin.com/in/sadraque-albino-de-souza-57600871/</v>
      </c>
      <c r="BX340" s="21" t="str">
        <f ca="1">IFERROR(__xludf.DUMMYFUNCTION("""COMPUTED_VALUE"""),"instagram.com/sadraquealbino")</f>
        <v>instagram.com/sadraquealbino</v>
      </c>
      <c r="BY340" s="21" t="str">
        <f ca="1">IFERROR(__xludf.DUMMYFUNCTION("""COMPUTED_VALUE"""),"https://drive.google.com/open?id=1P-KQuNedF15j1__Lyg8wOUMl6U3_f0H2")</f>
        <v>https://drive.google.com/open?id=1P-KQuNedF15j1__Lyg8wOUMl6U3_f0H2</v>
      </c>
    </row>
    <row r="341" spans="1:77" ht="12.5" x14ac:dyDescent="0.25">
      <c r="A341" s="21" t="str">
        <f ca="1">IFERROR(__xludf.DUMMYFUNCTION("""COMPUTED_VALUE"""),"0014X00002VKCueQAH")</f>
        <v>0014X00002VKCueQAH</v>
      </c>
      <c r="B341" s="27" t="str">
        <f ca="1">IFERROR(__xludf.DUMMYFUNCTION("""COMPUTED_VALUE"""),"Fase Inicial")</f>
        <v>Fase Inicial</v>
      </c>
      <c r="C341" s="27" t="str">
        <f ca="1">IFERROR(__xludf.DUMMYFUNCTION("""COMPUTED_VALUE"""),"Fellow")</f>
        <v>Fellow</v>
      </c>
      <c r="D341" s="27" t="str">
        <f ca="1">IFERROR(__xludf.DUMMYFUNCTION("""COMPUTED_VALUE"""),"Ativo")</f>
        <v>Ativo</v>
      </c>
      <c r="E341" s="27" t="str">
        <f ca="1">IFERROR(__xludf.DUMMYFUNCTION("""COMPUTED_VALUE"""),"Instituto de Estudos e Preservação das Culturas Indê­genas Brasileiras")</f>
        <v>Instituto de Estudos e Preservação das Culturas Indê­genas Brasileiras</v>
      </c>
      <c r="F341" s="27" t="str">
        <f ca="1">IFERROR(__xludf.DUMMYFUNCTION("""COMPUTED_VALUE"""),"Eduardo")</f>
        <v>Eduardo</v>
      </c>
      <c r="G341" s="27" t="str">
        <f ca="1">IFERROR(__xludf.DUMMYFUNCTION("""COMPUTED_VALUE"""),"INSTITUTO NAWÁ")</f>
        <v>INSTITUTO NAWÁ</v>
      </c>
      <c r="H341" s="27" t="str">
        <f ca="1">IFERROR(__xludf.DUMMYFUNCTION("""COMPUTED_VALUE"""),"33.091.662/0001-73")</f>
        <v>33.091.662/0001-73</v>
      </c>
      <c r="I341" s="27" t="str">
        <f ca="1">IFERROR(__xludf.DUMMYFUNCTION("""COMPUTED_VALUE"""),"Eduardo Luciano Pizaroli")</f>
        <v>Eduardo Luciano Pizaroli</v>
      </c>
      <c r="J341" s="27" t="str">
        <f ca="1">IFERROR(__xludf.DUMMYFUNCTION("""COMPUTED_VALUE"""),"eduardo@institutonawa.org")</f>
        <v>eduardo@institutonawa.org</v>
      </c>
      <c r="K341" s="27" t="str">
        <f ca="1">IFERROR(__xludf.DUMMYFUNCTION("""COMPUTED_VALUE"""),"(11)98326-1978")</f>
        <v>(11)98326-1978</v>
      </c>
      <c r="L341" s="27" t="str">
        <f ca="1">IFERROR(__xludf.DUMMYFUNCTION("""COMPUTED_VALUE"""),"SP")</f>
        <v>SP</v>
      </c>
      <c r="M341" s="27" t="str">
        <f ca="1">IFERROR(__xludf.DUMMYFUNCTION("""COMPUTED_VALUE"""),"rua Antonio Arantes")</f>
        <v>rua Antonio Arantes</v>
      </c>
      <c r="N341" s="27" t="str">
        <f ca="1">IFERROR(__xludf.DUMMYFUNCTION("""COMPUTED_VALUE"""),"Vila Progredior")</f>
        <v>Vila Progredior</v>
      </c>
      <c r="O341" s="27">
        <f ca="1">IFERROR(__xludf.DUMMYFUNCTION("""COMPUTED_VALUE"""),59)</f>
        <v>59</v>
      </c>
      <c r="P341" s="27" t="str">
        <f ca="1">IFERROR(__xludf.DUMMYFUNCTION("""COMPUTED_VALUE"""),"São Paulo")</f>
        <v>São Paulo</v>
      </c>
      <c r="Q341" s="27"/>
      <c r="R341" s="27" t="str">
        <f ca="1">IFERROR(__xludf.DUMMYFUNCTION("""COMPUTED_VALUE"""),"05615-050")</f>
        <v>05615-050</v>
      </c>
      <c r="S341" s="27"/>
      <c r="T341" s="27"/>
      <c r="U341"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341" s="27" t="str">
        <f ca="1">IFERROR(__xludf.DUMMYFUNCTION("""COMPUTED_VALUE"""),"Moradores de Favelas, Povos Indígenas, Ribeirinhos")</f>
        <v>Moradores de Favelas, Povos Indígenas, Ribeirinhos</v>
      </c>
      <c r="W341" s="27">
        <f ca="1">IFERROR(__xludf.DUMMYFUNCTION("""COMPUTED_VALUE"""),3)</f>
        <v>3</v>
      </c>
      <c r="X341" s="27"/>
      <c r="Y341" s="27"/>
      <c r="Z341" s="27">
        <f ca="1">IFERROR(__xludf.DUMMYFUNCTION("""COMPUTED_VALUE"""),5000)</f>
        <v>5000</v>
      </c>
      <c r="AA341" s="29">
        <f ca="1">IFERROR(__xludf.DUMMYFUNCTION("""COMPUTED_VALUE"""),43544)</f>
        <v>43544</v>
      </c>
      <c r="AB341" s="27" t="str">
        <f ca="1">IFERROR(__xludf.DUMMYFUNCTION("""COMPUTED_VALUE"""),"Sim")</f>
        <v>Sim</v>
      </c>
      <c r="AC341" s="27">
        <f ca="1">IFERROR(__xludf.DUMMYFUNCTION("""COMPUTED_VALUE"""),0)</f>
        <v>0</v>
      </c>
      <c r="AD341" s="27">
        <f ca="1">IFERROR(__xludf.DUMMYFUNCTION("""COMPUTED_VALUE"""),6)</f>
        <v>6</v>
      </c>
      <c r="AE341" s="27">
        <f ca="1">IFERROR(__xludf.DUMMYFUNCTION("""COMPUTED_VALUE"""),6)</f>
        <v>6</v>
      </c>
      <c r="AF341" s="27">
        <f ca="1">IFERROR(__xludf.DUMMYFUNCTION("""COMPUTED_VALUE"""),6)</f>
        <v>6</v>
      </c>
      <c r="AG341" s="27">
        <f ca="1">IFERROR(__xludf.DUMMYFUNCTION("""COMPUTED_VALUE"""),3)</f>
        <v>3</v>
      </c>
      <c r="AH341" s="27" t="str">
        <f ca="1">IFERROR(__xludf.DUMMYFUNCTION("""COMPUTED_VALUE"""),"Eventos/Ações para captação, Doações, Recursos próprios")</f>
        <v>Eventos/Ações para captação, Doações, Recursos próprios</v>
      </c>
      <c r="AI341" s="27">
        <f ca="1">IFERROR(__xludf.DUMMYFUNCTION("""COMPUTED_VALUE"""),0)</f>
        <v>0</v>
      </c>
      <c r="AJ341" s="27" t="str">
        <f ca="1">IFERROR(__xludf.DUMMYFUNCTION("""COMPUTED_VALUE"""),"Sim")</f>
        <v>Sim</v>
      </c>
      <c r="AK341" s="27"/>
      <c r="AL341" s="21" t="str">
        <f ca="1">IFERROR(__xludf.DUMMYFUNCTION("""COMPUTED_VALUE"""),"0034X0000380O1I")</f>
        <v>0034X0000380O1I</v>
      </c>
      <c r="AM341" s="27" t="str">
        <f ca="1">IFERROR(__xludf.DUMMYFUNCTION("""COMPUTED_VALUE"""),"Luciano pizaroli")</f>
        <v>Luciano pizaroli</v>
      </c>
      <c r="AN341" s="27" t="str">
        <f ca="1">IFERROR(__xludf.DUMMYFUNCTION("""COMPUTED_VALUE"""),"Ativo")</f>
        <v>Ativo</v>
      </c>
      <c r="AO341" s="29">
        <f ca="1">IFERROR(__xludf.DUMMYFUNCTION("""COMPUTED_VALUE"""),44763)</f>
        <v>44763</v>
      </c>
      <c r="AP341" s="27">
        <f ca="1">IFERROR(__xludf.DUMMYFUNCTION("""COMPUTED_VALUE"""),2)</f>
        <v>2</v>
      </c>
      <c r="AQ341" s="27" t="str">
        <f ca="1">IFERROR(__xludf.DUMMYFUNCTION("""COMPUTED_VALUE"""),"Primeiro Semestre 2022")</f>
        <v>Primeiro Semestre 2022</v>
      </c>
      <c r="AR341" s="27" t="str">
        <f ca="1">IFERROR(__xludf.DUMMYFUNCTION("""COMPUTED_VALUE"""),"edupizaroli@gmail.com")</f>
        <v>edupizaroli@gmail.com</v>
      </c>
      <c r="AS341" s="27" t="str">
        <f ca="1">IFERROR(__xludf.DUMMYFUNCTION("""COMPUTED_VALUE"""),"(11)98326-1978")</f>
        <v>(11)98326-1978</v>
      </c>
      <c r="AT341" s="29">
        <f ca="1">IFERROR(__xludf.DUMMYFUNCTION("""COMPUTED_VALUE"""),28672)</f>
        <v>28672</v>
      </c>
      <c r="AU341" s="27">
        <f ca="1">IFERROR(__xludf.DUMMYFUNCTION("""COMPUTED_VALUE"""),44)</f>
        <v>44</v>
      </c>
      <c r="AV341" s="27">
        <f ca="1">IFERROR(__xludf.DUMMYFUNCTION("""COMPUTED_VALUE"""),31859922880)</f>
        <v>31859922880</v>
      </c>
      <c r="AW341" s="27">
        <f ca="1">IFERROR(__xludf.DUMMYFUNCTION("""COMPUTED_VALUE"""),230040019)</f>
        <v>230040019</v>
      </c>
      <c r="AX341" s="27"/>
      <c r="AY341" s="27" t="str">
        <f ca="1">IFERROR(__xludf.DUMMYFUNCTION("""COMPUTED_VALUE"""),"Presidente")</f>
        <v>Presidente</v>
      </c>
      <c r="AZ341" s="27" t="str">
        <f ca="1">IFERROR(__xludf.DUMMYFUNCTION("""COMPUTED_VALUE"""),"G")</f>
        <v>G</v>
      </c>
      <c r="BA341" s="27" t="str">
        <f ca="1">IFERROR(__xludf.DUMMYFUNCTION("""COMPUTED_VALUE"""),"Branca")</f>
        <v>Branca</v>
      </c>
      <c r="BB341" s="27"/>
      <c r="BC341" s="27"/>
      <c r="BD341" s="27" t="str">
        <f ca="1">IFERROR(__xludf.DUMMYFUNCTION("""COMPUTED_VALUE"""),"Pesquisador iniciado e batizado na tradição HUNI KUIN, formado em administração de empresas.
Minha apreciação pela biodiversidade e convivência com os Povos Originários, me encorajaram a me tornar um empreendedor social, voltado para projetos que visam a"&amp;" conscientização, apoio às culturas indígenas e à preservação da Floresta Amazônica.
Meu   sonho   é   levar   esses   projetos   para 
todas   as   aldeias,   de   todas   as   etnias. 
Do   Brasil   para   o   mundo!    -  TETE BERU")</f>
        <v>Pesquisador iniciado e batizado na tradição HUNI KUIN, formado em administração de empresas.
Minha apreciação pela biodiversidade e convivência com os Povos Originários, me encorajaram a me tornar um empreendedor social, voltado para projetos que visam a conscientização, apoio às culturas indígenas e à preservação da Floresta Amazônica.
Meu   sonho   é   levar   esses   projetos   para 
todas   as   aldeias,   de   todas   as   etnias. 
Do   Brasil   para   o   mundo!    -  TETE BERU</v>
      </c>
      <c r="BE341" s="27" t="str">
        <f ca="1">IFERROR(__xludf.DUMMYFUNCTION("""COMPUTED_VALUE"""),"Homem, cisgênero")</f>
        <v>Homem, cisgênero</v>
      </c>
      <c r="BF341" s="27" t="str">
        <f ca="1">IFERROR(__xludf.DUMMYFUNCTION("""COMPUTED_VALUE"""),"Heterossexual")</f>
        <v>Heterossexual</v>
      </c>
      <c r="BG341" s="27" t="str">
        <f ca="1">IFERROR(__xludf.DUMMYFUNCTION("""COMPUTED_VALUE"""),"Ensino Superior - Completo")</f>
        <v>Ensino Superior - Completo</v>
      </c>
      <c r="BH341" s="27" t="str">
        <f ca="1">IFERROR(__xludf.DUMMYFUNCTION("""COMPUTED_VALUE"""),"Privado")</f>
        <v>Privado</v>
      </c>
      <c r="BI341" s="27" t="str">
        <f ca="1">IFERROR(__xludf.DUMMYFUNCTION("""COMPUTED_VALUE"""),"Graduação")</f>
        <v>Graduação</v>
      </c>
      <c r="BJ341" s="27" t="str">
        <f ca="1">IFERROR(__xludf.DUMMYFUNCTION("""COMPUTED_VALUE"""),"Privado")</f>
        <v>Privado</v>
      </c>
      <c r="BK341" s="27" t="str">
        <f ca="1">IFERROR(__xludf.DUMMYFUNCTION("""COMPUTED_VALUE"""),"Antônio Arantes")</f>
        <v>Antônio Arantes</v>
      </c>
      <c r="BL341" s="27">
        <f ca="1">IFERROR(__xludf.DUMMYFUNCTION("""COMPUTED_VALUE"""),59)</f>
        <v>59</v>
      </c>
      <c r="BM341" s="27"/>
      <c r="BN341" s="27" t="str">
        <f ca="1">IFERROR(__xludf.DUMMYFUNCTION("""COMPUTED_VALUE"""),"São Paulo")</f>
        <v>São Paulo</v>
      </c>
      <c r="BO341" s="27" t="str">
        <f ca="1">IFERROR(__xludf.DUMMYFUNCTION("""COMPUTED_VALUE"""),"05615-050")</f>
        <v>05615-050</v>
      </c>
      <c r="BP341" s="27" t="str">
        <f ca="1">IFERROR(__xludf.DUMMYFUNCTION("""COMPUTED_VALUE"""),"SP")</f>
        <v>SP</v>
      </c>
      <c r="BQ341" s="27" t="str">
        <f ca="1">IFERROR(__xludf.DUMMYFUNCTION("""COMPUTED_VALUE"""),"Acima de 5 salários mínimos")</f>
        <v>Acima de 5 salários mínimos</v>
      </c>
      <c r="BR341" s="27" t="str">
        <f ca="1">IFERROR(__xludf.DUMMYFUNCTION("""COMPUTED_VALUE"""),"Trabalho informal")</f>
        <v>Trabalho informal</v>
      </c>
      <c r="BS341" s="27" t="str">
        <f ca="1">IFERROR(__xludf.DUMMYFUNCTION("""COMPUTED_VALUE"""),"Aluguel")</f>
        <v>Aluguel</v>
      </c>
      <c r="BT341" s="27">
        <f ca="1">IFERROR(__xludf.DUMMYFUNCTION("""COMPUTED_VALUE"""),3)</f>
        <v>3</v>
      </c>
      <c r="BU341" s="27" t="str">
        <f ca="1">IFERROR(__xludf.DUMMYFUNCTION("""COMPUTED_VALUE"""),"Não tem")</f>
        <v>Não tem</v>
      </c>
      <c r="BV341" s="27" t="str">
        <f ca="1">IFERROR(__xludf.DUMMYFUNCTION("""COMPUTED_VALUE"""),"Não")</f>
        <v>Não</v>
      </c>
      <c r="BW341" s="21" t="str">
        <f ca="1">IFERROR(__xludf.DUMMYFUNCTION("""COMPUTED_VALUE"""),"linkedin.com/in/institutonawa")</f>
        <v>linkedin.com/in/institutonawa</v>
      </c>
      <c r="BX341" s="27" t="str">
        <f ca="1">IFERROR(__xludf.DUMMYFUNCTION("""COMPUTED_VALUE"""),"@institutonawa")</f>
        <v>@institutonawa</v>
      </c>
      <c r="BY341" s="21" t="str">
        <f ca="1">IFERROR(__xludf.DUMMYFUNCTION("""COMPUTED_VALUE"""),"https://drive.google.com/open?id=19q4jDxBhv5lSMysDKMnqKn4pad3AEp5A")</f>
        <v>https://drive.google.com/open?id=19q4jDxBhv5lSMysDKMnqKn4pad3AEp5A</v>
      </c>
    </row>
    <row r="342" spans="1:77" ht="12.5" hidden="1" x14ac:dyDescent="0.25">
      <c r="A342" s="21" t="str">
        <f ca="1">IFERROR(__xludf.DUMMYFUNCTION("""COMPUTED_VALUE"""),"0014X00002VKCseQAH")</f>
        <v>0014X00002VKCseQAH</v>
      </c>
      <c r="B342" s="27" t="str">
        <f ca="1">IFERROR(__xludf.DUMMYFUNCTION("""COMPUTED_VALUE"""),"Fase Inicial")</f>
        <v>Fase Inicial</v>
      </c>
      <c r="C342" s="27" t="str">
        <f ca="1">IFERROR(__xludf.DUMMYFUNCTION("""COMPUTED_VALUE"""),"Fellow")</f>
        <v>Fellow</v>
      </c>
      <c r="D342" s="27" t="str">
        <f ca="1">IFERROR(__xludf.DUMMYFUNCTION("""COMPUTED_VALUE"""),"Ativo")</f>
        <v>Ativo</v>
      </c>
      <c r="E342" s="27" t="str">
        <f ca="1">IFERROR(__xludf.DUMMYFUNCTION("""COMPUTED_VALUE"""),"Instituto Desenvolvimento Esperança")</f>
        <v>Instituto Desenvolvimento Esperança</v>
      </c>
      <c r="F342" s="27" t="str">
        <f ca="1">IFERROR(__xludf.DUMMYFUNCTION("""COMPUTED_VALUE"""),"Janaina")</f>
        <v>Janaina</v>
      </c>
      <c r="G342" s="27" t="str">
        <f ca="1">IFERROR(__xludf.DUMMYFUNCTION("""COMPUTED_VALUE"""),"IDE")</f>
        <v>IDE</v>
      </c>
      <c r="H342" s="27" t="str">
        <f ca="1">IFERROR(__xludf.DUMMYFUNCTION("""COMPUTED_VALUE"""),"27.164.971/0001-23")</f>
        <v>27.164.971/0001-23</v>
      </c>
      <c r="I342" s="27" t="str">
        <f ca="1">IFERROR(__xludf.DUMMYFUNCTION("""COMPUTED_VALUE"""),"Janaina de Andrade Alves")</f>
        <v>Janaina de Andrade Alves</v>
      </c>
      <c r="J342" s="27" t="str">
        <f ca="1">IFERROR(__xludf.DUMMYFUNCTION("""COMPUTED_VALUE"""),"jana.alves39@yahoo.com")</f>
        <v>jana.alves39@yahoo.com</v>
      </c>
      <c r="K342" s="27" t="str">
        <f ca="1">IFERROR(__xludf.DUMMYFUNCTION("""COMPUTED_VALUE"""),"(21)97008-4155")</f>
        <v>(21)97008-4155</v>
      </c>
      <c r="L342" s="27" t="str">
        <f ca="1">IFERROR(__xludf.DUMMYFUNCTION("""COMPUTED_VALUE"""),"RJ")</f>
        <v>RJ</v>
      </c>
      <c r="M342" s="27" t="str">
        <f ca="1">IFERROR(__xludf.DUMMYFUNCTION("""COMPUTED_VALUE"""),"Rua Ponto chique")</f>
        <v>Rua Ponto chique</v>
      </c>
      <c r="N342" s="27" t="str">
        <f ca="1">IFERROR(__xludf.DUMMYFUNCTION("""COMPUTED_VALUE"""),"Cordovil")</f>
        <v>Cordovil</v>
      </c>
      <c r="O342" s="27">
        <f ca="1">IFERROR(__xludf.DUMMYFUNCTION("""COMPUTED_VALUE"""),29)</f>
        <v>29</v>
      </c>
      <c r="P342" s="27" t="str">
        <f ca="1">IFERROR(__xludf.DUMMYFUNCTION("""COMPUTED_VALUE"""),"Rio de Janeiro")</f>
        <v>Rio de Janeiro</v>
      </c>
      <c r="Q342" s="27" t="str">
        <f ca="1">IFERROR(__xludf.DUMMYFUNCTION("""COMPUTED_VALUE"""),"Loja B")</f>
        <v>Loja B</v>
      </c>
      <c r="R342" s="27" t="str">
        <f ca="1">IFERROR(__xludf.DUMMYFUNCTION("""COMPUTED_VALUE"""),"21010-315")</f>
        <v>21010-315</v>
      </c>
      <c r="S342" s="27" t="str">
        <f ca="1">IFERROR(__xludf.DUMMYFUNCTION("""COMPUTED_VALUE"""),"Praças e escola de samba")</f>
        <v>Praças e escola de samba</v>
      </c>
      <c r="T342" s="27"/>
      <c r="U342" s="27" t="str">
        <f ca="1">IFERROR(__xludf.DUMMYFUNCTION("""COMPUTED_VALUE"""),"Jovens (18 aos 24 anos), Adultos, Idosos (60 anos ou mais)")</f>
        <v>Jovens (18 aos 24 anos), Adultos, Idosos (60 anos ou mais)</v>
      </c>
      <c r="V342" s="27" t="str">
        <f ca="1">IFERROR(__xludf.DUMMYFUNCTION("""COMPUTED_VALUE"""),"Moradores de Favelas")</f>
        <v>Moradores de Favelas</v>
      </c>
      <c r="W342" s="27">
        <f ca="1">IFERROR(__xludf.DUMMYFUNCTION("""COMPUTED_VALUE"""),5)</f>
        <v>5</v>
      </c>
      <c r="X342" s="27"/>
      <c r="Y342" s="27"/>
      <c r="Z342" s="27">
        <f ca="1">IFERROR(__xludf.DUMMYFUNCTION("""COMPUTED_VALUE"""),100)</f>
        <v>100</v>
      </c>
      <c r="AA342" s="29">
        <f ca="1">IFERROR(__xludf.DUMMYFUNCTION("""COMPUTED_VALUE"""),42787)</f>
        <v>42787</v>
      </c>
      <c r="AB342" s="27" t="str">
        <f ca="1">IFERROR(__xludf.DUMMYFUNCTION("""COMPUTED_VALUE"""),"Não")</f>
        <v>Não</v>
      </c>
      <c r="AC342" s="27">
        <f ca="1">IFERROR(__xludf.DUMMYFUNCTION("""COMPUTED_VALUE"""),0)</f>
        <v>0</v>
      </c>
      <c r="AD342" s="27">
        <f ca="1">IFERROR(__xludf.DUMMYFUNCTION("""COMPUTED_VALUE"""),1)</f>
        <v>1</v>
      </c>
      <c r="AE342" s="27">
        <f ca="1">IFERROR(__xludf.DUMMYFUNCTION("""COMPUTED_VALUE"""),5)</f>
        <v>5</v>
      </c>
      <c r="AF342" s="27">
        <f ca="1">IFERROR(__xludf.DUMMYFUNCTION("""COMPUTED_VALUE"""),1)</f>
        <v>1</v>
      </c>
      <c r="AG342" s="27">
        <f ca="1">IFERROR(__xludf.DUMMYFUNCTION("""COMPUTED_VALUE"""),4)</f>
        <v>4</v>
      </c>
      <c r="AH342" s="27" t="str">
        <f ca="1">IFERROR(__xludf.DUMMYFUNCTION("""COMPUTED_VALUE"""),"Eventos/Ações para captação, Plataforma doação online - Pessoa Física, Doações, Recursos próprios")</f>
        <v>Eventos/Ações para captação, Plataforma doação online - Pessoa Física, Doações, Recursos próprios</v>
      </c>
      <c r="AI342" s="27" t="str">
        <f ca="1">IFERROR(__xludf.DUMMYFUNCTION("""COMPUTED_VALUE"""),"50% próprio   20% doações  20% eventos 10% plataforma")</f>
        <v>50% próprio   20% doações  20% eventos 10% plataforma</v>
      </c>
      <c r="AJ342" s="27" t="str">
        <f ca="1">IFERROR(__xludf.DUMMYFUNCTION("""COMPUTED_VALUE"""),"Vamos iniciar esse ano")</f>
        <v>Vamos iniciar esse ano</v>
      </c>
      <c r="AK342" s="27"/>
      <c r="AL342" s="21" t="str">
        <f ca="1">IFERROR(__xludf.DUMMYFUNCTION("""COMPUTED_VALUE"""),"0034X0000380O3J")</f>
        <v>0034X0000380O3J</v>
      </c>
      <c r="AM342" s="27" t="str">
        <f ca="1">IFERROR(__xludf.DUMMYFUNCTION("""COMPUTED_VALUE"""),"De andrade alves")</f>
        <v>De andrade alves</v>
      </c>
      <c r="AN342" s="27" t="str">
        <f ca="1">IFERROR(__xludf.DUMMYFUNCTION("""COMPUTED_VALUE"""),"Ativo")</f>
        <v>Ativo</v>
      </c>
      <c r="AO342" s="29">
        <f ca="1">IFERROR(__xludf.DUMMYFUNCTION("""COMPUTED_VALUE"""),44763)</f>
        <v>44763</v>
      </c>
      <c r="AP342" s="27">
        <f ca="1">IFERROR(__xludf.DUMMYFUNCTION("""COMPUTED_VALUE"""),2)</f>
        <v>2</v>
      </c>
      <c r="AQ342" s="27" t="str">
        <f ca="1">IFERROR(__xludf.DUMMYFUNCTION("""COMPUTED_VALUE"""),"Primeiro Semestre 2022")</f>
        <v>Primeiro Semestre 2022</v>
      </c>
      <c r="AR342" s="27" t="str">
        <f ca="1">IFERROR(__xludf.DUMMYFUNCTION("""COMPUTED_VALUE"""),"jana.andradealves@gmail.com")</f>
        <v>jana.andradealves@gmail.com</v>
      </c>
      <c r="AS342" s="27" t="str">
        <f ca="1">IFERROR(__xludf.DUMMYFUNCTION("""COMPUTED_VALUE"""),"(21)97008-4155")</f>
        <v>(21)97008-4155</v>
      </c>
      <c r="AT342" s="29">
        <f ca="1">IFERROR(__xludf.DUMMYFUNCTION("""COMPUTED_VALUE"""),29165)</f>
        <v>29165</v>
      </c>
      <c r="AU342" s="27">
        <f ca="1">IFERROR(__xludf.DUMMYFUNCTION("""COMPUTED_VALUE"""),43)</f>
        <v>43</v>
      </c>
      <c r="AV342" s="27">
        <f ca="1">IFERROR(__xludf.DUMMYFUNCTION("""COMPUTED_VALUE"""),5197057777)</f>
        <v>5197057777</v>
      </c>
      <c r="AW342" s="27">
        <f ca="1">IFERROR(__xludf.DUMMYFUNCTION("""COMPUTED_VALUE"""),116047648)</f>
        <v>116047648</v>
      </c>
      <c r="AX342" s="27"/>
      <c r="AY342" s="27" t="str">
        <f ca="1">IFERROR(__xludf.DUMMYFUNCTION("""COMPUTED_VALUE"""),"Ceo")</f>
        <v>Ceo</v>
      </c>
      <c r="AZ342" s="27" t="str">
        <f ca="1">IFERROR(__xludf.DUMMYFUNCTION("""COMPUTED_VALUE"""),"GG")</f>
        <v>GG</v>
      </c>
      <c r="BA342" s="27" t="str">
        <f ca="1">IFERROR(__xludf.DUMMYFUNCTION("""COMPUTED_VALUE"""),"Parda")</f>
        <v>Parda</v>
      </c>
      <c r="BB342" s="27"/>
      <c r="BC342" s="27"/>
      <c r="BD342" s="27" t="str">
        <f ca="1">IFERROR(__xludf.DUMMYFUNCTION("""COMPUTED_VALUE"""),"Me chamo Janaina Alves moro em Cordovil nascida na favela da Cidade Alta que até hoje continuo morando, tenho 42 anos sou vó e esposa e minha vida é ser gestora social pois Creci vendo minha mãe fazendo o que hoje e minha vida.
Estou estudando serviço soc"&amp;"ial e gestão no terceiro setor na universidade.")</f>
        <v>Me chamo Janaina Alves moro em Cordovil nascida na favela da Cidade Alta que até hoje continuo morando, tenho 42 anos sou vó e esposa e minha vida é ser gestora social pois Creci vendo minha mãe fazendo o que hoje e minha vida.
Estou estudando serviço social e gestão no terceiro setor na universidade.</v>
      </c>
      <c r="BE342" s="27" t="str">
        <f ca="1">IFERROR(__xludf.DUMMYFUNCTION("""COMPUTED_VALUE"""),"Outro(s)")</f>
        <v>Outro(s)</v>
      </c>
      <c r="BF342" s="27" t="str">
        <f ca="1">IFERROR(__xludf.DUMMYFUNCTION("""COMPUTED_VALUE"""),"Heterossexual")</f>
        <v>Heterossexual</v>
      </c>
      <c r="BG342" s="27" t="str">
        <f ca="1">IFERROR(__xludf.DUMMYFUNCTION("""COMPUTED_VALUE"""),"Ensino Superior - Incompleto")</f>
        <v>Ensino Superior - Incompleto</v>
      </c>
      <c r="BH342" s="27" t="str">
        <f ca="1">IFERROR(__xludf.DUMMYFUNCTION("""COMPUTED_VALUE"""),"Público")</f>
        <v>Público</v>
      </c>
      <c r="BI342" s="27" t="str">
        <f ca="1">IFERROR(__xludf.DUMMYFUNCTION("""COMPUTED_VALUE"""),"Graduação")</f>
        <v>Graduação</v>
      </c>
      <c r="BJ342" s="27" t="str">
        <f ca="1">IFERROR(__xludf.DUMMYFUNCTION("""COMPUTED_VALUE"""),"Privado")</f>
        <v>Privado</v>
      </c>
      <c r="BK342" s="27" t="str">
        <f ca="1">IFERROR(__xludf.DUMMYFUNCTION("""COMPUTED_VALUE"""),"Rua Ponto chique")</f>
        <v>Rua Ponto chique</v>
      </c>
      <c r="BL342" s="27">
        <f ca="1">IFERROR(__xludf.DUMMYFUNCTION("""COMPUTED_VALUE"""),29)</f>
        <v>29</v>
      </c>
      <c r="BM342" s="27" t="str">
        <f ca="1">IFERROR(__xludf.DUMMYFUNCTION("""COMPUTED_VALUE"""),"Ed Rio comprido Apt 107 BL 02")</f>
        <v>Ed Rio comprido Apt 107 BL 02</v>
      </c>
      <c r="BN342" s="27" t="str">
        <f ca="1">IFERROR(__xludf.DUMMYFUNCTION("""COMPUTED_VALUE"""),"Rio de Janeiro")</f>
        <v>Rio de Janeiro</v>
      </c>
      <c r="BO342" s="27" t="str">
        <f ca="1">IFERROR(__xludf.DUMMYFUNCTION("""COMPUTED_VALUE"""),"21010-315")</f>
        <v>21010-315</v>
      </c>
      <c r="BP342" s="27" t="str">
        <f ca="1">IFERROR(__xludf.DUMMYFUNCTION("""COMPUTED_VALUE"""),"RJ")</f>
        <v>RJ</v>
      </c>
      <c r="BQ342" s="27" t="str">
        <f ca="1">IFERROR(__xludf.DUMMYFUNCTION("""COMPUTED_VALUE"""),"Entre 1 até 3 salários mínimos")</f>
        <v>Entre 1 até 3 salários mínimos</v>
      </c>
      <c r="BR342" s="27" t="str">
        <f ca="1">IFERROR(__xludf.DUMMYFUNCTION("""COMPUTED_VALUE"""),"CLT, MEI")</f>
        <v>CLT, MEI</v>
      </c>
      <c r="BS342" s="27" t="str">
        <f ca="1">IFERROR(__xludf.DUMMYFUNCTION("""COMPUTED_VALUE"""),"Casa própria")</f>
        <v>Casa própria</v>
      </c>
      <c r="BT342" s="27">
        <f ca="1">IFERROR(__xludf.DUMMYFUNCTION("""COMPUTED_VALUE"""),4)</f>
        <v>4</v>
      </c>
      <c r="BU342" s="27" t="str">
        <f ca="1">IFERROR(__xludf.DUMMYFUNCTION("""COMPUTED_VALUE"""),"Não tem")</f>
        <v>Não tem</v>
      </c>
      <c r="BV342" s="27" t="str">
        <f ca="1">IFERROR(__xludf.DUMMYFUNCTION("""COMPUTED_VALUE"""),"Não")</f>
        <v>Não</v>
      </c>
      <c r="BW342" s="27"/>
      <c r="BX342" s="27" t="str">
        <f ca="1">IFERROR(__xludf.DUMMYFUNCTION("""COMPUTED_VALUE"""),"Eu.janainaalves")</f>
        <v>Eu.janainaalves</v>
      </c>
      <c r="BY342" s="21" t="str">
        <f ca="1">IFERROR(__xludf.DUMMYFUNCTION("""COMPUTED_VALUE"""),"https://drive.google.com/open?id=1LSeWpAYeYt-11CkpjLIFwsam5QN6fluS")</f>
        <v>https://drive.google.com/open?id=1LSeWpAYeYt-11CkpjLIFwsam5QN6fluS</v>
      </c>
    </row>
    <row r="343" spans="1:77" ht="12.5" hidden="1" x14ac:dyDescent="0.25">
      <c r="A343" s="21" t="str">
        <f ca="1">IFERROR(__xludf.DUMMYFUNCTION("""COMPUTED_VALUE"""),"0014X00002VKCphQAH")</f>
        <v>0014X00002VKCphQAH</v>
      </c>
      <c r="B343" s="27" t="str">
        <f ca="1">IFERROR(__xludf.DUMMYFUNCTION("""COMPUTED_VALUE"""),"Fase Inicial")</f>
        <v>Fase Inicial</v>
      </c>
      <c r="C343" s="27" t="str">
        <f ca="1">IFERROR(__xludf.DUMMYFUNCTION("""COMPUTED_VALUE"""),"Fellow")</f>
        <v>Fellow</v>
      </c>
      <c r="D343" s="27" t="str">
        <f ca="1">IFERROR(__xludf.DUMMYFUNCTION("""COMPUTED_VALUE"""),"Ativo")</f>
        <v>Ativo</v>
      </c>
      <c r="E343" s="27" t="str">
        <f ca="1">IFERROR(__xludf.DUMMYFUNCTION("""COMPUTED_VALUE"""),"Instituto Dica Ferreira")</f>
        <v>Instituto Dica Ferreira</v>
      </c>
      <c r="F343" s="27" t="str">
        <f ca="1">IFERROR(__xludf.DUMMYFUNCTION("""COMPUTED_VALUE"""),"Alexsandro")</f>
        <v>Alexsandro</v>
      </c>
      <c r="G343" s="27" t="str">
        <f ca="1">IFERROR(__xludf.DUMMYFUNCTION("""COMPUTED_VALUE"""),"INSTITUTO DICA FERREIRA")</f>
        <v>INSTITUTO DICA FERREIRA</v>
      </c>
      <c r="H343" s="27" t="str">
        <f ca="1">IFERROR(__xludf.DUMMYFUNCTION("""COMPUTED_VALUE"""),"38.344.415/0001-55")</f>
        <v>38.344.415/0001-55</v>
      </c>
      <c r="I343" s="27" t="str">
        <f ca="1">IFERROR(__xludf.DUMMYFUNCTION("""COMPUTED_VALUE"""),"Alexsandro de Jesus Ferreira Pereira")</f>
        <v>Alexsandro de Jesus Ferreira Pereira</v>
      </c>
      <c r="J343" s="27" t="str">
        <f ca="1">IFERROR(__xludf.DUMMYFUNCTION("""COMPUTED_VALUE"""),"institutodicaferreira@gmail.com")</f>
        <v>institutodicaferreira@gmail.com</v>
      </c>
      <c r="K343" s="27" t="str">
        <f ca="1">IFERROR(__xludf.DUMMYFUNCTION("""COMPUTED_VALUE"""),"(98)98731-3150")</f>
        <v>(98)98731-3150</v>
      </c>
      <c r="L343" s="27" t="str">
        <f ca="1">IFERROR(__xludf.DUMMYFUNCTION("""COMPUTED_VALUE"""),"MA")</f>
        <v>MA</v>
      </c>
      <c r="M343" s="27" t="str">
        <f ca="1">IFERROR(__xludf.DUMMYFUNCTION("""COMPUTED_VALUE"""),"Rua 6, Alto do Parque Timbira- Bom Jesus")</f>
        <v>Rua 6, Alto do Parque Timbira- Bom Jesus</v>
      </c>
      <c r="N343" s="27" t="str">
        <f ca="1">IFERROR(__xludf.DUMMYFUNCTION("""COMPUTED_VALUE"""),"Bom Jesus")</f>
        <v>Bom Jesus</v>
      </c>
      <c r="O343" s="27">
        <f ca="1">IFERROR(__xludf.DUMMYFUNCTION("""COMPUTED_VALUE"""),24)</f>
        <v>24</v>
      </c>
      <c r="P343" s="27" t="str">
        <f ca="1">IFERROR(__xludf.DUMMYFUNCTION("""COMPUTED_VALUE"""),"São Luís")</f>
        <v>São Luís</v>
      </c>
      <c r="Q343" s="27"/>
      <c r="R343" s="27" t="str">
        <f ca="1">IFERROR(__xludf.DUMMYFUNCTION("""COMPUTED_VALUE"""),"65042-080")</f>
        <v>65042-080</v>
      </c>
      <c r="S343" s="27" t="str">
        <f ca="1">IFERROR(__xludf.DUMMYFUNCTION("""COMPUTED_VALUE"""),"Igreja Católica da Comunidade, Praça do bairro")</f>
        <v>Igreja Católica da Comunidade, Praça do bairro</v>
      </c>
      <c r="T343" s="27"/>
      <c r="U343" s="27" t="str">
        <f ca="1">IFERROR(__xludf.DUMMYFUNCTION("""COMPUTED_VALUE"""),"Crianças (6 a 12 anos), Adolescentes (12 aos 18 anos), Jovens (18 aos 24 anos), Adultos, Idosos (60 anos ou mais)")</f>
        <v>Crianças (6 a 12 anos), Adolescentes (12 aos 18 anos), Jovens (18 aos 24 anos), Adultos, Idosos (60 anos ou mais)</v>
      </c>
      <c r="V343" s="27" t="str">
        <f ca="1">IFERROR(__xludf.DUMMYFUNCTION("""COMPUTED_VALUE"""),"Moradores de Favelas, Pessoas em situação de rua, População LGBTQ+, Quilombola, Afrodescendentes")</f>
        <v>Moradores de Favelas, Pessoas em situação de rua, População LGBTQ+, Quilombola, Afrodescendentes</v>
      </c>
      <c r="W343" s="27">
        <f ca="1">IFERROR(__xludf.DUMMYFUNCTION("""COMPUTED_VALUE"""),15)</f>
        <v>15</v>
      </c>
      <c r="X343" s="27" t="str">
        <f ca="1">IFERROR(__xludf.DUMMYFUNCTION("""COMPUTED_VALUE"""),"atendemos por meio das acoes públicos variados jovens* crianças e adultos")</f>
        <v>atendemos por meio das acoes públicos variados jovens* crianças e adultos</v>
      </c>
      <c r="Y343" s="27"/>
      <c r="Z343" s="27">
        <f ca="1">IFERROR(__xludf.DUMMYFUNCTION("""COMPUTED_VALUE"""),500)</f>
        <v>500</v>
      </c>
      <c r="AA343" s="29">
        <f ca="1">IFERROR(__xludf.DUMMYFUNCTION("""COMPUTED_VALUE"""),43707)</f>
        <v>43707</v>
      </c>
      <c r="AB343" s="27" t="str">
        <f ca="1">IFERROR(__xludf.DUMMYFUNCTION("""COMPUTED_VALUE"""),"Sim")</f>
        <v>Sim</v>
      </c>
      <c r="AC343" s="27">
        <f ca="1">IFERROR(__xludf.DUMMYFUNCTION("""COMPUTED_VALUE"""),0)</f>
        <v>0</v>
      </c>
      <c r="AD343" s="27">
        <f ca="1">IFERROR(__xludf.DUMMYFUNCTION("""COMPUTED_VALUE"""),30)</f>
        <v>30</v>
      </c>
      <c r="AE343" s="27">
        <f ca="1">IFERROR(__xludf.DUMMYFUNCTION("""COMPUTED_VALUE"""),30)</f>
        <v>30</v>
      </c>
      <c r="AF343" s="27">
        <f ca="1">IFERROR(__xludf.DUMMYFUNCTION("""COMPUTED_VALUE"""),30)</f>
        <v>30</v>
      </c>
      <c r="AG343" s="27">
        <f ca="1">IFERROR(__xludf.DUMMYFUNCTION("""COMPUTED_VALUE"""),3)</f>
        <v>3</v>
      </c>
      <c r="AH343" s="27" t="str">
        <f ca="1">IFERROR(__xludf.DUMMYFUNCTION("""COMPUTED_VALUE"""),"Eventos/Ações para captação, Editais, Doações")</f>
        <v>Eventos/Ações para captação, Editais, Doações</v>
      </c>
      <c r="AI343" s="27" t="str">
        <f ca="1">IFERROR(__xludf.DUMMYFUNCTION("""COMPUTED_VALUE"""),"eventos - 5%; editais - 70% doações - 25%")</f>
        <v>eventos - 5%; editais - 70% doações - 25%</v>
      </c>
      <c r="AJ343" s="27" t="str">
        <f ca="1">IFERROR(__xludf.DUMMYFUNCTION("""COMPUTED_VALUE"""),"Vamos iniciar esse ano")</f>
        <v>Vamos iniciar esse ano</v>
      </c>
      <c r="AK343" s="27"/>
      <c r="AL343" s="21" t="str">
        <f ca="1">IFERROR(__xludf.DUMMYFUNCTION("""COMPUTED_VALUE"""),"0034X0000380O4y")</f>
        <v>0034X0000380O4y</v>
      </c>
      <c r="AM343" s="27" t="str">
        <f ca="1">IFERROR(__xludf.DUMMYFUNCTION("""COMPUTED_VALUE"""),"De jesus ferreira pereira")</f>
        <v>De jesus ferreira pereira</v>
      </c>
      <c r="AN343" s="27" t="str">
        <f ca="1">IFERROR(__xludf.DUMMYFUNCTION("""COMPUTED_VALUE"""),"Ativo")</f>
        <v>Ativo</v>
      </c>
      <c r="AO343" s="29">
        <f ca="1">IFERROR(__xludf.DUMMYFUNCTION("""COMPUTED_VALUE"""),44763)</f>
        <v>44763</v>
      </c>
      <c r="AP343" s="27">
        <f ca="1">IFERROR(__xludf.DUMMYFUNCTION("""COMPUTED_VALUE"""),2)</f>
        <v>2</v>
      </c>
      <c r="AQ343" s="27" t="str">
        <f ca="1">IFERROR(__xludf.DUMMYFUNCTION("""COMPUTED_VALUE"""),"Primeiro Semestre 2022")</f>
        <v>Primeiro Semestre 2022</v>
      </c>
      <c r="AR343" s="27" t="str">
        <f ca="1">IFERROR(__xludf.DUMMYFUNCTION("""COMPUTED_VALUE"""),"andropereira2018@gmail.com")</f>
        <v>andropereira2018@gmail.com</v>
      </c>
      <c r="AS343" s="27" t="str">
        <f ca="1">IFERROR(__xludf.DUMMYFUNCTION("""COMPUTED_VALUE"""),"(98)98731-3150")</f>
        <v>(98)98731-3150</v>
      </c>
      <c r="AT343" s="29">
        <f ca="1">IFERROR(__xludf.DUMMYFUNCTION("""COMPUTED_VALUE"""),33350)</f>
        <v>33350</v>
      </c>
      <c r="AU343" s="27">
        <f ca="1">IFERROR(__xludf.DUMMYFUNCTION("""COMPUTED_VALUE"""),31)</f>
        <v>31</v>
      </c>
      <c r="AV343" s="27">
        <f ca="1">IFERROR(__xludf.DUMMYFUNCTION("""COMPUTED_VALUE"""),4966707358)</f>
        <v>4966707358</v>
      </c>
      <c r="AW343" s="27">
        <f ca="1">IFERROR(__xludf.DUMMYFUNCTION("""COMPUTED_VALUE"""),314654620065)</f>
        <v>314654620065</v>
      </c>
      <c r="AX343" s="27"/>
      <c r="AY343" s="27" t="str">
        <f ca="1">IFERROR(__xludf.DUMMYFUNCTION("""COMPUTED_VALUE"""),"presidente")</f>
        <v>presidente</v>
      </c>
      <c r="AZ343" s="27" t="str">
        <f ca="1">IFERROR(__xludf.DUMMYFUNCTION("""COMPUTED_VALUE"""),"G")</f>
        <v>G</v>
      </c>
      <c r="BA343" s="27" t="str">
        <f ca="1">IFERROR(__xludf.DUMMYFUNCTION("""COMPUTED_VALUE"""),"Preta")</f>
        <v>Preta</v>
      </c>
      <c r="BB343" s="27"/>
      <c r="BC343" s="27"/>
      <c r="BD343" s="27" t="str">
        <f ca="1">IFERROR(__xludf.DUMMYFUNCTION("""COMPUTED_VALUE"""),"É um jovem preto, favelado, morador da 4 maior favela do país, Polo Coroadinho, localizado em São Luís do Maranhão. Filho de agente de saúde Dica (grande lutadora dos movimentos sociais e na defesa do direito) com ambulante Cassiano. Hoje Engenheiro Civil"&amp;" pela faculdade Estácio, e atualmente presidente do instituto Dica Ferreira, na sua história de vida sempre esteve engajado nas atividades sociais, pois dentro de casa tinha uma professora militante para a vida, sua Mãe")</f>
        <v>É um jovem preto, favelado, morador da 4 maior favela do país, Polo Coroadinho, localizado em São Luís do Maranhão. Filho de agente de saúde Dica (grande lutadora dos movimentos sociais e na defesa do direito) com ambulante Cassiano. Hoje Engenheiro Civil pela faculdade Estácio, e atualmente presidente do instituto Dica Ferreira, na sua história de vida sempre esteve engajado nas atividades sociais, pois dentro de casa tinha uma professora militante para a vida, sua Mãe</v>
      </c>
      <c r="BE343" s="27" t="str">
        <f ca="1">IFERROR(__xludf.DUMMYFUNCTION("""COMPUTED_VALUE"""),"Homem, cisgênero")</f>
        <v>Homem, cisgênero</v>
      </c>
      <c r="BF343" s="27" t="str">
        <f ca="1">IFERROR(__xludf.DUMMYFUNCTION("""COMPUTED_VALUE"""),"Heterossexual")</f>
        <v>Heterossexual</v>
      </c>
      <c r="BG343" s="27" t="str">
        <f ca="1">IFERROR(__xludf.DUMMYFUNCTION("""COMPUTED_VALUE"""),"Ensino Superior - Completo")</f>
        <v>Ensino Superior - Completo</v>
      </c>
      <c r="BH343" s="27" t="str">
        <f ca="1">IFERROR(__xludf.DUMMYFUNCTION("""COMPUTED_VALUE"""),"Público")</f>
        <v>Público</v>
      </c>
      <c r="BI343" s="27" t="str">
        <f ca="1">IFERROR(__xludf.DUMMYFUNCTION("""COMPUTED_VALUE"""),"Pós-Graduação")</f>
        <v>Pós-Graduação</v>
      </c>
      <c r="BJ343" s="27" t="str">
        <f ca="1">IFERROR(__xludf.DUMMYFUNCTION("""COMPUTED_VALUE"""),"Privado")</f>
        <v>Privado</v>
      </c>
      <c r="BK343" s="27" t="str">
        <f ca="1">IFERROR(__xludf.DUMMYFUNCTION("""COMPUTED_VALUE"""),"Rua Nossa Senhora da Guia")</f>
        <v>Rua Nossa Senhora da Guia</v>
      </c>
      <c r="BL343" s="27">
        <f ca="1">IFERROR(__xludf.DUMMYFUNCTION("""COMPUTED_VALUE"""),4)</f>
        <v>4</v>
      </c>
      <c r="BM343" s="27"/>
      <c r="BN343" s="27" t="str">
        <f ca="1">IFERROR(__xludf.DUMMYFUNCTION("""COMPUTED_VALUE"""),"São Luis")</f>
        <v>São Luis</v>
      </c>
      <c r="BO343" s="27" t="str">
        <f ca="1">IFERROR(__xludf.DUMMYFUNCTION("""COMPUTED_VALUE"""),"65044-080")</f>
        <v>65044-080</v>
      </c>
      <c r="BP343" s="27" t="str">
        <f ca="1">IFERROR(__xludf.DUMMYFUNCTION("""COMPUTED_VALUE"""),"MA")</f>
        <v>MA</v>
      </c>
      <c r="BQ343" s="27" t="str">
        <f ca="1">IFERROR(__xludf.DUMMYFUNCTION("""COMPUTED_VALUE"""),"Entre 1 até 3 salários mínimos")</f>
        <v>Entre 1 até 3 salários mínimos</v>
      </c>
      <c r="BR343" s="27" t="str">
        <f ca="1">IFERROR(__xludf.DUMMYFUNCTION("""COMPUTED_VALUE"""),"Trabalho informal")</f>
        <v>Trabalho informal</v>
      </c>
      <c r="BS343" s="27" t="str">
        <f ca="1">IFERROR(__xludf.DUMMYFUNCTION("""COMPUTED_VALUE"""),"Casa própria")</f>
        <v>Casa própria</v>
      </c>
      <c r="BT343" s="27">
        <f ca="1">IFERROR(__xludf.DUMMYFUNCTION("""COMPUTED_VALUE"""),4)</f>
        <v>4</v>
      </c>
      <c r="BU343" s="27" t="str">
        <f ca="1">IFERROR(__xludf.DUMMYFUNCTION("""COMPUTED_VALUE"""),"Não tem")</f>
        <v>Não tem</v>
      </c>
      <c r="BV343" s="27" t="str">
        <f ca="1">IFERROR(__xludf.DUMMYFUNCTION("""COMPUTED_VALUE"""),"Não")</f>
        <v>Não</v>
      </c>
      <c r="BW343" s="27"/>
      <c r="BX343" s="21" t="str">
        <f ca="1">IFERROR(__xludf.DUMMYFUNCTION("""COMPUTED_VALUE"""),"https://www.instagram.com/alexsandro_pereira123/")</f>
        <v>https://www.instagram.com/alexsandro_pereira123/</v>
      </c>
      <c r="BY343" s="21" t="str">
        <f ca="1">IFERROR(__xludf.DUMMYFUNCTION("""COMPUTED_VALUE"""),"https://drive.google.com/open?id=1q-agZp08I5VaRJ1fzWpFPO5w-O5SGTix")</f>
        <v>https://drive.google.com/open?id=1q-agZp08I5VaRJ1fzWpFPO5w-O5SGTix</v>
      </c>
    </row>
    <row r="344" spans="1:77" ht="12.5" hidden="1" x14ac:dyDescent="0.25">
      <c r="A344" s="21" t="str">
        <f ca="1">IFERROR(__xludf.DUMMYFUNCTION("""COMPUTED_VALUE"""),"0014X00002VKCpqQAH")</f>
        <v>0014X00002VKCpqQAH</v>
      </c>
      <c r="B344" s="27"/>
      <c r="C344" s="27" t="str">
        <f ca="1">IFERROR(__xludf.DUMMYFUNCTION("""COMPUTED_VALUE"""),"Fellow")</f>
        <v>Fellow</v>
      </c>
      <c r="D344" s="27" t="str">
        <f ca="1">IFERROR(__xludf.DUMMYFUNCTION("""COMPUTED_VALUE"""),"Ativo")</f>
        <v>Ativo</v>
      </c>
      <c r="E344" s="27" t="str">
        <f ca="1">IFERROR(__xludf.DUMMYFUNCTION("""COMPUTED_VALUE"""),"Instituto Doando Que Se Recebe")</f>
        <v>Instituto Doando Que Se Recebe</v>
      </c>
      <c r="F344" s="27" t="str">
        <f ca="1">IFERROR(__xludf.DUMMYFUNCTION("""COMPUTED_VALUE"""),"Cristiane")</f>
        <v>Cristiane</v>
      </c>
      <c r="G344" s="27" t="str">
        <f ca="1">IFERROR(__xludf.DUMMYFUNCTION("""COMPUTED_VALUE"""),"INSTITUTO DOANDO QUE SE RECEBE")</f>
        <v>INSTITUTO DOANDO QUE SE RECEBE</v>
      </c>
      <c r="H344" s="27" t="str">
        <f ca="1">IFERROR(__xludf.DUMMYFUNCTION("""COMPUTED_VALUE"""),"43.153.689/0001-05")</f>
        <v>43.153.689/0001-05</v>
      </c>
      <c r="I344" s="27" t="str">
        <f ca="1">IFERROR(__xludf.DUMMYFUNCTION("""COMPUTED_VALUE"""),"Cristiane Silva de Carvalho")</f>
        <v>Cristiane Silva de Carvalho</v>
      </c>
      <c r="J344" s="27" t="str">
        <f ca="1">IFERROR(__xludf.DUMMYFUNCTION("""COMPUTED_VALUE"""),"institutodoandoqueserecebe@gmail.com")</f>
        <v>institutodoandoqueserecebe@gmail.com</v>
      </c>
      <c r="K344" s="27" t="str">
        <f ca="1">IFERROR(__xludf.DUMMYFUNCTION("""COMPUTED_VALUE"""),"(85)988970084/987747330")</f>
        <v>(85)988970084/987747330</v>
      </c>
      <c r="L344" s="27" t="str">
        <f ca="1">IFERROR(__xludf.DUMMYFUNCTION("""COMPUTED_VALUE"""),"CE")</f>
        <v>CE</v>
      </c>
      <c r="M344" s="27" t="str">
        <f ca="1">IFERROR(__xludf.DUMMYFUNCTION("""COMPUTED_VALUE"""),"Rua Einstein")</f>
        <v>Rua Einstein</v>
      </c>
      <c r="N344" s="27" t="str">
        <f ca="1">IFERROR(__xludf.DUMMYFUNCTION("""COMPUTED_VALUE"""),"Vila Peri")</f>
        <v>Vila Peri</v>
      </c>
      <c r="O344" s="27">
        <f ca="1">IFERROR(__xludf.DUMMYFUNCTION("""COMPUTED_VALUE"""),1322)</f>
        <v>1322</v>
      </c>
      <c r="P344" s="27" t="str">
        <f ca="1">IFERROR(__xludf.DUMMYFUNCTION("""COMPUTED_VALUE"""),"Fortaleza")</f>
        <v>Fortaleza</v>
      </c>
      <c r="Q344" s="27"/>
      <c r="R344" s="27" t="str">
        <f ca="1">IFERROR(__xludf.DUMMYFUNCTION("""COMPUTED_VALUE"""),"60730-145")</f>
        <v>60730-145</v>
      </c>
      <c r="S344" s="27"/>
      <c r="T344" s="27"/>
      <c r="U344" s="27"/>
      <c r="V344" s="27"/>
      <c r="W344" s="27">
        <f ca="1">IFERROR(__xludf.DUMMYFUNCTION("""COMPUTED_VALUE"""),3)</f>
        <v>3</v>
      </c>
      <c r="X344" s="27" t="str">
        <f ca="1">IFERROR(__xludf.DUMMYFUNCTION("""COMPUTED_VALUE"""),"O trabalho é feito com crianças de 0 a 14 anos* com famílias cadastradas aonde mensalmente é feita a doação de cesta básica*leite*massa para mingau* frutas e fraldas.
 Com irmãos em situação de rua é levamos alimentação pronta de terça á sábado e o trabal"&amp;"ho com a comunidade é aqui no Instituto* entregando almoço e jantar.
E feito um trabalho com os idosos e o nosso trabalho com as mães grávidas* oficinas* cursos e muito mais na graça de Deus.")</f>
        <v>O trabalho é feito com crianças de 0 a 14 anos* com famílias cadastradas aonde mensalmente é feita a doação de cesta básica*leite*massa para mingau* frutas e fraldas.
 Com irmãos em situação de rua é levamos alimentação pronta de terça á sábado e o trabalho com a comunidade é aqui no Instituto* entregando almoço e jantar.
E feito um trabalho com os idosos e o nosso trabalho com as mães grávidas* oficinas* cursos e muito mais na graça de Deus.</v>
      </c>
      <c r="Y344" s="27"/>
      <c r="Z344" s="27">
        <f ca="1">IFERROR(__xludf.DUMMYFUNCTION("""COMPUTED_VALUE"""),250)</f>
        <v>250</v>
      </c>
      <c r="AA344" s="29">
        <f ca="1">IFERROR(__xludf.DUMMYFUNCTION("""COMPUTED_VALUE"""),39663)</f>
        <v>39663</v>
      </c>
      <c r="AB344" s="27" t="str">
        <f ca="1">IFERROR(__xludf.DUMMYFUNCTION("""COMPUTED_VALUE"""),"Sim")</f>
        <v>Sim</v>
      </c>
      <c r="AC344" s="27"/>
      <c r="AD344" s="27"/>
      <c r="AE344" s="27">
        <f ca="1">IFERROR(__xludf.DUMMYFUNCTION("""COMPUTED_VALUE"""),14)</f>
        <v>14</v>
      </c>
      <c r="AF344" s="27"/>
      <c r="AG344" s="27">
        <f ca="1">IFERROR(__xludf.DUMMYFUNCTION("""COMPUTED_VALUE"""),3)</f>
        <v>3</v>
      </c>
      <c r="AH344" s="27"/>
      <c r="AI344" s="27"/>
      <c r="AJ344" s="27" t="str">
        <f ca="1">IFERROR(__xludf.DUMMYFUNCTION("""COMPUTED_VALUE"""),"Não")</f>
        <v>Não</v>
      </c>
      <c r="AK344" s="27"/>
      <c r="AL344" s="21" t="str">
        <f ca="1">IFERROR(__xludf.DUMMYFUNCTION("""COMPUTED_VALUE"""),"0034X0000380O5q")</f>
        <v>0034X0000380O5q</v>
      </c>
      <c r="AM344" s="27" t="str">
        <f ca="1">IFERROR(__xludf.DUMMYFUNCTION("""COMPUTED_VALUE"""),"Silva de carvalho")</f>
        <v>Silva de carvalho</v>
      </c>
      <c r="AN344" s="27" t="str">
        <f ca="1">IFERROR(__xludf.DUMMYFUNCTION("""COMPUTED_VALUE"""),"Ativo")</f>
        <v>Ativo</v>
      </c>
      <c r="AO344" s="27"/>
      <c r="AP344" s="27"/>
      <c r="AQ344" s="27" t="str">
        <f ca="1">IFERROR(__xludf.DUMMYFUNCTION("""COMPUTED_VALUE"""),"Primeiro Semestre 2022")</f>
        <v>Primeiro Semestre 2022</v>
      </c>
      <c r="AR344" s="27" t="str">
        <f ca="1">IFERROR(__xludf.DUMMYFUNCTION("""COMPUTED_VALUE"""),"edoandoqueserecebe10@gmail.com")</f>
        <v>edoandoqueserecebe10@gmail.com</v>
      </c>
      <c r="AS344" s="27" t="str">
        <f ca="1">IFERROR(__xludf.DUMMYFUNCTION("""COMPUTED_VALUE"""),"(85)987747330")</f>
        <v>(85)987747330</v>
      </c>
      <c r="AT344" s="29">
        <f ca="1">IFERROR(__xludf.DUMMYFUNCTION("""COMPUTED_VALUE"""),31382)</f>
        <v>31382</v>
      </c>
      <c r="AU344" s="27">
        <f ca="1">IFERROR(__xludf.DUMMYFUNCTION("""COMPUTED_VALUE"""),37)</f>
        <v>37</v>
      </c>
      <c r="AV344" s="27">
        <f ca="1">IFERROR(__xludf.DUMMYFUNCTION("""COMPUTED_VALUE"""),2791083383)</f>
        <v>2791083383</v>
      </c>
      <c r="AW344" s="27">
        <f ca="1">IFERROR(__xludf.DUMMYFUNCTION("""COMPUTED_VALUE"""),2003010420113)</f>
        <v>2003010420113</v>
      </c>
      <c r="AX344" s="27"/>
      <c r="AY344" s="27"/>
      <c r="AZ344" s="27" t="str">
        <f ca="1">IFERROR(__xludf.DUMMYFUNCTION("""COMPUTED_VALUE"""),"GG")</f>
        <v>GG</v>
      </c>
      <c r="BA344" s="27" t="str">
        <f ca="1">IFERROR(__xludf.DUMMYFUNCTION("""COMPUTED_VALUE"""),"Parda")</f>
        <v>Parda</v>
      </c>
      <c r="BB344" s="27"/>
      <c r="BC344" s="27"/>
      <c r="BD344" s="27" t="str">
        <f ca="1">IFERROR(__xludf.DUMMYFUNCTION("""COMPUTED_VALUE"""),"A luta para fazer o bem* para tantas pessoas que precisam não é fácil de jeito nenhum. Mas procuro enxergar nessas dificuldades Oportunidades de Continuar e não Parar.")</f>
        <v>A luta para fazer o bem* para tantas pessoas que precisam não é fácil de jeito nenhum. Mas procuro enxergar nessas dificuldades Oportunidades de Continuar e não Parar.</v>
      </c>
      <c r="BE344" s="27" t="str">
        <f ca="1">IFERROR(__xludf.DUMMYFUNCTION("""COMPUTED_VALUE"""),"Feminino")</f>
        <v>Feminino</v>
      </c>
      <c r="BF344" s="27"/>
      <c r="BG344" s="27"/>
      <c r="BH344" s="27" t="str">
        <f ca="1">IFERROR(__xludf.DUMMYFUNCTION("""COMPUTED_VALUE"""),"Público")</f>
        <v>Público</v>
      </c>
      <c r="BI344" s="27"/>
      <c r="BJ344" s="27"/>
      <c r="BK344" s="27" t="str">
        <f ca="1">IFERROR(__xludf.DUMMYFUNCTION("""COMPUTED_VALUE"""),"Rua Einstein")</f>
        <v>Rua Einstein</v>
      </c>
      <c r="BL344" s="27">
        <f ca="1">IFERROR(__xludf.DUMMYFUNCTION("""COMPUTED_VALUE"""),1325)</f>
        <v>1325</v>
      </c>
      <c r="BM344" s="27"/>
      <c r="BN344" s="27"/>
      <c r="BO344" s="27">
        <f ca="1">IFERROR(__xludf.DUMMYFUNCTION("""COMPUTED_VALUE"""),60730145)</f>
        <v>60730145</v>
      </c>
      <c r="BP344" s="27" t="str">
        <f ca="1">IFERROR(__xludf.DUMMYFUNCTION("""COMPUTED_VALUE"""),"CE")</f>
        <v>CE</v>
      </c>
      <c r="BQ344" s="27" t="str">
        <f ca="1">IFERROR(__xludf.DUMMYFUNCTION("""COMPUTED_VALUE"""),"Entre 1 até 3 salários mínimos")</f>
        <v>Entre 1 até 3 salários mínimos</v>
      </c>
      <c r="BR344" s="27" t="str">
        <f ca="1">IFERROR(__xludf.DUMMYFUNCTION("""COMPUTED_VALUE"""),"Trabalho informal")</f>
        <v>Trabalho informal</v>
      </c>
      <c r="BS344" s="27" t="str">
        <f ca="1">IFERROR(__xludf.DUMMYFUNCTION("""COMPUTED_VALUE"""),"Casa própria")</f>
        <v>Casa própria</v>
      </c>
      <c r="BT344" s="27">
        <f ca="1">IFERROR(__xludf.DUMMYFUNCTION("""COMPUTED_VALUE"""),2)</f>
        <v>2</v>
      </c>
      <c r="BU344" s="27" t="str">
        <f ca="1">IFERROR(__xludf.DUMMYFUNCTION("""COMPUTED_VALUE"""),"Não tem")</f>
        <v>Não tem</v>
      </c>
      <c r="BV344" s="27" t="str">
        <f ca="1">IFERROR(__xludf.DUMMYFUNCTION("""COMPUTED_VALUE"""),"Não")</f>
        <v>Não</v>
      </c>
      <c r="BW344" s="27"/>
      <c r="BX344" s="21" t="str">
        <f ca="1">IFERROR(__xludf.DUMMYFUNCTION("""COMPUTED_VALUE"""),"https://instagram.com/lamocamodaeacessorio?utm_medium=copy_link")</f>
        <v>https://instagram.com/lamocamodaeacessorio?utm_medium=copy_link</v>
      </c>
      <c r="BY344" s="21" t="str">
        <f ca="1">IFERROR(__xludf.DUMMYFUNCTION("""COMPUTED_VALUE"""),"https://drive.google.com/open?id=1DEHDZDM4tdR1Er_CNaNX3APZylQ1vCxm")</f>
        <v>https://drive.google.com/open?id=1DEHDZDM4tdR1Er_CNaNX3APZylQ1vCxm</v>
      </c>
    </row>
    <row r="345" spans="1:77" ht="12.5" x14ac:dyDescent="0.25">
      <c r="A345" s="21" t="str">
        <f ca="1">IFERROR(__xludf.DUMMYFUNCTION("""COMPUTED_VALUE"""),"0014X00002VKCpgQAH")</f>
        <v>0014X00002VKCpgQAH</v>
      </c>
      <c r="B345" s="27" t="str">
        <f ca="1">IFERROR(__xludf.DUMMYFUNCTION("""COMPUTED_VALUE"""),"Fase Inicial")</f>
        <v>Fase Inicial</v>
      </c>
      <c r="C345" s="27" t="str">
        <f ca="1">IFERROR(__xludf.DUMMYFUNCTION("""COMPUTED_VALUE"""),"Fellow")</f>
        <v>Fellow</v>
      </c>
      <c r="D345" s="27" t="str">
        <f ca="1">IFERROR(__xludf.DUMMYFUNCTION("""COMPUTED_VALUE"""),"Ativo")</f>
        <v>Ativo</v>
      </c>
      <c r="E345" s="27" t="str">
        <f ca="1">IFERROR(__xludf.DUMMYFUNCTION("""COMPUTED_VALUE"""),"Instituto Dona Maria")</f>
        <v>Instituto Dona Maria</v>
      </c>
      <c r="F345" s="27" t="str">
        <f ca="1">IFERROR(__xludf.DUMMYFUNCTION("""COMPUTED_VALUE"""),"Weliton")</f>
        <v>Weliton</v>
      </c>
      <c r="G345" s="27" t="str">
        <f ca="1">IFERROR(__xludf.DUMMYFUNCTION("""COMPUTED_VALUE"""),"INSTITUTO DONA MARIA")</f>
        <v>INSTITUTO DONA MARIA</v>
      </c>
      <c r="H345" s="27" t="str">
        <f ca="1">IFERROR(__xludf.DUMMYFUNCTION("""COMPUTED_VALUE"""),"44.421.108/0001-23")</f>
        <v>44.421.108/0001-23</v>
      </c>
      <c r="I345" s="27" t="str">
        <f ca="1">IFERROR(__xludf.DUMMYFUNCTION("""COMPUTED_VALUE"""),"Weliton Simão da Silva Santos")</f>
        <v>Weliton Simão da Silva Santos</v>
      </c>
      <c r="J345" s="27" t="str">
        <f ca="1">IFERROR(__xludf.DUMMYFUNCTION("""COMPUTED_VALUE"""),"institutodonamaria@gmail.com")</f>
        <v>institutodonamaria@gmail.com</v>
      </c>
      <c r="K345" s="27" t="str">
        <f ca="1">IFERROR(__xludf.DUMMYFUNCTION("""COMPUTED_VALUE"""),"(82)98123-0914")</f>
        <v>(82)98123-0914</v>
      </c>
      <c r="L345" s="27" t="str">
        <f ca="1">IFERROR(__xludf.DUMMYFUNCTION("""COMPUTED_VALUE"""),"AL")</f>
        <v>AL</v>
      </c>
      <c r="M345" s="27" t="str">
        <f ca="1">IFERROR(__xludf.DUMMYFUNCTION("""COMPUTED_VALUE"""),"Rua joão Pedro")</f>
        <v>Rua joão Pedro</v>
      </c>
      <c r="N345" s="27" t="str">
        <f ca="1">IFERROR(__xludf.DUMMYFUNCTION("""COMPUTED_VALUE"""),"Centro")</f>
        <v>Centro</v>
      </c>
      <c r="O345" s="27">
        <f ca="1">IFERROR(__xludf.DUMMYFUNCTION("""COMPUTED_VALUE"""),264)</f>
        <v>264</v>
      </c>
      <c r="P345" s="27" t="str">
        <f ca="1">IFERROR(__xludf.DUMMYFUNCTION("""COMPUTED_VALUE"""),"Roteiro")</f>
        <v>Roteiro</v>
      </c>
      <c r="Q345" s="27" t="str">
        <f ca="1">IFERROR(__xludf.DUMMYFUNCTION("""COMPUTED_VALUE"""),"Instituto dona maria")</f>
        <v>Instituto dona maria</v>
      </c>
      <c r="R345" s="27" t="str">
        <f ca="1">IFERROR(__xludf.DUMMYFUNCTION("""COMPUTED_VALUE"""),"57257-000")</f>
        <v>57257-000</v>
      </c>
      <c r="S345" s="27" t="str">
        <f ca="1">IFERROR(__xludf.DUMMYFUNCTION("""COMPUTED_VALUE"""),"em escolas")</f>
        <v>em escolas</v>
      </c>
      <c r="T345" s="27"/>
      <c r="U345" s="27" t="str">
        <f ca="1">IFERROR(__xludf.DUMMYFUNCTION("""COMPUTED_VALUE"""),"Crianças (6 a 12 anos), Adolescentes (12 aos 18 anos), Jovens (18 aos 24 anos), Adultos")</f>
        <v>Crianças (6 a 12 anos), Adolescentes (12 aos 18 anos), Jovens (18 aos 24 anos), Adultos</v>
      </c>
      <c r="V345" s="27" t="str">
        <f ca="1">IFERROR(__xludf.DUMMYFUNCTION("""COMPUTED_VALUE"""),"Moradores de Favelas, Comunidade rural, Outros")</f>
        <v>Moradores de Favelas, Comunidade rural, Outros</v>
      </c>
      <c r="W345" s="27">
        <f ca="1">IFERROR(__xludf.DUMMYFUNCTION("""COMPUTED_VALUE"""),1)</f>
        <v>1</v>
      </c>
      <c r="X345" s="27" t="str">
        <f ca="1">IFERROR(__xludf.DUMMYFUNCTION("""COMPUTED_VALUE"""),"Atendemos a cidade como um todo.  As ruas mais perificas são mais carentes e com a maior populção em estado de vulnerabilidade social.")</f>
        <v>Atendemos a cidade como um todo.  As ruas mais perificas são mais carentes e com a maior populção em estado de vulnerabilidade social.</v>
      </c>
      <c r="Y345" s="27"/>
      <c r="Z345" s="27">
        <f ca="1">IFERROR(__xludf.DUMMYFUNCTION("""COMPUTED_VALUE"""),35)</f>
        <v>35</v>
      </c>
      <c r="AA345" s="29">
        <f ca="1">IFERROR(__xludf.DUMMYFUNCTION("""COMPUTED_VALUE"""),43961)</f>
        <v>43961</v>
      </c>
      <c r="AB345" s="27" t="str">
        <f ca="1">IFERROR(__xludf.DUMMYFUNCTION("""COMPUTED_VALUE"""),"Sim")</f>
        <v>Sim</v>
      </c>
      <c r="AC345" s="27">
        <f ca="1">IFERROR(__xludf.DUMMYFUNCTION("""COMPUTED_VALUE"""),1)</f>
        <v>1</v>
      </c>
      <c r="AD345" s="27">
        <f ca="1">IFERROR(__xludf.DUMMYFUNCTION("""COMPUTED_VALUE"""),5)</f>
        <v>5</v>
      </c>
      <c r="AE345" s="27">
        <f ca="1">IFERROR(__xludf.DUMMYFUNCTION("""COMPUTED_VALUE"""),5)</f>
        <v>5</v>
      </c>
      <c r="AF345" s="27">
        <f ca="1">IFERROR(__xludf.DUMMYFUNCTION("""COMPUTED_VALUE"""),5)</f>
        <v>5</v>
      </c>
      <c r="AG345" s="27">
        <f ca="1">IFERROR(__xludf.DUMMYFUNCTION("""COMPUTED_VALUE"""),2)</f>
        <v>2</v>
      </c>
      <c r="AH345" s="27" t="str">
        <f ca="1">IFERROR(__xludf.DUMMYFUNCTION("""COMPUTED_VALUE"""),"Doações, Recursos próprios")</f>
        <v>Doações, Recursos próprios</v>
      </c>
      <c r="AI345" s="27">
        <f ca="1">IFERROR(__xludf.DUMMYFUNCTION("""COMPUTED_VALUE"""),0)</f>
        <v>0</v>
      </c>
      <c r="AJ345" s="27" t="str">
        <f ca="1">IFERROR(__xludf.DUMMYFUNCTION("""COMPUTED_VALUE"""),"Não")</f>
        <v>Não</v>
      </c>
      <c r="AK345" s="27"/>
      <c r="AL345" s="21" t="str">
        <f ca="1">IFERROR(__xludf.DUMMYFUNCTION("""COMPUTED_VALUE"""),"0034X0000380O4R")</f>
        <v>0034X0000380O4R</v>
      </c>
      <c r="AM345" s="27" t="str">
        <f ca="1">IFERROR(__xludf.DUMMYFUNCTION("""COMPUTED_VALUE"""),"Simão da silva santos")</f>
        <v>Simão da silva santos</v>
      </c>
      <c r="AN345" s="27" t="str">
        <f ca="1">IFERROR(__xludf.DUMMYFUNCTION("""COMPUTED_VALUE"""),"Ativo")</f>
        <v>Ativo</v>
      </c>
      <c r="AO345" s="27"/>
      <c r="AP345" s="27"/>
      <c r="AQ345" s="27" t="str">
        <f ca="1">IFERROR(__xludf.DUMMYFUNCTION("""COMPUTED_VALUE"""),"Primeiro Semestre 2022")</f>
        <v>Primeiro Semestre 2022</v>
      </c>
      <c r="AR345" s="27" t="str">
        <f ca="1">IFERROR(__xludf.DUMMYFUNCTION("""COMPUTED_VALUE"""),"institutodonamaria@gmail.com")</f>
        <v>institutodonamaria@gmail.com</v>
      </c>
      <c r="AS345" s="27" t="str">
        <f ca="1">IFERROR(__xludf.DUMMYFUNCTION("""COMPUTED_VALUE"""),"(82)98123-0914")</f>
        <v>(82)98123-0914</v>
      </c>
      <c r="AT345" s="29">
        <f ca="1">IFERROR(__xludf.DUMMYFUNCTION("""COMPUTED_VALUE"""),31449)</f>
        <v>31449</v>
      </c>
      <c r="AU345" s="27">
        <f ca="1">IFERROR(__xludf.DUMMYFUNCTION("""COMPUTED_VALUE"""),36)</f>
        <v>36</v>
      </c>
      <c r="AV345" s="27">
        <f ca="1">IFERROR(__xludf.DUMMYFUNCTION("""COMPUTED_VALUE"""),5934951440)</f>
        <v>5934951440</v>
      </c>
      <c r="AW345" s="27">
        <f ca="1">IFERROR(__xludf.DUMMYFUNCTION("""COMPUTED_VALUE"""),2119621)</f>
        <v>2119621</v>
      </c>
      <c r="AX345" s="27"/>
      <c r="AY345" s="27" t="str">
        <f ca="1">IFERROR(__xludf.DUMMYFUNCTION("""COMPUTED_VALUE"""),"Presidente")</f>
        <v>Presidente</v>
      </c>
      <c r="AZ345" s="27" t="str">
        <f ca="1">IFERROR(__xludf.DUMMYFUNCTION("""COMPUTED_VALUE"""),"M")</f>
        <v>M</v>
      </c>
      <c r="BA345" s="27" t="str">
        <f ca="1">IFERROR(__xludf.DUMMYFUNCTION("""COMPUTED_VALUE"""),"Parda")</f>
        <v>Parda</v>
      </c>
      <c r="BB345" s="27"/>
      <c r="BC345" s="27"/>
      <c r="BD345" s="27" t="str">
        <f ca="1">IFERROR(__xludf.DUMMYFUNCTION("""COMPUTED_VALUE"""),"Nasci e creci na cidade de Roteiro Alagoas,  sempre estudei em escola pública e universidade pública, sou formando em Direito, casado, pai de 4 filhos desenvolvo projetos sociais desde 2008.")</f>
        <v>Nasci e creci na cidade de Roteiro Alagoas,  sempre estudei em escola pública e universidade pública, sou formando em Direito, casado, pai de 4 filhos desenvolvo projetos sociais desde 2008.</v>
      </c>
      <c r="BE345" s="27" t="str">
        <f ca="1">IFERROR(__xludf.DUMMYFUNCTION("""COMPUTED_VALUE"""),"Homem, cisgênero")</f>
        <v>Homem, cisgênero</v>
      </c>
      <c r="BF345" s="27" t="str">
        <f ca="1">IFERROR(__xludf.DUMMYFUNCTION("""COMPUTED_VALUE"""),"Heterossexual")</f>
        <v>Heterossexual</v>
      </c>
      <c r="BG345" s="27" t="str">
        <f ca="1">IFERROR(__xludf.DUMMYFUNCTION("""COMPUTED_VALUE"""),"Ensino Superior - Completo")</f>
        <v>Ensino Superior - Completo</v>
      </c>
      <c r="BH345" s="27" t="str">
        <f ca="1">IFERROR(__xludf.DUMMYFUNCTION("""COMPUTED_VALUE"""),"Público")</f>
        <v>Público</v>
      </c>
      <c r="BI345" s="27" t="str">
        <f ca="1">IFERROR(__xludf.DUMMYFUNCTION("""COMPUTED_VALUE"""),"Graduação")</f>
        <v>Graduação</v>
      </c>
      <c r="BJ345" s="27" t="str">
        <f ca="1">IFERROR(__xludf.DUMMYFUNCTION("""COMPUTED_VALUE"""),"Público")</f>
        <v>Público</v>
      </c>
      <c r="BK345" s="27" t="str">
        <f ca="1">IFERROR(__xludf.DUMMYFUNCTION("""COMPUTED_VALUE"""),"Rua jõa pedro")</f>
        <v>Rua jõa pedro</v>
      </c>
      <c r="BL345" s="27">
        <f ca="1">IFERROR(__xludf.DUMMYFUNCTION("""COMPUTED_VALUE"""),265)</f>
        <v>265</v>
      </c>
      <c r="BM345" s="27"/>
      <c r="BN345" s="27" t="str">
        <f ca="1">IFERROR(__xludf.DUMMYFUNCTION("""COMPUTED_VALUE"""),"Roteiro")</f>
        <v>Roteiro</v>
      </c>
      <c r="BO345" s="27" t="str">
        <f ca="1">IFERROR(__xludf.DUMMYFUNCTION("""COMPUTED_VALUE"""),"57257-000")</f>
        <v>57257-000</v>
      </c>
      <c r="BP345" s="27" t="str">
        <f ca="1">IFERROR(__xludf.DUMMYFUNCTION("""COMPUTED_VALUE"""),"AL")</f>
        <v>AL</v>
      </c>
      <c r="BQ345" s="27" t="str">
        <f ca="1">IFERROR(__xludf.DUMMYFUNCTION("""COMPUTED_VALUE"""),"De 3 até 5 salários mínimos")</f>
        <v>De 3 até 5 salários mínimos</v>
      </c>
      <c r="BR345" s="27" t="str">
        <f ca="1">IFERROR(__xludf.DUMMYFUNCTION("""COMPUTED_VALUE"""),"Funcionário Público")</f>
        <v>Funcionário Público</v>
      </c>
      <c r="BS345" s="27" t="str">
        <f ca="1">IFERROR(__xludf.DUMMYFUNCTION("""COMPUTED_VALUE"""),"Aluguel")</f>
        <v>Aluguel</v>
      </c>
      <c r="BT345" s="27">
        <f ca="1">IFERROR(__xludf.DUMMYFUNCTION("""COMPUTED_VALUE"""),6)</f>
        <v>6</v>
      </c>
      <c r="BU345" s="27" t="str">
        <f ca="1">IFERROR(__xludf.DUMMYFUNCTION("""COMPUTED_VALUE"""),"Não tem")</f>
        <v>Não tem</v>
      </c>
      <c r="BV345" s="27" t="str">
        <f ca="1">IFERROR(__xludf.DUMMYFUNCTION("""COMPUTED_VALUE"""),"Não")</f>
        <v>Não</v>
      </c>
      <c r="BW345" s="21" t="str">
        <f ca="1">IFERROR(__xludf.DUMMYFUNCTION("""COMPUTED_VALUE"""),"https://www.linkedin.com/in/welitonsimao/")</f>
        <v>https://www.linkedin.com/in/welitonsimao/</v>
      </c>
      <c r="BX345" s="21" t="str">
        <f ca="1">IFERROR(__xludf.DUMMYFUNCTION("""COMPUTED_VALUE"""),"https://www.instagram.com/welitonssimao/")</f>
        <v>https://www.instagram.com/welitonssimao/</v>
      </c>
      <c r="BY345" s="21" t="str">
        <f ca="1">IFERROR(__xludf.DUMMYFUNCTION("""COMPUTED_VALUE"""),"https://drive.google.com/open?id=1BNEGMU58VHaM7IeFqqseoC18H8oKQ52q")</f>
        <v>https://drive.google.com/open?id=1BNEGMU58VHaM7IeFqqseoC18H8oKQ52q</v>
      </c>
    </row>
    <row r="346" spans="1:77" ht="12.5" hidden="1" x14ac:dyDescent="0.25">
      <c r="A346" s="21" t="str">
        <f ca="1">IFERROR(__xludf.DUMMYFUNCTION("""COMPUTED_VALUE"""),"0014P00003YSp99QAD")</f>
        <v>0014P00003YSp99QAD</v>
      </c>
      <c r="B346" s="27" t="str">
        <f ca="1">IFERROR(__xludf.DUMMYFUNCTION("""COMPUTED_VALUE"""),"Fase Inicial")</f>
        <v>Fase Inicial</v>
      </c>
      <c r="C346" s="27" t="str">
        <f ca="1">IFERROR(__xludf.DUMMYFUNCTION("""COMPUTED_VALUE"""),"Fellow")</f>
        <v>Fellow</v>
      </c>
      <c r="D346" s="27" t="str">
        <f ca="1">IFERROR(__xludf.DUMMYFUNCTION("""COMPUTED_VALUE"""),"Ativo")</f>
        <v>Ativo</v>
      </c>
      <c r="E346" s="27" t="str">
        <f ca="1">IFERROR(__xludf.DUMMYFUNCTION("""COMPUTED_VALUE"""),"Instituto Eclesia Movement")</f>
        <v>Instituto Eclesia Movement</v>
      </c>
      <c r="F346" s="27" t="str">
        <f ca="1">IFERROR(__xludf.DUMMYFUNCTION("""COMPUTED_VALUE"""),"Jhonata")</f>
        <v>Jhonata</v>
      </c>
      <c r="G346" s="27"/>
      <c r="H346" s="27" t="str">
        <f ca="1">IFERROR(__xludf.DUMMYFUNCTION("""COMPUTED_VALUE"""),"37.018.069/0001-52")</f>
        <v>37.018.069/0001-52</v>
      </c>
      <c r="I346" s="27" t="str">
        <f ca="1">IFERROR(__xludf.DUMMYFUNCTION("""COMPUTED_VALUE"""),"Jhonata de Sousa Pereira")</f>
        <v>Jhonata de Sousa Pereira</v>
      </c>
      <c r="J346" s="27" t="str">
        <f ca="1">IFERROR(__xludf.DUMMYFUNCTION("""COMPUTED_VALUE"""),"iem@institutoeclesia.org.br")</f>
        <v>iem@institutoeclesia.org.br</v>
      </c>
      <c r="K346" s="27" t="str">
        <f ca="1">IFERROR(__xludf.DUMMYFUNCTION("""COMPUTED_VALUE"""),"(11)99705-2135")</f>
        <v>(11)99705-2135</v>
      </c>
      <c r="L346" s="27" t="str">
        <f ca="1">IFERROR(__xludf.DUMMYFUNCTION("""COMPUTED_VALUE"""),"SP")</f>
        <v>SP</v>
      </c>
      <c r="M346" s="27" t="str">
        <f ca="1">IFERROR(__xludf.DUMMYFUNCTION("""COMPUTED_VALUE"""),"Rua Pacaembu")</f>
        <v>Rua Pacaembu</v>
      </c>
      <c r="N346" s="27" t="str">
        <f ca="1">IFERROR(__xludf.DUMMYFUNCTION("""COMPUTED_VALUE"""),"Munhoz Júnior")</f>
        <v>Munhoz Júnior</v>
      </c>
      <c r="O346" s="27">
        <f ca="1">IFERROR(__xludf.DUMMYFUNCTION("""COMPUTED_VALUE"""),10)</f>
        <v>10</v>
      </c>
      <c r="P346" s="27" t="str">
        <f ca="1">IFERROR(__xludf.DUMMYFUNCTION("""COMPUTED_VALUE"""),"Osasco")</f>
        <v>Osasco</v>
      </c>
      <c r="Q346" s="27"/>
      <c r="R346" s="27" t="str">
        <f ca="1">IFERROR(__xludf.DUMMYFUNCTION("""COMPUTED_VALUE"""),"06240-080")</f>
        <v>06240-080</v>
      </c>
      <c r="S346" s="27"/>
      <c r="T346" s="27" t="str">
        <f ca="1">IFERROR(__xludf.DUMMYFUNCTION("""COMPUTED_VALUE"""),"Esporte; Educação; Assistência Social; Cultura; Assistência Psicológica")</f>
        <v>Esporte; Educação; Assistência Social; Cultura; Assistência Psicológica</v>
      </c>
      <c r="U346" s="27" t="str">
        <f ca="1">IFERROR(__xludf.DUMMYFUNCTION("""COMPUTED_VALUE"""),"Crianças pequenas (4 anos a 5 anos e 11 meses); Crianças (6 a 12 anos); Adolescentes (12 aos 18 anos)")</f>
        <v>Crianças pequenas (4 anos a 5 anos e 11 meses); Crianças (6 a 12 anos); Adolescentes (12 aos 18 anos)</v>
      </c>
      <c r="V346" s="27" t="str">
        <f ca="1">IFERROR(__xludf.DUMMYFUNCTION("""COMPUTED_VALUE"""),"Moradores de Favelas")</f>
        <v>Moradores de Favelas</v>
      </c>
      <c r="W346" s="27">
        <f ca="1">IFERROR(__xludf.DUMMYFUNCTION("""COMPUTED_VALUE"""),1)</f>
        <v>1</v>
      </c>
      <c r="X346" s="27"/>
      <c r="Y346" s="27"/>
      <c r="Z346" s="27">
        <f ca="1">IFERROR(__xludf.DUMMYFUNCTION("""COMPUTED_VALUE"""),150)</f>
        <v>150</v>
      </c>
      <c r="AA346" s="29">
        <f ca="1">IFERROR(__xludf.DUMMYFUNCTION("""COMPUTED_VALUE"""),43908)</f>
        <v>43908</v>
      </c>
      <c r="AB346" s="27" t="str">
        <f ca="1">IFERROR(__xludf.DUMMYFUNCTION("""COMPUTED_VALUE"""),"Sim")</f>
        <v>Sim</v>
      </c>
      <c r="AC346" s="27">
        <f ca="1">IFERROR(__xludf.DUMMYFUNCTION("""COMPUTED_VALUE"""),0)</f>
        <v>0</v>
      </c>
      <c r="AD346" s="27">
        <f ca="1">IFERROR(__xludf.DUMMYFUNCTION("""COMPUTED_VALUE"""),0)</f>
        <v>0</v>
      </c>
      <c r="AE346" s="27">
        <f ca="1">IFERROR(__xludf.DUMMYFUNCTION("""COMPUTED_VALUE"""),15)</f>
        <v>15</v>
      </c>
      <c r="AF346" s="27">
        <f ca="1">IFERROR(__xludf.DUMMYFUNCTION("""COMPUTED_VALUE"""),7)</f>
        <v>7</v>
      </c>
      <c r="AG346" s="27">
        <f ca="1">IFERROR(__xludf.DUMMYFUNCTION("""COMPUTED_VALUE"""),3)</f>
        <v>3</v>
      </c>
      <c r="AH346" s="27" t="str">
        <f ca="1">IFERROR(__xludf.DUMMYFUNCTION("""COMPUTED_VALUE"""),"Outro(s); Doações; Recursos próprios")</f>
        <v>Outro(s); Doações; Recursos próprios</v>
      </c>
      <c r="AI346" s="27">
        <f ca="1">IFERROR(__xludf.DUMMYFUNCTION("""COMPUTED_VALUE"""),0)</f>
        <v>0</v>
      </c>
      <c r="AJ346" s="27"/>
      <c r="AK346" s="27"/>
      <c r="AL346" s="21" t="str">
        <f ca="1">IFERROR(__xludf.DUMMYFUNCTION("""COMPUTED_VALUE"""),"0034P000045kxjl")</f>
        <v>0034P000045kxjl</v>
      </c>
      <c r="AM346" s="27" t="str">
        <f ca="1">IFERROR(__xludf.DUMMYFUNCTION("""COMPUTED_VALUE"""),"De Sousa Pereira")</f>
        <v>De Sousa Pereira</v>
      </c>
      <c r="AN346" s="27" t="str">
        <f ca="1">IFERROR(__xludf.DUMMYFUNCTION("""COMPUTED_VALUE"""),"Ativo")</f>
        <v>Ativo</v>
      </c>
      <c r="AO346" s="30">
        <f ca="1">IFERROR(__xludf.DUMMYFUNCTION("""COMPUTED_VALUE"""),44551)</f>
        <v>44551</v>
      </c>
      <c r="AP346" s="27">
        <f ca="1">IFERROR(__xludf.DUMMYFUNCTION("""COMPUTED_VALUE"""),9)</f>
        <v>9</v>
      </c>
      <c r="AQ346" s="27" t="str">
        <f ca="1">IFERROR(__xludf.DUMMYFUNCTION("""COMPUTED_VALUE"""),"Segundo Semestre 2021")</f>
        <v>Segundo Semestre 2021</v>
      </c>
      <c r="AR346" s="27" t="str">
        <f ca="1">IFERROR(__xludf.DUMMYFUNCTION("""COMPUTED_VALUE"""),"jhow.roots28@gmail.com")</f>
        <v>jhow.roots28@gmail.com</v>
      </c>
      <c r="AS346" s="27" t="str">
        <f ca="1">IFERROR(__xludf.DUMMYFUNCTION("""COMPUTED_VALUE"""),"(11)99705-2135")</f>
        <v>(11)99705-2135</v>
      </c>
      <c r="AT346" s="29">
        <f ca="1">IFERROR(__xludf.DUMMYFUNCTION("""COMPUTED_VALUE"""),31369)</f>
        <v>31369</v>
      </c>
      <c r="AU346" s="27">
        <f ca="1">IFERROR(__xludf.DUMMYFUNCTION("""COMPUTED_VALUE"""),37)</f>
        <v>37</v>
      </c>
      <c r="AV346" s="27">
        <f ca="1">IFERROR(__xludf.DUMMYFUNCTION("""COMPUTED_VALUE"""),31657650812)</f>
        <v>31657650812</v>
      </c>
      <c r="AW346" s="27">
        <f ca="1">IFERROR(__xludf.DUMMYFUNCTION("""COMPUTED_VALUE"""),41167433)</f>
        <v>41167433</v>
      </c>
      <c r="AX346" s="27"/>
      <c r="AY346" s="27"/>
      <c r="AZ346" s="27" t="str">
        <f ca="1">IFERROR(__xludf.DUMMYFUNCTION("""COMPUTED_VALUE"""),"M")</f>
        <v>M</v>
      </c>
      <c r="BA346" s="27" t="str">
        <f ca="1">IFERROR(__xludf.DUMMYFUNCTION("""COMPUTED_VALUE"""),"Preta")</f>
        <v>Preta</v>
      </c>
      <c r="BB346" s="27" t="str">
        <f ca="1">IFERROR(__xludf.DUMMYFUNCTION("""COMPUTED_VALUE"""),"Outro(s)")</f>
        <v>Outro(s)</v>
      </c>
      <c r="BC346" s="27" t="str">
        <f ca="1">IFERROR(__xludf.DUMMYFUNCTION("""COMPUTED_VALUE"""),"Sim")</f>
        <v>Sim</v>
      </c>
      <c r="BD346" s="27" t="str">
        <f ca="1">IFERROR(__xludf.DUMMYFUNCTION("""COMPUTED_VALUE"""),"Pós Graduação ADM/FGV SP
Orientação comunitária - FEUSP
Fundador e CEO do Instituto Eclésia e
Fellows Gerando Falcoes")</f>
        <v>Pós Graduação ADM/FGV SP
Orientação comunitária - FEUSP
Fundador e CEO do Instituto Eclésia e
Fellows Gerando Falcoes</v>
      </c>
      <c r="BE346" s="27"/>
      <c r="BF346" s="27" t="str">
        <f ca="1">IFERROR(__xludf.DUMMYFUNCTION("""COMPUTED_VALUE"""),"Heterossexual")</f>
        <v>Heterossexual</v>
      </c>
      <c r="BG346" s="27" t="str">
        <f ca="1">IFERROR(__xludf.DUMMYFUNCTION("""COMPUTED_VALUE"""),"Ensino Superior - Completo")</f>
        <v>Ensino Superior - Completo</v>
      </c>
      <c r="BH346" s="27" t="str">
        <f ca="1">IFERROR(__xludf.DUMMYFUNCTION("""COMPUTED_VALUE"""),"Público")</f>
        <v>Público</v>
      </c>
      <c r="BI346" s="27" t="str">
        <f ca="1">IFERROR(__xludf.DUMMYFUNCTION("""COMPUTED_VALUE"""),"Pós-Graduação")</f>
        <v>Pós-Graduação</v>
      </c>
      <c r="BJ346" s="27" t="str">
        <f ca="1">IFERROR(__xludf.DUMMYFUNCTION("""COMPUTED_VALUE"""),"Privado")</f>
        <v>Privado</v>
      </c>
      <c r="BK346" s="27" t="str">
        <f ca="1">IFERROR(__xludf.DUMMYFUNCTION("""COMPUTED_VALUE"""),"Rua Pereiras")</f>
        <v>Rua Pereiras</v>
      </c>
      <c r="BL346" s="27">
        <f ca="1">IFERROR(__xludf.DUMMYFUNCTION("""COMPUTED_VALUE"""),33)</f>
        <v>33</v>
      </c>
      <c r="BM346" s="27" t="str">
        <f ca="1">IFERROR(__xludf.DUMMYFUNCTION("""COMPUTED_VALUE"""),"Casa 2")</f>
        <v>Casa 2</v>
      </c>
      <c r="BN346" s="27" t="str">
        <f ca="1">IFERROR(__xludf.DUMMYFUNCTION("""COMPUTED_VALUE"""),"Osasco")</f>
        <v>Osasco</v>
      </c>
      <c r="BO346" s="27" t="str">
        <f ca="1">IFERROR(__xludf.DUMMYFUNCTION("""COMPUTED_VALUE"""),"06240-140")</f>
        <v>06240-140</v>
      </c>
      <c r="BP346" s="27" t="str">
        <f ca="1">IFERROR(__xludf.DUMMYFUNCTION("""COMPUTED_VALUE"""),"SP")</f>
        <v>SP</v>
      </c>
      <c r="BQ346" s="27" t="str">
        <f ca="1">IFERROR(__xludf.DUMMYFUNCTION("""COMPUTED_VALUE"""),"De 3 até 5 salários mínimos")</f>
        <v>De 3 até 5 salários mínimos</v>
      </c>
      <c r="BR346" s="27" t="str">
        <f ca="1">IFERROR(__xludf.DUMMYFUNCTION("""COMPUTED_VALUE"""),"CLT")</f>
        <v>CLT</v>
      </c>
      <c r="BS346" s="27" t="str">
        <f ca="1">IFERROR(__xludf.DUMMYFUNCTION("""COMPUTED_VALUE"""),"Aluguel")</f>
        <v>Aluguel</v>
      </c>
      <c r="BT346" s="27">
        <f ca="1">IFERROR(__xludf.DUMMYFUNCTION("""COMPUTED_VALUE"""),2)</f>
        <v>2</v>
      </c>
      <c r="BU346" s="27" t="str">
        <f ca="1">IFERROR(__xludf.DUMMYFUNCTION("""COMPUTED_VALUE"""),"Não tem")</f>
        <v>Não tem</v>
      </c>
      <c r="BV346" s="27"/>
      <c r="BW346" s="21" t="str">
        <f ca="1">IFERROR(__xludf.DUMMYFUNCTION("""COMPUTED_VALUE"""),"https://www.linkedin.com/in/jhonata-pereira-28b32654/")</f>
        <v>https://www.linkedin.com/in/jhonata-pereira-28b32654/</v>
      </c>
      <c r="BX346" s="21" t="str">
        <f ca="1">IFERROR(__xludf.DUMMYFUNCTION("""COMPUTED_VALUE"""),"https://www.instagram.com/jhowroots17/")</f>
        <v>https://www.instagram.com/jhowroots17/</v>
      </c>
      <c r="BY346" s="21" t="str">
        <f ca="1">IFERROR(__xludf.DUMMYFUNCTION("""COMPUTED_VALUE"""),"https://drive.google.com/open?id=1FmFANdpkSLGdP-0QEfMSlQjD_rx3l5Sy")</f>
        <v>https://drive.google.com/open?id=1FmFANdpkSLGdP-0QEfMSlQjD_rx3l5Sy</v>
      </c>
    </row>
    <row r="347" spans="1:77" ht="12.5" x14ac:dyDescent="0.25">
      <c r="A347" s="21" t="str">
        <f ca="1">IFERROR(__xludf.DUMMYFUNCTION("""COMPUTED_VALUE"""),"0014P00003SGWQDQA5")</f>
        <v>0014P00003SGWQDQA5</v>
      </c>
      <c r="B347" s="27" t="str">
        <f ca="1">IFERROR(__xludf.DUMMYFUNCTION("""COMPUTED_VALUE"""),"Fase Avançada")</f>
        <v>Fase Avançada</v>
      </c>
      <c r="C347" s="27" t="str">
        <f ca="1">IFERROR(__xludf.DUMMYFUNCTION("""COMPUTED_VALUE"""),"Acelerada")</f>
        <v>Acelerada</v>
      </c>
      <c r="D347" s="27" t="str">
        <f ca="1">IFERROR(__xludf.DUMMYFUNCTION("""COMPUTED_VALUE"""),"Ativo")</f>
        <v>Ativo</v>
      </c>
      <c r="E347" s="27" t="str">
        <f ca="1">IFERROR(__xludf.DUMMYFUNCTION("""COMPUTED_VALUE"""),"INSTITUTO EDSON ROYER")</f>
        <v>INSTITUTO EDSON ROYER</v>
      </c>
      <c r="F347" s="27" t="str">
        <f ca="1">IFERROR(__xludf.DUMMYFUNCTION("""COMPUTED_VALUE"""),"Sara")</f>
        <v>Sara</v>
      </c>
      <c r="G347" s="27" t="str">
        <f ca="1">IFERROR(__xludf.DUMMYFUNCTION("""COMPUTED_VALUE"""),"INSTITUTO EDSON ROYER")</f>
        <v>INSTITUTO EDSON ROYER</v>
      </c>
      <c r="H347" s="27" t="str">
        <f ca="1">IFERROR(__xludf.DUMMYFUNCTION("""COMPUTED_VALUE"""),"11.413.683/0001-25")</f>
        <v>11.413.683/0001-25</v>
      </c>
      <c r="I347" s="27" t="str">
        <f ca="1">IFERROR(__xludf.DUMMYFUNCTION("""COMPUTED_VALUE"""),"Nilvane Eistedt")</f>
        <v>Nilvane Eistedt</v>
      </c>
      <c r="J347" s="27" t="str">
        <f ca="1">IFERROR(__xludf.DUMMYFUNCTION("""COMPUTED_VALUE"""),"sararoyer@hotmail.com")</f>
        <v>sararoyer@hotmail.com</v>
      </c>
      <c r="K347" s="27" t="str">
        <f ca="1">IFERROR(__xludf.DUMMYFUNCTION("""COMPUTED_VALUE"""),"(93)98124-5186")</f>
        <v>(93)98124-5186</v>
      </c>
      <c r="L347" s="27" t="str">
        <f ca="1">IFERROR(__xludf.DUMMYFUNCTION("""COMPUTED_VALUE"""),"PA")</f>
        <v>PA</v>
      </c>
      <c r="M347" s="27" t="str">
        <f ca="1">IFERROR(__xludf.DUMMYFUNCTION("""COMPUTED_VALUE"""),"Av. Brasil")</f>
        <v>Av. Brasil</v>
      </c>
      <c r="N347" s="27" t="str">
        <f ca="1">IFERROR(__xludf.DUMMYFUNCTION("""COMPUTED_VALUE"""),"Jardim Planalto")</f>
        <v>Jardim Planalto</v>
      </c>
      <c r="O347" s="27" t="str">
        <f ca="1">IFERROR(__xludf.DUMMYFUNCTION("""COMPUTED_VALUE"""),"(93)98124-5186")</f>
        <v>(93)98124-5186</v>
      </c>
      <c r="P347" s="27" t="str">
        <f ca="1">IFERROR(__xludf.DUMMYFUNCTION("""COMPUTED_VALUE"""),"Novo Progresso")</f>
        <v>Novo Progresso</v>
      </c>
      <c r="Q347" s="27" t="str">
        <f ca="1">IFERROR(__xludf.DUMMYFUNCTION("""COMPUTED_VALUE"""),"-")</f>
        <v>-</v>
      </c>
      <c r="R347" s="27" t="str">
        <f ca="1">IFERROR(__xludf.DUMMYFUNCTION("""COMPUTED_VALUE"""),"68193-000")</f>
        <v>68193-000</v>
      </c>
      <c r="S347" s="27" t="str">
        <f ca="1">IFERROR(__xludf.DUMMYFUNCTION("""COMPUTED_VALUE"""),"Escola Municipal Tancredo Neves - Rua da Paz 146 -Bairro Jardim Planalto - Novo Progresso - PA . CEP: 68.193-000")</f>
        <v>Escola Municipal Tancredo Neves - Rua da Paz 146 -Bairro Jardim Planalto - Novo Progresso - PA . CEP: 68.193-000</v>
      </c>
      <c r="T347" s="27" t="str">
        <f ca="1">IFERROR(__xludf.DUMMYFUNCTION("""COMPUTED_VALUE"""),"Esporte; Educação; Cultura; Qualificação Profissional; Meio ambiente")</f>
        <v>Esporte; Educação; Cultura; Qualificação Profissional; Meio ambiente</v>
      </c>
      <c r="U347" s="27" t="str">
        <f ca="1">IFERROR(__xludf.DUMMYFUNCTION("""COMPUTED_VALUE"""),"Crianças (6 a 12 anos); Adolescentes (12 aos 18 anos); Jovens (18 aos 24 anos); Adultos")</f>
        <v>Crianças (6 a 12 anos); Adolescentes (12 aos 18 anos); Jovens (18 aos 24 anos); Adultos</v>
      </c>
      <c r="V347" s="27" t="str">
        <f ca="1">IFERROR(__xludf.DUMMYFUNCTION("""COMPUTED_VALUE"""),"Povos Indígenas; Outros")</f>
        <v>Povos Indígenas; Outros</v>
      </c>
      <c r="W347" s="27">
        <f ca="1">IFERROR(__xludf.DUMMYFUNCTION("""COMPUTED_VALUE"""),16)</f>
        <v>16</v>
      </c>
      <c r="X347" s="27" t="str">
        <f ca="1">IFERROR(__xludf.DUMMYFUNCTION("""COMPUTED_VALUE"""),"O público atendido em sua maioria são crianças e adolescentes e seus familiares em situação de vulnerabilidade social. Em 2020 e 2021 temos o Projeto Potência Feminina da Rede Mulher Empreendedora com o objetivo de capacitar 5.000 mulheres na área de Empr"&amp;"eendedorismo Empregabilidade e Tecnologia. Aceleração de 120 negócios e um capital semente para 18 mulheres no valor de R$ 10.00000.")</f>
        <v>O público atendido em sua maioria são crianças e adolescentes e seus familiares em situação de vulnerabilidade social. Em 2020 e 2021 temos o Projeto Potência Feminina da Rede Mulher Empreendedora com o objetivo de capacitar 5.000 mulheres na área de Empreendedorismo Empregabilidade e Tecnologia. Aceleração de 120 negócios e um capital semente para 18 mulheres no valor de R$ 10.00000.</v>
      </c>
      <c r="Y347" s="27">
        <f ca="1">IFERROR(__xludf.DUMMYFUNCTION("""COMPUTED_VALUE"""),500)</f>
        <v>500</v>
      </c>
      <c r="Z347" s="27">
        <f ca="1">IFERROR(__xludf.DUMMYFUNCTION("""COMPUTED_VALUE"""),10000)</f>
        <v>10000</v>
      </c>
      <c r="AA347" s="29">
        <f ca="1">IFERROR(__xludf.DUMMYFUNCTION("""COMPUTED_VALUE"""),40130)</f>
        <v>40130</v>
      </c>
      <c r="AB347" s="27" t="str">
        <f ca="1">IFERROR(__xludf.DUMMYFUNCTION("""COMPUTED_VALUE"""),"Sim")</f>
        <v>Sim</v>
      </c>
      <c r="AC347" s="27">
        <f ca="1">IFERROR(__xludf.DUMMYFUNCTION("""COMPUTED_VALUE"""),10)</f>
        <v>10</v>
      </c>
      <c r="AD347" s="27">
        <f ca="1">IFERROR(__xludf.DUMMYFUNCTION("""COMPUTED_VALUE"""),7)</f>
        <v>7</v>
      </c>
      <c r="AE347" s="27">
        <f ca="1">IFERROR(__xludf.DUMMYFUNCTION("""COMPUTED_VALUE"""),4)</f>
        <v>4</v>
      </c>
      <c r="AF347" s="27">
        <f ca="1">IFERROR(__xludf.DUMMYFUNCTION("""COMPUTED_VALUE"""),1)</f>
        <v>1</v>
      </c>
      <c r="AG347" s="27">
        <f ca="1">IFERROR(__xludf.DUMMYFUNCTION("""COMPUTED_VALUE"""),3)</f>
        <v>3</v>
      </c>
      <c r="AH347" s="27" t="str">
        <f ca="1">IFERROR(__xludf.DUMMYFUNCTION("""COMPUTED_VALUE"""),"Lei de Incentivo; Convênio Público; Editais; Lei Federal do Esporte")</f>
        <v>Lei de Incentivo; Convênio Público; Editais; Lei Federal do Esporte</v>
      </c>
      <c r="AI347" s="27" t="str">
        <f ca="1">IFERROR(__xludf.DUMMYFUNCTION("""COMPUTED_VALUE"""),"Lei de Incentivo ao Esporte - 50%; Convênio Público  - 25%; Editais - 25%")</f>
        <v>Lei de Incentivo ao Esporte - 50%; Convênio Público  - 25%; Editais - 25%</v>
      </c>
      <c r="AJ347" s="27" t="str">
        <f ca="1">IFERROR(__xludf.DUMMYFUNCTION("""COMPUTED_VALUE"""),"Não")</f>
        <v>Não</v>
      </c>
      <c r="AK347" s="27" t="str">
        <f ca="1">IFERROR(__xludf.DUMMYFUNCTION("""COMPUTED_VALUE"""),"Não")</f>
        <v>Não</v>
      </c>
      <c r="AL347" s="21" t="str">
        <f ca="1">IFERROR(__xludf.DUMMYFUNCTION("""COMPUTED_VALUE"""),"0034P000043fPDp")</f>
        <v>0034P000043fPDp</v>
      </c>
      <c r="AM347" s="27" t="str">
        <f ca="1">IFERROR(__xludf.DUMMYFUNCTION("""COMPUTED_VALUE"""),"Maria Royer Schneider")</f>
        <v>Maria Royer Schneider</v>
      </c>
      <c r="AN347" s="27" t="str">
        <f ca="1">IFERROR(__xludf.DUMMYFUNCTION("""COMPUTED_VALUE"""),"Ativo")</f>
        <v>Ativo</v>
      </c>
      <c r="AO347" s="30">
        <f ca="1">IFERROR(__xludf.DUMMYFUNCTION("""COMPUTED_VALUE"""),44432)</f>
        <v>44432</v>
      </c>
      <c r="AP347" s="27">
        <f ca="1">IFERROR(__xludf.DUMMYFUNCTION("""COMPUTED_VALUE"""),13)</f>
        <v>13</v>
      </c>
      <c r="AQ347" s="27" t="str">
        <f ca="1">IFERROR(__xludf.DUMMYFUNCTION("""COMPUTED_VALUE"""),"Primeiro Semestre 2021")</f>
        <v>Primeiro Semestre 2021</v>
      </c>
      <c r="AR347" s="27" t="str">
        <f ca="1">IFERROR(__xludf.DUMMYFUNCTION("""COMPUTED_VALUE"""),"sararoyer@hotmail.com")</f>
        <v>sararoyer@hotmail.com</v>
      </c>
      <c r="AS347" s="27" t="str">
        <f ca="1">IFERROR(__xludf.DUMMYFUNCTION("""COMPUTED_VALUE"""),"(93)98124-5186")</f>
        <v>(93)98124-5186</v>
      </c>
      <c r="AT347" s="30">
        <f ca="1">IFERROR(__xludf.DUMMYFUNCTION("""COMPUTED_VALUE"""),25033)</f>
        <v>25033</v>
      </c>
      <c r="AU347" s="27">
        <f ca="1">IFERROR(__xludf.DUMMYFUNCTION("""COMPUTED_VALUE"""),54)</f>
        <v>54</v>
      </c>
      <c r="AV347" s="27">
        <f ca="1">IFERROR(__xludf.DUMMYFUNCTION("""COMPUTED_VALUE"""),23240695200)</f>
        <v>23240695200</v>
      </c>
      <c r="AW347" s="27">
        <f ca="1">IFERROR(__xludf.DUMMYFUNCTION("""COMPUTED_VALUE"""),158162)</f>
        <v>158162</v>
      </c>
      <c r="AX347" s="27" t="str">
        <f ca="1">IFERROR(__xludf.DUMMYFUNCTION("""COMPUTED_VALUE"""),"Pedagogia - Pós Graduação Didática E Metodologia Do Ensino Médio E Superior")</f>
        <v>Pedagogia - Pós Graduação Didática E Metodologia Do Ensino Médio E Superior</v>
      </c>
      <c r="AY347" s="27" t="str">
        <f ca="1">IFERROR(__xludf.DUMMYFUNCTION("""COMPUTED_VALUE"""),"Líder Social")</f>
        <v>Líder Social</v>
      </c>
      <c r="AZ347" s="27" t="str">
        <f ca="1">IFERROR(__xludf.DUMMYFUNCTION("""COMPUTED_VALUE"""),"M")</f>
        <v>M</v>
      </c>
      <c r="BA347" s="27" t="str">
        <f ca="1">IFERROR(__xludf.DUMMYFUNCTION("""COMPUTED_VALUE"""),"Branca")</f>
        <v>Branca</v>
      </c>
      <c r="BB347" s="27"/>
      <c r="BC347" s="27" t="str">
        <f ca="1">IFERROR(__xludf.DUMMYFUNCTION("""COMPUTED_VALUE"""),"Sim")</f>
        <v>Sim</v>
      </c>
      <c r="BD347" s="27" t="str">
        <f ca="1">IFERROR(__xludf.DUMMYFUNCTION("""COMPUTED_VALUE"""),"Sara, líder social do Instituto Edson Royer, formada pela Falcons University, pedagoga, com especialização em Didática e Metodologia do Ensino Médio e Superior. Mãe de dois filhos, engenheiro civil e advogada (in memorian), esposa e avó. Com 53 anos de id"&amp;"ade, muita disposição para o trabalho com ênfase na educação, acreditando ser este o caminho para a transformação social.")</f>
        <v>Sara, líder social do Instituto Edson Royer, formada pela Falcons University, pedagoga, com especialização em Didática e Metodologia do Ensino Médio e Superior. Mãe de dois filhos, engenheiro civil e advogada (in memorian), esposa e avó. Com 53 anos de idade, muita disposição para o trabalho com ênfase na educação, acreditando ser este o caminho para a transformação social.</v>
      </c>
      <c r="BE347" s="27" t="str">
        <f ca="1">IFERROR(__xludf.DUMMYFUNCTION("""COMPUTED_VALUE"""),"Não Binário")</f>
        <v>Não Binário</v>
      </c>
      <c r="BF347" s="27" t="str">
        <f ca="1">IFERROR(__xludf.DUMMYFUNCTION("""COMPUTED_VALUE"""),"Heterossexual")</f>
        <v>Heterossexual</v>
      </c>
      <c r="BG347" s="27" t="str">
        <f ca="1">IFERROR(__xludf.DUMMYFUNCTION("""COMPUTED_VALUE"""),"Ensino Superior - Completo")</f>
        <v>Ensino Superior - Completo</v>
      </c>
      <c r="BH347" s="27"/>
      <c r="BI347" s="27" t="str">
        <f ca="1">IFERROR(__xludf.DUMMYFUNCTION("""COMPUTED_VALUE"""),"Pós-Graduação")</f>
        <v>Pós-Graduação</v>
      </c>
      <c r="BJ347" s="27" t="str">
        <f ca="1">IFERROR(__xludf.DUMMYFUNCTION("""COMPUTED_VALUE"""),"Público")</f>
        <v>Público</v>
      </c>
      <c r="BK347" s="27" t="str">
        <f ca="1">IFERROR(__xludf.DUMMYFUNCTION("""COMPUTED_VALUE"""),"das Acácias")</f>
        <v>das Acácias</v>
      </c>
      <c r="BL347" s="27">
        <f ca="1">IFERROR(__xludf.DUMMYFUNCTION("""COMPUTED_VALUE"""),546)</f>
        <v>546</v>
      </c>
      <c r="BM347" s="27" t="str">
        <f ca="1">IFERROR(__xludf.DUMMYFUNCTION("""COMPUTED_VALUE"""),"-")</f>
        <v>-</v>
      </c>
      <c r="BN347" s="27" t="str">
        <f ca="1">IFERROR(__xludf.DUMMYFUNCTION("""COMPUTED_VALUE"""),"Novo Progresso")</f>
        <v>Novo Progresso</v>
      </c>
      <c r="BO347" s="27" t="str">
        <f ca="1">IFERROR(__xludf.DUMMYFUNCTION("""COMPUTED_VALUE"""),"68193-000")</f>
        <v>68193-000</v>
      </c>
      <c r="BP347" s="27" t="str">
        <f ca="1">IFERROR(__xludf.DUMMYFUNCTION("""COMPUTED_VALUE"""),"PA")</f>
        <v>PA</v>
      </c>
      <c r="BQ347" s="27" t="str">
        <f ca="1">IFERROR(__xludf.DUMMYFUNCTION("""COMPUTED_VALUE"""),"De 3 até 5 salários mínimos")</f>
        <v>De 3 até 5 salários mínimos</v>
      </c>
      <c r="BR347" s="27" t="str">
        <f ca="1">IFERROR(__xludf.DUMMYFUNCTION("""COMPUTED_VALUE"""),"Funcionário Público")</f>
        <v>Funcionário Público</v>
      </c>
      <c r="BS347" s="27" t="str">
        <f ca="1">IFERROR(__xludf.DUMMYFUNCTION("""COMPUTED_VALUE"""),"Casa própria")</f>
        <v>Casa própria</v>
      </c>
      <c r="BT347" s="27">
        <f ca="1">IFERROR(__xludf.DUMMYFUNCTION("""COMPUTED_VALUE"""),5)</f>
        <v>5</v>
      </c>
      <c r="BU347" s="27"/>
      <c r="BV347" s="27"/>
      <c r="BW347" s="27" t="str">
        <f ca="1">IFERROR(__xludf.DUMMYFUNCTION("""COMPUTED_VALUE"""),"-")</f>
        <v>-</v>
      </c>
      <c r="BX347" s="21" t="str">
        <f ca="1">IFERROR(__xludf.DUMMYFUNCTION("""COMPUTED_VALUE"""),"https://www.instagram.com/sararoyernp/")</f>
        <v>https://www.instagram.com/sararoyernp/</v>
      </c>
      <c r="BY347" s="21" t="str">
        <f ca="1">IFERROR(__xludf.DUMMYFUNCTION("""COMPUTED_VALUE"""),"https://drive.google.com/open?id=1f9eXomrR741q31ASOtg_LXlgCekiEKiD")</f>
        <v>https://drive.google.com/open?id=1f9eXomrR741q31ASOtg_LXlgCekiEKiD</v>
      </c>
    </row>
    <row r="348" spans="1:77" ht="12.5" x14ac:dyDescent="0.25">
      <c r="A348" s="21" t="str">
        <f ca="1">IFERROR(__xludf.DUMMYFUNCTION("""COMPUTED_VALUE"""),"0014P00003SGWPuQAP")</f>
        <v>0014P00003SGWPuQAP</v>
      </c>
      <c r="B348" s="27" t="str">
        <f ca="1">IFERROR(__xludf.DUMMYFUNCTION("""COMPUTED_VALUE"""),"Fase Inicial")</f>
        <v>Fase Inicial</v>
      </c>
      <c r="C348" s="27" t="str">
        <f ca="1">IFERROR(__xludf.DUMMYFUNCTION("""COMPUTED_VALUE"""),"Acelerada")</f>
        <v>Acelerada</v>
      </c>
      <c r="D348" s="27" t="str">
        <f ca="1">IFERROR(__xludf.DUMMYFUNCTION("""COMPUTED_VALUE"""),"Ativo")</f>
        <v>Ativo</v>
      </c>
      <c r="E348" s="27" t="str">
        <f ca="1">IFERROR(__xludf.DUMMYFUNCTION("""COMPUTED_VALUE"""),"INSTITUTO EDUCA MAIS ESPORTE")</f>
        <v>INSTITUTO EDUCA MAIS ESPORTE</v>
      </c>
      <c r="F348" s="27" t="str">
        <f ca="1">IFERROR(__xludf.DUMMYFUNCTION("""COMPUTED_VALUE"""),"Maria")</f>
        <v>Maria</v>
      </c>
      <c r="G348" s="27" t="str">
        <f ca="1">IFERROR(__xludf.DUMMYFUNCTION("""COMPUTED_VALUE"""),"INSTITUTO EDUCA MAIS ESPORTE")</f>
        <v>INSTITUTO EDUCA MAIS ESPORTE</v>
      </c>
      <c r="H348" s="27" t="str">
        <f ca="1">IFERROR(__xludf.DUMMYFUNCTION("""COMPUTED_VALUE"""),"42.038.167/0001-91")</f>
        <v>42.038.167/0001-91</v>
      </c>
      <c r="I348" s="27" t="str">
        <f ca="1">IFERROR(__xludf.DUMMYFUNCTION("""COMPUTED_VALUE"""),"Maria Raquel De Souza")</f>
        <v>Maria Raquel De Souza</v>
      </c>
      <c r="J348" s="27" t="str">
        <f ca="1">IFERROR(__xludf.DUMMYFUNCTION("""COMPUTED_VALUE"""),"ma.raquelcabral@gmail.com")</f>
        <v>ma.raquelcabral@gmail.com</v>
      </c>
      <c r="K348" s="27">
        <f ca="1">IFERROR(__xludf.DUMMYFUNCTION("""COMPUTED_VALUE"""),61986352313)</f>
        <v>61986352313</v>
      </c>
      <c r="L348" s="27" t="str">
        <f ca="1">IFERROR(__xludf.DUMMYFUNCTION("""COMPUTED_VALUE"""),"CE")</f>
        <v>CE</v>
      </c>
      <c r="M348" s="27" t="str">
        <f ca="1">IFERROR(__xludf.DUMMYFUNCTION("""COMPUTED_VALUE"""),"Rua Primeiro de Maio n° 379")</f>
        <v>Rua Primeiro de Maio n° 379</v>
      </c>
      <c r="N348" s="27" t="str">
        <f ca="1">IFERROR(__xludf.DUMMYFUNCTION("""COMPUTED_VALUE"""),"Bonsucesso")</f>
        <v>Bonsucesso</v>
      </c>
      <c r="O348" s="27" t="str">
        <f ca="1">IFERROR(__xludf.DUMMYFUNCTION("""COMPUTED_VALUE"""),"(85)99872-5479")</f>
        <v>(85)99872-5479</v>
      </c>
      <c r="P348" s="27" t="str">
        <f ca="1">IFERROR(__xludf.DUMMYFUNCTION("""COMPUTED_VALUE"""),"FORTALEZA")</f>
        <v>FORTALEZA</v>
      </c>
      <c r="Q348" s="27"/>
      <c r="R348" s="27" t="str">
        <f ca="1">IFERROR(__xludf.DUMMYFUNCTION("""COMPUTED_VALUE"""),"60541-658")</f>
        <v>60541-658</v>
      </c>
      <c r="S348" s="27" t="str">
        <f ca="1">IFERROR(__xludf.DUMMYFUNCTION("""COMPUTED_VALUE"""),"Endereço fiscal ( escritório virtual): Rua Barbosa de Freitas n ° 1741 Aldeota CEP: 60170021.")</f>
        <v>Endereço fiscal ( escritório virtual): Rua Barbosa de Freitas n ° 1741 Aldeota CEP: 60170021.</v>
      </c>
      <c r="T348" s="27" t="str">
        <f ca="1">IFERROR(__xludf.DUMMYFUNCTION("""COMPUTED_VALUE"""),"Esporte; Educação; Empregabilidade; Assistência Social; Cultura; Qualificação Profissional; Empreendedorismo; Saúde; Assistência Psicológica; Desenvolvimento comunitário")</f>
        <v>Esporte; Educação; Empregabilidade; Assistência Social; Cultura; Qualificação Profissional; Empreendedorismo; Saúde; Assistência Psicológica; Desenvolvimento comunitário</v>
      </c>
      <c r="U348" s="27" t="str">
        <f ca="1">IFERROR(__xludf.DUMMYFUNCTION("""COMPUTED_VALUE"""),"Bebês (0 a 1 ano e 6 meses); Crianças bem pequenas (1 ano e 7 meses até 3 anos e 11 meses); Crianças pequenas (4 anos a 5 anos e 11 meses); Crianças (6 a 12 anos); Adolescentes (12 aos 18 anos); Jovens (18 aos 24 anos); Adultos")</f>
        <v>Bebês (0 a 1 ano e 6 meses); Crianças bem pequenas (1 ano e 7 meses até 3 anos e 11 meses); Crianças pequenas (4 anos a 5 anos e 11 meses); Crianças (6 a 12 anos); Adolescentes (12 aos 18 anos); Jovens (18 aos 24 anos); Adultos</v>
      </c>
      <c r="V348" s="27" t="str">
        <f ca="1">IFERROR(__xludf.DUMMYFUNCTION("""COMPUTED_VALUE"""),"Moradores de Favelas")</f>
        <v>Moradores de Favelas</v>
      </c>
      <c r="W348" s="27">
        <f ca="1">IFERROR(__xludf.DUMMYFUNCTION("""COMPUTED_VALUE"""),3)</f>
        <v>3</v>
      </c>
      <c r="X348" s="27"/>
      <c r="Y348" s="27">
        <f ca="1">IFERROR(__xludf.DUMMYFUNCTION("""COMPUTED_VALUE"""),200)</f>
        <v>200</v>
      </c>
      <c r="Z348" s="27">
        <f ca="1">IFERROR(__xludf.DUMMYFUNCTION("""COMPUTED_VALUE"""),1226)</f>
        <v>1226</v>
      </c>
      <c r="AA348" s="30">
        <f ca="1">IFERROR(__xludf.DUMMYFUNCTION("""COMPUTED_VALUE"""),43106)</f>
        <v>43106</v>
      </c>
      <c r="AB348" s="27" t="str">
        <f ca="1">IFERROR(__xludf.DUMMYFUNCTION("""COMPUTED_VALUE"""),"Sim")</f>
        <v>Sim</v>
      </c>
      <c r="AC348" s="27">
        <f ca="1">IFERROR(__xludf.DUMMYFUNCTION("""COMPUTED_VALUE"""),0)</f>
        <v>0</v>
      </c>
      <c r="AD348" s="27">
        <f ca="1">IFERROR(__xludf.DUMMYFUNCTION("""COMPUTED_VALUE"""),0)</f>
        <v>0</v>
      </c>
      <c r="AE348" s="27">
        <f ca="1">IFERROR(__xludf.DUMMYFUNCTION("""COMPUTED_VALUE"""),20)</f>
        <v>20</v>
      </c>
      <c r="AF348" s="27">
        <f ca="1">IFERROR(__xludf.DUMMYFUNCTION("""COMPUTED_VALUE"""),4)</f>
        <v>4</v>
      </c>
      <c r="AG348" s="27">
        <f ca="1">IFERROR(__xludf.DUMMYFUNCTION("""COMPUTED_VALUE"""),4)</f>
        <v>4</v>
      </c>
      <c r="AH348" s="27" t="str">
        <f ca="1">IFERROR(__xludf.DUMMYFUNCTION("""COMPUTED_VALUE"""),"Eventos/Ações para captação; Parceria iniciativa privada; Editais; Doações; Recursos próprios")</f>
        <v>Eventos/Ações para captação; Parceria iniciativa privada; Editais; Doações; Recursos próprios</v>
      </c>
      <c r="AI348" s="27" t="str">
        <f ca="1">IFERROR(__xludf.DUMMYFUNCTION("""COMPUTED_VALUE"""),"50% PARCERIA PRIVADA, 10% PESSOA FÍSICA, 10% EVENTOS, 20% EDITAIS, 10% DOAÇÕES, 20% RECURSOS PRÓPRIOS")</f>
        <v>50% PARCERIA PRIVADA, 10% PESSOA FÍSICA, 10% EVENTOS, 20% EDITAIS, 10% DOAÇÕES, 20% RECURSOS PRÓPRIOS</v>
      </c>
      <c r="AJ348" s="27" t="str">
        <f ca="1">IFERROR(__xludf.DUMMYFUNCTION("""COMPUTED_VALUE"""),"Não")</f>
        <v>Não</v>
      </c>
      <c r="AK348" s="27" t="str">
        <f ca="1">IFERROR(__xludf.DUMMYFUNCTION("""COMPUTED_VALUE"""),"Não")</f>
        <v>Não</v>
      </c>
      <c r="AL348" s="21" t="str">
        <f ca="1">IFERROR(__xludf.DUMMYFUNCTION("""COMPUTED_VALUE"""),"0034P000043fPDm")</f>
        <v>0034P000043fPDm</v>
      </c>
      <c r="AM348" s="27" t="str">
        <f ca="1">IFERROR(__xludf.DUMMYFUNCTION("""COMPUTED_VALUE"""),"Raquel De Souza")</f>
        <v>Raquel De Souza</v>
      </c>
      <c r="AN348" s="27" t="str">
        <f ca="1">IFERROR(__xludf.DUMMYFUNCTION("""COMPUTED_VALUE"""),"Ativo")</f>
        <v>Ativo</v>
      </c>
      <c r="AO348" s="29">
        <f ca="1">IFERROR(__xludf.DUMMYFUNCTION("""COMPUTED_VALUE"""),44432)</f>
        <v>44432</v>
      </c>
      <c r="AP348" s="27">
        <f ca="1">IFERROR(__xludf.DUMMYFUNCTION("""COMPUTED_VALUE"""),13)</f>
        <v>13</v>
      </c>
      <c r="AQ348" s="27" t="str">
        <f ca="1">IFERROR(__xludf.DUMMYFUNCTION("""COMPUTED_VALUE"""),"Primeiro Semestre 2021")</f>
        <v>Primeiro Semestre 2021</v>
      </c>
      <c r="AR348" s="27" t="str">
        <f ca="1">IFERROR(__xludf.DUMMYFUNCTION("""COMPUTED_VALUE"""),"educamaisesporte@outlook.com")</f>
        <v>educamaisesporte@outlook.com</v>
      </c>
      <c r="AS348" s="27" t="str">
        <f ca="1">IFERROR(__xludf.DUMMYFUNCTION("""COMPUTED_VALUE"""),"(85)99872-5479")</f>
        <v>(85)99872-5479</v>
      </c>
      <c r="AT348" s="29">
        <f ca="1">IFERROR(__xludf.DUMMYFUNCTION("""COMPUTED_VALUE"""),34529)</f>
        <v>34529</v>
      </c>
      <c r="AU348" s="27">
        <f ca="1">IFERROR(__xludf.DUMMYFUNCTION("""COMPUTED_VALUE"""),28)</f>
        <v>28</v>
      </c>
      <c r="AV348" s="27">
        <f ca="1">IFERROR(__xludf.DUMMYFUNCTION("""COMPUTED_VALUE"""),5651872361)</f>
        <v>5651872361</v>
      </c>
      <c r="AW348" s="27">
        <f ca="1">IFERROR(__xludf.DUMMYFUNCTION("""COMPUTED_VALUE"""),2008010290229)</f>
        <v>2008010290229</v>
      </c>
      <c r="AX348" s="27"/>
      <c r="AY348" s="27" t="str">
        <f ca="1">IFERROR(__xludf.DUMMYFUNCTION("""COMPUTED_VALUE"""),"Assistente do controle de qualidade- M DIAS BRANCO ( FÁBRICA DE MARGARINAS E GORDURAS)- SETOR INDUSTRIAL")</f>
        <v>Assistente do controle de qualidade- M DIAS BRANCO ( FÁBRICA DE MARGARINAS E GORDURAS)- SETOR INDUSTRIAL</v>
      </c>
      <c r="AZ348" s="27" t="str">
        <f ca="1">IFERROR(__xludf.DUMMYFUNCTION("""COMPUTED_VALUE"""),"G")</f>
        <v>G</v>
      </c>
      <c r="BA348" s="27" t="str">
        <f ca="1">IFERROR(__xludf.DUMMYFUNCTION("""COMPUTED_VALUE"""),"Parda")</f>
        <v>Parda</v>
      </c>
      <c r="BB348" s="27"/>
      <c r="BC348" s="27" t="str">
        <f ca="1">IFERROR(__xludf.DUMMYFUNCTION("""COMPUTED_VALUE"""),"Não")</f>
        <v>Não</v>
      </c>
      <c r="BD348" s="27" t="str">
        <f ca="1">IFERROR(__xludf.DUMMYFUNCTION("""COMPUTED_VALUE"""),"Raquel Souza, 27 anos, é líder da ONG INSTITUTO EDUCA MAIS ESPORTE, aluna do curso de Direito pelo Prouni, mulher periférica, que superou a desigualdade social através da educação. Aos 13 anos teve seu primeiro trabalho como babá e aos 16 anos já assumia "&amp;"a responsabilidade financeira da casa ao mesmo tempo que iniciava o ensino média integrado no IFCE ( Instituto Federal do Ceará), onde se formou como técnica em química.")</f>
        <v>Raquel Souza, 27 anos, é líder da ONG INSTITUTO EDUCA MAIS ESPORTE, aluna do curso de Direito pelo Prouni, mulher periférica, que superou a desigualdade social através da educação. Aos 13 anos teve seu primeiro trabalho como babá e aos 16 anos já assumia a responsabilidade financeira da casa ao mesmo tempo que iniciava o ensino média integrado no IFCE ( Instituto Federal do Ceará), onde se formou como técnica em química.</v>
      </c>
      <c r="BE348" s="27" t="str">
        <f ca="1">IFERROR(__xludf.DUMMYFUNCTION("""COMPUTED_VALUE"""),"Feminino")</f>
        <v>Feminino</v>
      </c>
      <c r="BF348" s="27" t="str">
        <f ca="1">IFERROR(__xludf.DUMMYFUNCTION("""COMPUTED_VALUE"""),"Heterossexual")</f>
        <v>Heterossexual</v>
      </c>
      <c r="BG348" s="27" t="str">
        <f ca="1">IFERROR(__xludf.DUMMYFUNCTION("""COMPUTED_VALUE"""),"Ensino Médio - Completo")</f>
        <v>Ensino Médio - Completo</v>
      </c>
      <c r="BH348" s="27"/>
      <c r="BI348" s="27" t="str">
        <f ca="1">IFERROR(__xludf.DUMMYFUNCTION("""COMPUTED_VALUE"""),"Graduação")</f>
        <v>Graduação</v>
      </c>
      <c r="BJ348" s="27" t="str">
        <f ca="1">IFERROR(__xludf.DUMMYFUNCTION("""COMPUTED_VALUE"""),"Privado")</f>
        <v>Privado</v>
      </c>
      <c r="BK348" s="27" t="str">
        <f ca="1">IFERROR(__xludf.DUMMYFUNCTION("""COMPUTED_VALUE"""),"Travessa Valter Cavalcante")</f>
        <v>Travessa Valter Cavalcante</v>
      </c>
      <c r="BL348" s="27">
        <f ca="1">IFERROR(__xludf.DUMMYFUNCTION("""COMPUTED_VALUE"""),17)</f>
        <v>17</v>
      </c>
      <c r="BM348" s="27"/>
      <c r="BN348" s="27" t="str">
        <f ca="1">IFERROR(__xludf.DUMMYFUNCTION("""COMPUTED_VALUE"""),"FORTALEZA")</f>
        <v>FORTALEZA</v>
      </c>
      <c r="BO348" s="27" t="str">
        <f ca="1">IFERROR(__xludf.DUMMYFUNCTION("""COMPUTED_VALUE"""),"60542-135")</f>
        <v>60542-135</v>
      </c>
      <c r="BP348" s="27" t="str">
        <f ca="1">IFERROR(__xludf.DUMMYFUNCTION("""COMPUTED_VALUE"""),"CE")</f>
        <v>CE</v>
      </c>
      <c r="BQ348" s="27" t="str">
        <f ca="1">IFERROR(__xludf.DUMMYFUNCTION("""COMPUTED_VALUE"""),"Entre 1 até 3 salários mínimos")</f>
        <v>Entre 1 até 3 salários mínimos</v>
      </c>
      <c r="BR348" s="27" t="str">
        <f ca="1">IFERROR(__xludf.DUMMYFUNCTION("""COMPUTED_VALUE"""),"CLT")</f>
        <v>CLT</v>
      </c>
      <c r="BS348" s="27" t="str">
        <f ca="1">IFERROR(__xludf.DUMMYFUNCTION("""COMPUTED_VALUE"""),"Casa própria")</f>
        <v>Casa própria</v>
      </c>
      <c r="BT348" s="27">
        <f ca="1">IFERROR(__xludf.DUMMYFUNCTION("""COMPUTED_VALUE"""),2)</f>
        <v>2</v>
      </c>
      <c r="BU348" s="27"/>
      <c r="BV348" s="27"/>
      <c r="BW348" s="21" t="str">
        <f ca="1">IFERROR(__xludf.DUMMYFUNCTION("""COMPUTED_VALUE"""),"https://www.linkedin.com/in/maria-raquel-9a561b112/")</f>
        <v>https://www.linkedin.com/in/maria-raquel-9a561b112/</v>
      </c>
      <c r="BX348" s="21" t="str">
        <f ca="1">IFERROR(__xludf.DUMMYFUNCTION("""COMPUTED_VALUE"""),"https://instagram.com/ma.raquelcabral?igshid=YmMyMTA2M2Y=")</f>
        <v>https://instagram.com/ma.raquelcabral?igshid=YmMyMTA2M2Y=</v>
      </c>
      <c r="BY348" s="21" t="str">
        <f ca="1">IFERROR(__xludf.DUMMYFUNCTION("""COMPUTED_VALUE"""),"https://drive.google.com/open?id=1MEwwFouE4hHuMneSc9kUDlcYFqZNEA3Y")</f>
        <v>https://drive.google.com/open?id=1MEwwFouE4hHuMneSc9kUDlcYFqZNEA3Y</v>
      </c>
    </row>
    <row r="349" spans="1:77" ht="12.5" x14ac:dyDescent="0.25">
      <c r="A349" s="21" t="str">
        <f ca="1">IFERROR(__xludf.DUMMYFUNCTION("""COMPUTED_VALUE"""),"0014X00002VKCtFQAX")</f>
        <v>0014X00002VKCtFQAX</v>
      </c>
      <c r="B349" s="27" t="str">
        <f ca="1">IFERROR(__xludf.DUMMYFUNCTION("""COMPUTED_VALUE"""),"Fase Inicial")</f>
        <v>Fase Inicial</v>
      </c>
      <c r="C349" s="27" t="str">
        <f ca="1">IFERROR(__xludf.DUMMYFUNCTION("""COMPUTED_VALUE"""),"Fellow")</f>
        <v>Fellow</v>
      </c>
      <c r="D349" s="27" t="str">
        <f ca="1">IFERROR(__xludf.DUMMYFUNCTION("""COMPUTED_VALUE"""),"Ativo")</f>
        <v>Ativo</v>
      </c>
      <c r="E349" s="27" t="str">
        <f ca="1">IFERROR(__xludf.DUMMYFUNCTION("""COMPUTED_VALUE"""),"INSTITUTO EDUCAR GOLANDIM")</f>
        <v>INSTITUTO EDUCAR GOLANDIM</v>
      </c>
      <c r="F349" s="27" t="str">
        <f ca="1">IFERROR(__xludf.DUMMYFUNCTION("""COMPUTED_VALUE"""),"CARLOS")</f>
        <v>CARLOS</v>
      </c>
      <c r="G349" s="27" t="str">
        <f ca="1">IFERROR(__xludf.DUMMYFUNCTION("""COMPUTED_VALUE"""),"INSTITUTO EDUCAR GOLANDIM")</f>
        <v>INSTITUTO EDUCAR GOLANDIM</v>
      </c>
      <c r="H349" s="27" t="str">
        <f ca="1">IFERROR(__xludf.DUMMYFUNCTION("""COMPUTED_VALUE"""),"24.396.036/0001-02")</f>
        <v>24.396.036/0001-02</v>
      </c>
      <c r="I349" s="27" t="str">
        <f ca="1">IFERROR(__xludf.DUMMYFUNCTION("""COMPUTED_VALUE"""),"CARLOS ALBERTO DUARTE DE MOURA FILHO")</f>
        <v>CARLOS ALBERTO DUARTE DE MOURA FILHO</v>
      </c>
      <c r="J349" s="27" t="str">
        <f ca="1">IFERROR(__xludf.DUMMYFUNCTION("""COMPUTED_VALUE"""),"educargolandim@gmail.com")</f>
        <v>educargolandim@gmail.com</v>
      </c>
      <c r="K349" s="27" t="str">
        <f ca="1">IFERROR(__xludf.DUMMYFUNCTION("""COMPUTED_VALUE"""),"(84)98894-0051")</f>
        <v>(84)98894-0051</v>
      </c>
      <c r="L349" s="27" t="str">
        <f ca="1">IFERROR(__xludf.DUMMYFUNCTION("""COMPUTED_VALUE"""),"RN")</f>
        <v>RN</v>
      </c>
      <c r="M349" s="27" t="str">
        <f ca="1">IFERROR(__xludf.DUMMYFUNCTION("""COMPUTED_VALUE"""),"Rua Professor Luiz Soares 10")</f>
        <v>Rua Professor Luiz Soares 10</v>
      </c>
      <c r="N349" s="27" t="str">
        <f ca="1">IFERROR(__xludf.DUMMYFUNCTION("""COMPUTED_VALUE"""),"Golandim")</f>
        <v>Golandim</v>
      </c>
      <c r="O349" s="27">
        <f ca="1">IFERROR(__xludf.DUMMYFUNCTION("""COMPUTED_VALUE"""),10)</f>
        <v>10</v>
      </c>
      <c r="P349" s="27" t="str">
        <f ca="1">IFERROR(__xludf.DUMMYFUNCTION("""COMPUTED_VALUE"""),"São Gonçalo do Amarante")</f>
        <v>São Gonçalo do Amarante</v>
      </c>
      <c r="Q349" s="27"/>
      <c r="R349" s="27" t="str">
        <f ca="1">IFERROR(__xludf.DUMMYFUNCTION("""COMPUTED_VALUE"""),"59296-081")</f>
        <v>59296-081</v>
      </c>
      <c r="S349" s="27" t="str">
        <f ca="1">IFERROR(__xludf.DUMMYFUNCTION("""COMPUTED_VALUE"""),"Não se aplica")</f>
        <v>Não se aplica</v>
      </c>
      <c r="T349" s="27"/>
      <c r="U349" s="27" t="str">
        <f ca="1">IFERROR(__xludf.DUMMYFUNCTION("""COMPUTED_VALUE"""),"Crianças (6 a 12 anos), Adolescentes (12 aos 18 anos)")</f>
        <v>Crianças (6 a 12 anos), Adolescentes (12 aos 18 anos)</v>
      </c>
      <c r="V349" s="27" t="str">
        <f ca="1">IFERROR(__xludf.DUMMYFUNCTION("""COMPUTED_VALUE"""),"Moradores de Favelas")</f>
        <v>Moradores de Favelas</v>
      </c>
      <c r="W349" s="27">
        <f ca="1">IFERROR(__xludf.DUMMYFUNCTION("""COMPUTED_VALUE"""),3)</f>
        <v>3</v>
      </c>
      <c r="X349" s="27"/>
      <c r="Y349" s="27"/>
      <c r="Z349" s="27">
        <f ca="1">IFERROR(__xludf.DUMMYFUNCTION("""COMPUTED_VALUE"""),250)</f>
        <v>250</v>
      </c>
      <c r="AA349" s="29">
        <f ca="1">IFERROR(__xludf.DUMMYFUNCTION("""COMPUTED_VALUE"""),42425)</f>
        <v>42425</v>
      </c>
      <c r="AB349" s="27" t="str">
        <f ca="1">IFERROR(__xludf.DUMMYFUNCTION("""COMPUTED_VALUE"""),"Sim")</f>
        <v>Sim</v>
      </c>
      <c r="AC349" s="27">
        <f ca="1">IFERROR(__xludf.DUMMYFUNCTION("""COMPUTED_VALUE"""),12)</f>
        <v>12</v>
      </c>
      <c r="AD349" s="27">
        <f ca="1">IFERROR(__xludf.DUMMYFUNCTION("""COMPUTED_VALUE"""),12)</f>
        <v>12</v>
      </c>
      <c r="AE349" s="27">
        <f ca="1">IFERROR(__xludf.DUMMYFUNCTION("""COMPUTED_VALUE"""),4)</f>
        <v>4</v>
      </c>
      <c r="AF349" s="27">
        <f ca="1">IFERROR(__xludf.DUMMYFUNCTION("""COMPUTED_VALUE"""),4)</f>
        <v>4</v>
      </c>
      <c r="AG349" s="27">
        <f ca="1">IFERROR(__xludf.DUMMYFUNCTION("""COMPUTED_VALUE"""),2)</f>
        <v>2</v>
      </c>
      <c r="AH349" s="27" t="str">
        <f ca="1">IFERROR(__xludf.DUMMYFUNCTION("""COMPUTED_VALUE"""),"Doações, Recursos próprios")</f>
        <v>Doações, Recursos próprios</v>
      </c>
      <c r="AI349" s="27" t="str">
        <f ca="1">IFERROR(__xludf.DUMMYFUNCTION("""COMPUTED_VALUE"""),"30% Doações e 70% Recursos Próprios")</f>
        <v>30% Doações e 70% Recursos Próprios</v>
      </c>
      <c r="AJ349" s="27" t="str">
        <f ca="1">IFERROR(__xludf.DUMMYFUNCTION("""COMPUTED_VALUE"""),"Não")</f>
        <v>Não</v>
      </c>
      <c r="AK349" s="27"/>
      <c r="AL349" s="21" t="str">
        <f ca="1">IFERROR(__xludf.DUMMYFUNCTION("""COMPUTED_VALUE"""),"0034X0000380O6N")</f>
        <v>0034X0000380O6N</v>
      </c>
      <c r="AM349" s="27" t="str">
        <f ca="1">IFERROR(__xludf.DUMMYFUNCTION("""COMPUTED_VALUE"""),"Alberto duarte de moura filho")</f>
        <v>Alberto duarte de moura filho</v>
      </c>
      <c r="AN349" s="27" t="str">
        <f ca="1">IFERROR(__xludf.DUMMYFUNCTION("""COMPUTED_VALUE"""),"Ativo")</f>
        <v>Ativo</v>
      </c>
      <c r="AO349" s="27"/>
      <c r="AP349" s="27"/>
      <c r="AQ349" s="27" t="str">
        <f ca="1">IFERROR(__xludf.DUMMYFUNCTION("""COMPUTED_VALUE"""),"Primeiro Semestre 2022")</f>
        <v>Primeiro Semestre 2022</v>
      </c>
      <c r="AR349" s="27" t="str">
        <f ca="1">IFERROR(__xludf.DUMMYFUNCTION("""COMPUTED_VALUE"""),"educargolandim@gmail.com")</f>
        <v>educargolandim@gmail.com</v>
      </c>
      <c r="AS349" s="27" t="str">
        <f ca="1">IFERROR(__xludf.DUMMYFUNCTION("""COMPUTED_VALUE"""),"(84)98894-0051")</f>
        <v>(84)98894-0051</v>
      </c>
      <c r="AT349" s="29">
        <f ca="1">IFERROR(__xludf.DUMMYFUNCTION("""COMPUTED_VALUE"""),27730)</f>
        <v>27730</v>
      </c>
      <c r="AU349" s="27">
        <f ca="1">IFERROR(__xludf.DUMMYFUNCTION("""COMPUTED_VALUE"""),47)</f>
        <v>47</v>
      </c>
      <c r="AV349" s="27">
        <f ca="1">IFERROR(__xludf.DUMMYFUNCTION("""COMPUTED_VALUE"""),77615590582)</f>
        <v>77615590582</v>
      </c>
      <c r="AW349" s="27">
        <f ca="1">IFERROR(__xludf.DUMMYFUNCTION("""COMPUTED_VALUE"""),652799302)</f>
        <v>652799302</v>
      </c>
      <c r="AX349" s="27"/>
      <c r="AY349" s="27" t="str">
        <f ca="1">IFERROR(__xludf.DUMMYFUNCTION("""COMPUTED_VALUE"""),"Presidente")</f>
        <v>Presidente</v>
      </c>
      <c r="AZ349" s="27" t="str">
        <f ca="1">IFERROR(__xludf.DUMMYFUNCTION("""COMPUTED_VALUE"""),"G1")</f>
        <v>G1</v>
      </c>
      <c r="BA349" s="27" t="str">
        <f ca="1">IFERROR(__xludf.DUMMYFUNCTION("""COMPUTED_VALUE"""),"Branca")</f>
        <v>Branca</v>
      </c>
      <c r="BB349" s="27"/>
      <c r="BC349" s="27"/>
      <c r="BD349" s="27" t="str">
        <f ca="1">IFERROR(__xludf.DUMMYFUNCTION("""COMPUTED_VALUE"""),"Nascido na Bahia, morando em Natal desde 1998, casado com Valéria e pai de Gabriel e Felipe. Durante 21 anos fui funcionário de multinacional e hoje sou empresário e empreendedor.
Sou investidor social já mais de 20 anos e sou fundador do Instituto Educar"&amp;" Golandim e hoje Presidente.")</f>
        <v>Nascido na Bahia, morando em Natal desde 1998, casado com Valéria e pai de Gabriel e Felipe. Durante 21 anos fui funcionário de multinacional e hoje sou empresário e empreendedor.
Sou investidor social já mais de 20 anos e sou fundador do Instituto Educar Golandim e hoje Presidente.</v>
      </c>
      <c r="BE349" s="27" t="str">
        <f ca="1">IFERROR(__xludf.DUMMYFUNCTION("""COMPUTED_VALUE"""),"Homem, cisgênero")</f>
        <v>Homem, cisgênero</v>
      </c>
      <c r="BF349" s="27" t="str">
        <f ca="1">IFERROR(__xludf.DUMMYFUNCTION("""COMPUTED_VALUE"""),"Heterossexual")</f>
        <v>Heterossexual</v>
      </c>
      <c r="BG349" s="27" t="str">
        <f ca="1">IFERROR(__xludf.DUMMYFUNCTION("""COMPUTED_VALUE"""),"Ensino Superior - Completo")</f>
        <v>Ensino Superior - Completo</v>
      </c>
      <c r="BH349" s="27" t="str">
        <f ca="1">IFERROR(__xludf.DUMMYFUNCTION("""COMPUTED_VALUE"""),"Privado")</f>
        <v>Privado</v>
      </c>
      <c r="BI349" s="27" t="str">
        <f ca="1">IFERROR(__xludf.DUMMYFUNCTION("""COMPUTED_VALUE"""),"Graduação")</f>
        <v>Graduação</v>
      </c>
      <c r="BJ349" s="27" t="str">
        <f ca="1">IFERROR(__xludf.DUMMYFUNCTION("""COMPUTED_VALUE"""),"Público")</f>
        <v>Público</v>
      </c>
      <c r="BK349" s="27" t="str">
        <f ca="1">IFERROR(__xludf.DUMMYFUNCTION("""COMPUTED_VALUE"""),"Alameda dos Bosques")</f>
        <v>Alameda dos Bosques</v>
      </c>
      <c r="BL349" s="27">
        <f ca="1">IFERROR(__xludf.DUMMYFUNCTION("""COMPUTED_VALUE"""),680)</f>
        <v>680</v>
      </c>
      <c r="BM349" s="27" t="str">
        <f ca="1">IFERROR(__xludf.DUMMYFUNCTION("""COMPUTED_VALUE"""),"Bosque das Palmeiras Casa 219")</f>
        <v>Bosque das Palmeiras Casa 219</v>
      </c>
      <c r="BN349" s="27" t="str">
        <f ca="1">IFERROR(__xludf.DUMMYFUNCTION("""COMPUTED_VALUE"""),"Parnamirim")</f>
        <v>Parnamirim</v>
      </c>
      <c r="BO349" s="27" t="str">
        <f ca="1">IFERROR(__xludf.DUMMYFUNCTION("""COMPUTED_VALUE"""),"59153-155")</f>
        <v>59153-155</v>
      </c>
      <c r="BP349" s="27" t="str">
        <f ca="1">IFERROR(__xludf.DUMMYFUNCTION("""COMPUTED_VALUE"""),"RN")</f>
        <v>RN</v>
      </c>
      <c r="BQ349" s="27" t="str">
        <f ca="1">IFERROR(__xludf.DUMMYFUNCTION("""COMPUTED_VALUE"""),"Acima de 5 salários mínimos")</f>
        <v>Acima de 5 salários mínimos</v>
      </c>
      <c r="BR349" s="27" t="str">
        <f ca="1">IFERROR(__xludf.DUMMYFUNCTION("""COMPUTED_VALUE"""),"CLT")</f>
        <v>CLT</v>
      </c>
      <c r="BS349" s="27" t="str">
        <f ca="1">IFERROR(__xludf.DUMMYFUNCTION("""COMPUTED_VALUE"""),"Casa própria")</f>
        <v>Casa própria</v>
      </c>
      <c r="BT349" s="27">
        <f ca="1">IFERROR(__xludf.DUMMYFUNCTION("""COMPUTED_VALUE"""),7)</f>
        <v>7</v>
      </c>
      <c r="BU349" s="27" t="str">
        <f ca="1">IFERROR(__xludf.DUMMYFUNCTION("""COMPUTED_VALUE"""),"Não tem")</f>
        <v>Não tem</v>
      </c>
      <c r="BV349" s="27" t="str">
        <f ca="1">IFERROR(__xludf.DUMMYFUNCTION("""COMPUTED_VALUE"""),"Não")</f>
        <v>Não</v>
      </c>
      <c r="BW349" s="21" t="str">
        <f ca="1">IFERROR(__xludf.DUMMYFUNCTION("""COMPUTED_VALUE"""),"https://www.linkedin.com/in/carlos-moura-272b652a")</f>
        <v>https://www.linkedin.com/in/carlos-moura-272b652a</v>
      </c>
      <c r="BX349" s="27" t="str">
        <f ca="1">IFERROR(__xludf.DUMMYFUNCTION("""COMPUTED_VALUE"""),"@Carlosmoura1")</f>
        <v>@Carlosmoura1</v>
      </c>
      <c r="BY349" s="21" t="str">
        <f ca="1">IFERROR(__xludf.DUMMYFUNCTION("""COMPUTED_VALUE"""),"https://drive.google.com/open?id=1hccLlmbhW8G5_N-A4CZhKK_51LSWNCXu")</f>
        <v>https://drive.google.com/open?id=1hccLlmbhW8G5_N-A4CZhKK_51LSWNCXu</v>
      </c>
    </row>
    <row r="350" spans="1:77" ht="12.5" hidden="1" x14ac:dyDescent="0.25">
      <c r="A350" s="21" t="str">
        <f ca="1">IFERROR(__xludf.DUMMYFUNCTION("""COMPUTED_VALUE"""),"0014X00002QTWZVQA5")</f>
        <v>0014X00002QTWZVQA5</v>
      </c>
      <c r="B350" s="27" t="str">
        <f ca="1">IFERROR(__xludf.DUMMYFUNCTION("""COMPUTED_VALUE"""),"Fase Inicial")</f>
        <v>Fase Inicial</v>
      </c>
      <c r="C350" s="27" t="str">
        <f ca="1">IFERROR(__xludf.DUMMYFUNCTION("""COMPUTED_VALUE"""),"Fellow")</f>
        <v>Fellow</v>
      </c>
      <c r="D350" s="27" t="str">
        <f ca="1">IFERROR(__xludf.DUMMYFUNCTION("""COMPUTED_VALUE"""),"Ativo")</f>
        <v>Ativo</v>
      </c>
      <c r="E350" s="27" t="str">
        <f ca="1">IFERROR(__xludf.DUMMYFUNCTION("""COMPUTED_VALUE"""),"Instituto Egbe Dúdú")</f>
        <v>Instituto Egbe Dúdú</v>
      </c>
      <c r="F350" s="27" t="str">
        <f ca="1">IFERROR(__xludf.DUMMYFUNCTION("""COMPUTED_VALUE"""),"Zilda")</f>
        <v>Zilda</v>
      </c>
      <c r="G350" s="27" t="str">
        <f ca="1">IFERROR(__xludf.DUMMYFUNCTION("""COMPUTED_VALUE"""),"Instituto Egbe Dúdú")</f>
        <v>Instituto Egbe Dúdú</v>
      </c>
      <c r="H350" s="27"/>
      <c r="I350" s="27" t="str">
        <f ca="1">IFERROR(__xludf.DUMMYFUNCTION("""COMPUTED_VALUE"""),"Zilda Amélia Costa de Souza")</f>
        <v>Zilda Amélia Costa de Souza</v>
      </c>
      <c r="J350" s="27" t="str">
        <f ca="1">IFERROR(__xludf.DUMMYFUNCTION("""COMPUTED_VALUE"""),"zildaacs@hotmail.com")</f>
        <v>zildaacs@hotmail.com</v>
      </c>
      <c r="K350" s="27" t="str">
        <f ca="1">IFERROR(__xludf.DUMMYFUNCTION("""COMPUTED_VALUE"""),"(75)99812-2810")</f>
        <v>(75)99812-2810</v>
      </c>
      <c r="L350" s="27" t="str">
        <f ca="1">IFERROR(__xludf.DUMMYFUNCTION("""COMPUTED_VALUE"""),"BA")</f>
        <v>BA</v>
      </c>
      <c r="M350" s="27" t="str">
        <f ca="1">IFERROR(__xludf.DUMMYFUNCTION("""COMPUTED_VALUE"""),"31 de Agosto, 261 F")</f>
        <v>31 de Agosto, 261 F</v>
      </c>
      <c r="N350" s="27" t="str">
        <f ca="1">IFERROR(__xludf.DUMMYFUNCTION("""COMPUTED_VALUE"""),"ANA LUCIA")</f>
        <v>ANA LUCIA</v>
      </c>
      <c r="O350" s="27"/>
      <c r="P350" s="27" t="str">
        <f ca="1">IFERROR(__xludf.DUMMYFUNCTION("""COMPUTED_VALUE"""),"Cruz das Almas")</f>
        <v>Cruz das Almas</v>
      </c>
      <c r="Q350" s="27" t="str">
        <f ca="1">IFERROR(__xludf.DUMMYFUNCTION("""COMPUTED_VALUE"""),"EM FRENTE AO SALÃO DE DORI E AO LAVA JATO DO GENI")</f>
        <v>EM FRENTE AO SALÃO DE DORI E AO LAVA JATO DO GENI</v>
      </c>
      <c r="R350" s="27" t="str">
        <f ca="1">IFERROR(__xludf.DUMMYFUNCTION("""COMPUTED_VALUE"""),"44380-000")</f>
        <v>44380-000</v>
      </c>
      <c r="S350" s="27"/>
      <c r="T350" s="27" t="str">
        <f ca="1">IFERROR(__xludf.DUMMYFUNCTION("""COMPUTED_VALUE"""),"Educação; Cultura; Qualificação Profissional; Empoderamento Feminino; Defesa de Direitos; Desenvolvimento comunitário; Outro(s)")</f>
        <v>Educação; Cultura; Qualificação Profissional; Empoderamento Feminino; Defesa de Direitos; Desenvolvimento comunitário; Outro(s)</v>
      </c>
      <c r="U350"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350" s="27" t="str">
        <f ca="1">IFERROR(__xludf.DUMMYFUNCTION("""COMPUTED_VALUE"""),"Moradores de Favelas; Pessoas em situação de rua; População LGBTQ+; Quilombola; Afrodescendentes; Dependentes Químicos; Comunidade rural")</f>
        <v>Moradores de Favelas; Pessoas em situação de rua; População LGBTQ+; Quilombola; Afrodescendentes; Dependentes Químicos; Comunidade rural</v>
      </c>
      <c r="W350" s="27">
        <f ca="1">IFERROR(__xludf.DUMMYFUNCTION("""COMPUTED_VALUE"""),4)</f>
        <v>4</v>
      </c>
      <c r="X350" s="27"/>
      <c r="Y350" s="27"/>
      <c r="Z350" s="27"/>
      <c r="AA350" s="29">
        <f ca="1">IFERROR(__xludf.DUMMYFUNCTION("""COMPUTED_VALUE"""),42364)</f>
        <v>42364</v>
      </c>
      <c r="AB350" s="27"/>
      <c r="AC350" s="27">
        <f ca="1">IFERROR(__xludf.DUMMYFUNCTION("""COMPUTED_VALUE"""),4)</f>
        <v>4</v>
      </c>
      <c r="AD350" s="27">
        <f ca="1">IFERROR(__xludf.DUMMYFUNCTION("""COMPUTED_VALUE"""),2)</f>
        <v>2</v>
      </c>
      <c r="AE350" s="27">
        <f ca="1">IFERROR(__xludf.DUMMYFUNCTION("""COMPUTED_VALUE"""),5)</f>
        <v>5</v>
      </c>
      <c r="AF350" s="27">
        <f ca="1">IFERROR(__xludf.DUMMYFUNCTION("""COMPUTED_VALUE"""),2)</f>
        <v>2</v>
      </c>
      <c r="AG350" s="27">
        <f ca="1">IFERROR(__xludf.DUMMYFUNCTION("""COMPUTED_VALUE"""),3)</f>
        <v>3</v>
      </c>
      <c r="AH350" s="27" t="str">
        <f ca="1">IFERROR(__xludf.DUMMYFUNCTION("""COMPUTED_VALUE"""),"Editais; Doações; Recursos próprios")</f>
        <v>Editais; Doações; Recursos próprios</v>
      </c>
      <c r="AI350" s="27" t="str">
        <f ca="1">IFERROR(__xludf.DUMMYFUNCTION("""COMPUTED_VALUE"""),"20%, 30%, 50%")</f>
        <v>20%, 30%, 50%</v>
      </c>
      <c r="AJ350" s="27"/>
      <c r="AK350" s="27"/>
      <c r="AL350" s="21" t="str">
        <f ca="1">IFERROR(__xludf.DUMMYFUNCTION("""COMPUTED_VALUE"""),"0034X000033zzZd")</f>
        <v>0034X000033zzZd</v>
      </c>
      <c r="AM350" s="27" t="str">
        <f ca="1">IFERROR(__xludf.DUMMYFUNCTION("""COMPUTED_VALUE"""),"Amélia Costa De Souza")</f>
        <v>Amélia Costa De Souza</v>
      </c>
      <c r="AN350" s="27" t="str">
        <f ca="1">IFERROR(__xludf.DUMMYFUNCTION("""COMPUTED_VALUE"""),"Ativo")</f>
        <v>Ativo</v>
      </c>
      <c r="AO350" s="30">
        <f ca="1">IFERROR(__xludf.DUMMYFUNCTION("""COMPUTED_VALUE"""),44551)</f>
        <v>44551</v>
      </c>
      <c r="AP350" s="27">
        <f ca="1">IFERROR(__xludf.DUMMYFUNCTION("""COMPUTED_VALUE"""),9)</f>
        <v>9</v>
      </c>
      <c r="AQ350" s="27" t="str">
        <f ca="1">IFERROR(__xludf.DUMMYFUNCTION("""COMPUTED_VALUE"""),"Segundo Semestre 2021")</f>
        <v>Segundo Semestre 2021</v>
      </c>
      <c r="AR350" s="27" t="str">
        <f ca="1">IFERROR(__xludf.DUMMYFUNCTION("""COMPUTED_VALUE"""),"zillzootecnia@gmail.com")</f>
        <v>zillzootecnia@gmail.com</v>
      </c>
      <c r="AS350" s="27" t="str">
        <f ca="1">IFERROR(__xludf.DUMMYFUNCTION("""COMPUTED_VALUE"""),"(75)98140-8242")</f>
        <v>(75)98140-8242</v>
      </c>
      <c r="AT350" s="29">
        <f ca="1">IFERROR(__xludf.DUMMYFUNCTION("""COMPUTED_VALUE"""),31558)</f>
        <v>31558</v>
      </c>
      <c r="AU350" s="27">
        <f ca="1">IFERROR(__xludf.DUMMYFUNCTION("""COMPUTED_VALUE"""),36)</f>
        <v>36</v>
      </c>
      <c r="AV350" s="27">
        <f ca="1">IFERROR(__xludf.DUMMYFUNCTION("""COMPUTED_VALUE"""),2673944540)</f>
        <v>2673944540</v>
      </c>
      <c r="AW350" s="27" t="str">
        <f ca="1">IFERROR(__xludf.DUMMYFUNCTION("""COMPUTED_VALUE"""),"14087371-67")</f>
        <v>14087371-67</v>
      </c>
      <c r="AX350" s="27"/>
      <c r="AY350" s="27"/>
      <c r="AZ350" s="27" t="str">
        <f ca="1">IFERROR(__xludf.DUMMYFUNCTION("""COMPUTED_VALUE"""),"GG")</f>
        <v>GG</v>
      </c>
      <c r="BA350" s="27" t="str">
        <f ca="1">IFERROR(__xludf.DUMMYFUNCTION("""COMPUTED_VALUE"""),"Preta")</f>
        <v>Preta</v>
      </c>
      <c r="BB350" s="27" t="str">
        <f ca="1">IFERROR(__xludf.DUMMYFUNCTION("""COMPUTED_VALUE"""),"Mulher, cisgênero")</f>
        <v>Mulher, cisgênero</v>
      </c>
      <c r="BC350" s="27" t="str">
        <f ca="1">IFERROR(__xludf.DUMMYFUNCTION("""COMPUTED_VALUE"""),"Sim")</f>
        <v>Sim</v>
      </c>
      <c r="BD350" s="27" t="str">
        <f ca="1">IFERROR(__xludf.DUMMYFUNCTION("""COMPUTED_VALUE"""),"Zilda Souza, mulher preta, mãe de Imaní,  Nascida em Itaberaba-Ba, e mestre em Ciência Animal pela UFRB, tem movimentado a cena cultural e comunitaria no Recôncavo da Bahia atuando como produtora cultural, tenho o trabalho comunitário como modo de vida.")</f>
        <v>Zilda Souza, mulher preta, mãe de Imaní,  Nascida em Itaberaba-Ba, e mestre em Ciência Animal pela UFRB, tem movimentado a cena cultural e comunitaria no Recôncavo da Bahia atuando como produtora cultural, tenho o trabalho comunitário como modo de vida.</v>
      </c>
      <c r="BE350" s="27"/>
      <c r="BF350" s="27" t="str">
        <f ca="1">IFERROR(__xludf.DUMMYFUNCTION("""COMPUTED_VALUE"""),"Heterossexual")</f>
        <v>Heterossexual</v>
      </c>
      <c r="BG350" s="27" t="str">
        <f ca="1">IFERROR(__xludf.DUMMYFUNCTION("""COMPUTED_VALUE"""),"Ensino Superior - Completo")</f>
        <v>Ensino Superior - Completo</v>
      </c>
      <c r="BH350" s="27"/>
      <c r="BI350" s="27" t="str">
        <f ca="1">IFERROR(__xludf.DUMMYFUNCTION("""COMPUTED_VALUE"""),"Mestrado")</f>
        <v>Mestrado</v>
      </c>
      <c r="BJ350" s="27" t="str">
        <f ca="1">IFERROR(__xludf.DUMMYFUNCTION("""COMPUTED_VALUE"""),"Público")</f>
        <v>Público</v>
      </c>
      <c r="BK350" s="27" t="str">
        <f ca="1">IFERROR(__xludf.DUMMYFUNCTION("""COMPUTED_VALUE"""),"31 de agosto, bairro Ana Lucia")</f>
        <v>31 de agosto, bairro Ana Lucia</v>
      </c>
      <c r="BL350" s="27" t="str">
        <f ca="1">IFERROR(__xludf.DUMMYFUNCTION("""COMPUTED_VALUE"""),"261F")</f>
        <v>261F</v>
      </c>
      <c r="BM350" s="27" t="str">
        <f ca="1">IFERROR(__xludf.DUMMYFUNCTION("""COMPUTED_VALUE"""),"em frente ao salão de Dori e lavajato do Geny")</f>
        <v>em frente ao salão de Dori e lavajato do Geny</v>
      </c>
      <c r="BN350" s="27" t="str">
        <f ca="1">IFERROR(__xludf.DUMMYFUNCTION("""COMPUTED_VALUE"""),"Cruz das Almas")</f>
        <v>Cruz das Almas</v>
      </c>
      <c r="BO350" s="27" t="str">
        <f ca="1">IFERROR(__xludf.DUMMYFUNCTION("""COMPUTED_VALUE"""),"44380-000")</f>
        <v>44380-000</v>
      </c>
      <c r="BP350" s="27" t="str">
        <f ca="1">IFERROR(__xludf.DUMMYFUNCTION("""COMPUTED_VALUE"""),"BA")</f>
        <v>BA</v>
      </c>
      <c r="BQ350" s="27" t="str">
        <f ca="1">IFERROR(__xludf.DUMMYFUNCTION("""COMPUTED_VALUE"""),"Entre 1 até 3 salários mínimos")</f>
        <v>Entre 1 até 3 salários mínimos</v>
      </c>
      <c r="BR350" s="27" t="str">
        <f ca="1">IFERROR(__xludf.DUMMYFUNCTION("""COMPUTED_VALUE"""),"Desempregado")</f>
        <v>Desempregado</v>
      </c>
      <c r="BS350" s="27" t="str">
        <f ca="1">IFERROR(__xludf.DUMMYFUNCTION("""COMPUTED_VALUE"""),"Aluguel")</f>
        <v>Aluguel</v>
      </c>
      <c r="BT350" s="27">
        <f ca="1">IFERROR(__xludf.DUMMYFUNCTION("""COMPUTED_VALUE"""),2)</f>
        <v>2</v>
      </c>
      <c r="BU350" s="27"/>
      <c r="BV350" s="27" t="str">
        <f ca="1">IFERROR(__xludf.DUMMYFUNCTION("""COMPUTED_VALUE"""),"peixes de couro, abobora, fruta pão, jaca, umbu")</f>
        <v>peixes de couro, abobora, fruta pão, jaca, umbu</v>
      </c>
      <c r="BW350" s="21" t="str">
        <f ca="1">IFERROR(__xludf.DUMMYFUNCTION("""COMPUTED_VALUE"""),"https://www.linkedin.com/in/zilda-souza-940792224/")</f>
        <v>https://www.linkedin.com/in/zilda-souza-940792224/</v>
      </c>
      <c r="BX350" s="21" t="str">
        <f ca="1">IFERROR(__xludf.DUMMYFUNCTION("""COMPUTED_VALUE"""),"https://www.instagram.com/zilldasouza/")</f>
        <v>https://www.instagram.com/zilldasouza/</v>
      </c>
      <c r="BY350" s="21" t="str">
        <f ca="1">IFERROR(__xludf.DUMMYFUNCTION("""COMPUTED_VALUE"""),"https://drive.google.com/open?id=1-qvgmOicpJPtEdLI1ygh-OGRYsMVFqZ1")</f>
        <v>https://drive.google.com/open?id=1-qvgmOicpJPtEdLI1ygh-OGRYsMVFqZ1</v>
      </c>
    </row>
    <row r="351" spans="1:77" ht="12.5" x14ac:dyDescent="0.25">
      <c r="A351" s="21" t="str">
        <f ca="1">IFERROR(__xludf.DUMMYFUNCTION("""COMPUTED_VALUE"""),"0014P00003YSp8FQAT")</f>
        <v>0014P00003YSp8FQAT</v>
      </c>
      <c r="B351" s="27" t="str">
        <f ca="1">IFERROR(__xludf.DUMMYFUNCTION("""COMPUTED_VALUE"""),"Fase Inicial")</f>
        <v>Fase Inicial</v>
      </c>
      <c r="C351" s="27" t="str">
        <f ca="1">IFERROR(__xludf.DUMMYFUNCTION("""COMPUTED_VALUE"""),"Fellow")</f>
        <v>Fellow</v>
      </c>
      <c r="D351" s="27" t="str">
        <f ca="1">IFERROR(__xludf.DUMMYFUNCTION("""COMPUTED_VALUE"""),"Ativo")</f>
        <v>Ativo</v>
      </c>
      <c r="E351" s="27" t="str">
        <f ca="1">IFERROR(__xludf.DUMMYFUNCTION("""COMPUTED_VALUE"""),"Instituto emarca de pesquisa e educacao professional")</f>
        <v>Instituto emarca de pesquisa e educacao professional</v>
      </c>
      <c r="F351" s="27" t="str">
        <f ca="1">IFERROR(__xludf.DUMMYFUNCTION("""COMPUTED_VALUE"""),"Eliana")</f>
        <v>Eliana</v>
      </c>
      <c r="G351" s="27"/>
      <c r="H351" s="27">
        <f ca="1">IFERROR(__xludf.DUMMYFUNCTION("""COMPUTED_VALUE"""),1839027000135)</f>
        <v>1839027000135</v>
      </c>
      <c r="I351" s="27" t="str">
        <f ca="1">IFERROR(__xludf.DUMMYFUNCTION("""COMPUTED_VALUE"""),"Eliana mara carnavos")</f>
        <v>Eliana mara carnavos</v>
      </c>
      <c r="J351" s="27" t="str">
        <f ca="1">IFERROR(__xludf.DUMMYFUNCTION("""COMPUTED_VALUE"""),"eliana.emarca@gmail.com")</f>
        <v>eliana.emarca@gmail.com</v>
      </c>
      <c r="K351" s="27">
        <f ca="1">IFERROR(__xludf.DUMMYFUNCTION("""COMPUTED_VALUE"""),21981466162)</f>
        <v>21981466162</v>
      </c>
      <c r="L351" s="27" t="str">
        <f ca="1">IFERROR(__xludf.DUMMYFUNCTION("""COMPUTED_VALUE"""),"RJ")</f>
        <v>RJ</v>
      </c>
      <c r="M351" s="27" t="str">
        <f ca="1">IFERROR(__xludf.DUMMYFUNCTION("""COMPUTED_VALUE"""),"Praca carmela dutra")</f>
        <v>Praca carmela dutra</v>
      </c>
      <c r="N351" s="27" t="str">
        <f ca="1">IFERROR(__xludf.DUMMYFUNCTION("""COMPUTED_VALUE"""),"Barreira do vasco")</f>
        <v>Barreira do vasco</v>
      </c>
      <c r="O351" s="27">
        <f ca="1">IFERROR(__xludf.DUMMYFUNCTION("""COMPUTED_VALUE"""),1)</f>
        <v>1</v>
      </c>
      <c r="P351" s="27" t="str">
        <f ca="1">IFERROR(__xludf.DUMMYFUNCTION("""COMPUTED_VALUE"""),"Rio de janeiro")</f>
        <v>Rio de janeiro</v>
      </c>
      <c r="Q351" s="27"/>
      <c r="R351" s="27" t="str">
        <f ca="1">IFERROR(__xludf.DUMMYFUNCTION("""COMPUTED_VALUE"""),"20921-240")</f>
        <v>20921-240</v>
      </c>
      <c r="S351" s="27"/>
      <c r="T351" s="27"/>
      <c r="U351" s="27"/>
      <c r="V351" s="27"/>
      <c r="W351" s="27">
        <f ca="1">IFERROR(__xludf.DUMMYFUNCTION("""COMPUTED_VALUE"""),5)</f>
        <v>5</v>
      </c>
      <c r="X351" s="27"/>
      <c r="Y351" s="27"/>
      <c r="Z351" s="27">
        <f ca="1">IFERROR(__xludf.DUMMYFUNCTION("""COMPUTED_VALUE"""),100)</f>
        <v>100</v>
      </c>
      <c r="AA351" s="30">
        <f ca="1">IFERROR(__xludf.DUMMYFUNCTION("""COMPUTED_VALUE"""),40522)</f>
        <v>40522</v>
      </c>
      <c r="AB351" s="27" t="str">
        <f ca="1">IFERROR(__xludf.DUMMYFUNCTION("""COMPUTED_VALUE"""),"Sim")</f>
        <v>Sim</v>
      </c>
      <c r="AC351" s="27">
        <f ca="1">IFERROR(__xludf.DUMMYFUNCTION("""COMPUTED_VALUE"""),10)</f>
        <v>10</v>
      </c>
      <c r="AD351" s="27"/>
      <c r="AE351" s="27">
        <f ca="1">IFERROR(__xludf.DUMMYFUNCTION("""COMPUTED_VALUE"""),6)</f>
        <v>6</v>
      </c>
      <c r="AF351" s="27"/>
      <c r="AG351" s="27"/>
      <c r="AH351" s="27"/>
      <c r="AI351" s="27"/>
      <c r="AJ351" s="27"/>
      <c r="AK351" s="27"/>
      <c r="AL351" s="21" t="str">
        <f ca="1">IFERROR(__xludf.DUMMYFUNCTION("""COMPUTED_VALUE"""),"0034P000045kxiq")</f>
        <v>0034P000045kxiq</v>
      </c>
      <c r="AM351" s="27" t="str">
        <f ca="1">IFERROR(__xludf.DUMMYFUNCTION("""COMPUTED_VALUE"""),"Mara Carnavos")</f>
        <v>Mara Carnavos</v>
      </c>
      <c r="AN351" s="27" t="str">
        <f ca="1">IFERROR(__xludf.DUMMYFUNCTION("""COMPUTED_VALUE"""),"Ativo")</f>
        <v>Ativo</v>
      </c>
      <c r="AO351" s="30">
        <f ca="1">IFERROR(__xludf.DUMMYFUNCTION("""COMPUTED_VALUE"""),44551)</f>
        <v>44551</v>
      </c>
      <c r="AP351" s="27">
        <f ca="1">IFERROR(__xludf.DUMMYFUNCTION("""COMPUTED_VALUE"""),9)</f>
        <v>9</v>
      </c>
      <c r="AQ351" s="27" t="str">
        <f ca="1">IFERROR(__xludf.DUMMYFUNCTION("""COMPUTED_VALUE"""),"Segundo Semestre 2021")</f>
        <v>Segundo Semestre 2021</v>
      </c>
      <c r="AR351" s="27" t="str">
        <f ca="1">IFERROR(__xludf.DUMMYFUNCTION("""COMPUTED_VALUE"""),"eliana.emarca@gmail.com")</f>
        <v>eliana.emarca@gmail.com</v>
      </c>
      <c r="AS351" s="27">
        <f ca="1">IFERROR(__xludf.DUMMYFUNCTION("""COMPUTED_VALUE"""),21981466162)</f>
        <v>21981466162</v>
      </c>
      <c r="AT351" s="29">
        <f ca="1">IFERROR(__xludf.DUMMYFUNCTION("""COMPUTED_VALUE"""),22287)</f>
        <v>22287</v>
      </c>
      <c r="AU351" s="27">
        <f ca="1">IFERROR(__xludf.DUMMYFUNCTION("""COMPUTED_VALUE"""),61)</f>
        <v>61</v>
      </c>
      <c r="AV351" s="27">
        <f ca="1">IFERROR(__xludf.DUMMYFUNCTION("""COMPUTED_VALUE"""),85661031734)</f>
        <v>85661031734</v>
      </c>
      <c r="AW351" s="27">
        <f ca="1">IFERROR(__xludf.DUMMYFUNCTION("""COMPUTED_VALUE"""),66453705)</f>
        <v>66453705</v>
      </c>
      <c r="AX351" s="27"/>
      <c r="AY351" s="27"/>
      <c r="AZ351" s="27" t="str">
        <f ca="1">IFERROR(__xludf.DUMMYFUNCTION("""COMPUTED_VALUE"""),"G")</f>
        <v>G</v>
      </c>
      <c r="BA351" s="27" t="str">
        <f ca="1">IFERROR(__xludf.DUMMYFUNCTION("""COMPUTED_VALUE"""),"Branca")</f>
        <v>Branca</v>
      </c>
      <c r="BB351" s="27"/>
      <c r="BC351" s="27" t="str">
        <f ca="1">IFERROR(__xludf.DUMMYFUNCTION("""COMPUTED_VALUE"""),"Não")</f>
        <v>Não</v>
      </c>
      <c r="BD351" s="27" t="str">
        <f ca="1">IFERROR(__xludf.DUMMYFUNCTION("""COMPUTED_VALUE"""),"Me chamo Eliana Mara Carnavos;; formada no antigo normal;; Assistente Social;; especializada
em crianca e adolescente;; especializada em saude mental e familia;; pos-graduada em Gerontologia;
Formada desde 1990;")</f>
        <v>Me chamo Eliana Mara Carnavos;; formada no antigo normal;; Assistente Social;; especializada
em crianca e adolescente;; especializada em saude mental e familia;; pos-graduada em Gerontologia;
Formada desde 1990;</v>
      </c>
      <c r="BE351" s="27"/>
      <c r="BF351" s="27"/>
      <c r="BG351" s="27" t="str">
        <f ca="1">IFERROR(__xludf.DUMMYFUNCTION("""COMPUTED_VALUE"""),"Ensino Superior - Incompleto")</f>
        <v>Ensino Superior - Incompleto</v>
      </c>
      <c r="BH351" s="27" t="str">
        <f ca="1">IFERROR(__xludf.DUMMYFUNCTION("""COMPUTED_VALUE"""),"Público")</f>
        <v>Público</v>
      </c>
      <c r="BI351" s="27" t="str">
        <f ca="1">IFERROR(__xludf.DUMMYFUNCTION("""COMPUTED_VALUE"""),"Pós-Graduação")</f>
        <v>Pós-Graduação</v>
      </c>
      <c r="BJ351" s="27" t="str">
        <f ca="1">IFERROR(__xludf.DUMMYFUNCTION("""COMPUTED_VALUE"""),"Privado")</f>
        <v>Privado</v>
      </c>
      <c r="BK351" s="27" t="str">
        <f ca="1">IFERROR(__xludf.DUMMYFUNCTION("""COMPUTED_VALUE"""),"Engenheiro Gama Lobo 183/201")</f>
        <v>Engenheiro Gama Lobo 183/201</v>
      </c>
      <c r="BL351" s="27">
        <f ca="1">IFERROR(__xludf.DUMMYFUNCTION("""COMPUTED_VALUE"""),183)</f>
        <v>183</v>
      </c>
      <c r="BM351" s="27">
        <f ca="1">IFERROR(__xludf.DUMMYFUNCTION("""COMPUTED_VALUE"""),201)</f>
        <v>201</v>
      </c>
      <c r="BN351" s="27" t="str">
        <f ca="1">IFERROR(__xludf.DUMMYFUNCTION("""COMPUTED_VALUE"""),"RJ")</f>
        <v>RJ</v>
      </c>
      <c r="BO351" s="27">
        <f ca="1">IFERROR(__xludf.DUMMYFUNCTION("""COMPUTED_VALUE"""),20551100)</f>
        <v>20551100</v>
      </c>
      <c r="BP351" s="27" t="str">
        <f ca="1">IFERROR(__xludf.DUMMYFUNCTION("""COMPUTED_VALUE"""),"RJ")</f>
        <v>RJ</v>
      </c>
      <c r="BQ351" s="27"/>
      <c r="BR351" s="27"/>
      <c r="BS351" s="27"/>
      <c r="BT351" s="27"/>
      <c r="BU351" s="27" t="str">
        <f ca="1">IFERROR(__xludf.DUMMYFUNCTION("""COMPUTED_VALUE"""),"Não tem")</f>
        <v>Não tem</v>
      </c>
      <c r="BV351" s="27"/>
      <c r="BW351" s="27"/>
      <c r="BX351" s="21" t="str">
        <f ca="1">IFERROR(__xludf.DUMMYFUNCTION("""COMPUTED_VALUE"""),"instagram.com/eliana.emarca")</f>
        <v>instagram.com/eliana.emarca</v>
      </c>
      <c r="BY351" s="21" t="str">
        <f ca="1">IFERROR(__xludf.DUMMYFUNCTION("""COMPUTED_VALUE"""),"https://drive.google.com/open?id=1dx6OilGI5hmvXndQWUC9nmaQYo6rbARY")</f>
        <v>https://drive.google.com/open?id=1dx6OilGI5hmvXndQWUC9nmaQYo6rbARY</v>
      </c>
    </row>
    <row r="352" spans="1:77" ht="12.5" x14ac:dyDescent="0.25">
      <c r="A352" s="21" t="str">
        <f ca="1">IFERROR(__xludf.DUMMYFUNCTION("""COMPUTED_VALUE"""),"0014P00003YSp7vQAD")</f>
        <v>0014P00003YSp7vQAD</v>
      </c>
      <c r="B352" s="27" t="str">
        <f ca="1">IFERROR(__xludf.DUMMYFUNCTION("""COMPUTED_VALUE"""),"Fase Inicial")</f>
        <v>Fase Inicial</v>
      </c>
      <c r="C352" s="27" t="str">
        <f ca="1">IFERROR(__xludf.DUMMYFUNCTION("""COMPUTED_VALUE"""),"Fellow")</f>
        <v>Fellow</v>
      </c>
      <c r="D352" s="27" t="str">
        <f ca="1">IFERROR(__xludf.DUMMYFUNCTION("""COMPUTED_VALUE"""),"Ativo")</f>
        <v>Ativo</v>
      </c>
      <c r="E352" s="27" t="str">
        <f ca="1">IFERROR(__xludf.DUMMYFUNCTION("""COMPUTED_VALUE"""),"Instituto Emprega+")</f>
        <v>Instituto Emprega+</v>
      </c>
      <c r="F352" s="27" t="str">
        <f ca="1">IFERROR(__xludf.DUMMYFUNCTION("""COMPUTED_VALUE"""),"Érica")</f>
        <v>Érica</v>
      </c>
      <c r="G352" s="27"/>
      <c r="H352" s="27" t="str">
        <f ca="1">IFERROR(__xludf.DUMMYFUNCTION("""COMPUTED_VALUE"""),"45.385.406/0001-78")</f>
        <v>45.385.406/0001-78</v>
      </c>
      <c r="I352" s="27" t="str">
        <f ca="1">IFERROR(__xludf.DUMMYFUNCTION("""COMPUTED_VALUE"""),"Érica Paula do Vale Ferreira")</f>
        <v>Érica Paula do Vale Ferreira</v>
      </c>
      <c r="J352" s="27" t="str">
        <f ca="1">IFERROR(__xludf.DUMMYFUNCTION("""COMPUTED_VALUE"""),"empregamaisfortaleza@gmail.com")</f>
        <v>empregamaisfortaleza@gmail.com</v>
      </c>
      <c r="K352" s="27" t="str">
        <f ca="1">IFERROR(__xludf.DUMMYFUNCTION("""COMPUTED_VALUE"""),"(85)98215-0189")</f>
        <v>(85)98215-0189</v>
      </c>
      <c r="L352" s="27" t="str">
        <f ca="1">IFERROR(__xludf.DUMMYFUNCTION("""COMPUTED_VALUE"""),"CE")</f>
        <v>CE</v>
      </c>
      <c r="M352" s="27">
        <f ca="1">IFERROR(__xludf.DUMMYFUNCTION("""COMPUTED_VALUE"""),412)</f>
        <v>412</v>
      </c>
      <c r="N352" s="27" t="str">
        <f ca="1">IFERROR(__xludf.DUMMYFUNCTION("""COMPUTED_VALUE"""),"Manuel Sátiro")</f>
        <v>Manuel Sátiro</v>
      </c>
      <c r="O352" s="27">
        <f ca="1">IFERROR(__xludf.DUMMYFUNCTION("""COMPUTED_VALUE"""),486)</f>
        <v>486</v>
      </c>
      <c r="P352" s="27" t="str">
        <f ca="1">IFERROR(__xludf.DUMMYFUNCTION("""COMPUTED_VALUE"""),"Fortaleza")</f>
        <v>Fortaleza</v>
      </c>
      <c r="Q352" s="27" t="str">
        <f ca="1">IFERROR(__xludf.DUMMYFUNCTION("""COMPUTED_VALUE"""),"B")</f>
        <v>B</v>
      </c>
      <c r="R352" s="27" t="str">
        <f ca="1">IFERROR(__xludf.DUMMYFUNCTION("""COMPUTED_VALUE"""),"60866-490")</f>
        <v>60866-490</v>
      </c>
      <c r="S352" s="27"/>
      <c r="T352" s="27" t="str">
        <f ca="1">IFERROR(__xludf.DUMMYFUNCTION("""COMPUTED_VALUE"""),"Educação; Empregabilidade; Assistência Social")</f>
        <v>Educação; Empregabilidade; Assistência Social</v>
      </c>
      <c r="U352" s="27" t="str">
        <f ca="1">IFERROR(__xludf.DUMMYFUNCTION("""COMPUTED_VALUE"""),"Adolescentes (12 aos 18 anos); Jovens (18 aos 24 anos)")</f>
        <v>Adolescentes (12 aos 18 anos); Jovens (18 aos 24 anos)</v>
      </c>
      <c r="V352" s="27" t="str">
        <f ca="1">IFERROR(__xludf.DUMMYFUNCTION("""COMPUTED_VALUE"""),"Moradores de Favelas")</f>
        <v>Moradores de Favelas</v>
      </c>
      <c r="W352" s="27">
        <f ca="1">IFERROR(__xludf.DUMMYFUNCTION("""COMPUTED_VALUE"""),30)</f>
        <v>30</v>
      </c>
      <c r="X352" s="27" t="str">
        <f ca="1">IFERROR(__xludf.DUMMYFUNCTION("""COMPUTED_VALUE"""),"Atuando em parceria com diversas entidades não governamentais atingimos mais comunidades do que as informadas colocamos os bairros de atuação mas em um bairro pode existir mais de uma comunidade atingida.")</f>
        <v>Atuando em parceria com diversas entidades não governamentais atingimos mais comunidades do que as informadas colocamos os bairros de atuação mas em um bairro pode existir mais de uma comunidade atingida.</v>
      </c>
      <c r="Y352" s="27"/>
      <c r="Z352" s="27">
        <f ca="1">IFERROR(__xludf.DUMMYFUNCTION("""COMPUTED_VALUE"""),50)</f>
        <v>50</v>
      </c>
      <c r="AA352" s="30">
        <f ca="1">IFERROR(__xludf.DUMMYFUNCTION("""COMPUTED_VALUE"""),43699)</f>
        <v>43699</v>
      </c>
      <c r="AB352" s="27" t="str">
        <f ca="1">IFERROR(__xludf.DUMMYFUNCTION("""COMPUTED_VALUE"""),"Não")</f>
        <v>Não</v>
      </c>
      <c r="AC352" s="27">
        <f ca="1">IFERROR(__xludf.DUMMYFUNCTION("""COMPUTED_VALUE"""),2)</f>
        <v>2</v>
      </c>
      <c r="AD352" s="27">
        <f ca="1">IFERROR(__xludf.DUMMYFUNCTION("""COMPUTED_VALUE"""),0)</f>
        <v>0</v>
      </c>
      <c r="AE352" s="27">
        <f ca="1">IFERROR(__xludf.DUMMYFUNCTION("""COMPUTED_VALUE"""),8)</f>
        <v>8</v>
      </c>
      <c r="AF352" s="27">
        <f ca="1">IFERROR(__xludf.DUMMYFUNCTION("""COMPUTED_VALUE"""),12)</f>
        <v>12</v>
      </c>
      <c r="AG352" s="27">
        <f ca="1">IFERROR(__xludf.DUMMYFUNCTION("""COMPUTED_VALUE"""),2)</f>
        <v>2</v>
      </c>
      <c r="AH352" s="27" t="str">
        <f ca="1">IFERROR(__xludf.DUMMYFUNCTION("""COMPUTED_VALUE"""),"Doações; Recursos próprios")</f>
        <v>Doações; Recursos próprios</v>
      </c>
      <c r="AI352" s="27" t="str">
        <f ca="1">IFERROR(__xludf.DUMMYFUNCTION("""COMPUTED_VALUE"""),"10% Doações - 90% Recursos Próprios")</f>
        <v>10% Doações - 90% Recursos Próprios</v>
      </c>
      <c r="AJ352" s="27"/>
      <c r="AK352" s="27"/>
      <c r="AL352" s="21" t="str">
        <f ca="1">IFERROR(__xludf.DUMMYFUNCTION("""COMPUTED_VALUE"""),"0034P000045kxiW")</f>
        <v>0034P000045kxiW</v>
      </c>
      <c r="AM352" s="27" t="str">
        <f ca="1">IFERROR(__xludf.DUMMYFUNCTION("""COMPUTED_VALUE"""),"Paula Do Vale Ferreira")</f>
        <v>Paula Do Vale Ferreira</v>
      </c>
      <c r="AN352" s="27" t="str">
        <f ca="1">IFERROR(__xludf.DUMMYFUNCTION("""COMPUTED_VALUE"""),"Ativo")</f>
        <v>Ativo</v>
      </c>
      <c r="AO352" s="30">
        <f ca="1">IFERROR(__xludf.DUMMYFUNCTION("""COMPUTED_VALUE"""),44551)</f>
        <v>44551</v>
      </c>
      <c r="AP352" s="27">
        <f ca="1">IFERROR(__xludf.DUMMYFUNCTION("""COMPUTED_VALUE"""),9)</f>
        <v>9</v>
      </c>
      <c r="AQ352" s="27" t="str">
        <f ca="1">IFERROR(__xludf.DUMMYFUNCTION("""COMPUTED_VALUE"""),"Segundo Semestre 2021")</f>
        <v>Segundo Semestre 2021</v>
      </c>
      <c r="AR352" s="27" t="str">
        <f ca="1">IFERROR(__xludf.DUMMYFUNCTION("""COMPUTED_VALUE"""),"empregamaisfortaleza@gmail.com")</f>
        <v>empregamaisfortaleza@gmail.com</v>
      </c>
      <c r="AS352" s="27" t="str">
        <f ca="1">IFERROR(__xludf.DUMMYFUNCTION("""COMPUTED_VALUE"""),"(85)98215-0189")</f>
        <v>(85)98215-0189</v>
      </c>
      <c r="AT352" s="29">
        <f ca="1">IFERROR(__xludf.DUMMYFUNCTION("""COMPUTED_VALUE"""),33102)</f>
        <v>33102</v>
      </c>
      <c r="AU352" s="27">
        <f ca="1">IFERROR(__xludf.DUMMYFUNCTION("""COMPUTED_VALUE"""),32)</f>
        <v>32</v>
      </c>
      <c r="AV352" s="27">
        <f ca="1">IFERROR(__xludf.DUMMYFUNCTION("""COMPUTED_VALUE"""),4009818310)</f>
        <v>4009818310</v>
      </c>
      <c r="AW352" s="27">
        <f ca="1">IFERROR(__xludf.DUMMYFUNCTION("""COMPUTED_VALUE"""),2004099005267)</f>
        <v>2004099005267</v>
      </c>
      <c r="AX352" s="27"/>
      <c r="AY352" s="27"/>
      <c r="AZ352" s="27" t="str">
        <f ca="1">IFERROR(__xludf.DUMMYFUNCTION("""COMPUTED_VALUE"""),"M")</f>
        <v>M</v>
      </c>
      <c r="BA352" s="27" t="str">
        <f ca="1">IFERROR(__xludf.DUMMYFUNCTION("""COMPUTED_VALUE"""),"Preta")</f>
        <v>Preta</v>
      </c>
      <c r="BB352" s="27" t="str">
        <f ca="1">IFERROR(__xludf.DUMMYFUNCTION("""COMPUTED_VALUE"""),"Mulher, cisgênero")</f>
        <v>Mulher, cisgênero</v>
      </c>
      <c r="BC352" s="27" t="str">
        <f ca="1">IFERROR(__xludf.DUMMYFUNCTION("""COMPUTED_VALUE"""),"Não")</f>
        <v>Não</v>
      </c>
      <c r="BD352" s="27" t="str">
        <f ca="1">IFERROR(__xludf.DUMMYFUNCTION("""COMPUTED_VALUE"""),"Apaixonada por trabalhar com pessoas e gerar impacto positivo na sociedade.
Co-fundadora e Presidente do Instituto Emprega +, coordenadora do Espaço Cultura e Vida Dorotéias, Alumni Mentora do time Enactus Unicamp Limeira e Fellows Gerando Falcões.")</f>
        <v>Apaixonada por trabalhar com pessoas e gerar impacto positivo na sociedade.
Co-fundadora e Presidente do Instituto Emprega +, coordenadora do Espaço Cultura e Vida Dorotéias, Alumni Mentora do time Enactus Unicamp Limeira e Fellows Gerando Falcões.</v>
      </c>
      <c r="BE352" s="27"/>
      <c r="BF352" s="27" t="str">
        <f ca="1">IFERROR(__xludf.DUMMYFUNCTION("""COMPUTED_VALUE"""),"Bissexual")</f>
        <v>Bissexual</v>
      </c>
      <c r="BG352" s="27" t="str">
        <f ca="1">IFERROR(__xludf.DUMMYFUNCTION("""COMPUTED_VALUE"""),"Ensino Superior - Completo")</f>
        <v>Ensino Superior - Completo</v>
      </c>
      <c r="BH352" s="27" t="str">
        <f ca="1">IFERROR(__xludf.DUMMYFUNCTION("""COMPUTED_VALUE"""),"Público")</f>
        <v>Público</v>
      </c>
      <c r="BI352" s="27" t="str">
        <f ca="1">IFERROR(__xludf.DUMMYFUNCTION("""COMPUTED_VALUE"""),"Graduação")</f>
        <v>Graduação</v>
      </c>
      <c r="BJ352" s="27" t="str">
        <f ca="1">IFERROR(__xludf.DUMMYFUNCTION("""COMPUTED_VALUE"""),"Público")</f>
        <v>Público</v>
      </c>
      <c r="BK352" s="27" t="str">
        <f ca="1">IFERROR(__xludf.DUMMYFUNCTION("""COMPUTED_VALUE"""),"Av H,")</f>
        <v>Av H,</v>
      </c>
      <c r="BL352" s="27">
        <f ca="1">IFERROR(__xludf.DUMMYFUNCTION("""COMPUTED_VALUE"""),1963)</f>
        <v>1963</v>
      </c>
      <c r="BM352" s="27" t="str">
        <f ca="1">IFERROR(__xludf.DUMMYFUNCTION("""COMPUTED_VALUE"""),"Apto D")</f>
        <v>Apto D</v>
      </c>
      <c r="BN352" s="27" t="str">
        <f ca="1">IFERROR(__xludf.DUMMYFUNCTION("""COMPUTED_VALUE"""),"Fortaleza")</f>
        <v>Fortaleza</v>
      </c>
      <c r="BO352" s="27" t="str">
        <f ca="1">IFERROR(__xludf.DUMMYFUNCTION("""COMPUTED_VALUE"""),"60533-664")</f>
        <v>60533-664</v>
      </c>
      <c r="BP352" s="27" t="str">
        <f ca="1">IFERROR(__xludf.DUMMYFUNCTION("""COMPUTED_VALUE"""),"CE")</f>
        <v>CE</v>
      </c>
      <c r="BQ352" s="27" t="str">
        <f ca="1">IFERROR(__xludf.DUMMYFUNCTION("""COMPUTED_VALUE"""),"Entre 1 até 3 salários mínimos")</f>
        <v>Entre 1 até 3 salários mínimos</v>
      </c>
      <c r="BR352" s="27" t="str">
        <f ca="1">IFERROR(__xludf.DUMMYFUNCTION("""COMPUTED_VALUE"""),"CLT")</f>
        <v>CLT</v>
      </c>
      <c r="BS352" s="27" t="str">
        <f ca="1">IFERROR(__xludf.DUMMYFUNCTION("""COMPUTED_VALUE"""),"Casa própria")</f>
        <v>Casa própria</v>
      </c>
      <c r="BT352" s="27">
        <f ca="1">IFERROR(__xludf.DUMMYFUNCTION("""COMPUTED_VALUE"""),1)</f>
        <v>1</v>
      </c>
      <c r="BU352" s="27" t="str">
        <f ca="1">IFERROR(__xludf.DUMMYFUNCTION("""COMPUTED_VALUE"""),"Não tem")</f>
        <v>Não tem</v>
      </c>
      <c r="BV352" s="27"/>
      <c r="BW352" s="21" t="str">
        <f ca="1">IFERROR(__xludf.DUMMYFUNCTION("""COMPUTED_VALUE"""),"https://www.linkedin.com/in/ericadovale/")</f>
        <v>https://www.linkedin.com/in/ericadovale/</v>
      </c>
      <c r="BX352" s="21" t="str">
        <f ca="1">IFERROR(__xludf.DUMMYFUNCTION("""COMPUTED_VALUE"""),"https://www.instagram.com/stories/_ericadovale")</f>
        <v>https://www.instagram.com/stories/_ericadovale</v>
      </c>
      <c r="BY352" s="21" t="str">
        <f ca="1">IFERROR(__xludf.DUMMYFUNCTION("""COMPUTED_VALUE"""),"https://drive.google.com/open?id=1AxWHKAn-mY2FmEIRB84FwM0NvERgP7Fm")</f>
        <v>https://drive.google.com/open?id=1AxWHKAn-mY2FmEIRB84FwM0NvERgP7Fm</v>
      </c>
    </row>
    <row r="353" spans="1:77" ht="12.5" x14ac:dyDescent="0.25">
      <c r="A353" s="21" t="str">
        <f ca="1">IFERROR(__xludf.DUMMYFUNCTION("""COMPUTED_VALUE"""),"0014P00003SGWPjQAP")</f>
        <v>0014P00003SGWPjQAP</v>
      </c>
      <c r="B353" s="27" t="str">
        <f ca="1">IFERROR(__xludf.DUMMYFUNCTION("""COMPUTED_VALUE"""),"Fase Inicial")</f>
        <v>Fase Inicial</v>
      </c>
      <c r="C353" s="27" t="str">
        <f ca="1">IFERROR(__xludf.DUMMYFUNCTION("""COMPUTED_VALUE"""),"Fellow")</f>
        <v>Fellow</v>
      </c>
      <c r="D353" s="27" t="str">
        <f ca="1">IFERROR(__xludf.DUMMYFUNCTION("""COMPUTED_VALUE"""),"Ativo")</f>
        <v>Ativo</v>
      </c>
      <c r="E353" s="27" t="str">
        <f ca="1">IFERROR(__xludf.DUMMYFUNCTION("""COMPUTED_VALUE"""),"INSTITUTO ENTRE ASPAS DE AÇÃO COMUNITARIA")</f>
        <v>INSTITUTO ENTRE ASPAS DE AÇÃO COMUNITARIA</v>
      </c>
      <c r="F353" s="27" t="str">
        <f ca="1">IFERROR(__xludf.DUMMYFUNCTION("""COMPUTED_VALUE"""),"Luciana")</f>
        <v>Luciana</v>
      </c>
      <c r="G353" s="27" t="str">
        <f ca="1">IFERROR(__xludf.DUMMYFUNCTION("""COMPUTED_VALUE"""),"ENTREASPAS")</f>
        <v>ENTREASPAS</v>
      </c>
      <c r="H353" s="27" t="str">
        <f ca="1">IFERROR(__xludf.DUMMYFUNCTION("""COMPUTED_VALUE"""),"41.257.525/0001-94")</f>
        <v>41.257.525/0001-94</v>
      </c>
      <c r="I353" s="27" t="str">
        <f ca="1">IFERROR(__xludf.DUMMYFUNCTION("""COMPUTED_VALUE"""),"Luciana Pimentel / Gil Sacramento Da Silva")</f>
        <v>Luciana Pimentel / Gil Sacramento Da Silva</v>
      </c>
      <c r="J353" s="27" t="str">
        <f ca="1">IFERROR(__xludf.DUMMYFUNCTION("""COMPUTED_VALUE"""),"institutoentreaspas@gmail.com")</f>
        <v>institutoentreaspas@gmail.com</v>
      </c>
      <c r="K353" s="27" t="str">
        <f ca="1">IFERROR(__xludf.DUMMYFUNCTION("""COMPUTED_VALUE"""),"(71)99359-1605")</f>
        <v>(71)99359-1605</v>
      </c>
      <c r="L353" s="27" t="str">
        <f ca="1">IFERROR(__xludf.DUMMYFUNCTION("""COMPUTED_VALUE"""),"BA")</f>
        <v>BA</v>
      </c>
      <c r="M353" s="27" t="str">
        <f ca="1">IFERROR(__xludf.DUMMYFUNCTION("""COMPUTED_VALUE"""),"Rua Paulo VI")</f>
        <v>Rua Paulo VI</v>
      </c>
      <c r="N353" s="27" t="str">
        <f ca="1">IFERROR(__xludf.DUMMYFUNCTION("""COMPUTED_VALUE"""),"Santa Cruz")</f>
        <v>Santa Cruz</v>
      </c>
      <c r="O353" s="27" t="str">
        <f ca="1">IFERROR(__xludf.DUMMYFUNCTION("""COMPUTED_VALUE"""),"(71)99359-1605")</f>
        <v>(71)99359-1605</v>
      </c>
      <c r="P353" s="27" t="str">
        <f ca="1">IFERROR(__xludf.DUMMYFUNCTION("""COMPUTED_VALUE"""),"Salvador")</f>
        <v>Salvador</v>
      </c>
      <c r="Q353" s="27" t="str">
        <f ca="1">IFERROR(__xludf.DUMMYFUNCTION("""COMPUTED_VALUE"""),"1° Andar - Alto da Chapada do Rio Vermelho")</f>
        <v>1° Andar - Alto da Chapada do Rio Vermelho</v>
      </c>
      <c r="R353" s="27" t="str">
        <f ca="1">IFERROR(__xludf.DUMMYFUNCTION("""COMPUTED_VALUE"""),"41927-239")</f>
        <v>41927-239</v>
      </c>
      <c r="S353" s="27"/>
      <c r="T353" s="27" t="str">
        <f ca="1">IFERROR(__xludf.DUMMYFUNCTION("""COMPUTED_VALUE"""),"Educação; Cultura; Meio ambiente; Empoderamento Feminino")</f>
        <v>Educação; Cultura; Meio ambiente; Empoderamento Feminino</v>
      </c>
      <c r="U353" s="27" t="str">
        <f ca="1">IFERROR(__xludf.DUMMYFUNCTION("""COMPUTED_VALUE"""),"Crianças (6 a 12 anos); Jovens (18 aos 24 anos); Adultos")</f>
        <v>Crianças (6 a 12 anos); Jovens (18 aos 24 anos); Adultos</v>
      </c>
      <c r="V353" s="27" t="str">
        <f ca="1">IFERROR(__xludf.DUMMYFUNCTION("""COMPUTED_VALUE"""),"Moradores de Favelas")</f>
        <v>Moradores de Favelas</v>
      </c>
      <c r="W353" s="27">
        <f ca="1">IFERROR(__xludf.DUMMYFUNCTION("""COMPUTED_VALUE"""),4)</f>
        <v>4</v>
      </c>
      <c r="X353" s="27" t="str">
        <f ca="1">IFERROR(__xludf.DUMMYFUNCTION("""COMPUTED_VALUE"""),"Auxilio desde alimento fraldas (bebê e Geriátrica) e materiais para auxilio a deficiência física ou motora.")</f>
        <v>Auxilio desde alimento fraldas (bebê e Geriátrica) e materiais para auxilio a deficiência física ou motora.</v>
      </c>
      <c r="Y353" s="27">
        <f ca="1">IFERROR(__xludf.DUMMYFUNCTION("""COMPUTED_VALUE"""),180)</f>
        <v>180</v>
      </c>
      <c r="Z353" s="27">
        <f ca="1">IFERROR(__xludf.DUMMYFUNCTION("""COMPUTED_VALUE"""),18000)</f>
        <v>18000</v>
      </c>
      <c r="AA353" s="29">
        <f ca="1">IFERROR(__xludf.DUMMYFUNCTION("""COMPUTED_VALUE"""),40399)</f>
        <v>40399</v>
      </c>
      <c r="AB353" s="27" t="str">
        <f ca="1">IFERROR(__xludf.DUMMYFUNCTION("""COMPUTED_VALUE"""),"Sim")</f>
        <v>Sim</v>
      </c>
      <c r="AC353" s="27">
        <f ca="1">IFERROR(__xludf.DUMMYFUNCTION("""COMPUTED_VALUE"""),0)</f>
        <v>0</v>
      </c>
      <c r="AD353" s="27">
        <f ca="1">IFERROR(__xludf.DUMMYFUNCTION("""COMPUTED_VALUE"""),0)</f>
        <v>0</v>
      </c>
      <c r="AE353" s="27">
        <f ca="1">IFERROR(__xludf.DUMMYFUNCTION("""COMPUTED_VALUE"""),13)</f>
        <v>13</v>
      </c>
      <c r="AF353" s="27">
        <f ca="1">IFERROR(__xludf.DUMMYFUNCTION("""COMPUTED_VALUE"""),6)</f>
        <v>6</v>
      </c>
      <c r="AG353" s="27">
        <f ca="1">IFERROR(__xludf.DUMMYFUNCTION("""COMPUTED_VALUE"""),0)</f>
        <v>0</v>
      </c>
      <c r="AH353" s="27" t="str">
        <f ca="1">IFERROR(__xludf.DUMMYFUNCTION("""COMPUTED_VALUE"""),"Eventos/Ações para captação; Doações")</f>
        <v>Eventos/Ações para captação; Doações</v>
      </c>
      <c r="AI353" s="27" t="str">
        <f ca="1">IFERROR(__xludf.DUMMYFUNCTION("""COMPUTED_VALUE"""),"Negócio social 40% , Plataforma de doação 10% , Ações de Captação 50%.")</f>
        <v>Negócio social 40% , Plataforma de doação 10% , Ações de Captação 50%.</v>
      </c>
      <c r="AJ353" s="27" t="str">
        <f ca="1">IFERROR(__xludf.DUMMYFUNCTION("""COMPUTED_VALUE"""),"Não")</f>
        <v>Não</v>
      </c>
      <c r="AK353" s="27" t="str">
        <f ca="1">IFERROR(__xludf.DUMMYFUNCTION("""COMPUTED_VALUE"""),"Não")</f>
        <v>Não</v>
      </c>
      <c r="AL353" s="21" t="str">
        <f ca="1">IFERROR(__xludf.DUMMYFUNCTION("""COMPUTED_VALUE"""),"0034P000043fOnq")</f>
        <v>0034P000043fOnq</v>
      </c>
      <c r="AM353" s="27" t="str">
        <f ca="1">IFERROR(__xludf.DUMMYFUNCTION("""COMPUTED_VALUE"""),"Pereira Pimentel")</f>
        <v>Pereira Pimentel</v>
      </c>
      <c r="AN353" s="27" t="str">
        <f ca="1">IFERROR(__xludf.DUMMYFUNCTION("""COMPUTED_VALUE"""),"Ativo")</f>
        <v>Ativo</v>
      </c>
      <c r="AO353" s="30">
        <f ca="1">IFERROR(__xludf.DUMMYFUNCTION("""COMPUTED_VALUE"""),44432)</f>
        <v>44432</v>
      </c>
      <c r="AP353" s="27">
        <f ca="1">IFERROR(__xludf.DUMMYFUNCTION("""COMPUTED_VALUE"""),13)</f>
        <v>13</v>
      </c>
      <c r="AQ353" s="27" t="str">
        <f ca="1">IFERROR(__xludf.DUMMYFUNCTION("""COMPUTED_VALUE"""),"Primeiro Semestre 2021")</f>
        <v>Primeiro Semestre 2021</v>
      </c>
      <c r="AR353" s="27" t="str">
        <f ca="1">IFERROR(__xludf.DUMMYFUNCTION("""COMPUTED_VALUE"""),"luartepimentel@hotmail.com")</f>
        <v>luartepimentel@hotmail.com</v>
      </c>
      <c r="AS353" s="27" t="str">
        <f ca="1">IFERROR(__xludf.DUMMYFUNCTION("""COMPUTED_VALUE"""),"(71)99359-1605")</f>
        <v>(71)99359-1605</v>
      </c>
      <c r="AT353" s="29">
        <f ca="1">IFERROR(__xludf.DUMMYFUNCTION("""COMPUTED_VALUE"""),25867)</f>
        <v>25867</v>
      </c>
      <c r="AU353" s="27">
        <f ca="1">IFERROR(__xludf.DUMMYFUNCTION("""COMPUTED_VALUE"""),52)</f>
        <v>52</v>
      </c>
      <c r="AV353" s="27">
        <f ca="1">IFERROR(__xludf.DUMMYFUNCTION("""COMPUTED_VALUE"""),59806486587)</f>
        <v>59806486587</v>
      </c>
      <c r="AW353" s="27">
        <f ca="1">IFERROR(__xludf.DUMMYFUNCTION("""COMPUTED_VALUE"""),530302659)</f>
        <v>530302659</v>
      </c>
      <c r="AX353" s="27" t="str">
        <f ca="1">IFERROR(__xludf.DUMMYFUNCTION("""COMPUTED_VALUE"""),"Não Tem")</f>
        <v>Não Tem</v>
      </c>
      <c r="AY353" s="27"/>
      <c r="AZ353" s="27" t="str">
        <f ca="1">IFERROR(__xludf.DUMMYFUNCTION("""COMPUTED_VALUE"""),"XG")</f>
        <v>XG</v>
      </c>
      <c r="BA353" s="27" t="str">
        <f ca="1">IFERROR(__xludf.DUMMYFUNCTION("""COMPUTED_VALUE"""),"Parda")</f>
        <v>Parda</v>
      </c>
      <c r="BB353" s="27"/>
      <c r="BC353" s="27" t="str">
        <f ca="1">IFERROR(__xludf.DUMMYFUNCTION("""COMPUTED_VALUE"""),"Não")</f>
        <v>Não</v>
      </c>
      <c r="BD353" s="27" t="str">
        <f ca="1">IFERROR(__xludf.DUMMYFUNCTION("""COMPUTED_VALUE"""),"Professora de artes nascida em Salvador em 12 de outubro de 1966, alegre amante da vida, mais de 20 anos na área de educação, acredito total que a educação é a maior e melhor recurso transformador de uma sociedade.")</f>
        <v>Professora de artes nascida em Salvador em 12 de outubro de 1966, alegre amante da vida, mais de 20 anos na área de educação, acredito total que a educação é a maior e melhor recurso transformador de uma sociedade.</v>
      </c>
      <c r="BE353" s="27" t="str">
        <f ca="1">IFERROR(__xludf.DUMMYFUNCTION("""COMPUTED_VALUE"""),"Feminino")</f>
        <v>Feminino</v>
      </c>
      <c r="BF353" s="27" t="str">
        <f ca="1">IFERROR(__xludf.DUMMYFUNCTION("""COMPUTED_VALUE"""),"Heterossexual")</f>
        <v>Heterossexual</v>
      </c>
      <c r="BG353" s="27" t="str">
        <f ca="1">IFERROR(__xludf.DUMMYFUNCTION("""COMPUTED_VALUE"""),"Ensino Superior - Completo")</f>
        <v>Ensino Superior - Completo</v>
      </c>
      <c r="BH353" s="27"/>
      <c r="BI353" s="27" t="str">
        <f ca="1">IFERROR(__xludf.DUMMYFUNCTION("""COMPUTED_VALUE"""),"Graduação")</f>
        <v>Graduação</v>
      </c>
      <c r="BJ353" s="27" t="str">
        <f ca="1">IFERROR(__xludf.DUMMYFUNCTION("""COMPUTED_VALUE"""),"Público")</f>
        <v>Público</v>
      </c>
      <c r="BK353" s="27" t="str">
        <f ca="1">IFERROR(__xludf.DUMMYFUNCTION("""COMPUTED_VALUE"""),"Rua Presidente Kennedy")</f>
        <v>Rua Presidente Kennedy</v>
      </c>
      <c r="BL353" s="27">
        <f ca="1">IFERROR(__xludf.DUMMYFUNCTION("""COMPUTED_VALUE"""),42)</f>
        <v>42</v>
      </c>
      <c r="BM353" s="27" t="str">
        <f ca="1">IFERROR(__xludf.DUMMYFUNCTION("""COMPUTED_VALUE"""),"Chapada do Rio Vermelho")</f>
        <v>Chapada do Rio Vermelho</v>
      </c>
      <c r="BN353" s="27" t="str">
        <f ca="1">IFERROR(__xludf.DUMMYFUNCTION("""COMPUTED_VALUE"""),"Salvador")</f>
        <v>Salvador</v>
      </c>
      <c r="BO353" s="27" t="str">
        <f ca="1">IFERROR(__xludf.DUMMYFUNCTION("""COMPUTED_VALUE"""),"41927-040")</f>
        <v>41927-040</v>
      </c>
      <c r="BP353" s="27" t="str">
        <f ca="1">IFERROR(__xludf.DUMMYFUNCTION("""COMPUTED_VALUE"""),"BA")</f>
        <v>BA</v>
      </c>
      <c r="BQ353" s="27" t="str">
        <f ca="1">IFERROR(__xludf.DUMMYFUNCTION("""COMPUTED_VALUE"""),"Entre 1 até 3 salários mínimos")</f>
        <v>Entre 1 até 3 salários mínimos</v>
      </c>
      <c r="BR353" s="27" t="str">
        <f ca="1">IFERROR(__xludf.DUMMYFUNCTION("""COMPUTED_VALUE"""),"CLT; Funcionário Público")</f>
        <v>CLT; Funcionário Público</v>
      </c>
      <c r="BS353" s="27" t="str">
        <f ca="1">IFERROR(__xludf.DUMMYFUNCTION("""COMPUTED_VALUE"""),"Casa própria")</f>
        <v>Casa própria</v>
      </c>
      <c r="BT353" s="27">
        <f ca="1">IFERROR(__xludf.DUMMYFUNCTION("""COMPUTED_VALUE"""),5)</f>
        <v>5</v>
      </c>
      <c r="BU353" s="27"/>
      <c r="BV353" s="27"/>
      <c r="BW353" s="27" t="str">
        <f ca="1">IFERROR(__xludf.DUMMYFUNCTION("""COMPUTED_VALUE"""),"https://meet.google.com/cvq-zyft-nqx Para participar por telefone disque +55 41 4560-9564 e digite este PIN: 974 208 190# Para ver mais números de telefone clique neste link: https://tel.meet/cvq-zyft-nqx?hs=5")</f>
        <v>https://meet.google.com/cvq-zyft-nqx Para participar por telefone disque +55 41 4560-9564 e digite este PIN: 974 208 190# Para ver mais números de telefone clique neste link: https://tel.meet/cvq-zyft-nqx?hs=5</v>
      </c>
      <c r="BX353" s="27" t="str">
        <f ca="1">IFERROR(__xludf.DUMMYFUNCTION("""COMPUTED_VALUE"""),"@institutoentreaspasoficial")</f>
        <v>@institutoentreaspasoficial</v>
      </c>
      <c r="BY353" s="21" t="str">
        <f ca="1">IFERROR(__xludf.DUMMYFUNCTION("""COMPUTED_VALUE"""),"https://drive.google.com/open?id=1zcknCxc03z_TIXMQQX0ezbsILS9ev3RC")</f>
        <v>https://drive.google.com/open?id=1zcknCxc03z_TIXMQQX0ezbsILS9ev3RC</v>
      </c>
    </row>
    <row r="354" spans="1:77" ht="12.5" x14ac:dyDescent="0.25">
      <c r="A354" s="21" t="str">
        <f ca="1">IFERROR(__xludf.DUMMYFUNCTION("""COMPUTED_VALUE"""),"0014P00003AN2FuQAL")</f>
        <v>0014P00003AN2FuQAL</v>
      </c>
      <c r="B354" s="27" t="str">
        <f ca="1">IFERROR(__xludf.DUMMYFUNCTION("""COMPUTED_VALUE"""),"Fase Estruturação")</f>
        <v>Fase Estruturação</v>
      </c>
      <c r="C354" s="27" t="str">
        <f ca="1">IFERROR(__xludf.DUMMYFUNCTION("""COMPUTED_VALUE"""),"Acelerada")</f>
        <v>Acelerada</v>
      </c>
      <c r="D354" s="27" t="str">
        <f ca="1">IFERROR(__xludf.DUMMYFUNCTION("""COMPUTED_VALUE"""),"Ativo")</f>
        <v>Ativo</v>
      </c>
      <c r="E354" s="27" t="str">
        <f ca="1">IFERROR(__xludf.DUMMYFUNCTION("""COMPUTED_VALUE"""),"Instituto Entre o Céu e a Favela para Arte Educação e Cidadania")</f>
        <v>Instituto Entre o Céu e a Favela para Arte Educação e Cidadania</v>
      </c>
      <c r="F354" s="27" t="str">
        <f ca="1">IFERROR(__xludf.DUMMYFUNCTION("""COMPUTED_VALUE"""),"Cintia")</f>
        <v>Cintia</v>
      </c>
      <c r="G354" s="27" t="str">
        <f ca="1">IFERROR(__xludf.DUMMYFUNCTION("""COMPUTED_VALUE"""),"ENTRE O CÉU E A FAVELA")</f>
        <v>ENTRE O CÉU E A FAVELA</v>
      </c>
      <c r="H354" s="27" t="str">
        <f ca="1">IFERROR(__xludf.DUMMYFUNCTION("""COMPUTED_VALUE"""),"38.034.737/0001-06")</f>
        <v>38.034.737/0001-06</v>
      </c>
      <c r="I354" s="27"/>
      <c r="J354" s="27" t="str">
        <f ca="1">IFERROR(__xludf.DUMMYFUNCTION("""COMPUTED_VALUE"""),"cintiasantanna.rc@gmail.com")</f>
        <v>cintiasantanna.rc@gmail.com</v>
      </c>
      <c r="K354" s="27" t="str">
        <f ca="1">IFERROR(__xludf.DUMMYFUNCTION("""COMPUTED_VALUE"""),"(21)96422-0934")</f>
        <v>(21)96422-0934</v>
      </c>
      <c r="L354" s="27" t="str">
        <f ca="1">IFERROR(__xludf.DUMMYFUNCTION("""COMPUTED_VALUE"""),"RJ")</f>
        <v>RJ</v>
      </c>
      <c r="M354" s="27" t="str">
        <f ca="1">IFERROR(__xludf.DUMMYFUNCTION("""COMPUTED_VALUE"""),"Ladeira do Faria")</f>
        <v>Ladeira do Faria</v>
      </c>
      <c r="N354" s="27"/>
      <c r="O354" s="27" t="str">
        <f ca="1">IFERROR(__xludf.DUMMYFUNCTION("""COMPUTED_VALUE"""),"(21)96422-0934")</f>
        <v>(21)96422-0934</v>
      </c>
      <c r="P354" s="27" t="str">
        <f ca="1">IFERROR(__xludf.DUMMYFUNCTION("""COMPUTED_VALUE"""),"Rio de Janeiro")</f>
        <v>Rio de Janeiro</v>
      </c>
      <c r="Q354" s="27"/>
      <c r="R354" s="27" t="str">
        <f ca="1">IFERROR(__xludf.DUMMYFUNCTION("""COMPUTED_VALUE"""),"20220-380")</f>
        <v>20220-380</v>
      </c>
      <c r="S354" s="27" t="str">
        <f ca="1">IFERROR(__xludf.DUMMYFUNCTION("""COMPUTED_VALUE"""),"Quadra da Brinks -Ladeira do Faria nº67")</f>
        <v>Quadra da Brinks -Ladeira do Faria nº67</v>
      </c>
      <c r="T354" s="27" t="str">
        <f ca="1">IFERROR(__xludf.DUMMYFUNCTION("""COMPUTED_VALUE"""),"Esporte; Cultura; Qualificação Profissional")</f>
        <v>Esporte; Cultura; Qualificação Profissional</v>
      </c>
      <c r="U354" s="27" t="str">
        <f ca="1">IFERROR(__xludf.DUMMYFUNCTION("""COMPUTED_VALUE"""),"Crianças (6 a 12 anos); Adolescentes (12 aos 18 anos); Jovens (18 aos 24 anos); Adultos")</f>
        <v>Crianças (6 a 12 anos); Adolescentes (12 aos 18 anos); Jovens (18 aos 24 anos); Adultos</v>
      </c>
      <c r="V354" s="27" t="str">
        <f ca="1">IFERROR(__xludf.DUMMYFUNCTION("""COMPUTED_VALUE"""),"Moradores de Favelas; Afrodescendentes")</f>
        <v>Moradores de Favelas; Afrodescendentes</v>
      </c>
      <c r="W354" s="27">
        <f ca="1">IFERROR(__xludf.DUMMYFUNCTION("""COMPUTED_VALUE"""),2)</f>
        <v>2</v>
      </c>
      <c r="X354" s="27"/>
      <c r="Y354" s="27"/>
      <c r="Z354" s="27"/>
      <c r="AA354" s="29">
        <f ca="1">IFERROR(__xludf.DUMMYFUNCTION("""COMPUTED_VALUE"""),40554)</f>
        <v>40554</v>
      </c>
      <c r="AB354" s="27" t="str">
        <f ca="1">IFERROR(__xludf.DUMMYFUNCTION("""COMPUTED_VALUE"""),"Sim")</f>
        <v>Sim</v>
      </c>
      <c r="AC354" s="27">
        <f ca="1">IFERROR(__xludf.DUMMYFUNCTION("""COMPUTED_VALUE"""),23)</f>
        <v>23</v>
      </c>
      <c r="AD354" s="27">
        <f ca="1">IFERROR(__xludf.DUMMYFUNCTION("""COMPUTED_VALUE"""),3)</f>
        <v>3</v>
      </c>
      <c r="AE354" s="27">
        <f ca="1">IFERROR(__xludf.DUMMYFUNCTION("""COMPUTED_VALUE"""),18)</f>
        <v>18</v>
      </c>
      <c r="AF354" s="27">
        <f ca="1">IFERROR(__xludf.DUMMYFUNCTION("""COMPUTED_VALUE"""),10)</f>
        <v>10</v>
      </c>
      <c r="AG354" s="27">
        <f ca="1">IFERROR(__xludf.DUMMYFUNCTION("""COMPUTED_VALUE"""),3)</f>
        <v>3</v>
      </c>
      <c r="AH354" s="27" t="str">
        <f ca="1">IFERROR(__xludf.DUMMYFUNCTION("""COMPUTED_VALUE"""),"Lei de Incentivo; Editais; Doações")</f>
        <v>Lei de Incentivo; Editais; Doações</v>
      </c>
      <c r="AI354" s="27" t="str">
        <f ca="1">IFERROR(__xludf.DUMMYFUNCTION("""COMPUTED_VALUE"""),"Lei de incentivo: 90%   Doações online: 10%")</f>
        <v>Lei de incentivo: 90%   Doações online: 10%</v>
      </c>
      <c r="AJ354" s="27" t="str">
        <f ca="1">IFERROR(__xludf.DUMMYFUNCTION("""COMPUTED_VALUE"""),"Não")</f>
        <v>Não</v>
      </c>
      <c r="AK354" s="27" t="str">
        <f ca="1">IFERROR(__xludf.DUMMYFUNCTION("""COMPUTED_VALUE"""),"Sim")</f>
        <v>Sim</v>
      </c>
      <c r="AL354" s="21" t="str">
        <f ca="1">IFERROR(__xludf.DUMMYFUNCTION("""COMPUTED_VALUE"""),"0034P00003maBVL")</f>
        <v>0034P00003maBVL</v>
      </c>
      <c r="AM354" s="27" t="str">
        <f ca="1">IFERROR(__xludf.DUMMYFUNCTION("""COMPUTED_VALUE"""),"Roberta Coelho Santana")</f>
        <v>Roberta Coelho Santana</v>
      </c>
      <c r="AN354" s="27" t="str">
        <f ca="1">IFERROR(__xludf.DUMMYFUNCTION("""COMPUTED_VALUE"""),"Ativo")</f>
        <v>Ativo</v>
      </c>
      <c r="AO354" s="29">
        <f ca="1">IFERROR(__xludf.DUMMYFUNCTION("""COMPUTED_VALUE"""),44141)</f>
        <v>44141</v>
      </c>
      <c r="AP354" s="27">
        <f ca="1">IFERROR(__xludf.DUMMYFUNCTION("""COMPUTED_VALUE"""),22)</f>
        <v>22</v>
      </c>
      <c r="AQ354" s="27" t="str">
        <f ca="1">IFERROR(__xludf.DUMMYFUNCTION("""COMPUTED_VALUE"""),"Primeiro Semestre 2020")</f>
        <v>Primeiro Semestre 2020</v>
      </c>
      <c r="AR354" s="27" t="str">
        <f ca="1">IFERROR(__xludf.DUMMYFUNCTION("""COMPUTED_VALUE"""),"cintiasantanna.rc@gmail.com")</f>
        <v>cintiasantanna.rc@gmail.com</v>
      </c>
      <c r="AS354" s="27" t="str">
        <f ca="1">IFERROR(__xludf.DUMMYFUNCTION("""COMPUTED_VALUE"""),"(21)96422-0934")</f>
        <v>(21)96422-0934</v>
      </c>
      <c r="AT354" s="30">
        <f ca="1">IFERROR(__xludf.DUMMYFUNCTION("""COMPUTED_VALUE"""),31474)</f>
        <v>31474</v>
      </c>
      <c r="AU354" s="27">
        <f ca="1">IFERROR(__xludf.DUMMYFUNCTION("""COMPUTED_VALUE"""),36)</f>
        <v>36</v>
      </c>
      <c r="AV354" s="27">
        <f ca="1">IFERROR(__xludf.DUMMYFUNCTION("""COMPUTED_VALUE"""),10515768731)</f>
        <v>10515768731</v>
      </c>
      <c r="AW354" s="27">
        <f ca="1">IFERROR(__xludf.DUMMYFUNCTION("""COMPUTED_VALUE"""),209395748)</f>
        <v>209395748</v>
      </c>
      <c r="AX354" s="27" t="str">
        <f ca="1">IFERROR(__xludf.DUMMYFUNCTION("""COMPUTED_VALUE"""),"técnico em Artes Cênicas")</f>
        <v>técnico em Artes Cênicas</v>
      </c>
      <c r="AY354" s="27"/>
      <c r="AZ354" s="27" t="str">
        <f ca="1">IFERROR(__xludf.DUMMYFUNCTION("""COMPUTED_VALUE"""),"P")</f>
        <v>P</v>
      </c>
      <c r="BA354" s="27"/>
      <c r="BB354" s="27"/>
      <c r="BC354" s="27" t="str">
        <f ca="1">IFERROR(__xludf.DUMMYFUNCTION("""COMPUTED_VALUE"""),"Sim")</f>
        <v>Sim</v>
      </c>
      <c r="BD354" s="27" t="str">
        <f ca="1">IFERROR(__xludf.DUMMYFUNCTION("""COMPUTED_VALUE"""),"Cintia Santana é cria do Morro da Providência. Atriz formada pela Escola Técnica Estadual de Teatro Martins Pena, ficou oito anos no grupo de teatro de rua Tá Na Rua. Cofundadora da Companhia Horizontal de Arte Pública.  Em 2011 fundou o Entre o Céu e a F"&amp;"avela e em 2016 o grupo Bando Teatro favela. Empreendedora social, arte educadora e produtora cultural autodidata. Se formou na Falcons University  do Instituto Gerando Falcões. Licencianda Universidade Federal do Estado do Rio de Janeiro.")</f>
        <v>Cintia Santana é cria do Morro da Providência. Atriz formada pela Escola Técnica Estadual de Teatro Martins Pena, ficou oito anos no grupo de teatro de rua Tá Na Rua. Cofundadora da Companhia Horizontal de Arte Pública.  Em 2011 fundou o Entre o Céu e a Favela e em 2016 o grupo Bando Teatro favela. Empreendedora social, arte educadora e produtora cultural autodidata. Se formou na Falcons University  do Instituto Gerando Falcões. Licencianda Universidade Federal do Estado do Rio de Janeiro.</v>
      </c>
      <c r="BE354" s="27"/>
      <c r="BF354" s="27"/>
      <c r="BG354" s="27" t="str">
        <f ca="1">IFERROR(__xludf.DUMMYFUNCTION("""COMPUTED_VALUE"""),"Ensino Superior - Incompleto")</f>
        <v>Ensino Superior - Incompleto</v>
      </c>
      <c r="BH354" s="27"/>
      <c r="BI354" s="27" t="str">
        <f ca="1">IFERROR(__xludf.DUMMYFUNCTION("""COMPUTED_VALUE"""),"Graduação")</f>
        <v>Graduação</v>
      </c>
      <c r="BJ354" s="27" t="str">
        <f ca="1">IFERROR(__xludf.DUMMYFUNCTION("""COMPUTED_VALUE"""),"Público")</f>
        <v>Público</v>
      </c>
      <c r="BK354" s="27" t="str">
        <f ca="1">IFERROR(__xludf.DUMMYFUNCTION("""COMPUTED_VALUE"""),"Travessa da Felicidade")</f>
        <v>Travessa da Felicidade</v>
      </c>
      <c r="BL354" s="27">
        <f ca="1">IFERROR(__xludf.DUMMYFUNCTION("""COMPUTED_VALUE"""),46)</f>
        <v>46</v>
      </c>
      <c r="BM354" s="27" t="str">
        <f ca="1">IFERROR(__xludf.DUMMYFUNCTION("""COMPUTED_VALUE"""),"casa 04")</f>
        <v>casa 04</v>
      </c>
      <c r="BN354" s="27" t="str">
        <f ca="1">IFERROR(__xludf.DUMMYFUNCTION("""COMPUTED_VALUE"""),"Rio de Janeiro")</f>
        <v>Rio de Janeiro</v>
      </c>
      <c r="BO354" s="27" t="str">
        <f ca="1">IFERROR(__xludf.DUMMYFUNCTION("""COMPUTED_VALUE"""),"20221-270")</f>
        <v>20221-270</v>
      </c>
      <c r="BP354" s="27" t="str">
        <f ca="1">IFERROR(__xludf.DUMMYFUNCTION("""COMPUTED_VALUE"""),"RJ")</f>
        <v>RJ</v>
      </c>
      <c r="BQ354" s="27" t="str">
        <f ca="1">IFERROR(__xludf.DUMMYFUNCTION("""COMPUTED_VALUE"""),"De 3 até 5 salários mínimos")</f>
        <v>De 3 até 5 salários mínimos</v>
      </c>
      <c r="BR354" s="27" t="str">
        <f ca="1">IFERROR(__xludf.DUMMYFUNCTION("""COMPUTED_VALUE"""),"MEI")</f>
        <v>MEI</v>
      </c>
      <c r="BS354" s="27" t="str">
        <f ca="1">IFERROR(__xludf.DUMMYFUNCTION("""COMPUTED_VALUE"""),"Aluguel")</f>
        <v>Aluguel</v>
      </c>
      <c r="BT354" s="27">
        <f ca="1">IFERROR(__xludf.DUMMYFUNCTION("""COMPUTED_VALUE"""),3)</f>
        <v>3</v>
      </c>
      <c r="BU354" s="27"/>
      <c r="BV354" s="27"/>
      <c r="BW354" s="21" t="str">
        <f ca="1">IFERROR(__xludf.DUMMYFUNCTION("""COMPUTED_VALUE"""),"https://www.linkedin.com/in/cintiasantanna1/")</f>
        <v>https://www.linkedin.com/in/cintiasantanna1/</v>
      </c>
      <c r="BX354" s="21" t="str">
        <f ca="1">IFERROR(__xludf.DUMMYFUNCTION("""COMPUTED_VALUE"""),"https://instagram.com/cinsantanaecf?utm_medium=copy_link")</f>
        <v>https://instagram.com/cinsantanaecf?utm_medium=copy_link</v>
      </c>
      <c r="BY354" s="21" t="str">
        <f ca="1">IFERROR(__xludf.DUMMYFUNCTION("""COMPUTED_VALUE"""),"https://drive.google.com/open?id=149-t5KDdU-ThjbJi8Q__rsau8Il3CISt")</f>
        <v>https://drive.google.com/open?id=149-t5KDdU-ThjbJi8Q__rsau8Il3CISt</v>
      </c>
    </row>
    <row r="355" spans="1:77" ht="12.5" x14ac:dyDescent="0.25">
      <c r="A355" s="21" t="str">
        <f ca="1">IFERROR(__xludf.DUMMYFUNCTION("""COMPUTED_VALUE"""),"0014P00003YSp8RQAT")</f>
        <v>0014P00003YSp8RQAT</v>
      </c>
      <c r="B355" s="27" t="str">
        <f ca="1">IFERROR(__xludf.DUMMYFUNCTION("""COMPUTED_VALUE"""),"Fase Inicial")</f>
        <v>Fase Inicial</v>
      </c>
      <c r="C355" s="27" t="str">
        <f ca="1">IFERROR(__xludf.DUMMYFUNCTION("""COMPUTED_VALUE"""),"Fellow")</f>
        <v>Fellow</v>
      </c>
      <c r="D355" s="27" t="str">
        <f ca="1">IFERROR(__xludf.DUMMYFUNCTION("""COMPUTED_VALUE"""),"Ativo")</f>
        <v>Ativo</v>
      </c>
      <c r="E355" s="27" t="str">
        <f ca="1">IFERROR(__xludf.DUMMYFUNCTION("""COMPUTED_VALUE"""),"INSTITUTO É POSSÍVEL SONHAR")</f>
        <v>INSTITUTO É POSSÍVEL SONHAR</v>
      </c>
      <c r="F355" s="27" t="str">
        <f ca="1">IFERROR(__xludf.DUMMYFUNCTION("""COMPUTED_VALUE"""),"Daniela")</f>
        <v>Daniela</v>
      </c>
      <c r="G355" s="27"/>
      <c r="H355" s="27" t="str">
        <f ca="1">IFERROR(__xludf.DUMMYFUNCTION("""COMPUTED_VALUE"""),"35.807.142/0001-40")</f>
        <v>35.807.142/0001-40</v>
      </c>
      <c r="I355" s="27" t="str">
        <f ca="1">IFERROR(__xludf.DUMMYFUNCTION("""COMPUTED_VALUE"""),"DANIELA CARLA ARAUJO ALVES GENEROSO")</f>
        <v>DANIELA CARLA ARAUJO ALVES GENEROSO</v>
      </c>
      <c r="J355" s="27" t="str">
        <f ca="1">IFERROR(__xludf.DUMMYFUNCTION("""COMPUTED_VALUE"""),"institutoepossivelsonhar@gmail.com")</f>
        <v>institutoepossivelsonhar@gmail.com</v>
      </c>
      <c r="K355" s="27" t="str">
        <f ca="1">IFERROR(__xludf.DUMMYFUNCTION("""COMPUTED_VALUE"""),"(21)98621-5069")</f>
        <v>(21)98621-5069</v>
      </c>
      <c r="L355" s="27" t="str">
        <f ca="1">IFERROR(__xludf.DUMMYFUNCTION("""COMPUTED_VALUE"""),"RJ")</f>
        <v>RJ</v>
      </c>
      <c r="M355" s="27" t="str">
        <f ca="1">IFERROR(__xludf.DUMMYFUNCTION("""COMPUTED_VALUE"""),"Rua Bezerril Fontenelle")</f>
        <v>Rua Bezerril Fontenelle</v>
      </c>
      <c r="N355" s="27" t="str">
        <f ca="1">IFERROR(__xludf.DUMMYFUNCTION("""COMPUTED_VALUE"""),"IRAJÁ")</f>
        <v>IRAJÁ</v>
      </c>
      <c r="O355" s="27">
        <f ca="1">IFERROR(__xludf.DUMMYFUNCTION("""COMPUTED_VALUE"""),218)</f>
        <v>218</v>
      </c>
      <c r="P355" s="27" t="str">
        <f ca="1">IFERROR(__xludf.DUMMYFUNCTION("""COMPUTED_VALUE"""),"Rio de janeiro")</f>
        <v>Rio de janeiro</v>
      </c>
      <c r="Q355" s="27"/>
      <c r="R355" s="27" t="str">
        <f ca="1">IFERROR(__xludf.DUMMYFUNCTION("""COMPUTED_VALUE"""),"21361-640")</f>
        <v>21361-640</v>
      </c>
      <c r="S355" s="27"/>
      <c r="T355" s="27" t="str">
        <f ca="1">IFERROR(__xludf.DUMMYFUNCTION("""COMPUTED_VALUE"""),"Esporte; Educação; Empregabilidade; Assistência Social; Qualificação Profissional; Empreendedorismo; Saúde; Empoderamento Feminino; Defesa de Direitos; Assistência Psicológica; Desenvolvimento comunitário")</f>
        <v>Esporte; Educação; Empregabilidade; Assistência Social; Qualificação Profissional; Empreendedorismo; Saúde; Empoderamento Feminino; Defesa de Direitos; Assistência Psicológica; Desenvolvimento comunitário</v>
      </c>
      <c r="U355"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355" s="27" t="str">
        <f ca="1">IFERROR(__xludf.DUMMYFUNCTION("""COMPUTED_VALUE"""),"Moradores de Favelas; Afrodescendentes; Outros")</f>
        <v>Moradores de Favelas; Afrodescendentes; Outros</v>
      </c>
      <c r="W355" s="27">
        <f ca="1">IFERROR(__xludf.DUMMYFUNCTION("""COMPUTED_VALUE"""),5)</f>
        <v>5</v>
      </c>
      <c r="X355" s="27" t="str">
        <f ca="1">IFERROR(__xludf.DUMMYFUNCTION("""COMPUTED_VALUE"""),"Hoje oferecemos atendimento para todo o Estado do RJ vem criança de outros municípios vizinhos nosso publico é de crianças e mulheres vitimas de violência de bebê de dois anos até senhoras de 70 anos.")</f>
        <v>Hoje oferecemos atendimento para todo o Estado do RJ vem criança de outros municípios vizinhos nosso publico é de crianças e mulheres vitimas de violência de bebê de dois anos até senhoras de 70 anos.</v>
      </c>
      <c r="Y355" s="27"/>
      <c r="Z355" s="27">
        <f ca="1">IFERROR(__xludf.DUMMYFUNCTION("""COMPUTED_VALUE"""),6000)</f>
        <v>6000</v>
      </c>
      <c r="AA355" s="29">
        <f ca="1">IFERROR(__xludf.DUMMYFUNCTION("""COMPUTED_VALUE"""),43788)</f>
        <v>43788</v>
      </c>
      <c r="AB355" s="27" t="str">
        <f ca="1">IFERROR(__xludf.DUMMYFUNCTION("""COMPUTED_VALUE"""),"Sim")</f>
        <v>Sim</v>
      </c>
      <c r="AC355" s="27">
        <f ca="1">IFERROR(__xludf.DUMMYFUNCTION("""COMPUTED_VALUE"""),1)</f>
        <v>1</v>
      </c>
      <c r="AD355" s="27">
        <f ca="1">IFERROR(__xludf.DUMMYFUNCTION("""COMPUTED_VALUE"""),0)</f>
        <v>0</v>
      </c>
      <c r="AE355" s="27">
        <f ca="1">IFERROR(__xludf.DUMMYFUNCTION("""COMPUTED_VALUE"""),50)</f>
        <v>50</v>
      </c>
      <c r="AF355" s="27">
        <f ca="1">IFERROR(__xludf.DUMMYFUNCTION("""COMPUTED_VALUE"""),50)</f>
        <v>50</v>
      </c>
      <c r="AG355" s="27">
        <f ca="1">IFERROR(__xludf.DUMMYFUNCTION("""COMPUTED_VALUE"""),2)</f>
        <v>2</v>
      </c>
      <c r="AH355" s="27" t="str">
        <f ca="1">IFERROR(__xludf.DUMMYFUNCTION("""COMPUTED_VALUE"""),"Eventos/Ações para captação; Doações; Recursos próprios")</f>
        <v>Eventos/Ações para captação; Doações; Recursos próprios</v>
      </c>
      <c r="AI355" s="27">
        <f ca="1">IFERROR(__xludf.DUMMYFUNCTION("""COMPUTED_VALUE"""),0)</f>
        <v>0</v>
      </c>
      <c r="AJ355" s="27"/>
      <c r="AK355" s="27"/>
      <c r="AL355" s="21" t="str">
        <f ca="1">IFERROR(__xludf.DUMMYFUNCTION("""COMPUTED_VALUE"""),"0034P000045kxj2")</f>
        <v>0034P000045kxj2</v>
      </c>
      <c r="AM355" s="27" t="str">
        <f ca="1">IFERROR(__xludf.DUMMYFUNCTION("""COMPUTED_VALUE"""),"Carla Araujo Alves Generoso")</f>
        <v>Carla Araujo Alves Generoso</v>
      </c>
      <c r="AN355" s="27" t="str">
        <f ca="1">IFERROR(__xludf.DUMMYFUNCTION("""COMPUTED_VALUE"""),"Ativo")</f>
        <v>Ativo</v>
      </c>
      <c r="AO355" s="29">
        <f ca="1">IFERROR(__xludf.DUMMYFUNCTION("""COMPUTED_VALUE"""),44551)</f>
        <v>44551</v>
      </c>
      <c r="AP355" s="27">
        <f ca="1">IFERROR(__xludf.DUMMYFUNCTION("""COMPUTED_VALUE"""),9)</f>
        <v>9</v>
      </c>
      <c r="AQ355" s="27" t="str">
        <f ca="1">IFERROR(__xludf.DUMMYFUNCTION("""COMPUTED_VALUE"""),"Segundo Semestre 2021")</f>
        <v>Segundo Semestre 2021</v>
      </c>
      <c r="AR355" s="27" t="str">
        <f ca="1">IFERROR(__xludf.DUMMYFUNCTION("""COMPUTED_VALUE"""),"psicologadanielageneroso@gmail.com")</f>
        <v>psicologadanielageneroso@gmail.com</v>
      </c>
      <c r="AS355" s="27" t="str">
        <f ca="1">IFERROR(__xludf.DUMMYFUNCTION("""COMPUTED_VALUE"""),"(21)98621-5069")</f>
        <v>(21)98621-5069</v>
      </c>
      <c r="AT355" s="29">
        <f ca="1">IFERROR(__xludf.DUMMYFUNCTION("""COMPUTED_VALUE"""),29677)</f>
        <v>29677</v>
      </c>
      <c r="AU355" s="27">
        <f ca="1">IFERROR(__xludf.DUMMYFUNCTION("""COMPUTED_VALUE"""),41)</f>
        <v>41</v>
      </c>
      <c r="AV355" s="27">
        <f ca="1">IFERROR(__xludf.DUMMYFUNCTION("""COMPUTED_VALUE"""),9031923737)</f>
        <v>9031923737</v>
      </c>
      <c r="AW355" s="27">
        <f ca="1">IFERROR(__xludf.DUMMYFUNCTION("""COMPUTED_VALUE"""),552024)</f>
        <v>552024</v>
      </c>
      <c r="AX355" s="27"/>
      <c r="AY355" s="27"/>
      <c r="AZ355" s="27" t="str">
        <f ca="1">IFERROR(__xludf.DUMMYFUNCTION("""COMPUTED_VALUE"""),"G")</f>
        <v>G</v>
      </c>
      <c r="BA355" s="27" t="str">
        <f ca="1">IFERROR(__xludf.DUMMYFUNCTION("""COMPUTED_VALUE"""),"Preta")</f>
        <v>Preta</v>
      </c>
      <c r="BB355" s="27" t="str">
        <f ca="1">IFERROR(__xludf.DUMMYFUNCTION("""COMPUTED_VALUE"""),"Mulher, cisgênero")</f>
        <v>Mulher, cisgênero</v>
      </c>
      <c r="BC355" s="27" t="str">
        <f ca="1">IFERROR(__xludf.DUMMYFUNCTION("""COMPUTED_VALUE"""),"Sim")</f>
        <v>Sim</v>
      </c>
      <c r="BD355" s="27" t="str">
        <f ca="1">IFERROR(__xludf.DUMMYFUNCTION("""COMPUTED_VALUE"""),"Sou uma mulher que acredita que é possível sonhar mesmo em meio a dor e Ressignificar doando amor, tenho 41 anos, sou mãe de dois filhos, casada, neuropsicóloga, preta, da periferia que já foi moradora de rua e venceu estudando. Mas que hoje luta contra u"&amp;"m câncer de mama metastático, no fígado, ossos, pulmão e no cérebro. 
Que vai vencer tudo porque eu preciso muito do Instituto é Possível Sonhar e o instituto precisa de mim.")</f>
        <v>Sou uma mulher que acredita que é possível sonhar mesmo em meio a dor e Ressignificar doando amor, tenho 41 anos, sou mãe de dois filhos, casada, neuropsicóloga, preta, da periferia que já foi moradora de rua e venceu estudando. Mas que hoje luta contra um câncer de mama metastático, no fígado, ossos, pulmão e no cérebro. 
Que vai vencer tudo porque eu preciso muito do Instituto é Possível Sonhar e o instituto precisa de mim.</v>
      </c>
      <c r="BE355" s="27"/>
      <c r="BF355" s="27" t="str">
        <f ca="1">IFERROR(__xludf.DUMMYFUNCTION("""COMPUTED_VALUE"""),"Heterossexual")</f>
        <v>Heterossexual</v>
      </c>
      <c r="BG355" s="27" t="str">
        <f ca="1">IFERROR(__xludf.DUMMYFUNCTION("""COMPUTED_VALUE"""),"Ensino Superior - Completo")</f>
        <v>Ensino Superior - Completo</v>
      </c>
      <c r="BH355" s="27" t="str">
        <f ca="1">IFERROR(__xludf.DUMMYFUNCTION("""COMPUTED_VALUE"""),"Privado")</f>
        <v>Privado</v>
      </c>
      <c r="BI355" s="27" t="str">
        <f ca="1">IFERROR(__xludf.DUMMYFUNCTION("""COMPUTED_VALUE"""),"Mestrado")</f>
        <v>Mestrado</v>
      </c>
      <c r="BJ355" s="27" t="str">
        <f ca="1">IFERROR(__xludf.DUMMYFUNCTION("""COMPUTED_VALUE"""),"Privado")</f>
        <v>Privado</v>
      </c>
      <c r="BK355" s="27" t="str">
        <f ca="1">IFERROR(__xludf.DUMMYFUNCTION("""COMPUTED_VALUE"""),"Estrada do Barro vermelho")</f>
        <v>Estrada do Barro vermelho</v>
      </c>
      <c r="BL355" s="27">
        <f ca="1">IFERROR(__xludf.DUMMYFUNCTION("""COMPUTED_VALUE"""),640)</f>
        <v>640</v>
      </c>
      <c r="BM355" s="27" t="str">
        <f ca="1">IFERROR(__xludf.DUMMYFUNCTION("""COMPUTED_VALUE"""),"Apt 203")</f>
        <v>Apt 203</v>
      </c>
      <c r="BN355" s="27" t="str">
        <f ca="1">IFERROR(__xludf.DUMMYFUNCTION("""COMPUTED_VALUE"""),"Rio de janeiro")</f>
        <v>Rio de janeiro</v>
      </c>
      <c r="BO355" s="27" t="str">
        <f ca="1">IFERROR(__xludf.DUMMYFUNCTION("""COMPUTED_VALUE"""),"21540-500")</f>
        <v>21540-500</v>
      </c>
      <c r="BP355" s="27" t="str">
        <f ca="1">IFERROR(__xludf.DUMMYFUNCTION("""COMPUTED_VALUE"""),"RJ")</f>
        <v>RJ</v>
      </c>
      <c r="BQ355" s="27" t="str">
        <f ca="1">IFERROR(__xludf.DUMMYFUNCTION("""COMPUTED_VALUE"""),"Entre 1 até 3 salários mínimos")</f>
        <v>Entre 1 até 3 salários mínimos</v>
      </c>
      <c r="BR355" s="27" t="str">
        <f ca="1">IFERROR(__xludf.DUMMYFUNCTION("""COMPUTED_VALUE"""),"Desempregado")</f>
        <v>Desempregado</v>
      </c>
      <c r="BS355" s="27" t="str">
        <f ca="1">IFERROR(__xludf.DUMMYFUNCTION("""COMPUTED_VALUE"""),"Aluguel")</f>
        <v>Aluguel</v>
      </c>
      <c r="BT355" s="27">
        <f ca="1">IFERROR(__xludf.DUMMYFUNCTION("""COMPUTED_VALUE"""),4)</f>
        <v>4</v>
      </c>
      <c r="BU355" s="27" t="str">
        <f ca="1">IFERROR(__xludf.DUMMYFUNCTION("""COMPUTED_VALUE"""),"Outros")</f>
        <v>Outros</v>
      </c>
      <c r="BV355" s="27"/>
      <c r="BW355" s="21" t="str">
        <f ca="1">IFERROR(__xludf.DUMMYFUNCTION("""COMPUTED_VALUE"""),"https://www.linkedin.com/in/daniela-generoso-63671a1a5")</f>
        <v>https://www.linkedin.com/in/daniela-generoso-63671a1a5</v>
      </c>
      <c r="BX355" s="21" t="str">
        <f ca="1">IFERROR(__xludf.DUMMYFUNCTION("""COMPUTED_VALUE"""),"https://instagram.com/psidanielageneroso?utm_medium=copy_link")</f>
        <v>https://instagram.com/psidanielageneroso?utm_medium=copy_link</v>
      </c>
      <c r="BY355" s="21" t="str">
        <f ca="1">IFERROR(__xludf.DUMMYFUNCTION("""COMPUTED_VALUE"""),"https://drive.google.com/open?id=1RPiNrFgwIbj924CRPuiMfmwuDj4DYHxo")</f>
        <v>https://drive.google.com/open?id=1RPiNrFgwIbj924CRPuiMfmwuDj4DYHxo</v>
      </c>
    </row>
    <row r="356" spans="1:77" ht="12.5" x14ac:dyDescent="0.25">
      <c r="A356" s="21" t="str">
        <f ca="1">IFERROR(__xludf.DUMMYFUNCTION("""COMPUTED_VALUE"""),"0014P00003YSpAHQA1")</f>
        <v>0014P00003YSpAHQA1</v>
      </c>
      <c r="B356" s="27" t="str">
        <f ca="1">IFERROR(__xludf.DUMMYFUNCTION("""COMPUTED_VALUE"""),"Fase Inicial")</f>
        <v>Fase Inicial</v>
      </c>
      <c r="C356" s="27" t="str">
        <f ca="1">IFERROR(__xludf.DUMMYFUNCTION("""COMPUTED_VALUE"""),"Fellow")</f>
        <v>Fellow</v>
      </c>
      <c r="D356" s="27" t="str">
        <f ca="1">IFERROR(__xludf.DUMMYFUNCTION("""COMPUTED_VALUE"""),"Ativo")</f>
        <v>Ativo</v>
      </c>
      <c r="E356" s="27" t="str">
        <f ca="1">IFERROR(__xludf.DUMMYFUNCTION("""COMPUTED_VALUE"""),"Instituto Esperança")</f>
        <v>Instituto Esperança</v>
      </c>
      <c r="F356" s="27" t="str">
        <f ca="1">IFERROR(__xludf.DUMMYFUNCTION("""COMPUTED_VALUE"""),"Aline")</f>
        <v>Aline</v>
      </c>
      <c r="G356" s="27"/>
      <c r="H356" s="27" t="str">
        <f ca="1">IFERROR(__xludf.DUMMYFUNCTION("""COMPUTED_VALUE"""),"17.466.642/0001-83")</f>
        <v>17.466.642/0001-83</v>
      </c>
      <c r="I356" s="27" t="str">
        <f ca="1">IFERROR(__xludf.DUMMYFUNCTION("""COMPUTED_VALUE"""),"Lindaura Ferreira de Souza")</f>
        <v>Lindaura Ferreira de Souza</v>
      </c>
      <c r="J356" s="27" t="str">
        <f ca="1">IFERROR(__xludf.DUMMYFUNCTION("""COMPUTED_VALUE"""),"gestao.esperancainstituto@gmail.com")</f>
        <v>gestao.esperancainstituto@gmail.com</v>
      </c>
      <c r="K356" s="27" t="str">
        <f ca="1">IFERROR(__xludf.DUMMYFUNCTION("""COMPUTED_VALUE"""),"(31)99275-3111")</f>
        <v>(31)99275-3111</v>
      </c>
      <c r="L356" s="27" t="str">
        <f ca="1">IFERROR(__xludf.DUMMYFUNCTION("""COMPUTED_VALUE"""),"MG")</f>
        <v>MG</v>
      </c>
      <c r="M356" s="27" t="str">
        <f ca="1">IFERROR(__xludf.DUMMYFUNCTION("""COMPUTED_VALUE"""),"Estrada do Bananal,")</f>
        <v>Estrada do Bananal,</v>
      </c>
      <c r="N356" s="27" t="str">
        <f ca="1">IFERROR(__xludf.DUMMYFUNCTION("""COMPUTED_VALUE"""),"Bonanza")</f>
        <v>Bonanza</v>
      </c>
      <c r="O356" s="27">
        <f ca="1">IFERROR(__xludf.DUMMYFUNCTION("""COMPUTED_VALUE"""),340)</f>
        <v>340</v>
      </c>
      <c r="P356" s="27" t="str">
        <f ca="1">IFERROR(__xludf.DUMMYFUNCTION("""COMPUTED_VALUE"""),"Santa Luzia")</f>
        <v>Santa Luzia</v>
      </c>
      <c r="Q356" s="27"/>
      <c r="R356" s="27" t="str">
        <f ca="1">IFERROR(__xludf.DUMMYFUNCTION("""COMPUTED_VALUE"""),"33065-000")</f>
        <v>33065-000</v>
      </c>
      <c r="S356" s="27"/>
      <c r="T356" s="27" t="str">
        <f ca="1">IFERROR(__xludf.DUMMYFUNCTION("""COMPUTED_VALUE"""),"Empregabilidade; Assistência Social; Negócios Sociais")</f>
        <v>Empregabilidade; Assistência Social; Negócios Sociais</v>
      </c>
      <c r="U356" s="27" t="str">
        <f ca="1">IFERROR(__xludf.DUMMYFUNCTION("""COMPUTED_VALUE"""),"Bebês (0 a 1 ano e 6 meses); Crianças bem pequenas (1 ano e 7 meses até 3 anos e 11 meses); Crianças pequenas (4 anos a 5 anos e 11 meses); Crianças (6 a 12 anos); Adolescentes (12 aos 18 anos); Idosos (60 anos ou mais)")</f>
        <v>Bebês (0 a 1 ano e 6 meses); Crianças bem pequenas (1 ano e 7 meses até 3 anos e 11 meses); Crianças pequenas (4 anos a 5 anos e 11 meses); Crianças (6 a 12 anos); Adolescentes (12 aos 18 anos); Idosos (60 anos ou mais)</v>
      </c>
      <c r="V356" s="27" t="str">
        <f ca="1">IFERROR(__xludf.DUMMYFUNCTION("""COMPUTED_VALUE"""),"Pessoas com Deficiência; Outros")</f>
        <v>Pessoas com Deficiência; Outros</v>
      </c>
      <c r="W356" s="27">
        <f ca="1">IFERROR(__xludf.DUMMYFUNCTION("""COMPUTED_VALUE"""),5)</f>
        <v>5</v>
      </c>
      <c r="X356" s="27" t="str">
        <f ca="1">IFERROR(__xludf.DUMMYFUNCTION("""COMPUTED_VALUE"""),"Atendemos crianças adolescentes e idosas em abrigamento/ moradia . Empregabilidade feminina e Negócios sociais")</f>
        <v>Atendemos crianças adolescentes e idosas em abrigamento/ moradia . Empregabilidade feminina e Negócios sociais</v>
      </c>
      <c r="Y356" s="27"/>
      <c r="Z356" s="27">
        <f ca="1">IFERROR(__xludf.DUMMYFUNCTION("""COMPUTED_VALUE"""),150)</f>
        <v>150</v>
      </c>
      <c r="AA356" s="30">
        <f ca="1">IFERROR(__xludf.DUMMYFUNCTION("""COMPUTED_VALUE"""),40920)</f>
        <v>40920</v>
      </c>
      <c r="AB356" s="27" t="str">
        <f ca="1">IFERROR(__xludf.DUMMYFUNCTION("""COMPUTED_VALUE"""),"Sim")</f>
        <v>Sim</v>
      </c>
      <c r="AC356" s="27">
        <f ca="1">IFERROR(__xludf.DUMMYFUNCTION("""COMPUTED_VALUE"""),34)</f>
        <v>34</v>
      </c>
      <c r="AD356" s="27">
        <f ca="1">IFERROR(__xludf.DUMMYFUNCTION("""COMPUTED_VALUE"""),17)</f>
        <v>17</v>
      </c>
      <c r="AE356" s="27">
        <f ca="1">IFERROR(__xludf.DUMMYFUNCTION("""COMPUTED_VALUE"""),5)</f>
        <v>5</v>
      </c>
      <c r="AF356" s="27">
        <f ca="1">IFERROR(__xludf.DUMMYFUNCTION("""COMPUTED_VALUE"""),5)</f>
        <v>5</v>
      </c>
      <c r="AG356" s="27">
        <f ca="1">IFERROR(__xludf.DUMMYFUNCTION("""COMPUTED_VALUE"""),3)</f>
        <v>3</v>
      </c>
      <c r="AH356" s="27" t="str">
        <f ca="1">IFERROR(__xludf.DUMMYFUNCTION("""COMPUTED_VALUE"""),"Negócio Social; Convênio Público; Eventos/Ações para captação; Editais; Outro(s); FIA; Recursos próprios")</f>
        <v>Negócio Social; Convênio Público; Eventos/Ações para captação; Editais; Outro(s); FIA; Recursos próprios</v>
      </c>
      <c r="AI356" s="27" t="str">
        <f ca="1">IFERROR(__xludf.DUMMYFUNCTION("""COMPUTED_VALUE"""),"25%  editais, parceria com o município")</f>
        <v>25%  editais, parceria com o município</v>
      </c>
      <c r="AJ356" s="27"/>
      <c r="AK356" s="27"/>
      <c r="AL356" s="21" t="str">
        <f ca="1">IFERROR(__xludf.DUMMYFUNCTION("""COMPUTED_VALUE"""),"0034P000045kxkt")</f>
        <v>0034P000045kxkt</v>
      </c>
      <c r="AM356" s="27" t="str">
        <f ca="1">IFERROR(__xludf.DUMMYFUNCTION("""COMPUTED_VALUE"""),"Cristina De Souza Pereira")</f>
        <v>Cristina De Souza Pereira</v>
      </c>
      <c r="AN356" s="27" t="str">
        <f ca="1">IFERROR(__xludf.DUMMYFUNCTION("""COMPUTED_VALUE"""),"Ativo")</f>
        <v>Ativo</v>
      </c>
      <c r="AO356" s="30">
        <f ca="1">IFERROR(__xludf.DUMMYFUNCTION("""COMPUTED_VALUE"""),44551)</f>
        <v>44551</v>
      </c>
      <c r="AP356" s="27">
        <f ca="1">IFERROR(__xludf.DUMMYFUNCTION("""COMPUTED_VALUE"""),9)</f>
        <v>9</v>
      </c>
      <c r="AQ356" s="27" t="str">
        <f ca="1">IFERROR(__xludf.DUMMYFUNCTION("""COMPUTED_VALUE"""),"Segundo Semestre 2021")</f>
        <v>Segundo Semestre 2021</v>
      </c>
      <c r="AR356" s="27" t="str">
        <f ca="1">IFERROR(__xludf.DUMMYFUNCTION("""COMPUTED_VALUE"""),"gestao.esperancainstituto@gmail.com")</f>
        <v>gestao.esperancainstituto@gmail.com</v>
      </c>
      <c r="AS356" s="27" t="str">
        <f ca="1">IFERROR(__xludf.DUMMYFUNCTION("""COMPUTED_VALUE"""),"(31)99275-3111")</f>
        <v>(31)99275-3111</v>
      </c>
      <c r="AT356" s="29">
        <f ca="1">IFERROR(__xludf.DUMMYFUNCTION("""COMPUTED_VALUE"""),30451)</f>
        <v>30451</v>
      </c>
      <c r="AU356" s="27">
        <f ca="1">IFERROR(__xludf.DUMMYFUNCTION("""COMPUTED_VALUE"""),39)</f>
        <v>39</v>
      </c>
      <c r="AV356" s="27">
        <f ca="1">IFERROR(__xludf.DUMMYFUNCTION("""COMPUTED_VALUE"""),1278478639)</f>
        <v>1278478639</v>
      </c>
      <c r="AW356" s="27" t="str">
        <f ca="1">IFERROR(__xludf.DUMMYFUNCTION("""COMPUTED_VALUE"""),"MG11695414")</f>
        <v>MG11695414</v>
      </c>
      <c r="AX356" s="27"/>
      <c r="AY356" s="27"/>
      <c r="AZ356" s="27" t="str">
        <f ca="1">IFERROR(__xludf.DUMMYFUNCTION("""COMPUTED_VALUE"""),"GG")</f>
        <v>GG</v>
      </c>
      <c r="BA356" s="27" t="str">
        <f ca="1">IFERROR(__xludf.DUMMYFUNCTION("""COMPUTED_VALUE"""),"Preta")</f>
        <v>Preta</v>
      </c>
      <c r="BB356" s="27" t="str">
        <f ca="1">IFERROR(__xludf.DUMMYFUNCTION("""COMPUTED_VALUE"""),"Mulher, cisgênero")</f>
        <v>Mulher, cisgênero</v>
      </c>
      <c r="BC356" s="27" t="str">
        <f ca="1">IFERROR(__xludf.DUMMYFUNCTION("""COMPUTED_VALUE"""),"Sim")</f>
        <v>Sim</v>
      </c>
      <c r="BD356" s="27" t="str">
        <f ca="1">IFERROR(__xludf.DUMMYFUNCTION("""COMPUTED_VALUE"""),"Gestora do Instituto Esperança há 9 anos tem uma história de empreendedorismo social e novos desafios no Município de Santa Luzia. Presente nos conselhos de Direitos, atua em várias áreas da assistência social")</f>
        <v>Gestora do Instituto Esperança há 9 anos tem uma história de empreendedorismo social e novos desafios no Município de Santa Luzia. Presente nos conselhos de Direitos, atua em várias áreas da assistência social</v>
      </c>
      <c r="BE356" s="27"/>
      <c r="BF356" s="27" t="str">
        <f ca="1">IFERROR(__xludf.DUMMYFUNCTION("""COMPUTED_VALUE"""),"Heterossexual")</f>
        <v>Heterossexual</v>
      </c>
      <c r="BG356" s="27" t="str">
        <f ca="1">IFERROR(__xludf.DUMMYFUNCTION("""COMPUTED_VALUE"""),"Ensino Superior - Completo")</f>
        <v>Ensino Superior - Completo</v>
      </c>
      <c r="BH356" s="27" t="str">
        <f ca="1">IFERROR(__xludf.DUMMYFUNCTION("""COMPUTED_VALUE"""),"Público")</f>
        <v>Público</v>
      </c>
      <c r="BI356" s="27" t="str">
        <f ca="1">IFERROR(__xludf.DUMMYFUNCTION("""COMPUTED_VALUE"""),"Graduação")</f>
        <v>Graduação</v>
      </c>
      <c r="BJ356" s="27" t="str">
        <f ca="1">IFERROR(__xludf.DUMMYFUNCTION("""COMPUTED_VALUE"""),"Privado")</f>
        <v>Privado</v>
      </c>
      <c r="BK356" s="27" t="str">
        <f ca="1">IFERROR(__xludf.DUMMYFUNCTION("""COMPUTED_VALUE"""),"Jairo Brito dos Santos,")</f>
        <v>Jairo Brito dos Santos,</v>
      </c>
      <c r="BL356" s="27">
        <f ca="1">IFERROR(__xludf.DUMMYFUNCTION("""COMPUTED_VALUE"""),350)</f>
        <v>350</v>
      </c>
      <c r="BM356" s="27" t="str">
        <f ca="1">IFERROR(__xludf.DUMMYFUNCTION("""COMPUTED_VALUE"""),"casa")</f>
        <v>casa</v>
      </c>
      <c r="BN356" s="27" t="str">
        <f ca="1">IFERROR(__xludf.DUMMYFUNCTION("""COMPUTED_VALUE"""),"Santa Luzia")</f>
        <v>Santa Luzia</v>
      </c>
      <c r="BO356" s="27" t="str">
        <f ca="1">IFERROR(__xludf.DUMMYFUNCTION("""COMPUTED_VALUE"""),"31970-598")</f>
        <v>31970-598</v>
      </c>
      <c r="BP356" s="27" t="str">
        <f ca="1">IFERROR(__xludf.DUMMYFUNCTION("""COMPUTED_VALUE"""),"MG")</f>
        <v>MG</v>
      </c>
      <c r="BQ356" s="27" t="str">
        <f ca="1">IFERROR(__xludf.DUMMYFUNCTION("""COMPUTED_VALUE"""),"De 3 até 5 salários mínimos")</f>
        <v>De 3 até 5 salários mínimos</v>
      </c>
      <c r="BR356" s="27" t="str">
        <f ca="1">IFERROR(__xludf.DUMMYFUNCTION("""COMPUTED_VALUE"""),"Funcionário Público; Trabalho informal")</f>
        <v>Funcionário Público; Trabalho informal</v>
      </c>
      <c r="BS356" s="27" t="str">
        <f ca="1">IFERROR(__xludf.DUMMYFUNCTION("""COMPUTED_VALUE"""),"Casa cedida")</f>
        <v>Casa cedida</v>
      </c>
      <c r="BT356" s="27">
        <f ca="1">IFERROR(__xludf.DUMMYFUNCTION("""COMPUTED_VALUE"""),4)</f>
        <v>4</v>
      </c>
      <c r="BU356" s="27" t="str">
        <f ca="1">IFERROR(__xludf.DUMMYFUNCTION("""COMPUTED_VALUE"""),"Não tem")</f>
        <v>Não tem</v>
      </c>
      <c r="BV356" s="27"/>
      <c r="BW356" s="27"/>
      <c r="BX356" s="27" t="str">
        <f ca="1">IFERROR(__xludf.DUMMYFUNCTION("""COMPUTED_VALUE"""),"alinespereira1")</f>
        <v>alinespereira1</v>
      </c>
      <c r="BY356" s="21" t="str">
        <f ca="1">IFERROR(__xludf.DUMMYFUNCTION("""COMPUTED_VALUE"""),"https://drive.google.com/open?id=1mMffRIe5BYQ4hHXtx6OkSMkjyXX_ndYh")</f>
        <v>https://drive.google.com/open?id=1mMffRIe5BYQ4hHXtx6OkSMkjyXX_ndYh</v>
      </c>
    </row>
    <row r="357" spans="1:77" ht="12.5" x14ac:dyDescent="0.25">
      <c r="A357" s="21" t="str">
        <f ca="1">IFERROR(__xludf.DUMMYFUNCTION("""COMPUTED_VALUE"""),"0014P00003YSpA7QAL")</f>
        <v>0014P00003YSpA7QAL</v>
      </c>
      <c r="B357" s="27" t="str">
        <f ca="1">IFERROR(__xludf.DUMMYFUNCTION("""COMPUTED_VALUE"""),"Fase Inicial")</f>
        <v>Fase Inicial</v>
      </c>
      <c r="C357" s="27" t="str">
        <f ca="1">IFERROR(__xludf.DUMMYFUNCTION("""COMPUTED_VALUE"""),"Fellow")</f>
        <v>Fellow</v>
      </c>
      <c r="D357" s="27" t="str">
        <f ca="1">IFERROR(__xludf.DUMMYFUNCTION("""COMPUTED_VALUE"""),"Ativo")</f>
        <v>Ativo</v>
      </c>
      <c r="E357" s="27" t="str">
        <f ca="1">IFERROR(__xludf.DUMMYFUNCTION("""COMPUTED_VALUE"""),"INSTITUTO F.S.D.")</f>
        <v>INSTITUTO F.S.D.</v>
      </c>
      <c r="F357" s="27" t="str">
        <f ca="1">IFERROR(__xludf.DUMMYFUNCTION("""COMPUTED_VALUE"""),"Wanderley")</f>
        <v>Wanderley</v>
      </c>
      <c r="G357" s="27"/>
      <c r="H357" s="27" t="str">
        <f ca="1">IFERROR(__xludf.DUMMYFUNCTION("""COMPUTED_VALUE"""),"27.269.453/0001-74")</f>
        <v>27.269.453/0001-74</v>
      </c>
      <c r="I357" s="27" t="str">
        <f ca="1">IFERROR(__xludf.DUMMYFUNCTION("""COMPUTED_VALUE"""),"WANDERLEY BENEDITO SOUZA")</f>
        <v>WANDERLEY BENEDITO SOUZA</v>
      </c>
      <c r="J357" s="27" t="str">
        <f ca="1">IFERROR(__xludf.DUMMYFUNCTION("""COMPUTED_VALUE"""),"wando38designer@gmail.com")</f>
        <v>wando38designer@gmail.com</v>
      </c>
      <c r="K357" s="27" t="str">
        <f ca="1">IFERROR(__xludf.DUMMYFUNCTION("""COMPUTED_VALUE"""),"(65)99982-3594")</f>
        <v>(65)99982-3594</v>
      </c>
      <c r="L357" s="27" t="str">
        <f ca="1">IFERROR(__xludf.DUMMYFUNCTION("""COMPUTED_VALUE"""),"MT")</f>
        <v>MT</v>
      </c>
      <c r="M357" s="27" t="str">
        <f ca="1">IFERROR(__xludf.DUMMYFUNCTION("""COMPUTED_VALUE"""),"Rua Presidente Pimenta Bueno")</f>
        <v>Rua Presidente Pimenta Bueno</v>
      </c>
      <c r="N357" s="27" t="str">
        <f ca="1">IFERROR(__xludf.DUMMYFUNCTION("""COMPUTED_VALUE"""),"COHAB CRISTO REI")</f>
        <v>COHAB CRISTO REI</v>
      </c>
      <c r="O357" s="27">
        <f ca="1">IFERROR(__xludf.DUMMYFUNCTION("""COMPUTED_VALUE"""),8)</f>
        <v>8</v>
      </c>
      <c r="P357" s="27" t="str">
        <f ca="1">IFERROR(__xludf.DUMMYFUNCTION("""COMPUTED_VALUE"""),"Várzea Grande")</f>
        <v>Várzea Grande</v>
      </c>
      <c r="Q357" s="27"/>
      <c r="R357" s="27" t="str">
        <f ca="1">IFERROR(__xludf.DUMMYFUNCTION("""COMPUTED_VALUE"""),"78118-282")</f>
        <v>78118-282</v>
      </c>
      <c r="S357" s="27"/>
      <c r="T357" s="27" t="str">
        <f ca="1">IFERROR(__xludf.DUMMYFUNCTION("""COMPUTED_VALUE"""),"Esporte; Cultura; Qualificação Profissional")</f>
        <v>Esporte; Cultura; Qualificação Profissional</v>
      </c>
      <c r="U357" s="27" t="str">
        <f ca="1">IFERROR(__xludf.DUMMYFUNCTION("""COMPUTED_VALUE"""),"Crianças (6 a 12 anos); Jovens (18 aos 24 anos)")</f>
        <v>Crianças (6 a 12 anos); Jovens (18 aos 24 anos)</v>
      </c>
      <c r="V357" s="27" t="str">
        <f ca="1">IFERROR(__xludf.DUMMYFUNCTION("""COMPUTED_VALUE"""),"Moradores de Favelas")</f>
        <v>Moradores de Favelas</v>
      </c>
      <c r="W357" s="27">
        <f ca="1">IFERROR(__xludf.DUMMYFUNCTION("""COMPUTED_VALUE"""),5)</f>
        <v>5</v>
      </c>
      <c r="X357" s="27" t="str">
        <f ca="1">IFERROR(__xludf.DUMMYFUNCTION("""COMPUTED_VALUE"""),"Trabalhar para fomentar as práticas esportivas em crianças e adolescentes em situação de vulnerabilidade social. Divulgar e fortalecer o Instituto Futsal Sem Drogas.  Iniciamos atividades em 2011. mas no ano de 2016 conseguimos nos legalizar hoje são 10 a"&amp;"nos.")</f>
        <v>Trabalhar para fomentar as práticas esportivas em crianças e adolescentes em situação de vulnerabilidade social. Divulgar e fortalecer o Instituto Futsal Sem Drogas.  Iniciamos atividades em 2011. mas no ano de 2016 conseguimos nos legalizar hoje são 10 anos.</v>
      </c>
      <c r="Y357" s="27"/>
      <c r="Z357" s="27">
        <f ca="1">IFERROR(__xludf.DUMMYFUNCTION("""COMPUTED_VALUE"""),280)</f>
        <v>280</v>
      </c>
      <c r="AA357" s="29">
        <f ca="1">IFERROR(__xludf.DUMMYFUNCTION("""COMPUTED_VALUE"""),42444)</f>
        <v>42444</v>
      </c>
      <c r="AB357" s="27" t="str">
        <f ca="1">IFERROR(__xludf.DUMMYFUNCTION("""COMPUTED_VALUE"""),"Sim")</f>
        <v>Sim</v>
      </c>
      <c r="AC357" s="27">
        <f ca="1">IFERROR(__xludf.DUMMYFUNCTION("""COMPUTED_VALUE"""),1)</f>
        <v>1</v>
      </c>
      <c r="AD357" s="27">
        <f ca="1">IFERROR(__xludf.DUMMYFUNCTION("""COMPUTED_VALUE"""),1)</f>
        <v>1</v>
      </c>
      <c r="AE357" s="27">
        <f ca="1">IFERROR(__xludf.DUMMYFUNCTION("""COMPUTED_VALUE"""),10)</f>
        <v>10</v>
      </c>
      <c r="AF357" s="27">
        <f ca="1">IFERROR(__xludf.DUMMYFUNCTION("""COMPUTED_VALUE"""),10)</f>
        <v>10</v>
      </c>
      <c r="AG357" s="27">
        <f ca="1">IFERROR(__xludf.DUMMYFUNCTION("""COMPUTED_VALUE"""),2)</f>
        <v>2</v>
      </c>
      <c r="AH357" s="27" t="str">
        <f ca="1">IFERROR(__xludf.DUMMYFUNCTION("""COMPUTED_VALUE"""),"Editais; Doações")</f>
        <v>Editais; Doações</v>
      </c>
      <c r="AI357" s="27" t="str">
        <f ca="1">IFERROR(__xludf.DUMMYFUNCTION("""COMPUTED_VALUE"""),"20% FIA")</f>
        <v>20% FIA</v>
      </c>
      <c r="AJ357" s="27"/>
      <c r="AK357" s="27"/>
      <c r="AL357" s="21" t="str">
        <f ca="1">IFERROR(__xludf.DUMMYFUNCTION("""COMPUTED_VALUE"""),"0034P000045kxkj")</f>
        <v>0034P000045kxkj</v>
      </c>
      <c r="AM357" s="27" t="str">
        <f ca="1">IFERROR(__xludf.DUMMYFUNCTION("""COMPUTED_VALUE"""),"Benedito Souza")</f>
        <v>Benedito Souza</v>
      </c>
      <c r="AN357" s="27" t="str">
        <f ca="1">IFERROR(__xludf.DUMMYFUNCTION("""COMPUTED_VALUE"""),"Ativo")</f>
        <v>Ativo</v>
      </c>
      <c r="AO357" s="30">
        <f ca="1">IFERROR(__xludf.DUMMYFUNCTION("""COMPUTED_VALUE"""),44551)</f>
        <v>44551</v>
      </c>
      <c r="AP357" s="27">
        <f ca="1">IFERROR(__xludf.DUMMYFUNCTION("""COMPUTED_VALUE"""),9)</f>
        <v>9</v>
      </c>
      <c r="AQ357" s="27" t="str">
        <f ca="1">IFERROR(__xludf.DUMMYFUNCTION("""COMPUTED_VALUE"""),"Segundo Semestre 2021")</f>
        <v>Segundo Semestre 2021</v>
      </c>
      <c r="AR357" s="27" t="str">
        <f ca="1">IFERROR(__xludf.DUMMYFUNCTION("""COMPUTED_VALUE"""),"wando38designer@gmail.com")</f>
        <v>wando38designer@gmail.com</v>
      </c>
      <c r="AS357" s="27" t="str">
        <f ca="1">IFERROR(__xludf.DUMMYFUNCTION("""COMPUTED_VALUE"""),"(65)99982-3594")</f>
        <v>(65)99982-3594</v>
      </c>
      <c r="AT357" s="29">
        <f ca="1">IFERROR(__xludf.DUMMYFUNCTION("""COMPUTED_VALUE"""),26099)</f>
        <v>26099</v>
      </c>
      <c r="AU357" s="27">
        <f ca="1">IFERROR(__xludf.DUMMYFUNCTION("""COMPUTED_VALUE"""),51)</f>
        <v>51</v>
      </c>
      <c r="AV357" s="27">
        <f ca="1">IFERROR(__xludf.DUMMYFUNCTION("""COMPUTED_VALUE"""),49646346120)</f>
        <v>49646346120</v>
      </c>
      <c r="AW357" s="27">
        <f ca="1">IFERROR(__xludf.DUMMYFUNCTION("""COMPUTED_VALUE"""),4754840)</f>
        <v>4754840</v>
      </c>
      <c r="AX357" s="27"/>
      <c r="AY357" s="27"/>
      <c r="AZ357" s="27" t="str">
        <f ca="1">IFERROR(__xludf.DUMMYFUNCTION("""COMPUTED_VALUE"""),"M")</f>
        <v>M</v>
      </c>
      <c r="BA357" s="27" t="str">
        <f ca="1">IFERROR(__xludf.DUMMYFUNCTION("""COMPUTED_VALUE"""),"Parda")</f>
        <v>Parda</v>
      </c>
      <c r="BB357" s="27" t="str">
        <f ca="1">IFERROR(__xludf.DUMMYFUNCTION("""COMPUTED_VALUE"""),"Homem, cisgênero")</f>
        <v>Homem, cisgênero</v>
      </c>
      <c r="BC357" s="27" t="str">
        <f ca="1">IFERROR(__xludf.DUMMYFUNCTION("""COMPUTED_VALUE"""),"Sim")</f>
        <v>Sim</v>
      </c>
      <c r="BD357" s="27" t="str">
        <f ca="1">IFERROR(__xludf.DUMMYFUNCTION("""COMPUTED_VALUE"""),"Objetivo:
Trabalhar para fomentar as práticas esportivas em crianças e adolescentes em situação de vulnerabilidade social. Divulgar e fortalecer o Instituto Futsal Sem Drogas.
Graduado em contabilidade pela Escola Cezario Neto – Cuiabá/MT, Wanderley Bened"&amp;"ito Souza está a frente do Instituto Futsal Sem Drogas desde o ano de sua fundação em 15/06/2011, passando pelo período de sua informalidade, até a sua legalização.")</f>
        <v>Objetivo:
Trabalhar para fomentar as práticas esportivas em crianças e adolescentes em situação de vulnerabilidade social. Divulgar e fortalecer o Instituto Futsal Sem Drogas.
Graduado em contabilidade pela Escola Cezario Neto – Cuiabá/MT, Wanderley Benedito Souza está a frente do Instituto Futsal Sem Drogas desde o ano de sua fundação em 15/06/2011, passando pelo período de sua informalidade, até a sua legalização.</v>
      </c>
      <c r="BE357" s="27"/>
      <c r="BF357" s="27" t="str">
        <f ca="1">IFERROR(__xludf.DUMMYFUNCTION("""COMPUTED_VALUE"""),"Heterossexual")</f>
        <v>Heterossexual</v>
      </c>
      <c r="BG357" s="27" t="str">
        <f ca="1">IFERROR(__xludf.DUMMYFUNCTION("""COMPUTED_VALUE"""),"Ensino Médio - Completo")</f>
        <v>Ensino Médio - Completo</v>
      </c>
      <c r="BH357" s="27" t="str">
        <f ca="1">IFERROR(__xludf.DUMMYFUNCTION("""COMPUTED_VALUE"""),"Pública")</f>
        <v>Pública</v>
      </c>
      <c r="BI357" s="27"/>
      <c r="BJ357" s="27"/>
      <c r="BK357" s="27" t="str">
        <f ca="1">IFERROR(__xludf.DUMMYFUNCTION("""COMPUTED_VALUE"""),"Rua Valdomiro Nascimento")</f>
        <v>Rua Valdomiro Nascimento</v>
      </c>
      <c r="BL357" s="27">
        <f ca="1">IFERROR(__xludf.DUMMYFUNCTION("""COMPUTED_VALUE"""),11)</f>
        <v>11</v>
      </c>
      <c r="BM357" s="27" t="str">
        <f ca="1">IFERROR(__xludf.DUMMYFUNCTION("""COMPUTED_VALUE"""),"quadra 33")</f>
        <v>quadra 33</v>
      </c>
      <c r="BN357" s="27" t="str">
        <f ca="1">IFERROR(__xludf.DUMMYFUNCTION("""COMPUTED_VALUE"""),"Várzea Grande")</f>
        <v>Várzea Grande</v>
      </c>
      <c r="BO357" s="27" t="str">
        <f ca="1">IFERROR(__xludf.DUMMYFUNCTION("""COMPUTED_VALUE"""),"78118-282")</f>
        <v>78118-282</v>
      </c>
      <c r="BP357" s="27" t="str">
        <f ca="1">IFERROR(__xludf.DUMMYFUNCTION("""COMPUTED_VALUE"""),"MT")</f>
        <v>MT</v>
      </c>
      <c r="BQ357" s="27" t="str">
        <f ca="1">IFERROR(__xludf.DUMMYFUNCTION("""COMPUTED_VALUE"""),"De 3 até 5 salários mínimos")</f>
        <v>De 3 até 5 salários mínimos</v>
      </c>
      <c r="BR357" s="27" t="str">
        <f ca="1">IFERROR(__xludf.DUMMYFUNCTION("""COMPUTED_VALUE"""),"Trabalho informal")</f>
        <v>Trabalho informal</v>
      </c>
      <c r="BS357" s="27" t="str">
        <f ca="1">IFERROR(__xludf.DUMMYFUNCTION("""COMPUTED_VALUE"""),"Casa própria")</f>
        <v>Casa própria</v>
      </c>
      <c r="BT357" s="27">
        <f ca="1">IFERROR(__xludf.DUMMYFUNCTION("""COMPUTED_VALUE"""),5)</f>
        <v>5</v>
      </c>
      <c r="BU357" s="27" t="str">
        <f ca="1">IFERROR(__xludf.DUMMYFUNCTION("""COMPUTED_VALUE"""),"Não tem")</f>
        <v>Não tem</v>
      </c>
      <c r="BV357" s="27"/>
      <c r="BW357" s="27"/>
      <c r="BX357" s="21" t="str">
        <f ca="1">IFERROR(__xludf.DUMMYFUNCTION("""COMPUTED_VALUE"""),"https://www.instagram.com/futsal_sem_drogas/?hl=pt-br")</f>
        <v>https://www.instagram.com/futsal_sem_drogas/?hl=pt-br</v>
      </c>
      <c r="BY357" s="21" t="str">
        <f ca="1">IFERROR(__xludf.DUMMYFUNCTION("""COMPUTED_VALUE"""),"https://drive.google.com/open?id=1P6wpHD7tOkz9wHxIZpwnAvA80x2YF1ce")</f>
        <v>https://drive.google.com/open?id=1P6wpHD7tOkz9wHxIZpwnAvA80x2YF1ce</v>
      </c>
    </row>
    <row r="358" spans="1:77" ht="12.5" x14ac:dyDescent="0.25">
      <c r="A358" s="21" t="str">
        <f ca="1">IFERROR(__xludf.DUMMYFUNCTION("""COMPUTED_VALUE"""),"0014P00003YSp9LQAT")</f>
        <v>0014P00003YSp9LQAT</v>
      </c>
      <c r="B358" s="27" t="str">
        <f ca="1">IFERROR(__xludf.DUMMYFUNCTION("""COMPUTED_VALUE"""),"Fase Estruturação")</f>
        <v>Fase Estruturação</v>
      </c>
      <c r="C358" s="27" t="str">
        <f ca="1">IFERROR(__xludf.DUMMYFUNCTION("""COMPUTED_VALUE"""),"Fellow")</f>
        <v>Fellow</v>
      </c>
      <c r="D358" s="27" t="str">
        <f ca="1">IFERROR(__xludf.DUMMYFUNCTION("""COMPUTED_VALUE"""),"Ativo")</f>
        <v>Ativo</v>
      </c>
      <c r="E358" s="27" t="str">
        <f ca="1">IFERROR(__xludf.DUMMYFUNCTION("""COMPUTED_VALUE"""),"Instituto Fábrica de Vencedor")</f>
        <v>Instituto Fábrica de Vencedor</v>
      </c>
      <c r="F358" s="27" t="str">
        <f ca="1">IFERROR(__xludf.DUMMYFUNCTION("""COMPUTED_VALUE"""),"Geraldo")</f>
        <v>Geraldo</v>
      </c>
      <c r="G358" s="27"/>
      <c r="H358" s="27" t="str">
        <f ca="1">IFERROR(__xludf.DUMMYFUNCTION("""COMPUTED_VALUE"""),"30.396.934/0001-55")</f>
        <v>30.396.934/0001-55</v>
      </c>
      <c r="I358" s="27" t="str">
        <f ca="1">IFERROR(__xludf.DUMMYFUNCTION("""COMPUTED_VALUE"""),"Geraldo Elias de Souza")</f>
        <v>Geraldo Elias de Souza</v>
      </c>
      <c r="J358" s="27" t="str">
        <f ca="1">IFERROR(__xludf.DUMMYFUNCTION("""COMPUTED_VALUE"""),"gestaoararaquara@gmail.com")</f>
        <v>gestaoararaquara@gmail.com</v>
      </c>
      <c r="K358" s="27" t="str">
        <f ca="1">IFERROR(__xludf.DUMMYFUNCTION("""COMPUTED_VALUE"""),"(16)99366-0385")</f>
        <v>(16)99366-0385</v>
      </c>
      <c r="L358" s="27" t="str">
        <f ca="1">IFERROR(__xludf.DUMMYFUNCTION("""COMPUTED_VALUE"""),"SP")</f>
        <v>SP</v>
      </c>
      <c r="M358" s="27" t="str">
        <f ca="1">IFERROR(__xludf.DUMMYFUNCTION("""COMPUTED_VALUE"""),"Rua Manoel Rodrigues Jacob, 1155")</f>
        <v>Rua Manoel Rodrigues Jacob, 1155</v>
      </c>
      <c r="N358" s="27" t="str">
        <f ca="1">IFERROR(__xludf.DUMMYFUNCTION("""COMPUTED_VALUE"""),"Santa Angelina")</f>
        <v>Santa Angelina</v>
      </c>
      <c r="O358" s="27">
        <f ca="1">IFERROR(__xludf.DUMMYFUNCTION("""COMPUTED_VALUE"""),1155)</f>
        <v>1155</v>
      </c>
      <c r="P358" s="27" t="str">
        <f ca="1">IFERROR(__xludf.DUMMYFUNCTION("""COMPUTED_VALUE"""),"Araraquara")</f>
        <v>Araraquara</v>
      </c>
      <c r="Q358" s="27"/>
      <c r="R358" s="27" t="str">
        <f ca="1">IFERROR(__xludf.DUMMYFUNCTION("""COMPUTED_VALUE"""),"14802-195")</f>
        <v>14802-195</v>
      </c>
      <c r="S358" s="27"/>
      <c r="T358" s="27" t="str">
        <f ca="1">IFERROR(__xludf.DUMMYFUNCTION("""COMPUTED_VALUE"""),"Esporte; Assistência Social; Cultura; Qualificação Profissional")</f>
        <v>Esporte; Assistência Social; Cultura; Qualificação Profissional</v>
      </c>
      <c r="U358" s="27" t="str">
        <f ca="1">IFERROR(__xludf.DUMMYFUNCTION("""COMPUTED_VALUE"""),"Crianças pequenas (4 anos a 5 anos e 11 meses); Crianças (6 a 12 anos); Adolescentes (12 aos 18 anos)")</f>
        <v>Crianças pequenas (4 anos a 5 anos e 11 meses); Crianças (6 a 12 anos); Adolescentes (12 aos 18 anos)</v>
      </c>
      <c r="V358" s="27" t="str">
        <f ca="1">IFERROR(__xludf.DUMMYFUNCTION("""COMPUTED_VALUE"""),"Moradores de Favelas; Outros")</f>
        <v>Moradores de Favelas; Outros</v>
      </c>
      <c r="W358" s="27">
        <f ca="1">IFERROR(__xludf.DUMMYFUNCTION("""COMPUTED_VALUE"""),1)</f>
        <v>1</v>
      </c>
      <c r="X358" s="27" t="str">
        <f ca="1">IFERROR(__xludf.DUMMYFUNCTION("""COMPUTED_VALUE"""),"O Instituto Fábrica de Vencedor atende toda cidade de Araraquara. A cidade não tem favela porém diversos bairros vulneráveis e pobres. Temos matriculadas crianças de todos os bairros do município. Nossa prioridade são Crianças e adolescentes de 05 a 17 an"&amp;"os de idade prioritariamente vivendo em situação de vulnerabilidade social.")</f>
        <v>O Instituto Fábrica de Vencedor atende toda cidade de Araraquara. A cidade não tem favela porém diversos bairros vulneráveis e pobres. Temos matriculadas crianças de todos os bairros do município. Nossa prioridade são Crianças e adolescentes de 05 a 17 anos de idade prioritariamente vivendo em situação de vulnerabilidade social.</v>
      </c>
      <c r="Y358" s="27"/>
      <c r="Z358" s="27">
        <f ca="1">IFERROR(__xludf.DUMMYFUNCTION("""COMPUTED_VALUE"""),400)</f>
        <v>400</v>
      </c>
      <c r="AA358" s="29">
        <f ca="1">IFERROR(__xludf.DUMMYFUNCTION("""COMPUTED_VALUE"""),43175)</f>
        <v>43175</v>
      </c>
      <c r="AB358" s="27" t="str">
        <f ca="1">IFERROR(__xludf.DUMMYFUNCTION("""COMPUTED_VALUE"""),"Sim")</f>
        <v>Sim</v>
      </c>
      <c r="AC358" s="27">
        <f ca="1">IFERROR(__xludf.DUMMYFUNCTION("""COMPUTED_VALUE"""),16)</f>
        <v>16</v>
      </c>
      <c r="AD358" s="27">
        <f ca="1">IFERROR(__xludf.DUMMYFUNCTION("""COMPUTED_VALUE"""),5)</f>
        <v>5</v>
      </c>
      <c r="AE358" s="27">
        <f ca="1">IFERROR(__xludf.DUMMYFUNCTION("""COMPUTED_VALUE"""),0)</f>
        <v>0</v>
      </c>
      <c r="AF358" s="27">
        <f ca="1">IFERROR(__xludf.DUMMYFUNCTION("""COMPUTED_VALUE"""),0)</f>
        <v>0</v>
      </c>
      <c r="AG358" s="27">
        <f ca="1">IFERROR(__xludf.DUMMYFUNCTION("""COMPUTED_VALUE"""),6)</f>
        <v>6</v>
      </c>
      <c r="AH358" s="27" t="str">
        <f ca="1">IFERROR(__xludf.DUMMYFUNCTION("""COMPUTED_VALUE"""),"Lei de Incentivo; Eventos/Ações para captação; Parceria iniciativa privada; Editais; Lei Estadual da Cultura; Lei Rouanet; FIA")</f>
        <v>Lei de Incentivo; Eventos/Ações para captação; Parceria iniciativa privada; Editais; Lei Estadual da Cultura; Lei Rouanet; FIA</v>
      </c>
      <c r="AI358" s="27" t="str">
        <f ca="1">IFERROR(__xludf.DUMMYFUNCTION("""COMPUTED_VALUE"""),"90% leis de incentivo (Lei Rouanet / ProAC / LPIE / FIA), 8% parceria iniciativa privada e 2% eventos e ações de captação.")</f>
        <v>90% leis de incentivo (Lei Rouanet / ProAC / LPIE / FIA), 8% parceria iniciativa privada e 2% eventos e ações de captação.</v>
      </c>
      <c r="AJ358" s="27"/>
      <c r="AK358" s="27"/>
      <c r="AL358" s="21" t="str">
        <f ca="1">IFERROR(__xludf.DUMMYFUNCTION("""COMPUTED_VALUE"""),"0034P000045kxjx")</f>
        <v>0034P000045kxjx</v>
      </c>
      <c r="AM358" s="27" t="str">
        <f ca="1">IFERROR(__xludf.DUMMYFUNCTION("""COMPUTED_VALUE"""),"Elias De Souza")</f>
        <v>Elias De Souza</v>
      </c>
      <c r="AN358" s="27" t="str">
        <f ca="1">IFERROR(__xludf.DUMMYFUNCTION("""COMPUTED_VALUE"""),"Ativo")</f>
        <v>Ativo</v>
      </c>
      <c r="AO358" s="30">
        <f ca="1">IFERROR(__xludf.DUMMYFUNCTION("""COMPUTED_VALUE"""),44551)</f>
        <v>44551</v>
      </c>
      <c r="AP358" s="27">
        <f ca="1">IFERROR(__xludf.DUMMYFUNCTION("""COMPUTED_VALUE"""),9)</f>
        <v>9</v>
      </c>
      <c r="AQ358" s="27" t="str">
        <f ca="1">IFERROR(__xludf.DUMMYFUNCTION("""COMPUTED_VALUE"""),"Segundo Semestre 2021")</f>
        <v>Segundo Semestre 2021</v>
      </c>
      <c r="AR358" s="27" t="str">
        <f ca="1">IFERROR(__xludf.DUMMYFUNCTION("""COMPUTED_VALUE"""),"gestaoararaquara@gmail.com")</f>
        <v>gestaoararaquara@gmail.com</v>
      </c>
      <c r="AS358" s="27" t="str">
        <f ca="1">IFERROR(__xludf.DUMMYFUNCTION("""COMPUTED_VALUE"""),"(16)99366-0385")</f>
        <v>(16)99366-0385</v>
      </c>
      <c r="AT358" s="29">
        <f ca="1">IFERROR(__xludf.DUMMYFUNCTION("""COMPUTED_VALUE"""),29374)</f>
        <v>29374</v>
      </c>
      <c r="AU358" s="27">
        <f ca="1">IFERROR(__xludf.DUMMYFUNCTION("""COMPUTED_VALUE"""),42)</f>
        <v>42</v>
      </c>
      <c r="AV358" s="27">
        <f ca="1">IFERROR(__xludf.DUMMYFUNCTION("""COMPUTED_VALUE"""),32027536817)</f>
        <v>32027536817</v>
      </c>
      <c r="AW358" s="27">
        <f ca="1">IFERROR(__xludf.DUMMYFUNCTION("""COMPUTED_VALUE"""),275899901)</f>
        <v>275899901</v>
      </c>
      <c r="AX358" s="27"/>
      <c r="AY358" s="27"/>
      <c r="AZ358" s="27" t="str">
        <f ca="1">IFERROR(__xludf.DUMMYFUNCTION("""COMPUTED_VALUE"""),"G")</f>
        <v>G</v>
      </c>
      <c r="BA358" s="27" t="str">
        <f ca="1">IFERROR(__xludf.DUMMYFUNCTION("""COMPUTED_VALUE"""),"Branca")</f>
        <v>Branca</v>
      </c>
      <c r="BB358" s="27" t="str">
        <f ca="1">IFERROR(__xludf.DUMMYFUNCTION("""COMPUTED_VALUE"""),"Homem, cisgênero")</f>
        <v>Homem, cisgênero</v>
      </c>
      <c r="BC358" s="27" t="str">
        <f ca="1">IFERROR(__xludf.DUMMYFUNCTION("""COMPUTED_VALUE"""),"Sim")</f>
        <v>Sim</v>
      </c>
      <c r="BD358" s="27" t="str">
        <f ca="1">IFERROR(__xludf.DUMMYFUNCTION("""COMPUTED_VALUE"""),"Meu nome é Geraldo Souza. Sou pai da Vitórya (20 anos), Davi (11 anos) e Laura (9 anos). Casado com Érica. Me formei em marketing e sou apaixonado por empreendedorismo social. Atualmente sou presidente do instituto Fábrica de Vencedor, no qual sou fundado"&amp;"r e gestor dos projetos desenvolvidos.
Nasci em Araraquara em 06 de fevereiro de 1980. Filho de Maria Isabel Petito e Pedro Carlos de Souza, falecido em 2000, vítima do alcoolismo. Sou de uma família muito simples. A pobreza me forjou.")</f>
        <v>Meu nome é Geraldo Souza. Sou pai da Vitórya (20 anos), Davi (11 anos) e Laura (9 anos). Casado com Érica. Me formei em marketing e sou apaixonado por empreendedorismo social. Atualmente sou presidente do instituto Fábrica de Vencedor, no qual sou fundador e gestor dos projetos desenvolvidos.
Nasci em Araraquara em 06 de fevereiro de 1980. Filho de Maria Isabel Petito e Pedro Carlos de Souza, falecido em 2000, vítima do alcoolismo. Sou de uma família muito simples. A pobreza me forjou.</v>
      </c>
      <c r="BE358" s="27"/>
      <c r="BF358" s="27" t="str">
        <f ca="1">IFERROR(__xludf.DUMMYFUNCTION("""COMPUTED_VALUE"""),"Heterossexual")</f>
        <v>Heterossexual</v>
      </c>
      <c r="BG358" s="27" t="str">
        <f ca="1">IFERROR(__xludf.DUMMYFUNCTION("""COMPUTED_VALUE"""),"Ensino Superior - Completo")</f>
        <v>Ensino Superior - Completo</v>
      </c>
      <c r="BH358" s="27" t="str">
        <f ca="1">IFERROR(__xludf.DUMMYFUNCTION("""COMPUTED_VALUE"""),"Público")</f>
        <v>Público</v>
      </c>
      <c r="BI358" s="27" t="str">
        <f ca="1">IFERROR(__xludf.DUMMYFUNCTION("""COMPUTED_VALUE"""),"Graduação")</f>
        <v>Graduação</v>
      </c>
      <c r="BJ358" s="27" t="str">
        <f ca="1">IFERROR(__xludf.DUMMYFUNCTION("""COMPUTED_VALUE"""),"Privado")</f>
        <v>Privado</v>
      </c>
      <c r="BK358" s="27" t="str">
        <f ca="1">IFERROR(__xludf.DUMMYFUNCTION("""COMPUTED_VALUE"""),"Rua Manoel Rodrigues Jacob")</f>
        <v>Rua Manoel Rodrigues Jacob</v>
      </c>
      <c r="BL358" s="27">
        <f ca="1">IFERROR(__xludf.DUMMYFUNCTION("""COMPUTED_VALUE"""),1167)</f>
        <v>1167</v>
      </c>
      <c r="BM358" s="27"/>
      <c r="BN358" s="27" t="str">
        <f ca="1">IFERROR(__xludf.DUMMYFUNCTION("""COMPUTED_VALUE"""),"Araraquara")</f>
        <v>Araraquara</v>
      </c>
      <c r="BO358" s="27" t="str">
        <f ca="1">IFERROR(__xludf.DUMMYFUNCTION("""COMPUTED_VALUE"""),"14802-195")</f>
        <v>14802-195</v>
      </c>
      <c r="BP358" s="27" t="str">
        <f ca="1">IFERROR(__xludf.DUMMYFUNCTION("""COMPUTED_VALUE"""),"SP")</f>
        <v>SP</v>
      </c>
      <c r="BQ358" s="27" t="str">
        <f ca="1">IFERROR(__xludf.DUMMYFUNCTION("""COMPUTED_VALUE"""),"De 3 até 5 salários mínimos")</f>
        <v>De 3 até 5 salários mínimos</v>
      </c>
      <c r="BR358" s="27" t="str">
        <f ca="1">IFERROR(__xludf.DUMMYFUNCTION("""COMPUTED_VALUE"""),"CLT; MEI")</f>
        <v>CLT; MEI</v>
      </c>
      <c r="BS358" s="27" t="str">
        <f ca="1">IFERROR(__xludf.DUMMYFUNCTION("""COMPUTED_VALUE"""),"Aluguel")</f>
        <v>Aluguel</v>
      </c>
      <c r="BT358" s="27">
        <f ca="1">IFERROR(__xludf.DUMMYFUNCTION("""COMPUTED_VALUE"""),6)</f>
        <v>6</v>
      </c>
      <c r="BU358" s="27" t="str">
        <f ca="1">IFERROR(__xludf.DUMMYFUNCTION("""COMPUTED_VALUE"""),"Não tem")</f>
        <v>Não tem</v>
      </c>
      <c r="BV358" s="27"/>
      <c r="BW358" s="21" t="str">
        <f ca="1">IFERROR(__xludf.DUMMYFUNCTION("""COMPUTED_VALUE"""),"https://www.linkedin.com/in/geraldo-souza-52863a134/")</f>
        <v>https://www.linkedin.com/in/geraldo-souza-52863a134/</v>
      </c>
      <c r="BX358" s="27" t="str">
        <f ca="1">IFERROR(__xludf.DUMMYFUNCTION("""COMPUTED_VALUE"""),"@geraldoesouza")</f>
        <v>@geraldoesouza</v>
      </c>
      <c r="BY358" s="21" t="str">
        <f ca="1">IFERROR(__xludf.DUMMYFUNCTION("""COMPUTED_VALUE"""),"https://drive.google.com/open?id=1xgcb30nm2w755Xhxo_7gMJbd5bi1ggI2")</f>
        <v>https://drive.google.com/open?id=1xgcb30nm2w755Xhxo_7gMJbd5bi1ggI2</v>
      </c>
    </row>
    <row r="359" spans="1:77" ht="12.5" x14ac:dyDescent="0.25">
      <c r="A359" s="21" t="str">
        <f ca="1">IFERROR(__xludf.DUMMYFUNCTION("""COMPUTED_VALUE"""),"0014P00003Ck7X8QAJ")</f>
        <v>0014P00003Ck7X8QAJ</v>
      </c>
      <c r="B359" s="27" t="str">
        <f ca="1">IFERROR(__xludf.DUMMYFUNCTION("""COMPUTED_VALUE"""),"Fase Inicial")</f>
        <v>Fase Inicial</v>
      </c>
      <c r="C359" s="27" t="str">
        <f ca="1">IFERROR(__xludf.DUMMYFUNCTION("""COMPUTED_VALUE"""),"Fellow")</f>
        <v>Fellow</v>
      </c>
      <c r="D359" s="27" t="str">
        <f ca="1">IFERROR(__xludf.DUMMYFUNCTION("""COMPUTED_VALUE"""),"Ativo")</f>
        <v>Ativo</v>
      </c>
      <c r="E359" s="27" t="str">
        <f ca="1">IFERROR(__xludf.DUMMYFUNCTION("""COMPUTED_VALUE"""),"Instituto Família Chegados")</f>
        <v>Instituto Família Chegados</v>
      </c>
      <c r="F359" s="27" t="str">
        <f ca="1">IFERROR(__xludf.DUMMYFUNCTION("""COMPUTED_VALUE"""),"Dener Marcos")</f>
        <v>Dener Marcos</v>
      </c>
      <c r="G359" s="27"/>
      <c r="H359" s="27" t="str">
        <f ca="1">IFERROR(__xludf.DUMMYFUNCTION("""COMPUTED_VALUE"""),"Em construção")</f>
        <v>Em construção</v>
      </c>
      <c r="I359" s="27"/>
      <c r="J359" s="27"/>
      <c r="K359" s="27" t="str">
        <f ca="1">IFERROR(__xludf.DUMMYFUNCTION("""COMPUTED_VALUE"""),"(13)99740-0586")</f>
        <v>(13)99740-0586</v>
      </c>
      <c r="L359" s="27" t="str">
        <f ca="1">IFERROR(__xludf.DUMMYFUNCTION("""COMPUTED_VALUE"""),"SP")</f>
        <v>SP</v>
      </c>
      <c r="M359" s="27" t="str">
        <f ca="1">IFERROR(__xludf.DUMMYFUNCTION("""COMPUTED_VALUE"""),"Rua Libania de Lima Croock")</f>
        <v>Rua Libania de Lima Croock</v>
      </c>
      <c r="N359" s="27"/>
      <c r="O359" s="27" t="str">
        <f ca="1">IFERROR(__xludf.DUMMYFUNCTION("""COMPUTED_VALUE"""),"(13)99740-0586")</f>
        <v>(13)99740-0586</v>
      </c>
      <c r="P359" s="27" t="str">
        <f ca="1">IFERROR(__xludf.DUMMYFUNCTION("""COMPUTED_VALUE"""),"São Vicente")</f>
        <v>São Vicente</v>
      </c>
      <c r="Q359" s="27"/>
      <c r="R359" s="27" t="str">
        <f ca="1">IFERROR(__xludf.DUMMYFUNCTION("""COMPUTED_VALUE"""),"11335-050")</f>
        <v>11335-050</v>
      </c>
      <c r="S359" s="27"/>
      <c r="T359" s="27" t="str">
        <f ca="1">IFERROR(__xludf.DUMMYFUNCTION("""COMPUTED_VALUE"""),"Educação; Empregabilidade; Assistência Social; Cultura; Qualificação Profissional; Empreendedorismo; Saúde; Meio ambiente; Empoderamento Feminino; Negócios Sociais; Comunicação; Assistência Psicológica; Desenvolvimento comunitário")</f>
        <v>Educação; Empregabilidade; Assistência Social; Cultura; Qualificação Profissional; Empreendedorismo; Saúde; Meio ambiente; Empoderamento Feminino; Negócios Sociais; Comunicação; Assistência Psicológica; Desenvolvimento comunitário</v>
      </c>
      <c r="U359" s="27" t="str">
        <f ca="1">IFERROR(__xludf.DUMMYFUNCTION("""COMPUTED_VALUE"""),"Crianças (6 a 12 anos); Adolescentes (12 aos 18 anos); Jovens (18 aos 24 anos); Adultos; Idosos (60 anos ou mais)")</f>
        <v>Crianças (6 a 12 anos); Adolescentes (12 aos 18 anos); Jovens (18 aos 24 anos); Adultos; Idosos (60 anos ou mais)</v>
      </c>
      <c r="V359" s="27" t="str">
        <f ca="1">IFERROR(__xludf.DUMMYFUNCTION("""COMPUTED_VALUE"""),"Moradores de Favelas; Afrodescendentes")</f>
        <v>Moradores de Favelas; Afrodescendentes</v>
      </c>
      <c r="W359" s="27">
        <f ca="1">IFERROR(__xludf.DUMMYFUNCTION("""COMPUTED_VALUE"""),5)</f>
        <v>5</v>
      </c>
      <c r="X359" s="27"/>
      <c r="Y359" s="27"/>
      <c r="Z359" s="27"/>
      <c r="AA359" s="29">
        <f ca="1">IFERROR(__xludf.DUMMYFUNCTION("""COMPUTED_VALUE"""),42219)</f>
        <v>42219</v>
      </c>
      <c r="AB359" s="27"/>
      <c r="AC359" s="27">
        <f ca="1">IFERROR(__xludf.DUMMYFUNCTION("""COMPUTED_VALUE"""),0)</f>
        <v>0</v>
      </c>
      <c r="AD359" s="27">
        <f ca="1">IFERROR(__xludf.DUMMYFUNCTION("""COMPUTED_VALUE"""),0)</f>
        <v>0</v>
      </c>
      <c r="AE359" s="27">
        <f ca="1">IFERROR(__xludf.DUMMYFUNCTION("""COMPUTED_VALUE"""),10)</f>
        <v>10</v>
      </c>
      <c r="AF359" s="27">
        <f ca="1">IFERROR(__xludf.DUMMYFUNCTION("""COMPUTED_VALUE"""),2)</f>
        <v>2</v>
      </c>
      <c r="AG359" s="27">
        <f ca="1">IFERROR(__xludf.DUMMYFUNCTION("""COMPUTED_VALUE"""),1)</f>
        <v>1</v>
      </c>
      <c r="AH359" s="27" t="str">
        <f ca="1">IFERROR(__xludf.DUMMYFUNCTION("""COMPUTED_VALUE"""),"Negócio Social; Parceria iniciativa privada; Editais; Doações; Recursos próprios")</f>
        <v>Negócio Social; Parceria iniciativa privada; Editais; Doações; Recursos próprios</v>
      </c>
      <c r="AI359" s="27" t="str">
        <f ca="1">IFERROR(__xludf.DUMMYFUNCTION("""COMPUTED_VALUE"""),"70% PF e 30%Empresas")</f>
        <v>70% PF e 30%Empresas</v>
      </c>
      <c r="AJ359" s="27"/>
      <c r="AK359" s="27" t="str">
        <f ca="1">IFERROR(__xludf.DUMMYFUNCTION("""COMPUTED_VALUE"""),"Não")</f>
        <v>Não</v>
      </c>
      <c r="AL359" s="21" t="str">
        <f ca="1">IFERROR(__xludf.DUMMYFUNCTION("""COMPUTED_VALUE"""),"0034P00003q10qj")</f>
        <v>0034P00003q10qj</v>
      </c>
      <c r="AM359" s="27" t="str">
        <f ca="1">IFERROR(__xludf.DUMMYFUNCTION("""COMPUTED_VALUE"""),"Marcos Xavier")</f>
        <v>Marcos Xavier</v>
      </c>
      <c r="AN359" s="27" t="str">
        <f ca="1">IFERROR(__xludf.DUMMYFUNCTION("""COMPUTED_VALUE"""),"Ativo")</f>
        <v>Ativo</v>
      </c>
      <c r="AO359" s="30">
        <f ca="1">IFERROR(__xludf.DUMMYFUNCTION("""COMPUTED_VALUE"""),44306)</f>
        <v>44306</v>
      </c>
      <c r="AP359" s="27">
        <f ca="1">IFERROR(__xludf.DUMMYFUNCTION("""COMPUTED_VALUE"""),17)</f>
        <v>17</v>
      </c>
      <c r="AQ359" s="27" t="str">
        <f ca="1">IFERROR(__xludf.DUMMYFUNCTION("""COMPUTED_VALUE"""),"Segundo Semestre 2020")</f>
        <v>Segundo Semestre 2020</v>
      </c>
      <c r="AR359" s="27" t="str">
        <f ca="1">IFERROR(__xludf.DUMMYFUNCTION("""COMPUTED_VALUE"""),"dener.xavier@hotmail.com")</f>
        <v>dener.xavier@hotmail.com</v>
      </c>
      <c r="AS359" s="27" t="str">
        <f ca="1">IFERROR(__xludf.DUMMYFUNCTION("""COMPUTED_VALUE"""),"(13)99740-0586")</f>
        <v>(13)99740-0586</v>
      </c>
      <c r="AT359" s="29">
        <f ca="1">IFERROR(__xludf.DUMMYFUNCTION("""COMPUTED_VALUE"""),33719)</f>
        <v>33719</v>
      </c>
      <c r="AU359" s="27">
        <f ca="1">IFERROR(__xludf.DUMMYFUNCTION("""COMPUTED_VALUE"""),30)</f>
        <v>30</v>
      </c>
      <c r="AV359" s="27">
        <f ca="1">IFERROR(__xludf.DUMMYFUNCTION("""COMPUTED_VALUE"""),39923214877)</f>
        <v>39923214877</v>
      </c>
      <c r="AW359" s="27" t="str">
        <f ca="1">IFERROR(__xludf.DUMMYFUNCTION("""COMPUTED_VALUE"""),"48.638.709-4")</f>
        <v>48.638.709-4</v>
      </c>
      <c r="AX359" s="27" t="str">
        <f ca="1">IFERROR(__xludf.DUMMYFUNCTION("""COMPUTED_VALUE"""),"Comércio Exterior")</f>
        <v>Comércio Exterior</v>
      </c>
      <c r="AY359" s="27" t="str">
        <f ca="1">IFERROR(__xludf.DUMMYFUNCTION("""COMPUTED_VALUE"""),"Globalhood - Co-fundador e gestor (Ensino de Idiomas)")</f>
        <v>Globalhood - Co-fundador e gestor (Ensino de Idiomas)</v>
      </c>
      <c r="AZ359" s="27" t="str">
        <f ca="1">IFERROR(__xludf.DUMMYFUNCTION("""COMPUTED_VALUE"""),"G")</f>
        <v>G</v>
      </c>
      <c r="BA359" s="27"/>
      <c r="BB359" s="27"/>
      <c r="BC359" s="27" t="str">
        <f ca="1">IFERROR(__xludf.DUMMYFUNCTION("""COMPUTED_VALUE"""),"Não")</f>
        <v>Não</v>
      </c>
      <c r="BD359" s="27" t="str">
        <f ca="1">IFERROR(__xludf.DUMMYFUNCTION("""COMPUTED_VALUE"""),"Dener Marcos Xavier, 29 anos. Líder Comunitário, nascido e criado na Vila Margarida. Co-Fundador e Produtor Cultural no Instituto Chegados. Empreendedor Social,  Co-Fundador da Globalhood, escola de idiomas presente no Brasil, Itália, Sérvia e Estados Uni"&amp;"dos.")</f>
        <v>Dener Marcos Xavier, 29 anos. Líder Comunitário, nascido e criado na Vila Margarida. Co-Fundador e Produtor Cultural no Instituto Chegados. Empreendedor Social,  Co-Fundador da Globalhood, escola de idiomas presente no Brasil, Itália, Sérvia e Estados Unidos.</v>
      </c>
      <c r="BE359" s="27"/>
      <c r="BF359" s="27"/>
      <c r="BG359" s="27" t="str">
        <f ca="1">IFERROR(__xludf.DUMMYFUNCTION("""COMPUTED_VALUE"""),"Ensino Superior - Completo")</f>
        <v>Ensino Superior - Completo</v>
      </c>
      <c r="BH359" s="27"/>
      <c r="BI359" s="27" t="str">
        <f ca="1">IFERROR(__xludf.DUMMYFUNCTION("""COMPUTED_VALUE"""),"Graduação")</f>
        <v>Graduação</v>
      </c>
      <c r="BJ359" s="27" t="str">
        <f ca="1">IFERROR(__xludf.DUMMYFUNCTION("""COMPUTED_VALUE"""),"Público")</f>
        <v>Público</v>
      </c>
      <c r="BK359" s="27" t="str">
        <f ca="1">IFERROR(__xludf.DUMMYFUNCTION("""COMPUTED_VALUE"""),"Dona Libânia de Lima Croock")</f>
        <v>Dona Libânia de Lima Croock</v>
      </c>
      <c r="BL359" s="27">
        <f ca="1">IFERROR(__xludf.DUMMYFUNCTION("""COMPUTED_VALUE"""),922)</f>
        <v>922</v>
      </c>
      <c r="BM359" s="27"/>
      <c r="BN359" s="27" t="str">
        <f ca="1">IFERROR(__xludf.DUMMYFUNCTION("""COMPUTED_VALUE"""),"São Vicente")</f>
        <v>São Vicente</v>
      </c>
      <c r="BO359" s="27" t="str">
        <f ca="1">IFERROR(__xludf.DUMMYFUNCTION("""COMPUTED_VALUE"""),"11335-050")</f>
        <v>11335-050</v>
      </c>
      <c r="BP359" s="27" t="str">
        <f ca="1">IFERROR(__xludf.DUMMYFUNCTION("""COMPUTED_VALUE"""),"SP")</f>
        <v>SP</v>
      </c>
      <c r="BQ359" s="27" t="str">
        <f ca="1">IFERROR(__xludf.DUMMYFUNCTION("""COMPUTED_VALUE"""),"De 3 até 5 salários mínimos")</f>
        <v>De 3 até 5 salários mínimos</v>
      </c>
      <c r="BR359" s="27" t="str">
        <f ca="1">IFERROR(__xludf.DUMMYFUNCTION("""COMPUTED_VALUE"""),"CLT; MEI; Trabalho informal; Desempregado")</f>
        <v>CLT; MEI; Trabalho informal; Desempregado</v>
      </c>
      <c r="BS359" s="27" t="str">
        <f ca="1">IFERROR(__xludf.DUMMYFUNCTION("""COMPUTED_VALUE"""),"Casa própria")</f>
        <v>Casa própria</v>
      </c>
      <c r="BT359" s="27">
        <f ca="1">IFERROR(__xludf.DUMMYFUNCTION("""COMPUTED_VALUE"""),4)</f>
        <v>4</v>
      </c>
      <c r="BU359" s="27"/>
      <c r="BV359" s="27"/>
      <c r="BW359" s="27"/>
      <c r="BX359" s="21" t="str">
        <f ca="1">IFERROR(__xludf.DUMMYFUNCTION("""COMPUTED_VALUE"""),"https://www.instagram.com/dener_marcos_xavier/")</f>
        <v>https://www.instagram.com/dener_marcos_xavier/</v>
      </c>
      <c r="BY359" s="21" t="str">
        <f ca="1">IFERROR(__xludf.DUMMYFUNCTION("""COMPUTED_VALUE"""),"https://drive.google.com/open?id=1qJOYwb1C9NFlkPliwPxCjsfAUa85gc9S")</f>
        <v>https://drive.google.com/open?id=1qJOYwb1C9NFlkPliwPxCjsfAUa85gc9S</v>
      </c>
    </row>
    <row r="360" spans="1:77" ht="12.5" x14ac:dyDescent="0.25">
      <c r="A360" s="21" t="str">
        <f ca="1">IFERROR(__xludf.DUMMYFUNCTION("""COMPUTED_VALUE"""),"0014P00003AN2FvQAL")</f>
        <v>0014P00003AN2FvQAL</v>
      </c>
      <c r="B360" s="27" t="str">
        <f ca="1">IFERROR(__xludf.DUMMYFUNCTION("""COMPUTED_VALUE"""),"Fase Inicial")</f>
        <v>Fase Inicial</v>
      </c>
      <c r="C360" s="27" t="str">
        <f ca="1">IFERROR(__xludf.DUMMYFUNCTION("""COMPUTED_VALUE"""),"Acelerada")</f>
        <v>Acelerada</v>
      </c>
      <c r="D360" s="27" t="str">
        <f ca="1">IFERROR(__xludf.DUMMYFUNCTION("""COMPUTED_VALUE"""),"Ativo")</f>
        <v>Ativo</v>
      </c>
      <c r="E360" s="27" t="str">
        <f ca="1">IFERROR(__xludf.DUMMYFUNCTION("""COMPUTED_VALUE"""),"Instituto Família Criativa do Campo")</f>
        <v>Instituto Família Criativa do Campo</v>
      </c>
      <c r="F360" s="27" t="str">
        <f ca="1">IFERROR(__xludf.DUMMYFUNCTION("""COMPUTED_VALUE"""),"Ana Paula")</f>
        <v>Ana Paula</v>
      </c>
      <c r="G360" s="27" t="str">
        <f ca="1">IFERROR(__xludf.DUMMYFUNCTION("""COMPUTED_VALUE"""),"FAMILIA CRIATIVA DO CAMPO")</f>
        <v>FAMILIA CRIATIVA DO CAMPO</v>
      </c>
      <c r="H360" s="27" t="str">
        <f ca="1">IFERROR(__xludf.DUMMYFUNCTION("""COMPUTED_VALUE"""),"39.854.953/0001-52")</f>
        <v>39.854.953/0001-52</v>
      </c>
      <c r="I360" s="27"/>
      <c r="J360" s="27" t="str">
        <f ca="1">IFERROR(__xludf.DUMMYFUNCTION("""COMPUTED_VALUE"""),"anapaulasilvasouza69@gmail.com")</f>
        <v>anapaulasilvasouza69@gmail.com</v>
      </c>
      <c r="K360" s="27" t="str">
        <f ca="1">IFERROR(__xludf.DUMMYFUNCTION("""COMPUTED_VALUE"""),"(84)8865-2115")</f>
        <v>(84)8865-2115</v>
      </c>
      <c r="L360" s="27" t="str">
        <f ca="1">IFERROR(__xludf.DUMMYFUNCTION("""COMPUTED_VALUE"""),"RN")</f>
        <v>RN</v>
      </c>
      <c r="M360" s="27" t="str">
        <f ca="1">IFERROR(__xludf.DUMMYFUNCTION("""COMPUTED_VALUE"""),"R. Maria Ivone Campos")</f>
        <v>R. Maria Ivone Campos</v>
      </c>
      <c r="N360" s="27"/>
      <c r="O360" s="27" t="str">
        <f ca="1">IFERROR(__xludf.DUMMYFUNCTION("""COMPUTED_VALUE"""),"(84)8865-2115")</f>
        <v>(84)8865-2115</v>
      </c>
      <c r="P360" s="27" t="str">
        <f ca="1">IFERROR(__xludf.DUMMYFUNCTION("""COMPUTED_VALUE"""),"Senador Elói de Souza")</f>
        <v>Senador Elói de Souza</v>
      </c>
      <c r="Q360" s="27"/>
      <c r="R360" s="27" t="str">
        <f ca="1">IFERROR(__xludf.DUMMYFUNCTION("""COMPUTED_VALUE"""),"59250-000")</f>
        <v>59250-000</v>
      </c>
      <c r="S360" s="27" t="str">
        <f ca="1">IFERROR(__xludf.DUMMYFUNCTION("""COMPUTED_VALUE"""),"ainda estamos vendo o espaço que será locado no centro de Senador Elói de Souza RN.")</f>
        <v>ainda estamos vendo o espaço que será locado no centro de Senador Elói de Souza RN.</v>
      </c>
      <c r="T360" s="27" t="str">
        <f ca="1">IFERROR(__xludf.DUMMYFUNCTION("""COMPUTED_VALUE"""),"Esporte; Educação; Assistência Social; Cultura; Qualificação Profissional; Empreendedorismo; Meio ambiente; Empoderamento Feminino; Negócios Sociais; Defesa de Direitos; Assistência Psicológica; Desenvolvimento comunitário")</f>
        <v>Esporte; Educação; Assistência Social; Cultura; Qualificação Profissional; Empreendedorismo; Meio ambiente; Empoderamento Feminino; Negócios Sociais; Defesa de Direitos; Assistência Psicológica; Desenvolvimento comunitário</v>
      </c>
      <c r="U360"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360" s="27" t="str">
        <f ca="1">IFERROR(__xludf.DUMMYFUNCTION("""COMPUTED_VALUE"""),"Moradores de Favelas; População LGBTQ+; Quilombola; Pessoas com Deficiência; Comunidade rural")</f>
        <v>Moradores de Favelas; População LGBTQ+; Quilombola; Pessoas com Deficiência; Comunidade rural</v>
      </c>
      <c r="W360" s="27">
        <f ca="1">IFERROR(__xludf.DUMMYFUNCTION("""COMPUTED_VALUE"""),7)</f>
        <v>7</v>
      </c>
      <c r="X360" s="27" t="str">
        <f ca="1">IFERROR(__xludf.DUMMYFUNCTION("""COMPUTED_VALUE"""),"a maioria dessas pessoas precisam de uma direcionana a educação por o cenário atual é de exclusão e analfabetismo.")</f>
        <v>a maioria dessas pessoas precisam de uma direcionana a educação por o cenário atual é de exclusão e analfabetismo.</v>
      </c>
      <c r="Y360" s="27"/>
      <c r="Z360" s="27">
        <f ca="1">IFERROR(__xludf.DUMMYFUNCTION("""COMPUTED_VALUE"""),600)</f>
        <v>600</v>
      </c>
      <c r="AA360" s="29">
        <f ca="1">IFERROR(__xludf.DUMMYFUNCTION("""COMPUTED_VALUE"""),44089)</f>
        <v>44089</v>
      </c>
      <c r="AB360" s="27" t="str">
        <f ca="1">IFERROR(__xludf.DUMMYFUNCTION("""COMPUTED_VALUE"""),"Sim")</f>
        <v>Sim</v>
      </c>
      <c r="AC360" s="27">
        <f ca="1">IFERROR(__xludf.DUMMYFUNCTION("""COMPUTED_VALUE"""),7)</f>
        <v>7</v>
      </c>
      <c r="AD360" s="27">
        <f ca="1">IFERROR(__xludf.DUMMYFUNCTION("""COMPUTED_VALUE"""),1)</f>
        <v>1</v>
      </c>
      <c r="AE360" s="27">
        <f ca="1">IFERROR(__xludf.DUMMYFUNCTION("""COMPUTED_VALUE"""),7)</f>
        <v>7</v>
      </c>
      <c r="AF360" s="27">
        <f ca="1">IFERROR(__xludf.DUMMYFUNCTION("""COMPUTED_VALUE"""),0)</f>
        <v>0</v>
      </c>
      <c r="AG360" s="27">
        <f ca="1">IFERROR(__xludf.DUMMYFUNCTION("""COMPUTED_VALUE"""),2)</f>
        <v>2</v>
      </c>
      <c r="AH360" s="27" t="str">
        <f ca="1">IFERROR(__xludf.DUMMYFUNCTION("""COMPUTED_VALUE"""),"Lei de Incentivo; Eventos/Ações para captação; Parceria iniciativa privada; Editais; Doações")</f>
        <v>Lei de Incentivo; Eventos/Ações para captação; Parceria iniciativa privada; Editais; Doações</v>
      </c>
      <c r="AI360" s="31">
        <f ca="1">IFERROR(__xludf.DUMMYFUNCTION("""COMPUTED_VALUE"""),0)</f>
        <v>0</v>
      </c>
      <c r="AJ360" s="27" t="str">
        <f ca="1">IFERROR(__xludf.DUMMYFUNCTION("""COMPUTED_VALUE"""),"Não")</f>
        <v>Não</v>
      </c>
      <c r="AK360" s="27" t="str">
        <f ca="1">IFERROR(__xludf.DUMMYFUNCTION("""COMPUTED_VALUE"""),"Sim")</f>
        <v>Sim</v>
      </c>
      <c r="AL360" s="21" t="str">
        <f ca="1">IFERROR(__xludf.DUMMYFUNCTION("""COMPUTED_VALUE"""),"0034P00003maCd8")</f>
        <v>0034P00003maCd8</v>
      </c>
      <c r="AM360" s="27" t="str">
        <f ca="1">IFERROR(__xludf.DUMMYFUNCTION("""COMPUTED_VALUE"""),"Paula Silva De Souza")</f>
        <v>Paula Silva De Souza</v>
      </c>
      <c r="AN360" s="27" t="str">
        <f ca="1">IFERROR(__xludf.DUMMYFUNCTION("""COMPUTED_VALUE"""),"Ativo")</f>
        <v>Ativo</v>
      </c>
      <c r="AO360" s="29">
        <f ca="1">IFERROR(__xludf.DUMMYFUNCTION("""COMPUTED_VALUE"""),44285)</f>
        <v>44285</v>
      </c>
      <c r="AP360" s="27">
        <f ca="1">IFERROR(__xludf.DUMMYFUNCTION("""COMPUTED_VALUE"""),18)</f>
        <v>18</v>
      </c>
      <c r="AQ360" s="27" t="str">
        <f ca="1">IFERROR(__xludf.DUMMYFUNCTION("""COMPUTED_VALUE"""),"Segundo Semestre 2020")</f>
        <v>Segundo Semestre 2020</v>
      </c>
      <c r="AR360" s="27" t="str">
        <f ca="1">IFERROR(__xludf.DUMMYFUNCTION("""COMPUTED_VALUE"""),"anapaulasilvasouza69@gmail.com")</f>
        <v>anapaulasilvasouza69@gmail.com</v>
      </c>
      <c r="AS360" s="27" t="str">
        <f ca="1">IFERROR(__xludf.DUMMYFUNCTION("""COMPUTED_VALUE"""),"(84)8865-2115")</f>
        <v>(84)8865-2115</v>
      </c>
      <c r="AT360" s="29">
        <f ca="1">IFERROR(__xludf.DUMMYFUNCTION("""COMPUTED_VALUE"""),29134)</f>
        <v>29134</v>
      </c>
      <c r="AU360" s="27">
        <f ca="1">IFERROR(__xludf.DUMMYFUNCTION("""COMPUTED_VALUE"""),43)</f>
        <v>43</v>
      </c>
      <c r="AV360" s="27">
        <f ca="1">IFERROR(__xludf.DUMMYFUNCTION("""COMPUTED_VALUE"""),51840782234)</f>
        <v>51840782234</v>
      </c>
      <c r="AW360" s="27">
        <f ca="1">IFERROR(__xludf.DUMMYFUNCTION("""COMPUTED_VALUE"""),4093599)</f>
        <v>4093599</v>
      </c>
      <c r="AX360" s="27" t="str">
        <f ca="1">IFERROR(__xludf.DUMMYFUNCTION("""COMPUTED_VALUE"""),"cursando tecnico enfermagem")</f>
        <v>cursando tecnico enfermagem</v>
      </c>
      <c r="AY360" s="27"/>
      <c r="AZ360" s="27" t="str">
        <f ca="1">IFERROR(__xludf.DUMMYFUNCTION("""COMPUTED_VALUE"""),"P")</f>
        <v>P</v>
      </c>
      <c r="BA360" s="27"/>
      <c r="BB360" s="27"/>
      <c r="BC360" s="27" t="str">
        <f ca="1">IFERROR(__xludf.DUMMYFUNCTION("""COMPUTED_VALUE"""),"Sim")</f>
        <v>Sim</v>
      </c>
      <c r="BD360" s="27" t="str">
        <f ca="1">IFERROR(__xludf.DUMMYFUNCTION("""COMPUTED_VALUE"""),"A história do Instituto se mistura com a história da líder Ana Paula Silva de Souza, idealizadora e CEO do Instituto Família Criativa do Campo. Natural de Fortaleza, teve uma infância marcada por dificuldades. Após ser vítima de violência doméstica, agres"&amp;"sões e abusos do pai, Ana Paula decidiu ir morar sozinha ainda aos 9 anos. Esteve em situação de rua até os 15 e, enquanto as probabilidades a deixavam sem alternativas, ela começou a mudar sua própria realidade.")</f>
        <v>A história do Instituto se mistura com a história da líder Ana Paula Silva de Souza, idealizadora e CEO do Instituto Família Criativa do Campo. Natural de Fortaleza, teve uma infância marcada por dificuldades. Após ser vítima de violência doméstica, agressões e abusos do pai, Ana Paula decidiu ir morar sozinha ainda aos 9 anos. Esteve em situação de rua até os 15 e, enquanto as probabilidades a deixavam sem alternativas, ela começou a mudar sua própria realidade.</v>
      </c>
      <c r="BE360" s="27"/>
      <c r="BF360" s="27"/>
      <c r="BG360" s="27" t="str">
        <f ca="1">IFERROR(__xludf.DUMMYFUNCTION("""COMPUTED_VALUE"""),"Ensino Médio - Completo")</f>
        <v>Ensino Médio - Completo</v>
      </c>
      <c r="BH360" s="27"/>
      <c r="BI360" s="27"/>
      <c r="BJ360" s="27"/>
      <c r="BK360" s="27" t="str">
        <f ca="1">IFERROR(__xludf.DUMMYFUNCTION("""COMPUTED_VALUE"""),"R. Maria Ivone Campos")</f>
        <v>R. Maria Ivone Campos</v>
      </c>
      <c r="BL360" s="27">
        <f ca="1">IFERROR(__xludf.DUMMYFUNCTION("""COMPUTED_VALUE"""),104)</f>
        <v>104</v>
      </c>
      <c r="BM360" s="27" t="str">
        <f ca="1">IFERROR(__xludf.DUMMYFUNCTION("""COMPUTED_VALUE"""),"Assentamento Passagem do Juazeiro")</f>
        <v>Assentamento Passagem do Juazeiro</v>
      </c>
      <c r="BN360" s="27" t="str">
        <f ca="1">IFERROR(__xludf.DUMMYFUNCTION("""COMPUTED_VALUE"""),"Senador Elói de Souza")</f>
        <v>Senador Elói de Souza</v>
      </c>
      <c r="BO360" s="27" t="str">
        <f ca="1">IFERROR(__xludf.DUMMYFUNCTION("""COMPUTED_VALUE"""),"59250-000")</f>
        <v>59250-000</v>
      </c>
      <c r="BP360" s="27" t="str">
        <f ca="1">IFERROR(__xludf.DUMMYFUNCTION("""COMPUTED_VALUE"""),"RN")</f>
        <v>RN</v>
      </c>
      <c r="BQ360" s="27" t="str">
        <f ca="1">IFERROR(__xludf.DUMMYFUNCTION("""COMPUTED_VALUE"""),"Entre 1 até 3 salários mínimos")</f>
        <v>Entre 1 até 3 salários mínimos</v>
      </c>
      <c r="BR360" s="27" t="str">
        <f ca="1">IFERROR(__xludf.DUMMYFUNCTION("""COMPUTED_VALUE"""),"Desempregado")</f>
        <v>Desempregado</v>
      </c>
      <c r="BS360" s="27" t="str">
        <f ca="1">IFERROR(__xludf.DUMMYFUNCTION("""COMPUTED_VALUE"""),"Assentamento")</f>
        <v>Assentamento</v>
      </c>
      <c r="BT360" s="27">
        <f ca="1">IFERROR(__xludf.DUMMYFUNCTION("""COMPUTED_VALUE"""),5)</f>
        <v>5</v>
      </c>
      <c r="BU360" s="27"/>
      <c r="BV360" s="27"/>
      <c r="BW360" s="21" t="str">
        <f ca="1">IFERROR(__xludf.DUMMYFUNCTION("""COMPUTED_VALUE"""),"https://www.linkedin.com/in/ana-paula-de-souza-5b7a7b216/")</f>
        <v>https://www.linkedin.com/in/ana-paula-de-souza-5b7a7b216/</v>
      </c>
      <c r="BX360" s="21" t="str">
        <f ca="1">IFERROR(__xludf.DUMMYFUNCTION("""COMPUTED_VALUE"""),"https://www.instagram.com/anapaulasouza_rn/")</f>
        <v>https://www.instagram.com/anapaulasouza_rn/</v>
      </c>
      <c r="BY360" s="21" t="str">
        <f ca="1">IFERROR(__xludf.DUMMYFUNCTION("""COMPUTED_VALUE"""),"https://drive.google.com/open?id=1WC5XX3ZVNeAUzSqrW9n9PbtAnflJkpq3")</f>
        <v>https://drive.google.com/open?id=1WC5XX3ZVNeAUzSqrW9n9PbtAnflJkpq3</v>
      </c>
    </row>
    <row r="361" spans="1:77" ht="12.5" x14ac:dyDescent="0.25">
      <c r="A361" s="21" t="str">
        <f ca="1">IFERROR(__xludf.DUMMYFUNCTION("""COMPUTED_VALUE"""),"0014P00003YSp9TQAT")</f>
        <v>0014P00003YSp9TQAT</v>
      </c>
      <c r="B361" s="27" t="str">
        <f ca="1">IFERROR(__xludf.DUMMYFUNCTION("""COMPUTED_VALUE"""),"Fase Inicial")</f>
        <v>Fase Inicial</v>
      </c>
      <c r="C361" s="27" t="str">
        <f ca="1">IFERROR(__xludf.DUMMYFUNCTION("""COMPUTED_VALUE"""),"Fellow")</f>
        <v>Fellow</v>
      </c>
      <c r="D361" s="27" t="str">
        <f ca="1">IFERROR(__xludf.DUMMYFUNCTION("""COMPUTED_VALUE"""),"Ativo")</f>
        <v>Ativo</v>
      </c>
      <c r="E361" s="27" t="str">
        <f ca="1">IFERROR(__xludf.DUMMYFUNCTION("""COMPUTED_VALUE"""),"Instituto Feliz Cidade")</f>
        <v>Instituto Feliz Cidade</v>
      </c>
      <c r="F361" s="27" t="str">
        <f ca="1">IFERROR(__xludf.DUMMYFUNCTION("""COMPUTED_VALUE"""),"Rogerio")</f>
        <v>Rogerio</v>
      </c>
      <c r="G361" s="27"/>
      <c r="H361" s="27" t="str">
        <f ca="1">IFERROR(__xludf.DUMMYFUNCTION("""COMPUTED_VALUE"""),"35.688.775/0001-86")</f>
        <v>35.688.775/0001-86</v>
      </c>
      <c r="I361" s="27" t="str">
        <f ca="1">IFERROR(__xludf.DUMMYFUNCTION("""COMPUTED_VALUE"""),"Rogério Fernandes")</f>
        <v>Rogério Fernandes</v>
      </c>
      <c r="J361" s="27" t="str">
        <f ca="1">IFERROR(__xludf.DUMMYFUNCTION("""COMPUTED_VALUE"""),"onginstitutofelizcidade@gmail.com")</f>
        <v>onginstitutofelizcidade@gmail.com</v>
      </c>
      <c r="K361" s="27" t="str">
        <f ca="1">IFERROR(__xludf.DUMMYFUNCTION("""COMPUTED_VALUE"""),"(13)99613-2034")</f>
        <v>(13)99613-2034</v>
      </c>
      <c r="L361" s="27" t="str">
        <f ca="1">IFERROR(__xludf.DUMMYFUNCTION("""COMPUTED_VALUE"""),"SP")</f>
        <v>SP</v>
      </c>
      <c r="M361" s="27" t="str">
        <f ca="1">IFERROR(__xludf.DUMMYFUNCTION("""COMPUTED_VALUE"""),"Angelo Ponsoni")</f>
        <v>Angelo Ponsoni</v>
      </c>
      <c r="N361" s="27" t="str">
        <f ca="1">IFERROR(__xludf.DUMMYFUNCTION("""COMPUTED_VALUE"""),"Jardim das Acacias")</f>
        <v>Jardim das Acacias</v>
      </c>
      <c r="O361" s="27">
        <f ca="1">IFERROR(__xludf.DUMMYFUNCTION("""COMPUTED_VALUE"""),392)</f>
        <v>392</v>
      </c>
      <c r="P361" s="27" t="str">
        <f ca="1">IFERROR(__xludf.DUMMYFUNCTION("""COMPUTED_VALUE"""),"Pariquera-Açu")</f>
        <v>Pariquera-Açu</v>
      </c>
      <c r="Q361" s="27" t="str">
        <f ca="1">IFERROR(__xludf.DUMMYFUNCTION("""COMPUTED_VALUE"""),"Sala 2")</f>
        <v>Sala 2</v>
      </c>
      <c r="R361" s="27" t="str">
        <f ca="1">IFERROR(__xludf.DUMMYFUNCTION("""COMPUTED_VALUE"""),"11930-000")</f>
        <v>11930-000</v>
      </c>
      <c r="S361" s="27"/>
      <c r="T361" s="27" t="str">
        <f ca="1">IFERROR(__xludf.DUMMYFUNCTION("""COMPUTED_VALUE"""),"Esporte; Educação; Empregabilidade; Assistência Social; Cultura; Qualificação Profissional; Meio ambiente")</f>
        <v>Esporte; Educação; Empregabilidade; Assistência Social; Cultura; Qualificação Profissional; Meio ambiente</v>
      </c>
      <c r="U361" s="27" t="str">
        <f ca="1">IFERROR(__xludf.DUMMYFUNCTION("""COMPUTED_VALUE"""),"Crianças bem pequenas (1 ano e 7 meses até 3 anos e 11 meses); Crianças pequenas (4 anos a 5 anos e 11 meses); Crianças (6 a 12 anos); Adolescentes (12 aos 18 anos); Jovens (18 aos 24 anos); Adultos")</f>
        <v>Crianças bem pequenas (1 ano e 7 meses até 3 anos e 11 meses); Crianças pequenas (4 anos a 5 anos e 11 meses); Crianças (6 a 12 anos); Adolescentes (12 aos 18 anos); Jovens (18 aos 24 anos); Adultos</v>
      </c>
      <c r="V361" s="27" t="str">
        <f ca="1">IFERROR(__xludf.DUMMYFUNCTION("""COMPUTED_VALUE"""),"Moradores de Favelas; Pessoas em situação de rua")</f>
        <v>Moradores de Favelas; Pessoas em situação de rua</v>
      </c>
      <c r="W361" s="27">
        <f ca="1">IFERROR(__xludf.DUMMYFUNCTION("""COMPUTED_VALUE"""),14)</f>
        <v>14</v>
      </c>
      <c r="X361" s="27"/>
      <c r="Y361" s="27"/>
      <c r="Z361" s="27">
        <f ca="1">IFERROR(__xludf.DUMMYFUNCTION("""COMPUTED_VALUE"""),3000)</f>
        <v>3000</v>
      </c>
      <c r="AA361" s="29">
        <f ca="1">IFERROR(__xludf.DUMMYFUNCTION("""COMPUTED_VALUE"""),43601)</f>
        <v>43601</v>
      </c>
      <c r="AB361" s="27" t="str">
        <f ca="1">IFERROR(__xludf.DUMMYFUNCTION("""COMPUTED_VALUE"""),"Sim")</f>
        <v>Sim</v>
      </c>
      <c r="AC361" s="27">
        <f ca="1">IFERROR(__xludf.DUMMYFUNCTION("""COMPUTED_VALUE"""),0)</f>
        <v>0</v>
      </c>
      <c r="AD361" s="27">
        <f ca="1">IFERROR(__xludf.DUMMYFUNCTION("""COMPUTED_VALUE"""),0)</f>
        <v>0</v>
      </c>
      <c r="AE361" s="27">
        <f ca="1">IFERROR(__xludf.DUMMYFUNCTION("""COMPUTED_VALUE"""),30)</f>
        <v>30</v>
      </c>
      <c r="AF361" s="27">
        <f ca="1">IFERROR(__xludf.DUMMYFUNCTION("""COMPUTED_VALUE"""),25)</f>
        <v>25</v>
      </c>
      <c r="AG361" s="27">
        <f ca="1">IFERROR(__xludf.DUMMYFUNCTION("""COMPUTED_VALUE"""),5)</f>
        <v>5</v>
      </c>
      <c r="AH361" s="27" t="str">
        <f ca="1">IFERROR(__xludf.DUMMYFUNCTION("""COMPUTED_VALUE"""),"Negócio Social; Eventos/Ações para captação; Parceria iniciativa privada; Doações; Recursos próprios")</f>
        <v>Negócio Social; Eventos/Ações para captação; Parceria iniciativa privada; Doações; Recursos próprios</v>
      </c>
      <c r="AI361" s="27">
        <f ca="1">IFERROR(__xludf.DUMMYFUNCTION("""COMPUTED_VALUE"""),0)</f>
        <v>0</v>
      </c>
      <c r="AJ361" s="27"/>
      <c r="AK361" s="27"/>
      <c r="AL361" s="21" t="str">
        <f ca="1">IFERROR(__xludf.DUMMYFUNCTION("""COMPUTED_VALUE"""),"0034P000045kxk5")</f>
        <v>0034P000045kxk5</v>
      </c>
      <c r="AM361" s="27" t="str">
        <f ca="1">IFERROR(__xludf.DUMMYFUNCTION("""COMPUTED_VALUE"""),"Fernandes")</f>
        <v>Fernandes</v>
      </c>
      <c r="AN361" s="27" t="str">
        <f ca="1">IFERROR(__xludf.DUMMYFUNCTION("""COMPUTED_VALUE"""),"Ativo")</f>
        <v>Ativo</v>
      </c>
      <c r="AO361" s="29">
        <f ca="1">IFERROR(__xludf.DUMMYFUNCTION("""COMPUTED_VALUE"""),44551)</f>
        <v>44551</v>
      </c>
      <c r="AP361" s="27">
        <f ca="1">IFERROR(__xludf.DUMMYFUNCTION("""COMPUTED_VALUE"""),9)</f>
        <v>9</v>
      </c>
      <c r="AQ361" s="27" t="str">
        <f ca="1">IFERROR(__xludf.DUMMYFUNCTION("""COMPUTED_VALUE"""),"Segundo Semestre 2021")</f>
        <v>Segundo Semestre 2021</v>
      </c>
      <c r="AR361" s="27" t="str">
        <f ca="1">IFERROR(__xludf.DUMMYFUNCTION("""COMPUTED_VALUE"""),"rogeriorofer@gmail.com")</f>
        <v>rogeriorofer@gmail.com</v>
      </c>
      <c r="AS361" s="27" t="str">
        <f ca="1">IFERROR(__xludf.DUMMYFUNCTION("""COMPUTED_VALUE"""),"(13)99613-2034")</f>
        <v>(13)99613-2034</v>
      </c>
      <c r="AT361" s="29">
        <f ca="1">IFERROR(__xludf.DUMMYFUNCTION("""COMPUTED_VALUE"""),31183)</f>
        <v>31183</v>
      </c>
      <c r="AU361" s="27">
        <f ca="1">IFERROR(__xludf.DUMMYFUNCTION("""COMPUTED_VALUE"""),37)</f>
        <v>37</v>
      </c>
      <c r="AV361" s="27">
        <f ca="1">IFERROR(__xludf.DUMMYFUNCTION("""COMPUTED_VALUE"""),31906991863)</f>
        <v>31906991863</v>
      </c>
      <c r="AW361" s="27">
        <f ca="1">IFERROR(__xludf.DUMMYFUNCTION("""COMPUTED_VALUE"""),324415011)</f>
        <v>324415011</v>
      </c>
      <c r="AX361" s="27"/>
      <c r="AY361" s="27"/>
      <c r="AZ361" s="27" t="str">
        <f ca="1">IFERROR(__xludf.DUMMYFUNCTION("""COMPUTED_VALUE"""),"M")</f>
        <v>M</v>
      </c>
      <c r="BA361" s="27" t="str">
        <f ca="1">IFERROR(__xludf.DUMMYFUNCTION("""COMPUTED_VALUE"""),"Branca")</f>
        <v>Branca</v>
      </c>
      <c r="BB361" s="27" t="str">
        <f ca="1">IFERROR(__xludf.DUMMYFUNCTION("""COMPUTED_VALUE"""),"Homem, cisgênero")</f>
        <v>Homem, cisgênero</v>
      </c>
      <c r="BC361" s="27" t="str">
        <f ca="1">IFERROR(__xludf.DUMMYFUNCTION("""COMPUTED_VALUE"""),"Não")</f>
        <v>Não</v>
      </c>
      <c r="BD361" s="27" t="str">
        <f ca="1">IFERROR(__xludf.DUMMYFUNCTION("""COMPUTED_VALUE"""),"Sou Rogério Fernandes, filho do Marcos e Eliane, tenho 36 anos, nascido em São Paulo (Capital), cresci na Zona Sul (Capão Redondo, Jd Ângela), mudei para Pariquera-Açu (Vale do Ribeira) em 1997, sou casado com Gislene e tenho dois filhos, Stephani de 20 a"&amp;"nos (primeiro casamento) e Gustavo de 1 ano. Sou avô da Beatrice de 2 anos. Sou católico, palmeirense e trabalho como chefe de tesouraria no Consaúde (hospital), onde estou há 19 anos, sou formado em Gestão Financeira pela UNISA.")</f>
        <v>Sou Rogério Fernandes, filho do Marcos e Eliane, tenho 36 anos, nascido em São Paulo (Capital), cresci na Zona Sul (Capão Redondo, Jd Ângela), mudei para Pariquera-Açu (Vale do Ribeira) em 1997, sou casado com Gislene e tenho dois filhos, Stephani de 20 anos (primeiro casamento) e Gustavo de 1 ano. Sou avô da Beatrice de 2 anos. Sou católico, palmeirense e trabalho como chefe de tesouraria no Consaúde (hospital), onde estou há 19 anos, sou formado em Gestão Financeira pela UNISA.</v>
      </c>
      <c r="BE361" s="27"/>
      <c r="BF361" s="27" t="str">
        <f ca="1">IFERROR(__xludf.DUMMYFUNCTION("""COMPUTED_VALUE"""),"Heterossexual")</f>
        <v>Heterossexual</v>
      </c>
      <c r="BG361" s="27" t="str">
        <f ca="1">IFERROR(__xludf.DUMMYFUNCTION("""COMPUTED_VALUE"""),"Ensino Superior - Completo")</f>
        <v>Ensino Superior - Completo</v>
      </c>
      <c r="BH361" s="27" t="str">
        <f ca="1">IFERROR(__xludf.DUMMYFUNCTION("""COMPUTED_VALUE"""),"Público")</f>
        <v>Público</v>
      </c>
      <c r="BI361" s="27" t="str">
        <f ca="1">IFERROR(__xludf.DUMMYFUNCTION("""COMPUTED_VALUE"""),"Graduação")</f>
        <v>Graduação</v>
      </c>
      <c r="BJ361" s="27" t="str">
        <f ca="1">IFERROR(__xludf.DUMMYFUNCTION("""COMPUTED_VALUE"""),"Privado")</f>
        <v>Privado</v>
      </c>
      <c r="BK361" s="27" t="str">
        <f ca="1">IFERROR(__xludf.DUMMYFUNCTION("""COMPUTED_VALUE"""),"Narciso Adrião")</f>
        <v>Narciso Adrião</v>
      </c>
      <c r="BL361" s="27">
        <f ca="1">IFERROR(__xludf.DUMMYFUNCTION("""COMPUTED_VALUE"""),401)</f>
        <v>401</v>
      </c>
      <c r="BM361" s="27" t="str">
        <f ca="1">IFERROR(__xludf.DUMMYFUNCTION("""COMPUTED_VALUE"""),"Casa")</f>
        <v>Casa</v>
      </c>
      <c r="BN361" s="27" t="str">
        <f ca="1">IFERROR(__xludf.DUMMYFUNCTION("""COMPUTED_VALUE"""),"Pariquera-Açu")</f>
        <v>Pariquera-Açu</v>
      </c>
      <c r="BO361" s="27" t="str">
        <f ca="1">IFERROR(__xludf.DUMMYFUNCTION("""COMPUTED_VALUE"""),"11930-000")</f>
        <v>11930-000</v>
      </c>
      <c r="BP361" s="27" t="str">
        <f ca="1">IFERROR(__xludf.DUMMYFUNCTION("""COMPUTED_VALUE"""),"SP")</f>
        <v>SP</v>
      </c>
      <c r="BQ361" s="27" t="str">
        <f ca="1">IFERROR(__xludf.DUMMYFUNCTION("""COMPUTED_VALUE"""),"De 3 até 5 salários mínimos")</f>
        <v>De 3 até 5 salários mínimos</v>
      </c>
      <c r="BR361" s="27" t="str">
        <f ca="1">IFERROR(__xludf.DUMMYFUNCTION("""COMPUTED_VALUE"""),"CLT")</f>
        <v>CLT</v>
      </c>
      <c r="BS361" s="27" t="str">
        <f ca="1">IFERROR(__xludf.DUMMYFUNCTION("""COMPUTED_VALUE"""),"Casa própria")</f>
        <v>Casa própria</v>
      </c>
      <c r="BT361" s="27">
        <f ca="1">IFERROR(__xludf.DUMMYFUNCTION("""COMPUTED_VALUE"""),3)</f>
        <v>3</v>
      </c>
      <c r="BU361" s="27" t="str">
        <f ca="1">IFERROR(__xludf.DUMMYFUNCTION("""COMPUTED_VALUE"""),"Não tem")</f>
        <v>Não tem</v>
      </c>
      <c r="BV361" s="27"/>
      <c r="BW361" s="27"/>
      <c r="BX361" s="27"/>
      <c r="BY361" s="21" t="str">
        <f ca="1">IFERROR(__xludf.DUMMYFUNCTION("""COMPUTED_VALUE"""),"https://drive.google.com/open?id=18AJLVY3WdYRScJ0APoTXYcst3A1emt2l")</f>
        <v>https://drive.google.com/open?id=18AJLVY3WdYRScJ0APoTXYcst3A1emt2l</v>
      </c>
    </row>
    <row r="362" spans="1:77" ht="12.5" x14ac:dyDescent="0.25">
      <c r="A362" s="21" t="str">
        <f ca="1">IFERROR(__xludf.DUMMYFUNCTION("""COMPUTED_VALUE"""),"0014P00003YSp87QAD")</f>
        <v>0014P00003YSp87QAD</v>
      </c>
      <c r="B362" s="27" t="str">
        <f ca="1">IFERROR(__xludf.DUMMYFUNCTION("""COMPUTED_VALUE"""),"Fase Inicial")</f>
        <v>Fase Inicial</v>
      </c>
      <c r="C362" s="27" t="str">
        <f ca="1">IFERROR(__xludf.DUMMYFUNCTION("""COMPUTED_VALUE"""),"Fellow")</f>
        <v>Fellow</v>
      </c>
      <c r="D362" s="27" t="str">
        <f ca="1">IFERROR(__xludf.DUMMYFUNCTION("""COMPUTED_VALUE"""),"Ativo")</f>
        <v>Ativo</v>
      </c>
      <c r="E362" s="27" t="str">
        <f ca="1">IFERROR(__xludf.DUMMYFUNCTION("""COMPUTED_VALUE"""),"Instituto Floriano Peçanha dos Santos")</f>
        <v>Instituto Floriano Peçanha dos Santos</v>
      </c>
      <c r="F362" s="27" t="str">
        <f ca="1">IFERROR(__xludf.DUMMYFUNCTION("""COMPUTED_VALUE"""),"Thalita")</f>
        <v>Thalita</v>
      </c>
      <c r="G362" s="27"/>
      <c r="H362" s="27" t="str">
        <f ca="1">IFERROR(__xludf.DUMMYFUNCTION("""COMPUTED_VALUE"""),"24.040.023/0001-98")</f>
        <v>24.040.023/0001-98</v>
      </c>
      <c r="I362" s="27" t="str">
        <f ca="1">IFERROR(__xludf.DUMMYFUNCTION("""COMPUTED_VALUE"""),"Cesar Augusto de Siervi")</f>
        <v>Cesar Augusto de Siervi</v>
      </c>
      <c r="J362" s="27" t="str">
        <f ca="1">IFERROR(__xludf.DUMMYFUNCTION("""COMPUTED_VALUE"""),"adm@ifps.org.br")</f>
        <v>adm@ifps.org.br</v>
      </c>
      <c r="K362" s="27" t="str">
        <f ca="1">IFERROR(__xludf.DUMMYFUNCTION("""COMPUTED_VALUE"""),"(21)96419-8866")</f>
        <v>(21)96419-8866</v>
      </c>
      <c r="L362" s="27" t="str">
        <f ca="1">IFERROR(__xludf.DUMMYFUNCTION("""COMPUTED_VALUE"""),"RJ")</f>
        <v>RJ</v>
      </c>
      <c r="M362" s="27" t="str">
        <f ca="1">IFERROR(__xludf.DUMMYFUNCTION("""COMPUTED_VALUE"""),"Rua da Quitanda")</f>
        <v>Rua da Quitanda</v>
      </c>
      <c r="N362" s="27" t="str">
        <f ca="1">IFERROR(__xludf.DUMMYFUNCTION("""COMPUTED_VALUE"""),"Centro")</f>
        <v>Centro</v>
      </c>
      <c r="O362" s="27">
        <f ca="1">IFERROR(__xludf.DUMMYFUNCTION("""COMPUTED_VALUE"""),52)</f>
        <v>52</v>
      </c>
      <c r="P362" s="27" t="str">
        <f ca="1">IFERROR(__xludf.DUMMYFUNCTION("""COMPUTED_VALUE"""),"Rio de Janeiro")</f>
        <v>Rio de Janeiro</v>
      </c>
      <c r="Q362" s="27" t="str">
        <f ca="1">IFERROR(__xludf.DUMMYFUNCTION("""COMPUTED_VALUE"""),"17°andar (parte)")</f>
        <v>17°andar (parte)</v>
      </c>
      <c r="R362" s="27" t="str">
        <f ca="1">IFERROR(__xludf.DUMMYFUNCTION("""COMPUTED_VALUE"""),"20011-030")</f>
        <v>20011-030</v>
      </c>
      <c r="S362" s="27"/>
      <c r="T362" s="27" t="str">
        <f ca="1">IFERROR(__xludf.DUMMYFUNCTION("""COMPUTED_VALUE"""),"Educação; Assistência Social; Cultura")</f>
        <v>Educação; Assistência Social; Cultura</v>
      </c>
      <c r="U362" s="27" t="str">
        <f ca="1">IFERROR(__xludf.DUMMYFUNCTION("""COMPUTED_VALUE"""),"Crianças (6 a 12 anos); Adolescentes (12 aos 18 anos); Adultos")</f>
        <v>Crianças (6 a 12 anos); Adolescentes (12 aos 18 anos); Adultos</v>
      </c>
      <c r="V362" s="27" t="str">
        <f ca="1">IFERROR(__xludf.DUMMYFUNCTION("""COMPUTED_VALUE"""),"Moradores de Favelas")</f>
        <v>Moradores de Favelas</v>
      </c>
      <c r="W362" s="27">
        <f ca="1">IFERROR(__xludf.DUMMYFUNCTION("""COMPUTED_VALUE"""),3)</f>
        <v>3</v>
      </c>
      <c r="X362" s="27"/>
      <c r="Y362" s="27"/>
      <c r="Z362" s="27">
        <f ca="1">IFERROR(__xludf.DUMMYFUNCTION("""COMPUTED_VALUE"""),400)</f>
        <v>400</v>
      </c>
      <c r="AA362" s="29">
        <f ca="1">IFERROR(__xludf.DUMMYFUNCTION("""COMPUTED_VALUE"""),42231)</f>
        <v>42231</v>
      </c>
      <c r="AB362" s="27" t="str">
        <f ca="1">IFERROR(__xludf.DUMMYFUNCTION("""COMPUTED_VALUE"""),"Sim")</f>
        <v>Sim</v>
      </c>
      <c r="AC362" s="27">
        <f ca="1">IFERROR(__xludf.DUMMYFUNCTION("""COMPUTED_VALUE"""),19)</f>
        <v>19</v>
      </c>
      <c r="AD362" s="27">
        <f ca="1">IFERROR(__xludf.DUMMYFUNCTION("""COMPUTED_VALUE"""),19)</f>
        <v>19</v>
      </c>
      <c r="AE362" s="27">
        <f ca="1">IFERROR(__xludf.DUMMYFUNCTION("""COMPUTED_VALUE"""),2)</f>
        <v>2</v>
      </c>
      <c r="AF362" s="27">
        <f ca="1">IFERROR(__xludf.DUMMYFUNCTION("""COMPUTED_VALUE"""),2)</f>
        <v>2</v>
      </c>
      <c r="AG362" s="27">
        <f ca="1">IFERROR(__xludf.DUMMYFUNCTION("""COMPUTED_VALUE"""),2)</f>
        <v>2</v>
      </c>
      <c r="AH362" s="27" t="str">
        <f ca="1">IFERROR(__xludf.DUMMYFUNCTION("""COMPUTED_VALUE"""),"Outro(s); Doações")</f>
        <v>Outro(s); Doações</v>
      </c>
      <c r="AI362" s="27" t="str">
        <f ca="1">IFERROR(__xludf.DUMMYFUNCTION("""COMPUTED_VALUE"""),"90% Termo de Cooperação / 10% Doação Pessoas Física e Jurídica")</f>
        <v>90% Termo de Cooperação / 10% Doação Pessoas Física e Jurídica</v>
      </c>
      <c r="AJ362" s="27"/>
      <c r="AK362" s="27"/>
      <c r="AL362" s="21" t="str">
        <f ca="1">IFERROR(__xludf.DUMMYFUNCTION("""COMPUTED_VALUE"""),"0034P000045kxii")</f>
        <v>0034P000045kxii</v>
      </c>
      <c r="AM362" s="27" t="str">
        <f ca="1">IFERROR(__xludf.DUMMYFUNCTION("""COMPUTED_VALUE"""),"Oliveira De Almeida Garcia")</f>
        <v>Oliveira De Almeida Garcia</v>
      </c>
      <c r="AN362" s="27" t="str">
        <f ca="1">IFERROR(__xludf.DUMMYFUNCTION("""COMPUTED_VALUE"""),"Ativo")</f>
        <v>Ativo</v>
      </c>
      <c r="AO362" s="30">
        <f ca="1">IFERROR(__xludf.DUMMYFUNCTION("""COMPUTED_VALUE"""),44551)</f>
        <v>44551</v>
      </c>
      <c r="AP362" s="27">
        <f ca="1">IFERROR(__xludf.DUMMYFUNCTION("""COMPUTED_VALUE"""),9)</f>
        <v>9</v>
      </c>
      <c r="AQ362" s="27" t="str">
        <f ca="1">IFERROR(__xludf.DUMMYFUNCTION("""COMPUTED_VALUE"""),"Segundo Semestre 2021")</f>
        <v>Segundo Semestre 2021</v>
      </c>
      <c r="AR362" s="27" t="str">
        <f ca="1">IFERROR(__xludf.DUMMYFUNCTION("""COMPUTED_VALUE"""),"thalitaoliveiragarcia@gmail.com")</f>
        <v>thalitaoliveiragarcia@gmail.com</v>
      </c>
      <c r="AS362" s="27" t="str">
        <f ca="1">IFERROR(__xludf.DUMMYFUNCTION("""COMPUTED_VALUE"""),"(21)96419-8866")</f>
        <v>(21)96419-8866</v>
      </c>
      <c r="AT362" s="29">
        <f ca="1">IFERROR(__xludf.DUMMYFUNCTION("""COMPUTED_VALUE"""),31172)</f>
        <v>31172</v>
      </c>
      <c r="AU362" s="27">
        <f ca="1">IFERROR(__xludf.DUMMYFUNCTION("""COMPUTED_VALUE"""),37)</f>
        <v>37</v>
      </c>
      <c r="AV362" s="27">
        <f ca="1">IFERROR(__xludf.DUMMYFUNCTION("""COMPUTED_VALUE"""),10193017750)</f>
        <v>10193017750</v>
      </c>
      <c r="AW362" s="27">
        <f ca="1">IFERROR(__xludf.DUMMYFUNCTION("""COMPUTED_VALUE"""),118276120)</f>
        <v>118276120</v>
      </c>
      <c r="AX362" s="27"/>
      <c r="AY362" s="27"/>
      <c r="AZ362" s="27" t="str">
        <f ca="1">IFERROR(__xludf.DUMMYFUNCTION("""COMPUTED_VALUE"""),"P")</f>
        <v>P</v>
      </c>
      <c r="BA362" s="27" t="str">
        <f ca="1">IFERROR(__xludf.DUMMYFUNCTION("""COMPUTED_VALUE"""),"Preta")</f>
        <v>Preta</v>
      </c>
      <c r="BB362" s="27" t="str">
        <f ca="1">IFERROR(__xludf.DUMMYFUNCTION("""COMPUTED_VALUE"""),"Mulher, cisgênero")</f>
        <v>Mulher, cisgênero</v>
      </c>
      <c r="BC362" s="27" t="str">
        <f ca="1">IFERROR(__xludf.DUMMYFUNCTION("""COMPUTED_VALUE"""),"Sim")</f>
        <v>Sim</v>
      </c>
      <c r="BD362" s="27" t="str">
        <f ca="1">IFERROR(__xludf.DUMMYFUNCTION("""COMPUTED_VALUE"""),"Trabalho desde 2010 na área social, com atuações em Núcleos de Responsabilidades, onde começou como assistente de Programas Sociais. Sou graduada em Pedagogia pela UERJ e MBA em Gestão Estratégica de Responsabilidade Socioambiental e atualmente curso MBA "&amp;"em Gestão de Projetos. Conta com habilidades de gerenciamento de unidades, elaboração, monitoramento, supervisão e avaliação de projetos e programas sociais e atuação no acompanhamento pedagógico e de atendimento as famílias.")</f>
        <v>Trabalho desde 2010 na área social, com atuações em Núcleos de Responsabilidades, onde começou como assistente de Programas Sociais. Sou graduada em Pedagogia pela UERJ e MBA em Gestão Estratégica de Responsabilidade Socioambiental e atualmente curso MBA em Gestão de Projetos. Conta com habilidades de gerenciamento de unidades, elaboração, monitoramento, supervisão e avaliação de projetos e programas sociais e atuação no acompanhamento pedagógico e de atendimento as famílias.</v>
      </c>
      <c r="BE362" s="27"/>
      <c r="BF362" s="27" t="str">
        <f ca="1">IFERROR(__xludf.DUMMYFUNCTION("""COMPUTED_VALUE"""),"Heterossexual")</f>
        <v>Heterossexual</v>
      </c>
      <c r="BG362" s="27" t="str">
        <f ca="1">IFERROR(__xludf.DUMMYFUNCTION("""COMPUTED_VALUE"""),"Ensino Superior - Completo")</f>
        <v>Ensino Superior - Completo</v>
      </c>
      <c r="BH362" s="27" t="str">
        <f ca="1">IFERROR(__xludf.DUMMYFUNCTION("""COMPUTED_VALUE"""),"Privado")</f>
        <v>Privado</v>
      </c>
      <c r="BI362" s="27" t="str">
        <f ca="1">IFERROR(__xludf.DUMMYFUNCTION("""COMPUTED_VALUE"""),"Pós-Graduação")</f>
        <v>Pós-Graduação</v>
      </c>
      <c r="BJ362" s="27" t="str">
        <f ca="1">IFERROR(__xludf.DUMMYFUNCTION("""COMPUTED_VALUE"""),"Público")</f>
        <v>Público</v>
      </c>
      <c r="BK362" s="27" t="str">
        <f ca="1">IFERROR(__xludf.DUMMYFUNCTION("""COMPUTED_VALUE"""),"Avenida Vice Presidente Jose de Alencar")</f>
        <v>Avenida Vice Presidente Jose de Alencar</v>
      </c>
      <c r="BL362" s="27">
        <f ca="1">IFERROR(__xludf.DUMMYFUNCTION("""COMPUTED_VALUE"""),1400)</f>
        <v>1400</v>
      </c>
      <c r="BM362" s="27" t="str">
        <f ca="1">IFERROR(__xludf.DUMMYFUNCTION("""COMPUTED_VALUE"""),"bloco 2 apt 102")</f>
        <v>bloco 2 apt 102</v>
      </c>
      <c r="BN362" s="27" t="str">
        <f ca="1">IFERROR(__xludf.DUMMYFUNCTION("""COMPUTED_VALUE"""),"Rio de Janeiro")</f>
        <v>Rio de Janeiro</v>
      </c>
      <c r="BO362" s="27" t="str">
        <f ca="1">IFERROR(__xludf.DUMMYFUNCTION("""COMPUTED_VALUE"""),"22775-033")</f>
        <v>22775-033</v>
      </c>
      <c r="BP362" s="27" t="str">
        <f ca="1">IFERROR(__xludf.DUMMYFUNCTION("""COMPUTED_VALUE"""),"RJ")</f>
        <v>RJ</v>
      </c>
      <c r="BQ362" s="27" t="str">
        <f ca="1">IFERROR(__xludf.DUMMYFUNCTION("""COMPUTED_VALUE"""),"Entre 1 até 3 salários mínimos")</f>
        <v>Entre 1 até 3 salários mínimos</v>
      </c>
      <c r="BR362" s="27" t="str">
        <f ca="1">IFERROR(__xludf.DUMMYFUNCTION("""COMPUTED_VALUE"""),"MEI")</f>
        <v>MEI</v>
      </c>
      <c r="BS362" s="27" t="str">
        <f ca="1">IFERROR(__xludf.DUMMYFUNCTION("""COMPUTED_VALUE"""),"Casa própria")</f>
        <v>Casa própria</v>
      </c>
      <c r="BT362" s="27">
        <f ca="1">IFERROR(__xludf.DUMMYFUNCTION("""COMPUTED_VALUE"""),4)</f>
        <v>4</v>
      </c>
      <c r="BU362" s="27" t="str">
        <f ca="1">IFERROR(__xludf.DUMMYFUNCTION("""COMPUTED_VALUE"""),"Não tem")</f>
        <v>Não tem</v>
      </c>
      <c r="BV362" s="27"/>
      <c r="BW362" s="27"/>
      <c r="BX362" s="21" t="str">
        <f ca="1">IFERROR(__xludf.DUMMYFUNCTION("""COMPUTED_VALUE"""),"https://www.instagram.com/thalita_o_garcia/")</f>
        <v>https://www.instagram.com/thalita_o_garcia/</v>
      </c>
      <c r="BY362" s="21" t="str">
        <f ca="1">IFERROR(__xludf.DUMMYFUNCTION("""COMPUTED_VALUE"""),"https://drive.google.com/open?id=1FQn-u5aB9dAV8_kIWDfnz0oRRDP_dTfk")</f>
        <v>https://drive.google.com/open?id=1FQn-u5aB9dAV8_kIWDfnz0oRRDP_dTfk</v>
      </c>
    </row>
    <row r="363" spans="1:77" ht="12.5" x14ac:dyDescent="0.25">
      <c r="A363" s="21" t="str">
        <f ca="1">IFERROR(__xludf.DUMMYFUNCTION("""COMPUTED_VALUE"""),"0014P00003AN2FVQA1")</f>
        <v>0014P00003AN2FVQA1</v>
      </c>
      <c r="B363" s="27" t="str">
        <f ca="1">IFERROR(__xludf.DUMMYFUNCTION("""COMPUTED_VALUE"""),"Fase Avançada")</f>
        <v>Fase Avançada</v>
      </c>
      <c r="C363" s="27" t="str">
        <f ca="1">IFERROR(__xludf.DUMMYFUNCTION("""COMPUTED_VALUE"""),"Fellow")</f>
        <v>Fellow</v>
      </c>
      <c r="D363" s="27" t="str">
        <f ca="1">IFERROR(__xludf.DUMMYFUNCTION("""COMPUTED_VALUE"""),"Ativo")</f>
        <v>Ativo</v>
      </c>
      <c r="E363" s="27" t="str">
        <f ca="1">IFERROR(__xludf.DUMMYFUNCTION("""COMPUTED_VALUE"""),"Instituto Geração 4")</f>
        <v>Instituto Geração 4</v>
      </c>
      <c r="F363" s="27" t="str">
        <f ca="1">IFERROR(__xludf.DUMMYFUNCTION("""COMPUTED_VALUE"""),"Fernando")</f>
        <v>Fernando</v>
      </c>
      <c r="G363" s="27"/>
      <c r="H363" s="27" t="str">
        <f ca="1">IFERROR(__xludf.DUMMYFUNCTION("""COMPUTED_VALUE"""),"14.390.824/0001-20")</f>
        <v>14.390.824/0001-20</v>
      </c>
      <c r="I363" s="27"/>
      <c r="J363" s="27"/>
      <c r="K363" s="27" t="str">
        <f ca="1">IFERROR(__xludf.DUMMYFUNCTION("""COMPUTED_VALUE"""),"(81)99821-9302")</f>
        <v>(81)99821-9302</v>
      </c>
      <c r="L363" s="27" t="str">
        <f ca="1">IFERROR(__xludf.DUMMYFUNCTION("""COMPUTED_VALUE"""),"PE")</f>
        <v>PE</v>
      </c>
      <c r="M363" s="27" t="str">
        <f ca="1">IFERROR(__xludf.DUMMYFUNCTION("""COMPUTED_VALUE"""),"Rua Aurora")</f>
        <v>Rua Aurora</v>
      </c>
      <c r="N363" s="27"/>
      <c r="O363" s="27" t="str">
        <f ca="1">IFERROR(__xludf.DUMMYFUNCTION("""COMPUTED_VALUE"""),"(81)99821-9302")</f>
        <v>(81)99821-9302</v>
      </c>
      <c r="P363" s="27" t="str">
        <f ca="1">IFERROR(__xludf.DUMMYFUNCTION("""COMPUTED_VALUE"""),"Recife")</f>
        <v>Recife</v>
      </c>
      <c r="Q363" s="27"/>
      <c r="R363" s="27" t="str">
        <f ca="1">IFERROR(__xludf.DUMMYFUNCTION("""COMPUTED_VALUE"""),"50050-000")</f>
        <v>50050-000</v>
      </c>
      <c r="S363" s="27" t="str">
        <f ca="1">IFERROR(__xludf.DUMMYFUNCTION("""COMPUTED_VALUE"""),"Praia de Barra de Jangada Rua Padre Nestor de Alencar s/n (JABOATÃO DOS GUARARAPES/PE)
Praia de Maracaípe Porto de Galinhas e Camela (Distritos que fazem parte da cidade de IPOJUCA/PE)")</f>
        <v>Praia de Barra de Jangada Rua Padre Nestor de Alencar s/n (JABOATÃO DOS GUARARAPES/PE)
Praia de Maracaípe Porto de Galinhas e Camela (Distritos que fazem parte da cidade de IPOJUCA/PE)</v>
      </c>
      <c r="T363" s="27" t="str">
        <f ca="1">IFERROR(__xludf.DUMMYFUNCTION("""COMPUTED_VALUE"""),"Esporte; Educação; Assistência Social; Empoderamento Feminino")</f>
        <v>Esporte; Educação; Assistência Social; Empoderamento Feminino</v>
      </c>
      <c r="U363" s="27" t="str">
        <f ca="1">IFERROR(__xludf.DUMMYFUNCTION("""COMPUTED_VALUE"""),"Crianças (6 a 12 anos); Adolescentes (12 aos 18 anos); Jovens (18 aos 24 anos); Adultos")</f>
        <v>Crianças (6 a 12 anos); Adolescentes (12 aos 18 anos); Jovens (18 aos 24 anos); Adultos</v>
      </c>
      <c r="V363" s="27" t="str">
        <f ca="1">IFERROR(__xludf.DUMMYFUNCTION("""COMPUTED_VALUE"""),"Moradores de Favelas")</f>
        <v>Moradores de Favelas</v>
      </c>
      <c r="W363" s="27">
        <f ca="1">IFERROR(__xludf.DUMMYFUNCTION("""COMPUTED_VALUE"""),30)</f>
        <v>30</v>
      </c>
      <c r="X363" s="27"/>
      <c r="Y363" s="27"/>
      <c r="Z363" s="27"/>
      <c r="AA363" s="29">
        <f ca="1">IFERROR(__xludf.DUMMYFUNCTION("""COMPUTED_VALUE"""),40583)</f>
        <v>40583</v>
      </c>
      <c r="AB363" s="27" t="str">
        <f ca="1">IFERROR(__xludf.DUMMYFUNCTION("""COMPUTED_VALUE"""),"Sim")</f>
        <v>Sim</v>
      </c>
      <c r="AC363" s="27">
        <f ca="1">IFERROR(__xludf.DUMMYFUNCTION("""COMPUTED_VALUE"""),22)</f>
        <v>22</v>
      </c>
      <c r="AD363" s="27">
        <f ca="1">IFERROR(__xludf.DUMMYFUNCTION("""COMPUTED_VALUE"""),2)</f>
        <v>2</v>
      </c>
      <c r="AE363" s="27">
        <f ca="1">IFERROR(__xludf.DUMMYFUNCTION("""COMPUTED_VALUE"""),2)</f>
        <v>2</v>
      </c>
      <c r="AF363" s="27">
        <f ca="1">IFERROR(__xludf.DUMMYFUNCTION("""COMPUTED_VALUE"""),0)</f>
        <v>0</v>
      </c>
      <c r="AG363" s="27">
        <f ca="1">IFERROR(__xludf.DUMMYFUNCTION("""COMPUTED_VALUE"""),3)</f>
        <v>3</v>
      </c>
      <c r="AH363" s="27" t="str">
        <f ca="1">IFERROR(__xludf.DUMMYFUNCTION("""COMPUTED_VALUE"""),"Lei de Incentivo; Convênio Público; Editais; Lei Estadual do Esporte")</f>
        <v>Lei de Incentivo; Convênio Público; Editais; Lei Estadual do Esporte</v>
      </c>
      <c r="AI363" s="27" t="str">
        <f ca="1">IFERROR(__xludf.DUMMYFUNCTION("""COMPUTED_VALUE"""),"40% Lei Federal Esporte, 30% Lei Estadual, 30% Convênio Prefeitura")</f>
        <v>40% Lei Federal Esporte, 30% Lei Estadual, 30% Convênio Prefeitura</v>
      </c>
      <c r="AJ363" s="27" t="str">
        <f ca="1">IFERROR(__xludf.DUMMYFUNCTION("""COMPUTED_VALUE"""),"Formos sorteados pelo Patrocinador esse ano e passamos por uma auditoria onde foi tudo aprovado.")</f>
        <v>Formos sorteados pelo Patrocinador esse ano e passamos por uma auditoria onde foi tudo aprovado.</v>
      </c>
      <c r="AK363" s="27" t="str">
        <f ca="1">IFERROR(__xludf.DUMMYFUNCTION("""COMPUTED_VALUE"""),"Não")</f>
        <v>Não</v>
      </c>
      <c r="AL363" s="21" t="str">
        <f ca="1">IFERROR(__xludf.DUMMYFUNCTION("""COMPUTED_VALUE"""),"0034P00003maBUv")</f>
        <v>0034P00003maBUv</v>
      </c>
      <c r="AM363" s="27" t="str">
        <f ca="1">IFERROR(__xludf.DUMMYFUNCTION("""COMPUTED_VALUE"""),"Luiz De Oliveira Valença")</f>
        <v>Luiz De Oliveira Valença</v>
      </c>
      <c r="AN363" s="27" t="str">
        <f ca="1">IFERROR(__xludf.DUMMYFUNCTION("""COMPUTED_VALUE"""),"Ativo")</f>
        <v>Ativo</v>
      </c>
      <c r="AO363" s="30">
        <f ca="1">IFERROR(__xludf.DUMMYFUNCTION("""COMPUTED_VALUE"""),44261)</f>
        <v>44261</v>
      </c>
      <c r="AP363" s="27">
        <f ca="1">IFERROR(__xludf.DUMMYFUNCTION("""COMPUTED_VALUE"""),18)</f>
        <v>18</v>
      </c>
      <c r="AQ363" s="27" t="str">
        <f ca="1">IFERROR(__xludf.DUMMYFUNCTION("""COMPUTED_VALUE"""),"Segundo Semestre 2020")</f>
        <v>Segundo Semestre 2020</v>
      </c>
      <c r="AR363" s="27" t="str">
        <f ca="1">IFERROR(__xludf.DUMMYFUNCTION("""COMPUTED_VALUE"""),"g4instituto@gmail.com")</f>
        <v>g4instituto@gmail.com</v>
      </c>
      <c r="AS363" s="27" t="str">
        <f ca="1">IFERROR(__xludf.DUMMYFUNCTION("""COMPUTED_VALUE"""),"(81)99821-9302")</f>
        <v>(81)99821-9302</v>
      </c>
      <c r="AT363" s="29">
        <f ca="1">IFERROR(__xludf.DUMMYFUNCTION("""COMPUTED_VALUE"""),29801)</f>
        <v>29801</v>
      </c>
      <c r="AU363" s="27">
        <f ca="1">IFERROR(__xludf.DUMMYFUNCTION("""COMPUTED_VALUE"""),41)</f>
        <v>41</v>
      </c>
      <c r="AV363" s="27">
        <f ca="1">IFERROR(__xludf.DUMMYFUNCTION("""COMPUTED_VALUE"""),872098451)</f>
        <v>872098451</v>
      </c>
      <c r="AW363" s="27">
        <f ca="1">IFERROR(__xludf.DUMMYFUNCTION("""COMPUTED_VALUE"""),5423728)</f>
        <v>5423728</v>
      </c>
      <c r="AX363" s="27" t="str">
        <f ca="1">IFERROR(__xludf.DUMMYFUNCTION("""COMPUTED_VALUE"""),"Gestão de Processos Gerenciais")</f>
        <v>Gestão de Processos Gerenciais</v>
      </c>
      <c r="AY363" s="27"/>
      <c r="AZ363" s="27" t="str">
        <f ca="1">IFERROR(__xludf.DUMMYFUNCTION("""COMPUTED_VALUE"""),"G")</f>
        <v>G</v>
      </c>
      <c r="BA363" s="27"/>
      <c r="BB363" s="27"/>
      <c r="BC363" s="27" t="str">
        <f ca="1">IFERROR(__xludf.DUMMYFUNCTION("""COMPUTED_VALUE"""),"Sim")</f>
        <v>Sim</v>
      </c>
      <c r="BD363" s="27" t="str">
        <f ca="1">IFERROR(__xludf.DUMMYFUNCTION("""COMPUTED_VALUE"""),"Campão do Mundo Fifa Seleção Brasileira de Beach Soccer 2017, fundou o Instituto Geração 4, como uma promessa para amenizar todas as dificuldades pessoais e profissionais que teve na sua infância. Hoje cuida de quase 600 crianças, divididos em 11 Núcleos "&amp;"Esportivos/Educacionais em 04 cidades pernambucanas.")</f>
        <v>Campão do Mundo Fifa Seleção Brasileira de Beach Soccer 2017, fundou o Instituto Geração 4, como uma promessa para amenizar todas as dificuldades pessoais e profissionais que teve na sua infância. Hoje cuida de quase 600 crianças, divididos em 11 Núcleos Esportivos/Educacionais em 04 cidades pernambucanas.</v>
      </c>
      <c r="BE363" s="27"/>
      <c r="BF363" s="27"/>
      <c r="BG363" s="27" t="str">
        <f ca="1">IFERROR(__xludf.DUMMYFUNCTION("""COMPUTED_VALUE"""),"Ensino Superior - Incompleto")</f>
        <v>Ensino Superior - Incompleto</v>
      </c>
      <c r="BH363" s="27"/>
      <c r="BI363" s="27" t="str">
        <f ca="1">IFERROR(__xludf.DUMMYFUNCTION("""COMPUTED_VALUE"""),"Graduação")</f>
        <v>Graduação</v>
      </c>
      <c r="BJ363" s="27" t="str">
        <f ca="1">IFERROR(__xludf.DUMMYFUNCTION("""COMPUTED_VALUE"""),"Privado")</f>
        <v>Privado</v>
      </c>
      <c r="BK363" s="27" t="str">
        <f ca="1">IFERROR(__xludf.DUMMYFUNCTION("""COMPUTED_VALUE"""),"Rua Barão de Souza Leão")</f>
        <v>Rua Barão de Souza Leão</v>
      </c>
      <c r="BL363" s="27">
        <f ca="1">IFERROR(__xludf.DUMMYFUNCTION("""COMPUTED_VALUE"""),221)</f>
        <v>221</v>
      </c>
      <c r="BM363" s="27">
        <f ca="1">IFERROR(__xludf.DUMMYFUNCTION("""COMPUTED_VALUE"""),103)</f>
        <v>103</v>
      </c>
      <c r="BN363" s="27" t="str">
        <f ca="1">IFERROR(__xludf.DUMMYFUNCTION("""COMPUTED_VALUE"""),"Recife")</f>
        <v>Recife</v>
      </c>
      <c r="BO363" s="27" t="str">
        <f ca="1">IFERROR(__xludf.DUMMYFUNCTION("""COMPUTED_VALUE"""),"51030-300")</f>
        <v>51030-300</v>
      </c>
      <c r="BP363" s="27" t="str">
        <f ca="1">IFERROR(__xludf.DUMMYFUNCTION("""COMPUTED_VALUE"""),"PE")</f>
        <v>PE</v>
      </c>
      <c r="BQ363" s="27" t="str">
        <f ca="1">IFERROR(__xludf.DUMMYFUNCTION("""COMPUTED_VALUE"""),"De 3 até 5 salários mínimos")</f>
        <v>De 3 até 5 salários mínimos</v>
      </c>
      <c r="BR363" s="27" t="str">
        <f ca="1">IFERROR(__xludf.DUMMYFUNCTION("""COMPUTED_VALUE"""),"Funcionário Público")</f>
        <v>Funcionário Público</v>
      </c>
      <c r="BS363" s="27" t="str">
        <f ca="1">IFERROR(__xludf.DUMMYFUNCTION("""COMPUTED_VALUE"""),"Aluguel")</f>
        <v>Aluguel</v>
      </c>
      <c r="BT363" s="27">
        <f ca="1">IFERROR(__xludf.DUMMYFUNCTION("""COMPUTED_VALUE"""),4)</f>
        <v>4</v>
      </c>
      <c r="BU363" s="27"/>
      <c r="BV363" s="27"/>
      <c r="BW363" s="21" t="str">
        <f ca="1">IFERROR(__xludf.DUMMYFUNCTION("""COMPUTED_VALUE"""),"https://www.linkedin.com/in/fernando-ddi-802698229/")</f>
        <v>https://www.linkedin.com/in/fernando-ddi-802698229/</v>
      </c>
      <c r="BX363" s="21" t="str">
        <f ca="1">IFERROR(__xludf.DUMMYFUNCTION("""COMPUTED_VALUE"""),"https://www.instagram.com/fernandoddi/")</f>
        <v>https://www.instagram.com/fernandoddi/</v>
      </c>
      <c r="BY363" s="21" t="str">
        <f ca="1">IFERROR(__xludf.DUMMYFUNCTION("""COMPUTED_VALUE"""),"https://drive.google.com/open?id=191Qwezuicdw_GVKGLTd_BLjRldNLNTAp")</f>
        <v>https://drive.google.com/open?id=191Qwezuicdw_GVKGLTd_BLjRldNLNTAp</v>
      </c>
    </row>
    <row r="364" spans="1:77" ht="12.5" x14ac:dyDescent="0.25">
      <c r="A364" s="21" t="str">
        <f ca="1">IFERROR(__xludf.DUMMYFUNCTION("""COMPUTED_VALUE"""),"0014X00002VKCqkQAH")</f>
        <v>0014X00002VKCqkQAH</v>
      </c>
      <c r="B364" s="27" t="str">
        <f ca="1">IFERROR(__xludf.DUMMYFUNCTION("""COMPUTED_VALUE"""),"Fase Inicial")</f>
        <v>Fase Inicial</v>
      </c>
      <c r="C364" s="27" t="str">
        <f ca="1">IFERROR(__xludf.DUMMYFUNCTION("""COMPUTED_VALUE"""),"Fellow")</f>
        <v>Fellow</v>
      </c>
      <c r="D364" s="27" t="str">
        <f ca="1">IFERROR(__xludf.DUMMYFUNCTION("""COMPUTED_VALUE"""),"Ativo")</f>
        <v>Ativo</v>
      </c>
      <c r="E364" s="27" t="str">
        <f ca="1">IFERROR(__xludf.DUMMYFUNCTION("""COMPUTED_VALUE"""),"Instituto Geração Tatami")</f>
        <v>Instituto Geração Tatami</v>
      </c>
      <c r="F364" s="27" t="str">
        <f ca="1">IFERROR(__xludf.DUMMYFUNCTION("""COMPUTED_VALUE"""),"Galileu")</f>
        <v>Galileu</v>
      </c>
      <c r="G364" s="27" t="str">
        <f ca="1">IFERROR(__xludf.DUMMYFUNCTION("""COMPUTED_VALUE"""),"GERAÇÃO TATAMI")</f>
        <v>GERAÇÃO TATAMI</v>
      </c>
      <c r="H364" s="27" t="str">
        <f ca="1">IFERROR(__xludf.DUMMYFUNCTION("""COMPUTED_VALUE"""),"38.249.097/0001-43")</f>
        <v>38.249.097/0001-43</v>
      </c>
      <c r="I364" s="27" t="str">
        <f ca="1">IFERROR(__xludf.DUMMYFUNCTION("""COMPUTED_VALUE"""),"Galileu Paolo Paiva")</f>
        <v>Galileu Paolo Paiva</v>
      </c>
      <c r="J364" s="27" t="str">
        <f ca="1">IFERROR(__xludf.DUMMYFUNCTION("""COMPUTED_VALUE"""),"geracaotatami@gmail.com")</f>
        <v>geracaotatami@gmail.com</v>
      </c>
      <c r="K364" s="27" t="str">
        <f ca="1">IFERROR(__xludf.DUMMYFUNCTION("""COMPUTED_VALUE"""),"(31)98661-1898")</f>
        <v>(31)98661-1898</v>
      </c>
      <c r="L364" s="27" t="str">
        <f ca="1">IFERROR(__xludf.DUMMYFUNCTION("""COMPUTED_VALUE"""),"MG")</f>
        <v>MG</v>
      </c>
      <c r="M364" s="27">
        <f ca="1">IFERROR(__xludf.DUMMYFUNCTION("""COMPUTED_VALUE"""),5)</f>
        <v>5</v>
      </c>
      <c r="N364" s="27" t="str">
        <f ca="1">IFERROR(__xludf.DUMMYFUNCTION("""COMPUTED_VALUE"""),"Nova Pampulha")</f>
        <v>Nova Pampulha</v>
      </c>
      <c r="O364" s="27">
        <f ca="1">IFERROR(__xludf.DUMMYFUNCTION("""COMPUTED_VALUE"""),130)</f>
        <v>130</v>
      </c>
      <c r="P364" s="27" t="str">
        <f ca="1">IFERROR(__xludf.DUMMYFUNCTION("""COMPUTED_VALUE"""),"Vespasiano")</f>
        <v>Vespasiano</v>
      </c>
      <c r="Q364" s="27"/>
      <c r="R364" s="27" t="str">
        <f ca="1">IFERROR(__xludf.DUMMYFUNCTION("""COMPUTED_VALUE"""),"33203-462")</f>
        <v>33203-462</v>
      </c>
      <c r="S364" s="27" t="str">
        <f ca="1">IFERROR(__xludf.DUMMYFUNCTION("""COMPUTED_VALUE"""),"Sim")</f>
        <v>Sim</v>
      </c>
      <c r="T364" s="27"/>
      <c r="U364" s="27" t="str">
        <f ca="1">IFERROR(__xludf.DUMMYFUNCTION("""COMPUTED_VALUE"""),"Crianças pequenas (4 anos a 5 anos e 11 meses), Crianças (6 a 12 anos), Adolescentes (12 aos 18 anos)")</f>
        <v>Crianças pequenas (4 anos a 5 anos e 11 meses), Crianças (6 a 12 anos), Adolescentes (12 aos 18 anos)</v>
      </c>
      <c r="V364" s="27" t="str">
        <f ca="1">IFERROR(__xludf.DUMMYFUNCTION("""COMPUTED_VALUE"""),"Moradores de Favelas, Imigrantes")</f>
        <v>Moradores de Favelas, Imigrantes</v>
      </c>
      <c r="W364" s="27">
        <f ca="1">IFERROR(__xludf.DUMMYFUNCTION("""COMPUTED_VALUE"""),12)</f>
        <v>12</v>
      </c>
      <c r="X364" s="27"/>
      <c r="Y364" s="27"/>
      <c r="Z364" s="27">
        <f ca="1">IFERROR(__xludf.DUMMYFUNCTION("""COMPUTED_VALUE"""),10)</f>
        <v>10</v>
      </c>
      <c r="AA364" s="29">
        <f ca="1">IFERROR(__xludf.DUMMYFUNCTION("""COMPUTED_VALUE"""),44070)</f>
        <v>44070</v>
      </c>
      <c r="AB364" s="27" t="str">
        <f ca="1">IFERROR(__xludf.DUMMYFUNCTION("""COMPUTED_VALUE"""),"Sim")</f>
        <v>Sim</v>
      </c>
      <c r="AC364" s="27">
        <f ca="1">IFERROR(__xludf.DUMMYFUNCTION("""COMPUTED_VALUE"""),0)</f>
        <v>0</v>
      </c>
      <c r="AD364" s="27">
        <f ca="1">IFERROR(__xludf.DUMMYFUNCTION("""COMPUTED_VALUE"""),20)</f>
        <v>20</v>
      </c>
      <c r="AE364" s="27">
        <f ca="1">IFERROR(__xludf.DUMMYFUNCTION("""COMPUTED_VALUE"""),20)</f>
        <v>20</v>
      </c>
      <c r="AF364" s="27">
        <f ca="1">IFERROR(__xludf.DUMMYFUNCTION("""COMPUTED_VALUE"""),20)</f>
        <v>20</v>
      </c>
      <c r="AG364" s="27">
        <f ca="1">IFERROR(__xludf.DUMMYFUNCTION("""COMPUTED_VALUE"""),2)</f>
        <v>2</v>
      </c>
      <c r="AH364" s="27" t="str">
        <f ca="1">IFERROR(__xludf.DUMMYFUNCTION("""COMPUTED_VALUE"""),"Doações, Recursos próprios")</f>
        <v>Doações, Recursos próprios</v>
      </c>
      <c r="AI364" s="27" t="str">
        <f ca="1">IFERROR(__xludf.DUMMYFUNCTION("""COMPUTED_VALUE"""),"50% Recursos Próprios; 50% Doações")</f>
        <v>50% Recursos Próprios; 50% Doações</v>
      </c>
      <c r="AJ364" s="27" t="str">
        <f ca="1">IFERROR(__xludf.DUMMYFUNCTION("""COMPUTED_VALUE"""),"Não")</f>
        <v>Não</v>
      </c>
      <c r="AK364" s="27"/>
      <c r="AL364" s="21" t="str">
        <f ca="1">IFERROR(__xludf.DUMMYFUNCTION("""COMPUTED_VALUE"""),"0034X0000380O2o")</f>
        <v>0034X0000380O2o</v>
      </c>
      <c r="AM364" s="27" t="str">
        <f ca="1">IFERROR(__xludf.DUMMYFUNCTION("""COMPUTED_VALUE"""),"Paolo paiva")</f>
        <v>Paolo paiva</v>
      </c>
      <c r="AN364" s="27" t="str">
        <f ca="1">IFERROR(__xludf.DUMMYFUNCTION("""COMPUTED_VALUE"""),"Ativo")</f>
        <v>Ativo</v>
      </c>
      <c r="AO364" s="27"/>
      <c r="AP364" s="27"/>
      <c r="AQ364" s="27" t="str">
        <f ca="1">IFERROR(__xludf.DUMMYFUNCTION("""COMPUTED_VALUE"""),"Primeiro Semestre 2022")</f>
        <v>Primeiro Semestre 2022</v>
      </c>
      <c r="AR364" s="27" t="str">
        <f ca="1">IFERROR(__xludf.DUMMYFUNCTION("""COMPUTED_VALUE"""),"galileupaolo@gmail.com")</f>
        <v>galileupaolo@gmail.com</v>
      </c>
      <c r="AS364" s="27" t="str">
        <f ca="1">IFERROR(__xludf.DUMMYFUNCTION("""COMPUTED_VALUE"""),"(31)98661-1898")</f>
        <v>(31)98661-1898</v>
      </c>
      <c r="AT364" s="29">
        <f ca="1">IFERROR(__xludf.DUMMYFUNCTION("""COMPUTED_VALUE"""),28495)</f>
        <v>28495</v>
      </c>
      <c r="AU364" s="27">
        <f ca="1">IFERROR(__xludf.DUMMYFUNCTION("""COMPUTED_VALUE"""),44)</f>
        <v>44</v>
      </c>
      <c r="AV364" s="27">
        <f ca="1">IFERROR(__xludf.DUMMYFUNCTION("""COMPUTED_VALUE"""),970244657)</f>
        <v>970244657</v>
      </c>
      <c r="AW364" s="27">
        <f ca="1">IFERROR(__xludf.DUMMYFUNCTION("""COMPUTED_VALUE"""),3877518)</f>
        <v>3877518</v>
      </c>
      <c r="AX364" s="27"/>
      <c r="AY364" s="27" t="str">
        <f ca="1">IFERROR(__xludf.DUMMYFUNCTION("""COMPUTED_VALUE"""),"CEO")</f>
        <v>CEO</v>
      </c>
      <c r="AZ364" s="27" t="str">
        <f ca="1">IFERROR(__xludf.DUMMYFUNCTION("""COMPUTED_VALUE"""),"G1")</f>
        <v>G1</v>
      </c>
      <c r="BA364" s="27" t="str">
        <f ca="1">IFERROR(__xludf.DUMMYFUNCTION("""COMPUTED_VALUE"""),"Branca")</f>
        <v>Branca</v>
      </c>
      <c r="BB364" s="27"/>
      <c r="BC364" s="27"/>
      <c r="BD364" s="27" t="str">
        <f ca="1">IFERROR(__xludf.DUMMYFUNCTION("""COMPUTED_VALUE"""),"Tenho 44 anos, 40 dedicados ao judo. Meu pai é professor de judo e foi com esse esporte e seus valores que formou a nossa família. Nunca passei dificuldades na vida, ao contrário dos meus pais que tiveram uma vida bem difícil. Sou formado em Direito, pós "&amp;"graduado em Direito Esportivo e em Judo. Fiz do judo tanto meu meio de vida quanto objetivo. Sendo esse esporte considerado pela Unesco o mais indicado a crianças e jovens levar a quem mais precisa se tornou a minha missão.")</f>
        <v>Tenho 44 anos, 40 dedicados ao judo. Meu pai é professor de judo e foi com esse esporte e seus valores que formou a nossa família. Nunca passei dificuldades na vida, ao contrário dos meus pais que tiveram uma vida bem difícil. Sou formado em Direito, pós graduado em Direito Esportivo e em Judo. Fiz do judo tanto meu meio de vida quanto objetivo. Sendo esse esporte considerado pela Unesco o mais indicado a crianças e jovens levar a quem mais precisa se tornou a minha missão.</v>
      </c>
      <c r="BE364" s="27" t="str">
        <f ca="1">IFERROR(__xludf.DUMMYFUNCTION("""COMPUTED_VALUE"""),"Homem, cisgênero")</f>
        <v>Homem, cisgênero</v>
      </c>
      <c r="BF364" s="27" t="str">
        <f ca="1">IFERROR(__xludf.DUMMYFUNCTION("""COMPUTED_VALUE"""),"Heterossexual")</f>
        <v>Heterossexual</v>
      </c>
      <c r="BG364" s="27" t="str">
        <f ca="1">IFERROR(__xludf.DUMMYFUNCTION("""COMPUTED_VALUE"""),"Ensino Superior - Completo")</f>
        <v>Ensino Superior - Completo</v>
      </c>
      <c r="BH364" s="27" t="str">
        <f ca="1">IFERROR(__xludf.DUMMYFUNCTION("""COMPUTED_VALUE"""),"Público")</f>
        <v>Público</v>
      </c>
      <c r="BI364" s="27" t="str">
        <f ca="1">IFERROR(__xludf.DUMMYFUNCTION("""COMPUTED_VALUE"""),"Pós-Graduação")</f>
        <v>Pós-Graduação</v>
      </c>
      <c r="BJ364" s="27" t="str">
        <f ca="1">IFERROR(__xludf.DUMMYFUNCTION("""COMPUTED_VALUE"""),"Privado")</f>
        <v>Privado</v>
      </c>
      <c r="BK364" s="27" t="str">
        <f ca="1">IFERROR(__xludf.DUMMYFUNCTION("""COMPUTED_VALUE"""),"Rua Anapurus")</f>
        <v>Rua Anapurus</v>
      </c>
      <c r="BL364" s="27">
        <f ca="1">IFERROR(__xludf.DUMMYFUNCTION("""COMPUTED_VALUE"""),115)</f>
        <v>115</v>
      </c>
      <c r="BM364" s="27"/>
      <c r="BN364" s="27" t="str">
        <f ca="1">IFERROR(__xludf.DUMMYFUNCTION("""COMPUTED_VALUE"""),"Belo Horizonte")</f>
        <v>Belo Horizonte</v>
      </c>
      <c r="BO364" s="27" t="str">
        <f ca="1">IFERROR(__xludf.DUMMYFUNCTION("""COMPUTED_VALUE"""),"31980-210")</f>
        <v>31980-210</v>
      </c>
      <c r="BP364" s="27" t="str">
        <f ca="1">IFERROR(__xludf.DUMMYFUNCTION("""COMPUTED_VALUE"""),"MG")</f>
        <v>MG</v>
      </c>
      <c r="BQ364" s="27" t="str">
        <f ca="1">IFERROR(__xludf.DUMMYFUNCTION("""COMPUTED_VALUE"""),"De 3 até 5 salários mínimos")</f>
        <v>De 3 até 5 salários mínimos</v>
      </c>
      <c r="BR364" s="27" t="str">
        <f ca="1">IFERROR(__xludf.DUMMYFUNCTION("""COMPUTED_VALUE"""),"CLT")</f>
        <v>CLT</v>
      </c>
      <c r="BS364" s="27" t="str">
        <f ca="1">IFERROR(__xludf.DUMMYFUNCTION("""COMPUTED_VALUE"""),"Casa própria")</f>
        <v>Casa própria</v>
      </c>
      <c r="BT364" s="27">
        <f ca="1">IFERROR(__xludf.DUMMYFUNCTION("""COMPUTED_VALUE"""),1)</f>
        <v>1</v>
      </c>
      <c r="BU364" s="27" t="str">
        <f ca="1">IFERROR(__xludf.DUMMYFUNCTION("""COMPUTED_VALUE"""),"Não tem")</f>
        <v>Não tem</v>
      </c>
      <c r="BV364" s="27" t="str">
        <f ca="1">IFERROR(__xludf.DUMMYFUNCTION("""COMPUTED_VALUE"""),"Não")</f>
        <v>Não</v>
      </c>
      <c r="BW364" s="27"/>
      <c r="BX364" s="27" t="str">
        <f ca="1">IFERROR(__xludf.DUMMYFUNCTION("""COMPUTED_VALUE"""),"@galileupaolo")</f>
        <v>@galileupaolo</v>
      </c>
      <c r="BY364" s="21" t="str">
        <f ca="1">IFERROR(__xludf.DUMMYFUNCTION("""COMPUTED_VALUE"""),"https://drive.google.com/open?id=1geGnNoeXC6rPFvARIRkb6yEE_z2Vkmti")</f>
        <v>https://drive.google.com/open?id=1geGnNoeXC6rPFvARIRkb6yEE_z2Vkmti</v>
      </c>
    </row>
    <row r="365" spans="1:77" ht="12.5" hidden="1" x14ac:dyDescent="0.25">
      <c r="A365" s="21" t="str">
        <f ca="1">IFERROR(__xludf.DUMMYFUNCTION("""COMPUTED_VALUE"""),"0014P00003MjR9oQAF")</f>
        <v>0014P00003MjR9oQAF</v>
      </c>
      <c r="B365" s="27" t="str">
        <f ca="1">IFERROR(__xludf.DUMMYFUNCTION("""COMPUTED_VALUE"""),"Fase Inicial")</f>
        <v>Fase Inicial</v>
      </c>
      <c r="C365" s="27" t="str">
        <f ca="1">IFERROR(__xludf.DUMMYFUNCTION("""COMPUTED_VALUE"""),"Unidade Própria")</f>
        <v>Unidade Própria</v>
      </c>
      <c r="D365" s="27" t="str">
        <f ca="1">IFERROR(__xludf.DUMMYFUNCTION("""COMPUTED_VALUE"""),"Ativo")</f>
        <v>Ativo</v>
      </c>
      <c r="E365" s="27" t="str">
        <f ca="1">IFERROR(__xludf.DUMMYFUNCTION("""COMPUTED_VALUE"""),"INSTITUTO GERANDO FALCÕES - UNIDADE FERRAZ")</f>
        <v>INSTITUTO GERANDO FALCÕES - UNIDADE FERRAZ</v>
      </c>
      <c r="F365" s="27" t="str">
        <f ca="1">IFERROR(__xludf.DUMMYFUNCTION("""COMPUTED_VALUE"""),"Thiago")</f>
        <v>Thiago</v>
      </c>
      <c r="G365" s="27" t="str">
        <f ca="1">IFERROR(__xludf.DUMMYFUNCTION("""COMPUTED_VALUE"""),"Unidade Ferraz")</f>
        <v>Unidade Ferraz</v>
      </c>
      <c r="H365" s="27" t="str">
        <f ca="1">IFERROR(__xludf.DUMMYFUNCTION("""COMPUTED_VALUE"""),"18.463.148/0001-28")</f>
        <v>18.463.148/0001-28</v>
      </c>
      <c r="I365" s="27" t="str">
        <f ca="1">IFERROR(__xludf.DUMMYFUNCTION("""COMPUTED_VALUE"""),"Carlos Eduardo Brito Lira")</f>
        <v>Carlos Eduardo Brito Lira</v>
      </c>
      <c r="J365" s="27" t="str">
        <f ca="1">IFERROR(__xludf.DUMMYFUNCTION("""COMPUTED_VALUE"""),"gerandofalcoes@gerandofalcoes.com")</f>
        <v>gerandofalcoes@gerandofalcoes.com</v>
      </c>
      <c r="K365" s="27" t="str">
        <f ca="1">IFERROR(__xludf.DUMMYFUNCTION("""COMPUTED_VALUE"""),"(11)7745-9862")</f>
        <v>(11)7745-9862</v>
      </c>
      <c r="L365" s="27" t="str">
        <f ca="1">IFERROR(__xludf.DUMMYFUNCTION("""COMPUTED_VALUE"""),"SP")</f>
        <v>SP</v>
      </c>
      <c r="M365" s="27" t="str">
        <f ca="1">IFERROR(__xludf.DUMMYFUNCTION("""COMPUTED_VALUE"""),"Av. dos Multirantes, s/n")</f>
        <v>Av. dos Multirantes, s/n</v>
      </c>
      <c r="N365" s="27" t="str">
        <f ca="1">IFERROR(__xludf.DUMMYFUNCTION("""COMPUTED_VALUE"""),"Jd Itajuíbe")</f>
        <v>Jd Itajuíbe</v>
      </c>
      <c r="O365" s="27">
        <f ca="1">IFERROR(__xludf.DUMMYFUNCTION("""COMPUTED_VALUE"""),97)</f>
        <v>97</v>
      </c>
      <c r="P365" s="27" t="str">
        <f ca="1">IFERROR(__xludf.DUMMYFUNCTION("""COMPUTED_VALUE"""),"Ferraz de Vasconcelos")</f>
        <v>Ferraz de Vasconcelos</v>
      </c>
      <c r="Q365" s="27" t="str">
        <f ca="1">IFERROR(__xludf.DUMMYFUNCTION("""COMPUTED_VALUE"""),"EMEB Professora Nurimar Martins Hiar")</f>
        <v>EMEB Professora Nurimar Martins Hiar</v>
      </c>
      <c r="R365" s="27" t="str">
        <f ca="1">IFERROR(__xludf.DUMMYFUNCTION("""COMPUTED_VALUE"""),"08540-540")</f>
        <v>08540-540</v>
      </c>
      <c r="S365" s="27"/>
      <c r="T365" s="27" t="str">
        <f ca="1">IFERROR(__xludf.DUMMYFUNCTION("""COMPUTED_VALUE"""),"Cultura")</f>
        <v>Cultura</v>
      </c>
      <c r="U365" s="27" t="str">
        <f ca="1">IFERROR(__xludf.DUMMYFUNCTION("""COMPUTED_VALUE"""),"Crianças (6 a 12 anos)")</f>
        <v>Crianças (6 a 12 anos)</v>
      </c>
      <c r="V365" s="27"/>
      <c r="W365" s="27">
        <f ca="1">IFERROR(__xludf.DUMMYFUNCTION("""COMPUTED_VALUE"""),5)</f>
        <v>5</v>
      </c>
      <c r="X365" s="27"/>
      <c r="Y365" s="27">
        <f ca="1">IFERROR(__xludf.DUMMYFUNCTION("""COMPUTED_VALUE"""),640)</f>
        <v>640</v>
      </c>
      <c r="Z365" s="27">
        <f ca="1">IFERROR(__xludf.DUMMYFUNCTION("""COMPUTED_VALUE"""),3200)</f>
        <v>3200</v>
      </c>
      <c r="AA365" s="29">
        <f ca="1">IFERROR(__xludf.DUMMYFUNCTION("""COMPUTED_VALUE"""),43606)</f>
        <v>43606</v>
      </c>
      <c r="AB365" s="27" t="str">
        <f ca="1">IFERROR(__xludf.DUMMYFUNCTION("""COMPUTED_VALUE"""),"Sim")</f>
        <v>Sim</v>
      </c>
      <c r="AC365" s="27">
        <f ca="1">IFERROR(__xludf.DUMMYFUNCTION("""COMPUTED_VALUE"""),23)</f>
        <v>23</v>
      </c>
      <c r="AD365" s="27"/>
      <c r="AE365" s="27">
        <f ca="1">IFERROR(__xludf.DUMMYFUNCTION("""COMPUTED_VALUE"""),0)</f>
        <v>0</v>
      </c>
      <c r="AF365" s="27"/>
      <c r="AG365" s="27">
        <f ca="1">IFERROR(__xludf.DUMMYFUNCTION("""COMPUTED_VALUE"""),1)</f>
        <v>1</v>
      </c>
      <c r="AH365" s="27" t="str">
        <f ca="1">IFERROR(__xludf.DUMMYFUNCTION("""COMPUTED_VALUE"""),"Lei de Incentivo")</f>
        <v>Lei de Incentivo</v>
      </c>
      <c r="AI365" s="27" t="str">
        <f ca="1">IFERROR(__xludf.DUMMYFUNCTION("""COMPUTED_VALUE"""),"100% Convenios")</f>
        <v>100% Convenios</v>
      </c>
      <c r="AJ365" s="27" t="str">
        <f ca="1">IFERROR(__xludf.DUMMYFUNCTION("""COMPUTED_VALUE"""),"Sim")</f>
        <v>Sim</v>
      </c>
      <c r="AK365" s="27" t="str">
        <f ca="1">IFERROR(__xludf.DUMMYFUNCTION("""COMPUTED_VALUE"""),"Sim")</f>
        <v>Sim</v>
      </c>
      <c r="AL365" s="21" t="str">
        <f ca="1">IFERROR(__xludf.DUMMYFUNCTION("""COMPUTED_VALUE"""),"0034P00003xh63p")</f>
        <v>0034P00003xh63p</v>
      </c>
      <c r="AM365" s="27" t="str">
        <f ca="1">IFERROR(__xludf.DUMMYFUNCTION("""COMPUTED_VALUE"""),"Dos Santos Do Nascimento")</f>
        <v>Dos Santos Do Nascimento</v>
      </c>
      <c r="AN365" s="27" t="str">
        <f ca="1">IFERROR(__xludf.DUMMYFUNCTION("""COMPUTED_VALUE"""),"Ativo")</f>
        <v>Ativo</v>
      </c>
      <c r="AO365" s="29">
        <f ca="1">IFERROR(__xludf.DUMMYFUNCTION("""COMPUTED_VALUE"""),40719)</f>
        <v>40719</v>
      </c>
      <c r="AP365" s="27">
        <f ca="1">IFERROR(__xludf.DUMMYFUNCTION("""COMPUTED_VALUE"""),135)</f>
        <v>135</v>
      </c>
      <c r="AQ365" s="27" t="str">
        <f ca="1">IFERROR(__xludf.DUMMYFUNCTION("""COMPUTED_VALUE"""),"Primeiro Semestre 2021")</f>
        <v>Primeiro Semestre 2021</v>
      </c>
      <c r="AR365" s="27" t="str">
        <f ca="1">IFERROR(__xludf.DUMMYFUNCTION("""COMPUTED_VALUE"""),"thiago.nascimento@gerandofalcoes.com")</f>
        <v>thiago.nascimento@gerandofalcoes.com</v>
      </c>
      <c r="AS365" s="27" t="str">
        <f ca="1">IFERROR(__xludf.DUMMYFUNCTION("""COMPUTED_VALUE"""),"(11)97745-9862")</f>
        <v>(11)97745-9862</v>
      </c>
      <c r="AT365" s="29">
        <f ca="1">IFERROR(__xludf.DUMMYFUNCTION("""COMPUTED_VALUE"""),30840)</f>
        <v>30840</v>
      </c>
      <c r="AU365" s="27">
        <f ca="1">IFERROR(__xludf.DUMMYFUNCTION("""COMPUTED_VALUE"""),38)</f>
        <v>38</v>
      </c>
      <c r="AV365" s="27">
        <f ca="1">IFERROR(__xludf.DUMMYFUNCTION("""COMPUTED_VALUE"""),32640916823)</f>
        <v>32640916823</v>
      </c>
      <c r="AW365" s="27">
        <f ca="1">IFERROR(__xludf.DUMMYFUNCTION("""COMPUTED_VALUE"""),345660560)</f>
        <v>345660560</v>
      </c>
      <c r="AX365" s="27" t="str">
        <f ca="1">IFERROR(__xludf.DUMMYFUNCTION("""COMPUTED_VALUE"""),"Serviço Social")</f>
        <v>Serviço Social</v>
      </c>
      <c r="AY365" s="27" t="str">
        <f ca="1">IFERROR(__xludf.DUMMYFUNCTION("""COMPUTED_VALUE"""),"Lider Social")</f>
        <v>Lider Social</v>
      </c>
      <c r="AZ365" s="27" t="str">
        <f ca="1">IFERROR(__xludf.DUMMYFUNCTION("""COMPUTED_VALUE"""),"G")</f>
        <v>G</v>
      </c>
      <c r="BA365" s="27" t="str">
        <f ca="1">IFERROR(__xludf.DUMMYFUNCTION("""COMPUTED_VALUE"""),"Preta")</f>
        <v>Preta</v>
      </c>
      <c r="BB365" s="27"/>
      <c r="BC365" s="27" t="str">
        <f ca="1">IFERROR(__xludf.DUMMYFUNCTION("""COMPUTED_VALUE"""),"Não")</f>
        <v>Não</v>
      </c>
      <c r="BD365" s="27"/>
      <c r="BE365" s="27" t="str">
        <f ca="1">IFERROR(__xludf.DUMMYFUNCTION("""COMPUTED_VALUE"""),"Masculino")</f>
        <v>Masculino</v>
      </c>
      <c r="BF365" s="27" t="str">
        <f ca="1">IFERROR(__xludf.DUMMYFUNCTION("""COMPUTED_VALUE"""),"Heterossexual")</f>
        <v>Heterossexual</v>
      </c>
      <c r="BG365" s="27"/>
      <c r="BH365" s="27"/>
      <c r="BI365" s="27" t="str">
        <f ca="1">IFERROR(__xludf.DUMMYFUNCTION("""COMPUTED_VALUE"""),"Graduação")</f>
        <v>Graduação</v>
      </c>
      <c r="BJ365" s="27"/>
      <c r="BK365" s="27" t="str">
        <f ca="1">IFERROR(__xludf.DUMMYFUNCTION("""COMPUTED_VALUE"""),"Rua Mario Covas")</f>
        <v>Rua Mario Covas</v>
      </c>
      <c r="BL365" s="27">
        <f ca="1">IFERROR(__xludf.DUMMYFUNCTION("""COMPUTED_VALUE"""),253)</f>
        <v>253</v>
      </c>
      <c r="BM365" s="27"/>
      <c r="BN365" s="27" t="str">
        <f ca="1">IFERROR(__xludf.DUMMYFUNCTION("""COMPUTED_VALUE"""),"São Paulo")</f>
        <v>São Paulo</v>
      </c>
      <c r="BO365" s="27" t="str">
        <f ca="1">IFERROR(__xludf.DUMMYFUNCTION("""COMPUTED_VALUE"""),"08130-060")</f>
        <v>08130-060</v>
      </c>
      <c r="BP365" s="27" t="str">
        <f ca="1">IFERROR(__xludf.DUMMYFUNCTION("""COMPUTED_VALUE"""),"SP")</f>
        <v>SP</v>
      </c>
      <c r="BQ365" s="27" t="str">
        <f ca="1">IFERROR(__xludf.DUMMYFUNCTION("""COMPUTED_VALUE"""),"Entre 1 até 3 salários mínimos")</f>
        <v>Entre 1 até 3 salários mínimos</v>
      </c>
      <c r="BR365" s="27" t="str">
        <f ca="1">IFERROR(__xludf.DUMMYFUNCTION("""COMPUTED_VALUE"""),"CLT")</f>
        <v>CLT</v>
      </c>
      <c r="BS365" s="27" t="str">
        <f ca="1">IFERROR(__xludf.DUMMYFUNCTION("""COMPUTED_VALUE"""),"Casa própria")</f>
        <v>Casa própria</v>
      </c>
      <c r="BT365" s="27">
        <f ca="1">IFERROR(__xludf.DUMMYFUNCTION("""COMPUTED_VALUE"""),4)</f>
        <v>4</v>
      </c>
      <c r="BU365" s="27"/>
      <c r="BV365" s="27"/>
      <c r="BW365" s="21" t="str">
        <f ca="1">IFERROR(__xludf.DUMMYFUNCTION("""COMPUTED_VALUE"""),"https://www.linkedin.com/in/thiago-nascimento-7486b1215/")</f>
        <v>https://www.linkedin.com/in/thiago-nascimento-7486b1215/</v>
      </c>
      <c r="BX365" s="21" t="str">
        <f ca="1">IFERROR(__xludf.DUMMYFUNCTION("""COMPUTED_VALUE"""),"https://www.instagram.com/thiagonascimentogf/")</f>
        <v>https://www.instagram.com/thiagonascimentogf/</v>
      </c>
      <c r="BY365" s="21" t="str">
        <f ca="1">IFERROR(__xludf.DUMMYFUNCTION("""COMPUTED_VALUE"""),"https://drive.google.com/open?id=1ZJ8RT5Ibx-6FU8cWWftRtYjZCNcM9Z2a")</f>
        <v>https://drive.google.com/open?id=1ZJ8RT5Ibx-6FU8cWWftRtYjZCNcM9Z2a</v>
      </c>
    </row>
    <row r="366" spans="1:77" ht="12.5" x14ac:dyDescent="0.25">
      <c r="A366" s="21" t="str">
        <f ca="1">IFERROR(__xludf.DUMMYFUNCTION("""COMPUTED_VALUE"""),"0014P00003MjNTIQA3")</f>
        <v>0014P00003MjNTIQA3</v>
      </c>
      <c r="B366" s="27" t="str">
        <f ca="1">IFERROR(__xludf.DUMMYFUNCTION("""COMPUTED_VALUE"""),"Fase Inicial")</f>
        <v>Fase Inicial</v>
      </c>
      <c r="C366" s="27" t="str">
        <f ca="1">IFERROR(__xludf.DUMMYFUNCTION("""COMPUTED_VALUE"""),"Unidade Própria")</f>
        <v>Unidade Própria</v>
      </c>
      <c r="D366" s="27" t="str">
        <f ca="1">IFERROR(__xludf.DUMMYFUNCTION("""COMPUTED_VALUE"""),"Ativo")</f>
        <v>Ativo</v>
      </c>
      <c r="E366" s="27" t="str">
        <f ca="1">IFERROR(__xludf.DUMMYFUNCTION("""COMPUTED_VALUE"""),"INSTITUTO GERANDO FALCÕES - UNIDADE POÁ")</f>
        <v>INSTITUTO GERANDO FALCÕES - UNIDADE POÁ</v>
      </c>
      <c r="F366" s="27" t="str">
        <f ca="1">IFERROR(__xludf.DUMMYFUNCTION("""COMPUTED_VALUE"""),"Bruno")</f>
        <v>Bruno</v>
      </c>
      <c r="G366" s="27" t="str">
        <f ca="1">IFERROR(__xludf.DUMMYFUNCTION("""COMPUTED_VALUE"""),"Unidade de Poá")</f>
        <v>Unidade de Poá</v>
      </c>
      <c r="H366" s="27" t="str">
        <f ca="1">IFERROR(__xludf.DUMMYFUNCTION("""COMPUTED_VALUE"""),"18463148/0001-28")</f>
        <v>18463148/0001-28</v>
      </c>
      <c r="I366" s="27"/>
      <c r="J366" s="27"/>
      <c r="K366" s="27" t="str">
        <f ca="1">IFERROR(__xludf.DUMMYFUNCTION("""COMPUTED_VALUE"""),"11 987069102")</f>
        <v>11 987069102</v>
      </c>
      <c r="L366" s="27" t="str">
        <f ca="1">IFERROR(__xludf.DUMMYFUNCTION("""COMPUTED_VALUE"""),"SP")</f>
        <v>SP</v>
      </c>
      <c r="M366" s="27" t="str">
        <f ca="1">IFERROR(__xludf.DUMMYFUNCTION("""COMPUTED_VALUE"""),"Rua Niterói")</f>
        <v>Rua Niterói</v>
      </c>
      <c r="N366" s="27" t="str">
        <f ca="1">IFERROR(__xludf.DUMMYFUNCTION("""COMPUTED_VALUE"""),"Cidade Kemel - Jd Sta Helena")</f>
        <v>Cidade Kemel - Jd Sta Helena</v>
      </c>
      <c r="O366" s="27">
        <f ca="1">IFERROR(__xludf.DUMMYFUNCTION("""COMPUTED_VALUE"""),96)</f>
        <v>96</v>
      </c>
      <c r="P366" s="27" t="str">
        <f ca="1">IFERROR(__xludf.DUMMYFUNCTION("""COMPUTED_VALUE"""),"Poá")</f>
        <v>Poá</v>
      </c>
      <c r="Q366" s="27"/>
      <c r="R366" s="27">
        <f ca="1">IFERROR(__xludf.DUMMYFUNCTION("""COMPUTED_VALUE"""),8554030)</f>
        <v>8554030</v>
      </c>
      <c r="S366" s="27" t="str">
        <f ca="1">IFERROR(__xludf.DUMMYFUNCTION("""COMPUTED_VALUE"""),"Escola Manuel  e Bortolozzo")</f>
        <v>Escola Manuel  e Bortolozzo</v>
      </c>
      <c r="T366" s="27" t="str">
        <f ca="1">IFERROR(__xludf.DUMMYFUNCTION("""COMPUTED_VALUE"""),"Esporte; Educação; Assistência Social; Cultura; Qualificação Profissional; Empreendedorismo; Cidadania; Cidadania e empregabilidade; Sustentabilidade e Agroecologia")</f>
        <v>Esporte; Educação; Assistência Social; Cultura; Qualificação Profissional; Empreendedorismo; Cidadania; Cidadania e empregabilidade; Sustentabilidade e Agroecologia</v>
      </c>
      <c r="U366" s="27" t="str">
        <f ca="1">IFERROR(__xludf.DUMMYFUNCTION("""COMPUTED_VALUE"""),"Crianças (6 a 12 anos); Adolescentes (12 aos 18 anos); Jovens (18 aos 24 anos)")</f>
        <v>Crianças (6 a 12 anos); Adolescentes (12 aos 18 anos); Jovens (18 aos 24 anos)</v>
      </c>
      <c r="V366" s="27"/>
      <c r="W366" s="27">
        <f ca="1">IFERROR(__xludf.DUMMYFUNCTION("""COMPUTED_VALUE"""),5)</f>
        <v>5</v>
      </c>
      <c r="X366" s="27" t="str">
        <f ca="1">IFERROR(__xludf.DUMMYFUNCTION("""COMPUTED_VALUE"""),"Moradores de favelas e periferia urbana")</f>
        <v>Moradores de favelas e periferia urbana</v>
      </c>
      <c r="Y366" s="27"/>
      <c r="Z366" s="27"/>
      <c r="AA366" s="29">
        <f ca="1">IFERROR(__xludf.DUMMYFUNCTION("""COMPUTED_VALUE"""),40719)</f>
        <v>40719</v>
      </c>
      <c r="AB366" s="27" t="str">
        <f ca="1">IFERROR(__xludf.DUMMYFUNCTION("""COMPUTED_VALUE"""),"Sim")</f>
        <v>Sim</v>
      </c>
      <c r="AC366" s="27">
        <f ca="1">IFERROR(__xludf.DUMMYFUNCTION("""COMPUTED_VALUE"""),10)</f>
        <v>10</v>
      </c>
      <c r="AD366" s="27"/>
      <c r="AE366" s="27"/>
      <c r="AF366" s="27"/>
      <c r="AG366" s="27"/>
      <c r="AH366" s="27"/>
      <c r="AI366" s="27"/>
      <c r="AJ366" s="27" t="str">
        <f ca="1">IFERROR(__xludf.DUMMYFUNCTION("""COMPUTED_VALUE"""),"Sim")</f>
        <v>Sim</v>
      </c>
      <c r="AK366" s="27" t="str">
        <f ca="1">IFERROR(__xludf.DUMMYFUNCTION("""COMPUTED_VALUE"""),"Sim")</f>
        <v>Sim</v>
      </c>
      <c r="AL366" s="21" t="str">
        <f ca="1">IFERROR(__xludf.DUMMYFUNCTION("""COMPUTED_VALUE"""),"0034P00003xgnQ1")</f>
        <v>0034P00003xgnQ1</v>
      </c>
      <c r="AM366" s="27" t="str">
        <f ca="1">IFERROR(__xludf.DUMMYFUNCTION("""COMPUTED_VALUE"""),"Desidério")</f>
        <v>Desidério</v>
      </c>
      <c r="AN366" s="27" t="str">
        <f ca="1">IFERROR(__xludf.DUMMYFUNCTION("""COMPUTED_VALUE"""),"Ativo")</f>
        <v>Ativo</v>
      </c>
      <c r="AO366" s="29">
        <f ca="1">IFERROR(__xludf.DUMMYFUNCTION("""COMPUTED_VALUE"""),40719)</f>
        <v>40719</v>
      </c>
      <c r="AP366" s="27">
        <f ca="1">IFERROR(__xludf.DUMMYFUNCTION("""COMPUTED_VALUE"""),135)</f>
        <v>135</v>
      </c>
      <c r="AQ366" s="27" t="str">
        <f ca="1">IFERROR(__xludf.DUMMYFUNCTION("""COMPUTED_VALUE"""),"Primeiro Semestre 2021")</f>
        <v>Primeiro Semestre 2021</v>
      </c>
      <c r="AR366" s="27" t="str">
        <f ca="1">IFERROR(__xludf.DUMMYFUNCTION("""COMPUTED_VALUE"""),"bruno.poa@gerandofalcoes.com")</f>
        <v>bruno.poa@gerandofalcoes.com</v>
      </c>
      <c r="AS366" s="27">
        <f ca="1">IFERROR(__xludf.DUMMYFUNCTION("""COMPUTED_VALUE"""),11948701512)</f>
        <v>11948701512</v>
      </c>
      <c r="AT366" s="29">
        <f ca="1">IFERROR(__xludf.DUMMYFUNCTION("""COMPUTED_VALUE"""),32255)</f>
        <v>32255</v>
      </c>
      <c r="AU366" s="27">
        <f ca="1">IFERROR(__xludf.DUMMYFUNCTION("""COMPUTED_VALUE"""),34)</f>
        <v>34</v>
      </c>
      <c r="AV366" s="27">
        <f ca="1">IFERROR(__xludf.DUMMYFUNCTION("""COMPUTED_VALUE"""),35973851842)</f>
        <v>35973851842</v>
      </c>
      <c r="AW366" s="27">
        <f ca="1">IFERROR(__xludf.DUMMYFUNCTION("""COMPUTED_VALUE"""),343002061)</f>
        <v>343002061</v>
      </c>
      <c r="AX366" s="27" t="str">
        <f ca="1">IFERROR(__xludf.DUMMYFUNCTION("""COMPUTED_VALUE"""),"Educação Física")</f>
        <v>Educação Física</v>
      </c>
      <c r="AY366" s="27" t="str">
        <f ca="1">IFERROR(__xludf.DUMMYFUNCTION("""COMPUTED_VALUE"""),"Líder Social")</f>
        <v>Líder Social</v>
      </c>
      <c r="AZ366" s="27"/>
      <c r="BA366" s="27" t="str">
        <f ca="1">IFERROR(__xludf.DUMMYFUNCTION("""COMPUTED_VALUE"""),"Preta")</f>
        <v>Preta</v>
      </c>
      <c r="BB366" s="27"/>
      <c r="BC366" s="27" t="str">
        <f ca="1">IFERROR(__xludf.DUMMYFUNCTION("""COMPUTED_VALUE"""),"Sim")</f>
        <v>Sim</v>
      </c>
      <c r="BD366" s="27"/>
      <c r="BE366" s="27" t="str">
        <f ca="1">IFERROR(__xludf.DUMMYFUNCTION("""COMPUTED_VALUE"""),"Masculino")</f>
        <v>Masculino</v>
      </c>
      <c r="BF366" s="27" t="str">
        <f ca="1">IFERROR(__xludf.DUMMYFUNCTION("""COMPUTED_VALUE"""),"Heterossexual")</f>
        <v>Heterossexual</v>
      </c>
      <c r="BG366" s="27"/>
      <c r="BH366" s="27"/>
      <c r="BI366" s="27"/>
      <c r="BJ366" s="27"/>
      <c r="BK366" s="27" t="str">
        <f ca="1">IFERROR(__xludf.DUMMYFUNCTION("""COMPUTED_VALUE"""),"Avenida Elias Zugaib")</f>
        <v>Avenida Elias Zugaib</v>
      </c>
      <c r="BL366" s="27">
        <f ca="1">IFERROR(__xludf.DUMMYFUNCTION("""COMPUTED_VALUE"""),60)</f>
        <v>60</v>
      </c>
      <c r="BM366" s="27"/>
      <c r="BN366" s="27" t="str">
        <f ca="1">IFERROR(__xludf.DUMMYFUNCTION("""COMPUTED_VALUE"""),"Poá")</f>
        <v>Poá</v>
      </c>
      <c r="BO366" s="27" t="str">
        <f ca="1">IFERROR(__xludf.DUMMYFUNCTION("""COMPUTED_VALUE"""),"08554-300")</f>
        <v>08554-300</v>
      </c>
      <c r="BP366" s="27" t="str">
        <f ca="1">IFERROR(__xludf.DUMMYFUNCTION("""COMPUTED_VALUE"""),"SP")</f>
        <v>SP</v>
      </c>
      <c r="BQ366" s="27"/>
      <c r="BR366" s="27"/>
      <c r="BS366" s="27"/>
      <c r="BT366" s="27"/>
      <c r="BU366" s="27"/>
      <c r="BV366" s="27"/>
      <c r="BW366" s="27"/>
      <c r="BX366" s="27"/>
      <c r="BY366" s="27"/>
    </row>
    <row r="367" spans="1:77" ht="12.5" x14ac:dyDescent="0.25">
      <c r="A367" s="21" t="str">
        <f ca="1">IFERROR(__xludf.DUMMYFUNCTION("""COMPUTED_VALUE"""),"0014P00003MjOsqQAF")</f>
        <v>0014P00003MjOsqQAF</v>
      </c>
      <c r="B367" s="27" t="str">
        <f ca="1">IFERROR(__xludf.DUMMYFUNCTION("""COMPUTED_VALUE"""),"Fase Inicial")</f>
        <v>Fase Inicial</v>
      </c>
      <c r="C367" s="27" t="str">
        <f ca="1">IFERROR(__xludf.DUMMYFUNCTION("""COMPUTED_VALUE"""),"Unidade Própria")</f>
        <v>Unidade Própria</v>
      </c>
      <c r="D367" s="27" t="str">
        <f ca="1">IFERROR(__xludf.DUMMYFUNCTION("""COMPUTED_VALUE"""),"Ativo")</f>
        <v>Ativo</v>
      </c>
      <c r="E367" s="27" t="str">
        <f ca="1">IFERROR(__xludf.DUMMYFUNCTION("""COMPUTED_VALUE"""),"INSTITUTO GERANDO FALCÕES - UNIDADE SUZANO")</f>
        <v>INSTITUTO GERANDO FALCÕES - UNIDADE SUZANO</v>
      </c>
      <c r="F367" s="27" t="str">
        <f ca="1">IFERROR(__xludf.DUMMYFUNCTION("""COMPUTED_VALUE"""),"Miquéias")</f>
        <v>Miquéias</v>
      </c>
      <c r="G367" s="27" t="str">
        <f ca="1">IFERROR(__xludf.DUMMYFUNCTION("""COMPUTED_VALUE"""),"Unidade de Suzano")</f>
        <v>Unidade de Suzano</v>
      </c>
      <c r="H367" s="27" t="str">
        <f ca="1">IFERROR(__xludf.DUMMYFUNCTION("""COMPUTED_VALUE"""),"18.463.148/0001-28")</f>
        <v>18.463.148/0001-28</v>
      </c>
      <c r="I367" s="27" t="str">
        <f ca="1">IFERROR(__xludf.DUMMYFUNCTION("""COMPUTED_VALUE"""),"Carlos Eduardo Brito Lira")</f>
        <v>Carlos Eduardo Brito Lira</v>
      </c>
      <c r="J367" s="27" t="str">
        <f ca="1">IFERROR(__xludf.DUMMYFUNCTION("""COMPUTED_VALUE"""),"contatogf@gerandofalcoes.com")</f>
        <v>contatogf@gerandofalcoes.com</v>
      </c>
      <c r="K367" s="27" t="str">
        <f ca="1">IFERROR(__xludf.DUMMYFUNCTION("""COMPUTED_VALUE"""),"(11)3426-9800")</f>
        <v>(11)3426-9800</v>
      </c>
      <c r="L367" s="27" t="str">
        <f ca="1">IFERROR(__xludf.DUMMYFUNCTION("""COMPUTED_VALUE"""),"SP")</f>
        <v>SP</v>
      </c>
      <c r="M367" s="27"/>
      <c r="N367" s="27"/>
      <c r="O367" s="27">
        <f ca="1">IFERROR(__xludf.DUMMYFUNCTION("""COMPUTED_VALUE"""),96)</f>
        <v>96</v>
      </c>
      <c r="P367" s="27" t="str">
        <f ca="1">IFERROR(__xludf.DUMMYFUNCTION("""COMPUTED_VALUE"""),"Suzano")</f>
        <v>Suzano</v>
      </c>
      <c r="Q367" s="27"/>
      <c r="R367" s="27">
        <f ca="1">IFERROR(__xludf.DUMMYFUNCTION("""COMPUTED_VALUE"""),8675000)</f>
        <v>8675000</v>
      </c>
      <c r="S367" s="27"/>
      <c r="T367" s="27" t="str">
        <f ca="1">IFERROR(__xludf.DUMMYFUNCTION("""COMPUTED_VALUE"""),"Esporte; Educação; Assistência Social; Cultura; Qualificação Profissional; Empreendedorismo")</f>
        <v>Esporte; Educação; Assistência Social; Cultura; Qualificação Profissional; Empreendedorismo</v>
      </c>
      <c r="U367" s="27" t="str">
        <f ca="1">IFERROR(__xludf.DUMMYFUNCTION("""COMPUTED_VALUE"""),"Crianças (6 a 12 anos); Adolescentes (12 aos 18 anos); Jovens (18 aos 24 anos); Adultos")</f>
        <v>Crianças (6 a 12 anos); Adolescentes (12 aos 18 anos); Jovens (18 aos 24 anos); Adultos</v>
      </c>
      <c r="V367" s="27"/>
      <c r="W367" s="27">
        <f ca="1">IFERROR(__xludf.DUMMYFUNCTION("""COMPUTED_VALUE"""),4)</f>
        <v>4</v>
      </c>
      <c r="X367" s="27"/>
      <c r="Y367" s="27">
        <f ca="1">IFERROR(__xludf.DUMMYFUNCTION("""COMPUTED_VALUE"""),150)</f>
        <v>150</v>
      </c>
      <c r="Z367" s="27">
        <f ca="1">IFERROR(__xludf.DUMMYFUNCTION("""COMPUTED_VALUE"""),250)</f>
        <v>250</v>
      </c>
      <c r="AA367" s="29">
        <f ca="1">IFERROR(__xludf.DUMMYFUNCTION("""COMPUTED_VALUE"""),40719)</f>
        <v>40719</v>
      </c>
      <c r="AB367" s="27" t="str">
        <f ca="1">IFERROR(__xludf.DUMMYFUNCTION("""COMPUTED_VALUE"""),"Sim")</f>
        <v>Sim</v>
      </c>
      <c r="AC367" s="27">
        <f ca="1">IFERROR(__xludf.DUMMYFUNCTION("""COMPUTED_VALUE"""),6)</f>
        <v>6</v>
      </c>
      <c r="AD367" s="27"/>
      <c r="AE367" s="27">
        <f ca="1">IFERROR(__xludf.DUMMYFUNCTION("""COMPUTED_VALUE"""),0)</f>
        <v>0</v>
      </c>
      <c r="AF367" s="27"/>
      <c r="AG367" s="27">
        <f ca="1">IFERROR(__xludf.DUMMYFUNCTION("""COMPUTED_VALUE"""),1)</f>
        <v>1</v>
      </c>
      <c r="AH367" s="27" t="str">
        <f ca="1">IFERROR(__xludf.DUMMYFUNCTION("""COMPUTED_VALUE"""),"Lei de Incentivo")</f>
        <v>Lei de Incentivo</v>
      </c>
      <c r="AI367" s="27">
        <f ca="1">IFERROR(__xludf.DUMMYFUNCTION("""COMPUTED_VALUE"""),1)</f>
        <v>1</v>
      </c>
      <c r="AJ367" s="27" t="str">
        <f ca="1">IFERROR(__xludf.DUMMYFUNCTION("""COMPUTED_VALUE"""),"Sim")</f>
        <v>Sim</v>
      </c>
      <c r="AK367" s="27" t="str">
        <f ca="1">IFERROR(__xludf.DUMMYFUNCTION("""COMPUTED_VALUE"""),"Sim")</f>
        <v>Sim</v>
      </c>
      <c r="AL367" s="21" t="str">
        <f ca="1">IFERROR(__xludf.DUMMYFUNCTION("""COMPUTED_VALUE"""),"0034P00003xgujU")</f>
        <v>0034P00003xgujU</v>
      </c>
      <c r="AM367" s="27" t="str">
        <f ca="1">IFERROR(__xludf.DUMMYFUNCTION("""COMPUTED_VALUE"""),"Correia Da Costa")</f>
        <v>Correia Da Costa</v>
      </c>
      <c r="AN367" s="27" t="str">
        <f ca="1">IFERROR(__xludf.DUMMYFUNCTION("""COMPUTED_VALUE"""),"Ativo")</f>
        <v>Ativo</v>
      </c>
      <c r="AO367" s="29">
        <f ca="1">IFERROR(__xludf.DUMMYFUNCTION("""COMPUTED_VALUE"""),40719)</f>
        <v>40719</v>
      </c>
      <c r="AP367" s="27">
        <f ca="1">IFERROR(__xludf.DUMMYFUNCTION("""COMPUTED_VALUE"""),135)</f>
        <v>135</v>
      </c>
      <c r="AQ367" s="27" t="str">
        <f ca="1">IFERROR(__xludf.DUMMYFUNCTION("""COMPUTED_VALUE"""),"Primeiro Semestre 2021")</f>
        <v>Primeiro Semestre 2021</v>
      </c>
      <c r="AR367" s="27" t="str">
        <f ca="1">IFERROR(__xludf.DUMMYFUNCTION("""COMPUTED_VALUE"""),"miqueias.costa@gerandofalcoes.com")</f>
        <v>miqueias.costa@gerandofalcoes.com</v>
      </c>
      <c r="AS367" s="27" t="str">
        <f ca="1">IFERROR(__xludf.DUMMYFUNCTION("""COMPUTED_VALUE"""),"(11) 96025-3835")</f>
        <v>(11) 96025-3835</v>
      </c>
      <c r="AT367" s="29">
        <f ca="1">IFERROR(__xludf.DUMMYFUNCTION("""COMPUTED_VALUE"""),33926)</f>
        <v>33926</v>
      </c>
      <c r="AU367" s="27">
        <f ca="1">IFERROR(__xludf.DUMMYFUNCTION("""COMPUTED_VALUE"""),30)</f>
        <v>30</v>
      </c>
      <c r="AV367" s="27">
        <f ca="1">IFERROR(__xludf.DUMMYFUNCTION("""COMPUTED_VALUE"""),41187012866)</f>
        <v>41187012866</v>
      </c>
      <c r="AW367" s="27">
        <f ca="1">IFERROR(__xludf.DUMMYFUNCTION("""COMPUTED_VALUE"""),490212335)</f>
        <v>490212335</v>
      </c>
      <c r="AX367" s="27" t="str">
        <f ca="1">IFERROR(__xludf.DUMMYFUNCTION("""COMPUTED_VALUE"""),"Processos Gerenciais.")</f>
        <v>Processos Gerenciais.</v>
      </c>
      <c r="AY367" s="27" t="str">
        <f ca="1">IFERROR(__xludf.DUMMYFUNCTION("""COMPUTED_VALUE"""),"Líder Social")</f>
        <v>Líder Social</v>
      </c>
      <c r="AZ367" s="27"/>
      <c r="BA367" s="27"/>
      <c r="BB367" s="27"/>
      <c r="BC367" s="27" t="str">
        <f ca="1">IFERROR(__xludf.DUMMYFUNCTION("""COMPUTED_VALUE"""),"Sim")</f>
        <v>Sim</v>
      </c>
      <c r="BD367" s="27"/>
      <c r="BE367" s="27"/>
      <c r="BF367" s="27"/>
      <c r="BG367" s="27"/>
      <c r="BH367" s="27"/>
      <c r="BI367" s="27" t="str">
        <f ca="1">IFERROR(__xludf.DUMMYFUNCTION("""COMPUTED_VALUE"""),"Graduação")</f>
        <v>Graduação</v>
      </c>
      <c r="BJ367" s="27"/>
      <c r="BK367" s="27" t="str">
        <f ca="1">IFERROR(__xludf.DUMMYFUNCTION("""COMPUTED_VALUE"""),"Manoel Alabarce lopes")</f>
        <v>Manoel Alabarce lopes</v>
      </c>
      <c r="BL367" s="27">
        <f ca="1">IFERROR(__xludf.DUMMYFUNCTION("""COMPUTED_VALUE"""),100)</f>
        <v>100</v>
      </c>
      <c r="BM367" s="27" t="str">
        <f ca="1">IFERROR(__xludf.DUMMYFUNCTION("""COMPUTED_VALUE"""),"Bloco 07 / Apto 104")</f>
        <v>Bloco 07 / Apto 104</v>
      </c>
      <c r="BN367" s="27" t="str">
        <f ca="1">IFERROR(__xludf.DUMMYFUNCTION("""COMPUTED_VALUE"""),"Suzano")</f>
        <v>Suzano</v>
      </c>
      <c r="BO367" s="27" t="str">
        <f ca="1">IFERROR(__xludf.DUMMYFUNCTION("""COMPUTED_VALUE"""),"08663-495")</f>
        <v>08663-495</v>
      </c>
      <c r="BP367" s="27" t="str">
        <f ca="1">IFERROR(__xludf.DUMMYFUNCTION("""COMPUTED_VALUE"""),"SP")</f>
        <v>SP</v>
      </c>
      <c r="BQ367" s="27" t="str">
        <f ca="1">IFERROR(__xludf.DUMMYFUNCTION("""COMPUTED_VALUE"""),"Entre 1 até 3 salários mínimos")</f>
        <v>Entre 1 até 3 salários mínimos</v>
      </c>
      <c r="BR367" s="27" t="str">
        <f ca="1">IFERROR(__xludf.DUMMYFUNCTION("""COMPUTED_VALUE"""),"CLT")</f>
        <v>CLT</v>
      </c>
      <c r="BS367" s="27" t="str">
        <f ca="1">IFERROR(__xludf.DUMMYFUNCTION("""COMPUTED_VALUE"""),"Casa própria")</f>
        <v>Casa própria</v>
      </c>
      <c r="BT367" s="27">
        <f ca="1">IFERROR(__xludf.DUMMYFUNCTION("""COMPUTED_VALUE"""),3)</f>
        <v>3</v>
      </c>
      <c r="BU367" s="27"/>
      <c r="BV367" s="27"/>
      <c r="BW367" s="21" t="str">
        <f ca="1">IFERROR(__xludf.DUMMYFUNCTION("""COMPUTED_VALUE"""),"https://www.linkedin.com/in/miqu%C3%A9ias-costa-b578b18a/")</f>
        <v>https://www.linkedin.com/in/miqu%C3%A9ias-costa-b578b18a/</v>
      </c>
      <c r="BX367" s="21" t="str">
        <f ca="1">IFERROR(__xludf.DUMMYFUNCTION("""COMPUTED_VALUE"""),"https://www.instagram.com/miqueiascoosta/")</f>
        <v>https://www.instagram.com/miqueiascoosta/</v>
      </c>
      <c r="BY367" s="27"/>
    </row>
    <row r="368" spans="1:77" ht="12.5" x14ac:dyDescent="0.25">
      <c r="A368" s="21" t="str">
        <f ca="1">IFERROR(__xludf.DUMMYFUNCTION("""COMPUTED_VALUE"""),"0014P00003YSp84QAD")</f>
        <v>0014P00003YSp84QAD</v>
      </c>
      <c r="B368" s="27" t="str">
        <f ca="1">IFERROR(__xludf.DUMMYFUNCTION("""COMPUTED_VALUE"""),"Fase Inicial")</f>
        <v>Fase Inicial</v>
      </c>
      <c r="C368" s="27" t="str">
        <f ca="1">IFERROR(__xludf.DUMMYFUNCTION("""COMPUTED_VALUE"""),"Fellow")</f>
        <v>Fellow</v>
      </c>
      <c r="D368" s="27" t="str">
        <f ca="1">IFERROR(__xludf.DUMMYFUNCTION("""COMPUTED_VALUE"""),"Ativo")</f>
        <v>Ativo</v>
      </c>
      <c r="E368" s="27" t="str">
        <f ca="1">IFERROR(__xludf.DUMMYFUNCTION("""COMPUTED_VALUE"""),"Instituto Gerando Sonhos")</f>
        <v>Instituto Gerando Sonhos</v>
      </c>
      <c r="F368" s="27" t="str">
        <f ca="1">IFERROR(__xludf.DUMMYFUNCTION("""COMPUTED_VALUE"""),"Luciana")</f>
        <v>Luciana</v>
      </c>
      <c r="G368" s="27"/>
      <c r="H368" s="27" t="str">
        <f ca="1">IFERROR(__xludf.DUMMYFUNCTION("""COMPUTED_VALUE"""),"40.030.080/0001-42")</f>
        <v>40.030.080/0001-42</v>
      </c>
      <c r="I368" s="27" t="str">
        <f ca="1">IFERROR(__xludf.DUMMYFUNCTION("""COMPUTED_VALUE"""),"Peterson Pereira Bezerra")</f>
        <v>Peterson Pereira Bezerra</v>
      </c>
      <c r="J368" s="27" t="str">
        <f ca="1">IFERROR(__xludf.DUMMYFUNCTION("""COMPUTED_VALUE"""),"institutogerandosonhos@gmail.com")</f>
        <v>institutogerandosonhos@gmail.com</v>
      </c>
      <c r="K368" s="27" t="str">
        <f ca="1">IFERROR(__xludf.DUMMYFUNCTION("""COMPUTED_VALUE"""),"(21)96412-1810")</f>
        <v>(21)96412-1810</v>
      </c>
      <c r="L368" s="27" t="str">
        <f ca="1">IFERROR(__xludf.DUMMYFUNCTION("""COMPUTED_VALUE"""),"RJ")</f>
        <v>RJ</v>
      </c>
      <c r="M368" s="27" t="str">
        <f ca="1">IFERROR(__xludf.DUMMYFUNCTION("""COMPUTED_VALUE"""),"Bom Sossego, 382")</f>
        <v>Bom Sossego, 382</v>
      </c>
      <c r="N368" s="27" t="str">
        <f ca="1">IFERROR(__xludf.DUMMYFUNCTION("""COMPUTED_VALUE"""),"Padre Miguel")</f>
        <v>Padre Miguel</v>
      </c>
      <c r="O368" s="27">
        <f ca="1">IFERROR(__xludf.DUMMYFUNCTION("""COMPUTED_VALUE"""),382)</f>
        <v>382</v>
      </c>
      <c r="P368" s="27" t="str">
        <f ca="1">IFERROR(__xludf.DUMMYFUNCTION("""COMPUTED_VALUE"""),"Rio de Janeiro")</f>
        <v>Rio de Janeiro</v>
      </c>
      <c r="Q368" s="27" t="str">
        <f ca="1">IFERROR(__xludf.DUMMYFUNCTION("""COMPUTED_VALUE"""),"Em Cima da Associação de Moradores")</f>
        <v>Em Cima da Associação de Moradores</v>
      </c>
      <c r="R368" s="27" t="str">
        <f ca="1">IFERROR(__xludf.DUMMYFUNCTION("""COMPUTED_VALUE"""),"21870-390")</f>
        <v>21870-390</v>
      </c>
      <c r="S368" s="27"/>
      <c r="T368" s="27" t="str">
        <f ca="1">IFERROR(__xludf.DUMMYFUNCTION("""COMPUTED_VALUE"""),"Esporte; Educação; Cultura")</f>
        <v>Esporte; Educação; Cultura</v>
      </c>
      <c r="U368"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368" s="27" t="str">
        <f ca="1">IFERROR(__xludf.DUMMYFUNCTION("""COMPUTED_VALUE"""),"Moradores de Favelas; Pessoas em situação de rua; População LGBTQ+")</f>
        <v>Moradores de Favelas; Pessoas em situação de rua; População LGBTQ+</v>
      </c>
      <c r="W368" s="27">
        <f ca="1">IFERROR(__xludf.DUMMYFUNCTION("""COMPUTED_VALUE"""),4)</f>
        <v>4</v>
      </c>
      <c r="X368" s="27" t="str">
        <f ca="1">IFERROR(__xludf.DUMMYFUNCTION("""COMPUTED_VALUE"""),"Atendemos a Pessoas em situação de Rua com distribuição de quentinhas roupas e encaminhamentos para tirar documentação")</f>
        <v>Atendemos a Pessoas em situação de Rua com distribuição de quentinhas roupas e encaminhamentos para tirar documentação</v>
      </c>
      <c r="Y368" s="27"/>
      <c r="Z368" s="27">
        <f ca="1">IFERROR(__xludf.DUMMYFUNCTION("""COMPUTED_VALUE"""),1500)</f>
        <v>1500</v>
      </c>
      <c r="AA368" s="29">
        <f ca="1">IFERROR(__xludf.DUMMYFUNCTION("""COMPUTED_VALUE"""),43933)</f>
        <v>43933</v>
      </c>
      <c r="AB368" s="27" t="str">
        <f ca="1">IFERROR(__xludf.DUMMYFUNCTION("""COMPUTED_VALUE"""),"Sim")</f>
        <v>Sim</v>
      </c>
      <c r="AC368" s="27">
        <f ca="1">IFERROR(__xludf.DUMMYFUNCTION("""COMPUTED_VALUE"""),0)</f>
        <v>0</v>
      </c>
      <c r="AD368" s="27">
        <f ca="1">IFERROR(__xludf.DUMMYFUNCTION("""COMPUTED_VALUE"""),0)</f>
        <v>0</v>
      </c>
      <c r="AE368" s="27">
        <f ca="1">IFERROR(__xludf.DUMMYFUNCTION("""COMPUTED_VALUE"""),8)</f>
        <v>8</v>
      </c>
      <c r="AF368" s="27">
        <f ca="1">IFERROR(__xludf.DUMMYFUNCTION("""COMPUTED_VALUE"""),3)</f>
        <v>3</v>
      </c>
      <c r="AG368" s="27">
        <f ca="1">IFERROR(__xludf.DUMMYFUNCTION("""COMPUTED_VALUE"""),2)</f>
        <v>2</v>
      </c>
      <c r="AH368" s="27" t="str">
        <f ca="1">IFERROR(__xludf.DUMMYFUNCTION("""COMPUTED_VALUE"""),"Doações; Recursos próprios")</f>
        <v>Doações; Recursos próprios</v>
      </c>
      <c r="AI368" s="27">
        <f ca="1">IFERROR(__xludf.DUMMYFUNCTION("""COMPUTED_VALUE"""),0)</f>
        <v>0</v>
      </c>
      <c r="AJ368" s="27"/>
      <c r="AK368" s="27"/>
      <c r="AL368" s="21" t="str">
        <f ca="1">IFERROR(__xludf.DUMMYFUNCTION("""COMPUTED_VALUE"""),"0034P000045kxif")</f>
        <v>0034P000045kxif</v>
      </c>
      <c r="AM368" s="27" t="str">
        <f ca="1">IFERROR(__xludf.DUMMYFUNCTION("""COMPUTED_VALUE"""),"Simãozinho Da Silva")</f>
        <v>Simãozinho Da Silva</v>
      </c>
      <c r="AN368" s="27" t="str">
        <f ca="1">IFERROR(__xludf.DUMMYFUNCTION("""COMPUTED_VALUE"""),"Ativo")</f>
        <v>Ativo</v>
      </c>
      <c r="AO368" s="29">
        <f ca="1">IFERROR(__xludf.DUMMYFUNCTION("""COMPUTED_VALUE"""),44551)</f>
        <v>44551</v>
      </c>
      <c r="AP368" s="27">
        <f ca="1">IFERROR(__xludf.DUMMYFUNCTION("""COMPUTED_VALUE"""),9)</f>
        <v>9</v>
      </c>
      <c r="AQ368" s="27" t="str">
        <f ca="1">IFERROR(__xludf.DUMMYFUNCTION("""COMPUTED_VALUE"""),"Segundo Semestre 2021")</f>
        <v>Segundo Semestre 2021</v>
      </c>
      <c r="AR368" s="27" t="str">
        <f ca="1">IFERROR(__xludf.DUMMYFUNCTION("""COMPUTED_VALUE"""),"luciana.simaozinho@gmail.com")</f>
        <v>luciana.simaozinho@gmail.com</v>
      </c>
      <c r="AS368" s="27" t="str">
        <f ca="1">IFERROR(__xludf.DUMMYFUNCTION("""COMPUTED_VALUE"""),"(21)96412-1810")</f>
        <v>(21)96412-1810</v>
      </c>
      <c r="AT368" s="30">
        <f ca="1">IFERROR(__xludf.DUMMYFUNCTION("""COMPUTED_VALUE"""),27014)</f>
        <v>27014</v>
      </c>
      <c r="AU368" s="27">
        <f ca="1">IFERROR(__xludf.DUMMYFUNCTION("""COMPUTED_VALUE"""),49)</f>
        <v>49</v>
      </c>
      <c r="AV368" s="27">
        <f ca="1">IFERROR(__xludf.DUMMYFUNCTION("""COMPUTED_VALUE"""),1653451793)</f>
        <v>1653451793</v>
      </c>
      <c r="AW368" s="27">
        <f ca="1">IFERROR(__xludf.DUMMYFUNCTION("""COMPUTED_VALUE"""),92561786)</f>
        <v>92561786</v>
      </c>
      <c r="AX368" s="27"/>
      <c r="AY368" s="27"/>
      <c r="AZ368" s="27" t="str">
        <f ca="1">IFERROR(__xludf.DUMMYFUNCTION("""COMPUTED_VALUE"""),"EXG3")</f>
        <v>EXG3</v>
      </c>
      <c r="BA368" s="27" t="str">
        <f ca="1">IFERROR(__xludf.DUMMYFUNCTION("""COMPUTED_VALUE"""),"Parda")</f>
        <v>Parda</v>
      </c>
      <c r="BB368" s="27" t="str">
        <f ca="1">IFERROR(__xludf.DUMMYFUNCTION("""COMPUTED_VALUE"""),"Mulher, cisgênero")</f>
        <v>Mulher, cisgênero</v>
      </c>
      <c r="BC368" s="27" t="str">
        <f ca="1">IFERROR(__xludf.DUMMYFUNCTION("""COMPUTED_VALUE"""),"Sim")</f>
        <v>Sim</v>
      </c>
      <c r="BD368" s="27" t="str">
        <f ca="1">IFERROR(__xludf.DUMMYFUNCTION("""COMPUTED_VALUE"""),"Sou Luciana Simãozinho moradora do conjunto Dom Jaime Cámara do bairro de Padre Miguel, nascida na baixada fluminense, mãe de duas filhas e avó.Fazendo formação em comunicação.
Sonhadora e empreendedora social, tudo que aprendi na vida sobre trabalho soci"&amp;"al e a importância de fazer a diferença na vida das pessoas, aprendi com minhas sobrinhas Bianca Simãozinho e Bruna Simãozinho, hoje toda a minha experiência eu devo a fundação e idealização dos sonhos de Bianca e hoje sou grata.")</f>
        <v>Sou Luciana Simãozinho moradora do conjunto Dom Jaime Cámara do bairro de Padre Miguel, nascida na baixada fluminense, mãe de duas filhas e avó.Fazendo formação em comunicação.
Sonhadora e empreendedora social, tudo que aprendi na vida sobre trabalho social e a importância de fazer a diferença na vida das pessoas, aprendi com minhas sobrinhas Bianca Simãozinho e Bruna Simãozinho, hoje toda a minha experiência eu devo a fundação e idealização dos sonhos de Bianca e hoje sou grata.</v>
      </c>
      <c r="BE368" s="27"/>
      <c r="BF368" s="27" t="str">
        <f ca="1">IFERROR(__xludf.DUMMYFUNCTION("""COMPUTED_VALUE"""),"Heterossexual")</f>
        <v>Heterossexual</v>
      </c>
      <c r="BG368" s="27" t="str">
        <f ca="1">IFERROR(__xludf.DUMMYFUNCTION("""COMPUTED_VALUE"""),"Ensino Superior - Incompleto")</f>
        <v>Ensino Superior - Incompleto</v>
      </c>
      <c r="BH368" s="27" t="str">
        <f ca="1">IFERROR(__xludf.DUMMYFUNCTION("""COMPUTED_VALUE"""),"Privado")</f>
        <v>Privado</v>
      </c>
      <c r="BI368" s="27" t="str">
        <f ca="1">IFERROR(__xludf.DUMMYFUNCTION("""COMPUTED_VALUE"""),"Graduação")</f>
        <v>Graduação</v>
      </c>
      <c r="BJ368" s="27" t="str">
        <f ca="1">IFERROR(__xludf.DUMMYFUNCTION("""COMPUTED_VALUE"""),"Privado")</f>
        <v>Privado</v>
      </c>
      <c r="BK368" s="27" t="str">
        <f ca="1">IFERROR(__xludf.DUMMYFUNCTION("""COMPUTED_VALUE"""),"Matriz de Camaragipe")</f>
        <v>Matriz de Camaragipe</v>
      </c>
      <c r="BL368" s="27">
        <f ca="1">IFERROR(__xludf.DUMMYFUNCTION("""COMPUTED_VALUE"""),376)</f>
        <v>376</v>
      </c>
      <c r="BM368" s="27" t="str">
        <f ca="1">IFERROR(__xludf.DUMMYFUNCTION("""COMPUTED_VALUE"""),"Apt 103")</f>
        <v>Apt 103</v>
      </c>
      <c r="BN368" s="27" t="str">
        <f ca="1">IFERROR(__xludf.DUMMYFUNCTION("""COMPUTED_VALUE"""),"Rio de Janeiro")</f>
        <v>Rio de Janeiro</v>
      </c>
      <c r="BO368" s="27" t="str">
        <f ca="1">IFERROR(__xludf.DUMMYFUNCTION("""COMPUTED_VALUE"""),"21870-370")</f>
        <v>21870-370</v>
      </c>
      <c r="BP368" s="27" t="str">
        <f ca="1">IFERROR(__xludf.DUMMYFUNCTION("""COMPUTED_VALUE"""),"RJ")</f>
        <v>RJ</v>
      </c>
      <c r="BQ368" s="27" t="str">
        <f ca="1">IFERROR(__xludf.DUMMYFUNCTION("""COMPUTED_VALUE"""),"Entre 1 até 3 salários mínimos")</f>
        <v>Entre 1 até 3 salários mínimos</v>
      </c>
      <c r="BR368" s="27" t="str">
        <f ca="1">IFERROR(__xludf.DUMMYFUNCTION("""COMPUTED_VALUE"""),"Desempregado")</f>
        <v>Desempregado</v>
      </c>
      <c r="BS368" s="27" t="str">
        <f ca="1">IFERROR(__xludf.DUMMYFUNCTION("""COMPUTED_VALUE"""),"Casa cedida")</f>
        <v>Casa cedida</v>
      </c>
      <c r="BT368" s="27">
        <f ca="1">IFERROR(__xludf.DUMMYFUNCTION("""COMPUTED_VALUE"""),2)</f>
        <v>2</v>
      </c>
      <c r="BU368" s="27" t="str">
        <f ca="1">IFERROR(__xludf.DUMMYFUNCTION("""COMPUTED_VALUE"""),"Não tem")</f>
        <v>Não tem</v>
      </c>
      <c r="BV368" s="27"/>
      <c r="BW368" s="21" t="str">
        <f ca="1">IFERROR(__xludf.DUMMYFUNCTION("""COMPUTED_VALUE"""),"https://www.linkedin.com/in/luciana-sim%C3%A3ozinho-84943426")</f>
        <v>https://www.linkedin.com/in/luciana-sim%C3%A3ozinho-84943426</v>
      </c>
      <c r="BX368" s="21" t="str">
        <f ca="1">IFERROR(__xludf.DUMMYFUNCTION("""COMPUTED_VALUE"""),"https://www.instagram.com/p/CRHw61GH1gO/?utm_medium=copy_link")</f>
        <v>https://www.instagram.com/p/CRHw61GH1gO/?utm_medium=copy_link</v>
      </c>
      <c r="BY368" s="21" t="str">
        <f ca="1">IFERROR(__xludf.DUMMYFUNCTION("""COMPUTED_VALUE"""),"https://drive.google.com/open?id=1rRiKpQEnzM8Ile6DC--zLasxwPkm7spI")</f>
        <v>https://drive.google.com/open?id=1rRiKpQEnzM8Ile6DC--zLasxwPkm7spI</v>
      </c>
    </row>
    <row r="369" spans="1:77" ht="12.5" x14ac:dyDescent="0.25">
      <c r="A369" s="21" t="str">
        <f ca="1">IFERROR(__xludf.DUMMYFUNCTION("""COMPUTED_VALUE"""),"0014X00002PUOZAQA5")</f>
        <v>0014X00002PUOZAQA5</v>
      </c>
      <c r="B369" s="27" t="str">
        <f ca="1">IFERROR(__xludf.DUMMYFUNCTION("""COMPUTED_VALUE"""),"Fase Estruturação")</f>
        <v>Fase Estruturação</v>
      </c>
      <c r="C369" s="27" t="str">
        <f ca="1">IFERROR(__xludf.DUMMYFUNCTION("""COMPUTED_VALUE"""),"Fellow")</f>
        <v>Fellow</v>
      </c>
      <c r="D369" s="27" t="str">
        <f ca="1">IFERROR(__xludf.DUMMYFUNCTION("""COMPUTED_VALUE"""),"Ativo")</f>
        <v>Ativo</v>
      </c>
      <c r="E369" s="27" t="str">
        <f ca="1">IFERROR(__xludf.DUMMYFUNCTION("""COMPUTED_VALUE"""),"Instituto Girassol de Desenvolvimento Social")</f>
        <v>Instituto Girassol de Desenvolvimento Social</v>
      </c>
      <c r="F369" s="27" t="str">
        <f ca="1">IFERROR(__xludf.DUMMYFUNCTION("""COMPUTED_VALUE"""),"José Sandro")</f>
        <v>José Sandro</v>
      </c>
      <c r="G369" s="27" t="str">
        <f ca="1">IFERROR(__xludf.DUMMYFUNCTION("""COMPUTED_VALUE"""),"Girassol")</f>
        <v>Girassol</v>
      </c>
      <c r="H369" s="27" t="str">
        <f ca="1">IFERROR(__xludf.DUMMYFUNCTION("""COMPUTED_VALUE"""),"07.888.521/0001-76")</f>
        <v>07.888.521/0001-76</v>
      </c>
      <c r="I369" s="27"/>
      <c r="J369" s="27"/>
      <c r="K369" s="27" t="str">
        <f ca="1">IFERROR(__xludf.DUMMYFUNCTION("""COMPUTED_VALUE"""),"(82)99936-8491")</f>
        <v>(82)99936-8491</v>
      </c>
      <c r="L369" s="27" t="str">
        <f ca="1">IFERROR(__xludf.DUMMYFUNCTION("""COMPUTED_VALUE"""),"AL")</f>
        <v>AL</v>
      </c>
      <c r="M369" s="27" t="str">
        <f ca="1">IFERROR(__xludf.DUMMYFUNCTION("""COMPUTED_VALUE"""),"RUA MAJOR JOSÉ TENÓRIO DA SILVA")</f>
        <v>RUA MAJOR JOSÉ TENÓRIO DA SILVA</v>
      </c>
      <c r="N369" s="27" t="str">
        <f ca="1">IFERROR(__xludf.DUMMYFUNCTION("""COMPUTED_VALUE"""),"Padre Cicero")</f>
        <v>Padre Cicero</v>
      </c>
      <c r="O369" s="27" t="str">
        <f ca="1">IFERROR(__xludf.DUMMYFUNCTION("""COMPUTED_VALUE"""),"(82)99936-8491")</f>
        <v>(82)99936-8491</v>
      </c>
      <c r="P369" s="27" t="str">
        <f ca="1">IFERROR(__xludf.DUMMYFUNCTION("""COMPUTED_VALUE"""),"BOCA DA MATA")</f>
        <v>BOCA DA MATA</v>
      </c>
      <c r="Q369" s="27"/>
      <c r="R369" s="27" t="str">
        <f ca="1">IFERROR(__xludf.DUMMYFUNCTION("""COMPUTED_VALUE"""),"57680-000")</f>
        <v>57680-000</v>
      </c>
      <c r="S369" s="27"/>
      <c r="T369" s="27" t="str">
        <f ca="1">IFERROR(__xludf.DUMMYFUNCTION("""COMPUTED_VALUE"""),"Educação")</f>
        <v>Educação</v>
      </c>
      <c r="U369" s="27" t="str">
        <f ca="1">IFERROR(__xludf.DUMMYFUNCTION("""COMPUTED_VALUE"""),"Crianças (6 a 12 anos); Adolescentes (12 aos 18 anos); Jovens (18 aos 24 anos); Adultos")</f>
        <v>Crianças (6 a 12 anos); Adolescentes (12 aos 18 anos); Jovens (18 aos 24 anos); Adultos</v>
      </c>
      <c r="V369" s="27" t="str">
        <f ca="1">IFERROR(__xludf.DUMMYFUNCTION("""COMPUTED_VALUE"""),"Moradores de Favelas; Afrodescendentes; Comunidade rural; Outros")</f>
        <v>Moradores de Favelas; Afrodescendentes; Comunidade rural; Outros</v>
      </c>
      <c r="W369" s="27">
        <f ca="1">IFERROR(__xludf.DUMMYFUNCTION("""COMPUTED_VALUE"""),2)</f>
        <v>2</v>
      </c>
      <c r="X369" s="27" t="str">
        <f ca="1">IFERROR(__xludf.DUMMYFUNCTION("""COMPUTED_VALUE"""),"Nosso público prioritário são crianças e adolescentes em situação de risco/vulnerabilidade social;")</f>
        <v>Nosso público prioritário são crianças e adolescentes em situação de risco/vulnerabilidade social;</v>
      </c>
      <c r="Y369" s="27"/>
      <c r="Z369" s="27"/>
      <c r="AA369" s="27"/>
      <c r="AB369" s="27"/>
      <c r="AC369" s="27">
        <f ca="1">IFERROR(__xludf.DUMMYFUNCTION("""COMPUTED_VALUE"""),0)</f>
        <v>0</v>
      </c>
      <c r="AD369" s="27">
        <f ca="1">IFERROR(__xludf.DUMMYFUNCTION("""COMPUTED_VALUE"""),20)</f>
        <v>20</v>
      </c>
      <c r="AE369" s="27">
        <f ca="1">IFERROR(__xludf.DUMMYFUNCTION("""COMPUTED_VALUE"""),4)</f>
        <v>4</v>
      </c>
      <c r="AF369" s="27">
        <f ca="1">IFERROR(__xludf.DUMMYFUNCTION("""COMPUTED_VALUE"""),10)</f>
        <v>10</v>
      </c>
      <c r="AG369" s="27">
        <f ca="1">IFERROR(__xludf.DUMMYFUNCTION("""COMPUTED_VALUE"""),3)</f>
        <v>3</v>
      </c>
      <c r="AH369" s="27" t="str">
        <f ca="1">IFERROR(__xludf.DUMMYFUNCTION("""COMPUTED_VALUE"""),"Lei de Incentivo; Convênio Público; Editais; Doações; FIA")</f>
        <v>Lei de Incentivo; Convênio Público; Editais; Doações; FIA</v>
      </c>
      <c r="AI369" s="27" t="str">
        <f ca="1">IFERROR(__xludf.DUMMYFUNCTION("""COMPUTED_VALUE"""),"60% FIA 10% DOAÇÕES 10%CONVÊNIO 20% MP/PJ")</f>
        <v>60% FIA 10% DOAÇÕES 10%CONVÊNIO 20% MP/PJ</v>
      </c>
      <c r="AJ369" s="27" t="str">
        <f ca="1">IFERROR(__xludf.DUMMYFUNCTION("""COMPUTED_VALUE"""),"Vamos iniciar esse ano")</f>
        <v>Vamos iniciar esse ano</v>
      </c>
      <c r="AK369" s="27" t="str">
        <f ca="1">IFERROR(__xludf.DUMMYFUNCTION("""COMPUTED_VALUE"""),"Sim")</f>
        <v>Sim</v>
      </c>
      <c r="AL369" s="21" t="str">
        <f ca="1">IFERROR(__xludf.DUMMYFUNCTION("""COMPUTED_VALUE"""),"0034X000032Hs9p")</f>
        <v>0034X000032Hs9p</v>
      </c>
      <c r="AM369" s="27" t="str">
        <f ca="1">IFERROR(__xludf.DUMMYFUNCTION("""COMPUTED_VALUE"""),"Sandro Das Neves Santos")</f>
        <v>Sandro Das Neves Santos</v>
      </c>
      <c r="AN369" s="27" t="str">
        <f ca="1">IFERROR(__xludf.DUMMYFUNCTION("""COMPUTED_VALUE"""),"Ativo")</f>
        <v>Ativo</v>
      </c>
      <c r="AO369" s="30">
        <f ca="1">IFERROR(__xludf.DUMMYFUNCTION("""COMPUTED_VALUE"""),44487)</f>
        <v>44487</v>
      </c>
      <c r="AP369" s="27">
        <f ca="1">IFERROR(__xludf.DUMMYFUNCTION("""COMPUTED_VALUE"""),11)</f>
        <v>11</v>
      </c>
      <c r="AQ369" s="27" t="str">
        <f ca="1">IFERROR(__xludf.DUMMYFUNCTION("""COMPUTED_VALUE"""),"Primeiro Semestre 2020")</f>
        <v>Primeiro Semestre 2020</v>
      </c>
      <c r="AR369" s="27" t="str">
        <f ca="1">IFERROR(__xludf.DUMMYFUNCTION("""COMPUTED_VALUE"""),"contato@sandrosantos.eti.br")</f>
        <v>contato@sandrosantos.eti.br</v>
      </c>
      <c r="AS369" s="27" t="str">
        <f ca="1">IFERROR(__xludf.DUMMYFUNCTION("""COMPUTED_VALUE"""),"(82)99936-8491")</f>
        <v>(82)99936-8491</v>
      </c>
      <c r="AT369" s="30">
        <f ca="1">IFERROR(__xludf.DUMMYFUNCTION("""COMPUTED_VALUE"""),30869)</f>
        <v>30869</v>
      </c>
      <c r="AU369" s="27">
        <f ca="1">IFERROR(__xludf.DUMMYFUNCTION("""COMPUTED_VALUE"""),38)</f>
        <v>38</v>
      </c>
      <c r="AV369" s="27">
        <f ca="1">IFERROR(__xludf.DUMMYFUNCTION("""COMPUTED_VALUE"""),5239578400)</f>
        <v>5239578400</v>
      </c>
      <c r="AW369" s="27" t="str">
        <f ca="1">IFERROR(__xludf.DUMMYFUNCTION("""COMPUTED_VALUE"""),"2002001040086")</f>
        <v>2002001040086</v>
      </c>
      <c r="AX369" s="27" t="str">
        <f ca="1">IFERROR(__xludf.DUMMYFUNCTION("""COMPUTED_VALUE"""),"Pedagogia e pós em gestão e coordenação pedagógica")</f>
        <v>Pedagogia e pós em gestão e coordenação pedagógica</v>
      </c>
      <c r="AY369" s="27"/>
      <c r="AZ369" s="27" t="str">
        <f ca="1">IFERROR(__xludf.DUMMYFUNCTION("""COMPUTED_VALUE"""),"G")</f>
        <v>G</v>
      </c>
      <c r="BA369" s="27"/>
      <c r="BB369" s="27"/>
      <c r="BC369" s="27" t="str">
        <f ca="1">IFERROR(__xludf.DUMMYFUNCTION("""COMPUTED_VALUE"""),"Não")</f>
        <v>Não</v>
      </c>
      <c r="BD369" s="27" t="str">
        <f ca="1">IFERROR(__xludf.DUMMYFUNCTION("""COMPUTED_VALUE"""),"Graduado Tecnólogo em Análise e Desenvolvimento de Sistemas e Licenciatura em informática, com especialização em Segurança em Redes e Computação Forense pela Universidade Mauricio de Nassau. Tem uma grande experiência em captação de recursos, articulação "&amp;"e mobilização de parcerias e na área da infância, juventude e desenvolvimento local. Atualmente é coordenador executivo do Instituto Girassol de Desenvolvimento Social.")</f>
        <v>Graduado Tecnólogo em Análise e Desenvolvimento de Sistemas e Licenciatura em informática, com especialização em Segurança em Redes e Computação Forense pela Universidade Mauricio de Nassau. Tem uma grande experiência em captação de recursos, articulação e mobilização de parcerias e na área da infância, juventude e desenvolvimento local. Atualmente é coordenador executivo do Instituto Girassol de Desenvolvimento Social.</v>
      </c>
      <c r="BE369" s="27" t="str">
        <f ca="1">IFERROR(__xludf.DUMMYFUNCTION("""COMPUTED_VALUE"""),"Masculino")</f>
        <v>Masculino</v>
      </c>
      <c r="BF369" s="27"/>
      <c r="BG369" s="27" t="str">
        <f ca="1">IFERROR(__xludf.DUMMYFUNCTION("""COMPUTED_VALUE"""),"Ensino Superior - Completo")</f>
        <v>Ensino Superior - Completo</v>
      </c>
      <c r="BH369" s="27" t="str">
        <f ca="1">IFERROR(__xludf.DUMMYFUNCTION("""COMPUTED_VALUE"""),"Público")</f>
        <v>Público</v>
      </c>
      <c r="BI369" s="27" t="str">
        <f ca="1">IFERROR(__xludf.DUMMYFUNCTION("""COMPUTED_VALUE"""),"Pós-Graduação")</f>
        <v>Pós-Graduação</v>
      </c>
      <c r="BJ369" s="27" t="str">
        <f ca="1">IFERROR(__xludf.DUMMYFUNCTION("""COMPUTED_VALUE"""),"Privado")</f>
        <v>Privado</v>
      </c>
      <c r="BK369" s="27" t="str">
        <f ca="1">IFERROR(__xludf.DUMMYFUNCTION("""COMPUTED_VALUE"""),"Rua José Duda Silva")</f>
        <v>Rua José Duda Silva</v>
      </c>
      <c r="BL369" s="27">
        <f ca="1">IFERROR(__xludf.DUMMYFUNCTION("""COMPUTED_VALUE"""),67)</f>
        <v>67</v>
      </c>
      <c r="BM369" s="27"/>
      <c r="BN369" s="27" t="str">
        <f ca="1">IFERROR(__xludf.DUMMYFUNCTION("""COMPUTED_VALUE"""),"BOCA DA MATA")</f>
        <v>BOCA DA MATA</v>
      </c>
      <c r="BO369" s="27" t="str">
        <f ca="1">IFERROR(__xludf.DUMMYFUNCTION("""COMPUTED_VALUE"""),"57680-000")</f>
        <v>57680-000</v>
      </c>
      <c r="BP369" s="27" t="str">
        <f ca="1">IFERROR(__xludf.DUMMYFUNCTION("""COMPUTED_VALUE"""),"AL")</f>
        <v>AL</v>
      </c>
      <c r="BQ369" s="27" t="str">
        <f ca="1">IFERROR(__xludf.DUMMYFUNCTION("""COMPUTED_VALUE"""),"Entre 1 até 3 salários mínimos")</f>
        <v>Entre 1 até 3 salários mínimos</v>
      </c>
      <c r="BR369" s="27" t="str">
        <f ca="1">IFERROR(__xludf.DUMMYFUNCTION("""COMPUTED_VALUE"""),"Trabalho informal")</f>
        <v>Trabalho informal</v>
      </c>
      <c r="BS369" s="27" t="str">
        <f ca="1">IFERROR(__xludf.DUMMYFUNCTION("""COMPUTED_VALUE"""),"Casa cedida")</f>
        <v>Casa cedida</v>
      </c>
      <c r="BT369" s="27">
        <f ca="1">IFERROR(__xludf.DUMMYFUNCTION("""COMPUTED_VALUE"""),1)</f>
        <v>1</v>
      </c>
      <c r="BU369" s="27"/>
      <c r="BV369" s="27"/>
      <c r="BW369" s="21" t="str">
        <f ca="1">IFERROR(__xludf.DUMMYFUNCTION("""COMPUTED_VALUE"""),"https://www.linkedin.com/in/sandroigds/")</f>
        <v>https://www.linkedin.com/in/sandroigds/</v>
      </c>
      <c r="BX369" s="21" t="str">
        <f ca="1">IFERROR(__xludf.DUMMYFUNCTION("""COMPUTED_VALUE"""),"https://www.instagram.com/sandroczq/")</f>
        <v>https://www.instagram.com/sandroczq/</v>
      </c>
      <c r="BY369" s="21" t="str">
        <f ca="1">IFERROR(__xludf.DUMMYFUNCTION("""COMPUTED_VALUE"""),"https://drive.google.com/open?id=1Z-8UdHpGj_EhFWxZ-Eu759XUryXw26ji")</f>
        <v>https://drive.google.com/open?id=1Z-8UdHpGj_EhFWxZ-Eu759XUryXw26ji</v>
      </c>
    </row>
    <row r="370" spans="1:77" ht="12.5" x14ac:dyDescent="0.25">
      <c r="A370" s="21" t="str">
        <f ca="1">IFERROR(__xludf.DUMMYFUNCTION("""COMPUTED_VALUE"""),"0014P00003SGWPzQAP")</f>
        <v>0014P00003SGWPzQAP</v>
      </c>
      <c r="B370" s="27" t="str">
        <f ca="1">IFERROR(__xludf.DUMMYFUNCTION("""COMPUTED_VALUE"""),"Fase Avançada")</f>
        <v>Fase Avançada</v>
      </c>
      <c r="C370" s="27" t="str">
        <f ca="1">IFERROR(__xludf.DUMMYFUNCTION("""COMPUTED_VALUE"""),"Fellow")</f>
        <v>Fellow</v>
      </c>
      <c r="D370" s="27" t="str">
        <f ca="1">IFERROR(__xludf.DUMMYFUNCTION("""COMPUTED_VALUE"""),"Ativo")</f>
        <v>Ativo</v>
      </c>
      <c r="E370" s="27" t="str">
        <f ca="1">IFERROR(__xludf.DUMMYFUNCTION("""COMPUTED_VALUE"""),"INSTITUTO HERDAR")</f>
        <v>INSTITUTO HERDAR</v>
      </c>
      <c r="F370" s="27" t="str">
        <f ca="1">IFERROR(__xludf.DUMMYFUNCTION("""COMPUTED_VALUE"""),"Poliana")</f>
        <v>Poliana</v>
      </c>
      <c r="G370" s="27" t="str">
        <f ca="1">IFERROR(__xludf.DUMMYFUNCTION("""COMPUTED_VALUE"""),"HERDAR")</f>
        <v>HERDAR</v>
      </c>
      <c r="H370" s="27" t="str">
        <f ca="1">IFERROR(__xludf.DUMMYFUNCTION("""COMPUTED_VALUE"""),"09.047.452/0001-01")</f>
        <v>09.047.452/0001-01</v>
      </c>
      <c r="I370" s="27"/>
      <c r="J370" s="27" t="str">
        <f ca="1">IFERROR(__xludf.DUMMYFUNCTION("""COMPUTED_VALUE"""),"poliana@herdar.org.br")</f>
        <v>poliana@herdar.org.br</v>
      </c>
      <c r="K370" s="27" t="str">
        <f ca="1">IFERROR(__xludf.DUMMYFUNCTION("""COMPUTED_VALUE"""),"(31)98688-7119")</f>
        <v>(31)98688-7119</v>
      </c>
      <c r="L370" s="27" t="str">
        <f ca="1">IFERROR(__xludf.DUMMYFUNCTION("""COMPUTED_VALUE"""),"MG")</f>
        <v>MG</v>
      </c>
      <c r="M370" s="27" t="str">
        <f ca="1">IFERROR(__xludf.DUMMYFUNCTION("""COMPUTED_VALUE"""),"Rua Pedra Negra 33")</f>
        <v>Rua Pedra Negra 33</v>
      </c>
      <c r="N370" s="27" t="str">
        <f ca="1">IFERROR(__xludf.DUMMYFUNCTION("""COMPUTED_VALUE"""),"São Gabriel")</f>
        <v>São Gabriel</v>
      </c>
      <c r="O370" s="27" t="str">
        <f ca="1">IFERROR(__xludf.DUMMYFUNCTION("""COMPUTED_VALUE"""),"(31)98688-7119")</f>
        <v>(31)98688-7119</v>
      </c>
      <c r="P370" s="27" t="str">
        <f ca="1">IFERROR(__xludf.DUMMYFUNCTION("""COMPUTED_VALUE"""),"Belo Horizonte")</f>
        <v>Belo Horizonte</v>
      </c>
      <c r="Q370" s="27" t="str">
        <f ca="1">IFERROR(__xludf.DUMMYFUNCTION("""COMPUTED_VALUE"""),"Sobreloja")</f>
        <v>Sobreloja</v>
      </c>
      <c r="R370" s="27" t="str">
        <f ca="1">IFERROR(__xludf.DUMMYFUNCTION("""COMPUTED_VALUE"""),"31985-150")</f>
        <v>31985-150</v>
      </c>
      <c r="S370" s="27" t="str">
        <f ca="1">IFERROR(__xludf.DUMMYFUNCTION("""COMPUTED_VALUE"""),"não se aplica por enquanto")</f>
        <v>não se aplica por enquanto</v>
      </c>
      <c r="T370" s="27" t="str">
        <f ca="1">IFERROR(__xludf.DUMMYFUNCTION("""COMPUTED_VALUE"""),"Esporte; Educação; Assistência Social; Cultura")</f>
        <v>Esporte; Educação; Assistência Social; Cultura</v>
      </c>
      <c r="U370" s="27" t="str">
        <f ca="1">IFERROR(__xludf.DUMMYFUNCTION("""COMPUTED_VALUE"""),"Crianças (6 a 12 anos); Adolescentes (12 aos 18 anos)")</f>
        <v>Crianças (6 a 12 anos); Adolescentes (12 aos 18 anos)</v>
      </c>
      <c r="V370" s="27" t="str">
        <f ca="1">IFERROR(__xludf.DUMMYFUNCTION("""COMPUTED_VALUE"""),"Moradores de Favelas")</f>
        <v>Moradores de Favelas</v>
      </c>
      <c r="W370" s="27">
        <f ca="1">IFERROR(__xludf.DUMMYFUNCTION("""COMPUTED_VALUE"""),7)</f>
        <v>7</v>
      </c>
      <c r="X370" s="27" t="str">
        <f ca="1">IFERROR(__xludf.DUMMYFUNCTION("""COMPUTED_VALUE"""),"parte do São Gabriel Beira Linha Vila da Luz são ocupação")</f>
        <v>parte do São Gabriel Beira Linha Vila da Luz são ocupação</v>
      </c>
      <c r="Y370" s="27">
        <f ca="1">IFERROR(__xludf.DUMMYFUNCTION("""COMPUTED_VALUE"""),726)</f>
        <v>726</v>
      </c>
      <c r="Z370" s="27">
        <f ca="1">IFERROR(__xludf.DUMMYFUNCTION("""COMPUTED_VALUE"""),4025)</f>
        <v>4025</v>
      </c>
      <c r="AA370" s="29">
        <f ca="1">IFERROR(__xludf.DUMMYFUNCTION("""COMPUTED_VALUE"""),39286)</f>
        <v>39286</v>
      </c>
      <c r="AB370" s="27" t="str">
        <f ca="1">IFERROR(__xludf.DUMMYFUNCTION("""COMPUTED_VALUE"""),"Sim")</f>
        <v>Sim</v>
      </c>
      <c r="AC370" s="27">
        <f ca="1">IFERROR(__xludf.DUMMYFUNCTION("""COMPUTED_VALUE"""),10)</f>
        <v>10</v>
      </c>
      <c r="AD370" s="27">
        <f ca="1">IFERROR(__xludf.DUMMYFUNCTION("""COMPUTED_VALUE"""),10)</f>
        <v>10</v>
      </c>
      <c r="AE370" s="27">
        <f ca="1">IFERROR(__xludf.DUMMYFUNCTION("""COMPUTED_VALUE"""),7)</f>
        <v>7</v>
      </c>
      <c r="AF370" s="27">
        <f ca="1">IFERROR(__xludf.DUMMYFUNCTION("""COMPUTED_VALUE"""),17)</f>
        <v>17</v>
      </c>
      <c r="AG370" s="27">
        <f ca="1">IFERROR(__xludf.DUMMYFUNCTION("""COMPUTED_VALUE"""),3)</f>
        <v>3</v>
      </c>
      <c r="AH370" s="27" t="str">
        <f ca="1">IFERROR(__xludf.DUMMYFUNCTION("""COMPUTED_VALUE"""),"Convênio Público; Editais; Doações; FIA")</f>
        <v>Convênio Público; Editais; Doações; FIA</v>
      </c>
      <c r="AI370" s="27" t="str">
        <f ca="1">IFERROR(__xludf.DUMMYFUNCTION("""COMPUTED_VALUE"""),"FIA 10% Convênio Público 70% Parceria iniciativa privada 10% Doações 10%")</f>
        <v>FIA 10% Convênio Público 70% Parceria iniciativa privada 10% Doações 10%</v>
      </c>
      <c r="AJ370" s="27" t="str">
        <f ca="1">IFERROR(__xludf.DUMMYFUNCTION("""COMPUTED_VALUE"""),"Sim")</f>
        <v>Sim</v>
      </c>
      <c r="AK370" s="27" t="str">
        <f ca="1">IFERROR(__xludf.DUMMYFUNCTION("""COMPUTED_VALUE"""),"Não")</f>
        <v>Não</v>
      </c>
      <c r="AL370" s="21" t="str">
        <f ca="1">IFERROR(__xludf.DUMMYFUNCTION("""COMPUTED_VALUE"""),"0034P000043fOo2")</f>
        <v>0034P000043fOo2</v>
      </c>
      <c r="AM370" s="27" t="str">
        <f ca="1">IFERROR(__xludf.DUMMYFUNCTION("""COMPUTED_VALUE"""),"A Rodrigues")</f>
        <v>A Rodrigues</v>
      </c>
      <c r="AN370" s="27" t="str">
        <f ca="1">IFERROR(__xludf.DUMMYFUNCTION("""COMPUTED_VALUE"""),"Inativo")</f>
        <v>Inativo</v>
      </c>
      <c r="AO370" s="30">
        <f ca="1">IFERROR(__xludf.DUMMYFUNCTION("""COMPUTED_VALUE"""),44432)</f>
        <v>44432</v>
      </c>
      <c r="AP370" s="27">
        <f ca="1">IFERROR(__xludf.DUMMYFUNCTION("""COMPUTED_VALUE"""),13)</f>
        <v>13</v>
      </c>
      <c r="AQ370" s="27" t="str">
        <f ca="1">IFERROR(__xludf.DUMMYFUNCTION("""COMPUTED_VALUE"""),"Primeiro Semestre 2021")</f>
        <v>Primeiro Semestre 2021</v>
      </c>
      <c r="AR370" s="27" t="str">
        <f ca="1">IFERROR(__xludf.DUMMYFUNCTION("""COMPUTED_VALUE"""),"poliana@herdar.org.br")</f>
        <v>poliana@herdar.org.br</v>
      </c>
      <c r="AS370" s="27" t="str">
        <f ca="1">IFERROR(__xludf.DUMMYFUNCTION("""COMPUTED_VALUE"""),"(31)98688-7119")</f>
        <v>(31)98688-7119</v>
      </c>
      <c r="AT370" s="29">
        <f ca="1">IFERROR(__xludf.DUMMYFUNCTION("""COMPUTED_VALUE"""),31497)</f>
        <v>31497</v>
      </c>
      <c r="AU370" s="27">
        <f ca="1">IFERROR(__xludf.DUMMYFUNCTION("""COMPUTED_VALUE"""),36)</f>
        <v>36</v>
      </c>
      <c r="AV370" s="27">
        <f ca="1">IFERROR(__xludf.DUMMYFUNCTION("""COMPUTED_VALUE"""),6866416639)</f>
        <v>6866416639</v>
      </c>
      <c r="AW370" s="27">
        <f ca="1">IFERROR(__xludf.DUMMYFUNCTION("""COMPUTED_VALUE"""),11426302)</f>
        <v>11426302</v>
      </c>
      <c r="AX370" s="27" t="str">
        <f ca="1">IFERROR(__xludf.DUMMYFUNCTION("""COMPUTED_VALUE"""),"Administração Negócios")</f>
        <v>Administração Negócios</v>
      </c>
      <c r="AY370" s="27" t="str">
        <f ca="1">IFERROR(__xludf.DUMMYFUNCTION("""COMPUTED_VALUE"""),"não se aplica")</f>
        <v>não se aplica</v>
      </c>
      <c r="AZ370" s="27" t="str">
        <f ca="1">IFERROR(__xludf.DUMMYFUNCTION("""COMPUTED_VALUE"""),"PP")</f>
        <v>PP</v>
      </c>
      <c r="BA370" s="27" t="str">
        <f ca="1">IFERROR(__xludf.DUMMYFUNCTION("""COMPUTED_VALUE"""),"Branca")</f>
        <v>Branca</v>
      </c>
      <c r="BB370" s="27"/>
      <c r="BC370" s="27" t="str">
        <f ca="1">IFERROR(__xludf.DUMMYFUNCTION("""COMPUTED_VALUE"""),"Sim")</f>
        <v>Sim</v>
      </c>
      <c r="BD370" s="27" t="str">
        <f ca="1">IFERROR(__xludf.DUMMYFUNCTION("""COMPUTED_VALUE"""),"Olá sou a Poliana Rodrigues, Presidente/ CEO do Instituto Herdar, por aqui combatemos a desigualdade social por meio da educação a crianças adolescentes e jovens. Apaixonada por desenvolver pessoas e processos, por meio da consultoria especializada e huma"&amp;"nizada nos campos de gestão, captação de recursos, e planejamento estratégico para organizações sociais.")</f>
        <v>Olá sou a Poliana Rodrigues, Presidente/ CEO do Instituto Herdar, por aqui combatemos a desigualdade social por meio da educação a crianças adolescentes e jovens. Apaixonada por desenvolver pessoas e processos, por meio da consultoria especializada e humanizada nos campos de gestão, captação de recursos, e planejamento estratégico para organizações sociais.</v>
      </c>
      <c r="BE370" s="27" t="str">
        <f ca="1">IFERROR(__xludf.DUMMYFUNCTION("""COMPUTED_VALUE"""),"Feminino")</f>
        <v>Feminino</v>
      </c>
      <c r="BF370" s="27" t="str">
        <f ca="1">IFERROR(__xludf.DUMMYFUNCTION("""COMPUTED_VALUE"""),"Heterossexual")</f>
        <v>Heterossexual</v>
      </c>
      <c r="BG370" s="27" t="str">
        <f ca="1">IFERROR(__xludf.DUMMYFUNCTION("""COMPUTED_VALUE"""),"Ensino Superior - Completo")</f>
        <v>Ensino Superior - Completo</v>
      </c>
      <c r="BH370" s="27"/>
      <c r="BI370" s="27" t="str">
        <f ca="1">IFERROR(__xludf.DUMMYFUNCTION("""COMPUTED_VALUE"""),"Pós-Graduação")</f>
        <v>Pós-Graduação</v>
      </c>
      <c r="BJ370" s="27" t="str">
        <f ca="1">IFERROR(__xludf.DUMMYFUNCTION("""COMPUTED_VALUE"""),"Privado")</f>
        <v>Privado</v>
      </c>
      <c r="BK370" s="27" t="str">
        <f ca="1">IFERROR(__xludf.DUMMYFUNCTION("""COMPUTED_VALUE"""),"Rua Pedra Negra")</f>
        <v>Rua Pedra Negra</v>
      </c>
      <c r="BL370" s="27">
        <f ca="1">IFERROR(__xludf.DUMMYFUNCTION("""COMPUTED_VALUE"""),33)</f>
        <v>33</v>
      </c>
      <c r="BM370" s="27" t="str">
        <f ca="1">IFERROR(__xludf.DUMMYFUNCTION("""COMPUTED_VALUE"""),"apto 101 bloco 8")</f>
        <v>apto 101 bloco 8</v>
      </c>
      <c r="BN370" s="27" t="str">
        <f ca="1">IFERROR(__xludf.DUMMYFUNCTION("""COMPUTED_VALUE"""),"Belo Horizonte - MG")</f>
        <v>Belo Horizonte - MG</v>
      </c>
      <c r="BO370" s="27" t="str">
        <f ca="1">IFERROR(__xludf.DUMMYFUNCTION("""COMPUTED_VALUE"""),"31985-150")</f>
        <v>31985-150</v>
      </c>
      <c r="BP370" s="27" t="str">
        <f ca="1">IFERROR(__xludf.DUMMYFUNCTION("""COMPUTED_VALUE"""),"MG")</f>
        <v>MG</v>
      </c>
      <c r="BQ370" s="27" t="str">
        <f ca="1">IFERROR(__xludf.DUMMYFUNCTION("""COMPUTED_VALUE"""),"Entre 1 até 3 salários mínimos")</f>
        <v>Entre 1 até 3 salários mínimos</v>
      </c>
      <c r="BR370" s="27" t="str">
        <f ca="1">IFERROR(__xludf.DUMMYFUNCTION("""COMPUTED_VALUE"""),"Desempregado")</f>
        <v>Desempregado</v>
      </c>
      <c r="BS370" s="27" t="str">
        <f ca="1">IFERROR(__xludf.DUMMYFUNCTION("""COMPUTED_VALUE"""),"Casa própria")</f>
        <v>Casa própria</v>
      </c>
      <c r="BT370" s="27">
        <f ca="1">IFERROR(__xludf.DUMMYFUNCTION("""COMPUTED_VALUE"""),1)</f>
        <v>1</v>
      </c>
      <c r="BU370" s="27"/>
      <c r="BV370" s="27" t="str">
        <f ca="1">IFERROR(__xludf.DUMMYFUNCTION("""COMPUTED_VALUE"""),"Intolerância a lactose")</f>
        <v>Intolerância a lactose</v>
      </c>
      <c r="BW370" s="21" t="str">
        <f ca="1">IFERROR(__xludf.DUMMYFUNCTION("""COMPUTED_VALUE"""),"https://www.linkedin.com/in/rodrigues-poliana/")</f>
        <v>https://www.linkedin.com/in/rodrigues-poliana/</v>
      </c>
      <c r="BX370" s="27" t="str">
        <f ca="1">IFERROR(__xludf.DUMMYFUNCTION("""COMPUTED_VALUE"""),"@rodriguespolyeli")</f>
        <v>@rodriguespolyeli</v>
      </c>
      <c r="BY370" s="21" t="str">
        <f ca="1">IFERROR(__xludf.DUMMYFUNCTION("""COMPUTED_VALUE"""),"https://drive.google.com/open?id=1FYt5O94lWRvFu-Qc_f3HZwJ2wOPTEf_A")</f>
        <v>https://drive.google.com/open?id=1FYt5O94lWRvFu-Qc_f3HZwJ2wOPTEf_A</v>
      </c>
    </row>
    <row r="371" spans="1:77" ht="12.5" x14ac:dyDescent="0.25">
      <c r="A371" s="21" t="str">
        <f ca="1">IFERROR(__xludf.DUMMYFUNCTION("""COMPUTED_VALUE"""),"0014P00003AN2FzQAL")</f>
        <v>0014P00003AN2FzQAL</v>
      </c>
      <c r="B371" s="27" t="str">
        <f ca="1">IFERROR(__xludf.DUMMYFUNCTION("""COMPUTED_VALUE"""),"Fase Estruturação")</f>
        <v>Fase Estruturação</v>
      </c>
      <c r="C371" s="27" t="str">
        <f ca="1">IFERROR(__xludf.DUMMYFUNCTION("""COMPUTED_VALUE"""),"Fellow")</f>
        <v>Fellow</v>
      </c>
      <c r="D371" s="27" t="str">
        <f ca="1">IFERROR(__xludf.DUMMYFUNCTION("""COMPUTED_VALUE"""),"Ativo")</f>
        <v>Ativo</v>
      </c>
      <c r="E371" s="27" t="str">
        <f ca="1">IFERROR(__xludf.DUMMYFUNCTION("""COMPUTED_VALUE"""),"Instituto Inovação Sustentável - ONG Mensageiros da Esperança")</f>
        <v>Instituto Inovação Sustentável - ONG Mensageiros da Esperança</v>
      </c>
      <c r="F371" s="27" t="str">
        <f ca="1">IFERROR(__xludf.DUMMYFUNCTION("""COMPUTED_VALUE"""),"Veronica")</f>
        <v>Veronica</v>
      </c>
      <c r="G371" s="27"/>
      <c r="H371" s="27" t="str">
        <f ca="1">IFERROR(__xludf.DUMMYFUNCTION("""COMPUTED_VALUE"""),"20.587.478/0001-77")</f>
        <v>20.587.478/0001-77</v>
      </c>
      <c r="I371" s="27"/>
      <c r="J371" s="27"/>
      <c r="K371" s="27" t="str">
        <f ca="1">IFERROR(__xludf.DUMMYFUNCTION("""COMPUTED_VALUE"""),"(11)2737-6124")</f>
        <v>(11)2737-6124</v>
      </c>
      <c r="L371" s="27" t="str">
        <f ca="1">IFERROR(__xludf.DUMMYFUNCTION("""COMPUTED_VALUE"""),"SP")</f>
        <v>SP</v>
      </c>
      <c r="M371" s="27" t="str">
        <f ca="1">IFERROR(__xludf.DUMMYFUNCTION("""COMPUTED_VALUE"""),"Rua Moxei,96")</f>
        <v>Rua Moxei,96</v>
      </c>
      <c r="N371" s="27"/>
      <c r="O371" s="27" t="str">
        <f ca="1">IFERROR(__xludf.DUMMYFUNCTION("""COMPUTED_VALUE"""),"(11)95726-0556")</f>
        <v>(11)95726-0556</v>
      </c>
      <c r="P371" s="27" t="str">
        <f ca="1">IFERROR(__xludf.DUMMYFUNCTION("""COMPUTED_VALUE"""),"São Paulo")</f>
        <v>São Paulo</v>
      </c>
      <c r="Q371" s="27"/>
      <c r="R371" s="27" t="str">
        <f ca="1">IFERROR(__xludf.DUMMYFUNCTION("""COMPUTED_VALUE"""),"05068-010")</f>
        <v>05068-010</v>
      </c>
      <c r="S371" s="27" t="str">
        <f ca="1">IFERROR(__xludf.DUMMYFUNCTION("""COMPUTED_VALUE"""),"Fazemos algumas oficinas itinerantes:
Rua Flor de Lis 1977 Brasilândia SP
Rua Chaves 1366 - Califórnia Barueri
Av. Deputado Cantídio Sampaio4547 - Brasilândia (ocupação)
Rua Apaiari 99 - Vista Alegre Brasilândia
Rua São Francisco do Humaitá 107 - Elisa Ma"&amp;"ria Brasilândia
Travessa Raimundo bezerra lima 35 - Vila Penteado Brasilândia
Rua Coronel Euclides Machado 1066 - Freguesia do Ó
RUA SIRIEMA 115 - PORTAL DAS LARANJEIRAS - CAIEIRAS")</f>
        <v>Fazemos algumas oficinas itinerantes:
Rua Flor de Lis 1977 Brasilândia SP
Rua Chaves 1366 - Califórnia Barueri
Av. Deputado Cantídio Sampaio4547 - Brasilândia (ocupação)
Rua Apaiari 99 - Vista Alegre Brasilândia
Rua São Francisco do Humaitá 107 - Elisa Maria Brasilândia
Travessa Raimundo bezerra lima 35 - Vila Penteado Brasilândia
Rua Coronel Euclides Machado 1066 - Freguesia do Ó
RUA SIRIEMA 115 - PORTAL DAS LARANJEIRAS - CAIEIRAS</v>
      </c>
      <c r="T371" s="27" t="str">
        <f ca="1">IFERROR(__xludf.DUMMYFUNCTION("""COMPUTED_VALUE"""),"Cultura; Qualificação Profissional; Empreendedorismo; Empoderamento Feminino; Negócios Sociais")</f>
        <v>Cultura; Qualificação Profissional; Empreendedorismo; Empoderamento Feminino; Negócios Sociais</v>
      </c>
      <c r="U371" s="27" t="str">
        <f ca="1">IFERROR(__xludf.DUMMYFUNCTION("""COMPUTED_VALUE"""),"Adolescentes (12 aos 18 anos); Adultos")</f>
        <v>Adolescentes (12 aos 18 anos); Adultos</v>
      </c>
      <c r="V371" s="27" t="str">
        <f ca="1">IFERROR(__xludf.DUMMYFUNCTION("""COMPUTED_VALUE"""),"Moradores de Favelas; Afrodescendentes; Egressos sistema carcerário")</f>
        <v>Moradores de Favelas; Afrodescendentes; Egressos sistema carcerário</v>
      </c>
      <c r="W371" s="27">
        <f ca="1">IFERROR(__xludf.DUMMYFUNCTION("""COMPUTED_VALUE"""),7)</f>
        <v>7</v>
      </c>
      <c r="X371" s="27" t="str">
        <f ca="1">IFERROR(__xludf.DUMMYFUNCTION("""COMPUTED_VALUE"""),"Temos uma Rede com 18 lideranças que atendemos com capacitações segurança alimentar e desenvolvimento familiar")</f>
        <v>Temos uma Rede com 18 lideranças que atendemos com capacitações segurança alimentar e desenvolvimento familiar</v>
      </c>
      <c r="Y371" s="27"/>
      <c r="Z371" s="27"/>
      <c r="AA371" s="29">
        <f ca="1">IFERROR(__xludf.DUMMYFUNCTION("""COMPUTED_VALUE"""),41664)</f>
        <v>41664</v>
      </c>
      <c r="AB371" s="27" t="str">
        <f ca="1">IFERROR(__xludf.DUMMYFUNCTION("""COMPUTED_VALUE"""),"Sim")</f>
        <v>Sim</v>
      </c>
      <c r="AC371" s="27">
        <f ca="1">IFERROR(__xludf.DUMMYFUNCTION("""COMPUTED_VALUE"""),5)</f>
        <v>5</v>
      </c>
      <c r="AD371" s="27">
        <f ca="1">IFERROR(__xludf.DUMMYFUNCTION("""COMPUTED_VALUE"""),10)</f>
        <v>10</v>
      </c>
      <c r="AE371" s="27">
        <f ca="1">IFERROR(__xludf.DUMMYFUNCTION("""COMPUTED_VALUE"""),5)</f>
        <v>5</v>
      </c>
      <c r="AF371" s="27">
        <f ca="1">IFERROR(__xludf.DUMMYFUNCTION("""COMPUTED_VALUE"""),5)</f>
        <v>5</v>
      </c>
      <c r="AG371" s="27">
        <f ca="1">IFERROR(__xludf.DUMMYFUNCTION("""COMPUTED_VALUE"""),4)</f>
        <v>4</v>
      </c>
      <c r="AH371" s="27" t="str">
        <f ca="1">IFERROR(__xludf.DUMMYFUNCTION("""COMPUTED_VALUE"""),"Negócio Social; Eventos/Ações para captação; Editais; Doações")</f>
        <v>Negócio Social; Eventos/Ações para captação; Editais; Doações</v>
      </c>
      <c r="AI371" s="27" t="str">
        <f ca="1">IFERROR(__xludf.DUMMYFUNCTION("""COMPUTED_VALUE"""),"10% doação - 30% editais - 10% eventos - 50% negócios sociais")</f>
        <v>10% doação - 30% editais - 10% eventos - 50% negócios sociais</v>
      </c>
      <c r="AJ371" s="27" t="str">
        <f ca="1">IFERROR(__xludf.DUMMYFUNCTION("""COMPUTED_VALUE"""),"Não")</f>
        <v>Não</v>
      </c>
      <c r="AK371" s="27" t="str">
        <f ca="1">IFERROR(__xludf.DUMMYFUNCTION("""COMPUTED_VALUE"""),"Não")</f>
        <v>Não</v>
      </c>
      <c r="AL371" s="21" t="str">
        <f ca="1">IFERROR(__xludf.DUMMYFUNCTION("""COMPUTED_VALUE"""),"0034P00003maBVQ")</f>
        <v>0034P00003maBVQ</v>
      </c>
      <c r="AM371" s="27" t="str">
        <f ca="1">IFERROR(__xludf.DUMMYFUNCTION("""COMPUTED_VALUE"""),"Machado")</f>
        <v>Machado</v>
      </c>
      <c r="AN371" s="27" t="str">
        <f ca="1">IFERROR(__xludf.DUMMYFUNCTION("""COMPUTED_VALUE"""),"Ativo")</f>
        <v>Ativo</v>
      </c>
      <c r="AO371" s="29">
        <f ca="1">IFERROR(__xludf.DUMMYFUNCTION("""COMPUTED_VALUE"""),44306)</f>
        <v>44306</v>
      </c>
      <c r="AP371" s="27">
        <f ca="1">IFERROR(__xludf.DUMMYFUNCTION("""COMPUTED_VALUE"""),17)</f>
        <v>17</v>
      </c>
      <c r="AQ371" s="27" t="str">
        <f ca="1">IFERROR(__xludf.DUMMYFUNCTION("""COMPUTED_VALUE"""),"Segundo Semestre 2020")</f>
        <v>Segundo Semestre 2020</v>
      </c>
      <c r="AR371" s="27" t="str">
        <f ca="1">IFERROR(__xludf.DUMMYFUNCTION("""COMPUTED_VALUE"""),"veca_machado@hotmail.com")</f>
        <v>veca_machado@hotmail.com</v>
      </c>
      <c r="AS371" s="27" t="str">
        <f ca="1">IFERROR(__xludf.DUMMYFUNCTION("""COMPUTED_VALUE"""),"(11)95726-0556")</f>
        <v>(11)95726-0556</v>
      </c>
      <c r="AT371" s="29">
        <f ca="1">IFERROR(__xludf.DUMMYFUNCTION("""COMPUTED_VALUE"""),25641)</f>
        <v>25641</v>
      </c>
      <c r="AU371" s="27">
        <f ca="1">IFERROR(__xludf.DUMMYFUNCTION("""COMPUTED_VALUE"""),52)</f>
        <v>52</v>
      </c>
      <c r="AV371" s="27">
        <f ca="1">IFERROR(__xludf.DUMMYFUNCTION("""COMPUTED_VALUE"""),15689631817)</f>
        <v>15689631817</v>
      </c>
      <c r="AW371" s="27">
        <f ca="1">IFERROR(__xludf.DUMMYFUNCTION("""COMPUTED_VALUE"""),224341339)</f>
        <v>224341339</v>
      </c>
      <c r="AX371" s="27" t="str">
        <f ca="1">IFERROR(__xludf.DUMMYFUNCTION("""COMPUTED_VALUE"""),"Empreendedorismo (curso 10.000 Mulheres Empreendedora da Goldman Sachs)")</f>
        <v>Empreendedorismo (curso 10.000 Mulheres Empreendedora da Goldman Sachs)</v>
      </c>
      <c r="AY371" s="27"/>
      <c r="AZ371" s="27" t="str">
        <f ca="1">IFERROR(__xludf.DUMMYFUNCTION("""COMPUTED_VALUE"""),"GG")</f>
        <v>GG</v>
      </c>
      <c r="BA371" s="27"/>
      <c r="BB371" s="27"/>
      <c r="BC371" s="27" t="str">
        <f ca="1">IFERROR(__xludf.DUMMYFUNCTION("""COMPUTED_VALUE"""),"Sim")</f>
        <v>Sim</v>
      </c>
      <c r="BD371" s="27" t="str">
        <f ca="1">IFERROR(__xludf.DUMMYFUNCTION("""COMPUTED_VALUE"""),"Mulher preta, periférica, pcd, empreendedora social, mãe, esposa e apaixonada por gente.
Atua no terceiro setor desde 1998, quando fundou a ONG Mensageiros da Esperança.
Educadora Social de empreendedorismo e facilitadora de grupos de mulheres com foco em"&amp;" desenvolvimento humano e comportamento.
É terapeuta sistêmica usando a constelação sistêmica familiar como ferramenta.
É mentora sistêmica e de empreendedorismo.
Ama o que faz e acredita que todo mundo pode ser o que quiser agindo!")</f>
        <v>Mulher preta, periférica, pcd, empreendedora social, mãe, esposa e apaixonada por gente.
Atua no terceiro setor desde 1998, quando fundou a ONG Mensageiros da Esperança.
Educadora Social de empreendedorismo e facilitadora de grupos de mulheres com foco em desenvolvimento humano e comportamento.
É terapeuta sistêmica usando a constelação sistêmica familiar como ferramenta.
É mentora sistêmica e de empreendedorismo.
Ama o que faz e acredita que todo mundo pode ser o que quiser agindo!</v>
      </c>
      <c r="BE371" s="27"/>
      <c r="BF371" s="27"/>
      <c r="BG371" s="27" t="str">
        <f ca="1">IFERROR(__xludf.DUMMYFUNCTION("""COMPUTED_VALUE"""),"Ensino Superior - Incompleto")</f>
        <v>Ensino Superior - Incompleto</v>
      </c>
      <c r="BH371" s="27"/>
      <c r="BI371" s="27" t="str">
        <f ca="1">IFERROR(__xludf.DUMMYFUNCTION("""COMPUTED_VALUE"""),"Graduação")</f>
        <v>Graduação</v>
      </c>
      <c r="BJ371" s="27" t="str">
        <f ca="1">IFERROR(__xludf.DUMMYFUNCTION("""COMPUTED_VALUE"""),"Privado")</f>
        <v>Privado</v>
      </c>
      <c r="BK371" s="27" t="str">
        <f ca="1">IFERROR(__xludf.DUMMYFUNCTION("""COMPUTED_VALUE"""),"Av. João Paulo I")</f>
        <v>Av. João Paulo I</v>
      </c>
      <c r="BL371" s="27">
        <f ca="1">IFERROR(__xludf.DUMMYFUNCTION("""COMPUTED_VALUE"""),1658)</f>
        <v>1658</v>
      </c>
      <c r="BM371" s="27" t="str">
        <f ca="1">IFERROR(__xludf.DUMMYFUNCTION("""COMPUTED_VALUE"""),"Casa 3")</f>
        <v>Casa 3</v>
      </c>
      <c r="BN371" s="27" t="str">
        <f ca="1">IFERROR(__xludf.DUMMYFUNCTION("""COMPUTED_VALUE"""),"São Paulo")</f>
        <v>São Paulo</v>
      </c>
      <c r="BO371" s="27" t="str">
        <f ca="1">IFERROR(__xludf.DUMMYFUNCTION("""COMPUTED_VALUE"""),"02842-280")</f>
        <v>02842-280</v>
      </c>
      <c r="BP371" s="27" t="str">
        <f ca="1">IFERROR(__xludf.DUMMYFUNCTION("""COMPUTED_VALUE"""),"SP")</f>
        <v>SP</v>
      </c>
      <c r="BQ371" s="27" t="str">
        <f ca="1">IFERROR(__xludf.DUMMYFUNCTION("""COMPUTED_VALUE"""),"De 3 até 5 salários mínimos")</f>
        <v>De 3 até 5 salários mínimos</v>
      </c>
      <c r="BR371" s="27" t="str">
        <f ca="1">IFERROR(__xludf.DUMMYFUNCTION("""COMPUTED_VALUE"""),"MEI; Trabalho informal")</f>
        <v>MEI; Trabalho informal</v>
      </c>
      <c r="BS371" s="27" t="str">
        <f ca="1">IFERROR(__xludf.DUMMYFUNCTION("""COMPUTED_VALUE"""),"Aluguel")</f>
        <v>Aluguel</v>
      </c>
      <c r="BT371" s="27">
        <f ca="1">IFERROR(__xludf.DUMMYFUNCTION("""COMPUTED_VALUE"""),4)</f>
        <v>4</v>
      </c>
      <c r="BU371" s="27"/>
      <c r="BV371" s="27"/>
      <c r="BW371" s="27"/>
      <c r="BX371" s="21" t="str">
        <f ca="1">IFERROR(__xludf.DUMMYFUNCTION("""COMPUTED_VALUE"""),"https://instagram.com/veronicamachadoempreendedora?utm_medium=copy_link")</f>
        <v>https://instagram.com/veronicamachadoempreendedora?utm_medium=copy_link</v>
      </c>
      <c r="BY371" s="21" t="str">
        <f ca="1">IFERROR(__xludf.DUMMYFUNCTION("""COMPUTED_VALUE"""),"https://drive.google.com/open?id=1Mq7IQuay9vLxj7j4giSWSWXbDws6rgch")</f>
        <v>https://drive.google.com/open?id=1Mq7IQuay9vLxj7j4giSWSWXbDws6rgch</v>
      </c>
    </row>
    <row r="372" spans="1:77" ht="12.5" x14ac:dyDescent="0.25">
      <c r="A372" s="21" t="str">
        <f ca="1">IFERROR(__xludf.DUMMYFUNCTION("""COMPUTED_VALUE"""),"0014X00002VKCq5QAH")</f>
        <v>0014X00002VKCq5QAH</v>
      </c>
      <c r="B372" s="27" t="str">
        <f ca="1">IFERROR(__xludf.DUMMYFUNCTION("""COMPUTED_VALUE"""),"Fase Inicial")</f>
        <v>Fase Inicial</v>
      </c>
      <c r="C372" s="27" t="str">
        <f ca="1">IFERROR(__xludf.DUMMYFUNCTION("""COMPUTED_VALUE"""),"Fellow")</f>
        <v>Fellow</v>
      </c>
      <c r="D372" s="27" t="str">
        <f ca="1">IFERROR(__xludf.DUMMYFUNCTION("""COMPUTED_VALUE"""),"Ativo")</f>
        <v>Ativo</v>
      </c>
      <c r="E372" s="27" t="str">
        <f ca="1">IFERROR(__xludf.DUMMYFUNCTION("""COMPUTED_VALUE"""),"INSTITUTO JOAQUIM TÁVORA")</f>
        <v>INSTITUTO JOAQUIM TÁVORA</v>
      </c>
      <c r="F372" s="27" t="str">
        <f ca="1">IFERROR(__xludf.DUMMYFUNCTION("""COMPUTED_VALUE"""),"JOSE")</f>
        <v>JOSE</v>
      </c>
      <c r="G372" s="27" t="str">
        <f ca="1">IFERROR(__xludf.DUMMYFUNCTION("""COMPUTED_VALUE"""),"IJT")</f>
        <v>IJT</v>
      </c>
      <c r="H372" s="27" t="str">
        <f ca="1">IFERROR(__xludf.DUMMYFUNCTION("""COMPUTED_VALUE"""),"40.970.739/0001-40")</f>
        <v>40.970.739/0001-40</v>
      </c>
      <c r="I372" s="27" t="str">
        <f ca="1">IFERROR(__xludf.DUMMYFUNCTION("""COMPUTED_VALUE"""),"Jose Eudes Maciel Mendonça Júnior")</f>
        <v>Jose Eudes Maciel Mendonça Júnior</v>
      </c>
      <c r="J372" s="27" t="str">
        <f ca="1">IFERROR(__xludf.DUMMYFUNCTION("""COMPUTED_VALUE"""),"eudesjrbar@gmail.com")</f>
        <v>eudesjrbar@gmail.com</v>
      </c>
      <c r="K372" s="27" t="str">
        <f ca="1">IFERROR(__xludf.DUMMYFUNCTION("""COMPUTED_VALUE"""),"(85)98778-3937")</f>
        <v>(85)98778-3937</v>
      </c>
      <c r="L372" s="27" t="str">
        <f ca="1">IFERROR(__xludf.DUMMYFUNCTION("""COMPUTED_VALUE"""),"CE")</f>
        <v>CE</v>
      </c>
      <c r="M372" s="27" t="str">
        <f ca="1">IFERROR(__xludf.DUMMYFUNCTION("""COMPUTED_VALUE"""),"Henrique Rabelo")</f>
        <v>Henrique Rabelo</v>
      </c>
      <c r="N372" s="27" t="str">
        <f ca="1">IFERROR(__xludf.DUMMYFUNCTION("""COMPUTED_VALUE"""),"Joaquim Távora")</f>
        <v>Joaquim Távora</v>
      </c>
      <c r="O372" s="27">
        <f ca="1">IFERROR(__xludf.DUMMYFUNCTION("""COMPUTED_VALUE"""),1321)</f>
        <v>1321</v>
      </c>
      <c r="P372" s="27" t="str">
        <f ca="1">IFERROR(__xludf.DUMMYFUNCTION("""COMPUTED_VALUE"""),"Fortaleza")</f>
        <v>Fortaleza</v>
      </c>
      <c r="Q372" s="27"/>
      <c r="R372" s="27" t="str">
        <f ca="1">IFERROR(__xludf.DUMMYFUNCTION("""COMPUTED_VALUE"""),"60110-540")</f>
        <v>60110-540</v>
      </c>
      <c r="S372" s="27"/>
      <c r="T372" s="27"/>
      <c r="U372"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372" s="27" t="str">
        <f ca="1">IFERROR(__xludf.DUMMYFUNCTION("""COMPUTED_VALUE"""),"Moradores de Favelas, Outros")</f>
        <v>Moradores de Favelas, Outros</v>
      </c>
      <c r="W372" s="27">
        <f ca="1">IFERROR(__xludf.DUMMYFUNCTION("""COMPUTED_VALUE"""),4)</f>
        <v>4</v>
      </c>
      <c r="X372" s="27"/>
      <c r="Y372" s="27"/>
      <c r="Z372" s="27">
        <f ca="1">IFERROR(__xludf.DUMMYFUNCTION("""COMPUTED_VALUE"""),100)</f>
        <v>100</v>
      </c>
      <c r="AA372" s="29">
        <f ca="1">IFERROR(__xludf.DUMMYFUNCTION("""COMPUTED_VALUE"""),44155)</f>
        <v>44155</v>
      </c>
      <c r="AB372" s="27" t="str">
        <f ca="1">IFERROR(__xludf.DUMMYFUNCTION("""COMPUTED_VALUE"""),"Sim")</f>
        <v>Sim</v>
      </c>
      <c r="AC372" s="27">
        <f ca="1">IFERROR(__xludf.DUMMYFUNCTION("""COMPUTED_VALUE"""),3)</f>
        <v>3</v>
      </c>
      <c r="AD372" s="27">
        <f ca="1">IFERROR(__xludf.DUMMYFUNCTION("""COMPUTED_VALUE"""),2)</f>
        <v>2</v>
      </c>
      <c r="AE372" s="27">
        <f ca="1">IFERROR(__xludf.DUMMYFUNCTION("""COMPUTED_VALUE"""),3)</f>
        <v>3</v>
      </c>
      <c r="AF372" s="27">
        <f ca="1">IFERROR(__xludf.DUMMYFUNCTION("""COMPUTED_VALUE"""),1)</f>
        <v>1</v>
      </c>
      <c r="AG372" s="27">
        <f ca="1">IFERROR(__xludf.DUMMYFUNCTION("""COMPUTED_VALUE"""),3)</f>
        <v>3</v>
      </c>
      <c r="AH372" s="27" t="str">
        <f ca="1">IFERROR(__xludf.DUMMYFUNCTION("""COMPUTED_VALUE"""),"Eventos/Ações para captação, Parceria iniciativa privada")</f>
        <v>Eventos/Ações para captação, Parceria iniciativa privada</v>
      </c>
      <c r="AI372" s="27" t="str">
        <f ca="1">IFERROR(__xludf.DUMMYFUNCTION("""COMPUTED_VALUE"""),"Eventos/Ações para captação 15% Parceria iniciativa privada 15% Recursos próprios 70%")</f>
        <v>Eventos/Ações para captação 15% Parceria iniciativa privada 15% Recursos próprios 70%</v>
      </c>
      <c r="AJ372" s="27" t="str">
        <f ca="1">IFERROR(__xludf.DUMMYFUNCTION("""COMPUTED_VALUE"""),"Vamos iniciar esse ano")</f>
        <v>Vamos iniciar esse ano</v>
      </c>
      <c r="AK372" s="27"/>
      <c r="AL372" s="21" t="str">
        <f ca="1">IFERROR(__xludf.DUMMYFUNCTION("""COMPUTED_VALUE"""),"0034X0000380O4O")</f>
        <v>0034X0000380O4O</v>
      </c>
      <c r="AM372" s="27" t="str">
        <f ca="1">IFERROR(__xludf.DUMMYFUNCTION("""COMPUTED_VALUE"""),"Eudes maciel mendonça junior")</f>
        <v>Eudes maciel mendonça junior</v>
      </c>
      <c r="AN372" s="27" t="str">
        <f ca="1">IFERROR(__xludf.DUMMYFUNCTION("""COMPUTED_VALUE"""),"Ativo")</f>
        <v>Ativo</v>
      </c>
      <c r="AO372" s="29">
        <f ca="1">IFERROR(__xludf.DUMMYFUNCTION("""COMPUTED_VALUE"""),44763)</f>
        <v>44763</v>
      </c>
      <c r="AP372" s="27">
        <f ca="1">IFERROR(__xludf.DUMMYFUNCTION("""COMPUTED_VALUE"""),2)</f>
        <v>2</v>
      </c>
      <c r="AQ372" s="27" t="str">
        <f ca="1">IFERROR(__xludf.DUMMYFUNCTION("""COMPUTED_VALUE"""),"Primeiro Semestre 2022")</f>
        <v>Primeiro Semestre 2022</v>
      </c>
      <c r="AR372" s="27" t="str">
        <f ca="1">IFERROR(__xludf.DUMMYFUNCTION("""COMPUTED_VALUE"""),"joaquimtavorainstituto@gmail.com")</f>
        <v>joaquimtavorainstituto@gmail.com</v>
      </c>
      <c r="AS372" s="27" t="str">
        <f ca="1">IFERROR(__xludf.DUMMYFUNCTION("""COMPUTED_VALUE"""),"(85)98535-0707")</f>
        <v>(85)98535-0707</v>
      </c>
      <c r="AT372" s="29">
        <f ca="1">IFERROR(__xludf.DUMMYFUNCTION("""COMPUTED_VALUE"""),32611)</f>
        <v>32611</v>
      </c>
      <c r="AU372" s="27">
        <f ca="1">IFERROR(__xludf.DUMMYFUNCTION("""COMPUTED_VALUE"""),33)</f>
        <v>33</v>
      </c>
      <c r="AV372" s="27">
        <f ca="1">IFERROR(__xludf.DUMMYFUNCTION("""COMPUTED_VALUE"""),4138941347)</f>
        <v>4138941347</v>
      </c>
      <c r="AW372" s="27">
        <f ca="1">IFERROR(__xludf.DUMMYFUNCTION("""COMPUTED_VALUE"""),2007010131947)</f>
        <v>2007010131947</v>
      </c>
      <c r="AX372" s="27"/>
      <c r="AY372" s="27" t="str">
        <f ca="1">IFERROR(__xludf.DUMMYFUNCTION("""COMPUTED_VALUE"""),"presidente")</f>
        <v>presidente</v>
      </c>
      <c r="AZ372" s="27" t="str">
        <f ca="1">IFERROR(__xludf.DUMMYFUNCTION("""COMPUTED_VALUE"""),"M")</f>
        <v>M</v>
      </c>
      <c r="BA372" s="27" t="str">
        <f ca="1">IFERROR(__xludf.DUMMYFUNCTION("""COMPUTED_VALUE"""),"Parda")</f>
        <v>Parda</v>
      </c>
      <c r="BB372" s="27"/>
      <c r="BC372" s="27"/>
      <c r="BD372" s="27" t="str">
        <f ca="1">IFERROR(__xludf.DUMMYFUNCTION("""COMPUTED_VALUE"""),".")</f>
        <v>.</v>
      </c>
      <c r="BE372" s="27" t="str">
        <f ca="1">IFERROR(__xludf.DUMMYFUNCTION("""COMPUTED_VALUE"""),"Homem, transgênero")</f>
        <v>Homem, transgênero</v>
      </c>
      <c r="BF372" s="27" t="str">
        <f ca="1">IFERROR(__xludf.DUMMYFUNCTION("""COMPUTED_VALUE"""),"Heterossexual")</f>
        <v>Heterossexual</v>
      </c>
      <c r="BG372" s="27" t="str">
        <f ca="1">IFERROR(__xludf.DUMMYFUNCTION("""COMPUTED_VALUE"""),"Ensino Médio - Completo")</f>
        <v>Ensino Médio - Completo</v>
      </c>
      <c r="BH372" s="27" t="str">
        <f ca="1">IFERROR(__xludf.DUMMYFUNCTION("""COMPUTED_VALUE"""),"Público")</f>
        <v>Público</v>
      </c>
      <c r="BI372" s="27" t="str">
        <f ca="1">IFERROR(__xludf.DUMMYFUNCTION("""COMPUTED_VALUE"""),"Graduação")</f>
        <v>Graduação</v>
      </c>
      <c r="BJ372" s="27"/>
      <c r="BK372" s="27" t="str">
        <f ca="1">IFERROR(__xludf.DUMMYFUNCTION("""COMPUTED_VALUE"""),"Henrique rabelo")</f>
        <v>Henrique rabelo</v>
      </c>
      <c r="BL372" s="27">
        <f ca="1">IFERROR(__xludf.DUMMYFUNCTION("""COMPUTED_VALUE"""),1321)</f>
        <v>1321</v>
      </c>
      <c r="BM372" s="27"/>
      <c r="BN372" s="27" t="str">
        <f ca="1">IFERROR(__xludf.DUMMYFUNCTION("""COMPUTED_VALUE"""),"fortaleza")</f>
        <v>fortaleza</v>
      </c>
      <c r="BO372" s="27" t="str">
        <f ca="1">IFERROR(__xludf.DUMMYFUNCTION("""COMPUTED_VALUE"""),"60110-540")</f>
        <v>60110-540</v>
      </c>
      <c r="BP372" s="27" t="str">
        <f ca="1">IFERROR(__xludf.DUMMYFUNCTION("""COMPUTED_VALUE"""),"CE")</f>
        <v>CE</v>
      </c>
      <c r="BQ372" s="27" t="str">
        <f ca="1">IFERROR(__xludf.DUMMYFUNCTION("""COMPUTED_VALUE"""),"Entre 1 até 3 salários mínimos")</f>
        <v>Entre 1 até 3 salários mínimos</v>
      </c>
      <c r="BR372" s="27" t="str">
        <f ca="1">IFERROR(__xludf.DUMMYFUNCTION("""COMPUTED_VALUE"""),"Funcionário Público")</f>
        <v>Funcionário Público</v>
      </c>
      <c r="BS372" s="27" t="str">
        <f ca="1">IFERROR(__xludf.DUMMYFUNCTION("""COMPUTED_VALUE"""),"Aluguel")</f>
        <v>Aluguel</v>
      </c>
      <c r="BT372" s="27">
        <f ca="1">IFERROR(__xludf.DUMMYFUNCTION("""COMPUTED_VALUE"""),3)</f>
        <v>3</v>
      </c>
      <c r="BU372" s="27" t="str">
        <f ca="1">IFERROR(__xludf.DUMMYFUNCTION("""COMPUTED_VALUE"""),"Não tem")</f>
        <v>Não tem</v>
      </c>
      <c r="BV372" s="27" t="str">
        <f ca="1">IFERROR(__xludf.DUMMYFUNCTION("""COMPUTED_VALUE"""),"Não")</f>
        <v>Não</v>
      </c>
      <c r="BW372" s="27"/>
      <c r="BX372" s="21" t="str">
        <f ca="1">IFERROR(__xludf.DUMMYFUNCTION("""COMPUTED_VALUE"""),"https://instagram.com/eudesjunioroficial?igshid=YmMyMTA2M2Y=")</f>
        <v>https://instagram.com/eudesjunioroficial?igshid=YmMyMTA2M2Y=</v>
      </c>
      <c r="BY372" s="21" t="str">
        <f ca="1">IFERROR(__xludf.DUMMYFUNCTION("""COMPUTED_VALUE"""),"https://drive.google.com/open?id=1CzKxzIX-HTAbUhwkS0GrOtuR1ZJm8WEj")</f>
        <v>https://drive.google.com/open?id=1CzKxzIX-HTAbUhwkS0GrOtuR1ZJm8WEj</v>
      </c>
    </row>
    <row r="373" spans="1:77" ht="12.5" hidden="1" x14ac:dyDescent="0.25">
      <c r="A373" s="21" t="str">
        <f ca="1">IFERROR(__xludf.DUMMYFUNCTION("""COMPUTED_VALUE"""),"0014X00002VKCuuQAH")</f>
        <v>0014X00002VKCuuQAH</v>
      </c>
      <c r="B373" s="27" t="str">
        <f ca="1">IFERROR(__xludf.DUMMYFUNCTION("""COMPUTED_VALUE"""),"Fase Inicial")</f>
        <v>Fase Inicial</v>
      </c>
      <c r="C373" s="27" t="str">
        <f ca="1">IFERROR(__xludf.DUMMYFUNCTION("""COMPUTED_VALUE"""),"Fellow")</f>
        <v>Fellow</v>
      </c>
      <c r="D373" s="27" t="str">
        <f ca="1">IFERROR(__xludf.DUMMYFUNCTION("""COMPUTED_VALUE"""),"Ativo")</f>
        <v>Ativo</v>
      </c>
      <c r="E373" s="27" t="str">
        <f ca="1">IFERROR(__xludf.DUMMYFUNCTION("""COMPUTED_VALUE"""),"Instituto Josefina Bakhita")</f>
        <v>Instituto Josefina Bakhita</v>
      </c>
      <c r="F373" s="27" t="str">
        <f ca="1">IFERROR(__xludf.DUMMYFUNCTION("""COMPUTED_VALUE"""),"Marisa")</f>
        <v>Marisa</v>
      </c>
      <c r="G373" s="27" t="str">
        <f ca="1">IFERROR(__xludf.DUMMYFUNCTION("""COMPUTED_VALUE"""),"INSTITUTO JOSEFINA BAKHITA")</f>
        <v>INSTITUTO JOSEFINA BAKHITA</v>
      </c>
      <c r="H373" s="27" t="str">
        <f ca="1">IFERROR(__xludf.DUMMYFUNCTION("""COMPUTED_VALUE"""),"Cnpj =11076862/0001-14")</f>
        <v>Cnpj =11076862/0001-14</v>
      </c>
      <c r="I373" s="27" t="str">
        <f ca="1">IFERROR(__xludf.DUMMYFUNCTION("""COMPUTED_VALUE"""),"Marisa")</f>
        <v>Marisa</v>
      </c>
      <c r="J373" s="27"/>
      <c r="K373" s="27"/>
      <c r="L373" s="27" t="str">
        <f ca="1">IFERROR(__xludf.DUMMYFUNCTION("""COMPUTED_VALUE"""),"SP")</f>
        <v>SP</v>
      </c>
      <c r="M373" s="27" t="str">
        <f ca="1">IFERROR(__xludf.DUMMYFUNCTION("""COMPUTED_VALUE"""),"Rua: carmelina vieira nascimento")</f>
        <v>Rua: carmelina vieira nascimento</v>
      </c>
      <c r="N373" s="27" t="str">
        <f ca="1">IFERROR(__xludf.DUMMYFUNCTION("""COMPUTED_VALUE"""),"Porque Santo Antônio")</f>
        <v>Porque Santo Antônio</v>
      </c>
      <c r="O373" s="27">
        <f ca="1">IFERROR(__xludf.DUMMYFUNCTION("""COMPUTED_VALUE"""),153)</f>
        <v>153</v>
      </c>
      <c r="P373" s="27" t="str">
        <f ca="1">IFERROR(__xludf.DUMMYFUNCTION("""COMPUTED_VALUE"""),"São Paulo")</f>
        <v>São Paulo</v>
      </c>
      <c r="Q373" s="27"/>
      <c r="R373" s="27">
        <f ca="1">IFERROR(__xludf.DUMMYFUNCTION("""COMPUTED_VALUE"""),5851160)</f>
        <v>5851160</v>
      </c>
      <c r="S373" s="27"/>
      <c r="T373" s="27"/>
      <c r="U373" s="27"/>
      <c r="V373" s="27"/>
      <c r="W373" s="27">
        <f ca="1">IFERROR(__xludf.DUMMYFUNCTION("""COMPUTED_VALUE"""),5)</f>
        <v>5</v>
      </c>
      <c r="X373" s="27"/>
      <c r="Y373" s="27"/>
      <c r="Z373" s="27">
        <f ca="1">IFERROR(__xludf.DUMMYFUNCTION("""COMPUTED_VALUE"""),587)</f>
        <v>587</v>
      </c>
      <c r="AA373" s="30">
        <f ca="1">IFERROR(__xludf.DUMMYFUNCTION("""COMPUTED_VALUE"""),40039)</f>
        <v>40039</v>
      </c>
      <c r="AB373" s="27" t="str">
        <f ca="1">IFERROR(__xludf.DUMMYFUNCTION("""COMPUTED_VALUE"""),"Sim")</f>
        <v>Sim</v>
      </c>
      <c r="AC373" s="27">
        <f ca="1">IFERROR(__xludf.DUMMYFUNCTION("""COMPUTED_VALUE"""),5)</f>
        <v>5</v>
      </c>
      <c r="AD373" s="27"/>
      <c r="AE373" s="27">
        <f ca="1">IFERROR(__xludf.DUMMYFUNCTION("""COMPUTED_VALUE"""),3)</f>
        <v>3</v>
      </c>
      <c r="AF373" s="27"/>
      <c r="AG373" s="27">
        <f ca="1">IFERROR(__xludf.DUMMYFUNCTION("""COMPUTED_VALUE"""),5)</f>
        <v>5</v>
      </c>
      <c r="AH373" s="27"/>
      <c r="AI373" s="27">
        <f ca="1">IFERROR(__xludf.DUMMYFUNCTION("""COMPUTED_VALUE"""),0)</f>
        <v>0</v>
      </c>
      <c r="AJ373" s="27" t="str">
        <f ca="1">IFERROR(__xludf.DUMMYFUNCTION("""COMPUTED_VALUE"""),"Não")</f>
        <v>Não</v>
      </c>
      <c r="AK373" s="27"/>
      <c r="AL373" s="21" t="str">
        <f ca="1">IFERROR(__xludf.DUMMYFUNCTION("""COMPUTED_VALUE"""),"0034X0000380O3U")</f>
        <v>0034X0000380O3U</v>
      </c>
      <c r="AM373" s="27" t="str">
        <f ca="1">IFERROR(__xludf.DUMMYFUNCTION("""COMPUTED_VALUE"""),"Dos santos muncao")</f>
        <v>Dos santos muncao</v>
      </c>
      <c r="AN373" s="27" t="str">
        <f ca="1">IFERROR(__xludf.DUMMYFUNCTION("""COMPUTED_VALUE"""),"Ativo")</f>
        <v>Ativo</v>
      </c>
      <c r="AO373" s="29">
        <f ca="1">IFERROR(__xludf.DUMMYFUNCTION("""COMPUTED_VALUE"""),44763)</f>
        <v>44763</v>
      </c>
      <c r="AP373" s="27">
        <f ca="1">IFERROR(__xludf.DUMMYFUNCTION("""COMPUTED_VALUE"""),2)</f>
        <v>2</v>
      </c>
      <c r="AQ373" s="27" t="str">
        <f ca="1">IFERROR(__xludf.DUMMYFUNCTION("""COMPUTED_VALUE"""),"Primeiro Semestre 2022")</f>
        <v>Primeiro Semestre 2022</v>
      </c>
      <c r="AR373" s="27" t="str">
        <f ca="1">IFERROR(__xludf.DUMMYFUNCTION("""COMPUTED_VALUE"""),"muncaomarisa@gmail.com")</f>
        <v>muncaomarisa@gmail.com</v>
      </c>
      <c r="AS373" s="27">
        <f ca="1">IFERROR(__xludf.DUMMYFUNCTION("""COMPUTED_VALUE"""),11985320668)</f>
        <v>11985320668</v>
      </c>
      <c r="AT373" s="29">
        <f ca="1">IFERROR(__xludf.DUMMYFUNCTION("""COMPUTED_VALUE"""),25737)</f>
        <v>25737</v>
      </c>
      <c r="AU373" s="27">
        <f ca="1">IFERROR(__xludf.DUMMYFUNCTION("""COMPUTED_VALUE"""),52)</f>
        <v>52</v>
      </c>
      <c r="AV373" s="27">
        <f ca="1">IFERROR(__xludf.DUMMYFUNCTION("""COMPUTED_VALUE"""),22504340850)</f>
        <v>22504340850</v>
      </c>
      <c r="AW373" s="27" t="str">
        <f ca="1">IFERROR(__xludf.DUMMYFUNCTION("""COMPUTED_VALUE"""),"22866801-3")</f>
        <v>22866801-3</v>
      </c>
      <c r="AX373" s="27"/>
      <c r="AY373" s="27"/>
      <c r="AZ373" s="27" t="str">
        <f ca="1">IFERROR(__xludf.DUMMYFUNCTION("""COMPUTED_VALUE"""),"G2")</f>
        <v>G2</v>
      </c>
      <c r="BA373" s="27" t="str">
        <f ca="1">IFERROR(__xludf.DUMMYFUNCTION("""COMPUTED_VALUE"""),"Parda")</f>
        <v>Parda</v>
      </c>
      <c r="BB373" s="27"/>
      <c r="BC373" s="27"/>
      <c r="BD373" s="27" t="str">
        <f ca="1">IFERROR(__xludf.DUMMYFUNCTION("""COMPUTED_VALUE"""),"Meu nome é Marisa Muncao * mãe de 3 filhos tenho 4 netos maravilhosos* casada com George* apaixonada por serviço social * devido a muita dificuldade na infância minha mãe nordestino trouxe toda família pra SP e nossa casa era o ponto de acolhida * sou líd"&amp;"er do núcleo capão Redondo do grupo mulheres do Brasil * coordenadora da ação da cidadania e responsável por montar grupos no projeto Dona de Mim .um pouco de mim.beijinhos")</f>
        <v>Meu nome é Marisa Muncao * mãe de 3 filhos tenho 4 netos maravilhosos* casada com George* apaixonada por serviço social * devido a muita dificuldade na infância minha mãe nordestino trouxe toda família pra SP e nossa casa era o ponto de acolhida * sou líder do núcleo capão Redondo do grupo mulheres do Brasil * coordenadora da ação da cidadania e responsável por montar grupos no projeto Dona de Mim .um pouco de mim.beijinhos</v>
      </c>
      <c r="BE373" s="27" t="str">
        <f ca="1">IFERROR(__xludf.DUMMYFUNCTION("""COMPUTED_VALUE"""),"Feminino")</f>
        <v>Feminino</v>
      </c>
      <c r="BF373" s="27" t="str">
        <f ca="1">IFERROR(__xludf.DUMMYFUNCTION("""COMPUTED_VALUE"""),"Heterossexual")</f>
        <v>Heterossexual</v>
      </c>
      <c r="BG373" s="27"/>
      <c r="BH373" s="27" t="str">
        <f ca="1">IFERROR(__xludf.DUMMYFUNCTION("""COMPUTED_VALUE"""),"Público")</f>
        <v>Público</v>
      </c>
      <c r="BI373" s="27"/>
      <c r="BJ373" s="27"/>
      <c r="BK373" s="27" t="str">
        <f ca="1">IFERROR(__xludf.DUMMYFUNCTION("""COMPUTED_VALUE"""),"Rua: carmelina vieira Nascimento")</f>
        <v>Rua: carmelina vieira Nascimento</v>
      </c>
      <c r="BL373" s="27">
        <f ca="1">IFERROR(__xludf.DUMMYFUNCTION("""COMPUTED_VALUE"""),145)</f>
        <v>145</v>
      </c>
      <c r="BM373" s="27"/>
      <c r="BN373" s="27"/>
      <c r="BO373" s="27" t="str">
        <f ca="1">IFERROR(__xludf.DUMMYFUNCTION("""COMPUTED_VALUE"""),"O5851160")</f>
        <v>O5851160</v>
      </c>
      <c r="BP373" s="27" t="str">
        <f ca="1">IFERROR(__xludf.DUMMYFUNCTION("""COMPUTED_VALUE"""),"SP")</f>
        <v>SP</v>
      </c>
      <c r="BQ373" s="27" t="str">
        <f ca="1">IFERROR(__xludf.DUMMYFUNCTION("""COMPUTED_VALUE"""),"Entre 1 até 3 salários mínimos")</f>
        <v>Entre 1 até 3 salários mínimos</v>
      </c>
      <c r="BR373" s="27" t="str">
        <f ca="1">IFERROR(__xludf.DUMMYFUNCTION("""COMPUTED_VALUE"""),"Trabalho informal")</f>
        <v>Trabalho informal</v>
      </c>
      <c r="BS373" s="27" t="str">
        <f ca="1">IFERROR(__xludf.DUMMYFUNCTION("""COMPUTED_VALUE"""),"Casa própria")</f>
        <v>Casa própria</v>
      </c>
      <c r="BT373" s="27">
        <f ca="1">IFERROR(__xludf.DUMMYFUNCTION("""COMPUTED_VALUE"""),6)</f>
        <v>6</v>
      </c>
      <c r="BU373" s="27" t="str">
        <f ca="1">IFERROR(__xludf.DUMMYFUNCTION("""COMPUTED_VALUE"""),"Não tem")</f>
        <v>Não tem</v>
      </c>
      <c r="BV373" s="27" t="str">
        <f ca="1">IFERROR(__xludf.DUMMYFUNCTION("""COMPUTED_VALUE"""),"Não")</f>
        <v>Não</v>
      </c>
      <c r="BW373" s="27"/>
      <c r="BX373" s="21" t="str">
        <f ca="1">IFERROR(__xludf.DUMMYFUNCTION("""COMPUTED_VALUE"""),"https://instagram.com/marisa.muncao?utm_medium=copy_link")</f>
        <v>https://instagram.com/marisa.muncao?utm_medium=copy_link</v>
      </c>
      <c r="BY373" s="21" t="str">
        <f ca="1">IFERROR(__xludf.DUMMYFUNCTION("""COMPUTED_VALUE"""),"https://drive.google.com/open?id=1PFvZr5SYtMxDCEUGsGcCkFbdH0MDUZ7F")</f>
        <v>https://drive.google.com/open?id=1PFvZr5SYtMxDCEUGsGcCkFbdH0MDUZ7F</v>
      </c>
    </row>
    <row r="374" spans="1:77" ht="12.5" hidden="1" x14ac:dyDescent="0.25">
      <c r="A374" s="21" t="str">
        <f ca="1">IFERROR(__xludf.DUMMYFUNCTION("""COMPUTED_VALUE"""),"0014X00002VKCsCQAX")</f>
        <v>0014X00002VKCsCQAX</v>
      </c>
      <c r="B374" s="27" t="str">
        <f ca="1">IFERROR(__xludf.DUMMYFUNCTION("""COMPUTED_VALUE"""),"Fase Inicial")</f>
        <v>Fase Inicial</v>
      </c>
      <c r="C374" s="27" t="str">
        <f ca="1">IFERROR(__xludf.DUMMYFUNCTION("""COMPUTED_VALUE"""),"Fellow")</f>
        <v>Fellow</v>
      </c>
      <c r="D374" s="27" t="str">
        <f ca="1">IFERROR(__xludf.DUMMYFUNCTION("""COMPUTED_VALUE"""),"Ativo")</f>
        <v>Ativo</v>
      </c>
      <c r="E374" s="27" t="str">
        <f ca="1">IFERROR(__xludf.DUMMYFUNCTION("""COMPUTED_VALUE"""),"Instituto judo regastando vidas")</f>
        <v>Instituto judo regastando vidas</v>
      </c>
      <c r="F374" s="27" t="str">
        <f ca="1">IFERROR(__xludf.DUMMYFUNCTION("""COMPUTED_VALUE"""),"Taylor")</f>
        <v>Taylor</v>
      </c>
      <c r="G374" s="27" t="str">
        <f ca="1">IFERROR(__xludf.DUMMYFUNCTION("""COMPUTED_VALUE"""),"INSTITUTO JUDO REGASTANDO VIDAS")</f>
        <v>INSTITUTO JUDO REGASTANDO VIDAS</v>
      </c>
      <c r="H374" s="27" t="str">
        <f ca="1">IFERROR(__xludf.DUMMYFUNCTION("""COMPUTED_VALUE"""),"44.469.020/0001-81")</f>
        <v>44.469.020/0001-81</v>
      </c>
      <c r="I374" s="27" t="str">
        <f ca="1">IFERROR(__xludf.DUMMYFUNCTION("""COMPUTED_VALUE"""),"Taylor alberes pontes")</f>
        <v>Taylor alberes pontes</v>
      </c>
      <c r="J374" s="27" t="str">
        <f ca="1">IFERROR(__xludf.DUMMYFUNCTION("""COMPUTED_VALUE"""),"alberestaylor@gmail.com")</f>
        <v>alberestaylor@gmail.com</v>
      </c>
      <c r="K374" s="27" t="str">
        <f ca="1">IFERROR(__xludf.DUMMYFUNCTION("""COMPUTED_VALUE"""),"(81)99617-8272")</f>
        <v>(81)99617-8272</v>
      </c>
      <c r="L374" s="27" t="str">
        <f ca="1">IFERROR(__xludf.DUMMYFUNCTION("""COMPUTED_VALUE"""),"PE")</f>
        <v>PE</v>
      </c>
      <c r="M374" s="27" t="str">
        <f ca="1">IFERROR(__xludf.DUMMYFUNCTION("""COMPUTED_VALUE"""),"Rua da assembleia de Deus")</f>
        <v>Rua da assembleia de Deus</v>
      </c>
      <c r="N374" s="27" t="str">
        <f ca="1">IFERROR(__xludf.DUMMYFUNCTION("""COMPUTED_VALUE"""),"Cambinge")</f>
        <v>Cambinge</v>
      </c>
      <c r="O374" s="27">
        <f ca="1">IFERROR(__xludf.DUMMYFUNCTION("""COMPUTED_VALUE"""),1)</f>
        <v>1</v>
      </c>
      <c r="P374" s="27" t="str">
        <f ca="1">IFERROR(__xludf.DUMMYFUNCTION("""COMPUTED_VALUE"""),"Moreno")</f>
        <v>Moreno</v>
      </c>
      <c r="Q374" s="27" t="str">
        <f ca="1">IFERROR(__xludf.DUMMYFUNCTION("""COMPUTED_VALUE"""),"Casa")</f>
        <v>Casa</v>
      </c>
      <c r="R374" s="27" t="str">
        <f ca="1">IFERROR(__xludf.DUMMYFUNCTION("""COMPUTED_VALUE"""),"54800-000")</f>
        <v>54800-000</v>
      </c>
      <c r="S374" s="27" t="str">
        <f ca="1">IFERROR(__xludf.DUMMYFUNCTION("""COMPUTED_VALUE"""),"Não")</f>
        <v>Não</v>
      </c>
      <c r="T374" s="27"/>
      <c r="U374" s="27" t="str">
        <f ca="1">IFERROR(__xludf.DUMMYFUNCTION("""COMPUTED_VALUE"""),"Crianças (6 a 12 anos), Adolescentes (12 aos 18 anos), Jovens (18 aos 24 anos), Adultos, Idosos (60 anos ou mais)")</f>
        <v>Crianças (6 a 12 anos), Adolescentes (12 aos 18 anos), Jovens (18 aos 24 anos), Adultos, Idosos (60 anos ou mais)</v>
      </c>
      <c r="V374" s="27" t="str">
        <f ca="1">IFERROR(__xludf.DUMMYFUNCTION("""COMPUTED_VALUE"""),"Moradores de Favelas, Pessoas em situação de rua, População LGBTQ+, Pessoas com Deficiência, Comunidade rural")</f>
        <v>Moradores de Favelas, Pessoas em situação de rua, População LGBTQ+, Pessoas com Deficiência, Comunidade rural</v>
      </c>
      <c r="W374" s="27">
        <f ca="1">IFERROR(__xludf.DUMMYFUNCTION("""COMPUTED_VALUE"""),5)</f>
        <v>5</v>
      </c>
      <c r="X374" s="27"/>
      <c r="Y374" s="27"/>
      <c r="Z374" s="27">
        <f ca="1">IFERROR(__xludf.DUMMYFUNCTION("""COMPUTED_VALUE"""),250)</f>
        <v>250</v>
      </c>
      <c r="AA374" s="29">
        <f ca="1">IFERROR(__xludf.DUMMYFUNCTION("""COMPUTED_VALUE"""),44491)</f>
        <v>44491</v>
      </c>
      <c r="AB374" s="27" t="str">
        <f ca="1">IFERROR(__xludf.DUMMYFUNCTION("""COMPUTED_VALUE"""),"Sim")</f>
        <v>Sim</v>
      </c>
      <c r="AC374" s="27">
        <f ca="1">IFERROR(__xludf.DUMMYFUNCTION("""COMPUTED_VALUE"""),0)</f>
        <v>0</v>
      </c>
      <c r="AD374" s="27">
        <f ca="1">IFERROR(__xludf.DUMMYFUNCTION("""COMPUTED_VALUE"""),0)</f>
        <v>0</v>
      </c>
      <c r="AE374" s="27">
        <f ca="1">IFERROR(__xludf.DUMMYFUNCTION("""COMPUTED_VALUE"""),9)</f>
        <v>9</v>
      </c>
      <c r="AF374" s="27">
        <f ca="1">IFERROR(__xludf.DUMMYFUNCTION("""COMPUTED_VALUE"""),0)</f>
        <v>0</v>
      </c>
      <c r="AG374" s="27">
        <f ca="1">IFERROR(__xludf.DUMMYFUNCTION("""COMPUTED_VALUE"""),2)</f>
        <v>2</v>
      </c>
      <c r="AH374" s="27" t="str">
        <f ca="1">IFERROR(__xludf.DUMMYFUNCTION("""COMPUTED_VALUE"""),"Parceria iniciativa privada, Recursos próprios")</f>
        <v>Parceria iniciativa privada, Recursos próprios</v>
      </c>
      <c r="AI374" s="27" t="str">
        <f ca="1">IFERROR(__xludf.DUMMYFUNCTION("""COMPUTED_VALUE"""),"Não tem")</f>
        <v>Não tem</v>
      </c>
      <c r="AJ374" s="27" t="str">
        <f ca="1">IFERROR(__xludf.DUMMYFUNCTION("""COMPUTED_VALUE"""),"Vamos iniciar esse ano")</f>
        <v>Vamos iniciar esse ano</v>
      </c>
      <c r="AK374" s="27"/>
      <c r="AL374" s="21" t="str">
        <f ca="1">IFERROR(__xludf.DUMMYFUNCTION("""COMPUTED_VALUE"""),"0034X0000380O5F")</f>
        <v>0034X0000380O5F</v>
      </c>
      <c r="AM374" s="27" t="str">
        <f ca="1">IFERROR(__xludf.DUMMYFUNCTION("""COMPUTED_VALUE"""),"Alberes pontes")</f>
        <v>Alberes pontes</v>
      </c>
      <c r="AN374" s="27" t="str">
        <f ca="1">IFERROR(__xludf.DUMMYFUNCTION("""COMPUTED_VALUE"""),"Ativo")</f>
        <v>Ativo</v>
      </c>
      <c r="AO374" s="29">
        <f ca="1">IFERROR(__xludf.DUMMYFUNCTION("""COMPUTED_VALUE"""),44763)</f>
        <v>44763</v>
      </c>
      <c r="AP374" s="27">
        <f ca="1">IFERROR(__xludf.DUMMYFUNCTION("""COMPUTED_VALUE"""),2)</f>
        <v>2</v>
      </c>
      <c r="AQ374" s="27" t="str">
        <f ca="1">IFERROR(__xludf.DUMMYFUNCTION("""COMPUTED_VALUE"""),"Primeiro Semestre 2022")</f>
        <v>Primeiro Semestre 2022</v>
      </c>
      <c r="AR374" s="27" t="str">
        <f ca="1">IFERROR(__xludf.DUMMYFUNCTION("""COMPUTED_VALUE"""),"alberestaylor@gmail.com")</f>
        <v>alberestaylor@gmail.com</v>
      </c>
      <c r="AS374" s="27" t="str">
        <f ca="1">IFERROR(__xludf.DUMMYFUNCTION("""COMPUTED_VALUE"""),"(81)99617-8272")</f>
        <v>(81)99617-8272</v>
      </c>
      <c r="AT374" s="29">
        <f ca="1">IFERROR(__xludf.DUMMYFUNCTION("""COMPUTED_VALUE"""),33672)</f>
        <v>33672</v>
      </c>
      <c r="AU374" s="27">
        <f ca="1">IFERROR(__xludf.DUMMYFUNCTION("""COMPUTED_VALUE"""),30)</f>
        <v>30</v>
      </c>
      <c r="AV374" s="27">
        <f ca="1">IFERROR(__xludf.DUMMYFUNCTION("""COMPUTED_VALUE"""),10705290441)</f>
        <v>10705290441</v>
      </c>
      <c r="AW374" s="27">
        <f ca="1">IFERROR(__xludf.DUMMYFUNCTION("""COMPUTED_VALUE"""),7664086)</f>
        <v>7664086</v>
      </c>
      <c r="AX374" s="27"/>
      <c r="AY374" s="27" t="str">
        <f ca="1">IFERROR(__xludf.DUMMYFUNCTION("""COMPUTED_VALUE"""),"Presedente")</f>
        <v>Presedente</v>
      </c>
      <c r="AZ374" s="27" t="str">
        <f ca="1">IFERROR(__xludf.DUMMYFUNCTION("""COMPUTED_VALUE"""),"M")</f>
        <v>M</v>
      </c>
      <c r="BA374" s="27" t="str">
        <f ca="1">IFERROR(__xludf.DUMMYFUNCTION("""COMPUTED_VALUE"""),"Parda")</f>
        <v>Parda</v>
      </c>
      <c r="BB374" s="27"/>
      <c r="BC374" s="27"/>
      <c r="BD374" s="27" t="str">
        <f ca="1">IFERROR(__xludf.DUMMYFUNCTION("""COMPUTED_VALUE"""),"Meu nome e Taylor alberes pontes eu só presedente do instituto judô registando vidas e tenho um grande sonho de um dia pode crescer meu projeto jutamente com a gerando falcões ser Deus quiser.")</f>
        <v>Meu nome e Taylor alberes pontes eu só presedente do instituto judô registando vidas e tenho um grande sonho de um dia pode crescer meu projeto jutamente com a gerando falcões ser Deus quiser.</v>
      </c>
      <c r="BE374" s="27" t="str">
        <f ca="1">IFERROR(__xludf.DUMMYFUNCTION("""COMPUTED_VALUE"""),"Outro(s)")</f>
        <v>Outro(s)</v>
      </c>
      <c r="BF374" s="27" t="str">
        <f ca="1">IFERROR(__xludf.DUMMYFUNCTION("""COMPUTED_VALUE"""),"Heterossexual")</f>
        <v>Heterossexual</v>
      </c>
      <c r="BG374" s="27" t="str">
        <f ca="1">IFERROR(__xludf.DUMMYFUNCTION("""COMPUTED_VALUE"""),"Ensino Médio - Completo")</f>
        <v>Ensino Médio - Completo</v>
      </c>
      <c r="BH374" s="27" t="str">
        <f ca="1">IFERROR(__xludf.DUMMYFUNCTION("""COMPUTED_VALUE"""),"Público")</f>
        <v>Público</v>
      </c>
      <c r="BI374" s="27" t="str">
        <f ca="1">IFERROR(__xludf.DUMMYFUNCTION("""COMPUTED_VALUE"""),"Graduação")</f>
        <v>Graduação</v>
      </c>
      <c r="BJ374" s="27" t="str">
        <f ca="1">IFERROR(__xludf.DUMMYFUNCTION("""COMPUTED_VALUE"""),"Público")</f>
        <v>Público</v>
      </c>
      <c r="BK374" s="27" t="str">
        <f ca="1">IFERROR(__xludf.DUMMYFUNCTION("""COMPUTED_VALUE"""),"Av Izabel de Góes")</f>
        <v>Av Izabel de Góes</v>
      </c>
      <c r="BL374" s="27">
        <f ca="1">IFERROR(__xludf.DUMMYFUNCTION("""COMPUTED_VALUE"""),615)</f>
        <v>615</v>
      </c>
      <c r="BM374" s="27" t="str">
        <f ca="1">IFERROR(__xludf.DUMMYFUNCTION("""COMPUTED_VALUE"""),"Casa")</f>
        <v>Casa</v>
      </c>
      <c r="BN374" s="27" t="str">
        <f ca="1">IFERROR(__xludf.DUMMYFUNCTION("""COMPUTED_VALUE"""),"Recife")</f>
        <v>Recife</v>
      </c>
      <c r="BO374" s="27" t="str">
        <f ca="1">IFERROR(__xludf.DUMMYFUNCTION("""COMPUTED_VALUE"""),"50870-270")</f>
        <v>50870-270</v>
      </c>
      <c r="BP374" s="27" t="str">
        <f ca="1">IFERROR(__xludf.DUMMYFUNCTION("""COMPUTED_VALUE"""),"PE")</f>
        <v>PE</v>
      </c>
      <c r="BQ374" s="27" t="str">
        <f ca="1">IFERROR(__xludf.DUMMYFUNCTION("""COMPUTED_VALUE"""),"Entre 1 até 3 salários mínimos")</f>
        <v>Entre 1 até 3 salários mínimos</v>
      </c>
      <c r="BR374" s="27" t="str">
        <f ca="1">IFERROR(__xludf.DUMMYFUNCTION("""COMPUTED_VALUE"""),"Desempregado")</f>
        <v>Desempregado</v>
      </c>
      <c r="BS374" s="27" t="str">
        <f ca="1">IFERROR(__xludf.DUMMYFUNCTION("""COMPUTED_VALUE"""),"Aluguel")</f>
        <v>Aluguel</v>
      </c>
      <c r="BT374" s="27">
        <f ca="1">IFERROR(__xludf.DUMMYFUNCTION("""COMPUTED_VALUE"""),3)</f>
        <v>3</v>
      </c>
      <c r="BU374" s="27" t="str">
        <f ca="1">IFERROR(__xludf.DUMMYFUNCTION("""COMPUTED_VALUE"""),"Não tem")</f>
        <v>Não tem</v>
      </c>
      <c r="BV374" s="27" t="str">
        <f ca="1">IFERROR(__xludf.DUMMYFUNCTION("""COMPUTED_VALUE"""),"Não")</f>
        <v>Não</v>
      </c>
      <c r="BW374" s="27" t="str">
        <f ca="1">IFERROR(__xludf.DUMMYFUNCTION("""COMPUTED_VALUE"""),"Não tenho")</f>
        <v>Não tenho</v>
      </c>
      <c r="BX374" s="27" t="str">
        <f ca="1">IFERROR(__xludf.DUMMYFUNCTION("""COMPUTED_VALUE"""),"Instituto judô registando vidas")</f>
        <v>Instituto judô registando vidas</v>
      </c>
      <c r="BY374" s="21" t="str">
        <f ca="1">IFERROR(__xludf.DUMMYFUNCTION("""COMPUTED_VALUE"""),"https://drive.google.com/open?id=1HCUP9jQN26Qm0a6dVhBZU32FcDhXXP1z")</f>
        <v>https://drive.google.com/open?id=1HCUP9jQN26Qm0a6dVhBZU32FcDhXXP1z</v>
      </c>
    </row>
    <row r="375" spans="1:77" ht="12.5" x14ac:dyDescent="0.25">
      <c r="A375" s="21" t="str">
        <f ca="1">IFERROR(__xludf.DUMMYFUNCTION("""COMPUTED_VALUE"""),"0014X00002VKCqXQAX")</f>
        <v>0014X00002VKCqXQAX</v>
      </c>
      <c r="B375" s="27" t="str">
        <f ca="1">IFERROR(__xludf.DUMMYFUNCTION("""COMPUTED_VALUE"""),"Fase Inicial")</f>
        <v>Fase Inicial</v>
      </c>
      <c r="C375" s="27" t="str">
        <f ca="1">IFERROR(__xludf.DUMMYFUNCTION("""COMPUTED_VALUE"""),"Fellow")</f>
        <v>Fellow</v>
      </c>
      <c r="D375" s="27" t="str">
        <f ca="1">IFERROR(__xludf.DUMMYFUNCTION("""COMPUTED_VALUE"""),"Ativo")</f>
        <v>Ativo</v>
      </c>
      <c r="E375" s="27" t="str">
        <f ca="1">IFERROR(__xludf.DUMMYFUNCTION("""COMPUTED_VALUE"""),"Instituto Juntos somos mais fortes")</f>
        <v>Instituto Juntos somos mais fortes</v>
      </c>
      <c r="F375" s="27" t="str">
        <f ca="1">IFERROR(__xludf.DUMMYFUNCTION("""COMPUTED_VALUE"""),"Ana")</f>
        <v>Ana</v>
      </c>
      <c r="G375" s="27" t="str">
        <f ca="1">IFERROR(__xludf.DUMMYFUNCTION("""COMPUTED_VALUE"""),"PROJETO JUNTOS SOMOS MAIS FORTES")</f>
        <v>PROJETO JUNTOS SOMOS MAIS FORTES</v>
      </c>
      <c r="H375" s="27" t="str">
        <f ca="1">IFERROR(__xludf.DUMMYFUNCTION("""COMPUTED_VALUE"""),"40.392.181/0001-63")</f>
        <v>40.392.181/0001-63</v>
      </c>
      <c r="I375" s="27" t="str">
        <f ca="1">IFERROR(__xludf.DUMMYFUNCTION("""COMPUTED_VALUE"""),"Ana Paula Gonçalves Caldas")</f>
        <v>Ana Paula Gonçalves Caldas</v>
      </c>
      <c r="J375" s="27" t="str">
        <f ca="1">IFERROR(__xludf.DUMMYFUNCTION("""COMPUTED_VALUE"""),"jsmf.brasilia@gmail.com")</f>
        <v>jsmf.brasilia@gmail.com</v>
      </c>
      <c r="K375" s="27" t="str">
        <f ca="1">IFERROR(__xludf.DUMMYFUNCTION("""COMPUTED_VALUE"""),"(61)98495-6833")</f>
        <v>(61)98495-6833</v>
      </c>
      <c r="L375" s="27" t="str">
        <f ca="1">IFERROR(__xludf.DUMMYFUNCTION("""COMPUTED_VALUE"""),"DF")</f>
        <v>DF</v>
      </c>
      <c r="M375" s="27" t="str">
        <f ca="1">IFERROR(__xludf.DUMMYFUNCTION("""COMPUTED_VALUE"""),"Qs 01 rua 212 lotes 21 e 23 bloco D parte A 268 pvmto 11")</f>
        <v>Qs 01 rua 212 lotes 21 e 23 bloco D parte A 268 pvmto 11</v>
      </c>
      <c r="N375" s="27" t="str">
        <f ca="1">IFERROR(__xludf.DUMMYFUNCTION("""COMPUTED_VALUE"""),"Águas Lindas")</f>
        <v>Águas Lindas</v>
      </c>
      <c r="O375" s="27">
        <f ca="1">IFERROR(__xludf.DUMMYFUNCTION("""COMPUTED_VALUE"""),19)</f>
        <v>19</v>
      </c>
      <c r="P375" s="27" t="str">
        <f ca="1">IFERROR(__xludf.DUMMYFUNCTION("""COMPUTED_VALUE"""),"Brasília")</f>
        <v>Brasília</v>
      </c>
      <c r="Q375" s="27" t="str">
        <f ca="1">IFERROR(__xludf.DUMMYFUNCTION("""COMPUTED_VALUE"""),"Edifício CONNECT TOWERS")</f>
        <v>Edifício CONNECT TOWERS</v>
      </c>
      <c r="R375" s="27" t="str">
        <f ca="1">IFERROR(__xludf.DUMMYFUNCTION("""COMPUTED_VALUE"""),"71950-550")</f>
        <v>71950-550</v>
      </c>
      <c r="S375" s="27" t="str">
        <f ca="1">IFERROR(__xludf.DUMMYFUNCTION("""COMPUTED_VALUE"""),"Creche")</f>
        <v>Creche</v>
      </c>
      <c r="T375" s="27"/>
      <c r="U375" s="27" t="str">
        <f ca="1">IFERROR(__xludf.DUMMYFUNCTION("""COMPUTED_VALUE"""),"Adultos")</f>
        <v>Adultos</v>
      </c>
      <c r="V375" s="27" t="str">
        <f ca="1">IFERROR(__xludf.DUMMYFUNCTION("""COMPUTED_VALUE"""),"Moradores de Favelas, Pessoas em situação de rua, Quilombola")</f>
        <v>Moradores de Favelas, Pessoas em situação de rua, Quilombola</v>
      </c>
      <c r="W375" s="27">
        <f ca="1">IFERROR(__xludf.DUMMYFUNCTION("""COMPUTED_VALUE"""),15)</f>
        <v>15</v>
      </c>
      <c r="X375" s="27" t="str">
        <f ca="1">IFERROR(__xludf.DUMMYFUNCTION("""COMPUTED_VALUE"""),"Famílias vulneráveis e afetadas pela covid19")</f>
        <v>Famílias vulneráveis e afetadas pela covid19</v>
      </c>
      <c r="Y375" s="27"/>
      <c r="Z375" s="27">
        <f ca="1">IFERROR(__xludf.DUMMYFUNCTION("""COMPUTED_VALUE"""),300)</f>
        <v>300</v>
      </c>
      <c r="AA375" s="30">
        <f ca="1">IFERROR(__xludf.DUMMYFUNCTION("""COMPUTED_VALUE"""),44174)</f>
        <v>44174</v>
      </c>
      <c r="AB375" s="27" t="str">
        <f ca="1">IFERROR(__xludf.DUMMYFUNCTION("""COMPUTED_VALUE"""),"Sim")</f>
        <v>Sim</v>
      </c>
      <c r="AC375" s="27">
        <f ca="1">IFERROR(__xludf.DUMMYFUNCTION("""COMPUTED_VALUE"""),0)</f>
        <v>0</v>
      </c>
      <c r="AD375" s="27">
        <f ca="1">IFERROR(__xludf.DUMMYFUNCTION("""COMPUTED_VALUE"""),33)</f>
        <v>33</v>
      </c>
      <c r="AE375" s="27">
        <f ca="1">IFERROR(__xludf.DUMMYFUNCTION("""COMPUTED_VALUE"""),40)</f>
        <v>40</v>
      </c>
      <c r="AF375" s="27">
        <f ca="1">IFERROR(__xludf.DUMMYFUNCTION("""COMPUTED_VALUE"""),33)</f>
        <v>33</v>
      </c>
      <c r="AG375" s="27">
        <f ca="1">IFERROR(__xludf.DUMMYFUNCTION("""COMPUTED_VALUE"""),5)</f>
        <v>5</v>
      </c>
      <c r="AH375" s="27" t="str">
        <f ca="1">IFERROR(__xludf.DUMMYFUNCTION("""COMPUTED_VALUE"""),"Negócio Social, Eventos/Ações para captação, Plataforma doação online - Pessoa Física, Parceria iniciativa privada, Doações")</f>
        <v>Negócio Social, Eventos/Ações para captação, Plataforma doação online - Pessoa Física, Parceria iniciativa privada, Doações</v>
      </c>
      <c r="AI375" s="27" t="str">
        <f ca="1">IFERROR(__xludf.DUMMYFUNCTION("""COMPUTED_VALUE"""),"15% negócio social 10% eventos 5% doação on-line 70% doações 10% iniciativa privada")</f>
        <v>15% negócio social 10% eventos 5% doação on-line 70% doações 10% iniciativa privada</v>
      </c>
      <c r="AJ375" s="27" t="str">
        <f ca="1">IFERROR(__xludf.DUMMYFUNCTION("""COMPUTED_VALUE"""),"Sim")</f>
        <v>Sim</v>
      </c>
      <c r="AK375" s="27"/>
      <c r="AL375" s="21" t="str">
        <f ca="1">IFERROR(__xludf.DUMMYFUNCTION("""COMPUTED_VALUE"""),"0034X0000380O2H")</f>
        <v>0034X0000380O2H</v>
      </c>
      <c r="AM375" s="27" t="str">
        <f ca="1">IFERROR(__xludf.DUMMYFUNCTION("""COMPUTED_VALUE"""),"Paula Gonçalves caldas")</f>
        <v>Paula Gonçalves caldas</v>
      </c>
      <c r="AN375" s="27" t="str">
        <f ca="1">IFERROR(__xludf.DUMMYFUNCTION("""COMPUTED_VALUE"""),"Ativo")</f>
        <v>Ativo</v>
      </c>
      <c r="AO375" s="29">
        <f ca="1">IFERROR(__xludf.DUMMYFUNCTION("""COMPUTED_VALUE"""),44763)</f>
        <v>44763</v>
      </c>
      <c r="AP375" s="27">
        <f ca="1">IFERROR(__xludf.DUMMYFUNCTION("""COMPUTED_VALUE"""),2)</f>
        <v>2</v>
      </c>
      <c r="AQ375" s="27" t="str">
        <f ca="1">IFERROR(__xludf.DUMMYFUNCTION("""COMPUTED_VALUE"""),"Primeiro Semestre 2022")</f>
        <v>Primeiro Semestre 2022</v>
      </c>
      <c r="AR375" s="27" t="str">
        <f ca="1">IFERROR(__xludf.DUMMYFUNCTION("""COMPUTED_VALUE"""),"anapaulacaldas32@gmail.com")</f>
        <v>anapaulacaldas32@gmail.com</v>
      </c>
      <c r="AS375" s="27">
        <f ca="1">IFERROR(__xludf.DUMMYFUNCTION("""COMPUTED_VALUE"""),61984956833)</f>
        <v>61984956833</v>
      </c>
      <c r="AT375" s="29">
        <f ca="1">IFERROR(__xludf.DUMMYFUNCTION("""COMPUTED_VALUE"""),30291)</f>
        <v>30291</v>
      </c>
      <c r="AU375" s="27">
        <f ca="1">IFERROR(__xludf.DUMMYFUNCTION("""COMPUTED_VALUE"""),40)</f>
        <v>40</v>
      </c>
      <c r="AV375" s="27">
        <f ca="1">IFERROR(__xludf.DUMMYFUNCTION("""COMPUTED_VALUE"""),70723095191)</f>
        <v>70723095191</v>
      </c>
      <c r="AW375" s="27">
        <f ca="1">IFERROR(__xludf.DUMMYFUNCTION("""COMPUTED_VALUE"""),2085348)</f>
        <v>2085348</v>
      </c>
      <c r="AX375" s="27"/>
      <c r="AY375" s="27"/>
      <c r="AZ375" s="27" t="str">
        <f ca="1">IFERROR(__xludf.DUMMYFUNCTION("""COMPUTED_VALUE"""),"M")</f>
        <v>M</v>
      </c>
      <c r="BA375" s="27" t="str">
        <f ca="1">IFERROR(__xludf.DUMMYFUNCTION("""COMPUTED_VALUE"""),"Parda")</f>
        <v>Parda</v>
      </c>
      <c r="BB375" s="27"/>
      <c r="BC375" s="27"/>
      <c r="BD375" s="27" t="str">
        <f ca="1">IFERROR(__xludf.DUMMYFUNCTION("""COMPUTED_VALUE"""),"Ana Paula Caldas é estudante de moda e trabalha como consultora de estilo numa loja no mercado de luxo em Brasília.
A desigualdade social sempre foi algo que a incomodou bastante* vinda de uma família simples de Paracatu* interior de Minas Gerais* encontr"&amp;"ou a oportunidade de ajudar o próximo através das amizades que sempre fez no seu trabalho e na vida* vendendo as peças de roupas confeccionadas pelo projeto para amigos* familiares* conhecidos e sempre revertendo o dinheiro em alguma causa social.
Em 2020"&amp;" recebeu uma joia da empresa americana Tiffany e Co. Como forma de reconhecimento ao seu trabalho frente a pandemia de levar alimentos para famílias afetadas pela covid19.")</f>
        <v>Ana Paula Caldas é estudante de moda e trabalha como consultora de estilo numa loja no mercado de luxo em Brasília.
A desigualdade social sempre foi algo que a incomodou bastante* vinda de uma família simples de Paracatu* interior de Minas Gerais* encontrou a oportunidade de ajudar o próximo através das amizades que sempre fez no seu trabalho e na vida* vendendo as peças de roupas confeccionadas pelo projeto para amigos* familiares* conhecidos e sempre revertendo o dinheiro em alguma causa social.
Em 2020 recebeu uma joia da empresa americana Tiffany e Co. Como forma de reconhecimento ao seu trabalho frente a pandemia de levar alimentos para famílias afetadas pela covid19.</v>
      </c>
      <c r="BE375" s="27" t="str">
        <f ca="1">IFERROR(__xludf.DUMMYFUNCTION("""COMPUTED_VALUE"""),"Feminino")</f>
        <v>Feminino</v>
      </c>
      <c r="BF375" s="27" t="str">
        <f ca="1">IFERROR(__xludf.DUMMYFUNCTION("""COMPUTED_VALUE"""),"Heterossexual")</f>
        <v>Heterossexual</v>
      </c>
      <c r="BG375" s="27"/>
      <c r="BH375" s="27" t="str">
        <f ca="1">IFERROR(__xludf.DUMMYFUNCTION("""COMPUTED_VALUE"""),"Público")</f>
        <v>Público</v>
      </c>
      <c r="BI375" s="27" t="str">
        <f ca="1">IFERROR(__xludf.DUMMYFUNCTION("""COMPUTED_VALUE"""),"Graduação")</f>
        <v>Graduação</v>
      </c>
      <c r="BJ375" s="27"/>
      <c r="BK375" s="27" t="str">
        <f ca="1">IFERROR(__xludf.DUMMYFUNCTION("""COMPUTED_VALUE"""),"Qnj 08")</f>
        <v>Qnj 08</v>
      </c>
      <c r="BL375" s="27">
        <f ca="1">IFERROR(__xludf.DUMMYFUNCTION("""COMPUTED_VALUE"""),18)</f>
        <v>18</v>
      </c>
      <c r="BM375" s="27"/>
      <c r="BN375" s="27"/>
      <c r="BO375" s="27">
        <f ca="1">IFERROR(__xludf.DUMMYFUNCTION("""COMPUTED_VALUE"""),72140080)</f>
        <v>72140080</v>
      </c>
      <c r="BP375" s="27" t="str">
        <f ca="1">IFERROR(__xludf.DUMMYFUNCTION("""COMPUTED_VALUE"""),"DF")</f>
        <v>DF</v>
      </c>
      <c r="BQ375" s="27" t="str">
        <f ca="1">IFERROR(__xludf.DUMMYFUNCTION("""COMPUTED_VALUE"""),"De 3 até 5 salários mínimos")</f>
        <v>De 3 até 5 salários mínimos</v>
      </c>
      <c r="BR375" s="27" t="str">
        <f ca="1">IFERROR(__xludf.DUMMYFUNCTION("""COMPUTED_VALUE"""),"CLT")</f>
        <v>CLT</v>
      </c>
      <c r="BS375" s="27" t="str">
        <f ca="1">IFERROR(__xludf.DUMMYFUNCTION("""COMPUTED_VALUE"""),"Aluguel")</f>
        <v>Aluguel</v>
      </c>
      <c r="BT375" s="27">
        <f ca="1">IFERROR(__xludf.DUMMYFUNCTION("""COMPUTED_VALUE"""),2)</f>
        <v>2</v>
      </c>
      <c r="BU375" s="27" t="str">
        <f ca="1">IFERROR(__xludf.DUMMYFUNCTION("""COMPUTED_VALUE"""),"Não tem")</f>
        <v>Não tem</v>
      </c>
      <c r="BV375" s="27" t="str">
        <f ca="1">IFERROR(__xludf.DUMMYFUNCTION("""COMPUTED_VALUE"""),"Não")</f>
        <v>Não</v>
      </c>
      <c r="BW375" s="27"/>
      <c r="BX375" s="21" t="str">
        <f ca="1">IFERROR(__xludf.DUMMYFUNCTION("""COMPUTED_VALUE"""),"https://instagram.com/anapaulacaldas32?utm_medium=copy_link")</f>
        <v>https://instagram.com/anapaulacaldas32?utm_medium=copy_link</v>
      </c>
      <c r="BY375" s="21" t="str">
        <f ca="1">IFERROR(__xludf.DUMMYFUNCTION("""COMPUTED_VALUE"""),"https://drive.google.com/open?id=1t57QA4dYLiKrek4AdN5j43w-Ua1fUxQL")</f>
        <v>https://drive.google.com/open?id=1t57QA4dYLiKrek4AdN5j43w-Ua1fUxQL</v>
      </c>
    </row>
    <row r="376" spans="1:77" ht="12.5" hidden="1" x14ac:dyDescent="0.25">
      <c r="A376" s="21" t="str">
        <f ca="1">IFERROR(__xludf.DUMMYFUNCTION("""COMPUTED_VALUE"""),"0014X00002VKCqgQAH")</f>
        <v>0014X00002VKCqgQAH</v>
      </c>
      <c r="B376" s="27" t="str">
        <f ca="1">IFERROR(__xludf.DUMMYFUNCTION("""COMPUTED_VALUE"""),"Fase Estruturação")</f>
        <v>Fase Estruturação</v>
      </c>
      <c r="C376" s="27" t="str">
        <f ca="1">IFERROR(__xludf.DUMMYFUNCTION("""COMPUTED_VALUE"""),"Fellow")</f>
        <v>Fellow</v>
      </c>
      <c r="D376" s="27" t="str">
        <f ca="1">IFERROR(__xludf.DUMMYFUNCTION("""COMPUTED_VALUE"""),"Ativo")</f>
        <v>Ativo</v>
      </c>
      <c r="E376" s="27" t="str">
        <f ca="1">IFERROR(__xludf.DUMMYFUNCTION("""COMPUTED_VALUE"""),"INSTITUTO KALEO")</f>
        <v>INSTITUTO KALEO</v>
      </c>
      <c r="F376" s="27" t="str">
        <f ca="1">IFERROR(__xludf.DUMMYFUNCTION("""COMPUTED_VALUE"""),"Edson")</f>
        <v>Edson</v>
      </c>
      <c r="G376" s="27" t="str">
        <f ca="1">IFERROR(__xludf.DUMMYFUNCTION("""COMPUTED_VALUE"""),"INSTITUTO KALEO")</f>
        <v>INSTITUTO KALEO</v>
      </c>
      <c r="H376" s="27" t="str">
        <f ca="1">IFERROR(__xludf.DUMMYFUNCTION("""COMPUTED_VALUE"""),"21.271.761/0001-58")</f>
        <v>21.271.761/0001-58</v>
      </c>
      <c r="I376" s="27" t="str">
        <f ca="1">IFERROR(__xludf.DUMMYFUNCTION("""COMPUTED_VALUE"""),"Edson Modesto de A Junior")</f>
        <v>Edson Modesto de A Junior</v>
      </c>
      <c r="J376" s="27" t="str">
        <f ca="1">IFERROR(__xludf.DUMMYFUNCTION("""COMPUTED_VALUE"""),"contato@institutokaleo.org")</f>
        <v>contato@institutokaleo.org</v>
      </c>
      <c r="K376" s="27" t="str">
        <f ca="1">IFERROR(__xludf.DUMMYFUNCTION("""COMPUTED_VALUE"""),"(69)99236-1555")</f>
        <v>(69)99236-1555</v>
      </c>
      <c r="L376" s="27" t="str">
        <f ca="1">IFERROR(__xludf.DUMMYFUNCTION("""COMPUTED_VALUE"""),"RR")</f>
        <v>RR</v>
      </c>
      <c r="M376" s="27" t="str">
        <f ca="1">IFERROR(__xludf.DUMMYFUNCTION("""COMPUTED_VALUE"""),"Rua Dom Pedro II")</f>
        <v>Rua Dom Pedro II</v>
      </c>
      <c r="N376" s="27" t="str">
        <f ca="1">IFERROR(__xludf.DUMMYFUNCTION("""COMPUTED_VALUE"""),"OLaria")</f>
        <v>OLaria</v>
      </c>
      <c r="O376" s="27">
        <f ca="1">IFERROR(__xludf.DUMMYFUNCTION("""COMPUTED_VALUE"""),2257)</f>
        <v>2257</v>
      </c>
      <c r="P376" s="27" t="str">
        <f ca="1">IFERROR(__xludf.DUMMYFUNCTION("""COMPUTED_VALUE"""),"Porto Velho")</f>
        <v>Porto Velho</v>
      </c>
      <c r="Q376" s="27" t="str">
        <f ca="1">IFERROR(__xludf.DUMMYFUNCTION("""COMPUTED_VALUE"""),"sala 02")</f>
        <v>sala 02</v>
      </c>
      <c r="R376" s="27" t="str">
        <f ca="1">IFERROR(__xludf.DUMMYFUNCTION("""COMPUTED_VALUE"""),"76900-000")</f>
        <v>76900-000</v>
      </c>
      <c r="S376" s="27" t="str">
        <f ca="1">IFERROR(__xludf.DUMMYFUNCTION("""COMPUTED_VALUE"""),"Escola do Bairro")</f>
        <v>Escola do Bairro</v>
      </c>
      <c r="T376" s="27"/>
      <c r="U376" s="27" t="str">
        <f ca="1">IFERROR(__xludf.DUMMYFUNCTION("""COMPUTED_VALUE"""),"Crianças (6 a 12 anos), Adolescentes (12 aos 18 anos), Jovens (18 aos 24 anos), Adultos, Idosos (60 anos ou mais)")</f>
        <v>Crianças (6 a 12 anos), Adolescentes (12 aos 18 anos), Jovens (18 aos 24 anos), Adultos, Idosos (60 anos ou mais)</v>
      </c>
      <c r="V376" s="27" t="str">
        <f ca="1">IFERROR(__xludf.DUMMYFUNCTION("""COMPUTED_VALUE"""),"Moradores de Favelas, Povos Indígenas, Quilombola, Afrodescendentes, Imigrantes, Refugiados, Ribeirinhos, Comunidade rural")</f>
        <v>Moradores de Favelas, Povos Indígenas, Quilombola, Afrodescendentes, Imigrantes, Refugiados, Ribeirinhos, Comunidade rural</v>
      </c>
      <c r="W376" s="27">
        <f ca="1">IFERROR(__xludf.DUMMYFUNCTION("""COMPUTED_VALUE"""),12)</f>
        <v>12</v>
      </c>
      <c r="X376" s="27" t="str">
        <f ca="1">IFERROR(__xludf.DUMMYFUNCTION("""COMPUTED_VALUE"""),"atuamos na periferia da cidade na área de saúde e educação empreendedora")</f>
        <v>atuamos na periferia da cidade na área de saúde e educação empreendedora</v>
      </c>
      <c r="Y376" s="27"/>
      <c r="Z376" s="27">
        <f ca="1">IFERROR(__xludf.DUMMYFUNCTION("""COMPUTED_VALUE"""),1003)</f>
        <v>1003</v>
      </c>
      <c r="AA376" s="29">
        <f ca="1">IFERROR(__xludf.DUMMYFUNCTION("""COMPUTED_VALUE"""),41892)</f>
        <v>41892</v>
      </c>
      <c r="AB376" s="27" t="str">
        <f ca="1">IFERROR(__xludf.DUMMYFUNCTION("""COMPUTED_VALUE"""),"Sim")</f>
        <v>Sim</v>
      </c>
      <c r="AC376" s="27">
        <f ca="1">IFERROR(__xludf.DUMMYFUNCTION("""COMPUTED_VALUE"""),12)</f>
        <v>12</v>
      </c>
      <c r="AD376" s="27">
        <f ca="1">IFERROR(__xludf.DUMMYFUNCTION("""COMPUTED_VALUE"""),12)</f>
        <v>12</v>
      </c>
      <c r="AE376" s="27">
        <f ca="1">IFERROR(__xludf.DUMMYFUNCTION("""COMPUTED_VALUE"""),40)</f>
        <v>40</v>
      </c>
      <c r="AF376" s="27">
        <f ca="1">IFERROR(__xludf.DUMMYFUNCTION("""COMPUTED_VALUE"""),40)</f>
        <v>40</v>
      </c>
      <c r="AG376" s="27">
        <f ca="1">IFERROR(__xludf.DUMMYFUNCTION("""COMPUTED_VALUE"""),6)</f>
        <v>6</v>
      </c>
      <c r="AH376" s="27" t="str">
        <f ca="1">IFERROR(__xludf.DUMMYFUNCTION("""COMPUTED_VALUE"""),"Negócio Social, Convênio Público, Eventos/Ações para captação, Parceria iniciativa privada, Editais, Doações")</f>
        <v>Negócio Social, Convênio Público, Eventos/Ações para captação, Parceria iniciativa privada, Editais, Doações</v>
      </c>
      <c r="AI376" s="27" t="str">
        <f ca="1">IFERROR(__xludf.DUMMYFUNCTION("""COMPUTED_VALUE"""),"Negocio social 5% convênio Público 25% eventos 25% Iniciativa privada 30% 5% editais 10% doações")</f>
        <v>Negocio social 5% convênio Público 25% eventos 25% Iniciativa privada 30% 5% editais 10% doações</v>
      </c>
      <c r="AJ376" s="27" t="str">
        <f ca="1">IFERROR(__xludf.DUMMYFUNCTION("""COMPUTED_VALUE"""),"Sim")</f>
        <v>Sim</v>
      </c>
      <c r="AK376" s="27"/>
      <c r="AL376" s="21" t="str">
        <f ca="1">IFERROR(__xludf.DUMMYFUNCTION("""COMPUTED_VALUE"""),"0034X0000380O30")</f>
        <v>0034X0000380O30</v>
      </c>
      <c r="AM376" s="27" t="str">
        <f ca="1">IFERROR(__xludf.DUMMYFUNCTION("""COMPUTED_VALUE"""),"Modesto de a junior")</f>
        <v>Modesto de a junior</v>
      </c>
      <c r="AN376" s="27" t="str">
        <f ca="1">IFERROR(__xludf.DUMMYFUNCTION("""COMPUTED_VALUE"""),"Ativo")</f>
        <v>Ativo</v>
      </c>
      <c r="AO376" s="29">
        <f ca="1">IFERROR(__xludf.DUMMYFUNCTION("""COMPUTED_VALUE"""),44763)</f>
        <v>44763</v>
      </c>
      <c r="AP376" s="27">
        <f ca="1">IFERROR(__xludf.DUMMYFUNCTION("""COMPUTED_VALUE"""),2)</f>
        <v>2</v>
      </c>
      <c r="AQ376" s="27" t="str">
        <f ca="1">IFERROR(__xludf.DUMMYFUNCTION("""COMPUTED_VALUE"""),"Primeiro Semestre 2022")</f>
        <v>Primeiro Semestre 2022</v>
      </c>
      <c r="AR376" s="27" t="str">
        <f ca="1">IFERROR(__xludf.DUMMYFUNCTION("""COMPUTED_VALUE"""),"contato@institutokaleo.org")</f>
        <v>contato@institutokaleo.org</v>
      </c>
      <c r="AS376" s="27" t="str">
        <f ca="1">IFERROR(__xludf.DUMMYFUNCTION("""COMPUTED_VALUE"""),"(69)99957-1800")</f>
        <v>(69)99957-1800</v>
      </c>
      <c r="AT376" s="29">
        <f ca="1">IFERROR(__xludf.DUMMYFUNCTION("""COMPUTED_VALUE"""),29259)</f>
        <v>29259</v>
      </c>
      <c r="AU376" s="27">
        <f ca="1">IFERROR(__xludf.DUMMYFUNCTION("""COMPUTED_VALUE"""),42)</f>
        <v>42</v>
      </c>
      <c r="AV376" s="27">
        <f ca="1">IFERROR(__xludf.DUMMYFUNCTION("""COMPUTED_VALUE"""),62510550225)</f>
        <v>62510550225</v>
      </c>
      <c r="AW376" s="27">
        <f ca="1">IFERROR(__xludf.DUMMYFUNCTION("""COMPUTED_VALUE"""),294579552)</f>
        <v>294579552</v>
      </c>
      <c r="AX376" s="27"/>
      <c r="AY376" s="27" t="str">
        <f ca="1">IFERROR(__xludf.DUMMYFUNCTION("""COMPUTED_VALUE"""),"Presidente")</f>
        <v>Presidente</v>
      </c>
      <c r="AZ376" s="27" t="str">
        <f ca="1">IFERROR(__xludf.DUMMYFUNCTION("""COMPUTED_VALUE"""),"M")</f>
        <v>M</v>
      </c>
      <c r="BA376" s="27" t="str">
        <f ca="1">IFERROR(__xludf.DUMMYFUNCTION("""COMPUTED_VALUE"""),"Branca")</f>
        <v>Branca</v>
      </c>
      <c r="BB376" s="27"/>
      <c r="BC376" s="27"/>
      <c r="BD376" s="27" t="str">
        <f ca="1">IFERROR(__xludf.DUMMYFUNCTION("""COMPUTED_VALUE"""),"Formado em Comunicação e Mestre Cultura e Doutor em Políticas Públicas, desenvolve projetos Sociais no Iraque, Egito, Africa, Peru e Brasil. Atualmente é Presidente do Instituto KALEO e CEO da primeira Escola de Empreendedorismo Social da região Norte do "&amp;"Brasil.")</f>
        <v>Formado em Comunicação e Mestre Cultura e Doutor em Políticas Públicas, desenvolve projetos Sociais no Iraque, Egito, Africa, Peru e Brasil. Atualmente é Presidente do Instituto KALEO e CEO da primeira Escola de Empreendedorismo Social da região Norte do Brasil.</v>
      </c>
      <c r="BE376" s="27" t="str">
        <f ca="1">IFERROR(__xludf.DUMMYFUNCTION("""COMPUTED_VALUE"""),"Homem, cisgênero")</f>
        <v>Homem, cisgênero</v>
      </c>
      <c r="BF376" s="27" t="str">
        <f ca="1">IFERROR(__xludf.DUMMYFUNCTION("""COMPUTED_VALUE"""),"Heterossexual")</f>
        <v>Heterossexual</v>
      </c>
      <c r="BG376" s="27" t="str">
        <f ca="1">IFERROR(__xludf.DUMMYFUNCTION("""COMPUTED_VALUE"""),"Ensino Superior - Completo")</f>
        <v>Ensino Superior - Completo</v>
      </c>
      <c r="BH376" s="27" t="str">
        <f ca="1">IFERROR(__xludf.DUMMYFUNCTION("""COMPUTED_VALUE"""),"Público")</f>
        <v>Público</v>
      </c>
      <c r="BI376" s="27" t="str">
        <f ca="1">IFERROR(__xludf.DUMMYFUNCTION("""COMPUTED_VALUE"""),"Pós-Doutorado")</f>
        <v>Pós-Doutorado</v>
      </c>
      <c r="BJ376" s="27" t="str">
        <f ca="1">IFERROR(__xludf.DUMMYFUNCTION("""COMPUTED_VALUE"""),"Público")</f>
        <v>Público</v>
      </c>
      <c r="BK376" s="27" t="str">
        <f ca="1">IFERROR(__xludf.DUMMYFUNCTION("""COMPUTED_VALUE"""),"Menezes FIlho")</f>
        <v>Menezes FIlho</v>
      </c>
      <c r="BL376" s="27">
        <f ca="1">IFERROR(__xludf.DUMMYFUNCTION("""COMPUTED_VALUE"""),2057)</f>
        <v>2057</v>
      </c>
      <c r="BM376" s="27" t="str">
        <f ca="1">IFERROR(__xludf.DUMMYFUNCTION("""COMPUTED_VALUE"""),"casa")</f>
        <v>casa</v>
      </c>
      <c r="BN376" s="27" t="str">
        <f ca="1">IFERROR(__xludf.DUMMYFUNCTION("""COMPUTED_VALUE"""),"Ji-Parana")</f>
        <v>Ji-Parana</v>
      </c>
      <c r="BO376" s="27" t="str">
        <f ca="1">IFERROR(__xludf.DUMMYFUNCTION("""COMPUTED_VALUE"""),"76900-791")</f>
        <v>76900-791</v>
      </c>
      <c r="BP376" s="27" t="str">
        <f ca="1">IFERROR(__xludf.DUMMYFUNCTION("""COMPUTED_VALUE"""),"RR")</f>
        <v>RR</v>
      </c>
      <c r="BQ376" s="27" t="str">
        <f ca="1">IFERROR(__xludf.DUMMYFUNCTION("""COMPUTED_VALUE"""),"Acima de 5 salários mínimos")</f>
        <v>Acima de 5 salários mínimos</v>
      </c>
      <c r="BR376" s="27" t="str">
        <f ca="1">IFERROR(__xludf.DUMMYFUNCTION("""COMPUTED_VALUE"""),"Funcionário Público")</f>
        <v>Funcionário Público</v>
      </c>
      <c r="BS376" s="27" t="str">
        <f ca="1">IFERROR(__xludf.DUMMYFUNCTION("""COMPUTED_VALUE"""),"Casa cedida")</f>
        <v>Casa cedida</v>
      </c>
      <c r="BT376" s="27">
        <f ca="1">IFERROR(__xludf.DUMMYFUNCTION("""COMPUTED_VALUE"""),4)</f>
        <v>4</v>
      </c>
      <c r="BU376" s="27" t="str">
        <f ca="1">IFERROR(__xludf.DUMMYFUNCTION("""COMPUTED_VALUE"""),"Não tem")</f>
        <v>Não tem</v>
      </c>
      <c r="BV376" s="27" t="str">
        <f ca="1">IFERROR(__xludf.DUMMYFUNCTION("""COMPUTED_VALUE"""),"Intolerância a lactose")</f>
        <v>Intolerância a lactose</v>
      </c>
      <c r="BW376" s="21" t="str">
        <f ca="1">IFERROR(__xludf.DUMMYFUNCTION("""COMPUTED_VALUE"""),"https://www.linkedin.com/in/e-modesto-jr-9b08a979/")</f>
        <v>https://www.linkedin.com/in/e-modesto-jr-9b08a979/</v>
      </c>
      <c r="BX376" s="27" t="str">
        <f ca="1">IFERROR(__xludf.DUMMYFUNCTION("""COMPUTED_VALUE"""),"@profmodestojr")</f>
        <v>@profmodestojr</v>
      </c>
      <c r="BY376" s="21" t="str">
        <f ca="1">IFERROR(__xludf.DUMMYFUNCTION("""COMPUTED_VALUE"""),"https://drive.google.com/open?id=1S24f8Tf281yIwIDOzDGY9GqFv7Sug8wx")</f>
        <v>https://drive.google.com/open?id=1S24f8Tf281yIwIDOzDGY9GqFv7Sug8wx</v>
      </c>
    </row>
    <row r="377" spans="1:77" ht="12.5" hidden="1" x14ac:dyDescent="0.25">
      <c r="A377" s="21" t="str">
        <f ca="1">IFERROR(__xludf.DUMMYFUNCTION("""COMPUTED_VALUE"""),"0014P00003ERUfsQAH")</f>
        <v>0014P00003ERUfsQAH</v>
      </c>
      <c r="B377" s="27" t="str">
        <f ca="1">IFERROR(__xludf.DUMMYFUNCTION("""COMPUTED_VALUE"""),"Fase Avançada")</f>
        <v>Fase Avançada</v>
      </c>
      <c r="C377" s="27" t="str">
        <f ca="1">IFERROR(__xludf.DUMMYFUNCTION("""COMPUTED_VALUE"""),"Acelerada")</f>
        <v>Acelerada</v>
      </c>
      <c r="D377" s="27" t="str">
        <f ca="1">IFERROR(__xludf.DUMMYFUNCTION("""COMPUTED_VALUE"""),"Ativo")</f>
        <v>Ativo</v>
      </c>
      <c r="E377" s="27" t="str">
        <f ca="1">IFERROR(__xludf.DUMMYFUNCTION("""COMPUTED_VALUE"""),"Instituto Katiana Pena")</f>
        <v>Instituto Katiana Pena</v>
      </c>
      <c r="F377" s="27" t="str">
        <f ca="1">IFERROR(__xludf.DUMMYFUNCTION("""COMPUTED_VALUE"""),"Katiana")</f>
        <v>Katiana</v>
      </c>
      <c r="G377" s="27" t="str">
        <f ca="1">IFERROR(__xludf.DUMMYFUNCTION("""COMPUTED_VALUE"""),"KATIANA PENA")</f>
        <v>KATIANA PENA</v>
      </c>
      <c r="H377" s="27" t="str">
        <f ca="1">IFERROR(__xludf.DUMMYFUNCTION("""COMPUTED_VALUE"""),"73.304.859/0001-68")</f>
        <v>73.304.859/0001-68</v>
      </c>
      <c r="I377" s="27"/>
      <c r="J377" s="27" t="str">
        <f ca="1">IFERROR(__xludf.DUMMYFUNCTION("""COMPUTED_VALUE"""),"katiana.lider@gmail.com")</f>
        <v>katiana.lider@gmail.com</v>
      </c>
      <c r="K377" s="27" t="str">
        <f ca="1">IFERROR(__xludf.DUMMYFUNCTION("""COMPUTED_VALUE"""),"(85)99435-7303")</f>
        <v>(85)99435-7303</v>
      </c>
      <c r="L377" s="27" t="str">
        <f ca="1">IFERROR(__xludf.DUMMYFUNCTION("""COMPUTED_VALUE"""),"CE")</f>
        <v>CE</v>
      </c>
      <c r="M377" s="27" t="str">
        <f ca="1">IFERROR(__xludf.DUMMYFUNCTION("""COMPUTED_VALUE"""),"Rua Mirtes cordeiro 3147")</f>
        <v>Rua Mirtes cordeiro 3147</v>
      </c>
      <c r="N377" s="27"/>
      <c r="O377" s="27" t="str">
        <f ca="1">IFERROR(__xludf.DUMMYFUNCTION("""COMPUTED_VALUE"""),"(85)9435-7303")</f>
        <v>(85)9435-7303</v>
      </c>
      <c r="P377" s="27" t="str">
        <f ca="1">IFERROR(__xludf.DUMMYFUNCTION("""COMPUTED_VALUE"""),"Fortaleza")</f>
        <v>Fortaleza</v>
      </c>
      <c r="Q377" s="27"/>
      <c r="R377" s="27" t="str">
        <f ca="1">IFERROR(__xludf.DUMMYFUNCTION("""COMPUTED_VALUE"""),"60540-604")</f>
        <v>60540-604</v>
      </c>
      <c r="S377" s="27" t="str">
        <f ca="1">IFERROR(__xludf.DUMMYFUNCTION("""COMPUTED_VALUE"""),"Praça santa cecilia, escola caic,  espaços de terreno aberto alugado pelo ikp.")</f>
        <v>Praça santa cecilia, escola caic,  espaços de terreno aberto alugado pelo ikp.</v>
      </c>
      <c r="T377" s="27" t="str">
        <f ca="1">IFERROR(__xludf.DUMMYFUNCTION("""COMPUTED_VALUE"""),"Esporte; Educação; Assistência Social; Cultura; Negócios Sociais; Defesa de Direitos")</f>
        <v>Esporte; Educação; Assistência Social; Cultura; Negócios Sociais; Defesa de Direitos</v>
      </c>
      <c r="U377" s="27" t="str">
        <f ca="1">IFERROR(__xludf.DUMMYFUNCTION("""COMPUTED_VALUE"""),"Crianças (6 a 12 anos); Jovens (18 aos 24 anos); Adultos")</f>
        <v>Crianças (6 a 12 anos); Jovens (18 aos 24 anos); Adultos</v>
      </c>
      <c r="V377" s="27" t="str">
        <f ca="1">IFERROR(__xludf.DUMMYFUNCTION("""COMPUTED_VALUE"""),"Moradores de Favelas; Pessoas com Deficiência")</f>
        <v>Moradores de Favelas; Pessoas com Deficiência</v>
      </c>
      <c r="W377" s="27">
        <f ca="1">IFERROR(__xludf.DUMMYFUNCTION("""COMPUTED_VALUE"""),5)</f>
        <v>5</v>
      </c>
      <c r="X377" s="27"/>
      <c r="Y377" s="27"/>
      <c r="Z377" s="27"/>
      <c r="AA377" s="29">
        <f ca="1">IFERROR(__xludf.DUMMYFUNCTION("""COMPUTED_VALUE"""),34211)</f>
        <v>34211</v>
      </c>
      <c r="AB377" s="27" t="str">
        <f ca="1">IFERROR(__xludf.DUMMYFUNCTION("""COMPUTED_VALUE"""),"Sim")</f>
        <v>Sim</v>
      </c>
      <c r="AC377" s="27">
        <f ca="1">IFERROR(__xludf.DUMMYFUNCTION("""COMPUTED_VALUE"""),30)</f>
        <v>30</v>
      </c>
      <c r="AD377" s="27">
        <f ca="1">IFERROR(__xludf.DUMMYFUNCTION("""COMPUTED_VALUE"""),10)</f>
        <v>10</v>
      </c>
      <c r="AE377" s="27">
        <f ca="1">IFERROR(__xludf.DUMMYFUNCTION("""COMPUTED_VALUE"""),4)</f>
        <v>4</v>
      </c>
      <c r="AF377" s="27">
        <f ca="1">IFERROR(__xludf.DUMMYFUNCTION("""COMPUTED_VALUE"""),15)</f>
        <v>15</v>
      </c>
      <c r="AG377" s="27">
        <f ca="1">IFERROR(__xludf.DUMMYFUNCTION("""COMPUTED_VALUE"""),4)</f>
        <v>4</v>
      </c>
      <c r="AH377" s="27" t="str">
        <f ca="1">IFERROR(__xludf.DUMMYFUNCTION("""COMPUTED_VALUE"""),"Lei de Incentivo; Editais; Lei Estadual da Cultura; Lei Municipal da Cultura; Lei Rouanet; FIA")</f>
        <v>Lei de Incentivo; Editais; Lei Estadual da Cultura; Lei Municipal da Cultura; Lei Rouanet; FIA</v>
      </c>
      <c r="AI377" s="27" t="str">
        <f ca="1">IFERROR(__xludf.DUMMYFUNCTION("""COMPUTED_VALUE"""),"FIA - 60% / Mecenato estadual 25% / outros 15%")</f>
        <v>FIA - 60% / Mecenato estadual 25% / outros 15%</v>
      </c>
      <c r="AJ377" s="27" t="str">
        <f ca="1">IFERROR(__xludf.DUMMYFUNCTION("""COMPUTED_VALUE"""),"Sim")</f>
        <v>Sim</v>
      </c>
      <c r="AK377" s="27" t="str">
        <f ca="1">IFERROR(__xludf.DUMMYFUNCTION("""COMPUTED_VALUE"""),"Não")</f>
        <v>Não</v>
      </c>
      <c r="AL377" s="21" t="str">
        <f ca="1">IFERROR(__xludf.DUMMYFUNCTION("""COMPUTED_VALUE"""),"0034P00003tQ7A1")</f>
        <v>0034P00003tQ7A1</v>
      </c>
      <c r="AM377" s="27" t="str">
        <f ca="1">IFERROR(__xludf.DUMMYFUNCTION("""COMPUTED_VALUE"""),"Pena Morais")</f>
        <v>Pena Morais</v>
      </c>
      <c r="AN377" s="27" t="str">
        <f ca="1">IFERROR(__xludf.DUMMYFUNCTION("""COMPUTED_VALUE"""),"Ativo")</f>
        <v>Ativo</v>
      </c>
      <c r="AO377" s="29">
        <f ca="1">IFERROR(__xludf.DUMMYFUNCTION("""COMPUTED_VALUE"""),44075)</f>
        <v>44075</v>
      </c>
      <c r="AP377" s="27">
        <f ca="1">IFERROR(__xludf.DUMMYFUNCTION("""COMPUTED_VALUE"""),24)</f>
        <v>24</v>
      </c>
      <c r="AQ377" s="27" t="str">
        <f ca="1">IFERROR(__xludf.DUMMYFUNCTION("""COMPUTED_VALUE"""),"Primeiro Semestre 2020")</f>
        <v>Primeiro Semestre 2020</v>
      </c>
      <c r="AR377" s="27" t="str">
        <f ca="1">IFERROR(__xludf.DUMMYFUNCTION("""COMPUTED_VALUE"""),"katiana.lider@gmail.com")</f>
        <v>katiana.lider@gmail.com</v>
      </c>
      <c r="AS377" s="27" t="str">
        <f ca="1">IFERROR(__xludf.DUMMYFUNCTION("""COMPUTED_VALUE"""),"(85)9435-7303")</f>
        <v>(85)9435-7303</v>
      </c>
      <c r="AT377" s="29">
        <f ca="1">IFERROR(__xludf.DUMMYFUNCTION("""COMPUTED_VALUE"""),30305)</f>
        <v>30305</v>
      </c>
      <c r="AU377" s="27">
        <f ca="1">IFERROR(__xludf.DUMMYFUNCTION("""COMPUTED_VALUE"""),40)</f>
        <v>40</v>
      </c>
      <c r="AV377" s="27">
        <f ca="1">IFERROR(__xludf.DUMMYFUNCTION("""COMPUTED_VALUE"""),94089573415)</f>
        <v>94089573415</v>
      </c>
      <c r="AW377" s="27">
        <f ca="1">IFERROR(__xludf.DUMMYFUNCTION("""COMPUTED_VALUE"""),98012046966)</f>
        <v>98012046966</v>
      </c>
      <c r="AX377" s="27" t="str">
        <f ca="1">IFERROR(__xludf.DUMMYFUNCTION("""COMPUTED_VALUE"""),"Educação Fisica, tecnico em danca e coreografa.")</f>
        <v>Educação Fisica, tecnico em danca e coreografa.</v>
      </c>
      <c r="AY377" s="27"/>
      <c r="AZ377" s="27" t="str">
        <f ca="1">IFERROR(__xludf.DUMMYFUNCTION("""COMPUTED_VALUE"""),"M")</f>
        <v>M</v>
      </c>
      <c r="BA377" s="27"/>
      <c r="BB377" s="27"/>
      <c r="BC377" s="27" t="str">
        <f ca="1">IFERROR(__xludf.DUMMYFUNCTION("""COMPUTED_VALUE"""),"Sim")</f>
        <v>Sim</v>
      </c>
      <c r="BD377" s="27" t="str">
        <f ca="1">IFERROR(__xludf.DUMMYFUNCTION("""COMPUTED_VALUE"""),"Katiana Pena é empreendedora social de destaque no Ceará  e fundadora do Instituto Katiana Pena, localizado no bairro Bom Jardim, onde oferece cursos de transformação através da arte para mais de 800 crianças e jovens. É bailarina e coreógrafa por formaçã"&amp;"o e diretora do grupo Corpo Mudança.")</f>
        <v>Katiana Pena é empreendedora social de destaque no Ceará  e fundadora do Instituto Katiana Pena, localizado no bairro Bom Jardim, onde oferece cursos de transformação através da arte para mais de 800 crianças e jovens. É bailarina e coreógrafa por formação e diretora do grupo Corpo Mudança.</v>
      </c>
      <c r="BE377" s="27"/>
      <c r="BF377" s="27"/>
      <c r="BG377" s="27" t="str">
        <f ca="1">IFERROR(__xludf.DUMMYFUNCTION("""COMPUTED_VALUE"""),"Ensino Superior - Incompleto")</f>
        <v>Ensino Superior - Incompleto</v>
      </c>
      <c r="BH377" s="27"/>
      <c r="BI377" s="27" t="str">
        <f ca="1">IFERROR(__xludf.DUMMYFUNCTION("""COMPUTED_VALUE"""),"Graduação")</f>
        <v>Graduação</v>
      </c>
      <c r="BJ377" s="27" t="str">
        <f ca="1">IFERROR(__xludf.DUMMYFUNCTION("""COMPUTED_VALUE"""),"Privado")</f>
        <v>Privado</v>
      </c>
      <c r="BK377" s="27" t="str">
        <f ca="1">IFERROR(__xludf.DUMMYFUNCTION("""COMPUTED_VALUE"""),"Rua Mirtes cordeiro")</f>
        <v>Rua Mirtes cordeiro</v>
      </c>
      <c r="BL377" s="27">
        <f ca="1">IFERROR(__xludf.DUMMYFUNCTION("""COMPUTED_VALUE"""),3360)</f>
        <v>3360</v>
      </c>
      <c r="BM377" s="27"/>
      <c r="BN377" s="27" t="str">
        <f ca="1">IFERROR(__xludf.DUMMYFUNCTION("""COMPUTED_VALUE"""),"Fortaleza")</f>
        <v>Fortaleza</v>
      </c>
      <c r="BO377" s="27" t="str">
        <f ca="1">IFERROR(__xludf.DUMMYFUNCTION("""COMPUTED_VALUE"""),"60540-600")</f>
        <v>60540-600</v>
      </c>
      <c r="BP377" s="27" t="str">
        <f ca="1">IFERROR(__xludf.DUMMYFUNCTION("""COMPUTED_VALUE"""),"CE")</f>
        <v>CE</v>
      </c>
      <c r="BQ377" s="27" t="str">
        <f ca="1">IFERROR(__xludf.DUMMYFUNCTION("""COMPUTED_VALUE"""),"Entre 1 até 3 salários mínimos")</f>
        <v>Entre 1 até 3 salários mínimos</v>
      </c>
      <c r="BR377" s="27" t="str">
        <f ca="1">IFERROR(__xludf.DUMMYFUNCTION("""COMPUTED_VALUE"""),"MEI")</f>
        <v>MEI</v>
      </c>
      <c r="BS377" s="27" t="str">
        <f ca="1">IFERROR(__xludf.DUMMYFUNCTION("""COMPUTED_VALUE"""),"Aluguel")</f>
        <v>Aluguel</v>
      </c>
      <c r="BT377" s="27">
        <f ca="1">IFERROR(__xludf.DUMMYFUNCTION("""COMPUTED_VALUE"""),10)</f>
        <v>10</v>
      </c>
      <c r="BU377" s="27"/>
      <c r="BV377" s="27"/>
      <c r="BW377" s="21" t="str">
        <f ca="1">IFERROR(__xludf.DUMMYFUNCTION("""COMPUTED_VALUE"""),"https://www.linkedin.com/in/katiana-pena-morais-984186193")</f>
        <v>https://www.linkedin.com/in/katiana-pena-morais-984186193</v>
      </c>
      <c r="BX377" s="21" t="str">
        <f ca="1">IFERROR(__xludf.DUMMYFUNCTION("""COMPUTED_VALUE"""),"https://www.instagram.com/invites/contact/?i=a78487lju8t2&amp;utm_content=1o0ucpe")</f>
        <v>https://www.instagram.com/invites/contact/?i=a78487lju8t2&amp;utm_content=1o0ucpe</v>
      </c>
      <c r="BY377" s="21" t="str">
        <f ca="1">IFERROR(__xludf.DUMMYFUNCTION("""COMPUTED_VALUE"""),"https://drive.google.com/open?id=1myNI-9maAdB6jja7rCkomKgVBCl2OODy")</f>
        <v>https://drive.google.com/open?id=1myNI-9maAdB6jja7rCkomKgVBCl2OODy</v>
      </c>
    </row>
    <row r="378" spans="1:77" ht="12.5" x14ac:dyDescent="0.25">
      <c r="A378" s="21" t="str">
        <f ca="1">IFERROR(__xludf.DUMMYFUNCTION("""COMPUTED_VALUE"""),"0014X00002QTWXtQAP")</f>
        <v>0014X00002QTWXtQAP</v>
      </c>
      <c r="B378" s="27" t="str">
        <f ca="1">IFERROR(__xludf.DUMMYFUNCTION("""COMPUTED_VALUE"""),"Fase Inicial")</f>
        <v>Fase Inicial</v>
      </c>
      <c r="C378" s="27" t="str">
        <f ca="1">IFERROR(__xludf.DUMMYFUNCTION("""COMPUTED_VALUE"""),"Fellow")</f>
        <v>Fellow</v>
      </c>
      <c r="D378" s="27" t="str">
        <f ca="1">IFERROR(__xludf.DUMMYFUNCTION("""COMPUTED_VALUE"""),"Ativo")</f>
        <v>Ativo</v>
      </c>
      <c r="E378" s="27" t="str">
        <f ca="1">IFERROR(__xludf.DUMMYFUNCTION("""COMPUTED_VALUE"""),"Instituto Lira de Inclusão Social - ILIS")</f>
        <v>Instituto Lira de Inclusão Social - ILIS</v>
      </c>
      <c r="F378" s="27" t="str">
        <f ca="1">IFERROR(__xludf.DUMMYFUNCTION("""COMPUTED_VALUE"""),"Sônia")</f>
        <v>Sônia</v>
      </c>
      <c r="G378" s="27"/>
      <c r="H378" s="27" t="str">
        <f ca="1">IFERROR(__xludf.DUMMYFUNCTION("""COMPUTED_VALUE"""),"14.297.670/0001-26")</f>
        <v>14.297.670/0001-26</v>
      </c>
      <c r="I378" s="27" t="str">
        <f ca="1">IFERROR(__xludf.DUMMYFUNCTION("""COMPUTED_VALUE"""),"José Roberto Lira")</f>
        <v>José Roberto Lira</v>
      </c>
      <c r="J378" s="27" t="str">
        <f ca="1">IFERROR(__xludf.DUMMYFUNCTION("""COMPUTED_VALUE"""),"ilis@ilis.org.br")</f>
        <v>ilis@ilis.org.br</v>
      </c>
      <c r="K378" s="27" t="str">
        <f ca="1">IFERROR(__xludf.DUMMYFUNCTION("""COMPUTED_VALUE"""),"(11)98447-4876")</f>
        <v>(11)98447-4876</v>
      </c>
      <c r="L378" s="27" t="str">
        <f ca="1">IFERROR(__xludf.DUMMYFUNCTION("""COMPUTED_VALUE"""),"SP")</f>
        <v>SP</v>
      </c>
      <c r="M378" s="27" t="str">
        <f ca="1">IFERROR(__xludf.DUMMYFUNCTION("""COMPUTED_VALUE"""),"Avenida Alda")</f>
        <v>Avenida Alda</v>
      </c>
      <c r="N378" s="27"/>
      <c r="O378" s="27"/>
      <c r="P378" s="27" t="str">
        <f ca="1">IFERROR(__xludf.DUMMYFUNCTION("""COMPUTED_VALUE"""),"Diadema")</f>
        <v>Diadema</v>
      </c>
      <c r="Q378" s="27"/>
      <c r="R378" s="27" t="str">
        <f ca="1">IFERROR(__xludf.DUMMYFUNCTION("""COMPUTED_VALUE"""),"09910-170")</f>
        <v>09910-170</v>
      </c>
      <c r="S378" s="27"/>
      <c r="T378" s="27" t="str">
        <f ca="1">IFERROR(__xludf.DUMMYFUNCTION("""COMPUTED_VALUE"""),"Esporte; Educação; Assistência Social; Saúde; Empoderamento Feminino; Negócios Sociais; Defesa de Direitos; Desenvolvimento comunitário; Outro(s)")</f>
        <v>Esporte; Educação; Assistência Social; Saúde; Empoderamento Feminino; Negócios Sociais; Defesa de Direitos; Desenvolvimento comunitário; Outro(s)</v>
      </c>
      <c r="U378"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378" s="27" t="str">
        <f ca="1">IFERROR(__xludf.DUMMYFUNCTION("""COMPUTED_VALUE"""),"Moradores de Favelas; Afrodescendentes; Pessoas com Deficiência; Refugiados")</f>
        <v>Moradores de Favelas; Afrodescendentes; Pessoas com Deficiência; Refugiados</v>
      </c>
      <c r="W378" s="27">
        <f ca="1">IFERROR(__xludf.DUMMYFUNCTION("""COMPUTED_VALUE"""),0)</f>
        <v>0</v>
      </c>
      <c r="X378" s="27"/>
      <c r="Y378" s="27"/>
      <c r="Z378" s="27"/>
      <c r="AA378" s="29">
        <f ca="1">IFERROR(__xludf.DUMMYFUNCTION("""COMPUTED_VALUE"""),40854)</f>
        <v>40854</v>
      </c>
      <c r="AB378" s="27"/>
      <c r="AC378" s="27">
        <f ca="1">IFERROR(__xludf.DUMMYFUNCTION("""COMPUTED_VALUE"""),0)</f>
        <v>0</v>
      </c>
      <c r="AD378" s="27">
        <f ca="1">IFERROR(__xludf.DUMMYFUNCTION("""COMPUTED_VALUE"""),0)</f>
        <v>0</v>
      </c>
      <c r="AE378" s="27">
        <f ca="1">IFERROR(__xludf.DUMMYFUNCTION("""COMPUTED_VALUE"""),15)</f>
        <v>15</v>
      </c>
      <c r="AF378" s="27">
        <f ca="1">IFERROR(__xludf.DUMMYFUNCTION("""COMPUTED_VALUE"""),9)</f>
        <v>9</v>
      </c>
      <c r="AG378" s="27">
        <f ca="1">IFERROR(__xludf.DUMMYFUNCTION("""COMPUTED_VALUE"""),6)</f>
        <v>6</v>
      </c>
      <c r="AH378" s="27" t="str">
        <f ca="1">IFERROR(__xludf.DUMMYFUNCTION("""COMPUTED_VALUE"""),"Negócio Social; Convênio Público; Eventos/Ações para captação; Outro(s); Doações; Recursos próprios")</f>
        <v>Negócio Social; Convênio Público; Eventos/Ações para captação; Outro(s); Doações; Recursos próprios</v>
      </c>
      <c r="AI378" s="27">
        <f ca="1">IFERROR(__xludf.DUMMYFUNCTION("""COMPUTED_VALUE"""),0)</f>
        <v>0</v>
      </c>
      <c r="AJ378" s="27"/>
      <c r="AK378" s="27"/>
      <c r="AL378" s="21" t="str">
        <f ca="1">IFERROR(__xludf.DUMMYFUNCTION("""COMPUTED_VALUE"""),"0034X000033zzcD")</f>
        <v>0034X000033zzcD</v>
      </c>
      <c r="AM378" s="27" t="str">
        <f ca="1">IFERROR(__xludf.DUMMYFUNCTION("""COMPUTED_VALUE"""),"Bernardi Benini Soranhi")</f>
        <v>Bernardi Benini Soranhi</v>
      </c>
      <c r="AN378" s="27" t="str">
        <f ca="1">IFERROR(__xludf.DUMMYFUNCTION("""COMPUTED_VALUE"""),"Ativo")</f>
        <v>Ativo</v>
      </c>
      <c r="AO378" s="29">
        <f ca="1">IFERROR(__xludf.DUMMYFUNCTION("""COMPUTED_VALUE"""),44551)</f>
        <v>44551</v>
      </c>
      <c r="AP378" s="27">
        <f ca="1">IFERROR(__xludf.DUMMYFUNCTION("""COMPUTED_VALUE"""),9)</f>
        <v>9</v>
      </c>
      <c r="AQ378" s="27" t="str">
        <f ca="1">IFERROR(__xludf.DUMMYFUNCTION("""COMPUTED_VALUE"""),"Segundo Semestre 2021")</f>
        <v>Segundo Semestre 2021</v>
      </c>
      <c r="AR378" s="27" t="str">
        <f ca="1">IFERROR(__xludf.DUMMYFUNCTION("""COMPUTED_VALUE"""),"soniabernardibenini@gmail.com")</f>
        <v>soniabernardibenini@gmail.com</v>
      </c>
      <c r="AS378" s="27" t="str">
        <f ca="1">IFERROR(__xludf.DUMMYFUNCTION("""COMPUTED_VALUE"""),"(11)98447-4876")</f>
        <v>(11)98447-4876</v>
      </c>
      <c r="AT378" s="30">
        <f ca="1">IFERROR(__xludf.DUMMYFUNCTION("""COMPUTED_VALUE"""),25834)</f>
        <v>25834</v>
      </c>
      <c r="AU378" s="27">
        <f ca="1">IFERROR(__xludf.DUMMYFUNCTION("""COMPUTED_VALUE"""),52)</f>
        <v>52</v>
      </c>
      <c r="AV378" s="27">
        <f ca="1">IFERROR(__xludf.DUMMYFUNCTION("""COMPUTED_VALUE"""),10178636878)</f>
        <v>10178636878</v>
      </c>
      <c r="AW378" s="27">
        <f ca="1">IFERROR(__xludf.DUMMYFUNCTION("""COMPUTED_VALUE"""),195035793)</f>
        <v>195035793</v>
      </c>
      <c r="AX378" s="27"/>
      <c r="AY378" s="27"/>
      <c r="AZ378" s="27" t="str">
        <f ca="1">IFERROR(__xludf.DUMMYFUNCTION("""COMPUTED_VALUE"""),"GG")</f>
        <v>GG</v>
      </c>
      <c r="BA378" s="27" t="str">
        <f ca="1">IFERROR(__xludf.DUMMYFUNCTION("""COMPUTED_VALUE"""),"Branca")</f>
        <v>Branca</v>
      </c>
      <c r="BB378" s="27" t="str">
        <f ca="1">IFERROR(__xludf.DUMMYFUNCTION("""COMPUTED_VALUE"""),"Mulher, cisgênero")</f>
        <v>Mulher, cisgênero</v>
      </c>
      <c r="BC378" s="27" t="str">
        <f ca="1">IFERROR(__xludf.DUMMYFUNCTION("""COMPUTED_VALUE"""),"Não")</f>
        <v>Não</v>
      </c>
      <c r="BD378" s="27" t="str">
        <f ca="1">IFERROR(__xludf.DUMMYFUNCTION("""COMPUTED_VALUE"""),"Sou brasileira, paulistana, assistente social de formação, apaixonada e atuante na área social há mais de 30 anos, em favelas de Diadema, na Grande São Paulo. Casada e mãe de dois filhos do coração, e defensora da Inclusão Social, há 04 anos estou no Inst"&amp;"ituto Lira de Inclusão Social  coordenando a área de projetos, fortalecimento institucional e articulações, na busca de um mundo mais justo e igualitário.")</f>
        <v>Sou brasileira, paulistana, assistente social de formação, apaixonada e atuante na área social há mais de 30 anos, em favelas de Diadema, na Grande São Paulo. Casada e mãe de dois filhos do coração, e defensora da Inclusão Social, há 04 anos estou no Instituto Lira de Inclusão Social  coordenando a área de projetos, fortalecimento institucional e articulações, na busca de um mundo mais justo e igualitário.</v>
      </c>
      <c r="BE378" s="27"/>
      <c r="BF378" s="27" t="str">
        <f ca="1">IFERROR(__xludf.DUMMYFUNCTION("""COMPUTED_VALUE"""),"Heterossexual")</f>
        <v>Heterossexual</v>
      </c>
      <c r="BG378" s="27" t="str">
        <f ca="1">IFERROR(__xludf.DUMMYFUNCTION("""COMPUTED_VALUE"""),"Ensino Superior - Completo")</f>
        <v>Ensino Superior - Completo</v>
      </c>
      <c r="BH378" s="27"/>
      <c r="BI378" s="27" t="str">
        <f ca="1">IFERROR(__xludf.DUMMYFUNCTION("""COMPUTED_VALUE"""),"Pós-Graduação")</f>
        <v>Pós-Graduação</v>
      </c>
      <c r="BJ378" s="27" t="str">
        <f ca="1">IFERROR(__xludf.DUMMYFUNCTION("""COMPUTED_VALUE"""),"Privado")</f>
        <v>Privado</v>
      </c>
      <c r="BK378" s="27" t="str">
        <f ca="1">IFERROR(__xludf.DUMMYFUNCTION("""COMPUTED_VALUE"""),"Av Eng Armando de Arruda Pereira")</f>
        <v>Av Eng Armando de Arruda Pereira</v>
      </c>
      <c r="BL378" s="27">
        <f ca="1">IFERROR(__xludf.DUMMYFUNCTION("""COMPUTED_VALUE"""),1711)</f>
        <v>1711</v>
      </c>
      <c r="BM378" s="27" t="str">
        <f ca="1">IFERROR(__xludf.DUMMYFUNCTION("""COMPUTED_VALUE"""),"Q2 Bloco 8 Ap 11")</f>
        <v>Q2 Bloco 8 Ap 11</v>
      </c>
      <c r="BN378" s="27" t="str">
        <f ca="1">IFERROR(__xludf.DUMMYFUNCTION("""COMPUTED_VALUE"""),"Diadema")</f>
        <v>Diadema</v>
      </c>
      <c r="BO378" s="27" t="str">
        <f ca="1">IFERROR(__xludf.DUMMYFUNCTION("""COMPUTED_VALUE"""),"04309-011")</f>
        <v>04309-011</v>
      </c>
      <c r="BP378" s="27" t="str">
        <f ca="1">IFERROR(__xludf.DUMMYFUNCTION("""COMPUTED_VALUE"""),"SP")</f>
        <v>SP</v>
      </c>
      <c r="BQ378" s="27" t="str">
        <f ca="1">IFERROR(__xludf.DUMMYFUNCTION("""COMPUTED_VALUE"""),"De 3 até 5 salários mínimos")</f>
        <v>De 3 até 5 salários mínimos</v>
      </c>
      <c r="BR378" s="27" t="str">
        <f ca="1">IFERROR(__xludf.DUMMYFUNCTION("""COMPUTED_VALUE"""),"CLT")</f>
        <v>CLT</v>
      </c>
      <c r="BS378" s="27" t="str">
        <f ca="1">IFERROR(__xludf.DUMMYFUNCTION("""COMPUTED_VALUE"""),"Casa própria")</f>
        <v>Casa própria</v>
      </c>
      <c r="BT378" s="27">
        <f ca="1">IFERROR(__xludf.DUMMYFUNCTION("""COMPUTED_VALUE"""),2)</f>
        <v>2</v>
      </c>
      <c r="BU378" s="27"/>
      <c r="BV378" s="27"/>
      <c r="BW378" s="21" t="str">
        <f ca="1">IFERROR(__xludf.DUMMYFUNCTION("""COMPUTED_VALUE"""),"http://linkedin.com/in/sonia-bernardi-benini-070a9a75")</f>
        <v>http://linkedin.com/in/sonia-bernardi-benini-070a9a75</v>
      </c>
      <c r="BX378" s="21" t="str">
        <f ca="1">IFERROR(__xludf.DUMMYFUNCTION("""COMPUTED_VALUE"""),"https://instagram.com/sonia_bernardi_benini_soranhi?utm_medium=copy_link")</f>
        <v>https://instagram.com/sonia_bernardi_benini_soranhi?utm_medium=copy_link</v>
      </c>
      <c r="BY378" s="21" t="str">
        <f ca="1">IFERROR(__xludf.DUMMYFUNCTION("""COMPUTED_VALUE"""),"https://drive.google.com/open?id=13oh3tORHU2YU_TcyCrP3lqe0ACn3qatv")</f>
        <v>https://drive.google.com/open?id=13oh3tORHU2YU_TcyCrP3lqe0ACn3qatv</v>
      </c>
    </row>
    <row r="379" spans="1:77" ht="12.5" x14ac:dyDescent="0.25">
      <c r="A379" s="21" t="str">
        <f ca="1">IFERROR(__xludf.DUMMYFUNCTION("""COMPUTED_VALUE"""),"0014X00002VKCqWQAX")</f>
        <v>0014X00002VKCqWQAX</v>
      </c>
      <c r="B379" s="27" t="str">
        <f ca="1">IFERROR(__xludf.DUMMYFUNCTION("""COMPUTED_VALUE"""),"Fase Inicial")</f>
        <v>Fase Inicial</v>
      </c>
      <c r="C379" s="27" t="str">
        <f ca="1">IFERROR(__xludf.DUMMYFUNCTION("""COMPUTED_VALUE"""),"Fellow")</f>
        <v>Fellow</v>
      </c>
      <c r="D379" s="27" t="str">
        <f ca="1">IFERROR(__xludf.DUMMYFUNCTION("""COMPUTED_VALUE"""),"Ativo")</f>
        <v>Ativo</v>
      </c>
      <c r="E379" s="27" t="str">
        <f ca="1">IFERROR(__xludf.DUMMYFUNCTION("""COMPUTED_VALUE"""),"Instituto Livros em todo lugar")</f>
        <v>Instituto Livros em todo lugar</v>
      </c>
      <c r="F379" s="27" t="str">
        <f ca="1">IFERROR(__xludf.DUMMYFUNCTION("""COMPUTED_VALUE"""),"Alfredo")</f>
        <v>Alfredo</v>
      </c>
      <c r="G379" s="27" t="str">
        <f ca="1">IFERROR(__xludf.DUMMYFUNCTION("""COMPUTED_VALUE"""),"INSTITUTO LIVROS EM TODO LUGAR")</f>
        <v>INSTITUTO LIVROS EM TODO LUGAR</v>
      </c>
      <c r="H379" s="27" t="str">
        <f ca="1">IFERROR(__xludf.DUMMYFUNCTION("""COMPUTED_VALUE"""),"42.113.180/0001-68")</f>
        <v>42.113.180/0001-68</v>
      </c>
      <c r="I379" s="27" t="str">
        <f ca="1">IFERROR(__xludf.DUMMYFUNCTION("""COMPUTED_VALUE"""),"Alfredo de Oliveira Lima")</f>
        <v>Alfredo de Oliveira Lima</v>
      </c>
      <c r="J379" s="27" t="str">
        <f ca="1">IFERROR(__xludf.DUMMYFUNCTION("""COMPUTED_VALUE"""),"emtodolugarlivros@gmail.com")</f>
        <v>emtodolugarlivros@gmail.com</v>
      </c>
      <c r="K379" s="27" t="str">
        <f ca="1">IFERROR(__xludf.DUMMYFUNCTION("""COMPUTED_VALUE"""),"(31)93618-8761")</f>
        <v>(31)93618-8761</v>
      </c>
      <c r="L379" s="27" t="str">
        <f ca="1">IFERROR(__xludf.DUMMYFUNCTION("""COMPUTED_VALUE"""),"MG")</f>
        <v>MG</v>
      </c>
      <c r="M379" s="27" t="str">
        <f ca="1">IFERROR(__xludf.DUMMYFUNCTION("""COMPUTED_VALUE"""),"Rua Marcassita, 155")</f>
        <v>Rua Marcassita, 155</v>
      </c>
      <c r="N379" s="27" t="str">
        <f ca="1">IFERROR(__xludf.DUMMYFUNCTION("""COMPUTED_VALUE"""),"Pedra Azul")</f>
        <v>Pedra Azul</v>
      </c>
      <c r="O379" s="27">
        <f ca="1">IFERROR(__xludf.DUMMYFUNCTION("""COMPUTED_VALUE"""),155)</f>
        <v>155</v>
      </c>
      <c r="P379" s="27" t="str">
        <f ca="1">IFERROR(__xludf.DUMMYFUNCTION("""COMPUTED_VALUE"""),"Contagem")</f>
        <v>Contagem</v>
      </c>
      <c r="Q379" s="27" t="str">
        <f ca="1">IFERROR(__xludf.DUMMYFUNCTION("""COMPUTED_VALUE"""),"Casa")</f>
        <v>Casa</v>
      </c>
      <c r="R379" s="27" t="str">
        <f ca="1">IFERROR(__xludf.DUMMYFUNCTION("""COMPUTED_VALUE"""),"32183-380")</f>
        <v>32183-380</v>
      </c>
      <c r="S379" s="27" t="str">
        <f ca="1">IFERROR(__xludf.DUMMYFUNCTION("""COMPUTED_VALUE"""),"Praças e pontos comerciais")</f>
        <v>Praças e pontos comerciais</v>
      </c>
      <c r="T379" s="27"/>
      <c r="U379" s="27" t="str">
        <f ca="1">IFERROR(__xludf.DUMMYFUNCTION("""COMPUTED_VALUE"""),"Crianças (6 a 12 anos), Adolescentes (12 aos 18 anos), Jovens (18 aos 24 anos), Adultos")</f>
        <v>Crianças (6 a 12 anos), Adolescentes (12 aos 18 anos), Jovens (18 aos 24 anos), Adultos</v>
      </c>
      <c r="V379" s="27" t="str">
        <f ca="1">IFERROR(__xludf.DUMMYFUNCTION("""COMPUTED_VALUE"""),"Moradores de Favelas, Afrodescendentes, Outros")</f>
        <v>Moradores de Favelas, Afrodescendentes, Outros</v>
      </c>
      <c r="W379" s="27">
        <f ca="1">IFERROR(__xludf.DUMMYFUNCTION("""COMPUTED_VALUE"""),11)</f>
        <v>11</v>
      </c>
      <c r="X379" s="27" t="str">
        <f ca="1">IFERROR(__xludf.DUMMYFUNCTION("""COMPUTED_VALUE"""),"O Livros em todo lugar atende públicos distintos* em função das distribuições de livros* contação de histórias* oficinas* apresentações teatrais* entre outras atividades.")</f>
        <v>O Livros em todo lugar atende públicos distintos* em função das distribuições de livros* contação de histórias* oficinas* apresentações teatrais* entre outras atividades.</v>
      </c>
      <c r="Y379" s="27"/>
      <c r="Z379" s="27">
        <f ca="1">IFERROR(__xludf.DUMMYFUNCTION("""COMPUTED_VALUE"""),0)</f>
        <v>0</v>
      </c>
      <c r="AA379" s="29">
        <f ca="1">IFERROR(__xludf.DUMMYFUNCTION("""COMPUTED_VALUE"""),41553)</f>
        <v>41553</v>
      </c>
      <c r="AB379" s="27" t="str">
        <f ca="1">IFERROR(__xludf.DUMMYFUNCTION("""COMPUTED_VALUE"""),"Sim")</f>
        <v>Sim</v>
      </c>
      <c r="AC379" s="27">
        <f ca="1">IFERROR(__xludf.DUMMYFUNCTION("""COMPUTED_VALUE"""),2)</f>
        <v>2</v>
      </c>
      <c r="AD379" s="27">
        <f ca="1">IFERROR(__xludf.DUMMYFUNCTION("""COMPUTED_VALUE"""),2)</f>
        <v>2</v>
      </c>
      <c r="AE379" s="27">
        <f ca="1">IFERROR(__xludf.DUMMYFUNCTION("""COMPUTED_VALUE"""),10)</f>
        <v>10</v>
      </c>
      <c r="AF379" s="27">
        <f ca="1">IFERROR(__xludf.DUMMYFUNCTION("""COMPUTED_VALUE"""),4)</f>
        <v>4</v>
      </c>
      <c r="AG379" s="27">
        <f ca="1">IFERROR(__xludf.DUMMYFUNCTION("""COMPUTED_VALUE"""),3)</f>
        <v>3</v>
      </c>
      <c r="AH379" s="27" t="str">
        <f ca="1">IFERROR(__xludf.DUMMYFUNCTION("""COMPUTED_VALUE"""),"Outro(s), Doações, Recursos próprios")</f>
        <v>Outro(s), Doações, Recursos próprios</v>
      </c>
      <c r="AI379" s="27" t="str">
        <f ca="1">IFERROR(__xludf.DUMMYFUNCTION("""COMPUTED_VALUE"""),"50% Doações / 25% Recursos próprios / 25% Outros")</f>
        <v>50% Doações / 25% Recursos próprios / 25% Outros</v>
      </c>
      <c r="AJ379" s="27" t="str">
        <f ca="1">IFERROR(__xludf.DUMMYFUNCTION("""COMPUTED_VALUE"""),"Vamos iniciar esse ano")</f>
        <v>Vamos iniciar esse ano</v>
      </c>
      <c r="AK379" s="27"/>
      <c r="AL379" s="21" t="str">
        <f ca="1">IFERROR(__xludf.DUMMYFUNCTION("""COMPUTED_VALUE"""),"0034X0000380O3o")</f>
        <v>0034X0000380O3o</v>
      </c>
      <c r="AM379" s="27" t="str">
        <f ca="1">IFERROR(__xludf.DUMMYFUNCTION("""COMPUTED_VALUE"""),"De oliveira lima")</f>
        <v>De oliveira lima</v>
      </c>
      <c r="AN379" s="27" t="str">
        <f ca="1">IFERROR(__xludf.DUMMYFUNCTION("""COMPUTED_VALUE"""),"Ativo")</f>
        <v>Ativo</v>
      </c>
      <c r="AO379" s="27"/>
      <c r="AP379" s="27"/>
      <c r="AQ379" s="27" t="str">
        <f ca="1">IFERROR(__xludf.DUMMYFUNCTION("""COMPUTED_VALUE"""),"Primeiro Semestre 2022")</f>
        <v>Primeiro Semestre 2022</v>
      </c>
      <c r="AR379" s="27" t="str">
        <f ca="1">IFERROR(__xludf.DUMMYFUNCTION("""COMPUTED_VALUE"""),"farelodequiat@gmail.com")</f>
        <v>farelodequiat@gmail.com</v>
      </c>
      <c r="AS379" s="27">
        <f ca="1">IFERROR(__xludf.DUMMYFUNCTION("""COMPUTED_VALUE"""),31992373857)</f>
        <v>31992373857</v>
      </c>
      <c r="AT379" s="29">
        <f ca="1">IFERROR(__xludf.DUMMYFUNCTION("""COMPUTED_VALUE"""),30158)</f>
        <v>30158</v>
      </c>
      <c r="AU379" s="27">
        <f ca="1">IFERROR(__xludf.DUMMYFUNCTION("""COMPUTED_VALUE"""),40)</f>
        <v>40</v>
      </c>
      <c r="AV379" s="27">
        <f ca="1">IFERROR(__xludf.DUMMYFUNCTION("""COMPUTED_VALUE"""),1357071612)</f>
        <v>1357071612</v>
      </c>
      <c r="AW379" s="27" t="str">
        <f ca="1">IFERROR(__xludf.DUMMYFUNCTION("""COMPUTED_VALUE"""),"MG.12.342.155")</f>
        <v>MG.12.342.155</v>
      </c>
      <c r="AX379" s="27"/>
      <c r="AY379" s="27"/>
      <c r="AZ379" s="27" t="str">
        <f ca="1">IFERROR(__xludf.DUMMYFUNCTION("""COMPUTED_VALUE"""),"G")</f>
        <v>G</v>
      </c>
      <c r="BA379" s="27" t="str">
        <f ca="1">IFERROR(__xludf.DUMMYFUNCTION("""COMPUTED_VALUE"""),"Branca")</f>
        <v>Branca</v>
      </c>
      <c r="BB379" s="27"/>
      <c r="BC379" s="27"/>
      <c r="BD379" s="27" t="str">
        <f ca="1">IFERROR(__xludf.DUMMYFUNCTION("""COMPUTED_VALUE"""),"Alfredo Lima é professor* escritor e produtor cultural. Nasceu em Conceição do Mato Dentro* interior de Minas Gerais. Na área da Educação* ministra aulas de Literatura para o Ensino Médio há quase duas décadas. Já publicou cinco livros e desde o ano de 20"&amp;"13 está à frente do ""Livros em todo lugar'* que nasceu como um projeto de incentivo à leitura e hoje dá nome ao instituto.")</f>
        <v>Alfredo Lima é professor* escritor e produtor cultural. Nasceu em Conceição do Mato Dentro* interior de Minas Gerais. Na área da Educação* ministra aulas de Literatura para o Ensino Médio há quase duas décadas. Já publicou cinco livros e desde o ano de 2013 está à frente do "Livros em todo lugar'* que nasceu como um projeto de incentivo à leitura e hoje dá nome ao instituto.</v>
      </c>
      <c r="BE379" s="27" t="str">
        <f ca="1">IFERROR(__xludf.DUMMYFUNCTION("""COMPUTED_VALUE"""),"Masculino")</f>
        <v>Masculino</v>
      </c>
      <c r="BF379" s="27" t="str">
        <f ca="1">IFERROR(__xludf.DUMMYFUNCTION("""COMPUTED_VALUE"""),"Heterossexual")</f>
        <v>Heterossexual</v>
      </c>
      <c r="BG379" s="27"/>
      <c r="BH379" s="27" t="str">
        <f ca="1">IFERROR(__xludf.DUMMYFUNCTION("""COMPUTED_VALUE"""),"Público")</f>
        <v>Público</v>
      </c>
      <c r="BI379" s="27"/>
      <c r="BJ379" s="27" t="str">
        <f ca="1">IFERROR(__xludf.DUMMYFUNCTION("""COMPUTED_VALUE"""),"Privado")</f>
        <v>Privado</v>
      </c>
      <c r="BK379" s="27" t="str">
        <f ca="1">IFERROR(__xludf.DUMMYFUNCTION("""COMPUTED_VALUE"""),"Rua Marcassita")</f>
        <v>Rua Marcassita</v>
      </c>
      <c r="BL379" s="27">
        <f ca="1">IFERROR(__xludf.DUMMYFUNCTION("""COMPUTED_VALUE"""),155)</f>
        <v>155</v>
      </c>
      <c r="BM379" s="27"/>
      <c r="BN379" s="27"/>
      <c r="BO379" s="27">
        <f ca="1">IFERROR(__xludf.DUMMYFUNCTION("""COMPUTED_VALUE"""),32183380)</f>
        <v>32183380</v>
      </c>
      <c r="BP379" s="27" t="str">
        <f ca="1">IFERROR(__xludf.DUMMYFUNCTION("""COMPUTED_VALUE"""),"MG")</f>
        <v>MG</v>
      </c>
      <c r="BQ379" s="27" t="str">
        <f ca="1">IFERROR(__xludf.DUMMYFUNCTION("""COMPUTED_VALUE"""),"Acima de 5 salários mínimos")</f>
        <v>Acima de 5 salários mínimos</v>
      </c>
      <c r="BR379" s="27" t="str">
        <f ca="1">IFERROR(__xludf.DUMMYFUNCTION("""COMPUTED_VALUE"""),"MEI")</f>
        <v>MEI</v>
      </c>
      <c r="BS379" s="27" t="str">
        <f ca="1">IFERROR(__xludf.DUMMYFUNCTION("""COMPUTED_VALUE"""),"Casa própria")</f>
        <v>Casa própria</v>
      </c>
      <c r="BT379" s="27">
        <f ca="1">IFERROR(__xludf.DUMMYFUNCTION("""COMPUTED_VALUE"""),3)</f>
        <v>3</v>
      </c>
      <c r="BU379" s="27" t="str">
        <f ca="1">IFERROR(__xludf.DUMMYFUNCTION("""COMPUTED_VALUE"""),"Não tem")</f>
        <v>Não tem</v>
      </c>
      <c r="BV379" s="27" t="str">
        <f ca="1">IFERROR(__xludf.DUMMYFUNCTION("""COMPUTED_VALUE"""),"Não")</f>
        <v>Não</v>
      </c>
      <c r="BW379" s="27"/>
      <c r="BX379" s="21" t="str">
        <f ca="1">IFERROR(__xludf.DUMMYFUNCTION("""COMPUTED_VALUE"""),"https://www.instagram.com/farelodequiat/")</f>
        <v>https://www.instagram.com/farelodequiat/</v>
      </c>
      <c r="BY379" s="21" t="str">
        <f ca="1">IFERROR(__xludf.DUMMYFUNCTION("""COMPUTED_VALUE"""),"https://drive.google.com/open?id=1M2fZZyvhgixP9OUMxTn5kMTWXPvzvC5R")</f>
        <v>https://drive.google.com/open?id=1M2fZZyvhgixP9OUMxTn5kMTWXPvzvC5R</v>
      </c>
    </row>
    <row r="380" spans="1:77" ht="12.5" x14ac:dyDescent="0.25">
      <c r="A380" s="21" t="str">
        <f ca="1">IFERROR(__xludf.DUMMYFUNCTION("""COMPUTED_VALUE"""),"0014P00003SGWPqQAP")</f>
        <v>0014P00003SGWPqQAP</v>
      </c>
      <c r="B380" s="27" t="str">
        <f ca="1">IFERROR(__xludf.DUMMYFUNCTION("""COMPUTED_VALUE"""),"Fase Inicial")</f>
        <v>Fase Inicial</v>
      </c>
      <c r="C380" s="27" t="str">
        <f ca="1">IFERROR(__xludf.DUMMYFUNCTION("""COMPUTED_VALUE"""),"Fellow")</f>
        <v>Fellow</v>
      </c>
      <c r="D380" s="27" t="str">
        <f ca="1">IFERROR(__xludf.DUMMYFUNCTION("""COMPUTED_VALUE"""),"Ativo")</f>
        <v>Ativo</v>
      </c>
      <c r="E380" s="27" t="str">
        <f ca="1">IFERROR(__xludf.DUMMYFUNCTION("""COMPUTED_VALUE"""),"INSTITUTO MACUNAÍMA DE CULTURA - ESCOLA DE CIDADANIA")</f>
        <v>INSTITUTO MACUNAÍMA DE CULTURA - ESCOLA DE CIDADANIA</v>
      </c>
      <c r="F380" s="27" t="str">
        <f ca="1">IFERROR(__xludf.DUMMYFUNCTION("""COMPUTED_VALUE"""),"Rodrigo")</f>
        <v>Rodrigo</v>
      </c>
      <c r="G380" s="27" t="str">
        <f ca="1">IFERROR(__xludf.DUMMYFUNCTION("""COMPUTED_VALUE"""),"MACUNAÍMA")</f>
        <v>MACUNAÍMA</v>
      </c>
      <c r="H380" s="27" t="str">
        <f ca="1">IFERROR(__xludf.DUMMYFUNCTION("""COMPUTED_VALUE"""),"27.777.581/0001-29")</f>
        <v>27.777.581/0001-29</v>
      </c>
      <c r="I380" s="27" t="str">
        <f ca="1">IFERROR(__xludf.DUMMYFUNCTION("""COMPUTED_VALUE"""),"Rodrigo Mateus Zacarias Silva")</f>
        <v>Rodrigo Mateus Zacarias Silva</v>
      </c>
      <c r="J380" s="27" t="str">
        <f ca="1">IFERROR(__xludf.DUMMYFUNCTION("""COMPUTED_VALUE"""),"contato@institutomacunaima.org.br")</f>
        <v>contato@institutomacunaima.org.br</v>
      </c>
      <c r="K380" s="27" t="str">
        <f ca="1">IFERROR(__xludf.DUMMYFUNCTION("""COMPUTED_VALUE"""),"(31)99944-9113")</f>
        <v>(31)99944-9113</v>
      </c>
      <c r="L380" s="27" t="str">
        <f ca="1">IFERROR(__xludf.DUMMYFUNCTION("""COMPUTED_VALUE"""),"MG")</f>
        <v>MG</v>
      </c>
      <c r="M380" s="27" t="str">
        <f ca="1">IFERROR(__xludf.DUMMYFUNCTION("""COMPUTED_VALUE"""),"rua faisão")</f>
        <v>rua faisão</v>
      </c>
      <c r="N380" s="27" t="str">
        <f ca="1">IFERROR(__xludf.DUMMYFUNCTION("""COMPUTED_VALUE"""),"Flávio Marques Lisboa")</f>
        <v>Flávio Marques Lisboa</v>
      </c>
      <c r="O380" s="27" t="str">
        <f ca="1">IFERROR(__xludf.DUMMYFUNCTION("""COMPUTED_VALUE"""),"(31)99944-9113")</f>
        <v>(31)99944-9113</v>
      </c>
      <c r="P380" s="27" t="str">
        <f ca="1">IFERROR(__xludf.DUMMYFUNCTION("""COMPUTED_VALUE"""),"belo horizonte")</f>
        <v>belo horizonte</v>
      </c>
      <c r="Q380" s="27"/>
      <c r="R380" s="27" t="str">
        <f ca="1">IFERROR(__xludf.DUMMYFUNCTION("""COMPUTED_VALUE"""),"30624-080")</f>
        <v>30624-080</v>
      </c>
      <c r="S380" s="27"/>
      <c r="T380" s="27" t="str">
        <f ca="1">IFERROR(__xludf.DUMMYFUNCTION("""COMPUTED_VALUE"""),"Educação; Cultura; Empreendedorismo; Meio ambiente; Empoderamento Feminino")</f>
        <v>Educação; Cultura; Empreendedorismo; Meio ambiente; Empoderamento Feminino</v>
      </c>
      <c r="U380" s="27" t="str">
        <f ca="1">IFERROR(__xludf.DUMMYFUNCTION("""COMPUTED_VALUE"""),"Crianças (6 a 12 anos); Adolescentes (12 aos 18 anos); Jovens (18 aos 24 anos); Adultos; Idosos (60 anos ou mais)")</f>
        <v>Crianças (6 a 12 anos); Adolescentes (12 aos 18 anos); Jovens (18 aos 24 anos); Adultos; Idosos (60 anos ou mais)</v>
      </c>
      <c r="V380" s="27" t="str">
        <f ca="1">IFERROR(__xludf.DUMMYFUNCTION("""COMPUTED_VALUE"""),"Moradores de Favelas; Afrodescendentes; Egressos sistema carcerário")</f>
        <v>Moradores de Favelas; Afrodescendentes; Egressos sistema carcerário</v>
      </c>
      <c r="W380" s="27">
        <f ca="1">IFERROR(__xludf.DUMMYFUNCTION("""COMPUTED_VALUE"""),3)</f>
        <v>3</v>
      </c>
      <c r="X380" s="27"/>
      <c r="Y380" s="27">
        <f ca="1">IFERROR(__xludf.DUMMYFUNCTION("""COMPUTED_VALUE"""),200)</f>
        <v>200</v>
      </c>
      <c r="Z380" s="27">
        <f ca="1">IFERROR(__xludf.DUMMYFUNCTION("""COMPUTED_VALUE"""),1000)</f>
        <v>1000</v>
      </c>
      <c r="AA380" s="29">
        <f ca="1">IFERROR(__xludf.DUMMYFUNCTION("""COMPUTED_VALUE"""),42874)</f>
        <v>42874</v>
      </c>
      <c r="AB380" s="27" t="str">
        <f ca="1">IFERROR(__xludf.DUMMYFUNCTION("""COMPUTED_VALUE"""),"Sim")</f>
        <v>Sim</v>
      </c>
      <c r="AC380" s="27">
        <f ca="1">IFERROR(__xludf.DUMMYFUNCTION("""COMPUTED_VALUE"""),2)</f>
        <v>2</v>
      </c>
      <c r="AD380" s="27">
        <f ca="1">IFERROR(__xludf.DUMMYFUNCTION("""COMPUTED_VALUE"""),14)</f>
        <v>14</v>
      </c>
      <c r="AE380" s="27">
        <f ca="1">IFERROR(__xludf.DUMMYFUNCTION("""COMPUTED_VALUE"""),4)</f>
        <v>4</v>
      </c>
      <c r="AF380" s="27">
        <f ca="1">IFERROR(__xludf.DUMMYFUNCTION("""COMPUTED_VALUE"""),10)</f>
        <v>10</v>
      </c>
      <c r="AG380" s="27">
        <f ca="1">IFERROR(__xludf.DUMMYFUNCTION("""COMPUTED_VALUE"""),0)</f>
        <v>0</v>
      </c>
      <c r="AH380" s="27" t="str">
        <f ca="1">IFERROR(__xludf.DUMMYFUNCTION("""COMPUTED_VALUE"""),"Lei Municipal da Cultura; FIA")</f>
        <v>Lei Municipal da Cultura; FIA</v>
      </c>
      <c r="AI380" s="27" t="str">
        <f ca="1">IFERROR(__xludf.DUMMYFUNCTION("""COMPUTED_VALUE"""),"90% fia, 10% lei municpal de cultura")</f>
        <v>90% fia, 10% lei municpal de cultura</v>
      </c>
      <c r="AJ380" s="27" t="str">
        <f ca="1">IFERROR(__xludf.DUMMYFUNCTION("""COMPUTED_VALUE"""),"Não")</f>
        <v>Não</v>
      </c>
      <c r="AK380" s="27" t="str">
        <f ca="1">IFERROR(__xludf.DUMMYFUNCTION("""COMPUTED_VALUE"""),"Não")</f>
        <v>Não</v>
      </c>
      <c r="AL380" s="21" t="str">
        <f ca="1">IFERROR(__xludf.DUMMYFUNCTION("""COMPUTED_VALUE"""),"0034P000043fOnv")</f>
        <v>0034P000043fOnv</v>
      </c>
      <c r="AM380" s="27" t="str">
        <f ca="1">IFERROR(__xludf.DUMMYFUNCTION("""COMPUTED_VALUE"""),"Mateus Zacarias Silva")</f>
        <v>Mateus Zacarias Silva</v>
      </c>
      <c r="AN380" s="27" t="str">
        <f ca="1">IFERROR(__xludf.DUMMYFUNCTION("""COMPUTED_VALUE"""),"Ativo")</f>
        <v>Ativo</v>
      </c>
      <c r="AO380" s="29">
        <f ca="1">IFERROR(__xludf.DUMMYFUNCTION("""COMPUTED_VALUE"""),44432)</f>
        <v>44432</v>
      </c>
      <c r="AP380" s="27">
        <f ca="1">IFERROR(__xludf.DUMMYFUNCTION("""COMPUTED_VALUE"""),13)</f>
        <v>13</v>
      </c>
      <c r="AQ380" s="27" t="str">
        <f ca="1">IFERROR(__xludf.DUMMYFUNCTION("""COMPUTED_VALUE"""),"Primeiro Semestre 2021")</f>
        <v>Primeiro Semestre 2021</v>
      </c>
      <c r="AR380" s="27" t="str">
        <f ca="1">IFERROR(__xludf.DUMMYFUNCTION("""COMPUTED_VALUE"""),"rodrigo@institutomacunaima.org.br")</f>
        <v>rodrigo@institutomacunaima.org.br</v>
      </c>
      <c r="AS380" s="27" t="str">
        <f ca="1">IFERROR(__xludf.DUMMYFUNCTION("""COMPUTED_VALUE"""),"(31)99944-9113")</f>
        <v>(31)99944-9113</v>
      </c>
      <c r="AT380" s="29">
        <f ca="1">IFERROR(__xludf.DUMMYFUNCTION("""COMPUTED_VALUE"""),31615)</f>
        <v>31615</v>
      </c>
      <c r="AU380" s="27">
        <f ca="1">IFERROR(__xludf.DUMMYFUNCTION("""COMPUTED_VALUE"""),36)</f>
        <v>36</v>
      </c>
      <c r="AV380" s="27">
        <f ca="1">IFERROR(__xludf.DUMMYFUNCTION("""COMPUTED_VALUE"""),7221656681)</f>
        <v>7221656681</v>
      </c>
      <c r="AW380" s="27">
        <f ca="1">IFERROR(__xludf.DUMMYFUNCTION("""COMPUTED_VALUE"""),14231133)</f>
        <v>14231133</v>
      </c>
      <c r="AX380" s="27" t="str">
        <f ca="1">IFERROR(__xludf.DUMMYFUNCTION("""COMPUTED_VALUE"""),"Sociológia")</f>
        <v>Sociológia</v>
      </c>
      <c r="AY380" s="27"/>
      <c r="AZ380" s="27" t="str">
        <f ca="1">IFERROR(__xludf.DUMMYFUNCTION("""COMPUTED_VALUE"""),"G1")</f>
        <v>G1</v>
      </c>
      <c r="BA380" s="27" t="str">
        <f ca="1">IFERROR(__xludf.DUMMYFUNCTION("""COMPUTED_VALUE"""),"Branca")</f>
        <v>Branca</v>
      </c>
      <c r="BB380" s="27"/>
      <c r="BC380" s="27" t="str">
        <f ca="1">IFERROR(__xludf.DUMMYFUNCTION("""COMPUTED_VALUE"""),"Sim")</f>
        <v>Sim</v>
      </c>
      <c r="BD380" s="27" t="str">
        <f ca="1">IFERROR(__xludf.DUMMYFUNCTION("""COMPUTED_VALUE"""),"Rodrigo Zacarias fundador do Instituto Macunaíma, onde atua na valorização cultural da regional Barreiro, demonstrando a riqueza histórica cultural dessa região. É Coordenador de Projetos Sociais certificado em Gerenciamento de Projetos para Profissionais"&amp;" de Desenvolvimento pela APMG International. Atualmente ocupa a Presidência  do Conselho Municipal dos Direitos da Criança e Adolescente de Belo Horizonte.")</f>
        <v>Rodrigo Zacarias fundador do Instituto Macunaíma, onde atua na valorização cultural da regional Barreiro, demonstrando a riqueza histórica cultural dessa região. É Coordenador de Projetos Sociais certificado em Gerenciamento de Projetos para Profissionais de Desenvolvimento pela APMG International. Atualmente ocupa a Presidência  do Conselho Municipal dos Direitos da Criança e Adolescente de Belo Horizonte.</v>
      </c>
      <c r="BE380" s="27" t="str">
        <f ca="1">IFERROR(__xludf.DUMMYFUNCTION("""COMPUTED_VALUE"""),"Feminino")</f>
        <v>Feminino</v>
      </c>
      <c r="BF380" s="27" t="str">
        <f ca="1">IFERROR(__xludf.DUMMYFUNCTION("""COMPUTED_VALUE"""),"Heterossexual")</f>
        <v>Heterossexual</v>
      </c>
      <c r="BG380" s="27" t="str">
        <f ca="1">IFERROR(__xludf.DUMMYFUNCTION("""COMPUTED_VALUE"""),"Ensino Superior - Incompleto")</f>
        <v>Ensino Superior - Incompleto</v>
      </c>
      <c r="BH380" s="27"/>
      <c r="BI380" s="27" t="str">
        <f ca="1">IFERROR(__xludf.DUMMYFUNCTION("""COMPUTED_VALUE"""),"Graduação")</f>
        <v>Graduação</v>
      </c>
      <c r="BJ380" s="27" t="str">
        <f ca="1">IFERROR(__xludf.DUMMYFUNCTION("""COMPUTED_VALUE"""),"Privado")</f>
        <v>Privado</v>
      </c>
      <c r="BK380" s="27" t="str">
        <f ca="1">IFERROR(__xludf.DUMMYFUNCTION("""COMPUTED_VALUE"""),"rua josé forçal")</f>
        <v>rua josé forçal</v>
      </c>
      <c r="BL380" s="27">
        <f ca="1">IFERROR(__xludf.DUMMYFUNCTION("""COMPUTED_VALUE"""),162)</f>
        <v>162</v>
      </c>
      <c r="BM380" s="27"/>
      <c r="BN380" s="27" t="str">
        <f ca="1">IFERROR(__xludf.DUMMYFUNCTION("""COMPUTED_VALUE"""),"belo horizonte")</f>
        <v>belo horizonte</v>
      </c>
      <c r="BO380" s="27" t="str">
        <f ca="1">IFERROR(__xludf.DUMMYFUNCTION("""COMPUTED_VALUE"""),"30642-460")</f>
        <v>30642-460</v>
      </c>
      <c r="BP380" s="27" t="str">
        <f ca="1">IFERROR(__xludf.DUMMYFUNCTION("""COMPUTED_VALUE"""),"MG")</f>
        <v>MG</v>
      </c>
      <c r="BQ380" s="27" t="str">
        <f ca="1">IFERROR(__xludf.DUMMYFUNCTION("""COMPUTED_VALUE"""),"Entre 1 até 3 salários mínimos")</f>
        <v>Entre 1 até 3 salários mínimos</v>
      </c>
      <c r="BR380" s="27" t="str">
        <f ca="1">IFERROR(__xludf.DUMMYFUNCTION("""COMPUTED_VALUE"""),"CLT")</f>
        <v>CLT</v>
      </c>
      <c r="BS380" s="27" t="str">
        <f ca="1">IFERROR(__xludf.DUMMYFUNCTION("""COMPUTED_VALUE"""),"Casa própria")</f>
        <v>Casa própria</v>
      </c>
      <c r="BT380" s="27">
        <f ca="1">IFERROR(__xludf.DUMMYFUNCTION("""COMPUTED_VALUE"""),1)</f>
        <v>1</v>
      </c>
      <c r="BU380" s="27"/>
      <c r="BV380" s="27"/>
      <c r="BW380" s="21" t="str">
        <f ca="1">IFERROR(__xludf.DUMMYFUNCTION("""COMPUTED_VALUE"""),"https://www.linkedin.com/in/rodrigo-zacarias-23a8a81b3/")</f>
        <v>https://www.linkedin.com/in/rodrigo-zacarias-23a8a81b3/</v>
      </c>
      <c r="BX380" s="21" t="str">
        <f ca="1">IFERROR(__xludf.DUMMYFUNCTION("""COMPUTED_VALUE"""),"instagram.com/sidaomacunaima")</f>
        <v>instagram.com/sidaomacunaima</v>
      </c>
      <c r="BY380" s="21" t="str">
        <f ca="1">IFERROR(__xludf.DUMMYFUNCTION("""COMPUTED_VALUE"""),"https://drive.google.com/open?id=19gdmX7R4KOcvUbBvKjUmw37JQQLdNVMQ")</f>
        <v>https://drive.google.com/open?id=19gdmX7R4KOcvUbBvKjUmw37JQQLdNVMQ</v>
      </c>
    </row>
    <row r="381" spans="1:77" ht="12.5" x14ac:dyDescent="0.25">
      <c r="A381" s="21" t="str">
        <f ca="1">IFERROR(__xludf.DUMMYFUNCTION("""COMPUTED_VALUE"""),"0014X00002VKCtJQAX")</f>
        <v>0014X00002VKCtJQAX</v>
      </c>
      <c r="B381" s="27" t="str">
        <f ca="1">IFERROR(__xludf.DUMMYFUNCTION("""COMPUTED_VALUE"""),"Fase Inicial")</f>
        <v>Fase Inicial</v>
      </c>
      <c r="C381" s="27" t="str">
        <f ca="1">IFERROR(__xludf.DUMMYFUNCTION("""COMPUTED_VALUE"""),"Fellow")</f>
        <v>Fellow</v>
      </c>
      <c r="D381" s="27" t="str">
        <f ca="1">IFERROR(__xludf.DUMMYFUNCTION("""COMPUTED_VALUE"""),"Ativo")</f>
        <v>Ativo</v>
      </c>
      <c r="E381" s="27" t="str">
        <f ca="1">IFERROR(__xludf.DUMMYFUNCTION("""COMPUTED_VALUE"""),"Instituto Mais Mulher")</f>
        <v>Instituto Mais Mulher</v>
      </c>
      <c r="F381" s="27" t="str">
        <f ca="1">IFERROR(__xludf.DUMMYFUNCTION("""COMPUTED_VALUE"""),"Débora")</f>
        <v>Débora</v>
      </c>
      <c r="G381" s="27" t="str">
        <f ca="1">IFERROR(__xludf.DUMMYFUNCTION("""COMPUTED_VALUE"""),"INSTITUTO MAIS MULHER")</f>
        <v>INSTITUTO MAIS MULHER</v>
      </c>
      <c r="H381" s="27"/>
      <c r="I381" s="27" t="str">
        <f ca="1">IFERROR(__xludf.DUMMYFUNCTION("""COMPUTED_VALUE"""),"Débora Larissa Silva de Souza")</f>
        <v>Débora Larissa Silva de Souza</v>
      </c>
      <c r="J381" s="27" t="str">
        <f ca="1">IFERROR(__xludf.DUMMYFUNCTION("""COMPUTED_VALUE"""),"contato.institutomaismulher@gmail.com")</f>
        <v>contato.institutomaismulher@gmail.com</v>
      </c>
      <c r="K381" s="27"/>
      <c r="L381" s="27" t="str">
        <f ca="1">IFERROR(__xludf.DUMMYFUNCTION("""COMPUTED_VALUE"""),"RN")</f>
        <v>RN</v>
      </c>
      <c r="M381" s="27" t="str">
        <f ca="1">IFERROR(__xludf.DUMMYFUNCTION("""COMPUTED_VALUE"""),"Travessa João XXIII")</f>
        <v>Travessa João XXIII</v>
      </c>
      <c r="N381" s="27" t="str">
        <f ca="1">IFERROR(__xludf.DUMMYFUNCTION("""COMPUTED_VALUE"""),"Mãe Luiza")</f>
        <v>Mãe Luiza</v>
      </c>
      <c r="O381" s="27">
        <f ca="1">IFERROR(__xludf.DUMMYFUNCTION("""COMPUTED_VALUE"""),216)</f>
        <v>216</v>
      </c>
      <c r="P381" s="27" t="str">
        <f ca="1">IFERROR(__xludf.DUMMYFUNCTION("""COMPUTED_VALUE"""),"Natal")</f>
        <v>Natal</v>
      </c>
      <c r="Q381" s="27"/>
      <c r="R381" s="27" t="str">
        <f ca="1">IFERROR(__xludf.DUMMYFUNCTION("""COMPUTED_VALUE"""),"59014-005")</f>
        <v>59014-005</v>
      </c>
      <c r="S381" s="27"/>
      <c r="T381" s="27"/>
      <c r="U381" s="27"/>
      <c r="V381" s="27"/>
      <c r="W381" s="27">
        <f ca="1">IFERROR(__xludf.DUMMYFUNCTION("""COMPUTED_VALUE"""),4)</f>
        <v>4</v>
      </c>
      <c r="X381" s="27" t="str">
        <f ca="1">IFERROR(__xludf.DUMMYFUNCTION("""COMPUTED_VALUE"""),"Mulheres em situação de violência doméstica e mães solo")</f>
        <v>Mulheres em situação de violência doméstica e mães solo</v>
      </c>
      <c r="Y381" s="27"/>
      <c r="Z381" s="27">
        <f ca="1">IFERROR(__xludf.DUMMYFUNCTION("""COMPUTED_VALUE"""),300)</f>
        <v>300</v>
      </c>
      <c r="AA381" s="29">
        <f ca="1">IFERROR(__xludf.DUMMYFUNCTION("""COMPUTED_VALUE"""),43925)</f>
        <v>43925</v>
      </c>
      <c r="AB381" s="27" t="str">
        <f ca="1">IFERROR(__xludf.DUMMYFUNCTION("""COMPUTED_VALUE"""),"Não")</f>
        <v>Não</v>
      </c>
      <c r="AC381" s="27"/>
      <c r="AD381" s="27"/>
      <c r="AE381" s="27">
        <f ca="1">IFERROR(__xludf.DUMMYFUNCTION("""COMPUTED_VALUE"""),10)</f>
        <v>10</v>
      </c>
      <c r="AF381" s="27"/>
      <c r="AG381" s="27">
        <f ca="1">IFERROR(__xludf.DUMMYFUNCTION("""COMPUTED_VALUE"""),3)</f>
        <v>3</v>
      </c>
      <c r="AH381" s="27"/>
      <c r="AI381" s="27"/>
      <c r="AJ381" s="27" t="str">
        <f ca="1">IFERROR(__xludf.DUMMYFUNCTION("""COMPUTED_VALUE"""),"Sim")</f>
        <v>Sim</v>
      </c>
      <c r="AK381" s="27"/>
      <c r="AL381" s="21" t="str">
        <f ca="1">IFERROR(__xludf.DUMMYFUNCTION("""COMPUTED_VALUE"""),"0034X0000380O2G")</f>
        <v>0034X0000380O2G</v>
      </c>
      <c r="AM381" s="27" t="str">
        <f ca="1">IFERROR(__xludf.DUMMYFUNCTION("""COMPUTED_VALUE"""),"Larissa silva de souza")</f>
        <v>Larissa silva de souza</v>
      </c>
      <c r="AN381" s="27" t="str">
        <f ca="1">IFERROR(__xludf.DUMMYFUNCTION("""COMPUTED_VALUE"""),"Ativo")</f>
        <v>Ativo</v>
      </c>
      <c r="AO381" s="29">
        <f ca="1">IFERROR(__xludf.DUMMYFUNCTION("""COMPUTED_VALUE"""),44763)</f>
        <v>44763</v>
      </c>
      <c r="AP381" s="27">
        <f ca="1">IFERROR(__xludf.DUMMYFUNCTION("""COMPUTED_VALUE"""),2)</f>
        <v>2</v>
      </c>
      <c r="AQ381" s="27" t="str">
        <f ca="1">IFERROR(__xludf.DUMMYFUNCTION("""COMPUTED_VALUE"""),"Primeiro Semestre 2022")</f>
        <v>Primeiro Semestre 2022</v>
      </c>
      <c r="AR381" s="27" t="str">
        <f ca="1">IFERROR(__xludf.DUMMYFUNCTION("""COMPUTED_VALUE"""),"souza.dlarissa@gmail.com")</f>
        <v>souza.dlarissa@gmail.com</v>
      </c>
      <c r="AS381" s="27">
        <f ca="1">IFERROR(__xludf.DUMMYFUNCTION("""COMPUTED_VALUE"""),84988541448)</f>
        <v>84988541448</v>
      </c>
      <c r="AT381" s="29">
        <f ca="1">IFERROR(__xludf.DUMMYFUNCTION("""COMPUTED_VALUE"""),34438)</f>
        <v>34438</v>
      </c>
      <c r="AU381" s="27">
        <f ca="1">IFERROR(__xludf.DUMMYFUNCTION("""COMPUTED_VALUE"""),28)</f>
        <v>28</v>
      </c>
      <c r="AV381" s="27">
        <f ca="1">IFERROR(__xludf.DUMMYFUNCTION("""COMPUTED_VALUE"""),6407303451)</f>
        <v>6407303451</v>
      </c>
      <c r="AW381" s="27">
        <f ca="1">IFERROR(__xludf.DUMMYFUNCTION("""COMPUTED_VALUE"""),2386918)</f>
        <v>2386918</v>
      </c>
      <c r="AX381" s="27"/>
      <c r="AY381" s="27"/>
      <c r="AZ381" s="27" t="str">
        <f ca="1">IFERROR(__xludf.DUMMYFUNCTION("""COMPUTED_VALUE"""),"GG")</f>
        <v>GG</v>
      </c>
      <c r="BA381" s="27" t="str">
        <f ca="1">IFERROR(__xludf.DUMMYFUNCTION("""COMPUTED_VALUE"""),"Parda")</f>
        <v>Parda</v>
      </c>
      <c r="BB381" s="27"/>
      <c r="BC381" s="27"/>
      <c r="BD381" s="27" t="str">
        <f ca="1">IFERROR(__xludf.DUMMYFUNCTION("""COMPUTED_VALUE"""),"Advogada com inscrição na OABRN nº 17.209. Graduanda do curso de Administração. Estudante de MBA em Privacidade e Proteção de Dados Pessoais. Estudante de MBA em Gestão Comercial e Inteligência Competitiva. Pós graduanda em Direito Empresarial. Secretaria"&amp;" Adjunta da Comissão Nacional da Mulher da ABA. Membro da Comissão dos Direitos Humanos e da Mulher Advogada* pela OAB/RN. Presidente e Fundadora do Instituto Mais Mulher. Advogada Voluntária da ONG TamoJuntas e do Projeto ""Mas Ele Nunca Me Bateu"". Emba"&amp;"ixadora do Projeto ""Vote Nelas"". Bacharel em Direito pela Universidade Estácio de Sá* Técnica em Guia de Turismo pelo Instituto Federal de Educação Ciência e Tecnologia do RN.")</f>
        <v>Advogada com inscrição na OABRN nº 17.209. Graduanda do curso de Administração. Estudante de MBA em Privacidade e Proteção de Dados Pessoais. Estudante de MBA em Gestão Comercial e Inteligência Competitiva. Pós graduanda em Direito Empresarial. Secretaria Adjunta da Comissão Nacional da Mulher da ABA. Membro da Comissão dos Direitos Humanos e da Mulher Advogada* pela OAB/RN. Presidente e Fundadora do Instituto Mais Mulher. Advogada Voluntária da ONG TamoJuntas e do Projeto "Mas Ele Nunca Me Bateu". Embaixadora do Projeto "Vote Nelas". Bacharel em Direito pela Universidade Estácio de Sá* Técnica em Guia de Turismo pelo Instituto Federal de Educação Ciência e Tecnologia do RN.</v>
      </c>
      <c r="BE381" s="27" t="str">
        <f ca="1">IFERROR(__xludf.DUMMYFUNCTION("""COMPUTED_VALUE"""),"Feminino")</f>
        <v>Feminino</v>
      </c>
      <c r="BF381" s="27" t="str">
        <f ca="1">IFERROR(__xludf.DUMMYFUNCTION("""COMPUTED_VALUE"""),"Pansexual")</f>
        <v>Pansexual</v>
      </c>
      <c r="BG381" s="27"/>
      <c r="BH381" s="27" t="str">
        <f ca="1">IFERROR(__xludf.DUMMYFUNCTION("""COMPUTED_VALUE"""),"Público")</f>
        <v>Público</v>
      </c>
      <c r="BI381" s="27"/>
      <c r="BJ381" s="27" t="str">
        <f ca="1">IFERROR(__xludf.DUMMYFUNCTION("""COMPUTED_VALUE"""),"Privado")</f>
        <v>Privado</v>
      </c>
      <c r="BK381" s="27" t="str">
        <f ca="1">IFERROR(__xludf.DUMMYFUNCTION("""COMPUTED_VALUE"""),"Quinta Travessa João XXIII")</f>
        <v>Quinta Travessa João XXIII</v>
      </c>
      <c r="BL381" s="27">
        <f ca="1">IFERROR(__xludf.DUMMYFUNCTION("""COMPUTED_VALUE"""),216)</f>
        <v>216</v>
      </c>
      <c r="BM381" s="27"/>
      <c r="BN381" s="27"/>
      <c r="BO381" s="27" t="str">
        <f ca="1">IFERROR(__xludf.DUMMYFUNCTION("""COMPUTED_VALUE"""),"59014-005")</f>
        <v>59014-005</v>
      </c>
      <c r="BP381" s="27" t="str">
        <f ca="1">IFERROR(__xludf.DUMMYFUNCTION("""COMPUTED_VALUE"""),"RN")</f>
        <v>RN</v>
      </c>
      <c r="BQ381" s="27" t="str">
        <f ca="1">IFERROR(__xludf.DUMMYFUNCTION("""COMPUTED_VALUE"""),"Entre 1 até 3 salários mínimos")</f>
        <v>Entre 1 até 3 salários mínimos</v>
      </c>
      <c r="BR381" s="27" t="str">
        <f ca="1">IFERROR(__xludf.DUMMYFUNCTION("""COMPUTED_VALUE"""),"Desempregado")</f>
        <v>Desempregado</v>
      </c>
      <c r="BS381" s="27" t="str">
        <f ca="1">IFERROR(__xludf.DUMMYFUNCTION("""COMPUTED_VALUE"""),"Casa própria")</f>
        <v>Casa própria</v>
      </c>
      <c r="BT381" s="27">
        <f ca="1">IFERROR(__xludf.DUMMYFUNCTION("""COMPUTED_VALUE"""),3)</f>
        <v>3</v>
      </c>
      <c r="BU381" s="27" t="str">
        <f ca="1">IFERROR(__xludf.DUMMYFUNCTION("""COMPUTED_VALUE"""),"Não tem")</f>
        <v>Não tem</v>
      </c>
      <c r="BV381" s="27" t="str">
        <f ca="1">IFERROR(__xludf.DUMMYFUNCTION("""COMPUTED_VALUE"""),"Sim")</f>
        <v>Sim</v>
      </c>
      <c r="BW381" s="27"/>
      <c r="BX381" s="21" t="str">
        <f ca="1">IFERROR(__xludf.DUMMYFUNCTION("""COMPUTED_VALUE"""),"https://www.instagram.com/deborasouzaadv/")</f>
        <v>https://www.instagram.com/deborasouzaadv/</v>
      </c>
      <c r="BY381" s="21" t="str">
        <f ca="1">IFERROR(__xludf.DUMMYFUNCTION("""COMPUTED_VALUE"""),"https://drive.google.com/open?id=1HT4684CcpU-x676TP-UGAjLLj7HHmGvB")</f>
        <v>https://drive.google.com/open?id=1HT4684CcpU-x676TP-UGAjLLj7HHmGvB</v>
      </c>
    </row>
    <row r="382" spans="1:77" ht="12.5" x14ac:dyDescent="0.25">
      <c r="A382" s="21" t="str">
        <f ca="1">IFERROR(__xludf.DUMMYFUNCTION("""COMPUTED_VALUE"""),"0014X00002VKCp1QAH")</f>
        <v>0014X00002VKCp1QAH</v>
      </c>
      <c r="B382" s="27" t="str">
        <f ca="1">IFERROR(__xludf.DUMMYFUNCTION("""COMPUTED_VALUE"""),"Fase Inicial")</f>
        <v>Fase Inicial</v>
      </c>
      <c r="C382" s="27" t="str">
        <f ca="1">IFERROR(__xludf.DUMMYFUNCTION("""COMPUTED_VALUE"""),"Fellow")</f>
        <v>Fellow</v>
      </c>
      <c r="D382" s="27" t="str">
        <f ca="1">IFERROR(__xludf.DUMMYFUNCTION("""COMPUTED_VALUE"""),"Ativo")</f>
        <v>Ativo</v>
      </c>
      <c r="E382" s="27" t="str">
        <f ca="1">IFERROR(__xludf.DUMMYFUNCTION("""COMPUTED_VALUE"""),"Instituto Mais Vida")</f>
        <v>Instituto Mais Vida</v>
      </c>
      <c r="F382" s="27" t="str">
        <f ca="1">IFERROR(__xludf.DUMMYFUNCTION("""COMPUTED_VALUE"""),"ANTONIO")</f>
        <v>ANTONIO</v>
      </c>
      <c r="G382" s="27" t="str">
        <f ca="1">IFERROR(__xludf.DUMMYFUNCTION("""COMPUTED_VALUE"""),"INSTITUTO MAIS VIDA")</f>
        <v>INSTITUTO MAIS VIDA</v>
      </c>
      <c r="H382" s="27" t="str">
        <f ca="1">IFERROR(__xludf.DUMMYFUNCTION("""COMPUTED_VALUE"""),"19.436.959/0001-00")</f>
        <v>19.436.959/0001-00</v>
      </c>
      <c r="I382" s="27" t="str">
        <f ca="1">IFERROR(__xludf.DUMMYFUNCTION("""COMPUTED_VALUE"""),"ANTONIO ANDRE LIMA MUNIZ")</f>
        <v>ANTONIO ANDRE LIMA MUNIZ</v>
      </c>
      <c r="J382" s="27" t="str">
        <f ca="1">IFERROR(__xludf.DUMMYFUNCTION("""COMPUTED_VALUE"""),"imvmaceio@gmail.com")</f>
        <v>imvmaceio@gmail.com</v>
      </c>
      <c r="K382" s="27" t="str">
        <f ca="1">IFERROR(__xludf.DUMMYFUNCTION("""COMPUTED_VALUE"""),"(82)3317-1202")</f>
        <v>(82)3317-1202</v>
      </c>
      <c r="L382" s="27" t="str">
        <f ca="1">IFERROR(__xludf.DUMMYFUNCTION("""COMPUTED_VALUE"""),"AL")</f>
        <v>AL</v>
      </c>
      <c r="M382" s="27" t="str">
        <f ca="1">IFERROR(__xludf.DUMMYFUNCTION("""COMPUTED_VALUE"""),"Av: Menino Marcelo")</f>
        <v>Av: Menino Marcelo</v>
      </c>
      <c r="N382" s="27" t="str">
        <f ca="1">IFERROR(__xludf.DUMMYFUNCTION("""COMPUTED_VALUE"""),"Antares")</f>
        <v>Antares</v>
      </c>
      <c r="O382" s="27">
        <f ca="1">IFERROR(__xludf.DUMMYFUNCTION("""COMPUTED_VALUE"""),5550)</f>
        <v>5550</v>
      </c>
      <c r="P382" s="27" t="str">
        <f ca="1">IFERROR(__xludf.DUMMYFUNCTION("""COMPUTED_VALUE"""),"Maceió")</f>
        <v>Maceió</v>
      </c>
      <c r="Q382" s="27" t="str">
        <f ca="1">IFERROR(__xludf.DUMMYFUNCTION("""COMPUTED_VALUE"""),"A")</f>
        <v>A</v>
      </c>
      <c r="R382" s="27" t="str">
        <f ca="1">IFERROR(__xludf.DUMMYFUNCTION("""COMPUTED_VALUE"""),"57083-410")</f>
        <v>57083-410</v>
      </c>
      <c r="S382" s="27" t="str">
        <f ca="1">IFERROR(__xludf.DUMMYFUNCTION("""COMPUTED_VALUE"""),"Não")</f>
        <v>Não</v>
      </c>
      <c r="T382" s="27"/>
      <c r="U382" s="27" t="str">
        <f ca="1">IFERROR(__xludf.DUMMYFUNCTION("""COMPUTED_VALUE"""),"Crianças (6 a 12 anos), Adolescentes (12 aos 18 anos), Jovens (18 aos 24 anos), Adultos, Idosos (60 anos ou mais)")</f>
        <v>Crianças (6 a 12 anos), Adolescentes (12 aos 18 anos), Jovens (18 aos 24 anos), Adultos, Idosos (60 anos ou mais)</v>
      </c>
      <c r="V382" s="27" t="str">
        <f ca="1">IFERROR(__xludf.DUMMYFUNCTION("""COMPUTED_VALUE"""),"Moradores de Favelas")</f>
        <v>Moradores de Favelas</v>
      </c>
      <c r="W382" s="27">
        <f ca="1">IFERROR(__xludf.DUMMYFUNCTION("""COMPUTED_VALUE"""),8)</f>
        <v>8</v>
      </c>
      <c r="X382" s="27"/>
      <c r="Y382" s="27"/>
      <c r="Z382" s="27">
        <f ca="1">IFERROR(__xludf.DUMMYFUNCTION("""COMPUTED_VALUE"""),520)</f>
        <v>520</v>
      </c>
      <c r="AA382" s="29">
        <f ca="1">IFERROR(__xludf.DUMMYFUNCTION("""COMPUTED_VALUE"""),41563)</f>
        <v>41563</v>
      </c>
      <c r="AB382" s="27" t="str">
        <f ca="1">IFERROR(__xludf.DUMMYFUNCTION("""COMPUTED_VALUE"""),"Sim")</f>
        <v>Sim</v>
      </c>
      <c r="AC382" s="27">
        <f ca="1">IFERROR(__xludf.DUMMYFUNCTION("""COMPUTED_VALUE"""),5)</f>
        <v>5</v>
      </c>
      <c r="AD382" s="27">
        <f ca="1">IFERROR(__xludf.DUMMYFUNCTION("""COMPUTED_VALUE"""),6)</f>
        <v>6</v>
      </c>
      <c r="AE382" s="27">
        <f ca="1">IFERROR(__xludf.DUMMYFUNCTION("""COMPUTED_VALUE"""),8)</f>
        <v>8</v>
      </c>
      <c r="AF382" s="27">
        <f ca="1">IFERROR(__xludf.DUMMYFUNCTION("""COMPUTED_VALUE"""),12)</f>
        <v>12</v>
      </c>
      <c r="AG382" s="27">
        <f ca="1">IFERROR(__xludf.DUMMYFUNCTION("""COMPUTED_VALUE"""),9)</f>
        <v>9</v>
      </c>
      <c r="AH382" s="27" t="str">
        <f ca="1">IFERROR(__xludf.DUMMYFUNCTION("""COMPUTED_VALUE"""),"Lei de Incentivo, Convênio Público, Editais, Doações, Lei Estadual da Cultura, Lei Municipal da Cultura, Lei Federal do Esporte, Lei Rouanet, Recursos próprios")</f>
        <v>Lei de Incentivo, Convênio Público, Editais, Doações, Lei Estadual da Cultura, Lei Municipal da Cultura, Lei Federal do Esporte, Lei Rouanet, Recursos próprios</v>
      </c>
      <c r="AI382" s="27" t="str">
        <f ca="1">IFERROR(__xludf.DUMMYFUNCTION("""COMPUTED_VALUE"""),"90% Emendas Parlamentares")</f>
        <v>90% Emendas Parlamentares</v>
      </c>
      <c r="AJ382" s="27" t="str">
        <f ca="1">IFERROR(__xludf.DUMMYFUNCTION("""COMPUTED_VALUE"""),"Não")</f>
        <v>Não</v>
      </c>
      <c r="AK382" s="27"/>
      <c r="AL382" s="21" t="str">
        <f ca="1">IFERROR(__xludf.DUMMYFUNCTION("""COMPUTED_VALUE"""),"0034X0000380O45")</f>
        <v>0034X0000380O45</v>
      </c>
      <c r="AM382" s="27" t="str">
        <f ca="1">IFERROR(__xludf.DUMMYFUNCTION("""COMPUTED_VALUE"""),"Andre lima muniz")</f>
        <v>Andre lima muniz</v>
      </c>
      <c r="AN382" s="27" t="str">
        <f ca="1">IFERROR(__xludf.DUMMYFUNCTION("""COMPUTED_VALUE"""),"Ativo")</f>
        <v>Ativo</v>
      </c>
      <c r="AO382" s="29">
        <f ca="1">IFERROR(__xludf.DUMMYFUNCTION("""COMPUTED_VALUE"""),44763)</f>
        <v>44763</v>
      </c>
      <c r="AP382" s="27">
        <f ca="1">IFERROR(__xludf.DUMMYFUNCTION("""COMPUTED_VALUE"""),2)</f>
        <v>2</v>
      </c>
      <c r="AQ382" s="27" t="str">
        <f ca="1">IFERROR(__xludf.DUMMYFUNCTION("""COMPUTED_VALUE"""),"Primeiro Semestre 2022")</f>
        <v>Primeiro Semestre 2022</v>
      </c>
      <c r="AR382" s="27" t="str">
        <f ca="1">IFERROR(__xludf.DUMMYFUNCTION("""COMPUTED_VALUE"""),"imvmaceio@gmail.com")</f>
        <v>imvmaceio@gmail.com</v>
      </c>
      <c r="AS382" s="27" t="str">
        <f ca="1">IFERROR(__xludf.DUMMYFUNCTION("""COMPUTED_VALUE"""),"(82)99920-3045")</f>
        <v>(82)99920-3045</v>
      </c>
      <c r="AT382" s="29">
        <f ca="1">IFERROR(__xludf.DUMMYFUNCTION("""COMPUTED_VALUE"""),26802)</f>
        <v>26802</v>
      </c>
      <c r="AU382" s="27">
        <f ca="1">IFERROR(__xludf.DUMMYFUNCTION("""COMPUTED_VALUE"""),49)</f>
        <v>49</v>
      </c>
      <c r="AV382" s="27">
        <f ca="1">IFERROR(__xludf.DUMMYFUNCTION("""COMPUTED_VALUE"""),7564568780)</f>
        <v>7564568780</v>
      </c>
      <c r="AW382" s="27">
        <f ca="1">IFERROR(__xludf.DUMMYFUNCTION("""COMPUTED_VALUE"""),97436968)</f>
        <v>97436968</v>
      </c>
      <c r="AX382" s="27"/>
      <c r="AY382" s="27" t="str">
        <f ca="1">IFERROR(__xludf.DUMMYFUNCTION("""COMPUTED_VALUE"""),"Presidente/Diretor")</f>
        <v>Presidente/Diretor</v>
      </c>
      <c r="AZ382" s="27" t="str">
        <f ca="1">IFERROR(__xludf.DUMMYFUNCTION("""COMPUTED_VALUE"""),"GG")</f>
        <v>GG</v>
      </c>
      <c r="BA382" s="27" t="str">
        <f ca="1">IFERROR(__xludf.DUMMYFUNCTION("""COMPUTED_VALUE"""),"Parda")</f>
        <v>Parda</v>
      </c>
      <c r="BB382" s="27"/>
      <c r="BC382" s="27"/>
      <c r="BD382" s="27" t="str">
        <f ca="1">IFERROR(__xludf.DUMMYFUNCTION("""COMPUTED_VALUE"""),"Andre Muniz, nasceu na cidade de Duque de Caxias/RJ em 18 de maio de 1973. Aos 22 anos de idade começou a se mover juntamente com grupos de assistência social, da Igreja que congregava, à ajudar pessoas nas comunidades carentes do Rio de Janeiro. 
Foi mor"&amp;"ar em Maceió em 2005. Entre os anos de 2008 à 2012, fez um trabalho de assistência aos moradores em situação de rua. Foi consagrado pastor em de outubro 2012, e em 2013 deu inicio a um sonho: fundou a OSC Instituto Mais Vida.")</f>
        <v>Andre Muniz, nasceu na cidade de Duque de Caxias/RJ em 18 de maio de 1973. Aos 22 anos de idade começou a se mover juntamente com grupos de assistência social, da Igreja que congregava, à ajudar pessoas nas comunidades carentes do Rio de Janeiro. 
Foi morar em Maceió em 2005. Entre os anos de 2008 à 2012, fez um trabalho de assistência aos moradores em situação de rua. Foi consagrado pastor em de outubro 2012, e em 2013 deu inicio a um sonho: fundou a OSC Instituto Mais Vida.</v>
      </c>
      <c r="BE382" s="27" t="str">
        <f ca="1">IFERROR(__xludf.DUMMYFUNCTION("""COMPUTED_VALUE"""),"Homem, cisgênero")</f>
        <v>Homem, cisgênero</v>
      </c>
      <c r="BF382" s="27" t="str">
        <f ca="1">IFERROR(__xludf.DUMMYFUNCTION("""COMPUTED_VALUE"""),"Heterossexual")</f>
        <v>Heterossexual</v>
      </c>
      <c r="BG382" s="27" t="str">
        <f ca="1">IFERROR(__xludf.DUMMYFUNCTION("""COMPUTED_VALUE"""),"Ensino Médio - Incompleto")</f>
        <v>Ensino Médio - Incompleto</v>
      </c>
      <c r="BH382" s="27" t="str">
        <f ca="1">IFERROR(__xludf.DUMMYFUNCTION("""COMPUTED_VALUE"""),"Público")</f>
        <v>Público</v>
      </c>
      <c r="BI382" s="27"/>
      <c r="BJ382" s="27"/>
      <c r="BK382" s="27" t="str">
        <f ca="1">IFERROR(__xludf.DUMMYFUNCTION("""COMPUTED_VALUE"""),"Maragogi")</f>
        <v>Maragogi</v>
      </c>
      <c r="BL382" s="27">
        <f ca="1">IFERROR(__xludf.DUMMYFUNCTION("""COMPUTED_VALUE"""),8)</f>
        <v>8</v>
      </c>
      <c r="BM382" s="27" t="str">
        <f ca="1">IFERROR(__xludf.DUMMYFUNCTION("""COMPUTED_VALUE"""),"A")</f>
        <v>A</v>
      </c>
      <c r="BN382" s="27" t="str">
        <f ca="1">IFERROR(__xludf.DUMMYFUNCTION("""COMPUTED_VALUE"""),"Maceió")</f>
        <v>Maceió</v>
      </c>
      <c r="BO382" s="27" t="str">
        <f ca="1">IFERROR(__xludf.DUMMYFUNCTION("""COMPUTED_VALUE"""),"57080-110")</f>
        <v>57080-110</v>
      </c>
      <c r="BP382" s="27" t="str">
        <f ca="1">IFERROR(__xludf.DUMMYFUNCTION("""COMPUTED_VALUE"""),"AL")</f>
        <v>AL</v>
      </c>
      <c r="BQ382" s="27" t="str">
        <f ca="1">IFERROR(__xludf.DUMMYFUNCTION("""COMPUTED_VALUE"""),"Entre 1 até 3 salários mínimos")</f>
        <v>Entre 1 até 3 salários mínimos</v>
      </c>
      <c r="BR382" s="27" t="str">
        <f ca="1">IFERROR(__xludf.DUMMYFUNCTION("""COMPUTED_VALUE"""),"Trabalho informal")</f>
        <v>Trabalho informal</v>
      </c>
      <c r="BS382" s="27" t="str">
        <f ca="1">IFERROR(__xludf.DUMMYFUNCTION("""COMPUTED_VALUE"""),"Casa própria")</f>
        <v>Casa própria</v>
      </c>
      <c r="BT382" s="27">
        <f ca="1">IFERROR(__xludf.DUMMYFUNCTION("""COMPUTED_VALUE"""),3)</f>
        <v>3</v>
      </c>
      <c r="BU382" s="27" t="str">
        <f ca="1">IFERROR(__xludf.DUMMYFUNCTION("""COMPUTED_VALUE"""),"Não tem")</f>
        <v>Não tem</v>
      </c>
      <c r="BV382" s="27" t="str">
        <f ca="1">IFERROR(__xludf.DUMMYFUNCTION("""COMPUTED_VALUE"""),"Não")</f>
        <v>Não</v>
      </c>
      <c r="BW382" s="27"/>
      <c r="BX382" s="21" t="str">
        <f ca="1">IFERROR(__xludf.DUMMYFUNCTION("""COMPUTED_VALUE"""),"https://www.instagram.com/instmaisvida/")</f>
        <v>https://www.instagram.com/instmaisvida/</v>
      </c>
      <c r="BY382" s="21" t="str">
        <f ca="1">IFERROR(__xludf.DUMMYFUNCTION("""COMPUTED_VALUE"""),"https://drive.google.com/open?id=1lGGlJ-rg5gxqhNDJ3HqFa3cspLRUQdMV")</f>
        <v>https://drive.google.com/open?id=1lGGlJ-rg5gxqhNDJ3HqFa3cspLRUQdMV</v>
      </c>
    </row>
    <row r="383" spans="1:77" ht="12.5" x14ac:dyDescent="0.25">
      <c r="A383" s="21" t="str">
        <f ca="1">IFERROR(__xludf.DUMMYFUNCTION("""COMPUTED_VALUE"""),"0014P00003AN2GPQA1")</f>
        <v>0014P00003AN2GPQA1</v>
      </c>
      <c r="B383" s="27" t="str">
        <f ca="1">IFERROR(__xludf.DUMMYFUNCTION("""COMPUTED_VALUE"""),"Fase Avançada")</f>
        <v>Fase Avançada</v>
      </c>
      <c r="C383" s="27" t="str">
        <f ca="1">IFERROR(__xludf.DUMMYFUNCTION("""COMPUTED_VALUE"""),"Acelerada")</f>
        <v>Acelerada</v>
      </c>
      <c r="D383" s="27" t="str">
        <f ca="1">IFERROR(__xludf.DUMMYFUNCTION("""COMPUTED_VALUE"""),"Ativo")</f>
        <v>Ativo</v>
      </c>
      <c r="E383" s="27" t="str">
        <f ca="1">IFERROR(__xludf.DUMMYFUNCTION("""COMPUTED_VALUE"""),"Instituto Mandaver")</f>
        <v>Instituto Mandaver</v>
      </c>
      <c r="F383" s="27" t="str">
        <f ca="1">IFERROR(__xludf.DUMMYFUNCTION("""COMPUTED_VALUE"""),"Lisania")</f>
        <v>Lisania</v>
      </c>
      <c r="G383" s="27" t="str">
        <f ca="1">IFERROR(__xludf.DUMMYFUNCTION("""COMPUTED_VALUE"""),"MANDAVER")</f>
        <v>MANDAVER</v>
      </c>
      <c r="H383" s="27" t="str">
        <f ca="1">IFERROR(__xludf.DUMMYFUNCTION("""COMPUTED_VALUE"""),"30.587.116/0001-30")</f>
        <v>30.587.116/0001-30</v>
      </c>
      <c r="I383" s="27"/>
      <c r="J383" s="27" t="str">
        <f ca="1">IFERROR(__xludf.DUMMYFUNCTION("""COMPUTED_VALUE"""),"financeiro@mandaver.org")</f>
        <v>financeiro@mandaver.org</v>
      </c>
      <c r="K383" s="27" t="str">
        <f ca="1">IFERROR(__xludf.DUMMYFUNCTION("""COMPUTED_VALUE""")," ")</f>
        <v> </v>
      </c>
      <c r="L383" s="27" t="str">
        <f ca="1">IFERROR(__xludf.DUMMYFUNCTION("""COMPUTED_VALUE"""),"AL")</f>
        <v>AL</v>
      </c>
      <c r="M383" s="27" t="str">
        <f ca="1">IFERROR(__xludf.DUMMYFUNCTION("""COMPUTED_VALUE"""),"Avenida Monte Castelo")</f>
        <v>Avenida Monte Castelo</v>
      </c>
      <c r="N383" s="27"/>
      <c r="O383" s="27" t="str">
        <f ca="1">IFERROR(__xludf.DUMMYFUNCTION("""COMPUTED_VALUE"""),"(82)99837-0029")</f>
        <v>(82)99837-0029</v>
      </c>
      <c r="P383" s="27" t="str">
        <f ca="1">IFERROR(__xludf.DUMMYFUNCTION("""COMPUTED_VALUE"""),"Maceió")</f>
        <v>Maceió</v>
      </c>
      <c r="Q383" s="27"/>
      <c r="R383" s="27" t="str">
        <f ca="1">IFERROR(__xludf.DUMMYFUNCTION("""COMPUTED_VALUE"""),"57015-130")</f>
        <v>57015-130</v>
      </c>
      <c r="S383" s="27" t="str">
        <f ca="1">IFERROR(__xludf.DUMMYFUNCTION("""COMPUTED_VALUE"""),"AVENIDA MONTE CASTELO363
RUA BELO HORIZONTE S/N")</f>
        <v>AVENIDA MONTE CASTELO363
RUA BELO HORIZONTE S/N</v>
      </c>
      <c r="T383" s="27" t="str">
        <f ca="1">IFERROR(__xludf.DUMMYFUNCTION("""COMPUTED_VALUE"""),"Esporte; Empregabilidade; Cultura; Qualificação Profissional; Empreendedorismo; Empoderamento Feminino; Negócios Sociais; Desenvolvimento comunitário")</f>
        <v>Esporte; Empregabilidade; Cultura; Qualificação Profissional; Empreendedorismo; Empoderamento Feminino; Negócios Sociais; Desenvolvimento comunitário</v>
      </c>
      <c r="U383" s="27" t="str">
        <f ca="1">IFERROR(__xludf.DUMMYFUNCTION("""COMPUTED_VALUE"""),"Crianças (6 a 12 anos); Adolescentes (12 aos 18 anos); Jovens (18 aos 24 anos); Adultos")</f>
        <v>Crianças (6 a 12 anos); Adolescentes (12 aos 18 anos); Jovens (18 aos 24 anos); Adultos</v>
      </c>
      <c r="V383" s="27" t="str">
        <f ca="1">IFERROR(__xludf.DUMMYFUNCTION("""COMPUTED_VALUE"""),"Moradores de Favelas")</f>
        <v>Moradores de Favelas</v>
      </c>
      <c r="W383" s="27">
        <f ca="1">IFERROR(__xludf.DUMMYFUNCTION("""COMPUTED_VALUE"""),12)</f>
        <v>12</v>
      </c>
      <c r="X383" s="27"/>
      <c r="Y383" s="27"/>
      <c r="Z383" s="27"/>
      <c r="AA383" s="30">
        <f ca="1">IFERROR(__xludf.DUMMYFUNCTION("""COMPUTED_VALUE"""),43146)</f>
        <v>43146</v>
      </c>
      <c r="AB383" s="27" t="str">
        <f ca="1">IFERROR(__xludf.DUMMYFUNCTION("""COMPUTED_VALUE"""),"Sim")</f>
        <v>Sim</v>
      </c>
      <c r="AC383" s="27">
        <f ca="1">IFERROR(__xludf.DUMMYFUNCTION("""COMPUTED_VALUE"""),33)</f>
        <v>33</v>
      </c>
      <c r="AD383" s="27">
        <f ca="1">IFERROR(__xludf.DUMMYFUNCTION("""COMPUTED_VALUE"""),0)</f>
        <v>0</v>
      </c>
      <c r="AE383" s="27">
        <f ca="1">IFERROR(__xludf.DUMMYFUNCTION("""COMPUTED_VALUE"""),14)</f>
        <v>14</v>
      </c>
      <c r="AF383" s="27">
        <f ca="1">IFERROR(__xludf.DUMMYFUNCTION("""COMPUTED_VALUE"""),0)</f>
        <v>0</v>
      </c>
      <c r="AG383" s="27">
        <f ca="1">IFERROR(__xludf.DUMMYFUNCTION("""COMPUTED_VALUE"""),4)</f>
        <v>4</v>
      </c>
      <c r="AH383" s="27" t="str">
        <f ca="1">IFERROR(__xludf.DUMMYFUNCTION("""COMPUTED_VALUE"""),"Plataforma doação online - Pessoa Física; Parceria iniciativa privada; Doações; Lei Federal do Esporte; Lei Rouanet")</f>
        <v>Plataforma doação online - Pessoa Física; Parceria iniciativa privada; Doações; Lei Federal do Esporte; Lei Rouanet</v>
      </c>
      <c r="AI383" s="27" t="str">
        <f ca="1">IFERROR(__xludf.DUMMYFUNCTION("""COMPUTED_VALUE"""),"Doação online  2002% - Projetos Empresas 5407% - GF 2591%")</f>
        <v>Doação online  2002% - Projetos Empresas 5407% - GF 2591%</v>
      </c>
      <c r="AJ383" s="27" t="str">
        <f ca="1">IFERROR(__xludf.DUMMYFUNCTION("""COMPUTED_VALUE"""),"Não")</f>
        <v>Não</v>
      </c>
      <c r="AK383" s="27" t="str">
        <f ca="1">IFERROR(__xludf.DUMMYFUNCTION("""COMPUTED_VALUE"""),"Não")</f>
        <v>Não</v>
      </c>
      <c r="AL383" s="21" t="str">
        <f ca="1">IFERROR(__xludf.DUMMYFUNCTION("""COMPUTED_VALUE"""),"0034P00003maBVu")</f>
        <v>0034P00003maBVu</v>
      </c>
      <c r="AM383" s="27" t="str">
        <f ca="1">IFERROR(__xludf.DUMMYFUNCTION("""COMPUTED_VALUE"""),"Pereira Da Silva Pascoal")</f>
        <v>Pereira Da Silva Pascoal</v>
      </c>
      <c r="AN383" s="27" t="str">
        <f ca="1">IFERROR(__xludf.DUMMYFUNCTION("""COMPUTED_VALUE"""),"Ativo")</f>
        <v>Ativo</v>
      </c>
      <c r="AO383" s="29">
        <f ca="1">IFERROR(__xludf.DUMMYFUNCTION("""COMPUTED_VALUE"""),43922)</f>
        <v>43922</v>
      </c>
      <c r="AP383" s="27">
        <f ca="1">IFERROR(__xludf.DUMMYFUNCTION("""COMPUTED_VALUE"""),29)</f>
        <v>29</v>
      </c>
      <c r="AQ383" s="27" t="str">
        <f ca="1">IFERROR(__xludf.DUMMYFUNCTION("""COMPUTED_VALUE"""),"Primeiro Semestre 2019")</f>
        <v>Primeiro Semestre 2019</v>
      </c>
      <c r="AR383" s="27" t="str">
        <f ca="1">IFERROR(__xludf.DUMMYFUNCTION("""COMPUTED_VALUE"""),"presidencia@mandaver.org")</f>
        <v>presidencia@mandaver.org</v>
      </c>
      <c r="AS383" s="27" t="str">
        <f ca="1">IFERROR(__xludf.DUMMYFUNCTION("""COMPUTED_VALUE"""),"(82)99837-0029")</f>
        <v>(82)99837-0029</v>
      </c>
      <c r="AT383" s="29">
        <f ca="1">IFERROR(__xludf.DUMMYFUNCTION("""COMPUTED_VALUE"""),32648)</f>
        <v>32648</v>
      </c>
      <c r="AU383" s="27">
        <f ca="1">IFERROR(__xludf.DUMMYFUNCTION("""COMPUTED_VALUE"""),33)</f>
        <v>33</v>
      </c>
      <c r="AV383" s="27">
        <f ca="1">IFERROR(__xludf.DUMMYFUNCTION("""COMPUTED_VALUE"""),6307912448)</f>
        <v>6307912448</v>
      </c>
      <c r="AW383" s="27">
        <f ca="1">IFERROR(__xludf.DUMMYFUNCTION("""COMPUTED_VALUE"""),30112320)</f>
        <v>30112320</v>
      </c>
      <c r="AX383" s="27" t="str">
        <f ca="1">IFERROR(__xludf.DUMMYFUNCTION("""COMPUTED_VALUE"""),"GRADUADA ADMINISTRAÇÃO - POS GESTÃO ESTRATEGICA DE MARKETING - GRADUANDA CIENCIAS CONTABEIS")</f>
        <v>GRADUADA ADMINISTRAÇÃO - POS GESTÃO ESTRATEGICA DE MARKETING - GRADUANDA CIENCIAS CONTABEIS</v>
      </c>
      <c r="AY383" s="27"/>
      <c r="AZ383" s="27" t="str">
        <f ca="1">IFERROR(__xludf.DUMMYFUNCTION("""COMPUTED_VALUE"""),"P")</f>
        <v>P</v>
      </c>
      <c r="BA383" s="27"/>
      <c r="BB383" s="27"/>
      <c r="BC383" s="27" t="str">
        <f ca="1">IFERROR(__xludf.DUMMYFUNCTION("""COMPUTED_VALUE"""),"Sim")</f>
        <v>Sim</v>
      </c>
      <c r="BD383" s="27" t="str">
        <f ca="1">IFERROR(__xludf.DUMMYFUNCTION("""COMPUTED_VALUE"""),"Nascida em Maceió – Alagoas. Pós-graduada em gestão estratégica, graduada em administração, experiência de 8 anos atuando na área financeira, sendo destes, dois anos no terceiro setor em projeto social e cultural. Palestrante, empreendedora social, líder "&amp;"e coordenadora do Projeto Manda Ver no Vergel desde 2021, quando passou de coordenadora financeira para presidente do instituto. Desde sua atuação como gestora a organização conseguiu dois reconhecimentos de excelência gestão e transparência.")</f>
        <v>Nascida em Maceió – Alagoas. Pós-graduada em gestão estratégica, graduada em administração, experiência de 8 anos atuando na área financeira, sendo destes, dois anos no terceiro setor em projeto social e cultural. Palestrante, empreendedora social, líder e coordenadora do Projeto Manda Ver no Vergel desde 2021, quando passou de coordenadora financeira para presidente do instituto. Desde sua atuação como gestora a organização conseguiu dois reconhecimentos de excelência gestão e transparência.</v>
      </c>
      <c r="BE383" s="27"/>
      <c r="BF383" s="27"/>
      <c r="BG383" s="27" t="str">
        <f ca="1">IFERROR(__xludf.DUMMYFUNCTION("""COMPUTED_VALUE"""),"Ensino Superior - Completo")</f>
        <v>Ensino Superior - Completo</v>
      </c>
      <c r="BH383" s="27"/>
      <c r="BI383" s="27" t="str">
        <f ca="1">IFERROR(__xludf.DUMMYFUNCTION("""COMPUTED_VALUE"""),"Pós-Graduação")</f>
        <v>Pós-Graduação</v>
      </c>
      <c r="BJ383" s="27" t="str">
        <f ca="1">IFERROR(__xludf.DUMMYFUNCTION("""COMPUTED_VALUE"""),"Privado")</f>
        <v>Privado</v>
      </c>
      <c r="BK383" s="27" t="str">
        <f ca="1">IFERROR(__xludf.DUMMYFUNCTION("""COMPUTED_VALUE"""),"Avenida monte castelo 320B")</f>
        <v>Avenida monte castelo 320B</v>
      </c>
      <c r="BL383" s="27">
        <f ca="1">IFERROR(__xludf.DUMMYFUNCTION("""COMPUTED_VALUE"""),320)</f>
        <v>320</v>
      </c>
      <c r="BM383" s="27"/>
      <c r="BN383" s="27" t="str">
        <f ca="1">IFERROR(__xludf.DUMMYFUNCTION("""COMPUTED_VALUE"""),"Maceió")</f>
        <v>Maceió</v>
      </c>
      <c r="BO383" s="27" t="str">
        <f ca="1">IFERROR(__xludf.DUMMYFUNCTION("""COMPUTED_VALUE"""),"57015 130")</f>
        <v>57015 130</v>
      </c>
      <c r="BP383" s="27" t="str">
        <f ca="1">IFERROR(__xludf.DUMMYFUNCTION("""COMPUTED_VALUE"""),"AL")</f>
        <v>AL</v>
      </c>
      <c r="BQ383" s="27" t="str">
        <f ca="1">IFERROR(__xludf.DUMMYFUNCTION("""COMPUTED_VALUE"""),"Acima de 5 salários mínimos")</f>
        <v>Acima de 5 salários mínimos</v>
      </c>
      <c r="BR383" s="27" t="str">
        <f ca="1">IFERROR(__xludf.DUMMYFUNCTION("""COMPUTED_VALUE"""),"CLT; MEI")</f>
        <v>CLT; MEI</v>
      </c>
      <c r="BS383" s="27" t="str">
        <f ca="1">IFERROR(__xludf.DUMMYFUNCTION("""COMPUTED_VALUE"""),"Aluguel")</f>
        <v>Aluguel</v>
      </c>
      <c r="BT383" s="27">
        <f ca="1">IFERROR(__xludf.DUMMYFUNCTION("""COMPUTED_VALUE"""),5)</f>
        <v>5</v>
      </c>
      <c r="BU383" s="27"/>
      <c r="BV383" s="27" t="str">
        <f ca="1">IFERROR(__xludf.DUMMYFUNCTION("""COMPUTED_VALUE"""),"Camarão, pimenta e pimentão.")</f>
        <v>Camarão, pimenta e pimentão.</v>
      </c>
      <c r="BW383" s="27"/>
      <c r="BX383" s="21" t="str">
        <f ca="1">IFERROR(__xludf.DUMMYFUNCTION("""COMPUTED_VALUE"""),"https://www.instagram.com/lisaniapereira/")</f>
        <v>https://www.instagram.com/lisaniapereira/</v>
      </c>
      <c r="BY383" s="21" t="str">
        <f ca="1">IFERROR(__xludf.DUMMYFUNCTION("""COMPUTED_VALUE"""),"https://drive.google.com/open?id=1D7ViBDXw-_JVM4lzWBT0jO0bCzYrx0Bn")</f>
        <v>https://drive.google.com/open?id=1D7ViBDXw-_JVM4lzWBT0jO0bCzYrx0Bn</v>
      </c>
    </row>
    <row r="384" spans="1:77" ht="12.5" x14ac:dyDescent="0.25">
      <c r="A384" s="21" t="str">
        <f ca="1">IFERROR(__xludf.DUMMYFUNCTION("""COMPUTED_VALUE"""),"0014X00002VKCqHQAX")</f>
        <v>0014X00002VKCqHQAX</v>
      </c>
      <c r="B384" s="27" t="str">
        <f ca="1">IFERROR(__xludf.DUMMYFUNCTION("""COMPUTED_VALUE"""),"Fase Estruturação")</f>
        <v>Fase Estruturação</v>
      </c>
      <c r="C384" s="27" t="str">
        <f ca="1">IFERROR(__xludf.DUMMYFUNCTION("""COMPUTED_VALUE"""),"Fellow")</f>
        <v>Fellow</v>
      </c>
      <c r="D384" s="27" t="str">
        <f ca="1">IFERROR(__xludf.DUMMYFUNCTION("""COMPUTED_VALUE"""),"Ativo")</f>
        <v>Ativo</v>
      </c>
      <c r="E384" s="27" t="str">
        <f ca="1">IFERROR(__xludf.DUMMYFUNCTION("""COMPUTED_VALUE"""),"INSTITUTO MARIANA")</f>
        <v>INSTITUTO MARIANA</v>
      </c>
      <c r="F384" s="27" t="str">
        <f ca="1">IFERROR(__xludf.DUMMYFUNCTION("""COMPUTED_VALUE"""),"Maria")</f>
        <v>Maria</v>
      </c>
      <c r="G384" s="27" t="str">
        <f ca="1">IFERROR(__xludf.DUMMYFUNCTION("""COMPUTED_VALUE"""),"INSTITUTO EDUCACIONAL MAANAIM")</f>
        <v>INSTITUTO EDUCACIONAL MAANAIM</v>
      </c>
      <c r="H384" s="27" t="str">
        <f ca="1">IFERROR(__xludf.DUMMYFUNCTION("""COMPUTED_VALUE"""),"41.484.502/0001-12")</f>
        <v>41.484.502/0001-12</v>
      </c>
      <c r="I384" s="27" t="str">
        <f ca="1">IFERROR(__xludf.DUMMYFUNCTION("""COMPUTED_VALUE"""),"Mariana Lindoso Castelo Branco")</f>
        <v>Mariana Lindoso Castelo Branco</v>
      </c>
      <c r="J384" s="27" t="str">
        <f ca="1">IFERROR(__xludf.DUMMYFUNCTION("""COMPUTED_VALUE"""),"institutomaraiana20@gmail.com")</f>
        <v>institutomaraiana20@gmail.com</v>
      </c>
      <c r="K384" s="27" t="str">
        <f ca="1">IFERROR(__xludf.DUMMYFUNCTION("""COMPUTED_VALUE"""),"(98)3302-6684")</f>
        <v>(98)3302-6684</v>
      </c>
      <c r="L384" s="27" t="str">
        <f ca="1">IFERROR(__xludf.DUMMYFUNCTION("""COMPUTED_VALUE"""),"MA")</f>
        <v>MA</v>
      </c>
      <c r="M384" s="27">
        <f ca="1">IFERROR(__xludf.DUMMYFUNCTION("""COMPUTED_VALUE"""),11)</f>
        <v>11</v>
      </c>
      <c r="N384" s="27" t="str">
        <f ca="1">IFERROR(__xludf.DUMMYFUNCTION("""COMPUTED_VALUE"""),"Cidade Operária")</f>
        <v>Cidade Operária</v>
      </c>
      <c r="O384" s="27">
        <f ca="1">IFERROR(__xludf.DUMMYFUNCTION("""COMPUTED_VALUE"""),38)</f>
        <v>38</v>
      </c>
      <c r="P384" s="27" t="str">
        <f ca="1">IFERROR(__xludf.DUMMYFUNCTION("""COMPUTED_VALUE"""),"São Luís")</f>
        <v>São Luís</v>
      </c>
      <c r="Q384" s="27" t="str">
        <f ca="1">IFERROR(__xludf.DUMMYFUNCTION("""COMPUTED_VALUE"""),"Unidade 101")</f>
        <v>Unidade 101</v>
      </c>
      <c r="R384" s="27" t="str">
        <f ca="1">IFERROR(__xludf.DUMMYFUNCTION("""COMPUTED_VALUE"""),"65058-025")</f>
        <v>65058-025</v>
      </c>
      <c r="S384" s="27" t="str">
        <f ca="1">IFERROR(__xludf.DUMMYFUNCTION("""COMPUTED_VALUE"""),"Não se aplica")</f>
        <v>Não se aplica</v>
      </c>
      <c r="T384" s="27"/>
      <c r="U384"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384" s="27" t="str">
        <f ca="1">IFERROR(__xludf.DUMMYFUNCTION("""COMPUTED_VALUE"""),"Moradores de Favelas, Pessoas com Deficiência")</f>
        <v>Moradores de Favelas, Pessoas com Deficiência</v>
      </c>
      <c r="W384" s="27">
        <f ca="1">IFERROR(__xludf.DUMMYFUNCTION("""COMPUTED_VALUE"""),6)</f>
        <v>6</v>
      </c>
      <c r="X384" s="27" t="str">
        <f ca="1">IFERROR(__xludf.DUMMYFUNCTION("""COMPUTED_VALUE"""),"Crianças e adolescentes em situação de vulnerabilidade e suas famílias.")</f>
        <v>Crianças e adolescentes em situação de vulnerabilidade e suas famílias.</v>
      </c>
      <c r="Y384" s="27"/>
      <c r="Z384" s="27">
        <f ca="1">IFERROR(__xludf.DUMMYFUNCTION("""COMPUTED_VALUE"""),1280)</f>
        <v>1280</v>
      </c>
      <c r="AA384" s="29">
        <f ca="1">IFERROR(__xludf.DUMMYFUNCTION("""COMPUTED_VALUE"""),33207)</f>
        <v>33207</v>
      </c>
      <c r="AB384" s="27" t="str">
        <f ca="1">IFERROR(__xludf.DUMMYFUNCTION("""COMPUTED_VALUE"""),"Sim")</f>
        <v>Sim</v>
      </c>
      <c r="AC384" s="27">
        <f ca="1">IFERROR(__xludf.DUMMYFUNCTION("""COMPUTED_VALUE"""),0)</f>
        <v>0</v>
      </c>
      <c r="AD384" s="27">
        <f ca="1">IFERROR(__xludf.DUMMYFUNCTION("""COMPUTED_VALUE"""),32)</f>
        <v>32</v>
      </c>
      <c r="AE384" s="27">
        <f ca="1">IFERROR(__xludf.DUMMYFUNCTION("""COMPUTED_VALUE"""),4)</f>
        <v>4</v>
      </c>
      <c r="AF384" s="27">
        <f ca="1">IFERROR(__xludf.DUMMYFUNCTION("""COMPUTED_VALUE"""),4)</f>
        <v>4</v>
      </c>
      <c r="AG384" s="27">
        <f ca="1">IFERROR(__xludf.DUMMYFUNCTION("""COMPUTED_VALUE"""),5)</f>
        <v>5</v>
      </c>
      <c r="AH384" s="27" t="str">
        <f ca="1">IFERROR(__xludf.DUMMYFUNCTION("""COMPUTED_VALUE"""),"Convênio Público, Eventos/Ações para captação, Parceria iniciativa privada, Editais, Doações")</f>
        <v>Convênio Público, Eventos/Ações para captação, Parceria iniciativa privada, Editais, Doações</v>
      </c>
      <c r="AI384" s="27" t="str">
        <f ca="1">IFERROR(__xludf.DUMMYFUNCTION("""COMPUTED_VALUE"""),"50% convênio com o poder público - 30% editais -  3% eventos - 10% - 7% parcerias de iniciativas privadas                        Doações 10%")</f>
        <v>50% convênio com o poder público - 30% editais -  3% eventos - 10% - 7% parcerias de iniciativas privadas                        Doações 10%</v>
      </c>
      <c r="AJ384" s="27" t="str">
        <f ca="1">IFERROR(__xludf.DUMMYFUNCTION("""COMPUTED_VALUE"""),"Não")</f>
        <v>Não</v>
      </c>
      <c r="AK384" s="27"/>
      <c r="AL384" s="21" t="str">
        <f ca="1">IFERROR(__xludf.DUMMYFUNCTION("""COMPUTED_VALUE"""),"0034X0000380O3z")</f>
        <v>0034X0000380O3z</v>
      </c>
      <c r="AM384" s="27" t="str">
        <f ca="1">IFERROR(__xludf.DUMMYFUNCTION("""COMPUTED_VALUE"""),"Neuza da silva ribeiro")</f>
        <v>Neuza da silva ribeiro</v>
      </c>
      <c r="AN384" s="27" t="str">
        <f ca="1">IFERROR(__xludf.DUMMYFUNCTION("""COMPUTED_VALUE"""),"Ativo")</f>
        <v>Ativo</v>
      </c>
      <c r="AO384" s="29">
        <f ca="1">IFERROR(__xludf.DUMMYFUNCTION("""COMPUTED_VALUE"""),44763)</f>
        <v>44763</v>
      </c>
      <c r="AP384" s="27">
        <f ca="1">IFERROR(__xludf.DUMMYFUNCTION("""COMPUTED_VALUE"""),2)</f>
        <v>2</v>
      </c>
      <c r="AQ384" s="27" t="str">
        <f ca="1">IFERROR(__xludf.DUMMYFUNCTION("""COMPUTED_VALUE"""),"Primeiro Semestre 2022")</f>
        <v>Primeiro Semestre 2022</v>
      </c>
      <c r="AR384" s="27" t="str">
        <f ca="1">IFERROR(__xludf.DUMMYFUNCTION("""COMPUTED_VALUE"""),"neuzagf2022@gmail.com")</f>
        <v>neuzagf2022@gmail.com</v>
      </c>
      <c r="AS384" s="27">
        <f ca="1">IFERROR(__xludf.DUMMYFUNCTION("""COMPUTED_VALUE"""),98988592714)</f>
        <v>98988592714</v>
      </c>
      <c r="AT384" s="29">
        <f ca="1">IFERROR(__xludf.DUMMYFUNCTION("""COMPUTED_VALUE"""),25177)</f>
        <v>25177</v>
      </c>
      <c r="AU384" s="27">
        <f ca="1">IFERROR(__xludf.DUMMYFUNCTION("""COMPUTED_VALUE"""),54)</f>
        <v>54</v>
      </c>
      <c r="AV384" s="27">
        <f ca="1">IFERROR(__xludf.DUMMYFUNCTION("""COMPUTED_VALUE"""),46753206353)</f>
        <v>46753206353</v>
      </c>
      <c r="AW384" s="27" t="str">
        <f ca="1">IFERROR(__xludf.DUMMYFUNCTION("""COMPUTED_VALUE"""),"36695495-4 SSP/MA")</f>
        <v>36695495-4 SSP/MA</v>
      </c>
      <c r="AX384" s="27"/>
      <c r="AY384" s="27"/>
      <c r="AZ384" s="27" t="str">
        <f ca="1">IFERROR(__xludf.DUMMYFUNCTION("""COMPUTED_VALUE"""),"M")</f>
        <v>M</v>
      </c>
      <c r="BA384" s="27" t="str">
        <f ca="1">IFERROR(__xludf.DUMMYFUNCTION("""COMPUTED_VALUE"""),"Parda")</f>
        <v>Parda</v>
      </c>
      <c r="BB384" s="27"/>
      <c r="BC384" s="27"/>
      <c r="BD384" s="27" t="str">
        <f ca="1">IFERROR(__xludf.DUMMYFUNCTION("""COMPUTED_VALUE"""),"Sou Pedagoga. especialista em Psicopedagogia* professora da Rede Pública Municipal* coordenando um projeto de Orientação Pedagógica para estudantes com Transtornos Específicos de Aprendizagem e faço parte da equipe do Instituto Mariana* fazendo articulaçã"&amp;"o e mobilização de recursos. Sou umas da fundadora do Instituto* e gosto muito desse trabalho social.")</f>
        <v>Sou Pedagoga. especialista em Psicopedagogia* professora da Rede Pública Municipal* coordenando um projeto de Orientação Pedagógica para estudantes com Transtornos Específicos de Aprendizagem e faço parte da equipe do Instituto Mariana* fazendo articulação e mobilização de recursos. Sou umas da fundadora do Instituto* e gosto muito desse trabalho social.</v>
      </c>
      <c r="BE384" s="27" t="str">
        <f ca="1">IFERROR(__xludf.DUMMYFUNCTION("""COMPUTED_VALUE"""),"Feminino")</f>
        <v>Feminino</v>
      </c>
      <c r="BF384" s="27" t="str">
        <f ca="1">IFERROR(__xludf.DUMMYFUNCTION("""COMPUTED_VALUE"""),"Heterossexual")</f>
        <v>Heterossexual</v>
      </c>
      <c r="BG384" s="27"/>
      <c r="BH384" s="27" t="str">
        <f ca="1">IFERROR(__xludf.DUMMYFUNCTION("""COMPUTED_VALUE"""),"Público")</f>
        <v>Público</v>
      </c>
      <c r="BI384" s="27" t="str">
        <f ca="1">IFERROR(__xludf.DUMMYFUNCTION("""COMPUTED_VALUE"""),"Pós-Graduação")</f>
        <v>Pós-Graduação</v>
      </c>
      <c r="BJ384" s="27" t="str">
        <f ca="1">IFERROR(__xludf.DUMMYFUNCTION("""COMPUTED_VALUE"""),"Privado")</f>
        <v>Privado</v>
      </c>
      <c r="BK384" s="27" t="str">
        <f ca="1">IFERROR(__xludf.DUMMYFUNCTION("""COMPUTED_VALUE"""),"Unidade 203 Rua 09")</f>
        <v>Unidade 203 Rua 09</v>
      </c>
      <c r="BL384" s="27">
        <f ca="1">IFERROR(__xludf.DUMMYFUNCTION("""COMPUTED_VALUE"""),48)</f>
        <v>48</v>
      </c>
      <c r="BM384" s="27">
        <f ca="1">IFERROR(__xludf.DUMMYFUNCTION("""COMPUTED_VALUE"""),203)</f>
        <v>203</v>
      </c>
      <c r="BN384" s="27"/>
      <c r="BO384" s="27" t="str">
        <f ca="1">IFERROR(__xludf.DUMMYFUNCTION("""COMPUTED_VALUE"""),"65058-163")</f>
        <v>65058-163</v>
      </c>
      <c r="BP384" s="27" t="str">
        <f ca="1">IFERROR(__xludf.DUMMYFUNCTION("""COMPUTED_VALUE"""),"MA")</f>
        <v>MA</v>
      </c>
      <c r="BQ384" s="27" t="str">
        <f ca="1">IFERROR(__xludf.DUMMYFUNCTION("""COMPUTED_VALUE"""),"De 3 até 5 salários mínimos")</f>
        <v>De 3 até 5 salários mínimos</v>
      </c>
      <c r="BR384" s="27" t="str">
        <f ca="1">IFERROR(__xludf.DUMMYFUNCTION("""COMPUTED_VALUE"""),"MEI")</f>
        <v>MEI</v>
      </c>
      <c r="BS384" s="27" t="str">
        <f ca="1">IFERROR(__xludf.DUMMYFUNCTION("""COMPUTED_VALUE"""),"Casa própria")</f>
        <v>Casa própria</v>
      </c>
      <c r="BT384" s="27">
        <f ca="1">IFERROR(__xludf.DUMMYFUNCTION("""COMPUTED_VALUE"""),4)</f>
        <v>4</v>
      </c>
      <c r="BU384" s="27" t="str">
        <f ca="1">IFERROR(__xludf.DUMMYFUNCTION("""COMPUTED_VALUE"""),"Não tem")</f>
        <v>Não tem</v>
      </c>
      <c r="BV384" s="27" t="str">
        <f ca="1">IFERROR(__xludf.DUMMYFUNCTION("""COMPUTED_VALUE"""),"Sim")</f>
        <v>Sim</v>
      </c>
      <c r="BW384" s="27"/>
      <c r="BX384" s="21" t="str">
        <f ca="1">IFERROR(__xludf.DUMMYFUNCTION("""COMPUTED_VALUE"""),"https://instagram.com/rneuzaribeiro?utm_medium=copy_link")</f>
        <v>https://instagram.com/rneuzaribeiro?utm_medium=copy_link</v>
      </c>
      <c r="BY384" s="21" t="str">
        <f ca="1">IFERROR(__xludf.DUMMYFUNCTION("""COMPUTED_VALUE"""),"https://drive.google.com/open?id=1biw_yO1gJu4k-7U0RlhG0YCkMh8JKgvG")</f>
        <v>https://drive.google.com/open?id=1biw_yO1gJu4k-7U0RlhG0YCkMh8JKgvG</v>
      </c>
    </row>
    <row r="385" spans="1:77" ht="12.5" x14ac:dyDescent="0.25">
      <c r="A385" s="21" t="str">
        <f ca="1">IFERROR(__xludf.DUMMYFUNCTION("""COMPUTED_VALUE"""),"0014P00003YSp7TQAT")</f>
        <v>0014P00003YSp7TQAT</v>
      </c>
      <c r="B385" s="27" t="str">
        <f ca="1">IFERROR(__xludf.DUMMYFUNCTION("""COMPUTED_VALUE"""),"Fase Inicial")</f>
        <v>Fase Inicial</v>
      </c>
      <c r="C385" s="27" t="str">
        <f ca="1">IFERROR(__xludf.DUMMYFUNCTION("""COMPUTED_VALUE"""),"Fellow")</f>
        <v>Fellow</v>
      </c>
      <c r="D385" s="27" t="str">
        <f ca="1">IFERROR(__xludf.DUMMYFUNCTION("""COMPUTED_VALUE"""),"Afastado")</f>
        <v>Afastado</v>
      </c>
      <c r="E385" s="27" t="str">
        <f ca="1">IFERROR(__xludf.DUMMYFUNCTION("""COMPUTED_VALUE"""),"Instituto Mestre Nordestino")</f>
        <v>Instituto Mestre Nordestino</v>
      </c>
      <c r="F385" s="27" t="str">
        <f ca="1">IFERROR(__xludf.DUMMYFUNCTION("""COMPUTED_VALUE"""),"Robson")</f>
        <v>Robson</v>
      </c>
      <c r="G385" s="27"/>
      <c r="H385" s="27"/>
      <c r="I385" s="27" t="str">
        <f ca="1">IFERROR(__xludf.DUMMYFUNCTION("""COMPUTED_VALUE"""),"Robson Machado Bezerra")</f>
        <v>Robson Machado Bezerra</v>
      </c>
      <c r="J385" s="27" t="str">
        <f ca="1">IFERROR(__xludf.DUMMYFUNCTION("""COMPUTED_VALUE"""),"institutomestrenordestino@gmail.com")</f>
        <v>institutomestrenordestino@gmail.com</v>
      </c>
      <c r="K385" s="27">
        <f ca="1">IFERROR(__xludf.DUMMYFUNCTION("""COMPUTED_VALUE"""),84981383486)</f>
        <v>84981383486</v>
      </c>
      <c r="L385" s="27" t="str">
        <f ca="1">IFERROR(__xludf.DUMMYFUNCTION("""COMPUTED_VALUE"""),"RN")</f>
        <v>RN</v>
      </c>
      <c r="M385" s="27" t="str">
        <f ca="1">IFERROR(__xludf.DUMMYFUNCTION("""COMPUTED_VALUE"""),"Rua do Poço")</f>
        <v>Rua do Poço</v>
      </c>
      <c r="N385" s="27" t="str">
        <f ca="1">IFERROR(__xludf.DUMMYFUNCTION("""COMPUTED_VALUE"""),"Timbó")</f>
        <v>Timbó</v>
      </c>
      <c r="O385" s="27">
        <f ca="1">IFERROR(__xludf.DUMMYFUNCTION("""COMPUTED_VALUE"""),113)</f>
        <v>113</v>
      </c>
      <c r="P385" s="27" t="str">
        <f ca="1">IFERROR(__xludf.DUMMYFUNCTION("""COMPUTED_VALUE"""),"Nisia Floresta")</f>
        <v>Nisia Floresta</v>
      </c>
      <c r="Q385" s="27" t="str">
        <f ca="1">IFERROR(__xludf.DUMMYFUNCTION("""COMPUTED_VALUE"""),"Zona Rural")</f>
        <v>Zona Rural</v>
      </c>
      <c r="R385" s="27">
        <f ca="1">IFERROR(__xludf.DUMMYFUNCTION("""COMPUTED_VALUE"""),59164000)</f>
        <v>59164000</v>
      </c>
      <c r="S385" s="27"/>
      <c r="T385" s="27"/>
      <c r="U385" s="27"/>
      <c r="V385" s="27"/>
      <c r="W385" s="27">
        <f ca="1">IFERROR(__xludf.DUMMYFUNCTION("""COMPUTED_VALUE"""),8)</f>
        <v>8</v>
      </c>
      <c r="X385" s="27" t="str">
        <f ca="1">IFERROR(__xludf.DUMMYFUNCTION("""COMPUTED_VALUE"""),"Famílias de Presidiários da Penitenciária Estadual de Alcaçuz. ( Quero estabelecer um núcleo do instituto Mestre Nordestino na Comunidade onde está situada o presídio) local é um assentamento da SEARA Denominado PROJETO ALCAÇUZ.")</f>
        <v>Famílias de Presidiários da Penitenciária Estadual de Alcaçuz. ( Quero estabelecer um núcleo do instituto Mestre Nordestino na Comunidade onde está situada o presídio) local é um assentamento da SEARA Denominado PROJETO ALCAÇUZ.</v>
      </c>
      <c r="Y385" s="27"/>
      <c r="Z385" s="27">
        <f ca="1">IFERROR(__xludf.DUMMYFUNCTION("""COMPUTED_VALUE"""),400)</f>
        <v>400</v>
      </c>
      <c r="AA385" s="30">
        <f ca="1">IFERROR(__xludf.DUMMYFUNCTION("""COMPUTED_VALUE"""),40400)</f>
        <v>40400</v>
      </c>
      <c r="AB385" s="27" t="str">
        <f ca="1">IFERROR(__xludf.DUMMYFUNCTION("""COMPUTED_VALUE"""),"Não")</f>
        <v>Não</v>
      </c>
      <c r="AC385" s="27"/>
      <c r="AD385" s="27"/>
      <c r="AE385" s="27">
        <f ca="1">IFERROR(__xludf.DUMMYFUNCTION("""COMPUTED_VALUE"""),10)</f>
        <v>10</v>
      </c>
      <c r="AF385" s="27"/>
      <c r="AG385" s="27"/>
      <c r="AH385" s="27"/>
      <c r="AI385" s="27"/>
      <c r="AJ385" s="27"/>
      <c r="AK385" s="27"/>
      <c r="AL385" s="21" t="str">
        <f ca="1">IFERROR(__xludf.DUMMYFUNCTION("""COMPUTED_VALUE"""),"0034P000045kxi4")</f>
        <v>0034P000045kxi4</v>
      </c>
      <c r="AM385" s="27" t="str">
        <f ca="1">IFERROR(__xludf.DUMMYFUNCTION("""COMPUTED_VALUE"""),"Machado Bezerra")</f>
        <v>Machado Bezerra</v>
      </c>
      <c r="AN385" s="27" t="str">
        <f ca="1">IFERROR(__xludf.DUMMYFUNCTION("""COMPUTED_VALUE"""),"Afastado")</f>
        <v>Afastado</v>
      </c>
      <c r="AO385" s="29">
        <f ca="1">IFERROR(__xludf.DUMMYFUNCTION("""COMPUTED_VALUE"""),44551)</f>
        <v>44551</v>
      </c>
      <c r="AP385" s="27">
        <f ca="1">IFERROR(__xludf.DUMMYFUNCTION("""COMPUTED_VALUE"""),9)</f>
        <v>9</v>
      </c>
      <c r="AQ385" s="27" t="str">
        <f ca="1">IFERROR(__xludf.DUMMYFUNCTION("""COMPUTED_VALUE"""),"Segundo Semestre 2021")</f>
        <v>Segundo Semestre 2021</v>
      </c>
      <c r="AR385" s="27" t="str">
        <f ca="1">IFERROR(__xludf.DUMMYFUNCTION("""COMPUTED_VALUE"""),"institutomestrenordestino@gmail.com")</f>
        <v>institutomestrenordestino@gmail.com</v>
      </c>
      <c r="AS385" s="27">
        <f ca="1">IFERROR(__xludf.DUMMYFUNCTION("""COMPUTED_VALUE"""),84981383486)</f>
        <v>84981383486</v>
      </c>
      <c r="AT385" s="29">
        <f ca="1">IFERROR(__xludf.DUMMYFUNCTION("""COMPUTED_VALUE"""),31291)</f>
        <v>31291</v>
      </c>
      <c r="AU385" s="27">
        <f ca="1">IFERROR(__xludf.DUMMYFUNCTION("""COMPUTED_VALUE"""),37)</f>
        <v>37</v>
      </c>
      <c r="AV385" s="27">
        <f ca="1">IFERROR(__xludf.DUMMYFUNCTION("""COMPUTED_VALUE"""),5451041490)</f>
        <v>5451041490</v>
      </c>
      <c r="AW385" s="27">
        <f ca="1">IFERROR(__xludf.DUMMYFUNCTION("""COMPUTED_VALUE"""),1846547)</f>
        <v>1846547</v>
      </c>
      <c r="AX385" s="27"/>
      <c r="AY385" s="27"/>
      <c r="AZ385" s="27" t="str">
        <f ca="1">IFERROR(__xludf.DUMMYFUNCTION("""COMPUTED_VALUE"""),"M")</f>
        <v>M</v>
      </c>
      <c r="BA385" s="27" t="str">
        <f ca="1">IFERROR(__xludf.DUMMYFUNCTION("""COMPUTED_VALUE"""),"Preta")</f>
        <v>Preta</v>
      </c>
      <c r="BB385" s="27"/>
      <c r="BC385" s="27" t="str">
        <f ca="1">IFERROR(__xludf.DUMMYFUNCTION("""COMPUTED_VALUE"""),"Não")</f>
        <v>Não</v>
      </c>
      <c r="BD385" s="27" t="str">
        <f ca="1">IFERROR(__xludf.DUMMYFUNCTION("""COMPUTED_VALUE"""),"Robson Machado Bezerra, Agricultor familiar da cidade de Nisia Floresta RN;; 36 anos ;; Casado;; Líder Social;; Educador Popular;; Mestre de Capoeira;; Sensei Faixa Preta de Karatê;; Instrutor de Krav Maga;; Professor de Música;;;;;;sonho em ter um cidade"&amp;" melhor de se Viver;; onde possa vê meus alunos adolescentes ter a oportunidade de serem adultos;")</f>
        <v>Robson Machado Bezerra, Agricultor familiar da cidade de Nisia Floresta RN;; 36 anos ;; Casado;; Líder Social;; Educador Popular;; Mestre de Capoeira;; Sensei Faixa Preta de Karatê;; Instrutor de Krav Maga;; Professor de Música;;;;;;sonho em ter um cidade melhor de se Viver;; onde possa vê meus alunos adolescentes ter a oportunidade de serem adultos;</v>
      </c>
      <c r="BE385" s="27"/>
      <c r="BF385" s="27"/>
      <c r="BG385" s="27" t="str">
        <f ca="1">IFERROR(__xludf.DUMMYFUNCTION("""COMPUTED_VALUE"""),"Ensino Superior - Incompleto")</f>
        <v>Ensino Superior - Incompleto</v>
      </c>
      <c r="BH385" s="27" t="str">
        <f ca="1">IFERROR(__xludf.DUMMYFUNCTION("""COMPUTED_VALUE"""),"Público")</f>
        <v>Público</v>
      </c>
      <c r="BI385" s="27" t="str">
        <f ca="1">IFERROR(__xludf.DUMMYFUNCTION("""COMPUTED_VALUE"""),"Pós-Graduação")</f>
        <v>Pós-Graduação</v>
      </c>
      <c r="BJ385" s="27" t="str">
        <f ca="1">IFERROR(__xludf.DUMMYFUNCTION("""COMPUTED_VALUE"""),"Privado")</f>
        <v>Privado</v>
      </c>
      <c r="BK385" s="27" t="str">
        <f ca="1">IFERROR(__xludf.DUMMYFUNCTION("""COMPUTED_VALUE"""),"Rua do Poço")</f>
        <v>Rua do Poço</v>
      </c>
      <c r="BL385" s="27">
        <f ca="1">IFERROR(__xludf.DUMMYFUNCTION("""COMPUTED_VALUE"""),114)</f>
        <v>114</v>
      </c>
      <c r="BM385" s="27" t="str">
        <f ca="1">IFERROR(__xludf.DUMMYFUNCTION("""COMPUTED_VALUE"""),"Zona Rural")</f>
        <v>Zona Rural</v>
      </c>
      <c r="BN385" s="27" t="str">
        <f ca="1">IFERROR(__xludf.DUMMYFUNCTION("""COMPUTED_VALUE"""),"Nisia Floresta")</f>
        <v>Nisia Floresta</v>
      </c>
      <c r="BO385" s="27">
        <f ca="1">IFERROR(__xludf.DUMMYFUNCTION("""COMPUTED_VALUE"""),59164000)</f>
        <v>59164000</v>
      </c>
      <c r="BP385" s="27" t="str">
        <f ca="1">IFERROR(__xludf.DUMMYFUNCTION("""COMPUTED_VALUE"""),"RN")</f>
        <v>RN</v>
      </c>
      <c r="BQ385" s="27"/>
      <c r="BR385" s="27"/>
      <c r="BS385" s="27"/>
      <c r="BT385" s="27"/>
      <c r="BU385" s="27" t="str">
        <f ca="1">IFERROR(__xludf.DUMMYFUNCTION("""COMPUTED_VALUE"""),"Não tem")</f>
        <v>Não tem</v>
      </c>
      <c r="BV385" s="27"/>
      <c r="BW385" s="27"/>
      <c r="BX385" s="21" t="str">
        <f ca="1">IFERROR(__xludf.DUMMYFUNCTION("""COMPUTED_VALUE"""),"https://instagram.com/mestrenordestino?utm_medium=copy_link")</f>
        <v>https://instagram.com/mestrenordestino?utm_medium=copy_link</v>
      </c>
      <c r="BY385" s="21" t="str">
        <f ca="1">IFERROR(__xludf.DUMMYFUNCTION("""COMPUTED_VALUE"""),"https://drive.google.com/open?id=1gcgliDhEdM_0prKU-Gej3zxAbI3H8c_q")</f>
        <v>https://drive.google.com/open?id=1gcgliDhEdM_0prKU-Gej3zxAbI3H8c_q</v>
      </c>
    </row>
    <row r="386" spans="1:77" ht="12.5" x14ac:dyDescent="0.25">
      <c r="A386" s="21" t="str">
        <f ca="1">IFERROR(__xludf.DUMMYFUNCTION("""COMPUTED_VALUE"""),"0014P00003SGWPsQAP")</f>
        <v>0014P00003SGWPsQAP</v>
      </c>
      <c r="B386" s="27" t="str">
        <f ca="1">IFERROR(__xludf.DUMMYFUNCTION("""COMPUTED_VALUE"""),"Fase Avançada")</f>
        <v>Fase Avançada</v>
      </c>
      <c r="C386" s="27" t="str">
        <f ca="1">IFERROR(__xludf.DUMMYFUNCTION("""COMPUTED_VALUE"""),"Acelerada")</f>
        <v>Acelerada</v>
      </c>
      <c r="D386" s="27" t="str">
        <f ca="1">IFERROR(__xludf.DUMMYFUNCTION("""COMPUTED_VALUE"""),"Ativo")</f>
        <v>Ativo</v>
      </c>
      <c r="E386" s="27" t="str">
        <f ca="1">IFERROR(__xludf.DUMMYFUNCTION("""COMPUTED_VALUE"""),"INSTITUTO MIGUEL FERNANDES TORRES")</f>
        <v>INSTITUTO MIGUEL FERNANDES TORRES</v>
      </c>
      <c r="F386" s="27" t="str">
        <f ca="1">IFERROR(__xludf.DUMMYFUNCTION("""COMPUTED_VALUE"""),"Geralda")</f>
        <v>Geralda</v>
      </c>
      <c r="G386" s="27" t="str">
        <f ca="1">IFERROR(__xludf.DUMMYFUNCTION("""COMPUTED_VALUE"""),"INSTITUTO VEM SER")</f>
        <v>INSTITUTO VEM SER</v>
      </c>
      <c r="H386" s="27" t="str">
        <f ca="1">IFERROR(__xludf.DUMMYFUNCTION("""COMPUTED_VALUE"""),"05.356.048/0001-50")</f>
        <v>05.356.048/0001-50</v>
      </c>
      <c r="I386" s="27" t="str">
        <f ca="1">IFERROR(__xludf.DUMMYFUNCTION("""COMPUTED_VALUE"""),"Vanderlei Da Silveira Gouveia")</f>
        <v>Vanderlei Da Silveira Gouveia</v>
      </c>
      <c r="J386" s="27" t="str">
        <f ca="1">IFERROR(__xludf.DUMMYFUNCTION("""COMPUTED_VALUE"""),"projetovemser@yahoo.com.br")</f>
        <v>projetovemser@yahoo.com.br</v>
      </c>
      <c r="K386" s="27" t="str">
        <f ca="1">IFERROR(__xludf.DUMMYFUNCTION("""COMPUTED_VALUE"""),"(31)98634-0926")</f>
        <v>(31)98634-0926</v>
      </c>
      <c r="L386" s="27" t="str">
        <f ca="1">IFERROR(__xludf.DUMMYFUNCTION("""COMPUTED_VALUE"""),"MG")</f>
        <v>MG</v>
      </c>
      <c r="M386" s="27" t="str">
        <f ca="1">IFERROR(__xludf.DUMMYFUNCTION("""COMPUTED_VALUE"""),"Rua Santo Antonio, S/N - Ginásio Poliesportivo")</f>
        <v>Rua Santo Antonio, S/N - Ginásio Poliesportivo</v>
      </c>
      <c r="N386" s="27" t="str">
        <f ca="1">IFERROR(__xludf.DUMMYFUNCTION("""COMPUTED_VALUE"""),"Centro")</f>
        <v>Centro</v>
      </c>
      <c r="O386" s="27" t="str">
        <f ca="1">IFERROR(__xludf.DUMMYFUNCTION("""COMPUTED_VALUE"""),"(31)98634-0926")</f>
        <v>(31)98634-0926</v>
      </c>
      <c r="P386" s="27" t="str">
        <f ca="1">IFERROR(__xludf.DUMMYFUNCTION("""COMPUTED_VALUE"""),"Ouro Branco")</f>
        <v>Ouro Branco</v>
      </c>
      <c r="Q386" s="27" t="str">
        <f ca="1">IFERROR(__xludf.DUMMYFUNCTION("""COMPUTED_VALUE"""),"Ginásio Poliesportivo")</f>
        <v>Ginásio Poliesportivo</v>
      </c>
      <c r="R386" s="27" t="str">
        <f ca="1">IFERROR(__xludf.DUMMYFUNCTION("""COMPUTED_VALUE"""),"36490-008")</f>
        <v>36490-008</v>
      </c>
      <c r="S386" s="27"/>
      <c r="T386" s="27" t="str">
        <f ca="1">IFERROR(__xludf.DUMMYFUNCTION("""COMPUTED_VALUE"""),"Educação")</f>
        <v>Educação</v>
      </c>
      <c r="U386" s="27" t="str">
        <f ca="1">IFERROR(__xludf.DUMMYFUNCTION("""COMPUTED_VALUE"""),"Crianças (6 a 12 anos); Adolescentes (12 aos 18 anos); Jovens (18 aos 24 anos)")</f>
        <v>Crianças (6 a 12 anos); Adolescentes (12 aos 18 anos); Jovens (18 aos 24 anos)</v>
      </c>
      <c r="V386" s="27" t="str">
        <f ca="1">IFERROR(__xludf.DUMMYFUNCTION("""COMPUTED_VALUE"""),"Moradores de Favelas")</f>
        <v>Moradores de Favelas</v>
      </c>
      <c r="W386" s="27">
        <f ca="1">IFERROR(__xludf.DUMMYFUNCTION("""COMPUTED_VALUE"""),25)</f>
        <v>25</v>
      </c>
      <c r="X386" s="27" t="str">
        <f ca="1">IFERROR(__xludf.DUMMYFUNCTION("""COMPUTED_VALUE"""),"Crianças e adolescentes da zona urbana e rural sem acesso a atividades esportivas culturais e ambientais no contra turno escolar devido o baixo renda financeira da família o que acarretava a permanência dos mesmos na rua ficando vulneráveis a diversas sit"&amp;"uações.")</f>
        <v>Crianças e adolescentes da zona urbana e rural sem acesso a atividades esportivas culturais e ambientais no contra turno escolar devido o baixo renda financeira da família o que acarretava a permanência dos mesmos na rua ficando vulneráveis a diversas situações.</v>
      </c>
      <c r="Y386" s="27">
        <f ca="1">IFERROR(__xludf.DUMMYFUNCTION("""COMPUTED_VALUE"""),314)</f>
        <v>314</v>
      </c>
      <c r="Z386" s="27">
        <f ca="1">IFERROR(__xludf.DUMMYFUNCTION("""COMPUTED_VALUE"""),1200)</f>
        <v>1200</v>
      </c>
      <c r="AA386" s="29">
        <f ca="1">IFERROR(__xludf.DUMMYFUNCTION("""COMPUTED_VALUE"""),37296)</f>
        <v>37296</v>
      </c>
      <c r="AB386" s="27" t="str">
        <f ca="1">IFERROR(__xludf.DUMMYFUNCTION("""COMPUTED_VALUE"""),"Sim")</f>
        <v>Sim</v>
      </c>
      <c r="AC386" s="27">
        <f ca="1">IFERROR(__xludf.DUMMYFUNCTION("""COMPUTED_VALUE"""),49)</f>
        <v>49</v>
      </c>
      <c r="AD386" s="27">
        <f ca="1">IFERROR(__xludf.DUMMYFUNCTION("""COMPUTED_VALUE"""),35)</f>
        <v>35</v>
      </c>
      <c r="AE386" s="27">
        <f ca="1">IFERROR(__xludf.DUMMYFUNCTION("""COMPUTED_VALUE"""),5)</f>
        <v>5</v>
      </c>
      <c r="AF386" s="27">
        <f ca="1">IFERROR(__xludf.DUMMYFUNCTION("""COMPUTED_VALUE"""),4)</f>
        <v>4</v>
      </c>
      <c r="AG386" s="27">
        <f ca="1">IFERROR(__xludf.DUMMYFUNCTION("""COMPUTED_VALUE"""),3)</f>
        <v>3</v>
      </c>
      <c r="AH386" s="27" t="str">
        <f ca="1">IFERROR(__xludf.DUMMYFUNCTION("""COMPUTED_VALUE"""),"Lei de Incentivo; Negócio Social; Convênio Público; Eventos/Ações para captação; Plataforma doação online - Pessoa Física; Parceria iniciativa privada; Editais; Doações; Lei Federal do Esporte; FIA; Recursos próprios")</f>
        <v>Lei de Incentivo; Negócio Social; Convênio Público; Eventos/Ações para captação; Plataforma doação online - Pessoa Física; Parceria iniciativa privada; Editais; Doações; Lei Federal do Esporte; FIA; Recursos próprios</v>
      </c>
      <c r="AI386" s="27" t="str">
        <f ca="1">IFERROR(__xludf.DUMMYFUNCTION("""COMPUTED_VALUE"""),"28,86% Lei de Incentivo ao Esporte, 20,74% FIA, 41,16% convênio Público, 6,36% Negócio social, eventos, doações.")</f>
        <v>28,86% Lei de Incentivo ao Esporte, 20,74% FIA, 41,16% convênio Público, 6,36% Negócio social, eventos, doações.</v>
      </c>
      <c r="AJ386" s="27" t="str">
        <f ca="1">IFERROR(__xludf.DUMMYFUNCTION("""COMPUTED_VALUE"""),"Não")</f>
        <v>Não</v>
      </c>
      <c r="AK386" s="27" t="str">
        <f ca="1">IFERROR(__xludf.DUMMYFUNCTION("""COMPUTED_VALUE"""),"Não")</f>
        <v>Não</v>
      </c>
      <c r="AL386" s="21" t="str">
        <f ca="1">IFERROR(__xludf.DUMMYFUNCTION("""COMPUTED_VALUE"""),"0034P000043fOnx")</f>
        <v>0034P000043fOnx</v>
      </c>
      <c r="AM386" s="27" t="str">
        <f ca="1">IFERROR(__xludf.DUMMYFUNCTION("""COMPUTED_VALUE"""),"Aparecida Do Socorro Silveira")</f>
        <v>Aparecida Do Socorro Silveira</v>
      </c>
      <c r="AN386" s="27" t="str">
        <f ca="1">IFERROR(__xludf.DUMMYFUNCTION("""COMPUTED_VALUE"""),"Ativo")</f>
        <v>Ativo</v>
      </c>
      <c r="AO386" s="30">
        <f ca="1">IFERROR(__xludf.DUMMYFUNCTION("""COMPUTED_VALUE"""),44432)</f>
        <v>44432</v>
      </c>
      <c r="AP386" s="27">
        <f ca="1">IFERROR(__xludf.DUMMYFUNCTION("""COMPUTED_VALUE"""),13)</f>
        <v>13</v>
      </c>
      <c r="AQ386" s="27" t="str">
        <f ca="1">IFERROR(__xludf.DUMMYFUNCTION("""COMPUTED_VALUE"""),"Primeiro Semestre 2021")</f>
        <v>Primeiro Semestre 2021</v>
      </c>
      <c r="AR386" s="27" t="str">
        <f ca="1">IFERROR(__xludf.DUMMYFUNCTION("""COMPUTED_VALUE"""),"socorro502015silveira@gmail.com")</f>
        <v>socorro502015silveira@gmail.com</v>
      </c>
      <c r="AS386" s="27" t="str">
        <f ca="1">IFERROR(__xludf.DUMMYFUNCTION("""COMPUTED_VALUE"""),"(31)98634-0926")</f>
        <v>(31)98634-0926</v>
      </c>
      <c r="AT386" s="29">
        <f ca="1">IFERROR(__xludf.DUMMYFUNCTION("""COMPUTED_VALUE"""),24031)</f>
        <v>24031</v>
      </c>
      <c r="AU386" s="27">
        <f ca="1">IFERROR(__xludf.DUMMYFUNCTION("""COMPUTED_VALUE"""),57)</f>
        <v>57</v>
      </c>
      <c r="AV386" s="27">
        <f ca="1">IFERROR(__xludf.DUMMYFUNCTION("""COMPUTED_VALUE"""),52308480653)</f>
        <v>52308480653</v>
      </c>
      <c r="AW386" s="27">
        <f ca="1">IFERROR(__xludf.DUMMYFUNCTION("""COMPUTED_VALUE"""),3631829)</f>
        <v>3631829</v>
      </c>
      <c r="AX386" s="27" t="str">
        <f ca="1">IFERROR(__xludf.DUMMYFUNCTION("""COMPUTED_VALUE"""),"Psicopedagogia")</f>
        <v>Psicopedagogia</v>
      </c>
      <c r="AY386" s="27"/>
      <c r="AZ386" s="27" t="str">
        <f ca="1">IFERROR(__xludf.DUMMYFUNCTION("""COMPUTED_VALUE"""),"M")</f>
        <v>M</v>
      </c>
      <c r="BA386" s="27" t="str">
        <f ca="1">IFERROR(__xludf.DUMMYFUNCTION("""COMPUTED_VALUE"""),"Parda")</f>
        <v>Parda</v>
      </c>
      <c r="BB386" s="27"/>
      <c r="BC386" s="27" t="str">
        <f ca="1">IFERROR(__xludf.DUMMYFUNCTION("""COMPUTED_VALUE"""),"Sim")</f>
        <v>Sim</v>
      </c>
      <c r="BD386" s="27" t="str">
        <f ca="1">IFERROR(__xludf.DUMMYFUNCTION("""COMPUTED_VALUE"""),"Geralda Aparecida do Socorro Silveira-  56 anos  Pedagoga  e   Psicopedagoga. Durante minha trajetória passei por muitas dificuldades sociais e financeiras.  Com 16 anos, comecei trabalhar. Trabalhei 35 anos na área de Educação. Em  2002, fundei o Institu"&amp;"to Vem Ser.Acredito no poder transformador da educação e da solidariedade e tenho certeza que essa é a minha missão na vida: ser pedagoga por formação e líder do Vem Ser por amor.")</f>
        <v>Geralda Aparecida do Socorro Silveira-  56 anos  Pedagoga  e   Psicopedagoga. Durante minha trajetória passei por muitas dificuldades sociais e financeiras.  Com 16 anos, comecei trabalhar. Trabalhei 35 anos na área de Educação. Em  2002, fundei o Instituto Vem Ser.Acredito no poder transformador da educação e da solidariedade e tenho certeza que essa é a minha missão na vida: ser pedagoga por formação e líder do Vem Ser por amor.</v>
      </c>
      <c r="BE386" s="27" t="str">
        <f ca="1">IFERROR(__xludf.DUMMYFUNCTION("""COMPUTED_VALUE"""),"Feminino")</f>
        <v>Feminino</v>
      </c>
      <c r="BF386" s="27" t="str">
        <f ca="1">IFERROR(__xludf.DUMMYFUNCTION("""COMPUTED_VALUE"""),"Heterossexual")</f>
        <v>Heterossexual</v>
      </c>
      <c r="BG386" s="27" t="str">
        <f ca="1">IFERROR(__xludf.DUMMYFUNCTION("""COMPUTED_VALUE"""),"Ensino Superior - Completo")</f>
        <v>Ensino Superior - Completo</v>
      </c>
      <c r="BH386" s="27"/>
      <c r="BI386" s="27" t="str">
        <f ca="1">IFERROR(__xludf.DUMMYFUNCTION("""COMPUTED_VALUE"""),"Pós-Graduação")</f>
        <v>Pós-Graduação</v>
      </c>
      <c r="BJ386" s="27" t="str">
        <f ca="1">IFERROR(__xludf.DUMMYFUNCTION("""COMPUTED_VALUE"""),"Privado")</f>
        <v>Privado</v>
      </c>
      <c r="BK386" s="27" t="str">
        <f ca="1">IFERROR(__xludf.DUMMYFUNCTION("""COMPUTED_VALUE"""),"Celestino Euzébio Fernandes")</f>
        <v>Celestino Euzébio Fernandes</v>
      </c>
      <c r="BL386" s="27">
        <f ca="1">IFERROR(__xludf.DUMMYFUNCTION("""COMPUTED_VALUE"""),19)</f>
        <v>19</v>
      </c>
      <c r="BM386" s="27" t="str">
        <f ca="1">IFERROR(__xludf.DUMMYFUNCTION("""COMPUTED_VALUE"""),"casa")</f>
        <v>casa</v>
      </c>
      <c r="BN386" s="27" t="str">
        <f ca="1">IFERROR(__xludf.DUMMYFUNCTION("""COMPUTED_VALUE"""),"Ouro Branco")</f>
        <v>Ouro Branco</v>
      </c>
      <c r="BO386" s="27" t="str">
        <f ca="1">IFERROR(__xludf.DUMMYFUNCTION("""COMPUTED_VALUE"""),"36490-106")</f>
        <v>36490-106</v>
      </c>
      <c r="BP386" s="27" t="str">
        <f ca="1">IFERROR(__xludf.DUMMYFUNCTION("""COMPUTED_VALUE"""),"MG")</f>
        <v>MG</v>
      </c>
      <c r="BQ386" s="27" t="str">
        <f ca="1">IFERROR(__xludf.DUMMYFUNCTION("""COMPUTED_VALUE"""),"De 3 até 5 salários mínimos")</f>
        <v>De 3 até 5 salários mínimos</v>
      </c>
      <c r="BR386" s="27" t="str">
        <f ca="1">IFERROR(__xludf.DUMMYFUNCTION("""COMPUTED_VALUE"""),"Desempregado")</f>
        <v>Desempregado</v>
      </c>
      <c r="BS386" s="27" t="str">
        <f ca="1">IFERROR(__xludf.DUMMYFUNCTION("""COMPUTED_VALUE"""),"Casa própria")</f>
        <v>Casa própria</v>
      </c>
      <c r="BT386" s="27">
        <f ca="1">IFERROR(__xludf.DUMMYFUNCTION("""COMPUTED_VALUE"""),3)</f>
        <v>3</v>
      </c>
      <c r="BU386" s="27"/>
      <c r="BV386" s="27"/>
      <c r="BW386" s="21" t="str">
        <f ca="1">IFERROR(__xludf.DUMMYFUNCTION("""COMPUTED_VALUE"""),"https://www.linkedin.com/in/socorro-silveira-silveira-25593067")</f>
        <v>https://www.linkedin.com/in/socorro-silveira-silveira-25593067</v>
      </c>
      <c r="BX386" s="27" t="str">
        <f ca="1">IFERROR(__xludf.DUMMYFUNCTION("""COMPUTED_VALUE"""),"Socorrosilveira50")</f>
        <v>Socorrosilveira50</v>
      </c>
      <c r="BY386" s="21" t="str">
        <f ca="1">IFERROR(__xludf.DUMMYFUNCTION("""COMPUTED_VALUE"""),"https://drive.google.com/open?id=1disDhNks-CU26hJlJU8ef5S2w1FsT2iN")</f>
        <v>https://drive.google.com/open?id=1disDhNks-CU26hJlJU8ef5S2w1FsT2iN</v>
      </c>
    </row>
    <row r="387" spans="1:77" ht="12.5" x14ac:dyDescent="0.25">
      <c r="A387" s="21" t="str">
        <f ca="1">IFERROR(__xludf.DUMMYFUNCTION("""COMPUTED_VALUE"""),"0014P00003SGWPPQA5")</f>
        <v>0014P00003SGWPPQA5</v>
      </c>
      <c r="B387" s="27" t="str">
        <f ca="1">IFERROR(__xludf.DUMMYFUNCTION("""COMPUTED_VALUE"""),"Fase Inicial")</f>
        <v>Fase Inicial</v>
      </c>
      <c r="C387" s="27" t="str">
        <f ca="1">IFERROR(__xludf.DUMMYFUNCTION("""COMPUTED_VALUE"""),"Acelerada")</f>
        <v>Acelerada</v>
      </c>
      <c r="D387" s="27" t="str">
        <f ca="1">IFERROR(__xludf.DUMMYFUNCTION("""COMPUTED_VALUE"""),"Ativo")</f>
        <v>Ativo</v>
      </c>
      <c r="E387" s="27" t="str">
        <f ca="1">IFERROR(__xludf.DUMMYFUNCTION("""COMPUTED_VALUE"""),"INSTITUTO MISSIONARIO METAMORFOSE")</f>
        <v>INSTITUTO MISSIONARIO METAMORFOSE</v>
      </c>
      <c r="F387" s="27" t="str">
        <f ca="1">IFERROR(__xludf.DUMMYFUNCTION("""COMPUTED_VALUE"""),"Anailton")</f>
        <v>Anailton</v>
      </c>
      <c r="G387" s="27" t="str">
        <f ca="1">IFERROR(__xludf.DUMMYFUNCTION("""COMPUTED_VALUE"""),"INSTITUTO METAMORFOSE")</f>
        <v>INSTITUTO METAMORFOSE</v>
      </c>
      <c r="H387" s="27" t="str">
        <f ca="1">IFERROR(__xludf.DUMMYFUNCTION("""COMPUTED_VALUE"""),"38.099.393/0001-05")</f>
        <v>38.099.393/0001-05</v>
      </c>
      <c r="I387" s="27" t="str">
        <f ca="1">IFERROR(__xludf.DUMMYFUNCTION("""COMPUTED_VALUE"""),"Anailton De Sousa Fernandes")</f>
        <v>Anailton De Sousa Fernandes</v>
      </c>
      <c r="J387" s="27" t="str">
        <f ca="1">IFERROR(__xludf.DUMMYFUNCTION("""COMPUTED_VALUE"""),"instituto@immetamorfose.org")</f>
        <v>instituto@immetamorfose.org</v>
      </c>
      <c r="K387" s="27" t="str">
        <f ca="1">IFERROR(__xludf.DUMMYFUNCTION("""COMPUTED_VALUE"""),"(85)98756-1978")</f>
        <v>(85)98756-1978</v>
      </c>
      <c r="L387" s="27" t="str">
        <f ca="1">IFERROR(__xludf.DUMMYFUNCTION("""COMPUTED_VALUE"""),"CE")</f>
        <v>CE</v>
      </c>
      <c r="M387" s="27" t="str">
        <f ca="1">IFERROR(__xludf.DUMMYFUNCTION("""COMPUTED_VALUE"""),"Rua Visconde do Rio Branco, 2801 Bairro: Jardim Tavora")</f>
        <v>Rua Visconde do Rio Branco, 2801 Bairro: Jardim Tavora</v>
      </c>
      <c r="N387" s="27" t="str">
        <f ca="1">IFERROR(__xludf.DUMMYFUNCTION("""COMPUTED_VALUE"""),"Centro")</f>
        <v>Centro</v>
      </c>
      <c r="O387" s="27" t="str">
        <f ca="1">IFERROR(__xludf.DUMMYFUNCTION("""COMPUTED_VALUE"""),"(85)98756-1978")</f>
        <v>(85)98756-1978</v>
      </c>
      <c r="P387" s="27" t="str">
        <f ca="1">IFERROR(__xludf.DUMMYFUNCTION("""COMPUTED_VALUE"""),"Fortaleza")</f>
        <v>Fortaleza</v>
      </c>
      <c r="Q387" s="27" t="str">
        <f ca="1">IFERROR(__xludf.DUMMYFUNCTION("""COMPUTED_VALUE"""),"Depósito")</f>
        <v>Depósito</v>
      </c>
      <c r="R387" s="27">
        <f ca="1">IFERROR(__xludf.DUMMYFUNCTION("""COMPUTED_VALUE"""),60055172)</f>
        <v>60055172</v>
      </c>
      <c r="S387" s="27" t="str">
        <f ca="1">IFERROR(__xludf.DUMMYFUNCTION("""COMPUTED_VALUE"""),"Rua São Gerardo 54 Cais do Porto")</f>
        <v>Rua São Gerardo 54 Cais do Porto</v>
      </c>
      <c r="T387" s="27" t="str">
        <f ca="1">IFERROR(__xludf.DUMMYFUNCTION("""COMPUTED_VALUE"""),"Esporte; Educação; Assistência Social; Cultura; Qualificação Profissional; Empreendedorismo; Meio ambiente; Apoio à gestão de organizações de Terceiro Setor; Defesa de Direitos; Comunicação; Desenvolvimento comunitário")</f>
        <v>Esporte; Educação; Assistência Social; Cultura; Qualificação Profissional; Empreendedorismo; Meio ambiente; Apoio à gestão de organizações de Terceiro Setor; Defesa de Direitos; Comunicação; Desenvolvimento comunitário</v>
      </c>
      <c r="U387"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387" s="27" t="str">
        <f ca="1">IFERROR(__xludf.DUMMYFUNCTION("""COMPUTED_VALUE"""),"Moradores de Favelas")</f>
        <v>Moradores de Favelas</v>
      </c>
      <c r="W387" s="27">
        <f ca="1">IFERROR(__xludf.DUMMYFUNCTION("""COMPUTED_VALUE"""),4)</f>
        <v>4</v>
      </c>
      <c r="X387" s="27"/>
      <c r="Y387" s="27">
        <f ca="1">IFERROR(__xludf.DUMMYFUNCTION("""COMPUTED_VALUE"""),120)</f>
        <v>120</v>
      </c>
      <c r="Z387" s="27">
        <f ca="1">IFERROR(__xludf.DUMMYFUNCTION("""COMPUTED_VALUE"""),400)</f>
        <v>400</v>
      </c>
      <c r="AA387" s="29">
        <f ca="1">IFERROR(__xludf.DUMMYFUNCTION("""COMPUTED_VALUE"""),44057)</f>
        <v>44057</v>
      </c>
      <c r="AB387" s="27" t="str">
        <f ca="1">IFERROR(__xludf.DUMMYFUNCTION("""COMPUTED_VALUE"""),"Sim")</f>
        <v>Sim</v>
      </c>
      <c r="AC387" s="27">
        <f ca="1">IFERROR(__xludf.DUMMYFUNCTION("""COMPUTED_VALUE"""),10)</f>
        <v>10</v>
      </c>
      <c r="AD387" s="27">
        <f ca="1">IFERROR(__xludf.DUMMYFUNCTION("""COMPUTED_VALUE"""),5)</f>
        <v>5</v>
      </c>
      <c r="AE387" s="27">
        <f ca="1">IFERROR(__xludf.DUMMYFUNCTION("""COMPUTED_VALUE"""),10)</f>
        <v>10</v>
      </c>
      <c r="AF387" s="27">
        <f ca="1">IFERROR(__xludf.DUMMYFUNCTION("""COMPUTED_VALUE"""),6)</f>
        <v>6</v>
      </c>
      <c r="AG387" s="27">
        <f ca="1">IFERROR(__xludf.DUMMYFUNCTION("""COMPUTED_VALUE"""),2)</f>
        <v>2</v>
      </c>
      <c r="AH387" s="27" t="str">
        <f ca="1">IFERROR(__xludf.DUMMYFUNCTION("""COMPUTED_VALUE"""),"Editais; Outro(s); Doações")</f>
        <v>Editais; Outro(s); Doações</v>
      </c>
      <c r="AI387" s="27" t="str">
        <f ca="1">IFERROR(__xludf.DUMMYFUNCTION("""COMPUTED_VALUE"""),"Doações 20% apadrinhamento 80%")</f>
        <v>Doações 20% apadrinhamento 80%</v>
      </c>
      <c r="AJ387" s="27" t="str">
        <f ca="1">IFERROR(__xludf.DUMMYFUNCTION("""COMPUTED_VALUE"""),"Não")</f>
        <v>Não</v>
      </c>
      <c r="AK387" s="27" t="str">
        <f ca="1">IFERROR(__xludf.DUMMYFUNCTION("""COMPUTED_VALUE"""),"Sim")</f>
        <v>Sim</v>
      </c>
      <c r="AL387" s="21" t="str">
        <f ca="1">IFERROR(__xludf.DUMMYFUNCTION("""COMPUTED_VALUE"""),"0034P000043fOnX")</f>
        <v>0034P000043fOnX</v>
      </c>
      <c r="AM387" s="27" t="str">
        <f ca="1">IFERROR(__xludf.DUMMYFUNCTION("""COMPUTED_VALUE"""),"De Sousa Fernandes")</f>
        <v>De Sousa Fernandes</v>
      </c>
      <c r="AN387" s="27" t="str">
        <f ca="1">IFERROR(__xludf.DUMMYFUNCTION("""COMPUTED_VALUE"""),"Ativo")</f>
        <v>Ativo</v>
      </c>
      <c r="AO387" s="29">
        <f ca="1">IFERROR(__xludf.DUMMYFUNCTION("""COMPUTED_VALUE"""),44432)</f>
        <v>44432</v>
      </c>
      <c r="AP387" s="27">
        <f ca="1">IFERROR(__xludf.DUMMYFUNCTION("""COMPUTED_VALUE"""),13)</f>
        <v>13</v>
      </c>
      <c r="AQ387" s="27" t="str">
        <f ca="1">IFERROR(__xludf.DUMMYFUNCTION("""COMPUTED_VALUE"""),"Primeiro Semestre 2021")</f>
        <v>Primeiro Semestre 2021</v>
      </c>
      <c r="AR387" s="27" t="str">
        <f ca="1">IFERROR(__xludf.DUMMYFUNCTION("""COMPUTED_VALUE"""),"anailton.fernandes@immetamorfose.org")</f>
        <v>anailton.fernandes@immetamorfose.org</v>
      </c>
      <c r="AS387" s="27" t="str">
        <f ca="1">IFERROR(__xludf.DUMMYFUNCTION("""COMPUTED_VALUE"""),"(85)98756-1978")</f>
        <v>(85)98756-1978</v>
      </c>
      <c r="AT387" s="30">
        <f ca="1">IFERROR(__xludf.DUMMYFUNCTION("""COMPUTED_VALUE"""),33119)</f>
        <v>33119</v>
      </c>
      <c r="AU387" s="27">
        <f ca="1">IFERROR(__xludf.DUMMYFUNCTION("""COMPUTED_VALUE"""),32)</f>
        <v>32</v>
      </c>
      <c r="AV387" s="27">
        <f ca="1">IFERROR(__xludf.DUMMYFUNCTION("""COMPUTED_VALUE"""),2767634324)</f>
        <v>2767634324</v>
      </c>
      <c r="AW387" s="27">
        <f ca="1">IFERROR(__xludf.DUMMYFUNCTION("""COMPUTED_VALUE"""),2002010013137)</f>
        <v>2002010013137</v>
      </c>
      <c r="AX387" s="27" t="str">
        <f ca="1">IFERROR(__xludf.DUMMYFUNCTION("""COMPUTED_VALUE"""),"Graduação Em Serviço Social E Pós Em Gerenciamento De Projetos Em Conclusão")</f>
        <v>Graduação Em Serviço Social E Pós Em Gerenciamento De Projetos Em Conclusão</v>
      </c>
      <c r="AY387" s="27"/>
      <c r="AZ387" s="27" t="str">
        <f ca="1">IFERROR(__xludf.DUMMYFUNCTION("""COMPUTED_VALUE"""),"G")</f>
        <v>G</v>
      </c>
      <c r="BA387" s="27" t="str">
        <f ca="1">IFERROR(__xludf.DUMMYFUNCTION("""COMPUTED_VALUE"""),"Branca")</f>
        <v>Branca</v>
      </c>
      <c r="BB387" s="27"/>
      <c r="BC387" s="27" t="str">
        <f ca="1">IFERROR(__xludf.DUMMYFUNCTION("""COMPUTED_VALUE"""),"Sim")</f>
        <v>Sim</v>
      </c>
      <c r="BD387" s="27" t="str">
        <f ca="1">IFERROR(__xludf.DUMMYFUNCTION("""COMPUTED_VALUE"""),"Sou um sonhador que transforma a realidades de outras pessoas. Sou original de Fortaleza/CE. Casado com a Lívia, somos pais do Nicolas. Sou missionário, graduado em Serviço Social e cursando MBA executivo em Gerenciamento de Projetos. Minhas característic"&amp;"as é de visionário, sou um empreendedor social e fundei o Instituto Metamorfose. O sentimento de gratidão é o que me impulsiona a fazer o que eu faço, costumo fazer aquilo que as pessoas fizeram por mim, ou seja, compartilho aquilo que recebo.")</f>
        <v>Sou um sonhador que transforma a realidades de outras pessoas. Sou original de Fortaleza/CE. Casado com a Lívia, somos pais do Nicolas. Sou missionário, graduado em Serviço Social e cursando MBA executivo em Gerenciamento de Projetos. Minhas características é de visionário, sou um empreendedor social e fundei o Instituto Metamorfose. O sentimento de gratidão é o que me impulsiona a fazer o que eu faço, costumo fazer aquilo que as pessoas fizeram por mim, ou seja, compartilho aquilo que recebo.</v>
      </c>
      <c r="BE387" s="27" t="str">
        <f ca="1">IFERROR(__xludf.DUMMYFUNCTION("""COMPUTED_VALUE"""),"Masculino")</f>
        <v>Masculino</v>
      </c>
      <c r="BF387" s="27" t="str">
        <f ca="1">IFERROR(__xludf.DUMMYFUNCTION("""COMPUTED_VALUE"""),"Heterossexual")</f>
        <v>Heterossexual</v>
      </c>
      <c r="BG387" s="27" t="str">
        <f ca="1">IFERROR(__xludf.DUMMYFUNCTION("""COMPUTED_VALUE"""),"Ensino Superior - Completo")</f>
        <v>Ensino Superior - Completo</v>
      </c>
      <c r="BH387" s="27"/>
      <c r="BI387" s="27" t="str">
        <f ca="1">IFERROR(__xludf.DUMMYFUNCTION("""COMPUTED_VALUE"""),"Pós-Graduação")</f>
        <v>Pós-Graduação</v>
      </c>
      <c r="BJ387" s="27" t="str">
        <f ca="1">IFERROR(__xludf.DUMMYFUNCTION("""COMPUTED_VALUE"""),"Privado")</f>
        <v>Privado</v>
      </c>
      <c r="BK387" s="27" t="str">
        <f ca="1">IFERROR(__xludf.DUMMYFUNCTION("""COMPUTED_VALUE"""),"Rua São Gerardo")</f>
        <v>Rua São Gerardo</v>
      </c>
      <c r="BL387" s="27">
        <f ca="1">IFERROR(__xludf.DUMMYFUNCTION("""COMPUTED_VALUE"""),54)</f>
        <v>54</v>
      </c>
      <c r="BM387" s="27" t="str">
        <f ca="1">IFERROR(__xludf.DUMMYFUNCTION("""COMPUTED_VALUE"""),"Baixo")</f>
        <v>Baixo</v>
      </c>
      <c r="BN387" s="27" t="str">
        <f ca="1">IFERROR(__xludf.DUMMYFUNCTION("""COMPUTED_VALUE"""),"Fortaleza")</f>
        <v>Fortaleza</v>
      </c>
      <c r="BO387" s="27" t="str">
        <f ca="1">IFERROR(__xludf.DUMMYFUNCTION("""COMPUTED_VALUE"""),"60180-100")</f>
        <v>60180-100</v>
      </c>
      <c r="BP387" s="27" t="str">
        <f ca="1">IFERROR(__xludf.DUMMYFUNCTION("""COMPUTED_VALUE"""),"CE")</f>
        <v>CE</v>
      </c>
      <c r="BQ387" s="27" t="str">
        <f ca="1">IFERROR(__xludf.DUMMYFUNCTION("""COMPUTED_VALUE"""),"Entre 1 até 3 salários mínimos")</f>
        <v>Entre 1 até 3 salários mínimos</v>
      </c>
      <c r="BR387" s="27" t="str">
        <f ca="1">IFERROR(__xludf.DUMMYFUNCTION("""COMPUTED_VALUE"""),"Desempregado")</f>
        <v>Desempregado</v>
      </c>
      <c r="BS387" s="27" t="str">
        <f ca="1">IFERROR(__xludf.DUMMYFUNCTION("""COMPUTED_VALUE"""),"Casa cedida")</f>
        <v>Casa cedida</v>
      </c>
      <c r="BT387" s="27">
        <f ca="1">IFERROR(__xludf.DUMMYFUNCTION("""COMPUTED_VALUE"""),2)</f>
        <v>2</v>
      </c>
      <c r="BU387" s="27"/>
      <c r="BV387" s="27"/>
      <c r="BW387" s="21" t="str">
        <f ca="1">IFERROR(__xludf.DUMMYFUNCTION("""COMPUTED_VALUE"""),"https://www.linkedin.com/in/anailton-fernandes-748899b1/")</f>
        <v>https://www.linkedin.com/in/anailton-fernandes-748899b1/</v>
      </c>
      <c r="BX387" s="21" t="str">
        <f ca="1">IFERROR(__xludf.DUMMYFUNCTION("""COMPUTED_VALUE"""),"https://www.instagram.com/anailton.fer/")</f>
        <v>https://www.instagram.com/anailton.fer/</v>
      </c>
      <c r="BY387" s="21" t="str">
        <f ca="1">IFERROR(__xludf.DUMMYFUNCTION("""COMPUTED_VALUE"""),"https://drive.google.com/open?id=1wqdRVNgdM9vY4wBXyQsneRFNwDcqiIb7")</f>
        <v>https://drive.google.com/open?id=1wqdRVNgdM9vY4wBXyQsneRFNwDcqiIb7</v>
      </c>
    </row>
    <row r="388" spans="1:77" ht="12.5" x14ac:dyDescent="0.25">
      <c r="A388" s="21" t="str">
        <f ca="1">IFERROR(__xludf.DUMMYFUNCTION("""COMPUTED_VALUE"""),"0014X00002VKD06QAH")</f>
        <v>0014X00002VKD06QAH</v>
      </c>
      <c r="B388" s="27" t="str">
        <f ca="1">IFERROR(__xludf.DUMMYFUNCTION("""COMPUTED_VALUE"""),"Fase Estruturação")</f>
        <v>Fase Estruturação</v>
      </c>
      <c r="C388" s="27" t="str">
        <f ca="1">IFERROR(__xludf.DUMMYFUNCTION("""COMPUTED_VALUE"""),"Fellow")</f>
        <v>Fellow</v>
      </c>
      <c r="D388" s="27" t="str">
        <f ca="1">IFERROR(__xludf.DUMMYFUNCTION("""COMPUTED_VALUE"""),"Ativo")</f>
        <v>Ativo</v>
      </c>
      <c r="E388" s="27" t="str">
        <f ca="1">IFERROR(__xludf.DUMMYFUNCTION("""COMPUTED_VALUE"""),"Instituto Misturaí")</f>
        <v>Instituto Misturaí</v>
      </c>
      <c r="F388" s="27" t="str">
        <f ca="1">IFERROR(__xludf.DUMMYFUNCTION("""COMPUTED_VALUE"""),"Tatiana")</f>
        <v>Tatiana</v>
      </c>
      <c r="G388" s="27" t="str">
        <f ca="1">IFERROR(__xludf.DUMMYFUNCTION("""COMPUTED_VALUE"""),"MISTURAÍ")</f>
        <v>MISTURAÍ</v>
      </c>
      <c r="H388" s="27" t="str">
        <f ca="1">IFERROR(__xludf.DUMMYFUNCTION("""COMPUTED_VALUE"""),"09.154.647/0001-42")</f>
        <v>09.154.647/0001-42</v>
      </c>
      <c r="I388" s="27" t="str">
        <f ca="1">IFERROR(__xludf.DUMMYFUNCTION("""COMPUTED_VALUE"""),"Mara Nunes")</f>
        <v>Mara Nunes</v>
      </c>
      <c r="J388" s="27" t="str">
        <f ca="1">IFERROR(__xludf.DUMMYFUNCTION("""COMPUTED_VALUE"""),"misturaipoa@gmail.com")</f>
        <v>misturaipoa@gmail.com</v>
      </c>
      <c r="K388" s="27" t="str">
        <f ca="1">IFERROR(__xludf.DUMMYFUNCTION("""COMPUTED_VALUE"""),"(51)9802-33892")</f>
        <v>(51)9802-33892</v>
      </c>
      <c r="L388" s="27" t="str">
        <f ca="1">IFERROR(__xludf.DUMMYFUNCTION("""COMPUTED_VALUE"""),"RS")</f>
        <v>RS</v>
      </c>
      <c r="M388" s="27" t="str">
        <f ca="1">IFERROR(__xludf.DUMMYFUNCTION("""COMPUTED_VALUE"""),"Luiz Manoel, 229")</f>
        <v>Luiz Manoel, 229</v>
      </c>
      <c r="N388" s="27" t="str">
        <f ca="1">IFERROR(__xludf.DUMMYFUNCTION("""COMPUTED_VALUE"""),"Santana")</f>
        <v>Santana</v>
      </c>
      <c r="O388" s="27">
        <f ca="1">IFERROR(__xludf.DUMMYFUNCTION("""COMPUTED_VALUE"""),229)</f>
        <v>229</v>
      </c>
      <c r="P388" s="27" t="str">
        <f ca="1">IFERROR(__xludf.DUMMYFUNCTION("""COMPUTED_VALUE"""),"Porto Alegre")</f>
        <v>Porto Alegre</v>
      </c>
      <c r="Q388" s="27"/>
      <c r="R388" s="27" t="str">
        <f ca="1">IFERROR(__xludf.DUMMYFUNCTION("""COMPUTED_VALUE"""),"90040-390")</f>
        <v>90040-390</v>
      </c>
      <c r="S388" s="27" t="str">
        <f ca="1">IFERROR(__xludf.DUMMYFUNCTION("""COMPUTED_VALUE"""),"Casa D.")</f>
        <v>Casa D.</v>
      </c>
      <c r="T388" s="27"/>
      <c r="U388"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388" s="27" t="str">
        <f ca="1">IFERROR(__xludf.DUMMYFUNCTION("""COMPUTED_VALUE"""),"Moradores de Favelas, Pessoas em situação de rua, População LGBTQ+, Afrodescendentes, Dependentes Químicos, Pessoas com Deficiência, Egressos sistema carcerário, Imigrantes")</f>
        <v>Moradores de Favelas, Pessoas em situação de rua, População LGBTQ+, Afrodescendentes, Dependentes Químicos, Pessoas com Deficiência, Egressos sistema carcerário, Imigrantes</v>
      </c>
      <c r="W388" s="27">
        <f ca="1">IFERROR(__xludf.DUMMYFUNCTION("""COMPUTED_VALUE"""),16)</f>
        <v>16</v>
      </c>
      <c r="X388" s="27" t="str">
        <f ca="1">IFERROR(__xludf.DUMMYFUNCTION("""COMPUTED_VALUE"""),"Trabalhamos também com pessoas em situação de rua e aluguel social.")</f>
        <v>Trabalhamos também com pessoas em situação de rua e aluguel social.</v>
      </c>
      <c r="Y388" s="27"/>
      <c r="Z388" s="27">
        <f ca="1">IFERROR(__xludf.DUMMYFUNCTION("""COMPUTED_VALUE"""),3000)</f>
        <v>3000</v>
      </c>
      <c r="AA388" s="29">
        <f ca="1">IFERROR(__xludf.DUMMYFUNCTION("""COMPUTED_VALUE"""),39294)</f>
        <v>39294</v>
      </c>
      <c r="AB388" s="27" t="str">
        <f ca="1">IFERROR(__xludf.DUMMYFUNCTION("""COMPUTED_VALUE"""),"Sim")</f>
        <v>Sim</v>
      </c>
      <c r="AC388" s="27">
        <f ca="1">IFERROR(__xludf.DUMMYFUNCTION("""COMPUTED_VALUE"""),17)</f>
        <v>17</v>
      </c>
      <c r="AD388" s="27">
        <f ca="1">IFERROR(__xludf.DUMMYFUNCTION("""COMPUTED_VALUE"""),21)</f>
        <v>21</v>
      </c>
      <c r="AE388" s="27">
        <f ca="1">IFERROR(__xludf.DUMMYFUNCTION("""COMPUTED_VALUE"""),126)</f>
        <v>126</v>
      </c>
      <c r="AF388" s="27">
        <f ca="1">IFERROR(__xludf.DUMMYFUNCTION("""COMPUTED_VALUE"""),290)</f>
        <v>290</v>
      </c>
      <c r="AG388" s="27">
        <f ca="1">IFERROR(__xludf.DUMMYFUNCTION("""COMPUTED_VALUE"""),5)</f>
        <v>5</v>
      </c>
      <c r="AH388" s="27" t="str">
        <f ca="1">IFERROR(__xludf.DUMMYFUNCTION("""COMPUTED_VALUE"""),"Eventos/Ações para captação, Plataforma doação online - Pessoa Física, Parceria iniciativa privada, Editais, Doações")</f>
        <v>Eventos/Ações para captação, Plataforma doação online - Pessoa Física, Parceria iniciativa privada, Editais, Doações</v>
      </c>
      <c r="AI388" s="27">
        <f ca="1">IFERROR(__xludf.DUMMYFUNCTION("""COMPUTED_VALUE"""),0)</f>
        <v>0</v>
      </c>
      <c r="AJ388" s="27" t="str">
        <f ca="1">IFERROR(__xludf.DUMMYFUNCTION("""COMPUTED_VALUE"""),"Não")</f>
        <v>Não</v>
      </c>
      <c r="AK388" s="27"/>
      <c r="AL388" s="21" t="str">
        <f ca="1">IFERROR(__xludf.DUMMYFUNCTION("""COMPUTED_VALUE"""),"0034X0000380O2d")</f>
        <v>0034X0000380O2d</v>
      </c>
      <c r="AM388" s="27" t="str">
        <f ca="1">IFERROR(__xludf.DUMMYFUNCTION("""COMPUTED_VALUE"""),"Linhares queiroz")</f>
        <v>Linhares queiroz</v>
      </c>
      <c r="AN388" s="27" t="str">
        <f ca="1">IFERROR(__xludf.DUMMYFUNCTION("""COMPUTED_VALUE"""),"Ativo")</f>
        <v>Ativo</v>
      </c>
      <c r="AO388" s="27"/>
      <c r="AP388" s="27"/>
      <c r="AQ388" s="27" t="str">
        <f ca="1">IFERROR(__xludf.DUMMYFUNCTION("""COMPUTED_VALUE"""),"Primeiro Semestre 2022")</f>
        <v>Primeiro Semestre 2022</v>
      </c>
      <c r="AR388" s="27" t="str">
        <f ca="1">IFERROR(__xludf.DUMMYFUNCTION("""COMPUTED_VALUE"""),"tatianalinhares82@gmail.com")</f>
        <v>tatianalinhares82@gmail.com</v>
      </c>
      <c r="AS388" s="27">
        <f ca="1">IFERROR(__xludf.DUMMYFUNCTION("""COMPUTED_VALUE"""),51994290873)</f>
        <v>51994290873</v>
      </c>
      <c r="AT388" s="29">
        <f ca="1">IFERROR(__xludf.DUMMYFUNCTION("""COMPUTED_VALUE"""),26984)</f>
        <v>26984</v>
      </c>
      <c r="AU388" s="27">
        <f ca="1">IFERROR(__xludf.DUMMYFUNCTION("""COMPUTED_VALUE"""),49)</f>
        <v>49</v>
      </c>
      <c r="AV388" s="27">
        <f ca="1">IFERROR(__xludf.DUMMYFUNCTION("""COMPUTED_VALUE"""),60689510063)</f>
        <v>60689510063</v>
      </c>
      <c r="AW388" s="27">
        <f ca="1">IFERROR(__xludf.DUMMYFUNCTION("""COMPUTED_VALUE"""),3050601933)</f>
        <v>3050601933</v>
      </c>
      <c r="AX388" s="27"/>
      <c r="AY388" s="27"/>
      <c r="AZ388" s="27" t="str">
        <f ca="1">IFERROR(__xludf.DUMMYFUNCTION("""COMPUTED_VALUE"""),"G")</f>
        <v>G</v>
      </c>
      <c r="BA388" s="27" t="str">
        <f ca="1">IFERROR(__xludf.DUMMYFUNCTION("""COMPUTED_VALUE"""),"Preta")</f>
        <v>Preta</v>
      </c>
      <c r="BB388" s="27"/>
      <c r="BC388" s="27"/>
      <c r="BD388" s="27" t="str">
        <f ca="1">IFERROR(__xludf.DUMMYFUNCTION("""COMPUTED_VALUE"""),"Sou uma mulher extrovertida* pró-ativa* comunicativa e do vamo dale. Gosto de aprender e estou sempre em busca de melhorar minha vida profissional. Trabalho no Instituto Misturaí desde 2019* iniciando como voluntária* até chegar ao cargo de coordenadora v"&amp;"oluntária do projeto Gurizadaí* que sou desde janeiro de 2020. Alcancei ótimo resultados com o projeto* o que me deixa muito feliz. Falta pouco para concluir meu ensino médio e pretendo fazer faculdade e me tornar assistente social. Acredito que garra* pe"&amp;"rsistência e força de vontade nos levam longe. O céu é o limite!")</f>
        <v>Sou uma mulher extrovertida* pró-ativa* comunicativa e do vamo dale. Gosto de aprender e estou sempre em busca de melhorar minha vida profissional. Trabalho no Instituto Misturaí desde 2019* iniciando como voluntária* até chegar ao cargo de coordenadora voluntária do projeto Gurizadaí* que sou desde janeiro de 2020. Alcancei ótimo resultados com o projeto* o que me deixa muito feliz. Falta pouco para concluir meu ensino médio e pretendo fazer faculdade e me tornar assistente social. Acredito que garra* persistência e força de vontade nos levam longe. O céu é o limite!</v>
      </c>
      <c r="BE388" s="27" t="str">
        <f ca="1">IFERROR(__xludf.DUMMYFUNCTION("""COMPUTED_VALUE"""),"Feminino")</f>
        <v>Feminino</v>
      </c>
      <c r="BF388" s="27" t="str">
        <f ca="1">IFERROR(__xludf.DUMMYFUNCTION("""COMPUTED_VALUE"""),"Heterossexual")</f>
        <v>Heterossexual</v>
      </c>
      <c r="BG388" s="27"/>
      <c r="BH388" s="27" t="str">
        <f ca="1">IFERROR(__xludf.DUMMYFUNCTION("""COMPUTED_VALUE"""),"Público")</f>
        <v>Público</v>
      </c>
      <c r="BI388" s="27"/>
      <c r="BJ388" s="27"/>
      <c r="BK388" s="27" t="str">
        <f ca="1">IFERROR(__xludf.DUMMYFUNCTION("""COMPUTED_VALUE"""),"Jacinto Gomes")</f>
        <v>Jacinto Gomes</v>
      </c>
      <c r="BL388" s="27">
        <f ca="1">IFERROR(__xludf.DUMMYFUNCTION("""COMPUTED_VALUE"""),729)</f>
        <v>729</v>
      </c>
      <c r="BM388" s="27">
        <f ca="1">IFERROR(__xludf.DUMMYFUNCTION("""COMPUTED_VALUE"""),49)</f>
        <v>49</v>
      </c>
      <c r="BN388" s="27"/>
      <c r="BO388" s="27">
        <f ca="1">IFERROR(__xludf.DUMMYFUNCTION("""COMPUTED_VALUE"""),90040270)</f>
        <v>90040270</v>
      </c>
      <c r="BP388" s="27" t="str">
        <f ca="1">IFERROR(__xludf.DUMMYFUNCTION("""COMPUTED_VALUE"""),"RS")</f>
        <v>RS</v>
      </c>
      <c r="BQ388" s="27" t="str">
        <f ca="1">IFERROR(__xludf.DUMMYFUNCTION("""COMPUTED_VALUE"""),"Entre 1 até 3 salários mínimos")</f>
        <v>Entre 1 até 3 salários mínimos</v>
      </c>
      <c r="BR388" s="27" t="str">
        <f ca="1">IFERROR(__xludf.DUMMYFUNCTION("""COMPUTED_VALUE"""),"Trabalho informal")</f>
        <v>Trabalho informal</v>
      </c>
      <c r="BS388" s="27" t="str">
        <f ca="1">IFERROR(__xludf.DUMMYFUNCTION("""COMPUTED_VALUE"""),"Casa própria")</f>
        <v>Casa própria</v>
      </c>
      <c r="BT388" s="27">
        <f ca="1">IFERROR(__xludf.DUMMYFUNCTION("""COMPUTED_VALUE"""),5)</f>
        <v>5</v>
      </c>
      <c r="BU388" s="27" t="str">
        <f ca="1">IFERROR(__xludf.DUMMYFUNCTION("""COMPUTED_VALUE"""),"Deficiência física")</f>
        <v>Deficiência física</v>
      </c>
      <c r="BV388" s="27" t="str">
        <f ca="1">IFERROR(__xludf.DUMMYFUNCTION("""COMPUTED_VALUE"""),"Não")</f>
        <v>Não</v>
      </c>
      <c r="BW388" s="27" t="str">
        <f ca="1">IFERROR(__xludf.DUMMYFUNCTION("""COMPUTED_VALUE"""),"https://www.linkedin.com/in/misturaípoa")</f>
        <v>https://www.linkedin.com/in/misturaípoa</v>
      </c>
      <c r="BX388" s="21" t="str">
        <f ca="1">IFERROR(__xludf.DUMMYFUNCTION("""COMPUTED_VALUE"""),"https://instagram.com/tatianalinharesqueiroz?utm_medium=copy_link")</f>
        <v>https://instagram.com/tatianalinharesqueiroz?utm_medium=copy_link</v>
      </c>
      <c r="BY388" s="21" t="str">
        <f ca="1">IFERROR(__xludf.DUMMYFUNCTION("""COMPUTED_VALUE"""),"https://drive.google.com/open?id=197iIb1zanrEMyLwY7frXhQ67AfPgp2i0")</f>
        <v>https://drive.google.com/open?id=197iIb1zanrEMyLwY7frXhQ67AfPgp2i0</v>
      </c>
    </row>
    <row r="389" spans="1:77" ht="12.5" hidden="1" x14ac:dyDescent="0.25">
      <c r="A389" s="21" t="str">
        <f ca="1">IFERROR(__xludf.DUMMYFUNCTION("""COMPUTED_VALUE"""),"0014P00003YSp8HQAT")</f>
        <v>0014P00003YSp8HQAT</v>
      </c>
      <c r="B389" s="27" t="str">
        <f ca="1">IFERROR(__xludf.DUMMYFUNCTION("""COMPUTED_VALUE"""),"Fase Inicial")</f>
        <v>Fase Inicial</v>
      </c>
      <c r="C389" s="27" t="str">
        <f ca="1">IFERROR(__xludf.DUMMYFUNCTION("""COMPUTED_VALUE"""),"Fellow")</f>
        <v>Fellow</v>
      </c>
      <c r="D389" s="27" t="str">
        <f ca="1">IFERROR(__xludf.DUMMYFUNCTION("""COMPUTED_VALUE"""),"Ativo")</f>
        <v>Ativo</v>
      </c>
      <c r="E389" s="27" t="str">
        <f ca="1">IFERROR(__xludf.DUMMYFUNCTION("""COMPUTED_VALUE"""),"Instituto Mover Vidas")</f>
        <v>Instituto Mover Vidas</v>
      </c>
      <c r="F389" s="27" t="str">
        <f ca="1">IFERROR(__xludf.DUMMYFUNCTION("""COMPUTED_VALUE"""),"Amanda")</f>
        <v>Amanda</v>
      </c>
      <c r="G389" s="27"/>
      <c r="H389" s="27" t="str">
        <f ca="1">IFERROR(__xludf.DUMMYFUNCTION("""COMPUTED_VALUE"""),"43.547.890/0001-69")</f>
        <v>43.547.890/0001-69</v>
      </c>
      <c r="I389" s="27" t="str">
        <f ca="1">IFERROR(__xludf.DUMMYFUNCTION("""COMPUTED_VALUE"""),"Amanda Santos Almeida")</f>
        <v>Amanda Santos Almeida</v>
      </c>
      <c r="J389" s="27" t="str">
        <f ca="1">IFERROR(__xludf.DUMMYFUNCTION("""COMPUTED_VALUE"""),"instituto@movervidas.org")</f>
        <v>instituto@movervidas.org</v>
      </c>
      <c r="K389" s="27" t="str">
        <f ca="1">IFERROR(__xludf.DUMMYFUNCTION("""COMPUTED_VALUE"""),"(21)99175-2377")</f>
        <v>(21)99175-2377</v>
      </c>
      <c r="L389" s="27" t="str">
        <f ca="1">IFERROR(__xludf.DUMMYFUNCTION("""COMPUTED_VALUE"""),"RJ")</f>
        <v>RJ</v>
      </c>
      <c r="M389" s="27" t="str">
        <f ca="1">IFERROR(__xludf.DUMMYFUNCTION("""COMPUTED_VALUE"""),"Rua Ivan de Azevedo")</f>
        <v>Rua Ivan de Azevedo</v>
      </c>
      <c r="N389" s="27" t="str">
        <f ca="1">IFERROR(__xludf.DUMMYFUNCTION("""COMPUTED_VALUE"""),"Engenheiro Pedreira")</f>
        <v>Engenheiro Pedreira</v>
      </c>
      <c r="O389" s="27">
        <f ca="1">IFERROR(__xludf.DUMMYFUNCTION("""COMPUTED_VALUE"""),54)</f>
        <v>54</v>
      </c>
      <c r="P389" s="27" t="str">
        <f ca="1">IFERROR(__xludf.DUMMYFUNCTION("""COMPUTED_VALUE"""),"Japeri")</f>
        <v>Japeri</v>
      </c>
      <c r="Q389" s="27" t="str">
        <f ca="1">IFERROR(__xludf.DUMMYFUNCTION("""COMPUTED_VALUE"""),"Casa 2 - Jardim Transmontano")</f>
        <v>Casa 2 - Jardim Transmontano</v>
      </c>
      <c r="R389" s="27" t="str">
        <f ca="1">IFERROR(__xludf.DUMMYFUNCTION("""COMPUTED_VALUE"""),"26453-023")</f>
        <v>26453-023</v>
      </c>
      <c r="S389" s="27"/>
      <c r="T389" s="27" t="str">
        <f ca="1">IFERROR(__xludf.DUMMYFUNCTION("""COMPUTED_VALUE"""),"Esporte; Educação; Assistência Social; Empoderamento Feminino; Desenvolvimento comunitário")</f>
        <v>Esporte; Educação; Assistência Social; Empoderamento Feminino; Desenvolvimento comunitário</v>
      </c>
      <c r="U389"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389" s="27" t="str">
        <f ca="1">IFERROR(__xludf.DUMMYFUNCTION("""COMPUTED_VALUE"""),"Moradores de Favelas")</f>
        <v>Moradores de Favelas</v>
      </c>
      <c r="W389" s="27">
        <f ca="1">IFERROR(__xludf.DUMMYFUNCTION("""COMPUTED_VALUE"""),9)</f>
        <v>9</v>
      </c>
      <c r="X389" s="27"/>
      <c r="Y389" s="27"/>
      <c r="Z389" s="27">
        <f ca="1">IFERROR(__xludf.DUMMYFUNCTION("""COMPUTED_VALUE"""),300)</f>
        <v>300</v>
      </c>
      <c r="AA389" s="29">
        <f ca="1">IFERROR(__xludf.DUMMYFUNCTION("""COMPUTED_VALUE"""),44083)</f>
        <v>44083</v>
      </c>
      <c r="AB389" s="27" t="str">
        <f ca="1">IFERROR(__xludf.DUMMYFUNCTION("""COMPUTED_VALUE"""),"Não")</f>
        <v>Não</v>
      </c>
      <c r="AC389" s="27">
        <f ca="1">IFERROR(__xludf.DUMMYFUNCTION("""COMPUTED_VALUE"""),2)</f>
        <v>2</v>
      </c>
      <c r="AD389" s="27">
        <f ca="1">IFERROR(__xludf.DUMMYFUNCTION("""COMPUTED_VALUE"""),2)</f>
        <v>2</v>
      </c>
      <c r="AE389" s="27">
        <f ca="1">IFERROR(__xludf.DUMMYFUNCTION("""COMPUTED_VALUE"""),20)</f>
        <v>20</v>
      </c>
      <c r="AF389" s="27">
        <f ca="1">IFERROR(__xludf.DUMMYFUNCTION("""COMPUTED_VALUE"""),14)</f>
        <v>14</v>
      </c>
      <c r="AG389" s="27">
        <f ca="1">IFERROR(__xludf.DUMMYFUNCTION("""COMPUTED_VALUE"""),2)</f>
        <v>2</v>
      </c>
      <c r="AH389" s="27" t="str">
        <f ca="1">IFERROR(__xludf.DUMMYFUNCTION("""COMPUTED_VALUE"""),"Doações")</f>
        <v>Doações</v>
      </c>
      <c r="AI389" s="27" t="str">
        <f ca="1">IFERROR(__xludf.DUMMYFUNCTION("""COMPUTED_VALUE"""),"Não temos")</f>
        <v>Não temos</v>
      </c>
      <c r="AJ389" s="27"/>
      <c r="AK389" s="27"/>
      <c r="AL389" s="21" t="str">
        <f ca="1">IFERROR(__xludf.DUMMYFUNCTION("""COMPUTED_VALUE"""),"0034P000045kxis")</f>
        <v>0034P000045kxis</v>
      </c>
      <c r="AM389" s="27" t="str">
        <f ca="1">IFERROR(__xludf.DUMMYFUNCTION("""COMPUTED_VALUE"""),"Santos Almeida")</f>
        <v>Santos Almeida</v>
      </c>
      <c r="AN389" s="27" t="str">
        <f ca="1">IFERROR(__xludf.DUMMYFUNCTION("""COMPUTED_VALUE"""),"Ativo")</f>
        <v>Ativo</v>
      </c>
      <c r="AO389" s="30">
        <f ca="1">IFERROR(__xludf.DUMMYFUNCTION("""COMPUTED_VALUE"""),44551)</f>
        <v>44551</v>
      </c>
      <c r="AP389" s="27">
        <f ca="1">IFERROR(__xludf.DUMMYFUNCTION("""COMPUTED_VALUE"""),9)</f>
        <v>9</v>
      </c>
      <c r="AQ389" s="27" t="str">
        <f ca="1">IFERROR(__xludf.DUMMYFUNCTION("""COMPUTED_VALUE"""),"Segundo Semestre 2021")</f>
        <v>Segundo Semestre 2021</v>
      </c>
      <c r="AR389" s="27" t="str">
        <f ca="1">IFERROR(__xludf.DUMMYFUNCTION("""COMPUTED_VALUE"""),"amanda@movervidas.org")</f>
        <v>amanda@movervidas.org</v>
      </c>
      <c r="AS389" s="27" t="str">
        <f ca="1">IFERROR(__xludf.DUMMYFUNCTION("""COMPUTED_VALUE"""),"(21)97686-5868")</f>
        <v>(21)97686-5868</v>
      </c>
      <c r="AT389" s="30">
        <f ca="1">IFERROR(__xludf.DUMMYFUNCTION("""COMPUTED_VALUE"""),32589)</f>
        <v>32589</v>
      </c>
      <c r="AU389" s="27">
        <f ca="1">IFERROR(__xludf.DUMMYFUNCTION("""COMPUTED_VALUE"""),33)</f>
        <v>33</v>
      </c>
      <c r="AV389" s="27">
        <f ca="1">IFERROR(__xludf.DUMMYFUNCTION("""COMPUTED_VALUE"""),12619811708)</f>
        <v>12619811708</v>
      </c>
      <c r="AW389" s="27" t="str">
        <f ca="1">IFERROR(__xludf.DUMMYFUNCTION("""COMPUTED_VALUE"""),"23492438-9")</f>
        <v>23492438-9</v>
      </c>
      <c r="AX389" s="27"/>
      <c r="AY389" s="27"/>
      <c r="AZ389" s="27" t="str">
        <f ca="1">IFERROR(__xludf.DUMMYFUNCTION("""COMPUTED_VALUE"""),"P")</f>
        <v>P</v>
      </c>
      <c r="BA389" s="27" t="str">
        <f ca="1">IFERROR(__xludf.DUMMYFUNCTION("""COMPUTED_VALUE"""),"Preta")</f>
        <v>Preta</v>
      </c>
      <c r="BB389" s="27" t="str">
        <f ca="1">IFERROR(__xludf.DUMMYFUNCTION("""COMPUTED_VALUE"""),"Mulher, cisgênero")</f>
        <v>Mulher, cisgênero</v>
      </c>
      <c r="BC389" s="27" t="str">
        <f ca="1">IFERROR(__xludf.DUMMYFUNCTION("""COMPUTED_VALUE"""),"Não")</f>
        <v>Não</v>
      </c>
      <c r="BD389" s="27" t="str">
        <f ca="1">IFERROR(__xludf.DUMMYFUNCTION("""COMPUTED_VALUE"""),"Sou uma mulher negra, de 32 anos. Mãe solo da Gabi. Tive uma trajetória de vida com muitos obstáculos e superação, não foi fácil chegar até aqui, mas com muita gara e determinação sei que posso fazer uma mudança genuína, e ajudar na transformação social d"&amp;"o mundo em que vivermos.")</f>
        <v>Sou uma mulher negra, de 32 anos. Mãe solo da Gabi. Tive uma trajetória de vida com muitos obstáculos e superação, não foi fácil chegar até aqui, mas com muita gara e determinação sei que posso fazer uma mudança genuína, e ajudar na transformação social do mundo em que vivermos.</v>
      </c>
      <c r="BE389" s="27"/>
      <c r="BF389" s="27" t="str">
        <f ca="1">IFERROR(__xludf.DUMMYFUNCTION("""COMPUTED_VALUE"""),"Heterossexual")</f>
        <v>Heterossexual</v>
      </c>
      <c r="BG389" s="27" t="str">
        <f ca="1">IFERROR(__xludf.DUMMYFUNCTION("""COMPUTED_VALUE"""),"Ensino Superior - Incompleto")</f>
        <v>Ensino Superior - Incompleto</v>
      </c>
      <c r="BH389" s="27" t="str">
        <f ca="1">IFERROR(__xludf.DUMMYFUNCTION("""COMPUTED_VALUE"""),"Público")</f>
        <v>Público</v>
      </c>
      <c r="BI389" s="27"/>
      <c r="BJ389" s="27"/>
      <c r="BK389" s="27" t="str">
        <f ca="1">IFERROR(__xludf.DUMMYFUNCTION("""COMPUTED_VALUE"""),"Rua Ivan de Azevedo")</f>
        <v>Rua Ivan de Azevedo</v>
      </c>
      <c r="BL389" s="27">
        <f ca="1">IFERROR(__xludf.DUMMYFUNCTION("""COMPUTED_VALUE"""),54)</f>
        <v>54</v>
      </c>
      <c r="BM389" s="27" t="str">
        <f ca="1">IFERROR(__xludf.DUMMYFUNCTION("""COMPUTED_VALUE"""),"Casa 2 - Jardim Transmontano")</f>
        <v>Casa 2 - Jardim Transmontano</v>
      </c>
      <c r="BN389" s="27" t="str">
        <f ca="1">IFERROR(__xludf.DUMMYFUNCTION("""COMPUTED_VALUE"""),"Japeri")</f>
        <v>Japeri</v>
      </c>
      <c r="BO389" s="27" t="str">
        <f ca="1">IFERROR(__xludf.DUMMYFUNCTION("""COMPUTED_VALUE"""),"26453-230")</f>
        <v>26453-230</v>
      </c>
      <c r="BP389" s="27" t="str">
        <f ca="1">IFERROR(__xludf.DUMMYFUNCTION("""COMPUTED_VALUE"""),"RJ")</f>
        <v>RJ</v>
      </c>
      <c r="BQ389" s="27" t="str">
        <f ca="1">IFERROR(__xludf.DUMMYFUNCTION("""COMPUTED_VALUE"""),"Entre 1 até 3 salários mínimos")</f>
        <v>Entre 1 até 3 salários mínimos</v>
      </c>
      <c r="BR389" s="27" t="str">
        <f ca="1">IFERROR(__xludf.DUMMYFUNCTION("""COMPUTED_VALUE"""),"Desempregado")</f>
        <v>Desempregado</v>
      </c>
      <c r="BS389" s="27" t="str">
        <f ca="1">IFERROR(__xludf.DUMMYFUNCTION("""COMPUTED_VALUE"""),"Casa própria")</f>
        <v>Casa própria</v>
      </c>
      <c r="BT389" s="27">
        <f ca="1">IFERROR(__xludf.DUMMYFUNCTION("""COMPUTED_VALUE"""),4)</f>
        <v>4</v>
      </c>
      <c r="BU389" s="27" t="str">
        <f ca="1">IFERROR(__xludf.DUMMYFUNCTION("""COMPUTED_VALUE"""),"Não tem")</f>
        <v>Não tem</v>
      </c>
      <c r="BV389" s="27"/>
      <c r="BW389" s="27"/>
      <c r="BX389" s="21" t="str">
        <f ca="1">IFERROR(__xludf.DUMMYFUNCTION("""COMPUTED_VALUE"""),"https://instagram.com/amanda.almeidarjj?utm_medium=copy_link")</f>
        <v>https://instagram.com/amanda.almeidarjj?utm_medium=copy_link</v>
      </c>
      <c r="BY389" s="21" t="str">
        <f ca="1">IFERROR(__xludf.DUMMYFUNCTION("""COMPUTED_VALUE"""),"https://drive.google.com/open?id=10HmRR2kNQVdcqv2JpNC4J7KT37I9V62T")</f>
        <v>https://drive.google.com/open?id=10HmRR2kNQVdcqv2JpNC4J7KT37I9V62T</v>
      </c>
    </row>
    <row r="390" spans="1:77" ht="12.5" x14ac:dyDescent="0.25">
      <c r="A390" s="21" t="str">
        <f ca="1">IFERROR(__xludf.DUMMYFUNCTION("""COMPUTED_VALUE"""),"0014P00003YSp8vQAD")</f>
        <v>0014P00003YSp8vQAD</v>
      </c>
      <c r="B390" s="27" t="str">
        <f ca="1">IFERROR(__xludf.DUMMYFUNCTION("""COMPUTED_VALUE"""),"Fase Inicial")</f>
        <v>Fase Inicial</v>
      </c>
      <c r="C390" s="27" t="str">
        <f ca="1">IFERROR(__xludf.DUMMYFUNCTION("""COMPUTED_VALUE"""),"Fellow")</f>
        <v>Fellow</v>
      </c>
      <c r="D390" s="27" t="str">
        <f ca="1">IFERROR(__xludf.DUMMYFUNCTION("""COMPUTED_VALUE"""),"Ativo")</f>
        <v>Ativo</v>
      </c>
      <c r="E390" s="27" t="str">
        <f ca="1">IFERROR(__xludf.DUMMYFUNCTION("""COMPUTED_VALUE"""),"Instituto Movimento para a Vida")</f>
        <v>Instituto Movimento para a Vida</v>
      </c>
      <c r="F390" s="27" t="str">
        <f ca="1">IFERROR(__xludf.DUMMYFUNCTION("""COMPUTED_VALUE"""),"Aline")</f>
        <v>Aline</v>
      </c>
      <c r="G390" s="27"/>
      <c r="H390" s="27" t="str">
        <f ca="1">IFERROR(__xludf.DUMMYFUNCTION("""COMPUTED_VALUE"""),"43.741.355/0001-44")</f>
        <v>43.741.355/0001-44</v>
      </c>
      <c r="I390" s="27" t="str">
        <f ca="1">IFERROR(__xludf.DUMMYFUNCTION("""COMPUTED_VALUE"""),"Aline da silva zabotto")</f>
        <v>Aline da silva zabotto</v>
      </c>
      <c r="J390" s="27" t="str">
        <f ca="1">IFERROR(__xludf.DUMMYFUNCTION("""COMPUTED_VALUE"""),"instituto.m.v@hotmail.com")</f>
        <v>instituto.m.v@hotmail.com</v>
      </c>
      <c r="K390" s="27" t="str">
        <f ca="1">IFERROR(__xludf.DUMMYFUNCTION("""COMPUTED_VALUE"""),"(11)96763-4091")</f>
        <v>(11)96763-4091</v>
      </c>
      <c r="L390" s="27" t="str">
        <f ca="1">IFERROR(__xludf.DUMMYFUNCTION("""COMPUTED_VALUE"""),"SP")</f>
        <v>SP</v>
      </c>
      <c r="M390" s="27" t="str">
        <f ca="1">IFERROR(__xludf.DUMMYFUNCTION("""COMPUTED_VALUE"""),"Rua Salvo Veloso")</f>
        <v>Rua Salvo Veloso</v>
      </c>
      <c r="N390" s="27" t="str">
        <f ca="1">IFERROR(__xludf.DUMMYFUNCTION("""COMPUTED_VALUE"""),"Jd Sidney")</f>
        <v>Jd Sidney</v>
      </c>
      <c r="O390" s="27">
        <f ca="1">IFERROR(__xludf.DUMMYFUNCTION("""COMPUTED_VALUE"""),87)</f>
        <v>87</v>
      </c>
      <c r="P390" s="27" t="str">
        <f ca="1">IFERROR(__xludf.DUMMYFUNCTION("""COMPUTED_VALUE"""),"são Paulo")</f>
        <v>são Paulo</v>
      </c>
      <c r="Q390" s="27" t="str">
        <f ca="1">IFERROR(__xludf.DUMMYFUNCTION("""COMPUTED_VALUE"""),"B")</f>
        <v>B</v>
      </c>
      <c r="R390" s="27" t="str">
        <f ca="1">IFERROR(__xludf.DUMMYFUNCTION("""COMPUTED_VALUE"""),"02982-180")</f>
        <v>02982-180</v>
      </c>
      <c r="S390" s="27"/>
      <c r="T390" s="27" t="str">
        <f ca="1">IFERROR(__xludf.DUMMYFUNCTION("""COMPUTED_VALUE"""),"Esporte; Educação; Empregabilidade; Assistência Social; Cultura; Qualificação Profissional; Empreendedorismo; Negócios Sociais; Assistência Psicológica")</f>
        <v>Esporte; Educação; Empregabilidade; Assistência Social; Cultura; Qualificação Profissional; Empreendedorismo; Negócios Sociais; Assistência Psicológica</v>
      </c>
      <c r="U390" s="27" t="str">
        <f ca="1">IFERROR(__xludf.DUMMYFUNCTION("""COMPUTED_VALUE"""),"Crianças (6 a 12 anos); Adolescentes (12 aos 18 anos); Jovens (18 aos 24 anos); Adultos")</f>
        <v>Crianças (6 a 12 anos); Adolescentes (12 aos 18 anos); Jovens (18 aos 24 anos); Adultos</v>
      </c>
      <c r="V390" s="27" t="str">
        <f ca="1">IFERROR(__xludf.DUMMYFUNCTION("""COMPUTED_VALUE"""),"Moradores de Favelas; Pessoas com Deficiência")</f>
        <v>Moradores de Favelas; Pessoas com Deficiência</v>
      </c>
      <c r="W390" s="27">
        <f ca="1">IFERROR(__xludf.DUMMYFUNCTION("""COMPUTED_VALUE"""),5)</f>
        <v>5</v>
      </c>
      <c r="X390" s="27"/>
      <c r="Y390" s="27"/>
      <c r="Z390" s="27">
        <f ca="1">IFERROR(__xludf.DUMMYFUNCTION("""COMPUTED_VALUE"""),140)</f>
        <v>140</v>
      </c>
      <c r="AA390" s="29">
        <f ca="1">IFERROR(__xludf.DUMMYFUNCTION("""COMPUTED_VALUE"""),43032)</f>
        <v>43032</v>
      </c>
      <c r="AB390" s="27" t="str">
        <f ca="1">IFERROR(__xludf.DUMMYFUNCTION("""COMPUTED_VALUE"""),"Não")</f>
        <v>Não</v>
      </c>
      <c r="AC390" s="27">
        <f ca="1">IFERROR(__xludf.DUMMYFUNCTION("""COMPUTED_VALUE"""),2)</f>
        <v>2</v>
      </c>
      <c r="AD390" s="27">
        <f ca="1">IFERROR(__xludf.DUMMYFUNCTION("""COMPUTED_VALUE"""),0)</f>
        <v>0</v>
      </c>
      <c r="AE390" s="27">
        <f ca="1">IFERROR(__xludf.DUMMYFUNCTION("""COMPUTED_VALUE"""),6)</f>
        <v>6</v>
      </c>
      <c r="AF390" s="27">
        <f ca="1">IFERROR(__xludf.DUMMYFUNCTION("""COMPUTED_VALUE"""),2)</f>
        <v>2</v>
      </c>
      <c r="AG390" s="27">
        <f ca="1">IFERROR(__xludf.DUMMYFUNCTION("""COMPUTED_VALUE"""),2)</f>
        <v>2</v>
      </c>
      <c r="AH390" s="27" t="str">
        <f ca="1">IFERROR(__xludf.DUMMYFUNCTION("""COMPUTED_VALUE"""),"Negócio Social; Eventos/Ações para captação")</f>
        <v>Negócio Social; Eventos/Ações para captação</v>
      </c>
      <c r="AI390" s="27" t="str">
        <f ca="1">IFERROR(__xludf.DUMMYFUNCTION("""COMPUTED_VALUE"""),"50% negocio social 50% açoes para captação")</f>
        <v>50% negocio social 50% açoes para captação</v>
      </c>
      <c r="AJ390" s="27"/>
      <c r="AK390" s="27"/>
      <c r="AL390" s="21" t="str">
        <f ca="1">IFERROR(__xludf.DUMMYFUNCTION("""COMPUTED_VALUE"""),"0034P000045kxjX")</f>
        <v>0034P000045kxjX</v>
      </c>
      <c r="AM390" s="27" t="str">
        <f ca="1">IFERROR(__xludf.DUMMYFUNCTION("""COMPUTED_VALUE"""),"Da Siva Zabotto")</f>
        <v>Da Siva Zabotto</v>
      </c>
      <c r="AN390" s="27" t="str">
        <f ca="1">IFERROR(__xludf.DUMMYFUNCTION("""COMPUTED_VALUE"""),"Ativo")</f>
        <v>Ativo</v>
      </c>
      <c r="AO390" s="30">
        <f ca="1">IFERROR(__xludf.DUMMYFUNCTION("""COMPUTED_VALUE"""),44551)</f>
        <v>44551</v>
      </c>
      <c r="AP390" s="27">
        <f ca="1">IFERROR(__xludf.DUMMYFUNCTION("""COMPUTED_VALUE"""),9)</f>
        <v>9</v>
      </c>
      <c r="AQ390" s="27" t="str">
        <f ca="1">IFERROR(__xludf.DUMMYFUNCTION("""COMPUTED_VALUE"""),"Segundo Semestre 2021")</f>
        <v>Segundo Semestre 2021</v>
      </c>
      <c r="AR390" s="27" t="str">
        <f ca="1">IFERROR(__xludf.DUMMYFUNCTION("""COMPUTED_VALUE"""),"profalinezabotto2020@gmail.com")</f>
        <v>profalinezabotto2020@gmail.com</v>
      </c>
      <c r="AS390" s="27" t="str">
        <f ca="1">IFERROR(__xludf.DUMMYFUNCTION("""COMPUTED_VALUE"""),"(11)96763-4091")</f>
        <v>(11)96763-4091</v>
      </c>
      <c r="AT390" s="29">
        <f ca="1">IFERROR(__xludf.DUMMYFUNCTION("""COMPUTED_VALUE"""),34472)</f>
        <v>34472</v>
      </c>
      <c r="AU390" s="27">
        <f ca="1">IFERROR(__xludf.DUMMYFUNCTION("""COMPUTED_VALUE"""),28)</f>
        <v>28</v>
      </c>
      <c r="AV390" s="27">
        <f ca="1">IFERROR(__xludf.DUMMYFUNCTION("""COMPUTED_VALUE"""),38454429808)</f>
        <v>38454429808</v>
      </c>
      <c r="AW390" s="27">
        <f ca="1">IFERROR(__xludf.DUMMYFUNCTION("""COMPUTED_VALUE"""),368944591)</f>
        <v>368944591</v>
      </c>
      <c r="AX390" s="27"/>
      <c r="AY390" s="27"/>
      <c r="AZ390" s="27" t="str">
        <f ca="1">IFERROR(__xludf.DUMMYFUNCTION("""COMPUTED_VALUE"""),"M")</f>
        <v>M</v>
      </c>
      <c r="BA390" s="27" t="str">
        <f ca="1">IFERROR(__xludf.DUMMYFUNCTION("""COMPUTED_VALUE"""),"Branca")</f>
        <v>Branca</v>
      </c>
      <c r="BB390" s="27" t="str">
        <f ca="1">IFERROR(__xludf.DUMMYFUNCTION("""COMPUTED_VALUE"""),"Mulher, cisgênero")</f>
        <v>Mulher, cisgênero</v>
      </c>
      <c r="BC390" s="27" t="str">
        <f ca="1">IFERROR(__xludf.DUMMYFUNCTION("""COMPUTED_VALUE"""),"Não")</f>
        <v>Não</v>
      </c>
      <c r="BD390" s="27" t="str">
        <f ca="1">IFERROR(__xludf.DUMMYFUNCTION("""COMPUTED_VALUE"""),"Me chamo Aline, tenho 28 anos sou Professora de Educação Física e Capoeira, moradora da comunidade do Canta galo Pirituba Sp.
Presidente do Instituto M.V e meu maior sonho é transformar a pobreza da favela")</f>
        <v>Me chamo Aline, tenho 28 anos sou Professora de Educação Física e Capoeira, moradora da comunidade do Canta galo Pirituba Sp.
Presidente do Instituto M.V e meu maior sonho é transformar a pobreza da favela</v>
      </c>
      <c r="BE390" s="27"/>
      <c r="BF390" s="27" t="str">
        <f ca="1">IFERROR(__xludf.DUMMYFUNCTION("""COMPUTED_VALUE"""),"Homossexual")</f>
        <v>Homossexual</v>
      </c>
      <c r="BG390" s="27" t="str">
        <f ca="1">IFERROR(__xludf.DUMMYFUNCTION("""COMPUTED_VALUE"""),"Ensino Superior - Completo")</f>
        <v>Ensino Superior - Completo</v>
      </c>
      <c r="BH390" s="27" t="str">
        <f ca="1">IFERROR(__xludf.DUMMYFUNCTION("""COMPUTED_VALUE"""),"Público")</f>
        <v>Público</v>
      </c>
      <c r="BI390" s="27" t="str">
        <f ca="1">IFERROR(__xludf.DUMMYFUNCTION("""COMPUTED_VALUE"""),"Graduação")</f>
        <v>Graduação</v>
      </c>
      <c r="BJ390" s="27" t="str">
        <f ca="1">IFERROR(__xludf.DUMMYFUNCTION("""COMPUTED_VALUE"""),"Privado")</f>
        <v>Privado</v>
      </c>
      <c r="BK390" s="27" t="str">
        <f ca="1">IFERROR(__xludf.DUMMYFUNCTION("""COMPUTED_VALUE"""),"rua portuaria")</f>
        <v>rua portuaria</v>
      </c>
      <c r="BL390" s="27">
        <f ca="1">IFERROR(__xludf.DUMMYFUNCTION("""COMPUTED_VALUE"""),287)</f>
        <v>287</v>
      </c>
      <c r="BM390" s="27" t="str">
        <f ca="1">IFERROR(__xludf.DUMMYFUNCTION("""COMPUTED_VALUE"""),"casa")</f>
        <v>casa</v>
      </c>
      <c r="BN390" s="27" t="str">
        <f ca="1">IFERROR(__xludf.DUMMYFUNCTION("""COMPUTED_VALUE"""),"são Paulo")</f>
        <v>são Paulo</v>
      </c>
      <c r="BO390" s="27" t="str">
        <f ca="1">IFERROR(__xludf.DUMMYFUNCTION("""COMPUTED_VALUE"""),"02981-020")</f>
        <v>02981-020</v>
      </c>
      <c r="BP390" s="27" t="str">
        <f ca="1">IFERROR(__xludf.DUMMYFUNCTION("""COMPUTED_VALUE"""),"SP")</f>
        <v>SP</v>
      </c>
      <c r="BQ390" s="27" t="str">
        <f ca="1">IFERROR(__xludf.DUMMYFUNCTION("""COMPUTED_VALUE"""),"Entre 1 até 3 salários mínimos")</f>
        <v>Entre 1 até 3 salários mínimos</v>
      </c>
      <c r="BR390" s="27" t="str">
        <f ca="1">IFERROR(__xludf.DUMMYFUNCTION("""COMPUTED_VALUE"""),"Desempregado")</f>
        <v>Desempregado</v>
      </c>
      <c r="BS390" s="27" t="str">
        <f ca="1">IFERROR(__xludf.DUMMYFUNCTION("""COMPUTED_VALUE"""),"Casa cedida")</f>
        <v>Casa cedida</v>
      </c>
      <c r="BT390" s="27">
        <f ca="1">IFERROR(__xludf.DUMMYFUNCTION("""COMPUTED_VALUE"""),3)</f>
        <v>3</v>
      </c>
      <c r="BU390" s="27" t="str">
        <f ca="1">IFERROR(__xludf.DUMMYFUNCTION("""COMPUTED_VALUE"""),"Não tem")</f>
        <v>Não tem</v>
      </c>
      <c r="BV390" s="27"/>
      <c r="BW390" s="27"/>
      <c r="BX390" s="21" t="str">
        <f ca="1">IFERROR(__xludf.DUMMYFUNCTION("""COMPUTED_VALUE"""),"https://www.instagram.com/rasta.prof/")</f>
        <v>https://www.instagram.com/rasta.prof/</v>
      </c>
      <c r="BY390" s="21" t="str">
        <f ca="1">IFERROR(__xludf.DUMMYFUNCTION("""COMPUTED_VALUE"""),"https://drive.google.com/open?id=1vkyUXgOiy90ukB99Kobu_KVZEsRsIeIb")</f>
        <v>https://drive.google.com/open?id=1vkyUXgOiy90ukB99Kobu_KVZEsRsIeIb</v>
      </c>
    </row>
    <row r="391" spans="1:77" ht="12.5" x14ac:dyDescent="0.25">
      <c r="A391" s="21" t="str">
        <f ca="1">IFERROR(__xludf.DUMMYFUNCTION("""COMPUTED_VALUE"""),"0014X00002VKCriQAH")</f>
        <v>0014X00002VKCriQAH</v>
      </c>
      <c r="B391" s="27" t="str">
        <f ca="1">IFERROR(__xludf.DUMMYFUNCTION("""COMPUTED_VALUE"""),"Fase Inicial")</f>
        <v>Fase Inicial</v>
      </c>
      <c r="C391" s="27" t="str">
        <f ca="1">IFERROR(__xludf.DUMMYFUNCTION("""COMPUTED_VALUE"""),"Fellow")</f>
        <v>Fellow</v>
      </c>
      <c r="D391" s="27" t="str">
        <f ca="1">IFERROR(__xludf.DUMMYFUNCTION("""COMPUTED_VALUE"""),"Ativo")</f>
        <v>Ativo</v>
      </c>
      <c r="E391" s="27" t="str">
        <f ca="1">IFERROR(__xludf.DUMMYFUNCTION("""COMPUTED_VALUE"""),"INSTITUTO MUCAMBO")</f>
        <v>INSTITUTO MUCAMBO</v>
      </c>
      <c r="F391" s="27" t="str">
        <f ca="1">IFERROR(__xludf.DUMMYFUNCTION("""COMPUTED_VALUE"""),"Israel")</f>
        <v>Israel</v>
      </c>
      <c r="G391" s="27" t="str">
        <f ca="1">IFERROR(__xludf.DUMMYFUNCTION("""COMPUTED_VALUE"""),"BECO CULTURAL")</f>
        <v>BECO CULTURAL</v>
      </c>
      <c r="H391" s="27" t="str">
        <f ca="1">IFERROR(__xludf.DUMMYFUNCTION("""COMPUTED_VALUE"""),"45.685.145/0001-01")</f>
        <v>45.685.145/0001-01</v>
      </c>
      <c r="I391" s="27" t="str">
        <f ca="1">IFERROR(__xludf.DUMMYFUNCTION("""COMPUTED_VALUE"""),"Israel Ubaldo Vasconcelos Neto")</f>
        <v>Israel Ubaldo Vasconcelos Neto</v>
      </c>
      <c r="J391" s="27" t="str">
        <f ca="1">IFERROR(__xludf.DUMMYFUNCTION("""COMPUTED_VALUE"""),"contato@mucamboinstituto.org")</f>
        <v>contato@mucamboinstituto.org</v>
      </c>
      <c r="K391" s="27" t="str">
        <f ca="1">IFERROR(__xludf.DUMMYFUNCTION("""COMPUTED_VALUE"""),"(81)3429-3060")</f>
        <v>(81)3429-3060</v>
      </c>
      <c r="L391" s="27" t="str">
        <f ca="1">IFERROR(__xludf.DUMMYFUNCTION("""COMPUTED_VALUE"""),"PE")</f>
        <v>PE</v>
      </c>
      <c r="M391" s="27" t="str">
        <f ca="1">IFERROR(__xludf.DUMMYFUNCTION("""COMPUTED_VALUE"""),"Rua Atlântico")</f>
        <v>Rua Atlântico</v>
      </c>
      <c r="N391" s="27" t="str">
        <f ca="1">IFERROR(__xludf.DUMMYFUNCTION("""COMPUTED_VALUE"""),"Ouro Preto")</f>
        <v>Ouro Preto</v>
      </c>
      <c r="O391" s="27">
        <f ca="1">IFERROR(__xludf.DUMMYFUNCTION("""COMPUTED_VALUE"""),11)</f>
        <v>11</v>
      </c>
      <c r="P391" s="27" t="str">
        <f ca="1">IFERROR(__xludf.DUMMYFUNCTION("""COMPUTED_VALUE"""),"Olinda")</f>
        <v>Olinda</v>
      </c>
      <c r="Q391" s="27" t="str">
        <f ca="1">IFERROR(__xludf.DUMMYFUNCTION("""COMPUTED_VALUE"""),"Quadra E-08")</f>
        <v>Quadra E-08</v>
      </c>
      <c r="R391" s="27" t="str">
        <f ca="1">IFERROR(__xludf.DUMMYFUNCTION("""COMPUTED_VALUE"""),"53370-530")</f>
        <v>53370-530</v>
      </c>
      <c r="S391" s="27" t="str">
        <f ca="1">IFERROR(__xludf.DUMMYFUNCTION("""COMPUTED_VALUE"""),"Recreio dos Aposentados - Rua Assaí, 06, Quadra B30 - Ouro Preto - Olinda - PE")</f>
        <v>Recreio dos Aposentados - Rua Assaí, 06, Quadra B30 - Ouro Preto - Olinda - PE</v>
      </c>
      <c r="T391" s="27"/>
      <c r="U391" s="27" t="str">
        <f ca="1">IFERROR(__xludf.DUMMYFUNCTION("""COMPUTED_VALUE"""),"Crianças pequenas (4 anos a 5 anos e 11 meses), Crianças (6 a 12 anos), Adultos")</f>
        <v>Crianças pequenas (4 anos a 5 anos e 11 meses), Crianças (6 a 12 anos), Adultos</v>
      </c>
      <c r="V391" s="27" t="str">
        <f ca="1">IFERROR(__xludf.DUMMYFUNCTION("""COMPUTED_VALUE"""),"Moradores de Favelas, Afrodescendentes, Outros")</f>
        <v>Moradores de Favelas, Afrodescendentes, Outros</v>
      </c>
      <c r="W391" s="27">
        <f ca="1">IFERROR(__xludf.DUMMYFUNCTION("""COMPUTED_VALUE"""),1)</f>
        <v>1</v>
      </c>
      <c r="X391" s="27"/>
      <c r="Y391" s="27"/>
      <c r="Z391" s="27">
        <f ca="1">IFERROR(__xludf.DUMMYFUNCTION("""COMPUTED_VALUE"""),50)</f>
        <v>50</v>
      </c>
      <c r="AA391" s="30">
        <f ca="1">IFERROR(__xludf.DUMMYFUNCTION("""COMPUTED_VALUE"""),44594)</f>
        <v>44594</v>
      </c>
      <c r="AB391" s="27" t="str">
        <f ca="1">IFERROR(__xludf.DUMMYFUNCTION("""COMPUTED_VALUE"""),"Sim")</f>
        <v>Sim</v>
      </c>
      <c r="AC391" s="27">
        <f ca="1">IFERROR(__xludf.DUMMYFUNCTION("""COMPUTED_VALUE"""),0)</f>
        <v>0</v>
      </c>
      <c r="AD391" s="27">
        <f ca="1">IFERROR(__xludf.DUMMYFUNCTION("""COMPUTED_VALUE"""),6)</f>
        <v>6</v>
      </c>
      <c r="AE391" s="27">
        <f ca="1">IFERROR(__xludf.DUMMYFUNCTION("""COMPUTED_VALUE"""),6)</f>
        <v>6</v>
      </c>
      <c r="AF391" s="27">
        <f ca="1">IFERROR(__xludf.DUMMYFUNCTION("""COMPUTED_VALUE"""),6)</f>
        <v>6</v>
      </c>
      <c r="AG391" s="27">
        <f ca="1">IFERROR(__xludf.DUMMYFUNCTION("""COMPUTED_VALUE"""),2)</f>
        <v>2</v>
      </c>
      <c r="AH391" s="27" t="str">
        <f ca="1">IFERROR(__xludf.DUMMYFUNCTION("""COMPUTED_VALUE"""),"Eventos/Ações para captação, Doações")</f>
        <v>Eventos/Ações para captação, Doações</v>
      </c>
      <c r="AI391" s="27" t="str">
        <f ca="1">IFERROR(__xludf.DUMMYFUNCTION("""COMPUTED_VALUE"""),"80% Doações  e 20% Eventos/Ações para captação")</f>
        <v>80% Doações  e 20% Eventos/Ações para captação</v>
      </c>
      <c r="AJ391" s="27" t="str">
        <f ca="1">IFERROR(__xludf.DUMMYFUNCTION("""COMPUTED_VALUE"""),"Não")</f>
        <v>Não</v>
      </c>
      <c r="AK391" s="27"/>
      <c r="AL391" s="21" t="str">
        <f ca="1">IFERROR(__xludf.DUMMYFUNCTION("""COMPUTED_VALUE"""),"0034X0000380O43")</f>
        <v>0034X0000380O43</v>
      </c>
      <c r="AM391" s="27" t="str">
        <f ca="1">IFERROR(__xludf.DUMMYFUNCTION("""COMPUTED_VALUE"""),"Ubaldo vasconcelos neto")</f>
        <v>Ubaldo vasconcelos neto</v>
      </c>
      <c r="AN391" s="27" t="str">
        <f ca="1">IFERROR(__xludf.DUMMYFUNCTION("""COMPUTED_VALUE"""),"Ativo")</f>
        <v>Ativo</v>
      </c>
      <c r="AO391" s="27"/>
      <c r="AP391" s="27"/>
      <c r="AQ391" s="27" t="str">
        <f ca="1">IFERROR(__xludf.DUMMYFUNCTION("""COMPUTED_VALUE"""),"Primeiro Semestre 2022")</f>
        <v>Primeiro Semestre 2022</v>
      </c>
      <c r="AR391" s="27" t="str">
        <f ca="1">IFERROR(__xludf.DUMMYFUNCTION("""COMPUTED_VALUE"""),"mucambo2022@gmail.com")</f>
        <v>mucambo2022@gmail.com</v>
      </c>
      <c r="AS391" s="27" t="str">
        <f ca="1">IFERROR(__xludf.DUMMYFUNCTION("""COMPUTED_VALUE"""),"(81)99572-5627")</f>
        <v>(81)99572-5627</v>
      </c>
      <c r="AT391" s="29">
        <f ca="1">IFERROR(__xludf.DUMMYFUNCTION("""COMPUTED_VALUE"""),30625)</f>
        <v>30625</v>
      </c>
      <c r="AU391" s="27">
        <f ca="1">IFERROR(__xludf.DUMMYFUNCTION("""COMPUTED_VALUE"""),39)</f>
        <v>39</v>
      </c>
      <c r="AV391" s="27">
        <f ca="1">IFERROR(__xludf.DUMMYFUNCTION("""COMPUTED_VALUE"""),4758241481)</f>
        <v>4758241481</v>
      </c>
      <c r="AW391" s="27">
        <f ca="1">IFERROR(__xludf.DUMMYFUNCTION("""COMPUTED_VALUE"""),5397465)</f>
        <v>5397465</v>
      </c>
      <c r="AX391" s="27"/>
      <c r="AY391" s="27" t="str">
        <f ca="1">IFERROR(__xludf.DUMMYFUNCTION("""COMPUTED_VALUE"""),"Diretor Presidente")</f>
        <v>Diretor Presidente</v>
      </c>
      <c r="AZ391" s="27" t="str">
        <f ca="1">IFERROR(__xludf.DUMMYFUNCTION("""COMPUTED_VALUE"""),"G1")</f>
        <v>G1</v>
      </c>
      <c r="BA391" s="27" t="str">
        <f ca="1">IFERROR(__xludf.DUMMYFUNCTION("""COMPUTED_VALUE"""),"Preta")</f>
        <v>Preta</v>
      </c>
      <c r="BB391" s="27"/>
      <c r="BC391" s="27"/>
      <c r="BD391" s="27" t="str">
        <f ca="1">IFERROR(__xludf.DUMMYFUNCTION("""COMPUTED_VALUE"""),"Ativista Cultural, Educador licenciado em Filosofia e Pedagogia,
Pós graduado em Educação Especial e Técnico Braillista.
Inicia as atividades sociais culturais com a comunidade, em 2010.
Em 2015, cria um Projeto em que Geladeiras são reutilizadas como
bib"&amp;"liotecas nos espaços públicos.
No ano de 2017, constitui uma biblioteca comunitária  em Olinda/PE.
Em 02/02/2022, junto com um time que faz da SOLIDARIEDADE a
matéria-prima na Construção de um Outro Mundo Possível, funda
o Instituto MUCAMBO.")</f>
        <v>Ativista Cultural, Educador licenciado em Filosofia e Pedagogia,
Pós graduado em Educação Especial e Técnico Braillista.
Inicia as atividades sociais culturais com a comunidade, em 2010.
Em 2015, cria um Projeto em que Geladeiras são reutilizadas como
bibliotecas nos espaços públicos.
No ano de 2017, constitui uma biblioteca comunitária  em Olinda/PE.
Em 02/02/2022, junto com um time que faz da SOLIDARIEDADE a
matéria-prima na Construção de um Outro Mundo Possível, funda
o Instituto MUCAMBO.</v>
      </c>
      <c r="BE391" s="27" t="str">
        <f ca="1">IFERROR(__xludf.DUMMYFUNCTION("""COMPUTED_VALUE"""),"Homem, cisgênero")</f>
        <v>Homem, cisgênero</v>
      </c>
      <c r="BF391" s="27" t="str">
        <f ca="1">IFERROR(__xludf.DUMMYFUNCTION("""COMPUTED_VALUE"""),"Heterossexual")</f>
        <v>Heterossexual</v>
      </c>
      <c r="BG391" s="27" t="str">
        <f ca="1">IFERROR(__xludf.DUMMYFUNCTION("""COMPUTED_VALUE"""),"Ensino Superior - Completo")</f>
        <v>Ensino Superior - Completo</v>
      </c>
      <c r="BH391" s="27" t="str">
        <f ca="1">IFERROR(__xludf.DUMMYFUNCTION("""COMPUTED_VALUE"""),"Público")</f>
        <v>Público</v>
      </c>
      <c r="BI391" s="27" t="str">
        <f ca="1">IFERROR(__xludf.DUMMYFUNCTION("""COMPUTED_VALUE"""),"Pós-Graduação")</f>
        <v>Pós-Graduação</v>
      </c>
      <c r="BJ391" s="27" t="str">
        <f ca="1">IFERROR(__xludf.DUMMYFUNCTION("""COMPUTED_VALUE"""),"Público")</f>
        <v>Público</v>
      </c>
      <c r="BK391" s="27" t="str">
        <f ca="1">IFERROR(__xludf.DUMMYFUNCTION("""COMPUTED_VALUE"""),"Atlântico")</f>
        <v>Atlântico</v>
      </c>
      <c r="BL391" s="27">
        <f ca="1">IFERROR(__xludf.DUMMYFUNCTION("""COMPUTED_VALUE"""),11)</f>
        <v>11</v>
      </c>
      <c r="BM391" s="27" t="str">
        <f ca="1">IFERROR(__xludf.DUMMYFUNCTION("""COMPUTED_VALUE"""),"Quadra E-08")</f>
        <v>Quadra E-08</v>
      </c>
      <c r="BN391" s="27" t="str">
        <f ca="1">IFERROR(__xludf.DUMMYFUNCTION("""COMPUTED_VALUE"""),"Olinda")</f>
        <v>Olinda</v>
      </c>
      <c r="BO391" s="27" t="str">
        <f ca="1">IFERROR(__xludf.DUMMYFUNCTION("""COMPUTED_VALUE"""),"53370-530")</f>
        <v>53370-530</v>
      </c>
      <c r="BP391" s="27" t="str">
        <f ca="1">IFERROR(__xludf.DUMMYFUNCTION("""COMPUTED_VALUE"""),"PE")</f>
        <v>PE</v>
      </c>
      <c r="BQ391" s="27" t="str">
        <f ca="1">IFERROR(__xludf.DUMMYFUNCTION("""COMPUTED_VALUE"""),"Entre 1 até 3 salários mínimos")</f>
        <v>Entre 1 até 3 salários mínimos</v>
      </c>
      <c r="BR391" s="27" t="str">
        <f ca="1">IFERROR(__xludf.DUMMYFUNCTION("""COMPUTED_VALUE"""),"Funcionário Público")</f>
        <v>Funcionário Público</v>
      </c>
      <c r="BS391" s="27" t="str">
        <f ca="1">IFERROR(__xludf.DUMMYFUNCTION("""COMPUTED_VALUE"""),"Casa própria")</f>
        <v>Casa própria</v>
      </c>
      <c r="BT391" s="27">
        <f ca="1">IFERROR(__xludf.DUMMYFUNCTION("""COMPUTED_VALUE"""),5)</f>
        <v>5</v>
      </c>
      <c r="BU391" s="27" t="str">
        <f ca="1">IFERROR(__xludf.DUMMYFUNCTION("""COMPUTED_VALUE"""),"Não tem")</f>
        <v>Não tem</v>
      </c>
      <c r="BV391" s="27" t="str">
        <f ca="1">IFERROR(__xludf.DUMMYFUNCTION("""COMPUTED_VALUE"""),"Não")</f>
        <v>Não</v>
      </c>
      <c r="BW391" s="27"/>
      <c r="BX391" s="27" t="str">
        <f ca="1">IFERROR(__xludf.DUMMYFUNCTION("""COMPUTED_VALUE"""),"@israelvasconcelos_xeu")</f>
        <v>@israelvasconcelos_xeu</v>
      </c>
      <c r="BY391" s="21" t="str">
        <f ca="1">IFERROR(__xludf.DUMMYFUNCTION("""COMPUTED_VALUE"""),"https://drive.google.com/open?id=1V9JVxVG5jUuQCduiHSJn8HBovL8fa-26")</f>
        <v>https://drive.google.com/open?id=1V9JVxVG5jUuQCduiHSJn8HBovL8fa-26</v>
      </c>
    </row>
    <row r="392" spans="1:77" ht="12.5" x14ac:dyDescent="0.25">
      <c r="A392" s="21" t="str">
        <f ca="1">IFERROR(__xludf.DUMMYFUNCTION("""COMPUTED_VALUE"""),"0014X00002VKCtbQAH")</f>
        <v>0014X00002VKCtbQAH</v>
      </c>
      <c r="B392" s="27" t="str">
        <f ca="1">IFERROR(__xludf.DUMMYFUNCTION("""COMPUTED_VALUE"""),"Fase Inicial")</f>
        <v>Fase Inicial</v>
      </c>
      <c r="C392" s="27" t="str">
        <f ca="1">IFERROR(__xludf.DUMMYFUNCTION("""COMPUTED_VALUE"""),"Fellow")</f>
        <v>Fellow</v>
      </c>
      <c r="D392" s="27" t="str">
        <f ca="1">IFERROR(__xludf.DUMMYFUNCTION("""COMPUTED_VALUE"""),"Ativo")</f>
        <v>Ativo</v>
      </c>
      <c r="E392" s="27" t="str">
        <f ca="1">IFERROR(__xludf.DUMMYFUNCTION("""COMPUTED_VALUE"""),"INSTITUTOMULHERES EM SUPERAÇÃO NA AMAZÔNIA")</f>
        <v>INSTITUTOMULHERES EM SUPERAÇÃO NA AMAZÔNIA</v>
      </c>
      <c r="F392" s="27" t="str">
        <f ca="1">IFERROR(__xludf.DUMMYFUNCTION("""COMPUTED_VALUE"""),"Nelriane")</f>
        <v>Nelriane</v>
      </c>
      <c r="G392" s="27" t="str">
        <f ca="1">IFERROR(__xludf.DUMMYFUNCTION("""COMPUTED_VALUE"""),"IMES")</f>
        <v>IMES</v>
      </c>
      <c r="H392" s="27"/>
      <c r="I392" s="27" t="str">
        <f ca="1">IFERROR(__xludf.DUMMYFUNCTION("""COMPUTED_VALUE"""),"NELRIANE REIS PANTOJA ARAÚJO")</f>
        <v>NELRIANE REIS PANTOJA ARAÚJO</v>
      </c>
      <c r="J392" s="27" t="str">
        <f ca="1">IFERROR(__xludf.DUMMYFUNCTION("""COMPUTED_VALUE"""),"imes.amazonia@gmail.com")</f>
        <v>imes.amazonia@gmail.com</v>
      </c>
      <c r="K392" s="27" t="str">
        <f ca="1">IFERROR(__xludf.DUMMYFUNCTION("""COMPUTED_VALUE"""),"(92)99383-4491")</f>
        <v>(92)99383-4491</v>
      </c>
      <c r="L392" s="27" t="str">
        <f ca="1">IFERROR(__xludf.DUMMYFUNCTION("""COMPUTED_VALUE"""),"AM")</f>
        <v>AM</v>
      </c>
      <c r="M392" s="27" t="str">
        <f ca="1">IFERROR(__xludf.DUMMYFUNCTION("""COMPUTED_VALUE"""),"RUA BREVES")</f>
        <v>RUA BREVES</v>
      </c>
      <c r="N392" s="27" t="str">
        <f ca="1">IFERROR(__xludf.DUMMYFUNCTION("""COMPUTED_VALUE"""),"COLÔNIA TERRA NOVA")</f>
        <v>COLÔNIA TERRA NOVA</v>
      </c>
      <c r="O392" s="27">
        <f ca="1">IFERROR(__xludf.DUMMYFUNCTION("""COMPUTED_VALUE"""),119)</f>
        <v>119</v>
      </c>
      <c r="P392" s="27" t="str">
        <f ca="1">IFERROR(__xludf.DUMMYFUNCTION("""COMPUTED_VALUE"""),"MANAUS")</f>
        <v>MANAUS</v>
      </c>
      <c r="Q392" s="27"/>
      <c r="R392" s="27" t="str">
        <f ca="1">IFERROR(__xludf.DUMMYFUNCTION("""COMPUTED_VALUE"""),"69015-103")</f>
        <v>69015-103</v>
      </c>
      <c r="S392" s="27" t="str">
        <f ca="1">IFERROR(__xludf.DUMMYFUNCTION("""COMPUTED_VALUE"""),"Bairro")</f>
        <v>Bairro</v>
      </c>
      <c r="T392" s="27"/>
      <c r="U392" s="27" t="str">
        <f ca="1">IFERROR(__xludf.DUMMYFUNCTION("""COMPUTED_VALUE"""),"Adolescentes (12 aos 18 anos), Jovens (18 aos 24 anos), Adultos, Idosos (60 anos ou mais)")</f>
        <v>Adolescentes (12 aos 18 anos), Jovens (18 aos 24 anos), Adultos, Idosos (60 anos ou mais)</v>
      </c>
      <c r="V392" s="27" t="str">
        <f ca="1">IFERROR(__xludf.DUMMYFUNCTION("""COMPUTED_VALUE"""),"Povos Indígenas, Pessoas com Deficiência, Imigrantes, Ribeirinhos, Comunidade rural")</f>
        <v>Povos Indígenas, Pessoas com Deficiência, Imigrantes, Ribeirinhos, Comunidade rural</v>
      </c>
      <c r="W392" s="27">
        <f ca="1">IFERROR(__xludf.DUMMYFUNCTION("""COMPUTED_VALUE"""),200)</f>
        <v>200</v>
      </c>
      <c r="X392" s="27" t="str">
        <f ca="1">IFERROR(__xludf.DUMMYFUNCTION("""COMPUTED_VALUE"""),"O instituto Mulheres em Superação  na Amazônia - IMES* também acompanha algumas famílias que moram no município de Parintins* localizados nos bairros Itaúna 1*2 e no Bairro Santa Clara* bairro Palmares e ocupação pascoa alage.")</f>
        <v>O instituto Mulheres em Superação  na Amazônia - IMES* também acompanha algumas famílias que moram no município de Parintins* localizados nos bairros Itaúna 1*2 e no Bairro Santa Clara* bairro Palmares e ocupação pascoa alage.</v>
      </c>
      <c r="Y392" s="27"/>
      <c r="Z392" s="27">
        <f ca="1">IFERROR(__xludf.DUMMYFUNCTION("""COMPUTED_VALUE"""),100)</f>
        <v>100</v>
      </c>
      <c r="AA392" s="30">
        <f ca="1">IFERROR(__xludf.DUMMYFUNCTION("""COMPUTED_VALUE"""),41997)</f>
        <v>41997</v>
      </c>
      <c r="AB392" s="27" t="str">
        <f ca="1">IFERROR(__xludf.DUMMYFUNCTION("""COMPUTED_VALUE"""),"Não")</f>
        <v>Não</v>
      </c>
      <c r="AC392" s="27">
        <f ca="1">IFERROR(__xludf.DUMMYFUNCTION("""COMPUTED_VALUE"""),11)</f>
        <v>11</v>
      </c>
      <c r="AD392" s="27">
        <f ca="1">IFERROR(__xludf.DUMMYFUNCTION("""COMPUTED_VALUE"""),6)</f>
        <v>6</v>
      </c>
      <c r="AE392" s="27">
        <f ca="1">IFERROR(__xludf.DUMMYFUNCTION("""COMPUTED_VALUE"""),11)</f>
        <v>11</v>
      </c>
      <c r="AF392" s="27">
        <f ca="1">IFERROR(__xludf.DUMMYFUNCTION("""COMPUTED_VALUE"""),6)</f>
        <v>6</v>
      </c>
      <c r="AG392" s="27">
        <f ca="1">IFERROR(__xludf.DUMMYFUNCTION("""COMPUTED_VALUE"""),4)</f>
        <v>4</v>
      </c>
      <c r="AH392" s="27" t="str">
        <f ca="1">IFERROR(__xludf.DUMMYFUNCTION("""COMPUTED_VALUE"""),"Negócio Social, Eventos/Ações para captação, Parceria iniciativa privada, Doações")</f>
        <v>Negócio Social, Eventos/Ações para captação, Parceria iniciativa privada, Doações</v>
      </c>
      <c r="AI392" s="27">
        <f ca="1">IFERROR(__xludf.DUMMYFUNCTION("""COMPUTED_VALUE"""),0)</f>
        <v>0</v>
      </c>
      <c r="AJ392" s="27" t="str">
        <f ca="1">IFERROR(__xludf.DUMMYFUNCTION("""COMPUTED_VALUE"""),"Sim")</f>
        <v>Sim</v>
      </c>
      <c r="AK392" s="27"/>
      <c r="AL392" s="21" t="str">
        <f ca="1">IFERROR(__xludf.DUMMYFUNCTION("""COMPUTED_VALUE"""),"0034X0000380O3G")</f>
        <v>0034X0000380O3G</v>
      </c>
      <c r="AM392" s="27" t="str">
        <f ca="1">IFERROR(__xludf.DUMMYFUNCTION("""COMPUTED_VALUE"""),"Reis pantoja araujo")</f>
        <v>Reis pantoja araujo</v>
      </c>
      <c r="AN392" s="27" t="str">
        <f ca="1">IFERROR(__xludf.DUMMYFUNCTION("""COMPUTED_VALUE"""),"Ativo")</f>
        <v>Ativo</v>
      </c>
      <c r="AO392" s="27"/>
      <c r="AP392" s="27"/>
      <c r="AQ392" s="27" t="str">
        <f ca="1">IFERROR(__xludf.DUMMYFUNCTION("""COMPUTED_VALUE"""),"Primeiro Semestre 2022")</f>
        <v>Primeiro Semestre 2022</v>
      </c>
      <c r="AR392" s="27" t="str">
        <f ca="1">IFERROR(__xludf.DUMMYFUNCTION("""COMPUTED_VALUE"""),"anereis2021@gmail.com")</f>
        <v>anereis2021@gmail.com</v>
      </c>
      <c r="AS392" s="27">
        <f ca="1">IFERROR(__xludf.DUMMYFUNCTION("""COMPUTED_VALUE"""),92994164491)</f>
        <v>92994164491</v>
      </c>
      <c r="AT392" s="29">
        <f ca="1">IFERROR(__xludf.DUMMYFUNCTION("""COMPUTED_VALUE"""),27943)</f>
        <v>27943</v>
      </c>
      <c r="AU392" s="27">
        <f ca="1">IFERROR(__xludf.DUMMYFUNCTION("""COMPUTED_VALUE"""),46)</f>
        <v>46</v>
      </c>
      <c r="AV392" s="27">
        <f ca="1">IFERROR(__xludf.DUMMYFUNCTION("""COMPUTED_VALUE"""),58837833253)</f>
        <v>58837833253</v>
      </c>
      <c r="AW392" s="27" t="str">
        <f ca="1">IFERROR(__xludf.DUMMYFUNCTION("""COMPUTED_VALUE"""),"1095283-7")</f>
        <v>1095283-7</v>
      </c>
      <c r="AX392" s="27"/>
      <c r="AY392" s="27"/>
      <c r="AZ392" s="27" t="str">
        <f ca="1">IFERROR(__xludf.DUMMYFUNCTION("""COMPUTED_VALUE"""),"PP")</f>
        <v>PP</v>
      </c>
      <c r="BA392" s="27" t="str">
        <f ca="1">IFERROR(__xludf.DUMMYFUNCTION("""COMPUTED_VALUE"""),"Parda")</f>
        <v>Parda</v>
      </c>
      <c r="BB392" s="27"/>
      <c r="BC392" s="27"/>
      <c r="BD392" s="27" t="str">
        <f ca="1">IFERROR(__xludf.DUMMYFUNCTION("""COMPUTED_VALUE"""),"Meu nome Nelriane Reis Pantoja Araújo tenho 45 anos* moro em Manaus /AM no Bairro Colônia Terra Nova na periferia de Manaus* sou casada tenho 2 filhos adolescentes* sou Assistente Social de formação e sou pós graduada em trabalho social e assistência a fa"&amp;"mília* e atuo na área de assistência social* no Instituto Mulheres em superação na Amazônia - IMES*  responsáveis pelos projetos e oficinas  que são desenvolvido no instituto com as mulheres e suas famílias.")</f>
        <v>Meu nome Nelriane Reis Pantoja Araújo tenho 45 anos* moro em Manaus /AM no Bairro Colônia Terra Nova na periferia de Manaus* sou casada tenho 2 filhos adolescentes* sou Assistente Social de formação e sou pós graduada em trabalho social e assistência a família* e atuo na área de assistência social* no Instituto Mulheres em superação na Amazônia - IMES*  responsáveis pelos projetos e oficinas  que são desenvolvido no instituto com as mulheres e suas famílias.</v>
      </c>
      <c r="BE392" s="27" t="str">
        <f ca="1">IFERROR(__xludf.DUMMYFUNCTION("""COMPUTED_VALUE"""),"Feminino")</f>
        <v>Feminino</v>
      </c>
      <c r="BF392" s="27" t="str">
        <f ca="1">IFERROR(__xludf.DUMMYFUNCTION("""COMPUTED_VALUE"""),"Heterossexual")</f>
        <v>Heterossexual</v>
      </c>
      <c r="BG392" s="27"/>
      <c r="BH392" s="27" t="str">
        <f ca="1">IFERROR(__xludf.DUMMYFUNCTION("""COMPUTED_VALUE"""),"Público")</f>
        <v>Público</v>
      </c>
      <c r="BI392" s="27" t="str">
        <f ca="1">IFERROR(__xludf.DUMMYFUNCTION("""COMPUTED_VALUE"""),"Graduação")</f>
        <v>Graduação</v>
      </c>
      <c r="BJ392" s="27" t="str">
        <f ca="1">IFERROR(__xludf.DUMMYFUNCTION("""COMPUTED_VALUE"""),"Privado")</f>
        <v>Privado</v>
      </c>
      <c r="BK392" s="27" t="str">
        <f ca="1">IFERROR(__xludf.DUMMYFUNCTION("""COMPUTED_VALUE"""),"Breves")</f>
        <v>Breves</v>
      </c>
      <c r="BL392" s="27">
        <f ca="1">IFERROR(__xludf.DUMMYFUNCTION("""COMPUTED_VALUE"""),119)</f>
        <v>119</v>
      </c>
      <c r="BM392" s="27"/>
      <c r="BN392" s="27"/>
      <c r="BO392" s="27" t="str">
        <f ca="1">IFERROR(__xludf.DUMMYFUNCTION("""COMPUTED_VALUE"""),"69015-103")</f>
        <v>69015-103</v>
      </c>
      <c r="BP392" s="27" t="str">
        <f ca="1">IFERROR(__xludf.DUMMYFUNCTION("""COMPUTED_VALUE"""),"AM")</f>
        <v>AM</v>
      </c>
      <c r="BQ392" s="27" t="str">
        <f ca="1">IFERROR(__xludf.DUMMYFUNCTION("""COMPUTED_VALUE"""),"Entre 1 até 3 salários mínimos")</f>
        <v>Entre 1 até 3 salários mínimos</v>
      </c>
      <c r="BR392" s="27" t="str">
        <f ca="1">IFERROR(__xludf.DUMMYFUNCTION("""COMPUTED_VALUE"""),"CLT")</f>
        <v>CLT</v>
      </c>
      <c r="BS392" s="27" t="str">
        <f ca="1">IFERROR(__xludf.DUMMYFUNCTION("""COMPUTED_VALUE"""),"Casa própria")</f>
        <v>Casa própria</v>
      </c>
      <c r="BT392" s="27">
        <f ca="1">IFERROR(__xludf.DUMMYFUNCTION("""COMPUTED_VALUE"""),4)</f>
        <v>4</v>
      </c>
      <c r="BU392" s="27" t="str">
        <f ca="1">IFERROR(__xludf.DUMMYFUNCTION("""COMPUTED_VALUE"""),"Não tem")</f>
        <v>Não tem</v>
      </c>
      <c r="BV392" s="27" t="str">
        <f ca="1">IFERROR(__xludf.DUMMYFUNCTION("""COMPUTED_VALUE"""),"Não")</f>
        <v>Não</v>
      </c>
      <c r="BW392" s="27"/>
      <c r="BX392" s="21" t="str">
        <f ca="1">IFERROR(__xludf.DUMMYFUNCTION("""COMPUTED_VALUE"""),"https://www.instagram.com/nelriane_pantoja/")</f>
        <v>https://www.instagram.com/nelriane_pantoja/</v>
      </c>
      <c r="BY392" s="21" t="str">
        <f ca="1">IFERROR(__xludf.DUMMYFUNCTION("""COMPUTED_VALUE"""),"https://drive.google.com/open?id=1pQSaaaClbh3ZFWjSdbo6bNEW1MmE7TZW")</f>
        <v>https://drive.google.com/open?id=1pQSaaaClbh3ZFWjSdbo6bNEW1MmE7TZW</v>
      </c>
    </row>
    <row r="393" spans="1:77" ht="12.5" x14ac:dyDescent="0.25">
      <c r="A393" s="21" t="str">
        <f ca="1">IFERROR(__xludf.DUMMYFUNCTION("""COMPUTED_VALUE"""),"0014P00003Ck8NjQAJ")</f>
        <v>0014P00003Ck8NjQAJ</v>
      </c>
      <c r="B393" s="27" t="str">
        <f ca="1">IFERROR(__xludf.DUMMYFUNCTION("""COMPUTED_VALUE"""),"Fase Inicial")</f>
        <v>Fase Inicial</v>
      </c>
      <c r="C393" s="27" t="str">
        <f ca="1">IFERROR(__xludf.DUMMYFUNCTION("""COMPUTED_VALUE"""),"Fellow")</f>
        <v>Fellow</v>
      </c>
      <c r="D393" s="27" t="str">
        <f ca="1">IFERROR(__xludf.DUMMYFUNCTION("""COMPUTED_VALUE"""),"Ativo")</f>
        <v>Ativo</v>
      </c>
      <c r="E393" s="27" t="str">
        <f ca="1">IFERROR(__xludf.DUMMYFUNCTION("""COMPUTED_VALUE"""),"Instituto Mundo Novo da Cultura Viva")</f>
        <v>Instituto Mundo Novo da Cultura Viva</v>
      </c>
      <c r="F393" s="27" t="str">
        <f ca="1">IFERROR(__xludf.DUMMYFUNCTION("""COMPUTED_VALUE"""),"Bruna")</f>
        <v>Bruna</v>
      </c>
      <c r="G393" s="27"/>
      <c r="H393" s="27" t="str">
        <f ca="1">IFERROR(__xludf.DUMMYFUNCTION("""COMPUTED_VALUE"""),"07.031.769/0001-16")</f>
        <v>07.031.769/0001-16</v>
      </c>
      <c r="I393" s="27"/>
      <c r="J393" s="27"/>
      <c r="K393" s="27" t="str">
        <f ca="1">IFERROR(__xludf.DUMMYFUNCTION("""COMPUTED_VALUE"""),"(21)96449-9387")</f>
        <v>(21)96449-9387</v>
      </c>
      <c r="L393" s="27" t="str">
        <f ca="1">IFERROR(__xludf.DUMMYFUNCTION("""COMPUTED_VALUE"""),"RJ")</f>
        <v>RJ</v>
      </c>
      <c r="M393" s="27" t="str">
        <f ca="1">IFERROR(__xludf.DUMMYFUNCTION("""COMPUTED_VALUE"""),"Adolfo de Albuquerque")</f>
        <v>Adolfo de Albuquerque</v>
      </c>
      <c r="N393" s="27"/>
      <c r="O393" s="27" t="str">
        <f ca="1">IFERROR(__xludf.DUMMYFUNCTION("""COMPUTED_VALUE"""),"(21)96449-9387")</f>
        <v>(21)96449-9387</v>
      </c>
      <c r="P393" s="27" t="str">
        <f ca="1">IFERROR(__xludf.DUMMYFUNCTION("""COMPUTED_VALUE"""),"Mesquita")</f>
        <v>Mesquita</v>
      </c>
      <c r="Q393" s="27"/>
      <c r="R393" s="27" t="str">
        <f ca="1">IFERROR(__xludf.DUMMYFUNCTION("""COMPUTED_VALUE"""),"26585-520")</f>
        <v>26585-520</v>
      </c>
      <c r="S393" s="27"/>
      <c r="T393" s="27" t="str">
        <f ca="1">IFERROR(__xludf.DUMMYFUNCTION("""COMPUTED_VALUE"""),"Educação; Empregabilidade; Assistência Social; Cultura; Qualificação Profissional; Empreendedorismo; Saúde; Empoderamento Feminino; Negócios Sociais; Apoio à gestão de organizações de Terceiro Setor; Defesa de Direitos; Desenvolvimento comunitário")</f>
        <v>Educação; Empregabilidade; Assistência Social; Cultura; Qualificação Profissional; Empreendedorismo; Saúde; Empoderamento Feminino; Negócios Sociais; Apoio à gestão de organizações de Terceiro Setor; Defesa de Direitos; Desenvolvimento comunitário</v>
      </c>
      <c r="U393"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393" s="27" t="str">
        <f ca="1">IFERROR(__xludf.DUMMYFUNCTION("""COMPUTED_VALUE"""),"Moradores de Favelas; Pessoas com Deficiência; Outros")</f>
        <v>Moradores de Favelas; Pessoas com Deficiência; Outros</v>
      </c>
      <c r="W393" s="27">
        <f ca="1">IFERROR(__xludf.DUMMYFUNCTION("""COMPUTED_VALUE"""),10)</f>
        <v>10</v>
      </c>
      <c r="X393" s="27"/>
      <c r="Y393" s="27"/>
      <c r="Z393" s="27"/>
      <c r="AA393" s="29">
        <f ca="1">IFERROR(__xludf.DUMMYFUNCTION("""COMPUTED_VALUE"""),37834)</f>
        <v>37834</v>
      </c>
      <c r="AB393" s="27"/>
      <c r="AC393" s="27">
        <f ca="1">IFERROR(__xludf.DUMMYFUNCTION("""COMPUTED_VALUE"""),30)</f>
        <v>30</v>
      </c>
      <c r="AD393" s="27">
        <f ca="1">IFERROR(__xludf.DUMMYFUNCTION("""COMPUTED_VALUE"""),20)</f>
        <v>20</v>
      </c>
      <c r="AE393" s="27">
        <f ca="1">IFERROR(__xludf.DUMMYFUNCTION("""COMPUTED_VALUE"""),5)</f>
        <v>5</v>
      </c>
      <c r="AF393" s="27">
        <f ca="1">IFERROR(__xludf.DUMMYFUNCTION("""COMPUTED_VALUE"""),4)</f>
        <v>4</v>
      </c>
      <c r="AG393" s="27">
        <f ca="1">IFERROR(__xludf.DUMMYFUNCTION("""COMPUTED_VALUE"""),8)</f>
        <v>8</v>
      </c>
      <c r="AH393" s="27" t="str">
        <f ca="1">IFERROR(__xludf.DUMMYFUNCTION("""COMPUTED_VALUE"""),"Lei de Incentivo; Negócio Social; Eventos/Ações para captação; Plataforma doação online - Pessoa Física; Parceria iniciativa privada; Editais; Doações; Lei Estadual da Cultura; FIA; Recursos próprios")</f>
        <v>Lei de Incentivo; Negócio Social; Eventos/Ações para captação; Plataforma doação online - Pessoa Física; Parceria iniciativa privada; Editais; Doações; Lei Estadual da Cultura; FIA; Recursos próprios</v>
      </c>
      <c r="AI393" s="27" t="str">
        <f ca="1">IFERROR(__xludf.DUMMYFUNCTION("""COMPUTED_VALUE"""),"FMIA 80%")</f>
        <v>FMIA 80%</v>
      </c>
      <c r="AJ393" s="27"/>
      <c r="AK393" s="27" t="str">
        <f ca="1">IFERROR(__xludf.DUMMYFUNCTION("""COMPUTED_VALUE"""),"Sim")</f>
        <v>Sim</v>
      </c>
      <c r="AL393" s="21" t="str">
        <f ca="1">IFERROR(__xludf.DUMMYFUNCTION("""COMPUTED_VALUE"""),"0034P00003q1C2W")</f>
        <v>0034P00003q1C2W</v>
      </c>
      <c r="AM393" s="27" t="str">
        <f ca="1">IFERROR(__xludf.DUMMYFUNCTION("""COMPUTED_VALUE"""),"Simãozinho Carvalho Morais")</f>
        <v>Simãozinho Carvalho Morais</v>
      </c>
      <c r="AN393" s="27" t="str">
        <f ca="1">IFERROR(__xludf.DUMMYFUNCTION("""COMPUTED_VALUE"""),"Ativo")</f>
        <v>Ativo</v>
      </c>
      <c r="AO393" s="29">
        <f ca="1">IFERROR(__xludf.DUMMYFUNCTION("""COMPUTED_VALUE"""),44235)</f>
        <v>44235</v>
      </c>
      <c r="AP393" s="27">
        <f ca="1">IFERROR(__xludf.DUMMYFUNCTION("""COMPUTED_VALUE"""),19)</f>
        <v>19</v>
      </c>
      <c r="AQ393" s="27" t="str">
        <f ca="1">IFERROR(__xludf.DUMMYFUNCTION("""COMPUTED_VALUE"""),"Segundo Semestre 2020")</f>
        <v>Segundo Semestre 2020</v>
      </c>
      <c r="AR393" s="27" t="str">
        <f ca="1">IFERROR(__xludf.DUMMYFUNCTION("""COMPUTED_VALUE"""),"bruna@institutomundonovo.org.br")</f>
        <v>bruna@institutomundonovo.org.br</v>
      </c>
      <c r="AS393" s="27" t="str">
        <f ca="1">IFERROR(__xludf.DUMMYFUNCTION("""COMPUTED_VALUE"""),"(21)96449-9387")</f>
        <v>(21)96449-9387</v>
      </c>
      <c r="AT393" s="29">
        <f ca="1">IFERROR(__xludf.DUMMYFUNCTION("""COMPUTED_VALUE"""),30580)</f>
        <v>30580</v>
      </c>
      <c r="AU393" s="27">
        <f ca="1">IFERROR(__xludf.DUMMYFUNCTION("""COMPUTED_VALUE"""),39)</f>
        <v>39</v>
      </c>
      <c r="AV393" s="27">
        <f ca="1">IFERROR(__xludf.DUMMYFUNCTION("""COMPUTED_VALUE"""),9714638755)</f>
        <v>9714638755</v>
      </c>
      <c r="AW393" s="27" t="str">
        <f ca="1">IFERROR(__xludf.DUMMYFUNCTION("""COMPUTED_VALUE"""),"13.236.331-8")</f>
        <v>13.236.331-8</v>
      </c>
      <c r="AX393" s="27" t="str">
        <f ca="1">IFERROR(__xludf.DUMMYFUNCTION("""COMPUTED_VALUE"""),"Acessibilidade Cultural UFRJ -  Serviço social e o Trabalho com as famílias UNISUAM - Gestão cultura em curso cândido Mendes e gestão e elaboração de Projetos Sociais em curso")</f>
        <v>Acessibilidade Cultural UFRJ -  Serviço social e o Trabalho com as famílias UNISUAM - Gestão cultura em curso cândido Mendes e gestão e elaboração de Projetos Sociais em curso</v>
      </c>
      <c r="AY393" s="27" t="str">
        <f ca="1">IFERROR(__xludf.DUMMYFUNCTION("""COMPUTED_VALUE"""),"Instituto Mundo Novo - Coordenadora Geral de Projetos")</f>
        <v>Instituto Mundo Novo - Coordenadora Geral de Projetos</v>
      </c>
      <c r="AZ393" s="27" t="str">
        <f ca="1">IFERROR(__xludf.DUMMYFUNCTION("""COMPUTED_VALUE"""),"M")</f>
        <v>M</v>
      </c>
      <c r="BA393" s="27"/>
      <c r="BB393" s="27"/>
      <c r="BC393" s="27" t="str">
        <f ca="1">IFERROR(__xludf.DUMMYFUNCTION("""COMPUTED_VALUE"""),"Sim")</f>
        <v>Sim</v>
      </c>
      <c r="BD393" s="27" t="str">
        <f ca="1">IFERROR(__xludf.DUMMYFUNCTION("""COMPUTED_VALUE"""),"Meu nome é Bruna Simãozinho, tenho 38 anos, sou casada com o Flávio e mãe da Maria Clara (17 anos) e Ana Clara (11 anos).  Sou moradora da Chatuba de Mesquita - Baixada Fluminense/ RJ. Empreendedora Social, Co-fundadora e Diretora Executiva do Instituto M"&amp;"undo Novo. O que me move é transformar a vida das pessoas através da Educação e Cultura. O que me move é saber que através do meu trabalho em rede, em breve a pobreza da Favela será levada para o museu. Vamos pra cima com tudo!")</f>
        <v>Meu nome é Bruna Simãozinho, tenho 38 anos, sou casada com o Flávio e mãe da Maria Clara (17 anos) e Ana Clara (11 anos).  Sou moradora da Chatuba de Mesquita - Baixada Fluminense/ RJ. Empreendedora Social, Co-fundadora e Diretora Executiva do Instituto Mundo Novo. O que me move é transformar a vida das pessoas através da Educação e Cultura. O que me move é saber que através do meu trabalho em rede, em breve a pobreza da Favela será levada para o museu. Vamos pra cima com tudo!</v>
      </c>
      <c r="BE393" s="27"/>
      <c r="BF393" s="27"/>
      <c r="BG393" s="27" t="str">
        <f ca="1">IFERROR(__xludf.DUMMYFUNCTION("""COMPUTED_VALUE"""),"Ensino Superior - Completo")</f>
        <v>Ensino Superior - Completo</v>
      </c>
      <c r="BH393" s="27"/>
      <c r="BI393" s="27" t="str">
        <f ca="1">IFERROR(__xludf.DUMMYFUNCTION("""COMPUTED_VALUE"""),"Mestrado")</f>
        <v>Mestrado</v>
      </c>
      <c r="BJ393" s="27" t="str">
        <f ca="1">IFERROR(__xludf.DUMMYFUNCTION("""COMPUTED_VALUE"""),"Privado")</f>
        <v>Privado</v>
      </c>
      <c r="BK393" s="27" t="str">
        <f ca="1">IFERROR(__xludf.DUMMYFUNCTION("""COMPUTED_VALUE"""),"Abel de Alvarenga")</f>
        <v>Abel de Alvarenga</v>
      </c>
      <c r="BL393" s="27">
        <f ca="1">IFERROR(__xludf.DUMMYFUNCTION("""COMPUTED_VALUE"""),625)</f>
        <v>625</v>
      </c>
      <c r="BM393" s="27" t="str">
        <f ca="1">IFERROR(__xludf.DUMMYFUNCTION("""COMPUTED_VALUE"""),"Casa")</f>
        <v>Casa</v>
      </c>
      <c r="BN393" s="27" t="str">
        <f ca="1">IFERROR(__xludf.DUMMYFUNCTION("""COMPUTED_VALUE"""),"Mesquita")</f>
        <v>Mesquita</v>
      </c>
      <c r="BO393" s="27" t="str">
        <f ca="1">IFERROR(__xludf.DUMMYFUNCTION("""COMPUTED_VALUE"""),"26585-000")</f>
        <v>26585-000</v>
      </c>
      <c r="BP393" s="27" t="str">
        <f ca="1">IFERROR(__xludf.DUMMYFUNCTION("""COMPUTED_VALUE"""),"RJ")</f>
        <v>RJ</v>
      </c>
      <c r="BQ393" s="27" t="str">
        <f ca="1">IFERROR(__xludf.DUMMYFUNCTION("""COMPUTED_VALUE"""),"De 3 até 5 salários mínimos")</f>
        <v>De 3 até 5 salários mínimos</v>
      </c>
      <c r="BR393" s="27" t="str">
        <f ca="1">IFERROR(__xludf.DUMMYFUNCTION("""COMPUTED_VALUE"""),"CLT; MEI")</f>
        <v>CLT; MEI</v>
      </c>
      <c r="BS393" s="27" t="str">
        <f ca="1">IFERROR(__xludf.DUMMYFUNCTION("""COMPUTED_VALUE"""),"Casa própria")</f>
        <v>Casa própria</v>
      </c>
      <c r="BT393" s="27">
        <f ca="1">IFERROR(__xludf.DUMMYFUNCTION("""COMPUTED_VALUE"""),4)</f>
        <v>4</v>
      </c>
      <c r="BU393" s="27"/>
      <c r="BV393" s="27"/>
      <c r="BW393" s="27" t="str">
        <f ca="1">IFERROR(__xludf.DUMMYFUNCTION("""COMPUTED_VALUE"""),"https://www.linkedin.com/in/bruna-simãozinho-97980826")</f>
        <v>https://www.linkedin.com/in/bruna-simãozinho-97980826</v>
      </c>
      <c r="BX393" s="21" t="str">
        <f ca="1">IFERROR(__xludf.DUMMYFUNCTION("""COMPUTED_VALUE"""),"https://www.instagram.com/brunasimaozinho")</f>
        <v>https://www.instagram.com/brunasimaozinho</v>
      </c>
      <c r="BY393" s="21" t="str">
        <f ca="1">IFERROR(__xludf.DUMMYFUNCTION("""COMPUTED_VALUE"""),"https://drive.google.com/open?id=1n5agb_poi6fuwnrxEbn_hl_fupKxo6mT")</f>
        <v>https://drive.google.com/open?id=1n5agb_poi6fuwnrxEbn_hl_fupKxo6mT</v>
      </c>
    </row>
    <row r="394" spans="1:77" ht="12.5" hidden="1" x14ac:dyDescent="0.25">
      <c r="A394" s="21" t="str">
        <f ca="1">IFERROR(__xludf.DUMMYFUNCTION("""COMPUTED_VALUE"""),"0014X00002VKCpsQAH")</f>
        <v>0014X00002VKCpsQAH</v>
      </c>
      <c r="B394" s="27" t="str">
        <f ca="1">IFERROR(__xludf.DUMMYFUNCTION("""COMPUTED_VALUE"""),"Fase Inicial")</f>
        <v>Fase Inicial</v>
      </c>
      <c r="C394" s="27" t="str">
        <f ca="1">IFERROR(__xludf.DUMMYFUNCTION("""COMPUTED_VALUE"""),"Fellow")</f>
        <v>Fellow</v>
      </c>
      <c r="D394" s="27" t="str">
        <f ca="1">IFERROR(__xludf.DUMMYFUNCTION("""COMPUTED_VALUE"""),"Ativo")</f>
        <v>Ativo</v>
      </c>
      <c r="E394" s="27" t="str">
        <f ca="1">IFERROR(__xludf.DUMMYFUNCTION("""COMPUTED_VALUE"""),"INSTITUTO NACIONAL DE DESENVOLVIMENTO SOCIAL E QUALIFICAÇÃO PROFISSIONAL")</f>
        <v>INSTITUTO NACIONAL DE DESENVOLVIMENTO SOCIAL E QUALIFICAÇÃO PROFISSIONAL</v>
      </c>
      <c r="F394" s="27" t="str">
        <f ca="1">IFERROR(__xludf.DUMMYFUNCTION("""COMPUTED_VALUE"""),"EUDAZIO")</f>
        <v>EUDAZIO</v>
      </c>
      <c r="G394" s="27" t="str">
        <f ca="1">IFERROR(__xludf.DUMMYFUNCTION("""COMPUTED_VALUE"""),"IDESQ")</f>
        <v>IDESQ</v>
      </c>
      <c r="H394" s="27" t="str">
        <f ca="1">IFERROR(__xludf.DUMMYFUNCTION("""COMPUTED_VALUE"""),"12.247.839/0001-08")</f>
        <v>12.247.839/0001-08</v>
      </c>
      <c r="I394" s="27" t="str">
        <f ca="1">IFERROR(__xludf.DUMMYFUNCTION("""COMPUTED_VALUE"""),"ANTONIA AURINEUDA DA SILVA")</f>
        <v>ANTONIA AURINEUDA DA SILVA</v>
      </c>
      <c r="J394" s="27" t="str">
        <f ca="1">IFERROR(__xludf.DUMMYFUNCTION("""COMPUTED_VALUE"""),"diretoria@idesq.org")</f>
        <v>diretoria@idesq.org</v>
      </c>
      <c r="K394" s="27" t="str">
        <f ca="1">IFERROR(__xludf.DUMMYFUNCTION("""COMPUTED_VALUE"""),"85 32743221")</f>
        <v>85 32743221</v>
      </c>
      <c r="L394" s="27" t="str">
        <f ca="1">IFERROR(__xludf.DUMMYFUNCTION("""COMPUTED_VALUE"""),"CE")</f>
        <v>CE</v>
      </c>
      <c r="M394" s="27" t="str">
        <f ca="1">IFERROR(__xludf.DUMMYFUNCTION("""COMPUTED_VALUE"""),"Rua Joceno Monteiro")</f>
        <v>Rua Joceno Monteiro</v>
      </c>
      <c r="N394" s="27" t="str">
        <f ca="1">IFERROR(__xludf.DUMMYFUNCTION("""COMPUTED_VALUE"""),"Parque Santa Maria")</f>
        <v>Parque Santa Maria</v>
      </c>
      <c r="O394" s="27">
        <f ca="1">IFERROR(__xludf.DUMMYFUNCTION("""COMPUTED_VALUE"""),497)</f>
        <v>497</v>
      </c>
      <c r="P394" s="27" t="str">
        <f ca="1">IFERROR(__xludf.DUMMYFUNCTION("""COMPUTED_VALUE"""),"Fortaleza")</f>
        <v>Fortaleza</v>
      </c>
      <c r="Q394" s="27"/>
      <c r="R394" s="27" t="str">
        <f ca="1">IFERROR(__xludf.DUMMYFUNCTION("""COMPUTED_VALUE"""),"60873-185")</f>
        <v>60873-185</v>
      </c>
      <c r="S394" s="27"/>
      <c r="T394" s="27"/>
      <c r="U394" s="27"/>
      <c r="V394" s="27"/>
      <c r="W394" s="27">
        <f ca="1">IFERROR(__xludf.DUMMYFUNCTION("""COMPUTED_VALUE"""),20)</f>
        <v>20</v>
      </c>
      <c r="X394" s="27" t="str">
        <f ca="1">IFERROR(__xludf.DUMMYFUNCTION("""COMPUTED_VALUE"""),"mulheres* negros* comunidade lgbtqia+* pessoas de areas vulneraveis* etç")</f>
        <v>mulheres* negros* comunidade lgbtqia+* pessoas de areas vulneraveis* etç</v>
      </c>
      <c r="Y394" s="27"/>
      <c r="Z394" s="27">
        <f ca="1">IFERROR(__xludf.DUMMYFUNCTION("""COMPUTED_VALUE"""),1500)</f>
        <v>1500</v>
      </c>
      <c r="AA394" s="29">
        <f ca="1">IFERROR(__xludf.DUMMYFUNCTION("""COMPUTED_VALUE"""),30427)</f>
        <v>30427</v>
      </c>
      <c r="AB394" s="27" t="str">
        <f ca="1">IFERROR(__xludf.DUMMYFUNCTION("""COMPUTED_VALUE"""),"Sim")</f>
        <v>Sim</v>
      </c>
      <c r="AC394" s="27">
        <f ca="1">IFERROR(__xludf.DUMMYFUNCTION("""COMPUTED_VALUE"""),36)</f>
        <v>36</v>
      </c>
      <c r="AD394" s="27"/>
      <c r="AE394" s="27">
        <f ca="1">IFERROR(__xludf.DUMMYFUNCTION("""COMPUTED_VALUE"""),5)</f>
        <v>5</v>
      </c>
      <c r="AF394" s="27"/>
      <c r="AG394" s="27">
        <f ca="1">IFERROR(__xludf.DUMMYFUNCTION("""COMPUTED_VALUE"""),3)</f>
        <v>3</v>
      </c>
      <c r="AH394" s="27"/>
      <c r="AI394" s="27" t="str">
        <f ca="1">IFERROR(__xludf.DUMMYFUNCTION("""COMPUTED_VALUE"""),"PUBLICO - 70%
PJ - 20%
EDITAIS 10%")</f>
        <v>PUBLICO - 70%
PJ - 20%
EDITAIS 10%</v>
      </c>
      <c r="AJ394" s="27" t="str">
        <f ca="1">IFERROR(__xludf.DUMMYFUNCTION("""COMPUTED_VALUE"""),"Sim")</f>
        <v>Sim</v>
      </c>
      <c r="AK394" s="27"/>
      <c r="AL394" s="21" t="str">
        <f ca="1">IFERROR(__xludf.DUMMYFUNCTION("""COMPUTED_VALUE"""),"0034X0000380O1j")</f>
        <v>0034X0000380O1j</v>
      </c>
      <c r="AM394" s="27" t="str">
        <f ca="1">IFERROR(__xludf.DUMMYFUNCTION("""COMPUTED_VALUE"""),"Nobre de brito")</f>
        <v>Nobre de brito</v>
      </c>
      <c r="AN394" s="27" t="str">
        <f ca="1">IFERROR(__xludf.DUMMYFUNCTION("""COMPUTED_VALUE"""),"Ativo")</f>
        <v>Ativo</v>
      </c>
      <c r="AO394" s="29">
        <f ca="1">IFERROR(__xludf.DUMMYFUNCTION("""COMPUTED_VALUE"""),44763)</f>
        <v>44763</v>
      </c>
      <c r="AP394" s="27">
        <f ca="1">IFERROR(__xludf.DUMMYFUNCTION("""COMPUTED_VALUE"""),2)</f>
        <v>2</v>
      </c>
      <c r="AQ394" s="27" t="str">
        <f ca="1">IFERROR(__xludf.DUMMYFUNCTION("""COMPUTED_VALUE"""),"Primeiro Semestre 2022")</f>
        <v>Primeiro Semestre 2022</v>
      </c>
      <c r="AR394" s="27" t="str">
        <f ca="1">IFERROR(__xludf.DUMMYFUNCTION("""COMPUTED_VALUE"""),"eudazio@idesq.org")</f>
        <v>eudazio@idesq.org</v>
      </c>
      <c r="AS394" s="27" t="str">
        <f ca="1">IFERROR(__xludf.DUMMYFUNCTION("""COMPUTED_VALUE"""),"(85)98839-2359")</f>
        <v>(85)98839-2359</v>
      </c>
      <c r="AT394" s="29">
        <f ca="1">IFERROR(__xludf.DUMMYFUNCTION("""COMPUTED_VALUE"""),28221)</f>
        <v>28221</v>
      </c>
      <c r="AU394" s="27">
        <f ca="1">IFERROR(__xludf.DUMMYFUNCTION("""COMPUTED_VALUE"""),45)</f>
        <v>45</v>
      </c>
      <c r="AV394" s="27">
        <f ca="1">IFERROR(__xludf.DUMMYFUNCTION("""COMPUTED_VALUE"""),73800244349)</f>
        <v>73800244349</v>
      </c>
      <c r="AW394" s="27">
        <f ca="1">IFERROR(__xludf.DUMMYFUNCTION("""COMPUTED_VALUE"""),94006013609)</f>
        <v>94006013609</v>
      </c>
      <c r="AX394" s="27"/>
      <c r="AY394" s="27" t="str">
        <f ca="1">IFERROR(__xludf.DUMMYFUNCTION("""COMPUTED_VALUE"""),"Gestor Adminsitrativo")</f>
        <v>Gestor Adminsitrativo</v>
      </c>
      <c r="AZ394" s="27" t="str">
        <f ca="1">IFERROR(__xludf.DUMMYFUNCTION("""COMPUTED_VALUE"""),"G")</f>
        <v>G</v>
      </c>
      <c r="BA394" s="27" t="str">
        <f ca="1">IFERROR(__xludf.DUMMYFUNCTION("""COMPUTED_VALUE"""),"Branca")</f>
        <v>Branca</v>
      </c>
      <c r="BB394" s="27"/>
      <c r="BC394" s="27"/>
      <c r="BD394" s="27" t="str">
        <f ca="1">IFERROR(__xludf.DUMMYFUNCTION("""COMPUTED_VALUE"""),"Graduado 2010 e especialista 2012 pela UNIFOR e UECE em Gestão Publica. Atua no setor social a 25 anos com diversos trabalhos em OSC's no Ceará nas áreas sociais e culturais. Atual Gestor do IDESQ. Coordenador do Ponto de Cultura Cortejos Culturais do Anc"&amp;"uri de 2015 a 2018 com atuação nos conselhos de cultura de Fortaleza e do Ceara. Atualmente em formação no curso de mentoria e formação de líderes da Falcons University da ong Gerando Falcões e  Facilitador de biodança em formação pela ECOMBIO.")</f>
        <v>Graduado 2010 e especialista 2012 pela UNIFOR e UECE em Gestão Publica. Atua no setor social a 25 anos com diversos trabalhos em OSC's no Ceará nas áreas sociais e culturais. Atual Gestor do IDESQ. Coordenador do Ponto de Cultura Cortejos Culturais do Ancuri de 2015 a 2018 com atuação nos conselhos de cultura de Fortaleza e do Ceara. Atualmente em formação no curso de mentoria e formação de líderes da Falcons University da ong Gerando Falcões e  Facilitador de biodança em formação pela ECOMBIO.</v>
      </c>
      <c r="BE394" s="27" t="str">
        <f ca="1">IFERROR(__xludf.DUMMYFUNCTION("""COMPUTED_VALUE"""),"Homem, cisgênero")</f>
        <v>Homem, cisgênero</v>
      </c>
      <c r="BF394" s="27" t="str">
        <f ca="1">IFERROR(__xludf.DUMMYFUNCTION("""COMPUTED_VALUE"""),"Homossexual")</f>
        <v>Homossexual</v>
      </c>
      <c r="BG394" s="27" t="str">
        <f ca="1">IFERROR(__xludf.DUMMYFUNCTION("""COMPUTED_VALUE"""),"Ensino Superior - Completo")</f>
        <v>Ensino Superior - Completo</v>
      </c>
      <c r="BH394" s="27" t="str">
        <f ca="1">IFERROR(__xludf.DUMMYFUNCTION("""COMPUTED_VALUE"""),"Público")</f>
        <v>Público</v>
      </c>
      <c r="BI394" s="27" t="str">
        <f ca="1">IFERROR(__xludf.DUMMYFUNCTION("""COMPUTED_VALUE"""),"Pós-Graduação")</f>
        <v>Pós-Graduação</v>
      </c>
      <c r="BJ394" s="27" t="str">
        <f ca="1">IFERROR(__xludf.DUMMYFUNCTION("""COMPUTED_VALUE"""),"Público")</f>
        <v>Público</v>
      </c>
      <c r="BK394" s="27" t="str">
        <f ca="1">IFERROR(__xludf.DUMMYFUNCTION("""COMPUTED_VALUE"""),"Avenida Isabel Bezerra")</f>
        <v>Avenida Isabel Bezerra</v>
      </c>
      <c r="BL394" s="27">
        <f ca="1">IFERROR(__xludf.DUMMYFUNCTION("""COMPUTED_VALUE"""),492)</f>
        <v>492</v>
      </c>
      <c r="BM394" s="27"/>
      <c r="BN394" s="27" t="str">
        <f ca="1">IFERROR(__xludf.DUMMYFUNCTION("""COMPUTED_VALUE"""),"Fortaleza")</f>
        <v>Fortaleza</v>
      </c>
      <c r="BO394" s="27" t="str">
        <f ca="1">IFERROR(__xludf.DUMMYFUNCTION("""COMPUTED_VALUE"""),"60873-175")</f>
        <v>60873-175</v>
      </c>
      <c r="BP394" s="27" t="str">
        <f ca="1">IFERROR(__xludf.DUMMYFUNCTION("""COMPUTED_VALUE"""),"CE")</f>
        <v>CE</v>
      </c>
      <c r="BQ394" s="27" t="str">
        <f ca="1">IFERROR(__xludf.DUMMYFUNCTION("""COMPUTED_VALUE"""),"De 3 até 5 salários mínimos")</f>
        <v>De 3 até 5 salários mínimos</v>
      </c>
      <c r="BR394" s="27" t="str">
        <f ca="1">IFERROR(__xludf.DUMMYFUNCTION("""COMPUTED_VALUE"""),"CLT, Trabalho informal")</f>
        <v>CLT, Trabalho informal</v>
      </c>
      <c r="BS394" s="27" t="str">
        <f ca="1">IFERROR(__xludf.DUMMYFUNCTION("""COMPUTED_VALUE"""),"Casa própria")</f>
        <v>Casa própria</v>
      </c>
      <c r="BT394" s="27">
        <f ca="1">IFERROR(__xludf.DUMMYFUNCTION("""COMPUTED_VALUE"""),5)</f>
        <v>5</v>
      </c>
      <c r="BU394" s="27" t="str">
        <f ca="1">IFERROR(__xludf.DUMMYFUNCTION("""COMPUTED_VALUE"""),"Não tem")</f>
        <v>Não tem</v>
      </c>
      <c r="BV394" s="27" t="str">
        <f ca="1">IFERROR(__xludf.DUMMYFUNCTION("""COMPUTED_VALUE"""),"Não")</f>
        <v>Não</v>
      </c>
      <c r="BW394" s="27"/>
      <c r="BX394" s="21" t="str">
        <f ca="1">IFERROR(__xludf.DUMMYFUNCTION("""COMPUTED_VALUE"""),"https://www.instagram.com/nobredazo/")</f>
        <v>https://www.instagram.com/nobredazo/</v>
      </c>
      <c r="BY394" s="21" t="str">
        <f ca="1">IFERROR(__xludf.DUMMYFUNCTION("""COMPUTED_VALUE"""),"https://drive.google.com/open?id=1dzg8_53d_y6n4atnZZUurMaXqArr1L0Z")</f>
        <v>https://drive.google.com/open?id=1dzg8_53d_y6n4atnZZUurMaXqArr1L0Z</v>
      </c>
    </row>
    <row r="395" spans="1:77" ht="12.5" x14ac:dyDescent="0.25">
      <c r="A395" s="21" t="str">
        <f ca="1">IFERROR(__xludf.DUMMYFUNCTION("""COMPUTED_VALUE"""),"0014P00003YSpA0QAL")</f>
        <v>0014P00003YSpA0QAL</v>
      </c>
      <c r="B395" s="27" t="str">
        <f ca="1">IFERROR(__xludf.DUMMYFUNCTION("""COMPUTED_VALUE"""),"Fase Inicial")</f>
        <v>Fase Inicial</v>
      </c>
      <c r="C395" s="27" t="str">
        <f ca="1">IFERROR(__xludf.DUMMYFUNCTION("""COMPUTED_VALUE"""),"Fellow")</f>
        <v>Fellow</v>
      </c>
      <c r="D395" s="27" t="str">
        <f ca="1">IFERROR(__xludf.DUMMYFUNCTION("""COMPUTED_VALUE"""),"Ativo")</f>
        <v>Ativo</v>
      </c>
      <c r="E395" s="27" t="str">
        <f ca="1">IFERROR(__xludf.DUMMYFUNCTION("""COMPUTED_VALUE"""),"INSTITUTO NACIONAL LAR DOS SONHOS")</f>
        <v>INSTITUTO NACIONAL LAR DOS SONHOS</v>
      </c>
      <c r="F395" s="27" t="str">
        <f ca="1">IFERROR(__xludf.DUMMYFUNCTION("""COMPUTED_VALUE"""),"Ilaci")</f>
        <v>Ilaci</v>
      </c>
      <c r="G395" s="27"/>
      <c r="H395" s="27" t="str">
        <f ca="1">IFERROR(__xludf.DUMMYFUNCTION("""COMPUTED_VALUE"""),"19.570.862/0001-88")</f>
        <v>19.570.862/0001-88</v>
      </c>
      <c r="I395" s="27" t="str">
        <f ca="1">IFERROR(__xludf.DUMMYFUNCTION("""COMPUTED_VALUE"""),"ILACI DE OLIVEIRA LUIZ")</f>
        <v>ILACI DE OLIVEIRA LUIZ</v>
      </c>
      <c r="J395" s="27" t="str">
        <f ca="1">IFERROR(__xludf.DUMMYFUNCTION("""COMPUTED_VALUE"""),"inslardossonhos@gmail.com")</f>
        <v>inslardossonhos@gmail.com</v>
      </c>
      <c r="K395" s="27" t="str">
        <f ca="1">IFERROR(__xludf.DUMMYFUNCTION("""COMPUTED_VALUE"""),"(21)96454-4555")</f>
        <v>(21)96454-4555</v>
      </c>
      <c r="L395" s="27" t="str">
        <f ca="1">IFERROR(__xludf.DUMMYFUNCTION("""COMPUTED_VALUE"""),"RJ")</f>
        <v>RJ</v>
      </c>
      <c r="M395" s="27" t="str">
        <f ca="1">IFERROR(__xludf.DUMMYFUNCTION("""COMPUTED_VALUE"""),"RUA SANTA TERESINA")</f>
        <v>RUA SANTA TERESINA</v>
      </c>
      <c r="N395" s="27" t="str">
        <f ca="1">IFERROR(__xludf.DUMMYFUNCTION("""COMPUTED_VALUE"""),"PENHA")</f>
        <v>PENHA</v>
      </c>
      <c r="O395" s="27">
        <f ca="1">IFERROR(__xludf.DUMMYFUNCTION("""COMPUTED_VALUE"""),13)</f>
        <v>13</v>
      </c>
      <c r="P395" s="27" t="str">
        <f ca="1">IFERROR(__xludf.DUMMYFUNCTION("""COMPUTED_VALUE"""),"RIO DE JANEIRO")</f>
        <v>RIO DE JANEIRO</v>
      </c>
      <c r="Q395" s="27" t="str">
        <f ca="1">IFERROR(__xludf.DUMMYFUNCTION("""COMPUTED_VALUE"""),"VILA CRUZEIRO")</f>
        <v>VILA CRUZEIRO</v>
      </c>
      <c r="R395" s="27" t="str">
        <f ca="1">IFERROR(__xludf.DUMMYFUNCTION("""COMPUTED_VALUE"""),"21073-380")</f>
        <v>21073-380</v>
      </c>
      <c r="S395" s="27"/>
      <c r="T395" s="27" t="str">
        <f ca="1">IFERROR(__xludf.DUMMYFUNCTION("""COMPUTED_VALUE"""),"Esporte; Educação; Assistência Social; Cultura; Empreendedorismo; Saúde; Meio ambiente; Empoderamento Feminino; Negócios Sociais; Defesa de Direitos; Assistência Psicológica")</f>
        <v>Esporte; Educação; Assistência Social; Cultura; Empreendedorismo; Saúde; Meio ambiente; Empoderamento Feminino; Negócios Sociais; Defesa de Direitos; Assistência Psicológica</v>
      </c>
      <c r="U395" s="27" t="str">
        <f ca="1">IFERROR(__xludf.DUMMYFUNCTION("""COMPUTED_VALUE"""),"Crianças bem pequenas (1 ano e 7 meses até 3 anos e 11 meses); Crianças pequenas (4 anos a 5 anos e 11 meses); Crianças (6 a 12 anos); Adolescentes (12 aos 18 anos); Jovens (18 aos 24 anos); Adultos")</f>
        <v>Crianças bem pequenas (1 ano e 7 meses até 3 anos e 11 meses); Crianças pequenas (4 anos a 5 anos e 11 meses); Crianças (6 a 12 anos); Adolescentes (12 aos 18 anos); Jovens (18 aos 24 anos); Adultos</v>
      </c>
      <c r="V395" s="27" t="str">
        <f ca="1">IFERROR(__xludf.DUMMYFUNCTION("""COMPUTED_VALUE"""),"Moradores de Favelas; Pessoas em situação de rua; População LGBTQ+; Afrodescendentes; Dependentes Químicos; Pessoas com Deficiência; Egressos sistema carcerário")</f>
        <v>Moradores de Favelas; Pessoas em situação de rua; População LGBTQ+; Afrodescendentes; Dependentes Químicos; Pessoas com Deficiência; Egressos sistema carcerário</v>
      </c>
      <c r="W395" s="27">
        <f ca="1">IFERROR(__xludf.DUMMYFUNCTION("""COMPUTED_VALUE"""),12)</f>
        <v>12</v>
      </c>
      <c r="X395" s="27" t="str">
        <f ca="1">IFERROR(__xludf.DUMMYFUNCTION("""COMPUTED_VALUE"""),"PESSOAS COM DEFICIENCIA   PESSOAS COM HIV  AIDS")</f>
        <v>PESSOAS COM DEFICIENCIA   PESSOAS COM HIV  AIDS</v>
      </c>
      <c r="Y395" s="27"/>
      <c r="Z395" s="27">
        <f ca="1">IFERROR(__xludf.DUMMYFUNCTION("""COMPUTED_VALUE"""),3700)</f>
        <v>3700</v>
      </c>
      <c r="AA395" s="29">
        <f ca="1">IFERROR(__xludf.DUMMYFUNCTION("""COMPUTED_VALUE"""),25428)</f>
        <v>25428</v>
      </c>
      <c r="AB395" s="27" t="str">
        <f ca="1">IFERROR(__xludf.DUMMYFUNCTION("""COMPUTED_VALUE"""),"Sim")</f>
        <v>Sim</v>
      </c>
      <c r="AC395" s="27">
        <f ca="1">IFERROR(__xludf.DUMMYFUNCTION("""COMPUTED_VALUE"""),10)</f>
        <v>10</v>
      </c>
      <c r="AD395" s="27">
        <f ca="1">IFERROR(__xludf.DUMMYFUNCTION("""COMPUTED_VALUE"""),3)</f>
        <v>3</v>
      </c>
      <c r="AE395" s="27">
        <f ca="1">IFERROR(__xludf.DUMMYFUNCTION("""COMPUTED_VALUE"""),0)</f>
        <v>0</v>
      </c>
      <c r="AF395" s="27">
        <f ca="1">IFERROR(__xludf.DUMMYFUNCTION("""COMPUTED_VALUE"""),3)</f>
        <v>3</v>
      </c>
      <c r="AG395" s="27">
        <f ca="1">IFERROR(__xludf.DUMMYFUNCTION("""COMPUTED_VALUE"""),2)</f>
        <v>2</v>
      </c>
      <c r="AH395" s="27" t="str">
        <f ca="1">IFERROR(__xludf.DUMMYFUNCTION("""COMPUTED_VALUE"""),"Negócio Social; Doações")</f>
        <v>Negócio Social; Doações</v>
      </c>
      <c r="AI395" s="27">
        <f ca="1">IFERROR(__xludf.DUMMYFUNCTION("""COMPUTED_VALUE"""),0)</f>
        <v>0</v>
      </c>
      <c r="AJ395" s="27"/>
      <c r="AK395" s="27"/>
      <c r="AL395" s="21" t="str">
        <f ca="1">IFERROR(__xludf.DUMMYFUNCTION("""COMPUTED_VALUE"""),"0034P000045kxkc")</f>
        <v>0034P000045kxkc</v>
      </c>
      <c r="AM395" s="27" t="str">
        <f ca="1">IFERROR(__xludf.DUMMYFUNCTION("""COMPUTED_VALUE"""),"De Oliveira Luiz")</f>
        <v>De Oliveira Luiz</v>
      </c>
      <c r="AN395" s="27" t="str">
        <f ca="1">IFERROR(__xludf.DUMMYFUNCTION("""COMPUTED_VALUE"""),"Ativo")</f>
        <v>Ativo</v>
      </c>
      <c r="AO395" s="30">
        <f ca="1">IFERROR(__xludf.DUMMYFUNCTION("""COMPUTED_VALUE"""),44551)</f>
        <v>44551</v>
      </c>
      <c r="AP395" s="27">
        <f ca="1">IFERROR(__xludf.DUMMYFUNCTION("""COMPUTED_VALUE"""),9)</f>
        <v>9</v>
      </c>
      <c r="AQ395" s="27" t="str">
        <f ca="1">IFERROR(__xludf.DUMMYFUNCTION("""COMPUTED_VALUE"""),"Segundo Semestre 2021")</f>
        <v>Segundo Semestre 2021</v>
      </c>
      <c r="AR395" s="27" t="str">
        <f ca="1">IFERROR(__xludf.DUMMYFUNCTION("""COMPUTED_VALUE"""),"oliveirailaci@gmail.com")</f>
        <v>oliveirailaci@gmail.com</v>
      </c>
      <c r="AS395" s="27" t="str">
        <f ca="1">IFERROR(__xludf.DUMMYFUNCTION("""COMPUTED_VALUE"""),"(21)96454-4555")</f>
        <v>(21)96454-4555</v>
      </c>
      <c r="AT395" s="29">
        <f ca="1">IFERROR(__xludf.DUMMYFUNCTION("""COMPUTED_VALUE"""),25428)</f>
        <v>25428</v>
      </c>
      <c r="AU395" s="27">
        <f ca="1">IFERROR(__xludf.DUMMYFUNCTION("""COMPUTED_VALUE"""),53)</f>
        <v>53</v>
      </c>
      <c r="AV395" s="27">
        <f ca="1">IFERROR(__xludf.DUMMYFUNCTION("""COMPUTED_VALUE"""),1199304719)</f>
        <v>1199304719</v>
      </c>
      <c r="AW395" s="27">
        <f ca="1">IFERROR(__xludf.DUMMYFUNCTION("""COMPUTED_VALUE"""),91546739)</f>
        <v>91546739</v>
      </c>
      <c r="AX395" s="27"/>
      <c r="AY395" s="27"/>
      <c r="AZ395" s="27" t="str">
        <f ca="1">IFERROR(__xludf.DUMMYFUNCTION("""COMPUTED_VALUE"""),"G")</f>
        <v>G</v>
      </c>
      <c r="BA395" s="27" t="str">
        <f ca="1">IFERROR(__xludf.DUMMYFUNCTION("""COMPUTED_VALUE"""),"Preta")</f>
        <v>Preta</v>
      </c>
      <c r="BB395" s="27" t="str">
        <f ca="1">IFERROR(__xludf.DUMMYFUNCTION("""COMPUTED_VALUE"""),"Mulher, cisgênero")</f>
        <v>Mulher, cisgênero</v>
      </c>
      <c r="BC395" s="27" t="str">
        <f ca="1">IFERROR(__xludf.DUMMYFUNCTION("""COMPUTED_VALUE"""),"Sim")</f>
        <v>Sim</v>
      </c>
      <c r="BD395" s="27" t="str">
        <f ca="1">IFERROR(__xludf.DUMMYFUNCTION("""COMPUTED_VALUE"""),"Sou educadora social comunitaria, ha 29 anos ,agente religioso prisional  21 anos, organizadora de uma coperativa de reciciclagemha 08 na penha , organizadora de costureira ha 4 anos  e cozinha comunitaria  para populacao de rua,ha 3anos")</f>
        <v>Sou educadora social comunitaria, ha 29 anos ,agente religioso prisional  21 anos, organizadora de uma coperativa de reciciclagemha 08 na penha , organizadora de costureira ha 4 anos  e cozinha comunitaria  para populacao de rua,ha 3anos</v>
      </c>
      <c r="BE395" s="27"/>
      <c r="BF395" s="27" t="str">
        <f ca="1">IFERROR(__xludf.DUMMYFUNCTION("""COMPUTED_VALUE"""),"Heterossexual")</f>
        <v>Heterossexual</v>
      </c>
      <c r="BG395" s="27" t="str">
        <f ca="1">IFERROR(__xludf.DUMMYFUNCTION("""COMPUTED_VALUE"""),"Ensino Médio - Completo")</f>
        <v>Ensino Médio - Completo</v>
      </c>
      <c r="BH395" s="27" t="str">
        <f ca="1">IFERROR(__xludf.DUMMYFUNCTION("""COMPUTED_VALUE"""),"Pública")</f>
        <v>Pública</v>
      </c>
      <c r="BI395" s="27"/>
      <c r="BJ395" s="27"/>
      <c r="BK395" s="27" t="str">
        <f ca="1">IFERROR(__xludf.DUMMYFUNCTION("""COMPUTED_VALUE"""),"Rua;Dr Geraldo Moreira")</f>
        <v>Rua;Dr Geraldo Moreira</v>
      </c>
      <c r="BL395" s="27">
        <f ca="1">IFERROR(__xludf.DUMMYFUNCTION("""COMPUTED_VALUE"""),104)</f>
        <v>104</v>
      </c>
      <c r="BM395" s="27" t="str">
        <f ca="1">IFERROR(__xludf.DUMMYFUNCTION("""COMPUTED_VALUE"""),"Vila Cruzeiro")</f>
        <v>Vila Cruzeiro</v>
      </c>
      <c r="BN395" s="27" t="str">
        <f ca="1">IFERROR(__xludf.DUMMYFUNCTION("""COMPUTED_VALUE"""),"RIO DE JANEIRO")</f>
        <v>RIO DE JANEIRO</v>
      </c>
      <c r="BO395" s="27" t="str">
        <f ca="1">IFERROR(__xludf.DUMMYFUNCTION("""COMPUTED_VALUE"""),"21071-530")</f>
        <v>21071-530</v>
      </c>
      <c r="BP395" s="27" t="str">
        <f ca="1">IFERROR(__xludf.DUMMYFUNCTION("""COMPUTED_VALUE"""),"RJ")</f>
        <v>RJ</v>
      </c>
      <c r="BQ395" s="27" t="str">
        <f ca="1">IFERROR(__xludf.DUMMYFUNCTION("""COMPUTED_VALUE"""),"Entre 1 até 3 salários mínimos")</f>
        <v>Entre 1 até 3 salários mínimos</v>
      </c>
      <c r="BR395" s="27" t="str">
        <f ca="1">IFERROR(__xludf.DUMMYFUNCTION("""COMPUTED_VALUE"""),"Trabalho informal")</f>
        <v>Trabalho informal</v>
      </c>
      <c r="BS395" s="27" t="str">
        <f ca="1">IFERROR(__xludf.DUMMYFUNCTION("""COMPUTED_VALUE"""),"Casa cedida")</f>
        <v>Casa cedida</v>
      </c>
      <c r="BT395" s="27">
        <f ca="1">IFERROR(__xludf.DUMMYFUNCTION("""COMPUTED_VALUE"""),4)</f>
        <v>4</v>
      </c>
      <c r="BU395" s="27" t="str">
        <f ca="1">IFERROR(__xludf.DUMMYFUNCTION("""COMPUTED_VALUE"""),"Não tem")</f>
        <v>Não tem</v>
      </c>
      <c r="BV395" s="27"/>
      <c r="BW395" s="27" t="str">
        <f ca="1">IFERROR(__xludf.DUMMYFUNCTION("""COMPUTED_VALUE"""),"ainda nao tenho")</f>
        <v>ainda nao tenho</v>
      </c>
      <c r="BX395" s="27" t="str">
        <f ca="1">IFERROR(__xludf.DUMMYFUNCTION("""COMPUTED_VALUE"""),"@ilacioliver")</f>
        <v>@ilacioliver</v>
      </c>
      <c r="BY395" s="21" t="str">
        <f ca="1">IFERROR(__xludf.DUMMYFUNCTION("""COMPUTED_VALUE"""),"https://drive.google.com/open?id=1wJwSJPiq4lSd8stGKR8xZaWVvFD-7yaq")</f>
        <v>https://drive.google.com/open?id=1wJwSJPiq4lSd8stGKR8xZaWVvFD-7yaq</v>
      </c>
    </row>
    <row r="396" spans="1:77" ht="12.5" x14ac:dyDescent="0.25">
      <c r="A396" s="21" t="str">
        <f ca="1">IFERROR(__xludf.DUMMYFUNCTION("""COMPUTED_VALUE"""),"0014P00003YSp91QAD")</f>
        <v>0014P00003YSp91QAD</v>
      </c>
      <c r="B396" s="27" t="str">
        <f ca="1">IFERROR(__xludf.DUMMYFUNCTION("""COMPUTED_VALUE"""),"Fase Inicial")</f>
        <v>Fase Inicial</v>
      </c>
      <c r="C396" s="27" t="str">
        <f ca="1">IFERROR(__xludf.DUMMYFUNCTION("""COMPUTED_VALUE"""),"Fellow")</f>
        <v>Fellow</v>
      </c>
      <c r="D396" s="27" t="str">
        <f ca="1">IFERROR(__xludf.DUMMYFUNCTION("""COMPUTED_VALUE"""),"Ativo")</f>
        <v>Ativo</v>
      </c>
      <c r="E396" s="27" t="str">
        <f ca="1">IFERROR(__xludf.DUMMYFUNCTION("""COMPUTED_VALUE"""),"Instituto Nova Chance")</f>
        <v>Instituto Nova Chance</v>
      </c>
      <c r="F396" s="27" t="str">
        <f ca="1">IFERROR(__xludf.DUMMYFUNCTION("""COMPUTED_VALUE"""),"Anderson")</f>
        <v>Anderson</v>
      </c>
      <c r="G396" s="27"/>
      <c r="H396" s="27" t="str">
        <f ca="1">IFERROR(__xludf.DUMMYFUNCTION("""COMPUTED_VALUE"""),"45.197.708/0001-12")</f>
        <v>45.197.708/0001-12</v>
      </c>
      <c r="I396" s="27" t="str">
        <f ca="1">IFERROR(__xludf.DUMMYFUNCTION("""COMPUTED_VALUE"""),"Anderson Ailton Odorico")</f>
        <v>Anderson Ailton Odorico</v>
      </c>
      <c r="J396" s="27" t="str">
        <f ca="1">IFERROR(__xludf.DUMMYFUNCTION("""COMPUTED_VALUE"""),"novachance.aracati@gmail.com")</f>
        <v>novachance.aracati@gmail.com</v>
      </c>
      <c r="K396" s="27" t="str">
        <f ca="1">IFERROR(__xludf.DUMMYFUNCTION("""COMPUTED_VALUE"""),"(11)98485-7086")</f>
        <v>(11)98485-7086</v>
      </c>
      <c r="L396" s="27" t="str">
        <f ca="1">IFERROR(__xludf.DUMMYFUNCTION("""COMPUTED_VALUE"""),"SP")</f>
        <v>SP</v>
      </c>
      <c r="M396" s="27" t="str">
        <f ca="1">IFERROR(__xludf.DUMMYFUNCTION("""COMPUTED_VALUE"""),"Avenida m boi Guaçu")</f>
        <v>Avenida m boi Guaçu</v>
      </c>
      <c r="N396" s="27" t="str">
        <f ca="1">IFERROR(__xludf.DUMMYFUNCTION("""COMPUTED_VALUE"""),"Muriçoca")</f>
        <v>Muriçoca</v>
      </c>
      <c r="O396" s="27">
        <f ca="1">IFERROR(__xludf.DUMMYFUNCTION("""COMPUTED_VALUE"""),1050)</f>
        <v>1050</v>
      </c>
      <c r="P396" s="27" t="str">
        <f ca="1">IFERROR(__xludf.DUMMYFUNCTION("""COMPUTED_VALUE"""),"São Paulo")</f>
        <v>São Paulo</v>
      </c>
      <c r="Q396" s="27" t="str">
        <f ca="1">IFERROR(__xludf.DUMMYFUNCTION("""COMPUTED_VALUE"""),"Canpinho")</f>
        <v>Canpinho</v>
      </c>
      <c r="R396" s="27" t="str">
        <f ca="1">IFERROR(__xludf.DUMMYFUNCTION("""COMPUTED_VALUE"""),"04949-000")</f>
        <v>04949-000</v>
      </c>
      <c r="S396" s="27"/>
      <c r="T396" s="27" t="str">
        <f ca="1">IFERROR(__xludf.DUMMYFUNCTION("""COMPUTED_VALUE"""),"Esporte; Educação; Cultura")</f>
        <v>Esporte; Educação; Cultura</v>
      </c>
      <c r="U396" s="27" t="str">
        <f ca="1">IFERROR(__xludf.DUMMYFUNCTION("""COMPUTED_VALUE"""),"Crianças (6 a 12 anos); Adolescentes (12 aos 18 anos)")</f>
        <v>Crianças (6 a 12 anos); Adolescentes (12 aos 18 anos)</v>
      </c>
      <c r="V396" s="27" t="str">
        <f ca="1">IFERROR(__xludf.DUMMYFUNCTION("""COMPUTED_VALUE"""),"Moradores de Favelas")</f>
        <v>Moradores de Favelas</v>
      </c>
      <c r="W396" s="27">
        <f ca="1">IFERROR(__xludf.DUMMYFUNCTION("""COMPUTED_VALUE"""),2)</f>
        <v>2</v>
      </c>
      <c r="X396" s="27"/>
      <c r="Y396" s="27"/>
      <c r="Z396" s="27">
        <f ca="1">IFERROR(__xludf.DUMMYFUNCTION("""COMPUTED_VALUE"""),10)</f>
        <v>10</v>
      </c>
      <c r="AA396" s="29">
        <f ca="1">IFERROR(__xludf.DUMMYFUNCTION("""COMPUTED_VALUE"""),43149)</f>
        <v>43149</v>
      </c>
      <c r="AB396" s="27" t="str">
        <f ca="1">IFERROR(__xludf.DUMMYFUNCTION("""COMPUTED_VALUE"""),"Não")</f>
        <v>Não</v>
      </c>
      <c r="AC396" s="27">
        <f ca="1">IFERROR(__xludf.DUMMYFUNCTION("""COMPUTED_VALUE"""),8)</f>
        <v>8</v>
      </c>
      <c r="AD396" s="27">
        <f ca="1">IFERROR(__xludf.DUMMYFUNCTION("""COMPUTED_VALUE"""),10)</f>
        <v>10</v>
      </c>
      <c r="AE396" s="27">
        <f ca="1">IFERROR(__xludf.DUMMYFUNCTION("""COMPUTED_VALUE"""),10)</f>
        <v>10</v>
      </c>
      <c r="AF396" s="27">
        <f ca="1">IFERROR(__xludf.DUMMYFUNCTION("""COMPUTED_VALUE"""),8)</f>
        <v>8</v>
      </c>
      <c r="AG396" s="27">
        <f ca="1">IFERROR(__xludf.DUMMYFUNCTION("""COMPUTED_VALUE"""),2)</f>
        <v>2</v>
      </c>
      <c r="AH396" s="27" t="str">
        <f ca="1">IFERROR(__xludf.DUMMYFUNCTION("""COMPUTED_VALUE"""),"Eventos/Ações para captação; Doações; Recursos próprios")</f>
        <v>Eventos/Ações para captação; Doações; Recursos próprios</v>
      </c>
      <c r="AI396" s="27" t="str">
        <f ca="1">IFERROR(__xludf.DUMMYFUNCTION("""COMPUTED_VALUE"""),"Não sei o que é")</f>
        <v>Não sei o que é</v>
      </c>
      <c r="AJ396" s="27"/>
      <c r="AK396" s="27"/>
      <c r="AL396" s="21" t="str">
        <f ca="1">IFERROR(__xludf.DUMMYFUNCTION("""COMPUTED_VALUE"""),"0034P000045kxjd")</f>
        <v>0034P000045kxjd</v>
      </c>
      <c r="AM396" s="27" t="str">
        <f ca="1">IFERROR(__xludf.DUMMYFUNCTION("""COMPUTED_VALUE"""),"Ailton Odorico")</f>
        <v>Ailton Odorico</v>
      </c>
      <c r="AN396" s="27" t="str">
        <f ca="1">IFERROR(__xludf.DUMMYFUNCTION("""COMPUTED_VALUE"""),"Ativo")</f>
        <v>Ativo</v>
      </c>
      <c r="AO396" s="30">
        <f ca="1">IFERROR(__xludf.DUMMYFUNCTION("""COMPUTED_VALUE"""),44551)</f>
        <v>44551</v>
      </c>
      <c r="AP396" s="27">
        <f ca="1">IFERROR(__xludf.DUMMYFUNCTION("""COMPUTED_VALUE"""),9)</f>
        <v>9</v>
      </c>
      <c r="AQ396" s="27" t="str">
        <f ca="1">IFERROR(__xludf.DUMMYFUNCTION("""COMPUTED_VALUE"""),"Segundo Semestre 2021")</f>
        <v>Segundo Semestre 2021</v>
      </c>
      <c r="AR396" s="27" t="str">
        <f ca="1">IFERROR(__xludf.DUMMYFUNCTION("""COMPUTED_VALUE"""),"rorberti12345odorico@gmail.com")</f>
        <v>rorberti12345odorico@gmail.com</v>
      </c>
      <c r="AS396" s="27" t="str">
        <f ca="1">IFERROR(__xludf.DUMMYFUNCTION("""COMPUTED_VALUE"""),"(11)98485-7086")</f>
        <v>(11)98485-7086</v>
      </c>
      <c r="AT396" s="29">
        <f ca="1">IFERROR(__xludf.DUMMYFUNCTION("""COMPUTED_VALUE"""),33183)</f>
        <v>33183</v>
      </c>
      <c r="AU396" s="27">
        <f ca="1">IFERROR(__xludf.DUMMYFUNCTION("""COMPUTED_VALUE"""),32)</f>
        <v>32</v>
      </c>
      <c r="AV396" s="27">
        <f ca="1">IFERROR(__xludf.DUMMYFUNCTION("""COMPUTED_VALUE"""),45404667800)</f>
        <v>45404667800</v>
      </c>
      <c r="AW396" s="27">
        <f ca="1">IFERROR(__xludf.DUMMYFUNCTION("""COMPUTED_VALUE"""),498011380)</f>
        <v>498011380</v>
      </c>
      <c r="AX396" s="27"/>
      <c r="AY396" s="27"/>
      <c r="AZ396" s="27" t="str">
        <f ca="1">IFERROR(__xludf.DUMMYFUNCTION("""COMPUTED_VALUE"""),"G")</f>
        <v>G</v>
      </c>
      <c r="BA396" s="27" t="str">
        <f ca="1">IFERROR(__xludf.DUMMYFUNCTION("""COMPUTED_VALUE"""),"Branca")</f>
        <v>Branca</v>
      </c>
      <c r="BB396" s="27" t="str">
        <f ca="1">IFERROR(__xludf.DUMMYFUNCTION("""COMPUTED_VALUE"""),"Homem, cisgênero")</f>
        <v>Homem, cisgênero</v>
      </c>
      <c r="BC396" s="27" t="str">
        <f ca="1">IFERROR(__xludf.DUMMYFUNCTION("""COMPUTED_VALUE"""),"Sim")</f>
        <v>Sim</v>
      </c>
      <c r="BD396" s="27" t="str">
        <f ca="1">IFERROR(__xludf.DUMMYFUNCTION("""COMPUTED_VALUE"""),"Anderson, também conhecido como Alemão, 
aos 4 anos de idade foi morar no Jd. Aracati. Lá 
aos 7 anos foi apresentado à maconha, aos 11 já 
traficava e aos 14 sofreu uma overdose. Ele 
usava drogas com a própria mãe, e junto com 
sua família eram rejeitad"&amp;"os dentro da 
comunidade por serem usuários. 
Graças ao apoio de um projeto social, e de 
amigos que o encaminharam, conseguiu se 
livrar das drogas. Graças à sua força de 
superação, se aproximou de pessoas que o 
ajudaram")</f>
        <v>Anderson, também conhecido como Alemão, 
aos 4 anos de idade foi morar no Jd. Aracati. Lá 
aos 7 anos foi apresentado à maconha, aos 11 já 
traficava e aos 14 sofreu uma overdose. Ele 
usava drogas com a própria mãe, e junto com 
sua família eram rejeitados dentro da 
comunidade por serem usuários. 
Graças ao apoio de um projeto social, e de 
amigos que o encaminharam, conseguiu se 
livrar das drogas. Graças à sua força de 
superação, se aproximou de pessoas que o 
ajudaram</v>
      </c>
      <c r="BE396" s="27"/>
      <c r="BF396" s="27" t="str">
        <f ca="1">IFERROR(__xludf.DUMMYFUNCTION("""COMPUTED_VALUE"""),"Heterossexual")</f>
        <v>Heterossexual</v>
      </c>
      <c r="BG396" s="27" t="str">
        <f ca="1">IFERROR(__xludf.DUMMYFUNCTION("""COMPUTED_VALUE"""),"Ensino Médio - Incompleto")</f>
        <v>Ensino Médio - Incompleto</v>
      </c>
      <c r="BH396" s="27" t="str">
        <f ca="1">IFERROR(__xludf.DUMMYFUNCTION("""COMPUTED_VALUE"""),"Pública")</f>
        <v>Pública</v>
      </c>
      <c r="BI396" s="27"/>
      <c r="BJ396" s="27"/>
      <c r="BK396" s="27" t="str">
        <f ca="1">IFERROR(__xludf.DUMMYFUNCTION("""COMPUTED_VALUE"""),"Rua Paulo Sérgio Costa Bile Cebola")</f>
        <v>Rua Paulo Sérgio Costa Bile Cebola</v>
      </c>
      <c r="BL396" s="27">
        <f ca="1">IFERROR(__xludf.DUMMYFUNCTION("""COMPUTED_VALUE"""),6)</f>
        <v>6</v>
      </c>
      <c r="BM396" s="27" t="str">
        <f ca="1">IFERROR(__xludf.DUMMYFUNCTION("""COMPUTED_VALUE"""),"Guarapiranga")</f>
        <v>Guarapiranga</v>
      </c>
      <c r="BN396" s="27" t="str">
        <f ca="1">IFERROR(__xludf.DUMMYFUNCTION("""COMPUTED_VALUE"""),"São Paulo")</f>
        <v>São Paulo</v>
      </c>
      <c r="BO396" s="27" t="str">
        <f ca="1">IFERROR(__xludf.DUMMYFUNCTION("""COMPUTED_VALUE"""),"04918-285")</f>
        <v>04918-285</v>
      </c>
      <c r="BP396" s="27" t="str">
        <f ca="1">IFERROR(__xludf.DUMMYFUNCTION("""COMPUTED_VALUE"""),"SP")</f>
        <v>SP</v>
      </c>
      <c r="BQ396" s="27" t="str">
        <f ca="1">IFERROR(__xludf.DUMMYFUNCTION("""COMPUTED_VALUE"""),"Entre 1 até 3 salários mínimos")</f>
        <v>Entre 1 até 3 salários mínimos</v>
      </c>
      <c r="BR396" s="27" t="str">
        <f ca="1">IFERROR(__xludf.DUMMYFUNCTION("""COMPUTED_VALUE"""),"CLT")</f>
        <v>CLT</v>
      </c>
      <c r="BS396" s="27" t="str">
        <f ca="1">IFERROR(__xludf.DUMMYFUNCTION("""COMPUTED_VALUE"""),"Casa própria")</f>
        <v>Casa própria</v>
      </c>
      <c r="BT396" s="27">
        <f ca="1">IFERROR(__xludf.DUMMYFUNCTION("""COMPUTED_VALUE"""),3)</f>
        <v>3</v>
      </c>
      <c r="BU396" s="27" t="str">
        <f ca="1">IFERROR(__xludf.DUMMYFUNCTION("""COMPUTED_VALUE"""),"Não tem")</f>
        <v>Não tem</v>
      </c>
      <c r="BV396" s="27"/>
      <c r="BW396" s="21" t="str">
        <f ca="1">IFERROR(__xludf.DUMMYFUNCTION("""COMPUTED_VALUE"""),"https://www.instagram.com/umanovachance_aracati/")</f>
        <v>https://www.instagram.com/umanovachance_aracati/</v>
      </c>
      <c r="BX396" s="21" t="str">
        <f ca="1">IFERROR(__xludf.DUMMYFUNCTION("""COMPUTED_VALUE"""),"https://www.instagram.com/umanovachance_aracati/")</f>
        <v>https://www.instagram.com/umanovachance_aracati/</v>
      </c>
      <c r="BY396" s="21" t="str">
        <f ca="1">IFERROR(__xludf.DUMMYFUNCTION("""COMPUTED_VALUE"""),"https://drive.google.com/open?id=1FLmqsKGXy2cVgef1wEqEUMcklpG9cCor")</f>
        <v>https://drive.google.com/open?id=1FLmqsKGXy2cVgef1wEqEUMcklpG9cCor</v>
      </c>
    </row>
    <row r="397" spans="1:77" ht="12.5" x14ac:dyDescent="0.25">
      <c r="A397" s="21" t="str">
        <f ca="1">IFERROR(__xludf.DUMMYFUNCTION("""COMPUTED_VALUE"""),"0014P00003YSp8uQAD")</f>
        <v>0014P00003YSp8uQAD</v>
      </c>
      <c r="B397" s="27" t="str">
        <f ca="1">IFERROR(__xludf.DUMMYFUNCTION("""COMPUTED_VALUE"""),"Fase Avançada")</f>
        <v>Fase Avançada</v>
      </c>
      <c r="C397" s="27" t="str">
        <f ca="1">IFERROR(__xludf.DUMMYFUNCTION("""COMPUTED_VALUE"""),"Fellow")</f>
        <v>Fellow</v>
      </c>
      <c r="D397" s="27" t="str">
        <f ca="1">IFERROR(__xludf.DUMMYFUNCTION("""COMPUTED_VALUE"""),"Ativo")</f>
        <v>Ativo</v>
      </c>
      <c r="E397" s="27" t="str">
        <f ca="1">IFERROR(__xludf.DUMMYFUNCTION("""COMPUTED_VALUE"""),"Instituto Nova União da Arte")</f>
        <v>Instituto Nova União da Arte</v>
      </c>
      <c r="F397" s="27" t="str">
        <f ca="1">IFERROR(__xludf.DUMMYFUNCTION("""COMPUTED_VALUE"""),"Valdecir")</f>
        <v>Valdecir</v>
      </c>
      <c r="G397" s="27"/>
      <c r="H397" s="27" t="str">
        <f ca="1">IFERROR(__xludf.DUMMYFUNCTION("""COMPUTED_VALUE"""),"07.676.917/0001-50")</f>
        <v>07.676.917/0001-50</v>
      </c>
      <c r="I397" s="27" t="str">
        <f ca="1">IFERROR(__xludf.DUMMYFUNCTION("""COMPUTED_VALUE"""),"VALDECIR CAMERA")</f>
        <v>VALDECIR CAMERA</v>
      </c>
      <c r="J397" s="27" t="str">
        <f ca="1">IFERROR(__xludf.DUMMYFUNCTION("""COMPUTED_VALUE"""),"institutonua@hotmail.com")</f>
        <v>institutonua@hotmail.com</v>
      </c>
      <c r="K397" s="27" t="str">
        <f ca="1">IFERROR(__xludf.DUMMYFUNCTION("""COMPUTED_VALUE"""),"(11)99749-1433")</f>
        <v>(11)99749-1433</v>
      </c>
      <c r="L397" s="27" t="str">
        <f ca="1">IFERROR(__xludf.DUMMYFUNCTION("""COMPUTED_VALUE"""),"SP")</f>
        <v>SP</v>
      </c>
      <c r="M397" s="27" t="str">
        <f ca="1">IFERROR(__xludf.DUMMYFUNCTION("""COMPUTED_VALUE"""),"Rua Rio Vila Nova")</f>
        <v>Rua Rio Vila Nova</v>
      </c>
      <c r="N397" s="27" t="str">
        <f ca="1">IFERROR(__xludf.DUMMYFUNCTION("""COMPUTED_VALUE"""),"São Miguel Paulista")</f>
        <v>São Miguel Paulista</v>
      </c>
      <c r="O397" s="27">
        <f ca="1">IFERROR(__xludf.DUMMYFUNCTION("""COMPUTED_VALUE"""),6)</f>
        <v>6</v>
      </c>
      <c r="P397" s="27" t="str">
        <f ca="1">IFERROR(__xludf.DUMMYFUNCTION("""COMPUTED_VALUE"""),"São Paulo")</f>
        <v>São Paulo</v>
      </c>
      <c r="Q397" s="27" t="str">
        <f ca="1">IFERROR(__xludf.DUMMYFUNCTION("""COMPUTED_VALUE"""),"c")</f>
        <v>c</v>
      </c>
      <c r="R397" s="27" t="str">
        <f ca="1">IFERROR(__xludf.DUMMYFUNCTION("""COMPUTED_VALUE"""),"08072-255")</f>
        <v>08072-255</v>
      </c>
      <c r="S397" s="27"/>
      <c r="T397" s="27" t="str">
        <f ca="1">IFERROR(__xludf.DUMMYFUNCTION("""COMPUTED_VALUE"""),"Esporte; Educação; Empregabilidade; Assistência Social; Cultura; Qualificação Profissional; Empreendedorismo; Meio ambiente; Empoderamento Feminino; Negócios Sociais; Apoio à gestão de organizações de Terceiro Setor; Defesa de Direitos; Comunicação; Desen"&amp;"volvimento comunitário")</f>
        <v>Esporte; Educação; Empregabilidade; Assistência Social; Cultura; Qualificação Profissional; Empreendedorismo; Meio ambiente; Empoderamento Feminino; Negócios Sociais; Apoio à gestão de organizações de Terceiro Setor; Defesa de Direitos; Comunicação; Desenvolvimento comunitário</v>
      </c>
      <c r="U397" s="27" t="str">
        <f ca="1">IFERROR(__xludf.DUMMYFUNCTION("""COMPUTED_VALUE"""),"Crianças (6 a 12 anos); Adolescentes (12 aos 18 anos); Adultos; Idosos (60 anos ou mais)")</f>
        <v>Crianças (6 a 12 anos); Adolescentes (12 aos 18 anos); Adultos; Idosos (60 anos ou mais)</v>
      </c>
      <c r="V397" s="27" t="str">
        <f ca="1">IFERROR(__xludf.DUMMYFUNCTION("""COMPUTED_VALUE"""),"Moradores de Favelas; Afrodescendentes; Dependentes Químicos; Egressos sistema carcerário; Imigrantes; Refugiados; Outros")</f>
        <v>Moradores de Favelas; Afrodescendentes; Dependentes Químicos; Egressos sistema carcerário; Imigrantes; Refugiados; Outros</v>
      </c>
      <c r="W397" s="27">
        <f ca="1">IFERROR(__xludf.DUMMYFUNCTION("""COMPUTED_VALUE"""),4)</f>
        <v>4</v>
      </c>
      <c r="X397" s="27"/>
      <c r="Y397" s="27"/>
      <c r="Z397" s="27">
        <f ca="1">IFERROR(__xludf.DUMMYFUNCTION("""COMPUTED_VALUE"""),40000)</f>
        <v>40000</v>
      </c>
      <c r="AA397" s="29">
        <f ca="1">IFERROR(__xludf.DUMMYFUNCTION("""COMPUTED_VALUE"""),38389)</f>
        <v>38389</v>
      </c>
      <c r="AB397" s="27" t="str">
        <f ca="1">IFERROR(__xludf.DUMMYFUNCTION("""COMPUTED_VALUE"""),"Sim")</f>
        <v>Sim</v>
      </c>
      <c r="AC397" s="27">
        <f ca="1">IFERROR(__xludf.DUMMYFUNCTION("""COMPUTED_VALUE"""),38)</f>
        <v>38</v>
      </c>
      <c r="AD397" s="27">
        <f ca="1">IFERROR(__xludf.DUMMYFUNCTION("""COMPUTED_VALUE"""),38)</f>
        <v>38</v>
      </c>
      <c r="AE397" s="27">
        <f ca="1">IFERROR(__xludf.DUMMYFUNCTION("""COMPUTED_VALUE"""),15)</f>
        <v>15</v>
      </c>
      <c r="AF397" s="27">
        <f ca="1">IFERROR(__xludf.DUMMYFUNCTION("""COMPUTED_VALUE"""),15)</f>
        <v>15</v>
      </c>
      <c r="AG397" s="27">
        <f ca="1">IFERROR(__xludf.DUMMYFUNCTION("""COMPUTED_VALUE"""),3)</f>
        <v>3</v>
      </c>
      <c r="AH397" s="27" t="str">
        <f ca="1">IFERROR(__xludf.DUMMYFUNCTION("""COMPUTED_VALUE"""),"Lei de Incentivo; Negócio Social; Convênio Público; Eventos/Ações para captação; Parceria iniciativa privada; Editais; Doações; Lei Estadual da Cultura; Lei Municipal da Cultura; Recursos próprios")</f>
        <v>Lei de Incentivo; Negócio Social; Convênio Público; Eventos/Ações para captação; Parceria iniciativa privada; Editais; Doações; Lei Estadual da Cultura; Lei Municipal da Cultura; Recursos próprios</v>
      </c>
      <c r="AI397" s="27" t="str">
        <f ca="1">IFERROR(__xludf.DUMMYFUNCTION("""COMPUTED_VALUE"""),"40% FUMCAD - 40% SMAD 20% semente ORÉ")</f>
        <v>40% FUMCAD - 40% SMAD 20% semente ORÉ</v>
      </c>
      <c r="AJ397" s="27"/>
      <c r="AK397" s="27"/>
      <c r="AL397" s="21" t="str">
        <f ca="1">IFERROR(__xludf.DUMMYFUNCTION("""COMPUTED_VALUE"""),"0034P000045kxjW")</f>
        <v>0034P000045kxjW</v>
      </c>
      <c r="AM397" s="27" t="str">
        <f ca="1">IFERROR(__xludf.DUMMYFUNCTION("""COMPUTED_VALUE"""),"Camera (Passarinho)")</f>
        <v>Camera (Passarinho)</v>
      </c>
      <c r="AN397" s="27" t="str">
        <f ca="1">IFERROR(__xludf.DUMMYFUNCTION("""COMPUTED_VALUE"""),"Ativo")</f>
        <v>Ativo</v>
      </c>
      <c r="AO397" s="30">
        <f ca="1">IFERROR(__xludf.DUMMYFUNCTION("""COMPUTED_VALUE"""),44551)</f>
        <v>44551</v>
      </c>
      <c r="AP397" s="27">
        <f ca="1">IFERROR(__xludf.DUMMYFUNCTION("""COMPUTED_VALUE"""),9)</f>
        <v>9</v>
      </c>
      <c r="AQ397" s="27" t="str">
        <f ca="1">IFERROR(__xludf.DUMMYFUNCTION("""COMPUTED_VALUE"""),"Segundo Semestre 2021")</f>
        <v>Segundo Semestre 2021</v>
      </c>
      <c r="AR397" s="27" t="str">
        <f ca="1">IFERROR(__xludf.DUMMYFUNCTION("""COMPUTED_VALUE"""),"institutonuapassarinho@gmail.com")</f>
        <v>institutonuapassarinho@gmail.com</v>
      </c>
      <c r="AS397" s="27" t="str">
        <f ca="1">IFERROR(__xludf.DUMMYFUNCTION("""COMPUTED_VALUE"""),"(11)99749-1433")</f>
        <v>(11)99749-1433</v>
      </c>
      <c r="AT397" s="30">
        <f ca="1">IFERROR(__xludf.DUMMYFUNCTION("""COMPUTED_VALUE"""),22610)</f>
        <v>22610</v>
      </c>
      <c r="AU397" s="27">
        <f ca="1">IFERROR(__xludf.DUMMYFUNCTION("""COMPUTED_VALUE"""),61)</f>
        <v>61</v>
      </c>
      <c r="AV397" s="27">
        <f ca="1">IFERROR(__xludf.DUMMYFUNCTION("""COMPUTED_VALUE"""),3724675801)</f>
        <v>3724675801</v>
      </c>
      <c r="AW397" s="27" t="str">
        <f ca="1">IFERROR(__xludf.DUMMYFUNCTION("""COMPUTED_VALUE"""),"16431697-8")</f>
        <v>16431697-8</v>
      </c>
      <c r="AX397" s="27"/>
      <c r="AY397" s="27"/>
      <c r="AZ397" s="27" t="str">
        <f ca="1">IFERROR(__xludf.DUMMYFUNCTION("""COMPUTED_VALUE"""),"G")</f>
        <v>G</v>
      </c>
      <c r="BA397" s="27" t="str">
        <f ca="1">IFERROR(__xludf.DUMMYFUNCTION("""COMPUTED_VALUE"""),"Parda")</f>
        <v>Parda</v>
      </c>
      <c r="BB397" s="27" t="str">
        <f ca="1">IFERROR(__xludf.DUMMYFUNCTION("""COMPUTED_VALUE"""),"Homem, cisgênero")</f>
        <v>Homem, cisgênero</v>
      </c>
      <c r="BC397" s="27" t="str">
        <f ca="1">IFERROR(__xludf.DUMMYFUNCTION("""COMPUTED_VALUE"""),"Sim")</f>
        <v>Sim</v>
      </c>
      <c r="BD397" s="27" t="str">
        <f ca="1">IFERROR(__xludf.DUMMYFUNCTION("""COMPUTED_VALUE"""),"Músico, líder comunitário, arte educador.
Trabalho com  jovens desde 82 como percussionista.
Atuou em gestão na secretaria de cultura de São Paulo, Suzano e Guarulhos e Secretaria de educação")</f>
        <v>Músico, líder comunitário, arte educador.
Trabalho com  jovens desde 82 como percussionista.
Atuou em gestão na secretaria de cultura de São Paulo, Suzano e Guarulhos e Secretaria de educação</v>
      </c>
      <c r="BE397" s="27"/>
      <c r="BF397" s="27" t="str">
        <f ca="1">IFERROR(__xludf.DUMMYFUNCTION("""COMPUTED_VALUE"""),"Heterossexual")</f>
        <v>Heterossexual</v>
      </c>
      <c r="BG397" s="27" t="str">
        <f ca="1">IFERROR(__xludf.DUMMYFUNCTION("""COMPUTED_VALUE"""),"Ensino Médio - Completo")</f>
        <v>Ensino Médio - Completo</v>
      </c>
      <c r="BH397" s="27" t="str">
        <f ca="1">IFERROR(__xludf.DUMMYFUNCTION("""COMPUTED_VALUE"""),"Privada")</f>
        <v>Privada</v>
      </c>
      <c r="BI397" s="27"/>
      <c r="BJ397" s="27"/>
      <c r="BK397" s="27" t="str">
        <f ca="1">IFERROR(__xludf.DUMMYFUNCTION("""COMPUTED_VALUE"""),"Rua Líbero Ancona Lopes")</f>
        <v>Rua Líbero Ancona Lopes</v>
      </c>
      <c r="BL397" s="27">
        <f ca="1">IFERROR(__xludf.DUMMYFUNCTION("""COMPUTED_VALUE"""),384)</f>
        <v>384</v>
      </c>
      <c r="BM397" s="27"/>
      <c r="BN397" s="27" t="str">
        <f ca="1">IFERROR(__xludf.DUMMYFUNCTION("""COMPUTED_VALUE"""),"São Paulo")</f>
        <v>São Paulo</v>
      </c>
      <c r="BO397" s="27" t="str">
        <f ca="1">IFERROR(__xludf.DUMMYFUNCTION("""COMPUTED_VALUE"""),"08070-280")</f>
        <v>08070-280</v>
      </c>
      <c r="BP397" s="27" t="str">
        <f ca="1">IFERROR(__xludf.DUMMYFUNCTION("""COMPUTED_VALUE"""),"SP")</f>
        <v>SP</v>
      </c>
      <c r="BQ397" s="27" t="str">
        <f ca="1">IFERROR(__xludf.DUMMYFUNCTION("""COMPUTED_VALUE"""),"De 3 até 5 salários mínimos")</f>
        <v>De 3 até 5 salários mínimos</v>
      </c>
      <c r="BR397" s="27" t="str">
        <f ca="1">IFERROR(__xludf.DUMMYFUNCTION("""COMPUTED_VALUE"""),"MEI")</f>
        <v>MEI</v>
      </c>
      <c r="BS397" s="27" t="str">
        <f ca="1">IFERROR(__xludf.DUMMYFUNCTION("""COMPUTED_VALUE"""),"Casa própria")</f>
        <v>Casa própria</v>
      </c>
      <c r="BT397" s="27">
        <f ca="1">IFERROR(__xludf.DUMMYFUNCTION("""COMPUTED_VALUE"""),2)</f>
        <v>2</v>
      </c>
      <c r="BU397" s="27" t="str">
        <f ca="1">IFERROR(__xludf.DUMMYFUNCTION("""COMPUTED_VALUE"""),"Não tem")</f>
        <v>Não tem</v>
      </c>
      <c r="BV397" s="27"/>
      <c r="BW397" s="27"/>
      <c r="BX397" s="27"/>
      <c r="BY397" s="21" t="str">
        <f ca="1">IFERROR(__xludf.DUMMYFUNCTION("""COMPUTED_VALUE"""),"https://drive.google.com/open?id=1BSNyKWHVnZWy2IoTRtbhyWgbB_qW3tWL")</f>
        <v>https://drive.google.com/open?id=1BSNyKWHVnZWy2IoTRtbhyWgbB_qW3tWL</v>
      </c>
    </row>
    <row r="398" spans="1:77" ht="12.5" x14ac:dyDescent="0.25">
      <c r="A398" s="21" t="str">
        <f ca="1">IFERROR(__xludf.DUMMYFUNCTION("""COMPUTED_VALUE"""),"0014P00003YSp9eQAD")</f>
        <v>0014P00003YSp9eQAD</v>
      </c>
      <c r="B398" s="27" t="str">
        <f ca="1">IFERROR(__xludf.DUMMYFUNCTION("""COMPUTED_VALUE"""),"Fase Inicial")</f>
        <v>Fase Inicial</v>
      </c>
      <c r="C398" s="27" t="str">
        <f ca="1">IFERROR(__xludf.DUMMYFUNCTION("""COMPUTED_VALUE"""),"Fellow")</f>
        <v>Fellow</v>
      </c>
      <c r="D398" s="27" t="str">
        <f ca="1">IFERROR(__xludf.DUMMYFUNCTION("""COMPUTED_VALUE"""),"Ativo")</f>
        <v>Ativo</v>
      </c>
      <c r="E398" s="27" t="str">
        <f ca="1">IFERROR(__xludf.DUMMYFUNCTION("""COMPUTED_VALUE"""),"INSTITUTO PAPEL DE MENINO")</f>
        <v>INSTITUTO PAPEL DE MENINO</v>
      </c>
      <c r="F398" s="27" t="str">
        <f ca="1">IFERROR(__xludf.DUMMYFUNCTION("""COMPUTED_VALUE"""),"Anderson")</f>
        <v>Anderson</v>
      </c>
      <c r="G398" s="27"/>
      <c r="H398" s="27" t="str">
        <f ca="1">IFERROR(__xludf.DUMMYFUNCTION("""COMPUTED_VALUE"""),"10.398.480/0001-44")</f>
        <v>10.398.480/0001-44</v>
      </c>
      <c r="I398" s="27" t="str">
        <f ca="1">IFERROR(__xludf.DUMMYFUNCTION("""COMPUTED_VALUE"""),"Silvana Goulart Urbani")</f>
        <v>Silvana Goulart Urbani</v>
      </c>
      <c r="J398" s="27" t="str">
        <f ca="1">IFERROR(__xludf.DUMMYFUNCTION("""COMPUTED_VALUE"""),"silvana@papeldemenino.org.br")</f>
        <v>silvana@papeldemenino.org.br</v>
      </c>
      <c r="K398" s="27" t="str">
        <f ca="1">IFERROR(__xludf.DUMMYFUNCTION("""COMPUTED_VALUE"""),"(11)99407-6131")</f>
        <v>(11)99407-6131</v>
      </c>
      <c r="L398" s="27" t="str">
        <f ca="1">IFERROR(__xludf.DUMMYFUNCTION("""COMPUTED_VALUE"""),"SP")</f>
        <v>SP</v>
      </c>
      <c r="M398" s="27" t="str">
        <f ca="1">IFERROR(__xludf.DUMMYFUNCTION("""COMPUTED_VALUE"""),"Rua Regô Freitas")</f>
        <v>Rua Regô Freitas</v>
      </c>
      <c r="N398" s="27" t="str">
        <f ca="1">IFERROR(__xludf.DUMMYFUNCTION("""COMPUTED_VALUE"""),"SANTANA")</f>
        <v>SANTANA</v>
      </c>
      <c r="O398" s="27">
        <f ca="1">IFERROR(__xludf.DUMMYFUNCTION("""COMPUTED_VALUE"""),498)</f>
        <v>498</v>
      </c>
      <c r="P398" s="27" t="str">
        <f ca="1">IFERROR(__xludf.DUMMYFUNCTION("""COMPUTED_VALUE"""),"São Paulo")</f>
        <v>São Paulo</v>
      </c>
      <c r="Q398" s="27"/>
      <c r="R398" s="27" t="str">
        <f ca="1">IFERROR(__xludf.DUMMYFUNCTION("""COMPUTED_VALUE"""),"01220-010")</f>
        <v>01220-010</v>
      </c>
      <c r="S398" s="27"/>
      <c r="T398" s="27" t="str">
        <f ca="1">IFERROR(__xludf.DUMMYFUNCTION("""COMPUTED_VALUE"""),"Educação; Empregabilidade; Assistência Social; Qualificação Profissional")</f>
        <v>Educação; Empregabilidade; Assistência Social; Qualificação Profissional</v>
      </c>
      <c r="U398" s="27" t="str">
        <f ca="1">IFERROR(__xludf.DUMMYFUNCTION("""COMPUTED_VALUE"""),"Adolescentes (12 aos 18 anos)")</f>
        <v>Adolescentes (12 aos 18 anos)</v>
      </c>
      <c r="V398" s="27" t="str">
        <f ca="1">IFERROR(__xludf.DUMMYFUNCTION("""COMPUTED_VALUE"""),"Moradores de Favelas")</f>
        <v>Moradores de Favelas</v>
      </c>
      <c r="W398" s="27">
        <f ca="1">IFERROR(__xludf.DUMMYFUNCTION("""COMPUTED_VALUE"""),3)</f>
        <v>3</v>
      </c>
      <c r="X398" s="27" t="str">
        <f ca="1">IFERROR(__xludf.DUMMYFUNCTION("""COMPUTED_VALUE"""),"NOSSO PUBLICO ALVO É JOVENS EM CUMPRIMENTO DE MEDIDA SOCIO EDUCATIVA NA FUNDAÇÃO CASA")</f>
        <v>NOSSO PUBLICO ALVO É JOVENS EM CUMPRIMENTO DE MEDIDA SOCIO EDUCATIVA NA FUNDAÇÃO CASA</v>
      </c>
      <c r="Y398" s="27"/>
      <c r="Z398" s="27">
        <f ca="1">IFERROR(__xludf.DUMMYFUNCTION("""COMPUTED_VALUE"""),300)</f>
        <v>300</v>
      </c>
      <c r="AA398" s="29">
        <f ca="1">IFERROR(__xludf.DUMMYFUNCTION("""COMPUTED_VALUE"""),39687)</f>
        <v>39687</v>
      </c>
      <c r="AB398" s="27" t="str">
        <f ca="1">IFERROR(__xludf.DUMMYFUNCTION("""COMPUTED_VALUE"""),"Sim")</f>
        <v>Sim</v>
      </c>
      <c r="AC398" s="27">
        <f ca="1">IFERROR(__xludf.DUMMYFUNCTION("""COMPUTED_VALUE"""),4)</f>
        <v>4</v>
      </c>
      <c r="AD398" s="27">
        <f ca="1">IFERROR(__xludf.DUMMYFUNCTION("""COMPUTED_VALUE"""),3)</f>
        <v>3</v>
      </c>
      <c r="AE398" s="27">
        <f ca="1">IFERROR(__xludf.DUMMYFUNCTION("""COMPUTED_VALUE"""),110)</f>
        <v>110</v>
      </c>
      <c r="AF398" s="27">
        <f ca="1">IFERROR(__xludf.DUMMYFUNCTION("""COMPUTED_VALUE"""),110)</f>
        <v>110</v>
      </c>
      <c r="AG398" s="27">
        <f ca="1">IFERROR(__xludf.DUMMYFUNCTION("""COMPUTED_VALUE"""),4)</f>
        <v>4</v>
      </c>
      <c r="AH398" s="27" t="str">
        <f ca="1">IFERROR(__xludf.DUMMYFUNCTION("""COMPUTED_VALUE"""),"Eventos/Ações para captação; Plataforma doação online - Pessoa Física; Parceria iniciativa privada; Doações")</f>
        <v>Eventos/Ações para captação; Plataforma doação online - Pessoa Física; Parceria iniciativa privada; Doações</v>
      </c>
      <c r="AI398" s="27">
        <f ca="1">IFERROR(__xludf.DUMMYFUNCTION("""COMPUTED_VALUE"""),25)</f>
        <v>25</v>
      </c>
      <c r="AJ398" s="27"/>
      <c r="AK398" s="27"/>
      <c r="AL398" s="21" t="str">
        <f ca="1">IFERROR(__xludf.DUMMYFUNCTION("""COMPUTED_VALUE"""),"0034P000045kxkG")</f>
        <v>0034P000045kxkG</v>
      </c>
      <c r="AM398" s="27" t="str">
        <f ca="1">IFERROR(__xludf.DUMMYFUNCTION("""COMPUTED_VALUE"""),"Felipe Pereira De Carvalho")</f>
        <v>Felipe Pereira De Carvalho</v>
      </c>
      <c r="AN398" s="27" t="str">
        <f ca="1">IFERROR(__xludf.DUMMYFUNCTION("""COMPUTED_VALUE"""),"Ativo")</f>
        <v>Ativo</v>
      </c>
      <c r="AO398" s="30">
        <f ca="1">IFERROR(__xludf.DUMMYFUNCTION("""COMPUTED_VALUE"""),44551)</f>
        <v>44551</v>
      </c>
      <c r="AP398" s="27">
        <f ca="1">IFERROR(__xludf.DUMMYFUNCTION("""COMPUTED_VALUE"""),9)</f>
        <v>9</v>
      </c>
      <c r="AQ398" s="27" t="str">
        <f ca="1">IFERROR(__xludf.DUMMYFUNCTION("""COMPUTED_VALUE"""),"Segundo Semestre 2021")</f>
        <v>Segundo Semestre 2021</v>
      </c>
      <c r="AR398" s="27" t="str">
        <f ca="1">IFERROR(__xludf.DUMMYFUNCTION("""COMPUTED_VALUE"""),"acarvalho@papeldemenino.org.br")</f>
        <v>acarvalho@papeldemenino.org.br</v>
      </c>
      <c r="AS398" s="27" t="str">
        <f ca="1">IFERROR(__xludf.DUMMYFUNCTION("""COMPUTED_VALUE"""),"(11)96700-6737")</f>
        <v>(11)96700-6737</v>
      </c>
      <c r="AT398" s="29">
        <f ca="1">IFERROR(__xludf.DUMMYFUNCTION("""COMPUTED_VALUE"""),34964)</f>
        <v>34964</v>
      </c>
      <c r="AU398" s="27">
        <f ca="1">IFERROR(__xludf.DUMMYFUNCTION("""COMPUTED_VALUE"""),27)</f>
        <v>27</v>
      </c>
      <c r="AV398" s="27">
        <f ca="1">IFERROR(__xludf.DUMMYFUNCTION("""COMPUTED_VALUE"""),44125505837)</f>
        <v>44125505837</v>
      </c>
      <c r="AW398" s="27" t="str">
        <f ca="1">IFERROR(__xludf.DUMMYFUNCTION("""COMPUTED_VALUE"""),"49550340X")</f>
        <v>49550340X</v>
      </c>
      <c r="AX398" s="27"/>
      <c r="AY398" s="27"/>
      <c r="AZ398" s="27" t="str">
        <f ca="1">IFERROR(__xludf.DUMMYFUNCTION("""COMPUTED_VALUE"""),"G")</f>
        <v>G</v>
      </c>
      <c r="BA398" s="27" t="str">
        <f ca="1">IFERROR(__xludf.DUMMYFUNCTION("""COMPUTED_VALUE"""),"Preta")</f>
        <v>Preta</v>
      </c>
      <c r="BB398" s="27" t="str">
        <f ca="1">IFERROR(__xludf.DUMMYFUNCTION("""COMPUTED_VALUE"""),"Homem, cisgênero")</f>
        <v>Homem, cisgênero</v>
      </c>
      <c r="BC398" s="27" t="str">
        <f ca="1">IFERROR(__xludf.DUMMYFUNCTION("""COMPUTED_VALUE"""),"Sim")</f>
        <v>Sim</v>
      </c>
      <c r="BD398" s="27" t="str">
        <f ca="1">IFERROR(__xludf.DUMMYFUNCTION("""COMPUTED_VALUE"""),"Anderson Carvalho,  é  casado e pai de 5 filhos sendo 4 meninas e 1 menino.
Passei 4 vezes pela Fundação Casa (antiga FEBEM), e hj as vezes é inacreditável olhar para o passado e ver que tudo que eu passei indicava que eu não chegaria aos 18 anos.
Hoje a"&amp;"os 26 anos, com uma família linda e como coordenador de projetos no Instituto Papel de Menino, eu me sinto realizado em poder contar e levar minha experiência como exemplo de que é possível escrever novas histórias.")</f>
        <v>Anderson Carvalho,  é  casado e pai de 5 filhos sendo 4 meninas e 1 menino.
Passei 4 vezes pela Fundação Casa (antiga FEBEM), e hj as vezes é inacreditável olhar para o passado e ver que tudo que eu passei indicava que eu não chegaria aos 18 anos.
Hoje aos 26 anos, com uma família linda e como coordenador de projetos no Instituto Papel de Menino, eu me sinto realizado em poder contar e levar minha experiência como exemplo de que é possível escrever novas histórias.</v>
      </c>
      <c r="BE398" s="27"/>
      <c r="BF398" s="27" t="str">
        <f ca="1">IFERROR(__xludf.DUMMYFUNCTION("""COMPUTED_VALUE"""),"Heterossexual")</f>
        <v>Heterossexual</v>
      </c>
      <c r="BG398" s="27" t="str">
        <f ca="1">IFERROR(__xludf.DUMMYFUNCTION("""COMPUTED_VALUE"""),"Ensino Médio - Completo")</f>
        <v>Ensino Médio - Completo</v>
      </c>
      <c r="BH398" s="27" t="str">
        <f ca="1">IFERROR(__xludf.DUMMYFUNCTION("""COMPUTED_VALUE"""),"Pública")</f>
        <v>Pública</v>
      </c>
      <c r="BI398" s="27"/>
      <c r="BJ398" s="27"/>
      <c r="BK398" s="27" t="str">
        <f ca="1">IFERROR(__xludf.DUMMYFUNCTION("""COMPUTED_VALUE"""),"Rua Jerônimo da Costa")</f>
        <v>Rua Jerônimo da Costa</v>
      </c>
      <c r="BL398" s="27">
        <f ca="1">IFERROR(__xludf.DUMMYFUNCTION("""COMPUTED_VALUE"""),69)</f>
        <v>69</v>
      </c>
      <c r="BM398" s="27"/>
      <c r="BN398" s="27" t="str">
        <f ca="1">IFERROR(__xludf.DUMMYFUNCTION("""COMPUTED_VALUE"""),"São Paulo")</f>
        <v>São Paulo</v>
      </c>
      <c r="BO398" s="27" t="str">
        <f ca="1">IFERROR(__xludf.DUMMYFUNCTION("""COMPUTED_VALUE"""),"02762-090")</f>
        <v>02762-090</v>
      </c>
      <c r="BP398" s="27" t="str">
        <f ca="1">IFERROR(__xludf.DUMMYFUNCTION("""COMPUTED_VALUE"""),"SP")</f>
        <v>SP</v>
      </c>
      <c r="BQ398" s="27" t="str">
        <f ca="1">IFERROR(__xludf.DUMMYFUNCTION("""COMPUTED_VALUE"""),"De 3 até 5 salários mínimos")</f>
        <v>De 3 até 5 salários mínimos</v>
      </c>
      <c r="BR398" s="27" t="str">
        <f ca="1">IFERROR(__xludf.DUMMYFUNCTION("""COMPUTED_VALUE"""),"MEI")</f>
        <v>MEI</v>
      </c>
      <c r="BS398" s="27" t="str">
        <f ca="1">IFERROR(__xludf.DUMMYFUNCTION("""COMPUTED_VALUE"""),"Aluguel")</f>
        <v>Aluguel</v>
      </c>
      <c r="BT398" s="27">
        <f ca="1">IFERROR(__xludf.DUMMYFUNCTION("""COMPUTED_VALUE"""),7)</f>
        <v>7</v>
      </c>
      <c r="BU398" s="27" t="str">
        <f ca="1">IFERROR(__xludf.DUMMYFUNCTION("""COMPUTED_VALUE"""),"Não tem")</f>
        <v>Não tem</v>
      </c>
      <c r="BV398" s="27"/>
      <c r="BW398" s="21" t="str">
        <f ca="1">IFERROR(__xludf.DUMMYFUNCTION("""COMPUTED_VALUE"""),"https://www.linkedin.com/in/anderson-carvalho-249bba114")</f>
        <v>https://www.linkedin.com/in/anderson-carvalho-249bba114</v>
      </c>
      <c r="BX398" s="27" t="str">
        <f ca="1">IFERROR(__xludf.DUMMYFUNCTION("""COMPUTED_VALUE"""),"@andersoncarvalhooficial")</f>
        <v>@andersoncarvalhooficial</v>
      </c>
      <c r="BY398" s="21" t="str">
        <f ca="1">IFERROR(__xludf.DUMMYFUNCTION("""COMPUTED_VALUE"""),"https://drive.google.com/open?id=1wZ0KsYzFj1-ILHzvgKn6-t_PzMrH0b5d")</f>
        <v>https://drive.google.com/open?id=1wZ0KsYzFj1-ILHzvgKn6-t_PzMrH0b5d</v>
      </c>
    </row>
    <row r="399" spans="1:77" ht="12.5" hidden="1" x14ac:dyDescent="0.25">
      <c r="A399" s="21" t="str">
        <f ca="1">IFERROR(__xludf.DUMMYFUNCTION("""COMPUTED_VALUE"""),"0014X00002VKCrNQAX")</f>
        <v>0014X00002VKCrNQAX</v>
      </c>
      <c r="B399" s="27" t="str">
        <f ca="1">IFERROR(__xludf.DUMMYFUNCTION("""COMPUTED_VALUE"""),"Fase Inicial")</f>
        <v>Fase Inicial</v>
      </c>
      <c r="C399" s="27" t="str">
        <f ca="1">IFERROR(__xludf.DUMMYFUNCTION("""COMPUTED_VALUE"""),"Fellow")</f>
        <v>Fellow</v>
      </c>
      <c r="D399" s="27" t="str">
        <f ca="1">IFERROR(__xludf.DUMMYFUNCTION("""COMPUTED_VALUE"""),"Ativo")</f>
        <v>Ativo</v>
      </c>
      <c r="E399" s="27" t="str">
        <f ca="1">IFERROR(__xludf.DUMMYFUNCTION("""COMPUTED_VALUE"""),"INSTITUTO PASSO DE ANJO")</f>
        <v>INSTITUTO PASSO DE ANJO</v>
      </c>
      <c r="F399" s="27" t="str">
        <f ca="1">IFERROR(__xludf.DUMMYFUNCTION("""COMPUTED_VALUE"""),"Amoary")</f>
        <v>Amoary</v>
      </c>
      <c r="G399" s="27" t="str">
        <f ca="1">IFERROR(__xludf.DUMMYFUNCTION("""COMPUTED_VALUE"""),"IPA")</f>
        <v>IPA</v>
      </c>
      <c r="H399" s="27" t="str">
        <f ca="1">IFERROR(__xludf.DUMMYFUNCTION("""COMPUTED_VALUE"""),"12.979.461/0001-37")</f>
        <v>12.979.461/0001-37</v>
      </c>
      <c r="I399" s="27" t="str">
        <f ca="1">IFERROR(__xludf.DUMMYFUNCTION("""COMPUTED_VALUE"""),"Inaldo Spok Cavalcanti de Albuquerque")</f>
        <v>Inaldo Spok Cavalcanti de Albuquerque</v>
      </c>
      <c r="J399" s="27" t="str">
        <f ca="1">IFERROR(__xludf.DUMMYFUNCTION("""COMPUTED_VALUE"""),"institutopassodeanjo@gmail.com")</f>
        <v>institutopassodeanjo@gmail.com</v>
      </c>
      <c r="K399" s="27" t="str">
        <f ca="1">IFERROR(__xludf.DUMMYFUNCTION("""COMPUTED_VALUE"""),"(81)98806-8503")</f>
        <v>(81)98806-8503</v>
      </c>
      <c r="L399" s="27" t="str">
        <f ca="1">IFERROR(__xludf.DUMMYFUNCTION("""COMPUTED_VALUE"""),"PE")</f>
        <v>PE</v>
      </c>
      <c r="M399" s="27" t="str">
        <f ca="1">IFERROR(__xludf.DUMMYFUNCTION("""COMPUTED_VALUE"""),"Assembleia")</f>
        <v>Assembleia</v>
      </c>
      <c r="N399" s="27" t="str">
        <f ca="1">IFERROR(__xludf.DUMMYFUNCTION("""COMPUTED_VALUE"""),"Timbo")</f>
        <v>Timbo</v>
      </c>
      <c r="O399" s="27">
        <f ca="1">IFERROR(__xludf.DUMMYFUNCTION("""COMPUTED_VALUE"""),514)</f>
        <v>514</v>
      </c>
      <c r="P399" s="27" t="str">
        <f ca="1">IFERROR(__xludf.DUMMYFUNCTION("""COMPUTED_VALUE"""),"Abreu e Lima")</f>
        <v>Abreu e Lima</v>
      </c>
      <c r="Q399" s="27"/>
      <c r="R399" s="27" t="str">
        <f ca="1">IFERROR(__xludf.DUMMYFUNCTION("""COMPUTED_VALUE"""),"53525-790")</f>
        <v>53525-790</v>
      </c>
      <c r="S399" s="27"/>
      <c r="T399" s="27"/>
      <c r="U399" s="27" t="str">
        <f ca="1">IFERROR(__xludf.DUMMYFUNCTION("""COMPUTED_VALUE"""),"Crianças (6 a 12 anos)")</f>
        <v>Crianças (6 a 12 anos)</v>
      </c>
      <c r="V399" s="27" t="str">
        <f ca="1">IFERROR(__xludf.DUMMYFUNCTION("""COMPUTED_VALUE"""),"Moradores de Favelas, Afrodescendentes, Pessoas com Deficiência")</f>
        <v>Moradores de Favelas, Afrodescendentes, Pessoas com Deficiência</v>
      </c>
      <c r="W399" s="27">
        <f ca="1">IFERROR(__xludf.DUMMYFUNCTION("""COMPUTED_VALUE"""),5)</f>
        <v>5</v>
      </c>
      <c r="X399" s="27" t="str">
        <f ca="1">IFERROR(__xludf.DUMMYFUNCTION("""COMPUTED_VALUE"""),"crianças comsirome do especto do autismo* esquizofrenica* Bipolar e com deficit de Inteligencia. Todos integrados")</f>
        <v>crianças comsirome do especto do autismo* esquizofrenica* Bipolar e com deficit de Inteligencia. Todos integrados</v>
      </c>
      <c r="Y399" s="27"/>
      <c r="Z399" s="27">
        <f ca="1">IFERROR(__xludf.DUMMYFUNCTION("""COMPUTED_VALUE"""),230)</f>
        <v>230</v>
      </c>
      <c r="AA399" s="29">
        <f ca="1">IFERROR(__xludf.DUMMYFUNCTION("""COMPUTED_VALUE"""),40221)</f>
        <v>40221</v>
      </c>
      <c r="AB399" s="27" t="str">
        <f ca="1">IFERROR(__xludf.DUMMYFUNCTION("""COMPUTED_VALUE"""),"Sim")</f>
        <v>Sim</v>
      </c>
      <c r="AC399" s="27">
        <f ca="1">IFERROR(__xludf.DUMMYFUNCTION("""COMPUTED_VALUE"""),10)</f>
        <v>10</v>
      </c>
      <c r="AD399" s="27">
        <f ca="1">IFERROR(__xludf.DUMMYFUNCTION("""COMPUTED_VALUE"""),7)</f>
        <v>7</v>
      </c>
      <c r="AE399" s="27">
        <f ca="1">IFERROR(__xludf.DUMMYFUNCTION("""COMPUTED_VALUE"""),10)</f>
        <v>10</v>
      </c>
      <c r="AF399" s="27">
        <f ca="1">IFERROR(__xludf.DUMMYFUNCTION("""COMPUTED_VALUE"""),7)</f>
        <v>7</v>
      </c>
      <c r="AG399" s="27">
        <f ca="1">IFERROR(__xludf.DUMMYFUNCTION("""COMPUTED_VALUE"""),2)</f>
        <v>2</v>
      </c>
      <c r="AH399" s="27" t="str">
        <f ca="1">IFERROR(__xludf.DUMMYFUNCTION("""COMPUTED_VALUE"""),"Editais, Doações")</f>
        <v>Editais, Doações</v>
      </c>
      <c r="AI399" s="27" t="str">
        <f ca="1">IFERROR(__xludf.DUMMYFUNCTION("""COMPUTED_VALUE"""),"Lei de incentivo")</f>
        <v>Lei de incentivo</v>
      </c>
      <c r="AJ399" s="27" t="str">
        <f ca="1">IFERROR(__xludf.DUMMYFUNCTION("""COMPUTED_VALUE"""),"Não")</f>
        <v>Não</v>
      </c>
      <c r="AK399" s="27"/>
      <c r="AL399" s="21" t="str">
        <f ca="1">IFERROR(__xludf.DUMMYFUNCTION("""COMPUTED_VALUE"""),"0034X0000380O5o")</f>
        <v>0034X0000380O5o</v>
      </c>
      <c r="AM399" s="27" t="str">
        <f ca="1">IFERROR(__xludf.DUMMYFUNCTION("""COMPUTED_VALUE"""),"Yara garrett messeder")</f>
        <v>Yara garrett messeder</v>
      </c>
      <c r="AN399" s="27" t="str">
        <f ca="1">IFERROR(__xludf.DUMMYFUNCTION("""COMPUTED_VALUE"""),"Ativo")</f>
        <v>Ativo</v>
      </c>
      <c r="AO399" s="29">
        <f ca="1">IFERROR(__xludf.DUMMYFUNCTION("""COMPUTED_VALUE"""),44763)</f>
        <v>44763</v>
      </c>
      <c r="AP399" s="27">
        <f ca="1">IFERROR(__xludf.DUMMYFUNCTION("""COMPUTED_VALUE"""),2)</f>
        <v>2</v>
      </c>
      <c r="AQ399" s="27" t="str">
        <f ca="1">IFERROR(__xludf.DUMMYFUNCTION("""COMPUTED_VALUE"""),"Primeiro Semestre 2022")</f>
        <v>Primeiro Semestre 2022</v>
      </c>
      <c r="AR399" s="27" t="str">
        <f ca="1">IFERROR(__xludf.DUMMYFUNCTION("""COMPUTED_VALUE"""),"amoarymesseder@gmail.com")</f>
        <v>amoarymesseder@gmail.com</v>
      </c>
      <c r="AS399" s="27">
        <f ca="1">IFERROR(__xludf.DUMMYFUNCTION("""COMPUTED_VALUE"""),81997926151)</f>
        <v>81997926151</v>
      </c>
      <c r="AT399" s="29">
        <f ca="1">IFERROR(__xludf.DUMMYFUNCTION("""COMPUTED_VALUE"""),20292)</f>
        <v>20292</v>
      </c>
      <c r="AU399" s="27">
        <f ca="1">IFERROR(__xludf.DUMMYFUNCTION("""COMPUTED_VALUE"""),67)</f>
        <v>67</v>
      </c>
      <c r="AV399" s="27">
        <f ca="1">IFERROR(__xludf.DUMMYFUNCTION("""COMPUTED_VALUE"""),14706563453)</f>
        <v>14706563453</v>
      </c>
      <c r="AW399" s="27" t="str">
        <f ca="1">IFERROR(__xludf.DUMMYFUNCTION("""COMPUTED_VALUE"""),"1.071.303 SDS PE")</f>
        <v>1.071.303 SDS PE</v>
      </c>
      <c r="AX399" s="27"/>
      <c r="AY399" s="27"/>
      <c r="AZ399" s="27" t="str">
        <f ca="1">IFERROR(__xludf.DUMMYFUNCTION("""COMPUTED_VALUE"""),"G1")</f>
        <v>G1</v>
      </c>
      <c r="BA399" s="27" t="str">
        <f ca="1">IFERROR(__xludf.DUMMYFUNCTION("""COMPUTED_VALUE"""),"Parda")</f>
        <v>Parda</v>
      </c>
      <c r="BB399" s="27"/>
      <c r="BC399" s="27"/>
      <c r="BD399" s="27" t="str">
        <f ca="1">IFERROR(__xludf.DUMMYFUNCTION("""COMPUTED_VALUE"""),"Amoary Garrett Messeder psicóloga por formação.  Atuei durante 35 anos num Centro de Música vinculado ao Governo do estado de PE. Ha 8 anos trabalho com projetos sociais.")</f>
        <v>Amoary Garrett Messeder psicóloga por formação.  Atuei durante 35 anos num Centro de Música vinculado ao Governo do estado de PE. Ha 8 anos trabalho com projetos sociais.</v>
      </c>
      <c r="BE399" s="27" t="str">
        <f ca="1">IFERROR(__xludf.DUMMYFUNCTION("""COMPUTED_VALUE"""),"Feminino")</f>
        <v>Feminino</v>
      </c>
      <c r="BF399" s="27" t="str">
        <f ca="1">IFERROR(__xludf.DUMMYFUNCTION("""COMPUTED_VALUE"""),"Heterossexual")</f>
        <v>Heterossexual</v>
      </c>
      <c r="BG399" s="27"/>
      <c r="BH399" s="27" t="str">
        <f ca="1">IFERROR(__xludf.DUMMYFUNCTION("""COMPUTED_VALUE"""),"Público")</f>
        <v>Público</v>
      </c>
      <c r="BI399" s="27" t="str">
        <f ca="1">IFERROR(__xludf.DUMMYFUNCTION("""COMPUTED_VALUE"""),"Pós-Graduação")</f>
        <v>Pós-Graduação</v>
      </c>
      <c r="BJ399" s="27" t="str">
        <f ca="1">IFERROR(__xludf.DUMMYFUNCTION("""COMPUTED_VALUE"""),"Privado")</f>
        <v>Privado</v>
      </c>
      <c r="BK399" s="27" t="str">
        <f ca="1">IFERROR(__xludf.DUMMYFUNCTION("""COMPUTED_VALUE"""),"Rua Barao de Souza Leao")</f>
        <v>Rua Barao de Souza Leao</v>
      </c>
      <c r="BL399" s="27">
        <f ca="1">IFERROR(__xludf.DUMMYFUNCTION("""COMPUTED_VALUE"""),221)</f>
        <v>221</v>
      </c>
      <c r="BM399" s="27"/>
      <c r="BN399" s="27"/>
      <c r="BO399" s="27">
        <f ca="1">IFERROR(__xludf.DUMMYFUNCTION("""COMPUTED_VALUE"""),51030300)</f>
        <v>51030300</v>
      </c>
      <c r="BP399" s="27" t="str">
        <f ca="1">IFERROR(__xludf.DUMMYFUNCTION("""COMPUTED_VALUE"""),"PE")</f>
        <v>PE</v>
      </c>
      <c r="BQ399" s="27" t="str">
        <f ca="1">IFERROR(__xludf.DUMMYFUNCTION("""COMPUTED_VALUE"""),"De 3 até 5 salários mínimos")</f>
        <v>De 3 até 5 salários mínimos</v>
      </c>
      <c r="BR399" s="27" t="str">
        <f ca="1">IFERROR(__xludf.DUMMYFUNCTION("""COMPUTED_VALUE"""),"Desempregado")</f>
        <v>Desempregado</v>
      </c>
      <c r="BS399" s="27" t="str">
        <f ca="1">IFERROR(__xludf.DUMMYFUNCTION("""COMPUTED_VALUE"""),"Aluguel")</f>
        <v>Aluguel</v>
      </c>
      <c r="BT399" s="27">
        <f ca="1">IFERROR(__xludf.DUMMYFUNCTION("""COMPUTED_VALUE"""),4)</f>
        <v>4</v>
      </c>
      <c r="BU399" s="27" t="str">
        <f ca="1">IFERROR(__xludf.DUMMYFUNCTION("""COMPUTED_VALUE"""),"Outros")</f>
        <v>Outros</v>
      </c>
      <c r="BV399" s="27" t="str">
        <f ca="1">IFERROR(__xludf.DUMMYFUNCTION("""COMPUTED_VALUE"""),"Não")</f>
        <v>Não</v>
      </c>
      <c r="BW399" s="27"/>
      <c r="BX399" s="27"/>
      <c r="BY399" s="21" t="str">
        <f ca="1">IFERROR(__xludf.DUMMYFUNCTION("""COMPUTED_VALUE"""),"https://drive.google.com/open?id=1TPFVdgUXsGQHE3Tpqse86yaLSrKNinGo")</f>
        <v>https://drive.google.com/open?id=1TPFVdgUXsGQHE3Tpqse86yaLSrKNinGo</v>
      </c>
    </row>
    <row r="400" spans="1:77" ht="12.5" hidden="1" x14ac:dyDescent="0.25">
      <c r="A400" s="21" t="str">
        <f ca="1">IFERROR(__xludf.DUMMYFUNCTION("""COMPUTED_VALUE"""),"0014X00002VKCrRQAX")</f>
        <v>0014X00002VKCrRQAX</v>
      </c>
      <c r="B400" s="27" t="str">
        <f ca="1">IFERROR(__xludf.DUMMYFUNCTION("""COMPUTED_VALUE"""),"Fase Inicial")</f>
        <v>Fase Inicial</v>
      </c>
      <c r="C400" s="27" t="str">
        <f ca="1">IFERROR(__xludf.DUMMYFUNCTION("""COMPUTED_VALUE"""),"Fellow")</f>
        <v>Fellow</v>
      </c>
      <c r="D400" s="27" t="str">
        <f ca="1">IFERROR(__xludf.DUMMYFUNCTION("""COMPUTED_VALUE"""),"Ativo")</f>
        <v>Ativo</v>
      </c>
      <c r="E400" s="27" t="str">
        <f ca="1">IFERROR(__xludf.DUMMYFUNCTION("""COMPUTED_VALUE"""),"INSTITUTO PATERNUS")</f>
        <v>INSTITUTO PATERNUS</v>
      </c>
      <c r="F400" s="27" t="str">
        <f ca="1">IFERROR(__xludf.DUMMYFUNCTION("""COMPUTED_VALUE"""),"Wilker")</f>
        <v>Wilker</v>
      </c>
      <c r="G400" s="27" t="str">
        <f ca="1">IFERROR(__xludf.DUMMYFUNCTION("""COMPUTED_VALUE"""),"INSTITUTO GERADOS PELO PAI")</f>
        <v>INSTITUTO GERADOS PELO PAI</v>
      </c>
      <c r="H400" s="27" t="str">
        <f ca="1">IFERROR(__xludf.DUMMYFUNCTION("""COMPUTED_VALUE"""),"40.819.473/0001-30")</f>
        <v>40.819.473/0001-30</v>
      </c>
      <c r="I400" s="27" t="str">
        <f ca="1">IFERROR(__xludf.DUMMYFUNCTION("""COMPUTED_VALUE"""),"Wilker Kildery Costa de Almeida")</f>
        <v>Wilker Kildery Costa de Almeida</v>
      </c>
      <c r="J400" s="27" t="str">
        <f ca="1">IFERROR(__xludf.DUMMYFUNCTION("""COMPUTED_VALUE"""),"instituto.paternus@gmail.com")</f>
        <v>instituto.paternus@gmail.com</v>
      </c>
      <c r="K400" s="27" t="str">
        <f ca="1">IFERROR(__xludf.DUMMYFUNCTION("""COMPUTED_VALUE"""),"(85)98779-0138")</f>
        <v>(85)98779-0138</v>
      </c>
      <c r="L400" s="27" t="str">
        <f ca="1">IFERROR(__xludf.DUMMYFUNCTION("""COMPUTED_VALUE"""),"CE")</f>
        <v>CE</v>
      </c>
      <c r="M400" s="27" t="str">
        <f ca="1">IFERROR(__xludf.DUMMYFUNCTION("""COMPUTED_VALUE"""),"Rua Graça Aranha")</f>
        <v>Rua Graça Aranha</v>
      </c>
      <c r="N400" s="27" t="str">
        <f ca="1">IFERROR(__xludf.DUMMYFUNCTION("""COMPUTED_VALUE"""),"Floresta")</f>
        <v>Floresta</v>
      </c>
      <c r="O400" s="27">
        <f ca="1">IFERROR(__xludf.DUMMYFUNCTION("""COMPUTED_VALUE"""),1058)</f>
        <v>1058</v>
      </c>
      <c r="P400" s="27" t="str">
        <f ca="1">IFERROR(__xludf.DUMMYFUNCTION("""COMPUTED_VALUE"""),"Fortaleza")</f>
        <v>Fortaleza</v>
      </c>
      <c r="Q400" s="27"/>
      <c r="R400" s="27" t="str">
        <f ca="1">IFERROR(__xludf.DUMMYFUNCTION("""COMPUTED_VALUE"""),"60336-228")</f>
        <v>60336-228</v>
      </c>
      <c r="S400" s="27" t="str">
        <f ca="1">IFERROR(__xludf.DUMMYFUNCTION("""COMPUTED_VALUE"""),"Comunidade Padre Hélio Campos e CDD")</f>
        <v>Comunidade Padre Hélio Campos e CDD</v>
      </c>
      <c r="T400" s="27"/>
      <c r="U400"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400" s="27" t="str">
        <f ca="1">IFERROR(__xludf.DUMMYFUNCTION("""COMPUTED_VALUE"""),"Moradores de Favelas, Pessoas em situação de rua, Dependentes Químicos, Pessoas com Deficiência, Egressos sistema carcerário")</f>
        <v>Moradores de Favelas, Pessoas em situação de rua, Dependentes Químicos, Pessoas com Deficiência, Egressos sistema carcerário</v>
      </c>
      <c r="W400" s="27">
        <f ca="1">IFERROR(__xludf.DUMMYFUNCTION("""COMPUTED_VALUE"""),3)</f>
        <v>3</v>
      </c>
      <c r="X400" s="27" t="str">
        <f ca="1">IFERROR(__xludf.DUMMYFUNCTION("""COMPUTED_VALUE"""),"Pessoas em situação de grande pobreza.")</f>
        <v>Pessoas em situação de grande pobreza.</v>
      </c>
      <c r="Y400" s="27"/>
      <c r="Z400" s="27">
        <f ca="1">IFERROR(__xludf.DUMMYFUNCTION("""COMPUTED_VALUE"""),1464)</f>
        <v>1464</v>
      </c>
      <c r="AA400" s="29">
        <f ca="1">IFERROR(__xludf.DUMMYFUNCTION("""COMPUTED_VALUE"""),44223)</f>
        <v>44223</v>
      </c>
      <c r="AB400" s="27" t="str">
        <f ca="1">IFERROR(__xludf.DUMMYFUNCTION("""COMPUTED_VALUE"""),"Sim")</f>
        <v>Sim</v>
      </c>
      <c r="AC400" s="27">
        <f ca="1">IFERROR(__xludf.DUMMYFUNCTION("""COMPUTED_VALUE"""),0)</f>
        <v>0</v>
      </c>
      <c r="AD400" s="27">
        <f ca="1">IFERROR(__xludf.DUMMYFUNCTION("""COMPUTED_VALUE"""),29)</f>
        <v>29</v>
      </c>
      <c r="AE400" s="27">
        <f ca="1">IFERROR(__xludf.DUMMYFUNCTION("""COMPUTED_VALUE"""),29)</f>
        <v>29</v>
      </c>
      <c r="AF400" s="27">
        <f ca="1">IFERROR(__xludf.DUMMYFUNCTION("""COMPUTED_VALUE"""),29)</f>
        <v>29</v>
      </c>
      <c r="AG400" s="27">
        <f ca="1">IFERROR(__xludf.DUMMYFUNCTION("""COMPUTED_VALUE"""),2)</f>
        <v>2</v>
      </c>
      <c r="AH400" s="27" t="str">
        <f ca="1">IFERROR(__xludf.DUMMYFUNCTION("""COMPUTED_VALUE"""),"Eventos/Ações para captação, Doações")</f>
        <v>Eventos/Ações para captação, Doações</v>
      </c>
      <c r="AI400" s="27" t="str">
        <f ca="1">IFERROR(__xludf.DUMMYFUNCTION("""COMPUTED_VALUE"""),"100% Eventos")</f>
        <v>100% Eventos</v>
      </c>
      <c r="AJ400" s="27" t="str">
        <f ca="1">IFERROR(__xludf.DUMMYFUNCTION("""COMPUTED_VALUE"""),"Não")</f>
        <v>Não</v>
      </c>
      <c r="AK400" s="27"/>
      <c r="AL400" s="21" t="str">
        <f ca="1">IFERROR(__xludf.DUMMYFUNCTION("""COMPUTED_VALUE"""),"0034X0000380O1p")</f>
        <v>0034X0000380O1p</v>
      </c>
      <c r="AM400" s="27" t="str">
        <f ca="1">IFERROR(__xludf.DUMMYFUNCTION("""COMPUTED_VALUE"""),"Kildery costa de almeida")</f>
        <v>Kildery costa de almeida</v>
      </c>
      <c r="AN400" s="27" t="str">
        <f ca="1">IFERROR(__xludf.DUMMYFUNCTION("""COMPUTED_VALUE"""),"Ativo")</f>
        <v>Ativo</v>
      </c>
      <c r="AO400" s="29">
        <f ca="1">IFERROR(__xludf.DUMMYFUNCTION("""COMPUTED_VALUE"""),44763)</f>
        <v>44763</v>
      </c>
      <c r="AP400" s="27">
        <f ca="1">IFERROR(__xludf.DUMMYFUNCTION("""COMPUTED_VALUE"""),2)</f>
        <v>2</v>
      </c>
      <c r="AQ400" s="27" t="str">
        <f ca="1">IFERROR(__xludf.DUMMYFUNCTION("""COMPUTED_VALUE"""),"Primeiro Semestre 2022")</f>
        <v>Primeiro Semestre 2022</v>
      </c>
      <c r="AR400" s="27" t="str">
        <f ca="1">IFERROR(__xludf.DUMMYFUNCTION("""COMPUTED_VALUE"""),"pr.kildery@gmail.com")</f>
        <v>pr.kildery@gmail.com</v>
      </c>
      <c r="AS400" s="27" t="str">
        <f ca="1">IFERROR(__xludf.DUMMYFUNCTION("""COMPUTED_VALUE"""),"(85)98869-4562")</f>
        <v>(85)98869-4562</v>
      </c>
      <c r="AT400" s="29">
        <f ca="1">IFERROR(__xludf.DUMMYFUNCTION("""COMPUTED_VALUE"""),28283)</f>
        <v>28283</v>
      </c>
      <c r="AU400" s="27">
        <f ca="1">IFERROR(__xludf.DUMMYFUNCTION("""COMPUTED_VALUE"""),45)</f>
        <v>45</v>
      </c>
      <c r="AV400" s="27">
        <f ca="1">IFERROR(__xludf.DUMMYFUNCTION("""COMPUTED_VALUE"""),62036955304)</f>
        <v>62036955304</v>
      </c>
      <c r="AW400" s="27">
        <f ca="1">IFERROR(__xludf.DUMMYFUNCTION("""COMPUTED_VALUE"""),95016001822)</f>
        <v>95016001822</v>
      </c>
      <c r="AX400" s="27"/>
      <c r="AY400" s="27" t="str">
        <f ca="1">IFERROR(__xludf.DUMMYFUNCTION("""COMPUTED_VALUE"""),"Presidente")</f>
        <v>Presidente</v>
      </c>
      <c r="AZ400" s="27" t="str">
        <f ca="1">IFERROR(__xludf.DUMMYFUNCTION("""COMPUTED_VALUE"""),"G2")</f>
        <v>G2</v>
      </c>
      <c r="BA400" s="27" t="str">
        <f ca="1">IFERROR(__xludf.DUMMYFUNCTION("""COMPUTED_VALUE"""),"Parda")</f>
        <v>Parda</v>
      </c>
      <c r="BB400" s="27"/>
      <c r="BC400" s="27"/>
      <c r="BD400" s="27" t="str">
        <f ca="1">IFERROR(__xludf.DUMMYFUNCTION("""COMPUTED_VALUE"""),"Wilker Kildery Costa de Almeida, nasceu no dia 07 de junho de 1977, na cidade de Fortaleza, estado do Ceará. Filho de Estenio Rodrigues de Almeida (Motorista e vendedor) e Maria Aleide Costa de Almeida, cuja a profissão de educadora (pedagoga), me inspiro"&amp;"u a herdar de sua vocação o tino para a Educação. Me formei em Pedagogia pela Universidade Estadual Vale do Acaraú - UVA, onde descobri a importância de ser uma pessoa não somente influente, mas também relevante nessa geração.")</f>
        <v>Wilker Kildery Costa de Almeida, nasceu no dia 07 de junho de 1977, na cidade de Fortaleza, estado do Ceará. Filho de Estenio Rodrigues de Almeida (Motorista e vendedor) e Maria Aleide Costa de Almeida, cuja a profissão de educadora (pedagoga), me inspirou a herdar de sua vocação o tino para a Educação. Me formei em Pedagogia pela Universidade Estadual Vale do Acaraú - UVA, onde descobri a importância de ser uma pessoa não somente influente, mas também relevante nessa geração.</v>
      </c>
      <c r="BE400" s="27" t="str">
        <f ca="1">IFERROR(__xludf.DUMMYFUNCTION("""COMPUTED_VALUE"""),"Homem, cisgênero")</f>
        <v>Homem, cisgênero</v>
      </c>
      <c r="BF400" s="27" t="str">
        <f ca="1">IFERROR(__xludf.DUMMYFUNCTION("""COMPUTED_VALUE"""),"Heterossexual")</f>
        <v>Heterossexual</v>
      </c>
      <c r="BG400" s="27" t="str">
        <f ca="1">IFERROR(__xludf.DUMMYFUNCTION("""COMPUTED_VALUE"""),"Ensino Superior - Completo")</f>
        <v>Ensino Superior - Completo</v>
      </c>
      <c r="BH400" s="27" t="str">
        <f ca="1">IFERROR(__xludf.DUMMYFUNCTION("""COMPUTED_VALUE"""),"Privado")</f>
        <v>Privado</v>
      </c>
      <c r="BI400" s="27" t="str">
        <f ca="1">IFERROR(__xludf.DUMMYFUNCTION("""COMPUTED_VALUE"""),"Graduação")</f>
        <v>Graduação</v>
      </c>
      <c r="BJ400" s="27" t="str">
        <f ca="1">IFERROR(__xludf.DUMMYFUNCTION("""COMPUTED_VALUE"""),"Privado")</f>
        <v>Privado</v>
      </c>
      <c r="BK400" s="27" t="str">
        <f ca="1">IFERROR(__xludf.DUMMYFUNCTION("""COMPUTED_VALUE"""),"Rua 24 (Cj dos Bancários)")</f>
        <v>Rua 24 (Cj dos Bancários)</v>
      </c>
      <c r="BL400" s="27">
        <f ca="1">IFERROR(__xludf.DUMMYFUNCTION("""COMPUTED_VALUE"""),631)</f>
        <v>631</v>
      </c>
      <c r="BM400" s="27"/>
      <c r="BN400" s="27" t="str">
        <f ca="1">IFERROR(__xludf.DUMMYFUNCTION("""COMPUTED_VALUE"""),"Fortaleza")</f>
        <v>Fortaleza</v>
      </c>
      <c r="BO400" s="27" t="str">
        <f ca="1">IFERROR(__xludf.DUMMYFUNCTION("""COMPUTED_VALUE"""),"60348-450")</f>
        <v>60348-450</v>
      </c>
      <c r="BP400" s="27" t="str">
        <f ca="1">IFERROR(__xludf.DUMMYFUNCTION("""COMPUTED_VALUE"""),"CE")</f>
        <v>CE</v>
      </c>
      <c r="BQ400" s="27" t="str">
        <f ca="1">IFERROR(__xludf.DUMMYFUNCTION("""COMPUTED_VALUE"""),"Entre 1 até 3 salários mínimos")</f>
        <v>Entre 1 até 3 salários mínimos</v>
      </c>
      <c r="BR400" s="27" t="str">
        <f ca="1">IFERROR(__xludf.DUMMYFUNCTION("""COMPUTED_VALUE"""),"Desempregado")</f>
        <v>Desempregado</v>
      </c>
      <c r="BS400" s="27" t="str">
        <f ca="1">IFERROR(__xludf.DUMMYFUNCTION("""COMPUTED_VALUE"""),"Aluguel")</f>
        <v>Aluguel</v>
      </c>
      <c r="BT400" s="27">
        <f ca="1">IFERROR(__xludf.DUMMYFUNCTION("""COMPUTED_VALUE"""),5)</f>
        <v>5</v>
      </c>
      <c r="BU400" s="27" t="str">
        <f ca="1">IFERROR(__xludf.DUMMYFUNCTION("""COMPUTED_VALUE"""),"Não tem")</f>
        <v>Não tem</v>
      </c>
      <c r="BV400" s="27" t="str">
        <f ca="1">IFERROR(__xludf.DUMMYFUNCTION("""COMPUTED_VALUE"""),"Não")</f>
        <v>Não</v>
      </c>
      <c r="BW400" s="27"/>
      <c r="BX400" s="27" t="str">
        <f ca="1">IFERROR(__xludf.DUMMYFUNCTION("""COMPUTED_VALUE"""),"@pr.wil.kildery")</f>
        <v>@pr.wil.kildery</v>
      </c>
      <c r="BY400" s="21" t="str">
        <f ca="1">IFERROR(__xludf.DUMMYFUNCTION("""COMPUTED_VALUE"""),"https://drive.google.com/open?id=17ivgFZ9xSNJPixxu1U3-S3ySmpIEbZ1O")</f>
        <v>https://drive.google.com/open?id=17ivgFZ9xSNJPixxu1U3-S3ySmpIEbZ1O</v>
      </c>
    </row>
    <row r="401" spans="1:77" ht="12.5" x14ac:dyDescent="0.25">
      <c r="A401" s="21" t="str">
        <f ca="1">IFERROR(__xludf.DUMMYFUNCTION("""COMPUTED_VALUE"""),"0014P00003I7WH2QAN")</f>
        <v>0014P00003I7WH2QAN</v>
      </c>
      <c r="B401" s="27" t="str">
        <f ca="1">IFERROR(__xludf.DUMMYFUNCTION("""COMPUTED_VALUE"""),"Fase Estruturação")</f>
        <v>Fase Estruturação</v>
      </c>
      <c r="C401" s="27" t="str">
        <f ca="1">IFERROR(__xludf.DUMMYFUNCTION("""COMPUTED_VALUE"""),"Fellow")</f>
        <v>Fellow</v>
      </c>
      <c r="D401" s="27" t="str">
        <f ca="1">IFERROR(__xludf.DUMMYFUNCTION("""COMPUTED_VALUE"""),"Ativo")</f>
        <v>Ativo</v>
      </c>
      <c r="E401" s="27" t="str">
        <f ca="1">IFERROR(__xludf.DUMMYFUNCTION("""COMPUTED_VALUE"""),"Instituto PEB _projeto educa basquete")</f>
        <v>Instituto PEB _projeto educa basquete</v>
      </c>
      <c r="F401" s="27" t="str">
        <f ca="1">IFERROR(__xludf.DUMMYFUNCTION("""COMPUTED_VALUE"""),"Claudio")</f>
        <v>Claudio</v>
      </c>
      <c r="G401" s="27"/>
      <c r="H401" s="27">
        <f ca="1">IFERROR(__xludf.DUMMYFUNCTION("""COMPUTED_VALUE"""),31036828000123)</f>
        <v>31036828000123</v>
      </c>
      <c r="I401" s="27"/>
      <c r="J401" s="27" t="str">
        <f ca="1">IFERROR(__xludf.DUMMYFUNCTION("""COMPUTED_VALUE"""),"coordenacao@institutopeb.org.br")</f>
        <v>coordenacao@institutopeb.org.br</v>
      </c>
      <c r="K401" s="27" t="str">
        <f ca="1">IFERROR(__xludf.DUMMYFUNCTION("""COMPUTED_VALUE"""),"27 997016384")</f>
        <v>27 997016384</v>
      </c>
      <c r="L401" s="27" t="str">
        <f ca="1">IFERROR(__xludf.DUMMYFUNCTION("""COMPUTED_VALUE"""),"ES")</f>
        <v>ES</v>
      </c>
      <c r="M401" s="27" t="str">
        <f ca="1">IFERROR(__xludf.DUMMYFUNCTION("""COMPUTED_VALUE"""),"RUA DOS COLIBRIS, SN")</f>
        <v>RUA DOS COLIBRIS, SN</v>
      </c>
      <c r="N401" s="27"/>
      <c r="O401" s="27" t="str">
        <f ca="1">IFERROR(__xludf.DUMMYFUNCTION("""COMPUTED_VALUE"""),"(27)99899-0567")</f>
        <v>(27)99899-0567</v>
      </c>
      <c r="P401" s="27" t="str">
        <f ca="1">IFERROR(__xludf.DUMMYFUNCTION("""COMPUTED_VALUE"""),"SERRA")</f>
        <v>SERRA</v>
      </c>
      <c r="Q401" s="27"/>
      <c r="R401" s="27" t="str">
        <f ca="1">IFERROR(__xludf.DUMMYFUNCTION("""COMPUTED_VALUE"""),"29160-171")</f>
        <v>29160-171</v>
      </c>
      <c r="S401" s="27" t="str">
        <f ca="1">IFERROR(__xludf.DUMMYFUNCTION("""COMPUTED_VALUE"""),"Rua dos colibri S/n
Bairro Eurico Salles
Serra Es
Na associação de moradores")</f>
        <v>Rua dos colibri S/n
Bairro Eurico Salles
Serra Es
Na associação de moradores</v>
      </c>
      <c r="T401" s="27" t="str">
        <f ca="1">IFERROR(__xludf.DUMMYFUNCTION("""COMPUTED_VALUE"""),"Esporte; Educação; Assistência Social; Qualificação Profissional; Empreendedorismo; Defesa de Direitos; Desenvolvimento comunitário")</f>
        <v>Esporte; Educação; Assistência Social; Qualificação Profissional; Empreendedorismo; Defesa de Direitos; Desenvolvimento comunitário</v>
      </c>
      <c r="U401" s="27" t="str">
        <f ca="1">IFERROR(__xludf.DUMMYFUNCTION("""COMPUTED_VALUE"""),"Crianças (6 a 12 anos); Adolescentes (12 aos 18 anos); Jovens (18 aos 24 anos); Adultos")</f>
        <v>Crianças (6 a 12 anos); Adolescentes (12 aos 18 anos); Jovens (18 aos 24 anos); Adultos</v>
      </c>
      <c r="V401" s="27" t="str">
        <f ca="1">IFERROR(__xludf.DUMMYFUNCTION("""COMPUTED_VALUE"""),"Moradores de Favelas")</f>
        <v>Moradores de Favelas</v>
      </c>
      <c r="W401" s="27">
        <f ca="1">IFERROR(__xludf.DUMMYFUNCTION("""COMPUTED_VALUE"""),6)</f>
        <v>6</v>
      </c>
      <c r="X401" s="27"/>
      <c r="Y401" s="27"/>
      <c r="Z401" s="27"/>
      <c r="AA401" s="29">
        <f ca="1">IFERROR(__xludf.DUMMYFUNCTION("""COMPUTED_VALUE"""),42987)</f>
        <v>42987</v>
      </c>
      <c r="AB401" s="27" t="str">
        <f ca="1">IFERROR(__xludf.DUMMYFUNCTION("""COMPUTED_VALUE"""),"Sim")</f>
        <v>Sim</v>
      </c>
      <c r="AC401" s="27">
        <f ca="1">IFERROR(__xludf.DUMMYFUNCTION("""COMPUTED_VALUE"""),5)</f>
        <v>5</v>
      </c>
      <c r="AD401" s="27">
        <f ca="1">IFERROR(__xludf.DUMMYFUNCTION("""COMPUTED_VALUE"""),7)</f>
        <v>7</v>
      </c>
      <c r="AE401" s="27">
        <f ca="1">IFERROR(__xludf.DUMMYFUNCTION("""COMPUTED_VALUE"""),2)</f>
        <v>2</v>
      </c>
      <c r="AF401" s="27">
        <f ca="1">IFERROR(__xludf.DUMMYFUNCTION("""COMPUTED_VALUE"""),6)</f>
        <v>6</v>
      </c>
      <c r="AG401" s="27">
        <f ca="1">IFERROR(__xludf.DUMMYFUNCTION("""COMPUTED_VALUE"""),3)</f>
        <v>3</v>
      </c>
      <c r="AH401" s="27" t="str">
        <f ca="1">IFERROR(__xludf.DUMMYFUNCTION("""COMPUTED_VALUE"""),"Negócio Social; Convênio Público; Eventos/Ações para captação; Parceria iniciativa privada; Editais; Doações")</f>
        <v>Negócio Social; Convênio Público; Eventos/Ações para captação; Parceria iniciativa privada; Editais; Doações</v>
      </c>
      <c r="AI401" s="27" t="str">
        <f ca="1">IFERROR(__xludf.DUMMYFUNCTION("""COMPUTED_VALUE"""),"2% NEGOCIO SOCIAL / 30% CONVENIO PUBLICO / 1% EVENTOS/AÇÕES / 60% EDITAIS / 4% INICIATIVA PRIVADA / 3% DOAÇÕES")</f>
        <v>2% NEGOCIO SOCIAL / 30% CONVENIO PUBLICO / 1% EVENTOS/AÇÕES / 60% EDITAIS / 4% INICIATIVA PRIVADA / 3% DOAÇÕES</v>
      </c>
      <c r="AJ401" s="27" t="str">
        <f ca="1">IFERROR(__xludf.DUMMYFUNCTION("""COMPUTED_VALUE"""),"Não")</f>
        <v>Não</v>
      </c>
      <c r="AK401" s="27" t="str">
        <f ca="1">IFERROR(__xludf.DUMMYFUNCTION("""COMPUTED_VALUE"""),"Sim")</f>
        <v>Sim</v>
      </c>
      <c r="AL401" s="21" t="str">
        <f ca="1">IFERROR(__xludf.DUMMYFUNCTION("""COMPUTED_VALUE"""),"0034P00003uQScg")</f>
        <v>0034P00003uQScg</v>
      </c>
      <c r="AM401" s="27" t="str">
        <f ca="1">IFERROR(__xludf.DUMMYFUNCTION("""COMPUTED_VALUE"""),"Monteiro")</f>
        <v>Monteiro</v>
      </c>
      <c r="AN401" s="27" t="str">
        <f ca="1">IFERROR(__xludf.DUMMYFUNCTION("""COMPUTED_VALUE"""),"Ativo")</f>
        <v>Ativo</v>
      </c>
      <c r="AO401" s="29">
        <f ca="1">IFERROR(__xludf.DUMMYFUNCTION("""COMPUTED_VALUE"""),44375)</f>
        <v>44375</v>
      </c>
      <c r="AP401" s="27">
        <f ca="1">IFERROR(__xludf.DUMMYFUNCTION("""COMPUTED_VALUE"""),15)</f>
        <v>15</v>
      </c>
      <c r="AQ401" s="27" t="str">
        <f ca="1">IFERROR(__xludf.DUMMYFUNCTION("""COMPUTED_VALUE"""),"Segundo Semestre 2020")</f>
        <v>Segundo Semestre 2020</v>
      </c>
      <c r="AR401" s="27" t="str">
        <f ca="1">IFERROR(__xludf.DUMMYFUNCTION("""COMPUTED_VALUE"""),"claudio@institutopeb.org.br")</f>
        <v>claudio@institutopeb.org.br</v>
      </c>
      <c r="AS401" s="27" t="str">
        <f ca="1">IFERROR(__xludf.DUMMYFUNCTION("""COMPUTED_VALUE"""),"(27)99899-0567")</f>
        <v>(27)99899-0567</v>
      </c>
      <c r="AT401" s="29">
        <f ca="1">IFERROR(__xludf.DUMMYFUNCTION("""COMPUTED_VALUE"""),28750)</f>
        <v>28750</v>
      </c>
      <c r="AU401" s="27">
        <f ca="1">IFERROR(__xludf.DUMMYFUNCTION("""COMPUTED_VALUE"""),44)</f>
        <v>44</v>
      </c>
      <c r="AV401" s="27">
        <f ca="1">IFERROR(__xludf.DUMMYFUNCTION("""COMPUTED_VALUE"""),8491423770)</f>
        <v>8491423770</v>
      </c>
      <c r="AW401" s="27">
        <f ca="1">IFERROR(__xludf.DUMMYFUNCTION("""COMPUTED_VALUE"""),1468344)</f>
        <v>1468344</v>
      </c>
      <c r="AX401" s="27" t="str">
        <f ca="1">IFERROR(__xludf.DUMMYFUNCTION("""COMPUTED_VALUE"""),"Pedagogia")</f>
        <v>Pedagogia</v>
      </c>
      <c r="AY401" s="27" t="str">
        <f ca="1">IFERROR(__xludf.DUMMYFUNCTION("""COMPUTED_VALUE"""),"Coordenação")</f>
        <v>Coordenação</v>
      </c>
      <c r="AZ401" s="27" t="str">
        <f ca="1">IFERROR(__xludf.DUMMYFUNCTION("""COMPUTED_VALUE"""),"GG")</f>
        <v>GG</v>
      </c>
      <c r="BA401" s="27"/>
      <c r="BB401" s="27"/>
      <c r="BC401" s="27" t="str">
        <f ca="1">IFERROR(__xludf.DUMMYFUNCTION("""COMPUTED_VALUE"""),"Sim")</f>
        <v>Sim</v>
      </c>
      <c r="BD401" s="27" t="str">
        <f ca="1">IFERROR(__xludf.DUMMYFUNCTION("""COMPUTED_VALUE"""),"Amante do Basquete, conheceu o Esporte aos 10 anos, mas teve sua jornada interrompida pelo uso compulsivo de Drogas. Amargou consequências ruins até seus 24 anos, quando decidiu parar de usar. Deu a volta por cima, e depois de muito tempo resolveu retribu"&amp;"ir tudo que recebeu, criando o Instituto PEB. Hoje é Pai de Nicolas, adolescente gente boa com 16 anos, e é casado com Giovana, Psicóloga Clinica. Se dedica 100% ao Instituto e ama o que faz.")</f>
        <v>Amante do Basquete, conheceu o Esporte aos 10 anos, mas teve sua jornada interrompida pelo uso compulsivo de Drogas. Amargou consequências ruins até seus 24 anos, quando decidiu parar de usar. Deu a volta por cima, e depois de muito tempo resolveu retribuir tudo que recebeu, criando o Instituto PEB. Hoje é Pai de Nicolas, adolescente gente boa com 16 anos, e é casado com Giovana, Psicóloga Clinica. Se dedica 100% ao Instituto e ama o que faz.</v>
      </c>
      <c r="BE401" s="27"/>
      <c r="BF401" s="27"/>
      <c r="BG401" s="27" t="str">
        <f ca="1">IFERROR(__xludf.DUMMYFUNCTION("""COMPUTED_VALUE"""),"Ensino Superior - Completo")</f>
        <v>Ensino Superior - Completo</v>
      </c>
      <c r="BH401" s="27"/>
      <c r="BI401" s="27" t="str">
        <f ca="1">IFERROR(__xludf.DUMMYFUNCTION("""COMPUTED_VALUE"""),"Graduação")</f>
        <v>Graduação</v>
      </c>
      <c r="BJ401" s="27" t="str">
        <f ca="1">IFERROR(__xludf.DUMMYFUNCTION("""COMPUTED_VALUE"""),"Privado")</f>
        <v>Privado</v>
      </c>
      <c r="BK401" s="27" t="str">
        <f ca="1">IFERROR(__xludf.DUMMYFUNCTION("""COMPUTED_VALUE"""),"DOS TUCANOS")</f>
        <v>DOS TUCANOS</v>
      </c>
      <c r="BL401" s="27">
        <f ca="1">IFERROR(__xludf.DUMMYFUNCTION("""COMPUTED_VALUE"""),23)</f>
        <v>23</v>
      </c>
      <c r="BM401" s="27"/>
      <c r="BN401" s="27" t="str">
        <f ca="1">IFERROR(__xludf.DUMMYFUNCTION("""COMPUTED_VALUE"""),"SERRA")</f>
        <v>SERRA</v>
      </c>
      <c r="BO401" s="27" t="str">
        <f ca="1">IFERROR(__xludf.DUMMYFUNCTION("""COMPUTED_VALUE"""),"29160-168")</f>
        <v>29160-168</v>
      </c>
      <c r="BP401" s="27" t="str">
        <f ca="1">IFERROR(__xludf.DUMMYFUNCTION("""COMPUTED_VALUE"""),"ES")</f>
        <v>ES</v>
      </c>
      <c r="BQ401" s="27" t="str">
        <f ca="1">IFERROR(__xludf.DUMMYFUNCTION("""COMPUTED_VALUE"""),"De 3 até 5 salários mínimos")</f>
        <v>De 3 até 5 salários mínimos</v>
      </c>
      <c r="BR401" s="27" t="str">
        <f ca="1">IFERROR(__xludf.DUMMYFUNCTION("""COMPUTED_VALUE"""),"MEI; Funcionário Público")</f>
        <v>MEI; Funcionário Público</v>
      </c>
      <c r="BS401" s="27" t="str">
        <f ca="1">IFERROR(__xludf.DUMMYFUNCTION("""COMPUTED_VALUE"""),"Casa própria")</f>
        <v>Casa própria</v>
      </c>
      <c r="BT401" s="27">
        <f ca="1">IFERROR(__xludf.DUMMYFUNCTION("""COMPUTED_VALUE"""),3)</f>
        <v>3</v>
      </c>
      <c r="BU401" s="27"/>
      <c r="BV401" s="27"/>
      <c r="BW401" s="27"/>
      <c r="BX401" s="27" t="str">
        <f ca="1">IFERROR(__xludf.DUMMYFUNCTION("""COMPUTED_VALUE"""),"@CLAUDIOMENDESMONTEIRO")</f>
        <v>@CLAUDIOMENDESMONTEIRO</v>
      </c>
      <c r="BY401" s="21" t="str">
        <f ca="1">IFERROR(__xludf.DUMMYFUNCTION("""COMPUTED_VALUE"""),"https://drive.google.com/open?id=1bCYUxkM6ef8l_7RI17KrR9O3lpwXIry7")</f>
        <v>https://drive.google.com/open?id=1bCYUxkM6ef8l_7RI17KrR9O3lpwXIry7</v>
      </c>
    </row>
    <row r="402" spans="1:77" ht="12.5" x14ac:dyDescent="0.25">
      <c r="A402" s="21" t="str">
        <f ca="1">IFERROR(__xludf.DUMMYFUNCTION("""COMPUTED_VALUE"""),"0014X00002VKCulQAH")</f>
        <v>0014X00002VKCulQAH</v>
      </c>
      <c r="B402" s="27"/>
      <c r="C402" s="27" t="str">
        <f ca="1">IFERROR(__xludf.DUMMYFUNCTION("""COMPUTED_VALUE"""),"Fellow")</f>
        <v>Fellow</v>
      </c>
      <c r="D402" s="27" t="str">
        <f ca="1">IFERROR(__xludf.DUMMYFUNCTION("""COMPUTED_VALUE"""),"Ativo")</f>
        <v>Ativo</v>
      </c>
      <c r="E402" s="27" t="str">
        <f ca="1">IFERROR(__xludf.DUMMYFUNCTION("""COMPUTED_VALUE"""),"Instituto Pelicano")</f>
        <v>Instituto Pelicano</v>
      </c>
      <c r="F402" s="27" t="str">
        <f ca="1">IFERROR(__xludf.DUMMYFUNCTION("""COMPUTED_VALUE"""),"Jacqueline")</f>
        <v>Jacqueline</v>
      </c>
      <c r="G402" s="27" t="str">
        <f ca="1">IFERROR(__xludf.DUMMYFUNCTION("""COMPUTED_VALUE"""),"INSTITUTO PELICANO  SOLIDÁRIO")</f>
        <v>INSTITUTO PELICANO  SOLIDÁRIO</v>
      </c>
      <c r="H402" s="27"/>
      <c r="I402" s="27" t="str">
        <f ca="1">IFERROR(__xludf.DUMMYFUNCTION("""COMPUTED_VALUE"""),"Jacqueline R. S. Quiñelen")</f>
        <v>Jacqueline R. S. Quiñelen</v>
      </c>
      <c r="J402" s="27" t="str">
        <f ca="1">IFERROR(__xludf.DUMMYFUNCTION("""COMPUTED_VALUE"""),"contato.institutopelicano@gmail.com")</f>
        <v>contato.institutopelicano@gmail.com</v>
      </c>
      <c r="K402" s="27">
        <f ca="1">IFERROR(__xludf.DUMMYFUNCTION("""COMPUTED_VALUE"""),11983286001)</f>
        <v>11983286001</v>
      </c>
      <c r="L402" s="27" t="str">
        <f ca="1">IFERROR(__xludf.DUMMYFUNCTION("""COMPUTED_VALUE"""),"SP")</f>
        <v>SP</v>
      </c>
      <c r="M402" s="27" t="str">
        <f ca="1">IFERROR(__xludf.DUMMYFUNCTION("""COMPUTED_VALUE"""),"Rua Valdemir Pereira de Oliveira")</f>
        <v>Rua Valdemir Pereira de Oliveira</v>
      </c>
      <c r="N402" s="27" t="str">
        <f ca="1">IFERROR(__xludf.DUMMYFUNCTION("""COMPUTED_VALUE"""),"Jardim  Nova Conquista")</f>
        <v>Jardim  Nova Conquista</v>
      </c>
      <c r="O402" s="27">
        <f ca="1">IFERROR(__xludf.DUMMYFUNCTION("""COMPUTED_VALUE"""),125)</f>
        <v>125</v>
      </c>
      <c r="P402" s="27" t="str">
        <f ca="1">IFERROR(__xludf.DUMMYFUNCTION("""COMPUTED_VALUE"""),"São Paulo")</f>
        <v>São Paulo</v>
      </c>
      <c r="Q402" s="27"/>
      <c r="R402" s="27">
        <f ca="1">IFERROR(__xludf.DUMMYFUNCTION("""COMPUTED_VALUE"""),8346585)</f>
        <v>8346585</v>
      </c>
      <c r="S402" s="27"/>
      <c r="T402" s="27"/>
      <c r="U402" s="27"/>
      <c r="V402" s="27"/>
      <c r="W402" s="27">
        <f ca="1">IFERROR(__xludf.DUMMYFUNCTION("""COMPUTED_VALUE"""),3)</f>
        <v>3</v>
      </c>
      <c r="X402" s="27"/>
      <c r="Y402" s="27"/>
      <c r="Z402" s="27">
        <f ca="1">IFERROR(__xludf.DUMMYFUNCTION("""COMPUTED_VALUE"""),300)</f>
        <v>300</v>
      </c>
      <c r="AA402" s="29">
        <f ca="1">IFERROR(__xludf.DUMMYFUNCTION("""COMPUTED_VALUE"""),43156)</f>
        <v>43156</v>
      </c>
      <c r="AB402" s="27" t="str">
        <f ca="1">IFERROR(__xludf.DUMMYFUNCTION("""COMPUTED_VALUE"""),"Não")</f>
        <v>Não</v>
      </c>
      <c r="AC402" s="27"/>
      <c r="AD402" s="27"/>
      <c r="AE402" s="27">
        <f ca="1">IFERROR(__xludf.DUMMYFUNCTION("""COMPUTED_VALUE"""),10)</f>
        <v>10</v>
      </c>
      <c r="AF402" s="27"/>
      <c r="AG402" s="27">
        <f ca="1">IFERROR(__xludf.DUMMYFUNCTION("""COMPUTED_VALUE"""),1)</f>
        <v>1</v>
      </c>
      <c r="AH402" s="27"/>
      <c r="AI402" s="27"/>
      <c r="AJ402" s="27"/>
      <c r="AK402" s="27"/>
      <c r="AL402" s="21" t="str">
        <f ca="1">IFERROR(__xludf.DUMMYFUNCTION("""COMPUTED_VALUE"""),"0034X0000380O1K")</f>
        <v>0034X0000380O1K</v>
      </c>
      <c r="AM402" s="27" t="str">
        <f ca="1">IFERROR(__xludf.DUMMYFUNCTION("""COMPUTED_VALUE"""),"Rodrigues Souza Quiñelen")</f>
        <v>Rodrigues Souza Quiñelen</v>
      </c>
      <c r="AN402" s="27" t="str">
        <f ca="1">IFERROR(__xludf.DUMMYFUNCTION("""COMPUTED_VALUE"""),"Ativo")</f>
        <v>Ativo</v>
      </c>
      <c r="AO402" s="29">
        <f ca="1">IFERROR(__xludf.DUMMYFUNCTION("""COMPUTED_VALUE"""),44763)</f>
        <v>44763</v>
      </c>
      <c r="AP402" s="27">
        <f ca="1">IFERROR(__xludf.DUMMYFUNCTION("""COMPUTED_VALUE"""),2)</f>
        <v>2</v>
      </c>
      <c r="AQ402" s="27" t="str">
        <f ca="1">IFERROR(__xludf.DUMMYFUNCTION("""COMPUTED_VALUE"""),"Primeiro Semestre 2022")</f>
        <v>Primeiro Semestre 2022</v>
      </c>
      <c r="AR402" s="27" t="str">
        <f ca="1">IFERROR(__xludf.DUMMYFUNCTION("""COMPUTED_VALUE"""),"jackquinelen@gmail.com")</f>
        <v>jackquinelen@gmail.com</v>
      </c>
      <c r="AS402" s="27">
        <f ca="1">IFERROR(__xludf.DUMMYFUNCTION("""COMPUTED_VALUE"""),11983286001)</f>
        <v>11983286001</v>
      </c>
      <c r="AT402" s="29">
        <f ca="1">IFERROR(__xludf.DUMMYFUNCTION("""COMPUTED_VALUE"""),30412)</f>
        <v>30412</v>
      </c>
      <c r="AU402" s="27">
        <f ca="1">IFERROR(__xludf.DUMMYFUNCTION("""COMPUTED_VALUE"""),39)</f>
        <v>39</v>
      </c>
      <c r="AV402" s="27">
        <f ca="1">IFERROR(__xludf.DUMMYFUNCTION("""COMPUTED_VALUE"""),32137952831)</f>
        <v>32137952831</v>
      </c>
      <c r="AW402" s="27">
        <f ca="1">IFERROR(__xludf.DUMMYFUNCTION("""COMPUTED_VALUE"""),330706883)</f>
        <v>330706883</v>
      </c>
      <c r="AX402" s="27"/>
      <c r="AY402" s="27"/>
      <c r="AZ402" s="27" t="str">
        <f ca="1">IFERROR(__xludf.DUMMYFUNCTION("""COMPUTED_VALUE"""),"G")</f>
        <v>G</v>
      </c>
      <c r="BA402" s="27" t="str">
        <f ca="1">IFERROR(__xludf.DUMMYFUNCTION("""COMPUTED_VALUE"""),"Indígena")</f>
        <v>Indígena</v>
      </c>
      <c r="BB402" s="27"/>
      <c r="BC402" s="27"/>
      <c r="BD402" s="27" t="str">
        <f ca="1">IFERROR(__xludf.DUMMYFUNCTION("""COMPUTED_VALUE"""),"Jacqueline R.S Quiñelen nascida 04 de junho 1983* sou filha da Sra Cleide S. Sousa* baiana e Sr Marcelino Q. Cayuqueo* chileno.
Sou natural  de São Paulo* somos 9 irmãos por parte se mãe  e somos 14 por parte de pai.
Tive uma infância e adolescência difíc"&amp;"il  com a desestrutura familiar* fiquei grávida  aos 15 anos e aos 22 anos já está com 3 filhos.
Meu primeiro  emprego com registro  foi em 1999 em uma loja de  conveniência.
Meu separei do pai das crianças  em 2009 e no mesmo ano voltei para a escola par"&amp;"a concluir o segundo e o terceiro colegial* pois ele me impedia.
Tirei minha habilitacão* profissionalmente fui promovida.
Em 2012 conheci meu atual  marido tivemos um filho no final de 2013 e casamos oficialmente  em 2018.
No mesmo ano comecei a ver as n"&amp;"ecessidades e as dificuldades que os meus  filhos  tinham de cultura* lazer e inclusão social que existe na comunidade em vivemos.
Hoje a minha luta é  para desenvolver projetos que transformem a comunidade  em um lugar melhor  para se viver.
Por que  acr"&amp;"edito que com determinação e comprometimento podemos criar uma sociedade  melhor para as próximas  gerações.")</f>
        <v>Jacqueline R.S Quiñelen nascida 04 de junho 1983* sou filha da Sra Cleide S. Sousa* baiana e Sr Marcelino Q. Cayuqueo* chileno.
Sou natural  de São Paulo* somos 9 irmãos por parte se mãe  e somos 14 por parte de pai.
Tive uma infância e adolescência difícil  com a desestrutura familiar* fiquei grávida  aos 15 anos e aos 22 anos já está com 3 filhos.
Meu primeiro  emprego com registro  foi em 1999 em uma loja de  conveniência.
Meu separei do pai das crianças  em 2009 e no mesmo ano voltei para a escola para concluir o segundo e o terceiro colegial* pois ele me impedia.
Tirei minha habilitacão* profissionalmente fui promovida.
Em 2012 conheci meu atual  marido tivemos um filho no final de 2013 e casamos oficialmente  em 2018.
No mesmo ano comecei a ver as necessidades e as dificuldades que os meus  filhos  tinham de cultura* lazer e inclusão social que existe na comunidade em vivemos.
Hoje a minha luta é  para desenvolver projetos que transformem a comunidade  em um lugar melhor  para se viver.
Por que  acredito que com determinação e comprometimento podemos criar uma sociedade  melhor para as próximas  gerações.</v>
      </c>
      <c r="BE402" s="27" t="str">
        <f ca="1">IFERROR(__xludf.DUMMYFUNCTION("""COMPUTED_VALUE"""),"Feminino")</f>
        <v>Feminino</v>
      </c>
      <c r="BF402" s="27" t="str">
        <f ca="1">IFERROR(__xludf.DUMMYFUNCTION("""COMPUTED_VALUE"""),"Heterossexual")</f>
        <v>Heterossexual</v>
      </c>
      <c r="BG402" s="27"/>
      <c r="BH402" s="27" t="str">
        <f ca="1">IFERROR(__xludf.DUMMYFUNCTION("""COMPUTED_VALUE"""),"Público")</f>
        <v>Público</v>
      </c>
      <c r="BI402" s="27"/>
      <c r="BJ402" s="27"/>
      <c r="BK402" s="27" t="str">
        <f ca="1">IFERROR(__xludf.DUMMYFUNCTION("""COMPUTED_VALUE"""),"Rua Valdemir Pereira de Oliveira")</f>
        <v>Rua Valdemir Pereira de Oliveira</v>
      </c>
      <c r="BL402" s="27">
        <f ca="1">IFERROR(__xludf.DUMMYFUNCTION("""COMPUTED_VALUE"""),125)</f>
        <v>125</v>
      </c>
      <c r="BM402" s="27"/>
      <c r="BN402" s="27"/>
      <c r="BO402" s="27">
        <f ca="1">IFERROR(__xludf.DUMMYFUNCTION("""COMPUTED_VALUE"""),8346585)</f>
        <v>8346585</v>
      </c>
      <c r="BP402" s="27" t="str">
        <f ca="1">IFERROR(__xludf.DUMMYFUNCTION("""COMPUTED_VALUE"""),"SP")</f>
        <v>SP</v>
      </c>
      <c r="BQ402" s="27" t="str">
        <f ca="1">IFERROR(__xludf.DUMMYFUNCTION("""COMPUTED_VALUE"""),"Entre 1 até 3 salários mínimos")</f>
        <v>Entre 1 até 3 salários mínimos</v>
      </c>
      <c r="BR402" s="27" t="str">
        <f ca="1">IFERROR(__xludf.DUMMYFUNCTION("""COMPUTED_VALUE"""),"Trabalho informal")</f>
        <v>Trabalho informal</v>
      </c>
      <c r="BS402" s="27" t="str">
        <f ca="1">IFERROR(__xludf.DUMMYFUNCTION("""COMPUTED_VALUE"""),"Ocupação/Invasão")</f>
        <v>Ocupação/Invasão</v>
      </c>
      <c r="BT402" s="27">
        <f ca="1">IFERROR(__xludf.DUMMYFUNCTION("""COMPUTED_VALUE"""),5)</f>
        <v>5</v>
      </c>
      <c r="BU402" s="27" t="str">
        <f ca="1">IFERROR(__xludf.DUMMYFUNCTION("""COMPUTED_VALUE"""),"Não tem")</f>
        <v>Não tem</v>
      </c>
      <c r="BV402" s="27" t="str">
        <f ca="1">IFERROR(__xludf.DUMMYFUNCTION("""COMPUTED_VALUE"""),"Sim")</f>
        <v>Sim</v>
      </c>
      <c r="BW402" s="27"/>
      <c r="BX402" s="21" t="str">
        <f ca="1">IFERROR(__xludf.DUMMYFUNCTION("""COMPUTED_VALUE"""),"https://instagram.com/institutopelicano?utm_medium=copy_link")</f>
        <v>https://instagram.com/institutopelicano?utm_medium=copy_link</v>
      </c>
      <c r="BY402" s="21" t="str">
        <f ca="1">IFERROR(__xludf.DUMMYFUNCTION("""COMPUTED_VALUE"""),"https://drive.google.com/open?id=11hmuoV5By7TwSZEiox_U-pMWUecWMfTO")</f>
        <v>https://drive.google.com/open?id=11hmuoV5By7TwSZEiox_U-pMWUecWMfTO</v>
      </c>
    </row>
    <row r="403" spans="1:77" ht="12.5" hidden="1" x14ac:dyDescent="0.25">
      <c r="A403" s="21" t="str">
        <f ca="1">IFERROR(__xludf.DUMMYFUNCTION("""COMPUTED_VALUE"""),"0014X00002VKCtDQAX")</f>
        <v>0014X00002VKCtDQAX</v>
      </c>
      <c r="B403" s="27" t="str">
        <f ca="1">IFERROR(__xludf.DUMMYFUNCTION("""COMPUTED_VALUE"""),"Fase Inicial")</f>
        <v>Fase Inicial</v>
      </c>
      <c r="C403" s="27" t="str">
        <f ca="1">IFERROR(__xludf.DUMMYFUNCTION("""COMPUTED_VALUE"""),"Fellow")</f>
        <v>Fellow</v>
      </c>
      <c r="D403" s="27" t="str">
        <f ca="1">IFERROR(__xludf.DUMMYFUNCTION("""COMPUTED_VALUE"""),"Ativo")</f>
        <v>Ativo</v>
      </c>
      <c r="E403" s="27" t="str">
        <f ca="1">IFERROR(__xludf.DUMMYFUNCTION("""COMPUTED_VALUE"""),"INSTITUTO PORTAL DAS CORES")</f>
        <v>INSTITUTO PORTAL DAS CORES</v>
      </c>
      <c r="F403" s="27" t="str">
        <f ca="1">IFERROR(__xludf.DUMMYFUNCTION("""COMPUTED_VALUE"""),"Ana")</f>
        <v>Ana</v>
      </c>
      <c r="G403" s="27" t="str">
        <f ca="1">IFERROR(__xludf.DUMMYFUNCTION("""COMPUTED_VALUE"""),"INSTITUTO PORTAL DAS CORES")</f>
        <v>INSTITUTO PORTAL DAS CORES</v>
      </c>
      <c r="H403" s="27" t="str">
        <f ca="1">IFERROR(__xludf.DUMMYFUNCTION("""COMPUTED_VALUE"""),"33.235.392/0001-27")</f>
        <v>33.235.392/0001-27</v>
      </c>
      <c r="I403" s="27" t="str">
        <f ca="1">IFERROR(__xludf.DUMMYFUNCTION("""COMPUTED_VALUE"""),"Ana Claudia Pereira soared")</f>
        <v>Ana Claudia Pereira soared</v>
      </c>
      <c r="J403" s="27" t="str">
        <f ca="1">IFERROR(__xludf.DUMMYFUNCTION("""COMPUTED_VALUE"""),"coresportaldascores@gmail.com")</f>
        <v>coresportaldascores@gmail.com</v>
      </c>
      <c r="K403" s="27" t="str">
        <f ca="1">IFERROR(__xludf.DUMMYFUNCTION("""COMPUTED_VALUE"""),"(83)99376-5166")</f>
        <v>(83)99376-5166</v>
      </c>
      <c r="L403" s="27" t="str">
        <f ca="1">IFERROR(__xludf.DUMMYFUNCTION("""COMPUTED_VALUE"""),"PB")</f>
        <v>PB</v>
      </c>
      <c r="M403" s="27" t="str">
        <f ca="1">IFERROR(__xludf.DUMMYFUNCTION("""COMPUTED_VALUE"""),"Projetada")</f>
        <v>Projetada</v>
      </c>
      <c r="N403" s="27" t="str">
        <f ca="1">IFERROR(__xludf.DUMMYFUNCTION("""COMPUTED_VALUE"""),"Cento")</f>
        <v>Cento</v>
      </c>
      <c r="O403" s="27">
        <f ca="1">IFERROR(__xludf.DUMMYFUNCTION("""COMPUTED_VALUE"""),0)</f>
        <v>0</v>
      </c>
      <c r="P403" s="27" t="str">
        <f ca="1">IFERROR(__xludf.DUMMYFUNCTION("""COMPUTED_VALUE"""),"Belém")</f>
        <v>Belém</v>
      </c>
      <c r="Q403" s="27"/>
      <c r="R403" s="27" t="str">
        <f ca="1">IFERROR(__xludf.DUMMYFUNCTION("""COMPUTED_VALUE"""),"58255-000")</f>
        <v>58255-000</v>
      </c>
      <c r="S403" s="27" t="str">
        <f ca="1">IFERROR(__xludf.DUMMYFUNCTION("""COMPUTED_VALUE"""),"Não")</f>
        <v>Não</v>
      </c>
      <c r="T403" s="27"/>
      <c r="U403" s="27" t="str">
        <f ca="1">IFERROR(__xludf.DUMMYFUNCTION("""COMPUTED_VALUE"""),"Crianças (6 a 12 anos), Adolescentes (12 aos 18 anos)")</f>
        <v>Crianças (6 a 12 anos), Adolescentes (12 aos 18 anos)</v>
      </c>
      <c r="V403" s="27" t="str">
        <f ca="1">IFERROR(__xludf.DUMMYFUNCTION("""COMPUTED_VALUE"""),"Moradores de Favelas, Pessoas em situação de rua, População LGBTQ+")</f>
        <v>Moradores de Favelas, Pessoas em situação de rua, População LGBTQ+</v>
      </c>
      <c r="W403" s="27">
        <f ca="1">IFERROR(__xludf.DUMMYFUNCTION("""COMPUTED_VALUE"""),1)</f>
        <v>1</v>
      </c>
      <c r="X403" s="27" t="str">
        <f ca="1">IFERROR(__xludf.DUMMYFUNCTION("""COMPUTED_VALUE"""),"Mulheres em vulnerabilidade social")</f>
        <v>Mulheres em vulnerabilidade social</v>
      </c>
      <c r="Y403" s="27"/>
      <c r="Z403" s="27">
        <f ca="1">IFERROR(__xludf.DUMMYFUNCTION("""COMPUTED_VALUE"""),100)</f>
        <v>100</v>
      </c>
      <c r="AA403" s="29">
        <f ca="1">IFERROR(__xludf.DUMMYFUNCTION("""COMPUTED_VALUE"""),43521)</f>
        <v>43521</v>
      </c>
      <c r="AB403" s="27" t="str">
        <f ca="1">IFERROR(__xludf.DUMMYFUNCTION("""COMPUTED_VALUE"""),"Não")</f>
        <v>Não</v>
      </c>
      <c r="AC403" s="27">
        <f ca="1">IFERROR(__xludf.DUMMYFUNCTION("""COMPUTED_VALUE"""),5)</f>
        <v>5</v>
      </c>
      <c r="AD403" s="27">
        <f ca="1">IFERROR(__xludf.DUMMYFUNCTION("""COMPUTED_VALUE"""),5)</f>
        <v>5</v>
      </c>
      <c r="AE403" s="27">
        <f ca="1">IFERROR(__xludf.DUMMYFUNCTION("""COMPUTED_VALUE"""),5)</f>
        <v>5</v>
      </c>
      <c r="AF403" s="27">
        <f ca="1">IFERROR(__xludf.DUMMYFUNCTION("""COMPUTED_VALUE"""),5)</f>
        <v>5</v>
      </c>
      <c r="AG403" s="27">
        <f ca="1">IFERROR(__xludf.DUMMYFUNCTION("""COMPUTED_VALUE"""),2)</f>
        <v>2</v>
      </c>
      <c r="AH403" s="27" t="str">
        <f ca="1">IFERROR(__xludf.DUMMYFUNCTION("""COMPUTED_VALUE"""),"Editais, Doações")</f>
        <v>Editais, Doações</v>
      </c>
      <c r="AI403" s="27" t="str">
        <f ca="1">IFERROR(__xludf.DUMMYFUNCTION("""COMPUTED_VALUE"""),"50% editais 50%doacoes")</f>
        <v>50% editais 50%doacoes</v>
      </c>
      <c r="AJ403" s="27" t="str">
        <f ca="1">IFERROR(__xludf.DUMMYFUNCTION("""COMPUTED_VALUE"""),"Não")</f>
        <v>Não</v>
      </c>
      <c r="AK403" s="27"/>
      <c r="AL403" s="21" t="str">
        <f ca="1">IFERROR(__xludf.DUMMYFUNCTION("""COMPUTED_VALUE"""),"0034X0000380O4F")</f>
        <v>0034X0000380O4F</v>
      </c>
      <c r="AM403" s="27" t="str">
        <f ca="1">IFERROR(__xludf.DUMMYFUNCTION("""COMPUTED_VALUE"""),"Claudia pereira soares")</f>
        <v>Claudia pereira soares</v>
      </c>
      <c r="AN403" s="27" t="str">
        <f ca="1">IFERROR(__xludf.DUMMYFUNCTION("""COMPUTED_VALUE"""),"Ativo")</f>
        <v>Ativo</v>
      </c>
      <c r="AO403" s="29">
        <f ca="1">IFERROR(__xludf.DUMMYFUNCTION("""COMPUTED_VALUE"""),44763)</f>
        <v>44763</v>
      </c>
      <c r="AP403" s="27">
        <f ca="1">IFERROR(__xludf.DUMMYFUNCTION("""COMPUTED_VALUE"""),2)</f>
        <v>2</v>
      </c>
      <c r="AQ403" s="27" t="str">
        <f ca="1">IFERROR(__xludf.DUMMYFUNCTION("""COMPUTED_VALUE"""),"Primeiro Semestre 2022")</f>
        <v>Primeiro Semestre 2022</v>
      </c>
      <c r="AR403" s="27" t="str">
        <f ca="1">IFERROR(__xludf.DUMMYFUNCTION("""COMPUTED_VALUE"""),"ana.caups@gmail.com")</f>
        <v>ana.caups@gmail.com</v>
      </c>
      <c r="AS403" s="27">
        <f ca="1">IFERROR(__xludf.DUMMYFUNCTION("""COMPUTED_VALUE"""),83998532670)</f>
        <v>83998532670</v>
      </c>
      <c r="AT403" s="29">
        <f ca="1">IFERROR(__xludf.DUMMYFUNCTION("""COMPUTED_VALUE"""),29649)</f>
        <v>29649</v>
      </c>
      <c r="AU403" s="27">
        <f ca="1">IFERROR(__xludf.DUMMYFUNCTION("""COMPUTED_VALUE"""),41)</f>
        <v>41</v>
      </c>
      <c r="AV403" s="27">
        <f ca="1">IFERROR(__xludf.DUMMYFUNCTION("""COMPUTED_VALUE"""),3594328406)</f>
        <v>3594328406</v>
      </c>
      <c r="AW403" s="27">
        <f ca="1">IFERROR(__xludf.DUMMYFUNCTION("""COMPUTED_VALUE"""),1122969)</f>
        <v>1122969</v>
      </c>
      <c r="AX403" s="27"/>
      <c r="AY403" s="27"/>
      <c r="AZ403" s="27" t="str">
        <f ca="1">IFERROR(__xludf.DUMMYFUNCTION("""COMPUTED_VALUE"""),"M")</f>
        <v>M</v>
      </c>
      <c r="BA403" s="27" t="str">
        <f ca="1">IFERROR(__xludf.DUMMYFUNCTION("""COMPUTED_VALUE"""),"Branca")</f>
        <v>Branca</v>
      </c>
      <c r="BB403" s="27"/>
      <c r="BC403" s="27"/>
      <c r="BD403" s="27" t="str">
        <f ca="1">IFERROR(__xludf.DUMMYFUNCTION("""COMPUTED_VALUE"""),"Ana Cláudia Pereira Soares brasileira Bióloga* e cursando direito estando no 7 período  reside* atualmente* na cidade de Belém Estado da Paraíba. Trabalha como  voluntária do Instintuto Portal das cores sendo também presidente desta instituição* sem fins "&amp;"lucrativos* e tem como objetivo  ajudar famílias em vulnerabilidade social.")</f>
        <v>Ana Cláudia Pereira Soares brasileira Bióloga* e cursando direito estando no 7 período  reside* atualmente* na cidade de Belém Estado da Paraíba. Trabalha como  voluntária do Instintuto Portal das cores sendo também presidente desta instituição* sem fins lucrativos* e tem como objetivo  ajudar famílias em vulnerabilidade social.</v>
      </c>
      <c r="BE403" s="27" t="str">
        <f ca="1">IFERROR(__xludf.DUMMYFUNCTION("""COMPUTED_VALUE"""),"Feminino")</f>
        <v>Feminino</v>
      </c>
      <c r="BF403" s="27" t="str">
        <f ca="1">IFERROR(__xludf.DUMMYFUNCTION("""COMPUTED_VALUE"""),"Heterossexual")</f>
        <v>Heterossexual</v>
      </c>
      <c r="BG403" s="27"/>
      <c r="BH403" s="27" t="str">
        <f ca="1">IFERROR(__xludf.DUMMYFUNCTION("""COMPUTED_VALUE"""),"Privado")</f>
        <v>Privado</v>
      </c>
      <c r="BI403" s="27" t="str">
        <f ca="1">IFERROR(__xludf.DUMMYFUNCTION("""COMPUTED_VALUE"""),"Graduação")</f>
        <v>Graduação</v>
      </c>
      <c r="BJ403" s="27" t="str">
        <f ca="1">IFERROR(__xludf.DUMMYFUNCTION("""COMPUTED_VALUE"""),"Privado")</f>
        <v>Privado</v>
      </c>
      <c r="BK403" s="27" t="str">
        <f ca="1">IFERROR(__xludf.DUMMYFUNCTION("""COMPUTED_VALUE"""),"Raul Barbosa n11")</f>
        <v>Raul Barbosa n11</v>
      </c>
      <c r="BL403" s="27">
        <f ca="1">IFERROR(__xludf.DUMMYFUNCTION("""COMPUTED_VALUE"""),11)</f>
        <v>11</v>
      </c>
      <c r="BM403" s="27"/>
      <c r="BN403" s="27"/>
      <c r="BO403" s="27">
        <f ca="1">IFERROR(__xludf.DUMMYFUNCTION("""COMPUTED_VALUE"""),58255000)</f>
        <v>58255000</v>
      </c>
      <c r="BP403" s="27" t="str">
        <f ca="1">IFERROR(__xludf.DUMMYFUNCTION("""COMPUTED_VALUE"""),"PB")</f>
        <v>PB</v>
      </c>
      <c r="BQ403" s="27" t="str">
        <f ca="1">IFERROR(__xludf.DUMMYFUNCTION("""COMPUTED_VALUE"""),"Entre 1 até 3 salários mínimos")</f>
        <v>Entre 1 até 3 salários mínimos</v>
      </c>
      <c r="BR403" s="27" t="str">
        <f ca="1">IFERROR(__xludf.DUMMYFUNCTION("""COMPUTED_VALUE"""),"Funcionário Público")</f>
        <v>Funcionário Público</v>
      </c>
      <c r="BS403" s="27" t="str">
        <f ca="1">IFERROR(__xludf.DUMMYFUNCTION("""COMPUTED_VALUE"""),"Casa própria")</f>
        <v>Casa própria</v>
      </c>
      <c r="BT403" s="27">
        <f ca="1">IFERROR(__xludf.DUMMYFUNCTION("""COMPUTED_VALUE"""),1)</f>
        <v>1</v>
      </c>
      <c r="BU403" s="27" t="str">
        <f ca="1">IFERROR(__xludf.DUMMYFUNCTION("""COMPUTED_VALUE"""),"Baixa visão")</f>
        <v>Baixa visão</v>
      </c>
      <c r="BV403" s="27" t="str">
        <f ca="1">IFERROR(__xludf.DUMMYFUNCTION("""COMPUTED_VALUE"""),"Não")</f>
        <v>Não</v>
      </c>
      <c r="BW403" s="27"/>
      <c r="BX403" s="21" t="str">
        <f ca="1">IFERROR(__xludf.DUMMYFUNCTION("""COMPUTED_VALUE"""),"https://www.instagram.com/p/CHSxAqQF5YR/?utm_medium=copy_link")</f>
        <v>https://www.instagram.com/p/CHSxAqQF5YR/?utm_medium=copy_link</v>
      </c>
      <c r="BY403" s="21" t="str">
        <f ca="1">IFERROR(__xludf.DUMMYFUNCTION("""COMPUTED_VALUE"""),"https://drive.google.com/open?id=1WRIlpync4wfmuYPaJmDS6NpQvSbSRTG6")</f>
        <v>https://drive.google.com/open?id=1WRIlpync4wfmuYPaJmDS6NpQvSbSRTG6</v>
      </c>
    </row>
    <row r="404" spans="1:77" ht="12.5" x14ac:dyDescent="0.25">
      <c r="A404" s="21" t="str">
        <f ca="1">IFERROR(__xludf.DUMMYFUNCTION("""COMPUTED_VALUE"""),"0014X00002VKCrhQAH")</f>
        <v>0014X00002VKCrhQAH</v>
      </c>
      <c r="B404" s="27" t="str">
        <f ca="1">IFERROR(__xludf.DUMMYFUNCTION("""COMPUTED_VALUE"""),"Fase Inicial")</f>
        <v>Fase Inicial</v>
      </c>
      <c r="C404" s="27" t="str">
        <f ca="1">IFERROR(__xludf.DUMMYFUNCTION("""COMPUTED_VALUE"""),"Fellow")</f>
        <v>Fellow</v>
      </c>
      <c r="D404" s="27" t="str">
        <f ca="1">IFERROR(__xludf.DUMMYFUNCTION("""COMPUTED_VALUE"""),"Ativo")</f>
        <v>Ativo</v>
      </c>
      <c r="E404" s="27" t="str">
        <f ca="1">IFERROR(__xludf.DUMMYFUNCTION("""COMPUTED_VALUE"""),"Instituto Portal Social da Ponte")</f>
        <v>Instituto Portal Social da Ponte</v>
      </c>
      <c r="F404" s="27" t="str">
        <f ca="1">IFERROR(__xludf.DUMMYFUNCTION("""COMPUTED_VALUE"""),"Isis")</f>
        <v>Isis</v>
      </c>
      <c r="G404" s="27" t="str">
        <f ca="1">IFERROR(__xludf.DUMMYFUNCTION("""COMPUTED_VALUE"""),"O PORTAL")</f>
        <v>O PORTAL</v>
      </c>
      <c r="H404" s="27" t="str">
        <f ca="1">IFERROR(__xludf.DUMMYFUNCTION("""COMPUTED_VALUE"""),"39.821.813/0001-88")</f>
        <v>39.821.813/0001-88</v>
      </c>
      <c r="I404" s="27" t="str">
        <f ca="1">IFERROR(__xludf.DUMMYFUNCTION("""COMPUTED_VALUE"""),"Igor Sacha Florentino Cruz")</f>
        <v>Igor Sacha Florentino Cruz</v>
      </c>
      <c r="J404" s="27" t="str">
        <f ca="1">IFERROR(__xludf.DUMMYFUNCTION("""COMPUTED_VALUE"""),"contato@somosaponte.com")</f>
        <v>contato@somosaponte.com</v>
      </c>
      <c r="K404" s="27" t="str">
        <f ca="1">IFERROR(__xludf.DUMMYFUNCTION("""COMPUTED_VALUE"""),"(81)99996-4874")</f>
        <v>(81)99996-4874</v>
      </c>
      <c r="L404" s="27" t="str">
        <f ca="1">IFERROR(__xludf.DUMMYFUNCTION("""COMPUTED_VALUE"""),"PE")</f>
        <v>PE</v>
      </c>
      <c r="M404" s="27" t="str">
        <f ca="1">IFERROR(__xludf.DUMMYFUNCTION("""COMPUTED_VALUE"""),"Rua José  da Silva Lucena")</f>
        <v>Rua José  da Silva Lucena</v>
      </c>
      <c r="N404" s="27" t="str">
        <f ca="1">IFERROR(__xludf.DUMMYFUNCTION("""COMPUTED_VALUE"""),"Imbiribeira")</f>
        <v>Imbiribeira</v>
      </c>
      <c r="O404" s="27">
        <f ca="1">IFERROR(__xludf.DUMMYFUNCTION("""COMPUTED_VALUE"""),241)</f>
        <v>241</v>
      </c>
      <c r="P404" s="27" t="str">
        <f ca="1">IFERROR(__xludf.DUMMYFUNCTION("""COMPUTED_VALUE"""),"Recife")</f>
        <v>Recife</v>
      </c>
      <c r="Q404" s="27" t="str">
        <f ca="1">IFERROR(__xludf.DUMMYFUNCTION("""COMPUTED_VALUE"""),"Galpão")</f>
        <v>Galpão</v>
      </c>
      <c r="R404" s="27" t="str">
        <f ca="1">IFERROR(__xludf.DUMMYFUNCTION("""COMPUTED_VALUE"""),"51150-430")</f>
        <v>51150-430</v>
      </c>
      <c r="S404" s="27" t="str">
        <f ca="1">IFERROR(__xludf.DUMMYFUNCTION("""COMPUTED_VALUE"""),"Igreja do Bairro")</f>
        <v>Igreja do Bairro</v>
      </c>
      <c r="T404" s="27"/>
      <c r="U404" s="27" t="str">
        <f ca="1">IFERROR(__xludf.DUMMYFUNCTION("""COMPUTED_VALUE"""),"Crianças (6 a 12 anos), Adolescentes (12 aos 18 anos), Jovens (18 aos 24 anos), Adultos")</f>
        <v>Crianças (6 a 12 anos), Adolescentes (12 aos 18 anos), Jovens (18 aos 24 anos), Adultos</v>
      </c>
      <c r="V404" s="27" t="str">
        <f ca="1">IFERROR(__xludf.DUMMYFUNCTION("""COMPUTED_VALUE"""),"Moradores de Favelas, Pessoas em situação de rua")</f>
        <v>Moradores de Favelas, Pessoas em situação de rua</v>
      </c>
      <c r="W404" s="27">
        <f ca="1">IFERROR(__xludf.DUMMYFUNCTION("""COMPUTED_VALUE"""),2)</f>
        <v>2</v>
      </c>
      <c r="X404" s="27"/>
      <c r="Y404" s="27"/>
      <c r="Z404" s="27">
        <f ca="1">IFERROR(__xludf.DUMMYFUNCTION("""COMPUTED_VALUE"""),200)</f>
        <v>200</v>
      </c>
      <c r="AA404" s="29">
        <f ca="1">IFERROR(__xludf.DUMMYFUNCTION("""COMPUTED_VALUE"""),44043)</f>
        <v>44043</v>
      </c>
      <c r="AB404" s="27" t="str">
        <f ca="1">IFERROR(__xludf.DUMMYFUNCTION("""COMPUTED_VALUE"""),"Sim")</f>
        <v>Sim</v>
      </c>
      <c r="AC404" s="27">
        <f ca="1">IFERROR(__xludf.DUMMYFUNCTION("""COMPUTED_VALUE"""),6)</f>
        <v>6</v>
      </c>
      <c r="AD404" s="27">
        <f ca="1">IFERROR(__xludf.DUMMYFUNCTION("""COMPUTED_VALUE"""),12)</f>
        <v>12</v>
      </c>
      <c r="AE404" s="27">
        <f ca="1">IFERROR(__xludf.DUMMYFUNCTION("""COMPUTED_VALUE"""),20)</f>
        <v>20</v>
      </c>
      <c r="AF404" s="27">
        <f ca="1">IFERROR(__xludf.DUMMYFUNCTION("""COMPUTED_VALUE"""),15)</f>
        <v>15</v>
      </c>
      <c r="AG404" s="27">
        <f ca="1">IFERROR(__xludf.DUMMYFUNCTION("""COMPUTED_VALUE"""),5)</f>
        <v>5</v>
      </c>
      <c r="AH404" s="27" t="str">
        <f ca="1">IFERROR(__xludf.DUMMYFUNCTION("""COMPUTED_VALUE"""),"Eventos/Ações para captação, Parceria iniciativa privada, Editais, Doações, Recursos próprios")</f>
        <v>Eventos/Ações para captação, Parceria iniciativa privada, Editais, Doações, Recursos próprios</v>
      </c>
      <c r="AI404" s="27">
        <f ca="1">IFERROR(__xludf.DUMMYFUNCTION("""COMPUTED_VALUE"""),0)</f>
        <v>0</v>
      </c>
      <c r="AJ404" s="27" t="str">
        <f ca="1">IFERROR(__xludf.DUMMYFUNCTION("""COMPUTED_VALUE"""),"Vamos iniciar esse ano")</f>
        <v>Vamos iniciar esse ano</v>
      </c>
      <c r="AK404" s="27"/>
      <c r="AL404" s="21" t="str">
        <f ca="1">IFERROR(__xludf.DUMMYFUNCTION("""COMPUTED_VALUE"""),"0034X0000380O4Y")</f>
        <v>0034X0000380O4Y</v>
      </c>
      <c r="AM404" s="27" t="str">
        <f ca="1">IFERROR(__xludf.DUMMYFUNCTION("""COMPUTED_VALUE"""),"Monteiro cavalcanti dos santos")</f>
        <v>Monteiro cavalcanti dos santos</v>
      </c>
      <c r="AN404" s="27" t="str">
        <f ca="1">IFERROR(__xludf.DUMMYFUNCTION("""COMPUTED_VALUE"""),"Ativo")</f>
        <v>Ativo</v>
      </c>
      <c r="AO404" s="29">
        <f ca="1">IFERROR(__xludf.DUMMYFUNCTION("""COMPUTED_VALUE"""),44763)</f>
        <v>44763</v>
      </c>
      <c r="AP404" s="27">
        <f ca="1">IFERROR(__xludf.DUMMYFUNCTION("""COMPUTED_VALUE"""),2)</f>
        <v>2</v>
      </c>
      <c r="AQ404" s="27" t="str">
        <f ca="1">IFERROR(__xludf.DUMMYFUNCTION("""COMPUTED_VALUE"""),"Primeiro Semestre 2022")</f>
        <v>Primeiro Semestre 2022</v>
      </c>
      <c r="AR404" s="27" t="str">
        <f ca="1">IFERROR(__xludf.DUMMYFUNCTION("""COMPUTED_VALUE"""),"isismonteiroc@gmail.com")</f>
        <v>isismonteiroc@gmail.com</v>
      </c>
      <c r="AS404" s="27">
        <f ca="1">IFERROR(__xludf.DUMMYFUNCTION("""COMPUTED_VALUE"""),81999964874)</f>
        <v>81999964874</v>
      </c>
      <c r="AT404" s="29">
        <f ca="1">IFERROR(__xludf.DUMMYFUNCTION("""COMPUTED_VALUE"""),31433)</f>
        <v>31433</v>
      </c>
      <c r="AU404" s="27">
        <f ca="1">IFERROR(__xludf.DUMMYFUNCTION("""COMPUTED_VALUE"""),36)</f>
        <v>36</v>
      </c>
      <c r="AV404" s="27">
        <f ca="1">IFERROR(__xludf.DUMMYFUNCTION("""COMPUTED_VALUE"""),6134039403)</f>
        <v>6134039403</v>
      </c>
      <c r="AW404" s="27" t="str">
        <f ca="1">IFERROR(__xludf.DUMMYFUNCTION("""COMPUTED_VALUE"""),"7336609 SDS/PE")</f>
        <v>7336609 SDS/PE</v>
      </c>
      <c r="AX404" s="27"/>
      <c r="AY404" s="27"/>
      <c r="AZ404" s="27" t="str">
        <f ca="1">IFERROR(__xludf.DUMMYFUNCTION("""COMPUTED_VALUE"""),"M")</f>
        <v>M</v>
      </c>
      <c r="BA404" s="27" t="str">
        <f ca="1">IFERROR(__xludf.DUMMYFUNCTION("""COMPUTED_VALUE"""),"Parda")</f>
        <v>Parda</v>
      </c>
      <c r="BB404" s="27"/>
      <c r="BC404" s="27"/>
      <c r="BD404" s="27" t="str">
        <f ca="1">IFERROR(__xludf.DUMMYFUNCTION("""COMPUTED_VALUE"""),"Sou Isis* esposa de Wlisses e mãe de João Monteiro* filha de Sula e Ivo* sou irmã e também tia.
Sou coordenadora de Projetos Sociais no Instituto Portal Social da Ponte* amo escutar histórias e de alguma forma poder solucioná-las ou levar esperança*
Amo v"&amp;"er pessoas transformadas através das oportunidades.")</f>
        <v>Sou Isis* esposa de Wlisses e mãe de João Monteiro* filha de Sula e Ivo* sou irmã e também tia.
Sou coordenadora de Projetos Sociais no Instituto Portal Social da Ponte* amo escutar histórias e de alguma forma poder solucioná-las ou levar esperança*
Amo ver pessoas transformadas através das oportunidades.</v>
      </c>
      <c r="BE404" s="27" t="str">
        <f ca="1">IFERROR(__xludf.DUMMYFUNCTION("""COMPUTED_VALUE"""),"Feminino")</f>
        <v>Feminino</v>
      </c>
      <c r="BF404" s="27" t="str">
        <f ca="1">IFERROR(__xludf.DUMMYFUNCTION("""COMPUTED_VALUE"""),"Heterossexual")</f>
        <v>Heterossexual</v>
      </c>
      <c r="BG404" s="27"/>
      <c r="BH404" s="27" t="str">
        <f ca="1">IFERROR(__xludf.DUMMYFUNCTION("""COMPUTED_VALUE"""),"Privado")</f>
        <v>Privado</v>
      </c>
      <c r="BI404" s="27" t="str">
        <f ca="1">IFERROR(__xludf.DUMMYFUNCTION("""COMPUTED_VALUE"""),"Graduação")</f>
        <v>Graduação</v>
      </c>
      <c r="BJ404" s="27" t="str">
        <f ca="1">IFERROR(__xludf.DUMMYFUNCTION("""COMPUTED_VALUE"""),"Privado")</f>
        <v>Privado</v>
      </c>
      <c r="BK404" s="27" t="str">
        <f ca="1">IFERROR(__xludf.DUMMYFUNCTION("""COMPUTED_VALUE"""),"Rua Quarenta e Quatro")</f>
        <v>Rua Quarenta e Quatro</v>
      </c>
      <c r="BL404" s="27">
        <f ca="1">IFERROR(__xludf.DUMMYFUNCTION("""COMPUTED_VALUE"""),200)</f>
        <v>200</v>
      </c>
      <c r="BM404" s="27"/>
      <c r="BN404" s="27"/>
      <c r="BO404" s="27" t="str">
        <f ca="1">IFERROR(__xludf.DUMMYFUNCTION("""COMPUTED_VALUE"""),"53080-450")</f>
        <v>53080-450</v>
      </c>
      <c r="BP404" s="27" t="str">
        <f ca="1">IFERROR(__xludf.DUMMYFUNCTION("""COMPUTED_VALUE"""),"PE")</f>
        <v>PE</v>
      </c>
      <c r="BQ404" s="27" t="str">
        <f ca="1">IFERROR(__xludf.DUMMYFUNCTION("""COMPUTED_VALUE"""),"Entre 1 até 3 salários mínimos")</f>
        <v>Entre 1 até 3 salários mínimos</v>
      </c>
      <c r="BR404" s="27" t="str">
        <f ca="1">IFERROR(__xludf.DUMMYFUNCTION("""COMPUTED_VALUE"""),"MEI")</f>
        <v>MEI</v>
      </c>
      <c r="BS404" s="27" t="str">
        <f ca="1">IFERROR(__xludf.DUMMYFUNCTION("""COMPUTED_VALUE"""),"Casa cedida")</f>
        <v>Casa cedida</v>
      </c>
      <c r="BT404" s="27">
        <f ca="1">IFERROR(__xludf.DUMMYFUNCTION("""COMPUTED_VALUE"""),3)</f>
        <v>3</v>
      </c>
      <c r="BU404" s="27" t="str">
        <f ca="1">IFERROR(__xludf.DUMMYFUNCTION("""COMPUTED_VALUE"""),"Não tem")</f>
        <v>Não tem</v>
      </c>
      <c r="BV404" s="27" t="str">
        <f ca="1">IFERROR(__xludf.DUMMYFUNCTION("""COMPUTED_VALUE"""),"Não")</f>
        <v>Não</v>
      </c>
      <c r="BW404" s="27"/>
      <c r="BX404" s="27" t="str">
        <f ca="1">IFERROR(__xludf.DUMMYFUNCTION("""COMPUTED_VALUE"""),"@isismonteiroc@gmail.co")</f>
        <v>@isismonteiroc@gmail.co</v>
      </c>
      <c r="BY404" s="27"/>
    </row>
    <row r="405" spans="1:77" ht="12.5" x14ac:dyDescent="0.25">
      <c r="A405" s="21" t="str">
        <f ca="1">IFERROR(__xludf.DUMMYFUNCTION("""COMPUTED_VALUE"""),"0014X00002PUObkQAH")</f>
        <v>0014X00002PUObkQAH</v>
      </c>
      <c r="B405" s="27" t="str">
        <f ca="1">IFERROR(__xludf.DUMMYFUNCTION("""COMPUTED_VALUE"""),"Fase Inicial")</f>
        <v>Fase Inicial</v>
      </c>
      <c r="C405" s="27" t="str">
        <f ca="1">IFERROR(__xludf.DUMMYFUNCTION("""COMPUTED_VALUE"""),"Fellow")</f>
        <v>Fellow</v>
      </c>
      <c r="D405" s="27" t="str">
        <f ca="1">IFERROR(__xludf.DUMMYFUNCTION("""COMPUTED_VALUE"""),"Ativo")</f>
        <v>Ativo</v>
      </c>
      <c r="E405" s="27" t="str">
        <f ca="1">IFERROR(__xludf.DUMMYFUNCTION("""COMPUTED_VALUE"""),"Instituto Pra Todo Mundo")</f>
        <v>Instituto Pra Todo Mundo</v>
      </c>
      <c r="F405" s="27" t="str">
        <f ca="1">IFERROR(__xludf.DUMMYFUNCTION("""COMPUTED_VALUE"""),"Maria Jaciara")</f>
        <v>Maria Jaciara</v>
      </c>
      <c r="G405" s="27" t="str">
        <f ca="1">IFERROR(__xludf.DUMMYFUNCTION("""COMPUTED_VALUE"""),"SALUM - Associação Cristã de Desenvolvimento Social - Juntos Somos Mais")</f>
        <v>SALUM - Associação Cristã de Desenvolvimento Social - Juntos Somos Mais</v>
      </c>
      <c r="H405" s="27" t="str">
        <f ca="1">IFERROR(__xludf.DUMMYFUNCTION("""COMPUTED_VALUE"""),"27.267.085/0001-25")</f>
        <v>27.267.085/0001-25</v>
      </c>
      <c r="I405" s="27"/>
      <c r="J405" s="27" t="str">
        <f ca="1">IFERROR(__xludf.DUMMYFUNCTION("""COMPUTED_VALUE"""),"instituto@pratodomundo.org.br")</f>
        <v>instituto@pratodomundo.org.br</v>
      </c>
      <c r="K405" s="27">
        <f ca="1">IFERROR(__xludf.DUMMYFUNCTION("""COMPUTED_VALUE"""),11996124457)</f>
        <v>11996124457</v>
      </c>
      <c r="L405" s="27" t="str">
        <f ca="1">IFERROR(__xludf.DUMMYFUNCTION("""COMPUTED_VALUE"""),"MG")</f>
        <v>MG</v>
      </c>
      <c r="M405" s="27" t="str">
        <f ca="1">IFERROR(__xludf.DUMMYFUNCTION("""COMPUTED_VALUE"""),"Avenida Nossa Senhora dos Pobres")</f>
        <v>Avenida Nossa Senhora dos Pobres</v>
      </c>
      <c r="N405" s="27" t="str">
        <f ca="1">IFERROR(__xludf.DUMMYFUNCTION("""COMPUTED_VALUE"""),"Leliveldia")</f>
        <v>Leliveldia</v>
      </c>
      <c r="O405" s="27" t="str">
        <f ca="1">IFERROR(__xludf.DUMMYFUNCTION("""COMPUTED_VALUE"""),"(11)99612-4457")</f>
        <v>(11)99612-4457</v>
      </c>
      <c r="P405" s="27" t="str">
        <f ca="1">IFERROR(__xludf.DUMMYFUNCTION("""COMPUTED_VALUE"""),"Berilo")</f>
        <v>Berilo</v>
      </c>
      <c r="Q405" s="27"/>
      <c r="R405" s="27" t="str">
        <f ca="1">IFERROR(__xludf.DUMMYFUNCTION("""COMPUTED_VALUE"""),"39640-000")</f>
        <v>39640-000</v>
      </c>
      <c r="S405" s="27" t="str">
        <f ca="1">IFERROR(__xludf.DUMMYFUNCTION("""COMPUTED_VALUE"""),"Filial - Vale do Jequitinhonha")</f>
        <v>Filial - Vale do Jequitinhonha</v>
      </c>
      <c r="T405" s="27" t="str">
        <f ca="1">IFERROR(__xludf.DUMMYFUNCTION("""COMPUTED_VALUE"""),"Esporte; Educação; Assistência Social; Cultura; Qualificação Profissional; Empreendedorismo; Negócios Sociais; Desenvolvimento comunitário")</f>
        <v>Esporte; Educação; Assistência Social; Cultura; Qualificação Profissional; Empreendedorismo; Negócios Sociais; Desenvolvimento comunitário</v>
      </c>
      <c r="U405" s="27" t="str">
        <f ca="1">IFERROR(__xludf.DUMMYFUNCTION("""COMPUTED_VALUE"""),"Crianças (6 a 12 anos); Adolescentes (12 aos 18 anos); Jovens (18 aos 24 anos); Adultos")</f>
        <v>Crianças (6 a 12 anos); Adolescentes (12 aos 18 anos); Jovens (18 aos 24 anos); Adultos</v>
      </c>
      <c r="V405" s="27" t="str">
        <f ca="1">IFERROR(__xludf.DUMMYFUNCTION("""COMPUTED_VALUE"""),"Quilombola; Comunidade rural")</f>
        <v>Quilombola; Comunidade rural</v>
      </c>
      <c r="W405" s="27">
        <f ca="1">IFERROR(__xludf.DUMMYFUNCTION("""COMPUTED_VALUE"""),9)</f>
        <v>9</v>
      </c>
      <c r="X405" s="27" t="str">
        <f ca="1">IFERROR(__xludf.DUMMYFUNCTION("""COMPUTED_VALUE"""),"Quilombolas ;Moradores de favelas ;")</f>
        <v>Quilombolas ;Moradores de favelas ;</v>
      </c>
      <c r="Y405" s="27"/>
      <c r="Z405" s="27"/>
      <c r="AA405" s="27"/>
      <c r="AB405" s="27" t="str">
        <f ca="1">IFERROR(__xludf.DUMMYFUNCTION("""COMPUTED_VALUE"""),"Sim")</f>
        <v>Sim</v>
      </c>
      <c r="AC405" s="27">
        <f ca="1">IFERROR(__xludf.DUMMYFUNCTION("""COMPUTED_VALUE"""),0)</f>
        <v>0</v>
      </c>
      <c r="AD405" s="27">
        <f ca="1">IFERROR(__xludf.DUMMYFUNCTION("""COMPUTED_VALUE"""),0)</f>
        <v>0</v>
      </c>
      <c r="AE405" s="27">
        <f ca="1">IFERROR(__xludf.DUMMYFUNCTION("""COMPUTED_VALUE"""),5)</f>
        <v>5</v>
      </c>
      <c r="AF405" s="27">
        <f ca="1">IFERROR(__xludf.DUMMYFUNCTION("""COMPUTED_VALUE"""),3)</f>
        <v>3</v>
      </c>
      <c r="AG405" s="27">
        <f ca="1">IFERROR(__xludf.DUMMYFUNCTION("""COMPUTED_VALUE"""),6)</f>
        <v>6</v>
      </c>
      <c r="AH405" s="27" t="str">
        <f ca="1">IFERROR(__xludf.DUMMYFUNCTION("""COMPUTED_VALUE"""),"Negócio Social; Eventos/Ações para captação; Plataforma doação online - Pessoa Física; Editais; Doações; Recursos próprios")</f>
        <v>Negócio Social; Eventos/Ações para captação; Plataforma doação online - Pessoa Física; Editais; Doações; Recursos próprios</v>
      </c>
      <c r="AI405" s="27" t="str">
        <f ca="1">IFERROR(__xludf.DUMMYFUNCTION("""COMPUTED_VALUE"""),"Eventos / Ações para Captação 30% e Pessoas Físicas 70%")</f>
        <v>Eventos / Ações para Captação 30% e Pessoas Físicas 70%</v>
      </c>
      <c r="AJ405" s="27" t="str">
        <f ca="1">IFERROR(__xludf.DUMMYFUNCTION("""COMPUTED_VALUE"""),"Vamos iniciar esse ano")</f>
        <v>Vamos iniciar esse ano</v>
      </c>
      <c r="AK405" s="27" t="str">
        <f ca="1">IFERROR(__xludf.DUMMYFUNCTION("""COMPUTED_VALUE"""),"Não")</f>
        <v>Não</v>
      </c>
      <c r="AL405" s="21" t="str">
        <f ca="1">IFERROR(__xludf.DUMMYFUNCTION("""COMPUTED_VALUE"""),"0034X000032HsHf")</f>
        <v>0034X000032HsHf</v>
      </c>
      <c r="AM405" s="27" t="str">
        <f ca="1">IFERROR(__xludf.DUMMYFUNCTION("""COMPUTED_VALUE"""),"Jaciara De Oliveira Roberto")</f>
        <v>Jaciara De Oliveira Roberto</v>
      </c>
      <c r="AN405" s="27" t="str">
        <f ca="1">IFERROR(__xludf.DUMMYFUNCTION("""COMPUTED_VALUE"""),"Ativo")</f>
        <v>Ativo</v>
      </c>
      <c r="AO405" s="30">
        <f ca="1">IFERROR(__xludf.DUMMYFUNCTION("""COMPUTED_VALUE"""),44487)</f>
        <v>44487</v>
      </c>
      <c r="AP405" s="27">
        <f ca="1">IFERROR(__xludf.DUMMYFUNCTION("""COMPUTED_VALUE"""),11)</f>
        <v>11</v>
      </c>
      <c r="AQ405" s="27" t="str">
        <f ca="1">IFERROR(__xludf.DUMMYFUNCTION("""COMPUTED_VALUE"""),"Segundo Semestre 2020")</f>
        <v>Segundo Semestre 2020</v>
      </c>
      <c r="AR405" s="27" t="str">
        <f ca="1">IFERROR(__xludf.DUMMYFUNCTION("""COMPUTED_VALUE"""),"jacyara_kedi@hotmail.com")</f>
        <v>jacyara_kedi@hotmail.com</v>
      </c>
      <c r="AS405" s="27" t="str">
        <f ca="1">IFERROR(__xludf.DUMMYFUNCTION("""COMPUTED_VALUE"""),"(11)99612-4457")</f>
        <v>(11)99612-4457</v>
      </c>
      <c r="AT405" s="29">
        <f ca="1">IFERROR(__xludf.DUMMYFUNCTION("""COMPUTED_VALUE"""),31887)</f>
        <v>31887</v>
      </c>
      <c r="AU405" s="27">
        <f ca="1">IFERROR(__xludf.DUMMYFUNCTION("""COMPUTED_VALUE"""),35)</f>
        <v>35</v>
      </c>
      <c r="AV405" s="27">
        <f ca="1">IFERROR(__xludf.DUMMYFUNCTION("""COMPUTED_VALUE"""),23116132860)</f>
        <v>23116132860</v>
      </c>
      <c r="AW405" s="27">
        <f ca="1">IFERROR(__xludf.DUMMYFUNCTION("""COMPUTED_VALUE"""),446821561)</f>
        <v>446821561</v>
      </c>
      <c r="AX405" s="27"/>
      <c r="AY405" s="27"/>
      <c r="AZ405" s="27" t="str">
        <f ca="1">IFERROR(__xludf.DUMMYFUNCTION("""COMPUTED_VALUE"""),"P")</f>
        <v>P</v>
      </c>
      <c r="BA405" s="27"/>
      <c r="BB405" s="27"/>
      <c r="BC405" s="27" t="str">
        <f ca="1">IFERROR(__xludf.DUMMYFUNCTION("""COMPUTED_VALUE"""),"Sim")</f>
        <v>Sim</v>
      </c>
      <c r="BD405" s="27" t="str">
        <f ca="1">IFERROR(__xludf.DUMMYFUNCTION("""COMPUTED_VALUE"""),"Maria Jaciara de Oliveira Roberto, (34 anos), casada, mãe, assistente social e líder do Instituto Pra Todo Mundo.")</f>
        <v>Maria Jaciara de Oliveira Roberto, (34 anos), casada, mãe, assistente social e líder do Instituto Pra Todo Mundo.</v>
      </c>
      <c r="BE405" s="27" t="str">
        <f ca="1">IFERROR(__xludf.DUMMYFUNCTION("""COMPUTED_VALUE"""),"Feminino")</f>
        <v>Feminino</v>
      </c>
      <c r="BF405" s="27"/>
      <c r="BG405" s="27" t="str">
        <f ca="1">IFERROR(__xludf.DUMMYFUNCTION("""COMPUTED_VALUE"""),"Ensino Superior - Completo")</f>
        <v>Ensino Superior - Completo</v>
      </c>
      <c r="BH405" s="27" t="str">
        <f ca="1">IFERROR(__xludf.DUMMYFUNCTION("""COMPUTED_VALUE"""),"Público")</f>
        <v>Público</v>
      </c>
      <c r="BI405" s="27" t="str">
        <f ca="1">IFERROR(__xludf.DUMMYFUNCTION("""COMPUTED_VALUE"""),"Graduação")</f>
        <v>Graduação</v>
      </c>
      <c r="BJ405" s="27" t="str">
        <f ca="1">IFERROR(__xludf.DUMMYFUNCTION("""COMPUTED_VALUE"""),"Privado")</f>
        <v>Privado</v>
      </c>
      <c r="BK405" s="27" t="str">
        <f ca="1">IFERROR(__xludf.DUMMYFUNCTION("""COMPUTED_VALUE"""),"Avenida Nossa Senhora dos Pobres")</f>
        <v>Avenida Nossa Senhora dos Pobres</v>
      </c>
      <c r="BL405" s="27">
        <f ca="1">IFERROR(__xludf.DUMMYFUNCTION("""COMPUTED_VALUE"""),2)</f>
        <v>2</v>
      </c>
      <c r="BM405" s="27" t="str">
        <f ca="1">IFERROR(__xludf.DUMMYFUNCTION("""COMPUTED_VALUE"""),"Sobrado")</f>
        <v>Sobrado</v>
      </c>
      <c r="BN405" s="27" t="str">
        <f ca="1">IFERROR(__xludf.DUMMYFUNCTION("""COMPUTED_VALUE"""),"Berilo")</f>
        <v>Berilo</v>
      </c>
      <c r="BO405" s="27" t="str">
        <f ca="1">IFERROR(__xludf.DUMMYFUNCTION("""COMPUTED_VALUE"""),"39640-000")</f>
        <v>39640-000</v>
      </c>
      <c r="BP405" s="27" t="str">
        <f ca="1">IFERROR(__xludf.DUMMYFUNCTION("""COMPUTED_VALUE"""),"MG")</f>
        <v>MG</v>
      </c>
      <c r="BQ405" s="27" t="str">
        <f ca="1">IFERROR(__xludf.DUMMYFUNCTION("""COMPUTED_VALUE"""),"Entre 1 até 3 salários mínimos")</f>
        <v>Entre 1 até 3 salários mínimos</v>
      </c>
      <c r="BR405" s="27" t="str">
        <f ca="1">IFERROR(__xludf.DUMMYFUNCTION("""COMPUTED_VALUE"""),"Trabalho informal")</f>
        <v>Trabalho informal</v>
      </c>
      <c r="BS405" s="27" t="str">
        <f ca="1">IFERROR(__xludf.DUMMYFUNCTION("""COMPUTED_VALUE"""),"Aluguel")</f>
        <v>Aluguel</v>
      </c>
      <c r="BT405" s="27">
        <f ca="1">IFERROR(__xludf.DUMMYFUNCTION("""COMPUTED_VALUE"""),7)</f>
        <v>7</v>
      </c>
      <c r="BU405" s="27"/>
      <c r="BV405" s="27"/>
      <c r="BW405" s="27"/>
      <c r="BX405" s="21" t="str">
        <f ca="1">IFERROR(__xludf.DUMMYFUNCTION("""COMPUTED_VALUE"""),"https://www.instagram.com/jacyoliveira_iptm/")</f>
        <v>https://www.instagram.com/jacyoliveira_iptm/</v>
      </c>
      <c r="BY405" s="21" t="str">
        <f ca="1">IFERROR(__xludf.DUMMYFUNCTION("""COMPUTED_VALUE"""),"https://drive.google.com/open?id=1Z7KbZmjiLEaN79ADvCm9CubfaAzU67_G")</f>
        <v>https://drive.google.com/open?id=1Z7KbZmjiLEaN79ADvCm9CubfaAzU67_G</v>
      </c>
    </row>
    <row r="406" spans="1:77" ht="12.5" x14ac:dyDescent="0.25">
      <c r="A406" s="21" t="str">
        <f ca="1">IFERROR(__xludf.DUMMYFUNCTION("""COMPUTED_VALUE"""),"0014P00003SGWPoQAP")</f>
        <v>0014P00003SGWPoQAP</v>
      </c>
      <c r="B406" s="27" t="str">
        <f ca="1">IFERROR(__xludf.DUMMYFUNCTION("""COMPUTED_VALUE"""),"Fase Inicial")</f>
        <v>Fase Inicial</v>
      </c>
      <c r="C406" s="27" t="str">
        <f ca="1">IFERROR(__xludf.DUMMYFUNCTION("""COMPUTED_VALUE"""),"Acelerada")</f>
        <v>Acelerada</v>
      </c>
      <c r="D406" s="27" t="str">
        <f ca="1">IFERROR(__xludf.DUMMYFUNCTION("""COMPUTED_VALUE"""),"Ativo")</f>
        <v>Ativo</v>
      </c>
      <c r="E406" s="27" t="str">
        <f ca="1">IFERROR(__xludf.DUMMYFUNCTION("""COMPUTED_VALUE"""),"INSTITUTO PRIMEIRO ESTÁGIO DE ESPORTE CULTURA E EDUCAÇÃO")</f>
        <v>INSTITUTO PRIMEIRO ESTÁGIO DE ESPORTE CULTURA E EDUCAÇÃO</v>
      </c>
      <c r="F406" s="27" t="str">
        <f ca="1">IFERROR(__xludf.DUMMYFUNCTION("""COMPUTED_VALUE"""),"José")</f>
        <v>José</v>
      </c>
      <c r="G406" s="27" t="str">
        <f ca="1">IFERROR(__xludf.DUMMYFUNCTION("""COMPUTED_VALUE"""),"PRIMEIRO ESTÁGIO")</f>
        <v>PRIMEIRO ESTÁGIO</v>
      </c>
      <c r="H406" s="27" t="str">
        <f ca="1">IFERROR(__xludf.DUMMYFUNCTION("""COMPUTED_VALUE"""),"34.929.502/0001-13")</f>
        <v>34.929.502/0001-13</v>
      </c>
      <c r="I406" s="27" t="str">
        <f ca="1">IFERROR(__xludf.DUMMYFUNCTION("""COMPUTED_VALUE"""),"JOSE WELLTON DE SOUZA BRITO")</f>
        <v>JOSE WELLTON DE SOUZA BRITO</v>
      </c>
      <c r="J406" s="27" t="str">
        <f ca="1">IFERROR(__xludf.DUMMYFUNCTION("""COMPUTED_VALUE"""),"institutoprimeiroestagioce@gmail.com")</f>
        <v>institutoprimeiroestagioce@gmail.com</v>
      </c>
      <c r="K406" s="27" t="str">
        <f ca="1">IFERROR(__xludf.DUMMYFUNCTION("""COMPUTED_VALUE"""),"(88)99952-6976")</f>
        <v>(88)99952-6976</v>
      </c>
      <c r="L406" s="27" t="str">
        <f ca="1">IFERROR(__xludf.DUMMYFUNCTION("""COMPUTED_VALUE"""),"CE")</f>
        <v>CE</v>
      </c>
      <c r="M406" s="27" t="str">
        <f ca="1">IFERROR(__xludf.DUMMYFUNCTION("""COMPUTED_VALUE"""),"Rua Teixeira de Freitas N 295")</f>
        <v>Rua Teixeira de Freitas N 295</v>
      </c>
      <c r="N406" s="27" t="str">
        <f ca="1">IFERROR(__xludf.DUMMYFUNCTION("""COMPUTED_VALUE"""),"Centro")</f>
        <v>Centro</v>
      </c>
      <c r="O406" s="27" t="str">
        <f ca="1">IFERROR(__xludf.DUMMYFUNCTION("""COMPUTED_VALUE"""),"(88)99952-6976")</f>
        <v>(88)99952-6976</v>
      </c>
      <c r="P406" s="27" t="str">
        <f ca="1">IFERROR(__xludf.DUMMYFUNCTION("""COMPUTED_VALUE"""),"Quixeramobim")</f>
        <v>Quixeramobim</v>
      </c>
      <c r="Q406" s="27"/>
      <c r="R406" s="27" t="str">
        <f ca="1">IFERROR(__xludf.DUMMYFUNCTION("""COMPUTED_VALUE"""),"63800-000")</f>
        <v>63800-000</v>
      </c>
      <c r="S406" s="27" t="str">
        <f ca="1">IFERROR(__xludf.DUMMYFUNCTION("""COMPUTED_VALUE"""),"Av. Geraldo Bizarria de Carvalho s/n Conj. Industrial
Rua Dr. Gastão Falcão s/n Maravilha
Rua Antº. Pedro Santiago s/n Conj. Esperança
Rua Antonio Furtado Monteiro de Morais")</f>
        <v>Av. Geraldo Bizarria de Carvalho s/n Conj. Industrial
Rua Dr. Gastão Falcão s/n Maravilha
Rua Antº. Pedro Santiago s/n Conj. Esperança
Rua Antonio Furtado Monteiro de Morais</v>
      </c>
      <c r="T406" s="27" t="str">
        <f ca="1">IFERROR(__xludf.DUMMYFUNCTION("""COMPUTED_VALUE"""),"Esporte; Educação; Assistência Social; Qualificação Profissional")</f>
        <v>Esporte; Educação; Assistência Social; Qualificação Profissional</v>
      </c>
      <c r="U406" s="27" t="str">
        <f ca="1">IFERROR(__xludf.DUMMYFUNCTION("""COMPUTED_VALUE"""),"Crianças (6 a 12 anos); Adolescentes (12 aos 18 anos); Jovens (18 aos 24 anos)")</f>
        <v>Crianças (6 a 12 anos); Adolescentes (12 aos 18 anos); Jovens (18 aos 24 anos)</v>
      </c>
      <c r="V406" s="27" t="str">
        <f ca="1">IFERROR(__xludf.DUMMYFUNCTION("""COMPUTED_VALUE"""),"Comunidade rural")</f>
        <v>Comunidade rural</v>
      </c>
      <c r="W406" s="27">
        <f ca="1">IFERROR(__xludf.DUMMYFUNCTION("""COMPUTED_VALUE"""),14)</f>
        <v>14</v>
      </c>
      <c r="X406" s="27"/>
      <c r="Y406" s="27">
        <f ca="1">IFERROR(__xludf.DUMMYFUNCTION("""COMPUTED_VALUE"""),120)</f>
        <v>120</v>
      </c>
      <c r="Z406" s="27">
        <f ca="1">IFERROR(__xludf.DUMMYFUNCTION("""COMPUTED_VALUE"""),660)</f>
        <v>660</v>
      </c>
      <c r="AA406" s="29">
        <f ca="1">IFERROR(__xludf.DUMMYFUNCTION("""COMPUTED_VALUE"""),43806)</f>
        <v>43806</v>
      </c>
      <c r="AB406" s="27" t="str">
        <f ca="1">IFERROR(__xludf.DUMMYFUNCTION("""COMPUTED_VALUE"""),"Sim")</f>
        <v>Sim</v>
      </c>
      <c r="AC406" s="27">
        <f ca="1">IFERROR(__xludf.DUMMYFUNCTION("""COMPUTED_VALUE"""),0)</f>
        <v>0</v>
      </c>
      <c r="AD406" s="27">
        <f ca="1">IFERROR(__xludf.DUMMYFUNCTION("""COMPUTED_VALUE"""),0)</f>
        <v>0</v>
      </c>
      <c r="AE406" s="27">
        <f ca="1">IFERROR(__xludf.DUMMYFUNCTION("""COMPUTED_VALUE"""),9)</f>
        <v>9</v>
      </c>
      <c r="AF406" s="27">
        <f ca="1">IFERROR(__xludf.DUMMYFUNCTION("""COMPUTED_VALUE"""),3)</f>
        <v>3</v>
      </c>
      <c r="AG406" s="27">
        <f ca="1">IFERROR(__xludf.DUMMYFUNCTION("""COMPUTED_VALUE"""),2)</f>
        <v>2</v>
      </c>
      <c r="AH406" s="27" t="str">
        <f ca="1">IFERROR(__xludf.DUMMYFUNCTION("""COMPUTED_VALUE"""),"Outro(s); Recursos próprios")</f>
        <v>Outro(s); Recursos próprios</v>
      </c>
      <c r="AI406" s="27" t="str">
        <f ca="1">IFERROR(__xludf.DUMMYFUNCTION("""COMPUTED_VALUE"""),"Recursos Próprios 50%, Pessoa Física 50%")</f>
        <v>Recursos Próprios 50%, Pessoa Física 50%</v>
      </c>
      <c r="AJ406" s="27" t="str">
        <f ca="1">IFERROR(__xludf.DUMMYFUNCTION("""COMPUTED_VALUE"""),"Não")</f>
        <v>Não</v>
      </c>
      <c r="AK406" s="27" t="str">
        <f ca="1">IFERROR(__xludf.DUMMYFUNCTION("""COMPUTED_VALUE"""),"Não")</f>
        <v>Não</v>
      </c>
      <c r="AL406" s="21" t="str">
        <f ca="1">IFERROR(__xludf.DUMMYFUNCTION("""COMPUTED_VALUE"""),"0034P000043fPDk")</f>
        <v>0034P000043fPDk</v>
      </c>
      <c r="AM406" s="27" t="str">
        <f ca="1">IFERROR(__xludf.DUMMYFUNCTION("""COMPUTED_VALUE"""),"Wellton De Souza Brito")</f>
        <v>Wellton De Souza Brito</v>
      </c>
      <c r="AN406" s="27" t="str">
        <f ca="1">IFERROR(__xludf.DUMMYFUNCTION("""COMPUTED_VALUE"""),"Ativo")</f>
        <v>Ativo</v>
      </c>
      <c r="AO406" s="29">
        <f ca="1">IFERROR(__xludf.DUMMYFUNCTION("""COMPUTED_VALUE"""),44432)</f>
        <v>44432</v>
      </c>
      <c r="AP406" s="27">
        <f ca="1">IFERROR(__xludf.DUMMYFUNCTION("""COMPUTED_VALUE"""),13)</f>
        <v>13</v>
      </c>
      <c r="AQ406" s="27" t="str">
        <f ca="1">IFERROR(__xludf.DUMMYFUNCTION("""COMPUTED_VALUE"""),"Primeiro Semestre 2021")</f>
        <v>Primeiro Semestre 2021</v>
      </c>
      <c r="AR406" s="27" t="str">
        <f ca="1">IFERROR(__xludf.DUMMYFUNCTION("""COMPUTED_VALUE"""),"jwsbpersonal@hotmail.com")</f>
        <v>jwsbpersonal@hotmail.com</v>
      </c>
      <c r="AS406" s="27" t="str">
        <f ca="1">IFERROR(__xludf.DUMMYFUNCTION("""COMPUTED_VALUE"""),"(88)99952-6976")</f>
        <v>(88)99952-6976</v>
      </c>
      <c r="AT406" s="30">
        <f ca="1">IFERROR(__xludf.DUMMYFUNCTION("""COMPUTED_VALUE"""),32066)</f>
        <v>32066</v>
      </c>
      <c r="AU406" s="27">
        <f ca="1">IFERROR(__xludf.DUMMYFUNCTION("""COMPUTED_VALUE"""),35)</f>
        <v>35</v>
      </c>
      <c r="AV406" s="27">
        <f ca="1">IFERROR(__xludf.DUMMYFUNCTION("""COMPUTED_VALUE"""),2057633322)</f>
        <v>2057633322</v>
      </c>
      <c r="AW406" s="27">
        <f ca="1">IFERROR(__xludf.DUMMYFUNCTION("""COMPUTED_VALUE"""),2003021012119)</f>
        <v>2003021012119</v>
      </c>
      <c r="AX406" s="27" t="str">
        <f ca="1">IFERROR(__xludf.DUMMYFUNCTION("""COMPUTED_VALUE"""),"Educação Física")</f>
        <v>Educação Física</v>
      </c>
      <c r="AY406" s="27" t="str">
        <f ca="1">IFERROR(__xludf.DUMMYFUNCTION("""COMPUTED_VALUE"""),"Prefeitura Municipal de Quixeramobim")</f>
        <v>Prefeitura Municipal de Quixeramobim</v>
      </c>
      <c r="AZ406" s="27" t="str">
        <f ca="1">IFERROR(__xludf.DUMMYFUNCTION("""COMPUTED_VALUE"""),"GG")</f>
        <v>GG</v>
      </c>
      <c r="BA406" s="27" t="str">
        <f ca="1">IFERROR(__xludf.DUMMYFUNCTION("""COMPUTED_VALUE"""),"Preta")</f>
        <v>Preta</v>
      </c>
      <c r="BB406" s="27"/>
      <c r="BC406" s="27" t="str">
        <f ca="1">IFERROR(__xludf.DUMMYFUNCTION("""COMPUTED_VALUE"""),"Não")</f>
        <v>Não</v>
      </c>
      <c r="BD406" s="27" t="str">
        <f ca="1">IFERROR(__xludf.DUMMYFUNCTION("""COMPUTED_VALUE"""),"Wellton Brito, tenho 34 anos, investidor social, professor e sobretudo uma pessoa que acredita no potencial da turma que está sofrendo lá na ponta. 
Nordestino com orgulho, desde sempre entendi que minha missão é levar oportunidades para crianças e adoles"&amp;"centes da periferia e zona rural , do ""interior do interior"".")</f>
        <v>Wellton Brito, tenho 34 anos, investidor social, professor e sobretudo uma pessoa que acredita no potencial da turma que está sofrendo lá na ponta. 
Nordestino com orgulho, desde sempre entendi que minha missão é levar oportunidades para crianças e adolescentes da periferia e zona rural , do "interior do interior".</v>
      </c>
      <c r="BE406" s="27" t="str">
        <f ca="1">IFERROR(__xludf.DUMMYFUNCTION("""COMPUTED_VALUE"""),"Masculino")</f>
        <v>Masculino</v>
      </c>
      <c r="BF406" s="27" t="str">
        <f ca="1">IFERROR(__xludf.DUMMYFUNCTION("""COMPUTED_VALUE"""),"Homossexual")</f>
        <v>Homossexual</v>
      </c>
      <c r="BG406" s="27" t="str">
        <f ca="1">IFERROR(__xludf.DUMMYFUNCTION("""COMPUTED_VALUE"""),"Ensino Superior - Completo")</f>
        <v>Ensino Superior - Completo</v>
      </c>
      <c r="BH406" s="27"/>
      <c r="BI406" s="27" t="str">
        <f ca="1">IFERROR(__xludf.DUMMYFUNCTION("""COMPUTED_VALUE"""),"Pós-Graduação")</f>
        <v>Pós-Graduação</v>
      </c>
      <c r="BJ406" s="27" t="str">
        <f ca="1">IFERROR(__xludf.DUMMYFUNCTION("""COMPUTED_VALUE"""),"Privado")</f>
        <v>Privado</v>
      </c>
      <c r="BK406" s="27" t="str">
        <f ca="1">IFERROR(__xludf.DUMMYFUNCTION("""COMPUTED_VALUE"""),"Rua Teixeira de Freitas")</f>
        <v>Rua Teixeira de Freitas</v>
      </c>
      <c r="BL406" s="27">
        <f ca="1">IFERROR(__xludf.DUMMYFUNCTION("""COMPUTED_VALUE"""),295)</f>
        <v>295</v>
      </c>
      <c r="BM406" s="27" t="str">
        <f ca="1">IFERROR(__xludf.DUMMYFUNCTION("""COMPUTED_VALUE"""),"Casa 102")</f>
        <v>Casa 102</v>
      </c>
      <c r="BN406" s="27" t="str">
        <f ca="1">IFERROR(__xludf.DUMMYFUNCTION("""COMPUTED_VALUE"""),"Quixeramobim")</f>
        <v>Quixeramobim</v>
      </c>
      <c r="BO406" s="27" t="str">
        <f ca="1">IFERROR(__xludf.DUMMYFUNCTION("""COMPUTED_VALUE"""),"63800-000")</f>
        <v>63800-000</v>
      </c>
      <c r="BP406" s="27" t="str">
        <f ca="1">IFERROR(__xludf.DUMMYFUNCTION("""COMPUTED_VALUE"""),"CE")</f>
        <v>CE</v>
      </c>
      <c r="BQ406" s="27" t="str">
        <f ca="1">IFERROR(__xludf.DUMMYFUNCTION("""COMPUTED_VALUE"""),"De 3 até 5 salários mínimos")</f>
        <v>De 3 até 5 salários mínimos</v>
      </c>
      <c r="BR406" s="27" t="str">
        <f ca="1">IFERROR(__xludf.DUMMYFUNCTION("""COMPUTED_VALUE"""),"Funcionário Público")</f>
        <v>Funcionário Público</v>
      </c>
      <c r="BS406" s="27" t="str">
        <f ca="1">IFERROR(__xludf.DUMMYFUNCTION("""COMPUTED_VALUE"""),"Casa própria")</f>
        <v>Casa própria</v>
      </c>
      <c r="BT406" s="27">
        <f ca="1">IFERROR(__xludf.DUMMYFUNCTION("""COMPUTED_VALUE"""),3)</f>
        <v>3</v>
      </c>
      <c r="BU406" s="27"/>
      <c r="BV406" s="27"/>
      <c r="BW406" s="21" t="str">
        <f ca="1">IFERROR(__xludf.DUMMYFUNCTION("""COMPUTED_VALUE"""),"https://www.linkedin.com/in/wellton-brito-092536216/")</f>
        <v>https://www.linkedin.com/in/wellton-brito-092536216/</v>
      </c>
      <c r="BX406" s="21" t="str">
        <f ca="1">IFERROR(__xludf.DUMMYFUNCTION("""COMPUTED_VALUE"""),"https://www.instagram.com/wellton_brito/?hl=pt-br")</f>
        <v>https://www.instagram.com/wellton_brito/?hl=pt-br</v>
      </c>
      <c r="BY406" s="21" t="str">
        <f ca="1">IFERROR(__xludf.DUMMYFUNCTION("""COMPUTED_VALUE"""),"https://drive.google.com/open?id=1ONGUQeiHwav2gp4j1cpCsg_V2fZqdWLy")</f>
        <v>https://drive.google.com/open?id=1ONGUQeiHwav2gp4j1cpCsg_V2fZqdWLy</v>
      </c>
    </row>
    <row r="407" spans="1:77" ht="12.5" hidden="1" x14ac:dyDescent="0.25">
      <c r="A407" s="21" t="str">
        <f ca="1">IFERROR(__xludf.DUMMYFUNCTION("""COMPUTED_VALUE"""),"0014X00002VKCsnQAH")</f>
        <v>0014X00002VKCsnQAH</v>
      </c>
      <c r="B407" s="27" t="str">
        <f ca="1">IFERROR(__xludf.DUMMYFUNCTION("""COMPUTED_VALUE"""),"Fase Inicial")</f>
        <v>Fase Inicial</v>
      </c>
      <c r="C407" s="27" t="str">
        <f ca="1">IFERROR(__xludf.DUMMYFUNCTION("""COMPUTED_VALUE"""),"Fellow")</f>
        <v>Fellow</v>
      </c>
      <c r="D407" s="27" t="str">
        <f ca="1">IFERROR(__xludf.DUMMYFUNCTION("""COMPUTED_VALUE"""),"Ativo")</f>
        <v>Ativo</v>
      </c>
      <c r="E407" s="27" t="str">
        <f ca="1">IFERROR(__xludf.DUMMYFUNCTION("""COMPUTED_VALUE"""),"Instituto Projeto Cria - Cultura e Educação")</f>
        <v>Instituto Projeto Cria - Cultura e Educação</v>
      </c>
      <c r="F407" s="27" t="str">
        <f ca="1">IFERROR(__xludf.DUMMYFUNCTION("""COMPUTED_VALUE"""),"Laura")</f>
        <v>Laura</v>
      </c>
      <c r="G407" s="27" t="str">
        <f ca="1">IFERROR(__xludf.DUMMYFUNCTION("""COMPUTED_VALUE"""),"PROJETO CRIA")</f>
        <v>PROJETO CRIA</v>
      </c>
      <c r="H407" s="27" t="str">
        <f ca="1">IFERROR(__xludf.DUMMYFUNCTION("""COMPUTED_VALUE"""),"39.986.951/0001-17")</f>
        <v>39.986.951/0001-17</v>
      </c>
      <c r="I407" s="27" t="str">
        <f ca="1">IFERROR(__xludf.DUMMYFUNCTION("""COMPUTED_VALUE"""),"Laura Campos Braz")</f>
        <v>Laura Campos Braz</v>
      </c>
      <c r="J407" s="27" t="str">
        <f ca="1">IFERROR(__xludf.DUMMYFUNCTION("""COMPUTED_VALUE"""),"producaoprojetocria@gmail.com")</f>
        <v>producaoprojetocria@gmail.com</v>
      </c>
      <c r="K407" s="27" t="str">
        <f ca="1">IFERROR(__xludf.DUMMYFUNCTION("""COMPUTED_VALUE"""),"(21)96541-5006")</f>
        <v>(21)96541-5006</v>
      </c>
      <c r="L407" s="27" t="str">
        <f ca="1">IFERROR(__xludf.DUMMYFUNCTION("""COMPUTED_VALUE"""),"RJ")</f>
        <v>RJ</v>
      </c>
      <c r="M407" s="27" t="str">
        <f ca="1">IFERROR(__xludf.DUMMYFUNCTION("""COMPUTED_VALUE"""),"Rua Boas Vindas")</f>
        <v>Rua Boas Vindas</v>
      </c>
      <c r="N407" s="27" t="str">
        <f ca="1">IFERROR(__xludf.DUMMYFUNCTION("""COMPUTED_VALUE"""),"Caju")</f>
        <v>Caju</v>
      </c>
      <c r="O407" s="27">
        <f ca="1">IFERROR(__xludf.DUMMYFUNCTION("""COMPUTED_VALUE"""),10)</f>
        <v>10</v>
      </c>
      <c r="P407" s="27" t="str">
        <f ca="1">IFERROR(__xludf.DUMMYFUNCTION("""COMPUTED_VALUE"""),"Rio de Janeiro")</f>
        <v>Rio de Janeiro</v>
      </c>
      <c r="Q407" s="27" t="str">
        <f ca="1">IFERROR(__xludf.DUMMYFUNCTION("""COMPUTED_VALUE"""),"A")</f>
        <v>A</v>
      </c>
      <c r="R407" s="27" t="str">
        <f ca="1">IFERROR(__xludf.DUMMYFUNCTION("""COMPUTED_VALUE"""),"20931-024")</f>
        <v>20931-024</v>
      </c>
      <c r="S407" s="27" t="str">
        <f ca="1">IFERROR(__xludf.DUMMYFUNCTION("""COMPUTED_VALUE"""),"Não")</f>
        <v>Não</v>
      </c>
      <c r="T407" s="27"/>
      <c r="U407" s="27" t="str">
        <f ca="1">IFERROR(__xludf.DUMMYFUNCTION("""COMPUTED_VALUE"""),"Crianças bem pequenas (1 ano e 7 meses até 3 anos e 11 meses), Crianças pequenas (4 anos a 5 anos e 11 meses), Crianças (6 a 12 anos), Adolescentes (12 aos 18 anos), Jovens (18 aos 24 anos), Adultos")</f>
        <v>Crianças bem pequenas (1 ano e 7 meses até 3 anos e 11 meses), Crianças pequenas (4 anos a 5 anos e 11 meses), Crianças (6 a 12 anos), Adolescentes (12 aos 18 anos), Jovens (18 aos 24 anos), Adultos</v>
      </c>
      <c r="V407" s="27" t="str">
        <f ca="1">IFERROR(__xludf.DUMMYFUNCTION("""COMPUTED_VALUE"""),"Moradores de Favelas, População LGBTQ+, Afrodescendentes, Dependentes Químicos")</f>
        <v>Moradores de Favelas, População LGBTQ+, Afrodescendentes, Dependentes Químicos</v>
      </c>
      <c r="W407" s="27">
        <f ca="1">IFERROR(__xludf.DUMMYFUNCTION("""COMPUTED_VALUE"""),4)</f>
        <v>4</v>
      </c>
      <c r="X407" s="27" t="str">
        <f ca="1">IFERROR(__xludf.DUMMYFUNCTION("""COMPUTED_VALUE"""),"Todo o nosso trabalho acontece na favela do Parque Conquista* mas recebemos alunos de outras favelas do Caju e de outras periferias da cidade. Com as ações da Pandemia* chegamos a atender todas as 7 comunidades do Complexo.")</f>
        <v>Todo o nosso trabalho acontece na favela do Parque Conquista* mas recebemos alunos de outras favelas do Caju e de outras periferias da cidade. Com as ações da Pandemia* chegamos a atender todas as 7 comunidades do Complexo.</v>
      </c>
      <c r="Y407" s="27"/>
      <c r="Z407" s="27">
        <f ca="1">IFERROR(__xludf.DUMMYFUNCTION("""COMPUTED_VALUE"""),120)</f>
        <v>120</v>
      </c>
      <c r="AA407" s="29">
        <f ca="1">IFERROR(__xludf.DUMMYFUNCTION("""COMPUTED_VALUE"""),44167)</f>
        <v>44167</v>
      </c>
      <c r="AB407" s="27" t="str">
        <f ca="1">IFERROR(__xludf.DUMMYFUNCTION("""COMPUTED_VALUE"""),"Sim")</f>
        <v>Sim</v>
      </c>
      <c r="AC407" s="27">
        <f ca="1">IFERROR(__xludf.DUMMYFUNCTION("""COMPUTED_VALUE"""),7)</f>
        <v>7</v>
      </c>
      <c r="AD407" s="27">
        <f ca="1">IFERROR(__xludf.DUMMYFUNCTION("""COMPUTED_VALUE"""),7)</f>
        <v>7</v>
      </c>
      <c r="AE407" s="27">
        <f ca="1">IFERROR(__xludf.DUMMYFUNCTION("""COMPUTED_VALUE"""),20)</f>
        <v>20</v>
      </c>
      <c r="AF407" s="27">
        <f ca="1">IFERROR(__xludf.DUMMYFUNCTION("""COMPUTED_VALUE"""),38)</f>
        <v>38</v>
      </c>
      <c r="AG407" s="27">
        <f ca="1">IFERROR(__xludf.DUMMYFUNCTION("""COMPUTED_VALUE"""),3)</f>
        <v>3</v>
      </c>
      <c r="AH407" s="27" t="str">
        <f ca="1">IFERROR(__xludf.DUMMYFUNCTION("""COMPUTED_VALUE"""),"Negócio Social, Parceria iniciativa privada, Doações")</f>
        <v>Negócio Social, Parceria iniciativa privada, Doações</v>
      </c>
      <c r="AI407" s="27" t="str">
        <f ca="1">IFERROR(__xludf.DUMMYFUNCTION("""COMPUTED_VALUE"""),"96% iniciativa privada 3% negócio social 1%doações")</f>
        <v>96% iniciativa privada 3% negócio social 1%doações</v>
      </c>
      <c r="AJ407" s="27" t="str">
        <f ca="1">IFERROR(__xludf.DUMMYFUNCTION("""COMPUTED_VALUE"""),"Não")</f>
        <v>Não</v>
      </c>
      <c r="AK407" s="27"/>
      <c r="AL407" s="21" t="str">
        <f ca="1">IFERROR(__xludf.DUMMYFUNCTION("""COMPUTED_VALUE"""),"0034X0000380O16")</f>
        <v>0034X0000380O16</v>
      </c>
      <c r="AM407" s="27" t="str">
        <f ca="1">IFERROR(__xludf.DUMMYFUNCTION("""COMPUTED_VALUE"""),"Campos braz")</f>
        <v>Campos braz</v>
      </c>
      <c r="AN407" s="27" t="str">
        <f ca="1">IFERROR(__xludf.DUMMYFUNCTION("""COMPUTED_VALUE"""),"Ativo")</f>
        <v>Ativo</v>
      </c>
      <c r="AO407" s="29">
        <f ca="1">IFERROR(__xludf.DUMMYFUNCTION("""COMPUTED_VALUE"""),44763)</f>
        <v>44763</v>
      </c>
      <c r="AP407" s="27">
        <f ca="1">IFERROR(__xludf.DUMMYFUNCTION("""COMPUTED_VALUE"""),2)</f>
        <v>2</v>
      </c>
      <c r="AQ407" s="27" t="str">
        <f ca="1">IFERROR(__xludf.DUMMYFUNCTION("""COMPUTED_VALUE"""),"Primeiro Semestre 2022")</f>
        <v>Primeiro Semestre 2022</v>
      </c>
      <c r="AR407" s="27" t="str">
        <f ca="1">IFERROR(__xludf.DUMMYFUNCTION("""COMPUTED_VALUE"""),"lauracamposbraz@gmail.com")</f>
        <v>lauracamposbraz@gmail.com</v>
      </c>
      <c r="AS407" s="27">
        <f ca="1">IFERROR(__xludf.DUMMYFUNCTION("""COMPUTED_VALUE"""),21965415006)</f>
        <v>21965415006</v>
      </c>
      <c r="AT407" s="29">
        <f ca="1">IFERROR(__xludf.DUMMYFUNCTION("""COMPUTED_VALUE"""),32587)</f>
        <v>32587</v>
      </c>
      <c r="AU407" s="27">
        <f ca="1">IFERROR(__xludf.DUMMYFUNCTION("""COMPUTED_VALUE"""),33)</f>
        <v>33</v>
      </c>
      <c r="AV407" s="27">
        <f ca="1">IFERROR(__xludf.DUMMYFUNCTION("""COMPUTED_VALUE"""),12599843707)</f>
        <v>12599843707</v>
      </c>
      <c r="AW407" s="27" t="str">
        <f ca="1">IFERROR(__xludf.DUMMYFUNCTION("""COMPUTED_VALUE"""),"22.237.035-5")</f>
        <v>22.237.035-5</v>
      </c>
      <c r="AX407" s="27"/>
      <c r="AY407" s="27"/>
      <c r="AZ407" s="27" t="str">
        <f ca="1">IFERROR(__xludf.DUMMYFUNCTION("""COMPUTED_VALUE"""),"P")</f>
        <v>P</v>
      </c>
      <c r="BA407" s="27" t="str">
        <f ca="1">IFERROR(__xludf.DUMMYFUNCTION("""COMPUTED_VALUE"""),"Branca")</f>
        <v>Branca</v>
      </c>
      <c r="BB407" s="27"/>
      <c r="BC407" s="27"/>
      <c r="BD407" s="27" t="str">
        <f ca="1">IFERROR(__xludf.DUMMYFUNCTION("""COMPUTED_VALUE"""),"Laura Campos Braz* nasceu na cidade de Bom Jardim* interior do Rio de Janeiro* é Atriz e Educadora* com 14 anos de carreira* sendo 10 deles de atuação nas periferias do Rio de Janeiro. 
Formada em Licenciatura em Teatro* Laura é a Diretora Fundadora do Pr"&amp;"ojeto 
Cria e criadora do Método Cria* uma metodologia inovadora de ensino que une o teatro com elementos inspirados na Pedagogia Waldorf.
Atuou como atriz em diversos espetáculos e foi integrante do Grupo Cultural Afroreggae por 6 anos* onde participou d"&amp;"o premiado espetáculo infantil ""A Onça e o Bode"" ganhador do FITA 2014 na categoria Melhor Espetáculo Infantil. 
Como professora de teatro* atuou por 3 anos nas Escolas Públicas do Rio de 
Janeiro e foi professora de teatro do Grupo Cultural AfroReggae*"&amp;" no Complexo de Favelas 
do Caju* por 2 anos. Com o fechamento do núcleo no Caju* fundou em 2018 o Projeto 
Cria.Laura nasceu em Bom Jardim* interior do Rio de Janeiro. 
Como Coordenadora do Cria* Laura participou do Co.Impacto* programa de aceleração soc"&amp;"ial do Instituto Ekloos e da 5ª edição do Potencialize.
Na pandemia do Covid -19* impactou a vida de mais de 5.000 pessoas* realizando diversos projetos na comunidade do Caju e distribuindo mais de 50 toneladas de alimentos.")</f>
        <v>Laura Campos Braz* nasceu na cidade de Bom Jardim* interior do Rio de Janeiro* é Atriz e Educadora* com 14 anos de carreira* sendo 10 deles de atuação nas periferias do Rio de Janeiro. 
Formada em Licenciatura em Teatro* Laura é a Diretora Fundadora do Projeto 
Cria e criadora do Método Cria* uma metodologia inovadora de ensino que une o teatro com elementos inspirados na Pedagogia Waldorf.
Atuou como atriz em diversos espetáculos e foi integrante do Grupo Cultural Afroreggae por 6 anos* onde participou do premiado espetáculo infantil "A Onça e o Bode" ganhador do FITA 2014 na categoria Melhor Espetáculo Infantil. 
Como professora de teatro* atuou por 3 anos nas Escolas Públicas do Rio de 
Janeiro e foi professora de teatro do Grupo Cultural AfroReggae* no Complexo de Favelas 
do Caju* por 2 anos. Com o fechamento do núcleo no Caju* fundou em 2018 o Projeto 
Cria.Laura nasceu em Bom Jardim* interior do Rio de Janeiro. 
Como Coordenadora do Cria* Laura participou do Co.Impacto* programa de aceleração social do Instituto Ekloos e da 5ª edição do Potencialize.
Na pandemia do Covid -19* impactou a vida de mais de 5.000 pessoas* realizando diversos projetos na comunidade do Caju e distribuindo mais de 50 toneladas de alimentos.</v>
      </c>
      <c r="BE407" s="27" t="str">
        <f ca="1">IFERROR(__xludf.DUMMYFUNCTION("""COMPUTED_VALUE"""),"Feminino")</f>
        <v>Feminino</v>
      </c>
      <c r="BF407" s="27" t="str">
        <f ca="1">IFERROR(__xludf.DUMMYFUNCTION("""COMPUTED_VALUE"""),"Bissexual")</f>
        <v>Bissexual</v>
      </c>
      <c r="BG407" s="27"/>
      <c r="BH407" s="27" t="str">
        <f ca="1">IFERROR(__xludf.DUMMYFUNCTION("""COMPUTED_VALUE"""),"Privado")</f>
        <v>Privado</v>
      </c>
      <c r="BI407" s="27" t="str">
        <f ca="1">IFERROR(__xludf.DUMMYFUNCTION("""COMPUTED_VALUE"""),"Graduação")</f>
        <v>Graduação</v>
      </c>
      <c r="BJ407" s="27" t="str">
        <f ca="1">IFERROR(__xludf.DUMMYFUNCTION("""COMPUTED_VALUE"""),"Privado")</f>
        <v>Privado</v>
      </c>
      <c r="BK407" s="27" t="str">
        <f ca="1">IFERROR(__xludf.DUMMYFUNCTION("""COMPUTED_VALUE"""),"Rua José Higino")</f>
        <v>Rua José Higino</v>
      </c>
      <c r="BL407" s="27">
        <f ca="1">IFERROR(__xludf.DUMMYFUNCTION("""COMPUTED_VALUE"""),90)</f>
        <v>90</v>
      </c>
      <c r="BM407" s="27">
        <f ca="1">IFERROR(__xludf.DUMMYFUNCTION("""COMPUTED_VALUE"""),104)</f>
        <v>104</v>
      </c>
      <c r="BN407" s="27"/>
      <c r="BO407" s="27">
        <f ca="1">IFERROR(__xludf.DUMMYFUNCTION("""COMPUTED_VALUE"""),20520202)</f>
        <v>20520202</v>
      </c>
      <c r="BP407" s="27" t="str">
        <f ca="1">IFERROR(__xludf.DUMMYFUNCTION("""COMPUTED_VALUE"""),"RJ")</f>
        <v>RJ</v>
      </c>
      <c r="BQ407" s="27" t="str">
        <f ca="1">IFERROR(__xludf.DUMMYFUNCTION("""COMPUTED_VALUE"""),"Entre 1 até 3 salários mínimos")</f>
        <v>Entre 1 até 3 salários mínimos</v>
      </c>
      <c r="BR407" s="27" t="str">
        <f ca="1">IFERROR(__xludf.DUMMYFUNCTION("""COMPUTED_VALUE"""),"MEI")</f>
        <v>MEI</v>
      </c>
      <c r="BS407" s="27" t="str">
        <f ca="1">IFERROR(__xludf.DUMMYFUNCTION("""COMPUTED_VALUE"""),"Aluguel")</f>
        <v>Aluguel</v>
      </c>
      <c r="BT407" s="27">
        <f ca="1">IFERROR(__xludf.DUMMYFUNCTION("""COMPUTED_VALUE"""),1)</f>
        <v>1</v>
      </c>
      <c r="BU407" s="27" t="str">
        <f ca="1">IFERROR(__xludf.DUMMYFUNCTION("""COMPUTED_VALUE"""),"Não tem")</f>
        <v>Não tem</v>
      </c>
      <c r="BV407" s="27" t="str">
        <f ca="1">IFERROR(__xludf.DUMMYFUNCTION("""COMPUTED_VALUE"""),"Não")</f>
        <v>Não</v>
      </c>
      <c r="BW407" s="21" t="str">
        <f ca="1">IFERROR(__xludf.DUMMYFUNCTION("""COMPUTED_VALUE"""),"https://www.linkedin.com/in/laura-campos-braz-908957200/")</f>
        <v>https://www.linkedin.com/in/laura-campos-braz-908957200/</v>
      </c>
      <c r="BX407" s="21" t="str">
        <f ca="1">IFERROR(__xludf.DUMMYFUNCTION("""COMPUTED_VALUE"""),"https://www.instagram.com/lauracamposbraz/")</f>
        <v>https://www.instagram.com/lauracamposbraz/</v>
      </c>
      <c r="BY407" s="21" t="str">
        <f ca="1">IFERROR(__xludf.DUMMYFUNCTION("""COMPUTED_VALUE"""),"https://drive.google.com/open?id=1jQXmdPzTBbgNUtYRc1mMWu5tOQMy8c9u")</f>
        <v>https://drive.google.com/open?id=1jQXmdPzTBbgNUtYRc1mMWu5tOQMy8c9u</v>
      </c>
    </row>
    <row r="408" spans="1:77" ht="12.5" x14ac:dyDescent="0.25">
      <c r="A408" s="21" t="str">
        <f ca="1">IFERROR(__xludf.DUMMYFUNCTION("""COMPUTED_VALUE"""),"0014P00003YSp9lQAD")</f>
        <v>0014P00003YSp9lQAD</v>
      </c>
      <c r="B408" s="27" t="str">
        <f ca="1">IFERROR(__xludf.DUMMYFUNCTION("""COMPUTED_VALUE"""),"Fase Inicial")</f>
        <v>Fase Inicial</v>
      </c>
      <c r="C408" s="27" t="str">
        <f ca="1">IFERROR(__xludf.DUMMYFUNCTION("""COMPUTED_VALUE"""),"Fellow")</f>
        <v>Fellow</v>
      </c>
      <c r="D408" s="27" t="str">
        <f ca="1">IFERROR(__xludf.DUMMYFUNCTION("""COMPUTED_VALUE"""),"Ativo")</f>
        <v>Ativo</v>
      </c>
      <c r="E408" s="27" t="str">
        <f ca="1">IFERROR(__xludf.DUMMYFUNCTION("""COMPUTED_VALUE"""),"Instituto Pro Mais")</f>
        <v>Instituto Pro Mais</v>
      </c>
      <c r="F408" s="27" t="str">
        <f ca="1">IFERROR(__xludf.DUMMYFUNCTION("""COMPUTED_VALUE"""),"Alcides")</f>
        <v>Alcides</v>
      </c>
      <c r="G408" s="27"/>
      <c r="H408" s="27"/>
      <c r="I408" s="27" t="str">
        <f ca="1">IFERROR(__xludf.DUMMYFUNCTION("""COMPUTED_VALUE"""),"Alcides Paes do Prado Junior")</f>
        <v>Alcides Paes do Prado Junior</v>
      </c>
      <c r="J408" s="27" t="str">
        <f ca="1">IFERROR(__xludf.DUMMYFUNCTION("""COMPUTED_VALUE"""),"institutopromais@uol.com.br")</f>
        <v>institutopromais@uol.com.br</v>
      </c>
      <c r="K408" s="27" t="str">
        <f ca="1">IFERROR(__xludf.DUMMYFUNCTION("""COMPUTED_VALUE"""),"(11)5599-6730")</f>
        <v>(11)5599-6730</v>
      </c>
      <c r="L408" s="27" t="str">
        <f ca="1">IFERROR(__xludf.DUMMYFUNCTION("""COMPUTED_VALUE"""),"SP")</f>
        <v>SP</v>
      </c>
      <c r="M408" s="27" t="str">
        <f ca="1">IFERROR(__xludf.DUMMYFUNCTION("""COMPUTED_VALUE"""),"Padre Dom Aluísio Kilgus")</f>
        <v>Padre Dom Aluísio Kilgus</v>
      </c>
      <c r="N408" s="27" t="str">
        <f ca="1">IFERROR(__xludf.DUMMYFUNCTION("""COMPUTED_VALUE"""),"Parque Florestal")</f>
        <v>Parque Florestal</v>
      </c>
      <c r="O408" s="27">
        <f ca="1">IFERROR(__xludf.DUMMYFUNCTION("""COMPUTED_VALUE"""),96)</f>
        <v>96</v>
      </c>
      <c r="P408" s="27" t="str">
        <f ca="1">IFERROR(__xludf.DUMMYFUNCTION("""COMPUTED_VALUE"""),"São Paulo")</f>
        <v>São Paulo</v>
      </c>
      <c r="Q408" s="27"/>
      <c r="R408" s="27" t="str">
        <f ca="1">IFERROR(__xludf.DUMMYFUNCTION("""COMPUTED_VALUE"""),"04882-020")</f>
        <v>04882-020</v>
      </c>
      <c r="S408" s="27"/>
      <c r="T408" s="27" t="str">
        <f ca="1">IFERROR(__xludf.DUMMYFUNCTION("""COMPUTED_VALUE"""),"Empregabilidade; Assistência Social; Cultura; Qualificação Profissional; Empreendedorismo; Meio ambiente; Negócios Sociais; Apoio à gestão de organizações de Terceiro Setor")</f>
        <v>Empregabilidade; Assistência Social; Cultura; Qualificação Profissional; Empreendedorismo; Meio ambiente; Negócios Sociais; Apoio à gestão de organizações de Terceiro Setor</v>
      </c>
      <c r="U408" s="27" t="str">
        <f ca="1">IFERROR(__xludf.DUMMYFUNCTION("""COMPUTED_VALUE"""),"Crianças (6 a 12 anos); Adolescentes (12 aos 18 anos); Adultos; Idosos (60 anos ou mais)")</f>
        <v>Crianças (6 a 12 anos); Adolescentes (12 aos 18 anos); Adultos; Idosos (60 anos ou mais)</v>
      </c>
      <c r="V408" s="27" t="str">
        <f ca="1">IFERROR(__xludf.DUMMYFUNCTION("""COMPUTED_VALUE"""),"Moradores de Favelas; Outros")</f>
        <v>Moradores de Favelas; Outros</v>
      </c>
      <c r="W408" s="27">
        <f ca="1">IFERROR(__xludf.DUMMYFUNCTION("""COMPUTED_VALUE"""),9)</f>
        <v>9</v>
      </c>
      <c r="X408" s="27" t="str">
        <f ca="1">IFERROR(__xludf.DUMMYFUNCTION("""COMPUTED_VALUE"""),"Associações e Coletivos")</f>
        <v>Associações e Coletivos</v>
      </c>
      <c r="Y408" s="27"/>
      <c r="Z408" s="27">
        <f ca="1">IFERROR(__xludf.DUMMYFUNCTION("""COMPUTED_VALUE"""),250)</f>
        <v>250</v>
      </c>
      <c r="AA408" s="29">
        <f ca="1">IFERROR(__xludf.DUMMYFUNCTION("""COMPUTED_VALUE"""),44563)</f>
        <v>44563</v>
      </c>
      <c r="AB408" s="27" t="str">
        <f ca="1">IFERROR(__xludf.DUMMYFUNCTION("""COMPUTED_VALUE"""),"Não")</f>
        <v>Não</v>
      </c>
      <c r="AC408" s="27">
        <f ca="1">IFERROR(__xludf.DUMMYFUNCTION("""COMPUTED_VALUE"""),8)</f>
        <v>8</v>
      </c>
      <c r="AD408" s="27">
        <f ca="1">IFERROR(__xludf.DUMMYFUNCTION("""COMPUTED_VALUE"""),4)</f>
        <v>4</v>
      </c>
      <c r="AE408" s="27">
        <f ca="1">IFERROR(__xludf.DUMMYFUNCTION("""COMPUTED_VALUE"""),9)</f>
        <v>9</v>
      </c>
      <c r="AF408" s="27">
        <f ca="1">IFERROR(__xludf.DUMMYFUNCTION("""COMPUTED_VALUE"""),3)</f>
        <v>3</v>
      </c>
      <c r="AG408" s="27">
        <f ca="1">IFERROR(__xludf.DUMMYFUNCTION("""COMPUTED_VALUE"""),2)</f>
        <v>2</v>
      </c>
      <c r="AH408" s="27" t="str">
        <f ca="1">IFERROR(__xludf.DUMMYFUNCTION("""COMPUTED_VALUE"""),"Negócio Social")</f>
        <v>Negócio Social</v>
      </c>
      <c r="AI408" s="27">
        <f ca="1">IFERROR(__xludf.DUMMYFUNCTION("""COMPUTED_VALUE"""),100)</f>
        <v>100</v>
      </c>
      <c r="AJ408" s="27"/>
      <c r="AK408" s="27"/>
      <c r="AL408" s="21" t="str">
        <f ca="1">IFERROR(__xludf.DUMMYFUNCTION("""COMPUTED_VALUE"""),"0034P000045kxkN")</f>
        <v>0034P000045kxkN</v>
      </c>
      <c r="AM408" s="27" t="str">
        <f ca="1">IFERROR(__xludf.DUMMYFUNCTION("""COMPUTED_VALUE"""),"Paes Do Prado Junior")</f>
        <v>Paes Do Prado Junior</v>
      </c>
      <c r="AN408" s="27" t="str">
        <f ca="1">IFERROR(__xludf.DUMMYFUNCTION("""COMPUTED_VALUE"""),"Ativo")</f>
        <v>Ativo</v>
      </c>
      <c r="AO408" s="30">
        <f ca="1">IFERROR(__xludf.DUMMYFUNCTION("""COMPUTED_VALUE"""),44551)</f>
        <v>44551</v>
      </c>
      <c r="AP408" s="27">
        <f ca="1">IFERROR(__xludf.DUMMYFUNCTION("""COMPUTED_VALUE"""),9)</f>
        <v>9</v>
      </c>
      <c r="AQ408" s="27" t="str">
        <f ca="1">IFERROR(__xludf.DUMMYFUNCTION("""COMPUTED_VALUE"""),"Segundo Semestre 2021")</f>
        <v>Segundo Semestre 2021</v>
      </c>
      <c r="AR408" s="27" t="str">
        <f ca="1">IFERROR(__xludf.DUMMYFUNCTION("""COMPUTED_VALUE"""),"alcides.paes@uol.com.br")</f>
        <v>alcides.paes@uol.com.br</v>
      </c>
      <c r="AS408" s="27" t="str">
        <f ca="1">IFERROR(__xludf.DUMMYFUNCTION("""COMPUTED_VALUE"""),"(11)97180-7989")</f>
        <v>(11)97180-7989</v>
      </c>
      <c r="AT408" s="30">
        <f ca="1">IFERROR(__xludf.DUMMYFUNCTION("""COMPUTED_VALUE"""),34300)</f>
        <v>34300</v>
      </c>
      <c r="AU408" s="27">
        <f ca="1">IFERROR(__xludf.DUMMYFUNCTION("""COMPUTED_VALUE"""),29)</f>
        <v>29</v>
      </c>
      <c r="AV408" s="27">
        <f ca="1">IFERROR(__xludf.DUMMYFUNCTION("""COMPUTED_VALUE"""),41307187897)</f>
        <v>41307187897</v>
      </c>
      <c r="AW408" s="27">
        <f ca="1">IFERROR(__xludf.DUMMYFUNCTION("""COMPUTED_VALUE"""),494049029)</f>
        <v>494049029</v>
      </c>
      <c r="AX408" s="27"/>
      <c r="AY408" s="27"/>
      <c r="AZ408" s="27" t="str">
        <f ca="1">IFERROR(__xludf.DUMMYFUNCTION("""COMPUTED_VALUE"""),"M")</f>
        <v>M</v>
      </c>
      <c r="BA408" s="27" t="str">
        <f ca="1">IFERROR(__xludf.DUMMYFUNCTION("""COMPUTED_VALUE"""),"Parda")</f>
        <v>Parda</v>
      </c>
      <c r="BB408" s="27" t="str">
        <f ca="1">IFERROR(__xludf.DUMMYFUNCTION("""COMPUTED_VALUE"""),"Homem, cisgênero")</f>
        <v>Homem, cisgênero</v>
      </c>
      <c r="BC408" s="27" t="str">
        <f ca="1">IFERROR(__xludf.DUMMYFUNCTION("""COMPUTED_VALUE"""),"Sim")</f>
        <v>Sim</v>
      </c>
      <c r="BD408" s="27" t="str">
        <f ca="1">IFERROR(__xludf.DUMMYFUNCTION("""COMPUTED_VALUE"""),"Empreendedor social, conselheiro dos direitos da criança e do Adolescente do Município de São Paulo e do Estado de São Paulo. Residente no distrito com pior IDH da capital, atuante direto em políticas públicas voltadas a promoção social e empreendedorismo"&amp;".")</f>
        <v>Empreendedor social, conselheiro dos direitos da criança e do Adolescente do Município de São Paulo e do Estado de São Paulo. Residente no distrito com pior IDH da capital, atuante direto em políticas públicas voltadas a promoção social e empreendedorismo.</v>
      </c>
      <c r="BE408" s="27"/>
      <c r="BF408" s="27" t="str">
        <f ca="1">IFERROR(__xludf.DUMMYFUNCTION("""COMPUTED_VALUE"""),"Heterossexual")</f>
        <v>Heterossexual</v>
      </c>
      <c r="BG408" s="27" t="str">
        <f ca="1">IFERROR(__xludf.DUMMYFUNCTION("""COMPUTED_VALUE"""),"Ensino Superior - Completo")</f>
        <v>Ensino Superior - Completo</v>
      </c>
      <c r="BH408" s="27" t="str">
        <f ca="1">IFERROR(__xludf.DUMMYFUNCTION("""COMPUTED_VALUE"""),"Público")</f>
        <v>Público</v>
      </c>
      <c r="BI408" s="27" t="str">
        <f ca="1">IFERROR(__xludf.DUMMYFUNCTION("""COMPUTED_VALUE"""),"Pós-Graduação")</f>
        <v>Pós-Graduação</v>
      </c>
      <c r="BJ408" s="27" t="str">
        <f ca="1">IFERROR(__xludf.DUMMYFUNCTION("""COMPUTED_VALUE"""),"Privado")</f>
        <v>Privado</v>
      </c>
      <c r="BK408" s="27" t="str">
        <f ca="1">IFERROR(__xludf.DUMMYFUNCTION("""COMPUTED_VALUE"""),"Padre Dom Aluísio Kilgus")</f>
        <v>Padre Dom Aluísio Kilgus</v>
      </c>
      <c r="BL408" s="27">
        <f ca="1">IFERROR(__xludf.DUMMYFUNCTION("""COMPUTED_VALUE"""),96)</f>
        <v>96</v>
      </c>
      <c r="BM408" s="27"/>
      <c r="BN408" s="27" t="str">
        <f ca="1">IFERROR(__xludf.DUMMYFUNCTION("""COMPUTED_VALUE"""),"São Paulo")</f>
        <v>São Paulo</v>
      </c>
      <c r="BO408" s="27" t="str">
        <f ca="1">IFERROR(__xludf.DUMMYFUNCTION("""COMPUTED_VALUE"""),"04482-020")</f>
        <v>04482-020</v>
      </c>
      <c r="BP408" s="27" t="str">
        <f ca="1">IFERROR(__xludf.DUMMYFUNCTION("""COMPUTED_VALUE"""),"SP")</f>
        <v>SP</v>
      </c>
      <c r="BQ408" s="27" t="str">
        <f ca="1">IFERROR(__xludf.DUMMYFUNCTION("""COMPUTED_VALUE"""),"De 3 até 5 salários mínimos")</f>
        <v>De 3 até 5 salários mínimos</v>
      </c>
      <c r="BR408" s="27" t="str">
        <f ca="1">IFERROR(__xludf.DUMMYFUNCTION("""COMPUTED_VALUE"""),"Trabalho informal")</f>
        <v>Trabalho informal</v>
      </c>
      <c r="BS408" s="27" t="str">
        <f ca="1">IFERROR(__xludf.DUMMYFUNCTION("""COMPUTED_VALUE"""),"Casa própria")</f>
        <v>Casa própria</v>
      </c>
      <c r="BT408" s="27">
        <f ca="1">IFERROR(__xludf.DUMMYFUNCTION("""COMPUTED_VALUE"""),4)</f>
        <v>4</v>
      </c>
      <c r="BU408" s="27" t="str">
        <f ca="1">IFERROR(__xludf.DUMMYFUNCTION("""COMPUTED_VALUE"""),"Não tem")</f>
        <v>Não tem</v>
      </c>
      <c r="BV408" s="27"/>
      <c r="BW408" s="27"/>
      <c r="BX408" s="27" t="str">
        <f ca="1">IFERROR(__xludf.DUMMYFUNCTION("""COMPUTED_VALUE"""),"http/www.instagram.com/junioor_paes")</f>
        <v>http/www.instagram.com/junioor_paes</v>
      </c>
      <c r="BY408" s="21" t="str">
        <f ca="1">IFERROR(__xludf.DUMMYFUNCTION("""COMPUTED_VALUE"""),"https://drive.google.com/open?id=1-fjnPuj43pm9ct49n8NqWddiJ9p67DRX")</f>
        <v>https://drive.google.com/open?id=1-fjnPuj43pm9ct49n8NqWddiJ9p67DRX</v>
      </c>
    </row>
    <row r="409" spans="1:77" ht="12.5" x14ac:dyDescent="0.25">
      <c r="A409" s="21" t="str">
        <f ca="1">IFERROR(__xludf.DUMMYFUNCTION("""COMPUTED_VALUE"""),"0014P00003YSp8BQAT")</f>
        <v>0014P00003YSp8BQAT</v>
      </c>
      <c r="B409" s="27" t="str">
        <f ca="1">IFERROR(__xludf.DUMMYFUNCTION("""COMPUTED_VALUE"""),"Fase Inicial")</f>
        <v>Fase Inicial</v>
      </c>
      <c r="C409" s="27" t="str">
        <f ca="1">IFERROR(__xludf.DUMMYFUNCTION("""COMPUTED_VALUE"""),"Fellow")</f>
        <v>Fellow</v>
      </c>
      <c r="D409" s="27" t="str">
        <f ca="1">IFERROR(__xludf.DUMMYFUNCTION("""COMPUTED_VALUE"""),"Ativo")</f>
        <v>Ativo</v>
      </c>
      <c r="E409" s="27" t="str">
        <f ca="1">IFERROR(__xludf.DUMMYFUNCTION("""COMPUTED_VALUE"""),"instituto Quadro de Esperança")</f>
        <v>instituto Quadro de Esperança</v>
      </c>
      <c r="F409" s="27" t="str">
        <f ca="1">IFERROR(__xludf.DUMMYFUNCTION("""COMPUTED_VALUE"""),"Valquíria")</f>
        <v>Valquíria</v>
      </c>
      <c r="G409" s="27"/>
      <c r="H409" s="27"/>
      <c r="I409" s="27" t="str">
        <f ca="1">IFERROR(__xludf.DUMMYFUNCTION("""COMPUTED_VALUE"""),"Valquiria Santos da Silva Matos")</f>
        <v>Valquiria Santos da Silva Matos</v>
      </c>
      <c r="J409" s="27" t="str">
        <f ca="1">IFERROR(__xludf.DUMMYFUNCTION("""COMPUTED_VALUE"""),"institutoquadroesperanca@gmail.com")</f>
        <v>institutoquadroesperanca@gmail.com</v>
      </c>
      <c r="K409" s="27" t="str">
        <f ca="1">IFERROR(__xludf.DUMMYFUNCTION("""COMPUTED_VALUE"""),"(27)99998-0722")</f>
        <v>(27)99998-0722</v>
      </c>
      <c r="L409" s="27" t="str">
        <f ca="1">IFERROR(__xludf.DUMMYFUNCTION("""COMPUTED_VALUE"""),"ES")</f>
        <v>ES</v>
      </c>
      <c r="M409" s="27" t="str">
        <f ca="1">IFERROR(__xludf.DUMMYFUNCTION("""COMPUTED_VALUE"""),"rua Lucidato Vieira Falcão")</f>
        <v>rua Lucidato Vieira Falcão</v>
      </c>
      <c r="N409" s="27" t="str">
        <f ca="1">IFERROR(__xludf.DUMMYFUNCTION("""COMPUTED_VALUE"""),"Cabral")</f>
        <v>Cabral</v>
      </c>
      <c r="O409" s="27">
        <f ca="1">IFERROR(__xludf.DUMMYFUNCTION("""COMPUTED_VALUE"""),106)</f>
        <v>106</v>
      </c>
      <c r="P409" s="27" t="str">
        <f ca="1">IFERROR(__xludf.DUMMYFUNCTION("""COMPUTED_VALUE"""),"vitória")</f>
        <v>vitória</v>
      </c>
      <c r="Q409" s="27"/>
      <c r="R409" s="27" t="str">
        <f ca="1">IFERROR(__xludf.DUMMYFUNCTION("""COMPUTED_VALUE"""),"29027-160")</f>
        <v>29027-160</v>
      </c>
      <c r="S409" s="27"/>
      <c r="T409" s="27" t="str">
        <f ca="1">IFERROR(__xludf.DUMMYFUNCTION("""COMPUTED_VALUE"""),"Assistência Social; Cultura; Qualificação Profissional; Empreendedorismo; Meio ambiente; Empoderamento Feminino")</f>
        <v>Assistência Social; Cultura; Qualificação Profissional; Empreendedorismo; Meio ambiente; Empoderamento Feminino</v>
      </c>
      <c r="U409"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409" s="27" t="str">
        <f ca="1">IFERROR(__xludf.DUMMYFUNCTION("""COMPUTED_VALUE"""),"Moradores de Favelas")</f>
        <v>Moradores de Favelas</v>
      </c>
      <c r="W409" s="27">
        <f ca="1">IFERROR(__xludf.DUMMYFUNCTION("""COMPUTED_VALUE"""),7)</f>
        <v>7</v>
      </c>
      <c r="X409" s="27"/>
      <c r="Y409" s="27"/>
      <c r="Z409" s="27">
        <f ca="1">IFERROR(__xludf.DUMMYFUNCTION("""COMPUTED_VALUE"""),850)</f>
        <v>850</v>
      </c>
      <c r="AA409" s="29">
        <f ca="1">IFERROR(__xludf.DUMMYFUNCTION("""COMPUTED_VALUE"""),43553)</f>
        <v>43553</v>
      </c>
      <c r="AB409" s="27" t="str">
        <f ca="1">IFERROR(__xludf.DUMMYFUNCTION("""COMPUTED_VALUE"""),"Não")</f>
        <v>Não</v>
      </c>
      <c r="AC409" s="27">
        <f ca="1">IFERROR(__xludf.DUMMYFUNCTION("""COMPUTED_VALUE"""),0)</f>
        <v>0</v>
      </c>
      <c r="AD409" s="27">
        <f ca="1">IFERROR(__xludf.DUMMYFUNCTION("""COMPUTED_VALUE"""),0)</f>
        <v>0</v>
      </c>
      <c r="AE409" s="27">
        <f ca="1">IFERROR(__xludf.DUMMYFUNCTION("""COMPUTED_VALUE"""),4)</f>
        <v>4</v>
      </c>
      <c r="AF409" s="27">
        <f ca="1">IFERROR(__xludf.DUMMYFUNCTION("""COMPUTED_VALUE"""),7)</f>
        <v>7</v>
      </c>
      <c r="AG409" s="27">
        <f ca="1">IFERROR(__xludf.DUMMYFUNCTION("""COMPUTED_VALUE"""),2)</f>
        <v>2</v>
      </c>
      <c r="AH409" s="27" t="str">
        <f ca="1">IFERROR(__xludf.DUMMYFUNCTION("""COMPUTED_VALUE"""),"Eventos/Ações para captação; Outro(s); Doações; Recursos próprios")</f>
        <v>Eventos/Ações para captação; Outro(s); Doações; Recursos próprios</v>
      </c>
      <c r="AI409" s="27">
        <f ca="1">IFERROR(__xludf.DUMMYFUNCTION("""COMPUTED_VALUE"""),0)</f>
        <v>0</v>
      </c>
      <c r="AJ409" s="27"/>
      <c r="AK409" s="27"/>
      <c r="AL409" s="21" t="str">
        <f ca="1">IFERROR(__xludf.DUMMYFUNCTION("""COMPUTED_VALUE"""),"0034P000045kxim")</f>
        <v>0034P000045kxim</v>
      </c>
      <c r="AM409" s="27" t="str">
        <f ca="1">IFERROR(__xludf.DUMMYFUNCTION("""COMPUTED_VALUE"""),"Santos Da Silva Matos")</f>
        <v>Santos Da Silva Matos</v>
      </c>
      <c r="AN409" s="27" t="str">
        <f ca="1">IFERROR(__xludf.DUMMYFUNCTION("""COMPUTED_VALUE"""),"Ativo")</f>
        <v>Ativo</v>
      </c>
      <c r="AO409" s="30">
        <f ca="1">IFERROR(__xludf.DUMMYFUNCTION("""COMPUTED_VALUE"""),44551)</f>
        <v>44551</v>
      </c>
      <c r="AP409" s="27">
        <f ca="1">IFERROR(__xludf.DUMMYFUNCTION("""COMPUTED_VALUE"""),9)</f>
        <v>9</v>
      </c>
      <c r="AQ409" s="27" t="str">
        <f ca="1">IFERROR(__xludf.DUMMYFUNCTION("""COMPUTED_VALUE"""),"Segundo Semestre 2021")</f>
        <v>Segundo Semestre 2021</v>
      </c>
      <c r="AR409" s="27" t="str">
        <f ca="1">IFERROR(__xludf.DUMMYFUNCTION("""COMPUTED_VALUE"""),"valvsm20@gmail.com")</f>
        <v>valvsm20@gmail.com</v>
      </c>
      <c r="AS409" s="27" t="str">
        <f ca="1">IFERROR(__xludf.DUMMYFUNCTION("""COMPUTED_VALUE"""),"(27)99998-0722")</f>
        <v>(27)99998-0722</v>
      </c>
      <c r="AT409" s="29">
        <f ca="1">IFERROR(__xludf.DUMMYFUNCTION("""COMPUTED_VALUE"""),27399)</f>
        <v>27399</v>
      </c>
      <c r="AU409" s="27">
        <f ca="1">IFERROR(__xludf.DUMMYFUNCTION("""COMPUTED_VALUE"""),47)</f>
        <v>47</v>
      </c>
      <c r="AV409" s="27">
        <f ca="1">IFERROR(__xludf.DUMMYFUNCTION("""COMPUTED_VALUE"""),4594241735)</f>
        <v>4594241735</v>
      </c>
      <c r="AW409" s="27">
        <f ca="1">IFERROR(__xludf.DUMMYFUNCTION("""COMPUTED_VALUE"""),1217296)</f>
        <v>1217296</v>
      </c>
      <c r="AX409" s="27"/>
      <c r="AY409" s="27"/>
      <c r="AZ409" s="27" t="str">
        <f ca="1">IFERROR(__xludf.DUMMYFUNCTION("""COMPUTED_VALUE"""),"G")</f>
        <v>G</v>
      </c>
      <c r="BA409" s="27" t="str">
        <f ca="1">IFERROR(__xludf.DUMMYFUNCTION("""COMPUTED_VALUE"""),"Preta")</f>
        <v>Preta</v>
      </c>
      <c r="BB409" s="27" t="str">
        <f ca="1">IFERROR(__xludf.DUMMYFUNCTION("""COMPUTED_VALUE"""),"Mulher, cisgênero")</f>
        <v>Mulher, cisgênero</v>
      </c>
      <c r="BC409" s="27" t="str">
        <f ca="1">IFERROR(__xludf.DUMMYFUNCTION("""COMPUTED_VALUE"""),"Não")</f>
        <v>Não</v>
      </c>
      <c r="BD409" s="27" t="str">
        <f ca="1">IFERROR(__xludf.DUMMYFUNCTION("""COMPUTED_VALUE"""),"Valquíria Santos da Silva Matos,mãe de Pedro e Lucas ,esposa,moradora de quebrada ,ativista social,  professora da Educação Infantil efetiva
de Vitória/E.S.Atuei como educadora social pelo Centro Popular de Cultura e Desenvolvimento no Bairro  Resistência"&amp;"s -Vitória /ES.
Exerci a função de Conselheira Tutelar por dois mandatos consecutivos. 
Atuei no abrigo de Mulheres vítimas de violência doméstica como pedagoga.
Ceo do Instituto  Quadro de Esperança e Fellow da Gerando Falcões .")</f>
        <v>Valquíria Santos da Silva Matos,mãe de Pedro e Lucas ,esposa,moradora de quebrada ,ativista social,  professora da Educação Infantil efetiva
de Vitória/E.S.Atuei como educadora social pelo Centro Popular de Cultura e Desenvolvimento no Bairro  Resistências -Vitória /ES.
Exerci a função de Conselheira Tutelar por dois mandatos consecutivos. 
Atuei no abrigo de Mulheres vítimas de violência doméstica como pedagoga.
Ceo do Instituto  Quadro de Esperança e Fellow da Gerando Falcões .</v>
      </c>
      <c r="BE409" s="27"/>
      <c r="BF409" s="27" t="str">
        <f ca="1">IFERROR(__xludf.DUMMYFUNCTION("""COMPUTED_VALUE"""),"Heterossexual")</f>
        <v>Heterossexual</v>
      </c>
      <c r="BG409" s="27" t="str">
        <f ca="1">IFERROR(__xludf.DUMMYFUNCTION("""COMPUTED_VALUE"""),"Ensino Superior - Completo")</f>
        <v>Ensino Superior - Completo</v>
      </c>
      <c r="BH409" s="27" t="str">
        <f ca="1">IFERROR(__xludf.DUMMYFUNCTION("""COMPUTED_VALUE"""),"Público")</f>
        <v>Público</v>
      </c>
      <c r="BI409" s="27" t="str">
        <f ca="1">IFERROR(__xludf.DUMMYFUNCTION("""COMPUTED_VALUE"""),"Pós-Graduação")</f>
        <v>Pós-Graduação</v>
      </c>
      <c r="BJ409" s="27" t="str">
        <f ca="1">IFERROR(__xludf.DUMMYFUNCTION("""COMPUTED_VALUE"""),"Privado")</f>
        <v>Privado</v>
      </c>
      <c r="BK409" s="27" t="str">
        <f ca="1">IFERROR(__xludf.DUMMYFUNCTION("""COMPUTED_VALUE"""),"CLAUDIO PASSOS")</f>
        <v>CLAUDIO PASSOS</v>
      </c>
      <c r="BL409" s="27">
        <f ca="1">IFERROR(__xludf.DUMMYFUNCTION("""COMPUTED_VALUE"""),106)</f>
        <v>106</v>
      </c>
      <c r="BM409" s="27" t="str">
        <f ca="1">IFERROR(__xludf.DUMMYFUNCTION("""COMPUTED_VALUE"""),"Final da rua")</f>
        <v>Final da rua</v>
      </c>
      <c r="BN409" s="27" t="str">
        <f ca="1">IFERROR(__xludf.DUMMYFUNCTION("""COMPUTED_VALUE"""),"vitória")</f>
        <v>vitória</v>
      </c>
      <c r="BO409" s="27" t="str">
        <f ca="1">IFERROR(__xludf.DUMMYFUNCTION("""COMPUTED_VALUE"""),"29040-025")</f>
        <v>29040-025</v>
      </c>
      <c r="BP409" s="27" t="str">
        <f ca="1">IFERROR(__xludf.DUMMYFUNCTION("""COMPUTED_VALUE"""),"ES")</f>
        <v>ES</v>
      </c>
      <c r="BQ409" s="27" t="str">
        <f ca="1">IFERROR(__xludf.DUMMYFUNCTION("""COMPUTED_VALUE"""),"Acima de 5 salários mínimos")</f>
        <v>Acima de 5 salários mínimos</v>
      </c>
      <c r="BR409" s="27" t="str">
        <f ca="1">IFERROR(__xludf.DUMMYFUNCTION("""COMPUTED_VALUE"""),"Funcionário Público")</f>
        <v>Funcionário Público</v>
      </c>
      <c r="BS409" s="27" t="str">
        <f ca="1">IFERROR(__xludf.DUMMYFUNCTION("""COMPUTED_VALUE"""),"Casa própria")</f>
        <v>Casa própria</v>
      </c>
      <c r="BT409" s="27">
        <f ca="1">IFERROR(__xludf.DUMMYFUNCTION("""COMPUTED_VALUE"""),2)</f>
        <v>2</v>
      </c>
      <c r="BU409" s="27" t="str">
        <f ca="1">IFERROR(__xludf.DUMMYFUNCTION("""COMPUTED_VALUE"""),"Outros")</f>
        <v>Outros</v>
      </c>
      <c r="BV409" s="27"/>
      <c r="BW409" s="27"/>
      <c r="BX409" s="27" t="str">
        <f ca="1">IFERROR(__xludf.DUMMYFUNCTION("""COMPUTED_VALUE"""),"Valquíria Silva")</f>
        <v>Valquíria Silva</v>
      </c>
      <c r="BY409" s="21" t="str">
        <f ca="1">IFERROR(__xludf.DUMMYFUNCTION("""COMPUTED_VALUE"""),"https://drive.google.com/open?id=18IIVpl92yAeK0kOIlec4xJFmm9zf0RHm")</f>
        <v>https://drive.google.com/open?id=18IIVpl92yAeK0kOIlec4xJFmm9zf0RHm</v>
      </c>
    </row>
    <row r="410" spans="1:77" ht="12.5" x14ac:dyDescent="0.25">
      <c r="A410" s="21" t="str">
        <f ca="1">IFERROR(__xludf.DUMMYFUNCTION("""COMPUTED_VALUE"""),"0014X00002VKCtzQAH")</f>
        <v>0014X00002VKCtzQAH</v>
      </c>
      <c r="B410" s="27" t="str">
        <f ca="1">IFERROR(__xludf.DUMMYFUNCTION("""COMPUTED_VALUE"""),"Fase Inicial")</f>
        <v>Fase Inicial</v>
      </c>
      <c r="C410" s="27" t="str">
        <f ca="1">IFERROR(__xludf.DUMMYFUNCTION("""COMPUTED_VALUE"""),"Fellow")</f>
        <v>Fellow</v>
      </c>
      <c r="D410" s="27" t="str">
        <f ca="1">IFERROR(__xludf.DUMMYFUNCTION("""COMPUTED_VALUE"""),"Ativo")</f>
        <v>Ativo</v>
      </c>
      <c r="E410" s="27" t="str">
        <f ca="1">IFERROR(__xludf.DUMMYFUNCTION("""COMPUTED_VALUE"""),"INSTITUTO QUINTAL TIA JURA")</f>
        <v>INSTITUTO QUINTAL TIA JURA</v>
      </c>
      <c r="F410" s="27" t="str">
        <f ca="1">IFERROR(__xludf.DUMMYFUNCTION("""COMPUTED_VALUE"""),"HUGUENEY")</f>
        <v>HUGUENEY</v>
      </c>
      <c r="G410" s="27" t="str">
        <f ca="1">IFERROR(__xludf.DUMMYFUNCTION("""COMPUTED_VALUE"""),"QUINTAL TIA JURA")</f>
        <v>QUINTAL TIA JURA</v>
      </c>
      <c r="H410" s="27"/>
      <c r="I410" s="27" t="str">
        <f ca="1">IFERROR(__xludf.DUMMYFUNCTION("""COMPUTED_VALUE"""),"HUGUENEY GOMES DOS SANTOS")</f>
        <v>HUGUENEY GOMES DOS SANTOS</v>
      </c>
      <c r="J410" s="27" t="str">
        <f ca="1">IFERROR(__xludf.DUMMYFUNCTION("""COMPUTED_VALUE"""),"hugueney.santos@gmail.com")</f>
        <v>hugueney.santos@gmail.com</v>
      </c>
      <c r="K410" s="27" t="str">
        <f ca="1">IFERROR(__xludf.DUMMYFUNCTION("""COMPUTED_VALUE"""),"(67)99284-1335")</f>
        <v>(67)99284-1335</v>
      </c>
      <c r="L410" s="27" t="str">
        <f ca="1">IFERROR(__xludf.DUMMYFUNCTION("""COMPUTED_VALUE"""),"MS")</f>
        <v>MS</v>
      </c>
      <c r="M410" s="27" t="str">
        <f ca="1">IFERROR(__xludf.DUMMYFUNCTION("""COMPUTED_VALUE"""),"MARCOS FERREZ")</f>
        <v>MARCOS FERREZ</v>
      </c>
      <c r="N410" s="27" t="str">
        <f ca="1">IFERROR(__xludf.DUMMYFUNCTION("""COMPUTED_VALUE"""),"CONJUNTO JOSE ABRAO")</f>
        <v>CONJUNTO JOSE ABRAO</v>
      </c>
      <c r="O410" s="27">
        <f ca="1">IFERROR(__xludf.DUMMYFUNCTION("""COMPUTED_VALUE"""),108)</f>
        <v>108</v>
      </c>
      <c r="P410" s="27" t="str">
        <f ca="1">IFERROR(__xludf.DUMMYFUNCTION("""COMPUTED_VALUE"""),"CAMPO GRANDE")</f>
        <v>CAMPO GRANDE</v>
      </c>
      <c r="Q410" s="27"/>
      <c r="R410" s="27" t="str">
        <f ca="1">IFERROR(__xludf.DUMMYFUNCTION("""COMPUTED_VALUE"""),"79114-180")</f>
        <v>79114-180</v>
      </c>
      <c r="S410" s="27" t="str">
        <f ca="1">IFERROR(__xludf.DUMMYFUNCTION("""COMPUTED_VALUE"""),"SIM")</f>
        <v>SIM</v>
      </c>
      <c r="T410" s="27"/>
      <c r="U410" s="27" t="str">
        <f ca="1">IFERROR(__xludf.DUMMYFUNCTION("""COMPUTED_VALUE"""),"Crianças (6 a 12 anos), Adolescentes (12 aos 18 anos), Jovens (18 aos 24 anos), Adultos")</f>
        <v>Crianças (6 a 12 anos), Adolescentes (12 aos 18 anos), Jovens (18 aos 24 anos), Adultos</v>
      </c>
      <c r="V410" s="27" t="str">
        <f ca="1">IFERROR(__xludf.DUMMYFUNCTION("""COMPUTED_VALUE"""),"Moradores de Favelas, População LGBTQ+, Quilombola, Comunidade rural")</f>
        <v>Moradores de Favelas, População LGBTQ+, Quilombola, Comunidade rural</v>
      </c>
      <c r="W410" s="27">
        <f ca="1">IFERROR(__xludf.DUMMYFUNCTION("""COMPUTED_VALUE"""),3)</f>
        <v>3</v>
      </c>
      <c r="X410" s="27" t="str">
        <f ca="1">IFERROR(__xludf.DUMMYFUNCTION("""COMPUTED_VALUE"""),"JOVENS E ADULTO CARENTE")</f>
        <v>JOVENS E ADULTO CARENTE</v>
      </c>
      <c r="Y410" s="27"/>
      <c r="Z410" s="27">
        <f ca="1">IFERROR(__xludf.DUMMYFUNCTION("""COMPUTED_VALUE"""),120)</f>
        <v>120</v>
      </c>
      <c r="AA410" s="29">
        <f ca="1">IFERROR(__xludf.DUMMYFUNCTION("""COMPUTED_VALUE"""),43905)</f>
        <v>43905</v>
      </c>
      <c r="AB410" s="27" t="str">
        <f ca="1">IFERROR(__xludf.DUMMYFUNCTION("""COMPUTED_VALUE"""),"Não")</f>
        <v>Não</v>
      </c>
      <c r="AC410" s="27">
        <f ca="1">IFERROR(__xludf.DUMMYFUNCTION("""COMPUTED_VALUE"""),0)</f>
        <v>0</v>
      </c>
      <c r="AD410" s="27">
        <f ca="1">IFERROR(__xludf.DUMMYFUNCTION("""COMPUTED_VALUE"""),2)</f>
        <v>2</v>
      </c>
      <c r="AE410" s="27">
        <f ca="1">IFERROR(__xludf.DUMMYFUNCTION("""COMPUTED_VALUE"""),4)</f>
        <v>4</v>
      </c>
      <c r="AF410" s="27">
        <f ca="1">IFERROR(__xludf.DUMMYFUNCTION("""COMPUTED_VALUE"""),4)</f>
        <v>4</v>
      </c>
      <c r="AG410" s="27">
        <f ca="1">IFERROR(__xludf.DUMMYFUNCTION("""COMPUTED_VALUE"""),2)</f>
        <v>2</v>
      </c>
      <c r="AH410" s="27" t="str">
        <f ca="1">IFERROR(__xludf.DUMMYFUNCTION("""COMPUTED_VALUE"""),"Eventos/Ações para captação, Recursos próprios")</f>
        <v>Eventos/Ações para captação, Recursos próprios</v>
      </c>
      <c r="AI410" s="27" t="str">
        <f ca="1">IFERROR(__xludf.DUMMYFUNCTION("""COMPUTED_VALUE"""),"90%EVENTOS")</f>
        <v>90%EVENTOS</v>
      </c>
      <c r="AJ410" s="27" t="str">
        <f ca="1">IFERROR(__xludf.DUMMYFUNCTION("""COMPUTED_VALUE"""),"Não")</f>
        <v>Não</v>
      </c>
      <c r="AK410" s="27"/>
      <c r="AL410" s="21" t="str">
        <f ca="1">IFERROR(__xludf.DUMMYFUNCTION("""COMPUTED_VALUE"""),"0034X0000380O0v")</f>
        <v>0034X0000380O0v</v>
      </c>
      <c r="AM410" s="27" t="str">
        <f ca="1">IFERROR(__xludf.DUMMYFUNCTION("""COMPUTED_VALUE"""),"Gomes dos santos")</f>
        <v>Gomes dos santos</v>
      </c>
      <c r="AN410" s="27" t="str">
        <f ca="1">IFERROR(__xludf.DUMMYFUNCTION("""COMPUTED_VALUE"""),"Ativo")</f>
        <v>Ativo</v>
      </c>
      <c r="AO410" s="27"/>
      <c r="AP410" s="27"/>
      <c r="AQ410" s="27" t="str">
        <f ca="1">IFERROR(__xludf.DUMMYFUNCTION("""COMPUTED_VALUE"""),"Primeiro Semestre 2022")</f>
        <v>Primeiro Semestre 2022</v>
      </c>
      <c r="AR410" s="27" t="str">
        <f ca="1">IFERROR(__xludf.DUMMYFUNCTION("""COMPUTED_VALUE"""),"hugueney.santos@gmail.com")</f>
        <v>hugueney.santos@gmail.com</v>
      </c>
      <c r="AS410" s="27" t="str">
        <f ca="1">IFERROR(__xludf.DUMMYFUNCTION("""COMPUTED_VALUE"""),"(67)99284-1335")</f>
        <v>(67)99284-1335</v>
      </c>
      <c r="AT410" s="29">
        <f ca="1">IFERROR(__xludf.DUMMYFUNCTION("""COMPUTED_VALUE"""),28617)</f>
        <v>28617</v>
      </c>
      <c r="AU410" s="27">
        <f ca="1">IFERROR(__xludf.DUMMYFUNCTION("""COMPUTED_VALUE"""),44)</f>
        <v>44</v>
      </c>
      <c r="AV410" s="27">
        <f ca="1">IFERROR(__xludf.DUMMYFUNCTION("""COMPUTED_VALUE"""),69741697104)</f>
        <v>69741697104</v>
      </c>
      <c r="AW410" s="27">
        <f ca="1">IFERROR(__xludf.DUMMYFUNCTION("""COMPUTED_VALUE"""),717011)</f>
        <v>717011</v>
      </c>
      <c r="AX410" s="27"/>
      <c r="AY410" s="27" t="str">
        <f ca="1">IFERROR(__xludf.DUMMYFUNCTION("""COMPUTED_VALUE"""),"PRESIDENTE - FUNDADOR")</f>
        <v>PRESIDENTE - FUNDADOR</v>
      </c>
      <c r="AZ410" s="27" t="str">
        <f ca="1">IFERROR(__xludf.DUMMYFUNCTION("""COMPUTED_VALUE"""),"G1")</f>
        <v>G1</v>
      </c>
      <c r="BA410" s="27" t="str">
        <f ca="1">IFERROR(__xludf.DUMMYFUNCTION("""COMPUTED_VALUE"""),"Preta")</f>
        <v>Preta</v>
      </c>
      <c r="BB410" s="27"/>
      <c r="BC410" s="27"/>
      <c r="BD410" s="27" t="str">
        <f ca="1">IFERROR(__xludf.DUMMYFUNCTION("""COMPUTED_VALUE"""),"Estudante de  Eng° Produção com Formação: Técnico Segurança Trabalho e Técnico Meio Ambiente.Apaixonado  por Ministrar Treinamento de qualificação Profissional. Parte da  vida criado por mãe solo ..quando adolescente grandes dificuldade para sobreviver e "&amp;"ingressar no mercado de trabalho. Quando em um projeto social conseguiu o primeiro emprego como menor aprendiz. As dificuldade o levou para as gangues um outro projeto social de Hip-Hop tirou das ruas e apresentou a cultura a Musica.")</f>
        <v>Estudante de  Eng° Produção com Formação: Técnico Segurança Trabalho e Técnico Meio Ambiente.Apaixonado  por Ministrar Treinamento de qualificação Profissional. Parte da  vida criado por mãe solo ..quando adolescente grandes dificuldade para sobreviver e ingressar no mercado de trabalho. Quando em um projeto social conseguiu o primeiro emprego como menor aprendiz. As dificuldade o levou para as gangues um outro projeto social de Hip-Hop tirou das ruas e apresentou a cultura a Musica.</v>
      </c>
      <c r="BE410" s="27" t="str">
        <f ca="1">IFERROR(__xludf.DUMMYFUNCTION("""COMPUTED_VALUE"""),"Homem, cisgênero")</f>
        <v>Homem, cisgênero</v>
      </c>
      <c r="BF410" s="27" t="str">
        <f ca="1">IFERROR(__xludf.DUMMYFUNCTION("""COMPUTED_VALUE"""),"Heterossexual")</f>
        <v>Heterossexual</v>
      </c>
      <c r="BG410" s="27" t="str">
        <f ca="1">IFERROR(__xludf.DUMMYFUNCTION("""COMPUTED_VALUE"""),"Ensino Superior - Incompleto")</f>
        <v>Ensino Superior - Incompleto</v>
      </c>
      <c r="BH410" s="27" t="str">
        <f ca="1">IFERROR(__xludf.DUMMYFUNCTION("""COMPUTED_VALUE"""),"Público")</f>
        <v>Público</v>
      </c>
      <c r="BI410" s="27" t="str">
        <f ca="1">IFERROR(__xludf.DUMMYFUNCTION("""COMPUTED_VALUE"""),"Graduação")</f>
        <v>Graduação</v>
      </c>
      <c r="BJ410" s="27" t="str">
        <f ca="1">IFERROR(__xludf.DUMMYFUNCTION("""COMPUTED_VALUE"""),"Privado")</f>
        <v>Privado</v>
      </c>
      <c r="BK410" s="27" t="str">
        <f ca="1">IFERROR(__xludf.DUMMYFUNCTION("""COMPUTED_VALUE"""),"Marcos Ferrez")</f>
        <v>Marcos Ferrez</v>
      </c>
      <c r="BL410" s="27" t="str">
        <f ca="1">IFERROR(__xludf.DUMMYFUNCTION("""COMPUTED_VALUE"""),"108/")</f>
        <v>108/</v>
      </c>
      <c r="BM410" s="27"/>
      <c r="BN410" s="27" t="str">
        <f ca="1">IFERROR(__xludf.DUMMYFUNCTION("""COMPUTED_VALUE"""),"campo grande")</f>
        <v>campo grande</v>
      </c>
      <c r="BO410" s="27" t="str">
        <f ca="1">IFERROR(__xludf.DUMMYFUNCTION("""COMPUTED_VALUE"""),"79114-180")</f>
        <v>79114-180</v>
      </c>
      <c r="BP410" s="27" t="str">
        <f ca="1">IFERROR(__xludf.DUMMYFUNCTION("""COMPUTED_VALUE"""),"MS")</f>
        <v>MS</v>
      </c>
      <c r="BQ410" s="27" t="str">
        <f ca="1">IFERROR(__xludf.DUMMYFUNCTION("""COMPUTED_VALUE"""),"De 3 até 5 salários mínimos")</f>
        <v>De 3 até 5 salários mínimos</v>
      </c>
      <c r="BR410" s="27" t="str">
        <f ca="1">IFERROR(__xludf.DUMMYFUNCTION("""COMPUTED_VALUE"""),"Trabalho informal")</f>
        <v>Trabalho informal</v>
      </c>
      <c r="BS410" s="27" t="str">
        <f ca="1">IFERROR(__xludf.DUMMYFUNCTION("""COMPUTED_VALUE"""),"Casa própria")</f>
        <v>Casa própria</v>
      </c>
      <c r="BT410" s="27">
        <f ca="1">IFERROR(__xludf.DUMMYFUNCTION("""COMPUTED_VALUE"""),3)</f>
        <v>3</v>
      </c>
      <c r="BU410" s="27" t="str">
        <f ca="1">IFERROR(__xludf.DUMMYFUNCTION("""COMPUTED_VALUE"""),"Não tem")</f>
        <v>Não tem</v>
      </c>
      <c r="BV410" s="27" t="str">
        <f ca="1">IFERROR(__xludf.DUMMYFUNCTION("""COMPUTED_VALUE"""),"Não")</f>
        <v>Não</v>
      </c>
      <c r="BW410" s="21" t="str">
        <f ca="1">IFERROR(__xludf.DUMMYFUNCTION("""COMPUTED_VALUE"""),"https://www.linkedin.com/in/hugueney-gomes-49b00b84/")</f>
        <v>https://www.linkedin.com/in/hugueney-gomes-49b00b84/</v>
      </c>
      <c r="BX410" s="21" t="str">
        <f ca="1">IFERROR(__xludf.DUMMYFUNCTION("""COMPUTED_VALUE"""),"https://www.instagram.com/manganga_hugueney/")</f>
        <v>https://www.instagram.com/manganga_hugueney/</v>
      </c>
      <c r="BY410" s="21" t="str">
        <f ca="1">IFERROR(__xludf.DUMMYFUNCTION("""COMPUTED_VALUE"""),"https://drive.google.com/open?id=1e32fkozuD90R7Y0QO35bq2AOVv34I9Kt")</f>
        <v>https://drive.google.com/open?id=1e32fkozuD90R7Y0QO35bq2AOVv34I9Kt</v>
      </c>
    </row>
    <row r="411" spans="1:77" ht="12.5" x14ac:dyDescent="0.25">
      <c r="A411" s="21" t="str">
        <f ca="1">IFERROR(__xludf.DUMMYFUNCTION("""COMPUTED_VALUE"""),"0014P00003AN2FcQAL")</f>
        <v>0014P00003AN2FcQAL</v>
      </c>
      <c r="B411" s="27" t="str">
        <f ca="1">IFERROR(__xludf.DUMMYFUNCTION("""COMPUTED_VALUE"""),"Fase Estruturação")</f>
        <v>Fase Estruturação</v>
      </c>
      <c r="C411" s="27" t="str">
        <f ca="1">IFERROR(__xludf.DUMMYFUNCTION("""COMPUTED_VALUE"""),"Acelerada")</f>
        <v>Acelerada</v>
      </c>
      <c r="D411" s="27" t="str">
        <f ca="1">IFERROR(__xludf.DUMMYFUNCTION("""COMPUTED_VALUE"""),"Ativo")</f>
        <v>Ativo</v>
      </c>
      <c r="E411" s="27" t="str">
        <f ca="1">IFERROR(__xludf.DUMMYFUNCTION("""COMPUTED_VALUE"""),"INSTITUTO RAHAMIM")</f>
        <v>INSTITUTO RAHAMIM</v>
      </c>
      <c r="F411" s="27" t="str">
        <f ca="1">IFERROR(__xludf.DUMMYFUNCTION("""COMPUTED_VALUE"""),"Cristiano")</f>
        <v>Cristiano</v>
      </c>
      <c r="G411" s="27" t="str">
        <f ca="1">IFERROR(__xludf.DUMMYFUNCTION("""COMPUTED_VALUE"""),"INSTITUTO RAHAMIM")</f>
        <v>INSTITUTO RAHAMIM</v>
      </c>
      <c r="H411" s="27" t="str">
        <f ca="1">IFERROR(__xludf.DUMMYFUNCTION("""COMPUTED_VALUE"""),"10.419.634/0001-37")</f>
        <v>10.419.634/0001-37</v>
      </c>
      <c r="I411" s="27"/>
      <c r="J411" s="27" t="str">
        <f ca="1">IFERROR(__xludf.DUMMYFUNCTION("""COMPUTED_VALUE"""),"institutorahamim@gmail.com")</f>
        <v>institutorahamim@gmail.com</v>
      </c>
      <c r="K411" s="27" t="str">
        <f ca="1">IFERROR(__xludf.DUMMYFUNCTION("""COMPUTED_VALUE"""),"(79)99814-5876")</f>
        <v>(79)99814-5876</v>
      </c>
      <c r="L411" s="27" t="str">
        <f ca="1">IFERROR(__xludf.DUMMYFUNCTION("""COMPUTED_VALUE"""),"SE")</f>
        <v>SE</v>
      </c>
      <c r="M411" s="27">
        <f ca="1">IFERROR(__xludf.DUMMYFUNCTION("""COMPUTED_VALUE"""),32)</f>
        <v>32</v>
      </c>
      <c r="N411" s="27"/>
      <c r="O411" s="27" t="str">
        <f ca="1">IFERROR(__xludf.DUMMYFUNCTION("""COMPUTED_VALUE"""),"(79)99814-5876")</f>
        <v>(79)99814-5876</v>
      </c>
      <c r="P411" s="27" t="str">
        <f ca="1">IFERROR(__xludf.DUMMYFUNCTION("""COMPUTED_VALUE"""),"Aracaju")</f>
        <v>Aracaju</v>
      </c>
      <c r="Q411" s="27"/>
      <c r="R411" s="27" t="str">
        <f ca="1">IFERROR(__xludf.DUMMYFUNCTION("""COMPUTED_VALUE"""),"49044-203")</f>
        <v>49044-203</v>
      </c>
      <c r="S411" s="27" t="str">
        <f ca="1">IFERROR(__xludf.DUMMYFUNCTION("""COMPUTED_VALUE"""),"As casas dos municípios de salgado e Laranjeiras estão sendo fechadas essa semana.")</f>
        <v>As casas dos municípios de salgado e Laranjeiras estão sendo fechadas essa semana.</v>
      </c>
      <c r="T411" s="27" t="str">
        <f ca="1">IFERROR(__xludf.DUMMYFUNCTION("""COMPUTED_VALUE"""),"Esporte; Educação; Empregabilidade; Assistência Social; Cultura; Qualificação Profissional; Empreendedorismo; Saúde; Meio ambiente; Empoderamento Feminino; Apoio à gestão de organizações de Terceiro Setor; Defesa de Direitos; Assistência Psicológica; Dese"&amp;"nvolvimento comunitário")</f>
        <v>Esporte; Educação; Empregabilidade; Assistência Social; Cultura; Qualificação Profissional; Empreendedorismo; Saúde; Meio ambiente; Empoderamento Feminino; Apoio à gestão de organizações de Terceiro Setor; Defesa de Direitos; Assistência Psicológica; Desenvolvimento comunitário</v>
      </c>
      <c r="U411"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411" s="27" t="str">
        <f ca="1">IFERROR(__xludf.DUMMYFUNCTION("""COMPUTED_VALUE"""),"Moradores de Favelas; População LGBTQ+")</f>
        <v>Moradores de Favelas; População LGBTQ+</v>
      </c>
      <c r="W411" s="27">
        <f ca="1">IFERROR(__xludf.DUMMYFUNCTION("""COMPUTED_VALUE"""),26)</f>
        <v>26</v>
      </c>
      <c r="X411" s="27" t="str">
        <f ca="1">IFERROR(__xludf.DUMMYFUNCTION("""COMPUTED_VALUE"""),"O Santa Maria é o segundo maior bairro de Aracaju e o maior bolsão de pobreza do estado possuía os maiores índices de violência realidade que vem sendo modificada ao longo dos últimos 20 anos.")</f>
        <v>O Santa Maria é o segundo maior bairro de Aracaju e o maior bolsão de pobreza do estado possuía os maiores índices de violência realidade que vem sendo modificada ao longo dos últimos 20 anos.</v>
      </c>
      <c r="Y411" s="27"/>
      <c r="Z411" s="27"/>
      <c r="AA411" s="30">
        <f ca="1">IFERROR(__xludf.DUMMYFUNCTION("""COMPUTED_VALUE"""),36852)</f>
        <v>36852</v>
      </c>
      <c r="AB411" s="27" t="str">
        <f ca="1">IFERROR(__xludf.DUMMYFUNCTION("""COMPUTED_VALUE"""),"Sim")</f>
        <v>Sim</v>
      </c>
      <c r="AC411" s="27">
        <f ca="1">IFERROR(__xludf.DUMMYFUNCTION("""COMPUTED_VALUE"""),10)</f>
        <v>10</v>
      </c>
      <c r="AD411" s="27">
        <f ca="1">IFERROR(__xludf.DUMMYFUNCTION("""COMPUTED_VALUE"""),24)</f>
        <v>24</v>
      </c>
      <c r="AE411" s="27">
        <f ca="1">IFERROR(__xludf.DUMMYFUNCTION("""COMPUTED_VALUE"""),15)</f>
        <v>15</v>
      </c>
      <c r="AF411" s="27">
        <f ca="1">IFERROR(__xludf.DUMMYFUNCTION("""COMPUTED_VALUE"""),12)</f>
        <v>12</v>
      </c>
      <c r="AG411" s="27">
        <f ca="1">IFERROR(__xludf.DUMMYFUNCTION("""COMPUTED_VALUE"""),3)</f>
        <v>3</v>
      </c>
      <c r="AH411" s="27" t="str">
        <f ca="1">IFERROR(__xludf.DUMMYFUNCTION("""COMPUTED_VALUE"""),"Eventos/Ações para captação; Parceria iniciativa privada; Editais; Outro(s); Doações")</f>
        <v>Eventos/Ações para captação; Parceria iniciativa privada; Editais; Outro(s); Doações</v>
      </c>
      <c r="AI411" s="27" t="str">
        <f ca="1">IFERROR(__xludf.DUMMYFUNCTION("""COMPUTED_VALUE"""),"70% projetos empresas 20% convênio público e 10% doações (aproximadamente).")</f>
        <v>70% projetos empresas 20% convênio público e 10% doações (aproximadamente).</v>
      </c>
      <c r="AJ411" s="27" t="str">
        <f ca="1">IFERROR(__xludf.DUMMYFUNCTION("""COMPUTED_VALUE"""),"Sim")</f>
        <v>Sim</v>
      </c>
      <c r="AK411" s="27" t="str">
        <f ca="1">IFERROR(__xludf.DUMMYFUNCTION("""COMPUTED_VALUE"""),"Não")</f>
        <v>Não</v>
      </c>
      <c r="AL411" s="21" t="str">
        <f ca="1">IFERROR(__xludf.DUMMYFUNCTION("""COMPUTED_VALUE"""),"0034P00003maBV2")</f>
        <v>0034P00003maBV2</v>
      </c>
      <c r="AM411" s="27" t="str">
        <f ca="1">IFERROR(__xludf.DUMMYFUNCTION("""COMPUTED_VALUE"""),"Lima Santos")</f>
        <v>Lima Santos</v>
      </c>
      <c r="AN411" s="27" t="str">
        <f ca="1">IFERROR(__xludf.DUMMYFUNCTION("""COMPUTED_VALUE"""),"Ativo")</f>
        <v>Ativo</v>
      </c>
      <c r="AO411" s="29">
        <f ca="1">IFERROR(__xludf.DUMMYFUNCTION("""COMPUTED_VALUE"""),44236)</f>
        <v>44236</v>
      </c>
      <c r="AP411" s="27">
        <f ca="1">IFERROR(__xludf.DUMMYFUNCTION("""COMPUTED_VALUE"""),19)</f>
        <v>19</v>
      </c>
      <c r="AQ411" s="27" t="str">
        <f ca="1">IFERROR(__xludf.DUMMYFUNCTION("""COMPUTED_VALUE"""),"Segundo Semestre 2020")</f>
        <v>Segundo Semestre 2020</v>
      </c>
      <c r="AR411" s="27" t="str">
        <f ca="1">IFERROR(__xludf.DUMMYFUNCTION("""COMPUTED_VALUE"""),"institutorahamim@gmail.com")</f>
        <v>institutorahamim@gmail.com</v>
      </c>
      <c r="AS411" s="27" t="str">
        <f ca="1">IFERROR(__xludf.DUMMYFUNCTION("""COMPUTED_VALUE"""),"(79) 99814-5876")</f>
        <v>(79) 99814-5876</v>
      </c>
      <c r="AT411" s="29">
        <f ca="1">IFERROR(__xludf.DUMMYFUNCTION("""COMPUTED_VALUE"""),28020)</f>
        <v>28020</v>
      </c>
      <c r="AU411" s="27">
        <f ca="1">IFERROR(__xludf.DUMMYFUNCTION("""COMPUTED_VALUE"""),46)</f>
        <v>46</v>
      </c>
      <c r="AV411" s="27">
        <f ca="1">IFERROR(__xludf.DUMMYFUNCTION("""COMPUTED_VALUE"""),85591661572)</f>
        <v>85591661572</v>
      </c>
      <c r="AW411" s="27">
        <f ca="1">IFERROR(__xludf.DUMMYFUNCTION("""COMPUTED_VALUE"""),1004188307)</f>
        <v>1004188307</v>
      </c>
      <c r="AX411" s="27" t="str">
        <f ca="1">IFERROR(__xludf.DUMMYFUNCTION("""COMPUTED_VALUE"""),"Teologia completo e serviço social incompleto.")</f>
        <v>Teologia completo e serviço social incompleto.</v>
      </c>
      <c r="AY411" s="27" t="str">
        <f ca="1">IFERROR(__xludf.DUMMYFUNCTION("""COMPUTED_VALUE"""),"CEO e vice-presidente")</f>
        <v>CEO e vice-presidente</v>
      </c>
      <c r="AZ411" s="27" t="str">
        <f ca="1">IFERROR(__xludf.DUMMYFUNCTION("""COMPUTED_VALUE"""),"M")</f>
        <v>M</v>
      </c>
      <c r="BA411" s="27"/>
      <c r="BB411" s="27"/>
      <c r="BC411" s="27" t="str">
        <f ca="1">IFERROR(__xludf.DUMMYFUNCTION("""COMPUTED_VALUE"""),"Sim")</f>
        <v>Sim</v>
      </c>
      <c r="BD411" s="27" t="str">
        <f ca="1">IFERROR(__xludf.DUMMYFUNCTION("""COMPUTED_VALUE"""),"Cristiano Lima Santos nasceu no município de Aracaju, capital de Sergipe. Aos 18 anos de idade ele deixou a família para ingressar na Ordem dos Frades Menores Capuchinhos. No final do ano de 2000, deixou a ordem para viver no Complexo Santa Maria fundando"&amp;" o Instituto Rahamim que, além de sua sede, também está presente em mais dois municípios: Salgado e Laranjeiras. Cristiano é empreendedor social há 21 anos, produtor cultural, ator, bailarino, coreógrafo e teólogo.")</f>
        <v>Cristiano Lima Santos nasceu no município de Aracaju, capital de Sergipe. Aos 18 anos de idade ele deixou a família para ingressar na Ordem dos Frades Menores Capuchinhos. No final do ano de 2000, deixou a ordem para viver no Complexo Santa Maria fundando o Instituto Rahamim que, além de sua sede, também está presente em mais dois municípios: Salgado e Laranjeiras. Cristiano é empreendedor social há 21 anos, produtor cultural, ator, bailarino, coreógrafo e teólogo.</v>
      </c>
      <c r="BE411" s="27"/>
      <c r="BF411" s="27"/>
      <c r="BG411" s="27" t="str">
        <f ca="1">IFERROR(__xludf.DUMMYFUNCTION("""COMPUTED_VALUE"""),"Ensino Superior - Completo")</f>
        <v>Ensino Superior - Completo</v>
      </c>
      <c r="BH411" s="27"/>
      <c r="BI411" s="27" t="str">
        <f ca="1">IFERROR(__xludf.DUMMYFUNCTION("""COMPUTED_VALUE"""),"Graduação")</f>
        <v>Graduação</v>
      </c>
      <c r="BJ411" s="27" t="str">
        <f ca="1">IFERROR(__xludf.DUMMYFUNCTION("""COMPUTED_VALUE"""),"Privado")</f>
        <v>Privado</v>
      </c>
      <c r="BK411" s="27">
        <f ca="1">IFERROR(__xludf.DUMMYFUNCTION("""COMPUTED_VALUE"""),32)</f>
        <v>32</v>
      </c>
      <c r="BL411" s="27">
        <f ca="1">IFERROR(__xludf.DUMMYFUNCTION("""COMPUTED_VALUE"""),122)</f>
        <v>122</v>
      </c>
      <c r="BM411" s="27" t="str">
        <f ca="1">IFERROR(__xludf.DUMMYFUNCTION("""COMPUTED_VALUE"""),"Conjunto Padre Pedro")</f>
        <v>Conjunto Padre Pedro</v>
      </c>
      <c r="BN411" s="27" t="str">
        <f ca="1">IFERROR(__xludf.DUMMYFUNCTION("""COMPUTED_VALUE"""),"Aracaju")</f>
        <v>Aracaju</v>
      </c>
      <c r="BO411" s="27" t="str">
        <f ca="1">IFERROR(__xludf.DUMMYFUNCTION("""COMPUTED_VALUE"""),"49044-203")</f>
        <v>49044-203</v>
      </c>
      <c r="BP411" s="27" t="str">
        <f ca="1">IFERROR(__xludf.DUMMYFUNCTION("""COMPUTED_VALUE"""),"SE")</f>
        <v>SE</v>
      </c>
      <c r="BQ411" s="27" t="str">
        <f ca="1">IFERROR(__xludf.DUMMYFUNCTION("""COMPUTED_VALUE"""),"Entre 1 até 3 salários mínimos")</f>
        <v>Entre 1 até 3 salários mínimos</v>
      </c>
      <c r="BR411" s="27"/>
      <c r="BS411" s="27" t="str">
        <f ca="1">IFERROR(__xludf.DUMMYFUNCTION("""COMPUTED_VALUE"""),"Casa cedida")</f>
        <v>Casa cedida</v>
      </c>
      <c r="BT411" s="27">
        <f ca="1">IFERROR(__xludf.DUMMYFUNCTION("""COMPUTED_VALUE"""),1)</f>
        <v>1</v>
      </c>
      <c r="BU411" s="27"/>
      <c r="BV411" s="27" t="str">
        <f ca="1">IFERROR(__xludf.DUMMYFUNCTION("""COMPUTED_VALUE"""),"alimentos gordurosos")</f>
        <v>alimentos gordurosos</v>
      </c>
      <c r="BW411" s="27"/>
      <c r="BX411" s="27" t="str">
        <f ca="1">IFERROR(__xludf.DUMMYFUNCTION("""COMPUTED_VALUE"""),"@cristiano.inst.rahamim")</f>
        <v>@cristiano.inst.rahamim</v>
      </c>
      <c r="BY411" s="21" t="str">
        <f ca="1">IFERROR(__xludf.DUMMYFUNCTION("""COMPUTED_VALUE"""),"https://drive.google.com/open?id=1yr28zThW-mDXvlbi7IFR7zTXVD0J4SWk")</f>
        <v>https://drive.google.com/open?id=1yr28zThW-mDXvlbi7IFR7zTXVD0J4SWk</v>
      </c>
    </row>
    <row r="412" spans="1:77" ht="12.5" x14ac:dyDescent="0.25">
      <c r="A412" s="21" t="str">
        <f ca="1">IFERROR(__xludf.DUMMYFUNCTION("""COMPUTED_VALUE"""),"0014P00003YSp8cQAD")</f>
        <v>0014P00003YSp8cQAD</v>
      </c>
      <c r="B412" s="27" t="str">
        <f ca="1">IFERROR(__xludf.DUMMYFUNCTION("""COMPUTED_VALUE"""),"Fase Estruturação")</f>
        <v>Fase Estruturação</v>
      </c>
      <c r="C412" s="27" t="str">
        <f ca="1">IFERROR(__xludf.DUMMYFUNCTION("""COMPUTED_VALUE"""),"Fellow")</f>
        <v>Fellow</v>
      </c>
      <c r="D412" s="27" t="str">
        <f ca="1">IFERROR(__xludf.DUMMYFUNCTION("""COMPUTED_VALUE"""),"Ativo")</f>
        <v>Ativo</v>
      </c>
      <c r="E412" s="27" t="str">
        <f ca="1">IFERROR(__xludf.DUMMYFUNCTION("""COMPUTED_VALUE"""),"INSTITUTO RAÍZES")</f>
        <v>INSTITUTO RAÍZES</v>
      </c>
      <c r="F412" s="27" t="str">
        <f ca="1">IFERROR(__xludf.DUMMYFUNCTION("""COMPUTED_VALUE"""),"Jocelino")</f>
        <v>Jocelino</v>
      </c>
      <c r="G412" s="27"/>
      <c r="H412" s="27" t="str">
        <f ca="1">IFERROR(__xludf.DUMMYFUNCTION("""COMPUTED_VALUE"""),"33.253.187/0001-94")</f>
        <v>33.253.187/0001-94</v>
      </c>
      <c r="I412" s="27" t="str">
        <f ca="1">IFERROR(__xludf.DUMMYFUNCTION("""COMPUTED_VALUE"""),"JOCELINO DA CONCEIÇÃO SILVA JUNIOR")</f>
        <v>JOCELINO DA CONCEIÇÃO SILVA JUNIOR</v>
      </c>
      <c r="J412" s="27" t="str">
        <f ca="1">IFERROR(__xludf.DUMMYFUNCTION("""COMPUTED_VALUE"""),"raizes@institutoraizes.org")</f>
        <v>raizes@institutoraizes.org</v>
      </c>
      <c r="K412" s="27" t="str">
        <f ca="1">IFERROR(__xludf.DUMMYFUNCTION("""COMPUTED_VALUE"""),"(27)99293-4397")</f>
        <v>(27)99293-4397</v>
      </c>
      <c r="L412" s="27" t="str">
        <f ca="1">IFERROR(__xludf.DUMMYFUNCTION("""COMPUTED_VALUE"""),"ES")</f>
        <v>ES</v>
      </c>
      <c r="M412" s="27" t="str">
        <f ca="1">IFERROR(__xludf.DUMMYFUNCTION("""COMPUTED_VALUE"""),"RUA DO ROSÁRIO")</f>
        <v>RUA DO ROSÁRIO</v>
      </c>
      <c r="N412" s="27" t="str">
        <f ca="1">IFERROR(__xludf.DUMMYFUNCTION("""COMPUTED_VALUE"""),"CENTRO")</f>
        <v>CENTRO</v>
      </c>
      <c r="O412" s="27">
        <f ca="1">IFERROR(__xludf.DUMMYFUNCTION("""COMPUTED_VALUE"""),78)</f>
        <v>78</v>
      </c>
      <c r="P412" s="27" t="str">
        <f ca="1">IFERROR(__xludf.DUMMYFUNCTION("""COMPUTED_VALUE"""),"Vitória")</f>
        <v>Vitória</v>
      </c>
      <c r="Q412" s="27" t="str">
        <f ca="1">IFERROR(__xludf.DUMMYFUNCTION("""COMPUTED_VALUE"""),"SALA 57")</f>
        <v>SALA 57</v>
      </c>
      <c r="R412" s="27" t="str">
        <f ca="1">IFERROR(__xludf.DUMMYFUNCTION("""COMPUTED_VALUE"""),"29016-095")</f>
        <v>29016-095</v>
      </c>
      <c r="S412" s="27"/>
      <c r="T412" s="27" t="str">
        <f ca="1">IFERROR(__xludf.DUMMYFUNCTION("""COMPUTED_VALUE"""),"Educação; Assistência Social; Cultura; Defesa de Direitos; Desenvolvimento comunitário")</f>
        <v>Educação; Assistência Social; Cultura; Defesa de Direitos; Desenvolvimento comunitário</v>
      </c>
      <c r="U412" s="27" t="str">
        <f ca="1">IFERROR(__xludf.DUMMYFUNCTION("""COMPUTED_VALUE"""),"Bebês (0 a 1 ano e 6 meses); Crianças bem pequenas (1 ano e 7 meses até 3 anos e 11 meses); Crianças pequenas (4 anos a 5 anos e 11 meses); Crianças (6 a 12 anos); Adolescentes (12 aos 18 anos); Jovens (18 aos 24 anos); Adultos")</f>
        <v>Bebês (0 a 1 ano e 6 meses); Crianças bem pequenas (1 ano e 7 meses até 3 anos e 11 meses); Crianças pequenas (4 anos a 5 anos e 11 meses); Crianças (6 a 12 anos); Adolescentes (12 aos 18 anos); Jovens (18 aos 24 anos); Adultos</v>
      </c>
      <c r="V412" s="27" t="str">
        <f ca="1">IFERROR(__xludf.DUMMYFUNCTION("""COMPUTED_VALUE"""),"População LGBTQ+; Afrodescendentes; Dependentes Químicos")</f>
        <v>População LGBTQ+; Afrodescendentes; Dependentes Químicos</v>
      </c>
      <c r="W412" s="27">
        <f ca="1">IFERROR(__xludf.DUMMYFUNCTION("""COMPUTED_VALUE"""),8)</f>
        <v>8</v>
      </c>
      <c r="X412" s="27" t="str">
        <f ca="1">IFERROR(__xludf.DUMMYFUNCTION("""COMPUTED_VALUE"""),"Os morros situados na região central da cidade de Vitória que se caracterizam por profundos problemas sociais como a decadência dos serviços públicos disponibilizados aos moradores a limitação de políticas públicas articuladaso desemprego o alcoolismo o e"&amp;"xtermínio da juventude negra a violência racial sistêmica cometidas por agentes do Estado tornando este território por todas essas complexidades uma prioridade absoluta do investimento das políticas públicas voltadas para a inserção dos jovens e demais mo"&amp;"radores que vivem nesse espaço social. Neste espaço realizamos  oficinas e eventos voltados para todos os gêneros e faixas etárias com prioridade para crianças adolescentes e jovens promovendo a integração familiar e social refletindo sobre o contexto soc"&amp;"ioeconômico  e cultural do território.")</f>
        <v>Os morros situados na região central da cidade de Vitória que se caracterizam por profundos problemas sociais como a decadência dos serviços públicos disponibilizados aos moradores a limitação de políticas públicas articuladaso desemprego o alcoolismo o extermínio da juventude negra a violência racial sistêmica cometidas por agentes do Estado tornando este território por todas essas complexidades uma prioridade absoluta do investimento das políticas públicas voltadas para a inserção dos jovens e demais moradores que vivem nesse espaço social. Neste espaço realizamos  oficinas e eventos voltados para todos os gêneros e faixas etárias com prioridade para crianças adolescentes e jovens promovendo a integração familiar e social refletindo sobre o contexto socioeconômico  e cultural do território.</v>
      </c>
      <c r="Y412" s="27"/>
      <c r="Z412" s="27">
        <f ca="1">IFERROR(__xludf.DUMMYFUNCTION("""COMPUTED_VALUE"""),4500)</f>
        <v>4500</v>
      </c>
      <c r="AA412" s="29">
        <f ca="1">IFERROR(__xludf.DUMMYFUNCTION("""COMPUTED_VALUE"""),42385)</f>
        <v>42385</v>
      </c>
      <c r="AB412" s="27" t="str">
        <f ca="1">IFERROR(__xludf.DUMMYFUNCTION("""COMPUTED_VALUE"""),"Sim")</f>
        <v>Sim</v>
      </c>
      <c r="AC412" s="27">
        <f ca="1">IFERROR(__xludf.DUMMYFUNCTION("""COMPUTED_VALUE"""),8)</f>
        <v>8</v>
      </c>
      <c r="AD412" s="27">
        <f ca="1">IFERROR(__xludf.DUMMYFUNCTION("""COMPUTED_VALUE"""),8)</f>
        <v>8</v>
      </c>
      <c r="AE412" s="27">
        <f ca="1">IFERROR(__xludf.DUMMYFUNCTION("""COMPUTED_VALUE"""),30)</f>
        <v>30</v>
      </c>
      <c r="AF412" s="27">
        <f ca="1">IFERROR(__xludf.DUMMYFUNCTION("""COMPUTED_VALUE"""),62)</f>
        <v>62</v>
      </c>
      <c r="AG412" s="27">
        <f ca="1">IFERROR(__xludf.DUMMYFUNCTION("""COMPUTED_VALUE"""),3)</f>
        <v>3</v>
      </c>
      <c r="AH412" s="27" t="str">
        <f ca="1">IFERROR(__xludf.DUMMYFUNCTION("""COMPUTED_VALUE"""),"Convênio Público; Eventos/Ações para captação; Plataforma doação online - Pessoa Física; Editais; Lei Estadual da Cultura")</f>
        <v>Convênio Público; Eventos/Ações para captação; Plataforma doação online - Pessoa Física; Editais; Lei Estadual da Cultura</v>
      </c>
      <c r="AI412" s="27" t="str">
        <f ca="1">IFERROR(__xludf.DUMMYFUNCTION("""COMPUTED_VALUE"""),"NÃO")</f>
        <v>NÃO</v>
      </c>
      <c r="AJ412" s="27"/>
      <c r="AK412" s="27"/>
      <c r="AL412" s="21" t="str">
        <f ca="1">IFERROR(__xludf.DUMMYFUNCTION("""COMPUTED_VALUE"""),"0034P000045kxjD")</f>
        <v>0034P000045kxjD</v>
      </c>
      <c r="AM412" s="27" t="str">
        <f ca="1">IFERROR(__xludf.DUMMYFUNCTION("""COMPUTED_VALUE"""),"Da Conceição Silva Junior")</f>
        <v>Da Conceição Silva Junior</v>
      </c>
      <c r="AN412" s="27" t="str">
        <f ca="1">IFERROR(__xludf.DUMMYFUNCTION("""COMPUTED_VALUE"""),"Ativo")</f>
        <v>Ativo</v>
      </c>
      <c r="AO412" s="30">
        <f ca="1">IFERROR(__xludf.DUMMYFUNCTION("""COMPUTED_VALUE"""),44551)</f>
        <v>44551</v>
      </c>
      <c r="AP412" s="27">
        <f ca="1">IFERROR(__xludf.DUMMYFUNCTION("""COMPUTED_VALUE"""),9)</f>
        <v>9</v>
      </c>
      <c r="AQ412" s="27" t="str">
        <f ca="1">IFERROR(__xludf.DUMMYFUNCTION("""COMPUTED_VALUE"""),"Segundo Semestre 2021")</f>
        <v>Segundo Semestre 2021</v>
      </c>
      <c r="AR412" s="27" t="str">
        <f ca="1">IFERROR(__xludf.DUMMYFUNCTION("""COMPUTED_VALUE"""),"raizes@institutoraizes.org")</f>
        <v>raizes@institutoraizes.org</v>
      </c>
      <c r="AS412" s="27" t="str">
        <f ca="1">IFERROR(__xludf.DUMMYFUNCTION("""COMPUTED_VALUE"""),"(27)99293-4397")</f>
        <v>(27)99293-4397</v>
      </c>
      <c r="AT412" s="29">
        <f ca="1">IFERROR(__xludf.DUMMYFUNCTION("""COMPUTED_VALUE"""),33287)</f>
        <v>33287</v>
      </c>
      <c r="AU412" s="27">
        <f ca="1">IFERROR(__xludf.DUMMYFUNCTION("""COMPUTED_VALUE"""),31)</f>
        <v>31</v>
      </c>
      <c r="AV412" s="27">
        <f ca="1">IFERROR(__xludf.DUMMYFUNCTION("""COMPUTED_VALUE"""),12495838707)</f>
        <v>12495838707</v>
      </c>
      <c r="AW412" s="27">
        <f ca="1">IFERROR(__xludf.DUMMYFUNCTION("""COMPUTED_VALUE"""),2336971)</f>
        <v>2336971</v>
      </c>
      <c r="AX412" s="27"/>
      <c r="AY412" s="27"/>
      <c r="AZ412" s="27" t="str">
        <f ca="1">IFERROR(__xludf.DUMMYFUNCTION("""COMPUTED_VALUE"""),"G")</f>
        <v>G</v>
      </c>
      <c r="BA412" s="27" t="str">
        <f ca="1">IFERROR(__xludf.DUMMYFUNCTION("""COMPUTED_VALUE"""),"Preta")</f>
        <v>Preta</v>
      </c>
      <c r="BB412" s="27" t="str">
        <f ca="1">IFERROR(__xludf.DUMMYFUNCTION("""COMPUTED_VALUE"""),"Homem, cisgênero")</f>
        <v>Homem, cisgênero</v>
      </c>
      <c r="BC412" s="27" t="str">
        <f ca="1">IFERROR(__xludf.DUMMYFUNCTION("""COMPUTED_VALUE"""),"Não")</f>
        <v>Não</v>
      </c>
      <c r="BD412" s="27" t="str">
        <f ca="1">IFERROR(__xludf.DUMMYFUNCTION("""COMPUTED_VALUE"""),"Jocelino Júnior, é professor, mestre em educação pela UFES, atua no Instituto Raízes na cidade de Vitória, desenvolvendo projetos e ações a partir do samba capixaba e das comunidades em situação de vulnerabilidade social.")</f>
        <v>Jocelino Júnior, é professor, mestre em educação pela UFES, atua no Instituto Raízes na cidade de Vitória, desenvolvendo projetos e ações a partir do samba capixaba e das comunidades em situação de vulnerabilidade social.</v>
      </c>
      <c r="BE412" s="27"/>
      <c r="BF412" s="27" t="str">
        <f ca="1">IFERROR(__xludf.DUMMYFUNCTION("""COMPUTED_VALUE"""),"Heterossexual")</f>
        <v>Heterossexual</v>
      </c>
      <c r="BG412" s="27" t="str">
        <f ca="1">IFERROR(__xludf.DUMMYFUNCTION("""COMPUTED_VALUE"""),"Ensino Superior - Completo")</f>
        <v>Ensino Superior - Completo</v>
      </c>
      <c r="BH412" s="27" t="str">
        <f ca="1">IFERROR(__xludf.DUMMYFUNCTION("""COMPUTED_VALUE"""),"Público")</f>
        <v>Público</v>
      </c>
      <c r="BI412" s="27" t="str">
        <f ca="1">IFERROR(__xludf.DUMMYFUNCTION("""COMPUTED_VALUE"""),"Mestrado")</f>
        <v>Mestrado</v>
      </c>
      <c r="BJ412" s="27" t="str">
        <f ca="1">IFERROR(__xludf.DUMMYFUNCTION("""COMPUTED_VALUE"""),"Público")</f>
        <v>Público</v>
      </c>
      <c r="BK412" s="27" t="str">
        <f ca="1">IFERROR(__xludf.DUMMYFUNCTION("""COMPUTED_VALUE"""),"NESTOR GOMES")</f>
        <v>NESTOR GOMES</v>
      </c>
      <c r="BL412" s="27">
        <f ca="1">IFERROR(__xludf.DUMMYFUNCTION("""COMPUTED_VALUE"""),200)</f>
        <v>200</v>
      </c>
      <c r="BM412" s="27" t="str">
        <f ca="1">IFERROR(__xludf.DUMMYFUNCTION("""COMPUTED_VALUE"""),"APTO 201")</f>
        <v>APTO 201</v>
      </c>
      <c r="BN412" s="27" t="str">
        <f ca="1">IFERROR(__xludf.DUMMYFUNCTION("""COMPUTED_VALUE"""),"VITORIA")</f>
        <v>VITORIA</v>
      </c>
      <c r="BO412" s="27" t="str">
        <f ca="1">IFERROR(__xludf.DUMMYFUNCTION("""COMPUTED_VALUE"""),"29015-150")</f>
        <v>29015-150</v>
      </c>
      <c r="BP412" s="27" t="str">
        <f ca="1">IFERROR(__xludf.DUMMYFUNCTION("""COMPUTED_VALUE"""),"ES")</f>
        <v>ES</v>
      </c>
      <c r="BQ412" s="27" t="str">
        <f ca="1">IFERROR(__xludf.DUMMYFUNCTION("""COMPUTED_VALUE"""),"Entre 1 até 3 salários mínimos")</f>
        <v>Entre 1 até 3 salários mínimos</v>
      </c>
      <c r="BR412" s="27" t="str">
        <f ca="1">IFERROR(__xludf.DUMMYFUNCTION("""COMPUTED_VALUE"""),"CLT")</f>
        <v>CLT</v>
      </c>
      <c r="BS412" s="27" t="str">
        <f ca="1">IFERROR(__xludf.DUMMYFUNCTION("""COMPUTED_VALUE"""),"Casa própria")</f>
        <v>Casa própria</v>
      </c>
      <c r="BT412" s="27">
        <f ca="1">IFERROR(__xludf.DUMMYFUNCTION("""COMPUTED_VALUE"""),5)</f>
        <v>5</v>
      </c>
      <c r="BU412" s="27" t="str">
        <f ca="1">IFERROR(__xludf.DUMMYFUNCTION("""COMPUTED_VALUE"""),"Não tem")</f>
        <v>Não tem</v>
      </c>
      <c r="BV412" s="27"/>
      <c r="BW412" s="27"/>
      <c r="BX412" s="21" t="str">
        <f ca="1">IFERROR(__xludf.DUMMYFUNCTION("""COMPUTED_VALUE"""),"https://instagram.com/profjocelino?utm_medium=copy_link")</f>
        <v>https://instagram.com/profjocelino?utm_medium=copy_link</v>
      </c>
      <c r="BY412" s="21" t="str">
        <f ca="1">IFERROR(__xludf.DUMMYFUNCTION("""COMPUTED_VALUE"""),"https://drive.google.com/open?id=14bXU21bXR6FHq480vfUXu9DUlP3nHY-A")</f>
        <v>https://drive.google.com/open?id=14bXU21bXR6FHq480vfUXu9DUlP3nHY-A</v>
      </c>
    </row>
    <row r="413" spans="1:77" ht="12.5" x14ac:dyDescent="0.25">
      <c r="A413" s="21" t="str">
        <f ca="1">IFERROR(__xludf.DUMMYFUNCTION("""COMPUTED_VALUE"""),"0014X00002VKCpuQAH")</f>
        <v>0014X00002VKCpuQAH</v>
      </c>
      <c r="B413" s="27" t="str">
        <f ca="1">IFERROR(__xludf.DUMMYFUNCTION("""COMPUTED_VALUE"""),"Fase Inicial")</f>
        <v>Fase Inicial</v>
      </c>
      <c r="C413" s="27" t="str">
        <f ca="1">IFERROR(__xludf.DUMMYFUNCTION("""COMPUTED_VALUE"""),"Fellow")</f>
        <v>Fellow</v>
      </c>
      <c r="D413" s="27" t="str">
        <f ca="1">IFERROR(__xludf.DUMMYFUNCTION("""COMPUTED_VALUE"""),"Ativo")</f>
        <v>Ativo</v>
      </c>
      <c r="E413" s="27" t="str">
        <f ca="1">IFERROR(__xludf.DUMMYFUNCTION("""COMPUTED_VALUE"""),"Instituto Rastro")</f>
        <v>Instituto Rastro</v>
      </c>
      <c r="F413" s="27" t="str">
        <f ca="1">IFERROR(__xludf.DUMMYFUNCTION("""COMPUTED_VALUE"""),"Francisca")</f>
        <v>Francisca</v>
      </c>
      <c r="G413" s="27" t="str">
        <f ca="1">IFERROR(__xludf.DUMMYFUNCTION("""COMPUTED_VALUE"""),"INSTITUTO RASTRO")</f>
        <v>INSTITUTO RASTRO</v>
      </c>
      <c r="H413" s="27" t="str">
        <f ca="1">IFERROR(__xludf.DUMMYFUNCTION("""COMPUTED_VALUE"""),"43.995.488/0001-47")</f>
        <v>43.995.488/0001-47</v>
      </c>
      <c r="I413" s="27" t="str">
        <f ca="1">IFERROR(__xludf.DUMMYFUNCTION("""COMPUTED_VALUE"""),"Francisca Gerlídia Tavares")</f>
        <v>Francisca Gerlídia Tavares</v>
      </c>
      <c r="J413" s="27" t="str">
        <f ca="1">IFERROR(__xludf.DUMMYFUNCTION("""COMPUTED_VALUE"""),"rastroinstituto@gmail.com")</f>
        <v>rastroinstituto@gmail.com</v>
      </c>
      <c r="K413" s="27" t="str">
        <f ca="1">IFERROR(__xludf.DUMMYFUNCTION("""COMPUTED_VALUE"""),"(88)99970-1973")</f>
        <v>(88)99970-1973</v>
      </c>
      <c r="L413" s="27" t="str">
        <f ca="1">IFERROR(__xludf.DUMMYFUNCTION("""COMPUTED_VALUE"""),"CE")</f>
        <v>CE</v>
      </c>
      <c r="M413" s="27" t="str">
        <f ca="1">IFERROR(__xludf.DUMMYFUNCTION("""COMPUTED_VALUE"""),"Rua Néo Martins")</f>
        <v>Rua Néo Martins</v>
      </c>
      <c r="N413" s="27" t="str">
        <f ca="1">IFERROR(__xludf.DUMMYFUNCTION("""COMPUTED_VALUE"""),"Campo Velho")</f>
        <v>Campo Velho</v>
      </c>
      <c r="O413" s="27">
        <f ca="1">IFERROR(__xludf.DUMMYFUNCTION("""COMPUTED_VALUE"""),748)</f>
        <v>748</v>
      </c>
      <c r="P413" s="27" t="str">
        <f ca="1">IFERROR(__xludf.DUMMYFUNCTION("""COMPUTED_VALUE"""),"Quixadá")</f>
        <v>Quixadá</v>
      </c>
      <c r="Q413" s="27"/>
      <c r="R413" s="27" t="str">
        <f ca="1">IFERROR(__xludf.DUMMYFUNCTION("""COMPUTED_VALUE"""),"63907-055")</f>
        <v>63907-055</v>
      </c>
      <c r="S413" s="27" t="str">
        <f ca="1">IFERROR(__xludf.DUMMYFUNCTION("""COMPUTED_VALUE"""),"Sim. Hotel Vale das Pedras")</f>
        <v>Sim. Hotel Vale das Pedras</v>
      </c>
      <c r="T413" s="27"/>
      <c r="U413" s="27" t="str">
        <f ca="1">IFERROR(__xludf.DUMMYFUNCTION("""COMPUTED_VALUE"""),"Crianças (6 a 12 anos), Adolescentes (12 aos 18 anos), Jovens (18 aos 24 anos), Adultos")</f>
        <v>Crianças (6 a 12 anos), Adolescentes (12 aos 18 anos), Jovens (18 aos 24 anos), Adultos</v>
      </c>
      <c r="V413" s="27" t="str">
        <f ca="1">IFERROR(__xludf.DUMMYFUNCTION("""COMPUTED_VALUE"""),"Pessoas em situação de rua, População LGBTQ+, Quilombola, Afrodescendentes, Pessoas com Deficiência, Comunidade rural")</f>
        <v>Pessoas em situação de rua, População LGBTQ+, Quilombola, Afrodescendentes, Pessoas com Deficiência, Comunidade rural</v>
      </c>
      <c r="W413" s="27">
        <f ca="1">IFERROR(__xludf.DUMMYFUNCTION("""COMPUTED_VALUE"""),50)</f>
        <v>50</v>
      </c>
      <c r="X413" s="27" t="str">
        <f ca="1">IFERROR(__xludf.DUMMYFUNCTION("""COMPUTED_VALUE"""),"Nosso público é diverso devido as várias linhas de trabalho que exercemos na instituição.")</f>
        <v>Nosso público é diverso devido as várias linhas de trabalho que exercemos na instituição.</v>
      </c>
      <c r="Y413" s="27"/>
      <c r="Z413" s="27">
        <f ca="1">IFERROR(__xludf.DUMMYFUNCTION("""COMPUTED_VALUE"""),0)</f>
        <v>0</v>
      </c>
      <c r="AA413" s="29">
        <f ca="1">IFERROR(__xludf.DUMMYFUNCTION("""COMPUTED_VALUE"""),44273)</f>
        <v>44273</v>
      </c>
      <c r="AB413" s="27" t="str">
        <f ca="1">IFERROR(__xludf.DUMMYFUNCTION("""COMPUTED_VALUE"""),"Sim")</f>
        <v>Sim</v>
      </c>
      <c r="AC413" s="27">
        <f ca="1">IFERROR(__xludf.DUMMYFUNCTION("""COMPUTED_VALUE"""),0)</f>
        <v>0</v>
      </c>
      <c r="AD413" s="27">
        <f ca="1">IFERROR(__xludf.DUMMYFUNCTION("""COMPUTED_VALUE"""),9)</f>
        <v>9</v>
      </c>
      <c r="AE413" s="27">
        <f ca="1">IFERROR(__xludf.DUMMYFUNCTION("""COMPUTED_VALUE"""),14)</f>
        <v>14</v>
      </c>
      <c r="AF413" s="27">
        <f ca="1">IFERROR(__xludf.DUMMYFUNCTION("""COMPUTED_VALUE"""),9)</f>
        <v>9</v>
      </c>
      <c r="AG413" s="27">
        <f ca="1">IFERROR(__xludf.DUMMYFUNCTION("""COMPUTED_VALUE"""),2)</f>
        <v>2</v>
      </c>
      <c r="AH413" s="27" t="str">
        <f ca="1">IFERROR(__xludf.DUMMYFUNCTION("""COMPUTED_VALUE"""),"Doações, Recursos próprios")</f>
        <v>Doações, Recursos próprios</v>
      </c>
      <c r="AI413" s="27" t="str">
        <f ca="1">IFERROR(__xludf.DUMMYFUNCTION("""COMPUTED_VALUE"""),"70% Doação, 30% Recursos próprios")</f>
        <v>70% Doação, 30% Recursos próprios</v>
      </c>
      <c r="AJ413" s="27" t="str">
        <f ca="1">IFERROR(__xludf.DUMMYFUNCTION("""COMPUTED_VALUE"""),"Sim")</f>
        <v>Sim</v>
      </c>
      <c r="AK413" s="27"/>
      <c r="AL413" s="21" t="str">
        <f ca="1">IFERROR(__xludf.DUMMYFUNCTION("""COMPUTED_VALUE"""),"0034X0000380O34")</f>
        <v>0034X0000380O34</v>
      </c>
      <c r="AM413" s="27" t="str">
        <f ca="1">IFERROR(__xludf.DUMMYFUNCTION("""COMPUTED_VALUE"""),"Gerlí­dia tavares")</f>
        <v>Gerlí­dia tavares</v>
      </c>
      <c r="AN413" s="27" t="str">
        <f ca="1">IFERROR(__xludf.DUMMYFUNCTION("""COMPUTED_VALUE"""),"Ativo")</f>
        <v>Ativo</v>
      </c>
      <c r="AO413" s="29">
        <f ca="1">IFERROR(__xludf.DUMMYFUNCTION("""COMPUTED_VALUE"""),44763)</f>
        <v>44763</v>
      </c>
      <c r="AP413" s="27">
        <f ca="1">IFERROR(__xludf.DUMMYFUNCTION("""COMPUTED_VALUE"""),2)</f>
        <v>2</v>
      </c>
      <c r="AQ413" s="27" t="str">
        <f ca="1">IFERROR(__xludf.DUMMYFUNCTION("""COMPUTED_VALUE"""),"Primeiro Semestre 2022")</f>
        <v>Primeiro Semestre 2022</v>
      </c>
      <c r="AR413" s="27" t="str">
        <f ca="1">IFERROR(__xludf.DUMMYFUNCTION("""COMPUTED_VALUE"""),"gerlidiat@gmail.com")</f>
        <v>gerlidiat@gmail.com</v>
      </c>
      <c r="AS413" s="27">
        <f ca="1">IFERROR(__xludf.DUMMYFUNCTION("""COMPUTED_VALUE"""),88999701973)</f>
        <v>88999701973</v>
      </c>
      <c r="AT413" s="30">
        <f ca="1">IFERROR(__xludf.DUMMYFUNCTION("""COMPUTED_VALUE"""),29186)</f>
        <v>29186</v>
      </c>
      <c r="AU413" s="27">
        <f ca="1">IFERROR(__xludf.DUMMYFUNCTION("""COMPUTED_VALUE"""),43)</f>
        <v>43</v>
      </c>
      <c r="AV413" s="27">
        <f ca="1">IFERROR(__xludf.DUMMYFUNCTION("""COMPUTED_VALUE"""),86279688372)</f>
        <v>86279688372</v>
      </c>
      <c r="AW413" s="27">
        <f ca="1">IFERROR(__xludf.DUMMYFUNCTION("""COMPUTED_VALUE"""),2004005018262)</f>
        <v>2004005018262</v>
      </c>
      <c r="AX413" s="27"/>
      <c r="AY413" s="27"/>
      <c r="AZ413" s="27" t="str">
        <f ca="1">IFERROR(__xludf.DUMMYFUNCTION("""COMPUTED_VALUE"""),"P")</f>
        <v>P</v>
      </c>
      <c r="BA413" s="27" t="str">
        <f ca="1">IFERROR(__xludf.DUMMYFUNCTION("""COMPUTED_VALUE"""),"Preta")</f>
        <v>Preta</v>
      </c>
      <c r="BB413" s="27"/>
      <c r="BC413" s="27"/>
      <c r="BD413" s="27" t="str">
        <f ca="1">IFERROR(__xludf.DUMMYFUNCTION("""COMPUTED_VALUE"""),"Gerlídia Tavares*  42 anos* vividos na cidade de Quixadá *Sertão central do Ceará* onde desde de muito jovem mostrou suas habilidades para a arte da dança e liderança com os argumentos artísticos* culturais e sociais do sertão central.  Pedagoga* professo"&amp;"ra* bailarina* coreógrafa* fundadora e diretora da Cia de Dança Rastro* presidenta do instituto Rastro* integrante da Rede de Dança do Ceará* presidenta do Fórum de Cultura e Turismo do Sertão Central e Conselheira no Conselho Brasileiro da Dança.")</f>
        <v>Gerlídia Tavares*  42 anos* vividos na cidade de Quixadá *Sertão central do Ceará* onde desde de muito jovem mostrou suas habilidades para a arte da dança e liderança com os argumentos artísticos* culturais e sociais do sertão central.  Pedagoga* professora* bailarina* coreógrafa* fundadora e diretora da Cia de Dança Rastro* presidenta do instituto Rastro* integrante da Rede de Dança do Ceará* presidenta do Fórum de Cultura e Turismo do Sertão Central e Conselheira no Conselho Brasileiro da Dança.</v>
      </c>
      <c r="BE413" s="27" t="str">
        <f ca="1">IFERROR(__xludf.DUMMYFUNCTION("""COMPUTED_VALUE"""),"Feminino")</f>
        <v>Feminino</v>
      </c>
      <c r="BF413" s="27" t="str">
        <f ca="1">IFERROR(__xludf.DUMMYFUNCTION("""COMPUTED_VALUE"""),"Heterossexual")</f>
        <v>Heterossexual</v>
      </c>
      <c r="BG413" s="27"/>
      <c r="BH413" s="27" t="str">
        <f ca="1">IFERROR(__xludf.DUMMYFUNCTION("""COMPUTED_VALUE"""),"Público")</f>
        <v>Público</v>
      </c>
      <c r="BI413" s="27" t="str">
        <f ca="1">IFERROR(__xludf.DUMMYFUNCTION("""COMPUTED_VALUE"""),"Pós-Graduação")</f>
        <v>Pós-Graduação</v>
      </c>
      <c r="BJ413" s="27" t="str">
        <f ca="1">IFERROR(__xludf.DUMMYFUNCTION("""COMPUTED_VALUE"""),"Privado")</f>
        <v>Privado</v>
      </c>
      <c r="BK413" s="27" t="str">
        <f ca="1">IFERROR(__xludf.DUMMYFUNCTION("""COMPUTED_VALUE"""),"Rua Juvêncio Alves de Oliveira")</f>
        <v>Rua Juvêncio Alves de Oliveira</v>
      </c>
      <c r="BL413" s="27">
        <f ca="1">IFERROR(__xludf.DUMMYFUNCTION("""COMPUTED_VALUE"""),1453)</f>
        <v>1453</v>
      </c>
      <c r="BM413" s="27"/>
      <c r="BN413" s="27"/>
      <c r="BO413" s="27">
        <f ca="1">IFERROR(__xludf.DUMMYFUNCTION("""COMPUTED_VALUE"""),63905325)</f>
        <v>63905325</v>
      </c>
      <c r="BP413" s="27" t="str">
        <f ca="1">IFERROR(__xludf.DUMMYFUNCTION("""COMPUTED_VALUE"""),"CE")</f>
        <v>CE</v>
      </c>
      <c r="BQ413" s="27" t="str">
        <f ca="1">IFERROR(__xludf.DUMMYFUNCTION("""COMPUTED_VALUE"""),"Entre 1 até 3 salários mínimos")</f>
        <v>Entre 1 até 3 salários mínimos</v>
      </c>
      <c r="BR413" s="27" t="str">
        <f ca="1">IFERROR(__xludf.DUMMYFUNCTION("""COMPUTED_VALUE"""),"Desempregado")</f>
        <v>Desempregado</v>
      </c>
      <c r="BS413" s="27" t="str">
        <f ca="1">IFERROR(__xludf.DUMMYFUNCTION("""COMPUTED_VALUE"""),"Outros")</f>
        <v>Outros</v>
      </c>
      <c r="BT413" s="27">
        <f ca="1">IFERROR(__xludf.DUMMYFUNCTION("""COMPUTED_VALUE"""),2)</f>
        <v>2</v>
      </c>
      <c r="BU413" s="27" t="str">
        <f ca="1">IFERROR(__xludf.DUMMYFUNCTION("""COMPUTED_VALUE"""),"Outros")</f>
        <v>Outros</v>
      </c>
      <c r="BV413" s="27" t="str">
        <f ca="1">IFERROR(__xludf.DUMMYFUNCTION("""COMPUTED_VALUE"""),"Sim")</f>
        <v>Sim</v>
      </c>
      <c r="BW413" s="27"/>
      <c r="BX413" s="21" t="str">
        <f ca="1">IFERROR(__xludf.DUMMYFUNCTION("""COMPUTED_VALUE"""),"https://instagram.com/tavares_ger?utm_medium=copy_link")</f>
        <v>https://instagram.com/tavares_ger?utm_medium=copy_link</v>
      </c>
      <c r="BY413" s="21" t="str">
        <f ca="1">IFERROR(__xludf.DUMMYFUNCTION("""COMPUTED_VALUE"""),"https://drive.google.com/open?id=1dr44lHgCslqrW6jTMpxqCvKZoEccJIRG")</f>
        <v>https://drive.google.com/open?id=1dr44lHgCslqrW6jTMpxqCvKZoEccJIRG</v>
      </c>
    </row>
    <row r="414" spans="1:77" ht="12.5" x14ac:dyDescent="0.25">
      <c r="A414" s="21" t="str">
        <f ca="1">IFERROR(__xludf.DUMMYFUNCTION("""COMPUTED_VALUE"""),"0014P00003AN2FxQAL")</f>
        <v>0014P00003AN2FxQAL</v>
      </c>
      <c r="B414" s="27" t="str">
        <f ca="1">IFERROR(__xludf.DUMMYFUNCTION("""COMPUTED_VALUE"""),"Fase Estruturação")</f>
        <v>Fase Estruturação</v>
      </c>
      <c r="C414" s="27" t="str">
        <f ca="1">IFERROR(__xludf.DUMMYFUNCTION("""COMPUTED_VALUE"""),"Acelerada")</f>
        <v>Acelerada</v>
      </c>
      <c r="D414" s="27" t="str">
        <f ca="1">IFERROR(__xludf.DUMMYFUNCTION("""COMPUTED_VALUE"""),"Ativo")</f>
        <v>Ativo</v>
      </c>
      <c r="E414" s="27" t="str">
        <f ca="1">IFERROR(__xludf.DUMMYFUNCTION("""COMPUTED_VALUE"""),"Instituto Recomeçar")</f>
        <v>Instituto Recomeçar</v>
      </c>
      <c r="F414" s="27" t="str">
        <f ca="1">IFERROR(__xludf.DUMMYFUNCTION("""COMPUTED_VALUE"""),"Leonardo")</f>
        <v>Leonardo</v>
      </c>
      <c r="G414" s="27" t="str">
        <f ca="1">IFERROR(__xludf.DUMMYFUNCTION("""COMPUTED_VALUE"""),"RECOMEÇAR")</f>
        <v>RECOMEÇAR</v>
      </c>
      <c r="H414" s="27" t="str">
        <f ca="1">IFERROR(__xludf.DUMMYFUNCTION("""COMPUTED_VALUE"""),"37.129.166/0001-12")</f>
        <v>37.129.166/0001-12</v>
      </c>
      <c r="I414" s="27"/>
      <c r="J414" s="27" t="str">
        <f ca="1">IFERROR(__xludf.DUMMYFUNCTION("""COMPUTED_VALUE"""),"leonardo.precioso@recomecar360.org")</f>
        <v>leonardo.precioso@recomecar360.org</v>
      </c>
      <c r="K414" s="27" t="str">
        <f ca="1">IFERROR(__xludf.DUMMYFUNCTION("""COMPUTED_VALUE"""),"(11)95305-4694")</f>
        <v>(11)95305-4694</v>
      </c>
      <c r="L414" s="27" t="str">
        <f ca="1">IFERROR(__xludf.DUMMYFUNCTION("""COMPUTED_VALUE"""),"SP")</f>
        <v>SP</v>
      </c>
      <c r="M414" s="27" t="str">
        <f ca="1">IFERROR(__xludf.DUMMYFUNCTION("""COMPUTED_VALUE"""),"Deputado Cunha Bueno")</f>
        <v>Deputado Cunha Bueno</v>
      </c>
      <c r="N414" s="27"/>
      <c r="O414" s="27" t="str">
        <f ca="1">IFERROR(__xludf.DUMMYFUNCTION("""COMPUTED_VALUE"""),"(11)95305-4694")</f>
        <v>(11)95305-4694</v>
      </c>
      <c r="P414" s="27" t="str">
        <f ca="1">IFERROR(__xludf.DUMMYFUNCTION("""COMPUTED_VALUE"""),"Poá")</f>
        <v>Poá</v>
      </c>
      <c r="Q414" s="27"/>
      <c r="R414" s="27" t="str">
        <f ca="1">IFERROR(__xludf.DUMMYFUNCTION("""COMPUTED_VALUE"""),"08561-310")</f>
        <v>08561-310</v>
      </c>
      <c r="S414" s="27" t="str">
        <f ca="1">IFERROR(__xludf.DUMMYFUNCTION("""COMPUTED_VALUE"""),"NA")</f>
        <v>NA</v>
      </c>
      <c r="T414" s="27" t="str">
        <f ca="1">IFERROR(__xludf.DUMMYFUNCTION("""COMPUTED_VALUE"""),"Empregabilidade; Qualificação Profissional; Empreendedorismo; Negócios Sociais")</f>
        <v>Empregabilidade; Qualificação Profissional; Empreendedorismo; Negócios Sociais</v>
      </c>
      <c r="U414" s="27" t="str">
        <f ca="1">IFERROR(__xludf.DUMMYFUNCTION("""COMPUTED_VALUE"""),"Adultos")</f>
        <v>Adultos</v>
      </c>
      <c r="V414" s="27" t="str">
        <f ca="1">IFERROR(__xludf.DUMMYFUNCTION("""COMPUTED_VALUE"""),"Egressos sistema carcerário")</f>
        <v>Egressos sistema carcerário</v>
      </c>
      <c r="W414" s="27">
        <f ca="1">IFERROR(__xludf.DUMMYFUNCTION("""COMPUTED_VALUE"""),20)</f>
        <v>20</v>
      </c>
      <c r="X414" s="27" t="str">
        <f ca="1">IFERROR(__xludf.DUMMYFUNCTION("""COMPUTED_VALUE"""),"Meu publico esta espalhado por diversas classes sociais e regiões")</f>
        <v>Meu publico esta espalhado por diversas classes sociais e regiões</v>
      </c>
      <c r="Y414" s="27"/>
      <c r="Z414" s="27"/>
      <c r="AA414" s="29">
        <f ca="1">IFERROR(__xludf.DUMMYFUNCTION("""COMPUTED_VALUE"""),43903)</f>
        <v>43903</v>
      </c>
      <c r="AB414" s="27" t="str">
        <f ca="1">IFERROR(__xludf.DUMMYFUNCTION("""COMPUTED_VALUE"""),"Sim")</f>
        <v>Sim</v>
      </c>
      <c r="AC414" s="27">
        <f ca="1">IFERROR(__xludf.DUMMYFUNCTION("""COMPUTED_VALUE"""),29)</f>
        <v>29</v>
      </c>
      <c r="AD414" s="27">
        <f ca="1">IFERROR(__xludf.DUMMYFUNCTION("""COMPUTED_VALUE"""),3)</f>
        <v>3</v>
      </c>
      <c r="AE414" s="27">
        <f ca="1">IFERROR(__xludf.DUMMYFUNCTION("""COMPUTED_VALUE"""),4)</f>
        <v>4</v>
      </c>
      <c r="AF414" s="27">
        <f ca="1">IFERROR(__xludf.DUMMYFUNCTION("""COMPUTED_VALUE"""),0)</f>
        <v>0</v>
      </c>
      <c r="AG414" s="27">
        <f ca="1">IFERROR(__xludf.DUMMYFUNCTION("""COMPUTED_VALUE"""),1)</f>
        <v>1</v>
      </c>
      <c r="AH414" s="27" t="str">
        <f ca="1">IFERROR(__xludf.DUMMYFUNCTION("""COMPUTED_VALUE"""),"Negócio Social; Parceria iniciativa privada; Editais")</f>
        <v>Negócio Social; Parceria iniciativa privada; Editais</v>
      </c>
      <c r="AI414" s="27" t="str">
        <f ca="1">IFERROR(__xludf.DUMMYFUNCTION("""COMPUTED_VALUE"""),"100 % Projetos com empresas")</f>
        <v>100 % Projetos com empresas</v>
      </c>
      <c r="AJ414" s="27" t="str">
        <f ca="1">IFERROR(__xludf.DUMMYFUNCTION("""COMPUTED_VALUE"""),"Não")</f>
        <v>Não</v>
      </c>
      <c r="AK414" s="27" t="str">
        <f ca="1">IFERROR(__xludf.DUMMYFUNCTION("""COMPUTED_VALUE"""),"Sim")</f>
        <v>Sim</v>
      </c>
      <c r="AL414" s="21" t="str">
        <f ca="1">IFERROR(__xludf.DUMMYFUNCTION("""COMPUTED_VALUE"""),"0034P00003maBVO")</f>
        <v>0034P00003maBVO</v>
      </c>
      <c r="AM414" s="27" t="str">
        <f ca="1">IFERROR(__xludf.DUMMYFUNCTION("""COMPUTED_VALUE"""),"Moraes Precioso")</f>
        <v>Moraes Precioso</v>
      </c>
      <c r="AN414" s="27" t="str">
        <f ca="1">IFERROR(__xludf.DUMMYFUNCTION("""COMPUTED_VALUE"""),"Ativo")</f>
        <v>Ativo</v>
      </c>
      <c r="AO414" s="29">
        <f ca="1">IFERROR(__xludf.DUMMYFUNCTION("""COMPUTED_VALUE"""),44013)</f>
        <v>44013</v>
      </c>
      <c r="AP414" s="27">
        <f ca="1">IFERROR(__xludf.DUMMYFUNCTION("""COMPUTED_VALUE"""),26)</f>
        <v>26</v>
      </c>
      <c r="AQ414" s="27" t="str">
        <f ca="1">IFERROR(__xludf.DUMMYFUNCTION("""COMPUTED_VALUE"""),"Primeiro Semestre 2019")</f>
        <v>Primeiro Semestre 2019</v>
      </c>
      <c r="AR414" s="27" t="str">
        <f ca="1">IFERROR(__xludf.DUMMYFUNCTION("""COMPUTED_VALUE"""),"leonardo.precioso@recomecar360.org")</f>
        <v>leonardo.precioso@recomecar360.org</v>
      </c>
      <c r="AS414" s="27" t="str">
        <f ca="1">IFERROR(__xludf.DUMMYFUNCTION("""COMPUTED_VALUE"""),"(11)95305-4694")</f>
        <v>(11)95305-4694</v>
      </c>
      <c r="AT414" s="29">
        <f ca="1">IFERROR(__xludf.DUMMYFUNCTION("""COMPUTED_VALUE"""),30193)</f>
        <v>30193</v>
      </c>
      <c r="AU414" s="27">
        <f ca="1">IFERROR(__xludf.DUMMYFUNCTION("""COMPUTED_VALUE"""),40)</f>
        <v>40</v>
      </c>
      <c r="AV414" s="27">
        <f ca="1">IFERROR(__xludf.DUMMYFUNCTION("""COMPUTED_VALUE"""),30567961800)</f>
        <v>30567961800</v>
      </c>
      <c r="AW414" s="27">
        <f ca="1">IFERROR(__xludf.DUMMYFUNCTION("""COMPUTED_VALUE"""),261480108)</f>
        <v>261480108</v>
      </c>
      <c r="AX414" s="27" t="str">
        <f ca="1">IFERROR(__xludf.DUMMYFUNCTION("""COMPUTED_VALUE"""),"Educação")</f>
        <v>Educação</v>
      </c>
      <c r="AY414" s="27" t="str">
        <f ca="1">IFERROR(__xludf.DUMMYFUNCTION("""COMPUTED_VALUE"""),"NA")</f>
        <v>NA</v>
      </c>
      <c r="AZ414" s="27" t="str">
        <f ca="1">IFERROR(__xludf.DUMMYFUNCTION("""COMPUTED_VALUE"""),"GG")</f>
        <v>GG</v>
      </c>
      <c r="BA414" s="27"/>
      <c r="BB414" s="27"/>
      <c r="BC414" s="27" t="str">
        <f ca="1">IFERROR(__xludf.DUMMYFUNCTION("""COMPUTED_VALUE"""),"Sim")</f>
        <v>Sim</v>
      </c>
      <c r="BD414" s="27" t="str">
        <f ca="1">IFERROR(__xludf.DUMMYFUNCTION("""COMPUTED_VALUE"""),"Leonardo Precioso, 39 anos, foi preso em 2008, 
passou 7 anos e 13 dias no cárcere. 
Em 2016, foi o primeiro ex-presidiário da história 
a ganhar o prêmio Jovem Brasileiro na categoria Social. 
Cursou a graduação de Educação Física e 
é fundador do Insti"&amp;"tuto Recomeçar, que apoia o desenvolvimento e preparação de egressos(as) para o mercado de trabalho, através de qualificação, e treinamentos e aperfeiçoamento empreendedor.​")</f>
        <v>Leonardo Precioso, 39 anos, foi preso em 2008, 
passou 7 anos e 13 dias no cárcere. 
Em 2016, foi o primeiro ex-presidiário da história 
a ganhar o prêmio Jovem Brasileiro na categoria Social. 
Cursou a graduação de Educação Física e 
é fundador do Instituto Recomeçar, que apoia o desenvolvimento e preparação de egressos(as) para o mercado de trabalho, através de qualificação, e treinamentos e aperfeiçoamento empreendedor.​</v>
      </c>
      <c r="BE414" s="27"/>
      <c r="BF414" s="27"/>
      <c r="BG414" s="27" t="str">
        <f ca="1">IFERROR(__xludf.DUMMYFUNCTION("""COMPUTED_VALUE"""),"Ensino Superior - Incompleto")</f>
        <v>Ensino Superior - Incompleto</v>
      </c>
      <c r="BH414" s="27"/>
      <c r="BI414" s="27" t="str">
        <f ca="1">IFERROR(__xludf.DUMMYFUNCTION("""COMPUTED_VALUE"""),"Graduação")</f>
        <v>Graduação</v>
      </c>
      <c r="BJ414" s="27" t="str">
        <f ca="1">IFERROR(__xludf.DUMMYFUNCTION("""COMPUTED_VALUE"""),"Privado")</f>
        <v>Privado</v>
      </c>
      <c r="BK414" s="27" t="str">
        <f ca="1">IFERROR(__xludf.DUMMYFUNCTION("""COMPUTED_VALUE"""),"Baltazar Lemos Navarro")</f>
        <v>Baltazar Lemos Navarro</v>
      </c>
      <c r="BL414" s="27">
        <f ca="1">IFERROR(__xludf.DUMMYFUNCTION("""COMPUTED_VALUE"""),259)</f>
        <v>259</v>
      </c>
      <c r="BM414" s="27"/>
      <c r="BN414" s="27" t="str">
        <f ca="1">IFERROR(__xludf.DUMMYFUNCTION("""COMPUTED_VALUE"""),"Poá")</f>
        <v>Poá</v>
      </c>
      <c r="BO414" s="27" t="str">
        <f ca="1">IFERROR(__xludf.DUMMYFUNCTION("""COMPUTED_VALUE"""),"08122-050")</f>
        <v>08122-050</v>
      </c>
      <c r="BP414" s="27" t="str">
        <f ca="1">IFERROR(__xludf.DUMMYFUNCTION("""COMPUTED_VALUE"""),"SP")</f>
        <v>SP</v>
      </c>
      <c r="BQ414" s="27" t="str">
        <f ca="1">IFERROR(__xludf.DUMMYFUNCTION("""COMPUTED_VALUE"""),"De 3 até 5 salários mínimos")</f>
        <v>De 3 até 5 salários mínimos</v>
      </c>
      <c r="BR414" s="27" t="str">
        <f ca="1">IFERROR(__xludf.DUMMYFUNCTION("""COMPUTED_VALUE"""),"MEI")</f>
        <v>MEI</v>
      </c>
      <c r="BS414" s="27" t="str">
        <f ca="1">IFERROR(__xludf.DUMMYFUNCTION("""COMPUTED_VALUE"""),"Aluguel")</f>
        <v>Aluguel</v>
      </c>
      <c r="BT414" s="27">
        <f ca="1">IFERROR(__xludf.DUMMYFUNCTION("""COMPUTED_VALUE"""),3)</f>
        <v>3</v>
      </c>
      <c r="BU414" s="27"/>
      <c r="BV414" s="27"/>
      <c r="BW414" s="21" t="str">
        <f ca="1">IFERROR(__xludf.DUMMYFUNCTION("""COMPUTED_VALUE"""),"https://www.linkedin.com/in/leonardo-precioso-b1a063157")</f>
        <v>https://www.linkedin.com/in/leonardo-precioso-b1a063157</v>
      </c>
      <c r="BX414" s="21" t="str">
        <f ca="1">IFERROR(__xludf.DUMMYFUNCTION("""COMPUTED_VALUE"""),"https://instagram.com/leonardomoraesprecioso?utm_medium=copy_link")</f>
        <v>https://instagram.com/leonardomoraesprecioso?utm_medium=copy_link</v>
      </c>
      <c r="BY414" s="21" t="str">
        <f ca="1">IFERROR(__xludf.DUMMYFUNCTION("""COMPUTED_VALUE"""),"https://drive.google.com/open?id=1XPna0RseEvDFPWGSmRqqa7d3l5GJ32ee")</f>
        <v>https://drive.google.com/open?id=1XPna0RseEvDFPWGSmRqqa7d3l5GJ32ee</v>
      </c>
    </row>
    <row r="415" spans="1:77" ht="12.5" hidden="1" x14ac:dyDescent="0.25">
      <c r="A415" s="21" t="str">
        <f ca="1">IFERROR(__xludf.DUMMYFUNCTION("""COMPUTED_VALUE"""),"0014X00002VKCuzQAH")</f>
        <v>0014X00002VKCuzQAH</v>
      </c>
      <c r="B415" s="27" t="str">
        <f ca="1">IFERROR(__xludf.DUMMYFUNCTION("""COMPUTED_VALUE"""),"Fase Inicial")</f>
        <v>Fase Inicial</v>
      </c>
      <c r="C415" s="27" t="str">
        <f ca="1">IFERROR(__xludf.DUMMYFUNCTION("""COMPUTED_VALUE"""),"Fellow")</f>
        <v>Fellow</v>
      </c>
      <c r="D415" s="27" t="str">
        <f ca="1">IFERROR(__xludf.DUMMYFUNCTION("""COMPUTED_VALUE"""),"Ativo")</f>
        <v>Ativo</v>
      </c>
      <c r="E415" s="27" t="str">
        <f ca="1">IFERROR(__xludf.DUMMYFUNCTION("""COMPUTED_VALUE"""),"Instituto ReggArte")</f>
        <v>Instituto ReggArte</v>
      </c>
      <c r="F415" s="27" t="str">
        <f ca="1">IFERROR(__xludf.DUMMYFUNCTION("""COMPUTED_VALUE"""),"Nair")</f>
        <v>Nair</v>
      </c>
      <c r="G415" s="27" t="str">
        <f ca="1">IFERROR(__xludf.DUMMYFUNCTION("""COMPUTED_VALUE"""),"CASA REGGARTE")</f>
        <v>CASA REGGARTE</v>
      </c>
      <c r="H415" s="27" t="str">
        <f ca="1">IFERROR(__xludf.DUMMYFUNCTION("""COMPUTED_VALUE"""),"42.278.954/0001-00")</f>
        <v>42.278.954/0001-00</v>
      </c>
      <c r="I415" s="27" t="str">
        <f ca="1">IFERROR(__xludf.DUMMYFUNCTION("""COMPUTED_VALUE"""),"Nair Omena da Costa")</f>
        <v>Nair Omena da Costa</v>
      </c>
      <c r="J415" s="27" t="str">
        <f ca="1">IFERROR(__xludf.DUMMYFUNCTION("""COMPUTED_VALUE"""),"institutoreggarte@gmail.com")</f>
        <v>institutoreggarte@gmail.com</v>
      </c>
      <c r="K415" s="27" t="str">
        <f ca="1">IFERROR(__xludf.DUMMYFUNCTION("""COMPUTED_VALUE"""),"(11)1111-1111")</f>
        <v>(11)1111-1111</v>
      </c>
      <c r="L415" s="27" t="str">
        <f ca="1">IFERROR(__xludf.DUMMYFUNCTION("""COMPUTED_VALUE"""),"SP")</f>
        <v>SP</v>
      </c>
      <c r="M415" s="27" t="str">
        <f ca="1">IFERROR(__xludf.DUMMYFUNCTION("""COMPUTED_VALUE"""),"Rua Sebastião Sisson,")</f>
        <v>Rua Sebastião Sisson,</v>
      </c>
      <c r="N415" s="27" t="str">
        <f ca="1">IFERROR(__xludf.DUMMYFUNCTION("""COMPUTED_VALUE"""),"Americanópolis")</f>
        <v>Americanópolis</v>
      </c>
      <c r="O415" s="27">
        <f ca="1">IFERROR(__xludf.DUMMYFUNCTION("""COMPUTED_VALUE"""),98)</f>
        <v>98</v>
      </c>
      <c r="P415" s="27" t="str">
        <f ca="1">IFERROR(__xludf.DUMMYFUNCTION("""COMPUTED_VALUE"""),"São Paulo")</f>
        <v>São Paulo</v>
      </c>
      <c r="Q415" s="27" t="str">
        <f ca="1">IFERROR(__xludf.DUMMYFUNCTION("""COMPUTED_VALUE"""),"Casa ReggArte")</f>
        <v>Casa ReggArte</v>
      </c>
      <c r="R415" s="27" t="str">
        <f ca="1">IFERROR(__xludf.DUMMYFUNCTION("""COMPUTED_VALUE"""),"04337-140")</f>
        <v>04337-140</v>
      </c>
      <c r="S415" s="27" t="str">
        <f ca="1">IFERROR(__xludf.DUMMYFUNCTION("""COMPUTED_VALUE"""),"Sim")</f>
        <v>Sim</v>
      </c>
      <c r="T415" s="27"/>
      <c r="U415" s="27" t="str">
        <f ca="1">IFERROR(__xludf.DUMMYFUNCTION("""COMPUTED_VALUE"""),"Crianças (6 a 12 anos), Adolescentes (12 aos 18 anos), Jovens (18 aos 24 anos), Adultos, Idosos (60 anos ou mais)")</f>
        <v>Crianças (6 a 12 anos), Adolescentes (12 aos 18 anos), Jovens (18 aos 24 anos), Adultos, Idosos (60 anos ou mais)</v>
      </c>
      <c r="V415" s="27" t="str">
        <f ca="1">IFERROR(__xludf.DUMMYFUNCTION("""COMPUTED_VALUE"""),"Moradores de Favelas, Pessoas com Deficiência")</f>
        <v>Moradores de Favelas, Pessoas com Deficiência</v>
      </c>
      <c r="W415" s="27">
        <f ca="1">IFERROR(__xludf.DUMMYFUNCTION("""COMPUTED_VALUE"""),3)</f>
        <v>3</v>
      </c>
      <c r="X415" s="27" t="str">
        <f ca="1">IFERROR(__xludf.DUMMYFUNCTION("""COMPUTED_VALUE"""),"Nosso trabalho também é voltado para a pessoa com deficiência")</f>
        <v>Nosso trabalho também é voltado para a pessoa com deficiência</v>
      </c>
      <c r="Y415" s="27"/>
      <c r="Z415" s="27">
        <f ca="1">IFERROR(__xludf.DUMMYFUNCTION("""COMPUTED_VALUE"""),6)</f>
        <v>6</v>
      </c>
      <c r="AA415" s="29">
        <f ca="1">IFERROR(__xludf.DUMMYFUNCTION("""COMPUTED_VALUE"""),44296)</f>
        <v>44296</v>
      </c>
      <c r="AB415" s="27" t="str">
        <f ca="1">IFERROR(__xludf.DUMMYFUNCTION("""COMPUTED_VALUE"""),"Sim")</f>
        <v>Sim</v>
      </c>
      <c r="AC415" s="27">
        <f ca="1">IFERROR(__xludf.DUMMYFUNCTION("""COMPUTED_VALUE"""),0)</f>
        <v>0</v>
      </c>
      <c r="AD415" s="27">
        <f ca="1">IFERROR(__xludf.DUMMYFUNCTION("""COMPUTED_VALUE"""),0)</f>
        <v>0</v>
      </c>
      <c r="AE415" s="27">
        <f ca="1">IFERROR(__xludf.DUMMYFUNCTION("""COMPUTED_VALUE"""),0)</f>
        <v>0</v>
      </c>
      <c r="AF415" s="27">
        <f ca="1">IFERROR(__xludf.DUMMYFUNCTION("""COMPUTED_VALUE"""),0)</f>
        <v>0</v>
      </c>
      <c r="AG415" s="27">
        <f ca="1">IFERROR(__xludf.DUMMYFUNCTION("""COMPUTED_VALUE"""),3)</f>
        <v>3</v>
      </c>
      <c r="AH415" s="27" t="str">
        <f ca="1">IFERROR(__xludf.DUMMYFUNCTION("""COMPUTED_VALUE"""),"Editais, Doações, Recursos próprios")</f>
        <v>Editais, Doações, Recursos próprios</v>
      </c>
      <c r="AI415" s="27" t="str">
        <f ca="1">IFERROR(__xludf.DUMMYFUNCTION("""COMPUTED_VALUE"""),"50% Editais 5% Doações 45% Recursos próprios")</f>
        <v>50% Editais 5% Doações 45% Recursos próprios</v>
      </c>
      <c r="AJ415" s="27" t="str">
        <f ca="1">IFERROR(__xludf.DUMMYFUNCTION("""COMPUTED_VALUE"""),"Vamos iniciar esse ano")</f>
        <v>Vamos iniciar esse ano</v>
      </c>
      <c r="AK415" s="27"/>
      <c r="AL415" s="21" t="str">
        <f ca="1">IFERROR(__xludf.DUMMYFUNCTION("""COMPUTED_VALUE"""),"0034X0000380O1f")</f>
        <v>0034X0000380O1f</v>
      </c>
      <c r="AM415" s="27" t="str">
        <f ca="1">IFERROR(__xludf.DUMMYFUNCTION("""COMPUTED_VALUE"""),"Omena da costa")</f>
        <v>Omena da costa</v>
      </c>
      <c r="AN415" s="27" t="str">
        <f ca="1">IFERROR(__xludf.DUMMYFUNCTION("""COMPUTED_VALUE"""),"Ativo")</f>
        <v>Ativo</v>
      </c>
      <c r="AO415" s="29">
        <f ca="1">IFERROR(__xludf.DUMMYFUNCTION("""COMPUTED_VALUE"""),44763)</f>
        <v>44763</v>
      </c>
      <c r="AP415" s="27">
        <f ca="1">IFERROR(__xludf.DUMMYFUNCTION("""COMPUTED_VALUE"""),2)</f>
        <v>2</v>
      </c>
      <c r="AQ415" s="27" t="str">
        <f ca="1">IFERROR(__xludf.DUMMYFUNCTION("""COMPUTED_VALUE"""),"Primeiro Semestre 2022")</f>
        <v>Primeiro Semestre 2022</v>
      </c>
      <c r="AR415" s="27" t="str">
        <f ca="1">IFERROR(__xludf.DUMMYFUNCTION("""COMPUTED_VALUE"""),"projetoreggarte@gmail.com")</f>
        <v>projetoreggarte@gmail.com</v>
      </c>
      <c r="AS415" s="27">
        <f ca="1">IFERROR(__xludf.DUMMYFUNCTION("""COMPUTED_VALUE"""),11949009997)</f>
        <v>11949009997</v>
      </c>
      <c r="AT415" s="29">
        <f ca="1">IFERROR(__xludf.DUMMYFUNCTION("""COMPUTED_VALUE"""),23746)</f>
        <v>23746</v>
      </c>
      <c r="AU415" s="27">
        <f ca="1">IFERROR(__xludf.DUMMYFUNCTION("""COMPUTED_VALUE"""),57)</f>
        <v>57</v>
      </c>
      <c r="AV415" s="27">
        <f ca="1">IFERROR(__xludf.DUMMYFUNCTION("""COMPUTED_VALUE"""),8325651806)</f>
        <v>8325651806</v>
      </c>
      <c r="AW415" s="27">
        <f ca="1">IFERROR(__xludf.DUMMYFUNCTION("""COMPUTED_VALUE"""),138776593)</f>
        <v>138776593</v>
      </c>
      <c r="AX415" s="27"/>
      <c r="AY415" s="27"/>
      <c r="AZ415" s="27" t="str">
        <f ca="1">IFERROR(__xludf.DUMMYFUNCTION("""COMPUTED_VALUE"""),"PP")</f>
        <v>PP</v>
      </c>
      <c r="BA415" s="27" t="str">
        <f ca="1">IFERROR(__xludf.DUMMYFUNCTION("""COMPUTED_VALUE"""),"Prefiro não declarar")</f>
        <v>Prefiro não declarar</v>
      </c>
      <c r="BB415" s="27"/>
      <c r="BC415" s="27"/>
      <c r="BD415" s="27" t="str">
        <f ca="1">IFERROR(__xludf.DUMMYFUNCTION("""COMPUTED_VALUE"""),"Compositora* vocalista* ex locutora rádio web Planeta Reggae RJ entre os anos de 2017/2019* atual locutora da rádio web Point do Reggae* de Salvador BA* apresentando o programa “Ômega Sing Songs” dando voz e vez a mulher* dentro da linguagem reggae music."&amp;"
Selecta* produtora cultural* artística e musical.
Ex conselheira no Conselho Municipal da Pessoa Com Deficiência* Agente Comunitária de Cultura da Cidade de São Paulo nos períodos 2014-2016* Ativista.
Responsável pelo musical Adoradores com a dança de ca"&amp;"deira de rodas* pela Lei de Fomento à Cultura da Periferia da Secretaria Municipal de Cultura de São Paulo em 2019* com músicas autorais e independente. 
Com o coletivo ReggArte* ganhou o VAI2 em 2020 onde produziu e apresentou o Fórum Temático de Cultura"&amp;" PCD* com o musical Jogue Fora o Preconceito com músicas autorais e independentes e a dança de cadeira de rodas.
Presidente do Instituto ReggArte.")</f>
        <v>Compositora* vocalista* ex locutora rádio web Planeta Reggae RJ entre os anos de 2017/2019* atual locutora da rádio web Point do Reggae* de Salvador BA* apresentando o programa “Ômega Sing Songs” dando voz e vez a mulher* dentro da linguagem reggae music.
Selecta* produtora cultural* artística e musical.
Ex conselheira no Conselho Municipal da Pessoa Com Deficiência* Agente Comunitária de Cultura da Cidade de São Paulo nos períodos 2014-2016* Ativista.
Responsável pelo musical Adoradores com a dança de cadeira de rodas* pela Lei de Fomento à Cultura da Periferia da Secretaria Municipal de Cultura de São Paulo em 2019* com músicas autorais e independente. 
Com o coletivo ReggArte* ganhou o VAI2 em 2020 onde produziu e apresentou o Fórum Temático de Cultura PCD* com o musical Jogue Fora o Preconceito com músicas autorais e independentes e a dança de cadeira de rodas.
Presidente do Instituto ReggArte.</v>
      </c>
      <c r="BE415" s="27" t="str">
        <f ca="1">IFERROR(__xludf.DUMMYFUNCTION("""COMPUTED_VALUE"""),"Feminino")</f>
        <v>Feminino</v>
      </c>
      <c r="BF415" s="27" t="str">
        <f ca="1">IFERROR(__xludf.DUMMYFUNCTION("""COMPUTED_VALUE"""),"Heterossexual")</f>
        <v>Heterossexual</v>
      </c>
      <c r="BG415" s="27"/>
      <c r="BH415" s="27" t="str">
        <f ca="1">IFERROR(__xludf.DUMMYFUNCTION("""COMPUTED_VALUE"""),"Público")</f>
        <v>Público</v>
      </c>
      <c r="BI415" s="27"/>
      <c r="BJ415" s="27"/>
      <c r="BK415" s="27" t="str">
        <f ca="1">IFERROR(__xludf.DUMMYFUNCTION("""COMPUTED_VALUE"""),"Rua Sebastião Sisson")</f>
        <v>Rua Sebastião Sisson</v>
      </c>
      <c r="BL415" s="27">
        <f ca="1">IFERROR(__xludf.DUMMYFUNCTION("""COMPUTED_VALUE"""),98)</f>
        <v>98</v>
      </c>
      <c r="BM415" s="27"/>
      <c r="BN415" s="27"/>
      <c r="BO415" s="27">
        <f ca="1">IFERROR(__xludf.DUMMYFUNCTION("""COMPUTED_VALUE"""),4337140)</f>
        <v>4337140</v>
      </c>
      <c r="BP415" s="27" t="str">
        <f ca="1">IFERROR(__xludf.DUMMYFUNCTION("""COMPUTED_VALUE"""),"SP")</f>
        <v>SP</v>
      </c>
      <c r="BQ415" s="27" t="str">
        <f ca="1">IFERROR(__xludf.DUMMYFUNCTION("""COMPUTED_VALUE"""),"Entre 1 até 3 salários mínimos")</f>
        <v>Entre 1 até 3 salários mínimos</v>
      </c>
      <c r="BR415" s="27" t="str">
        <f ca="1">IFERROR(__xludf.DUMMYFUNCTION("""COMPUTED_VALUE"""),"Desempregado")</f>
        <v>Desempregado</v>
      </c>
      <c r="BS415" s="27" t="str">
        <f ca="1">IFERROR(__xludf.DUMMYFUNCTION("""COMPUTED_VALUE"""),"Aluguel")</f>
        <v>Aluguel</v>
      </c>
      <c r="BT415" s="27">
        <f ca="1">IFERROR(__xludf.DUMMYFUNCTION("""COMPUTED_VALUE"""),2)</f>
        <v>2</v>
      </c>
      <c r="BU415" s="27" t="str">
        <f ca="1">IFERROR(__xludf.DUMMYFUNCTION("""COMPUTED_VALUE"""),"Outros")</f>
        <v>Outros</v>
      </c>
      <c r="BV415" s="27" t="str">
        <f ca="1">IFERROR(__xludf.DUMMYFUNCTION("""COMPUTED_VALUE"""),"Não")</f>
        <v>Não</v>
      </c>
      <c r="BW415" s="27"/>
      <c r="BX415" s="21" t="str">
        <f ca="1">IFERROR(__xludf.DUMMYFUNCTION("""COMPUTED_VALUE"""),"https://www.instagram.com/nanaroots/")</f>
        <v>https://www.instagram.com/nanaroots/</v>
      </c>
      <c r="BY415" s="21" t="str">
        <f ca="1">IFERROR(__xludf.DUMMYFUNCTION("""COMPUTED_VALUE"""),"https://drive.google.com/open?id=1aREbOJyNzqsVVj6ge87C6rRmAV5tJOXG")</f>
        <v>https://drive.google.com/open?id=1aREbOJyNzqsVVj6ge87C6rRmAV5tJOXG</v>
      </c>
    </row>
    <row r="416" spans="1:77" ht="12.5" x14ac:dyDescent="0.25">
      <c r="A416" s="21" t="str">
        <f ca="1">IFERROR(__xludf.DUMMYFUNCTION("""COMPUTED_VALUE"""),"0014P00003SGWPdQAP")</f>
        <v>0014P00003SGWPdQAP</v>
      </c>
      <c r="B416" s="27" t="str">
        <f ca="1">IFERROR(__xludf.DUMMYFUNCTION("""COMPUTED_VALUE"""),"Fase Inicial")</f>
        <v>Fase Inicial</v>
      </c>
      <c r="C416" s="27" t="str">
        <f ca="1">IFERROR(__xludf.DUMMYFUNCTION("""COMPUTED_VALUE"""),"Fellow")</f>
        <v>Fellow</v>
      </c>
      <c r="D416" s="27" t="str">
        <f ca="1">IFERROR(__xludf.DUMMYFUNCTION("""COMPUTED_VALUE"""),"Ativo")</f>
        <v>Ativo</v>
      </c>
      <c r="E416" s="27" t="str">
        <f ca="1">IFERROR(__xludf.DUMMYFUNCTION("""COMPUTED_VALUE"""),"INSTITUTO RESGATANDO VIDAS")</f>
        <v>INSTITUTO RESGATANDO VIDAS</v>
      </c>
      <c r="F416" s="27" t="str">
        <f ca="1">IFERROR(__xludf.DUMMYFUNCTION("""COMPUTED_VALUE"""),"Elizeu")</f>
        <v>Elizeu</v>
      </c>
      <c r="G416" s="27" t="str">
        <f ca="1">IFERROR(__xludf.DUMMYFUNCTION("""COMPUTED_VALUE"""),"RESGATANDO VIDAS")</f>
        <v>RESGATANDO VIDAS</v>
      </c>
      <c r="H416" s="27" t="str">
        <f ca="1">IFERROR(__xludf.DUMMYFUNCTION("""COMPUTED_VALUE"""),"17.587.311/0001-00 - 17.5")</f>
        <v>17.587.311/0001-00 - 17.5</v>
      </c>
      <c r="I416" s="27" t="str">
        <f ca="1">IFERROR(__xludf.DUMMYFUNCTION("""COMPUTED_VALUE"""),"Elizeu Da Silva Santos")</f>
        <v>Elizeu Da Silva Santos</v>
      </c>
      <c r="J416" s="27" t="str">
        <f ca="1">IFERROR(__xludf.DUMMYFUNCTION("""COMPUTED_VALUE"""),"presidencia.inarv@outlook.com")</f>
        <v>presidencia.inarv@outlook.com</v>
      </c>
      <c r="K416" s="27" t="str">
        <f ca="1">IFERROR(__xludf.DUMMYFUNCTION("""COMPUTED_VALUE"""),"(71)99158-3966")</f>
        <v>(71)99158-3966</v>
      </c>
      <c r="L416" s="27" t="str">
        <f ca="1">IFERROR(__xludf.DUMMYFUNCTION("""COMPUTED_VALUE"""),"BA")</f>
        <v>BA</v>
      </c>
      <c r="M416" s="27" t="str">
        <f ca="1">IFERROR(__xludf.DUMMYFUNCTION("""COMPUTED_VALUE"""),"Rua Isnard Pena")</f>
        <v>Rua Isnard Pena</v>
      </c>
      <c r="N416" s="27" t="str">
        <f ca="1">IFERROR(__xludf.DUMMYFUNCTION("""COMPUTED_VALUE"""),"Frei Calixto")</f>
        <v>Frei Calixto</v>
      </c>
      <c r="O416" s="27" t="str">
        <f ca="1">IFERROR(__xludf.DUMMYFUNCTION("""COMPUTED_VALUE"""),"(71)99158-3966")</f>
        <v>(71)99158-3966</v>
      </c>
      <c r="P416" s="27" t="str">
        <f ca="1">IFERROR(__xludf.DUMMYFUNCTION("""COMPUTED_VALUE"""),"Porto Seguro")</f>
        <v>Porto Seguro</v>
      </c>
      <c r="Q416" s="27" t="str">
        <f ca="1">IFERROR(__xludf.DUMMYFUNCTION("""COMPUTED_VALUE"""),"Na rua do posto de saúde no anexo da Igreja Presbiteriana Renovada do Brasil")</f>
        <v>Na rua do posto de saúde no anexo da Igreja Presbiteriana Renovada do Brasil</v>
      </c>
      <c r="R416" s="27" t="str">
        <f ca="1">IFERROR(__xludf.DUMMYFUNCTION("""COMPUTED_VALUE"""),"45810-000")</f>
        <v>45810-000</v>
      </c>
      <c r="S416" s="27" t="str">
        <f ca="1">IFERROR(__xludf.DUMMYFUNCTION("""COMPUTED_VALUE"""),"Porto Seguro: Rua do Dendê 143 Frei Calixto CEP: 45.810-000 - Porto Seguro/BA/Salvador: Rua Nossa Senhora do Carmo quadra A 01 Sete de Abril CEP: 41.385-650 - Salvador/BA/Itaparica: Rua São Benedito S/N Ponto Certo Casa térreo CEP 44460.000 Itaparica-BA/J"&amp;"aguaripe: Povoado ilha ajuda avenida oceânica s/n JAGUARIPE BA CEP: 44.480-000/Vera Cruz: Rua Reduto do Sol loteamento agreste S/N bairro Conceição vera cruz de Itaparica-BA CEP: 44470-000.")</f>
        <v>Porto Seguro: Rua do Dendê 143 Frei Calixto CEP: 45.810-000 - Porto Seguro/BA/Salvador: Rua Nossa Senhora do Carmo quadra A 01 Sete de Abril CEP: 41.385-650 - Salvador/BA/Itaparica: Rua São Benedito S/N Ponto Certo Casa térreo CEP 44460.000 Itaparica-BA/Jaguaripe: Povoado ilha ajuda avenida oceânica s/n JAGUARIPE BA CEP: 44.480-000/Vera Cruz: Rua Reduto do Sol loteamento agreste S/N bairro Conceição vera cruz de Itaparica-BA CEP: 44470-000.</v>
      </c>
      <c r="T416" s="27" t="str">
        <f ca="1">IFERROR(__xludf.DUMMYFUNCTION("""COMPUTED_VALUE"""),"Esporte; Educação; Empregabilidade; Assistência Social; Cultura; Qualificação Profissional; Empreendedorismo; Saúde; Meio ambiente; Empoderamento Feminino; Negócios Sociais; Apoio à gestão de organizações de Terceiro Setor; Ciência e Tecnologia; Defesa de"&amp;" Direitos; Comunicação; Animais; Assistência Psicológica; Desenvolvimento comunitário")</f>
        <v>Esporte; Educação; Empregabilidade; Assistência Social; Cultura; Qualificação Profissional; Empreendedorismo; Saúde; Meio ambiente; Empoderamento Feminino; Negócios Sociais; Apoio à gestão de organizações de Terceiro Setor; Ciência e Tecnologia; Defesa de Direitos; Comunicação; Animais; Assistência Psicológica; Desenvolvimento comunitário</v>
      </c>
      <c r="U416"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416" s="27" t="str">
        <f ca="1">IFERROR(__xludf.DUMMYFUNCTION("""COMPUTED_VALUE"""),"Moradores de Favelas; Pessoas em situação de rua; Povos Indígenas; Quilombola; Afrodescendentes; Dependentes Químicos; Pessoas com Deficiência; Egressos sistema carcerário; Imigrantes; Refugiados; Ribeirinhos; Comunidade rural; Outros")</f>
        <v>Moradores de Favelas; Pessoas em situação de rua; Povos Indígenas; Quilombola; Afrodescendentes; Dependentes Químicos; Pessoas com Deficiência; Egressos sistema carcerário; Imigrantes; Refugiados; Ribeirinhos; Comunidade rural; Outros</v>
      </c>
      <c r="W416" s="27">
        <f ca="1">IFERROR(__xludf.DUMMYFUNCTION("""COMPUTED_VALUE"""),100)</f>
        <v>100</v>
      </c>
      <c r="X416" s="27" t="str">
        <f ca="1">IFERROR(__xludf.DUMMYFUNCTION("""COMPUTED_VALUE"""),"Indígenas Quilombolas Colônia de Pescadores.")</f>
        <v>Indígenas Quilombolas Colônia de Pescadores.</v>
      </c>
      <c r="Y416" s="27">
        <f ca="1">IFERROR(__xludf.DUMMYFUNCTION("""COMPUTED_VALUE"""),800)</f>
        <v>800</v>
      </c>
      <c r="Z416" s="27">
        <f ca="1">IFERROR(__xludf.DUMMYFUNCTION("""COMPUTED_VALUE"""),30000)</f>
        <v>30000</v>
      </c>
      <c r="AA416" s="29">
        <f ca="1">IFERROR(__xludf.DUMMYFUNCTION("""COMPUTED_VALUE"""),40389)</f>
        <v>40389</v>
      </c>
      <c r="AB416" s="27" t="str">
        <f ca="1">IFERROR(__xludf.DUMMYFUNCTION("""COMPUTED_VALUE"""),"Sim")</f>
        <v>Sim</v>
      </c>
      <c r="AC416" s="27">
        <f ca="1">IFERROR(__xludf.DUMMYFUNCTION("""COMPUTED_VALUE"""),1)</f>
        <v>1</v>
      </c>
      <c r="AD416" s="27">
        <f ca="1">IFERROR(__xludf.DUMMYFUNCTION("""COMPUTED_VALUE"""),0)</f>
        <v>0</v>
      </c>
      <c r="AE416" s="27">
        <f ca="1">IFERROR(__xludf.DUMMYFUNCTION("""COMPUTED_VALUE"""),20)</f>
        <v>20</v>
      </c>
      <c r="AF416" s="27">
        <f ca="1">IFERROR(__xludf.DUMMYFUNCTION("""COMPUTED_VALUE"""),15)</f>
        <v>15</v>
      </c>
      <c r="AG416" s="27">
        <f ca="1">IFERROR(__xludf.DUMMYFUNCTION("""COMPUTED_VALUE"""),2)</f>
        <v>2</v>
      </c>
      <c r="AH416" s="27" t="str">
        <f ca="1">IFERROR(__xludf.DUMMYFUNCTION("""COMPUTED_VALUE"""),"Lei de Incentivo; Negócio Social; Eventos/Ações para captação; Parceria iniciativa privada; Editais; Doações; Lei Estadual da Cultura; Lei Municipal da Cultura; Lei Estadual do Esporte; Lei Federal do Esporte; FIA; Recursos próprios")</f>
        <v>Lei de Incentivo; Negócio Social; Eventos/Ações para captação; Parceria iniciativa privada; Editais; Doações; Lei Estadual da Cultura; Lei Municipal da Cultura; Lei Estadual do Esporte; Lei Federal do Esporte; FIA; Recursos próprios</v>
      </c>
      <c r="AI416" s="27" t="str">
        <f ca="1">IFERROR(__xludf.DUMMYFUNCTION("""COMPUTED_VALUE"""),"Estamos ainda em processo de Captação")</f>
        <v>Estamos ainda em processo de Captação</v>
      </c>
      <c r="AJ416" s="27" t="str">
        <f ca="1">IFERROR(__xludf.DUMMYFUNCTION("""COMPUTED_VALUE"""),"Sim")</f>
        <v>Sim</v>
      </c>
      <c r="AK416" s="27" t="str">
        <f ca="1">IFERROR(__xludf.DUMMYFUNCTION("""COMPUTED_VALUE"""),"Sim")</f>
        <v>Sim</v>
      </c>
      <c r="AL416" s="21" t="str">
        <f ca="1">IFERROR(__xludf.DUMMYFUNCTION("""COMPUTED_VALUE"""),"0034P000043fOnk")</f>
        <v>0034P000043fOnk</v>
      </c>
      <c r="AM416" s="27" t="str">
        <f ca="1">IFERROR(__xludf.DUMMYFUNCTION("""COMPUTED_VALUE"""),"Da Silva Santos")</f>
        <v>Da Silva Santos</v>
      </c>
      <c r="AN416" s="27" t="str">
        <f ca="1">IFERROR(__xludf.DUMMYFUNCTION("""COMPUTED_VALUE"""),"Ativo")</f>
        <v>Ativo</v>
      </c>
      <c r="AO416" s="29">
        <f ca="1">IFERROR(__xludf.DUMMYFUNCTION("""COMPUTED_VALUE"""),44432)</f>
        <v>44432</v>
      </c>
      <c r="AP416" s="27">
        <f ca="1">IFERROR(__xludf.DUMMYFUNCTION("""COMPUTED_VALUE"""),13)</f>
        <v>13</v>
      </c>
      <c r="AQ416" s="27" t="str">
        <f ca="1">IFERROR(__xludf.DUMMYFUNCTION("""COMPUTED_VALUE"""),"Primeiro Semestre 2021")</f>
        <v>Primeiro Semestre 2021</v>
      </c>
      <c r="AR416" s="27" t="str">
        <f ca="1">IFERROR(__xludf.DUMMYFUNCTION("""COMPUTED_VALUE"""),"doutoreliseusantos@gmail.com")</f>
        <v>doutoreliseusantos@gmail.com</v>
      </c>
      <c r="AS416" s="27" t="str">
        <f ca="1">IFERROR(__xludf.DUMMYFUNCTION("""COMPUTED_VALUE"""),"(71)99158-3966")</f>
        <v>(71)99158-3966</v>
      </c>
      <c r="AT416" s="29">
        <f ca="1">IFERROR(__xludf.DUMMYFUNCTION("""COMPUTED_VALUE"""),30509)</f>
        <v>30509</v>
      </c>
      <c r="AU416" s="27">
        <f ca="1">IFERROR(__xludf.DUMMYFUNCTION("""COMPUTED_VALUE"""),39)</f>
        <v>39</v>
      </c>
      <c r="AV416" s="27">
        <f ca="1">IFERROR(__xludf.DUMMYFUNCTION("""COMPUTED_VALUE"""),2240643552)</f>
        <v>2240643552</v>
      </c>
      <c r="AW416" s="27">
        <f ca="1">IFERROR(__xludf.DUMMYFUNCTION("""COMPUTED_VALUE"""),836844416)</f>
        <v>836844416</v>
      </c>
      <c r="AX416" s="27" t="str">
        <f ca="1">IFERROR(__xludf.DUMMYFUNCTION("""COMPUTED_VALUE"""),"Ciências Contábeis Mba'S: Gestão Pública E Particular E Tributária.")</f>
        <v>Ciências Contábeis Mba'S: Gestão Pública E Particular E Tributária.</v>
      </c>
      <c r="AY416" s="27" t="str">
        <f ca="1">IFERROR(__xludf.DUMMYFUNCTION("""COMPUTED_VALUE"""),"Dedicação Exclusiva")</f>
        <v>Dedicação Exclusiva</v>
      </c>
      <c r="AZ416" s="27" t="str">
        <f ca="1">IFERROR(__xludf.DUMMYFUNCTION("""COMPUTED_VALUE"""),"M")</f>
        <v>M</v>
      </c>
      <c r="BA416" s="27" t="str">
        <f ca="1">IFERROR(__xludf.DUMMYFUNCTION("""COMPUTED_VALUE"""),"Preta")</f>
        <v>Preta</v>
      </c>
      <c r="BB416" s="27"/>
      <c r="BC416" s="27" t="str">
        <f ca="1">IFERROR(__xludf.DUMMYFUNCTION("""COMPUTED_VALUE"""),"Sim")</f>
        <v>Sim</v>
      </c>
      <c r="BD416" s="27" t="str">
        <f ca="1">IFERROR(__xludf.DUMMYFUNCTION("""COMPUTED_VALUE"""),"Eu, Elizeu da Silva Santos, Solteiro, 38 anos, Empreendedor Social, Contador, fundador e CEO do Instituto Resgatando Vidas, nascido e criado em Salvador/BA na Favela de Sete de Abril, Cristão, porém minha religião é o AMOR, durmo e acordo pensando como me"&amp;"lhorar a vida das comunidades que atuamos e procuro todos os dias ser luz e sal na vida do meu próximo.")</f>
        <v>Eu, Elizeu da Silva Santos, Solteiro, 38 anos, Empreendedor Social, Contador, fundador e CEO do Instituto Resgatando Vidas, nascido e criado em Salvador/BA na Favela de Sete de Abril, Cristão, porém minha religião é o AMOR, durmo e acordo pensando como melhorar a vida das comunidades que atuamos e procuro todos os dias ser luz e sal na vida do meu próximo.</v>
      </c>
      <c r="BE416" s="27" t="str">
        <f ca="1">IFERROR(__xludf.DUMMYFUNCTION("""COMPUTED_VALUE"""),"Feminino")</f>
        <v>Feminino</v>
      </c>
      <c r="BF416" s="27" t="str">
        <f ca="1">IFERROR(__xludf.DUMMYFUNCTION("""COMPUTED_VALUE"""),"Heterossexual")</f>
        <v>Heterossexual</v>
      </c>
      <c r="BG416" s="27" t="str">
        <f ca="1">IFERROR(__xludf.DUMMYFUNCTION("""COMPUTED_VALUE"""),"Ensino Superior - Completo")</f>
        <v>Ensino Superior - Completo</v>
      </c>
      <c r="BH416" s="27"/>
      <c r="BI416" s="27" t="str">
        <f ca="1">IFERROR(__xludf.DUMMYFUNCTION("""COMPUTED_VALUE"""),"Pós-Graduação")</f>
        <v>Pós-Graduação</v>
      </c>
      <c r="BJ416" s="27" t="str">
        <f ca="1">IFERROR(__xludf.DUMMYFUNCTION("""COMPUTED_VALUE"""),"Privado")</f>
        <v>Privado</v>
      </c>
      <c r="BK416" s="27" t="str">
        <f ca="1">IFERROR(__xludf.DUMMYFUNCTION("""COMPUTED_VALUE"""),"Buri, Sete de Abril")</f>
        <v>Buri, Sete de Abril</v>
      </c>
      <c r="BL416" s="27" t="str">
        <f ca="1">IFERROR(__xludf.DUMMYFUNCTION("""COMPUTED_VALUE"""),"121E")</f>
        <v>121E</v>
      </c>
      <c r="BM416" s="27" t="str">
        <f ca="1">IFERROR(__xludf.DUMMYFUNCTION("""COMPUTED_VALUE"""),"Casa")</f>
        <v>Casa</v>
      </c>
      <c r="BN416" s="27" t="str">
        <f ca="1">IFERROR(__xludf.DUMMYFUNCTION("""COMPUTED_VALUE"""),"Porto Seguro")</f>
        <v>Porto Seguro</v>
      </c>
      <c r="BO416" s="27" t="str">
        <f ca="1">IFERROR(__xludf.DUMMYFUNCTION("""COMPUTED_VALUE"""),"41385-060")</f>
        <v>41385-060</v>
      </c>
      <c r="BP416" s="27" t="str">
        <f ca="1">IFERROR(__xludf.DUMMYFUNCTION("""COMPUTED_VALUE"""),"BA")</f>
        <v>BA</v>
      </c>
      <c r="BQ416" s="27" t="str">
        <f ca="1">IFERROR(__xludf.DUMMYFUNCTION("""COMPUTED_VALUE"""),"Entre 1 até 3 salários mínimos")</f>
        <v>Entre 1 até 3 salários mínimos</v>
      </c>
      <c r="BR416" s="27" t="str">
        <f ca="1">IFERROR(__xludf.DUMMYFUNCTION("""COMPUTED_VALUE"""),"CLT; Trabalho informal")</f>
        <v>CLT; Trabalho informal</v>
      </c>
      <c r="BS416" s="27" t="str">
        <f ca="1">IFERROR(__xludf.DUMMYFUNCTION("""COMPUTED_VALUE"""),"Casa cedida")</f>
        <v>Casa cedida</v>
      </c>
      <c r="BT416" s="27">
        <f ca="1">IFERROR(__xludf.DUMMYFUNCTION("""COMPUTED_VALUE"""),7)</f>
        <v>7</v>
      </c>
      <c r="BU416" s="27"/>
      <c r="BV416" s="27"/>
      <c r="BW416" s="21" t="str">
        <f ca="1">IFERROR(__xludf.DUMMYFUNCTION("""COMPUTED_VALUE"""),"https://www.linkedin.com/in/elizeu-silva-2bb139101")</f>
        <v>https://www.linkedin.com/in/elizeu-silva-2bb139101</v>
      </c>
      <c r="BX416" s="21" t="str">
        <f ca="1">IFERROR(__xludf.DUMMYFUNCTION("""COMPUTED_VALUE"""),"https://www.instagram.com/reel/CbGonoWJE-m/?utm_medium=copy_link")</f>
        <v>https://www.instagram.com/reel/CbGonoWJE-m/?utm_medium=copy_link</v>
      </c>
      <c r="BY416" s="21" t="str">
        <f ca="1">IFERROR(__xludf.DUMMYFUNCTION("""COMPUTED_VALUE"""),"https://drive.google.com/open?id=15Hz5P0NoGMuUx7CMojEz98gbyl3gz4KE")</f>
        <v>https://drive.google.com/open?id=15Hz5P0NoGMuUx7CMojEz98gbyl3gz4KE</v>
      </c>
    </row>
    <row r="417" spans="1:77" ht="12.5" x14ac:dyDescent="0.25">
      <c r="A417" s="21" t="str">
        <f ca="1">IFERROR(__xludf.DUMMYFUNCTION("""COMPUTED_VALUE"""),"0014P00003AN2GKQA1")</f>
        <v>0014P00003AN2GKQA1</v>
      </c>
      <c r="B417" s="27" t="str">
        <f ca="1">IFERROR(__xludf.DUMMYFUNCTION("""COMPUTED_VALUE"""),"Fase Avançada")</f>
        <v>Fase Avançada</v>
      </c>
      <c r="C417" s="27" t="str">
        <f ca="1">IFERROR(__xludf.DUMMYFUNCTION("""COMPUTED_VALUE"""),"Acelerada")</f>
        <v>Acelerada</v>
      </c>
      <c r="D417" s="27" t="str">
        <f ca="1">IFERROR(__xludf.DUMMYFUNCTION("""COMPUTED_VALUE"""),"Ativo")</f>
        <v>Ativo</v>
      </c>
      <c r="E417" s="27" t="str">
        <f ca="1">IFERROR(__xludf.DUMMYFUNCTION("""COMPUTED_VALUE"""),"Instituto Resgatando Vidas para Vida")</f>
        <v>Instituto Resgatando Vidas para Vida</v>
      </c>
      <c r="F417" s="27" t="str">
        <f ca="1">IFERROR(__xludf.DUMMYFUNCTION("""COMPUTED_VALUE"""),"Aron")</f>
        <v>Aron</v>
      </c>
      <c r="G417" s="27" t="str">
        <f ca="1">IFERROR(__xludf.DUMMYFUNCTION("""COMPUTED_VALUE"""),"RESGATANDO VIDAS")</f>
        <v>RESGATANDO VIDAS</v>
      </c>
      <c r="H417" s="27" t="str">
        <f ca="1">IFERROR(__xludf.DUMMYFUNCTION("""COMPUTED_VALUE"""),"31.986.278/0001-03")</f>
        <v>31.986.278/0001-03</v>
      </c>
      <c r="I417" s="27"/>
      <c r="J417" s="27" t="str">
        <f ca="1">IFERROR(__xludf.DUMMYFUNCTION("""COMPUTED_VALUE"""),"aron.ramos@institutoresgatandovidas.org.br")</f>
        <v>aron.ramos@institutoresgatandovidas.org.br</v>
      </c>
      <c r="K417" s="27" t="str">
        <f ca="1">IFERROR(__xludf.DUMMYFUNCTION("""COMPUTED_VALUE"""),"(11)97697-0055")</f>
        <v>(11)97697-0055</v>
      </c>
      <c r="L417" s="27" t="str">
        <f ca="1">IFERROR(__xludf.DUMMYFUNCTION("""COMPUTED_VALUE"""),"SP")</f>
        <v>SP</v>
      </c>
      <c r="M417" s="27" t="str">
        <f ca="1">IFERROR(__xludf.DUMMYFUNCTION("""COMPUTED_VALUE"""),"Augusto Gil, 465")</f>
        <v>Augusto Gil, 465</v>
      </c>
      <c r="N417" s="27" t="str">
        <f ca="1">IFERROR(__xludf.DUMMYFUNCTION("""COMPUTED_VALUE"""),"Vila Dionisia")</f>
        <v>Vila Dionisia</v>
      </c>
      <c r="O417" s="27" t="str">
        <f ca="1">IFERROR(__xludf.DUMMYFUNCTION("""COMPUTED_VALUE"""),"(11)97697-0055")</f>
        <v>(11)97697-0055</v>
      </c>
      <c r="P417" s="27" t="str">
        <f ca="1">IFERROR(__xludf.DUMMYFUNCTION("""COMPUTED_VALUE"""),"São Paulo")</f>
        <v>São Paulo</v>
      </c>
      <c r="Q417" s="27"/>
      <c r="R417" s="27" t="str">
        <f ca="1">IFERROR(__xludf.DUMMYFUNCTION("""COMPUTED_VALUE"""),"02670-070")</f>
        <v>02670-070</v>
      </c>
      <c r="S417" s="27" t="str">
        <f ca="1">IFERROR(__xludf.DUMMYFUNCTION("""COMPUTED_VALUE"""),"Rua Augusto Gil  220 Vila Dionísia  02670-070")</f>
        <v>Rua Augusto Gil  220 Vila Dionísia  02670-070</v>
      </c>
      <c r="T417" s="27" t="str">
        <f ca="1">IFERROR(__xludf.DUMMYFUNCTION("""COMPUTED_VALUE"""),"Esporte; Educação; Empregabilidade; Assistência Social; Cultura; Qualificação Profissional; Empreendedorismo")</f>
        <v>Esporte; Educação; Empregabilidade; Assistência Social; Cultura; Qualificação Profissional; Empreendedorismo</v>
      </c>
      <c r="U417" s="27" t="str">
        <f ca="1">IFERROR(__xludf.DUMMYFUNCTION("""COMPUTED_VALUE"""),"Crianças pequenas (4 anos a 5 anos e 11 meses); Crianças (6 a 12 anos); Adolescentes (12 aos 18 anos); Jovens (18 aos 24 anos)")</f>
        <v>Crianças pequenas (4 anos a 5 anos e 11 meses); Crianças (6 a 12 anos); Adolescentes (12 aos 18 anos); Jovens (18 aos 24 anos)</v>
      </c>
      <c r="V417" s="27" t="str">
        <f ca="1">IFERROR(__xludf.DUMMYFUNCTION("""COMPUTED_VALUE"""),"Moradores de Favelas; Afrodescendentes")</f>
        <v>Moradores de Favelas; Afrodescendentes</v>
      </c>
      <c r="W417" s="27">
        <f ca="1">IFERROR(__xludf.DUMMYFUNCTION("""COMPUTED_VALUE"""),4)</f>
        <v>4</v>
      </c>
      <c r="X417" s="27"/>
      <c r="Y417" s="27"/>
      <c r="Z417" s="27"/>
      <c r="AA417" s="29">
        <f ca="1">IFERROR(__xludf.DUMMYFUNCTION("""COMPUTED_VALUE"""),43292)</f>
        <v>43292</v>
      </c>
      <c r="AB417" s="27" t="str">
        <f ca="1">IFERROR(__xludf.DUMMYFUNCTION("""COMPUTED_VALUE"""),"Sim")</f>
        <v>Sim</v>
      </c>
      <c r="AC417" s="27">
        <f ca="1">IFERROR(__xludf.DUMMYFUNCTION("""COMPUTED_VALUE"""),22)</f>
        <v>22</v>
      </c>
      <c r="AD417" s="27">
        <f ca="1">IFERROR(__xludf.DUMMYFUNCTION("""COMPUTED_VALUE"""),0)</f>
        <v>0</v>
      </c>
      <c r="AE417" s="27">
        <f ca="1">IFERROR(__xludf.DUMMYFUNCTION("""COMPUTED_VALUE"""),20)</f>
        <v>20</v>
      </c>
      <c r="AF417" s="27">
        <f ca="1">IFERROR(__xludf.DUMMYFUNCTION("""COMPUTED_VALUE"""),50)</f>
        <v>50</v>
      </c>
      <c r="AG417" s="27">
        <f ca="1">IFERROR(__xludf.DUMMYFUNCTION("""COMPUTED_VALUE"""),5)</f>
        <v>5</v>
      </c>
      <c r="AH417" s="27" t="str">
        <f ca="1">IFERROR(__xludf.DUMMYFUNCTION("""COMPUTED_VALUE"""),"Lei de Incentivo; Negócio Social; Eventos/Ações para captação; Plataforma doação online - Pessoa Física")</f>
        <v>Lei de Incentivo; Negócio Social; Eventos/Ações para captação; Plataforma doação online - Pessoa Física</v>
      </c>
      <c r="AI417" s="27" t="str">
        <f ca="1">IFERROR(__xludf.DUMMYFUNCTION("""COMPUTED_VALUE"""),"Empresas 70%  Site e ações 15% Negócio Social 15%")</f>
        <v>Empresas 70%  Site e ações 15% Negócio Social 15%</v>
      </c>
      <c r="AJ417" s="27"/>
      <c r="AK417" s="27" t="str">
        <f ca="1">IFERROR(__xludf.DUMMYFUNCTION("""COMPUTED_VALUE"""),"Não")</f>
        <v>Não</v>
      </c>
      <c r="AL417" s="21" t="str">
        <f ca="1">IFERROR(__xludf.DUMMYFUNCTION("""COMPUTED_VALUE"""),"0034P00003maBVp")</f>
        <v>0034P00003maBVp</v>
      </c>
      <c r="AM417" s="27" t="str">
        <f ca="1">IFERROR(__xludf.DUMMYFUNCTION("""COMPUTED_VALUE"""),"Fernando Ramos")</f>
        <v>Fernando Ramos</v>
      </c>
      <c r="AN417" s="27" t="str">
        <f ca="1">IFERROR(__xludf.DUMMYFUNCTION("""COMPUTED_VALUE"""),"Ativo")</f>
        <v>Ativo</v>
      </c>
      <c r="AO417" s="29">
        <f ca="1">IFERROR(__xludf.DUMMYFUNCTION("""COMPUTED_VALUE"""),43922)</f>
        <v>43922</v>
      </c>
      <c r="AP417" s="27">
        <f ca="1">IFERROR(__xludf.DUMMYFUNCTION("""COMPUTED_VALUE"""),29)</f>
        <v>29</v>
      </c>
      <c r="AQ417" s="27" t="str">
        <f ca="1">IFERROR(__xludf.DUMMYFUNCTION("""COMPUTED_VALUE"""),"Primeiro Semestre 2019")</f>
        <v>Primeiro Semestre 2019</v>
      </c>
      <c r="AR417" s="27" t="str">
        <f ca="1">IFERROR(__xludf.DUMMYFUNCTION("""COMPUTED_VALUE"""),"aron.ramos@institutoresgatandovidas.org.br")</f>
        <v>aron.ramos@institutoresgatandovidas.org.br</v>
      </c>
      <c r="AS417" s="27" t="str">
        <f ca="1">IFERROR(__xludf.DUMMYFUNCTION("""COMPUTED_VALUE"""),"(11)97697-0055")</f>
        <v>(11)97697-0055</v>
      </c>
      <c r="AT417" s="30">
        <f ca="1">IFERROR(__xludf.DUMMYFUNCTION("""COMPUTED_VALUE"""),29911)</f>
        <v>29911</v>
      </c>
      <c r="AU417" s="27">
        <f ca="1">IFERROR(__xludf.DUMMYFUNCTION("""COMPUTED_VALUE"""),41)</f>
        <v>41</v>
      </c>
      <c r="AV417" s="27">
        <f ca="1">IFERROR(__xludf.DUMMYFUNCTION("""COMPUTED_VALUE"""),31126208876)</f>
        <v>31126208876</v>
      </c>
      <c r="AW417" s="27">
        <f ca="1">IFERROR(__xludf.DUMMYFUNCTION("""COMPUTED_VALUE"""),298406688)</f>
        <v>298406688</v>
      </c>
      <c r="AX417" s="27" t="str">
        <f ca="1">IFERROR(__xludf.DUMMYFUNCTION("""COMPUTED_VALUE"""),"Planejamento Estratégico Empresarial")</f>
        <v>Planejamento Estratégico Empresarial</v>
      </c>
      <c r="AY417" s="27"/>
      <c r="AZ417" s="27" t="str">
        <f ca="1">IFERROR(__xludf.DUMMYFUNCTION("""COMPUTED_VALUE"""),"G")</f>
        <v>G</v>
      </c>
      <c r="BA417" s="27"/>
      <c r="BB417" s="27"/>
      <c r="BC417" s="27" t="str">
        <f ca="1">IFERROR(__xludf.DUMMYFUNCTION("""COMPUTED_VALUE"""),"Sim")</f>
        <v>Sim</v>
      </c>
      <c r="BD417" s="27" t="str">
        <f ca="1">IFERROR(__xludf.DUMMYFUNCTION("""COMPUTED_VALUE"""),"Aron Ramos, assim como muitos dos alunos atendidos no Instituto, teve uma trajetória de vida cheia de desafios.Seu contato com as drogas começou ainda bem cedo. Por falta de estrutura familiar, embarcou no submundo das drogras e delitos aos 14 anos. Sua v"&amp;"ida mudou quando o seu tio Valter lhe deu uma oportunidade. Com isso, sua história mudou, outras oportunidades surgiram. Hoje, formado na universidade, fundou o Resgatando Vidas com o objetivo de gerar oportunidades para jovens da periferia!")</f>
        <v>Aron Ramos, assim como muitos dos alunos atendidos no Instituto, teve uma trajetória de vida cheia de desafios.Seu contato com as drogas começou ainda bem cedo. Por falta de estrutura familiar, embarcou no submundo das drogras e delitos aos 14 anos. Sua vida mudou quando o seu tio Valter lhe deu uma oportunidade. Com isso, sua história mudou, outras oportunidades surgiram. Hoje, formado na universidade, fundou o Resgatando Vidas com o objetivo de gerar oportunidades para jovens da periferia!</v>
      </c>
      <c r="BE417" s="27"/>
      <c r="BF417" s="27"/>
      <c r="BG417" s="27" t="str">
        <f ca="1">IFERROR(__xludf.DUMMYFUNCTION("""COMPUTED_VALUE"""),"Ensino Superior - Completo")</f>
        <v>Ensino Superior - Completo</v>
      </c>
      <c r="BH417" s="27"/>
      <c r="BI417" s="27" t="str">
        <f ca="1">IFERROR(__xludf.DUMMYFUNCTION("""COMPUTED_VALUE"""),"Graduação")</f>
        <v>Graduação</v>
      </c>
      <c r="BJ417" s="27" t="str">
        <f ca="1">IFERROR(__xludf.DUMMYFUNCTION("""COMPUTED_VALUE"""),"Privado")</f>
        <v>Privado</v>
      </c>
      <c r="BK417" s="27" t="str">
        <f ca="1">IFERROR(__xludf.DUMMYFUNCTION("""COMPUTED_VALUE"""),"Augusto Gil")</f>
        <v>Augusto Gil</v>
      </c>
      <c r="BL417" s="27">
        <f ca="1">IFERROR(__xludf.DUMMYFUNCTION("""COMPUTED_VALUE"""),142)</f>
        <v>142</v>
      </c>
      <c r="BM417" s="27"/>
      <c r="BN417" s="27" t="str">
        <f ca="1">IFERROR(__xludf.DUMMYFUNCTION("""COMPUTED_VALUE"""),"São Paulo")</f>
        <v>São Paulo</v>
      </c>
      <c r="BO417" s="27" t="str">
        <f ca="1">IFERROR(__xludf.DUMMYFUNCTION("""COMPUTED_VALUE"""),"02670-030")</f>
        <v>02670-030</v>
      </c>
      <c r="BP417" s="27" t="str">
        <f ca="1">IFERROR(__xludf.DUMMYFUNCTION("""COMPUTED_VALUE"""),"SP")</f>
        <v>SP</v>
      </c>
      <c r="BQ417" s="27" t="str">
        <f ca="1">IFERROR(__xludf.DUMMYFUNCTION("""COMPUTED_VALUE"""),"De 3 até 5 salários mínimos")</f>
        <v>De 3 até 5 salários mínimos</v>
      </c>
      <c r="BR417" s="27" t="str">
        <f ca="1">IFERROR(__xludf.DUMMYFUNCTION("""COMPUTED_VALUE"""),"MEI")</f>
        <v>MEI</v>
      </c>
      <c r="BS417" s="27" t="str">
        <f ca="1">IFERROR(__xludf.DUMMYFUNCTION("""COMPUTED_VALUE"""),"Aluguel")</f>
        <v>Aluguel</v>
      </c>
      <c r="BT417" s="27">
        <f ca="1">IFERROR(__xludf.DUMMYFUNCTION("""COMPUTED_VALUE"""),6)</f>
        <v>6</v>
      </c>
      <c r="BU417" s="27"/>
      <c r="BV417" s="27" t="str">
        <f ca="1">IFERROR(__xludf.DUMMYFUNCTION("""COMPUTED_VALUE"""),"Intolerância a lactose")</f>
        <v>Intolerância a lactose</v>
      </c>
      <c r="BW417" s="27"/>
      <c r="BX417" s="21" t="str">
        <f ca="1">IFERROR(__xludf.DUMMYFUNCTION("""COMPUTED_VALUE"""),"https://www.instagram.com/p/Cbd_w16rh8J/?utm_medium=copy_link")</f>
        <v>https://www.instagram.com/p/Cbd_w16rh8J/?utm_medium=copy_link</v>
      </c>
      <c r="BY417" s="21" t="str">
        <f ca="1">IFERROR(__xludf.DUMMYFUNCTION("""COMPUTED_VALUE"""),"https://drive.google.com/open?id=1qia0QiSELP4YAoVAki4Q40V_SLiqTYKu")</f>
        <v>https://drive.google.com/open?id=1qia0QiSELP4YAoVAki4Q40V_SLiqTYKu</v>
      </c>
    </row>
    <row r="418" spans="1:77" ht="12.5" x14ac:dyDescent="0.25">
      <c r="A418" s="21" t="str">
        <f ca="1">IFERROR(__xludf.DUMMYFUNCTION("""COMPUTED_VALUE"""),"0014P00003AN2G9QAL")</f>
        <v>0014P00003AN2G9QAL</v>
      </c>
      <c r="B418" s="27" t="str">
        <f ca="1">IFERROR(__xludf.DUMMYFUNCTION("""COMPUTED_VALUE"""),"Fase Inicial")</f>
        <v>Fase Inicial</v>
      </c>
      <c r="C418" s="27" t="str">
        <f ca="1">IFERROR(__xludf.DUMMYFUNCTION("""COMPUTED_VALUE"""),"Acelerada")</f>
        <v>Acelerada</v>
      </c>
      <c r="D418" s="27" t="str">
        <f ca="1">IFERROR(__xludf.DUMMYFUNCTION("""COMPUTED_VALUE"""),"Ativo")</f>
        <v>Ativo</v>
      </c>
      <c r="E418" s="27" t="str">
        <f ca="1">IFERROR(__xludf.DUMMYFUNCTION("""COMPUTED_VALUE"""),"Instituto Reverbera")</f>
        <v>Instituto Reverbera</v>
      </c>
      <c r="F418" s="27" t="str">
        <f ca="1">IFERROR(__xludf.DUMMYFUNCTION("""COMPUTED_VALUE"""),"Rosangela")</f>
        <v>Rosangela</v>
      </c>
      <c r="G418" s="27" t="str">
        <f ca="1">IFERROR(__xludf.DUMMYFUNCTION("""COMPUTED_VALUE"""),"Reverbera")</f>
        <v>Reverbera</v>
      </c>
      <c r="H418" s="27" t="str">
        <f ca="1">IFERROR(__xludf.DUMMYFUNCTION("""COMPUTED_VALUE"""),"41.351.846/0001-53")</f>
        <v>41.351.846/0001-53</v>
      </c>
      <c r="I418" s="27" t="str">
        <f ca="1">IFERROR(__xludf.DUMMYFUNCTION("""COMPUTED_VALUE"""),"ROSANGELA DE FREITAS COSTA")</f>
        <v>ROSANGELA DE FREITAS COSTA</v>
      </c>
      <c r="J418" s="27"/>
      <c r="K418" s="27" t="str">
        <f ca="1">IFERROR(__xludf.DUMMYFUNCTION("""COMPUTED_VALUE"""),"(48)98447-3140")</f>
        <v>(48)98447-3140</v>
      </c>
      <c r="L418" s="27" t="str">
        <f ca="1">IFERROR(__xludf.DUMMYFUNCTION("""COMPUTED_VALUE"""),"SC")</f>
        <v>SC</v>
      </c>
      <c r="M418" s="27" t="str">
        <f ca="1">IFERROR(__xludf.DUMMYFUNCTION("""COMPUTED_VALUE"""),"Servidão Farias")</f>
        <v>Servidão Farias</v>
      </c>
      <c r="N418" s="27"/>
      <c r="O418" s="27" t="str">
        <f ca="1">IFERROR(__xludf.DUMMYFUNCTION("""COMPUTED_VALUE"""),"(48)98447-3140")</f>
        <v>(48)98447-3140</v>
      </c>
      <c r="P418" s="27" t="str">
        <f ca="1">IFERROR(__xludf.DUMMYFUNCTION("""COMPUTED_VALUE"""),"Florianópolis")</f>
        <v>Florianópolis</v>
      </c>
      <c r="Q418" s="27"/>
      <c r="R418" s="27" t="str">
        <f ca="1">IFERROR(__xludf.DUMMYFUNCTION("""COMPUTED_VALUE"""),"88020-530")</f>
        <v>88020-530</v>
      </c>
      <c r="S418" s="27" t="str">
        <f ca="1">IFERROR(__xludf.DUMMYFUNCTION("""COMPUTED_VALUE"""),"Praça do Monte Serrat - Caixa D'água - Endereço: R. Gen. Nestor Passos 443-381 - Centro Florianópolis - SC 88010-400
Parque Natural Municipal do Morro da Cruz - Endereço: Av. do Antão 607 - Centro Florianópolis - SC 88010-400
Centro Educacional Marista"&amp;" Lucia Mayvorne -Endereço: Rua General Rosinha 1050 - Centro Florianópolis - SC 88020-420")</f>
        <v>Praça do Monte Serrat - Caixa D'água - Endereço: R. Gen. Nestor Passos 443-381 - Centro Florianópolis - SC 88010-400
Parque Natural Municipal do Morro da Cruz - Endereço: Av. do Antão 607 - Centro Florianópolis - SC 88010-400
Centro Educacional Marista Lucia Mayvorne -Endereço: Rua General Rosinha 1050 - Centro Florianópolis - SC 88020-420</v>
      </c>
      <c r="T418" s="27" t="str">
        <f ca="1">IFERROR(__xludf.DUMMYFUNCTION("""COMPUTED_VALUE"""),"Educação; Cultura; Empoderamento Feminino; Desenvolvimento comunitário")</f>
        <v>Educação; Cultura; Empoderamento Feminino; Desenvolvimento comunitário</v>
      </c>
      <c r="U418" s="27" t="str">
        <f ca="1">IFERROR(__xludf.DUMMYFUNCTION("""COMPUTED_VALUE"""),"Adolescentes (12 aos 18 anos); Jovens (18 aos 24 anos); Adultos")</f>
        <v>Adolescentes (12 aos 18 anos); Jovens (18 aos 24 anos); Adultos</v>
      </c>
      <c r="V418" s="27" t="str">
        <f ca="1">IFERROR(__xludf.DUMMYFUNCTION("""COMPUTED_VALUE"""),"Moradores de Favelas; Povos Indígenas; Quilombola; Afrodescendentes")</f>
        <v>Moradores de Favelas; Povos Indígenas; Quilombola; Afrodescendentes</v>
      </c>
      <c r="W418" s="27">
        <f ca="1">IFERROR(__xludf.DUMMYFUNCTION("""COMPUTED_VALUE"""),20)</f>
        <v>20</v>
      </c>
      <c r="X418" s="27"/>
      <c r="Y418" s="27"/>
      <c r="Z418" s="27"/>
      <c r="AA418" s="30">
        <f ca="1">IFERROR(__xludf.DUMMYFUNCTION("""COMPUTED_VALUE"""),44163)</f>
        <v>44163</v>
      </c>
      <c r="AB418" s="27" t="str">
        <f ca="1">IFERROR(__xludf.DUMMYFUNCTION("""COMPUTED_VALUE"""),"Em processo")</f>
        <v>Em processo</v>
      </c>
      <c r="AC418" s="27">
        <f ca="1">IFERROR(__xludf.DUMMYFUNCTION("""COMPUTED_VALUE"""),7)</f>
        <v>7</v>
      </c>
      <c r="AD418" s="27">
        <f ca="1">IFERROR(__xludf.DUMMYFUNCTION("""COMPUTED_VALUE"""),3)</f>
        <v>3</v>
      </c>
      <c r="AE418" s="27">
        <f ca="1">IFERROR(__xludf.DUMMYFUNCTION("""COMPUTED_VALUE"""),8)</f>
        <v>8</v>
      </c>
      <c r="AF418" s="27">
        <f ca="1">IFERROR(__xludf.DUMMYFUNCTION("""COMPUTED_VALUE"""),3)</f>
        <v>3</v>
      </c>
      <c r="AG418" s="27">
        <f ca="1">IFERROR(__xludf.DUMMYFUNCTION("""COMPUTED_VALUE"""),2)</f>
        <v>2</v>
      </c>
      <c r="AH418" s="27" t="str">
        <f ca="1">IFERROR(__xludf.DUMMYFUNCTION("""COMPUTED_VALUE"""),"Negócio Social; Parceria iniciativa privada; Doações; Recursos próprios")</f>
        <v>Negócio Social; Parceria iniciativa privada; Doações; Recursos próprios</v>
      </c>
      <c r="AI418" s="27">
        <f ca="1">IFERROR(__xludf.DUMMYFUNCTION("""COMPUTED_VALUE"""),50)</f>
        <v>50</v>
      </c>
      <c r="AJ418" s="27" t="str">
        <f ca="1">IFERROR(__xludf.DUMMYFUNCTION("""COMPUTED_VALUE"""),"Algo importante a se fazer anualmente")</f>
        <v>Algo importante a se fazer anualmente</v>
      </c>
      <c r="AK418" s="27" t="str">
        <f ca="1">IFERROR(__xludf.DUMMYFUNCTION("""COMPUTED_VALUE"""),"Sim")</f>
        <v>Sim</v>
      </c>
      <c r="AL418" s="21" t="str">
        <f ca="1">IFERROR(__xludf.DUMMYFUNCTION("""COMPUTED_VALUE"""),"0034P00003maBVd")</f>
        <v>0034P00003maBVd</v>
      </c>
      <c r="AM418" s="27" t="str">
        <f ca="1">IFERROR(__xludf.DUMMYFUNCTION("""COMPUTED_VALUE"""),"De Freitas Costa")</f>
        <v>De Freitas Costa</v>
      </c>
      <c r="AN418" s="27" t="str">
        <f ca="1">IFERROR(__xludf.DUMMYFUNCTION("""COMPUTED_VALUE"""),"Ativo")</f>
        <v>Ativo</v>
      </c>
      <c r="AO418" s="30">
        <f ca="1">IFERROR(__xludf.DUMMYFUNCTION("""COMPUTED_VALUE"""),44151)</f>
        <v>44151</v>
      </c>
      <c r="AP418" s="27">
        <f ca="1">IFERROR(__xludf.DUMMYFUNCTION("""COMPUTED_VALUE"""),22)</f>
        <v>22</v>
      </c>
      <c r="AQ418" s="27" t="str">
        <f ca="1">IFERROR(__xludf.DUMMYFUNCTION("""COMPUTED_VALUE"""),"Primeiro Semestre 2020")</f>
        <v>Primeiro Semestre 2020</v>
      </c>
      <c r="AR418" s="27" t="str">
        <f ca="1">IFERROR(__xludf.DUMMYFUNCTION("""COMPUTED_VALUE"""),"rfcosta7@hotmail.com")</f>
        <v>rfcosta7@hotmail.com</v>
      </c>
      <c r="AS418" s="27" t="str">
        <f ca="1">IFERROR(__xludf.DUMMYFUNCTION("""COMPUTED_VALUE"""),"(48)98447-3140")</f>
        <v>(48)98447-3140</v>
      </c>
      <c r="AT418" s="29">
        <f ca="1">IFERROR(__xludf.DUMMYFUNCTION("""COMPUTED_VALUE"""),30502)</f>
        <v>30502</v>
      </c>
      <c r="AU418" s="27">
        <f ca="1">IFERROR(__xludf.DUMMYFUNCTION("""COMPUTED_VALUE"""),39)</f>
        <v>39</v>
      </c>
      <c r="AV418" s="27">
        <f ca="1">IFERROR(__xludf.DUMMYFUNCTION("""COMPUTED_VALUE"""),827184905)</f>
        <v>827184905</v>
      </c>
      <c r="AW418" s="27">
        <f ca="1">IFERROR(__xludf.DUMMYFUNCTION("""COMPUTED_VALUE"""),44161093)</f>
        <v>44161093</v>
      </c>
      <c r="AX418" s="27" t="str">
        <f ca="1">IFERROR(__xludf.DUMMYFUNCTION("""COMPUTED_VALUE"""),"Formação em Design de Interiores - Mestranda Design área de Mídia e Tecnologia")</f>
        <v>Formação em Design de Interiores - Mestranda Design área de Mídia e Tecnologia</v>
      </c>
      <c r="AY418" s="27" t="str">
        <f ca="1">IFERROR(__xludf.DUMMYFUNCTION("""COMPUTED_VALUE"""),"Divido tempo com Mestrado sou bolsista Capes")</f>
        <v>Divido tempo com Mestrado sou bolsista Capes</v>
      </c>
      <c r="AZ418" s="27" t="str">
        <f ca="1">IFERROR(__xludf.DUMMYFUNCTION("""COMPUTED_VALUE"""),"G")</f>
        <v>G</v>
      </c>
      <c r="BA418" s="27"/>
      <c r="BB418" s="27"/>
      <c r="BC418" s="27" t="str">
        <f ca="1">IFERROR(__xludf.DUMMYFUNCTION("""COMPUTED_VALUE"""),"Não")</f>
        <v>Não</v>
      </c>
      <c r="BD418" s="27" t="str">
        <f ca="1">IFERROR(__xludf.DUMMYFUNCTION("""COMPUTED_VALUE"""),"Sou Rosangela, filha, irmã, esposa , designer , capoeirista e empreendedora na vida. Floripa é minha casa , fundadora e CEO do Instituto Reverbera. Nosso propósito,  é dar voz e visibilidade as potencialidades da periferia, principalmente as mulheres negr"&amp;"as.")</f>
        <v>Sou Rosangela, filha, irmã, esposa , designer , capoeirista e empreendedora na vida. Floripa é minha casa , fundadora e CEO do Instituto Reverbera. Nosso propósito,  é dar voz e visibilidade as potencialidades da periferia, principalmente as mulheres negras.</v>
      </c>
      <c r="BE418" s="27"/>
      <c r="BF418" s="27"/>
      <c r="BG418" s="27" t="str">
        <f ca="1">IFERROR(__xludf.DUMMYFUNCTION("""COMPUTED_VALUE"""),"Ensino Superior - Completo")</f>
        <v>Ensino Superior - Completo</v>
      </c>
      <c r="BH418" s="27"/>
      <c r="BI418" s="27" t="str">
        <f ca="1">IFERROR(__xludf.DUMMYFUNCTION("""COMPUTED_VALUE"""),"Mestrado")</f>
        <v>Mestrado</v>
      </c>
      <c r="BJ418" s="27" t="str">
        <f ca="1">IFERROR(__xludf.DUMMYFUNCTION("""COMPUTED_VALUE"""),"Público")</f>
        <v>Público</v>
      </c>
      <c r="BK418" s="27" t="str">
        <f ca="1">IFERROR(__xludf.DUMMYFUNCTION("""COMPUTED_VALUE"""),"Servidão farias")</f>
        <v>Servidão farias</v>
      </c>
      <c r="BL418" s="27">
        <f ca="1">IFERROR(__xludf.DUMMYFUNCTION("""COMPUTED_VALUE"""),209)</f>
        <v>209</v>
      </c>
      <c r="BM418" s="27" t="str">
        <f ca="1">IFERROR(__xludf.DUMMYFUNCTION("""COMPUTED_VALUE"""),"Casa")</f>
        <v>Casa</v>
      </c>
      <c r="BN418" s="27" t="str">
        <f ca="1">IFERROR(__xludf.DUMMYFUNCTION("""COMPUTED_VALUE"""),"Florianópolis")</f>
        <v>Florianópolis</v>
      </c>
      <c r="BO418" s="27" t="str">
        <f ca="1">IFERROR(__xludf.DUMMYFUNCTION("""COMPUTED_VALUE"""),"88020-530")</f>
        <v>88020-530</v>
      </c>
      <c r="BP418" s="27" t="str">
        <f ca="1">IFERROR(__xludf.DUMMYFUNCTION("""COMPUTED_VALUE"""),"SC")</f>
        <v>SC</v>
      </c>
      <c r="BQ418" s="27" t="str">
        <f ca="1">IFERROR(__xludf.DUMMYFUNCTION("""COMPUTED_VALUE"""),"Entre 1 até 3 salários mínimos")</f>
        <v>Entre 1 até 3 salários mínimos</v>
      </c>
      <c r="BR418" s="27" t="str">
        <f ca="1">IFERROR(__xludf.DUMMYFUNCTION("""COMPUTED_VALUE"""),"MEI")</f>
        <v>MEI</v>
      </c>
      <c r="BS418" s="27" t="str">
        <f ca="1">IFERROR(__xludf.DUMMYFUNCTION("""COMPUTED_VALUE"""),"Casa própria")</f>
        <v>Casa própria</v>
      </c>
      <c r="BT418" s="27">
        <f ca="1">IFERROR(__xludf.DUMMYFUNCTION("""COMPUTED_VALUE"""),1)</f>
        <v>1</v>
      </c>
      <c r="BU418" s="27"/>
      <c r="BV418" s="27"/>
      <c r="BW418" s="21" t="str">
        <f ca="1">IFERROR(__xludf.DUMMYFUNCTION("""COMPUTED_VALUE"""),"https://www.linkedin.com/in/ro-freitas/")</f>
        <v>https://www.linkedin.com/in/ro-freitas/</v>
      </c>
      <c r="BX418" s="27" t="str">
        <f ca="1">IFERROR(__xludf.DUMMYFUNCTION("""COMPUTED_VALUE"""),"@rofreitas7")</f>
        <v>@rofreitas7</v>
      </c>
      <c r="BY418" s="21" t="str">
        <f ca="1">IFERROR(__xludf.DUMMYFUNCTION("""COMPUTED_VALUE"""),"https://drive.google.com/open?id=1ThyReMFg1rZjRhb7CIxAPWVlY8_DDBdZ")</f>
        <v>https://drive.google.com/open?id=1ThyReMFg1rZjRhb7CIxAPWVlY8_DDBdZ</v>
      </c>
    </row>
    <row r="419" spans="1:77" ht="12.5" x14ac:dyDescent="0.25">
      <c r="A419" s="21" t="str">
        <f ca="1">IFERROR(__xludf.DUMMYFUNCTION("""COMPUTED_VALUE"""),"0014P00003YSpA3QAL")</f>
        <v>0014P00003YSpA3QAL</v>
      </c>
      <c r="B419" s="27" t="str">
        <f ca="1">IFERROR(__xludf.DUMMYFUNCTION("""COMPUTED_VALUE"""),"Fase Inicial")</f>
        <v>Fase Inicial</v>
      </c>
      <c r="C419" s="27" t="str">
        <f ca="1">IFERROR(__xludf.DUMMYFUNCTION("""COMPUTED_VALUE"""),"Fellow")</f>
        <v>Fellow</v>
      </c>
      <c r="D419" s="27" t="str">
        <f ca="1">IFERROR(__xludf.DUMMYFUNCTION("""COMPUTED_VALUE"""),"Ativo")</f>
        <v>Ativo</v>
      </c>
      <c r="E419" s="27" t="str">
        <f ca="1">IFERROR(__xludf.DUMMYFUNCTION("""COMPUTED_VALUE"""),"Instituto Reviver")</f>
        <v>Instituto Reviver</v>
      </c>
      <c r="F419" s="27" t="str">
        <f ca="1">IFERROR(__xludf.DUMMYFUNCTION("""COMPUTED_VALUE"""),"Soraia")</f>
        <v>Soraia</v>
      </c>
      <c r="G419" s="27"/>
      <c r="H419" s="27">
        <f ca="1">IFERROR(__xludf.DUMMYFUNCTION("""COMPUTED_VALUE"""),28203833000179)</f>
        <v>28203833000179</v>
      </c>
      <c r="I419" s="27" t="str">
        <f ca="1">IFERROR(__xludf.DUMMYFUNCTION("""COMPUTED_VALUE"""),"Soraia Maria Tomaz")</f>
        <v>Soraia Maria Tomaz</v>
      </c>
      <c r="J419" s="27" t="str">
        <f ca="1">IFERROR(__xludf.DUMMYFUNCTION("""COMPUTED_VALUE"""),"revivertocantins@gmail.com")</f>
        <v>revivertocantins@gmail.com</v>
      </c>
      <c r="K419" s="27">
        <f ca="1">IFERROR(__xludf.DUMMYFUNCTION("""COMPUTED_VALUE"""),63981068048)</f>
        <v>63981068048</v>
      </c>
      <c r="L419" s="27" t="str">
        <f ca="1">IFERROR(__xludf.DUMMYFUNCTION("""COMPUTED_VALUE"""),"TO")</f>
        <v>TO</v>
      </c>
      <c r="M419" s="27" t="str">
        <f ca="1">IFERROR(__xludf.DUMMYFUNCTION("""COMPUTED_VALUE"""),"Avenida Joaquim Antônio Segurado1501 Sul")</f>
        <v>Avenida Joaquim Antônio Segurado1501 Sul</v>
      </c>
      <c r="N419" s="27" t="str">
        <f ca="1">IFERROR(__xludf.DUMMYFUNCTION("""COMPUTED_VALUE"""),"Plano Diretor Sul")</f>
        <v>Plano Diretor Sul</v>
      </c>
      <c r="O419" s="27">
        <f ca="1">IFERROR(__xludf.DUMMYFUNCTION("""COMPUTED_VALUE"""),1001)</f>
        <v>1001</v>
      </c>
      <c r="P419" s="27" t="str">
        <f ca="1">IFERROR(__xludf.DUMMYFUNCTION("""COMPUTED_VALUE"""),"Palmas")</f>
        <v>Palmas</v>
      </c>
      <c r="Q419" s="27"/>
      <c r="R419" s="27">
        <f ca="1">IFERROR(__xludf.DUMMYFUNCTION("""COMPUTED_VALUE"""),77019900)</f>
        <v>77019900</v>
      </c>
      <c r="S419" s="27"/>
      <c r="T419" s="27"/>
      <c r="U419" s="27"/>
      <c r="V419" s="27"/>
      <c r="W419" s="27">
        <f ca="1">IFERROR(__xludf.DUMMYFUNCTION("""COMPUTED_VALUE"""),6)</f>
        <v>6</v>
      </c>
      <c r="X419" s="27" t="str">
        <f ca="1">IFERROR(__xludf.DUMMYFUNCTION("""COMPUTED_VALUE"""),"Atendemos pessoas de vários bairros da capital Palmas e outros  municípios.")</f>
        <v>Atendemos pessoas de vários bairros da capital Palmas e outros  municípios.</v>
      </c>
      <c r="Y419" s="27"/>
      <c r="Z419" s="27">
        <f ca="1">IFERROR(__xludf.DUMMYFUNCTION("""COMPUTED_VALUE"""),300)</f>
        <v>300</v>
      </c>
      <c r="AA419" s="29">
        <f ca="1">IFERROR(__xludf.DUMMYFUNCTION("""COMPUTED_VALUE"""),42915)</f>
        <v>42915</v>
      </c>
      <c r="AB419" s="27" t="str">
        <f ca="1">IFERROR(__xludf.DUMMYFUNCTION("""COMPUTED_VALUE"""),"Sim")</f>
        <v>Sim</v>
      </c>
      <c r="AC419" s="27">
        <f ca="1">IFERROR(__xludf.DUMMYFUNCTION("""COMPUTED_VALUE"""),10)</f>
        <v>10</v>
      </c>
      <c r="AD419" s="27"/>
      <c r="AE419" s="27">
        <f ca="1">IFERROR(__xludf.DUMMYFUNCTION("""COMPUTED_VALUE"""),20)</f>
        <v>20</v>
      </c>
      <c r="AF419" s="27"/>
      <c r="AG419" s="27">
        <f ca="1">IFERROR(__xludf.DUMMYFUNCTION("""COMPUTED_VALUE"""),2)</f>
        <v>2</v>
      </c>
      <c r="AH419" s="27"/>
      <c r="AI419" s="27"/>
      <c r="AJ419" s="27"/>
      <c r="AK419" s="27"/>
      <c r="AL419" s="21" t="str">
        <f ca="1">IFERROR(__xludf.DUMMYFUNCTION("""COMPUTED_VALUE"""),"0034P000045kxkf")</f>
        <v>0034P000045kxkf</v>
      </c>
      <c r="AM419" s="27" t="str">
        <f ca="1">IFERROR(__xludf.DUMMYFUNCTION("""COMPUTED_VALUE"""),"Maria Tomaz")</f>
        <v>Maria Tomaz</v>
      </c>
      <c r="AN419" s="27" t="str">
        <f ca="1">IFERROR(__xludf.DUMMYFUNCTION("""COMPUTED_VALUE"""),"Ativo")</f>
        <v>Ativo</v>
      </c>
      <c r="AO419" s="30">
        <f ca="1">IFERROR(__xludf.DUMMYFUNCTION("""COMPUTED_VALUE"""),44551)</f>
        <v>44551</v>
      </c>
      <c r="AP419" s="27">
        <f ca="1">IFERROR(__xludf.DUMMYFUNCTION("""COMPUTED_VALUE"""),9)</f>
        <v>9</v>
      </c>
      <c r="AQ419" s="27" t="str">
        <f ca="1">IFERROR(__xludf.DUMMYFUNCTION("""COMPUTED_VALUE"""),"Segundo Semestre 2021")</f>
        <v>Segundo Semestre 2021</v>
      </c>
      <c r="AR419" s="27" t="str">
        <f ca="1">IFERROR(__xludf.DUMMYFUNCTION("""COMPUTED_VALUE"""),"soraiatoedfisica@gmail.com")</f>
        <v>soraiatoedfisica@gmail.com</v>
      </c>
      <c r="AS419" s="27">
        <f ca="1">IFERROR(__xludf.DUMMYFUNCTION("""COMPUTED_VALUE"""),63981068048)</f>
        <v>63981068048</v>
      </c>
      <c r="AT419" s="29">
        <f ca="1">IFERROR(__xludf.DUMMYFUNCTION("""COMPUTED_VALUE"""),24227)</f>
        <v>24227</v>
      </c>
      <c r="AU419" s="27">
        <f ca="1">IFERROR(__xludf.DUMMYFUNCTION("""COMPUTED_VALUE"""),56)</f>
        <v>56</v>
      </c>
      <c r="AV419" s="27">
        <f ca="1">IFERROR(__xludf.DUMMYFUNCTION("""COMPUTED_VALUE"""),57463670600)</f>
        <v>57463670600</v>
      </c>
      <c r="AW419" s="27">
        <f ca="1">IFERROR(__xludf.DUMMYFUNCTION("""COMPUTED_VALUE"""),157877)</f>
        <v>157877</v>
      </c>
      <c r="AX419" s="27"/>
      <c r="AY419" s="27"/>
      <c r="AZ419" s="27" t="str">
        <f ca="1">IFERROR(__xludf.DUMMYFUNCTION("""COMPUTED_VALUE"""),"G")</f>
        <v>G</v>
      </c>
      <c r="BA419" s="27" t="str">
        <f ca="1">IFERROR(__xludf.DUMMYFUNCTION("""COMPUTED_VALUE"""),"Branca")</f>
        <v>Branca</v>
      </c>
      <c r="BB419" s="27"/>
      <c r="BC419" s="27" t="str">
        <f ca="1">IFERROR(__xludf.DUMMYFUNCTION("""COMPUTED_VALUE"""),"Sim")</f>
        <v>Sim</v>
      </c>
      <c r="BD419" s="27" t="str">
        <f ca="1">IFERROR(__xludf.DUMMYFUNCTION("""COMPUTED_VALUE"""),"Nasci no Sul de Minas Gerais;; me formei em Educação Física;; em 1991 me mudei para o estado do Tocantins e iniciei meu trabalho com pessoas com deficiencia;; até criar o Instituto Reviver;; que já existe a 06 anos;; instituto que luta por uma sociedade m"&amp;"ais justa e igualitária para pessoas com deficiência ;; utilizando o esporte como ferramentas para promover a inclusão;  Sou divorciada;; mais de duas filhas e recentemente avó;; me aposentei em 2020 e atualmente me dedico exclusivamente ao Instituto Revi"&amp;"ver; Sou grata pela oportunidade de participar deste novo grupo que certamente irei me identificar muito;")</f>
        <v>Nasci no Sul de Minas Gerais;; me formei em Educação Física;; em 1991 me mudei para o estado do Tocantins e iniciei meu trabalho com pessoas com deficiencia;; até criar o Instituto Reviver;; que já existe a 06 anos;; instituto que luta por uma sociedade mais justa e igualitária para pessoas com deficiência ;; utilizando o esporte como ferramentas para promover a inclusão;  Sou divorciada;; mais de duas filhas e recentemente avó;; me aposentei em 2020 e atualmente me dedico exclusivamente ao Instituto Reviver; Sou grata pela oportunidade de participar deste novo grupo que certamente irei me identificar muito;</v>
      </c>
      <c r="BE419" s="27"/>
      <c r="BF419" s="27"/>
      <c r="BG419" s="27" t="str">
        <f ca="1">IFERROR(__xludf.DUMMYFUNCTION("""COMPUTED_VALUE"""),"Ensino Superior - Incompleto")</f>
        <v>Ensino Superior - Incompleto</v>
      </c>
      <c r="BH419" s="27" t="str">
        <f ca="1">IFERROR(__xludf.DUMMYFUNCTION("""COMPUTED_VALUE"""),"Público")</f>
        <v>Público</v>
      </c>
      <c r="BI419" s="27" t="str">
        <f ca="1">IFERROR(__xludf.DUMMYFUNCTION("""COMPUTED_VALUE"""),"Pós-Graduação")</f>
        <v>Pós-Graduação</v>
      </c>
      <c r="BJ419" s="27" t="str">
        <f ca="1">IFERROR(__xludf.DUMMYFUNCTION("""COMPUTED_VALUE"""),"Privado")</f>
        <v>Privado</v>
      </c>
      <c r="BK419" s="27" t="str">
        <f ca="1">IFERROR(__xludf.DUMMYFUNCTION("""COMPUTED_VALUE"""),"Quadra 806 Sul Alameda 20")</f>
        <v>Quadra 806 Sul Alameda 20</v>
      </c>
      <c r="BL419" s="27">
        <f ca="1">IFERROR(__xludf.DUMMYFUNCTION("""COMPUTED_VALUE"""),31)</f>
        <v>31</v>
      </c>
      <c r="BM419" s="27"/>
      <c r="BN419" s="27" t="str">
        <f ca="1">IFERROR(__xludf.DUMMYFUNCTION("""COMPUTED_VALUE"""),"Palmas")</f>
        <v>Palmas</v>
      </c>
      <c r="BO419" s="27">
        <f ca="1">IFERROR(__xludf.DUMMYFUNCTION("""COMPUTED_VALUE"""),77023100)</f>
        <v>77023100</v>
      </c>
      <c r="BP419" s="27" t="str">
        <f ca="1">IFERROR(__xludf.DUMMYFUNCTION("""COMPUTED_VALUE"""),"TO")</f>
        <v>TO</v>
      </c>
      <c r="BQ419" s="27"/>
      <c r="BR419" s="27"/>
      <c r="BS419" s="27"/>
      <c r="BT419" s="27"/>
      <c r="BU419" s="27" t="str">
        <f ca="1">IFERROR(__xludf.DUMMYFUNCTION("""COMPUTED_VALUE"""),"Não tem")</f>
        <v>Não tem</v>
      </c>
      <c r="BV419" s="27"/>
      <c r="BW419" s="27"/>
      <c r="BX419" s="21" t="str">
        <f ca="1">IFERROR(__xludf.DUMMYFUNCTION("""COMPUTED_VALUE"""),"https://www.instagram.com/soraiatomaz/")</f>
        <v>https://www.instagram.com/soraiatomaz/</v>
      </c>
      <c r="BY419" s="21" t="str">
        <f ca="1">IFERROR(__xludf.DUMMYFUNCTION("""COMPUTED_VALUE"""),"https://drive.google.com/open?id=1IwtHABHd2XuDwSQAlpCIHUBuVGuM9z67")</f>
        <v>https://drive.google.com/open?id=1IwtHABHd2XuDwSQAlpCIHUBuVGuM9z67</v>
      </c>
    </row>
    <row r="420" spans="1:77" ht="12.5" x14ac:dyDescent="0.25">
      <c r="A420" s="21" t="str">
        <f ca="1">IFERROR(__xludf.DUMMYFUNCTION("""COMPUTED_VALUE"""),"0014P00003YSp8GQAT")</f>
        <v>0014P00003YSp8GQAT</v>
      </c>
      <c r="B420" s="27" t="str">
        <f ca="1">IFERROR(__xludf.DUMMYFUNCTION("""COMPUTED_VALUE"""),"Fase Inicial")</f>
        <v>Fase Inicial</v>
      </c>
      <c r="C420" s="27" t="str">
        <f ca="1">IFERROR(__xludf.DUMMYFUNCTION("""COMPUTED_VALUE"""),"Fellow")</f>
        <v>Fellow</v>
      </c>
      <c r="D420" s="27" t="str">
        <f ca="1">IFERROR(__xludf.DUMMYFUNCTION("""COMPUTED_VALUE"""),"Ativo")</f>
        <v>Ativo</v>
      </c>
      <c r="E420" s="27" t="str">
        <f ca="1">IFERROR(__xludf.DUMMYFUNCTION("""COMPUTED_VALUE"""),"Instituto Rosa Reviver")</f>
        <v>Instituto Rosa Reviver</v>
      </c>
      <c r="F420" s="27" t="str">
        <f ca="1">IFERROR(__xludf.DUMMYFUNCTION("""COMPUTED_VALUE"""),"Danielle")</f>
        <v>Danielle</v>
      </c>
      <c r="G420" s="27"/>
      <c r="H420" s="27" t="str">
        <f ca="1">IFERROR(__xludf.DUMMYFUNCTION("""COMPUTED_VALUE"""),"41.370.496/0001-72")</f>
        <v>41.370.496/0001-72</v>
      </c>
      <c r="I420" s="27" t="str">
        <f ca="1">IFERROR(__xludf.DUMMYFUNCTION("""COMPUTED_VALUE"""),"Sergio Costa")</f>
        <v>Sergio Costa</v>
      </c>
      <c r="J420" s="27" t="str">
        <f ca="1">IFERROR(__xludf.DUMMYFUNCTION("""COMPUTED_VALUE"""),"institutorosairfc@gmail.com")</f>
        <v>institutorosairfc@gmail.com</v>
      </c>
      <c r="K420" s="27" t="str">
        <f ca="1">IFERROR(__xludf.DUMMYFUNCTION("""COMPUTED_VALUE"""),"(21)97493-6178")</f>
        <v>(21)97493-6178</v>
      </c>
      <c r="L420" s="27" t="str">
        <f ca="1">IFERROR(__xludf.DUMMYFUNCTION("""COMPUTED_VALUE"""),"RJ")</f>
        <v>RJ</v>
      </c>
      <c r="M420" s="27" t="str">
        <f ca="1">IFERROR(__xludf.DUMMYFUNCTION("""COMPUTED_VALUE"""),"Rua teixeira Alves lt 17 Q 7")</f>
        <v>Rua teixeira Alves lt 17 Q 7</v>
      </c>
      <c r="N420" s="27" t="str">
        <f ca="1">IFERROR(__xludf.DUMMYFUNCTION("""COMPUTED_VALUE"""),"Pilar")</f>
        <v>Pilar</v>
      </c>
      <c r="O420" s="27">
        <f ca="1">IFERROR(__xludf.DUMMYFUNCTION("""COMPUTED_VALUE"""),17)</f>
        <v>17</v>
      </c>
      <c r="P420" s="27" t="str">
        <f ca="1">IFERROR(__xludf.DUMMYFUNCTION("""COMPUTED_VALUE"""),"Duque de Caxias")</f>
        <v>Duque de Caxias</v>
      </c>
      <c r="Q420" s="27" t="str">
        <f ca="1">IFERROR(__xludf.DUMMYFUNCTION("""COMPUTED_VALUE"""),"Lt 17 qd 07")</f>
        <v>Lt 17 qd 07</v>
      </c>
      <c r="R420" s="27" t="str">
        <f ca="1">IFERROR(__xludf.DUMMYFUNCTION("""COMPUTED_VALUE"""),"25233-480")</f>
        <v>25233-480</v>
      </c>
      <c r="S420" s="27"/>
      <c r="T420" s="27" t="str">
        <f ca="1">IFERROR(__xludf.DUMMYFUNCTION("""COMPUTED_VALUE"""),"Educação; Assistência Social; Cultura; Qualificação Profissional; Empreendedorismo")</f>
        <v>Educação; Assistência Social; Cultura; Qualificação Profissional; Empreendedorismo</v>
      </c>
      <c r="U420"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420" s="27" t="str">
        <f ca="1">IFERROR(__xludf.DUMMYFUNCTION("""COMPUTED_VALUE"""),"Moradores de Favelas; Pessoas com Deficiência; Comunidade rural")</f>
        <v>Moradores de Favelas; Pessoas com Deficiência; Comunidade rural</v>
      </c>
      <c r="W420" s="27">
        <f ca="1">IFERROR(__xludf.DUMMYFUNCTION("""COMPUTED_VALUE"""),6)</f>
        <v>6</v>
      </c>
      <c r="X420" s="27" t="str">
        <f ca="1">IFERROR(__xludf.DUMMYFUNCTION("""COMPUTED_VALUE"""),"Mulheres")</f>
        <v>Mulheres</v>
      </c>
      <c r="Y420" s="27"/>
      <c r="Z420" s="27">
        <f ca="1">IFERROR(__xludf.DUMMYFUNCTION("""COMPUTED_VALUE"""),400)</f>
        <v>400</v>
      </c>
      <c r="AA420" s="29">
        <f ca="1">IFERROR(__xludf.DUMMYFUNCTION("""COMPUTED_VALUE"""),43952)</f>
        <v>43952</v>
      </c>
      <c r="AB420" s="27" t="str">
        <f ca="1">IFERROR(__xludf.DUMMYFUNCTION("""COMPUTED_VALUE"""),"Sim")</f>
        <v>Sim</v>
      </c>
      <c r="AC420" s="27">
        <f ca="1">IFERROR(__xludf.DUMMYFUNCTION("""COMPUTED_VALUE"""),1)</f>
        <v>1</v>
      </c>
      <c r="AD420" s="27">
        <f ca="1">IFERROR(__xludf.DUMMYFUNCTION("""COMPUTED_VALUE"""),1)</f>
        <v>1</v>
      </c>
      <c r="AE420" s="27">
        <f ca="1">IFERROR(__xludf.DUMMYFUNCTION("""COMPUTED_VALUE"""),10)</f>
        <v>10</v>
      </c>
      <c r="AF420" s="27">
        <f ca="1">IFERROR(__xludf.DUMMYFUNCTION("""COMPUTED_VALUE"""),30)</f>
        <v>30</v>
      </c>
      <c r="AG420" s="27">
        <f ca="1">IFERROR(__xludf.DUMMYFUNCTION("""COMPUTED_VALUE"""),2)</f>
        <v>2</v>
      </c>
      <c r="AH420" s="27" t="str">
        <f ca="1">IFERROR(__xludf.DUMMYFUNCTION("""COMPUTED_VALUE"""),"Doações; Recursos próprios")</f>
        <v>Doações; Recursos próprios</v>
      </c>
      <c r="AI420" s="27" t="str">
        <f ca="1">IFERROR(__xludf.DUMMYFUNCTION("""COMPUTED_VALUE"""),"não")</f>
        <v>não</v>
      </c>
      <c r="AJ420" s="27"/>
      <c r="AK420" s="27"/>
      <c r="AL420" s="21" t="str">
        <f ca="1">IFERROR(__xludf.DUMMYFUNCTION("""COMPUTED_VALUE"""),"0034P000045kxir")</f>
        <v>0034P000045kxir</v>
      </c>
      <c r="AM420" s="27" t="str">
        <f ca="1">IFERROR(__xludf.DUMMYFUNCTION("""COMPUTED_VALUE"""),"Danielle Cassiano")</f>
        <v>Danielle Cassiano</v>
      </c>
      <c r="AN420" s="27" t="str">
        <f ca="1">IFERROR(__xludf.DUMMYFUNCTION("""COMPUTED_VALUE"""),"Ativo")</f>
        <v>Ativo</v>
      </c>
      <c r="AO420" s="30">
        <f ca="1">IFERROR(__xludf.DUMMYFUNCTION("""COMPUTED_VALUE"""),44551)</f>
        <v>44551</v>
      </c>
      <c r="AP420" s="27">
        <f ca="1">IFERROR(__xludf.DUMMYFUNCTION("""COMPUTED_VALUE"""),9)</f>
        <v>9</v>
      </c>
      <c r="AQ420" s="27" t="str">
        <f ca="1">IFERROR(__xludf.DUMMYFUNCTION("""COMPUTED_VALUE"""),"Segundo Semestre 2021")</f>
        <v>Segundo Semestre 2021</v>
      </c>
      <c r="AR420" s="27" t="str">
        <f ca="1">IFERROR(__xludf.DUMMYFUNCTION("""COMPUTED_VALUE"""),"dani.cassiano24@gmail.com")</f>
        <v>dani.cassiano24@gmail.com</v>
      </c>
      <c r="AS420" s="27" t="str">
        <f ca="1">IFERROR(__xludf.DUMMYFUNCTION("""COMPUTED_VALUE"""),"(21)97493-6178")</f>
        <v>(21)97493-6178</v>
      </c>
      <c r="AT420" s="29">
        <f ca="1">IFERROR(__xludf.DUMMYFUNCTION("""COMPUTED_VALUE"""),29613)</f>
        <v>29613</v>
      </c>
      <c r="AU420" s="27">
        <f ca="1">IFERROR(__xludf.DUMMYFUNCTION("""COMPUTED_VALUE"""),41)</f>
        <v>41</v>
      </c>
      <c r="AV420" s="27">
        <f ca="1">IFERROR(__xludf.DUMMYFUNCTION("""COMPUTED_VALUE"""),93979223787)</f>
        <v>93979223787</v>
      </c>
      <c r="AW420" s="27">
        <f ca="1">IFERROR(__xludf.DUMMYFUNCTION("""COMPUTED_VALUE"""),129093191)</f>
        <v>129093191</v>
      </c>
      <c r="AX420" s="27"/>
      <c r="AY420" s="27"/>
      <c r="AZ420" s="27" t="str">
        <f ca="1">IFERROR(__xludf.DUMMYFUNCTION("""COMPUTED_VALUE"""),"GG")</f>
        <v>GG</v>
      </c>
      <c r="BA420" s="27" t="str">
        <f ca="1">IFERROR(__xludf.DUMMYFUNCTION("""COMPUTED_VALUE"""),"Preta")</f>
        <v>Preta</v>
      </c>
      <c r="BB420" s="27" t="str">
        <f ca="1">IFERROR(__xludf.DUMMYFUNCTION("""COMPUTED_VALUE"""),"Mulher, cisgênero")</f>
        <v>Mulher, cisgênero</v>
      </c>
      <c r="BC420" s="27" t="str">
        <f ca="1">IFERROR(__xludf.DUMMYFUNCTION("""COMPUTED_VALUE"""),"Não")</f>
        <v>Não</v>
      </c>
      <c r="BD420" s="27" t="str">
        <f ca="1">IFERROR(__xludf.DUMMYFUNCTION("""COMPUTED_VALUE"""),"Danielle Cassiano coordenadora do projeto Instituto Rosa Reviver profissional de saúde Pos em Psicanalise e Gestão Recursos Humanos  implementou o projeto de Alfabetização de crianças em Dondo Africa")</f>
        <v>Danielle Cassiano coordenadora do projeto Instituto Rosa Reviver profissional de saúde Pos em Psicanalise e Gestão Recursos Humanos  implementou o projeto de Alfabetização de crianças em Dondo Africa</v>
      </c>
      <c r="BE420" s="27"/>
      <c r="BF420" s="27" t="str">
        <f ca="1">IFERROR(__xludf.DUMMYFUNCTION("""COMPUTED_VALUE"""),"Heterossexual")</f>
        <v>Heterossexual</v>
      </c>
      <c r="BG420" s="27" t="str">
        <f ca="1">IFERROR(__xludf.DUMMYFUNCTION("""COMPUTED_VALUE"""),"Ensino Superior - Completo")</f>
        <v>Ensino Superior - Completo</v>
      </c>
      <c r="BH420" s="27" t="str">
        <f ca="1">IFERROR(__xludf.DUMMYFUNCTION("""COMPUTED_VALUE"""),"Privado")</f>
        <v>Privado</v>
      </c>
      <c r="BI420" s="27" t="str">
        <f ca="1">IFERROR(__xludf.DUMMYFUNCTION("""COMPUTED_VALUE"""),"Pós-Graduação")</f>
        <v>Pós-Graduação</v>
      </c>
      <c r="BJ420" s="27" t="str">
        <f ca="1">IFERROR(__xludf.DUMMYFUNCTION("""COMPUTED_VALUE"""),"Privado")</f>
        <v>Privado</v>
      </c>
      <c r="BK420" s="27" t="str">
        <f ca="1">IFERROR(__xludf.DUMMYFUNCTION("""COMPUTED_VALUE"""),"Rua Afonso Costa")</f>
        <v>Rua Afonso Costa</v>
      </c>
      <c r="BL420" s="27">
        <f ca="1">IFERROR(__xludf.DUMMYFUNCTION("""COMPUTED_VALUE"""),28)</f>
        <v>28</v>
      </c>
      <c r="BM420" s="27" t="str">
        <f ca="1">IFERROR(__xludf.DUMMYFUNCTION("""COMPUTED_VALUE"""),"casa")</f>
        <v>casa</v>
      </c>
      <c r="BN420" s="27" t="str">
        <f ca="1">IFERROR(__xludf.DUMMYFUNCTION("""COMPUTED_VALUE"""),"Duque de Caxias")</f>
        <v>Duque de Caxias</v>
      </c>
      <c r="BO420" s="27" t="str">
        <f ca="1">IFERROR(__xludf.DUMMYFUNCTION("""COMPUTED_VALUE"""),"25230-274")</f>
        <v>25230-274</v>
      </c>
      <c r="BP420" s="27" t="str">
        <f ca="1">IFERROR(__xludf.DUMMYFUNCTION("""COMPUTED_VALUE"""),"RJ")</f>
        <v>RJ</v>
      </c>
      <c r="BQ420" s="27" t="str">
        <f ca="1">IFERROR(__xludf.DUMMYFUNCTION("""COMPUTED_VALUE"""),"Entre 1 até 3 salários mínimos")</f>
        <v>Entre 1 até 3 salários mínimos</v>
      </c>
      <c r="BR420" s="27" t="str">
        <f ca="1">IFERROR(__xludf.DUMMYFUNCTION("""COMPUTED_VALUE"""),"CLT")</f>
        <v>CLT</v>
      </c>
      <c r="BS420" s="27" t="str">
        <f ca="1">IFERROR(__xludf.DUMMYFUNCTION("""COMPUTED_VALUE"""),"Aluguel")</f>
        <v>Aluguel</v>
      </c>
      <c r="BT420" s="27">
        <f ca="1">IFERROR(__xludf.DUMMYFUNCTION("""COMPUTED_VALUE"""),3)</f>
        <v>3</v>
      </c>
      <c r="BU420" s="27" t="str">
        <f ca="1">IFERROR(__xludf.DUMMYFUNCTION("""COMPUTED_VALUE"""),"Não tem")</f>
        <v>Não tem</v>
      </c>
      <c r="BV420" s="27"/>
      <c r="BW420" s="27"/>
      <c r="BX420" s="21" t="str">
        <f ca="1">IFERROR(__xludf.DUMMYFUNCTION("""COMPUTED_VALUE"""),"https://instagram.com/institutorosareviver?utm_medium=copy_link.")</f>
        <v>https://instagram.com/institutorosareviver?utm_medium=copy_link.</v>
      </c>
      <c r="BY420" s="21" t="str">
        <f ca="1">IFERROR(__xludf.DUMMYFUNCTION("""COMPUTED_VALUE"""),"https://drive.google.com/open?id=10eVEvJ6j6zTtL0hh7Atg8eoNSlKc52Vw")</f>
        <v>https://drive.google.com/open?id=10eVEvJ6j6zTtL0hh7Atg8eoNSlKc52Vw</v>
      </c>
    </row>
    <row r="421" spans="1:77" ht="12.5" x14ac:dyDescent="0.25">
      <c r="A421" s="21" t="str">
        <f ca="1">IFERROR(__xludf.DUMMYFUNCTION("""COMPUTED_VALUE"""),"0014P00003AN2G5QAL")</f>
        <v>0014P00003AN2G5QAL</v>
      </c>
      <c r="B421" s="27" t="str">
        <f ca="1">IFERROR(__xludf.DUMMYFUNCTION("""COMPUTED_VALUE"""),"Fase Avançada")</f>
        <v>Fase Avançada</v>
      </c>
      <c r="C421" s="27" t="str">
        <f ca="1">IFERROR(__xludf.DUMMYFUNCTION("""COMPUTED_VALUE"""),"Acelerada")</f>
        <v>Acelerada</v>
      </c>
      <c r="D421" s="27" t="str">
        <f ca="1">IFERROR(__xludf.DUMMYFUNCTION("""COMPUTED_VALUE"""),"Ativo")</f>
        <v>Ativo</v>
      </c>
      <c r="E421" s="27" t="str">
        <f ca="1">IFERROR(__xludf.DUMMYFUNCTION("""COMPUTED_VALUE"""),"Instituto Rugby Para Todos")</f>
        <v>Instituto Rugby Para Todos</v>
      </c>
      <c r="F421" s="27" t="str">
        <f ca="1">IFERROR(__xludf.DUMMYFUNCTION("""COMPUTED_VALUE"""),"Maurício")</f>
        <v>Maurício</v>
      </c>
      <c r="G421" s="27" t="str">
        <f ca="1">IFERROR(__xludf.DUMMYFUNCTION("""COMPUTED_VALUE"""),"RUGBY PARA TODOS")</f>
        <v>RUGBY PARA TODOS</v>
      </c>
      <c r="H421" s="27" t="str">
        <f ca="1">IFERROR(__xludf.DUMMYFUNCTION("""COMPUTED_VALUE"""),"10.979.371/0001-10")</f>
        <v>10.979.371/0001-10</v>
      </c>
      <c r="I421" s="27"/>
      <c r="J421" s="27" t="str">
        <f ca="1">IFERROR(__xludf.DUMMYFUNCTION("""COMPUTED_VALUE"""),"mauricio@rugbyparatodos.org.br")</f>
        <v>mauricio@rugbyparatodos.org.br</v>
      </c>
      <c r="K421" s="27" t="str">
        <f ca="1">IFERROR(__xludf.DUMMYFUNCTION("""COMPUTED_VALUE"""),"(11)98983-0049")</f>
        <v>(11)98983-0049</v>
      </c>
      <c r="L421" s="27" t="str">
        <f ca="1">IFERROR(__xludf.DUMMYFUNCTION("""COMPUTED_VALUE"""),"SP")</f>
        <v>SP</v>
      </c>
      <c r="M421" s="27" t="str">
        <f ca="1">IFERROR(__xludf.DUMMYFUNCTION("""COMPUTED_VALUE"""),"Amélia Correia Fontes Guimarães")</f>
        <v>Amélia Correia Fontes Guimarães</v>
      </c>
      <c r="N421" s="27"/>
      <c r="O421" s="27" t="str">
        <f ca="1">IFERROR(__xludf.DUMMYFUNCTION("""COMPUTED_VALUE"""),"(11)98983-0049")</f>
        <v>(11)98983-0049</v>
      </c>
      <c r="P421" s="27" t="str">
        <f ca="1">IFERROR(__xludf.DUMMYFUNCTION("""COMPUTED_VALUE"""),"São Paulo")</f>
        <v>São Paulo</v>
      </c>
      <c r="Q421" s="27"/>
      <c r="R421" s="27" t="str">
        <f ca="1">IFERROR(__xludf.DUMMYFUNCTION("""COMPUTED_VALUE"""),"05617-010")</f>
        <v>05617-010</v>
      </c>
      <c r="S421" s="27" t="str">
        <f ca="1">IFERROR(__xludf.DUMMYFUNCTION("""COMPUTED_VALUE"""),"Campo do Palmeirinha - SP
Praia de Copacabana - RJ
Aterro do Flamengo - RJ")</f>
        <v>Campo do Palmeirinha - SP
Praia de Copacabana - RJ
Aterro do Flamengo - RJ</v>
      </c>
      <c r="T421" s="27" t="str">
        <f ca="1">IFERROR(__xludf.DUMMYFUNCTION("""COMPUTED_VALUE"""),"Esporte; Educação; Empregabilidade; Assistência Social; Cultura; Qualificação Profissional; Empreendedorismo; Saúde; Meio ambiente; Empoderamento Feminino; Negócios Sociais; Apoio à gestão de organizações de Terceiro Setor; Ciência e Tecnologia; Desenvolv"&amp;"imento comunitário")</f>
        <v>Esporte; Educação; Empregabilidade; Assistência Social; Cultura; Qualificação Profissional; Empreendedorismo; Saúde; Meio ambiente; Empoderamento Feminino; Negócios Sociais; Apoio à gestão de organizações de Terceiro Setor; Ciência e Tecnologia; Desenvolvimento comunitário</v>
      </c>
      <c r="U421" s="27" t="str">
        <f ca="1">IFERROR(__xludf.DUMMYFUNCTION("""COMPUTED_VALUE"""),"Crianças (6 a 12 anos); Adolescentes (12 aos 18 anos); Jovens (18 aos 24 anos); Adultos")</f>
        <v>Crianças (6 a 12 anos); Adolescentes (12 aos 18 anos); Jovens (18 aos 24 anos); Adultos</v>
      </c>
      <c r="V421" s="27" t="str">
        <f ca="1">IFERROR(__xludf.DUMMYFUNCTION("""COMPUTED_VALUE"""),"Moradores de Favelas; População LGBTQ+; Afrodescendentes")</f>
        <v>Moradores de Favelas; População LGBTQ+; Afrodescendentes</v>
      </c>
      <c r="W421" s="27">
        <f ca="1">IFERROR(__xludf.DUMMYFUNCTION("""COMPUTED_VALUE"""),2)</f>
        <v>2</v>
      </c>
      <c r="X421" s="27"/>
      <c r="Y421" s="27"/>
      <c r="Z421" s="27"/>
      <c r="AA421" s="29">
        <f ca="1">IFERROR(__xludf.DUMMYFUNCTION("""COMPUTED_VALUE"""),39973)</f>
        <v>39973</v>
      </c>
      <c r="AB421" s="27" t="str">
        <f ca="1">IFERROR(__xludf.DUMMYFUNCTION("""COMPUTED_VALUE"""),"Sim")</f>
        <v>Sim</v>
      </c>
      <c r="AC421" s="27">
        <f ca="1">IFERROR(__xludf.DUMMYFUNCTION("""COMPUTED_VALUE"""),19)</f>
        <v>19</v>
      </c>
      <c r="AD421" s="27">
        <f ca="1">IFERROR(__xludf.DUMMYFUNCTION("""COMPUTED_VALUE"""),20)</f>
        <v>20</v>
      </c>
      <c r="AE421" s="27">
        <f ca="1">IFERROR(__xludf.DUMMYFUNCTION("""COMPUTED_VALUE"""),5)</f>
        <v>5</v>
      </c>
      <c r="AF421" s="27">
        <f ca="1">IFERROR(__xludf.DUMMYFUNCTION("""COMPUTED_VALUE"""),2)</f>
        <v>2</v>
      </c>
      <c r="AG421" s="27">
        <f ca="1">IFERROR(__xludf.DUMMYFUNCTION("""COMPUTED_VALUE"""),3)</f>
        <v>3</v>
      </c>
      <c r="AH421" s="27" t="str">
        <f ca="1">IFERROR(__xludf.DUMMYFUNCTION("""COMPUTED_VALUE"""),"Lei de Incentivo; Outro(s); Lei Federal do Esporte")</f>
        <v>Lei de Incentivo; Outro(s); Lei Federal do Esporte</v>
      </c>
      <c r="AI421" s="27" t="str">
        <f ca="1">IFERROR(__xludf.DUMMYFUNCTION("""COMPUTED_VALUE"""),"85% Lei Federal do Esporte 8% Aceleração GF Serviço 5%")</f>
        <v>85% Lei Federal do Esporte 8% Aceleração GF Serviço 5%</v>
      </c>
      <c r="AJ421" s="27" t="str">
        <f ca="1">IFERROR(__xludf.DUMMYFUNCTION("""COMPUTED_VALUE"""),"Não")</f>
        <v>Não</v>
      </c>
      <c r="AK421" s="27" t="str">
        <f ca="1">IFERROR(__xludf.DUMMYFUNCTION("""COMPUTED_VALUE"""),"Não")</f>
        <v>Não</v>
      </c>
      <c r="AL421" s="21" t="str">
        <f ca="1">IFERROR(__xludf.DUMMYFUNCTION("""COMPUTED_VALUE"""),"0034P00003maBVZ")</f>
        <v>0034P00003maBVZ</v>
      </c>
      <c r="AM421" s="27" t="str">
        <f ca="1">IFERROR(__xludf.DUMMYFUNCTION("""COMPUTED_VALUE"""),"Alexandre Pérez Draghi")</f>
        <v>Alexandre Pérez Draghi</v>
      </c>
      <c r="AN421" s="27" t="str">
        <f ca="1">IFERROR(__xludf.DUMMYFUNCTION("""COMPUTED_VALUE"""),"Ativo")</f>
        <v>Ativo</v>
      </c>
      <c r="AO421" s="29">
        <f ca="1">IFERROR(__xludf.DUMMYFUNCTION("""COMPUTED_VALUE"""),44199)</f>
        <v>44199</v>
      </c>
      <c r="AP421" s="27">
        <f ca="1">IFERROR(__xludf.DUMMYFUNCTION("""COMPUTED_VALUE"""),20)</f>
        <v>20</v>
      </c>
      <c r="AQ421" s="27" t="str">
        <f ca="1">IFERROR(__xludf.DUMMYFUNCTION("""COMPUTED_VALUE"""),"Primeiro Semestre 2020")</f>
        <v>Primeiro Semestre 2020</v>
      </c>
      <c r="AR421" s="27" t="str">
        <f ca="1">IFERROR(__xludf.DUMMYFUNCTION("""COMPUTED_VALUE"""),"mauricio@rugbyparatodos.org.br")</f>
        <v>mauricio@rugbyparatodos.org.br</v>
      </c>
      <c r="AS421" s="27" t="str">
        <f ca="1">IFERROR(__xludf.DUMMYFUNCTION("""COMPUTED_VALUE"""),"(11)98983-0049")</f>
        <v>(11)98983-0049</v>
      </c>
      <c r="AT421" s="29">
        <f ca="1">IFERROR(__xludf.DUMMYFUNCTION("""COMPUTED_VALUE"""),28217)</f>
        <v>28217</v>
      </c>
      <c r="AU421" s="27">
        <f ca="1">IFERROR(__xludf.DUMMYFUNCTION("""COMPUTED_VALUE"""),45)</f>
        <v>45</v>
      </c>
      <c r="AV421" s="27">
        <f ca="1">IFERROR(__xludf.DUMMYFUNCTION("""COMPUTED_VALUE"""),25480870858)</f>
        <v>25480870858</v>
      </c>
      <c r="AW421" s="27">
        <f ca="1">IFERROR(__xludf.DUMMYFUNCTION("""COMPUTED_VALUE"""),117023863)</f>
        <v>117023863</v>
      </c>
      <c r="AX421" s="27" t="str">
        <f ca="1">IFERROR(__xludf.DUMMYFUNCTION("""COMPUTED_VALUE"""),"Administração de Empresas")</f>
        <v>Administração de Empresas</v>
      </c>
      <c r="AY421" s="27"/>
      <c r="AZ421" s="27" t="str">
        <f ca="1">IFERROR(__xludf.DUMMYFUNCTION("""COMPUTED_VALUE"""),"G")</f>
        <v>G</v>
      </c>
      <c r="BA421" s="27"/>
      <c r="BB421" s="27"/>
      <c r="BC421" s="27" t="str">
        <f ca="1">IFERROR(__xludf.DUMMYFUNCTION("""COMPUTED_VALUE"""),"Sim")</f>
        <v>Sim</v>
      </c>
      <c r="BD421" s="27" t="str">
        <f ca="1">IFERROR(__xludf.DUMMYFUNCTION("""COMPUTED_VALUE"""),"Mauricio Alexandre Pérez Draghi, 42 anos, brasileiro, casado com Marcia Muller, pai da Mari, filho de Edgardo e da Mirta .
Aos 15 anos tive minha primeira convocação para a Seleção Brasileira Juvenil de Rugby, daí virei atleta.
Aos 18, entrei na PUC em Ad"&amp;"ministração de Empresas, tranquei e fui morar no Canadá em uma fazenda modelo, onde fiz especialização. Em 2004, iniciei o projeto Rugby Para Todos e desde então sou empreendedor social.")</f>
        <v>Mauricio Alexandre Pérez Draghi, 42 anos, brasileiro, casado com Marcia Muller, pai da Mari, filho de Edgardo e da Mirta .
Aos 15 anos tive minha primeira convocação para a Seleção Brasileira Juvenil de Rugby, daí virei atleta.
Aos 18, entrei na PUC em Administração de Empresas, tranquei e fui morar no Canadá em uma fazenda modelo, onde fiz especialização. Em 2004, iniciei o projeto Rugby Para Todos e desde então sou empreendedor social.</v>
      </c>
      <c r="BE421" s="27"/>
      <c r="BF421" s="27"/>
      <c r="BG421" s="27" t="str">
        <f ca="1">IFERROR(__xludf.DUMMYFUNCTION("""COMPUTED_VALUE"""),"Ensino Superior - Incompleto")</f>
        <v>Ensino Superior - Incompleto</v>
      </c>
      <c r="BH421" s="27"/>
      <c r="BI421" s="27" t="str">
        <f ca="1">IFERROR(__xludf.DUMMYFUNCTION("""COMPUTED_VALUE"""),"Graduação")</f>
        <v>Graduação</v>
      </c>
      <c r="BJ421" s="27" t="str">
        <f ca="1">IFERROR(__xludf.DUMMYFUNCTION("""COMPUTED_VALUE"""),"Privado")</f>
        <v>Privado</v>
      </c>
      <c r="BK421" s="27" t="str">
        <f ca="1">IFERROR(__xludf.DUMMYFUNCTION("""COMPUTED_VALUE"""),"Rua Comendador Gabriel Calfat")</f>
        <v>Rua Comendador Gabriel Calfat</v>
      </c>
      <c r="BL421" s="27">
        <f ca="1">IFERROR(__xludf.DUMMYFUNCTION("""COMPUTED_VALUE"""),376)</f>
        <v>376</v>
      </c>
      <c r="BM421" s="27"/>
      <c r="BN421" s="27" t="str">
        <f ca="1">IFERROR(__xludf.DUMMYFUNCTION("""COMPUTED_VALUE"""),"São Paulo")</f>
        <v>São Paulo</v>
      </c>
      <c r="BO421" s="27" t="str">
        <f ca="1">IFERROR(__xludf.DUMMYFUNCTION("""COMPUTED_VALUE"""),"05621-000")</f>
        <v>05621-000</v>
      </c>
      <c r="BP421" s="27" t="str">
        <f ca="1">IFERROR(__xludf.DUMMYFUNCTION("""COMPUTED_VALUE"""),"SP")</f>
        <v>SP</v>
      </c>
      <c r="BQ421" s="27" t="str">
        <f ca="1">IFERROR(__xludf.DUMMYFUNCTION("""COMPUTED_VALUE"""),"Acima de 5 salários mínimos")</f>
        <v>Acima de 5 salários mínimos</v>
      </c>
      <c r="BR421" s="27" t="str">
        <f ca="1">IFERROR(__xludf.DUMMYFUNCTION("""COMPUTED_VALUE"""),"CLT; MEI; Desempregado")</f>
        <v>CLT; MEI; Desempregado</v>
      </c>
      <c r="BS421" s="27" t="str">
        <f ca="1">IFERROR(__xludf.DUMMYFUNCTION("""COMPUTED_VALUE"""),"Casa cedida")</f>
        <v>Casa cedida</v>
      </c>
      <c r="BT421" s="27">
        <f ca="1">IFERROR(__xludf.DUMMYFUNCTION("""COMPUTED_VALUE"""),5)</f>
        <v>5</v>
      </c>
      <c r="BU421" s="27"/>
      <c r="BV421" s="27"/>
      <c r="BW421" s="21" t="str">
        <f ca="1">IFERROR(__xludf.DUMMYFUNCTION("""COMPUTED_VALUE"""),"www.linkedin.com/company/institutorugbyparatodos/")</f>
        <v>www.linkedin.com/company/institutorugbyparatodos/</v>
      </c>
      <c r="BX421" s="27" t="str">
        <f ca="1">IFERROR(__xludf.DUMMYFUNCTION("""COMPUTED_VALUE"""),"Mauricio Draghi @mau_draghi")</f>
        <v>Mauricio Draghi @mau_draghi</v>
      </c>
      <c r="BY421" s="21" t="str">
        <f ca="1">IFERROR(__xludf.DUMMYFUNCTION("""COMPUTED_VALUE"""),"https://drive.google.com/open?id=1FQcTfWw_IHIbnu7jcLcrFAD0m65O-F-S")</f>
        <v>https://drive.google.com/open?id=1FQcTfWw_IHIbnu7jcLcrFAD0m65O-F-S</v>
      </c>
    </row>
    <row r="422" spans="1:77" ht="12.5" x14ac:dyDescent="0.25">
      <c r="A422" s="21" t="str">
        <f ca="1">IFERROR(__xludf.DUMMYFUNCTION("""COMPUTED_VALUE"""),"0014X00002VKCqDQAX")</f>
        <v>0014X00002VKCqDQAX</v>
      </c>
      <c r="B422" s="27" t="str">
        <f ca="1">IFERROR(__xludf.DUMMYFUNCTION("""COMPUTED_VALUE"""),"Fase Inicial")</f>
        <v>Fase Inicial</v>
      </c>
      <c r="C422" s="27" t="str">
        <f ca="1">IFERROR(__xludf.DUMMYFUNCTION("""COMPUTED_VALUE"""),"Fellow")</f>
        <v>Fellow</v>
      </c>
      <c r="D422" s="27" t="str">
        <f ca="1">IFERROR(__xludf.DUMMYFUNCTION("""COMPUTED_VALUE"""),"Ativo")</f>
        <v>Ativo</v>
      </c>
      <c r="E422" s="27" t="str">
        <f ca="1">IFERROR(__xludf.DUMMYFUNCTION("""COMPUTED_VALUE"""),"Instituto S.O.S Periferia")</f>
        <v>Instituto S.O.S Periferia</v>
      </c>
      <c r="F422" s="27" t="str">
        <f ca="1">IFERROR(__xludf.DUMMYFUNCTION("""COMPUTED_VALUE"""),"Lucas")</f>
        <v>Lucas</v>
      </c>
      <c r="G422" s="27" t="str">
        <f ca="1">IFERROR(__xludf.DUMMYFUNCTION("""COMPUTED_VALUE"""),"ISOP")</f>
        <v>ISOP</v>
      </c>
      <c r="H422" s="27" t="str">
        <f ca="1">IFERROR(__xludf.DUMMYFUNCTION("""COMPUTED_VALUE"""),"08.981.009/0001-32")</f>
        <v>08.981.009/0001-32</v>
      </c>
      <c r="I422" s="27" t="str">
        <f ca="1">IFERROR(__xludf.DUMMYFUNCTION("""COMPUTED_VALUE"""),"Lucas Pinto Alves")</f>
        <v>Lucas Pinto Alves</v>
      </c>
      <c r="J422" s="27" t="str">
        <f ca="1">IFERROR(__xludf.DUMMYFUNCTION("""COMPUTED_VALUE"""),"contato.sos.periferia@gmail.com")</f>
        <v>contato.sos.periferia@gmail.com</v>
      </c>
      <c r="K422" s="27" t="str">
        <f ca="1">IFERROR(__xludf.DUMMYFUNCTION("""COMPUTED_VALUE"""),"(85)99131-9025")</f>
        <v>(85)99131-9025</v>
      </c>
      <c r="L422" s="27" t="str">
        <f ca="1">IFERROR(__xludf.DUMMYFUNCTION("""COMPUTED_VALUE"""),"CE")</f>
        <v>CE</v>
      </c>
      <c r="M422" s="27" t="str">
        <f ca="1">IFERROR(__xludf.DUMMYFUNCTION("""COMPUTED_VALUE"""),"Avenida General Osório de Paiva")</f>
        <v>Avenida General Osório de Paiva</v>
      </c>
      <c r="N422" s="27" t="str">
        <f ca="1">IFERROR(__xludf.DUMMYFUNCTION("""COMPUTED_VALUE"""),"Canindezinho")</f>
        <v>Canindezinho</v>
      </c>
      <c r="O422" s="27">
        <f ca="1">IFERROR(__xludf.DUMMYFUNCTION("""COMPUTED_VALUE"""),5095)</f>
        <v>5095</v>
      </c>
      <c r="P422" s="27" t="str">
        <f ca="1">IFERROR(__xludf.DUMMYFUNCTION("""COMPUTED_VALUE"""),"Fortaleza")</f>
        <v>Fortaleza</v>
      </c>
      <c r="Q422" s="27"/>
      <c r="R422" s="27" t="str">
        <f ca="1">IFERROR(__xludf.DUMMYFUNCTION("""COMPUTED_VALUE"""),"60732-142")</f>
        <v>60732-142</v>
      </c>
      <c r="S422" s="27" t="str">
        <f ca="1">IFERROR(__xludf.DUMMYFUNCTION("""COMPUTED_VALUE"""),"Em instituições parceiras (prédios de associações e igrejas).")</f>
        <v>Em instituições parceiras (prédios de associações e igrejas).</v>
      </c>
      <c r="T422" s="27"/>
      <c r="U422" s="27" t="str">
        <f ca="1">IFERROR(__xludf.DUMMYFUNCTION("""COMPUTED_VALUE"""),"Crianças (6 a 12 anos), Adolescentes (12 aos 18 anos), Jovens (18 aos 24 anos), Adultos, Idosos (60 anos ou mais)")</f>
        <v>Crianças (6 a 12 anos), Adolescentes (12 aos 18 anos), Jovens (18 aos 24 anos), Adultos, Idosos (60 anos ou mais)</v>
      </c>
      <c r="V422" s="27" t="str">
        <f ca="1">IFERROR(__xludf.DUMMYFUNCTION("""COMPUTED_VALUE"""),"Moradores de Favelas, Pessoas em situação de rua, População LGBTQ+, Ribeirinhos")</f>
        <v>Moradores de Favelas, Pessoas em situação de rua, População LGBTQ+, Ribeirinhos</v>
      </c>
      <c r="W422" s="27">
        <f ca="1">IFERROR(__xludf.DUMMYFUNCTION("""COMPUTED_VALUE"""),7)</f>
        <v>7</v>
      </c>
      <c r="X422" s="27"/>
      <c r="Y422" s="27"/>
      <c r="Z422" s="27">
        <f ca="1">IFERROR(__xludf.DUMMYFUNCTION("""COMPUTED_VALUE"""),103)</f>
        <v>103</v>
      </c>
      <c r="AA422" s="29">
        <f ca="1">IFERROR(__xludf.DUMMYFUNCTION("""COMPUTED_VALUE"""),39295)</f>
        <v>39295</v>
      </c>
      <c r="AB422" s="27" t="str">
        <f ca="1">IFERROR(__xludf.DUMMYFUNCTION("""COMPUTED_VALUE"""),"Não")</f>
        <v>Não</v>
      </c>
      <c r="AC422" s="27">
        <f ca="1">IFERROR(__xludf.DUMMYFUNCTION("""COMPUTED_VALUE"""),0)</f>
        <v>0</v>
      </c>
      <c r="AD422" s="27">
        <f ca="1">IFERROR(__xludf.DUMMYFUNCTION("""COMPUTED_VALUE"""),15)</f>
        <v>15</v>
      </c>
      <c r="AE422" s="27">
        <f ca="1">IFERROR(__xludf.DUMMYFUNCTION("""COMPUTED_VALUE"""),16)</f>
        <v>16</v>
      </c>
      <c r="AF422" s="27">
        <f ca="1">IFERROR(__xludf.DUMMYFUNCTION("""COMPUTED_VALUE"""),13)</f>
        <v>13</v>
      </c>
      <c r="AG422" s="27">
        <f ca="1">IFERROR(__xludf.DUMMYFUNCTION("""COMPUTED_VALUE"""),3)</f>
        <v>3</v>
      </c>
      <c r="AH422" s="27" t="str">
        <f ca="1">IFERROR(__xludf.DUMMYFUNCTION("""COMPUTED_VALUE"""),"Negócio Social, Eventos/Ações para captação, Doações")</f>
        <v>Negócio Social, Eventos/Ações para captação, Doações</v>
      </c>
      <c r="AI422" s="27">
        <f ca="1">IFERROR(__xludf.DUMMYFUNCTION("""COMPUTED_VALUE"""),0)</f>
        <v>0</v>
      </c>
      <c r="AJ422" s="27" t="str">
        <f ca="1">IFERROR(__xludf.DUMMYFUNCTION("""COMPUTED_VALUE"""),"Vamos iniciar esse ano")</f>
        <v>Vamos iniciar esse ano</v>
      </c>
      <c r="AK422" s="27"/>
      <c r="AL422" s="21" t="str">
        <f ca="1">IFERROR(__xludf.DUMMYFUNCTION("""COMPUTED_VALUE"""),"0034X0000380O29")</f>
        <v>0034X0000380O29</v>
      </c>
      <c r="AM422" s="27" t="str">
        <f ca="1">IFERROR(__xludf.DUMMYFUNCTION("""COMPUTED_VALUE"""),"Pinto alves")</f>
        <v>Pinto alves</v>
      </c>
      <c r="AN422" s="27" t="str">
        <f ca="1">IFERROR(__xludf.DUMMYFUNCTION("""COMPUTED_VALUE"""),"Ativo")</f>
        <v>Ativo</v>
      </c>
      <c r="AO422" s="29">
        <f ca="1">IFERROR(__xludf.DUMMYFUNCTION("""COMPUTED_VALUE"""),44763)</f>
        <v>44763</v>
      </c>
      <c r="AP422" s="27">
        <f ca="1">IFERROR(__xludf.DUMMYFUNCTION("""COMPUTED_VALUE"""),2)</f>
        <v>2</v>
      </c>
      <c r="AQ422" s="27" t="str">
        <f ca="1">IFERROR(__xludf.DUMMYFUNCTION("""COMPUTED_VALUE"""),"Primeiro Semestre 2022")</f>
        <v>Primeiro Semestre 2022</v>
      </c>
      <c r="AR422" s="27" t="str">
        <f ca="1">IFERROR(__xludf.DUMMYFUNCTION("""COMPUTED_VALUE"""),"lucas.pt.alves@gmail.com")</f>
        <v>lucas.pt.alves@gmail.com</v>
      </c>
      <c r="AS422" s="27" t="str">
        <f ca="1">IFERROR(__xludf.DUMMYFUNCTION("""COMPUTED_VALUE"""),"(85)99635-7677")</f>
        <v>(85)99635-7677</v>
      </c>
      <c r="AT422" s="30">
        <f ca="1">IFERROR(__xludf.DUMMYFUNCTION("""COMPUTED_VALUE"""),35750)</f>
        <v>35750</v>
      </c>
      <c r="AU422" s="27">
        <f ca="1">IFERROR(__xludf.DUMMYFUNCTION("""COMPUTED_VALUE"""),25)</f>
        <v>25</v>
      </c>
      <c r="AV422" s="27">
        <f ca="1">IFERROR(__xludf.DUMMYFUNCTION("""COMPUTED_VALUE"""),5871650309)</f>
        <v>5871650309</v>
      </c>
      <c r="AW422" s="27">
        <f ca="1">IFERROR(__xludf.DUMMYFUNCTION("""COMPUTED_VALUE"""),20078528385)</f>
        <v>20078528385</v>
      </c>
      <c r="AX422" s="27"/>
      <c r="AY422" s="27" t="str">
        <f ca="1">IFERROR(__xludf.DUMMYFUNCTION("""COMPUTED_VALUE"""),"Fundador e CEO")</f>
        <v>Fundador e CEO</v>
      </c>
      <c r="AZ422" s="27" t="str">
        <f ca="1">IFERROR(__xludf.DUMMYFUNCTION("""COMPUTED_VALUE"""),"P")</f>
        <v>P</v>
      </c>
      <c r="BA422" s="27" t="str">
        <f ca="1">IFERROR(__xludf.DUMMYFUNCTION("""COMPUTED_VALUE"""),"Parda")</f>
        <v>Parda</v>
      </c>
      <c r="BB422" s="27"/>
      <c r="BC422" s="27"/>
      <c r="BD422" s="27" t="str">
        <f ca="1">IFERROR(__xludf.DUMMYFUNCTION("""COMPUTED_VALUE"""),"Sou da Terra da Luz, da Capital do Ceará, jovem periférico, sempre estiver nas lutas em defesa dos direitos humanos e buscando mais igualdade. Me chamo Lucas Alves, 24 anos, sou gay, cursando gastronomia, fundador  e CEO do Instituto S.O.S Periferia, sou "&amp;"ativista dos direitos humanos, fui membro do Conanda, ABMP e RENADE, e atualmente atuando com foco na gastronomia social e empreendedorismo social da população LGBT+ e territorial. Favela vai ser o centro da gastronomia social periférica.")</f>
        <v>Sou da Terra da Luz, da Capital do Ceará, jovem periférico, sempre estiver nas lutas em defesa dos direitos humanos e buscando mais igualdade. Me chamo Lucas Alves, 24 anos, sou gay, cursando gastronomia, fundador  e CEO do Instituto S.O.S Periferia, sou ativista dos direitos humanos, fui membro do Conanda, ABMP e RENADE, e atualmente atuando com foco na gastronomia social e empreendedorismo social da população LGBT+ e territorial. Favela vai ser o centro da gastronomia social periférica.</v>
      </c>
      <c r="BE422" s="27" t="str">
        <f ca="1">IFERROR(__xludf.DUMMYFUNCTION("""COMPUTED_VALUE"""),"Homem, cisgênero")</f>
        <v>Homem, cisgênero</v>
      </c>
      <c r="BF422" s="27" t="str">
        <f ca="1">IFERROR(__xludf.DUMMYFUNCTION("""COMPUTED_VALUE"""),"Homossexual")</f>
        <v>Homossexual</v>
      </c>
      <c r="BG422" s="27" t="str">
        <f ca="1">IFERROR(__xludf.DUMMYFUNCTION("""COMPUTED_VALUE"""),"Ensino Superior - Incompleto")</f>
        <v>Ensino Superior - Incompleto</v>
      </c>
      <c r="BH422" s="27" t="str">
        <f ca="1">IFERROR(__xludf.DUMMYFUNCTION("""COMPUTED_VALUE"""),"Público")</f>
        <v>Público</v>
      </c>
      <c r="BI422" s="27" t="str">
        <f ca="1">IFERROR(__xludf.DUMMYFUNCTION("""COMPUTED_VALUE"""),"Graduação")</f>
        <v>Graduação</v>
      </c>
      <c r="BJ422" s="27" t="str">
        <f ca="1">IFERROR(__xludf.DUMMYFUNCTION("""COMPUTED_VALUE"""),"Privado")</f>
        <v>Privado</v>
      </c>
      <c r="BK422" s="27" t="str">
        <f ca="1">IFERROR(__xludf.DUMMYFUNCTION("""COMPUTED_VALUE"""),"Avenida General Osório de Paiva")</f>
        <v>Avenida General Osório de Paiva</v>
      </c>
      <c r="BL422" s="27">
        <f ca="1">IFERROR(__xludf.DUMMYFUNCTION("""COMPUTED_VALUE"""),4838)</f>
        <v>4838</v>
      </c>
      <c r="BM422" s="27" t="str">
        <f ca="1">IFERROR(__xludf.DUMMYFUNCTION("""COMPUTED_VALUE"""),"Casa")</f>
        <v>Casa</v>
      </c>
      <c r="BN422" s="27" t="str">
        <f ca="1">IFERROR(__xludf.DUMMYFUNCTION("""COMPUTED_VALUE"""),"Fortaleza")</f>
        <v>Fortaleza</v>
      </c>
      <c r="BO422" s="27" t="str">
        <f ca="1">IFERROR(__xludf.DUMMYFUNCTION("""COMPUTED_VALUE"""),"60720-015")</f>
        <v>60720-015</v>
      </c>
      <c r="BP422" s="27" t="str">
        <f ca="1">IFERROR(__xludf.DUMMYFUNCTION("""COMPUTED_VALUE"""),"CE")</f>
        <v>CE</v>
      </c>
      <c r="BQ422" s="27" t="str">
        <f ca="1">IFERROR(__xludf.DUMMYFUNCTION("""COMPUTED_VALUE"""),"Entre 1 até 3 salários mínimos")</f>
        <v>Entre 1 até 3 salários mínimos</v>
      </c>
      <c r="BR422" s="27" t="str">
        <f ca="1">IFERROR(__xludf.DUMMYFUNCTION("""COMPUTED_VALUE"""),"MEI, Trabalho informal, Desempregado")</f>
        <v>MEI, Trabalho informal, Desempregado</v>
      </c>
      <c r="BS422" s="27" t="str">
        <f ca="1">IFERROR(__xludf.DUMMYFUNCTION("""COMPUTED_VALUE"""),"Aluguel")</f>
        <v>Aluguel</v>
      </c>
      <c r="BT422" s="27">
        <f ca="1">IFERROR(__xludf.DUMMYFUNCTION("""COMPUTED_VALUE"""),4)</f>
        <v>4</v>
      </c>
      <c r="BU422" s="27" t="str">
        <f ca="1">IFERROR(__xludf.DUMMYFUNCTION("""COMPUTED_VALUE"""),"Não tem")</f>
        <v>Não tem</v>
      </c>
      <c r="BV422" s="27" t="str">
        <f ca="1">IFERROR(__xludf.DUMMYFUNCTION("""COMPUTED_VALUE"""),"Frutos do Mar")</f>
        <v>Frutos do Mar</v>
      </c>
      <c r="BW422" s="27"/>
      <c r="BX422" s="21" t="str">
        <f ca="1">IFERROR(__xludf.DUMMYFUNCTION("""COMPUTED_VALUE"""),"https://instagram.com/lucasalvesamr?igshid=YmMyMTA2M2Y=")</f>
        <v>https://instagram.com/lucasalvesamr?igshid=YmMyMTA2M2Y=</v>
      </c>
      <c r="BY422" s="21" t="str">
        <f ca="1">IFERROR(__xludf.DUMMYFUNCTION("""COMPUTED_VALUE"""),"https://drive.google.com/open?id=10wSsTRFd-IIHQPHAx-AIJWrEVmPbOua8")</f>
        <v>https://drive.google.com/open?id=10wSsTRFd-IIHQPHAx-AIJWrEVmPbOua8</v>
      </c>
    </row>
    <row r="423" spans="1:77" ht="12.5" hidden="1" x14ac:dyDescent="0.25">
      <c r="A423" s="21" t="str">
        <f ca="1">IFERROR(__xludf.DUMMYFUNCTION("""COMPUTED_VALUE"""),"0014X00002VKCv4QAH")</f>
        <v>0014X00002VKCv4QAH</v>
      </c>
      <c r="B423" s="27" t="str">
        <f ca="1">IFERROR(__xludf.DUMMYFUNCTION("""COMPUTED_VALUE"""),"Fase Inicial")</f>
        <v>Fase Inicial</v>
      </c>
      <c r="C423" s="27" t="str">
        <f ca="1">IFERROR(__xludf.DUMMYFUNCTION("""COMPUTED_VALUE"""),"Fellow")</f>
        <v>Fellow</v>
      </c>
      <c r="D423" s="27" t="str">
        <f ca="1">IFERROR(__xludf.DUMMYFUNCTION("""COMPUTED_VALUE"""),"Ativo")</f>
        <v>Ativo</v>
      </c>
      <c r="E423" s="27" t="str">
        <f ca="1">IFERROR(__xludf.DUMMYFUNCTION("""COMPUTED_VALUE"""),"Instituto Saint Nicholas CARE")</f>
        <v>Instituto Saint Nicholas CARE</v>
      </c>
      <c r="F423" s="27" t="str">
        <f ca="1">IFERROR(__xludf.DUMMYFUNCTION("""COMPUTED_VALUE"""),"Patrícia")</f>
        <v>Patrícia</v>
      </c>
      <c r="G423" s="27" t="str">
        <f ca="1">IFERROR(__xludf.DUMMYFUNCTION("""COMPUTED_VALUE"""),"INSTITUTO SAINT NICHOLAS CARE")</f>
        <v>INSTITUTO SAINT NICHOLAS CARE</v>
      </c>
      <c r="H423" s="27" t="str">
        <f ca="1">IFERROR(__xludf.DUMMYFUNCTION("""COMPUTED_VALUE"""),"23.926.743/0001-92")</f>
        <v>23.926.743/0001-92</v>
      </c>
      <c r="I423" s="27" t="str">
        <f ca="1">IFERROR(__xludf.DUMMYFUNCTION("""COMPUTED_VALUE"""),"Marcelo Carlos Godofredo")</f>
        <v>Marcelo Carlos Godofredo</v>
      </c>
      <c r="J423" s="27" t="str">
        <f ca="1">IFERROR(__xludf.DUMMYFUNCTION("""COMPUTED_VALUE"""),"institutosaintnicholas@gmail.com")</f>
        <v>institutosaintnicholas@gmail.com</v>
      </c>
      <c r="K423" s="27" t="str">
        <f ca="1">IFERROR(__xludf.DUMMYFUNCTION("""COMPUTED_VALUE"""),"(11)4744-0451")</f>
        <v>(11)4744-0451</v>
      </c>
      <c r="L423" s="27" t="str">
        <f ca="1">IFERROR(__xludf.DUMMYFUNCTION("""COMPUTED_VALUE"""),"SP")</f>
        <v>SP</v>
      </c>
      <c r="M423" s="27" t="str">
        <f ca="1">IFERROR(__xludf.DUMMYFUNCTION("""COMPUTED_VALUE"""),"Rua vinte e sete de outubro")</f>
        <v>Rua vinte e sete de outubro</v>
      </c>
      <c r="N423" s="27" t="str">
        <f ca="1">IFERROR(__xludf.DUMMYFUNCTION("""COMPUTED_VALUE"""),"Vila Suely")</f>
        <v>Vila Suely</v>
      </c>
      <c r="O423" s="27">
        <f ca="1">IFERROR(__xludf.DUMMYFUNCTION("""COMPUTED_VALUE"""),80)</f>
        <v>80</v>
      </c>
      <c r="P423" s="27" t="str">
        <f ca="1">IFERROR(__xludf.DUMMYFUNCTION("""COMPUTED_VALUE"""),"Suzano")</f>
        <v>Suzano</v>
      </c>
      <c r="Q423" s="27"/>
      <c r="R423" s="27" t="str">
        <f ca="1">IFERROR(__xludf.DUMMYFUNCTION("""COMPUTED_VALUE"""),"08674-200")</f>
        <v>08674-200</v>
      </c>
      <c r="S423" s="27" t="str">
        <f ca="1">IFERROR(__xludf.DUMMYFUNCTION("""COMPUTED_VALUE"""),"Não")</f>
        <v>Não</v>
      </c>
      <c r="T423" s="27"/>
      <c r="U423" s="27" t="str">
        <f ca="1">IFERROR(__xludf.DUMMYFUNCTION("""COMPUTED_VALUE"""),"Crianças (6 a 12 anos), Adolescentes (12 aos 18 anos), Adultos")</f>
        <v>Crianças (6 a 12 anos), Adolescentes (12 aos 18 anos), Adultos</v>
      </c>
      <c r="V423" s="27" t="str">
        <f ca="1">IFERROR(__xludf.DUMMYFUNCTION("""COMPUTED_VALUE"""),"Afrodescendentes, Outros")</f>
        <v>Afrodescendentes, Outros</v>
      </c>
      <c r="W423" s="27">
        <f ca="1">IFERROR(__xludf.DUMMYFUNCTION("""COMPUTED_VALUE"""),100)</f>
        <v>100</v>
      </c>
      <c r="X423" s="27"/>
      <c r="Y423" s="27"/>
      <c r="Z423" s="27">
        <f ca="1">IFERROR(__xludf.DUMMYFUNCTION("""COMPUTED_VALUE"""),100)</f>
        <v>100</v>
      </c>
      <c r="AA423" s="29">
        <f ca="1">IFERROR(__xludf.DUMMYFUNCTION("""COMPUTED_VALUE"""),42227)</f>
        <v>42227</v>
      </c>
      <c r="AB423" s="27" t="str">
        <f ca="1">IFERROR(__xludf.DUMMYFUNCTION("""COMPUTED_VALUE"""),"Sim")</f>
        <v>Sim</v>
      </c>
      <c r="AC423" s="27">
        <f ca="1">IFERROR(__xludf.DUMMYFUNCTION("""COMPUTED_VALUE"""),1)</f>
        <v>1</v>
      </c>
      <c r="AD423" s="27">
        <f ca="1">IFERROR(__xludf.DUMMYFUNCTION("""COMPUTED_VALUE"""),3)</f>
        <v>3</v>
      </c>
      <c r="AE423" s="27">
        <f ca="1">IFERROR(__xludf.DUMMYFUNCTION("""COMPUTED_VALUE"""),3)</f>
        <v>3</v>
      </c>
      <c r="AF423" s="27">
        <f ca="1">IFERROR(__xludf.DUMMYFUNCTION("""COMPUTED_VALUE"""),3)</f>
        <v>3</v>
      </c>
      <c r="AG423" s="27">
        <f ca="1">IFERROR(__xludf.DUMMYFUNCTION("""COMPUTED_VALUE"""),2)</f>
        <v>2</v>
      </c>
      <c r="AH423" s="27" t="str">
        <f ca="1">IFERROR(__xludf.DUMMYFUNCTION("""COMPUTED_VALUE"""),"Outro(s), Recursos próprios")</f>
        <v>Outro(s), Recursos próprios</v>
      </c>
      <c r="AI423" s="27" t="str">
        <f ca="1">IFERROR(__xludf.DUMMYFUNCTION("""COMPUTED_VALUE"""),"100% recursos próprios")</f>
        <v>100% recursos próprios</v>
      </c>
      <c r="AJ423" s="27" t="str">
        <f ca="1">IFERROR(__xludf.DUMMYFUNCTION("""COMPUTED_VALUE"""),"Sim")</f>
        <v>Sim</v>
      </c>
      <c r="AK423" s="27"/>
      <c r="AL423" s="21" t="str">
        <f ca="1">IFERROR(__xludf.DUMMYFUNCTION("""COMPUTED_VALUE"""),"0034X0000380O5r")</f>
        <v>0034X0000380O5r</v>
      </c>
      <c r="AM423" s="27" t="str">
        <f ca="1">IFERROR(__xludf.DUMMYFUNCTION("""COMPUTED_VALUE"""),"De oliveira santos")</f>
        <v>De oliveira santos</v>
      </c>
      <c r="AN423" s="27" t="str">
        <f ca="1">IFERROR(__xludf.DUMMYFUNCTION("""COMPUTED_VALUE"""),"Ativo")</f>
        <v>Ativo</v>
      </c>
      <c r="AO423" s="27"/>
      <c r="AP423" s="27"/>
      <c r="AQ423" s="27" t="str">
        <f ca="1">IFERROR(__xludf.DUMMYFUNCTION("""COMPUTED_VALUE"""),"Primeiro Semestre 2022")</f>
        <v>Primeiro Semestre 2022</v>
      </c>
      <c r="AR423" s="27" t="str">
        <f ca="1">IFERROR(__xludf.DUMMYFUNCTION("""COMPUTED_VALUE"""),"patriciassistente.social25@gmail.com")</f>
        <v>patriciassistente.social25@gmail.com</v>
      </c>
      <c r="AS423" s="27">
        <f ca="1">IFERROR(__xludf.DUMMYFUNCTION("""COMPUTED_VALUE"""),11969809205)</f>
        <v>11969809205</v>
      </c>
      <c r="AT423" s="30">
        <f ca="1">IFERROR(__xludf.DUMMYFUNCTION("""COMPUTED_VALUE"""),31696)</f>
        <v>31696</v>
      </c>
      <c r="AU423" s="27">
        <f ca="1">IFERROR(__xludf.DUMMYFUNCTION("""COMPUTED_VALUE"""),36)</f>
        <v>36</v>
      </c>
      <c r="AV423" s="27">
        <f ca="1">IFERROR(__xludf.DUMMYFUNCTION("""COMPUTED_VALUE"""),36417907864)</f>
        <v>36417907864</v>
      </c>
      <c r="AW423" s="27">
        <f ca="1">IFERROR(__xludf.DUMMYFUNCTION("""COMPUTED_VALUE"""),451778698)</f>
        <v>451778698</v>
      </c>
      <c r="AX423" s="27"/>
      <c r="AY423" s="27"/>
      <c r="AZ423" s="27" t="str">
        <f ca="1">IFERROR(__xludf.DUMMYFUNCTION("""COMPUTED_VALUE"""),"M")</f>
        <v>M</v>
      </c>
      <c r="BA423" s="27" t="str">
        <f ca="1">IFERROR(__xludf.DUMMYFUNCTION("""COMPUTED_VALUE"""),"Parda")</f>
        <v>Parda</v>
      </c>
      <c r="BB423" s="27"/>
      <c r="BC423" s="27"/>
      <c r="BD423" s="27" t="str">
        <f ca="1">IFERROR(__xludf.DUMMYFUNCTION("""COMPUTED_VALUE"""),"Me chamo Patrícia *tenho 35 anos * sou assistente social *pós graduada em Gestão de Projetos * trabalho  alguns anos no social e sou apaixonada pelo terceiro setor!")</f>
        <v>Me chamo Patrícia *tenho 35 anos * sou assistente social *pós graduada em Gestão de Projetos * trabalho  alguns anos no social e sou apaixonada pelo terceiro setor!</v>
      </c>
      <c r="BE423" s="27" t="str">
        <f ca="1">IFERROR(__xludf.DUMMYFUNCTION("""COMPUTED_VALUE"""),"Feminino")</f>
        <v>Feminino</v>
      </c>
      <c r="BF423" s="27" t="str">
        <f ca="1">IFERROR(__xludf.DUMMYFUNCTION("""COMPUTED_VALUE"""),"Heterossexual")</f>
        <v>Heterossexual</v>
      </c>
      <c r="BG423" s="27"/>
      <c r="BH423" s="27" t="str">
        <f ca="1">IFERROR(__xludf.DUMMYFUNCTION("""COMPUTED_VALUE"""),"Público")</f>
        <v>Público</v>
      </c>
      <c r="BI423" s="27" t="str">
        <f ca="1">IFERROR(__xludf.DUMMYFUNCTION("""COMPUTED_VALUE"""),"Pós-Graduação")</f>
        <v>Pós-Graduação</v>
      </c>
      <c r="BJ423" s="27" t="str">
        <f ca="1">IFERROR(__xludf.DUMMYFUNCTION("""COMPUTED_VALUE"""),"Privado")</f>
        <v>Privado</v>
      </c>
      <c r="BK423" s="27" t="str">
        <f ca="1">IFERROR(__xludf.DUMMYFUNCTION("""COMPUTED_VALUE"""),"Rua Assembléias de Deus")</f>
        <v>Rua Assembléias de Deus</v>
      </c>
      <c r="BL423" s="27">
        <f ca="1">IFERROR(__xludf.DUMMYFUNCTION("""COMPUTED_VALUE"""),1500)</f>
        <v>1500</v>
      </c>
      <c r="BM423" s="27"/>
      <c r="BN423" s="27"/>
      <c r="BO423" s="27">
        <f ca="1">IFERROR(__xludf.DUMMYFUNCTION("""COMPUTED_VALUE"""),8616740)</f>
        <v>8616740</v>
      </c>
      <c r="BP423" s="27" t="str">
        <f ca="1">IFERROR(__xludf.DUMMYFUNCTION("""COMPUTED_VALUE"""),"SP")</f>
        <v>SP</v>
      </c>
      <c r="BQ423" s="27" t="str">
        <f ca="1">IFERROR(__xludf.DUMMYFUNCTION("""COMPUTED_VALUE"""),"Entre 1 até 3 salários mínimos")</f>
        <v>Entre 1 até 3 salários mínimos</v>
      </c>
      <c r="BR423" s="27" t="str">
        <f ca="1">IFERROR(__xludf.DUMMYFUNCTION("""COMPUTED_VALUE"""),"CLT")</f>
        <v>CLT</v>
      </c>
      <c r="BS423" s="27" t="str">
        <f ca="1">IFERROR(__xludf.DUMMYFUNCTION("""COMPUTED_VALUE"""),"Casa própria")</f>
        <v>Casa própria</v>
      </c>
      <c r="BT423" s="27">
        <f ca="1">IFERROR(__xludf.DUMMYFUNCTION("""COMPUTED_VALUE"""),1)</f>
        <v>1</v>
      </c>
      <c r="BU423" s="27" t="str">
        <f ca="1">IFERROR(__xludf.DUMMYFUNCTION("""COMPUTED_VALUE"""),"Não tem")</f>
        <v>Não tem</v>
      </c>
      <c r="BV423" s="27" t="str">
        <f ca="1">IFERROR(__xludf.DUMMYFUNCTION("""COMPUTED_VALUE"""),"Sim")</f>
        <v>Sim</v>
      </c>
      <c r="BW423" s="27"/>
      <c r="BX423" s="21" t="str">
        <f ca="1">IFERROR(__xludf.DUMMYFUNCTION("""COMPUTED_VALUE"""),"https://www.instagram.com/patypaty_santos/")</f>
        <v>https://www.instagram.com/patypaty_santos/</v>
      </c>
      <c r="BY423" s="21" t="str">
        <f ca="1">IFERROR(__xludf.DUMMYFUNCTION("""COMPUTED_VALUE"""),"https://drive.google.com/open?id=17X5HjidGw1K4d46R3x0DJcYYU8YapJ0C")</f>
        <v>https://drive.google.com/open?id=17X5HjidGw1K4d46R3x0DJcYYU8YapJ0C</v>
      </c>
    </row>
    <row r="424" spans="1:77" ht="12.5" x14ac:dyDescent="0.25">
      <c r="A424" s="21" t="str">
        <f ca="1">IFERROR(__xludf.DUMMYFUNCTION("""COMPUTED_VALUE"""),"0014X00002VKCuJQAX")</f>
        <v>0014X00002VKCuJQAX</v>
      </c>
      <c r="B424" s="27" t="str">
        <f ca="1">IFERROR(__xludf.DUMMYFUNCTION("""COMPUTED_VALUE"""),"Fase Inicial")</f>
        <v>Fase Inicial</v>
      </c>
      <c r="C424" s="27" t="str">
        <f ca="1">IFERROR(__xludf.DUMMYFUNCTION("""COMPUTED_VALUE"""),"Fellow")</f>
        <v>Fellow</v>
      </c>
      <c r="D424" s="27" t="str">
        <f ca="1">IFERROR(__xludf.DUMMYFUNCTION("""COMPUTED_VALUE"""),"Ativo")</f>
        <v>Ativo</v>
      </c>
      <c r="E424" s="27" t="str">
        <f ca="1">IFERROR(__xludf.DUMMYFUNCTION("""COMPUTED_VALUE"""),"Instituto Semear Plantar e Transformar")</f>
        <v>Instituto Semear Plantar e Transformar</v>
      </c>
      <c r="F424" s="27" t="str">
        <f ca="1">IFERROR(__xludf.DUMMYFUNCTION("""COMPUTED_VALUE"""),"Amanda")</f>
        <v>Amanda</v>
      </c>
      <c r="G424" s="27" t="str">
        <f ca="1">IFERROR(__xludf.DUMMYFUNCTION("""COMPUTED_VALUE"""),"ISPT")</f>
        <v>ISPT</v>
      </c>
      <c r="H424" s="27" t="str">
        <f ca="1">IFERROR(__xludf.DUMMYFUNCTION("""COMPUTED_VALUE"""),"42.095.357/0001-40")</f>
        <v>42.095.357/0001-40</v>
      </c>
      <c r="I424" s="27" t="str">
        <f ca="1">IFERROR(__xludf.DUMMYFUNCTION("""COMPUTED_VALUE"""),"Amanda Pereira da Silva")</f>
        <v>Amanda Pereira da Silva</v>
      </c>
      <c r="J424" s="27" t="str">
        <f ca="1">IFERROR(__xludf.DUMMYFUNCTION("""COMPUTED_VALUE"""),"institutospt@gmail.com")</f>
        <v>institutospt@gmail.com</v>
      </c>
      <c r="K424" s="27" t="str">
        <f ca="1">IFERROR(__xludf.DUMMYFUNCTION("""COMPUTED_VALUE"""),"(11)95905-7765")</f>
        <v>(11)95905-7765</v>
      </c>
      <c r="L424" s="27" t="str">
        <f ca="1">IFERROR(__xludf.DUMMYFUNCTION("""COMPUTED_VALUE"""),"SP")</f>
        <v>SP</v>
      </c>
      <c r="M424" s="27" t="str">
        <f ca="1">IFERROR(__xludf.DUMMYFUNCTION("""COMPUTED_VALUE"""),"Maceió")</f>
        <v>Maceió</v>
      </c>
      <c r="N424" s="27" t="str">
        <f ca="1">IFERROR(__xludf.DUMMYFUNCTION("""COMPUTED_VALUE"""),"Conjunto Habitacional Turistica")</f>
        <v>Conjunto Habitacional Turistica</v>
      </c>
      <c r="O424" s="27">
        <f ca="1">IFERROR(__xludf.DUMMYFUNCTION("""COMPUTED_VALUE"""),56)</f>
        <v>56</v>
      </c>
      <c r="P424" s="27" t="str">
        <f ca="1">IFERROR(__xludf.DUMMYFUNCTION("""COMPUTED_VALUE"""),"São Paulo")</f>
        <v>São Paulo</v>
      </c>
      <c r="Q424" s="27" t="str">
        <f ca="1">IFERROR(__xludf.DUMMYFUNCTION("""COMPUTED_VALUE"""),"casa 4")</f>
        <v>casa 4</v>
      </c>
      <c r="R424" s="27" t="str">
        <f ca="1">IFERROR(__xludf.DUMMYFUNCTION("""COMPUTED_VALUE"""),"05164-137")</f>
        <v>05164-137</v>
      </c>
      <c r="S424" s="27" t="str">
        <f ca="1">IFERROR(__xludf.DUMMYFUNCTION("""COMPUTED_VALUE"""),"CIC OESTE")</f>
        <v>CIC OESTE</v>
      </c>
      <c r="T424" s="27"/>
      <c r="U424"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424" s="27" t="str">
        <f ca="1">IFERROR(__xludf.DUMMYFUNCTION("""COMPUTED_VALUE"""),"Moradores de Favelas, Pessoas com Deficiência")</f>
        <v>Moradores de Favelas, Pessoas com Deficiência</v>
      </c>
      <c r="W424" s="27">
        <f ca="1">IFERROR(__xludf.DUMMYFUNCTION("""COMPUTED_VALUE"""),1)</f>
        <v>1</v>
      </c>
      <c r="X424" s="27"/>
      <c r="Y424" s="27"/>
      <c r="Z424" s="27">
        <f ca="1">IFERROR(__xludf.DUMMYFUNCTION("""COMPUTED_VALUE"""),130)</f>
        <v>130</v>
      </c>
      <c r="AA424" s="29">
        <f ca="1">IFERROR(__xludf.DUMMYFUNCTION("""COMPUTED_VALUE"""),44292)</f>
        <v>44292</v>
      </c>
      <c r="AB424" s="27" t="str">
        <f ca="1">IFERROR(__xludf.DUMMYFUNCTION("""COMPUTED_VALUE"""),"Sim")</f>
        <v>Sim</v>
      </c>
      <c r="AC424" s="27">
        <f ca="1">IFERROR(__xludf.DUMMYFUNCTION("""COMPUTED_VALUE"""),0)</f>
        <v>0</v>
      </c>
      <c r="AD424" s="27">
        <f ca="1">IFERROR(__xludf.DUMMYFUNCTION("""COMPUTED_VALUE"""),15)</f>
        <v>15</v>
      </c>
      <c r="AE424" s="27">
        <f ca="1">IFERROR(__xludf.DUMMYFUNCTION("""COMPUTED_VALUE"""),12)</f>
        <v>12</v>
      </c>
      <c r="AF424" s="27">
        <f ca="1">IFERROR(__xludf.DUMMYFUNCTION("""COMPUTED_VALUE"""),12)</f>
        <v>12</v>
      </c>
      <c r="AG424" s="27">
        <f ca="1">IFERROR(__xludf.DUMMYFUNCTION("""COMPUTED_VALUE"""),3)</f>
        <v>3</v>
      </c>
      <c r="AH424" s="27" t="str">
        <f ca="1">IFERROR(__xludf.DUMMYFUNCTION("""COMPUTED_VALUE"""),"Negócio Social, Eventos/Ações para captação, Parceria iniciativa privada")</f>
        <v>Negócio Social, Eventos/Ações para captação, Parceria iniciativa privada</v>
      </c>
      <c r="AI424" s="27" t="str">
        <f ca="1">IFERROR(__xludf.DUMMYFUNCTION("""COMPUTED_VALUE"""),"25%negocio próprio , 30 ações e eventos  45% Parceria privada")</f>
        <v>25%negocio próprio , 30 ações e eventos  45% Parceria privada</v>
      </c>
      <c r="AJ424" s="27" t="str">
        <f ca="1">IFERROR(__xludf.DUMMYFUNCTION("""COMPUTED_VALUE"""),"Vamos iniciar esse ano")</f>
        <v>Vamos iniciar esse ano</v>
      </c>
      <c r="AK424" s="27"/>
      <c r="AL424" s="21" t="str">
        <f ca="1">IFERROR(__xludf.DUMMYFUNCTION("""COMPUTED_VALUE"""),"0034X0000380O37")</f>
        <v>0034X0000380O37</v>
      </c>
      <c r="AM424" s="27" t="str">
        <f ca="1">IFERROR(__xludf.DUMMYFUNCTION("""COMPUTED_VALUE"""),"Pereira da silva")</f>
        <v>Pereira da silva</v>
      </c>
      <c r="AN424" s="27" t="str">
        <f ca="1">IFERROR(__xludf.DUMMYFUNCTION("""COMPUTED_VALUE"""),"Ativo")</f>
        <v>Ativo</v>
      </c>
      <c r="AO424" s="29">
        <f ca="1">IFERROR(__xludf.DUMMYFUNCTION("""COMPUTED_VALUE"""),44763)</f>
        <v>44763</v>
      </c>
      <c r="AP424" s="27">
        <f ca="1">IFERROR(__xludf.DUMMYFUNCTION("""COMPUTED_VALUE"""),2)</f>
        <v>2</v>
      </c>
      <c r="AQ424" s="27" t="str">
        <f ca="1">IFERROR(__xludf.DUMMYFUNCTION("""COMPUTED_VALUE"""),"Primeiro Semestre 2022")</f>
        <v>Primeiro Semestre 2022</v>
      </c>
      <c r="AR424" s="27" t="str">
        <f ca="1">IFERROR(__xludf.DUMMYFUNCTION("""COMPUTED_VALUE"""),"eddanidogobele@gmail.com")</f>
        <v>eddanidogobele@gmail.com</v>
      </c>
      <c r="AS424" s="27">
        <f ca="1">IFERROR(__xludf.DUMMYFUNCTION("""COMPUTED_VALUE"""),11967837099)</f>
        <v>11967837099</v>
      </c>
      <c r="AT424" s="29">
        <f ca="1">IFERROR(__xludf.DUMMYFUNCTION("""COMPUTED_VALUE"""),32299)</f>
        <v>32299</v>
      </c>
      <c r="AU424" s="27">
        <f ca="1">IFERROR(__xludf.DUMMYFUNCTION("""COMPUTED_VALUE"""),34)</f>
        <v>34</v>
      </c>
      <c r="AV424" s="27">
        <f ca="1">IFERROR(__xludf.DUMMYFUNCTION("""COMPUTED_VALUE"""),36394477869)</f>
        <v>36394477869</v>
      </c>
      <c r="AW424" s="27" t="str">
        <f ca="1">IFERROR(__xludf.DUMMYFUNCTION("""COMPUTED_VALUE"""),"44.825.819-5")</f>
        <v>44.825.819-5</v>
      </c>
      <c r="AX424" s="27"/>
      <c r="AY424" s="27"/>
      <c r="AZ424" s="27" t="str">
        <f ca="1">IFERROR(__xludf.DUMMYFUNCTION("""COMPUTED_VALUE"""),"G1")</f>
        <v>G1</v>
      </c>
      <c r="BA424" s="27" t="str">
        <f ca="1">IFERROR(__xludf.DUMMYFUNCTION("""COMPUTED_VALUE"""),"Parda")</f>
        <v>Parda</v>
      </c>
      <c r="BB424" s="27"/>
      <c r="BC424" s="27"/>
      <c r="BD424" s="27" t="str">
        <f ca="1">IFERROR(__xludf.DUMMYFUNCTION("""COMPUTED_VALUE"""),"Meu nome é Amanda *sou casada *tenho 3 filhos *sou mãe* filha* esposa* líder* professora e apaixonada em transformação .Acredito que a educação transforma vidas *vivo desde pequena na comunidade onde atuo * sou muito grata a Deus por tudo que venha aprend"&amp;"endo nos últimos 7 anos desde o primeiro dia que entrei na faculdade e consegui enxergar uma vida diferente com oportunidades que trilhei .E agora fazendo parte desta equipe maravilhosa sei que não haverá limites para mim .Gratidão!!!")</f>
        <v>Meu nome é Amanda *sou casada *tenho 3 filhos *sou mãe* filha* esposa* líder* professora e apaixonada em transformação .Acredito que a educação transforma vidas *vivo desde pequena na comunidade onde atuo * sou muito grata a Deus por tudo que venha aprendendo nos últimos 7 anos desde o primeiro dia que entrei na faculdade e consegui enxergar uma vida diferente com oportunidades que trilhei .E agora fazendo parte desta equipe maravilhosa sei que não haverá limites para mim .Gratidão!!!</v>
      </c>
      <c r="BE424" s="27" t="str">
        <f ca="1">IFERROR(__xludf.DUMMYFUNCTION("""COMPUTED_VALUE"""),"Feminino")</f>
        <v>Feminino</v>
      </c>
      <c r="BF424" s="27" t="str">
        <f ca="1">IFERROR(__xludf.DUMMYFUNCTION("""COMPUTED_VALUE"""),"Heterossexual")</f>
        <v>Heterossexual</v>
      </c>
      <c r="BG424" s="27"/>
      <c r="BH424" s="27" t="str">
        <f ca="1">IFERROR(__xludf.DUMMYFUNCTION("""COMPUTED_VALUE"""),"Público")</f>
        <v>Público</v>
      </c>
      <c r="BI424" s="27" t="str">
        <f ca="1">IFERROR(__xludf.DUMMYFUNCTION("""COMPUTED_VALUE"""),"Pós-Graduação")</f>
        <v>Pós-Graduação</v>
      </c>
      <c r="BJ424" s="27" t="str">
        <f ca="1">IFERROR(__xludf.DUMMYFUNCTION("""COMPUTED_VALUE"""),"Privado")</f>
        <v>Privado</v>
      </c>
      <c r="BK424" s="27" t="str">
        <f ca="1">IFERROR(__xludf.DUMMYFUNCTION("""COMPUTED_VALUE"""),"Rua Maceió")</f>
        <v>Rua Maceió</v>
      </c>
      <c r="BL424" s="27">
        <f ca="1">IFERROR(__xludf.DUMMYFUNCTION("""COMPUTED_VALUE"""),56)</f>
        <v>56</v>
      </c>
      <c r="BM424" s="27"/>
      <c r="BN424" s="27"/>
      <c r="BO424" s="27">
        <f ca="1">IFERROR(__xludf.DUMMYFUNCTION("""COMPUTED_VALUE"""),5164137)</f>
        <v>5164137</v>
      </c>
      <c r="BP424" s="27" t="str">
        <f ca="1">IFERROR(__xludf.DUMMYFUNCTION("""COMPUTED_VALUE"""),"SP")</f>
        <v>SP</v>
      </c>
      <c r="BQ424" s="27" t="str">
        <f ca="1">IFERROR(__xludf.DUMMYFUNCTION("""COMPUTED_VALUE"""),"Entre 1 até 3 salários mínimos")</f>
        <v>Entre 1 até 3 salários mínimos</v>
      </c>
      <c r="BR424" s="27" t="str">
        <f ca="1">IFERROR(__xludf.DUMMYFUNCTION("""COMPUTED_VALUE"""),"Trabalho informal")</f>
        <v>Trabalho informal</v>
      </c>
      <c r="BS424" s="27" t="str">
        <f ca="1">IFERROR(__xludf.DUMMYFUNCTION("""COMPUTED_VALUE"""),"Casa própria")</f>
        <v>Casa própria</v>
      </c>
      <c r="BT424" s="27">
        <f ca="1">IFERROR(__xludf.DUMMYFUNCTION("""COMPUTED_VALUE"""),5)</f>
        <v>5</v>
      </c>
      <c r="BU424" s="27" t="str">
        <f ca="1">IFERROR(__xludf.DUMMYFUNCTION("""COMPUTED_VALUE"""),"Não tem")</f>
        <v>Não tem</v>
      </c>
      <c r="BV424" s="27" t="str">
        <f ca="1">IFERROR(__xludf.DUMMYFUNCTION("""COMPUTED_VALUE"""),"Não")</f>
        <v>Não</v>
      </c>
      <c r="BW424" s="27"/>
      <c r="BX424" s="27"/>
      <c r="BY424" s="21" t="str">
        <f ca="1">IFERROR(__xludf.DUMMYFUNCTION("""COMPUTED_VALUE"""),"https://drive.google.com/open?id=1NXQ2UZcBcBUoQAEhuz89rUkwkghWJBXS")</f>
        <v>https://drive.google.com/open?id=1NXQ2UZcBcBUoQAEhuz89rUkwkghWJBXS</v>
      </c>
    </row>
    <row r="425" spans="1:77" ht="12.5" x14ac:dyDescent="0.25">
      <c r="A425" s="21" t="str">
        <f ca="1">IFERROR(__xludf.DUMMYFUNCTION("""COMPUTED_VALUE"""),"0014P00003YSp9yQAD")</f>
        <v>0014P00003YSp9yQAD</v>
      </c>
      <c r="B425" s="27" t="str">
        <f ca="1">IFERROR(__xludf.DUMMYFUNCTION("""COMPUTED_VALUE"""),"Fase Estruturação")</f>
        <v>Fase Estruturação</v>
      </c>
      <c r="C425" s="27" t="str">
        <f ca="1">IFERROR(__xludf.DUMMYFUNCTION("""COMPUTED_VALUE"""),"Fellow")</f>
        <v>Fellow</v>
      </c>
      <c r="D425" s="27" t="str">
        <f ca="1">IFERROR(__xludf.DUMMYFUNCTION("""COMPUTED_VALUE"""),"Ativo")</f>
        <v>Ativo</v>
      </c>
      <c r="E425" s="27" t="str">
        <f ca="1">IFERROR(__xludf.DUMMYFUNCTION("""COMPUTED_VALUE"""),"INSTITUTO SEMENTINHA PARA EDUCAÇÃO E PROTEÇÃO A CRIANÇA E AO ADOLESCENTE")</f>
        <v>INSTITUTO SEMENTINHA PARA EDUCAÇÃO E PROTEÇÃO A CRIANÇA E AO ADOLESCENTE</v>
      </c>
      <c r="F425" s="27" t="str">
        <f ca="1">IFERROR(__xludf.DUMMYFUNCTION("""COMPUTED_VALUE"""),"Tatiane")</f>
        <v>Tatiane</v>
      </c>
      <c r="G425" s="27"/>
      <c r="H425" s="27" t="str">
        <f ca="1">IFERROR(__xludf.DUMMYFUNCTION("""COMPUTED_VALUE"""),"04.675.868/0001-42")</f>
        <v>04.675.868/0001-42</v>
      </c>
      <c r="I425" s="27" t="str">
        <f ca="1">IFERROR(__xludf.DUMMYFUNCTION("""COMPUTED_VALUE"""),"Wellington de Souza Morais")</f>
        <v>Wellington de Souza Morais</v>
      </c>
      <c r="J425" s="27" t="str">
        <f ca="1">IFERROR(__xludf.DUMMYFUNCTION("""COMPUTED_VALUE"""),"institutosementinha@gmail.com")</f>
        <v>institutosementinha@gmail.com</v>
      </c>
      <c r="K425" s="27" t="str">
        <f ca="1">IFERROR(__xludf.DUMMYFUNCTION("""COMPUTED_VALUE"""),"(11)97462-6340")</f>
        <v>(11)97462-6340</v>
      </c>
      <c r="L425" s="27" t="str">
        <f ca="1">IFERROR(__xludf.DUMMYFUNCTION("""COMPUTED_VALUE"""),"SP")</f>
        <v>SP</v>
      </c>
      <c r="M425" s="27" t="str">
        <f ca="1">IFERROR(__xludf.DUMMYFUNCTION("""COMPUTED_VALUE"""),"Elgin")</f>
        <v>Elgin</v>
      </c>
      <c r="N425" s="27" t="str">
        <f ca="1">IFERROR(__xludf.DUMMYFUNCTION("""COMPUTED_VALUE"""),"JARDIM VENEZA")</f>
        <v>JARDIM VENEZA</v>
      </c>
      <c r="O425" s="27">
        <f ca="1">IFERROR(__xludf.DUMMYFUNCTION("""COMPUTED_VALUE"""),126)</f>
        <v>126</v>
      </c>
      <c r="P425" s="27" t="str">
        <f ca="1">IFERROR(__xludf.DUMMYFUNCTION("""COMPUTED_VALUE"""),"Mogi das Cruzes")</f>
        <v>Mogi das Cruzes</v>
      </c>
      <c r="Q425" s="27" t="str">
        <f ca="1">IFERROR(__xludf.DUMMYFUNCTION("""COMPUTED_VALUE"""),"SALA 3")</f>
        <v>SALA 3</v>
      </c>
      <c r="R425" s="27" t="str">
        <f ca="1">IFERROR(__xludf.DUMMYFUNCTION("""COMPUTED_VALUE"""),"08715-450")</f>
        <v>08715-450</v>
      </c>
      <c r="S425" s="27"/>
      <c r="T425" s="27" t="str">
        <f ca="1">IFERROR(__xludf.DUMMYFUNCTION("""COMPUTED_VALUE"""),"Esporte; Educação; Cultura; Desenvolvimento comunitário")</f>
        <v>Esporte; Educação; Cultura; Desenvolvimento comunitário</v>
      </c>
      <c r="U425" s="27" t="str">
        <f ca="1">IFERROR(__xludf.DUMMYFUNCTION("""COMPUTED_VALUE"""),"Bebês (0 a 1 ano e 6 meses); Crianças bem pequenas (1 ano e 7 meses até 3 anos e 11 meses); Crianças pequenas (4 anos a 5 anos e 11 meses); Crianças (6 a 12 anos); Adolescentes (12 aos 18 anos)")</f>
        <v>Bebês (0 a 1 ano e 6 meses); Crianças bem pequenas (1 ano e 7 meses até 3 anos e 11 meses); Crianças pequenas (4 anos a 5 anos e 11 meses); Crianças (6 a 12 anos); Adolescentes (12 aos 18 anos)</v>
      </c>
      <c r="V425" s="27" t="str">
        <f ca="1">IFERROR(__xludf.DUMMYFUNCTION("""COMPUTED_VALUE"""),"Moradores de Favelas")</f>
        <v>Moradores de Favelas</v>
      </c>
      <c r="W425" s="27">
        <f ca="1">IFERROR(__xludf.DUMMYFUNCTION("""COMPUTED_VALUE"""),5)</f>
        <v>5</v>
      </c>
      <c r="X425" s="27"/>
      <c r="Y425" s="27"/>
      <c r="Z425" s="27">
        <f ca="1">IFERROR(__xludf.DUMMYFUNCTION("""COMPUTED_VALUE"""),1000)</f>
        <v>1000</v>
      </c>
      <c r="AA425" s="29">
        <f ca="1">IFERROR(__xludf.DUMMYFUNCTION("""COMPUTED_VALUE"""),38591)</f>
        <v>38591</v>
      </c>
      <c r="AB425" s="27" t="str">
        <f ca="1">IFERROR(__xludf.DUMMYFUNCTION("""COMPUTED_VALUE"""),"Sim")</f>
        <v>Sim</v>
      </c>
      <c r="AC425" s="27">
        <f ca="1">IFERROR(__xludf.DUMMYFUNCTION("""COMPUTED_VALUE"""),63)</f>
        <v>63</v>
      </c>
      <c r="AD425" s="27">
        <f ca="1">IFERROR(__xludf.DUMMYFUNCTION("""COMPUTED_VALUE"""),63)</f>
        <v>63</v>
      </c>
      <c r="AE425" s="27">
        <f ca="1">IFERROR(__xludf.DUMMYFUNCTION("""COMPUTED_VALUE"""),30)</f>
        <v>30</v>
      </c>
      <c r="AF425" s="27">
        <f ca="1">IFERROR(__xludf.DUMMYFUNCTION("""COMPUTED_VALUE"""),30)</f>
        <v>30</v>
      </c>
      <c r="AG425" s="27">
        <f ca="1">IFERROR(__xludf.DUMMYFUNCTION("""COMPUTED_VALUE"""),3)</f>
        <v>3</v>
      </c>
      <c r="AH425" s="27" t="str">
        <f ca="1">IFERROR(__xludf.DUMMYFUNCTION("""COMPUTED_VALUE"""),"Lei de Incentivo; Convênio Público; Editais; Lei Municipal da Cultura; Lei Estadual do Esporte; Lei Federal do Esporte")</f>
        <v>Lei de Incentivo; Convênio Público; Editais; Lei Municipal da Cultura; Lei Estadual do Esporte; Lei Federal do Esporte</v>
      </c>
      <c r="AI425" s="27" t="str">
        <f ca="1">IFERROR(__xludf.DUMMYFUNCTION("""COMPUTED_VALUE"""),"100% Lei Federal do Esporte - 100% Convênio Público - 100% CONDECA")</f>
        <v>100% Lei Federal do Esporte - 100% Convênio Público - 100% CONDECA</v>
      </c>
      <c r="AJ425" s="27"/>
      <c r="AK425" s="27"/>
      <c r="AL425" s="21" t="str">
        <f ca="1">IFERROR(__xludf.DUMMYFUNCTION("""COMPUTED_VALUE"""),"0034P000045kxka")</f>
        <v>0034P000045kxka</v>
      </c>
      <c r="AM425" s="27" t="str">
        <f ca="1">IFERROR(__xludf.DUMMYFUNCTION("""COMPUTED_VALUE"""),"Vasconcellos De Oliveira")</f>
        <v>Vasconcellos De Oliveira</v>
      </c>
      <c r="AN425" s="27" t="str">
        <f ca="1">IFERROR(__xludf.DUMMYFUNCTION("""COMPUTED_VALUE"""),"Ativo")</f>
        <v>Ativo</v>
      </c>
      <c r="AO425" s="30">
        <f ca="1">IFERROR(__xludf.DUMMYFUNCTION("""COMPUTED_VALUE"""),44551)</f>
        <v>44551</v>
      </c>
      <c r="AP425" s="27">
        <f ca="1">IFERROR(__xludf.DUMMYFUNCTION("""COMPUTED_VALUE"""),9)</f>
        <v>9</v>
      </c>
      <c r="AQ425" s="27" t="str">
        <f ca="1">IFERROR(__xludf.DUMMYFUNCTION("""COMPUTED_VALUE"""),"Segundo Semestre 2021")</f>
        <v>Segundo Semestre 2021</v>
      </c>
      <c r="AR425" s="27" t="str">
        <f ca="1">IFERROR(__xludf.DUMMYFUNCTION("""COMPUTED_VALUE"""),"tatianevasconcellos2012@gmail.com")</f>
        <v>tatianevasconcellos2012@gmail.com</v>
      </c>
      <c r="AS425" s="27" t="str">
        <f ca="1">IFERROR(__xludf.DUMMYFUNCTION("""COMPUTED_VALUE"""),"(11)97462-6340")</f>
        <v>(11)97462-6340</v>
      </c>
      <c r="AT425" s="29">
        <f ca="1">IFERROR(__xludf.DUMMYFUNCTION("""COMPUTED_VALUE"""),32334)</f>
        <v>32334</v>
      </c>
      <c r="AU425" s="27">
        <f ca="1">IFERROR(__xludf.DUMMYFUNCTION("""COMPUTED_VALUE"""),34)</f>
        <v>34</v>
      </c>
      <c r="AV425" s="27">
        <f ca="1">IFERROR(__xludf.DUMMYFUNCTION("""COMPUTED_VALUE"""),37030849876)</f>
        <v>37030849876</v>
      </c>
      <c r="AW425" s="27">
        <f ca="1">IFERROR(__xludf.DUMMYFUNCTION("""COMPUTED_VALUE"""),426612048)</f>
        <v>426612048</v>
      </c>
      <c r="AX425" s="27"/>
      <c r="AY425" s="27"/>
      <c r="AZ425" s="27" t="str">
        <f ca="1">IFERROR(__xludf.DUMMYFUNCTION("""COMPUTED_VALUE"""),"P")</f>
        <v>P</v>
      </c>
      <c r="BA425" s="27" t="str">
        <f ca="1">IFERROR(__xludf.DUMMYFUNCTION("""COMPUTED_VALUE"""),"Parda")</f>
        <v>Parda</v>
      </c>
      <c r="BB425" s="27" t="str">
        <f ca="1">IFERROR(__xludf.DUMMYFUNCTION("""COMPUTED_VALUE"""),"Mulher, cisgênero")</f>
        <v>Mulher, cisgênero</v>
      </c>
      <c r="BC425" s="27" t="str">
        <f ca="1">IFERROR(__xludf.DUMMYFUNCTION("""COMPUTED_VALUE"""),"Sim")</f>
        <v>Sim</v>
      </c>
      <c r="BD425" s="27" t="str">
        <f ca="1">IFERROR(__xludf.DUMMYFUNCTION("""COMPUTED_VALUE"""),"Graduada em Educação Física, Pós Graduada em Gestão de Projetos Sociais e Estudante do curso de Liderança’s da GF. Sou uma de cinco filhos de mãe solteira, nasci e cresci em uma comunidade chamada Jundiapeba, com muita violência e tráfico de drogas. Em 20"&amp;"14 tive a oportunidade de iniciar como Educadora Social na ONG Visão Mundial, o atendimento no Conj Jefferson, onde atuo até hoje, mas agora na posição de coordenação. Lutamos contra as desigualdades e criamos possibilidades de novos caminhos.")</f>
        <v>Graduada em Educação Física, Pós Graduada em Gestão de Projetos Sociais e Estudante do curso de Liderança’s da GF. Sou uma de cinco filhos de mãe solteira, nasci e cresci em uma comunidade chamada Jundiapeba, com muita violência e tráfico de drogas. Em 2014 tive a oportunidade de iniciar como Educadora Social na ONG Visão Mundial, o atendimento no Conj Jefferson, onde atuo até hoje, mas agora na posição de coordenação. Lutamos contra as desigualdades e criamos possibilidades de novos caminhos.</v>
      </c>
      <c r="BE425" s="27"/>
      <c r="BF425" s="27" t="str">
        <f ca="1">IFERROR(__xludf.DUMMYFUNCTION("""COMPUTED_VALUE"""),"Heterossexual")</f>
        <v>Heterossexual</v>
      </c>
      <c r="BG425" s="27" t="str">
        <f ca="1">IFERROR(__xludf.DUMMYFUNCTION("""COMPUTED_VALUE"""),"Ensino Superior - Completo")</f>
        <v>Ensino Superior - Completo</v>
      </c>
      <c r="BH425" s="27" t="str">
        <f ca="1">IFERROR(__xludf.DUMMYFUNCTION("""COMPUTED_VALUE"""),"Público")</f>
        <v>Público</v>
      </c>
      <c r="BI425" s="27" t="str">
        <f ca="1">IFERROR(__xludf.DUMMYFUNCTION("""COMPUTED_VALUE"""),"Pós-Graduação")</f>
        <v>Pós-Graduação</v>
      </c>
      <c r="BJ425" s="27" t="str">
        <f ca="1">IFERROR(__xludf.DUMMYFUNCTION("""COMPUTED_VALUE"""),"Privado")</f>
        <v>Privado</v>
      </c>
      <c r="BK425" s="27" t="str">
        <f ca="1">IFERROR(__xludf.DUMMYFUNCTION("""COMPUTED_VALUE"""),"Francisco Gouveia Réis Júnior")</f>
        <v>Francisco Gouveia Réis Júnior</v>
      </c>
      <c r="BL425" s="27">
        <f ca="1">IFERROR(__xludf.DUMMYFUNCTION("""COMPUTED_VALUE"""),451)</f>
        <v>451</v>
      </c>
      <c r="BM425" s="27" t="str">
        <f ca="1">IFERROR(__xludf.DUMMYFUNCTION("""COMPUTED_VALUE"""),"Bloco A Apto 94")</f>
        <v>Bloco A Apto 94</v>
      </c>
      <c r="BN425" s="27" t="str">
        <f ca="1">IFERROR(__xludf.DUMMYFUNCTION("""COMPUTED_VALUE"""),"Mogi das Cruzes")</f>
        <v>Mogi das Cruzes</v>
      </c>
      <c r="BO425" s="27" t="str">
        <f ca="1">IFERROR(__xludf.DUMMYFUNCTION("""COMPUTED_VALUE"""),"08725-190")</f>
        <v>08725-190</v>
      </c>
      <c r="BP425" s="27" t="str">
        <f ca="1">IFERROR(__xludf.DUMMYFUNCTION("""COMPUTED_VALUE"""),"SP")</f>
        <v>SP</v>
      </c>
      <c r="BQ425" s="27" t="str">
        <f ca="1">IFERROR(__xludf.DUMMYFUNCTION("""COMPUTED_VALUE"""),"Entre 1 até 3 salários mínimos")</f>
        <v>Entre 1 até 3 salários mínimos</v>
      </c>
      <c r="BR425" s="27" t="str">
        <f ca="1">IFERROR(__xludf.DUMMYFUNCTION("""COMPUTED_VALUE"""),"Trabalho informal")</f>
        <v>Trabalho informal</v>
      </c>
      <c r="BS425" s="27" t="str">
        <f ca="1">IFERROR(__xludf.DUMMYFUNCTION("""COMPUTED_VALUE"""),"Casa própria")</f>
        <v>Casa própria</v>
      </c>
      <c r="BT425" s="27">
        <f ca="1">IFERROR(__xludf.DUMMYFUNCTION("""COMPUTED_VALUE"""),3)</f>
        <v>3</v>
      </c>
      <c r="BU425" s="27" t="str">
        <f ca="1">IFERROR(__xludf.DUMMYFUNCTION("""COMPUTED_VALUE"""),"Não tem")</f>
        <v>Não tem</v>
      </c>
      <c r="BV425" s="27"/>
      <c r="BW425" s="21" t="str">
        <f ca="1">IFERROR(__xludf.DUMMYFUNCTION("""COMPUTED_VALUE"""),"https://www.linkedin.com/in/tatiane-vasconcellos-de-oliveira-2309a2104")</f>
        <v>https://www.linkedin.com/in/tatiane-vasconcellos-de-oliveira-2309a2104</v>
      </c>
      <c r="BX425" s="21" t="str">
        <f ca="1">IFERROR(__xludf.DUMMYFUNCTION("""COMPUTED_VALUE"""),"https://www.instagram.com/reel/Cc8Og9xvizY/?igshid=YmMyMTA2M2Y=")</f>
        <v>https://www.instagram.com/reel/Cc8Og9xvizY/?igshid=YmMyMTA2M2Y=</v>
      </c>
      <c r="BY425" s="21" t="str">
        <f ca="1">IFERROR(__xludf.DUMMYFUNCTION("""COMPUTED_VALUE"""),"https://drive.google.com/open?id=1GGOLUuuZN7XCOZ20_eXS-cdmAEO4RuJA")</f>
        <v>https://drive.google.com/open?id=1GGOLUuuZN7XCOZ20_eXS-cdmAEO4RuJA</v>
      </c>
    </row>
    <row r="426" spans="1:77" ht="12.5" hidden="1" x14ac:dyDescent="0.25">
      <c r="A426" s="21" t="str">
        <f ca="1">IFERROR(__xludf.DUMMYFUNCTION("""COMPUTED_VALUE"""),"0014X00002VKCuPQAX")</f>
        <v>0014X00002VKCuPQAX</v>
      </c>
      <c r="B426" s="27" t="str">
        <f ca="1">IFERROR(__xludf.DUMMYFUNCTION("""COMPUTED_VALUE"""),"Fase Inicial")</f>
        <v>Fase Inicial</v>
      </c>
      <c r="C426" s="27" t="str">
        <f ca="1">IFERROR(__xludf.DUMMYFUNCTION("""COMPUTED_VALUE"""),"Fellow")</f>
        <v>Fellow</v>
      </c>
      <c r="D426" s="27" t="str">
        <f ca="1">IFERROR(__xludf.DUMMYFUNCTION("""COMPUTED_VALUE"""),"Ativo")</f>
        <v>Ativo</v>
      </c>
      <c r="E426" s="27" t="str">
        <f ca="1">IFERROR(__xludf.DUMMYFUNCTION("""COMPUTED_VALUE"""),"Instituto Silveira Marques")</f>
        <v>Instituto Silveira Marques</v>
      </c>
      <c r="F426" s="27" t="str">
        <f ca="1">IFERROR(__xludf.DUMMYFUNCTION("""COMPUTED_VALUE"""),"Andresa")</f>
        <v>Andresa</v>
      </c>
      <c r="G426" s="27" t="str">
        <f ca="1">IFERROR(__xludf.DUMMYFUNCTION("""COMPUTED_VALUE"""),"INSTITUTO SILVEIRA MARQUES")</f>
        <v>INSTITUTO SILVEIRA MARQUES</v>
      </c>
      <c r="H426" s="27" t="str">
        <f ca="1">IFERROR(__xludf.DUMMYFUNCTION("""COMPUTED_VALUE"""),"27.963.170/0001-28")</f>
        <v>27.963.170/0001-28</v>
      </c>
      <c r="I426" s="27" t="str">
        <f ca="1">IFERROR(__xludf.DUMMYFUNCTION("""COMPUTED_VALUE"""),"Helena Silveira")</f>
        <v>Helena Silveira</v>
      </c>
      <c r="J426" s="27" t="str">
        <f ca="1">IFERROR(__xludf.DUMMYFUNCTION("""COMPUTED_VALUE"""),"institutosilveiramarques@gmail.com")</f>
        <v>institutosilveiramarques@gmail.com</v>
      </c>
      <c r="K426" s="27" t="str">
        <f ca="1">IFERROR(__xludf.DUMMYFUNCTION("""COMPUTED_VALUE"""),"(11)94030-8902")</f>
        <v>(11)94030-8902</v>
      </c>
      <c r="L426" s="27" t="str">
        <f ca="1">IFERROR(__xludf.DUMMYFUNCTION("""COMPUTED_VALUE"""),"SP")</f>
        <v>SP</v>
      </c>
      <c r="M426" s="27" t="str">
        <f ca="1">IFERROR(__xludf.DUMMYFUNCTION("""COMPUTED_VALUE"""),"Rua Itapajé")</f>
        <v>Rua Itapajé</v>
      </c>
      <c r="N426" s="27" t="str">
        <f ca="1">IFERROR(__xludf.DUMMYFUNCTION("""COMPUTED_VALUE"""),"Vila Nova Cachoerinha")</f>
        <v>Vila Nova Cachoerinha</v>
      </c>
      <c r="O426" s="27">
        <f ca="1">IFERROR(__xludf.DUMMYFUNCTION("""COMPUTED_VALUE"""),122)</f>
        <v>122</v>
      </c>
      <c r="P426" s="27" t="str">
        <f ca="1">IFERROR(__xludf.DUMMYFUNCTION("""COMPUTED_VALUE"""),"São Paulo")</f>
        <v>São Paulo</v>
      </c>
      <c r="Q426" s="27"/>
      <c r="R426" s="27" t="str">
        <f ca="1">IFERROR(__xludf.DUMMYFUNCTION("""COMPUTED_VALUE"""),"02612-050")</f>
        <v>02612-050</v>
      </c>
      <c r="S426" s="27" t="str">
        <f ca="1">IFERROR(__xludf.DUMMYFUNCTION("""COMPUTED_VALUE"""),"Fizemos ações junto ao Ama Jd Peri")</f>
        <v>Fizemos ações junto ao Ama Jd Peri</v>
      </c>
      <c r="T426" s="27"/>
      <c r="U426" s="27" t="str">
        <f ca="1">IFERROR(__xludf.DUMMYFUNCTION("""COMPUTED_VALUE"""),"Crianças (6 a 12 anos)")</f>
        <v>Crianças (6 a 12 anos)</v>
      </c>
      <c r="V426" s="27" t="str">
        <f ca="1">IFERROR(__xludf.DUMMYFUNCTION("""COMPUTED_VALUE"""),"Moradores de Favelas")</f>
        <v>Moradores de Favelas</v>
      </c>
      <c r="W426" s="27">
        <f ca="1">IFERROR(__xludf.DUMMYFUNCTION("""COMPUTED_VALUE"""),1)</f>
        <v>1</v>
      </c>
      <c r="X426" s="27"/>
      <c r="Y426" s="27"/>
      <c r="Z426" s="27">
        <f ca="1">IFERROR(__xludf.DUMMYFUNCTION("""COMPUTED_VALUE"""),0)</f>
        <v>0</v>
      </c>
      <c r="AA426" s="29">
        <f ca="1">IFERROR(__xludf.DUMMYFUNCTION("""COMPUTED_VALUE"""),42528)</f>
        <v>42528</v>
      </c>
      <c r="AB426" s="27" t="str">
        <f ca="1">IFERROR(__xludf.DUMMYFUNCTION("""COMPUTED_VALUE"""),"Sim")</f>
        <v>Sim</v>
      </c>
      <c r="AC426" s="27">
        <f ca="1">IFERROR(__xludf.DUMMYFUNCTION("""COMPUTED_VALUE"""),0)</f>
        <v>0</v>
      </c>
      <c r="AD426" s="27">
        <f ca="1">IFERROR(__xludf.DUMMYFUNCTION("""COMPUTED_VALUE"""),0)</f>
        <v>0</v>
      </c>
      <c r="AE426" s="27">
        <f ca="1">IFERROR(__xludf.DUMMYFUNCTION("""COMPUTED_VALUE"""),0)</f>
        <v>0</v>
      </c>
      <c r="AF426" s="27">
        <f ca="1">IFERROR(__xludf.DUMMYFUNCTION("""COMPUTED_VALUE"""),0)</f>
        <v>0</v>
      </c>
      <c r="AG426" s="27">
        <f ca="1">IFERROR(__xludf.DUMMYFUNCTION("""COMPUTED_VALUE"""),2)</f>
        <v>2</v>
      </c>
      <c r="AH426" s="27" t="str">
        <f ca="1">IFERROR(__xludf.DUMMYFUNCTION("""COMPUTED_VALUE"""),"Plataforma doação online - Pessoa Física, Doações, Recursos próprios")</f>
        <v>Plataforma doação online - Pessoa Física, Doações, Recursos próprios</v>
      </c>
      <c r="AI426" s="27">
        <f ca="1">IFERROR(__xludf.DUMMYFUNCTION("""COMPUTED_VALUE"""),0)</f>
        <v>0</v>
      </c>
      <c r="AJ426" s="27" t="str">
        <f ca="1">IFERROR(__xludf.DUMMYFUNCTION("""COMPUTED_VALUE"""),"Não")</f>
        <v>Não</v>
      </c>
      <c r="AK426" s="27"/>
      <c r="AL426" s="21" t="str">
        <f ca="1">IFERROR(__xludf.DUMMYFUNCTION("""COMPUTED_VALUE"""),"0034X0000380O4Z")</f>
        <v>0034X0000380O4Z</v>
      </c>
      <c r="AM426" s="27" t="str">
        <f ca="1">IFERROR(__xludf.DUMMYFUNCTION("""COMPUTED_VALUE"""),"Silveira")</f>
        <v>Silveira</v>
      </c>
      <c r="AN426" s="27" t="str">
        <f ca="1">IFERROR(__xludf.DUMMYFUNCTION("""COMPUTED_VALUE"""),"Ativo")</f>
        <v>Ativo</v>
      </c>
      <c r="AO426" s="29">
        <f ca="1">IFERROR(__xludf.DUMMYFUNCTION("""COMPUTED_VALUE"""),44763)</f>
        <v>44763</v>
      </c>
      <c r="AP426" s="27">
        <f ca="1">IFERROR(__xludf.DUMMYFUNCTION("""COMPUTED_VALUE"""),2)</f>
        <v>2</v>
      </c>
      <c r="AQ426" s="27" t="str">
        <f ca="1">IFERROR(__xludf.DUMMYFUNCTION("""COMPUTED_VALUE"""),"Primeiro Semestre 2022")</f>
        <v>Primeiro Semestre 2022</v>
      </c>
      <c r="AR426" s="27" t="str">
        <f ca="1">IFERROR(__xludf.DUMMYFUNCTION("""COMPUTED_VALUE"""),"andresasilveira4@gmail.com")</f>
        <v>andresasilveira4@gmail.com</v>
      </c>
      <c r="AS426" s="27">
        <f ca="1">IFERROR(__xludf.DUMMYFUNCTION("""COMPUTED_VALUE"""),11940308902)</f>
        <v>11940308902</v>
      </c>
      <c r="AT426" s="29">
        <f ca="1">IFERROR(__xludf.DUMMYFUNCTION("""COMPUTED_VALUE"""),27942)</f>
        <v>27942</v>
      </c>
      <c r="AU426" s="27">
        <f ca="1">IFERROR(__xludf.DUMMYFUNCTION("""COMPUTED_VALUE"""),46)</f>
        <v>46</v>
      </c>
      <c r="AV426" s="27">
        <f ca="1">IFERROR(__xludf.DUMMYFUNCTION("""COMPUTED_VALUE"""),25043875857)</f>
        <v>25043875857</v>
      </c>
      <c r="AW426" s="27">
        <f ca="1">IFERROR(__xludf.DUMMYFUNCTION("""COMPUTED_VALUE"""),262120550)</f>
        <v>262120550</v>
      </c>
      <c r="AX426" s="27"/>
      <c r="AY426" s="27"/>
      <c r="AZ426" s="27" t="str">
        <f ca="1">IFERROR(__xludf.DUMMYFUNCTION("""COMPUTED_VALUE"""),"M")</f>
        <v>M</v>
      </c>
      <c r="BA426" s="27" t="str">
        <f ca="1">IFERROR(__xludf.DUMMYFUNCTION("""COMPUTED_VALUE"""),"Preta")</f>
        <v>Preta</v>
      </c>
      <c r="BB426" s="27"/>
      <c r="BC426" s="27"/>
      <c r="BD426" s="27" t="str">
        <f ca="1">IFERROR(__xludf.DUMMYFUNCTION("""COMPUTED_VALUE"""),"Me chamo Andresa*tenho 46 anos*2 filhos*solteira* Psicóloga. Desde 2016 faço ações no território da Z.Norte de SP.*e criei com ajuda da minha família e uma amiga* o Instituto Silveira Marques com intuito de criar um espaço de fortalecimento de vínculos e "&amp;"inteligência emocional para as crianças da favela.")</f>
        <v>Me chamo Andresa*tenho 46 anos*2 filhos*solteira* Psicóloga. Desde 2016 faço ações no território da Z.Norte de SP.*e criei com ajuda da minha família e uma amiga* o Instituto Silveira Marques com intuito de criar um espaço de fortalecimento de vínculos e inteligência emocional para as crianças da favela.</v>
      </c>
      <c r="BE426" s="27" t="str">
        <f ca="1">IFERROR(__xludf.DUMMYFUNCTION("""COMPUTED_VALUE"""),"Feminino")</f>
        <v>Feminino</v>
      </c>
      <c r="BF426" s="27" t="str">
        <f ca="1">IFERROR(__xludf.DUMMYFUNCTION("""COMPUTED_VALUE"""),"Heterossexual")</f>
        <v>Heterossexual</v>
      </c>
      <c r="BG426" s="27"/>
      <c r="BH426" s="27" t="str">
        <f ca="1">IFERROR(__xludf.DUMMYFUNCTION("""COMPUTED_VALUE"""),"Público")</f>
        <v>Público</v>
      </c>
      <c r="BI426" s="27" t="str">
        <f ca="1">IFERROR(__xludf.DUMMYFUNCTION("""COMPUTED_VALUE"""),"Graduação")</f>
        <v>Graduação</v>
      </c>
      <c r="BJ426" s="27" t="str">
        <f ca="1">IFERROR(__xludf.DUMMYFUNCTION("""COMPUTED_VALUE"""),"Privado")</f>
        <v>Privado</v>
      </c>
      <c r="BK426" s="27" t="str">
        <f ca="1">IFERROR(__xludf.DUMMYFUNCTION("""COMPUTED_VALUE"""),"Rua Itapaje")</f>
        <v>Rua Itapaje</v>
      </c>
      <c r="BL426" s="27">
        <f ca="1">IFERROR(__xludf.DUMMYFUNCTION("""COMPUTED_VALUE"""),122)</f>
        <v>122</v>
      </c>
      <c r="BM426" s="27"/>
      <c r="BN426" s="27"/>
      <c r="BO426" s="27" t="str">
        <f ca="1">IFERROR(__xludf.DUMMYFUNCTION("""COMPUTED_VALUE"""),"02612 050")</f>
        <v>02612 050</v>
      </c>
      <c r="BP426" s="27" t="str">
        <f ca="1">IFERROR(__xludf.DUMMYFUNCTION("""COMPUTED_VALUE"""),"SP")</f>
        <v>SP</v>
      </c>
      <c r="BQ426" s="27" t="str">
        <f ca="1">IFERROR(__xludf.DUMMYFUNCTION("""COMPUTED_VALUE"""),"Entre 1 até 3 salários mínimos")</f>
        <v>Entre 1 até 3 salários mínimos</v>
      </c>
      <c r="BR426" s="27" t="str">
        <f ca="1">IFERROR(__xludf.DUMMYFUNCTION("""COMPUTED_VALUE"""),"Trabalho informal")</f>
        <v>Trabalho informal</v>
      </c>
      <c r="BS426" s="27" t="str">
        <f ca="1">IFERROR(__xludf.DUMMYFUNCTION("""COMPUTED_VALUE"""),"Casa cedida")</f>
        <v>Casa cedida</v>
      </c>
      <c r="BT426" s="27">
        <f ca="1">IFERROR(__xludf.DUMMYFUNCTION("""COMPUTED_VALUE"""),3)</f>
        <v>3</v>
      </c>
      <c r="BU426" s="27" t="str">
        <f ca="1">IFERROR(__xludf.DUMMYFUNCTION("""COMPUTED_VALUE"""),"Não tem")</f>
        <v>Não tem</v>
      </c>
      <c r="BV426" s="27" t="str">
        <f ca="1">IFERROR(__xludf.DUMMYFUNCTION("""COMPUTED_VALUE"""),"Não")</f>
        <v>Não</v>
      </c>
      <c r="BW426" s="21" t="str">
        <f ca="1">IFERROR(__xludf.DUMMYFUNCTION("""COMPUTED_VALUE"""),"www.linkedin.com/in/andresa-silveira-psicologia-clinica-junguiana-688799b0")</f>
        <v>www.linkedin.com/in/andresa-silveira-psicologia-clinica-junguiana-688799b0</v>
      </c>
      <c r="BX426" s="21" t="str">
        <f ca="1">IFERROR(__xludf.DUMMYFUNCTION("""COMPUTED_VALUE"""),"www.instagram.com/@_andresasiveirapsicologa")</f>
        <v>www.instagram.com/@_andresasiveirapsicologa</v>
      </c>
      <c r="BY426" s="21" t="str">
        <f ca="1">IFERROR(__xludf.DUMMYFUNCTION("""COMPUTED_VALUE"""),"https://drive.google.com/open?id=1T8zUC8oVVj2kuPEB7OxgzxBisBD0zJEg")</f>
        <v>https://drive.google.com/open?id=1T8zUC8oVVj2kuPEB7OxgzxBisBD0zJEg</v>
      </c>
    </row>
    <row r="427" spans="1:77" ht="12.5" x14ac:dyDescent="0.25">
      <c r="A427" s="21" t="str">
        <f ca="1">IFERROR(__xludf.DUMMYFUNCTION("""COMPUTED_VALUE"""),"0014X00002VKCpFQAX")</f>
        <v>0014X00002VKCpFQAX</v>
      </c>
      <c r="B427" s="27" t="str">
        <f ca="1">IFERROR(__xludf.DUMMYFUNCTION("""COMPUTED_VALUE"""),"Fase Inicial")</f>
        <v>Fase Inicial</v>
      </c>
      <c r="C427" s="27" t="str">
        <f ca="1">IFERROR(__xludf.DUMMYFUNCTION("""COMPUTED_VALUE"""),"Fellow")</f>
        <v>Fellow</v>
      </c>
      <c r="D427" s="27" t="str">
        <f ca="1">IFERROR(__xludf.DUMMYFUNCTION("""COMPUTED_VALUE"""),"Ativo")</f>
        <v>Ativo</v>
      </c>
      <c r="E427" s="27" t="str">
        <f ca="1">IFERROR(__xludf.DUMMYFUNCTION("""COMPUTED_VALUE"""),"INSTITUTO SÓ ALEGRIA")</f>
        <v>INSTITUTO SÓ ALEGRIA</v>
      </c>
      <c r="F427" s="27" t="str">
        <f ca="1">IFERROR(__xludf.DUMMYFUNCTION("""COMPUTED_VALUE"""),"Gilson")</f>
        <v>Gilson</v>
      </c>
      <c r="G427" s="27" t="str">
        <f ca="1">IFERROR(__xludf.DUMMYFUNCTION("""COMPUTED_VALUE"""),"INSTITUTO SÓ ALEGRIA")</f>
        <v>INSTITUTO SÓ ALEGRIA</v>
      </c>
      <c r="H427" s="27"/>
      <c r="I427" s="27" t="str">
        <f ca="1">IFERROR(__xludf.DUMMYFUNCTION("""COMPUTED_VALUE"""),"Gilson Soares Da Silva")</f>
        <v>Gilson Soares Da Silva</v>
      </c>
      <c r="J427" s="27" t="str">
        <f ca="1">IFERROR(__xludf.DUMMYFUNCTION("""COMPUTED_VALUE"""),"gilsonsoares353@gmail.com")</f>
        <v>gilsonsoares353@gmail.com</v>
      </c>
      <c r="K427" s="27" t="str">
        <f ca="1">IFERROR(__xludf.DUMMYFUNCTION("""COMPUTED_VALUE"""),"(82)99646-2306")</f>
        <v>(82)99646-2306</v>
      </c>
      <c r="L427" s="27" t="str">
        <f ca="1">IFERROR(__xludf.DUMMYFUNCTION("""COMPUTED_VALUE"""),"AL")</f>
        <v>AL</v>
      </c>
      <c r="M427" s="27" t="str">
        <f ca="1">IFERROR(__xludf.DUMMYFUNCTION("""COMPUTED_VALUE"""),"Rua Dezessete de agosto")</f>
        <v>Rua Dezessete de agosto</v>
      </c>
      <c r="N427" s="27" t="str">
        <f ca="1">IFERROR(__xludf.DUMMYFUNCTION("""COMPUTED_VALUE"""),"centro")</f>
        <v>centro</v>
      </c>
      <c r="O427" s="27">
        <f ca="1">IFERROR(__xludf.DUMMYFUNCTION("""COMPUTED_VALUE"""),183)</f>
        <v>183</v>
      </c>
      <c r="P427" s="27" t="str">
        <f ca="1">IFERROR(__xludf.DUMMYFUNCTION("""COMPUTED_VALUE"""),"Satuba")</f>
        <v>Satuba</v>
      </c>
      <c r="Q427" s="27"/>
      <c r="R427" s="27" t="str">
        <f ca="1">IFERROR(__xludf.DUMMYFUNCTION("""COMPUTED_VALUE"""),"57120-000")</f>
        <v>57120-000</v>
      </c>
      <c r="S427" s="27" t="str">
        <f ca="1">IFERROR(__xludf.DUMMYFUNCTION("""COMPUTED_VALUE"""),"Arena Aristhon Rocha")</f>
        <v>Arena Aristhon Rocha</v>
      </c>
      <c r="T427" s="27"/>
      <c r="U427" s="27" t="str">
        <f ca="1">IFERROR(__xludf.DUMMYFUNCTION("""COMPUTED_VALUE"""),"Crianças (6 a 12 anos), Adolescentes (12 aos 18 anos), Jovens (18 aos 24 anos), Adultos")</f>
        <v>Crianças (6 a 12 anos), Adolescentes (12 aos 18 anos), Jovens (18 aos 24 anos), Adultos</v>
      </c>
      <c r="V427" s="27" t="str">
        <f ca="1">IFERROR(__xludf.DUMMYFUNCTION("""COMPUTED_VALUE"""),"Moradores de Favelas, Pessoas em situação de rua, Comunidade rural")</f>
        <v>Moradores de Favelas, Pessoas em situação de rua, Comunidade rural</v>
      </c>
      <c r="W427" s="27">
        <f ca="1">IFERROR(__xludf.DUMMYFUNCTION("""COMPUTED_VALUE"""),2)</f>
        <v>2</v>
      </c>
      <c r="X427" s="27" t="str">
        <f ca="1">IFERROR(__xludf.DUMMYFUNCTION("""COMPUTED_VALUE"""),"Atendemos além de crianças* adultos em situação de vulnerabilidade social.")</f>
        <v>Atendemos além de crianças* adultos em situação de vulnerabilidade social.</v>
      </c>
      <c r="Y427" s="27"/>
      <c r="Z427" s="27">
        <f ca="1">IFERROR(__xludf.DUMMYFUNCTION("""COMPUTED_VALUE"""),200)</f>
        <v>200</v>
      </c>
      <c r="AA427" s="29">
        <f ca="1">IFERROR(__xludf.DUMMYFUNCTION("""COMPUTED_VALUE"""),43874)</f>
        <v>43874</v>
      </c>
      <c r="AB427" s="27" t="str">
        <f ca="1">IFERROR(__xludf.DUMMYFUNCTION("""COMPUTED_VALUE"""),"Não")</f>
        <v>Não</v>
      </c>
      <c r="AC427" s="27">
        <f ca="1">IFERROR(__xludf.DUMMYFUNCTION("""COMPUTED_VALUE"""),0)</f>
        <v>0</v>
      </c>
      <c r="AD427" s="27">
        <f ca="1">IFERROR(__xludf.DUMMYFUNCTION("""COMPUTED_VALUE"""),1)</f>
        <v>1</v>
      </c>
      <c r="AE427" s="27">
        <f ca="1">IFERROR(__xludf.DUMMYFUNCTION("""COMPUTED_VALUE"""),1)</f>
        <v>1</v>
      </c>
      <c r="AF427" s="27">
        <f ca="1">IFERROR(__xludf.DUMMYFUNCTION("""COMPUTED_VALUE"""),1)</f>
        <v>1</v>
      </c>
      <c r="AG427" s="27">
        <f ca="1">IFERROR(__xludf.DUMMYFUNCTION("""COMPUTED_VALUE"""),2)</f>
        <v>2</v>
      </c>
      <c r="AH427" s="27" t="str">
        <f ca="1">IFERROR(__xludf.DUMMYFUNCTION("""COMPUTED_VALUE"""),"Doações, Recursos próprios")</f>
        <v>Doações, Recursos próprios</v>
      </c>
      <c r="AI427" s="27">
        <f ca="1">IFERROR(__xludf.DUMMYFUNCTION("""COMPUTED_VALUE"""),0)</f>
        <v>0</v>
      </c>
      <c r="AJ427" s="27" t="str">
        <f ca="1">IFERROR(__xludf.DUMMYFUNCTION("""COMPUTED_VALUE"""),"Não")</f>
        <v>Não</v>
      </c>
      <c r="AK427" s="27"/>
      <c r="AL427" s="21" t="str">
        <f ca="1">IFERROR(__xludf.DUMMYFUNCTION("""COMPUTED_VALUE"""),"0034X0000380O21")</f>
        <v>0034X0000380O21</v>
      </c>
      <c r="AM427" s="27" t="str">
        <f ca="1">IFERROR(__xludf.DUMMYFUNCTION("""COMPUTED_VALUE"""),"Soares da silva")</f>
        <v>Soares da silva</v>
      </c>
      <c r="AN427" s="27" t="str">
        <f ca="1">IFERROR(__xludf.DUMMYFUNCTION("""COMPUTED_VALUE"""),"Ativo")</f>
        <v>Ativo</v>
      </c>
      <c r="AO427" s="29">
        <f ca="1">IFERROR(__xludf.DUMMYFUNCTION("""COMPUTED_VALUE"""),44763)</f>
        <v>44763</v>
      </c>
      <c r="AP427" s="27">
        <f ca="1">IFERROR(__xludf.DUMMYFUNCTION("""COMPUTED_VALUE"""),2)</f>
        <v>2</v>
      </c>
      <c r="AQ427" s="27" t="str">
        <f ca="1">IFERROR(__xludf.DUMMYFUNCTION("""COMPUTED_VALUE"""),"Primeiro Semestre 2022")</f>
        <v>Primeiro Semestre 2022</v>
      </c>
      <c r="AR427" s="27" t="str">
        <f ca="1">IFERROR(__xludf.DUMMYFUNCTION("""COMPUTED_VALUE"""),"gilsonsoares353@gmail.com")</f>
        <v>gilsonsoares353@gmail.com</v>
      </c>
      <c r="AS427" s="27" t="str">
        <f ca="1">IFERROR(__xludf.DUMMYFUNCTION("""COMPUTED_VALUE"""),"(82)99646-2306")</f>
        <v>(82)99646-2306</v>
      </c>
      <c r="AT427" s="29">
        <f ca="1">IFERROR(__xludf.DUMMYFUNCTION("""COMPUTED_VALUE"""),29630)</f>
        <v>29630</v>
      </c>
      <c r="AU427" s="27">
        <f ca="1">IFERROR(__xludf.DUMMYFUNCTION("""COMPUTED_VALUE"""),41)</f>
        <v>41</v>
      </c>
      <c r="AV427" s="27">
        <f ca="1">IFERROR(__xludf.DUMMYFUNCTION("""COMPUTED_VALUE"""),3482269424)</f>
        <v>3482269424</v>
      </c>
      <c r="AW427" s="27">
        <f ca="1">IFERROR(__xludf.DUMMYFUNCTION("""COMPUTED_VALUE"""),99001351531)</f>
        <v>99001351531</v>
      </c>
      <c r="AX427" s="27"/>
      <c r="AY427" s="27" t="str">
        <f ca="1">IFERROR(__xludf.DUMMYFUNCTION("""COMPUTED_VALUE"""),"Fundador e Vice-Presidente")</f>
        <v>Fundador e Vice-Presidente</v>
      </c>
      <c r="AZ427" s="27" t="str">
        <f ca="1">IFERROR(__xludf.DUMMYFUNCTION("""COMPUTED_VALUE"""),"G")</f>
        <v>G</v>
      </c>
      <c r="BA427" s="27" t="str">
        <f ca="1">IFERROR(__xludf.DUMMYFUNCTION("""COMPUTED_VALUE"""),"Preta")</f>
        <v>Preta</v>
      </c>
      <c r="BB427" s="27"/>
      <c r="BC427" s="27"/>
      <c r="BD427" s="27" t="str">
        <f ca="1">IFERROR(__xludf.DUMMYFUNCTION("""COMPUTED_VALUE"""),"Olá, me chamo Gilson Soares da silva, 41 anos, casado, 3 filhos e uma neta. Vigilante patrimonial e Educador social, Fundador e vice presidente do Instituto Só Alegria!
Me solidarizo com a dor do outro, pois entendo que para termos um País digno, desenvol"&amp;"vido, digital, precisamos do envolvimento de toda sociedade, assim mandar a atual pobreza da favela pro museu e criar comunidades empreendedoras. 
Esse é o meu propósito de vida.")</f>
        <v>Olá, me chamo Gilson Soares da silva, 41 anos, casado, 3 filhos e uma neta. Vigilante patrimonial e Educador social, Fundador e vice presidente do Instituto Só Alegria!
Me solidarizo com a dor do outro, pois entendo que para termos um País digno, desenvolvido, digital, precisamos do envolvimento de toda sociedade, assim mandar a atual pobreza da favela pro museu e criar comunidades empreendedoras. 
Esse é o meu propósito de vida.</v>
      </c>
      <c r="BE427" s="27" t="str">
        <f ca="1">IFERROR(__xludf.DUMMYFUNCTION("""COMPUTED_VALUE"""),"Homem, cisgênero")</f>
        <v>Homem, cisgênero</v>
      </c>
      <c r="BF427" s="27" t="str">
        <f ca="1">IFERROR(__xludf.DUMMYFUNCTION("""COMPUTED_VALUE"""),"Heterossexual")</f>
        <v>Heterossexual</v>
      </c>
      <c r="BG427" s="27" t="str">
        <f ca="1">IFERROR(__xludf.DUMMYFUNCTION("""COMPUTED_VALUE"""),"Ensino Médio - Completo")</f>
        <v>Ensino Médio - Completo</v>
      </c>
      <c r="BH427" s="27" t="str">
        <f ca="1">IFERROR(__xludf.DUMMYFUNCTION("""COMPUTED_VALUE"""),"Público")</f>
        <v>Público</v>
      </c>
      <c r="BI427" s="27"/>
      <c r="BJ427" s="27"/>
      <c r="BK427" s="27" t="str">
        <f ca="1">IFERROR(__xludf.DUMMYFUNCTION("""COMPUTED_VALUE"""),"Dezessete de agosto")</f>
        <v>Dezessete de agosto</v>
      </c>
      <c r="BL427" s="27">
        <f ca="1">IFERROR(__xludf.DUMMYFUNCTION("""COMPUTED_VALUE"""),183)</f>
        <v>183</v>
      </c>
      <c r="BM427" s="27"/>
      <c r="BN427" s="27" t="str">
        <f ca="1">IFERROR(__xludf.DUMMYFUNCTION("""COMPUTED_VALUE"""),"Satuba")</f>
        <v>Satuba</v>
      </c>
      <c r="BO427" s="27" t="str">
        <f ca="1">IFERROR(__xludf.DUMMYFUNCTION("""COMPUTED_VALUE"""),"57120-000")</f>
        <v>57120-000</v>
      </c>
      <c r="BP427" s="27" t="str">
        <f ca="1">IFERROR(__xludf.DUMMYFUNCTION("""COMPUTED_VALUE"""),"AL")</f>
        <v>AL</v>
      </c>
      <c r="BQ427" s="27" t="str">
        <f ca="1">IFERROR(__xludf.DUMMYFUNCTION("""COMPUTED_VALUE"""),"Entre 1 até 3 salários mínimos")</f>
        <v>Entre 1 até 3 salários mínimos</v>
      </c>
      <c r="BR427" s="27" t="str">
        <f ca="1">IFERROR(__xludf.DUMMYFUNCTION("""COMPUTED_VALUE"""),"CLT")</f>
        <v>CLT</v>
      </c>
      <c r="BS427" s="27" t="str">
        <f ca="1">IFERROR(__xludf.DUMMYFUNCTION("""COMPUTED_VALUE"""),"Casa cedida")</f>
        <v>Casa cedida</v>
      </c>
      <c r="BT427" s="27">
        <f ca="1">IFERROR(__xludf.DUMMYFUNCTION("""COMPUTED_VALUE"""),5)</f>
        <v>5</v>
      </c>
      <c r="BU427" s="27" t="str">
        <f ca="1">IFERROR(__xludf.DUMMYFUNCTION("""COMPUTED_VALUE"""),"Não tem")</f>
        <v>Não tem</v>
      </c>
      <c r="BV427" s="27" t="str">
        <f ca="1">IFERROR(__xludf.DUMMYFUNCTION("""COMPUTED_VALUE"""),"Não")</f>
        <v>Não</v>
      </c>
      <c r="BW427" s="27"/>
      <c r="BX427" s="27"/>
      <c r="BY427" s="21" t="str">
        <f ca="1">IFERROR(__xludf.DUMMYFUNCTION("""COMPUTED_VALUE"""),"https://drive.google.com/open?id=1YNMnDI12WC3suyEOjoKnvKgQyU5LnFbG")</f>
        <v>https://drive.google.com/open?id=1YNMnDI12WC3suyEOjoKnvKgQyU5LnFbG</v>
      </c>
    </row>
    <row r="428" spans="1:77" ht="12.5" x14ac:dyDescent="0.25">
      <c r="A428" s="21" t="str">
        <f ca="1">IFERROR(__xludf.DUMMYFUNCTION("""COMPUTED_VALUE"""),"0014P00003SGWPvQAP")</f>
        <v>0014P00003SGWPvQAP</v>
      </c>
      <c r="B428" s="27" t="str">
        <f ca="1">IFERROR(__xludf.DUMMYFUNCTION("""COMPUTED_VALUE"""),"Fase Inicial")</f>
        <v>Fase Inicial</v>
      </c>
      <c r="C428" s="27" t="str">
        <f ca="1">IFERROR(__xludf.DUMMYFUNCTION("""COMPUTED_VALUE"""),"Fellow")</f>
        <v>Fellow</v>
      </c>
      <c r="D428" s="27" t="str">
        <f ca="1">IFERROR(__xludf.DUMMYFUNCTION("""COMPUTED_VALUE"""),"Ativo")</f>
        <v>Ativo</v>
      </c>
      <c r="E428" s="27" t="str">
        <f ca="1">IFERROR(__xludf.DUMMYFUNCTION("""COMPUTED_VALUE"""),"INSTITUTO SOCIAL CORRENTE DO AMOR")</f>
        <v>INSTITUTO SOCIAL CORRENTE DO AMOR</v>
      </c>
      <c r="F428" s="27" t="str">
        <f ca="1">IFERROR(__xludf.DUMMYFUNCTION("""COMPUTED_VALUE"""),"Lidinalva")</f>
        <v>Lidinalva</v>
      </c>
      <c r="G428" s="27" t="str">
        <f ca="1">IFERROR(__xludf.DUMMYFUNCTION("""COMPUTED_VALUE"""),"CORRENTE DO AMOR")</f>
        <v>CORRENTE DO AMOR</v>
      </c>
      <c r="H428" s="27" t="str">
        <f ca="1">IFERROR(__xludf.DUMMYFUNCTION("""COMPUTED_VALUE"""),"15.187.340/0001-40")</f>
        <v>15.187.340/0001-40</v>
      </c>
      <c r="I428" s="27" t="str">
        <f ca="1">IFERROR(__xludf.DUMMYFUNCTION("""COMPUTED_VALUE"""),"Edna Ferreira Silva")</f>
        <v>Edna Ferreira Silva</v>
      </c>
      <c r="J428" s="27" t="str">
        <f ca="1">IFERROR(__xludf.DUMMYFUNCTION("""COMPUTED_VALUE"""),"correntedoamor.uniao@gmail.com")</f>
        <v>correntedoamor.uniao@gmail.com</v>
      </c>
      <c r="K428" s="27" t="str">
        <f ca="1">IFERROR(__xludf.DUMMYFUNCTION("""COMPUTED_VALUE"""),"(38)9185-1718")</f>
        <v>(38)9185-1718</v>
      </c>
      <c r="L428" s="27" t="str">
        <f ca="1">IFERROR(__xludf.DUMMYFUNCTION("""COMPUTED_VALUE"""),"MG")</f>
        <v>MG</v>
      </c>
      <c r="M428" s="27" t="str">
        <f ca="1">IFERROR(__xludf.DUMMYFUNCTION("""COMPUTED_VALUE"""),"Bahia")</f>
        <v>Bahia</v>
      </c>
      <c r="N428" s="27" t="str">
        <f ca="1">IFERROR(__xludf.DUMMYFUNCTION("""COMPUTED_VALUE"""),"morrinhos")</f>
        <v>morrinhos</v>
      </c>
      <c r="O428" s="27" t="str">
        <f ca="1">IFERROR(__xludf.DUMMYFUNCTION("""COMPUTED_VALUE"""),"(38)9185-1718")</f>
        <v>(38)9185-1718</v>
      </c>
      <c r="P428" s="27" t="str">
        <f ca="1">IFERROR(__xludf.DUMMYFUNCTION("""COMPUTED_VALUE"""),"Montes Claros")</f>
        <v>Montes Claros</v>
      </c>
      <c r="Q428" s="27"/>
      <c r="R428" s="27" t="str">
        <f ca="1">IFERROR(__xludf.DUMMYFUNCTION("""COMPUTED_VALUE"""),"39400-443")</f>
        <v>39400-443</v>
      </c>
      <c r="S428" s="27" t="str">
        <f ca="1">IFERROR(__xludf.DUMMYFUNCTION("""COMPUTED_VALUE"""),"Rua principe da paz 105 morrinhos  39402772")</f>
        <v>Rua principe da paz 105 morrinhos  39402772</v>
      </c>
      <c r="T428" s="27" t="str">
        <f ca="1">IFERROR(__xludf.DUMMYFUNCTION("""COMPUTED_VALUE"""),"Esporte; Educação; Empregabilidade; Assistência Social; Cultura; Qualificação Profissional; Empreendedorismo; Saúde; Meio ambiente; Empoderamento Feminino; Assistência Psicológica")</f>
        <v>Esporte; Educação; Empregabilidade; Assistência Social; Cultura; Qualificação Profissional; Empreendedorismo; Saúde; Meio ambiente; Empoderamento Feminino; Assistência Psicológica</v>
      </c>
      <c r="U428"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428" s="27" t="str">
        <f ca="1">IFERROR(__xludf.DUMMYFUNCTION("""COMPUTED_VALUE"""),"Moradores de Favelas; Dependentes Químicos; Egressos sistema carcerário; Comunidade rural")</f>
        <v>Moradores de Favelas; Dependentes Químicos; Egressos sistema carcerário; Comunidade rural</v>
      </c>
      <c r="W428" s="27">
        <f ca="1">IFERROR(__xludf.DUMMYFUNCTION("""COMPUTED_VALUE"""),11)</f>
        <v>11</v>
      </c>
      <c r="X428" s="27"/>
      <c r="Y428" s="27">
        <f ca="1">IFERROR(__xludf.DUMMYFUNCTION("""COMPUTED_VALUE"""),300)</f>
        <v>300</v>
      </c>
      <c r="Z428" s="27">
        <f ca="1">IFERROR(__xludf.DUMMYFUNCTION("""COMPUTED_VALUE"""),800)</f>
        <v>800</v>
      </c>
      <c r="AA428" s="29">
        <f ca="1">IFERROR(__xludf.DUMMYFUNCTION("""COMPUTED_VALUE"""),40939)</f>
        <v>40939</v>
      </c>
      <c r="AB428" s="27" t="str">
        <f ca="1">IFERROR(__xludf.DUMMYFUNCTION("""COMPUTED_VALUE"""),"Sim")</f>
        <v>Sim</v>
      </c>
      <c r="AC428" s="27">
        <f ca="1">IFERROR(__xludf.DUMMYFUNCTION("""COMPUTED_VALUE"""),0)</f>
        <v>0</v>
      </c>
      <c r="AD428" s="27">
        <f ca="1">IFERROR(__xludf.DUMMYFUNCTION("""COMPUTED_VALUE"""),0)</f>
        <v>0</v>
      </c>
      <c r="AE428" s="27">
        <f ca="1">IFERROR(__xludf.DUMMYFUNCTION("""COMPUTED_VALUE"""),20)</f>
        <v>20</v>
      </c>
      <c r="AF428" s="27">
        <f ca="1">IFERROR(__xludf.DUMMYFUNCTION("""COMPUTED_VALUE"""),20)</f>
        <v>20</v>
      </c>
      <c r="AG428" s="27">
        <f ca="1">IFERROR(__xludf.DUMMYFUNCTION("""COMPUTED_VALUE"""),2)</f>
        <v>2</v>
      </c>
      <c r="AH428" s="27" t="str">
        <f ca="1">IFERROR(__xludf.DUMMYFUNCTION("""COMPUTED_VALUE"""),"Eventos/Ações para captação; Doações")</f>
        <v>Eventos/Ações para captação; Doações</v>
      </c>
      <c r="AI428" s="27" t="str">
        <f ca="1">IFERROR(__xludf.DUMMYFUNCTION("""COMPUTED_VALUE"""),"90% pessoas físicas e 10% eventos")</f>
        <v>90% pessoas físicas e 10% eventos</v>
      </c>
      <c r="AJ428" s="27" t="str">
        <f ca="1">IFERROR(__xludf.DUMMYFUNCTION("""COMPUTED_VALUE"""),"Não")</f>
        <v>Não</v>
      </c>
      <c r="AK428" s="27" t="str">
        <f ca="1">IFERROR(__xludf.DUMMYFUNCTION("""COMPUTED_VALUE"""),"Não")</f>
        <v>Não</v>
      </c>
      <c r="AL428" s="21" t="str">
        <f ca="1">IFERROR(__xludf.DUMMYFUNCTION("""COMPUTED_VALUE"""),"0034P000043fOny")</f>
        <v>0034P000043fOny</v>
      </c>
      <c r="AM428" s="27" t="str">
        <f ca="1">IFERROR(__xludf.DUMMYFUNCTION("""COMPUTED_VALUE"""),"Fernandes De Araújo")</f>
        <v>Fernandes De Araújo</v>
      </c>
      <c r="AN428" s="27" t="str">
        <f ca="1">IFERROR(__xludf.DUMMYFUNCTION("""COMPUTED_VALUE"""),"Ativo")</f>
        <v>Ativo</v>
      </c>
      <c r="AO428" s="29">
        <f ca="1">IFERROR(__xludf.DUMMYFUNCTION("""COMPUTED_VALUE"""),44432)</f>
        <v>44432</v>
      </c>
      <c r="AP428" s="27">
        <f ca="1">IFERROR(__xludf.DUMMYFUNCTION("""COMPUTED_VALUE"""),13)</f>
        <v>13</v>
      </c>
      <c r="AQ428" s="27" t="str">
        <f ca="1">IFERROR(__xludf.DUMMYFUNCTION("""COMPUTED_VALUE"""),"Primeiro Semestre 2021")</f>
        <v>Primeiro Semestre 2021</v>
      </c>
      <c r="AR428" s="27" t="str">
        <f ca="1">IFERROR(__xludf.DUMMYFUNCTION("""COMPUTED_VALUE"""),"lidinalva.fernandes@gmail.com")</f>
        <v>lidinalva.fernandes@gmail.com</v>
      </c>
      <c r="AS428" s="27" t="str">
        <f ca="1">IFERROR(__xludf.DUMMYFUNCTION("""COMPUTED_VALUE"""),"(38)9185-1718")</f>
        <v>(38)9185-1718</v>
      </c>
      <c r="AT428" s="29">
        <f ca="1">IFERROR(__xludf.DUMMYFUNCTION("""COMPUTED_VALUE"""),24169)</f>
        <v>24169</v>
      </c>
      <c r="AU428" s="27">
        <f ca="1">IFERROR(__xludf.DUMMYFUNCTION("""COMPUTED_VALUE"""),56)</f>
        <v>56</v>
      </c>
      <c r="AV428" s="27">
        <f ca="1">IFERROR(__xludf.DUMMYFUNCTION("""COMPUTED_VALUE"""),82305455615)</f>
        <v>82305455615</v>
      </c>
      <c r="AW428" s="27">
        <f ca="1">IFERROR(__xludf.DUMMYFUNCTION("""COMPUTED_VALUE"""),12844307)</f>
        <v>12844307</v>
      </c>
      <c r="AX428" s="27"/>
      <c r="AY428" s="27"/>
      <c r="AZ428" s="27" t="str">
        <f ca="1">IFERROR(__xludf.DUMMYFUNCTION("""COMPUTED_VALUE"""),"GG")</f>
        <v>GG</v>
      </c>
      <c r="BA428" s="27" t="str">
        <f ca="1">IFERROR(__xludf.DUMMYFUNCTION("""COMPUTED_VALUE"""),"Parda")</f>
        <v>Parda</v>
      </c>
      <c r="BB428" s="27"/>
      <c r="BC428" s="27" t="str">
        <f ca="1">IFERROR(__xludf.DUMMYFUNCTION("""COMPUTED_VALUE"""),"Sim")</f>
        <v>Sim</v>
      </c>
      <c r="BD428" s="27" t="str">
        <f ca="1">IFERROR(__xludf.DUMMYFUNCTION("""COMPUTED_VALUE"""),"Minha vida é a minha missão, adoro estar ajudando o próximo. Durante minha caminhada Deus colocou várias pessoas para mim ajudar , hoje sinto que preciso retribuir. A corrente do amor é como um filho pra mim . E tudo que faço em em prol da instituição. Pa"&amp;"ssei por muitos problemas financeiros depois da pandemia,  mas não desisto do meu sonho de ajudar o meu semelhante .")</f>
        <v>Minha vida é a minha missão, adoro estar ajudando o próximo. Durante minha caminhada Deus colocou várias pessoas para mim ajudar , hoje sinto que preciso retribuir. A corrente do amor é como um filho pra mim . E tudo que faço em em prol da instituição. Passei por muitos problemas financeiros depois da pandemia,  mas não desisto do meu sonho de ajudar o meu semelhante .</v>
      </c>
      <c r="BE428" s="27" t="str">
        <f ca="1">IFERROR(__xludf.DUMMYFUNCTION("""COMPUTED_VALUE"""),"Feminino")</f>
        <v>Feminino</v>
      </c>
      <c r="BF428" s="27" t="str">
        <f ca="1">IFERROR(__xludf.DUMMYFUNCTION("""COMPUTED_VALUE"""),"Heterossexual")</f>
        <v>Heterossexual</v>
      </c>
      <c r="BG428" s="27" t="str">
        <f ca="1">IFERROR(__xludf.DUMMYFUNCTION("""COMPUTED_VALUE"""),"Ensino Médio - Completo")</f>
        <v>Ensino Médio - Completo</v>
      </c>
      <c r="BH428" s="27"/>
      <c r="BI428" s="27"/>
      <c r="BJ428" s="27"/>
      <c r="BK428" s="27" t="str">
        <f ca="1">IFERROR(__xludf.DUMMYFUNCTION("""COMPUTED_VALUE"""),"Bahia")</f>
        <v>Bahia</v>
      </c>
      <c r="BL428" s="27">
        <f ca="1">IFERROR(__xludf.DUMMYFUNCTION("""COMPUTED_VALUE"""),208)</f>
        <v>208</v>
      </c>
      <c r="BM428" s="27"/>
      <c r="BN428" s="27" t="str">
        <f ca="1">IFERROR(__xludf.DUMMYFUNCTION("""COMPUTED_VALUE"""),"Montes Claros")</f>
        <v>Montes Claros</v>
      </c>
      <c r="BO428" s="27" t="str">
        <f ca="1">IFERROR(__xludf.DUMMYFUNCTION("""COMPUTED_VALUE"""),"39400-443")</f>
        <v>39400-443</v>
      </c>
      <c r="BP428" s="27" t="str">
        <f ca="1">IFERROR(__xludf.DUMMYFUNCTION("""COMPUTED_VALUE"""),"MG")</f>
        <v>MG</v>
      </c>
      <c r="BQ428" s="27" t="str">
        <f ca="1">IFERROR(__xludf.DUMMYFUNCTION("""COMPUTED_VALUE"""),"Entre 1 até 3 salários mínimos")</f>
        <v>Entre 1 até 3 salários mínimos</v>
      </c>
      <c r="BR428" s="27" t="str">
        <f ca="1">IFERROR(__xludf.DUMMYFUNCTION("""COMPUTED_VALUE"""),"Trabalho informal")</f>
        <v>Trabalho informal</v>
      </c>
      <c r="BS428" s="27" t="str">
        <f ca="1">IFERROR(__xludf.DUMMYFUNCTION("""COMPUTED_VALUE"""),"Casa própria")</f>
        <v>Casa própria</v>
      </c>
      <c r="BT428" s="27">
        <f ca="1">IFERROR(__xludf.DUMMYFUNCTION("""COMPUTED_VALUE"""),2)</f>
        <v>2</v>
      </c>
      <c r="BU428" s="27"/>
      <c r="BV428" s="27" t="str">
        <f ca="1">IFERROR(__xludf.DUMMYFUNCTION("""COMPUTED_VALUE"""),"Carne de porco")</f>
        <v>Carne de porco</v>
      </c>
      <c r="BW428" s="21" t="str">
        <f ca="1">IFERROR(__xludf.DUMMYFUNCTION("""COMPUTED_VALUE"""),"https://www.instagram.com/lidinalva.fernandes/")</f>
        <v>https://www.instagram.com/lidinalva.fernandes/</v>
      </c>
      <c r="BX428" s="21" t="str">
        <f ca="1">IFERROR(__xludf.DUMMYFUNCTION("""COMPUTED_VALUE"""),"https://www.instagram.com/lidinalva.fernandes/")</f>
        <v>https://www.instagram.com/lidinalva.fernandes/</v>
      </c>
      <c r="BY428" s="21" t="str">
        <f ca="1">IFERROR(__xludf.DUMMYFUNCTION("""COMPUTED_VALUE"""),"https://drive.google.com/open?id=1nSlxtr6X-kMg8N04IoD0xfOEHKifbVG5")</f>
        <v>https://drive.google.com/open?id=1nSlxtr6X-kMg8N04IoD0xfOEHKifbVG5</v>
      </c>
    </row>
    <row r="429" spans="1:77" ht="12.5" x14ac:dyDescent="0.25">
      <c r="A429" s="21" t="str">
        <f ca="1">IFERROR(__xludf.DUMMYFUNCTION("""COMPUTED_VALUE"""),"0014X00002VKCq6QAH")</f>
        <v>0014X00002VKCq6QAH</v>
      </c>
      <c r="B429" s="27" t="str">
        <f ca="1">IFERROR(__xludf.DUMMYFUNCTION("""COMPUTED_VALUE"""),"Fase Inicial")</f>
        <v>Fase Inicial</v>
      </c>
      <c r="C429" s="27" t="str">
        <f ca="1">IFERROR(__xludf.DUMMYFUNCTION("""COMPUTED_VALUE"""),"Fellow")</f>
        <v>Fellow</v>
      </c>
      <c r="D429" s="27" t="str">
        <f ca="1">IFERROR(__xludf.DUMMYFUNCTION("""COMPUTED_VALUE"""),"Ativo")</f>
        <v>Ativo</v>
      </c>
      <c r="E429" s="27" t="str">
        <f ca="1">IFERROR(__xludf.DUMMYFUNCTION("""COMPUTED_VALUE"""),"Instituto Social Cultural de Apoio à Vida Padre Alcides Tres")</f>
        <v>Instituto Social Cultural de Apoio à Vida Padre Alcides Tres</v>
      </c>
      <c r="F429" s="27" t="str">
        <f ca="1">IFERROR(__xludf.DUMMYFUNCTION("""COMPUTED_VALUE"""),"José")</f>
        <v>José</v>
      </c>
      <c r="G429" s="27" t="str">
        <f ca="1">IFERROR(__xludf.DUMMYFUNCTION("""COMPUTED_VALUE"""),"INSTITUTO PADRE ALCIDES TRES")</f>
        <v>INSTITUTO PADRE ALCIDES TRES</v>
      </c>
      <c r="H429" s="27" t="str">
        <f ca="1">IFERROR(__xludf.DUMMYFUNCTION("""COMPUTED_VALUE"""),"18.959.075/0001-60")</f>
        <v>18.959.075/0001-60</v>
      </c>
      <c r="I429" s="27" t="str">
        <f ca="1">IFERROR(__xludf.DUMMYFUNCTION("""COMPUTED_VALUE"""),"Ana Lúcia Souza do Nascimento")</f>
        <v>Ana Lúcia Souza do Nascimento</v>
      </c>
      <c r="J429" s="27" t="str">
        <f ca="1">IFERROR(__xludf.DUMMYFUNCTION("""COMPUTED_VALUE"""),"ipatmt2013@gmail.com")</f>
        <v>ipatmt2013@gmail.com</v>
      </c>
      <c r="K429" s="27" t="str">
        <f ca="1">IFERROR(__xludf.DUMMYFUNCTION("""COMPUTED_VALUE"""),"(88)99679-8461")</f>
        <v>(88)99679-8461</v>
      </c>
      <c r="L429" s="27" t="str">
        <f ca="1">IFERROR(__xludf.DUMMYFUNCTION("""COMPUTED_VALUE"""),"CE")</f>
        <v>CE</v>
      </c>
      <c r="M429" s="27" t="str">
        <f ca="1">IFERROR(__xludf.DUMMYFUNCTION("""COMPUTED_VALUE"""),"Rua Manoel Cursino de Melo")</f>
        <v>Rua Manoel Cursino de Melo</v>
      </c>
      <c r="N429" s="27" t="str">
        <f ca="1">IFERROR(__xludf.DUMMYFUNCTION("""COMPUTED_VALUE"""),"Centro")</f>
        <v>Centro</v>
      </c>
      <c r="O429" s="27">
        <f ca="1">IFERROR(__xludf.DUMMYFUNCTION("""COMPUTED_VALUE"""),310)</f>
        <v>310</v>
      </c>
      <c r="P429" s="27" t="str">
        <f ca="1">IFERROR(__xludf.DUMMYFUNCTION("""COMPUTED_VALUE"""),"Monsenhor Tabosa")</f>
        <v>Monsenhor Tabosa</v>
      </c>
      <c r="Q429" s="27"/>
      <c r="R429" s="27" t="str">
        <f ca="1">IFERROR(__xludf.DUMMYFUNCTION("""COMPUTED_VALUE"""),"63780-000")</f>
        <v>63780-000</v>
      </c>
      <c r="S429" s="27" t="str">
        <f ca="1">IFERROR(__xludf.DUMMYFUNCTION("""COMPUTED_VALUE"""),"Sim")</f>
        <v>Sim</v>
      </c>
      <c r="T429" s="27"/>
      <c r="U429" s="27" t="str">
        <f ca="1">IFERROR(__xludf.DUMMYFUNCTION("""COMPUTED_VALUE"""),"Adolescentes (12 aos 18 anos), Jovens (18 aos 24 anos), Adultos, Idosos (60 anos ou mais)")</f>
        <v>Adolescentes (12 aos 18 anos), Jovens (18 aos 24 anos), Adultos, Idosos (60 anos ou mais)</v>
      </c>
      <c r="V429" s="27" t="str">
        <f ca="1">IFERROR(__xludf.DUMMYFUNCTION("""COMPUTED_VALUE"""),"Moradores de Favelas, Comunidade rural, Outros")</f>
        <v>Moradores de Favelas, Comunidade rural, Outros</v>
      </c>
      <c r="W429" s="27">
        <f ca="1">IFERROR(__xludf.DUMMYFUNCTION("""COMPUTED_VALUE"""),10)</f>
        <v>10</v>
      </c>
      <c r="X429" s="27"/>
      <c r="Y429" s="27"/>
      <c r="Z429" s="27">
        <f ca="1">IFERROR(__xludf.DUMMYFUNCTION("""COMPUTED_VALUE"""),300)</f>
        <v>300</v>
      </c>
      <c r="AA429" s="29">
        <f ca="1">IFERROR(__xludf.DUMMYFUNCTION("""COMPUTED_VALUE"""),44759)</f>
        <v>44759</v>
      </c>
      <c r="AB429" s="27" t="str">
        <f ca="1">IFERROR(__xludf.DUMMYFUNCTION("""COMPUTED_VALUE"""),"Sim")</f>
        <v>Sim</v>
      </c>
      <c r="AC429" s="27">
        <f ca="1">IFERROR(__xludf.DUMMYFUNCTION("""COMPUTED_VALUE"""),0)</f>
        <v>0</v>
      </c>
      <c r="AD429" s="27">
        <f ca="1">IFERROR(__xludf.DUMMYFUNCTION("""COMPUTED_VALUE"""),6)</f>
        <v>6</v>
      </c>
      <c r="AE429" s="27">
        <f ca="1">IFERROR(__xludf.DUMMYFUNCTION("""COMPUTED_VALUE"""),10)</f>
        <v>10</v>
      </c>
      <c r="AF429" s="27">
        <f ca="1">IFERROR(__xludf.DUMMYFUNCTION("""COMPUTED_VALUE"""),8)</f>
        <v>8</v>
      </c>
      <c r="AG429" s="27">
        <f ca="1">IFERROR(__xludf.DUMMYFUNCTION("""COMPUTED_VALUE"""),2)</f>
        <v>2</v>
      </c>
      <c r="AH429" s="27" t="str">
        <f ca="1">IFERROR(__xludf.DUMMYFUNCTION("""COMPUTED_VALUE"""),"Lei de Incentivo, Doações")</f>
        <v>Lei de Incentivo, Doações</v>
      </c>
      <c r="AI429" s="27" t="str">
        <f ca="1">IFERROR(__xludf.DUMMYFUNCTION("""COMPUTED_VALUE"""),"50% Lei de Incentivo (Sua Nota Tem Valor) - 50% Doações")</f>
        <v>50% Lei de Incentivo (Sua Nota Tem Valor) - 50% Doações</v>
      </c>
      <c r="AJ429" s="27" t="str">
        <f ca="1">IFERROR(__xludf.DUMMYFUNCTION("""COMPUTED_VALUE"""),"Não")</f>
        <v>Não</v>
      </c>
      <c r="AK429" s="27"/>
      <c r="AL429" s="21" t="str">
        <f ca="1">IFERROR(__xludf.DUMMYFUNCTION("""COMPUTED_VALUE"""),"0034X0000380O1L")</f>
        <v>0034X0000380O1L</v>
      </c>
      <c r="AM429" s="27" t="str">
        <f ca="1">IFERROR(__xludf.DUMMYFUNCTION("""COMPUTED_VALUE"""),"Wellington do nascimento coelho")</f>
        <v>Wellington do nascimento coelho</v>
      </c>
      <c r="AN429" s="27" t="str">
        <f ca="1">IFERROR(__xludf.DUMMYFUNCTION("""COMPUTED_VALUE"""),"Ativo")</f>
        <v>Ativo</v>
      </c>
      <c r="AO429" s="29">
        <f ca="1">IFERROR(__xludf.DUMMYFUNCTION("""COMPUTED_VALUE"""),44763)</f>
        <v>44763</v>
      </c>
      <c r="AP429" s="27">
        <f ca="1">IFERROR(__xludf.DUMMYFUNCTION("""COMPUTED_VALUE"""),2)</f>
        <v>2</v>
      </c>
      <c r="AQ429" s="27" t="str">
        <f ca="1">IFERROR(__xludf.DUMMYFUNCTION("""COMPUTED_VALUE"""),"Primeiro Semestre 2022")</f>
        <v>Primeiro Semestre 2022</v>
      </c>
      <c r="AR429" s="27" t="str">
        <f ca="1">IFERROR(__xludf.DUMMYFUNCTION("""COMPUTED_VALUE"""),"leletoalquimista@gmail.com")</f>
        <v>leletoalquimista@gmail.com</v>
      </c>
      <c r="AS429" s="27" t="str">
        <f ca="1">IFERROR(__xludf.DUMMYFUNCTION("""COMPUTED_VALUE"""),"(88)99679-8461")</f>
        <v>(88)99679-8461</v>
      </c>
      <c r="AT429" s="29">
        <f ca="1">IFERROR(__xludf.DUMMYFUNCTION("""COMPUTED_VALUE"""),34191)</f>
        <v>34191</v>
      </c>
      <c r="AU429" s="27">
        <f ca="1">IFERROR(__xludf.DUMMYFUNCTION("""COMPUTED_VALUE"""),29)</f>
        <v>29</v>
      </c>
      <c r="AV429" s="27">
        <f ca="1">IFERROR(__xludf.DUMMYFUNCTION("""COMPUTED_VALUE"""),5427089306)</f>
        <v>5427089306</v>
      </c>
      <c r="AW429" s="27">
        <f ca="1">IFERROR(__xludf.DUMMYFUNCTION("""COMPUTED_VALUE"""),2001098020896)</f>
        <v>2001098020896</v>
      </c>
      <c r="AX429" s="27"/>
      <c r="AY429" s="27" t="str">
        <f ca="1">IFERROR(__xludf.DUMMYFUNCTION("""COMPUTED_VALUE"""),"Diretor Administrativo")</f>
        <v>Diretor Administrativo</v>
      </c>
      <c r="AZ429" s="27" t="str">
        <f ca="1">IFERROR(__xludf.DUMMYFUNCTION("""COMPUTED_VALUE"""),"M")</f>
        <v>M</v>
      </c>
      <c r="BA429" s="27" t="str">
        <f ca="1">IFERROR(__xludf.DUMMYFUNCTION("""COMPUTED_VALUE"""),"Parda")</f>
        <v>Parda</v>
      </c>
      <c r="BB429" s="27"/>
      <c r="BC429" s="27"/>
      <c r="BD429" s="27" t="str">
        <f ca="1">IFERROR(__xludf.DUMMYFUNCTION("""COMPUTED_VALUE"""),"José Wellington, 28 anos, nasci na cidade de Monsenhor Tabosa/CE, no sertão cearense e participo da gestão do Instituto Padre Alcides Tres.
Minha trajetória no campo social começou na minha infância, quando fui assistido e acolhido pelo Padre Alcides Tres"&amp;". Ele, como (mobilizador social), sempre inspirou a minha vida e hoje leva o nome da organização.
Através da convivência com ele, aprendi a mobilizar pessoas e desenvolver atividades voltadas para os cuidados com a vida.")</f>
        <v>José Wellington, 28 anos, nasci na cidade de Monsenhor Tabosa/CE, no sertão cearense e participo da gestão do Instituto Padre Alcides Tres.
Minha trajetória no campo social começou na minha infância, quando fui assistido e acolhido pelo Padre Alcides Tres. Ele, como (mobilizador social), sempre inspirou a minha vida e hoje leva o nome da organização.
Através da convivência com ele, aprendi a mobilizar pessoas e desenvolver atividades voltadas para os cuidados com a vida.</v>
      </c>
      <c r="BE429" s="27" t="str">
        <f ca="1">IFERROR(__xludf.DUMMYFUNCTION("""COMPUTED_VALUE"""),"Homem, cisgênero")</f>
        <v>Homem, cisgênero</v>
      </c>
      <c r="BF429" s="27" t="str">
        <f ca="1">IFERROR(__xludf.DUMMYFUNCTION("""COMPUTED_VALUE"""),"Heterossexual")</f>
        <v>Heterossexual</v>
      </c>
      <c r="BG429" s="27" t="str">
        <f ca="1">IFERROR(__xludf.DUMMYFUNCTION("""COMPUTED_VALUE"""),"Ensino Superior - Completo")</f>
        <v>Ensino Superior - Completo</v>
      </c>
      <c r="BH429" s="27" t="str">
        <f ca="1">IFERROR(__xludf.DUMMYFUNCTION("""COMPUTED_VALUE"""),"Público")</f>
        <v>Público</v>
      </c>
      <c r="BI429" s="27" t="str">
        <f ca="1">IFERROR(__xludf.DUMMYFUNCTION("""COMPUTED_VALUE"""),"Graduação")</f>
        <v>Graduação</v>
      </c>
      <c r="BJ429" s="27"/>
      <c r="BK429" s="27" t="str">
        <f ca="1">IFERROR(__xludf.DUMMYFUNCTION("""COMPUTED_VALUE"""),"Rua Prof. Amsterdan Leitão Melo")</f>
        <v>Rua Prof. Amsterdan Leitão Melo</v>
      </c>
      <c r="BL429" s="27">
        <f ca="1">IFERROR(__xludf.DUMMYFUNCTION("""COMPUTED_VALUE"""),132)</f>
        <v>132</v>
      </c>
      <c r="BM429" s="27"/>
      <c r="BN429" s="27" t="str">
        <f ca="1">IFERROR(__xludf.DUMMYFUNCTION("""COMPUTED_VALUE"""),"Monsenhor Tabosa")</f>
        <v>Monsenhor Tabosa</v>
      </c>
      <c r="BO429" s="27" t="str">
        <f ca="1">IFERROR(__xludf.DUMMYFUNCTION("""COMPUTED_VALUE"""),"63780-000")</f>
        <v>63780-000</v>
      </c>
      <c r="BP429" s="27" t="str">
        <f ca="1">IFERROR(__xludf.DUMMYFUNCTION("""COMPUTED_VALUE"""),"CE")</f>
        <v>CE</v>
      </c>
      <c r="BQ429" s="27" t="str">
        <f ca="1">IFERROR(__xludf.DUMMYFUNCTION("""COMPUTED_VALUE"""),"Entre 1 até 3 salários mínimos")</f>
        <v>Entre 1 até 3 salários mínimos</v>
      </c>
      <c r="BR429" s="27" t="str">
        <f ca="1">IFERROR(__xludf.DUMMYFUNCTION("""COMPUTED_VALUE"""),"Desempregado")</f>
        <v>Desempregado</v>
      </c>
      <c r="BS429" s="27" t="str">
        <f ca="1">IFERROR(__xludf.DUMMYFUNCTION("""COMPUTED_VALUE"""),"Casa própria")</f>
        <v>Casa própria</v>
      </c>
      <c r="BT429" s="27">
        <f ca="1">IFERROR(__xludf.DUMMYFUNCTION("""COMPUTED_VALUE"""),3)</f>
        <v>3</v>
      </c>
      <c r="BU429" s="27" t="str">
        <f ca="1">IFERROR(__xludf.DUMMYFUNCTION("""COMPUTED_VALUE"""),"Não tem")</f>
        <v>Não tem</v>
      </c>
      <c r="BV429" s="27" t="str">
        <f ca="1">IFERROR(__xludf.DUMMYFUNCTION("""COMPUTED_VALUE"""),"Não")</f>
        <v>Não</v>
      </c>
      <c r="BW429" s="21" t="str">
        <f ca="1">IFERROR(__xludf.DUMMYFUNCTION("""COMPUTED_VALUE"""),"https://www.linkedin.com/in/wellington-nascimento-969a7234/")</f>
        <v>https://www.linkedin.com/in/wellington-nascimento-969a7234/</v>
      </c>
      <c r="BX429" s="21" t="str">
        <f ca="1">IFERROR(__xludf.DUMMYFUNCTION("""COMPUTED_VALUE"""),"https://www.instagram.com/leleto_alquimista/")</f>
        <v>https://www.instagram.com/leleto_alquimista/</v>
      </c>
      <c r="BY429" s="21" t="str">
        <f ca="1">IFERROR(__xludf.DUMMYFUNCTION("""COMPUTED_VALUE"""),"https://drive.google.com/open?id=1ivcu3DlTo3MRgE5wJUo_yLnaw5Ntu263")</f>
        <v>https://drive.google.com/open?id=1ivcu3DlTo3MRgE5wJUo_yLnaw5Ntu263</v>
      </c>
    </row>
    <row r="430" spans="1:77" ht="12.5" x14ac:dyDescent="0.25">
      <c r="A430" s="21" t="str">
        <f ca="1">IFERROR(__xludf.DUMMYFUNCTION("""COMPUTED_VALUE"""),"0014X00002VKCqhQAH")</f>
        <v>0014X00002VKCqhQAH</v>
      </c>
      <c r="B430" s="27" t="str">
        <f ca="1">IFERROR(__xludf.DUMMYFUNCTION("""COMPUTED_VALUE"""),"Fase Inicial")</f>
        <v>Fase Inicial</v>
      </c>
      <c r="C430" s="27" t="str">
        <f ca="1">IFERROR(__xludf.DUMMYFUNCTION("""COMPUTED_VALUE"""),"Fellow")</f>
        <v>Fellow</v>
      </c>
      <c r="D430" s="27" t="str">
        <f ca="1">IFERROR(__xludf.DUMMYFUNCTION("""COMPUTED_VALUE"""),"Ativo")</f>
        <v>Ativo</v>
      </c>
      <c r="E430" s="27" t="str">
        <f ca="1">IFERROR(__xludf.DUMMYFUNCTION("""COMPUTED_VALUE"""),"INSTITUTO SOCIAL DE ASSISTÊNCIA COMUNITÁRIA MÃO AMIGA")</f>
        <v>INSTITUTO SOCIAL DE ASSISTÊNCIA COMUNITÁRIA MÃO AMIGA</v>
      </c>
      <c r="F430" s="27" t="str">
        <f ca="1">IFERROR(__xludf.DUMMYFUNCTION("""COMPUTED_VALUE"""),"ELVES")</f>
        <v>ELVES</v>
      </c>
      <c r="G430" s="27" t="str">
        <f ca="1">IFERROR(__xludf.DUMMYFUNCTION("""COMPUTED_VALUE"""),"PROJETO SOCIAL MÃO AMIGA")</f>
        <v>PROJETO SOCIAL MÃO AMIGA</v>
      </c>
      <c r="H430" s="27" t="str">
        <f ca="1">IFERROR(__xludf.DUMMYFUNCTION("""COMPUTED_VALUE"""),"43295795/000115")</f>
        <v>43295795/000115</v>
      </c>
      <c r="I430" s="27" t="str">
        <f ca="1">IFERROR(__xludf.DUMMYFUNCTION("""COMPUTED_VALUE"""),"ELVES DIAS DOS SANTOS CARVALHO")</f>
        <v>ELVES DIAS DOS SANTOS CARVALHO</v>
      </c>
      <c r="J430" s="27" t="str">
        <f ca="1">IFERROR(__xludf.DUMMYFUNCTION("""COMPUTED_VALUE"""),"projetoinstitutoma.2020@gmail.com")</f>
        <v>projetoinstitutoma.2020@gmail.com</v>
      </c>
      <c r="K430" s="27">
        <f ca="1">IFERROR(__xludf.DUMMYFUNCTION("""COMPUTED_VALUE"""),77999771462)</f>
        <v>77999771462</v>
      </c>
      <c r="L430" s="27" t="str">
        <f ca="1">IFERROR(__xludf.DUMMYFUNCTION("""COMPUTED_VALUE"""),"BA")</f>
        <v>BA</v>
      </c>
      <c r="M430" s="27" t="str">
        <f ca="1">IFERROR(__xludf.DUMMYFUNCTION("""COMPUTED_VALUE"""),"COMUNIDADE QUILOMBOLA TOME NUNES")</f>
        <v>COMUNIDADE QUILOMBOLA TOME NUNES</v>
      </c>
      <c r="N430" s="27" t="str">
        <f ca="1">IFERROR(__xludf.DUMMYFUNCTION("""COMPUTED_VALUE"""),"ZONA RURAL")</f>
        <v>ZONA RURAL</v>
      </c>
      <c r="O430" s="27" t="str">
        <f ca="1">IFERROR(__xludf.DUMMYFUNCTION("""COMPUTED_VALUE"""),"S/N")</f>
        <v>S/N</v>
      </c>
      <c r="P430" s="27" t="str">
        <f ca="1">IFERROR(__xludf.DUMMYFUNCTION("""COMPUTED_VALUE"""),"Malhada")</f>
        <v>Malhada</v>
      </c>
      <c r="Q430" s="27"/>
      <c r="R430" s="27" t="str">
        <f ca="1">IFERROR(__xludf.DUMMYFUNCTION("""COMPUTED_VALUE"""),"46440-000")</f>
        <v>46440-000</v>
      </c>
      <c r="S430" s="27"/>
      <c r="T430" s="27"/>
      <c r="U430" s="27"/>
      <c r="V430" s="27"/>
      <c r="W430" s="27">
        <f ca="1">IFERROR(__xludf.DUMMYFUNCTION("""COMPUTED_VALUE"""),5)</f>
        <v>5</v>
      </c>
      <c r="X430" s="27"/>
      <c r="Y430" s="27"/>
      <c r="Z430" s="27">
        <f ca="1">IFERROR(__xludf.DUMMYFUNCTION("""COMPUTED_VALUE"""),5000)</f>
        <v>5000</v>
      </c>
      <c r="AA430" s="29">
        <f ca="1">IFERROR(__xludf.DUMMYFUNCTION("""COMPUTED_VALUE"""),43906)</f>
        <v>43906</v>
      </c>
      <c r="AB430" s="27" t="str">
        <f ca="1">IFERROR(__xludf.DUMMYFUNCTION("""COMPUTED_VALUE"""),"Sim")</f>
        <v>Sim</v>
      </c>
      <c r="AC430" s="27">
        <f ca="1">IFERROR(__xludf.DUMMYFUNCTION("""COMPUTED_VALUE"""),0)</f>
        <v>0</v>
      </c>
      <c r="AD430" s="27"/>
      <c r="AE430" s="27">
        <f ca="1">IFERROR(__xludf.DUMMYFUNCTION("""COMPUTED_VALUE"""),10)</f>
        <v>10</v>
      </c>
      <c r="AF430" s="27"/>
      <c r="AG430" s="27">
        <f ca="1">IFERROR(__xludf.DUMMYFUNCTION("""COMPUTED_VALUE"""),4)</f>
        <v>4</v>
      </c>
      <c r="AH430" s="27"/>
      <c r="AI430" s="31">
        <f ca="1">IFERROR(__xludf.DUMMYFUNCTION("""COMPUTED_VALUE"""),0.2)</f>
        <v>0.2</v>
      </c>
      <c r="AJ430" s="27" t="str">
        <f ca="1">IFERROR(__xludf.DUMMYFUNCTION("""COMPUTED_VALUE"""),"Sim")</f>
        <v>Sim</v>
      </c>
      <c r="AK430" s="27"/>
      <c r="AL430" s="21" t="str">
        <f ca="1">IFERROR(__xludf.DUMMYFUNCTION("""COMPUTED_VALUE"""),"0034X0000380O1D")</f>
        <v>0034X0000380O1D</v>
      </c>
      <c r="AM430" s="27" t="str">
        <f ca="1">IFERROR(__xludf.DUMMYFUNCTION("""COMPUTED_VALUE"""),"Dias dos santos carvalho")</f>
        <v>Dias dos santos carvalho</v>
      </c>
      <c r="AN430" s="27" t="str">
        <f ca="1">IFERROR(__xludf.DUMMYFUNCTION("""COMPUTED_VALUE"""),"Ativo")</f>
        <v>Ativo</v>
      </c>
      <c r="AO430" s="29">
        <f ca="1">IFERROR(__xludf.DUMMYFUNCTION("""COMPUTED_VALUE"""),44763)</f>
        <v>44763</v>
      </c>
      <c r="AP430" s="27">
        <f ca="1">IFERROR(__xludf.DUMMYFUNCTION("""COMPUTED_VALUE"""),2)</f>
        <v>2</v>
      </c>
      <c r="AQ430" s="27" t="str">
        <f ca="1">IFERROR(__xludf.DUMMYFUNCTION("""COMPUTED_VALUE"""),"Primeiro Semestre 2022")</f>
        <v>Primeiro Semestre 2022</v>
      </c>
      <c r="AR430" s="27" t="str">
        <f ca="1">IFERROR(__xludf.DUMMYFUNCTION("""COMPUTED_VALUE"""),"elvesc682@gmail.com")</f>
        <v>elvesc682@gmail.com</v>
      </c>
      <c r="AS430" s="27" t="str">
        <f ca="1">IFERROR(__xludf.DUMMYFUNCTION("""COMPUTED_VALUE"""),"(77)99977-6214")</f>
        <v>(77)99977-6214</v>
      </c>
      <c r="AT430" s="29">
        <f ca="1">IFERROR(__xludf.DUMMYFUNCTION("""COMPUTED_VALUE"""),31089)</f>
        <v>31089</v>
      </c>
      <c r="AU430" s="27">
        <f ca="1">IFERROR(__xludf.DUMMYFUNCTION("""COMPUTED_VALUE"""),37)</f>
        <v>37</v>
      </c>
      <c r="AV430" s="27">
        <f ca="1">IFERROR(__xludf.DUMMYFUNCTION("""COMPUTED_VALUE"""),8453092699)</f>
        <v>8453092699</v>
      </c>
      <c r="AW430" s="27">
        <f ca="1">IFERROR(__xludf.DUMMYFUNCTION("""COMPUTED_VALUE"""),12450784)</f>
        <v>12450784</v>
      </c>
      <c r="AX430" s="27"/>
      <c r="AY430" s="27" t="str">
        <f ca="1">IFERROR(__xludf.DUMMYFUNCTION("""COMPUTED_VALUE"""),"PRESIDENTE")</f>
        <v>PRESIDENTE</v>
      </c>
      <c r="AZ430" s="27" t="str">
        <f ca="1">IFERROR(__xludf.DUMMYFUNCTION("""COMPUTED_VALUE"""),"M")</f>
        <v>M</v>
      </c>
      <c r="BA430" s="27" t="str">
        <f ca="1">IFERROR(__xludf.DUMMYFUNCTION("""COMPUTED_VALUE"""),"Preta")</f>
        <v>Preta</v>
      </c>
      <c r="BB430" s="27"/>
      <c r="BC430" s="27"/>
      <c r="BD430" s="27" t="str">
        <f ca="1">IFERROR(__xludf.DUMMYFUNCTION("""COMPUTED_VALUE"""),"Sou Elves Carvalho, nasci no Quilombo Tome Nunes as margens do rio São Francisco , no município de Malhada , estado da Bahia . Cheguei em Santa Luzia com 21 anos , para jogar no Clube de Futebol União Luziense , e com termino do campeonato , fiquei sem te"&amp;"r onde ir e se perspectiva nenhuma de vida , e com vergonha de voltar para casa dos meus pais , resolvi ficar e enfrentei muitas dificuldades na vida.")</f>
        <v>Sou Elves Carvalho, nasci no Quilombo Tome Nunes as margens do rio São Francisco , no município de Malhada , estado da Bahia . Cheguei em Santa Luzia com 21 anos , para jogar no Clube de Futebol União Luziense , e com termino do campeonato , fiquei sem ter onde ir e se perspectiva nenhuma de vida , e com vergonha de voltar para casa dos meus pais , resolvi ficar e enfrentei muitas dificuldades na vida.</v>
      </c>
      <c r="BE430" s="27" t="str">
        <f ca="1">IFERROR(__xludf.DUMMYFUNCTION("""COMPUTED_VALUE"""),"Homem, cisgênero")</f>
        <v>Homem, cisgênero</v>
      </c>
      <c r="BF430" s="27" t="str">
        <f ca="1">IFERROR(__xludf.DUMMYFUNCTION("""COMPUTED_VALUE"""),"Heterossexual")</f>
        <v>Heterossexual</v>
      </c>
      <c r="BG430" s="27" t="str">
        <f ca="1">IFERROR(__xludf.DUMMYFUNCTION("""COMPUTED_VALUE"""),"Ensino Médio - Completo")</f>
        <v>Ensino Médio - Completo</v>
      </c>
      <c r="BH430" s="27" t="str">
        <f ca="1">IFERROR(__xludf.DUMMYFUNCTION("""COMPUTED_VALUE"""),"Público")</f>
        <v>Público</v>
      </c>
      <c r="BI430" s="27"/>
      <c r="BJ430" s="27"/>
      <c r="BK430" s="27" t="str">
        <f ca="1">IFERROR(__xludf.DUMMYFUNCTION("""COMPUTED_VALUE"""),"RUA PORTO ALEGRE")</f>
        <v>RUA PORTO ALEGRE</v>
      </c>
      <c r="BL430" s="27" t="str">
        <f ca="1">IFERROR(__xludf.DUMMYFUNCTION("""COMPUTED_VALUE"""),"S/N")</f>
        <v>S/N</v>
      </c>
      <c r="BM430" s="27" t="str">
        <f ca="1">IFERROR(__xludf.DUMMYFUNCTION("""COMPUTED_VALUE"""),"CASA")</f>
        <v>CASA</v>
      </c>
      <c r="BN430" s="27" t="str">
        <f ca="1">IFERROR(__xludf.DUMMYFUNCTION("""COMPUTED_VALUE"""),"CARINHANHA")</f>
        <v>CARINHANHA</v>
      </c>
      <c r="BO430" s="27" t="str">
        <f ca="1">IFERROR(__xludf.DUMMYFUNCTION("""COMPUTED_VALUE"""),"46445-000")</f>
        <v>46445-000</v>
      </c>
      <c r="BP430" s="27" t="str">
        <f ca="1">IFERROR(__xludf.DUMMYFUNCTION("""COMPUTED_VALUE"""),"BA")</f>
        <v>BA</v>
      </c>
      <c r="BQ430" s="27" t="str">
        <f ca="1">IFERROR(__xludf.DUMMYFUNCTION("""COMPUTED_VALUE"""),"Entre 1 até 3 salários mínimos")</f>
        <v>Entre 1 até 3 salários mínimos</v>
      </c>
      <c r="BR430" s="27" t="str">
        <f ca="1">IFERROR(__xludf.DUMMYFUNCTION("""COMPUTED_VALUE"""),"Desempregado")</f>
        <v>Desempregado</v>
      </c>
      <c r="BS430" s="27" t="str">
        <f ca="1">IFERROR(__xludf.DUMMYFUNCTION("""COMPUTED_VALUE"""),"Casa própria")</f>
        <v>Casa própria</v>
      </c>
      <c r="BT430" s="27">
        <f ca="1">IFERROR(__xludf.DUMMYFUNCTION("""COMPUTED_VALUE"""),3)</f>
        <v>3</v>
      </c>
      <c r="BU430" s="27" t="str">
        <f ca="1">IFERROR(__xludf.DUMMYFUNCTION("""COMPUTED_VALUE"""),"Não tem")</f>
        <v>Não tem</v>
      </c>
      <c r="BV430" s="27" t="str">
        <f ca="1">IFERROR(__xludf.DUMMYFUNCTION("""COMPUTED_VALUE"""),"Não")</f>
        <v>Não</v>
      </c>
      <c r="BW430" s="27"/>
      <c r="BX430" s="21" t="str">
        <f ca="1">IFERROR(__xludf.DUMMYFUNCTION("""COMPUTED_VALUE"""),"https://www.instagram.com/projetosocialmaoamiga3/")</f>
        <v>https://www.instagram.com/projetosocialmaoamiga3/</v>
      </c>
      <c r="BY430" s="21" t="str">
        <f ca="1">IFERROR(__xludf.DUMMYFUNCTION("""COMPUTED_VALUE"""),"https://drive.google.com/open?id=1MMXWQerkqwsIAZAz8dY_kaKkI4sXGc3s")</f>
        <v>https://drive.google.com/open?id=1MMXWQerkqwsIAZAz8dY_kaKkI4sXGc3s</v>
      </c>
    </row>
    <row r="431" spans="1:77" ht="12.5" hidden="1" x14ac:dyDescent="0.25">
      <c r="A431" s="21" t="str">
        <f ca="1">IFERROR(__xludf.DUMMYFUNCTION("""COMPUTED_VALUE"""),"0014X00002VKCptQAH")</f>
        <v>0014X00002VKCptQAH</v>
      </c>
      <c r="B431" s="27" t="str">
        <f ca="1">IFERROR(__xludf.DUMMYFUNCTION("""COMPUTED_VALUE"""),"Fase Inicial")</f>
        <v>Fase Inicial</v>
      </c>
      <c r="C431" s="27" t="str">
        <f ca="1">IFERROR(__xludf.DUMMYFUNCTION("""COMPUTED_VALUE"""),"Fellow")</f>
        <v>Fellow</v>
      </c>
      <c r="D431" s="27" t="str">
        <f ca="1">IFERROR(__xludf.DUMMYFUNCTION("""COMPUTED_VALUE"""),"Ativo")</f>
        <v>Ativo</v>
      </c>
      <c r="E431" s="27" t="str">
        <f ca="1">IFERROR(__xludf.DUMMYFUNCTION("""COMPUTED_VALUE"""),"Instituto Social De Todo Coração")</f>
        <v>Instituto Social De Todo Coração</v>
      </c>
      <c r="F431" s="27" t="str">
        <f ca="1">IFERROR(__xludf.DUMMYFUNCTION("""COMPUTED_VALUE"""),"Euselia")</f>
        <v>Euselia</v>
      </c>
      <c r="G431" s="27" t="str">
        <f ca="1">IFERROR(__xludf.DUMMYFUNCTION("""COMPUTED_VALUE"""),"IDTC")</f>
        <v>IDTC</v>
      </c>
      <c r="H431" s="27" t="str">
        <f ca="1">IFERROR(__xludf.DUMMYFUNCTION("""COMPUTED_VALUE"""),"69.382.406/0001-82")</f>
        <v>69.382.406/0001-82</v>
      </c>
      <c r="I431" s="27" t="str">
        <f ca="1">IFERROR(__xludf.DUMMYFUNCTION("""COMPUTED_VALUE"""),"Bezaleel Silveira Silva")</f>
        <v>Bezaleel Silveira Silva</v>
      </c>
      <c r="J431" s="27" t="str">
        <f ca="1">IFERROR(__xludf.DUMMYFUNCTION("""COMPUTED_VALUE"""),"institutodetodocoracao@gmail.com")</f>
        <v>institutodetodocoracao@gmail.com</v>
      </c>
      <c r="K431" s="27" t="str">
        <f ca="1">IFERROR(__xludf.DUMMYFUNCTION("""COMPUTED_VALUE"""),"(98)3225-3354")</f>
        <v>(98)3225-3354</v>
      </c>
      <c r="L431" s="27" t="str">
        <f ca="1">IFERROR(__xludf.DUMMYFUNCTION("""COMPUTED_VALUE"""),"MA")</f>
        <v>MA</v>
      </c>
      <c r="M431" s="27" t="str">
        <f ca="1">IFERROR(__xludf.DUMMYFUNCTION("""COMPUTED_VALUE"""),"Praça Leon Richini")</f>
        <v>Praça Leon Richini</v>
      </c>
      <c r="N431" s="27" t="str">
        <f ca="1">IFERROR(__xludf.DUMMYFUNCTION("""COMPUTED_VALUE"""),"Cohab Anil 3")</f>
        <v>Cohab Anil 3</v>
      </c>
      <c r="O431" s="27">
        <f ca="1">IFERROR(__xludf.DUMMYFUNCTION("""COMPUTED_VALUE"""),3)</f>
        <v>3</v>
      </c>
      <c r="P431" s="27" t="str">
        <f ca="1">IFERROR(__xludf.DUMMYFUNCTION("""COMPUTED_VALUE"""),"São Luís")</f>
        <v>São Luís</v>
      </c>
      <c r="Q431" s="27" t="str">
        <f ca="1">IFERROR(__xludf.DUMMYFUNCTION("""COMPUTED_VALUE"""),"Casa")</f>
        <v>Casa</v>
      </c>
      <c r="R431" s="27" t="str">
        <f ca="1">IFERROR(__xludf.DUMMYFUNCTION("""COMPUTED_VALUE"""),"65051-410")</f>
        <v>65051-410</v>
      </c>
      <c r="S431" s="27" t="str">
        <f ca="1">IFERROR(__xludf.DUMMYFUNCTION("""COMPUTED_VALUE"""),"Sim")</f>
        <v>Sim</v>
      </c>
      <c r="T431" s="27"/>
      <c r="U431" s="27" t="str">
        <f ca="1">IFERROR(__xludf.DUMMYFUNCTION("""COMPUTED_VALUE"""),"Crianças bem pequenas (1 ano e 7 meses até 3 anos e 11 meses), Crianças pequenas (4 anos a 5 anos e 11 meses)")</f>
        <v>Crianças bem pequenas (1 ano e 7 meses até 3 anos e 11 meses), Crianças pequenas (4 anos a 5 anos e 11 meses)</v>
      </c>
      <c r="V431" s="27" t="str">
        <f ca="1">IFERROR(__xludf.DUMMYFUNCTION("""COMPUTED_VALUE"""),"Moradores de Favelas")</f>
        <v>Moradores de Favelas</v>
      </c>
      <c r="W431" s="27">
        <f ca="1">IFERROR(__xludf.DUMMYFUNCTION("""COMPUTED_VALUE"""),3)</f>
        <v>3</v>
      </c>
      <c r="X431" s="27" t="str">
        <f ca="1">IFERROR(__xludf.DUMMYFUNCTION("""COMPUTED_VALUE"""),"Trabalhamos com reforço escolar e a partir deste ano com creche e ensino infantil (crianças de 2 a 6 anos). Atuamos com mulheres em situação de risco e vulnerabilidade e jovens do ensino médio em escola pública.")</f>
        <v>Trabalhamos com reforço escolar e a partir deste ano com creche e ensino infantil (crianças de 2 a 6 anos). Atuamos com mulheres em situação de risco e vulnerabilidade e jovens do ensino médio em escola pública.</v>
      </c>
      <c r="Y431" s="27"/>
      <c r="Z431" s="27">
        <f ca="1">IFERROR(__xludf.DUMMYFUNCTION("""COMPUTED_VALUE"""),95)</f>
        <v>95</v>
      </c>
      <c r="AA431" s="29">
        <f ca="1">IFERROR(__xludf.DUMMYFUNCTION("""COMPUTED_VALUE"""),33875)</f>
        <v>33875</v>
      </c>
      <c r="AB431" s="27" t="str">
        <f ca="1">IFERROR(__xludf.DUMMYFUNCTION("""COMPUTED_VALUE"""),"Sim")</f>
        <v>Sim</v>
      </c>
      <c r="AC431" s="27">
        <f ca="1">IFERROR(__xludf.DUMMYFUNCTION("""COMPUTED_VALUE"""),8)</f>
        <v>8</v>
      </c>
      <c r="AD431" s="27">
        <f ca="1">IFERROR(__xludf.DUMMYFUNCTION("""COMPUTED_VALUE"""),6)</f>
        <v>6</v>
      </c>
      <c r="AE431" s="27">
        <f ca="1">IFERROR(__xludf.DUMMYFUNCTION("""COMPUTED_VALUE"""),14)</f>
        <v>14</v>
      </c>
      <c r="AF431" s="27">
        <f ca="1">IFERROR(__xludf.DUMMYFUNCTION("""COMPUTED_VALUE"""),8)</f>
        <v>8</v>
      </c>
      <c r="AG431" s="27">
        <f ca="1">IFERROR(__xludf.DUMMYFUNCTION("""COMPUTED_VALUE"""),2)</f>
        <v>2</v>
      </c>
      <c r="AH431" s="27" t="str">
        <f ca="1">IFERROR(__xludf.DUMMYFUNCTION("""COMPUTED_VALUE"""),"Outro(s)")</f>
        <v>Outro(s)</v>
      </c>
      <c r="AI431" s="27">
        <f ca="1">IFERROR(__xludf.DUMMYFUNCTION("""COMPUTED_VALUE"""),0)</f>
        <v>0</v>
      </c>
      <c r="AJ431" s="27" t="str">
        <f ca="1">IFERROR(__xludf.DUMMYFUNCTION("""COMPUTED_VALUE"""),"Sim")</f>
        <v>Sim</v>
      </c>
      <c r="AK431" s="27"/>
      <c r="AL431" s="21" t="str">
        <f ca="1">IFERROR(__xludf.DUMMYFUNCTION("""COMPUTED_VALUE"""),"0034X0000380O55")</f>
        <v>0034X0000380O55</v>
      </c>
      <c r="AM431" s="27" t="str">
        <f ca="1">IFERROR(__xludf.DUMMYFUNCTION("""COMPUTED_VALUE"""),"Silveira silva dutra")</f>
        <v>Silveira silva dutra</v>
      </c>
      <c r="AN431" s="27" t="str">
        <f ca="1">IFERROR(__xludf.DUMMYFUNCTION("""COMPUTED_VALUE"""),"Ativo")</f>
        <v>Ativo</v>
      </c>
      <c r="AO431" s="27"/>
      <c r="AP431" s="27"/>
      <c r="AQ431" s="27" t="str">
        <f ca="1">IFERROR(__xludf.DUMMYFUNCTION("""COMPUTED_VALUE"""),"Primeiro Semestre 2022")</f>
        <v>Primeiro Semestre 2022</v>
      </c>
      <c r="AR431" s="27" t="str">
        <f ca="1">IFERROR(__xludf.DUMMYFUNCTION("""COMPUTED_VALUE"""),"euseliadutra@gmail.com")</f>
        <v>euseliadutra@gmail.com</v>
      </c>
      <c r="AS431" s="27" t="str">
        <f ca="1">IFERROR(__xludf.DUMMYFUNCTION("""COMPUTED_VALUE"""),"98 98547-1805")</f>
        <v>98 98547-1805</v>
      </c>
      <c r="AT431" s="29">
        <f ca="1">IFERROR(__xludf.DUMMYFUNCTION("""COMPUTED_VALUE"""),26239)</f>
        <v>26239</v>
      </c>
      <c r="AU431" s="27">
        <f ca="1">IFERROR(__xludf.DUMMYFUNCTION("""COMPUTED_VALUE"""),51)</f>
        <v>51</v>
      </c>
      <c r="AV431" s="27">
        <f ca="1">IFERROR(__xludf.DUMMYFUNCTION("""COMPUTED_VALUE"""),43796273300)</f>
        <v>43796273300</v>
      </c>
      <c r="AW431" s="27">
        <f ca="1">IFERROR(__xludf.DUMMYFUNCTION("""COMPUTED_VALUE"""),207135940)</f>
        <v>207135940</v>
      </c>
      <c r="AX431" s="27"/>
      <c r="AY431" s="27"/>
      <c r="AZ431" s="27" t="str">
        <f ca="1">IFERROR(__xludf.DUMMYFUNCTION("""COMPUTED_VALUE"""),"M")</f>
        <v>M</v>
      </c>
      <c r="BA431" s="27" t="str">
        <f ca="1">IFERROR(__xludf.DUMMYFUNCTION("""COMPUTED_VALUE"""),"Parda")</f>
        <v>Parda</v>
      </c>
      <c r="BB431" s="27"/>
      <c r="BC431" s="27"/>
      <c r="BD431" s="27" t="str">
        <f ca="1">IFERROR(__xludf.DUMMYFUNCTION("""COMPUTED_VALUE"""),"Sou alegre por natureza e amo fazer o bem ao meu próximo. Gosto de fazer novas amizades e receber conhecimentos que vão agregar valores ao meu trabalho e me impulsionar na sua realização. Gosto de colocar a mão na massa* pois sou da ação.")</f>
        <v>Sou alegre por natureza e amo fazer o bem ao meu próximo. Gosto de fazer novas amizades e receber conhecimentos que vão agregar valores ao meu trabalho e me impulsionar na sua realização. Gosto de colocar a mão na massa* pois sou da ação.</v>
      </c>
      <c r="BE431" s="27" t="str">
        <f ca="1">IFERROR(__xludf.DUMMYFUNCTION("""COMPUTED_VALUE"""),"Feminino")</f>
        <v>Feminino</v>
      </c>
      <c r="BF431" s="27" t="str">
        <f ca="1">IFERROR(__xludf.DUMMYFUNCTION("""COMPUTED_VALUE"""),"Heterossexual")</f>
        <v>Heterossexual</v>
      </c>
      <c r="BG431" s="27"/>
      <c r="BH431" s="27" t="str">
        <f ca="1">IFERROR(__xludf.DUMMYFUNCTION("""COMPUTED_VALUE"""),"Público")</f>
        <v>Público</v>
      </c>
      <c r="BI431" s="27" t="str">
        <f ca="1">IFERROR(__xludf.DUMMYFUNCTION("""COMPUTED_VALUE"""),"Graduação")</f>
        <v>Graduação</v>
      </c>
      <c r="BJ431" s="27" t="str">
        <f ca="1">IFERROR(__xludf.DUMMYFUNCTION("""COMPUTED_VALUE"""),"Privado")</f>
        <v>Privado</v>
      </c>
      <c r="BK431" s="27" t="str">
        <f ca="1">IFERROR(__xludf.DUMMYFUNCTION("""COMPUTED_VALUE"""),"Avenida 14")</f>
        <v>Avenida 14</v>
      </c>
      <c r="BL431" s="27">
        <f ca="1">IFERROR(__xludf.DUMMYFUNCTION("""COMPUTED_VALUE"""),73)</f>
        <v>73</v>
      </c>
      <c r="BM431" s="27"/>
      <c r="BN431" s="27"/>
      <c r="BO431" s="27" t="str">
        <f ca="1">IFERROR(__xludf.DUMMYFUNCTION("""COMPUTED_VALUE"""),"65050-270")</f>
        <v>65050-270</v>
      </c>
      <c r="BP431" s="27" t="str">
        <f ca="1">IFERROR(__xludf.DUMMYFUNCTION("""COMPUTED_VALUE"""),"MA")</f>
        <v>MA</v>
      </c>
      <c r="BQ431" s="27" t="str">
        <f ca="1">IFERROR(__xludf.DUMMYFUNCTION("""COMPUTED_VALUE"""),"Entre 1 até 3 salários mínimos")</f>
        <v>Entre 1 até 3 salários mínimos</v>
      </c>
      <c r="BR431" s="27" t="str">
        <f ca="1">IFERROR(__xludf.DUMMYFUNCTION("""COMPUTED_VALUE"""),"Trabalho informal")</f>
        <v>Trabalho informal</v>
      </c>
      <c r="BS431" s="27" t="str">
        <f ca="1">IFERROR(__xludf.DUMMYFUNCTION("""COMPUTED_VALUE"""),"Casa cedida")</f>
        <v>Casa cedida</v>
      </c>
      <c r="BT431" s="27">
        <f ca="1">IFERROR(__xludf.DUMMYFUNCTION("""COMPUTED_VALUE"""),2)</f>
        <v>2</v>
      </c>
      <c r="BU431" s="27" t="str">
        <f ca="1">IFERROR(__xludf.DUMMYFUNCTION("""COMPUTED_VALUE"""),"Não tem")</f>
        <v>Não tem</v>
      </c>
      <c r="BV431" s="27" t="str">
        <f ca="1">IFERROR(__xludf.DUMMYFUNCTION("""COMPUTED_VALUE"""),"Não")</f>
        <v>Não</v>
      </c>
      <c r="BW431" s="21" t="str">
        <f ca="1">IFERROR(__xludf.DUMMYFUNCTION("""COMPUTED_VALUE"""),"https://www.linkedin.com/in/euselia-dutra-97273084")</f>
        <v>https://www.linkedin.com/in/euselia-dutra-97273084</v>
      </c>
      <c r="BX431" s="21" t="str">
        <f ca="1">IFERROR(__xludf.DUMMYFUNCTION("""COMPUTED_VALUE"""),"https://www.instagram.com/euseliadutra/")</f>
        <v>https://www.instagram.com/euseliadutra/</v>
      </c>
      <c r="BY431" s="21" t="str">
        <f ca="1">IFERROR(__xludf.DUMMYFUNCTION("""COMPUTED_VALUE"""),"https://drive.google.com/open?id=1RAgPd5DdIK-hiSAUxrtywNdQYVD-AUdW")</f>
        <v>https://drive.google.com/open?id=1RAgPd5DdIK-hiSAUxrtywNdQYVD-AUdW</v>
      </c>
    </row>
    <row r="432" spans="1:77" ht="12.5" x14ac:dyDescent="0.25">
      <c r="A432" s="21" t="str">
        <f ca="1">IFERROR(__xludf.DUMMYFUNCTION("""COMPUTED_VALUE"""),"0014X00002VKCv6QAH")</f>
        <v>0014X00002VKCv6QAH</v>
      </c>
      <c r="B432" s="27" t="str">
        <f ca="1">IFERROR(__xludf.DUMMYFUNCTION("""COMPUTED_VALUE"""),"Fase Inicial")</f>
        <v>Fase Inicial</v>
      </c>
      <c r="C432" s="27" t="str">
        <f ca="1">IFERROR(__xludf.DUMMYFUNCTION("""COMPUTED_VALUE"""),"Fellow")</f>
        <v>Fellow</v>
      </c>
      <c r="D432" s="27" t="str">
        <f ca="1">IFERROR(__xludf.DUMMYFUNCTION("""COMPUTED_VALUE"""),"Ativo")</f>
        <v>Ativo</v>
      </c>
      <c r="E432" s="27" t="str">
        <f ca="1">IFERROR(__xludf.DUMMYFUNCTION("""COMPUTED_VALUE"""),"Instituto Social Novo Olhar")</f>
        <v>Instituto Social Novo Olhar</v>
      </c>
      <c r="F432" s="27" t="str">
        <f ca="1">IFERROR(__xludf.DUMMYFUNCTION("""COMPUTED_VALUE"""),"Raimunda")</f>
        <v>Raimunda</v>
      </c>
      <c r="G432" s="27" t="str">
        <f ca="1">IFERROR(__xludf.DUMMYFUNCTION("""COMPUTED_VALUE"""),"******")</f>
        <v>******</v>
      </c>
      <c r="H432" s="27" t="str">
        <f ca="1">IFERROR(__xludf.DUMMYFUNCTION("""COMPUTED_VALUE"""),"32.708.183/0001-90")</f>
        <v>32.708.183/0001-90</v>
      </c>
      <c r="I432" s="27" t="str">
        <f ca="1">IFERROR(__xludf.DUMMYFUNCTION("""COMPUTED_VALUE"""),"Rita Vanderlucia da Silva Castro")</f>
        <v>Rita Vanderlucia da Silva Castro</v>
      </c>
      <c r="J432" s="27" t="str">
        <f ca="1">IFERROR(__xludf.DUMMYFUNCTION("""COMPUTED_VALUE"""),"institutonovoolhar2019@gmail.com")</f>
        <v>institutonovoolhar2019@gmail.com</v>
      </c>
      <c r="K432" s="27" t="str">
        <f ca="1">IFERROR(__xludf.DUMMYFUNCTION("""COMPUTED_VALUE"""),"(11)97985-8117")</f>
        <v>(11)97985-8117</v>
      </c>
      <c r="L432" s="27" t="str">
        <f ca="1">IFERROR(__xludf.DUMMYFUNCTION("""COMPUTED_VALUE"""),"SP")</f>
        <v>SP</v>
      </c>
      <c r="M432" s="27" t="str">
        <f ca="1">IFERROR(__xludf.DUMMYFUNCTION("""COMPUTED_VALUE"""),"Rua Fernão Sale")</f>
        <v>Rua Fernão Sale</v>
      </c>
      <c r="N432" s="27" t="str">
        <f ca="1">IFERROR(__xludf.DUMMYFUNCTION("""COMPUTED_VALUE"""),"Centro")</f>
        <v>Centro</v>
      </c>
      <c r="O432" s="27">
        <f ca="1">IFERROR(__xludf.DUMMYFUNCTION("""COMPUTED_VALUE"""),24)</f>
        <v>24</v>
      </c>
      <c r="P432" s="27" t="str">
        <f ca="1">IFERROR(__xludf.DUMMYFUNCTION("""COMPUTED_VALUE"""),"São Paulo")</f>
        <v>São Paulo</v>
      </c>
      <c r="Q432" s="27" t="str">
        <f ca="1">IFERROR(__xludf.DUMMYFUNCTION("""COMPUTED_VALUE"""),"sala 04")</f>
        <v>sala 04</v>
      </c>
      <c r="R432" s="27" t="str">
        <f ca="1">IFERROR(__xludf.DUMMYFUNCTION("""COMPUTED_VALUE"""),"01015-080")</f>
        <v>01015-080</v>
      </c>
      <c r="S432" s="27" t="str">
        <f ca="1">IFERROR(__xludf.DUMMYFUNCTION("""COMPUTED_VALUE"""),"Rua Cheiro Mineiro de Flor, 25 quadra N - Conjunto Habitacional AE Carvalho")</f>
        <v>Rua Cheiro Mineiro de Flor, 25 quadra N - Conjunto Habitacional AE Carvalho</v>
      </c>
      <c r="T432" s="27"/>
      <c r="U432" s="27" t="str">
        <f ca="1">IFERROR(__xludf.DUMMYFUNCTION("""COMPUTED_VALUE"""),"Crianças (6 a 12 anos), Jovens (18 aos 24 anos), Adultos, Idosos (60 anos ou mais)")</f>
        <v>Crianças (6 a 12 anos), Jovens (18 aos 24 anos), Adultos, Idosos (60 anos ou mais)</v>
      </c>
      <c r="V432" s="27" t="str">
        <f ca="1">IFERROR(__xludf.DUMMYFUNCTION("""COMPUTED_VALUE"""),"Moradores de Favelas, Pessoas em situação de rua, Imigrantes")</f>
        <v>Moradores de Favelas, Pessoas em situação de rua, Imigrantes</v>
      </c>
      <c r="W432" s="27">
        <f ca="1">IFERROR(__xludf.DUMMYFUNCTION("""COMPUTED_VALUE"""),2)</f>
        <v>2</v>
      </c>
      <c r="X432" s="27" t="str">
        <f ca="1">IFERROR(__xludf.DUMMYFUNCTION("""COMPUTED_VALUE"""),"atendemos 5 portadores de deficencia mental leve com atividades de terapia  ocupacional de artesanato.")</f>
        <v>atendemos 5 portadores de deficencia mental leve com atividades de terapia  ocupacional de artesanato.</v>
      </c>
      <c r="Y432" s="27"/>
      <c r="Z432" s="27">
        <f ca="1">IFERROR(__xludf.DUMMYFUNCTION("""COMPUTED_VALUE"""),540)</f>
        <v>540</v>
      </c>
      <c r="AA432" s="29">
        <f ca="1">IFERROR(__xludf.DUMMYFUNCTION("""COMPUTED_VALUE"""),43210)</f>
        <v>43210</v>
      </c>
      <c r="AB432" s="27" t="str">
        <f ca="1">IFERROR(__xludf.DUMMYFUNCTION("""COMPUTED_VALUE"""),"Sim")</f>
        <v>Sim</v>
      </c>
      <c r="AC432" s="27">
        <f ca="1">IFERROR(__xludf.DUMMYFUNCTION("""COMPUTED_VALUE"""),0)</f>
        <v>0</v>
      </c>
      <c r="AD432" s="27">
        <f ca="1">IFERROR(__xludf.DUMMYFUNCTION("""COMPUTED_VALUE"""),0)</f>
        <v>0</v>
      </c>
      <c r="AE432" s="27">
        <f ca="1">IFERROR(__xludf.DUMMYFUNCTION("""COMPUTED_VALUE"""),7)</f>
        <v>7</v>
      </c>
      <c r="AF432" s="27">
        <f ca="1">IFERROR(__xludf.DUMMYFUNCTION("""COMPUTED_VALUE"""),2)</f>
        <v>2</v>
      </c>
      <c r="AG432" s="27">
        <f ca="1">IFERROR(__xludf.DUMMYFUNCTION("""COMPUTED_VALUE"""),3)</f>
        <v>3</v>
      </c>
      <c r="AH432" s="27" t="str">
        <f ca="1">IFERROR(__xludf.DUMMYFUNCTION("""COMPUTED_VALUE"""),"Eventos/Ações para captação, Outro(s), Recursos próprios")</f>
        <v>Eventos/Ações para captação, Outro(s), Recursos próprios</v>
      </c>
      <c r="AI432" s="27" t="str">
        <f ca="1">IFERROR(__xludf.DUMMYFUNCTION("""COMPUTED_VALUE"""),"50% recursos proprios 25% Associados e 25% eventos")</f>
        <v>50% recursos proprios 25% Associados e 25% eventos</v>
      </c>
      <c r="AJ432" s="27" t="str">
        <f ca="1">IFERROR(__xludf.DUMMYFUNCTION("""COMPUTED_VALUE"""),"Vamos iniciar esse ano")</f>
        <v>Vamos iniciar esse ano</v>
      </c>
      <c r="AK432" s="27"/>
      <c r="AL432" s="21" t="str">
        <f ca="1">IFERROR(__xludf.DUMMYFUNCTION("""COMPUTED_VALUE"""),"0034X0000380O1r")</f>
        <v>0034X0000380O1r</v>
      </c>
      <c r="AM432" s="27" t="str">
        <f ca="1">IFERROR(__xludf.DUMMYFUNCTION("""COMPUTED_VALUE"""),"Elaine correia silva")</f>
        <v>Elaine correia silva</v>
      </c>
      <c r="AN432" s="27" t="str">
        <f ca="1">IFERROR(__xludf.DUMMYFUNCTION("""COMPUTED_VALUE"""),"Ativo")</f>
        <v>Ativo</v>
      </c>
      <c r="AO432" s="29">
        <f ca="1">IFERROR(__xludf.DUMMYFUNCTION("""COMPUTED_VALUE"""),44763)</f>
        <v>44763</v>
      </c>
      <c r="AP432" s="27">
        <f ca="1">IFERROR(__xludf.DUMMYFUNCTION("""COMPUTED_VALUE"""),2)</f>
        <v>2</v>
      </c>
      <c r="AQ432" s="27" t="str">
        <f ca="1">IFERROR(__xludf.DUMMYFUNCTION("""COMPUTED_VALUE"""),"Primeiro Semestre 2022")</f>
        <v>Primeiro Semestre 2022</v>
      </c>
      <c r="AR432" s="27" t="str">
        <f ca="1">IFERROR(__xludf.DUMMYFUNCTION("""COMPUTED_VALUE"""),"raimundaelaine21@gmail.com")</f>
        <v>raimundaelaine21@gmail.com</v>
      </c>
      <c r="AS432" s="27" t="str">
        <f ca="1">IFERROR(__xludf.DUMMYFUNCTION("""COMPUTED_VALUE"""),"(11)97985-8117")</f>
        <v>(11)97985-8117</v>
      </c>
      <c r="AT432" s="29">
        <f ca="1">IFERROR(__xludf.DUMMYFUNCTION("""COMPUTED_VALUE"""),24781)</f>
        <v>24781</v>
      </c>
      <c r="AU432" s="27">
        <f ca="1">IFERROR(__xludf.DUMMYFUNCTION("""COMPUTED_VALUE"""),55)</f>
        <v>55</v>
      </c>
      <c r="AV432" s="27">
        <f ca="1">IFERROR(__xludf.DUMMYFUNCTION("""COMPUTED_VALUE"""),19066478870)</f>
        <v>19066478870</v>
      </c>
      <c r="AW432" s="27">
        <f ca="1">IFERROR(__xludf.DUMMYFUNCTION("""COMPUTED_VALUE"""),194110874)</f>
        <v>194110874</v>
      </c>
      <c r="AX432" s="27"/>
      <c r="AY432" s="27" t="str">
        <f ca="1">IFERROR(__xludf.DUMMYFUNCTION("""COMPUTED_VALUE"""),"Vice-Presidente")</f>
        <v>Vice-Presidente</v>
      </c>
      <c r="AZ432" s="27" t="str">
        <f ca="1">IFERROR(__xludf.DUMMYFUNCTION("""COMPUTED_VALUE"""),"G1")</f>
        <v>G1</v>
      </c>
      <c r="BA432" s="27" t="str">
        <f ca="1">IFERROR(__xludf.DUMMYFUNCTION("""COMPUTED_VALUE"""),"Parda")</f>
        <v>Parda</v>
      </c>
      <c r="BB432" s="27"/>
      <c r="BC432" s="27"/>
      <c r="BD432" s="27" t="str">
        <f ca="1">IFERROR(__xludf.DUMMYFUNCTION("""COMPUTED_VALUE"""),"Sou Mulher, nordestina, filha de lideres comunitário, tenho 54 anos, mãe, avó, agente de desenvolvimento local e estou vice-presidente no Instituto Social Novo Olhar.")</f>
        <v>Sou Mulher, nordestina, filha de lideres comunitário, tenho 54 anos, mãe, avó, agente de desenvolvimento local e estou vice-presidente no Instituto Social Novo Olhar.</v>
      </c>
      <c r="BE432" s="27" t="str">
        <f ca="1">IFERROR(__xludf.DUMMYFUNCTION("""COMPUTED_VALUE"""),"Outro(s)")</f>
        <v>Outro(s)</v>
      </c>
      <c r="BF432" s="27" t="str">
        <f ca="1">IFERROR(__xludf.DUMMYFUNCTION("""COMPUTED_VALUE"""),"Heterossexual")</f>
        <v>Heterossexual</v>
      </c>
      <c r="BG432" s="27" t="str">
        <f ca="1">IFERROR(__xludf.DUMMYFUNCTION("""COMPUTED_VALUE"""),"Ensino Médio - Incompleto")</f>
        <v>Ensino Médio - Incompleto</v>
      </c>
      <c r="BH432" s="27" t="str">
        <f ca="1">IFERROR(__xludf.DUMMYFUNCTION("""COMPUTED_VALUE"""),"Público")</f>
        <v>Público</v>
      </c>
      <c r="BI432" s="27"/>
      <c r="BJ432" s="27"/>
      <c r="BK432" s="27" t="str">
        <f ca="1">IFERROR(__xludf.DUMMYFUNCTION("""COMPUTED_VALUE"""),"Rua Canção Agalopada")</f>
        <v>Rua Canção Agalopada</v>
      </c>
      <c r="BL432" s="27">
        <f ca="1">IFERROR(__xludf.DUMMYFUNCTION("""COMPUTED_VALUE"""),295)</f>
        <v>295</v>
      </c>
      <c r="BM432" s="27" t="str">
        <f ca="1">IFERROR(__xludf.DUMMYFUNCTION("""COMPUTED_VALUE"""),"Quadra C - casa 1")</f>
        <v>Quadra C - casa 1</v>
      </c>
      <c r="BN432" s="27" t="str">
        <f ca="1">IFERROR(__xludf.DUMMYFUNCTION("""COMPUTED_VALUE"""),"São Paulo")</f>
        <v>São Paulo</v>
      </c>
      <c r="BO432" s="27" t="str">
        <f ca="1">IFERROR(__xludf.DUMMYFUNCTION("""COMPUTED_VALUE"""),"08225-500")</f>
        <v>08225-500</v>
      </c>
      <c r="BP432" s="27" t="str">
        <f ca="1">IFERROR(__xludf.DUMMYFUNCTION("""COMPUTED_VALUE"""),"SP")</f>
        <v>SP</v>
      </c>
      <c r="BQ432" s="27" t="str">
        <f ca="1">IFERROR(__xludf.DUMMYFUNCTION("""COMPUTED_VALUE"""),"Entre 1 até 3 salários mínimos")</f>
        <v>Entre 1 até 3 salários mínimos</v>
      </c>
      <c r="BR432" s="27" t="str">
        <f ca="1">IFERROR(__xludf.DUMMYFUNCTION("""COMPUTED_VALUE"""),"Desempregado")</f>
        <v>Desempregado</v>
      </c>
      <c r="BS432" s="27" t="str">
        <f ca="1">IFERROR(__xludf.DUMMYFUNCTION("""COMPUTED_VALUE"""),"Casa cedida")</f>
        <v>Casa cedida</v>
      </c>
      <c r="BT432" s="27">
        <f ca="1">IFERROR(__xludf.DUMMYFUNCTION("""COMPUTED_VALUE"""),6)</f>
        <v>6</v>
      </c>
      <c r="BU432" s="27" t="str">
        <f ca="1">IFERROR(__xludf.DUMMYFUNCTION("""COMPUTED_VALUE"""),"Não tem")</f>
        <v>Não tem</v>
      </c>
      <c r="BV432" s="27" t="str">
        <f ca="1">IFERROR(__xludf.DUMMYFUNCTION("""COMPUTED_VALUE"""),"Não")</f>
        <v>Não</v>
      </c>
      <c r="BW432" s="21" t="str">
        <f ca="1">IFERROR(__xludf.DUMMYFUNCTION("""COMPUTED_VALUE"""),"https://www.linkedin.com/in/elaine-correia-silva")</f>
        <v>https://www.linkedin.com/in/elaine-correia-silva</v>
      </c>
      <c r="BX432" s="21" t="str">
        <f ca="1">IFERROR(__xludf.DUMMYFUNCTION("""COMPUTED_VALUE"""),"https://www.instagram.com/correiasilvaelaine")</f>
        <v>https://www.instagram.com/correiasilvaelaine</v>
      </c>
      <c r="BY432" s="21" t="str">
        <f ca="1">IFERROR(__xludf.DUMMYFUNCTION("""COMPUTED_VALUE"""),"https://drive.google.com/open?id=1smA-5eLgbZ3yegS-NscyXZ2MxSzaWxi4")</f>
        <v>https://drive.google.com/open?id=1smA-5eLgbZ3yegS-NscyXZ2MxSzaWxi4</v>
      </c>
    </row>
    <row r="433" spans="1:77" ht="12.5" x14ac:dyDescent="0.25">
      <c r="A433" s="21" t="str">
        <f ca="1">IFERROR(__xludf.DUMMYFUNCTION("""COMPUTED_VALUE"""),"0014X00002VKCqbQAH")</f>
        <v>0014X00002VKCqbQAH</v>
      </c>
      <c r="B433" s="27" t="str">
        <f ca="1">IFERROR(__xludf.DUMMYFUNCTION("""COMPUTED_VALUE"""),"Fase Inicial")</f>
        <v>Fase Inicial</v>
      </c>
      <c r="C433" s="27" t="str">
        <f ca="1">IFERROR(__xludf.DUMMYFUNCTION("""COMPUTED_VALUE"""),"Fellow")</f>
        <v>Fellow</v>
      </c>
      <c r="D433" s="27" t="str">
        <f ca="1">IFERROR(__xludf.DUMMYFUNCTION("""COMPUTED_VALUE"""),"Ativo")</f>
        <v>Ativo</v>
      </c>
      <c r="E433" s="27" t="str">
        <f ca="1">IFERROR(__xludf.DUMMYFUNCTION("""COMPUTED_VALUE"""),"INSTITUTO Socioambiental das vertentes")</f>
        <v>INSTITUTO Socioambiental das vertentes</v>
      </c>
      <c r="F433" s="27" t="str">
        <f ca="1">IFERROR(__xludf.DUMMYFUNCTION("""COMPUTED_VALUE"""),"Carmen")</f>
        <v>Carmen</v>
      </c>
      <c r="G433" s="27" t="str">
        <f ca="1">IFERROR(__xludf.DUMMYFUNCTION("""COMPUTED_VALUE"""),"IVERT")</f>
        <v>IVERT</v>
      </c>
      <c r="H433" s="27" t="str">
        <f ca="1">IFERROR(__xludf.DUMMYFUNCTION("""COMPUTED_VALUE"""),"04.621.427/0001-68")</f>
        <v>04.621.427/0001-68</v>
      </c>
      <c r="I433" s="27" t="str">
        <f ca="1">IFERROR(__xludf.DUMMYFUNCTION("""COMPUTED_VALUE"""),"Efigênia Simplicio da Costa")</f>
        <v>Efigênia Simplicio da Costa</v>
      </c>
      <c r="J433" s="27" t="str">
        <f ca="1">IFERROR(__xludf.DUMMYFUNCTION("""COMPUTED_VALUE"""),"institutoivert9@gmail.com")</f>
        <v>institutoivert9@gmail.com</v>
      </c>
      <c r="K433" s="27" t="str">
        <f ca="1">IFERROR(__xludf.DUMMYFUNCTION("""COMPUTED_VALUE"""),"(32)99809-8800")</f>
        <v>(32)99809-8800</v>
      </c>
      <c r="L433" s="27" t="str">
        <f ca="1">IFERROR(__xludf.DUMMYFUNCTION("""COMPUTED_VALUE"""),"MG")</f>
        <v>MG</v>
      </c>
      <c r="M433" s="27" t="str">
        <f ca="1">IFERROR(__xludf.DUMMYFUNCTION("""COMPUTED_VALUE"""),"Rua Professor Carlos Benjamim Gonçalves")</f>
        <v>Rua Professor Carlos Benjamim Gonçalves</v>
      </c>
      <c r="N433" s="27" t="str">
        <f ca="1">IFERROR(__xludf.DUMMYFUNCTION("""COMPUTED_VALUE"""),"Boa Morte")</f>
        <v>Boa Morte</v>
      </c>
      <c r="O433" s="27">
        <f ca="1">IFERROR(__xludf.DUMMYFUNCTION("""COMPUTED_VALUE"""),72)</f>
        <v>72</v>
      </c>
      <c r="P433" s="27" t="str">
        <f ca="1">IFERROR(__xludf.DUMMYFUNCTION("""COMPUTED_VALUE"""),"Barbacena")</f>
        <v>Barbacena</v>
      </c>
      <c r="Q433" s="27" t="str">
        <f ca="1">IFERROR(__xludf.DUMMYFUNCTION("""COMPUTED_VALUE"""),"Casa")</f>
        <v>Casa</v>
      </c>
      <c r="R433" s="27" t="str">
        <f ca="1">IFERROR(__xludf.DUMMYFUNCTION("""COMPUTED_VALUE"""),"36200-128")</f>
        <v>36200-128</v>
      </c>
      <c r="S433" s="27" t="str">
        <f ca="1">IFERROR(__xludf.DUMMYFUNCTION("""COMPUTED_VALUE"""),"Sim. Em escolas, creches, asilos e nas comunidades")</f>
        <v>Sim. Em escolas, creches, asilos e nas comunidades</v>
      </c>
      <c r="T433" s="27"/>
      <c r="U433" s="27" t="str">
        <f ca="1">IFERROR(__xludf.DUMMYFUNCTION("""COMPUTED_VALUE"""),"Crianças (6 a 12 anos), Adolescentes (12 aos 18 anos), Adultos, Idosos (60 anos ou mais)")</f>
        <v>Crianças (6 a 12 anos), Adolescentes (12 aos 18 anos), Adultos, Idosos (60 anos ou mais)</v>
      </c>
      <c r="V433" s="27" t="str">
        <f ca="1">IFERROR(__xludf.DUMMYFUNCTION("""COMPUTED_VALUE"""),"Moradores de Favelas, Pessoas em situação de rua, Povos Indígenas, Quilombola")</f>
        <v>Moradores de Favelas, Pessoas em situação de rua, Povos Indígenas, Quilombola</v>
      </c>
      <c r="W433" s="27">
        <f ca="1">IFERROR(__xludf.DUMMYFUNCTION("""COMPUTED_VALUE"""),4)</f>
        <v>4</v>
      </c>
      <c r="X433" s="27" t="str">
        <f ca="1">IFERROR(__xludf.DUMMYFUNCTION("""COMPUTED_VALUE"""),"O público alvo varia com o tipo de atividade")</f>
        <v>O público alvo varia com o tipo de atividade</v>
      </c>
      <c r="Y433" s="27"/>
      <c r="Z433" s="27">
        <f ca="1">IFERROR(__xludf.DUMMYFUNCTION("""COMPUTED_VALUE"""),57)</f>
        <v>57</v>
      </c>
      <c r="AA433" s="29">
        <f ca="1">IFERROR(__xludf.DUMMYFUNCTION("""COMPUTED_VALUE"""),37114)</f>
        <v>37114</v>
      </c>
      <c r="AB433" s="27" t="str">
        <f ca="1">IFERROR(__xludf.DUMMYFUNCTION("""COMPUTED_VALUE"""),"Sim")</f>
        <v>Sim</v>
      </c>
      <c r="AC433" s="27">
        <f ca="1">IFERROR(__xludf.DUMMYFUNCTION("""COMPUTED_VALUE"""),0)</f>
        <v>0</v>
      </c>
      <c r="AD433" s="27">
        <f ca="1">IFERROR(__xludf.DUMMYFUNCTION("""COMPUTED_VALUE"""),5)</f>
        <v>5</v>
      </c>
      <c r="AE433" s="27">
        <f ca="1">IFERROR(__xludf.DUMMYFUNCTION("""COMPUTED_VALUE"""),15)</f>
        <v>15</v>
      </c>
      <c r="AF433" s="27">
        <f ca="1">IFERROR(__xludf.DUMMYFUNCTION("""COMPUTED_VALUE"""),10)</f>
        <v>10</v>
      </c>
      <c r="AG433" s="27">
        <f ca="1">IFERROR(__xludf.DUMMYFUNCTION("""COMPUTED_VALUE"""),3)</f>
        <v>3</v>
      </c>
      <c r="AH433" s="27" t="str">
        <f ca="1">IFERROR(__xludf.DUMMYFUNCTION("""COMPUTED_VALUE"""),"Lei de Incentivo, Doações, Recursos próprios")</f>
        <v>Lei de Incentivo, Doações, Recursos próprios</v>
      </c>
      <c r="AI433" s="27" t="str">
        <f ca="1">IFERROR(__xludf.DUMMYFUNCTION("""COMPUTED_VALUE"""),"70% lei de incentivo, 20% recurso próprio e 10%doacoes")</f>
        <v>70% lei de incentivo, 20% recurso próprio e 10%doacoes</v>
      </c>
      <c r="AJ433" s="27" t="str">
        <f ca="1">IFERROR(__xludf.DUMMYFUNCTION("""COMPUTED_VALUE"""),"Não")</f>
        <v>Não</v>
      </c>
      <c r="AK433" s="27"/>
      <c r="AL433" s="21" t="str">
        <f ca="1">IFERROR(__xludf.DUMMYFUNCTION("""COMPUTED_VALUE"""),"0034X0000380O5L")</f>
        <v>0034X0000380O5L</v>
      </c>
      <c r="AM433" s="27" t="str">
        <f ca="1">IFERROR(__xludf.DUMMYFUNCTION("""COMPUTED_VALUE"""),"Lúcia werneck")</f>
        <v>Lúcia werneck</v>
      </c>
      <c r="AN433" s="27" t="str">
        <f ca="1">IFERROR(__xludf.DUMMYFUNCTION("""COMPUTED_VALUE"""),"Ativo")</f>
        <v>Ativo</v>
      </c>
      <c r="AO433" s="29">
        <f ca="1">IFERROR(__xludf.DUMMYFUNCTION("""COMPUTED_VALUE"""),44763)</f>
        <v>44763</v>
      </c>
      <c r="AP433" s="27">
        <f ca="1">IFERROR(__xludf.DUMMYFUNCTION("""COMPUTED_VALUE"""),2)</f>
        <v>2</v>
      </c>
      <c r="AQ433" s="27" t="str">
        <f ca="1">IFERROR(__xludf.DUMMYFUNCTION("""COMPUTED_VALUE"""),"Primeiro Semestre 2022")</f>
        <v>Primeiro Semestre 2022</v>
      </c>
      <c r="AR433" s="27" t="str">
        <f ca="1">IFERROR(__xludf.DUMMYFUNCTION("""COMPUTED_VALUE"""),"carmemwerneck@gmail.com")</f>
        <v>carmemwerneck@gmail.com</v>
      </c>
      <c r="AS433" s="27">
        <f ca="1">IFERROR(__xludf.DUMMYFUNCTION("""COMPUTED_VALUE"""),32988861018)</f>
        <v>32988861018</v>
      </c>
      <c r="AT433" s="29">
        <f ca="1">IFERROR(__xludf.DUMMYFUNCTION("""COMPUTED_VALUE"""),23230)</f>
        <v>23230</v>
      </c>
      <c r="AU433" s="27">
        <f ca="1">IFERROR(__xludf.DUMMYFUNCTION("""COMPUTED_VALUE"""),59)</f>
        <v>59</v>
      </c>
      <c r="AV433" s="27">
        <f ca="1">IFERROR(__xludf.DUMMYFUNCTION("""COMPUTED_VALUE"""),52989780610)</f>
        <v>52989780610</v>
      </c>
      <c r="AW433" s="27" t="str">
        <f ca="1">IFERROR(__xludf.DUMMYFUNCTION("""COMPUTED_VALUE"""),"MG2875013")</f>
        <v>MG2875013</v>
      </c>
      <c r="AX433" s="27"/>
      <c r="AY433" s="27"/>
      <c r="AZ433" s="27" t="str">
        <f ca="1">IFERROR(__xludf.DUMMYFUNCTION("""COMPUTED_VALUE"""),"M")</f>
        <v>M</v>
      </c>
      <c r="BA433" s="27" t="str">
        <f ca="1">IFERROR(__xludf.DUMMYFUNCTION("""COMPUTED_VALUE"""),"Branca")</f>
        <v>Branca</v>
      </c>
      <c r="BB433" s="27"/>
      <c r="BC433" s="27"/>
      <c r="BD433" s="27" t="str">
        <f ca="1">IFERROR(__xludf.DUMMYFUNCTION("""COMPUTED_VALUE"""),"Sou professora aposentada de biologia e participo do Instituto Socioambiental das Vertentes desde 2007. Atualmente sou palhaça* e também faço atendimento com ervas medicinais. Sou voluntária na Ong. Tenho 58 anos.")</f>
        <v>Sou professora aposentada de biologia e participo do Instituto Socioambiental das Vertentes desde 2007. Atualmente sou palhaça* e também faço atendimento com ervas medicinais. Sou voluntária na Ong. Tenho 58 anos.</v>
      </c>
      <c r="BE433" s="27" t="str">
        <f ca="1">IFERROR(__xludf.DUMMYFUNCTION("""COMPUTED_VALUE"""),"Feminino")</f>
        <v>Feminino</v>
      </c>
      <c r="BF433" s="27" t="str">
        <f ca="1">IFERROR(__xludf.DUMMYFUNCTION("""COMPUTED_VALUE"""),"Heterossexual")</f>
        <v>Heterossexual</v>
      </c>
      <c r="BG433" s="27"/>
      <c r="BH433" s="27" t="str">
        <f ca="1">IFERROR(__xludf.DUMMYFUNCTION("""COMPUTED_VALUE"""),"Público")</f>
        <v>Público</v>
      </c>
      <c r="BI433" s="27" t="str">
        <f ca="1">IFERROR(__xludf.DUMMYFUNCTION("""COMPUTED_VALUE"""),"Doutorado")</f>
        <v>Doutorado</v>
      </c>
      <c r="BJ433" s="27" t="str">
        <f ca="1">IFERROR(__xludf.DUMMYFUNCTION("""COMPUTED_VALUE"""),"Público")</f>
        <v>Público</v>
      </c>
      <c r="BK433" s="27" t="str">
        <f ca="1">IFERROR(__xludf.DUMMYFUNCTION("""COMPUTED_VALUE"""),"Rua Professor Carlos Benjamin Gonçalves")</f>
        <v>Rua Professor Carlos Benjamin Gonçalves</v>
      </c>
      <c r="BL433" s="27">
        <f ca="1">IFERROR(__xludf.DUMMYFUNCTION("""COMPUTED_VALUE"""),48)</f>
        <v>48</v>
      </c>
      <c r="BM433" s="27"/>
      <c r="BN433" s="27"/>
      <c r="BO433" s="27">
        <f ca="1">IFERROR(__xludf.DUMMYFUNCTION("""COMPUTED_VALUE"""),36200128)</f>
        <v>36200128</v>
      </c>
      <c r="BP433" s="27" t="str">
        <f ca="1">IFERROR(__xludf.DUMMYFUNCTION("""COMPUTED_VALUE"""),"MG")</f>
        <v>MG</v>
      </c>
      <c r="BQ433" s="27" t="str">
        <f ca="1">IFERROR(__xludf.DUMMYFUNCTION("""COMPUTED_VALUE"""),"Acima de 5 salários mínimos")</f>
        <v>Acima de 5 salários mínimos</v>
      </c>
      <c r="BR433" s="27" t="str">
        <f ca="1">IFERROR(__xludf.DUMMYFUNCTION("""COMPUTED_VALUE"""),"Funcionário Público")</f>
        <v>Funcionário Público</v>
      </c>
      <c r="BS433" s="27" t="str">
        <f ca="1">IFERROR(__xludf.DUMMYFUNCTION("""COMPUTED_VALUE"""),"Casa própria")</f>
        <v>Casa própria</v>
      </c>
      <c r="BT433" s="27">
        <f ca="1">IFERROR(__xludf.DUMMYFUNCTION("""COMPUTED_VALUE"""),3)</f>
        <v>3</v>
      </c>
      <c r="BU433" s="27" t="str">
        <f ca="1">IFERROR(__xludf.DUMMYFUNCTION("""COMPUTED_VALUE"""),"Não tem")</f>
        <v>Não tem</v>
      </c>
      <c r="BV433" s="27" t="str">
        <f ca="1">IFERROR(__xludf.DUMMYFUNCTION("""COMPUTED_VALUE"""),"Não")</f>
        <v>Não</v>
      </c>
      <c r="BW433" s="27"/>
      <c r="BX433" s="27"/>
      <c r="BY433" s="21" t="str">
        <f ca="1">IFERROR(__xludf.DUMMYFUNCTION("""COMPUTED_VALUE"""),"https://drive.google.com/open?id=1A1WYn7I1puNFY3N4w95Q2A0QefR_cIsm")</f>
        <v>https://drive.google.com/open?id=1A1WYn7I1puNFY3N4w95Q2A0QefR_cIsm</v>
      </c>
    </row>
    <row r="434" spans="1:77" ht="12.5" hidden="1" x14ac:dyDescent="0.25">
      <c r="A434" s="21" t="str">
        <f ca="1">IFERROR(__xludf.DUMMYFUNCTION("""COMPUTED_VALUE"""),"0014X00002VKCuAQAX")</f>
        <v>0014X00002VKCuAQAX</v>
      </c>
      <c r="B434" s="27" t="str">
        <f ca="1">IFERROR(__xludf.DUMMYFUNCTION("""COMPUTED_VALUE"""),"Fase Inicial")</f>
        <v>Fase Inicial</v>
      </c>
      <c r="C434" s="27" t="str">
        <f ca="1">IFERROR(__xludf.DUMMYFUNCTION("""COMPUTED_VALUE"""),"Fellow")</f>
        <v>Fellow</v>
      </c>
      <c r="D434" s="27" t="str">
        <f ca="1">IFERROR(__xludf.DUMMYFUNCTION("""COMPUTED_VALUE"""),"Ativo")</f>
        <v>Ativo</v>
      </c>
      <c r="E434" s="27" t="str">
        <f ca="1">IFERROR(__xludf.DUMMYFUNCTION("""COMPUTED_VALUE"""),"Instituto Somos Ágape")</f>
        <v>Instituto Somos Ágape</v>
      </c>
      <c r="F434" s="27" t="str">
        <f ca="1">IFERROR(__xludf.DUMMYFUNCTION("""COMPUTED_VALUE"""),"Raquel")</f>
        <v>Raquel</v>
      </c>
      <c r="G434" s="27" t="str">
        <f ca="1">IFERROR(__xludf.DUMMYFUNCTION("""COMPUTED_VALUE"""),"SOMOS ÁGAPE")</f>
        <v>SOMOS ÁGAPE</v>
      </c>
      <c r="H434" s="27" t="str">
        <f ca="1">IFERROR(__xludf.DUMMYFUNCTION("""COMPUTED_VALUE"""),"46.190.994/0001-57")</f>
        <v>46.190.994/0001-57</v>
      </c>
      <c r="I434" s="27" t="str">
        <f ca="1">IFERROR(__xludf.DUMMYFUNCTION("""COMPUTED_VALUE"""),"Raquel Suzi da Silva")</f>
        <v>Raquel Suzi da Silva</v>
      </c>
      <c r="J434" s="27" t="str">
        <f ca="1">IFERROR(__xludf.DUMMYFUNCTION("""COMPUTED_VALUE"""),"somosagapejlle@gmail.com")</f>
        <v>somosagapejlle@gmail.com</v>
      </c>
      <c r="K434" s="27" t="str">
        <f ca="1">IFERROR(__xludf.DUMMYFUNCTION("""COMPUTED_VALUE"""),"(47)99690-5460")</f>
        <v>(47)99690-5460</v>
      </c>
      <c r="L434" s="27" t="str">
        <f ca="1">IFERROR(__xludf.DUMMYFUNCTION("""COMPUTED_VALUE"""),"SC")</f>
        <v>SC</v>
      </c>
      <c r="M434" s="27" t="str">
        <f ca="1">IFERROR(__xludf.DUMMYFUNCTION("""COMPUTED_VALUE"""),"Rua Veroni Pedro Graciano, 2954")</f>
        <v>Rua Veroni Pedro Graciano, 2954</v>
      </c>
      <c r="N434" s="27" t="str">
        <f ca="1">IFERROR(__xludf.DUMMYFUNCTION("""COMPUTED_VALUE"""),"Costa e Silva")</f>
        <v>Costa e Silva</v>
      </c>
      <c r="O434" s="27">
        <f ca="1">IFERROR(__xludf.DUMMYFUNCTION("""COMPUTED_VALUE"""),2954)</f>
        <v>2954</v>
      </c>
      <c r="P434" s="27" t="str">
        <f ca="1">IFERROR(__xludf.DUMMYFUNCTION("""COMPUTED_VALUE"""),"Joinville")</f>
        <v>Joinville</v>
      </c>
      <c r="Q434" s="27" t="str">
        <f ca="1">IFERROR(__xludf.DUMMYFUNCTION("""COMPUTED_VALUE"""),"Esse endereço não é o local onde atuamos, é o endereço da representante legal a qual registramos CNPJ. Não possuímos sede própria e local da região (comunidade atendida) em que alugaríamos , por questões jurídicas decidimos não prosseguir.")</f>
        <v>Esse endereço não é o local onde atuamos, é o endereço da representante legal a qual registramos CNPJ. Não possuímos sede própria e local da região (comunidade atendida) em que alugaríamos , por questões jurídicas decidimos não prosseguir.</v>
      </c>
      <c r="R434" s="27" t="str">
        <f ca="1">IFERROR(__xludf.DUMMYFUNCTION("""COMPUTED_VALUE"""),"89220-660")</f>
        <v>89220-660</v>
      </c>
      <c r="S434" s="27" t="str">
        <f ca="1">IFERROR(__xludf.DUMMYFUNCTION("""COMPUTED_VALUE"""),"Sim, em escola e galpões de igreja local. Escola de Educação Básica Presidente Médici -Endereço: R. Pref. Helmuth Fallgatter, 1449 - Boa Vista, Joinville - SC, 89206-100 / Comunidade Nossa Senhora do Carmo - Rua Ases, Ulysses Guimarães, Joinville - SC / A"&amp;"tendimentos locais de casa em casa.")</f>
        <v>Sim, em escola e galpões de igreja local. Escola de Educação Básica Presidente Médici -Endereço: R. Pref. Helmuth Fallgatter, 1449 - Boa Vista, Joinville - SC, 89206-100 / Comunidade Nossa Senhora do Carmo - Rua Ases, Ulysses Guimarães, Joinville - SC / Atendimentos locais de casa em casa.</v>
      </c>
      <c r="T434" s="27"/>
      <c r="U434" s="27" t="str">
        <f ca="1">IFERROR(__xludf.DUMMYFUNCTION("""COMPUTED_VALUE"""),"Crianças (6 a 12 anos), Adolescentes (12 aos 18 anos), Jovens (18 aos 24 anos)")</f>
        <v>Crianças (6 a 12 anos), Adolescentes (12 aos 18 anos), Jovens (18 aos 24 anos)</v>
      </c>
      <c r="V434" s="27" t="str">
        <f ca="1">IFERROR(__xludf.DUMMYFUNCTION("""COMPUTED_VALUE"""),"Moradores de Favelas")</f>
        <v>Moradores de Favelas</v>
      </c>
      <c r="W434" s="27">
        <f ca="1">IFERROR(__xludf.DUMMYFUNCTION("""COMPUTED_VALUE"""),1)</f>
        <v>1</v>
      </c>
      <c r="X434" s="27" t="str">
        <f ca="1">IFERROR(__xludf.DUMMYFUNCTION("""COMPUTED_VALUE"""),"Nos anos iniciais atendemos outras comunidade* mas nosso foco maior sempre foi o Juquiá* onde desejamos criar raízes e gerar transformação.")</f>
        <v>Nos anos iniciais atendemos outras comunidade* mas nosso foco maior sempre foi o Juquiá* onde desejamos criar raízes e gerar transformação.</v>
      </c>
      <c r="Y434" s="27"/>
      <c r="Z434" s="27">
        <f ca="1">IFERROR(__xludf.DUMMYFUNCTION("""COMPUTED_VALUE"""),300)</f>
        <v>300</v>
      </c>
      <c r="AA434" s="29">
        <f ca="1">IFERROR(__xludf.DUMMYFUNCTION("""COMPUTED_VALUE"""),44581)</f>
        <v>44581</v>
      </c>
      <c r="AB434" s="27" t="str">
        <f ca="1">IFERROR(__xludf.DUMMYFUNCTION("""COMPUTED_VALUE"""),"Não")</f>
        <v>Não</v>
      </c>
      <c r="AC434" s="27">
        <f ca="1">IFERROR(__xludf.DUMMYFUNCTION("""COMPUTED_VALUE"""),0)</f>
        <v>0</v>
      </c>
      <c r="AD434" s="27">
        <f ca="1">IFERROR(__xludf.DUMMYFUNCTION("""COMPUTED_VALUE"""),0)</f>
        <v>0</v>
      </c>
      <c r="AE434" s="27">
        <f ca="1">IFERROR(__xludf.DUMMYFUNCTION("""COMPUTED_VALUE"""),28)</f>
        <v>28</v>
      </c>
      <c r="AF434" s="27">
        <f ca="1">IFERROR(__xludf.DUMMYFUNCTION("""COMPUTED_VALUE"""),28)</f>
        <v>28</v>
      </c>
      <c r="AG434" s="27">
        <f ca="1">IFERROR(__xludf.DUMMYFUNCTION("""COMPUTED_VALUE"""),3)</f>
        <v>3</v>
      </c>
      <c r="AH434" s="27" t="str">
        <f ca="1">IFERROR(__xludf.DUMMYFUNCTION("""COMPUTED_VALUE"""),"Eventos/Ações para captação, Parceria iniciativa privada, Doações")</f>
        <v>Eventos/Ações para captação, Parceria iniciativa privada, Doações</v>
      </c>
      <c r="AI434" s="27" t="str">
        <f ca="1">IFERROR(__xludf.DUMMYFUNCTION("""COMPUTED_VALUE"""),"40% Eventos/Ações para captação - 40% Doações - 20% Parceria iniciativa privada")</f>
        <v>40% Eventos/Ações para captação - 40% Doações - 20% Parceria iniciativa privada</v>
      </c>
      <c r="AJ434" s="27" t="str">
        <f ca="1">IFERROR(__xludf.DUMMYFUNCTION("""COMPUTED_VALUE"""),"Não")</f>
        <v>Não</v>
      </c>
      <c r="AK434" s="27"/>
      <c r="AL434" s="21" t="str">
        <f ca="1">IFERROR(__xludf.DUMMYFUNCTION("""COMPUTED_VALUE"""),"0034X0000380O0q")</f>
        <v>0034X0000380O0q</v>
      </c>
      <c r="AM434" s="27" t="str">
        <f ca="1">IFERROR(__xludf.DUMMYFUNCTION("""COMPUTED_VALUE"""),"Suzi da silva")</f>
        <v>Suzi da silva</v>
      </c>
      <c r="AN434" s="27" t="str">
        <f ca="1">IFERROR(__xludf.DUMMYFUNCTION("""COMPUTED_VALUE"""),"Ativo")</f>
        <v>Ativo</v>
      </c>
      <c r="AO434" s="29">
        <f ca="1">IFERROR(__xludf.DUMMYFUNCTION("""COMPUTED_VALUE"""),44763)</f>
        <v>44763</v>
      </c>
      <c r="AP434" s="27">
        <f ca="1">IFERROR(__xludf.DUMMYFUNCTION("""COMPUTED_VALUE"""),2)</f>
        <v>2</v>
      </c>
      <c r="AQ434" s="27" t="str">
        <f ca="1">IFERROR(__xludf.DUMMYFUNCTION("""COMPUTED_VALUE"""),"Primeiro Semestre 2022")</f>
        <v>Primeiro Semestre 2022</v>
      </c>
      <c r="AR434" s="27" t="str">
        <f ca="1">IFERROR(__xludf.DUMMYFUNCTION("""COMPUTED_VALUE"""),"raquel.suzi10@gmail.com")</f>
        <v>raquel.suzi10@gmail.com</v>
      </c>
      <c r="AS434" s="27">
        <f ca="1">IFERROR(__xludf.DUMMYFUNCTION("""COMPUTED_VALUE"""),47996545519)</f>
        <v>47996545519</v>
      </c>
      <c r="AT434" s="29">
        <f ca="1">IFERROR(__xludf.DUMMYFUNCTION("""COMPUTED_VALUE"""),35635)</f>
        <v>35635</v>
      </c>
      <c r="AU434" s="27">
        <f ca="1">IFERROR(__xludf.DUMMYFUNCTION("""COMPUTED_VALUE"""),25)</f>
        <v>25</v>
      </c>
      <c r="AV434" s="27">
        <f ca="1">IFERROR(__xludf.DUMMYFUNCTION("""COMPUTED_VALUE"""),8232427906)</f>
        <v>8232427906</v>
      </c>
      <c r="AW434" s="27">
        <f ca="1">IFERROR(__xludf.DUMMYFUNCTION("""COMPUTED_VALUE"""),6502739)</f>
        <v>6502739</v>
      </c>
      <c r="AX434" s="27"/>
      <c r="AY434" s="27"/>
      <c r="AZ434" s="27" t="str">
        <f ca="1">IFERROR(__xludf.DUMMYFUNCTION("""COMPUTED_VALUE"""),"M")</f>
        <v>M</v>
      </c>
      <c r="BA434" s="27" t="str">
        <f ca="1">IFERROR(__xludf.DUMMYFUNCTION("""COMPUTED_VALUE"""),"Branca")</f>
        <v>Branca</v>
      </c>
      <c r="BB434" s="27"/>
      <c r="BC434" s="27"/>
      <c r="BD434" s="27" t="str">
        <f ca="1">IFERROR(__xludf.DUMMYFUNCTION("""COMPUTED_VALUE"""),"Me considero visionária e sonhadora. Sempre tive o senso de justiça aflorado e olhar voltado as minorias. Liderança teve um outro significado quando esse papel foi incumbido a mim e o assumi como missão de vida. O Instituto Somos Ágape nasceu dentro de um"&amp;" âmbito religioso* num grupo de jovens católico a qual era coordenadora. Nas primeiras ações do Somos Ágape percebi uma realidade desconhecida até então* que me causou extremo incômodo* principalmente por perceber um esquecimento da sociedade civil no ger"&amp;"al com aquelas comunidades que iniciamos os trabalhos. Desde a primeira ação eu senti que eu não poderia cruzar os braços e esquecer* que ali estava uma missão maior. Divido minha carga-horária com minha carreira profissional que iniciou dentro do âmbito "&amp;"comercial/pós-vendas e concomitante* com a caminhada acadêmica no Direito. O comercial me encantou com seu dinamismo* possibilidade de ser ponte entre a necessidade e serviço/produto* gerir expectativas* objeções e gerar valor ao cliente. Já a caminhada n"&amp;"o Direito reafirmou meu senso de justiça e papel social* defendendo o direito de minorias e sendo ferramenta de transformação. Atualmente sigo compartilhando essas funções como Fundadora/CEO do Instituto Somos Ágape* cujo objetivo é oportunizar o acesso à"&amp;" educação* arte* esporte e cultura para crianças e jovens em situação de vulnerabilidade social em Joinville/SC* através de projetos que aproximem o público beneficiado de oportunidade que proporcionem a melhora na qualidade de vida. Ágape - palavra de or"&amp;"igem grega que corresponde ao amor incondicional ao próximo* o ápice do amor* da entrega e doação. Liderar e construir o Instituto Somos Ágape é o que faz meu coração vibrar* que brilha meus olhos ao falar da missão. Levar o mais longe possível e ser pont"&amp;"e do Amor Ágape é o que desejo para minha vida!")</f>
        <v>Me considero visionária e sonhadora. Sempre tive o senso de justiça aflorado e olhar voltado as minorias. Liderança teve um outro significado quando esse papel foi incumbido a mim e o assumi como missão de vida. O Instituto Somos Ágape nasceu dentro de um âmbito religioso* num grupo de jovens católico a qual era coordenadora. Nas primeiras ações do Somos Ágape percebi uma realidade desconhecida até então* que me causou extremo incômodo* principalmente por perceber um esquecimento da sociedade civil no geral com aquelas comunidades que iniciamos os trabalhos. Desde a primeira ação eu senti que eu não poderia cruzar os braços e esquecer* que ali estava uma missão maior. Divido minha carga-horária com minha carreira profissional que iniciou dentro do âmbito comercial/pós-vendas e concomitante* com a caminhada acadêmica no Direito. O comercial me encantou com seu dinamismo* possibilidade de ser ponte entre a necessidade e serviço/produto* gerir expectativas* objeções e gerar valor ao cliente. Já a caminhada no Direito reafirmou meu senso de justiça e papel social* defendendo o direito de minorias e sendo ferramenta de transformação. Atualmente sigo compartilhando essas funções como Fundadora/CEO do Instituto Somos Ágape* cujo objetivo é oportunizar o acesso à educação* arte* esporte e cultura para crianças e jovens em situação de vulnerabilidade social em Joinville/SC* através de projetos que aproximem o público beneficiado de oportunidade que proporcionem a melhora na qualidade de vida. Ágape - palavra de origem grega que corresponde ao amor incondicional ao próximo* o ápice do amor* da entrega e doação. Liderar e construir o Instituto Somos Ágape é o que faz meu coração vibrar* que brilha meus olhos ao falar da missão. Levar o mais longe possível e ser ponte do Amor Ágape é o que desejo para minha vida!</v>
      </c>
      <c r="BE434" s="27" t="str">
        <f ca="1">IFERROR(__xludf.DUMMYFUNCTION("""COMPUTED_VALUE"""),"Feminino")</f>
        <v>Feminino</v>
      </c>
      <c r="BF434" s="27" t="str">
        <f ca="1">IFERROR(__xludf.DUMMYFUNCTION("""COMPUTED_VALUE"""),"Heterossexual")</f>
        <v>Heterossexual</v>
      </c>
      <c r="BG434" s="27"/>
      <c r="BH434" s="27" t="str">
        <f ca="1">IFERROR(__xludf.DUMMYFUNCTION("""COMPUTED_VALUE"""),"Público")</f>
        <v>Público</v>
      </c>
      <c r="BI434" s="27" t="str">
        <f ca="1">IFERROR(__xludf.DUMMYFUNCTION("""COMPUTED_VALUE"""),"Graduação")</f>
        <v>Graduação</v>
      </c>
      <c r="BJ434" s="27" t="str">
        <f ca="1">IFERROR(__xludf.DUMMYFUNCTION("""COMPUTED_VALUE"""),"Privado")</f>
        <v>Privado</v>
      </c>
      <c r="BK434" s="27" t="str">
        <f ca="1">IFERROR(__xludf.DUMMYFUNCTION("""COMPUTED_VALUE"""),"Rua Veroni Pedro Graciano")</f>
        <v>Rua Veroni Pedro Graciano</v>
      </c>
      <c r="BL434" s="27">
        <f ca="1">IFERROR(__xludf.DUMMYFUNCTION("""COMPUTED_VALUE"""),2954)</f>
        <v>2954</v>
      </c>
      <c r="BM434" s="27"/>
      <c r="BN434" s="27"/>
      <c r="BO434" s="27">
        <f ca="1">IFERROR(__xludf.DUMMYFUNCTION("""COMPUTED_VALUE"""),89220660)</f>
        <v>89220660</v>
      </c>
      <c r="BP434" s="27" t="str">
        <f ca="1">IFERROR(__xludf.DUMMYFUNCTION("""COMPUTED_VALUE"""),"SC")</f>
        <v>SC</v>
      </c>
      <c r="BQ434" s="27" t="str">
        <f ca="1">IFERROR(__xludf.DUMMYFUNCTION("""COMPUTED_VALUE"""),"Entre 1 até 3 salários mínimos")</f>
        <v>Entre 1 até 3 salários mínimos</v>
      </c>
      <c r="BR434" s="27" t="str">
        <f ca="1">IFERROR(__xludf.DUMMYFUNCTION("""COMPUTED_VALUE"""),"CLT")</f>
        <v>CLT</v>
      </c>
      <c r="BS434" s="27" t="str">
        <f ca="1">IFERROR(__xludf.DUMMYFUNCTION("""COMPUTED_VALUE"""),"Aluguel")</f>
        <v>Aluguel</v>
      </c>
      <c r="BT434" s="27">
        <f ca="1">IFERROR(__xludf.DUMMYFUNCTION("""COMPUTED_VALUE"""),1)</f>
        <v>1</v>
      </c>
      <c r="BU434" s="27" t="str">
        <f ca="1">IFERROR(__xludf.DUMMYFUNCTION("""COMPUTED_VALUE"""),"Não tem")</f>
        <v>Não tem</v>
      </c>
      <c r="BV434" s="27" t="str">
        <f ca="1">IFERROR(__xludf.DUMMYFUNCTION("""COMPUTED_VALUE"""),"Não")</f>
        <v>Não</v>
      </c>
      <c r="BW434" s="21" t="str">
        <f ca="1">IFERROR(__xludf.DUMMYFUNCTION("""COMPUTED_VALUE"""),"https://www.linkedin.com/in/raquelsuzi/")</f>
        <v>https://www.linkedin.com/in/raquelsuzi/</v>
      </c>
      <c r="BX434" s="21" t="str">
        <f ca="1">IFERROR(__xludf.DUMMYFUNCTION("""COMPUTED_VALUE"""),"https://instagram.com/raquelsuzi")</f>
        <v>https://instagram.com/raquelsuzi</v>
      </c>
      <c r="BY434" s="21" t="str">
        <f ca="1">IFERROR(__xludf.DUMMYFUNCTION("""COMPUTED_VALUE"""),"https://drive.google.com/open?id=1tpqRxDesCZquAPPMJ3quJEmON3JDibP1")</f>
        <v>https://drive.google.com/open?id=1tpqRxDesCZquAPPMJ3quJEmON3JDibP1</v>
      </c>
    </row>
    <row r="435" spans="1:77" ht="12.5" x14ac:dyDescent="0.25">
      <c r="A435" s="21" t="str">
        <f ca="1">IFERROR(__xludf.DUMMYFUNCTION("""COMPUTED_VALUE"""),"0014P00003AN2FsQAL")</f>
        <v>0014P00003AN2FsQAL</v>
      </c>
      <c r="B435" s="27" t="str">
        <f ca="1">IFERROR(__xludf.DUMMYFUNCTION("""COMPUTED_VALUE"""),"Fase Estruturação")</f>
        <v>Fase Estruturação</v>
      </c>
      <c r="C435" s="27" t="str">
        <f ca="1">IFERROR(__xludf.DUMMYFUNCTION("""COMPUTED_VALUE"""),"Acelerada")</f>
        <v>Acelerada</v>
      </c>
      <c r="D435" s="27" t="str">
        <f ca="1">IFERROR(__xludf.DUMMYFUNCTION("""COMPUTED_VALUE"""),"Ativo")</f>
        <v>Ativo</v>
      </c>
      <c r="E435" s="27" t="str">
        <f ca="1">IFERROR(__xludf.DUMMYFUNCTION("""COMPUTED_VALUE"""),"Instituto Sonhar Alto")</f>
        <v>Instituto Sonhar Alto</v>
      </c>
      <c r="F435" s="27" t="str">
        <f ca="1">IFERROR(__xludf.DUMMYFUNCTION("""COMPUTED_VALUE"""),"Odilon")</f>
        <v>Odilon</v>
      </c>
      <c r="G435" s="27" t="str">
        <f ca="1">IFERROR(__xludf.DUMMYFUNCTION("""COMPUTED_VALUE"""),"SONHAR ALTO")</f>
        <v>SONHAR ALTO</v>
      </c>
      <c r="H435" s="27" t="str">
        <f ca="1">IFERROR(__xludf.DUMMYFUNCTION("""COMPUTED_VALUE"""),"36.724.182/0001-90")</f>
        <v>36.724.182/0001-90</v>
      </c>
      <c r="I435" s="27"/>
      <c r="J435" s="27" t="str">
        <f ca="1">IFERROR(__xludf.DUMMYFUNCTION("""COMPUTED_VALUE"""),"odilon@institutosonharalto.org")</f>
        <v>odilon@institutosonharalto.org</v>
      </c>
      <c r="K435" s="27" t="str">
        <f ca="1">IFERROR(__xludf.DUMMYFUNCTION("""COMPUTED_VALUE"""),"(11)97447-6721")</f>
        <v>(11)97447-6721</v>
      </c>
      <c r="L435" s="27" t="str">
        <f ca="1">IFERROR(__xludf.DUMMYFUNCTION("""COMPUTED_VALUE"""),"SP")</f>
        <v>SP</v>
      </c>
      <c r="M435" s="27" t="str">
        <f ca="1">IFERROR(__xludf.DUMMYFUNCTION("""COMPUTED_VALUE"""),"Rua Igarapava")</f>
        <v>Rua Igarapava</v>
      </c>
      <c r="N435" s="27"/>
      <c r="O435" s="27" t="str">
        <f ca="1">IFERROR(__xludf.DUMMYFUNCTION("""COMPUTED_VALUE"""),"(11)97447-6721")</f>
        <v>(11)97447-6721</v>
      </c>
      <c r="P435" s="27" t="str">
        <f ca="1">IFERROR(__xludf.DUMMYFUNCTION("""COMPUTED_VALUE"""),"Guarulhos")</f>
        <v>Guarulhos</v>
      </c>
      <c r="Q435" s="27"/>
      <c r="R435" s="27" t="str">
        <f ca="1">IFERROR(__xludf.DUMMYFUNCTION("""COMPUTED_VALUE"""),"07230-340")</f>
        <v>07230-340</v>
      </c>
      <c r="S435" s="27" t="str">
        <f ca="1">IFERROR(__xludf.DUMMYFUNCTION("""COMPUTED_VALUE"""),"Rua Solonópoles 124 Pq. Uirapuru")</f>
        <v>Rua Solonópoles 124 Pq. Uirapuru</v>
      </c>
      <c r="T435" s="27" t="str">
        <f ca="1">IFERROR(__xludf.DUMMYFUNCTION("""COMPUTED_VALUE"""),"Esporte; Educação; Empregabilidade; Cultura; Qualificação Profissional")</f>
        <v>Esporte; Educação; Empregabilidade; Cultura; Qualificação Profissional</v>
      </c>
      <c r="U435" s="27" t="str">
        <f ca="1">IFERROR(__xludf.DUMMYFUNCTION("""COMPUTED_VALUE"""),"Crianças (6 a 12 anos); Jovens (18 aos 24 anos); Adultos")</f>
        <v>Crianças (6 a 12 anos); Jovens (18 aos 24 anos); Adultos</v>
      </c>
      <c r="V435" s="27" t="str">
        <f ca="1">IFERROR(__xludf.DUMMYFUNCTION("""COMPUTED_VALUE"""),"Moradores de Favelas; Outros")</f>
        <v>Moradores de Favelas; Outros</v>
      </c>
      <c r="W435" s="27">
        <f ca="1">IFERROR(__xludf.DUMMYFUNCTION("""COMPUTED_VALUE"""),5)</f>
        <v>5</v>
      </c>
      <c r="X435" s="27"/>
      <c r="Y435" s="27"/>
      <c r="Z435" s="27"/>
      <c r="AA435" s="29">
        <f ca="1">IFERROR(__xludf.DUMMYFUNCTION("""COMPUTED_VALUE"""),43874)</f>
        <v>43874</v>
      </c>
      <c r="AB435" s="27" t="str">
        <f ca="1">IFERROR(__xludf.DUMMYFUNCTION("""COMPUTED_VALUE"""),"Sim")</f>
        <v>Sim</v>
      </c>
      <c r="AC435" s="27">
        <f ca="1">IFERROR(__xludf.DUMMYFUNCTION("""COMPUTED_VALUE"""),6)</f>
        <v>6</v>
      </c>
      <c r="AD435" s="27">
        <f ca="1">IFERROR(__xludf.DUMMYFUNCTION("""COMPUTED_VALUE"""),1)</f>
        <v>1</v>
      </c>
      <c r="AE435" s="27">
        <f ca="1">IFERROR(__xludf.DUMMYFUNCTION("""COMPUTED_VALUE"""),7)</f>
        <v>7</v>
      </c>
      <c r="AF435" s="27">
        <f ca="1">IFERROR(__xludf.DUMMYFUNCTION("""COMPUTED_VALUE"""),1)</f>
        <v>1</v>
      </c>
      <c r="AG435" s="27">
        <f ca="1">IFERROR(__xludf.DUMMYFUNCTION("""COMPUTED_VALUE"""),3)</f>
        <v>3</v>
      </c>
      <c r="AH435" s="27" t="str">
        <f ca="1">IFERROR(__xludf.DUMMYFUNCTION("""COMPUTED_VALUE"""),"Lei de Incentivo; Negócio Social; Eventos/Ações para captação; Doações")</f>
        <v>Lei de Incentivo; Negócio Social; Eventos/Ações para captação; Doações</v>
      </c>
      <c r="AI435" s="27" t="str">
        <f ca="1">IFERROR(__xludf.DUMMYFUNCTION("""COMPUTED_VALUE"""),"Doação on line 50% e Negócio social 50%")</f>
        <v>Doação on line 50% e Negócio social 50%</v>
      </c>
      <c r="AJ435" s="27" t="str">
        <f ca="1">IFERROR(__xludf.DUMMYFUNCTION("""COMPUTED_VALUE"""),"Não")</f>
        <v>Não</v>
      </c>
      <c r="AK435" s="27" t="str">
        <f ca="1">IFERROR(__xludf.DUMMYFUNCTION("""COMPUTED_VALUE"""),"Não")</f>
        <v>Não</v>
      </c>
      <c r="AL435" s="21" t="str">
        <f ca="1">IFERROR(__xludf.DUMMYFUNCTION("""COMPUTED_VALUE"""),"0034P00003maBVJ")</f>
        <v>0034P00003maBVJ</v>
      </c>
      <c r="AM435" s="27" t="str">
        <f ca="1">IFERROR(__xludf.DUMMYFUNCTION("""COMPUTED_VALUE"""),"Araújo De Oliveira Neto")</f>
        <v>Araújo De Oliveira Neto</v>
      </c>
      <c r="AN435" s="27" t="str">
        <f ca="1">IFERROR(__xludf.DUMMYFUNCTION("""COMPUTED_VALUE"""),"Ativo")</f>
        <v>Ativo</v>
      </c>
      <c r="AO435" s="29">
        <f ca="1">IFERROR(__xludf.DUMMYFUNCTION("""COMPUTED_VALUE"""),44141)</f>
        <v>44141</v>
      </c>
      <c r="AP435" s="27">
        <f ca="1">IFERROR(__xludf.DUMMYFUNCTION("""COMPUTED_VALUE"""),22)</f>
        <v>22</v>
      </c>
      <c r="AQ435" s="27" t="str">
        <f ca="1">IFERROR(__xludf.DUMMYFUNCTION("""COMPUTED_VALUE"""),"Primeiro Semestre 2020")</f>
        <v>Primeiro Semestre 2020</v>
      </c>
      <c r="AR435" s="27" t="str">
        <f ca="1">IFERROR(__xludf.DUMMYFUNCTION("""COMPUTED_VALUE"""),"odilon@institutosonharalto.org")</f>
        <v>odilon@institutosonharalto.org</v>
      </c>
      <c r="AS435" s="27" t="str">
        <f ca="1">IFERROR(__xludf.DUMMYFUNCTION("""COMPUTED_VALUE"""),"(11)97447-6721")</f>
        <v>(11)97447-6721</v>
      </c>
      <c r="AT435" s="30">
        <f ca="1">IFERROR(__xludf.DUMMYFUNCTION("""COMPUTED_VALUE"""),31713)</f>
        <v>31713</v>
      </c>
      <c r="AU435" s="27">
        <f ca="1">IFERROR(__xludf.DUMMYFUNCTION("""COMPUTED_VALUE"""),36)</f>
        <v>36</v>
      </c>
      <c r="AV435" s="27">
        <f ca="1">IFERROR(__xludf.DUMMYFUNCTION("""COMPUTED_VALUE"""),6125772950)</f>
        <v>6125772950</v>
      </c>
      <c r="AW435" s="27">
        <f ca="1">IFERROR(__xludf.DUMMYFUNCTION("""COMPUTED_VALUE"""),395744076)</f>
        <v>395744076</v>
      </c>
      <c r="AX435" s="27" t="str">
        <f ca="1">IFERROR(__xludf.DUMMYFUNCTION("""COMPUTED_VALUE"""),"Licenciatura e Bacharelado em Educação Física")</f>
        <v>Licenciatura e Bacharelado em Educação Física</v>
      </c>
      <c r="AY435" s="27"/>
      <c r="AZ435" s="27" t="str">
        <f ca="1">IFERROR(__xludf.DUMMYFUNCTION("""COMPUTED_VALUE"""),"GG")</f>
        <v>GG</v>
      </c>
      <c r="BA435" s="27"/>
      <c r="BB435" s="27"/>
      <c r="BC435" s="27" t="str">
        <f ca="1">IFERROR(__xludf.DUMMYFUNCTION("""COMPUTED_VALUE"""),"Sim")</f>
        <v>Sim</v>
      </c>
      <c r="BD435" s="27" t="str">
        <f ca="1">IFERROR(__xludf.DUMMYFUNCTION("""COMPUTED_VALUE"""),"Me chamo Odilon Araújo tenho 34 anos
Ainda criança, perdi meu pai e fui morar na casa de parentes. Na minha juventude me envolvi com drogas e no alcoolismo , mas graças ao esporte e a fé eu venci o vício e principalmente o medo de sonhar. Hoje, sou formad"&amp;"o em Educação Física, lidero uma ONG que contribui na vida de crianças e adolescentes da favela de Cumbica a sonhar e acreditar que tudo e possível. Basta SONHAR ALTO!")</f>
        <v>Me chamo Odilon Araújo tenho 34 anos
Ainda criança, perdi meu pai e fui morar na casa de parentes. Na minha juventude me envolvi com drogas e no alcoolismo , mas graças ao esporte e a fé eu venci o vício e principalmente o medo de sonhar. Hoje, sou formado em Educação Física, lidero uma ONG que contribui na vida de crianças e adolescentes da favela de Cumbica a sonhar e acreditar que tudo e possível. Basta SONHAR ALTO!</v>
      </c>
      <c r="BE435" s="27"/>
      <c r="BF435" s="27"/>
      <c r="BG435" s="27" t="str">
        <f ca="1">IFERROR(__xludf.DUMMYFUNCTION("""COMPUTED_VALUE"""),"Ensino Superior - Completo")</f>
        <v>Ensino Superior - Completo</v>
      </c>
      <c r="BH435" s="27"/>
      <c r="BI435" s="27" t="str">
        <f ca="1">IFERROR(__xludf.DUMMYFUNCTION("""COMPUTED_VALUE"""),"Graduação")</f>
        <v>Graduação</v>
      </c>
      <c r="BJ435" s="27" t="str">
        <f ca="1">IFERROR(__xludf.DUMMYFUNCTION("""COMPUTED_VALUE"""),"Privado")</f>
        <v>Privado</v>
      </c>
      <c r="BK435" s="27" t="str">
        <f ca="1">IFERROR(__xludf.DUMMYFUNCTION("""COMPUTED_VALUE"""),"Estrada da água chata")</f>
        <v>Estrada da água chata</v>
      </c>
      <c r="BL435" s="27">
        <f ca="1">IFERROR(__xludf.DUMMYFUNCTION("""COMPUTED_VALUE"""),2315)</f>
        <v>2315</v>
      </c>
      <c r="BM435" s="27" t="str">
        <f ca="1">IFERROR(__xludf.DUMMYFUNCTION("""COMPUTED_VALUE"""),"Bloco 2 apt 402")</f>
        <v>Bloco 2 apt 402</v>
      </c>
      <c r="BN435" s="27" t="str">
        <f ca="1">IFERROR(__xludf.DUMMYFUNCTION("""COMPUTED_VALUE"""),"Guarulhos")</f>
        <v>Guarulhos</v>
      </c>
      <c r="BO435" s="27" t="str">
        <f ca="1">IFERROR(__xludf.DUMMYFUNCTION("""COMPUTED_VALUE"""),"07251-000")</f>
        <v>07251-000</v>
      </c>
      <c r="BP435" s="27" t="str">
        <f ca="1">IFERROR(__xludf.DUMMYFUNCTION("""COMPUTED_VALUE"""),"SP")</f>
        <v>SP</v>
      </c>
      <c r="BQ435" s="27" t="str">
        <f ca="1">IFERROR(__xludf.DUMMYFUNCTION("""COMPUTED_VALUE"""),"Entre 1 até 3 salários mínimos")</f>
        <v>Entre 1 até 3 salários mínimos</v>
      </c>
      <c r="BR435" s="27" t="str">
        <f ca="1">IFERROR(__xludf.DUMMYFUNCTION("""COMPUTED_VALUE"""),"MEI")</f>
        <v>MEI</v>
      </c>
      <c r="BS435" s="27" t="str">
        <f ca="1">IFERROR(__xludf.DUMMYFUNCTION("""COMPUTED_VALUE"""),"Casa própria")</f>
        <v>Casa própria</v>
      </c>
      <c r="BT435" s="27">
        <f ca="1">IFERROR(__xludf.DUMMYFUNCTION("""COMPUTED_VALUE"""),3)</f>
        <v>3</v>
      </c>
      <c r="BU435" s="27"/>
      <c r="BV435" s="27"/>
      <c r="BW435" s="21" t="str">
        <f ca="1">IFERROR(__xludf.DUMMYFUNCTION("""COMPUTED_VALUE"""),"https://www.linkedin.com/in/odilon-ara%C3%BAjo-a188b9a0/")</f>
        <v>https://www.linkedin.com/in/odilon-ara%C3%BAjo-a188b9a0/</v>
      </c>
      <c r="BX435" s="21" t="str">
        <f ca="1">IFERROR(__xludf.DUMMYFUNCTION("""COMPUTED_VALUE"""),"https://instagram.com/odilonnaraujo?utm_medium=copy_link")</f>
        <v>https://instagram.com/odilonnaraujo?utm_medium=copy_link</v>
      </c>
      <c r="BY435" s="21" t="str">
        <f ca="1">IFERROR(__xludf.DUMMYFUNCTION("""COMPUTED_VALUE"""),"https://drive.google.com/open?id=1cmrF3r8WtBxT9meVWvBdfxgeNVlQM1Fs")</f>
        <v>https://drive.google.com/open?id=1cmrF3r8WtBxT9meVWvBdfxgeNVlQM1Fs</v>
      </c>
    </row>
    <row r="436" spans="1:77" ht="12.5" x14ac:dyDescent="0.25">
      <c r="A436" s="21" t="str">
        <f ca="1">IFERROR(__xludf.DUMMYFUNCTION("""COMPUTED_VALUE"""),"0014P00003ESKdlQAH")</f>
        <v>0014P00003ESKdlQAH</v>
      </c>
      <c r="B436" s="27" t="str">
        <f ca="1">IFERROR(__xludf.DUMMYFUNCTION("""COMPUTED_VALUE"""),"Fase Estruturação")</f>
        <v>Fase Estruturação</v>
      </c>
      <c r="C436" s="27" t="str">
        <f ca="1">IFERROR(__xludf.DUMMYFUNCTION("""COMPUTED_VALUE"""),"Fellow")</f>
        <v>Fellow</v>
      </c>
      <c r="D436" s="27" t="str">
        <f ca="1">IFERROR(__xludf.DUMMYFUNCTION("""COMPUTED_VALUE"""),"Ativo")</f>
        <v>Ativo</v>
      </c>
      <c r="E436" s="27" t="str">
        <f ca="1">IFERROR(__xludf.DUMMYFUNCTION("""COMPUTED_VALUE"""),"Instituto Sonhe")</f>
        <v>Instituto Sonhe</v>
      </c>
      <c r="F436" s="27" t="str">
        <f ca="1">IFERROR(__xludf.DUMMYFUNCTION("""COMPUTED_VALUE"""),"Joana")</f>
        <v>Joana</v>
      </c>
      <c r="G436" s="27" t="str">
        <f ca="1">IFERROR(__xludf.DUMMYFUNCTION("""COMPUTED_VALUE"""),"Projeto Novos Sonhos")</f>
        <v>Projeto Novos Sonhos</v>
      </c>
      <c r="H436" s="27" t="str">
        <f ca="1">IFERROR(__xludf.DUMMYFUNCTION("""COMPUTED_VALUE"""),"34.775.027/0001-78")</f>
        <v>34.775.027/0001-78</v>
      </c>
      <c r="I436" s="27"/>
      <c r="J436" s="27"/>
      <c r="K436" s="27" t="str">
        <f ca="1">IFERROR(__xludf.DUMMYFUNCTION("""COMPUTED_VALUE"""),"(11)96342-4890")</f>
        <v>(11)96342-4890</v>
      </c>
      <c r="L436" s="27" t="str">
        <f ca="1">IFERROR(__xludf.DUMMYFUNCTION("""COMPUTED_VALUE"""),"SP")</f>
        <v>SP</v>
      </c>
      <c r="M436" s="27" t="str">
        <f ca="1">IFERROR(__xludf.DUMMYFUNCTION("""COMPUTED_VALUE"""),"Alameda Cleveland")</f>
        <v>Alameda Cleveland</v>
      </c>
      <c r="N436" s="27"/>
      <c r="O436" s="27" t="str">
        <f ca="1">IFERROR(__xludf.DUMMYFUNCTION("""COMPUTED_VALUE"""),"(11)96342-4890")</f>
        <v>(11)96342-4890</v>
      </c>
      <c r="P436" s="27" t="str">
        <f ca="1">IFERROR(__xludf.DUMMYFUNCTION("""COMPUTED_VALUE"""),"São Paulo")</f>
        <v>São Paulo</v>
      </c>
      <c r="Q436" s="27"/>
      <c r="R436" s="27" t="str">
        <f ca="1">IFERROR(__xludf.DUMMYFUNCTION("""COMPUTED_VALUE"""),"01218-000")</f>
        <v>01218-000</v>
      </c>
      <c r="S436" s="27" t="str">
        <f ca="1">IFERROR(__xludf.DUMMYFUNCTION("""COMPUTED_VALUE"""),"Novos Sonhos Sertão de Pernambuco e Novos Sonhos em Curitiba")</f>
        <v>Novos Sonhos Sertão de Pernambuco e Novos Sonhos em Curitiba</v>
      </c>
      <c r="T436" s="27" t="str">
        <f ca="1">IFERROR(__xludf.DUMMYFUNCTION("""COMPUTED_VALUE"""),"Esporte; Educação; Assistência Social; Cultura")</f>
        <v>Esporte; Educação; Assistência Social; Cultura</v>
      </c>
      <c r="U436" s="27" t="str">
        <f ca="1">IFERROR(__xludf.DUMMYFUNCTION("""COMPUTED_VALUE"""),"Crianças pequenas (4 anos a 5 anos e 11 meses); Crianças (6 a 12 anos); Adolescentes (12 aos 18 anos)")</f>
        <v>Crianças pequenas (4 anos a 5 anos e 11 meses); Crianças (6 a 12 anos); Adolescentes (12 aos 18 anos)</v>
      </c>
      <c r="V436" s="27" t="str">
        <f ca="1">IFERROR(__xludf.DUMMYFUNCTION("""COMPUTED_VALUE"""),"Moradores de Favelas; Pessoas em situação de rua; Imigrantes; Refugiados")</f>
        <v>Moradores de Favelas; Pessoas em situação de rua; Imigrantes; Refugiados</v>
      </c>
      <c r="W436" s="27">
        <f ca="1">IFERROR(__xludf.DUMMYFUNCTION("""COMPUTED_VALUE"""),0)</f>
        <v>0</v>
      </c>
      <c r="X436" s="27" t="str">
        <f ca="1">IFERROR(__xludf.DUMMYFUNCTION("""COMPUTED_VALUE"""),"Atendemos famílias da região da Cracolandia, Comunidade do Moinho, Boqueirão, Bexiga, região do centro de SP")</f>
        <v>Atendemos famílias da região da Cracolandia, Comunidade do Moinho, Boqueirão, Bexiga, região do centro de SP</v>
      </c>
      <c r="Y436" s="27"/>
      <c r="Z436" s="27"/>
      <c r="AA436" s="29">
        <f ca="1">IFERROR(__xludf.DUMMYFUNCTION("""COMPUTED_VALUE"""),40119)</f>
        <v>40119</v>
      </c>
      <c r="AB436" s="27" t="str">
        <f ca="1">IFERROR(__xludf.DUMMYFUNCTION("""COMPUTED_VALUE"""),"Sim")</f>
        <v>Sim</v>
      </c>
      <c r="AC436" s="27">
        <f ca="1">IFERROR(__xludf.DUMMYFUNCTION("""COMPUTED_VALUE"""),0)</f>
        <v>0</v>
      </c>
      <c r="AD436" s="27">
        <f ca="1">IFERROR(__xludf.DUMMYFUNCTION("""COMPUTED_VALUE"""),0)</f>
        <v>0</v>
      </c>
      <c r="AE436" s="27">
        <f ca="1">IFERROR(__xludf.DUMMYFUNCTION("""COMPUTED_VALUE"""),35)</f>
        <v>35</v>
      </c>
      <c r="AF436" s="27">
        <f ca="1">IFERROR(__xludf.DUMMYFUNCTION("""COMPUTED_VALUE"""),33)</f>
        <v>33</v>
      </c>
      <c r="AG436" s="27">
        <f ca="1">IFERROR(__xludf.DUMMYFUNCTION("""COMPUTED_VALUE"""),4)</f>
        <v>4</v>
      </c>
      <c r="AH436" s="27" t="str">
        <f ca="1">IFERROR(__xludf.DUMMYFUNCTION("""COMPUTED_VALUE"""),"Lei de Incentivo; Eventos/Ações para captação; Plataforma doação online - Pessoa Física; Doações")</f>
        <v>Lei de Incentivo; Eventos/Ações para captação; Plataforma doação online - Pessoa Física; Doações</v>
      </c>
      <c r="AI436" s="27" t="str">
        <f ca="1">IFERROR(__xludf.DUMMYFUNCTION("""COMPUTED_VALUE"""),"Doação online 90% e 10% instituições")</f>
        <v>Doação online 90% e 10% instituições</v>
      </c>
      <c r="AJ436" s="27" t="str">
        <f ca="1">IFERROR(__xludf.DUMMYFUNCTION("""COMPUTED_VALUE"""),"Sim")</f>
        <v>Sim</v>
      </c>
      <c r="AK436" s="27" t="str">
        <f ca="1">IFERROR(__xludf.DUMMYFUNCTION("""COMPUTED_VALUE"""),"Sim")</f>
        <v>Sim</v>
      </c>
      <c r="AL436" s="21" t="str">
        <f ca="1">IFERROR(__xludf.DUMMYFUNCTION("""COMPUTED_VALUE"""),"0034P00003u8pO7")</f>
        <v>0034P00003u8pO7</v>
      </c>
      <c r="AM436" s="27" t="str">
        <f ca="1">IFERROR(__xludf.DUMMYFUNCTION("""COMPUTED_VALUE"""),"Gabriela De Assis Machado")</f>
        <v>Gabriela De Assis Machado</v>
      </c>
      <c r="AN436" s="27" t="str">
        <f ca="1">IFERROR(__xludf.DUMMYFUNCTION("""COMPUTED_VALUE"""),"Ativo")</f>
        <v>Ativo</v>
      </c>
      <c r="AO436" s="29">
        <f ca="1">IFERROR(__xludf.DUMMYFUNCTION("""COMPUTED_VALUE"""),44306)</f>
        <v>44306</v>
      </c>
      <c r="AP436" s="27">
        <f ca="1">IFERROR(__xludf.DUMMYFUNCTION("""COMPUTED_VALUE"""),17)</f>
        <v>17</v>
      </c>
      <c r="AQ436" s="27" t="str">
        <f ca="1">IFERROR(__xludf.DUMMYFUNCTION("""COMPUTED_VALUE"""),"Primeiro Semestre 2020")</f>
        <v>Primeiro Semestre 2020</v>
      </c>
      <c r="AR436" s="27" t="str">
        <f ca="1">IFERROR(__xludf.DUMMYFUNCTION("""COMPUTED_VALUE"""),"joanamachado@institutosonhe.org")</f>
        <v>joanamachado@institutosonhe.org</v>
      </c>
      <c r="AS436" s="27" t="str">
        <f ca="1">IFERROR(__xludf.DUMMYFUNCTION("""COMPUTED_VALUE"""),"(11)96342-4890")</f>
        <v>(11)96342-4890</v>
      </c>
      <c r="AT436" s="30">
        <f ca="1">IFERROR(__xludf.DUMMYFUNCTION("""COMPUTED_VALUE"""),32072)</f>
        <v>32072</v>
      </c>
      <c r="AU436" s="27">
        <f ca="1">IFERROR(__xludf.DUMMYFUNCTION("""COMPUTED_VALUE"""),35)</f>
        <v>35</v>
      </c>
      <c r="AV436" s="27">
        <f ca="1">IFERROR(__xludf.DUMMYFUNCTION("""COMPUTED_VALUE"""),4007657564)</f>
        <v>4007657564</v>
      </c>
      <c r="AW436" s="27">
        <f ca="1">IFERROR(__xludf.DUMMYFUNCTION("""COMPUTED_VALUE"""),554474177)</f>
        <v>554474177</v>
      </c>
      <c r="AX436" s="27" t="str">
        <f ca="1">IFERROR(__xludf.DUMMYFUNCTION("""COMPUTED_VALUE"""),"Enfermagem")</f>
        <v>Enfermagem</v>
      </c>
      <c r="AY436" s="27"/>
      <c r="AZ436" s="27" t="str">
        <f ca="1">IFERROR(__xludf.DUMMYFUNCTION("""COMPUTED_VALUE"""),"P")</f>
        <v>P</v>
      </c>
      <c r="BA436" s="27"/>
      <c r="BB436" s="27"/>
      <c r="BC436" s="27" t="str">
        <f ca="1">IFERROR(__xludf.DUMMYFUNCTION("""COMPUTED_VALUE"""),"Sim")</f>
        <v>Sim</v>
      </c>
      <c r="BD436" s="27" t="str">
        <f ca="1">IFERROR(__xludf.DUMMYFUNCTION("""COMPUTED_VALUE"""),"Joana nasceu em um lar cristão e sempre foi criada de acordo com os ensinamentos do evangelho. Antes de seus pais se converterem, eles viviam no mundo das drogas. Joana pediu que Deus mostrasse o que desejava e Ele falou com ela através de um sonho e a fe"&amp;"z ouvir o clamor que vinha do coração das crianças. Veio da Bahia decidida a passar 6 meses em São Paulo e acabou ficando mais 1 ano, pois aprendeu a renunciar suas vontades, sonhos, planos e já são 12 anos transformando a região da Cracolândia.")</f>
        <v>Joana nasceu em um lar cristão e sempre foi criada de acordo com os ensinamentos do evangelho. Antes de seus pais se converterem, eles viviam no mundo das drogas. Joana pediu que Deus mostrasse o que desejava e Ele falou com ela através de um sonho e a fez ouvir o clamor que vinha do coração das crianças. Veio da Bahia decidida a passar 6 meses em São Paulo e acabou ficando mais 1 ano, pois aprendeu a renunciar suas vontades, sonhos, planos e já são 12 anos transformando a região da Cracolândia.</v>
      </c>
      <c r="BE436" s="27"/>
      <c r="BF436" s="27"/>
      <c r="BG436" s="27" t="str">
        <f ca="1">IFERROR(__xludf.DUMMYFUNCTION("""COMPUTED_VALUE"""),"Ensino Superior - Completo")</f>
        <v>Ensino Superior - Completo</v>
      </c>
      <c r="BH436" s="27"/>
      <c r="BI436" s="27" t="str">
        <f ca="1">IFERROR(__xludf.DUMMYFUNCTION("""COMPUTED_VALUE"""),"Graduação")</f>
        <v>Graduação</v>
      </c>
      <c r="BJ436" s="27" t="str">
        <f ca="1">IFERROR(__xludf.DUMMYFUNCTION("""COMPUTED_VALUE"""),"Privado")</f>
        <v>Privado</v>
      </c>
      <c r="BK436" s="27" t="str">
        <f ca="1">IFERROR(__xludf.DUMMYFUNCTION("""COMPUTED_VALUE"""),"Vitorino Carmilo")</f>
        <v>Vitorino Carmilo</v>
      </c>
      <c r="BL436" s="27">
        <f ca="1">IFERROR(__xludf.DUMMYFUNCTION("""COMPUTED_VALUE"""),830)</f>
        <v>830</v>
      </c>
      <c r="BM436" s="27" t="str">
        <f ca="1">IFERROR(__xludf.DUMMYFUNCTION("""COMPUTED_VALUE"""),"apto 11")</f>
        <v>apto 11</v>
      </c>
      <c r="BN436" s="27" t="str">
        <f ca="1">IFERROR(__xludf.DUMMYFUNCTION("""COMPUTED_VALUE"""),"São Paulo")</f>
        <v>São Paulo</v>
      </c>
      <c r="BO436" s="27" t="str">
        <f ca="1">IFERROR(__xludf.DUMMYFUNCTION("""COMPUTED_VALUE"""),"01153-000")</f>
        <v>01153-000</v>
      </c>
      <c r="BP436" s="27" t="str">
        <f ca="1">IFERROR(__xludf.DUMMYFUNCTION("""COMPUTED_VALUE"""),"SP")</f>
        <v>SP</v>
      </c>
      <c r="BQ436" s="27" t="str">
        <f ca="1">IFERROR(__xludf.DUMMYFUNCTION("""COMPUTED_VALUE"""),"Entre 1 até 3 salários mínimos")</f>
        <v>Entre 1 até 3 salários mínimos</v>
      </c>
      <c r="BR436" s="27" t="str">
        <f ca="1">IFERROR(__xludf.DUMMYFUNCTION("""COMPUTED_VALUE"""),"Desempregado")</f>
        <v>Desempregado</v>
      </c>
      <c r="BS436" s="27" t="str">
        <f ca="1">IFERROR(__xludf.DUMMYFUNCTION("""COMPUTED_VALUE"""),"Aluguel")</f>
        <v>Aluguel</v>
      </c>
      <c r="BT436" s="27">
        <f ca="1">IFERROR(__xludf.DUMMYFUNCTION("""COMPUTED_VALUE"""),2)</f>
        <v>2</v>
      </c>
      <c r="BU436" s="27"/>
      <c r="BV436" s="27"/>
      <c r="BW436" s="27"/>
      <c r="BX436" s="21" t="str">
        <f ca="1">IFERROR(__xludf.DUMMYFUNCTION("""COMPUTED_VALUE"""),"https://instagram.com/joanagabi?utm_medium=copy_link")</f>
        <v>https://instagram.com/joanagabi?utm_medium=copy_link</v>
      </c>
      <c r="BY436" s="21" t="str">
        <f ca="1">IFERROR(__xludf.DUMMYFUNCTION("""COMPUTED_VALUE"""),"https://drive.google.com/open?id=1S8z7NAzFJ9FUQGYX3CtXHfHbnEoKP_ik")</f>
        <v>https://drive.google.com/open?id=1S8z7NAzFJ9FUQGYX3CtXHfHbnEoKP_ik</v>
      </c>
    </row>
    <row r="437" spans="1:77" ht="12.5" x14ac:dyDescent="0.25">
      <c r="A437" s="21" t="str">
        <f ca="1">IFERROR(__xludf.DUMMYFUNCTION("""COMPUTED_VALUE"""),"0014P00003AN2GDQA1")</f>
        <v>0014P00003AN2GDQA1</v>
      </c>
      <c r="B437" s="27" t="str">
        <f ca="1">IFERROR(__xludf.DUMMYFUNCTION("""COMPUTED_VALUE"""),"Fase Inicial")</f>
        <v>Fase Inicial</v>
      </c>
      <c r="C437" s="27" t="str">
        <f ca="1">IFERROR(__xludf.DUMMYFUNCTION("""COMPUTED_VALUE"""),"Acelerada")</f>
        <v>Acelerada</v>
      </c>
      <c r="D437" s="27" t="str">
        <f ca="1">IFERROR(__xludf.DUMMYFUNCTION("""COMPUTED_VALUE"""),"Ativo")</f>
        <v>Ativo</v>
      </c>
      <c r="E437" s="27" t="str">
        <f ca="1">IFERROR(__xludf.DUMMYFUNCTION("""COMPUTED_VALUE"""),"Instituto SOS Reviver")</f>
        <v>Instituto SOS Reviver</v>
      </c>
      <c r="F437" s="27" t="str">
        <f ca="1">IFERROR(__xludf.DUMMYFUNCTION("""COMPUTED_VALUE"""),"Anderson")</f>
        <v>Anderson</v>
      </c>
      <c r="G437" s="27" t="str">
        <f ca="1">IFERROR(__xludf.DUMMYFUNCTION("""COMPUTED_VALUE"""),"SOS Reviver")</f>
        <v>SOS Reviver</v>
      </c>
      <c r="H437" s="27" t="str">
        <f ca="1">IFERROR(__xludf.DUMMYFUNCTION("""COMPUTED_VALUE"""),"04.827.803/0001-75")</f>
        <v>04.827.803/0001-75</v>
      </c>
      <c r="I437" s="27"/>
      <c r="J437" s="27"/>
      <c r="K437" s="27" t="str">
        <f ca="1">IFERROR(__xludf.DUMMYFUNCTION("""COMPUTED_VALUE"""),"(21)98802-5664")</f>
        <v>(21)98802-5664</v>
      </c>
      <c r="L437" s="27" t="str">
        <f ca="1">IFERROR(__xludf.DUMMYFUNCTION("""COMPUTED_VALUE"""),"RJ")</f>
        <v>RJ</v>
      </c>
      <c r="M437" s="27" t="str">
        <f ca="1">IFERROR(__xludf.DUMMYFUNCTION("""COMPUTED_VALUE"""),"Rua Coronel França Leite")</f>
        <v>Rua Coronel França Leite</v>
      </c>
      <c r="N437" s="27"/>
      <c r="O437" s="27" t="str">
        <f ca="1">IFERROR(__xludf.DUMMYFUNCTION("""COMPUTED_VALUE"""),"(21)98802-5664")</f>
        <v>(21)98802-5664</v>
      </c>
      <c r="P437" s="27" t="str">
        <f ca="1">IFERROR(__xludf.DUMMYFUNCTION("""COMPUTED_VALUE"""),"Nilópolis")</f>
        <v>Nilópolis</v>
      </c>
      <c r="Q437" s="27"/>
      <c r="R437" s="27" t="str">
        <f ca="1">IFERROR(__xludf.DUMMYFUNCTION("""COMPUTED_VALUE"""),"26520-651")</f>
        <v>26520-651</v>
      </c>
      <c r="S437" s="27" t="str">
        <f ca="1">IFERROR(__xludf.DUMMYFUNCTION("""COMPUTED_VALUE"""),"Rua Abaeté 11 Chatuba Mesquita RJ.
Rua Liberdade 995A Parque Estoril Nova Iguaçu RJ")</f>
        <v>Rua Abaeté 11 Chatuba Mesquita RJ.
Rua Liberdade 995A Parque Estoril Nova Iguaçu RJ</v>
      </c>
      <c r="T437" s="27" t="str">
        <f ca="1">IFERROR(__xludf.DUMMYFUNCTION("""COMPUTED_VALUE"""),"Esporte; Educação; Assistência Social; Empreendedorismo")</f>
        <v>Esporte; Educação; Assistência Social; Empreendedorismo</v>
      </c>
      <c r="U437"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437" s="27" t="str">
        <f ca="1">IFERROR(__xludf.DUMMYFUNCTION("""COMPUTED_VALUE"""),"Moradores de Favelas; Dependentes Químicos")</f>
        <v>Moradores de Favelas; Dependentes Químicos</v>
      </c>
      <c r="W437" s="27">
        <f ca="1">IFERROR(__xludf.DUMMYFUNCTION("""COMPUTED_VALUE"""),14)</f>
        <v>14</v>
      </c>
      <c r="X437" s="27" t="str">
        <f ca="1">IFERROR(__xludf.DUMMYFUNCTION("""COMPUTED_VALUE"""),"Filhos do tráfico")</f>
        <v>Filhos do tráfico</v>
      </c>
      <c r="Y437" s="27"/>
      <c r="Z437" s="27"/>
      <c r="AA437" s="29">
        <f ca="1">IFERROR(__xludf.DUMMYFUNCTION("""COMPUTED_VALUE"""),37054)</f>
        <v>37054</v>
      </c>
      <c r="AB437" s="27" t="str">
        <f ca="1">IFERROR(__xludf.DUMMYFUNCTION("""COMPUTED_VALUE"""),"Sim")</f>
        <v>Sim</v>
      </c>
      <c r="AC437" s="27">
        <f ca="1">IFERROR(__xludf.DUMMYFUNCTION("""COMPUTED_VALUE"""),5)</f>
        <v>5</v>
      </c>
      <c r="AD437" s="27">
        <f ca="1">IFERROR(__xludf.DUMMYFUNCTION("""COMPUTED_VALUE"""),1)</f>
        <v>1</v>
      </c>
      <c r="AE437" s="27">
        <f ca="1">IFERROR(__xludf.DUMMYFUNCTION("""COMPUTED_VALUE"""),12)</f>
        <v>12</v>
      </c>
      <c r="AF437" s="27">
        <f ca="1">IFERROR(__xludf.DUMMYFUNCTION("""COMPUTED_VALUE"""),8)</f>
        <v>8</v>
      </c>
      <c r="AG437" s="27">
        <f ca="1">IFERROR(__xludf.DUMMYFUNCTION("""COMPUTED_VALUE"""),2)</f>
        <v>2</v>
      </c>
      <c r="AH437" s="27" t="str">
        <f ca="1">IFERROR(__xludf.DUMMYFUNCTION("""COMPUTED_VALUE"""),"Lei de Incentivo; Negócio Social; Eventos/Ações para captação; Plataforma doação online - Pessoa Física; Parceria iniciativa privada; Editais; Doações; Lei Federal do Esporte; FIA; Recursos próprios")</f>
        <v>Lei de Incentivo; Negócio Social; Eventos/Ações para captação; Plataforma doação online - Pessoa Física; Parceria iniciativa privada; Editais; Doações; Lei Federal do Esporte; FIA; Recursos próprios</v>
      </c>
      <c r="AI437" s="27" t="str">
        <f ca="1">IFERROR(__xludf.DUMMYFUNCTION("""COMPUTED_VALUE"""),"40% Doações PF, 20% Parceria iniciativa privada, 30% Editais, 10% Recursos próprios.")</f>
        <v>40% Doações PF, 20% Parceria iniciativa privada, 30% Editais, 10% Recursos próprios.</v>
      </c>
      <c r="AJ437" s="27" t="str">
        <f ca="1">IFERROR(__xludf.DUMMYFUNCTION("""COMPUTED_VALUE"""),"Um sonho. espero aprender na rede Fellows como ter.")</f>
        <v>Um sonho. espero aprender na rede Fellows como ter.</v>
      </c>
      <c r="AK437" s="27" t="str">
        <f ca="1">IFERROR(__xludf.DUMMYFUNCTION("""COMPUTED_VALUE"""),"Sim")</f>
        <v>Sim</v>
      </c>
      <c r="AL437" s="21" t="str">
        <f ca="1">IFERROR(__xludf.DUMMYFUNCTION("""COMPUTED_VALUE"""),"0034P00003maBVh")</f>
        <v>0034P00003maBVh</v>
      </c>
      <c r="AM437" s="27" t="str">
        <f ca="1">IFERROR(__xludf.DUMMYFUNCTION("""COMPUTED_VALUE"""),"Da Silva Pereira")</f>
        <v>Da Silva Pereira</v>
      </c>
      <c r="AN437" s="27" t="str">
        <f ca="1">IFERROR(__xludf.DUMMYFUNCTION("""COMPUTED_VALUE"""),"Ativo")</f>
        <v>Ativo</v>
      </c>
      <c r="AO437" s="29">
        <f ca="1">IFERROR(__xludf.DUMMYFUNCTION("""COMPUTED_VALUE"""),44375)</f>
        <v>44375</v>
      </c>
      <c r="AP437" s="27">
        <f ca="1">IFERROR(__xludf.DUMMYFUNCTION("""COMPUTED_VALUE"""),15)</f>
        <v>15</v>
      </c>
      <c r="AQ437" s="27" t="str">
        <f ca="1">IFERROR(__xludf.DUMMYFUNCTION("""COMPUTED_VALUE"""),"Segundo Semestre 2020")</f>
        <v>Segundo Semestre 2020</v>
      </c>
      <c r="AR437" s="27" t="str">
        <f ca="1">IFERROR(__xludf.DUMMYFUNCTION("""COMPUTED_VALUE"""),"andersonpedagogiaufrrj@gmail.com")</f>
        <v>andersonpedagogiaufrrj@gmail.com</v>
      </c>
      <c r="AS437" s="27" t="str">
        <f ca="1">IFERROR(__xludf.DUMMYFUNCTION("""COMPUTED_VALUE"""),"(21)98802-5664")</f>
        <v>(21)98802-5664</v>
      </c>
      <c r="AT437" s="29">
        <f ca="1">IFERROR(__xludf.DUMMYFUNCTION("""COMPUTED_VALUE"""),28130)</f>
        <v>28130</v>
      </c>
      <c r="AU437" s="27">
        <f ca="1">IFERROR(__xludf.DUMMYFUNCTION("""COMPUTED_VALUE"""),45)</f>
        <v>45</v>
      </c>
      <c r="AV437" s="27">
        <f ca="1">IFERROR(__xludf.DUMMYFUNCTION("""COMPUTED_VALUE"""),7601852717)</f>
        <v>7601852717</v>
      </c>
      <c r="AW437" s="27" t="str">
        <f ca="1">IFERROR(__xludf.DUMMYFUNCTION("""COMPUTED_VALUE"""),"115528903 DETRAN/RJ")</f>
        <v>115528903 DETRAN/RJ</v>
      </c>
      <c r="AX437" s="27" t="str">
        <f ca="1">IFERROR(__xludf.DUMMYFUNCTION("""COMPUTED_VALUE"""),"Pedagogia")</f>
        <v>Pedagogia</v>
      </c>
      <c r="AY437" s="27" t="str">
        <f ca="1">IFERROR(__xludf.DUMMYFUNCTION("""COMPUTED_VALUE"""),"Corretor de Imóveis - Imobiliária Inteligente (Própria)")</f>
        <v>Corretor de Imóveis - Imobiliária Inteligente (Própria)</v>
      </c>
      <c r="AZ437" s="27" t="str">
        <f ca="1">IFERROR(__xludf.DUMMYFUNCTION("""COMPUTED_VALUE"""),"G")</f>
        <v>G</v>
      </c>
      <c r="BA437" s="27"/>
      <c r="BB437" s="27"/>
      <c r="BC437" s="27" t="str">
        <f ca="1">IFERROR(__xludf.DUMMYFUNCTION("""COMPUTED_VALUE"""),"Sim")</f>
        <v>Sim</v>
      </c>
      <c r="BD437" s="27" t="str">
        <f ca="1">IFERROR(__xludf.DUMMYFUNCTION("""COMPUTED_VALUE"""),"Anderson Silva, é cria da Baixada Fluminense RJ, já fez de tudo um pouco nessa vida. Empreendedor social apaixonado, CEO e Fundador do Instituto SOS Reviver. É casado, pai de 3 filhos, ama o que faz e não desiste nunca dos seus sonhos.")</f>
        <v>Anderson Silva, é cria da Baixada Fluminense RJ, já fez de tudo um pouco nessa vida. Empreendedor social apaixonado, CEO e Fundador do Instituto SOS Reviver. É casado, pai de 3 filhos, ama o que faz e não desiste nunca dos seus sonhos.</v>
      </c>
      <c r="BE437" s="27"/>
      <c r="BF437" s="27"/>
      <c r="BG437" s="27" t="str">
        <f ca="1">IFERROR(__xludf.DUMMYFUNCTION("""COMPUTED_VALUE"""),"Ensino Superior - Incompleto")</f>
        <v>Ensino Superior - Incompleto</v>
      </c>
      <c r="BH437" s="27"/>
      <c r="BI437" s="27" t="str">
        <f ca="1">IFERROR(__xludf.DUMMYFUNCTION("""COMPUTED_VALUE"""),"Graduação")</f>
        <v>Graduação</v>
      </c>
      <c r="BJ437" s="27" t="str">
        <f ca="1">IFERROR(__xludf.DUMMYFUNCTION("""COMPUTED_VALUE"""),"Público")</f>
        <v>Público</v>
      </c>
      <c r="BK437" s="27" t="str">
        <f ca="1">IFERROR(__xludf.DUMMYFUNCTION("""COMPUTED_VALUE"""),"Araci")</f>
        <v>Araci</v>
      </c>
      <c r="BL437" s="27" t="str">
        <f ca="1">IFERROR(__xludf.DUMMYFUNCTION("""COMPUTED_VALUE"""),"1111a")</f>
        <v>1111a</v>
      </c>
      <c r="BM437" s="27" t="str">
        <f ca="1">IFERROR(__xludf.DUMMYFUNCTION("""COMPUTED_VALUE"""),"Apto 101")</f>
        <v>Apto 101</v>
      </c>
      <c r="BN437" s="27" t="str">
        <f ca="1">IFERROR(__xludf.DUMMYFUNCTION("""COMPUTED_VALUE"""),"Nilópolis")</f>
        <v>Nilópolis</v>
      </c>
      <c r="BO437" s="27" t="str">
        <f ca="1">IFERROR(__xludf.DUMMYFUNCTION("""COMPUTED_VALUE"""),"25530-460")</f>
        <v>25530-460</v>
      </c>
      <c r="BP437" s="27" t="str">
        <f ca="1">IFERROR(__xludf.DUMMYFUNCTION("""COMPUTED_VALUE"""),"RJ")</f>
        <v>RJ</v>
      </c>
      <c r="BQ437" s="27" t="str">
        <f ca="1">IFERROR(__xludf.DUMMYFUNCTION("""COMPUTED_VALUE"""),"De 3 até 5 salários mínimos")</f>
        <v>De 3 até 5 salários mínimos</v>
      </c>
      <c r="BR437" s="27" t="str">
        <f ca="1">IFERROR(__xludf.DUMMYFUNCTION("""COMPUTED_VALUE"""),"MEI; Trabalho informal")</f>
        <v>MEI; Trabalho informal</v>
      </c>
      <c r="BS437" s="27" t="str">
        <f ca="1">IFERROR(__xludf.DUMMYFUNCTION("""COMPUTED_VALUE"""),"Casa cedida")</f>
        <v>Casa cedida</v>
      </c>
      <c r="BT437" s="27">
        <f ca="1">IFERROR(__xludf.DUMMYFUNCTION("""COMPUTED_VALUE"""),5)</f>
        <v>5</v>
      </c>
      <c r="BU437" s="27"/>
      <c r="BV437" s="27"/>
      <c r="BW437" s="27"/>
      <c r="BX437" s="21" t="str">
        <f ca="1">IFERROR(__xludf.DUMMYFUNCTION("""COMPUTED_VALUE"""),"https://instagram.com/anderson_silvap?utm_medium=copy_link")</f>
        <v>https://instagram.com/anderson_silvap?utm_medium=copy_link</v>
      </c>
      <c r="BY437" s="21" t="str">
        <f ca="1">IFERROR(__xludf.DUMMYFUNCTION("""COMPUTED_VALUE"""),"https://drive.google.com/open?id=12T2RZEMCRq54DKV9Mb-AJziXv-aX7_Qg")</f>
        <v>https://drive.google.com/open?id=12T2RZEMCRq54DKV9Mb-AJziXv-aX7_Qg</v>
      </c>
    </row>
    <row r="438" spans="1:77" ht="12.5" x14ac:dyDescent="0.25">
      <c r="A438" s="21" t="str">
        <f ca="1">IFERROR(__xludf.DUMMYFUNCTION("""COMPUTED_VALUE"""),"0014X00002VKCuKQAX")</f>
        <v>0014X00002VKCuKQAX</v>
      </c>
      <c r="B438" s="27" t="str">
        <f ca="1">IFERROR(__xludf.DUMMYFUNCTION("""COMPUTED_VALUE"""),"Fase Inicial")</f>
        <v>Fase Inicial</v>
      </c>
      <c r="C438" s="27" t="str">
        <f ca="1">IFERROR(__xludf.DUMMYFUNCTION("""COMPUTED_VALUE"""),"Fellow")</f>
        <v>Fellow</v>
      </c>
      <c r="D438" s="27" t="str">
        <f ca="1">IFERROR(__xludf.DUMMYFUNCTION("""COMPUTED_VALUE"""),"Ativo")</f>
        <v>Ativo</v>
      </c>
      <c r="E438" s="27" t="str">
        <f ca="1">IFERROR(__xludf.DUMMYFUNCTION("""COMPUTED_VALUE"""),"Instituto Sublim")</f>
        <v>Instituto Sublim</v>
      </c>
      <c r="F438" s="27" t="str">
        <f ca="1">IFERROR(__xludf.DUMMYFUNCTION("""COMPUTED_VALUE"""),"Ana")</f>
        <v>Ana</v>
      </c>
      <c r="G438" s="27" t="str">
        <f ca="1">IFERROR(__xludf.DUMMYFUNCTION("""COMPUTED_VALUE"""),"INSTITUTO SUBLIM")</f>
        <v>INSTITUTO SUBLIM</v>
      </c>
      <c r="H438" s="27">
        <f ca="1">IFERROR(__xludf.DUMMYFUNCTION("""COMPUTED_VALUE"""),39976495000124)</f>
        <v>39976495000124</v>
      </c>
      <c r="I438" s="27" t="str">
        <f ca="1">IFERROR(__xludf.DUMMYFUNCTION("""COMPUTED_VALUE"""),"Ana Carolina de Andrade")</f>
        <v>Ana Carolina de Andrade</v>
      </c>
      <c r="J438" s="27" t="str">
        <f ca="1">IFERROR(__xludf.DUMMYFUNCTION("""COMPUTED_VALUE"""),"institutosublim@gmail.com")</f>
        <v>institutosublim@gmail.com</v>
      </c>
      <c r="K438" s="27">
        <f ca="1">IFERROR(__xludf.DUMMYFUNCTION("""COMPUTED_VALUE"""),11975911225)</f>
        <v>11975911225</v>
      </c>
      <c r="L438" s="27" t="str">
        <f ca="1">IFERROR(__xludf.DUMMYFUNCTION("""COMPUTED_VALUE"""),"SP")</f>
        <v>SP</v>
      </c>
      <c r="M438" s="27" t="str">
        <f ca="1">IFERROR(__xludf.DUMMYFUNCTION("""COMPUTED_VALUE"""),"Av  Daniel Malettini")</f>
        <v>Av  Daniel Malettini</v>
      </c>
      <c r="N438" s="27" t="str">
        <f ca="1">IFERROR(__xludf.DUMMYFUNCTION("""COMPUTED_VALUE"""),"Vila Aurora")</f>
        <v>Vila Aurora</v>
      </c>
      <c r="O438" s="27">
        <f ca="1">IFERROR(__xludf.DUMMYFUNCTION("""COMPUTED_VALUE"""),820)</f>
        <v>820</v>
      </c>
      <c r="P438" s="27" t="str">
        <f ca="1">IFERROR(__xludf.DUMMYFUNCTION("""COMPUTED_VALUE"""),"São Paulo")</f>
        <v>São Paulo</v>
      </c>
      <c r="Q438" s="27" t="str">
        <f ca="1">IFERROR(__xludf.DUMMYFUNCTION("""COMPUTED_VALUE"""),"baixo")</f>
        <v>baixo</v>
      </c>
      <c r="R438" s="27">
        <f ca="1">IFERROR(__xludf.DUMMYFUNCTION("""COMPUTED_VALUE"""),2411000)</f>
        <v>2411000</v>
      </c>
      <c r="S438" s="27"/>
      <c r="T438" s="27"/>
      <c r="U438" s="27"/>
      <c r="V438" s="27"/>
      <c r="W438" s="27">
        <f ca="1">IFERROR(__xludf.DUMMYFUNCTION("""COMPUTED_VALUE"""),18)</f>
        <v>18</v>
      </c>
      <c r="X438" s="27"/>
      <c r="Y438" s="27"/>
      <c r="Z438" s="27">
        <f ca="1">IFERROR(__xludf.DUMMYFUNCTION("""COMPUTED_VALUE"""),300)</f>
        <v>300</v>
      </c>
      <c r="AA438" s="29">
        <f ca="1">IFERROR(__xludf.DUMMYFUNCTION("""COMPUTED_VALUE"""),43719)</f>
        <v>43719</v>
      </c>
      <c r="AB438" s="27" t="str">
        <f ca="1">IFERROR(__xludf.DUMMYFUNCTION("""COMPUTED_VALUE"""),"Sim")</f>
        <v>Sim</v>
      </c>
      <c r="AC438" s="27">
        <f ca="1">IFERROR(__xludf.DUMMYFUNCTION("""COMPUTED_VALUE"""),2)</f>
        <v>2</v>
      </c>
      <c r="AD438" s="27"/>
      <c r="AE438" s="27">
        <f ca="1">IFERROR(__xludf.DUMMYFUNCTION("""COMPUTED_VALUE"""),10)</f>
        <v>10</v>
      </c>
      <c r="AF438" s="27"/>
      <c r="AG438" s="27">
        <f ca="1">IFERROR(__xludf.DUMMYFUNCTION("""COMPUTED_VALUE"""),3)</f>
        <v>3</v>
      </c>
      <c r="AH438" s="27"/>
      <c r="AI438" s="27"/>
      <c r="AJ438" s="27" t="str">
        <f ca="1">IFERROR(__xludf.DUMMYFUNCTION("""COMPUTED_VALUE"""),"Sim")</f>
        <v>Sim</v>
      </c>
      <c r="AK438" s="27"/>
      <c r="AL438" s="21" t="str">
        <f ca="1">IFERROR(__xludf.DUMMYFUNCTION("""COMPUTED_VALUE"""),"0034X0000380O5W")</f>
        <v>0034X0000380O5W</v>
      </c>
      <c r="AM438" s="27" t="str">
        <f ca="1">IFERROR(__xludf.DUMMYFUNCTION("""COMPUTED_VALUE"""),"Carolina de andrade")</f>
        <v>Carolina de andrade</v>
      </c>
      <c r="AN438" s="27" t="str">
        <f ca="1">IFERROR(__xludf.DUMMYFUNCTION("""COMPUTED_VALUE"""),"Ativo")</f>
        <v>Ativo</v>
      </c>
      <c r="AO438" s="29">
        <f ca="1">IFERROR(__xludf.DUMMYFUNCTION("""COMPUTED_VALUE"""),44763)</f>
        <v>44763</v>
      </c>
      <c r="AP438" s="27">
        <f ca="1">IFERROR(__xludf.DUMMYFUNCTION("""COMPUTED_VALUE"""),2)</f>
        <v>2</v>
      </c>
      <c r="AQ438" s="27" t="str">
        <f ca="1">IFERROR(__xludf.DUMMYFUNCTION("""COMPUTED_VALUE"""),"Primeiro Semestre 2022")</f>
        <v>Primeiro Semestre 2022</v>
      </c>
      <c r="AR438" s="27" t="str">
        <f ca="1">IFERROR(__xludf.DUMMYFUNCTION("""COMPUTED_VALUE"""),"institutosublim@gmail.com")</f>
        <v>institutosublim@gmail.com</v>
      </c>
      <c r="AS438" s="27">
        <f ca="1">IFERROR(__xludf.DUMMYFUNCTION("""COMPUTED_VALUE"""),11975911225)</f>
        <v>11975911225</v>
      </c>
      <c r="AT438" s="29">
        <f ca="1">IFERROR(__xludf.DUMMYFUNCTION("""COMPUTED_VALUE"""),33027)</f>
        <v>33027</v>
      </c>
      <c r="AU438" s="27">
        <f ca="1">IFERROR(__xludf.DUMMYFUNCTION("""COMPUTED_VALUE"""),32)</f>
        <v>32</v>
      </c>
      <c r="AV438" s="27">
        <f ca="1">IFERROR(__xludf.DUMMYFUNCTION("""COMPUTED_VALUE"""),39585812851)</f>
        <v>39585812851</v>
      </c>
      <c r="AW438" s="27">
        <f ca="1">IFERROR(__xludf.DUMMYFUNCTION("""COMPUTED_VALUE"""),474983663)</f>
        <v>474983663</v>
      </c>
      <c r="AX438" s="27"/>
      <c r="AY438" s="27"/>
      <c r="AZ438" s="27" t="str">
        <f ca="1">IFERROR(__xludf.DUMMYFUNCTION("""COMPUTED_VALUE"""),"G2")</f>
        <v>G2</v>
      </c>
      <c r="BA438" s="27" t="str">
        <f ca="1">IFERROR(__xludf.DUMMYFUNCTION("""COMPUTED_VALUE"""),"Preta")</f>
        <v>Preta</v>
      </c>
      <c r="BB438" s="27"/>
      <c r="BC438" s="27"/>
      <c r="BD438" s="27" t="str">
        <f ca="1">IFERROR(__xludf.DUMMYFUNCTION("""COMPUTED_VALUE"""),"Me chamo Carol Andrade sou mãe solo da Alanna Pillar* formada em Administração de empresas * tenho experiência no primeiro e no terceiro setor. Atualmente Mediadora Social e Analista de Comunicação.")</f>
        <v>Me chamo Carol Andrade sou mãe solo da Alanna Pillar* formada em Administração de empresas * tenho experiência no primeiro e no terceiro setor. Atualmente Mediadora Social e Analista de Comunicação.</v>
      </c>
      <c r="BE438" s="27" t="str">
        <f ca="1">IFERROR(__xludf.DUMMYFUNCTION("""COMPUTED_VALUE"""),"Feminino")</f>
        <v>Feminino</v>
      </c>
      <c r="BF438" s="27" t="str">
        <f ca="1">IFERROR(__xludf.DUMMYFUNCTION("""COMPUTED_VALUE"""),"Heterossexual")</f>
        <v>Heterossexual</v>
      </c>
      <c r="BG438" s="27"/>
      <c r="BH438" s="27" t="str">
        <f ca="1">IFERROR(__xludf.DUMMYFUNCTION("""COMPUTED_VALUE"""),"Público")</f>
        <v>Público</v>
      </c>
      <c r="BI438" s="27" t="str">
        <f ca="1">IFERROR(__xludf.DUMMYFUNCTION("""COMPUTED_VALUE"""),"Graduação")</f>
        <v>Graduação</v>
      </c>
      <c r="BJ438" s="27" t="str">
        <f ca="1">IFERROR(__xludf.DUMMYFUNCTION("""COMPUTED_VALUE"""),"Privado")</f>
        <v>Privado</v>
      </c>
      <c r="BK438" s="27" t="str">
        <f ca="1">IFERROR(__xludf.DUMMYFUNCTION("""COMPUTED_VALUE"""),"Rua Charles Cameron")</f>
        <v>Rua Charles Cameron</v>
      </c>
      <c r="BL438" s="27">
        <f ca="1">IFERROR(__xludf.DUMMYFUNCTION("""COMPUTED_VALUE"""),97)</f>
        <v>97</v>
      </c>
      <c r="BM438" s="27">
        <f ca="1">IFERROR(__xludf.DUMMYFUNCTION("""COMPUTED_VALUE"""),5)</f>
        <v>5</v>
      </c>
      <c r="BN438" s="27"/>
      <c r="BO438" s="27">
        <f ca="1">IFERROR(__xludf.DUMMYFUNCTION("""COMPUTED_VALUE"""),2409080)</f>
        <v>2409080</v>
      </c>
      <c r="BP438" s="27" t="str">
        <f ca="1">IFERROR(__xludf.DUMMYFUNCTION("""COMPUTED_VALUE"""),"SP")</f>
        <v>SP</v>
      </c>
      <c r="BQ438" s="27" t="str">
        <f ca="1">IFERROR(__xludf.DUMMYFUNCTION("""COMPUTED_VALUE"""),"Entre 1 até 3 salários mínimos")</f>
        <v>Entre 1 até 3 salários mínimos</v>
      </c>
      <c r="BR438" s="27" t="str">
        <f ca="1">IFERROR(__xludf.DUMMYFUNCTION("""COMPUTED_VALUE"""),"Trabalho informal")</f>
        <v>Trabalho informal</v>
      </c>
      <c r="BS438" s="27" t="str">
        <f ca="1">IFERROR(__xludf.DUMMYFUNCTION("""COMPUTED_VALUE"""),"Aluguel")</f>
        <v>Aluguel</v>
      </c>
      <c r="BT438" s="27">
        <f ca="1">IFERROR(__xludf.DUMMYFUNCTION("""COMPUTED_VALUE"""),2)</f>
        <v>2</v>
      </c>
      <c r="BU438" s="27" t="str">
        <f ca="1">IFERROR(__xludf.DUMMYFUNCTION("""COMPUTED_VALUE"""),"Não tem")</f>
        <v>Não tem</v>
      </c>
      <c r="BV438" s="27" t="str">
        <f ca="1">IFERROR(__xludf.DUMMYFUNCTION("""COMPUTED_VALUE"""),"Não")</f>
        <v>Não</v>
      </c>
      <c r="BW438" s="21" t="str">
        <f ca="1">IFERROR(__xludf.DUMMYFUNCTION("""COMPUTED_VALUE"""),"https://www.linkedin.com/in/ana-carolina-andrade-b104a284")</f>
        <v>https://www.linkedin.com/in/ana-carolina-andrade-b104a284</v>
      </c>
      <c r="BX438" s="21" t="str">
        <f ca="1">IFERROR(__xludf.DUMMYFUNCTION("""COMPUTED_VALUE"""),"https://www.instagram.com/andrade6126?r=nametag")</f>
        <v>https://www.instagram.com/andrade6126?r=nametag</v>
      </c>
      <c r="BY438" s="27"/>
    </row>
    <row r="439" spans="1:77" ht="12.5" x14ac:dyDescent="0.25">
      <c r="A439" s="21" t="str">
        <f ca="1">IFERROR(__xludf.DUMMYFUNCTION("""COMPUTED_VALUE"""),"0014P00003YSp7iQAD")</f>
        <v>0014P00003YSp7iQAD</v>
      </c>
      <c r="B439" s="27" t="str">
        <f ca="1">IFERROR(__xludf.DUMMYFUNCTION("""COMPUTED_VALUE"""),"Fase Inicial")</f>
        <v>Fase Inicial</v>
      </c>
      <c r="C439" s="27" t="str">
        <f ca="1">IFERROR(__xludf.DUMMYFUNCTION("""COMPUTED_VALUE"""),"Fellow")</f>
        <v>Fellow</v>
      </c>
      <c r="D439" s="27" t="str">
        <f ca="1">IFERROR(__xludf.DUMMYFUNCTION("""COMPUTED_VALUE"""),"Ativo")</f>
        <v>Ativo</v>
      </c>
      <c r="E439" s="27" t="str">
        <f ca="1">IFERROR(__xludf.DUMMYFUNCTION("""COMPUTED_VALUE"""),"INSTITUTO TCHIBUM")</f>
        <v>INSTITUTO TCHIBUM</v>
      </c>
      <c r="F439" s="27" t="str">
        <f ca="1">IFERROR(__xludf.DUMMYFUNCTION("""COMPUTED_VALUE"""),"Rafaelle")</f>
        <v>Rafaelle</v>
      </c>
      <c r="G439" s="27"/>
      <c r="H439" s="27" t="str">
        <f ca="1">IFERROR(__xludf.DUMMYFUNCTION("""COMPUTED_VALUE"""),"33.822.080/0001-10")</f>
        <v>33.822.080/0001-10</v>
      </c>
      <c r="I439" s="27" t="str">
        <f ca="1">IFERROR(__xludf.DUMMYFUNCTION("""COMPUTED_VALUE"""),"Rafaelle Bragança")</f>
        <v>Rafaelle Bragança</v>
      </c>
      <c r="J439" s="27" t="str">
        <f ca="1">IFERROR(__xludf.DUMMYFUNCTION("""COMPUTED_VALUE"""),"contato@institutotchibum.com")</f>
        <v>contato@institutotchibum.com</v>
      </c>
      <c r="K439" s="27" t="str">
        <f ca="1">IFERROR(__xludf.DUMMYFUNCTION("""COMPUTED_VALUE"""),"(92)99205-1866")</f>
        <v>(92)99205-1866</v>
      </c>
      <c r="L439" s="27" t="str">
        <f ca="1">IFERROR(__xludf.DUMMYFUNCTION("""COMPUTED_VALUE"""),"AM")</f>
        <v>AM</v>
      </c>
      <c r="M439" s="27" t="str">
        <f ca="1">IFERROR(__xludf.DUMMYFUNCTION("""COMPUTED_VALUE"""),"RUA BELO HORIZONTE,")</f>
        <v>RUA BELO HORIZONTE,</v>
      </c>
      <c r="N439" s="27" t="str">
        <f ca="1">IFERROR(__xludf.DUMMYFUNCTION("""COMPUTED_VALUE"""),"ADRIANOPOLIS")</f>
        <v>ADRIANOPOLIS</v>
      </c>
      <c r="O439" s="27">
        <f ca="1">IFERROR(__xludf.DUMMYFUNCTION("""COMPUTED_VALUE"""),19)</f>
        <v>19</v>
      </c>
      <c r="P439" s="27" t="str">
        <f ca="1">IFERROR(__xludf.DUMMYFUNCTION("""COMPUTED_VALUE"""),"MANAUS")</f>
        <v>MANAUS</v>
      </c>
      <c r="Q439" s="27" t="str">
        <f ca="1">IFERROR(__xludf.DUMMYFUNCTION("""COMPUTED_VALUE"""),"Sala 612 The Place Business")</f>
        <v>Sala 612 The Place Business</v>
      </c>
      <c r="R439" s="27" t="str">
        <f ca="1">IFERROR(__xludf.DUMMYFUNCTION("""COMPUTED_VALUE"""),"69057-060")</f>
        <v>69057-060</v>
      </c>
      <c r="S439" s="27"/>
      <c r="T439" s="27" t="str">
        <f ca="1">IFERROR(__xludf.DUMMYFUNCTION("""COMPUTED_VALUE"""),"Educação; Saúde; Apoio à gestão de organizações de Terceiro Setor; Desenvolvimento comunitário; Outro(s)")</f>
        <v>Educação; Saúde; Apoio à gestão de organizações de Terceiro Setor; Desenvolvimento comunitário; Outro(s)</v>
      </c>
      <c r="U439"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439" s="27" t="str">
        <f ca="1">IFERROR(__xludf.DUMMYFUNCTION("""COMPUTED_VALUE"""),"Moradores de Favelas; Povos Indígenas; Ribeirinhos")</f>
        <v>Moradores de Favelas; Povos Indígenas; Ribeirinhos</v>
      </c>
      <c r="W439" s="27">
        <f ca="1">IFERROR(__xludf.DUMMYFUNCTION("""COMPUTED_VALUE"""),2)</f>
        <v>2</v>
      </c>
      <c r="X439" s="27" t="str">
        <f ca="1">IFERROR(__xludf.DUMMYFUNCTION("""COMPUTED_VALUE"""),"Nas ações de combate ao Covid em parcerias com outras 10 instituições da cidade chegamos a cerca de 28 municípios do Amazonas.
No campo Oficinas colocamos as aulas do Um passo para a Universidade preparatório para o enem gratuito para jovens")</f>
        <v>Nas ações de combate ao Covid em parcerias com outras 10 instituições da cidade chegamos a cerca de 28 municípios do Amazonas.
No campo Oficinas colocamos as aulas do Um passo para a Universidade preparatório para o enem gratuito para jovens</v>
      </c>
      <c r="Y439" s="27"/>
      <c r="Z439" s="27">
        <f ca="1">IFERROR(__xludf.DUMMYFUNCTION("""COMPUTED_VALUE"""),564)</f>
        <v>564</v>
      </c>
      <c r="AA439" s="29">
        <f ca="1">IFERROR(__xludf.DUMMYFUNCTION("""COMPUTED_VALUE"""),40457)</f>
        <v>40457</v>
      </c>
      <c r="AB439" s="27" t="str">
        <f ca="1">IFERROR(__xludf.DUMMYFUNCTION("""COMPUTED_VALUE"""),"Sim")</f>
        <v>Sim</v>
      </c>
      <c r="AC439" s="27">
        <f ca="1">IFERROR(__xludf.DUMMYFUNCTION("""COMPUTED_VALUE"""),0)</f>
        <v>0</v>
      </c>
      <c r="AD439" s="27">
        <f ca="1">IFERROR(__xludf.DUMMYFUNCTION("""COMPUTED_VALUE"""),0)</f>
        <v>0</v>
      </c>
      <c r="AE439" s="27">
        <f ca="1">IFERROR(__xludf.DUMMYFUNCTION("""COMPUTED_VALUE"""),30)</f>
        <v>30</v>
      </c>
      <c r="AF439" s="27">
        <f ca="1">IFERROR(__xludf.DUMMYFUNCTION("""COMPUTED_VALUE"""),30)</f>
        <v>30</v>
      </c>
      <c r="AG439" s="27">
        <f ca="1">IFERROR(__xludf.DUMMYFUNCTION("""COMPUTED_VALUE"""),2)</f>
        <v>2</v>
      </c>
      <c r="AH439" s="27" t="str">
        <f ca="1">IFERROR(__xludf.DUMMYFUNCTION("""COMPUTED_VALUE"""),"Doações; Recursos próprios")</f>
        <v>Doações; Recursos próprios</v>
      </c>
      <c r="AI439" s="27" t="str">
        <f ca="1">IFERROR(__xludf.DUMMYFUNCTION("""COMPUTED_VALUE"""),"75% doações e 25% recursos dos voluntarios")</f>
        <v>75% doações e 25% recursos dos voluntarios</v>
      </c>
      <c r="AJ439" s="27"/>
      <c r="AK439" s="27"/>
      <c r="AL439" s="21" t="str">
        <f ca="1">IFERROR(__xludf.DUMMYFUNCTION("""COMPUTED_VALUE"""),"0034P000045kxiJ")</f>
        <v>0034P000045kxiJ</v>
      </c>
      <c r="AM439" s="27" t="str">
        <f ca="1">IFERROR(__xludf.DUMMYFUNCTION("""COMPUTED_VALUE"""),"Nascimento Bragança")</f>
        <v>Nascimento Bragança</v>
      </c>
      <c r="AN439" s="27" t="str">
        <f ca="1">IFERROR(__xludf.DUMMYFUNCTION("""COMPUTED_VALUE"""),"Ativo")</f>
        <v>Ativo</v>
      </c>
      <c r="AO439" s="30">
        <f ca="1">IFERROR(__xludf.DUMMYFUNCTION("""COMPUTED_VALUE"""),44551)</f>
        <v>44551</v>
      </c>
      <c r="AP439" s="27">
        <f ca="1">IFERROR(__xludf.DUMMYFUNCTION("""COMPUTED_VALUE"""),9)</f>
        <v>9</v>
      </c>
      <c r="AQ439" s="27" t="str">
        <f ca="1">IFERROR(__xludf.DUMMYFUNCTION("""COMPUTED_VALUE"""),"Segundo Semestre 2021")</f>
        <v>Segundo Semestre 2021</v>
      </c>
      <c r="AR439" s="27" t="str">
        <f ca="1">IFERROR(__xludf.DUMMYFUNCTION("""COMPUTED_VALUE"""),"rafaelle.rnc@gmail.com")</f>
        <v>rafaelle.rnc@gmail.com</v>
      </c>
      <c r="AS439" s="27" t="str">
        <f ca="1">IFERROR(__xludf.DUMMYFUNCTION("""COMPUTED_VALUE"""),"(92)99205-1866")</f>
        <v>(92)99205-1866</v>
      </c>
      <c r="AT439" s="29">
        <f ca="1">IFERROR(__xludf.DUMMYFUNCTION("""COMPUTED_VALUE"""),33472)</f>
        <v>33472</v>
      </c>
      <c r="AU439" s="27">
        <f ca="1">IFERROR(__xludf.DUMMYFUNCTION("""COMPUTED_VALUE"""),31)</f>
        <v>31</v>
      </c>
      <c r="AV439" s="27">
        <f ca="1">IFERROR(__xludf.DUMMYFUNCTION("""COMPUTED_VALUE"""),95763074220)</f>
        <v>95763074220</v>
      </c>
      <c r="AW439" s="27">
        <f ca="1">IFERROR(__xludf.DUMMYFUNCTION("""COMPUTED_VALUE"""),21908842)</f>
        <v>21908842</v>
      </c>
      <c r="AX439" s="27"/>
      <c r="AY439" s="27"/>
      <c r="AZ439" s="27" t="str">
        <f ca="1">IFERROR(__xludf.DUMMYFUNCTION("""COMPUTED_VALUE"""),"M")</f>
        <v>M</v>
      </c>
      <c r="BA439" s="27" t="str">
        <f ca="1">IFERROR(__xludf.DUMMYFUNCTION("""COMPUTED_VALUE"""),"Preta")</f>
        <v>Preta</v>
      </c>
      <c r="BB439" s="27" t="str">
        <f ca="1">IFERROR(__xludf.DUMMYFUNCTION("""COMPUTED_VALUE"""),"Mulher, cisgênero")</f>
        <v>Mulher, cisgênero</v>
      </c>
      <c r="BC439" s="27" t="str">
        <f ca="1">IFERROR(__xludf.DUMMYFUNCTION("""COMPUTED_VALUE"""),"Não")</f>
        <v>Não</v>
      </c>
      <c r="BD439" s="27" t="str">
        <f ca="1">IFERROR(__xludf.DUMMYFUNCTION("""COMPUTED_VALUE"""),"Administradora, Empreendedora Social, Presidente do Instituto Tchibum, Co-fundadora e Gestora de Comunidades na iniciativa Afluentes, Líder em Manaus do WCD 2020 e 2022, membro da rede de Líderes da Falcons University 2021.
Hoje, atua com gestão de comuni"&amp;"dades e relacionamento na Bemol Digital. 
Acredita na educação, humanização, criatividade, inovação e tecnologia como ferramentas de desenvolvimento pessoal e transformação social.")</f>
        <v>Administradora, Empreendedora Social, Presidente do Instituto Tchibum, Co-fundadora e Gestora de Comunidades na iniciativa Afluentes, Líder em Manaus do WCD 2020 e 2022, membro da rede de Líderes da Falcons University 2021.
Hoje, atua com gestão de comunidades e relacionamento na Bemol Digital. 
Acredita na educação, humanização, criatividade, inovação e tecnologia como ferramentas de desenvolvimento pessoal e transformação social.</v>
      </c>
      <c r="BE439" s="27"/>
      <c r="BF439" s="27" t="str">
        <f ca="1">IFERROR(__xludf.DUMMYFUNCTION("""COMPUTED_VALUE"""),"Heterossexual")</f>
        <v>Heterossexual</v>
      </c>
      <c r="BG439" s="27" t="str">
        <f ca="1">IFERROR(__xludf.DUMMYFUNCTION("""COMPUTED_VALUE"""),"Ensino Superior - Completo")</f>
        <v>Ensino Superior - Completo</v>
      </c>
      <c r="BH439" s="27" t="str">
        <f ca="1">IFERROR(__xludf.DUMMYFUNCTION("""COMPUTED_VALUE"""),"Público")</f>
        <v>Público</v>
      </c>
      <c r="BI439" s="27" t="str">
        <f ca="1">IFERROR(__xludf.DUMMYFUNCTION("""COMPUTED_VALUE"""),"Graduação")</f>
        <v>Graduação</v>
      </c>
      <c r="BJ439" s="27" t="str">
        <f ca="1">IFERROR(__xludf.DUMMYFUNCTION("""COMPUTED_VALUE"""),"Privado")</f>
        <v>Privado</v>
      </c>
      <c r="BK439" s="27" t="str">
        <f ca="1">IFERROR(__xludf.DUMMYFUNCTION("""COMPUTED_VALUE"""),"Jose Edno")</f>
        <v>Jose Edno</v>
      </c>
      <c r="BL439" s="27" t="str">
        <f ca="1">IFERROR(__xludf.DUMMYFUNCTION("""COMPUTED_VALUE"""),"30A")</f>
        <v>30A</v>
      </c>
      <c r="BM439" s="27" t="str">
        <f ca="1">IFERROR(__xludf.DUMMYFUNCTION("""COMPUTED_VALUE"""),"Casa A")</f>
        <v>Casa A</v>
      </c>
      <c r="BN439" s="27" t="str">
        <f ca="1">IFERROR(__xludf.DUMMYFUNCTION("""COMPUTED_VALUE"""),"MANAUS")</f>
        <v>MANAUS</v>
      </c>
      <c r="BO439" s="27" t="str">
        <f ca="1">IFERROR(__xludf.DUMMYFUNCTION("""COMPUTED_VALUE"""),"69074-810")</f>
        <v>69074-810</v>
      </c>
      <c r="BP439" s="27" t="str">
        <f ca="1">IFERROR(__xludf.DUMMYFUNCTION("""COMPUTED_VALUE"""),"AM")</f>
        <v>AM</v>
      </c>
      <c r="BQ439" s="27" t="str">
        <f ca="1">IFERROR(__xludf.DUMMYFUNCTION("""COMPUTED_VALUE"""),"De 3 até 5 salários mínimos")</f>
        <v>De 3 até 5 salários mínimos</v>
      </c>
      <c r="BR439" s="27" t="str">
        <f ca="1">IFERROR(__xludf.DUMMYFUNCTION("""COMPUTED_VALUE"""),"CLT")</f>
        <v>CLT</v>
      </c>
      <c r="BS439" s="27" t="str">
        <f ca="1">IFERROR(__xludf.DUMMYFUNCTION("""COMPUTED_VALUE"""),"Casa própria")</f>
        <v>Casa própria</v>
      </c>
      <c r="BT439" s="27">
        <f ca="1">IFERROR(__xludf.DUMMYFUNCTION("""COMPUTED_VALUE"""),5)</f>
        <v>5</v>
      </c>
      <c r="BU439" s="27" t="str">
        <f ca="1">IFERROR(__xludf.DUMMYFUNCTION("""COMPUTED_VALUE"""),"Ansiedade")</f>
        <v>Ansiedade</v>
      </c>
      <c r="BV439" s="27"/>
      <c r="BW439" s="21" t="str">
        <f ca="1">IFERROR(__xludf.DUMMYFUNCTION("""COMPUTED_VALUE"""),"https://www.linkedin.com/in/rafaelle-bragan%C3%A7a-44543896/")</f>
        <v>https://www.linkedin.com/in/rafaelle-bragan%C3%A7a-44543896/</v>
      </c>
      <c r="BX439" s="21" t="str">
        <f ca="1">IFERROR(__xludf.DUMMYFUNCTION("""COMPUTED_VALUE"""),"https://www.instagram.com/rafaellernc/?hl=pt-br")</f>
        <v>https://www.instagram.com/rafaellernc/?hl=pt-br</v>
      </c>
      <c r="BY439" s="21" t="str">
        <f ca="1">IFERROR(__xludf.DUMMYFUNCTION("""COMPUTED_VALUE"""),"https://drive.google.com/open?id=1W1lbUSwcJ_6XMzLP1lRRITqh7ihX7Kcr")</f>
        <v>https://drive.google.com/open?id=1W1lbUSwcJ_6XMzLP1lRRITqh7ihX7Kcr</v>
      </c>
    </row>
    <row r="440" spans="1:77" ht="12.5" hidden="1" x14ac:dyDescent="0.25">
      <c r="A440" s="21" t="str">
        <f ca="1">IFERROR(__xludf.DUMMYFUNCTION("""COMPUTED_VALUE"""),"0014X00002VKCuhQAH")</f>
        <v>0014X00002VKCuhQAH</v>
      </c>
      <c r="B440" s="27" t="str">
        <f ca="1">IFERROR(__xludf.DUMMYFUNCTION("""COMPUTED_VALUE"""),"Fase Inicial")</f>
        <v>Fase Inicial</v>
      </c>
      <c r="C440" s="27" t="str">
        <f ca="1">IFERROR(__xludf.DUMMYFUNCTION("""COMPUTED_VALUE"""),"Fellow")</f>
        <v>Fellow</v>
      </c>
      <c r="D440" s="27" t="str">
        <f ca="1">IFERROR(__xludf.DUMMYFUNCTION("""COMPUTED_VALUE"""),"Ativo")</f>
        <v>Ativo</v>
      </c>
      <c r="E440" s="27" t="str">
        <f ca="1">IFERROR(__xludf.DUMMYFUNCTION("""COMPUTED_VALUE"""),"Instituto Tia Flávia")</f>
        <v>Instituto Tia Flávia</v>
      </c>
      <c r="F440" s="27" t="str">
        <f ca="1">IFERROR(__xludf.DUMMYFUNCTION("""COMPUTED_VALUE"""),"Flávia")</f>
        <v>Flávia</v>
      </c>
      <c r="G440" s="27" t="str">
        <f ca="1">IFERROR(__xludf.DUMMYFUNCTION("""COMPUTED_VALUE"""),"INSTITUTO TIA FLÁVIA")</f>
        <v>INSTITUTO TIA FLÁVIA</v>
      </c>
      <c r="H440" s="27" t="str">
        <f ca="1">IFERROR(__xludf.DUMMYFUNCTION("""COMPUTED_VALUE"""),"47.287.235/0001-70")</f>
        <v>47.287.235/0001-70</v>
      </c>
      <c r="I440" s="27" t="str">
        <f ca="1">IFERROR(__xludf.DUMMYFUNCTION("""COMPUTED_VALUE"""),"Flávia Araújo Alves")</f>
        <v>Flávia Araújo Alves</v>
      </c>
      <c r="J440" s="27" t="str">
        <f ca="1">IFERROR(__xludf.DUMMYFUNCTION("""COMPUTED_VALUE"""),"institutotiaflavia.social@gmail.com")</f>
        <v>institutotiaflavia.social@gmail.com</v>
      </c>
      <c r="K440" s="27" t="str">
        <f ca="1">IFERROR(__xludf.DUMMYFUNCTION("""COMPUTED_VALUE"""),"(11)97063-5139")</f>
        <v>(11)97063-5139</v>
      </c>
      <c r="L440" s="27" t="str">
        <f ca="1">IFERROR(__xludf.DUMMYFUNCTION("""COMPUTED_VALUE"""),"SP")</f>
        <v>SP</v>
      </c>
      <c r="M440" s="27" t="str">
        <f ca="1">IFERROR(__xludf.DUMMYFUNCTION("""COMPUTED_VALUE"""),"Rua São João de Ávila")</f>
        <v>Rua São João de Ávila</v>
      </c>
      <c r="N440" s="27" t="str">
        <f ca="1">IFERROR(__xludf.DUMMYFUNCTION("""COMPUTED_VALUE"""),"Cidade Tiradentes")</f>
        <v>Cidade Tiradentes</v>
      </c>
      <c r="O440" s="27">
        <f ca="1">IFERROR(__xludf.DUMMYFUNCTION("""COMPUTED_VALUE"""),191)</f>
        <v>191</v>
      </c>
      <c r="P440" s="27" t="str">
        <f ca="1">IFERROR(__xludf.DUMMYFUNCTION("""COMPUTED_VALUE"""),"São Paulo")</f>
        <v>São Paulo</v>
      </c>
      <c r="Q440" s="27"/>
      <c r="R440" s="27" t="str">
        <f ca="1">IFERROR(__xludf.DUMMYFUNCTION("""COMPUTED_VALUE"""),"08475-300")</f>
        <v>08475-300</v>
      </c>
      <c r="S440" s="27"/>
      <c r="T440" s="27"/>
      <c r="U440" s="27" t="str">
        <f ca="1">IFERROR(__xludf.DUMMYFUNCTION("""COMPUTED_VALUE"""),"Crianças pequenas (4 anos a 5 anos e 11 meses), Crianças (6 a 12 anos), Adolescentes (12 aos 18 anos)")</f>
        <v>Crianças pequenas (4 anos a 5 anos e 11 meses), Crianças (6 a 12 anos), Adolescentes (12 aos 18 anos)</v>
      </c>
      <c r="V440" s="27" t="str">
        <f ca="1">IFERROR(__xludf.DUMMYFUNCTION("""COMPUTED_VALUE"""),"Moradores de Favelas, Pessoas com Deficiência")</f>
        <v>Moradores de Favelas, Pessoas com Deficiência</v>
      </c>
      <c r="W440" s="27">
        <f ca="1">IFERROR(__xludf.DUMMYFUNCTION("""COMPUTED_VALUE"""),2)</f>
        <v>2</v>
      </c>
      <c r="X440" s="27"/>
      <c r="Y440" s="27"/>
      <c r="Z440" s="27">
        <f ca="1">IFERROR(__xludf.DUMMYFUNCTION("""COMPUTED_VALUE"""),200)</f>
        <v>200</v>
      </c>
      <c r="AA440" s="29">
        <f ca="1">IFERROR(__xludf.DUMMYFUNCTION("""COMPUTED_VALUE"""),43948)</f>
        <v>43948</v>
      </c>
      <c r="AB440" s="27" t="str">
        <f ca="1">IFERROR(__xludf.DUMMYFUNCTION("""COMPUTED_VALUE"""),"Não")</f>
        <v>Não</v>
      </c>
      <c r="AC440" s="27">
        <f ca="1">IFERROR(__xludf.DUMMYFUNCTION("""COMPUTED_VALUE"""),0)</f>
        <v>0</v>
      </c>
      <c r="AD440" s="27">
        <f ca="1">IFERROR(__xludf.DUMMYFUNCTION("""COMPUTED_VALUE"""),8)</f>
        <v>8</v>
      </c>
      <c r="AE440" s="27">
        <f ca="1">IFERROR(__xludf.DUMMYFUNCTION("""COMPUTED_VALUE"""),12)</f>
        <v>12</v>
      </c>
      <c r="AF440" s="27">
        <f ca="1">IFERROR(__xludf.DUMMYFUNCTION("""COMPUTED_VALUE"""),8)</f>
        <v>8</v>
      </c>
      <c r="AG440" s="27">
        <f ca="1">IFERROR(__xludf.DUMMYFUNCTION("""COMPUTED_VALUE"""),3)</f>
        <v>3</v>
      </c>
      <c r="AH440" s="27" t="str">
        <f ca="1">IFERROR(__xludf.DUMMYFUNCTION("""COMPUTED_VALUE"""),"Eventos/Ações para captação, Outro(s), Doações")</f>
        <v>Eventos/Ações para captação, Outro(s), Doações</v>
      </c>
      <c r="AI440" s="27" t="str">
        <f ca="1">IFERROR(__xludf.DUMMYFUNCTION("""COMPUTED_VALUE"""),"Nenhuma")</f>
        <v>Nenhuma</v>
      </c>
      <c r="AJ440" s="27" t="str">
        <f ca="1">IFERROR(__xludf.DUMMYFUNCTION("""COMPUTED_VALUE"""),"Vamos iniciar esse ano")</f>
        <v>Vamos iniciar esse ano</v>
      </c>
      <c r="AK440" s="27"/>
      <c r="AL440" s="21" t="str">
        <f ca="1">IFERROR(__xludf.DUMMYFUNCTION("""COMPUTED_VALUE"""),"0034X0000380O26")</f>
        <v>0034X0000380O26</v>
      </c>
      <c r="AM440" s="27" t="str">
        <f ca="1">IFERROR(__xludf.DUMMYFUNCTION("""COMPUTED_VALUE"""),"Araújo alves")</f>
        <v>Araújo alves</v>
      </c>
      <c r="AN440" s="27" t="str">
        <f ca="1">IFERROR(__xludf.DUMMYFUNCTION("""COMPUTED_VALUE"""),"Ativo")</f>
        <v>Ativo</v>
      </c>
      <c r="AO440" s="27"/>
      <c r="AP440" s="27"/>
      <c r="AQ440" s="27" t="str">
        <f ca="1">IFERROR(__xludf.DUMMYFUNCTION("""COMPUTED_VALUE"""),"Primeiro Semestre 2022")</f>
        <v>Primeiro Semestre 2022</v>
      </c>
      <c r="AR440" s="27" t="str">
        <f ca="1">IFERROR(__xludf.DUMMYFUNCTION("""COMPUTED_VALUE"""),"institutotiaflavia.social@gmail.com")</f>
        <v>institutotiaflavia.social@gmail.com</v>
      </c>
      <c r="AS440" s="27">
        <f ca="1">IFERROR(__xludf.DUMMYFUNCTION("""COMPUTED_VALUE"""),11970635139)</f>
        <v>11970635139</v>
      </c>
      <c r="AT440" s="29">
        <f ca="1">IFERROR(__xludf.DUMMYFUNCTION("""COMPUTED_VALUE"""),28161)</f>
        <v>28161</v>
      </c>
      <c r="AU440" s="27">
        <f ca="1">IFERROR(__xludf.DUMMYFUNCTION("""COMPUTED_VALUE"""),45)</f>
        <v>45</v>
      </c>
      <c r="AV440" s="27">
        <f ca="1">IFERROR(__xludf.DUMMYFUNCTION("""COMPUTED_VALUE"""),18169258880)</f>
        <v>18169258880</v>
      </c>
      <c r="AW440" s="27">
        <f ca="1">IFERROR(__xludf.DUMMYFUNCTION("""COMPUTED_VALUE"""),284020667)</f>
        <v>284020667</v>
      </c>
      <c r="AX440" s="27"/>
      <c r="AY440" s="27"/>
      <c r="AZ440" s="27" t="str">
        <f ca="1">IFERROR(__xludf.DUMMYFUNCTION("""COMPUTED_VALUE"""),"G")</f>
        <v>G</v>
      </c>
      <c r="BA440" s="27" t="str">
        <f ca="1">IFERROR(__xludf.DUMMYFUNCTION("""COMPUTED_VALUE"""),"Branca")</f>
        <v>Branca</v>
      </c>
      <c r="BB440" s="27"/>
      <c r="BC440" s="27"/>
      <c r="BD440" s="27" t="str">
        <f ca="1">IFERROR(__xludf.DUMMYFUNCTION("""COMPUTED_VALUE"""),"Sou Flávia Araújo nascida em Maio 1977 na cidade do Rio de Janeiro... tenho um esposo dedicado e 2 Filhas Lindas Annelize e Alice ... Hoje sou Mais conhecida como Tia Flávia*  desde sempre  Alegre e extrovertida com todos ao meu redor* mesmo tendo passado"&amp;" por momentos muito difíceis na minha Infância* tinha um Padastro Agressor e passavamos Fome Literalmente... Mas os anos passaram e com um Amor Gigante pelas Crianças quero fazer com que ""elas"" tenham uma Infância Feliz e Longe da Fome* essa é minha Met"&amp;"a... Que com muito pouco recurso* mas com muita garra já estamos fazendo pelas Crianças de 4 Favelas em Cidade Tiradentes... E  em 2022 vamos continuar a Todo Vapor em busca de mais conhecimento para a grande expansão !")</f>
        <v>Sou Flávia Araújo nascida em Maio 1977 na cidade do Rio de Janeiro... tenho um esposo dedicado e 2 Filhas Lindas Annelize e Alice ... Hoje sou Mais conhecida como Tia Flávia*  desde sempre  Alegre e extrovertida com todos ao meu redor* mesmo tendo passado por momentos muito difíceis na minha Infância* tinha um Padastro Agressor e passavamos Fome Literalmente... Mas os anos passaram e com um Amor Gigante pelas Crianças quero fazer com que "elas" tenham uma Infância Feliz e Longe da Fome* essa é minha Meta... Que com muito pouco recurso* mas com muita garra já estamos fazendo pelas Crianças de 4 Favelas em Cidade Tiradentes... E  em 2022 vamos continuar a Todo Vapor em busca de mais conhecimento para a grande expansão !</v>
      </c>
      <c r="BE440" s="27" t="str">
        <f ca="1">IFERROR(__xludf.DUMMYFUNCTION("""COMPUTED_VALUE"""),"Feminino")</f>
        <v>Feminino</v>
      </c>
      <c r="BF440" s="27" t="str">
        <f ca="1">IFERROR(__xludf.DUMMYFUNCTION("""COMPUTED_VALUE"""),"Heterossexual")</f>
        <v>Heterossexual</v>
      </c>
      <c r="BG440" s="27"/>
      <c r="BH440" s="27" t="str">
        <f ca="1">IFERROR(__xludf.DUMMYFUNCTION("""COMPUTED_VALUE"""),"Público")</f>
        <v>Público</v>
      </c>
      <c r="BI440" s="27"/>
      <c r="BJ440" s="27"/>
      <c r="BK440" s="27" t="str">
        <f ca="1">IFERROR(__xludf.DUMMYFUNCTION("""COMPUTED_VALUE"""),"Rua Dos Têxteis")</f>
        <v>Rua Dos Têxteis</v>
      </c>
      <c r="BL440" s="27">
        <f ca="1">IFERROR(__xludf.DUMMYFUNCTION("""COMPUTED_VALUE"""),1500)</f>
        <v>1500</v>
      </c>
      <c r="BM440" s="27"/>
      <c r="BN440" s="27"/>
      <c r="BO440" s="27">
        <f ca="1">IFERROR(__xludf.DUMMYFUNCTION("""COMPUTED_VALUE"""),8490600)</f>
        <v>8490600</v>
      </c>
      <c r="BP440" s="27" t="str">
        <f ca="1">IFERROR(__xludf.DUMMYFUNCTION("""COMPUTED_VALUE"""),"SP")</f>
        <v>SP</v>
      </c>
      <c r="BQ440" s="27" t="str">
        <f ca="1">IFERROR(__xludf.DUMMYFUNCTION("""COMPUTED_VALUE"""),"Entre 1 até 3 salários mínimos")</f>
        <v>Entre 1 até 3 salários mínimos</v>
      </c>
      <c r="BR440" s="27" t="str">
        <f ca="1">IFERROR(__xludf.DUMMYFUNCTION("""COMPUTED_VALUE"""),"CLT")</f>
        <v>CLT</v>
      </c>
      <c r="BS440" s="27" t="str">
        <f ca="1">IFERROR(__xludf.DUMMYFUNCTION("""COMPUTED_VALUE"""),"Casa própria")</f>
        <v>Casa própria</v>
      </c>
      <c r="BT440" s="27">
        <f ca="1">IFERROR(__xludf.DUMMYFUNCTION("""COMPUTED_VALUE"""),0)</f>
        <v>0</v>
      </c>
      <c r="BU440" s="27" t="str">
        <f ca="1">IFERROR(__xludf.DUMMYFUNCTION("""COMPUTED_VALUE"""),"Não tem")</f>
        <v>Não tem</v>
      </c>
      <c r="BV440" s="27" t="str">
        <f ca="1">IFERROR(__xludf.DUMMYFUNCTION("""COMPUTED_VALUE"""),"Não")</f>
        <v>Não</v>
      </c>
      <c r="BW440" s="27"/>
      <c r="BX440" s="27"/>
      <c r="BY440" s="21" t="str">
        <f ca="1">IFERROR(__xludf.DUMMYFUNCTION("""COMPUTED_VALUE"""),"https://drive.google.com/open?id=1MVApdFAaNsCwnKU_vzJc2uPv9LPvf3te")</f>
        <v>https://drive.google.com/open?id=1MVApdFAaNsCwnKU_vzJc2uPv9LPvf3te</v>
      </c>
    </row>
    <row r="441" spans="1:77" ht="12.5" hidden="1" x14ac:dyDescent="0.25">
      <c r="A441" s="21" t="str">
        <f ca="1">IFERROR(__xludf.DUMMYFUNCTION("""COMPUTED_VALUE"""),"0014X00002VKCpKQAX")</f>
        <v>0014X00002VKCpKQAX</v>
      </c>
      <c r="B441" s="27" t="str">
        <f ca="1">IFERROR(__xludf.DUMMYFUNCTION("""COMPUTED_VALUE"""),"Fase Inicial")</f>
        <v>Fase Inicial</v>
      </c>
      <c r="C441" s="27" t="str">
        <f ca="1">IFERROR(__xludf.DUMMYFUNCTION("""COMPUTED_VALUE"""),"Fellow")</f>
        <v>Fellow</v>
      </c>
      <c r="D441" s="27" t="str">
        <f ca="1">IFERROR(__xludf.DUMMYFUNCTION("""COMPUTED_VALUE"""),"Ativo")</f>
        <v>Ativo</v>
      </c>
      <c r="E441" s="27" t="str">
        <f ca="1">IFERROR(__xludf.DUMMYFUNCTION("""COMPUTED_VALUE"""),"Instituto Transformar")</f>
        <v>Instituto Transformar</v>
      </c>
      <c r="F441" s="27" t="str">
        <f ca="1">IFERROR(__xludf.DUMMYFUNCTION("""COMPUTED_VALUE"""),"Leandro")</f>
        <v>Leandro</v>
      </c>
      <c r="G441" s="27" t="str">
        <f ca="1">IFERROR(__xludf.DUMMYFUNCTION("""COMPUTED_VALUE"""),"INSTITUTO TRANSFORMAR - TE AMAR")</f>
        <v>INSTITUTO TRANSFORMAR - TE AMAR</v>
      </c>
      <c r="H441" s="27" t="str">
        <f ca="1">IFERROR(__xludf.DUMMYFUNCTION("""COMPUTED_VALUE"""),"27.870.620/0001-38")</f>
        <v>27.870.620/0001-38</v>
      </c>
      <c r="I441" s="27" t="str">
        <f ca="1">IFERROR(__xludf.DUMMYFUNCTION("""COMPUTED_VALUE"""),"Creiziane Gonçalves Santos Andrade Matos")</f>
        <v>Creiziane Gonçalves Santos Andrade Matos</v>
      </c>
      <c r="J441" s="27" t="str">
        <f ca="1">IFERROR(__xludf.DUMMYFUNCTION("""COMPUTED_VALUE"""),"coordenacaotransformar.edu@gmail.com")</f>
        <v>coordenacaotransformar.edu@gmail.com</v>
      </c>
      <c r="K441" s="27" t="str">
        <f ca="1">IFERROR(__xludf.DUMMYFUNCTION("""COMPUTED_VALUE"""),"(73)98187-2081")</f>
        <v>(73)98187-2081</v>
      </c>
      <c r="L441" s="27" t="str">
        <f ca="1">IFERROR(__xludf.DUMMYFUNCTION("""COMPUTED_VALUE"""),"BA")</f>
        <v>BA</v>
      </c>
      <c r="M441" s="27" t="str">
        <f ca="1">IFERROR(__xludf.DUMMYFUNCTION("""COMPUTED_VALUE"""),"Rua Projetada")</f>
        <v>Rua Projetada</v>
      </c>
      <c r="N441" s="27" t="str">
        <f ca="1">IFERROR(__xludf.DUMMYFUNCTION("""COMPUTED_VALUE"""),"Corina Batista")</f>
        <v>Corina Batista</v>
      </c>
      <c r="O441" s="27" t="str">
        <f ca="1">IFERROR(__xludf.DUMMYFUNCTION("""COMPUTED_VALUE"""),"S/N")</f>
        <v>S/N</v>
      </c>
      <c r="P441" s="27" t="str">
        <f ca="1">IFERROR(__xludf.DUMMYFUNCTION("""COMPUTED_VALUE"""),"Ibicaraí")</f>
        <v>Ibicaraí</v>
      </c>
      <c r="Q441" s="27" t="str">
        <f ca="1">IFERROR(__xludf.DUMMYFUNCTION("""COMPUTED_VALUE"""),"Prédio")</f>
        <v>Prédio</v>
      </c>
      <c r="R441" s="27" t="str">
        <f ca="1">IFERROR(__xludf.DUMMYFUNCTION("""COMPUTED_VALUE"""),"45745-000")</f>
        <v>45745-000</v>
      </c>
      <c r="S441" s="27"/>
      <c r="T441" s="27"/>
      <c r="U441" s="27" t="str">
        <f ca="1">IFERROR(__xludf.DUMMYFUNCTION("""COMPUTED_VALUE"""),"Crianças (6 a 12 anos), Adolescentes (12 aos 18 anos)")</f>
        <v>Crianças (6 a 12 anos), Adolescentes (12 aos 18 anos)</v>
      </c>
      <c r="V441" s="27" t="str">
        <f ca="1">IFERROR(__xludf.DUMMYFUNCTION("""COMPUTED_VALUE"""),"Moradores de Favelas")</f>
        <v>Moradores de Favelas</v>
      </c>
      <c r="W441" s="27">
        <f ca="1">IFERROR(__xludf.DUMMYFUNCTION("""COMPUTED_VALUE"""),3)</f>
        <v>3</v>
      </c>
      <c r="X441" s="27" t="str">
        <f ca="1">IFERROR(__xludf.DUMMYFUNCTION("""COMPUTED_VALUE"""),"Bom* por enquanto estamos atendendo apenas a estas duas comunidades citadas anteriormente. Porém* temos a pretensão de expandir nosso campo de visão e abraçar outras comunidades que tenham crianças e jovens que estejam em situação crítica social. Esse é o"&amp;" nosso objetivo. Nosso público* que são crianças e jovens* estão no meio dessas zonas o tempo todo. Estão sempre próximos a drogas* bebidas e prostituição. Às vezes por influência da família* outras por influência dos amigos. Nós tentamos fazer de um tudo"&amp;" para mudar essa realidade e o nosso projeto é fazer com que cada jovem (que são os mais afetados pela realidade) construa seu próprio futuro e siga caminhos para longe da realidade na qual estão e* após estarem fortalecidos* retornem para ela desta vez c"&amp;"omo agentes multiplicadores.")</f>
        <v>Bom* por enquanto estamos atendendo apenas a estas duas comunidades citadas anteriormente. Porém* temos a pretensão de expandir nosso campo de visão e abraçar outras comunidades que tenham crianças e jovens que estejam em situação crítica social. Esse é o nosso objetivo. Nosso público* que são crianças e jovens* estão no meio dessas zonas o tempo todo. Estão sempre próximos a drogas* bebidas e prostituição. Às vezes por influência da família* outras por influência dos amigos. Nós tentamos fazer de um tudo para mudar essa realidade e o nosso projeto é fazer com que cada jovem (que são os mais afetados pela realidade) construa seu próprio futuro e siga caminhos para longe da realidade na qual estão e* após estarem fortalecidos* retornem para ela desta vez como agentes multiplicadores.</v>
      </c>
      <c r="Y441" s="27"/>
      <c r="Z441" s="27">
        <f ca="1">IFERROR(__xludf.DUMMYFUNCTION("""COMPUTED_VALUE"""),60)</f>
        <v>60</v>
      </c>
      <c r="AA441" s="29">
        <f ca="1">IFERROR(__xludf.DUMMYFUNCTION("""COMPUTED_VALUE"""),42584)</f>
        <v>42584</v>
      </c>
      <c r="AB441" s="27" t="str">
        <f ca="1">IFERROR(__xludf.DUMMYFUNCTION("""COMPUTED_VALUE"""),"Sim")</f>
        <v>Sim</v>
      </c>
      <c r="AC441" s="27">
        <f ca="1">IFERROR(__xludf.DUMMYFUNCTION("""COMPUTED_VALUE"""),0)</f>
        <v>0</v>
      </c>
      <c r="AD441" s="27">
        <f ca="1">IFERROR(__xludf.DUMMYFUNCTION("""COMPUTED_VALUE"""),10)</f>
        <v>10</v>
      </c>
      <c r="AE441" s="27">
        <f ca="1">IFERROR(__xludf.DUMMYFUNCTION("""COMPUTED_VALUE"""),17)</f>
        <v>17</v>
      </c>
      <c r="AF441" s="27">
        <f ca="1">IFERROR(__xludf.DUMMYFUNCTION("""COMPUTED_VALUE"""),10)</f>
        <v>10</v>
      </c>
      <c r="AG441" s="27">
        <f ca="1">IFERROR(__xludf.DUMMYFUNCTION("""COMPUTED_VALUE"""),3)</f>
        <v>3</v>
      </c>
      <c r="AH441" s="27" t="str">
        <f ca="1">IFERROR(__xludf.DUMMYFUNCTION("""COMPUTED_VALUE"""),"Eventos/Ações para captação, Editais, Doações")</f>
        <v>Eventos/Ações para captação, Editais, Doações</v>
      </c>
      <c r="AI441" s="27" t="str">
        <f ca="1">IFERROR(__xludf.DUMMYFUNCTION("""COMPUTED_VALUE"""),"90% Doações; 5% Editais e 5% Eventos.")</f>
        <v>90% Doações; 5% Editais e 5% Eventos.</v>
      </c>
      <c r="AJ441" s="27" t="str">
        <f ca="1">IFERROR(__xludf.DUMMYFUNCTION("""COMPUTED_VALUE"""),"Não")</f>
        <v>Não</v>
      </c>
      <c r="AK441" s="27"/>
      <c r="AL441" s="21" t="str">
        <f ca="1">IFERROR(__xludf.DUMMYFUNCTION("""COMPUTED_VALUE"""),"0034X0000380O52")</f>
        <v>0034X0000380O52</v>
      </c>
      <c r="AM441" s="27" t="str">
        <f ca="1">IFERROR(__xludf.DUMMYFUNCTION("""COMPUTED_VALUE"""),"Cardoso santos")</f>
        <v>Cardoso santos</v>
      </c>
      <c r="AN441" s="27" t="str">
        <f ca="1">IFERROR(__xludf.DUMMYFUNCTION("""COMPUTED_VALUE"""),"Ativo")</f>
        <v>Ativo</v>
      </c>
      <c r="AO441" s="27"/>
      <c r="AP441" s="27"/>
      <c r="AQ441" s="27" t="str">
        <f ca="1">IFERROR(__xludf.DUMMYFUNCTION("""COMPUTED_VALUE"""),"Primeiro Semestre 2022")</f>
        <v>Primeiro Semestre 2022</v>
      </c>
      <c r="AR441" s="27" t="str">
        <f ca="1">IFERROR(__xludf.DUMMYFUNCTION("""COMPUTED_VALUE"""),"leandrocardosoibicarai@gmail.com")</f>
        <v>leandrocardosoibicarai@gmail.com</v>
      </c>
      <c r="AS441" s="27" t="str">
        <f ca="1">IFERROR(__xludf.DUMMYFUNCTION("""COMPUTED_VALUE"""),"(73)98187-2081")</f>
        <v>(73)98187-2081</v>
      </c>
      <c r="AT441" s="29">
        <f ca="1">IFERROR(__xludf.DUMMYFUNCTION("""COMPUTED_VALUE"""),36968)</f>
        <v>36968</v>
      </c>
      <c r="AU441" s="27">
        <f ca="1">IFERROR(__xludf.DUMMYFUNCTION("""COMPUTED_VALUE"""),21)</f>
        <v>21</v>
      </c>
      <c r="AV441" s="27">
        <f ca="1">IFERROR(__xludf.DUMMYFUNCTION("""COMPUTED_VALUE"""),9282430529)</f>
        <v>9282430529</v>
      </c>
      <c r="AW441" s="27">
        <f ca="1">IFERROR(__xludf.DUMMYFUNCTION("""COMPUTED_VALUE"""),1596341807)</f>
        <v>1596341807</v>
      </c>
      <c r="AX441" s="27"/>
      <c r="AY441" s="27" t="str">
        <f ca="1">IFERROR(__xludf.DUMMYFUNCTION("""COMPUTED_VALUE"""),"Coordenador Pedagógico")</f>
        <v>Coordenador Pedagógico</v>
      </c>
      <c r="AZ441" s="27" t="str">
        <f ca="1">IFERROR(__xludf.DUMMYFUNCTION("""COMPUTED_VALUE"""),"G")</f>
        <v>G</v>
      </c>
      <c r="BA441" s="27" t="str">
        <f ca="1">IFERROR(__xludf.DUMMYFUNCTION("""COMPUTED_VALUE"""),"Parda")</f>
        <v>Parda</v>
      </c>
      <c r="BB441" s="27"/>
      <c r="BC441" s="27"/>
      <c r="BD441" s="27" t="str">
        <f ca="1">IFERROR(__xludf.DUMMYFUNCTION("""COMPUTED_VALUE"""),"Bom, eu sou inquieto. Estudo Licenciatura em Matemática pela UFSB e Pedagogia pela Unifacs. Gosto de aprender coisas novas, de viajar... À frente do Instituto, cuido da parte pedagógica. Criação das oficinas, organização da papelada, cadastros, aulas. Faç"&amp;"o tudo com muito gosto, pois gosto desta atuação.")</f>
        <v>Bom, eu sou inquieto. Estudo Licenciatura em Matemática pela UFSB e Pedagogia pela Unifacs. Gosto de aprender coisas novas, de viajar... À frente do Instituto, cuido da parte pedagógica. Criação das oficinas, organização da papelada, cadastros, aulas. Faço tudo com muito gosto, pois gosto desta atuação.</v>
      </c>
      <c r="BE441" s="27" t="str">
        <f ca="1">IFERROR(__xludf.DUMMYFUNCTION("""COMPUTED_VALUE"""),"Homem, cisgênero")</f>
        <v>Homem, cisgênero</v>
      </c>
      <c r="BF441" s="27" t="str">
        <f ca="1">IFERROR(__xludf.DUMMYFUNCTION("""COMPUTED_VALUE"""),"Heterossexual")</f>
        <v>Heterossexual</v>
      </c>
      <c r="BG441" s="27" t="str">
        <f ca="1">IFERROR(__xludf.DUMMYFUNCTION("""COMPUTED_VALUE"""),"Ensino Superior - Incompleto")</f>
        <v>Ensino Superior - Incompleto</v>
      </c>
      <c r="BH441" s="27" t="str">
        <f ca="1">IFERROR(__xludf.DUMMYFUNCTION("""COMPUTED_VALUE"""),"Público")</f>
        <v>Público</v>
      </c>
      <c r="BI441" s="27" t="str">
        <f ca="1">IFERROR(__xludf.DUMMYFUNCTION("""COMPUTED_VALUE"""),"Graduação")</f>
        <v>Graduação</v>
      </c>
      <c r="BJ441" s="27" t="str">
        <f ca="1">IFERROR(__xludf.DUMMYFUNCTION("""COMPUTED_VALUE"""),"Público")</f>
        <v>Público</v>
      </c>
      <c r="BK441" s="27" t="str">
        <f ca="1">IFERROR(__xludf.DUMMYFUNCTION("""COMPUTED_VALUE"""),"Avenida Itajuípe")</f>
        <v>Avenida Itajuípe</v>
      </c>
      <c r="BL441" s="27">
        <f ca="1">IFERROR(__xludf.DUMMYFUNCTION("""COMPUTED_VALUE"""),60)</f>
        <v>60</v>
      </c>
      <c r="BM441" s="27" t="str">
        <f ca="1">IFERROR(__xludf.DUMMYFUNCTION("""COMPUTED_VALUE"""),"Apto")</f>
        <v>Apto</v>
      </c>
      <c r="BN441" s="27" t="str">
        <f ca="1">IFERROR(__xludf.DUMMYFUNCTION("""COMPUTED_VALUE"""),"Itabuna")</f>
        <v>Itabuna</v>
      </c>
      <c r="BO441" s="27" t="str">
        <f ca="1">IFERROR(__xludf.DUMMYFUNCTION("""COMPUTED_VALUE"""),"45602-010")</f>
        <v>45602-010</v>
      </c>
      <c r="BP441" s="27" t="str">
        <f ca="1">IFERROR(__xludf.DUMMYFUNCTION("""COMPUTED_VALUE"""),"BA")</f>
        <v>BA</v>
      </c>
      <c r="BQ441" s="27" t="str">
        <f ca="1">IFERROR(__xludf.DUMMYFUNCTION("""COMPUTED_VALUE"""),"Entre 1 até 3 salários mínimos")</f>
        <v>Entre 1 até 3 salários mínimos</v>
      </c>
      <c r="BR441" s="27" t="str">
        <f ca="1">IFERROR(__xludf.DUMMYFUNCTION("""COMPUTED_VALUE"""),"Desempregado")</f>
        <v>Desempregado</v>
      </c>
      <c r="BS441" s="27" t="str">
        <f ca="1">IFERROR(__xludf.DUMMYFUNCTION("""COMPUTED_VALUE"""),"Aluguel")</f>
        <v>Aluguel</v>
      </c>
      <c r="BT441" s="27">
        <f ca="1">IFERROR(__xludf.DUMMYFUNCTION("""COMPUTED_VALUE"""),5)</f>
        <v>5</v>
      </c>
      <c r="BU441" s="27" t="str">
        <f ca="1">IFERROR(__xludf.DUMMYFUNCTION("""COMPUTED_VALUE"""),"Não tem")</f>
        <v>Não tem</v>
      </c>
      <c r="BV441" s="27" t="str">
        <f ca="1">IFERROR(__xludf.DUMMYFUNCTION("""COMPUTED_VALUE"""),"Não")</f>
        <v>Não</v>
      </c>
      <c r="BW441" s="27"/>
      <c r="BX441" s="27" t="str">
        <f ca="1">IFERROR(__xludf.DUMMYFUNCTION("""COMPUTED_VALUE"""),"@leocardz_")</f>
        <v>@leocardz_</v>
      </c>
      <c r="BY441" s="21" t="str">
        <f ca="1">IFERROR(__xludf.DUMMYFUNCTION("""COMPUTED_VALUE"""),"https://drive.google.com/open?id=1aV0IOJ6qofcARetE6a3AsIvgakN2vOxw")</f>
        <v>https://drive.google.com/open?id=1aV0IOJ6qofcARetE6a3AsIvgakN2vOxw</v>
      </c>
    </row>
    <row r="442" spans="1:77" ht="12.5" x14ac:dyDescent="0.25">
      <c r="A442" s="21" t="str">
        <f ca="1">IFERROR(__xludf.DUMMYFUNCTION("""COMPUTED_VALUE"""),"0014P00003YSp7kQAD")</f>
        <v>0014P00003YSp7kQAD</v>
      </c>
      <c r="B442" s="27" t="str">
        <f ca="1">IFERROR(__xludf.DUMMYFUNCTION("""COMPUTED_VALUE"""),"Fase Inicial")</f>
        <v>Fase Inicial</v>
      </c>
      <c r="C442" s="27" t="str">
        <f ca="1">IFERROR(__xludf.DUMMYFUNCTION("""COMPUTED_VALUE"""),"Fellow")</f>
        <v>Fellow</v>
      </c>
      <c r="D442" s="27" t="str">
        <f ca="1">IFERROR(__xludf.DUMMYFUNCTION("""COMPUTED_VALUE"""),"Ativo")</f>
        <v>Ativo</v>
      </c>
      <c r="E442" s="27" t="str">
        <f ca="1">IFERROR(__xludf.DUMMYFUNCTION("""COMPUTED_VALUE"""),"Instituto Transformar")</f>
        <v>Instituto Transformar</v>
      </c>
      <c r="F442" s="27" t="str">
        <f ca="1">IFERROR(__xludf.DUMMYFUNCTION("""COMPUTED_VALUE"""),"Maria")</f>
        <v>Maria</v>
      </c>
      <c r="G442" s="27"/>
      <c r="H442" s="27" t="str">
        <f ca="1">IFERROR(__xludf.DUMMYFUNCTION("""COMPUTED_VALUE"""),"27.870.620/0001-38")</f>
        <v>27.870.620/0001-38</v>
      </c>
      <c r="I442" s="27" t="str">
        <f ca="1">IFERROR(__xludf.DUMMYFUNCTION("""COMPUTED_VALUE"""),"Maria Cristina Araújo Santos")</f>
        <v>Maria Cristina Araújo Santos</v>
      </c>
      <c r="J442" s="27" t="str">
        <f ca="1">IFERROR(__xludf.DUMMYFUNCTION("""COMPUTED_VALUE"""),"institutotransformaribicarai@gmail.com")</f>
        <v>institutotransformaribicarai@gmail.com</v>
      </c>
      <c r="K442" s="27" t="str">
        <f ca="1">IFERROR(__xludf.DUMMYFUNCTION("""COMPUTED_VALUE"""),"(73)98120-2234")</f>
        <v>(73)98120-2234</v>
      </c>
      <c r="L442" s="27" t="str">
        <f ca="1">IFERROR(__xludf.DUMMYFUNCTION("""COMPUTED_VALUE"""),"BA")</f>
        <v>BA</v>
      </c>
      <c r="M442" s="27" t="str">
        <f ca="1">IFERROR(__xludf.DUMMYFUNCTION("""COMPUTED_VALUE"""),"Rua Projetada  s/n")</f>
        <v>Rua Projetada  s/n</v>
      </c>
      <c r="N442" s="27" t="str">
        <f ca="1">IFERROR(__xludf.DUMMYFUNCTION("""COMPUTED_VALUE"""),"João Batista de Asis -Duque de Caxias")</f>
        <v>João Batista de Asis -Duque de Caxias</v>
      </c>
      <c r="O442" s="27">
        <f ca="1">IFERROR(__xludf.DUMMYFUNCTION("""COMPUTED_VALUE"""),542)</f>
        <v>542</v>
      </c>
      <c r="P442" s="27" t="str">
        <f ca="1">IFERROR(__xludf.DUMMYFUNCTION("""COMPUTED_VALUE"""),"Ibicaraí")</f>
        <v>Ibicaraí</v>
      </c>
      <c r="Q442" s="27" t="str">
        <f ca="1">IFERROR(__xludf.DUMMYFUNCTION("""COMPUTED_VALUE"""),"casa")</f>
        <v>casa</v>
      </c>
      <c r="R442" s="27" t="str">
        <f ca="1">IFERROR(__xludf.DUMMYFUNCTION("""COMPUTED_VALUE"""),"45745-000")</f>
        <v>45745-000</v>
      </c>
      <c r="S442" s="27"/>
      <c r="T442" s="27" t="str">
        <f ca="1">IFERROR(__xludf.DUMMYFUNCTION("""COMPUTED_VALUE"""),"Esporte; Educação; Assistência Social; Cultura; Saúde; Meio ambiente; Empoderamento Feminino; Negócios Sociais; Defesa de Direitos; Comunicação; Assistência Psicológica; Desenvolvimento comunitário; Outro(s)")</f>
        <v>Esporte; Educação; Assistência Social; Cultura; Saúde; Meio ambiente; Empoderamento Feminino; Negócios Sociais; Defesa de Direitos; Comunicação; Assistência Psicológica; Desenvolvimento comunitário; Outro(s)</v>
      </c>
      <c r="U442" s="27" t="str">
        <f ca="1">IFERROR(__xludf.DUMMYFUNCTION("""COMPUTED_VALUE"""),"Crianças pequenas (4 anos a 5 anos e 11 meses); Crianças (6 a 12 anos); Adolescentes (12 aos 18 anos)")</f>
        <v>Crianças pequenas (4 anos a 5 anos e 11 meses); Crianças (6 a 12 anos); Adolescentes (12 aos 18 anos)</v>
      </c>
      <c r="V442" s="27" t="str">
        <f ca="1">IFERROR(__xludf.DUMMYFUNCTION("""COMPUTED_VALUE"""),"Moradores de Favelas; Pessoas em situação de rua; Afrodescendentes; Ribeirinhos; Outros")</f>
        <v>Moradores de Favelas; Pessoas em situação de rua; Afrodescendentes; Ribeirinhos; Outros</v>
      </c>
      <c r="W442" s="27">
        <f ca="1">IFERROR(__xludf.DUMMYFUNCTION("""COMPUTED_VALUE"""),3)</f>
        <v>3</v>
      </c>
      <c r="X442" s="27" t="str">
        <f ca="1">IFERROR(__xludf.DUMMYFUNCTION("""COMPUTED_VALUE"""),"Pessoas que vivem em vulnerabilidade social drogasprostituição e falta de oportunidade para jovens e adolescentes . Atendo 02 crianças de uma terceira comunidade que a mae traz de biscicleta por ser distante .")</f>
        <v>Pessoas que vivem em vulnerabilidade social drogasprostituição e falta de oportunidade para jovens e adolescentes . Atendo 02 crianças de uma terceira comunidade que a mae traz de biscicleta por ser distante .</v>
      </c>
      <c r="Y442" s="27"/>
      <c r="Z442" s="27">
        <f ca="1">IFERROR(__xludf.DUMMYFUNCTION("""COMPUTED_VALUE"""),500)</f>
        <v>500</v>
      </c>
      <c r="AA442" s="29">
        <f ca="1">IFERROR(__xludf.DUMMYFUNCTION("""COMPUTED_VALUE"""),42889)</f>
        <v>42889</v>
      </c>
      <c r="AB442" s="27" t="str">
        <f ca="1">IFERROR(__xludf.DUMMYFUNCTION("""COMPUTED_VALUE"""),"Sim")</f>
        <v>Sim</v>
      </c>
      <c r="AC442" s="27">
        <f ca="1">IFERROR(__xludf.DUMMYFUNCTION("""COMPUTED_VALUE"""),0)</f>
        <v>0</v>
      </c>
      <c r="AD442" s="27">
        <f ca="1">IFERROR(__xludf.DUMMYFUNCTION("""COMPUTED_VALUE"""),0)</f>
        <v>0</v>
      </c>
      <c r="AE442" s="27">
        <f ca="1">IFERROR(__xludf.DUMMYFUNCTION("""COMPUTED_VALUE"""),9)</f>
        <v>9</v>
      </c>
      <c r="AF442" s="27">
        <f ca="1">IFERROR(__xludf.DUMMYFUNCTION("""COMPUTED_VALUE"""),5)</f>
        <v>5</v>
      </c>
      <c r="AG442" s="27">
        <f ca="1">IFERROR(__xludf.DUMMYFUNCTION("""COMPUTED_VALUE"""),2)</f>
        <v>2</v>
      </c>
      <c r="AH442" s="27" t="str">
        <f ca="1">IFERROR(__xludf.DUMMYFUNCTION("""COMPUTED_VALUE"""),"Doações; Recursos próprios")</f>
        <v>Doações; Recursos próprios</v>
      </c>
      <c r="AI442" s="27">
        <f ca="1">IFERROR(__xludf.DUMMYFUNCTION("""COMPUTED_VALUE"""),0)</f>
        <v>0</v>
      </c>
      <c r="AJ442" s="27"/>
      <c r="AK442" s="27"/>
      <c r="AL442" s="21" t="str">
        <f ca="1">IFERROR(__xludf.DUMMYFUNCTION("""COMPUTED_VALUE"""),"0034P000045kxiL")</f>
        <v>0034P000045kxiL</v>
      </c>
      <c r="AM442" s="27" t="str">
        <f ca="1">IFERROR(__xludf.DUMMYFUNCTION("""COMPUTED_VALUE"""),"Cristina Araújo Santos")</f>
        <v>Cristina Araújo Santos</v>
      </c>
      <c r="AN442" s="27" t="str">
        <f ca="1">IFERROR(__xludf.DUMMYFUNCTION("""COMPUTED_VALUE"""),"Ativo")</f>
        <v>Ativo</v>
      </c>
      <c r="AO442" s="30">
        <f ca="1">IFERROR(__xludf.DUMMYFUNCTION("""COMPUTED_VALUE"""),44551)</f>
        <v>44551</v>
      </c>
      <c r="AP442" s="27">
        <f ca="1">IFERROR(__xludf.DUMMYFUNCTION("""COMPUTED_VALUE"""),9)</f>
        <v>9</v>
      </c>
      <c r="AQ442" s="27" t="str">
        <f ca="1">IFERROR(__xludf.DUMMYFUNCTION("""COMPUTED_VALUE"""),"Segundo Semestre 2021")</f>
        <v>Segundo Semestre 2021</v>
      </c>
      <c r="AR442" s="27" t="str">
        <f ca="1">IFERROR(__xludf.DUMMYFUNCTION("""COMPUTED_VALUE"""),"cristinaaraujoinstituto2020@gmail.com")</f>
        <v>cristinaaraujoinstituto2020@gmail.com</v>
      </c>
      <c r="AS442" s="27" t="str">
        <f ca="1">IFERROR(__xludf.DUMMYFUNCTION("""COMPUTED_VALUE"""),"(73)98120-2234")</f>
        <v>(73)98120-2234</v>
      </c>
      <c r="AT442" s="29">
        <f ca="1">IFERROR(__xludf.DUMMYFUNCTION("""COMPUTED_VALUE"""),20466)</f>
        <v>20466</v>
      </c>
      <c r="AU442" s="27">
        <f ca="1">IFERROR(__xludf.DUMMYFUNCTION("""COMPUTED_VALUE"""),66)</f>
        <v>66</v>
      </c>
      <c r="AV442" s="27">
        <f ca="1">IFERROR(__xludf.DUMMYFUNCTION("""COMPUTED_VALUE"""),70998400530)</f>
        <v>70998400530</v>
      </c>
      <c r="AW442" s="27">
        <f ca="1">IFERROR(__xludf.DUMMYFUNCTION("""COMPUTED_VALUE"""),103786180)</f>
        <v>103786180</v>
      </c>
      <c r="AX442" s="27"/>
      <c r="AY442" s="27"/>
      <c r="AZ442" s="27" t="str">
        <f ca="1">IFERROR(__xludf.DUMMYFUNCTION("""COMPUTED_VALUE"""),"GG")</f>
        <v>GG</v>
      </c>
      <c r="BA442" s="27" t="str">
        <f ca="1">IFERROR(__xludf.DUMMYFUNCTION("""COMPUTED_VALUE"""),"Preta")</f>
        <v>Preta</v>
      </c>
      <c r="BB442" s="27" t="str">
        <f ca="1">IFERROR(__xludf.DUMMYFUNCTION("""COMPUTED_VALUE"""),"Mulher, cisgênero")</f>
        <v>Mulher, cisgênero</v>
      </c>
      <c r="BC442" s="27" t="str">
        <f ca="1">IFERROR(__xludf.DUMMYFUNCTION("""COMPUTED_VALUE"""),"Não")</f>
        <v>Não</v>
      </c>
      <c r="BD442" s="27" t="str">
        <f ca="1">IFERROR(__xludf.DUMMYFUNCTION("""COMPUTED_VALUE"""),"Filha de Sebastião José dos Santos e Adélia Araújo Santos, mãe de 2 filhos Michel e Fred, nascida em Ibicarai, sul da Bahia de família classe média, mas sempre atuante em ajudar o próximo. Muito nova ainda menor 14 anos, fui trabalhar num bairro periféric"&amp;"o de minha cidade, primeiro professora do Mobral, pessoas idosas. Casei fui morar na capital do estado e comecei a me envolver com ONGs, fiz formação no Projeto Axé de educadora Social")</f>
        <v>Filha de Sebastião José dos Santos e Adélia Araújo Santos, mãe de 2 filhos Michel e Fred, nascida em Ibicarai, sul da Bahia de família classe média, mas sempre atuante em ajudar o próximo. Muito nova ainda menor 14 anos, fui trabalhar num bairro periférico de minha cidade, primeiro professora do Mobral, pessoas idosas. Casei fui morar na capital do estado e comecei a me envolver com ONGs, fiz formação no Projeto Axé de educadora Social</v>
      </c>
      <c r="BE442" s="27"/>
      <c r="BF442" s="27" t="str">
        <f ca="1">IFERROR(__xludf.DUMMYFUNCTION("""COMPUTED_VALUE"""),"Heterossexual")</f>
        <v>Heterossexual</v>
      </c>
      <c r="BG442" s="27" t="str">
        <f ca="1">IFERROR(__xludf.DUMMYFUNCTION("""COMPUTED_VALUE"""),"Ensino Médio - Completo")</f>
        <v>Ensino Médio - Completo</v>
      </c>
      <c r="BH442" s="27" t="str">
        <f ca="1">IFERROR(__xludf.DUMMYFUNCTION("""COMPUTED_VALUE"""),"Pública")</f>
        <v>Pública</v>
      </c>
      <c r="BI442" s="27"/>
      <c r="BJ442" s="27" t="str">
        <f ca="1">IFERROR(__xludf.DUMMYFUNCTION("""COMPUTED_VALUE"""),"Público")</f>
        <v>Público</v>
      </c>
      <c r="BK442" s="27" t="str">
        <f ca="1">IFERROR(__xludf.DUMMYFUNCTION("""COMPUTED_VALUE"""),"Rua Lagoa Bela")</f>
        <v>Rua Lagoa Bela</v>
      </c>
      <c r="BL442" s="27">
        <f ca="1">IFERROR(__xludf.DUMMYFUNCTION("""COMPUTED_VALUE"""),20)</f>
        <v>20</v>
      </c>
      <c r="BM442" s="27" t="str">
        <f ca="1">IFERROR(__xludf.DUMMYFUNCTION("""COMPUTED_VALUE"""),"Casa 1° andar")</f>
        <v>Casa 1° andar</v>
      </c>
      <c r="BN442" s="27" t="str">
        <f ca="1">IFERROR(__xludf.DUMMYFUNCTION("""COMPUTED_VALUE"""),"Ibicaraí")</f>
        <v>Ibicaraí</v>
      </c>
      <c r="BO442" s="27" t="str">
        <f ca="1">IFERROR(__xludf.DUMMYFUNCTION("""COMPUTED_VALUE"""),"41741-180")</f>
        <v>41741-180</v>
      </c>
      <c r="BP442" s="27" t="str">
        <f ca="1">IFERROR(__xludf.DUMMYFUNCTION("""COMPUTED_VALUE"""),"BA")</f>
        <v>BA</v>
      </c>
      <c r="BQ442" s="27" t="str">
        <f ca="1">IFERROR(__xludf.DUMMYFUNCTION("""COMPUTED_VALUE"""),"Entre 1 até 3 salários mínimos")</f>
        <v>Entre 1 até 3 salários mínimos</v>
      </c>
      <c r="BR442" s="27" t="str">
        <f ca="1">IFERROR(__xludf.DUMMYFUNCTION("""COMPUTED_VALUE"""),"Desempregado")</f>
        <v>Desempregado</v>
      </c>
      <c r="BS442" s="27" t="str">
        <f ca="1">IFERROR(__xludf.DUMMYFUNCTION("""COMPUTED_VALUE"""),"Casa própria")</f>
        <v>Casa própria</v>
      </c>
      <c r="BT442" s="27">
        <f ca="1">IFERROR(__xludf.DUMMYFUNCTION("""COMPUTED_VALUE"""),1)</f>
        <v>1</v>
      </c>
      <c r="BU442" s="27" t="str">
        <f ca="1">IFERROR(__xludf.DUMMYFUNCTION("""COMPUTED_VALUE"""),"Não tem")</f>
        <v>Não tem</v>
      </c>
      <c r="BV442" s="27"/>
      <c r="BW442" s="27"/>
      <c r="BX442" s="27" t="str">
        <f ca="1">IFERROR(__xludf.DUMMYFUNCTION("""COMPUTED_VALUE"""),"crisaraujo67")</f>
        <v>crisaraujo67</v>
      </c>
      <c r="BY442" s="21" t="str">
        <f ca="1">IFERROR(__xludf.DUMMYFUNCTION("""COMPUTED_VALUE"""),"https://drive.google.com/open?id=1CoTJKhEOrxeitfu_kK6SptISmJnSCD9Z")</f>
        <v>https://drive.google.com/open?id=1CoTJKhEOrxeitfu_kK6SptISmJnSCD9Z</v>
      </c>
    </row>
    <row r="443" spans="1:77" ht="12.5" hidden="1" x14ac:dyDescent="0.25">
      <c r="A443" s="21" t="str">
        <f ca="1">IFERROR(__xludf.DUMMYFUNCTION("""COMPUTED_VALUE"""),"0014X00002VKCuTQAX")</f>
        <v>0014X00002VKCuTQAX</v>
      </c>
      <c r="B443" s="27" t="str">
        <f ca="1">IFERROR(__xludf.DUMMYFUNCTION("""COMPUTED_VALUE"""),"Fase Inicial")</f>
        <v>Fase Inicial</v>
      </c>
      <c r="C443" s="27" t="str">
        <f ca="1">IFERROR(__xludf.DUMMYFUNCTION("""COMPUTED_VALUE"""),"Fellow")</f>
        <v>Fellow</v>
      </c>
      <c r="D443" s="27" t="str">
        <f ca="1">IFERROR(__xludf.DUMMYFUNCTION("""COMPUTED_VALUE"""),"Ativo")</f>
        <v>Ativo</v>
      </c>
      <c r="E443" s="27" t="str">
        <f ca="1">IFERROR(__xludf.DUMMYFUNCTION("""COMPUTED_VALUE"""),"Instituto Usina dos Atos")</f>
        <v>Instituto Usina dos Atos</v>
      </c>
      <c r="F443" s="27" t="str">
        <f ca="1">IFERROR(__xludf.DUMMYFUNCTION("""COMPUTED_VALUE"""),"Caio")</f>
        <v>Caio</v>
      </c>
      <c r="G443" s="27" t="str">
        <f ca="1">IFERROR(__xludf.DUMMYFUNCTION("""COMPUTED_VALUE"""),"USINA DOS ATOS")</f>
        <v>USINA DOS ATOS</v>
      </c>
      <c r="H443" s="27" t="str">
        <f ca="1">IFERROR(__xludf.DUMMYFUNCTION("""COMPUTED_VALUE"""),"20.813.425/0001-27")</f>
        <v>20.813.425/0001-27</v>
      </c>
      <c r="I443" s="27" t="str">
        <f ca="1">IFERROR(__xludf.DUMMYFUNCTION("""COMPUTED_VALUE"""),"Caio César Teixeira")</f>
        <v>Caio César Teixeira</v>
      </c>
      <c r="J443" s="27" t="str">
        <f ca="1">IFERROR(__xludf.DUMMYFUNCTION("""COMPUTED_VALUE"""),"usina@usinadosatos.org.br")</f>
        <v>usina@usinadosatos.org.br</v>
      </c>
      <c r="K443" s="27" t="str">
        <f ca="1">IFERROR(__xludf.DUMMYFUNCTION("""COMPUTED_VALUE"""),"(11)2985-2872")</f>
        <v>(11)2985-2872</v>
      </c>
      <c r="L443" s="27" t="str">
        <f ca="1">IFERROR(__xludf.DUMMYFUNCTION("""COMPUTED_VALUE"""),"SP")</f>
        <v>SP</v>
      </c>
      <c r="M443" s="27" t="str">
        <f ca="1">IFERROR(__xludf.DUMMYFUNCTION("""COMPUTED_VALUE"""),"Rua Aldemar, 176")</f>
        <v>Rua Aldemar, 176</v>
      </c>
      <c r="N443" s="27" t="str">
        <f ca="1">IFERROR(__xludf.DUMMYFUNCTION("""COMPUTED_VALUE"""),"Chácara Belenzinho")</f>
        <v>Chácara Belenzinho</v>
      </c>
      <c r="O443" s="27">
        <f ca="1">IFERROR(__xludf.DUMMYFUNCTION("""COMPUTED_VALUE"""),176)</f>
        <v>176</v>
      </c>
      <c r="P443" s="27" t="str">
        <f ca="1">IFERROR(__xludf.DUMMYFUNCTION("""COMPUTED_VALUE"""),"São Paulo")</f>
        <v>São Paulo</v>
      </c>
      <c r="Q443" s="27"/>
      <c r="R443" s="27" t="str">
        <f ca="1">IFERROR(__xludf.DUMMYFUNCTION("""COMPUTED_VALUE"""),"03379-070")</f>
        <v>03379-070</v>
      </c>
      <c r="S443" s="27" t="str">
        <f ca="1">IFERROR(__xludf.DUMMYFUNCTION("""COMPUTED_VALUE"""),"Sim, escolas e ocupações culturais")</f>
        <v>Sim, escolas e ocupações culturais</v>
      </c>
      <c r="T443" s="27"/>
      <c r="U443" s="27" t="str">
        <f ca="1">IFERROR(__xludf.DUMMYFUNCTION("""COMPUTED_VALUE"""),"Adolescentes (12 aos 18 anos), Jovens (18 aos 24 anos)")</f>
        <v>Adolescentes (12 aos 18 anos), Jovens (18 aos 24 anos)</v>
      </c>
      <c r="V443" s="27" t="str">
        <f ca="1">IFERROR(__xludf.DUMMYFUNCTION("""COMPUTED_VALUE"""),"Moradores de Favelas, População LGBTQ+, Afrodescendentes")</f>
        <v>Moradores de Favelas, População LGBTQ+, Afrodescendentes</v>
      </c>
      <c r="W443" s="27">
        <f ca="1">IFERROR(__xludf.DUMMYFUNCTION("""COMPUTED_VALUE"""),2)</f>
        <v>2</v>
      </c>
      <c r="X443" s="27"/>
      <c r="Y443" s="27"/>
      <c r="Z443" s="27">
        <f ca="1">IFERROR(__xludf.DUMMYFUNCTION("""COMPUTED_VALUE"""),0)</f>
        <v>0</v>
      </c>
      <c r="AA443" s="30">
        <f ca="1">IFERROR(__xludf.DUMMYFUNCTION("""COMPUTED_VALUE"""),40105)</f>
        <v>40105</v>
      </c>
      <c r="AB443" s="27" t="str">
        <f ca="1">IFERROR(__xludf.DUMMYFUNCTION("""COMPUTED_VALUE"""),"Sim")</f>
        <v>Sim</v>
      </c>
      <c r="AC443" s="27">
        <f ca="1">IFERROR(__xludf.DUMMYFUNCTION("""COMPUTED_VALUE"""),14)</f>
        <v>14</v>
      </c>
      <c r="AD443" s="27">
        <f ca="1">IFERROR(__xludf.DUMMYFUNCTION("""COMPUTED_VALUE"""),5)</f>
        <v>5</v>
      </c>
      <c r="AE443" s="27">
        <f ca="1">IFERROR(__xludf.DUMMYFUNCTION("""COMPUTED_VALUE"""),14)</f>
        <v>14</v>
      </c>
      <c r="AF443" s="27">
        <f ca="1">IFERROR(__xludf.DUMMYFUNCTION("""COMPUTED_VALUE"""),5)</f>
        <v>5</v>
      </c>
      <c r="AG443" s="27">
        <f ca="1">IFERROR(__xludf.DUMMYFUNCTION("""COMPUTED_VALUE"""),2)</f>
        <v>2</v>
      </c>
      <c r="AH443" s="27" t="str">
        <f ca="1">IFERROR(__xludf.DUMMYFUNCTION("""COMPUTED_VALUE"""),"Editais, Doações")</f>
        <v>Editais, Doações</v>
      </c>
      <c r="AI443" s="27" t="str">
        <f ca="1">IFERROR(__xludf.DUMMYFUNCTION("""COMPUTED_VALUE"""),"95% Editais / 5% Doações")</f>
        <v>95% Editais / 5% Doações</v>
      </c>
      <c r="AJ443" s="27" t="str">
        <f ca="1">IFERROR(__xludf.DUMMYFUNCTION("""COMPUTED_VALUE"""),"Não")</f>
        <v>Não</v>
      </c>
      <c r="AK443" s="27"/>
      <c r="AL443" s="21" t="str">
        <f ca="1">IFERROR(__xludf.DUMMYFUNCTION("""COMPUTED_VALUE"""),"0034X0000380O1m")</f>
        <v>0034X0000380O1m</v>
      </c>
      <c r="AM443" s="27" t="str">
        <f ca="1">IFERROR(__xludf.DUMMYFUNCTION("""COMPUTED_VALUE"""),"César teixeira")</f>
        <v>César teixeira</v>
      </c>
      <c r="AN443" s="27" t="str">
        <f ca="1">IFERROR(__xludf.DUMMYFUNCTION("""COMPUTED_VALUE"""),"Ativo")</f>
        <v>Ativo</v>
      </c>
      <c r="AO443" s="29">
        <f ca="1">IFERROR(__xludf.DUMMYFUNCTION("""COMPUTED_VALUE"""),44763)</f>
        <v>44763</v>
      </c>
      <c r="AP443" s="27">
        <f ca="1">IFERROR(__xludf.DUMMYFUNCTION("""COMPUTED_VALUE"""),2)</f>
        <v>2</v>
      </c>
      <c r="AQ443" s="27" t="str">
        <f ca="1">IFERROR(__xludf.DUMMYFUNCTION("""COMPUTED_VALUE"""),"Primeiro Semestre 2022")</f>
        <v>Primeiro Semestre 2022</v>
      </c>
      <c r="AR443" s="27" t="str">
        <f ca="1">IFERROR(__xludf.DUMMYFUNCTION("""COMPUTED_VALUE"""),"caio@usinadosatos.org.br")</f>
        <v>caio@usinadosatos.org.br</v>
      </c>
      <c r="AS443" s="27" t="str">
        <f ca="1">IFERROR(__xludf.DUMMYFUNCTION("""COMPUTED_VALUE"""),"(11)98832-1253")</f>
        <v>(11)98832-1253</v>
      </c>
      <c r="AT443" s="29">
        <f ca="1">IFERROR(__xludf.DUMMYFUNCTION("""COMPUTED_VALUE"""),32310)</f>
        <v>32310</v>
      </c>
      <c r="AU443" s="27">
        <f ca="1">IFERROR(__xludf.DUMMYFUNCTION("""COMPUTED_VALUE"""),34)</f>
        <v>34</v>
      </c>
      <c r="AV443" s="27">
        <f ca="1">IFERROR(__xludf.DUMMYFUNCTION("""COMPUTED_VALUE"""),36561683854)</f>
        <v>36561683854</v>
      </c>
      <c r="AW443" s="27">
        <f ca="1">IFERROR(__xludf.DUMMYFUNCTION("""COMPUTED_VALUE"""),440161642)</f>
        <v>440161642</v>
      </c>
      <c r="AX443" s="27"/>
      <c r="AY443" s="27" t="str">
        <f ca="1">IFERROR(__xludf.DUMMYFUNCTION("""COMPUTED_VALUE"""),"Diretor-Presidente")</f>
        <v>Diretor-Presidente</v>
      </c>
      <c r="AZ443" s="27" t="str">
        <f ca="1">IFERROR(__xludf.DUMMYFUNCTION("""COMPUTED_VALUE"""),"G")</f>
        <v>G</v>
      </c>
      <c r="BA443" s="27" t="str">
        <f ca="1">IFERROR(__xludf.DUMMYFUNCTION("""COMPUTED_VALUE"""),"Branca")</f>
        <v>Branca</v>
      </c>
      <c r="BB443" s="27"/>
      <c r="BC443" s="27"/>
      <c r="BD443" s="27" t="str">
        <f ca="1">IFERROR(__xludf.DUMMYFUNCTION("""COMPUTED_VALUE"""),"Graduado em Comunicação Social com habilitação em RP e Pós-Graduado em Gestão Cultural. É educador, produtor e gestor cultural, tendo atuado em Casas de Cultura, Centros Culturais e no Projeto 1ª CENA do Instituto Usina dos Atos. É Autor e Diretor das peç"&amp;"as “Dias de Chuva. Véspera de Sol” (2011) e “Inclassificáveis” (2014). Coordenou a Produção dos espetáculos “Cemitério dos Vivos” e “Adolescer [Indefinido] (2016), “Tempo sem Canto” e “Temporário” (2017), “Periferia Esperança” (2019). ")</f>
        <v>Graduado em Comunicação Social com habilitação em RP e Pós-Graduado em Gestão Cultural. É educador, produtor e gestor cultural, tendo atuado em Casas de Cultura, Centros Culturais e no Projeto 1ª CENA do Instituto Usina dos Atos. É Autor e Diretor das peças “Dias de Chuva. Véspera de Sol” (2011) e “Inclassificáveis” (2014). Coordenou a Produção dos espetáculos “Cemitério dos Vivos” e “Adolescer [Indefinido] (2016), “Tempo sem Canto” e “Temporário” (2017), “Periferia Esperança” (2019). </v>
      </c>
      <c r="BE443" s="27" t="str">
        <f ca="1">IFERROR(__xludf.DUMMYFUNCTION("""COMPUTED_VALUE"""),"Homem, cisgênero")</f>
        <v>Homem, cisgênero</v>
      </c>
      <c r="BF443" s="27" t="str">
        <f ca="1">IFERROR(__xludf.DUMMYFUNCTION("""COMPUTED_VALUE"""),"Homossexual")</f>
        <v>Homossexual</v>
      </c>
      <c r="BG443" s="27" t="str">
        <f ca="1">IFERROR(__xludf.DUMMYFUNCTION("""COMPUTED_VALUE"""),"Ensino Superior - Completo")</f>
        <v>Ensino Superior - Completo</v>
      </c>
      <c r="BH443" s="27" t="str">
        <f ca="1">IFERROR(__xludf.DUMMYFUNCTION("""COMPUTED_VALUE"""),"Público")</f>
        <v>Público</v>
      </c>
      <c r="BI443" s="27" t="str">
        <f ca="1">IFERROR(__xludf.DUMMYFUNCTION("""COMPUTED_VALUE"""),"Pós-Graduação")</f>
        <v>Pós-Graduação</v>
      </c>
      <c r="BJ443" s="27" t="str">
        <f ca="1">IFERROR(__xludf.DUMMYFUNCTION("""COMPUTED_VALUE"""),"Privado")</f>
        <v>Privado</v>
      </c>
      <c r="BK443" s="27" t="str">
        <f ca="1">IFERROR(__xludf.DUMMYFUNCTION("""COMPUTED_VALUE"""),"Aldemar")</f>
        <v>Aldemar</v>
      </c>
      <c r="BL443" s="27">
        <f ca="1">IFERROR(__xludf.DUMMYFUNCTION("""COMPUTED_VALUE"""),176)</f>
        <v>176</v>
      </c>
      <c r="BM443" s="27"/>
      <c r="BN443" s="27" t="str">
        <f ca="1">IFERROR(__xludf.DUMMYFUNCTION("""COMPUTED_VALUE"""),"São Paulo")</f>
        <v>São Paulo</v>
      </c>
      <c r="BO443" s="27" t="str">
        <f ca="1">IFERROR(__xludf.DUMMYFUNCTION("""COMPUTED_VALUE"""),"03379-070")</f>
        <v>03379-070</v>
      </c>
      <c r="BP443" s="27" t="str">
        <f ca="1">IFERROR(__xludf.DUMMYFUNCTION("""COMPUTED_VALUE"""),"SP")</f>
        <v>SP</v>
      </c>
      <c r="BQ443" s="27" t="str">
        <f ca="1">IFERROR(__xludf.DUMMYFUNCTION("""COMPUTED_VALUE"""),"Entre 1 até 3 salários mínimos")</f>
        <v>Entre 1 até 3 salários mínimos</v>
      </c>
      <c r="BR443" s="27" t="str">
        <f ca="1">IFERROR(__xludf.DUMMYFUNCTION("""COMPUTED_VALUE"""),"MEI")</f>
        <v>MEI</v>
      </c>
      <c r="BS443" s="27" t="str">
        <f ca="1">IFERROR(__xludf.DUMMYFUNCTION("""COMPUTED_VALUE"""),"Casa própria")</f>
        <v>Casa própria</v>
      </c>
      <c r="BT443" s="27">
        <f ca="1">IFERROR(__xludf.DUMMYFUNCTION("""COMPUTED_VALUE"""),4)</f>
        <v>4</v>
      </c>
      <c r="BU443" s="27" t="str">
        <f ca="1">IFERROR(__xludf.DUMMYFUNCTION("""COMPUTED_VALUE"""),"Não tem")</f>
        <v>Não tem</v>
      </c>
      <c r="BV443" s="27" t="str">
        <f ca="1">IFERROR(__xludf.DUMMYFUNCTION("""COMPUTED_VALUE"""),"Não")</f>
        <v>Não</v>
      </c>
      <c r="BW443" s="21" t="str">
        <f ca="1">IFERROR(__xludf.DUMMYFUNCTION("""COMPUTED_VALUE"""),"https://www.linkedin.com/in/caioc-teixeira/")</f>
        <v>https://www.linkedin.com/in/caioc-teixeira/</v>
      </c>
      <c r="BX443" s="21" t="str">
        <f ca="1">IFERROR(__xludf.DUMMYFUNCTION("""COMPUTED_VALUE"""),"https://www.instagram.com/caito_ct/")</f>
        <v>https://www.instagram.com/caito_ct/</v>
      </c>
      <c r="BY443" s="21" t="str">
        <f ca="1">IFERROR(__xludf.DUMMYFUNCTION("""COMPUTED_VALUE"""),"https://drive.google.com/open?id=14-8OnF6QzZqnLwiej1YYcb4sYkf04LRu")</f>
        <v>https://drive.google.com/open?id=14-8OnF6QzZqnLwiej1YYcb4sYkf04LRu</v>
      </c>
    </row>
    <row r="444" spans="1:77" ht="12.5" x14ac:dyDescent="0.25">
      <c r="A444" s="21" t="str">
        <f ca="1">IFERROR(__xludf.DUMMYFUNCTION("""COMPUTED_VALUE"""),"0014P00003YSp8EQAT")</f>
        <v>0014P00003YSp8EQAT</v>
      </c>
      <c r="B444" s="27" t="str">
        <f ca="1">IFERROR(__xludf.DUMMYFUNCTION("""COMPUTED_VALUE"""),"Fase Inicial")</f>
        <v>Fase Inicial</v>
      </c>
      <c r="C444" s="27" t="str">
        <f ca="1">IFERROR(__xludf.DUMMYFUNCTION("""COMPUTED_VALUE"""),"Fellow")</f>
        <v>Fellow</v>
      </c>
      <c r="D444" s="27" t="str">
        <f ca="1">IFERROR(__xludf.DUMMYFUNCTION("""COMPUTED_VALUE"""),"Ativo")</f>
        <v>Ativo</v>
      </c>
      <c r="E444" s="27" t="str">
        <f ca="1">IFERROR(__xludf.DUMMYFUNCTION("""COMPUTED_VALUE"""),"Instituto verde Criando vidas")</f>
        <v>Instituto verde Criando vidas</v>
      </c>
      <c r="F444" s="27" t="str">
        <f ca="1">IFERROR(__xludf.DUMMYFUNCTION("""COMPUTED_VALUE"""),"Amanda")</f>
        <v>Amanda</v>
      </c>
      <c r="G444" s="27"/>
      <c r="H444" s="27" t="str">
        <f ca="1">IFERROR(__xludf.DUMMYFUNCTION("""COMPUTED_VALUE"""),"09.280.740/0001-01")</f>
        <v>09.280.740/0001-01</v>
      </c>
      <c r="I444" s="27" t="str">
        <f ca="1">IFERROR(__xludf.DUMMYFUNCTION("""COMPUTED_VALUE"""),"Amanda Pereira da Costa")</f>
        <v>Amanda Pereira da Costa</v>
      </c>
      <c r="J444" s="27" t="str">
        <f ca="1">IFERROR(__xludf.DUMMYFUNCTION("""COMPUTED_VALUE"""),"institutoverdeliberdance@gmail.com")</f>
        <v>institutoverdeliberdance@gmail.com</v>
      </c>
      <c r="K444" s="27" t="str">
        <f ca="1">IFERROR(__xludf.DUMMYFUNCTION("""COMPUTED_VALUE"""),"(21)99167-5677")</f>
        <v>(21)99167-5677</v>
      </c>
      <c r="L444" s="27" t="str">
        <f ca="1">IFERROR(__xludf.DUMMYFUNCTION("""COMPUTED_VALUE"""),"RJ")</f>
        <v>RJ</v>
      </c>
      <c r="M444" s="27" t="str">
        <f ca="1">IFERROR(__xludf.DUMMYFUNCTION("""COMPUTED_VALUE"""),"Ria mario ferreira")</f>
        <v>Ria mario ferreira</v>
      </c>
      <c r="N444" s="27" t="str">
        <f ca="1">IFERROR(__xludf.DUMMYFUNCTION("""COMPUTED_VALUE"""),"Engenho da rainha")</f>
        <v>Engenho da rainha</v>
      </c>
      <c r="O444" s="27">
        <f ca="1">IFERROR(__xludf.DUMMYFUNCTION("""COMPUTED_VALUE"""),227)</f>
        <v>227</v>
      </c>
      <c r="P444" s="27" t="str">
        <f ca="1">IFERROR(__xludf.DUMMYFUNCTION("""COMPUTED_VALUE"""),"Rio de janeiro")</f>
        <v>Rio de janeiro</v>
      </c>
      <c r="Q444" s="27" t="str">
        <f ca="1">IFERROR(__xludf.DUMMYFUNCTION("""COMPUTED_VALUE"""),"Galpão")</f>
        <v>Galpão</v>
      </c>
      <c r="R444" s="27" t="str">
        <f ca="1">IFERROR(__xludf.DUMMYFUNCTION("""COMPUTED_VALUE"""),"20761-260")</f>
        <v>20761-260</v>
      </c>
      <c r="S444" s="27"/>
      <c r="T444" s="27" t="str">
        <f ca="1">IFERROR(__xludf.DUMMYFUNCTION("""COMPUTED_VALUE"""),"Esporte; Educação; Cultura; Comunicação; Outro(s)")</f>
        <v>Esporte; Educação; Cultura; Comunicação; Outro(s)</v>
      </c>
      <c r="U444"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444" s="27" t="str">
        <f ca="1">IFERROR(__xludf.DUMMYFUNCTION("""COMPUTED_VALUE"""),"Moradores de Favelas")</f>
        <v>Moradores de Favelas</v>
      </c>
      <c r="W444" s="27">
        <f ca="1">IFERROR(__xludf.DUMMYFUNCTION("""COMPUTED_VALUE"""),7)</f>
        <v>7</v>
      </c>
      <c r="X444" s="27"/>
      <c r="Y444" s="27"/>
      <c r="Z444" s="27">
        <f ca="1">IFERROR(__xludf.DUMMYFUNCTION("""COMPUTED_VALUE"""),1000)</f>
        <v>1000</v>
      </c>
      <c r="AA444" s="29">
        <f ca="1">IFERROR(__xludf.DUMMYFUNCTION("""COMPUTED_VALUE"""),39090)</f>
        <v>39090</v>
      </c>
      <c r="AB444" s="27" t="str">
        <f ca="1">IFERROR(__xludf.DUMMYFUNCTION("""COMPUTED_VALUE"""),"Sim")</f>
        <v>Sim</v>
      </c>
      <c r="AC444" s="27">
        <f ca="1">IFERROR(__xludf.DUMMYFUNCTION("""COMPUTED_VALUE"""),0)</f>
        <v>0</v>
      </c>
      <c r="AD444" s="27">
        <f ca="1">IFERROR(__xludf.DUMMYFUNCTION("""COMPUTED_VALUE"""),0)</f>
        <v>0</v>
      </c>
      <c r="AE444" s="27">
        <f ca="1">IFERROR(__xludf.DUMMYFUNCTION("""COMPUTED_VALUE"""),4)</f>
        <v>4</v>
      </c>
      <c r="AF444" s="27">
        <f ca="1">IFERROR(__xludf.DUMMYFUNCTION("""COMPUTED_VALUE"""),2)</f>
        <v>2</v>
      </c>
      <c r="AG444" s="27">
        <f ca="1">IFERROR(__xludf.DUMMYFUNCTION("""COMPUTED_VALUE"""),2)</f>
        <v>2</v>
      </c>
      <c r="AH444" s="27" t="str">
        <f ca="1">IFERROR(__xludf.DUMMYFUNCTION("""COMPUTED_VALUE"""),"Eventos/Ações para captação; Doações")</f>
        <v>Eventos/Ações para captação; Doações</v>
      </c>
      <c r="AI444" s="27" t="str">
        <f ca="1">IFERROR(__xludf.DUMMYFUNCTION("""COMPUTED_VALUE"""),"Nenhuma")</f>
        <v>Nenhuma</v>
      </c>
      <c r="AJ444" s="27"/>
      <c r="AK444" s="27"/>
      <c r="AL444" s="21" t="str">
        <f ca="1">IFERROR(__xludf.DUMMYFUNCTION("""COMPUTED_VALUE"""),"0034P000045kxip")</f>
        <v>0034P000045kxip</v>
      </c>
      <c r="AM444" s="27" t="str">
        <f ca="1">IFERROR(__xludf.DUMMYFUNCTION("""COMPUTED_VALUE"""),"Pereira Da Costa")</f>
        <v>Pereira Da Costa</v>
      </c>
      <c r="AN444" s="27" t="str">
        <f ca="1">IFERROR(__xludf.DUMMYFUNCTION("""COMPUTED_VALUE"""),"Ativo")</f>
        <v>Ativo</v>
      </c>
      <c r="AO444" s="30">
        <f ca="1">IFERROR(__xludf.DUMMYFUNCTION("""COMPUTED_VALUE"""),44551)</f>
        <v>44551</v>
      </c>
      <c r="AP444" s="27">
        <f ca="1">IFERROR(__xludf.DUMMYFUNCTION("""COMPUTED_VALUE"""),9)</f>
        <v>9</v>
      </c>
      <c r="AQ444" s="27" t="str">
        <f ca="1">IFERROR(__xludf.DUMMYFUNCTION("""COMPUTED_VALUE"""),"Segundo Semestre 2021")</f>
        <v>Segundo Semestre 2021</v>
      </c>
      <c r="AR444" s="27" t="str">
        <f ca="1">IFERROR(__xludf.DUMMYFUNCTION("""COMPUTED_VALUE"""),"projetodancateatro@gmail.com")</f>
        <v>projetodancateatro@gmail.com</v>
      </c>
      <c r="AS444" s="27" t="str">
        <f ca="1">IFERROR(__xludf.DUMMYFUNCTION("""COMPUTED_VALUE"""),"(21)99167-5677")</f>
        <v>(21)99167-5677</v>
      </c>
      <c r="AT444" s="29">
        <f ca="1">IFERROR(__xludf.DUMMYFUNCTION("""COMPUTED_VALUE"""),28871)</f>
        <v>28871</v>
      </c>
      <c r="AU444" s="27">
        <f ca="1">IFERROR(__xludf.DUMMYFUNCTION("""COMPUTED_VALUE"""),43)</f>
        <v>43</v>
      </c>
      <c r="AV444" s="27">
        <f ca="1">IFERROR(__xludf.DUMMYFUNCTION("""COMPUTED_VALUE"""),8216913761)</f>
        <v>8216913761</v>
      </c>
      <c r="AW444" s="27" t="str">
        <f ca="1">IFERROR(__xludf.DUMMYFUNCTION("""COMPUTED_VALUE"""),"11964159-5")</f>
        <v>11964159-5</v>
      </c>
      <c r="AX444" s="27"/>
      <c r="AY444" s="27"/>
      <c r="AZ444" s="27" t="str">
        <f ca="1">IFERROR(__xludf.DUMMYFUNCTION("""COMPUTED_VALUE"""),"M")</f>
        <v>M</v>
      </c>
      <c r="BA444" s="27" t="str">
        <f ca="1">IFERROR(__xludf.DUMMYFUNCTION("""COMPUTED_VALUE"""),"Branca")</f>
        <v>Branca</v>
      </c>
      <c r="BB444" s="27" t="str">
        <f ca="1">IFERROR(__xludf.DUMMYFUNCTION("""COMPUTED_VALUE"""),"Mulher, cisgênero")</f>
        <v>Mulher, cisgênero</v>
      </c>
      <c r="BC444" s="27" t="str">
        <f ca="1">IFERROR(__xludf.DUMMYFUNCTION("""COMPUTED_VALUE"""),"Sim")</f>
        <v>Sim</v>
      </c>
      <c r="BD444" s="27" t="str">
        <f ca="1">IFERROR(__xludf.DUMMYFUNCTION("""COMPUTED_VALUE"""),"Sou Amanda Pereira da costa tenho 43 anos . Nascida em uma família pobre ,com 6 irmãs,com um pai Alcolatra e vó q sustentava a casa,com 6 meses de nascida quase morri,tive pneumonia e sarampo  e o médico mandou levar pra casa para morrer em casa,fui batiz"&amp;"ada para não morrer pagã.E a vida seguiu e a 14 anos atrás por erro médico perdi minha visão esquerda ,estou na área artística a 28 anos ,trabalhava em projeto sociais de outras pessoas e ai resolvi montar o meu.Arte minha vida.")</f>
        <v>Sou Amanda Pereira da costa tenho 43 anos . Nascida em uma família pobre ,com 6 irmãs,com um pai Alcolatra e vó q sustentava a casa,com 6 meses de nascida quase morri,tive pneumonia e sarampo  e o médico mandou levar pra casa para morrer em casa,fui batizada para não morrer pagã.E a vida seguiu e a 14 anos atrás por erro médico perdi minha visão esquerda ,estou na área artística a 28 anos ,trabalhava em projeto sociais de outras pessoas e ai resolvi montar o meu.Arte minha vida.</v>
      </c>
      <c r="BE444" s="27"/>
      <c r="BF444" s="27" t="str">
        <f ca="1">IFERROR(__xludf.DUMMYFUNCTION("""COMPUTED_VALUE"""),"Heterossexual")</f>
        <v>Heterossexual</v>
      </c>
      <c r="BG444" s="27" t="str">
        <f ca="1">IFERROR(__xludf.DUMMYFUNCTION("""COMPUTED_VALUE"""),"Ensino Médio - Completo")</f>
        <v>Ensino Médio - Completo</v>
      </c>
      <c r="BH444" s="27" t="str">
        <f ca="1">IFERROR(__xludf.DUMMYFUNCTION("""COMPUTED_VALUE"""),"Pública")</f>
        <v>Pública</v>
      </c>
      <c r="BI444" s="27"/>
      <c r="BJ444" s="27"/>
      <c r="BK444" s="27" t="str">
        <f ca="1">IFERROR(__xludf.DUMMYFUNCTION("""COMPUTED_VALUE"""),"Ria mario ferramentas")</f>
        <v>Ria mario ferramentas</v>
      </c>
      <c r="BL444" s="27">
        <f ca="1">IFERROR(__xludf.DUMMYFUNCTION("""COMPUTED_VALUE"""),227)</f>
        <v>227</v>
      </c>
      <c r="BM444" s="27" t="str">
        <f ca="1">IFERROR(__xludf.DUMMYFUNCTION("""COMPUTED_VALUE"""),"Galpao do Instituto")</f>
        <v>Galpao do Instituto</v>
      </c>
      <c r="BN444" s="27" t="str">
        <f ca="1">IFERROR(__xludf.DUMMYFUNCTION("""COMPUTED_VALUE"""),"Rio de janeiro")</f>
        <v>Rio de janeiro</v>
      </c>
      <c r="BO444" s="27" t="str">
        <f ca="1">IFERROR(__xludf.DUMMYFUNCTION("""COMPUTED_VALUE"""),"20761-260")</f>
        <v>20761-260</v>
      </c>
      <c r="BP444" s="27" t="str">
        <f ca="1">IFERROR(__xludf.DUMMYFUNCTION("""COMPUTED_VALUE"""),"RJ")</f>
        <v>RJ</v>
      </c>
      <c r="BQ444" s="27" t="str">
        <f ca="1">IFERROR(__xludf.DUMMYFUNCTION("""COMPUTED_VALUE"""),"Entre 1 até 3 salários mínimos")</f>
        <v>Entre 1 até 3 salários mínimos</v>
      </c>
      <c r="BR444" s="27" t="str">
        <f ca="1">IFERROR(__xludf.DUMMYFUNCTION("""COMPUTED_VALUE"""),"Desempregado")</f>
        <v>Desempregado</v>
      </c>
      <c r="BS444" s="27" t="str">
        <f ca="1">IFERROR(__xludf.DUMMYFUNCTION("""COMPUTED_VALUE"""),"Aluguel")</f>
        <v>Aluguel</v>
      </c>
      <c r="BT444" s="27">
        <f ca="1">IFERROR(__xludf.DUMMYFUNCTION("""COMPUTED_VALUE"""),1)</f>
        <v>1</v>
      </c>
      <c r="BU444" s="27" t="str">
        <f ca="1">IFERROR(__xludf.DUMMYFUNCTION("""COMPUTED_VALUE"""),"Cegueira")</f>
        <v>Cegueira</v>
      </c>
      <c r="BV444" s="27" t="str">
        <f ca="1">IFERROR(__xludf.DUMMYFUNCTION("""COMPUTED_VALUE"""),"Carne vermelha")</f>
        <v>Carne vermelha</v>
      </c>
      <c r="BW444" s="27" t="str">
        <f ca="1">IFERROR(__xludf.DUMMYFUNCTION("""COMPUTED_VALUE"""),"Nao tenho")</f>
        <v>Nao tenho</v>
      </c>
      <c r="BX444" s="21" t="str">
        <f ca="1">IFERROR(__xludf.DUMMYFUNCTION("""COMPUTED_VALUE"""),"https://instagram.com/amandavisan?utm_medium=copy_link")</f>
        <v>https://instagram.com/amandavisan?utm_medium=copy_link</v>
      </c>
      <c r="BY444" s="21" t="str">
        <f ca="1">IFERROR(__xludf.DUMMYFUNCTION("""COMPUTED_VALUE"""),"https://drive.google.com/open?id=1NUDBxclDMFM_DIHhU1rrU_Ismp_pkflF")</f>
        <v>https://drive.google.com/open?id=1NUDBxclDMFM_DIHhU1rrU_Ismp_pkflF</v>
      </c>
    </row>
    <row r="445" spans="1:77" ht="12.5" x14ac:dyDescent="0.25">
      <c r="A445" s="21" t="str">
        <f ca="1">IFERROR(__xludf.DUMMYFUNCTION("""COMPUTED_VALUE"""),"0014P00003SGWPxQAP")</f>
        <v>0014P00003SGWPxQAP</v>
      </c>
      <c r="B445" s="27" t="str">
        <f ca="1">IFERROR(__xludf.DUMMYFUNCTION("""COMPUTED_VALUE"""),"Fase Inicial")</f>
        <v>Fase Inicial</v>
      </c>
      <c r="C445" s="27" t="str">
        <f ca="1">IFERROR(__xludf.DUMMYFUNCTION("""COMPUTED_VALUE"""),"Fellow")</f>
        <v>Fellow</v>
      </c>
      <c r="D445" s="27" t="str">
        <f ca="1">IFERROR(__xludf.DUMMYFUNCTION("""COMPUTED_VALUE"""),"Ativo")</f>
        <v>Ativo</v>
      </c>
      <c r="E445" s="27" t="str">
        <f ca="1">IFERROR(__xludf.DUMMYFUNCTION("""COMPUTED_VALUE"""),"INSTITUTO VID'ART")</f>
        <v>INSTITUTO VID'ART</v>
      </c>
      <c r="F445" s="27" t="str">
        <f ca="1">IFERROR(__xludf.DUMMYFUNCTION("""COMPUTED_VALUE"""),"Patricia")</f>
        <v>Patricia</v>
      </c>
      <c r="G445" s="27" t="str">
        <f ca="1">IFERROR(__xludf.DUMMYFUNCTION("""COMPUTED_VALUE"""),"VID'ART")</f>
        <v>VID'ART</v>
      </c>
      <c r="H445" s="27" t="str">
        <f ca="1">IFERROR(__xludf.DUMMYFUNCTION("""COMPUTED_VALUE"""),"38.051.691/0001-25")</f>
        <v>38.051.691/0001-25</v>
      </c>
      <c r="I445" s="27" t="str">
        <f ca="1">IFERROR(__xludf.DUMMYFUNCTION("""COMPUTED_VALUE"""),"Marlene De Brito Maia De Souza")</f>
        <v>Marlene De Brito Maia De Souza</v>
      </c>
      <c r="J445" s="27" t="str">
        <f ca="1">IFERROR(__xludf.DUMMYFUNCTION("""COMPUTED_VALUE"""),"contato@institutovidart.com.br")</f>
        <v>contato@institutovidart.com.br</v>
      </c>
      <c r="K445" s="27" t="str">
        <f ca="1">IFERROR(__xludf.DUMMYFUNCTION("""COMPUTED_VALUE"""),"(11)2372-8897")</f>
        <v>(11)2372-8897</v>
      </c>
      <c r="L445" s="27" t="str">
        <f ca="1">IFERROR(__xludf.DUMMYFUNCTION("""COMPUTED_VALUE"""),"SP")</f>
        <v>SP</v>
      </c>
      <c r="M445" s="27" t="str">
        <f ca="1">IFERROR(__xludf.DUMMYFUNCTION("""COMPUTED_VALUE"""),"Rua Graciano Altierio")</f>
        <v>Rua Graciano Altierio</v>
      </c>
      <c r="N445" s="27" t="str">
        <f ca="1">IFERROR(__xludf.DUMMYFUNCTION("""COMPUTED_VALUE"""),"Casa Verde Alta")</f>
        <v>Casa Verde Alta</v>
      </c>
      <c r="O445" s="27" t="str">
        <f ca="1">IFERROR(__xludf.DUMMYFUNCTION("""COMPUTED_VALUE"""),"(11)98443-4620")</f>
        <v>(11)98443-4620</v>
      </c>
      <c r="P445" s="27" t="str">
        <f ca="1">IFERROR(__xludf.DUMMYFUNCTION("""COMPUTED_VALUE"""),"São Paulo")</f>
        <v>São Paulo</v>
      </c>
      <c r="Q445" s="27" t="str">
        <f ca="1">IFERROR(__xludf.DUMMYFUNCTION("""COMPUTED_VALUE"""),"Sobreloja")</f>
        <v>Sobreloja</v>
      </c>
      <c r="R445" s="27" t="str">
        <f ca="1">IFERROR(__xludf.DUMMYFUNCTION("""COMPUTED_VALUE"""),"02545-060")</f>
        <v>02545-060</v>
      </c>
      <c r="S445" s="27" t="str">
        <f ca="1">IFERROR(__xludf.DUMMYFUNCTION("""COMPUTED_VALUE"""),"Rua General Mello Rezende 200 Vila Santista São Paulo SP CEP: 02560-010")</f>
        <v>Rua General Mello Rezende 200 Vila Santista São Paulo SP CEP: 02560-010</v>
      </c>
      <c r="T445" s="27" t="str">
        <f ca="1">IFERROR(__xludf.DUMMYFUNCTION("""COMPUTED_VALUE"""),"Esporte; Educação; Empregabilidade; Assistência Social; Cultura; Qualificação Profissional; Empreendedorismo; Meio ambiente; Negócios Sociais")</f>
        <v>Esporte; Educação; Empregabilidade; Assistência Social; Cultura; Qualificação Profissional; Empreendedorismo; Meio ambiente; Negócios Sociais</v>
      </c>
      <c r="U445"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445" s="27" t="str">
        <f ca="1">IFERROR(__xludf.DUMMYFUNCTION("""COMPUTED_VALUE"""),"Moradores de Favelas")</f>
        <v>Moradores de Favelas</v>
      </c>
      <c r="W445" s="27">
        <f ca="1">IFERROR(__xludf.DUMMYFUNCTION("""COMPUTED_VALUE"""),4)</f>
        <v>4</v>
      </c>
      <c r="X445" s="27"/>
      <c r="Y445" s="27">
        <f ca="1">IFERROR(__xludf.DUMMYFUNCTION("""COMPUTED_VALUE"""),70)</f>
        <v>70</v>
      </c>
      <c r="Z445" s="27">
        <f ca="1">IFERROR(__xludf.DUMMYFUNCTION("""COMPUTED_VALUE"""),24000)</f>
        <v>24000</v>
      </c>
      <c r="AA445" s="29">
        <f ca="1">IFERROR(__xludf.DUMMYFUNCTION("""COMPUTED_VALUE"""),43980)</f>
        <v>43980</v>
      </c>
      <c r="AB445" s="27" t="str">
        <f ca="1">IFERROR(__xludf.DUMMYFUNCTION("""COMPUTED_VALUE"""),"Sim")</f>
        <v>Sim</v>
      </c>
      <c r="AC445" s="27">
        <f ca="1">IFERROR(__xludf.DUMMYFUNCTION("""COMPUTED_VALUE"""),4)</f>
        <v>4</v>
      </c>
      <c r="AD445" s="27">
        <f ca="1">IFERROR(__xludf.DUMMYFUNCTION("""COMPUTED_VALUE"""),0)</f>
        <v>0</v>
      </c>
      <c r="AE445" s="27">
        <f ca="1">IFERROR(__xludf.DUMMYFUNCTION("""COMPUTED_VALUE"""),6)</f>
        <v>6</v>
      </c>
      <c r="AF445" s="27">
        <f ca="1">IFERROR(__xludf.DUMMYFUNCTION("""COMPUTED_VALUE"""),2)</f>
        <v>2</v>
      </c>
      <c r="AG445" s="27">
        <f ca="1">IFERROR(__xludf.DUMMYFUNCTION("""COMPUTED_VALUE"""),4)</f>
        <v>4</v>
      </c>
      <c r="AH445" s="27" t="str">
        <f ca="1">IFERROR(__xludf.DUMMYFUNCTION("""COMPUTED_VALUE"""),"Negócio Social; Eventos/Ações para captação; Plataforma doação online - Pessoa Física; Editais; Doações")</f>
        <v>Negócio Social; Eventos/Ações para captação; Plataforma doação online - Pessoa Física; Editais; Doações</v>
      </c>
      <c r="AI445" s="27" t="str">
        <f ca="1">IFERROR(__xludf.DUMMYFUNCTION("""COMPUTED_VALUE"""),"Negócio Social 30% Editais 40% Bazar 10% Plataforma 10% Eventos e Ações 10%")</f>
        <v>Negócio Social 30% Editais 40% Bazar 10% Plataforma 10% Eventos e Ações 10%</v>
      </c>
      <c r="AJ445" s="27" t="str">
        <f ca="1">IFERROR(__xludf.DUMMYFUNCTION("""COMPUTED_VALUE"""),"Não")</f>
        <v>Não</v>
      </c>
      <c r="AK445" s="27" t="str">
        <f ca="1">IFERROR(__xludf.DUMMYFUNCTION("""COMPUTED_VALUE"""),"Não")</f>
        <v>Não</v>
      </c>
      <c r="AL445" s="21" t="str">
        <f ca="1">IFERROR(__xludf.DUMMYFUNCTION("""COMPUTED_VALUE"""),"0034P000043fOo0")</f>
        <v>0034P000043fOo0</v>
      </c>
      <c r="AM445" s="27" t="str">
        <f ca="1">IFERROR(__xludf.DUMMYFUNCTION("""COMPUTED_VALUE"""),"Maia De Souza")</f>
        <v>Maia De Souza</v>
      </c>
      <c r="AN445" s="27" t="str">
        <f ca="1">IFERROR(__xludf.DUMMYFUNCTION("""COMPUTED_VALUE"""),"Ativo")</f>
        <v>Ativo</v>
      </c>
      <c r="AO445" s="29">
        <f ca="1">IFERROR(__xludf.DUMMYFUNCTION("""COMPUTED_VALUE"""),44432)</f>
        <v>44432</v>
      </c>
      <c r="AP445" s="27">
        <f ca="1">IFERROR(__xludf.DUMMYFUNCTION("""COMPUTED_VALUE"""),13)</f>
        <v>13</v>
      </c>
      <c r="AQ445" s="27" t="str">
        <f ca="1">IFERROR(__xludf.DUMMYFUNCTION("""COMPUTED_VALUE"""),"Primeiro Semestre 2021")</f>
        <v>Primeiro Semestre 2021</v>
      </c>
      <c r="AR445" s="27" t="str">
        <f ca="1">IFERROR(__xludf.DUMMYFUNCTION("""COMPUTED_VALUE"""),"patriciabailarina@hotmail.com")</f>
        <v>patriciabailarina@hotmail.com</v>
      </c>
      <c r="AS445" s="27" t="str">
        <f ca="1">IFERROR(__xludf.DUMMYFUNCTION("""COMPUTED_VALUE"""),"(11)98443-4620")</f>
        <v>(11)98443-4620</v>
      </c>
      <c r="AT445" s="30">
        <f ca="1">IFERROR(__xludf.DUMMYFUNCTION("""COMPUTED_VALUE"""),31338)</f>
        <v>31338</v>
      </c>
      <c r="AU445" s="27">
        <f ca="1">IFERROR(__xludf.DUMMYFUNCTION("""COMPUTED_VALUE"""),37)</f>
        <v>37</v>
      </c>
      <c r="AV445" s="27">
        <f ca="1">IFERROR(__xludf.DUMMYFUNCTION("""COMPUTED_VALUE"""),33387682816)</f>
        <v>33387682816</v>
      </c>
      <c r="AW445" s="27">
        <f ca="1">IFERROR(__xludf.DUMMYFUNCTION("""COMPUTED_VALUE"""),442847117)</f>
        <v>442847117</v>
      </c>
      <c r="AX445" s="27" t="str">
        <f ca="1">IFERROR(__xludf.DUMMYFUNCTION("""COMPUTED_VALUE"""),"Educação Física - Bacharel / Educação Física Escolar - Pós Graduação")</f>
        <v>Educação Física - Bacharel / Educação Física Escolar - Pós Graduação</v>
      </c>
      <c r="AY445" s="27"/>
      <c r="AZ445" s="27" t="str">
        <f ca="1">IFERROR(__xludf.DUMMYFUNCTION("""COMPUTED_VALUE"""),"P")</f>
        <v>P</v>
      </c>
      <c r="BA445" s="27" t="str">
        <f ca="1">IFERROR(__xludf.DUMMYFUNCTION("""COMPUTED_VALUE"""),"Preta")</f>
        <v>Preta</v>
      </c>
      <c r="BB445" s="27"/>
      <c r="BC445" s="27" t="str">
        <f ca="1">IFERROR(__xludf.DUMMYFUNCTION("""COMPUTED_VALUE"""),"Sim")</f>
        <v>Sim</v>
      </c>
      <c r="BD445" s="27" t="str">
        <f ca="1">IFERROR(__xludf.DUMMYFUNCTION("""COMPUTED_VALUE"""),"Patricia Maia, 36 anos. Nascida na Zona Norte de SP. Pós Graduada em Educação Física Escolar, com cursos de especialização em Jazz, Ballet e Teatro. Filha do Sr Luiz e Sra Marlene, é a caçula de quatro filhos.
Aos 16 anos tornou-se Professora Voluntária e"&amp;"m Escolas Públicas. Em 2013 fundou seu Negócio Social Vid'Art Centro Artístico e em 2020 fundou o Instituto Vid'Art.Minha maior missão é tornar a Arte, Cultura, Educação, Esporte e Empreendedorismo acessível às Famílias em situação Vulnerável")</f>
        <v>Patricia Maia, 36 anos. Nascida na Zona Norte de SP. Pós Graduada em Educação Física Escolar, com cursos de especialização em Jazz, Ballet e Teatro. Filha do Sr Luiz e Sra Marlene, é a caçula de quatro filhos.
Aos 16 anos tornou-se Professora Voluntária em Escolas Públicas. Em 2013 fundou seu Negócio Social Vid'Art Centro Artístico e em 2020 fundou o Instituto Vid'Art.Minha maior missão é tornar a Arte, Cultura, Educação, Esporte e Empreendedorismo acessível às Famílias em situação Vulnerável</v>
      </c>
      <c r="BE445" s="27" t="str">
        <f ca="1">IFERROR(__xludf.DUMMYFUNCTION("""COMPUTED_VALUE"""),"Feminino")</f>
        <v>Feminino</v>
      </c>
      <c r="BF445" s="27" t="str">
        <f ca="1">IFERROR(__xludf.DUMMYFUNCTION("""COMPUTED_VALUE"""),"Heterossexual")</f>
        <v>Heterossexual</v>
      </c>
      <c r="BG445" s="27" t="str">
        <f ca="1">IFERROR(__xludf.DUMMYFUNCTION("""COMPUTED_VALUE"""),"Ensino Superior - Completo")</f>
        <v>Ensino Superior - Completo</v>
      </c>
      <c r="BH445" s="27"/>
      <c r="BI445" s="27" t="str">
        <f ca="1">IFERROR(__xludf.DUMMYFUNCTION("""COMPUTED_VALUE"""),"Pós-Graduação")</f>
        <v>Pós-Graduação</v>
      </c>
      <c r="BJ445" s="27" t="str">
        <f ca="1">IFERROR(__xludf.DUMMYFUNCTION("""COMPUTED_VALUE"""),"Privado")</f>
        <v>Privado</v>
      </c>
      <c r="BK445" s="27" t="str">
        <f ca="1">IFERROR(__xludf.DUMMYFUNCTION("""COMPUTED_VALUE"""),"Nicolau Tolentino de Almeida")</f>
        <v>Nicolau Tolentino de Almeida</v>
      </c>
      <c r="BL445" s="27">
        <f ca="1">IFERROR(__xludf.DUMMYFUNCTION("""COMPUTED_VALUE"""),61)</f>
        <v>61</v>
      </c>
      <c r="BM445" s="27" t="str">
        <f ca="1">IFERROR(__xludf.DUMMYFUNCTION("""COMPUTED_VALUE"""),"24 K")</f>
        <v>24 K</v>
      </c>
      <c r="BN445" s="27" t="str">
        <f ca="1">IFERROR(__xludf.DUMMYFUNCTION("""COMPUTED_VALUE"""),"São Paulo")</f>
        <v>São Paulo</v>
      </c>
      <c r="BO445" s="27" t="str">
        <f ca="1">IFERROR(__xludf.DUMMYFUNCTION("""COMPUTED_VALUE"""),"02671-020")</f>
        <v>02671-020</v>
      </c>
      <c r="BP445" s="27" t="str">
        <f ca="1">IFERROR(__xludf.DUMMYFUNCTION("""COMPUTED_VALUE"""),"SP")</f>
        <v>SP</v>
      </c>
      <c r="BQ445" s="27" t="str">
        <f ca="1">IFERROR(__xludf.DUMMYFUNCTION("""COMPUTED_VALUE"""),"De 3 até 5 salários mínimos")</f>
        <v>De 3 até 5 salários mínimos</v>
      </c>
      <c r="BR445" s="27" t="str">
        <f ca="1">IFERROR(__xludf.DUMMYFUNCTION("""COMPUTED_VALUE"""),"Desempregado")</f>
        <v>Desempregado</v>
      </c>
      <c r="BS445" s="27" t="str">
        <f ca="1">IFERROR(__xludf.DUMMYFUNCTION("""COMPUTED_VALUE"""),"Casa própria")</f>
        <v>Casa própria</v>
      </c>
      <c r="BT445" s="27">
        <f ca="1">IFERROR(__xludf.DUMMYFUNCTION("""COMPUTED_VALUE"""),1)</f>
        <v>1</v>
      </c>
      <c r="BU445" s="27"/>
      <c r="BV445" s="27"/>
      <c r="BW445" s="21" t="str">
        <f ca="1">IFERROR(__xludf.DUMMYFUNCTION("""COMPUTED_VALUE"""),"https://www.linkedin.com/in/patricia-maia-485200217")</f>
        <v>https://www.linkedin.com/in/patricia-maia-485200217</v>
      </c>
      <c r="BX445" s="21" t="str">
        <f ca="1">IFERROR(__xludf.DUMMYFUNCTION("""COMPUTED_VALUE"""),"https://instagram.com/patymaiav?utm_medium=copy_link")</f>
        <v>https://instagram.com/patymaiav?utm_medium=copy_link</v>
      </c>
      <c r="BY445" s="21" t="str">
        <f ca="1">IFERROR(__xludf.DUMMYFUNCTION("""COMPUTED_VALUE"""),"https://drive.google.com/open?id=1Z5oxvsM6OAY_yHO6T_1je5Av2ORcChto")</f>
        <v>https://drive.google.com/open?id=1Z5oxvsM6OAY_yHO6T_1je5Av2ORcChto</v>
      </c>
    </row>
    <row r="446" spans="1:77" ht="12.5" x14ac:dyDescent="0.25">
      <c r="A446" s="21" t="str">
        <f ca="1">IFERROR(__xludf.DUMMYFUNCTION("""COMPUTED_VALUE"""),"0014P00003SGWPnQAP")</f>
        <v>0014P00003SGWPnQAP</v>
      </c>
      <c r="B446" s="27" t="str">
        <f ca="1">IFERROR(__xludf.DUMMYFUNCTION("""COMPUTED_VALUE"""),"Fase Estruturação")</f>
        <v>Fase Estruturação</v>
      </c>
      <c r="C446" s="27" t="str">
        <f ca="1">IFERROR(__xludf.DUMMYFUNCTION("""COMPUTED_VALUE"""),"Fellow")</f>
        <v>Fellow</v>
      </c>
      <c r="D446" s="27" t="str">
        <f ca="1">IFERROR(__xludf.DUMMYFUNCTION("""COMPUTED_VALUE"""),"Ativo")</f>
        <v>Ativo</v>
      </c>
      <c r="E446" s="27" t="str">
        <f ca="1">IFERROR(__xludf.DUMMYFUNCTION("""COMPUTED_VALUE"""),"INSTITUTO VIDA REAL")</f>
        <v>INSTITUTO VIDA REAL</v>
      </c>
      <c r="F446" s="27" t="str">
        <f ca="1">IFERROR(__xludf.DUMMYFUNCTION("""COMPUTED_VALUE"""),"Jose")</f>
        <v>Jose</v>
      </c>
      <c r="G446" s="27" t="str">
        <f ca="1">IFERROR(__xludf.DUMMYFUNCTION("""COMPUTED_VALUE"""),"VIDA REAL")</f>
        <v>VIDA REAL</v>
      </c>
      <c r="H446" s="27" t="str">
        <f ca="1">IFERROR(__xludf.DUMMYFUNCTION("""COMPUTED_VALUE"""),"08.077.747/0001-50")</f>
        <v>08.077.747/0001-50</v>
      </c>
      <c r="I446" s="27" t="str">
        <f ca="1">IFERROR(__xludf.DUMMYFUNCTION("""COMPUTED_VALUE"""),"Sebastião Antônio De Araújo")</f>
        <v>Sebastião Antônio De Araújo</v>
      </c>
      <c r="J446" s="27" t="str">
        <f ca="1">IFERROR(__xludf.DUMMYFUNCTION("""COMPUTED_VALUE"""),"institutovidareal@hotmail.com")</f>
        <v>institutovidareal@hotmail.com</v>
      </c>
      <c r="K446" s="27" t="str">
        <f ca="1">IFERROR(__xludf.DUMMYFUNCTION("""COMPUTED_VALUE"""),"Ntenho")</f>
        <v>Ntenho</v>
      </c>
      <c r="L446" s="27" t="str">
        <f ca="1">IFERROR(__xludf.DUMMYFUNCTION("""COMPUTED_VALUE"""),"RJ")</f>
        <v>RJ</v>
      </c>
      <c r="M446" s="27" t="str">
        <f ca="1">IFERROR(__xludf.DUMMYFUNCTION("""COMPUTED_VALUE"""),"Teixeira Ribeiro")</f>
        <v>Teixeira Ribeiro</v>
      </c>
      <c r="N446" s="27" t="str">
        <f ca="1">IFERROR(__xludf.DUMMYFUNCTION("""COMPUTED_VALUE"""),"Ramos")</f>
        <v>Ramos</v>
      </c>
      <c r="O446" s="27" t="str">
        <f ca="1">IFERROR(__xludf.DUMMYFUNCTION("""COMPUTED_VALUE"""),"(21)9703-34333")</f>
        <v>(21)9703-34333</v>
      </c>
      <c r="P446" s="27" t="str">
        <f ca="1">IFERROR(__xludf.DUMMYFUNCTION("""COMPUTED_VALUE"""),"Rio de Janeiro")</f>
        <v>Rio de Janeiro</v>
      </c>
      <c r="Q446" s="27" t="str">
        <f ca="1">IFERROR(__xludf.DUMMYFUNCTION("""COMPUTED_VALUE"""),"Complexo da Maré")</f>
        <v>Complexo da Maré</v>
      </c>
      <c r="R446" s="27" t="str">
        <f ca="1">IFERROR(__xludf.DUMMYFUNCTION("""COMPUTED_VALUE"""),"21044-251")</f>
        <v>21044-251</v>
      </c>
      <c r="S446" s="27" t="str">
        <f ca="1">IFERROR(__xludf.DUMMYFUNCTION("""COMPUTED_VALUE"""),"Não há")</f>
        <v>Não há</v>
      </c>
      <c r="T446" s="27" t="str">
        <f ca="1">IFERROR(__xludf.DUMMYFUNCTION("""COMPUTED_VALUE"""),"Educação; Empregabilidade; Assistência Social; Cultura; Qualificação Profissional; Assistência Psicológica")</f>
        <v>Educação; Empregabilidade; Assistência Social; Cultura; Qualificação Profissional; Assistência Psicológica</v>
      </c>
      <c r="U446" s="27" t="str">
        <f ca="1">IFERROR(__xludf.DUMMYFUNCTION("""COMPUTED_VALUE"""),"Crianças (6 a 12 anos); Adolescentes (12 aos 18 anos); Adultos")</f>
        <v>Crianças (6 a 12 anos); Adolescentes (12 aos 18 anos); Adultos</v>
      </c>
      <c r="V446" s="27" t="str">
        <f ca="1">IFERROR(__xludf.DUMMYFUNCTION("""COMPUTED_VALUE"""),"Moradores de Favelas; Pessoas em situação de rua; Povos Indígenas; Afrodescendentes; Pessoas com Deficiência")</f>
        <v>Moradores de Favelas; Pessoas em situação de rua; Povos Indígenas; Afrodescendentes; Pessoas com Deficiência</v>
      </c>
      <c r="W446" s="27">
        <f ca="1">IFERROR(__xludf.DUMMYFUNCTION("""COMPUTED_VALUE"""),16)</f>
        <v>16</v>
      </c>
      <c r="X446" s="27" t="str">
        <f ca="1">IFERROR(__xludf.DUMMYFUNCTION("""COMPUTED_VALUE"""),"Eventualmente acontece ações em outras favelas.")</f>
        <v>Eventualmente acontece ações em outras favelas.</v>
      </c>
      <c r="Y446" s="27">
        <f ca="1">IFERROR(__xludf.DUMMYFUNCTION("""COMPUTED_VALUE"""),180)</f>
        <v>180</v>
      </c>
      <c r="Z446" s="27">
        <f ca="1">IFERROR(__xludf.DUMMYFUNCTION("""COMPUTED_VALUE"""),1250)</f>
        <v>1250</v>
      </c>
      <c r="AA446" s="30">
        <f ca="1">IFERROR(__xludf.DUMMYFUNCTION("""COMPUTED_VALUE"""),38301)</f>
        <v>38301</v>
      </c>
      <c r="AB446" s="27" t="str">
        <f ca="1">IFERROR(__xludf.DUMMYFUNCTION("""COMPUTED_VALUE"""),"Sim")</f>
        <v>Sim</v>
      </c>
      <c r="AC446" s="27">
        <f ca="1">IFERROR(__xludf.DUMMYFUNCTION("""COMPUTED_VALUE"""),20)</f>
        <v>20</v>
      </c>
      <c r="AD446" s="27">
        <f ca="1">IFERROR(__xludf.DUMMYFUNCTION("""COMPUTED_VALUE"""),10)</f>
        <v>10</v>
      </c>
      <c r="AE446" s="27">
        <f ca="1">IFERROR(__xludf.DUMMYFUNCTION("""COMPUTED_VALUE"""),0)</f>
        <v>0</v>
      </c>
      <c r="AF446" s="27">
        <f ca="1">IFERROR(__xludf.DUMMYFUNCTION("""COMPUTED_VALUE"""),0)</f>
        <v>0</v>
      </c>
      <c r="AG446" s="27">
        <f ca="1">IFERROR(__xludf.DUMMYFUNCTION("""COMPUTED_VALUE"""),1)</f>
        <v>1</v>
      </c>
      <c r="AH446" s="27" t="str">
        <f ca="1">IFERROR(__xludf.DUMMYFUNCTION("""COMPUTED_VALUE"""),"Convênio Público; Editais; Doações; Lei Rouanet")</f>
        <v>Convênio Público; Editais; Doações; Lei Rouanet</v>
      </c>
      <c r="AI446" s="27" t="str">
        <f ca="1">IFERROR(__xludf.DUMMYFUNCTION("""COMPUTED_VALUE"""),"Lei Rouanet 50%, Convênio Público 20%, Doações 20% e editais 10%.")</f>
        <v>Lei Rouanet 50%, Convênio Público 20%, Doações 20% e editais 10%.</v>
      </c>
      <c r="AJ446" s="27" t="str">
        <f ca="1">IFERROR(__xludf.DUMMYFUNCTION("""COMPUTED_VALUE"""),"Não")</f>
        <v>Não</v>
      </c>
      <c r="AK446" s="27" t="str">
        <f ca="1">IFERROR(__xludf.DUMMYFUNCTION("""COMPUTED_VALUE"""),"Não")</f>
        <v>Não</v>
      </c>
      <c r="AL446" s="21" t="str">
        <f ca="1">IFERROR(__xludf.DUMMYFUNCTION("""COMPUTED_VALUE"""),"0034P000043fPDj")</f>
        <v>0034P000043fPDj</v>
      </c>
      <c r="AM446" s="27" t="str">
        <f ca="1">IFERROR(__xludf.DUMMYFUNCTION("""COMPUTED_VALUE"""),"Carlos Dos Reis")</f>
        <v>Carlos Dos Reis</v>
      </c>
      <c r="AN446" s="27" t="str">
        <f ca="1">IFERROR(__xludf.DUMMYFUNCTION("""COMPUTED_VALUE"""),"Ativo")</f>
        <v>Ativo</v>
      </c>
      <c r="AO446" s="29">
        <f ca="1">IFERROR(__xludf.DUMMYFUNCTION("""COMPUTED_VALUE"""),44432)</f>
        <v>44432</v>
      </c>
      <c r="AP446" s="27">
        <f ca="1">IFERROR(__xludf.DUMMYFUNCTION("""COMPUTED_VALUE"""),13)</f>
        <v>13</v>
      </c>
      <c r="AQ446" s="27" t="str">
        <f ca="1">IFERROR(__xludf.DUMMYFUNCTION("""COMPUTED_VALUE"""),"Primeiro Semestre 2021")</f>
        <v>Primeiro Semestre 2021</v>
      </c>
      <c r="AR446" s="27" t="str">
        <f ca="1">IFERROR(__xludf.DUMMYFUNCTION("""COMPUTED_VALUE"""),"jcr2294@gmail.com")</f>
        <v>jcr2294@gmail.com</v>
      </c>
      <c r="AS446" s="27" t="str">
        <f ca="1">IFERROR(__xludf.DUMMYFUNCTION("""COMPUTED_VALUE"""),"2196426-1172")</f>
        <v>2196426-1172</v>
      </c>
      <c r="AT446" s="29">
        <f ca="1">IFERROR(__xludf.DUMMYFUNCTION("""COMPUTED_VALUE"""),27583)</f>
        <v>27583</v>
      </c>
      <c r="AU446" s="27">
        <f ca="1">IFERROR(__xludf.DUMMYFUNCTION("""COMPUTED_VALUE"""),47)</f>
        <v>47</v>
      </c>
      <c r="AV446" s="27">
        <f ca="1">IFERROR(__xludf.DUMMYFUNCTION("""COMPUTED_VALUE"""),4786934780)</f>
        <v>4786934780</v>
      </c>
      <c r="AW446" s="27">
        <f ca="1">IFERROR(__xludf.DUMMYFUNCTION("""COMPUTED_VALUE"""),109220079)</f>
        <v>109220079</v>
      </c>
      <c r="AX446" s="27" t="str">
        <f ca="1">IFERROR(__xludf.DUMMYFUNCTION("""COMPUTED_VALUE"""),"Bacharelado Em Administração De Empresas")</f>
        <v>Bacharelado Em Administração De Empresas</v>
      </c>
      <c r="AY446" s="27" t="str">
        <f ca="1">IFERROR(__xludf.DUMMYFUNCTION("""COMPUTED_VALUE"""),"Coodernador Adminostrativo Financeiro - Observatório de Favelas do RJ - Organização Social")</f>
        <v>Coodernador Adminostrativo Financeiro - Observatório de Favelas do RJ - Organização Social</v>
      </c>
      <c r="AZ446" s="27" t="str">
        <f ca="1">IFERROR(__xludf.DUMMYFUNCTION("""COMPUTED_VALUE"""),"XG")</f>
        <v>XG</v>
      </c>
      <c r="BA446" s="27" t="str">
        <f ca="1">IFERROR(__xludf.DUMMYFUNCTION("""COMPUTED_VALUE"""),"Parda")</f>
        <v>Parda</v>
      </c>
      <c r="BB446" s="27"/>
      <c r="BC446" s="27" t="str">
        <f ca="1">IFERROR(__xludf.DUMMYFUNCTION("""COMPUTED_VALUE"""),"Não")</f>
        <v>Não</v>
      </c>
      <c r="BD446" s="27"/>
      <c r="BE446" s="27" t="str">
        <f ca="1">IFERROR(__xludf.DUMMYFUNCTION("""COMPUTED_VALUE"""),"Feminino")</f>
        <v>Feminino</v>
      </c>
      <c r="BF446" s="27" t="str">
        <f ca="1">IFERROR(__xludf.DUMMYFUNCTION("""COMPUTED_VALUE"""),"Heterossexual")</f>
        <v>Heterossexual</v>
      </c>
      <c r="BG446" s="27"/>
      <c r="BH446" s="27"/>
      <c r="BI446" s="27" t="str">
        <f ca="1">IFERROR(__xludf.DUMMYFUNCTION("""COMPUTED_VALUE"""),"Graduação")</f>
        <v>Graduação</v>
      </c>
      <c r="BJ446" s="27"/>
      <c r="BK446" s="27" t="str">
        <f ca="1">IFERROR(__xludf.DUMMYFUNCTION("""COMPUTED_VALUE"""),"RUA CALDAS BARBOSA")</f>
        <v>RUA CALDAS BARBOSA</v>
      </c>
      <c r="BL446" s="27">
        <f ca="1">IFERROR(__xludf.DUMMYFUNCTION("""COMPUTED_VALUE"""),53)</f>
        <v>53</v>
      </c>
      <c r="BM446" s="27" t="str">
        <f ca="1">IFERROR(__xludf.DUMMYFUNCTION("""COMPUTED_VALUE"""),"casa 102")</f>
        <v>casa 102</v>
      </c>
      <c r="BN446" s="27" t="str">
        <f ca="1">IFERROR(__xludf.DUMMYFUNCTION("""COMPUTED_VALUE"""),"Rio De Janeiro")</f>
        <v>Rio De Janeiro</v>
      </c>
      <c r="BO446" s="27" t="str">
        <f ca="1">IFERROR(__xludf.DUMMYFUNCTION("""COMPUTED_VALUE"""),"20740-170")</f>
        <v>20740-170</v>
      </c>
      <c r="BP446" s="27" t="str">
        <f ca="1">IFERROR(__xludf.DUMMYFUNCTION("""COMPUTED_VALUE"""),"RJ")</f>
        <v>RJ</v>
      </c>
      <c r="BQ446" s="27" t="str">
        <f ca="1">IFERROR(__xludf.DUMMYFUNCTION("""COMPUTED_VALUE"""),"De 3 até 5 salários mínimos")</f>
        <v>De 3 até 5 salários mínimos</v>
      </c>
      <c r="BR446" s="27" t="str">
        <f ca="1">IFERROR(__xludf.DUMMYFUNCTION("""COMPUTED_VALUE"""),"CLT")</f>
        <v>CLT</v>
      </c>
      <c r="BS446" s="27" t="str">
        <f ca="1">IFERROR(__xludf.DUMMYFUNCTION("""COMPUTED_VALUE"""),"Casa própria")</f>
        <v>Casa própria</v>
      </c>
      <c r="BT446" s="27">
        <f ca="1">IFERROR(__xludf.DUMMYFUNCTION("""COMPUTED_VALUE"""),3)</f>
        <v>3</v>
      </c>
      <c r="BU446" s="27"/>
      <c r="BV446" s="27"/>
      <c r="BW446" s="21" t="str">
        <f ca="1">IFERROR(__xludf.DUMMYFUNCTION("""COMPUTED_VALUE"""),"https://www.linkedin.com/feed/")</f>
        <v>https://www.linkedin.com/feed/</v>
      </c>
      <c r="BX446" s="21" t="str">
        <f ca="1">IFERROR(__xludf.DUMMYFUNCTION("""COMPUTED_VALUE"""),"https://www.instagram.com/andre2294/")</f>
        <v>https://www.instagram.com/andre2294/</v>
      </c>
      <c r="BY446" s="21" t="str">
        <f ca="1">IFERROR(__xludf.DUMMYFUNCTION("""COMPUTED_VALUE"""),"https://drive.google.com/open?id=1vlNrTAXCkRIb0hnx_m2iKgGvGQYF3_P4")</f>
        <v>https://drive.google.com/open?id=1vlNrTAXCkRIb0hnx_m2iKgGvGQYF3_P4</v>
      </c>
    </row>
    <row r="447" spans="1:77" ht="12.5" x14ac:dyDescent="0.25">
      <c r="A447" s="21" t="str">
        <f ca="1">IFERROR(__xludf.DUMMYFUNCTION("""COMPUTED_VALUE"""),"0014P00003SGWPeQAP")</f>
        <v>0014P00003SGWPeQAP</v>
      </c>
      <c r="B447" s="27" t="str">
        <f ca="1">IFERROR(__xludf.DUMMYFUNCTION("""COMPUTED_VALUE"""),"Fase Inicial")</f>
        <v>Fase Inicial</v>
      </c>
      <c r="C447" s="27" t="str">
        <f ca="1">IFERROR(__xludf.DUMMYFUNCTION("""COMPUTED_VALUE"""),"Fellow")</f>
        <v>Fellow</v>
      </c>
      <c r="D447" s="27" t="str">
        <f ca="1">IFERROR(__xludf.DUMMYFUNCTION("""COMPUTED_VALUE"""),"Ativo")</f>
        <v>Ativo</v>
      </c>
      <c r="E447" s="27" t="str">
        <f ca="1">IFERROR(__xludf.DUMMYFUNCTION("""COMPUTED_VALUE"""),"INSTITUTO VIDAS PELO FUTURO")</f>
        <v>INSTITUTO VIDAS PELO FUTURO</v>
      </c>
      <c r="F447" s="27" t="str">
        <f ca="1">IFERROR(__xludf.DUMMYFUNCTION("""COMPUTED_VALUE"""),"Fernanda")</f>
        <v>Fernanda</v>
      </c>
      <c r="G447" s="27" t="str">
        <f ca="1">IFERROR(__xludf.DUMMYFUNCTION("""COMPUTED_VALUE"""),"VIDAS PELO FUTURO")</f>
        <v>VIDAS PELO FUTURO</v>
      </c>
      <c r="H447" s="27" t="str">
        <f ca="1">IFERROR(__xludf.DUMMYFUNCTION("""COMPUTED_VALUE"""),"40.483.172/0001-88")</f>
        <v>40.483.172/0001-88</v>
      </c>
      <c r="I447" s="27" t="str">
        <f ca="1">IFERROR(__xludf.DUMMYFUNCTION("""COMPUTED_VALUE"""),"Fernanda Bento Gomes Da Silva")</f>
        <v>Fernanda Bento Gomes Da Silva</v>
      </c>
      <c r="J447" s="27" t="str">
        <f ca="1">IFERROR(__xludf.DUMMYFUNCTION("""COMPUTED_VALUE"""),"institutovidaspelofuturo@gmail.com")</f>
        <v>institutovidaspelofuturo@gmail.com</v>
      </c>
      <c r="K447" s="27" t="str">
        <f ca="1">IFERROR(__xludf.DUMMYFUNCTION("""COMPUTED_VALUE"""),"(11)93458-8230")</f>
        <v>(11)93458-8230</v>
      </c>
      <c r="L447" s="27" t="str">
        <f ca="1">IFERROR(__xludf.DUMMYFUNCTION("""COMPUTED_VALUE"""),"SP")</f>
        <v>SP</v>
      </c>
      <c r="M447" s="27" t="str">
        <f ca="1">IFERROR(__xludf.DUMMYFUNCTION("""COMPUTED_VALUE"""),"Av Ernesto Souza Cruz")</f>
        <v>Av Ernesto Souza Cruz</v>
      </c>
      <c r="N447" s="27" t="str">
        <f ca="1">IFERROR(__xludf.DUMMYFUNCTION("""COMPUTED_VALUE"""),"Cid AE Carvalho")</f>
        <v>Cid AE Carvalho</v>
      </c>
      <c r="O447" s="27" t="str">
        <f ca="1">IFERROR(__xludf.DUMMYFUNCTION("""COMPUTED_VALUE"""),"(11)93458-8230")</f>
        <v>(11)93458-8230</v>
      </c>
      <c r="P447" s="27" t="str">
        <f ca="1">IFERROR(__xludf.DUMMYFUNCTION("""COMPUTED_VALUE"""),"São Paulo")</f>
        <v>São Paulo</v>
      </c>
      <c r="Q447" s="27" t="str">
        <f ca="1">IFERROR(__xludf.DUMMYFUNCTION("""COMPUTED_VALUE"""),"CJ 7")</f>
        <v>CJ 7</v>
      </c>
      <c r="R447" s="27" t="str">
        <f ca="1">IFERROR(__xludf.DUMMYFUNCTION("""COMPUTED_VALUE"""),"08235-500")</f>
        <v>08235-500</v>
      </c>
      <c r="S447" s="27"/>
      <c r="T447" s="27" t="str">
        <f ca="1">IFERROR(__xludf.DUMMYFUNCTION("""COMPUTED_VALUE"""),"Educação; Assistência Social; Assistência Psicológica; Desenvolvimento comunitário")</f>
        <v>Educação; Assistência Social; Assistência Psicológica; Desenvolvimento comunitário</v>
      </c>
      <c r="U447" s="27" t="str">
        <f ca="1">IFERROR(__xludf.DUMMYFUNCTION("""COMPUTED_VALUE"""),"Crianças (6 a 12 anos); Adultos")</f>
        <v>Crianças (6 a 12 anos); Adultos</v>
      </c>
      <c r="V447" s="27" t="str">
        <f ca="1">IFERROR(__xludf.DUMMYFUNCTION("""COMPUTED_VALUE"""),"Moradores de Favelas; Afrodescendentes; Imigrantes")</f>
        <v>Moradores de Favelas; Afrodescendentes; Imigrantes</v>
      </c>
      <c r="W447" s="27">
        <f ca="1">IFERROR(__xludf.DUMMYFUNCTION("""COMPUTED_VALUE"""),4)</f>
        <v>4</v>
      </c>
      <c r="X447" s="27" t="str">
        <f ca="1">IFERROR(__xludf.DUMMYFUNCTION("""COMPUTED_VALUE"""),"Mulheres vítimas de violência doméstica")</f>
        <v>Mulheres vítimas de violência doméstica</v>
      </c>
      <c r="Y447" s="27">
        <f ca="1">IFERROR(__xludf.DUMMYFUNCTION("""COMPUTED_VALUE"""),120)</f>
        <v>120</v>
      </c>
      <c r="Z447" s="27">
        <f ca="1">IFERROR(__xludf.DUMMYFUNCTION("""COMPUTED_VALUE"""),3200)</f>
        <v>3200</v>
      </c>
      <c r="AA447" s="29">
        <f ca="1">IFERROR(__xludf.DUMMYFUNCTION("""COMPUTED_VALUE"""),44032)</f>
        <v>44032</v>
      </c>
      <c r="AB447" s="27" t="str">
        <f ca="1">IFERROR(__xludf.DUMMYFUNCTION("""COMPUTED_VALUE"""),"Sim")</f>
        <v>Sim</v>
      </c>
      <c r="AC447" s="27">
        <f ca="1">IFERROR(__xludf.DUMMYFUNCTION("""COMPUTED_VALUE"""),0)</f>
        <v>0</v>
      </c>
      <c r="AD447" s="27">
        <f ca="1">IFERROR(__xludf.DUMMYFUNCTION("""COMPUTED_VALUE"""),0)</f>
        <v>0</v>
      </c>
      <c r="AE447" s="27">
        <f ca="1">IFERROR(__xludf.DUMMYFUNCTION("""COMPUTED_VALUE"""),8)</f>
        <v>8</v>
      </c>
      <c r="AF447" s="27">
        <f ca="1">IFERROR(__xludf.DUMMYFUNCTION("""COMPUTED_VALUE"""),12)</f>
        <v>12</v>
      </c>
      <c r="AG447" s="27">
        <f ca="1">IFERROR(__xludf.DUMMYFUNCTION("""COMPUTED_VALUE"""),1)</f>
        <v>1</v>
      </c>
      <c r="AH447" s="27" t="str">
        <f ca="1">IFERROR(__xludf.DUMMYFUNCTION("""COMPUTED_VALUE"""),"Doações")</f>
        <v>Doações</v>
      </c>
      <c r="AI447" s="27">
        <f ca="1">IFERROR(__xludf.DUMMYFUNCTION("""COMPUTED_VALUE"""),0)</f>
        <v>0</v>
      </c>
      <c r="AJ447" s="27" t="str">
        <f ca="1">IFERROR(__xludf.DUMMYFUNCTION("""COMPUTED_VALUE"""),"Não")</f>
        <v>Não</v>
      </c>
      <c r="AK447" s="27" t="str">
        <f ca="1">IFERROR(__xludf.DUMMYFUNCTION("""COMPUTED_VALUE"""),"Não")</f>
        <v>Não</v>
      </c>
      <c r="AL447" s="21" t="str">
        <f ca="1">IFERROR(__xludf.DUMMYFUNCTION("""COMPUTED_VALUE"""),"0034P000043fOnl")</f>
        <v>0034P000043fOnl</v>
      </c>
      <c r="AM447" s="27" t="str">
        <f ca="1">IFERROR(__xludf.DUMMYFUNCTION("""COMPUTED_VALUE"""),"Bento Gomes Da Silva")</f>
        <v>Bento Gomes Da Silva</v>
      </c>
      <c r="AN447" s="27" t="str">
        <f ca="1">IFERROR(__xludf.DUMMYFUNCTION("""COMPUTED_VALUE"""),"Ativo")</f>
        <v>Ativo</v>
      </c>
      <c r="AO447" s="29">
        <f ca="1">IFERROR(__xludf.DUMMYFUNCTION("""COMPUTED_VALUE"""),44432)</f>
        <v>44432</v>
      </c>
      <c r="AP447" s="27">
        <f ca="1">IFERROR(__xludf.DUMMYFUNCTION("""COMPUTED_VALUE"""),13)</f>
        <v>13</v>
      </c>
      <c r="AQ447" s="27" t="str">
        <f ca="1">IFERROR(__xludf.DUMMYFUNCTION("""COMPUTED_VALUE"""),"Primeiro Semestre 2021")</f>
        <v>Primeiro Semestre 2021</v>
      </c>
      <c r="AR447" s="27" t="str">
        <f ca="1">IFERROR(__xludf.DUMMYFUNCTION("""COMPUTED_VALUE"""),"fefabensilva@gmail.com")</f>
        <v>fefabensilva@gmail.com</v>
      </c>
      <c r="AS447" s="27" t="str">
        <f ca="1">IFERROR(__xludf.DUMMYFUNCTION("""COMPUTED_VALUE"""),"(11)93458-8230")</f>
        <v>(11)93458-8230</v>
      </c>
      <c r="AT447" s="29">
        <f ca="1">IFERROR(__xludf.DUMMYFUNCTION("""COMPUTED_VALUE"""),28969)</f>
        <v>28969</v>
      </c>
      <c r="AU447" s="27">
        <f ca="1">IFERROR(__xludf.DUMMYFUNCTION("""COMPUTED_VALUE"""),43)</f>
        <v>43</v>
      </c>
      <c r="AV447" s="27">
        <f ca="1">IFERROR(__xludf.DUMMYFUNCTION("""COMPUTED_VALUE"""),27643928851)</f>
        <v>27643928851</v>
      </c>
      <c r="AW447" s="27">
        <f ca="1">IFERROR(__xludf.DUMMYFUNCTION("""COMPUTED_VALUE"""),286213400)</f>
        <v>286213400</v>
      </c>
      <c r="AX447" s="27" t="str">
        <f ca="1">IFERROR(__xludf.DUMMYFUNCTION("""COMPUTED_VALUE"""),"Ciências Contábeis")</f>
        <v>Ciências Contábeis</v>
      </c>
      <c r="AY447" s="27"/>
      <c r="AZ447" s="27" t="str">
        <f ca="1">IFERROR(__xludf.DUMMYFUNCTION("""COMPUTED_VALUE"""),"GG")</f>
        <v>GG</v>
      </c>
      <c r="BA447" s="27" t="str">
        <f ca="1">IFERROR(__xludf.DUMMYFUNCTION("""COMPUTED_VALUE"""),"Preta")</f>
        <v>Preta</v>
      </c>
      <c r="BB447" s="27"/>
      <c r="BC447" s="27" t="str">
        <f ca="1">IFERROR(__xludf.DUMMYFUNCTION("""COMPUTED_VALUE"""),"Sim")</f>
        <v>Sim</v>
      </c>
      <c r="BD447" s="27" t="str">
        <f ca="1">IFERROR(__xludf.DUMMYFUNCTION("""COMPUTED_VALUE"""),"Sou uma mulher que luta para que outras se tornem protagonistas da sua própria estoria")</f>
        <v>Sou uma mulher que luta para que outras se tornem protagonistas da sua própria estoria</v>
      </c>
      <c r="BE447" s="27" t="str">
        <f ca="1">IFERROR(__xludf.DUMMYFUNCTION("""COMPUTED_VALUE"""),"Masculino")</f>
        <v>Masculino</v>
      </c>
      <c r="BF447" s="27" t="str">
        <f ca="1">IFERROR(__xludf.DUMMYFUNCTION("""COMPUTED_VALUE"""),"Heterossexual")</f>
        <v>Heterossexual</v>
      </c>
      <c r="BG447" s="27" t="str">
        <f ca="1">IFERROR(__xludf.DUMMYFUNCTION("""COMPUTED_VALUE"""),"Ensino Superior - Completo")</f>
        <v>Ensino Superior - Completo</v>
      </c>
      <c r="BH447" s="27"/>
      <c r="BI447" s="27" t="str">
        <f ca="1">IFERROR(__xludf.DUMMYFUNCTION("""COMPUTED_VALUE"""),"Graduação")</f>
        <v>Graduação</v>
      </c>
      <c r="BJ447" s="27" t="str">
        <f ca="1">IFERROR(__xludf.DUMMYFUNCTION("""COMPUTED_VALUE"""),"Privado")</f>
        <v>Privado</v>
      </c>
      <c r="BK447" s="27" t="str">
        <f ca="1">IFERROR(__xludf.DUMMYFUNCTION("""COMPUTED_VALUE"""),"Rua Harry Dannnenberg")</f>
        <v>Rua Harry Dannnenberg</v>
      </c>
      <c r="BL447" s="27">
        <f ca="1">IFERROR(__xludf.DUMMYFUNCTION("""COMPUTED_VALUE"""),698)</f>
        <v>698</v>
      </c>
      <c r="BM447" s="27" t="str">
        <f ca="1">IFERROR(__xludf.DUMMYFUNCTION("""COMPUTED_VALUE"""),"8 andar")</f>
        <v>8 andar</v>
      </c>
      <c r="BN447" s="27" t="str">
        <f ca="1">IFERROR(__xludf.DUMMYFUNCTION("""COMPUTED_VALUE"""),"São Paulo")</f>
        <v>São Paulo</v>
      </c>
      <c r="BO447" s="27" t="str">
        <f ca="1">IFERROR(__xludf.DUMMYFUNCTION("""COMPUTED_VALUE"""),"08270-010")</f>
        <v>08270-010</v>
      </c>
      <c r="BP447" s="27" t="str">
        <f ca="1">IFERROR(__xludf.DUMMYFUNCTION("""COMPUTED_VALUE"""),"SP")</f>
        <v>SP</v>
      </c>
      <c r="BQ447" s="27" t="str">
        <f ca="1">IFERROR(__xludf.DUMMYFUNCTION("""COMPUTED_VALUE"""),"Entre 1 até 3 salários mínimos")</f>
        <v>Entre 1 até 3 salários mínimos</v>
      </c>
      <c r="BR447" s="27" t="str">
        <f ca="1">IFERROR(__xludf.DUMMYFUNCTION("""COMPUTED_VALUE"""),"Trabalho informal; Desempregado")</f>
        <v>Trabalho informal; Desempregado</v>
      </c>
      <c r="BS447" s="27" t="str">
        <f ca="1">IFERROR(__xludf.DUMMYFUNCTION("""COMPUTED_VALUE"""),"Ocupação/Invasão")</f>
        <v>Ocupação/Invasão</v>
      </c>
      <c r="BT447" s="27">
        <f ca="1">IFERROR(__xludf.DUMMYFUNCTION("""COMPUTED_VALUE"""),7)</f>
        <v>7</v>
      </c>
      <c r="BU447" s="27"/>
      <c r="BV447" s="27"/>
      <c r="BW447" s="21" t="str">
        <f ca="1">IFERROR(__xludf.DUMMYFUNCTION("""COMPUTED_VALUE"""),"https://www.linkedin.com/in/fernanda-bento-silva-82b93816a")</f>
        <v>https://www.linkedin.com/in/fernanda-bento-silva-82b93816a</v>
      </c>
      <c r="BX447" s="27" t="str">
        <f ca="1">IFERROR(__xludf.DUMMYFUNCTION("""COMPUTED_VALUE"""),"@fernanda.bento003")</f>
        <v>@fernanda.bento003</v>
      </c>
      <c r="BY447" s="21" t="str">
        <f ca="1">IFERROR(__xludf.DUMMYFUNCTION("""COMPUTED_VALUE"""),"https://drive.google.com/open?id=1BM8TrrQ7mXDV6Qh3bkAdy6v2fGHLqCYw")</f>
        <v>https://drive.google.com/open?id=1BM8TrrQ7mXDV6Qh3bkAdy6v2fGHLqCYw</v>
      </c>
    </row>
    <row r="448" spans="1:77" ht="12.5" x14ac:dyDescent="0.25">
      <c r="A448" s="21" t="str">
        <f ca="1">IFERROR(__xludf.DUMMYFUNCTION("""COMPUTED_VALUE"""),"0014P00003YSpAIQA1")</f>
        <v>0014P00003YSpAIQA1</v>
      </c>
      <c r="B448" s="27" t="str">
        <f ca="1">IFERROR(__xludf.DUMMYFUNCTION("""COMPUTED_VALUE"""),"Fase Inicial")</f>
        <v>Fase Inicial</v>
      </c>
      <c r="C448" s="27" t="str">
        <f ca="1">IFERROR(__xludf.DUMMYFUNCTION("""COMPUTED_VALUE"""),"Fellow")</f>
        <v>Fellow</v>
      </c>
      <c r="D448" s="27" t="str">
        <f ca="1">IFERROR(__xludf.DUMMYFUNCTION("""COMPUTED_VALUE"""),"Ativo")</f>
        <v>Ativo</v>
      </c>
      <c r="E448" s="27" t="str">
        <f ca="1">IFERROR(__xludf.DUMMYFUNCTION("""COMPUTED_VALUE"""),"Instituto Zoe de Muriaé")</f>
        <v>Instituto Zoe de Muriaé</v>
      </c>
      <c r="F448" s="27" t="str">
        <f ca="1">IFERROR(__xludf.DUMMYFUNCTION("""COMPUTED_VALUE"""),"Marisa")</f>
        <v>Marisa</v>
      </c>
      <c r="G448" s="27" t="str">
        <f ca="1">IFERROR(__xludf.DUMMYFUNCTION("""COMPUTED_VALUE"""),"ZOE")</f>
        <v>ZOE</v>
      </c>
      <c r="H448" s="27" t="str">
        <f ca="1">IFERROR(__xludf.DUMMYFUNCTION("""COMPUTED_VALUE"""),"43.684.002/0001-50")</f>
        <v>43.684.002/0001-50</v>
      </c>
      <c r="I448" s="27" t="str">
        <f ca="1">IFERROR(__xludf.DUMMYFUNCTION("""COMPUTED_VALUE"""),"MARISA VIEIRA DE LIMA GOMES")</f>
        <v>MARISA VIEIRA DE LIMA GOMES</v>
      </c>
      <c r="J448" s="27" t="str">
        <f ca="1">IFERROR(__xludf.DUMMYFUNCTION("""COMPUTED_VALUE"""),"institutozoedemuriae@gmail.com")</f>
        <v>institutozoedemuriae@gmail.com</v>
      </c>
      <c r="K448" s="27" t="str">
        <f ca="1">IFERROR(__xludf.DUMMYFUNCTION("""COMPUTED_VALUE"""),"(32)99818-6615")</f>
        <v>(32)99818-6615</v>
      </c>
      <c r="L448" s="27" t="str">
        <f ca="1">IFERROR(__xludf.DUMMYFUNCTION("""COMPUTED_VALUE"""),"MG")</f>
        <v>MG</v>
      </c>
      <c r="M448" s="27" t="str">
        <f ca="1">IFERROR(__xludf.DUMMYFUNCTION("""COMPUTED_VALUE"""),"Rua Augusta Da Silva")</f>
        <v>Rua Augusta Da Silva</v>
      </c>
      <c r="N448" s="27" t="str">
        <f ca="1">IFERROR(__xludf.DUMMYFUNCTION("""COMPUTED_VALUE"""),"Barra")</f>
        <v>Barra</v>
      </c>
      <c r="O448" s="27">
        <f ca="1">IFERROR(__xludf.DUMMYFUNCTION("""COMPUTED_VALUE"""),764)</f>
        <v>764</v>
      </c>
      <c r="P448" s="27" t="str">
        <f ca="1">IFERROR(__xludf.DUMMYFUNCTION("""COMPUTED_VALUE"""),"MURIAÉ")</f>
        <v>MURIAÉ</v>
      </c>
      <c r="Q448" s="27"/>
      <c r="R448" s="27" t="str">
        <f ca="1">IFERROR(__xludf.DUMMYFUNCTION("""COMPUTED_VALUE"""),"36886-023")</f>
        <v>36886-023</v>
      </c>
      <c r="S448" s="27"/>
      <c r="T448" s="27" t="str">
        <f ca="1">IFERROR(__xludf.DUMMYFUNCTION("""COMPUTED_VALUE"""),"Esporte; Educação; Assistência Social; Cultura; Qualificação Profissional; Empreendedorismo; Empoderamento Feminino; Negócios Sociais; Ciência e Tecnologia; Defesa de Direitos; Comunicação; Assistência Psicológica; Desenvolvimento comunitário")</f>
        <v>Esporte; Educação; Assistência Social; Cultura; Qualificação Profissional; Empreendedorismo; Empoderamento Feminino; Negócios Sociais; Ciência e Tecnologia; Defesa de Direitos; Comunicação; Assistência Psicológica; Desenvolvimento comunitário</v>
      </c>
      <c r="U448" s="27" t="str">
        <f ca="1">IFERROR(__xludf.DUMMYFUNCTION("""COMPUTED_VALUE"""),"Crianças (6 a 12 anos); Adolescentes (12 aos 18 anos); Jovens (18 aos 24 anos); Adultos")</f>
        <v>Crianças (6 a 12 anos); Adolescentes (12 aos 18 anos); Jovens (18 aos 24 anos); Adultos</v>
      </c>
      <c r="V448" s="27" t="str">
        <f ca="1">IFERROR(__xludf.DUMMYFUNCTION("""COMPUTED_VALUE"""),"Moradores de Favelas; Afrodescendentes")</f>
        <v>Moradores de Favelas; Afrodescendentes</v>
      </c>
      <c r="W448" s="27">
        <f ca="1">IFERROR(__xludf.DUMMYFUNCTION("""COMPUTED_VALUE"""),8)</f>
        <v>8</v>
      </c>
      <c r="X448" s="27" t="str">
        <f ca="1">IFERROR(__xludf.DUMMYFUNCTION("""COMPUTED_VALUE"""),"São atendidos outros bairros da cidade que não são considerados favela. Santana Porto Dornelas Planalto João XXlll inconfidência São Pedro Safira cerâmica.")</f>
        <v>São atendidos outros bairros da cidade que não são considerados favela. Santana Porto Dornelas Planalto João XXlll inconfidência São Pedro Safira cerâmica.</v>
      </c>
      <c r="Y448" s="27"/>
      <c r="Z448" s="27">
        <f ca="1">IFERROR(__xludf.DUMMYFUNCTION("""COMPUTED_VALUE"""),1100)</f>
        <v>1100</v>
      </c>
      <c r="AA448" s="29">
        <f ca="1">IFERROR(__xludf.DUMMYFUNCTION("""COMPUTED_VALUE"""),44467)</f>
        <v>44467</v>
      </c>
      <c r="AB448" s="27" t="str">
        <f ca="1">IFERROR(__xludf.DUMMYFUNCTION("""COMPUTED_VALUE"""),"Não")</f>
        <v>Não</v>
      </c>
      <c r="AC448" s="27">
        <f ca="1">IFERROR(__xludf.DUMMYFUNCTION("""COMPUTED_VALUE"""),0)</f>
        <v>0</v>
      </c>
      <c r="AD448" s="27">
        <f ca="1">IFERROR(__xludf.DUMMYFUNCTION("""COMPUTED_VALUE"""),0)</f>
        <v>0</v>
      </c>
      <c r="AE448" s="27">
        <f ca="1">IFERROR(__xludf.DUMMYFUNCTION("""COMPUTED_VALUE"""),9)</f>
        <v>9</v>
      </c>
      <c r="AF448" s="27">
        <f ca="1">IFERROR(__xludf.DUMMYFUNCTION("""COMPUTED_VALUE"""),9)</f>
        <v>9</v>
      </c>
      <c r="AG448" s="27">
        <f ca="1">IFERROR(__xludf.DUMMYFUNCTION("""COMPUTED_VALUE"""),4)</f>
        <v>4</v>
      </c>
      <c r="AH448" s="27" t="str">
        <f ca="1">IFERROR(__xludf.DUMMYFUNCTION("""COMPUTED_VALUE"""),"Eventos/Ações para captação; Parceria iniciativa privada; Doações")</f>
        <v>Eventos/Ações para captação; Parceria iniciativa privada; Doações</v>
      </c>
      <c r="AI448" s="27" t="str">
        <f ca="1">IFERROR(__xludf.DUMMYFUNCTION("""COMPUTED_VALUE"""),"40% parceria iniciativa privada 40%doações  20%Eventos/Ações para captação")</f>
        <v>40% parceria iniciativa privada 40%doações  20%Eventos/Ações para captação</v>
      </c>
      <c r="AJ448" s="27"/>
      <c r="AK448" s="27"/>
      <c r="AL448" s="21" t="str">
        <f ca="1">IFERROR(__xludf.DUMMYFUNCTION("""COMPUTED_VALUE"""),"0034P000045kxku")</f>
        <v>0034P000045kxku</v>
      </c>
      <c r="AM448" s="27" t="str">
        <f ca="1">IFERROR(__xludf.DUMMYFUNCTION("""COMPUTED_VALUE"""),"Vieira De Lima Gomes")</f>
        <v>Vieira De Lima Gomes</v>
      </c>
      <c r="AN448" s="27" t="str">
        <f ca="1">IFERROR(__xludf.DUMMYFUNCTION("""COMPUTED_VALUE"""),"Ativo")</f>
        <v>Ativo</v>
      </c>
      <c r="AO448" s="30">
        <f ca="1">IFERROR(__xludf.DUMMYFUNCTION("""COMPUTED_VALUE"""),44551)</f>
        <v>44551</v>
      </c>
      <c r="AP448" s="27">
        <f ca="1">IFERROR(__xludf.DUMMYFUNCTION("""COMPUTED_VALUE"""),9)</f>
        <v>9</v>
      </c>
      <c r="AQ448" s="27" t="str">
        <f ca="1">IFERROR(__xludf.DUMMYFUNCTION("""COMPUTED_VALUE"""),"Segundo Semestre 2021")</f>
        <v>Segundo Semestre 2021</v>
      </c>
      <c r="AR448" s="27" t="str">
        <f ca="1">IFERROR(__xludf.DUMMYFUNCTION("""COMPUTED_VALUE"""),"marisalimacanta@gmail.com")</f>
        <v>marisalimacanta@gmail.com</v>
      </c>
      <c r="AS448" s="27" t="str">
        <f ca="1">IFERROR(__xludf.DUMMYFUNCTION("""COMPUTED_VALUE"""),"(32)99818-6615")</f>
        <v>(32)99818-6615</v>
      </c>
      <c r="AT448" s="29">
        <f ca="1">IFERROR(__xludf.DUMMYFUNCTION("""COMPUTED_VALUE"""),28762)</f>
        <v>28762</v>
      </c>
      <c r="AU448" s="27">
        <f ca="1">IFERROR(__xludf.DUMMYFUNCTION("""COMPUTED_VALUE"""),44)</f>
        <v>44</v>
      </c>
      <c r="AV448" s="27">
        <f ca="1">IFERROR(__xludf.DUMMYFUNCTION("""COMPUTED_VALUE"""),3982115663)</f>
        <v>3982115663</v>
      </c>
      <c r="AW448" s="27">
        <f ca="1">IFERROR(__xludf.DUMMYFUNCTION("""COMPUTED_VALUE"""),11230165)</f>
        <v>11230165</v>
      </c>
      <c r="AX448" s="27"/>
      <c r="AY448" s="27"/>
      <c r="AZ448" s="27" t="str">
        <f ca="1">IFERROR(__xludf.DUMMYFUNCTION("""COMPUTED_VALUE"""),"G")</f>
        <v>G</v>
      </c>
      <c r="BA448" s="27" t="str">
        <f ca="1">IFERROR(__xludf.DUMMYFUNCTION("""COMPUTED_VALUE"""),"Branca")</f>
        <v>Branca</v>
      </c>
      <c r="BB448" s="27" t="str">
        <f ca="1">IFERROR(__xludf.DUMMYFUNCTION("""COMPUTED_VALUE"""),"Mulher, cisgênero")</f>
        <v>Mulher, cisgênero</v>
      </c>
      <c r="BC448" s="27" t="str">
        <f ca="1">IFERROR(__xludf.DUMMYFUNCTION("""COMPUTED_VALUE"""),"Não")</f>
        <v>Não</v>
      </c>
      <c r="BD448" s="27" t="str">
        <f ca="1">IFERROR(__xludf.DUMMYFUNCTION("""COMPUTED_VALUE"""),"Nasci em 29/09/1978, mais velha de 4 irmãos. Venho de uma família muito humilde, que  venceu muita dificuldade pra sobreviver. Fui privada dos estudos muito cedo, contra minha vontade, com 11 anos já trabalhava para ajudar em casa.  me casei há 23 anos,  "&amp;"dois filhos, Thiago Melke de 21 anos, e Gustavo Beni de 15.
Sempre acreditei na educação como poder transformador, em meio as dificuldades terminei meus estudos, sou professora efetiva e vi no Instituto Zoe a oportunidade de  transformar vidas.")</f>
        <v>Nasci em 29/09/1978, mais velha de 4 irmãos. Venho de uma família muito humilde, que  venceu muita dificuldade pra sobreviver. Fui privada dos estudos muito cedo, contra minha vontade, com 11 anos já trabalhava para ajudar em casa.  me casei há 23 anos,  dois filhos, Thiago Melke de 21 anos, e Gustavo Beni de 15.
Sempre acreditei na educação como poder transformador, em meio as dificuldades terminei meus estudos, sou professora efetiva e vi no Instituto Zoe a oportunidade de  transformar vidas.</v>
      </c>
      <c r="BE448" s="27"/>
      <c r="BF448" s="27" t="str">
        <f ca="1">IFERROR(__xludf.DUMMYFUNCTION("""COMPUTED_VALUE"""),"Heterossexual")</f>
        <v>Heterossexual</v>
      </c>
      <c r="BG448" s="27" t="str">
        <f ca="1">IFERROR(__xludf.DUMMYFUNCTION("""COMPUTED_VALUE"""),"Ensino Superior - Completo")</f>
        <v>Ensino Superior - Completo</v>
      </c>
      <c r="BH448" s="27" t="str">
        <f ca="1">IFERROR(__xludf.DUMMYFUNCTION("""COMPUTED_VALUE"""),"Público")</f>
        <v>Público</v>
      </c>
      <c r="BI448" s="27" t="str">
        <f ca="1">IFERROR(__xludf.DUMMYFUNCTION("""COMPUTED_VALUE"""),"Pós-Graduação")</f>
        <v>Pós-Graduação</v>
      </c>
      <c r="BJ448" s="27" t="str">
        <f ca="1">IFERROR(__xludf.DUMMYFUNCTION("""COMPUTED_VALUE"""),"Privado")</f>
        <v>Privado</v>
      </c>
      <c r="BK448" s="27" t="str">
        <f ca="1">IFERROR(__xludf.DUMMYFUNCTION("""COMPUTED_VALUE"""),"AURELIANO GOMES")</f>
        <v>AURELIANO GOMES</v>
      </c>
      <c r="BL448" s="27">
        <f ca="1">IFERROR(__xludf.DUMMYFUNCTION("""COMPUTED_VALUE"""),8)</f>
        <v>8</v>
      </c>
      <c r="BM448" s="27" t="str">
        <f ca="1">IFERROR(__xludf.DUMMYFUNCTION("""COMPUTED_VALUE"""),"2º ANDAR")</f>
        <v>2º ANDAR</v>
      </c>
      <c r="BN448" s="27" t="str">
        <f ca="1">IFERROR(__xludf.DUMMYFUNCTION("""COMPUTED_VALUE"""),"MURIAÉ")</f>
        <v>MURIAÉ</v>
      </c>
      <c r="BO448" s="27" t="str">
        <f ca="1">IFERROR(__xludf.DUMMYFUNCTION("""COMPUTED_VALUE"""),"36887-137")</f>
        <v>36887-137</v>
      </c>
      <c r="BP448" s="27" t="str">
        <f ca="1">IFERROR(__xludf.DUMMYFUNCTION("""COMPUTED_VALUE"""),"MG")</f>
        <v>MG</v>
      </c>
      <c r="BQ448" s="27" t="str">
        <f ca="1">IFERROR(__xludf.DUMMYFUNCTION("""COMPUTED_VALUE"""),"De 3 até 5 salários mínimos")</f>
        <v>De 3 até 5 salários mínimos</v>
      </c>
      <c r="BR448" s="27" t="str">
        <f ca="1">IFERROR(__xludf.DUMMYFUNCTION("""COMPUTED_VALUE"""),"MEI; Funcionário Público")</f>
        <v>MEI; Funcionário Público</v>
      </c>
      <c r="BS448" s="27" t="str">
        <f ca="1">IFERROR(__xludf.DUMMYFUNCTION("""COMPUTED_VALUE"""),"Casa própria")</f>
        <v>Casa própria</v>
      </c>
      <c r="BT448" s="27">
        <f ca="1">IFERROR(__xludf.DUMMYFUNCTION("""COMPUTED_VALUE"""),4)</f>
        <v>4</v>
      </c>
      <c r="BU448" s="27" t="str">
        <f ca="1">IFERROR(__xludf.DUMMYFUNCTION("""COMPUTED_VALUE"""),"Não tem")</f>
        <v>Não tem</v>
      </c>
      <c r="BV448" s="27"/>
      <c r="BW448" s="21" t="str">
        <f ca="1">IFERROR(__xludf.DUMMYFUNCTION("""COMPUTED_VALUE"""),"https://www.linkedin.com/in/per-marisa-limaoficial")</f>
        <v>https://www.linkedin.com/in/per-marisa-limaoficial</v>
      </c>
      <c r="BX448" s="21" t="str">
        <f ca="1">IFERROR(__xludf.DUMMYFUNCTION("""COMPUTED_VALUE"""),"https://instagram.com/marisalimalight?utm_medium=copy_link")</f>
        <v>https://instagram.com/marisalimalight?utm_medium=copy_link</v>
      </c>
      <c r="BY448" s="21" t="str">
        <f ca="1">IFERROR(__xludf.DUMMYFUNCTION("""COMPUTED_VALUE"""),"https://drive.google.com/open?id=1T0NcV3efBT3pztjch7zZZ2AcPYK8xNht")</f>
        <v>https://drive.google.com/open?id=1T0NcV3efBT3pztjch7zZZ2AcPYK8xNht</v>
      </c>
    </row>
    <row r="449" spans="1:77" ht="12.5" x14ac:dyDescent="0.25">
      <c r="A449" s="21" t="str">
        <f ca="1">IFERROR(__xludf.DUMMYFUNCTION("""COMPUTED_VALUE"""),"0014P00003YSp8dQAD")</f>
        <v>0014P00003YSp8dQAD</v>
      </c>
      <c r="B449" s="27" t="str">
        <f ca="1">IFERROR(__xludf.DUMMYFUNCTION("""COMPUTED_VALUE"""),"Fase Inicial")</f>
        <v>Fase Inicial</v>
      </c>
      <c r="C449" s="27" t="str">
        <f ca="1">IFERROR(__xludf.DUMMYFUNCTION("""COMPUTED_VALUE"""),"Fellow")</f>
        <v>Fellow</v>
      </c>
      <c r="D449" s="27" t="str">
        <f ca="1">IFERROR(__xludf.DUMMYFUNCTION("""COMPUTED_VALUE"""),"Ativo")</f>
        <v>Ativo</v>
      </c>
      <c r="E449" s="27" t="str">
        <f ca="1">IFERROR(__xludf.DUMMYFUNCTION("""COMPUTED_VALUE"""),"Instututo cultural e social colorado")</f>
        <v>Instututo cultural e social colorado</v>
      </c>
      <c r="F449" s="27" t="str">
        <f ca="1">IFERROR(__xludf.DUMMYFUNCTION("""COMPUTED_VALUE"""),"Maria")</f>
        <v>Maria</v>
      </c>
      <c r="G449" s="27"/>
      <c r="H449" s="27"/>
      <c r="I449" s="27" t="str">
        <f ca="1">IFERROR(__xludf.DUMMYFUNCTION("""COMPUTED_VALUE"""),"Maria Tânia Alves Dos Santos")</f>
        <v>Maria Tânia Alves Dos Santos</v>
      </c>
      <c r="J449" s="27" t="str">
        <f ca="1">IFERROR(__xludf.DUMMYFUNCTION("""COMPUTED_VALUE"""),"institutocolorado@gmail.com")</f>
        <v>institutocolorado@gmail.com</v>
      </c>
      <c r="K449" s="27" t="str">
        <f ca="1">IFERROR(__xludf.DUMMYFUNCTION("""COMPUTED_VALUE"""),"(21)6687-7062")</f>
        <v>(21)6687-7062</v>
      </c>
      <c r="L449" s="27" t="str">
        <f ca="1">IFERROR(__xludf.DUMMYFUNCTION("""COMPUTED_VALUE"""),"AL")</f>
        <v>AL</v>
      </c>
      <c r="M449" s="27" t="str">
        <f ca="1">IFERROR(__xludf.DUMMYFUNCTION("""COMPUTED_VALUE"""),"Loteamento rume farias")</f>
        <v>Loteamento rume farias</v>
      </c>
      <c r="N449" s="27" t="str">
        <f ca="1">IFERROR(__xludf.DUMMYFUNCTION("""COMPUTED_VALUE"""),"Barra de santo Antonio")</f>
        <v>Barra de santo Antonio</v>
      </c>
      <c r="O449" s="27">
        <f ca="1">IFERROR(__xludf.DUMMYFUNCTION("""COMPUTED_VALUE"""),3245)</f>
        <v>3245</v>
      </c>
      <c r="P449" s="27" t="str">
        <f ca="1">IFERROR(__xludf.DUMMYFUNCTION("""COMPUTED_VALUE"""),"Barra de santo Antonio")</f>
        <v>Barra de santo Antonio</v>
      </c>
      <c r="Q449" s="27"/>
      <c r="R449" s="27" t="str">
        <f ca="1">IFERROR(__xludf.DUMMYFUNCTION("""COMPUTED_VALUE"""),"57925-000")</f>
        <v>57925-000</v>
      </c>
      <c r="S449" s="27"/>
      <c r="T449" s="27" t="str">
        <f ca="1">IFERROR(__xludf.DUMMYFUNCTION("""COMPUTED_VALUE"""),"Esporte; Educação")</f>
        <v>Esporte; Educação</v>
      </c>
      <c r="U449" s="27" t="str">
        <f ca="1">IFERROR(__xludf.DUMMYFUNCTION("""COMPUTED_VALUE"""),"Crianças (6 a 12 anos); Jovens (18 aos 24 anos)")</f>
        <v>Crianças (6 a 12 anos); Jovens (18 aos 24 anos)</v>
      </c>
      <c r="V449" s="27" t="str">
        <f ca="1">IFERROR(__xludf.DUMMYFUNCTION("""COMPUTED_VALUE"""),"Moradores de Favelas")</f>
        <v>Moradores de Favelas</v>
      </c>
      <c r="W449" s="27">
        <f ca="1">IFERROR(__xludf.DUMMYFUNCTION("""COMPUTED_VALUE"""),135)</f>
        <v>135</v>
      </c>
      <c r="X449" s="27"/>
      <c r="Y449" s="27"/>
      <c r="Z449" s="27">
        <f ca="1">IFERROR(__xludf.DUMMYFUNCTION("""COMPUTED_VALUE"""),85)</f>
        <v>85</v>
      </c>
      <c r="AA449" s="29">
        <f ca="1">IFERROR(__xludf.DUMMYFUNCTION("""COMPUTED_VALUE"""),27760)</f>
        <v>27760</v>
      </c>
      <c r="AB449" s="27" t="str">
        <f ca="1">IFERROR(__xludf.DUMMYFUNCTION("""COMPUTED_VALUE"""),"Não")</f>
        <v>Não</v>
      </c>
      <c r="AC449" s="27">
        <f ca="1">IFERROR(__xludf.DUMMYFUNCTION("""COMPUTED_VALUE"""),3)</f>
        <v>3</v>
      </c>
      <c r="AD449" s="27">
        <f ca="1">IFERROR(__xludf.DUMMYFUNCTION("""COMPUTED_VALUE"""),4)</f>
        <v>4</v>
      </c>
      <c r="AE449" s="27">
        <f ca="1">IFERROR(__xludf.DUMMYFUNCTION("""COMPUTED_VALUE"""),1)</f>
        <v>1</v>
      </c>
      <c r="AF449" s="27">
        <f ca="1">IFERROR(__xludf.DUMMYFUNCTION("""COMPUTED_VALUE"""),1)</f>
        <v>1</v>
      </c>
      <c r="AG449" s="27">
        <f ca="1">IFERROR(__xludf.DUMMYFUNCTION("""COMPUTED_VALUE"""),2)</f>
        <v>2</v>
      </c>
      <c r="AH449" s="27" t="str">
        <f ca="1">IFERROR(__xludf.DUMMYFUNCTION("""COMPUTED_VALUE"""),"Plataforma doação online - Pessoa Física")</f>
        <v>Plataforma doação online - Pessoa Física</v>
      </c>
      <c r="AI449" s="27">
        <f ca="1">IFERROR(__xludf.DUMMYFUNCTION("""COMPUTED_VALUE"""),1000)</f>
        <v>1000</v>
      </c>
      <c r="AJ449" s="27"/>
      <c r="AK449" s="27"/>
      <c r="AL449" s="21" t="str">
        <f ca="1">IFERROR(__xludf.DUMMYFUNCTION("""COMPUTED_VALUE"""),"0034P000045kxjE")</f>
        <v>0034P000045kxjE</v>
      </c>
      <c r="AM449" s="27" t="str">
        <f ca="1">IFERROR(__xludf.DUMMYFUNCTION("""COMPUTED_VALUE"""),"Tânia Alves Dos Santos")</f>
        <v>Tânia Alves Dos Santos</v>
      </c>
      <c r="AN449" s="27" t="str">
        <f ca="1">IFERROR(__xludf.DUMMYFUNCTION("""COMPUTED_VALUE"""),"Ativo")</f>
        <v>Ativo</v>
      </c>
      <c r="AO449" s="30">
        <f ca="1">IFERROR(__xludf.DUMMYFUNCTION("""COMPUTED_VALUE"""),44551)</f>
        <v>44551</v>
      </c>
      <c r="AP449" s="27">
        <f ca="1">IFERROR(__xludf.DUMMYFUNCTION("""COMPUTED_VALUE"""),9)</f>
        <v>9</v>
      </c>
      <c r="AQ449" s="27" t="str">
        <f ca="1">IFERROR(__xludf.DUMMYFUNCTION("""COMPUTED_VALUE"""),"Segundo Semestre 2021")</f>
        <v>Segundo Semestre 2021</v>
      </c>
      <c r="AR449" s="27" t="str">
        <f ca="1">IFERROR(__xludf.DUMMYFUNCTION("""COMPUTED_VALUE"""),"institutocolorado@gmail.com")</f>
        <v>institutocolorado@gmail.com</v>
      </c>
      <c r="AS449" s="27" t="str">
        <f ca="1">IFERROR(__xludf.DUMMYFUNCTION("""COMPUTED_VALUE"""),"(21)6687-7062")</f>
        <v>(21)6687-7062</v>
      </c>
      <c r="AT449" s="29">
        <f ca="1">IFERROR(__xludf.DUMMYFUNCTION("""COMPUTED_VALUE"""),27760)</f>
        <v>27760</v>
      </c>
      <c r="AU449" s="27">
        <f ca="1">IFERROR(__xludf.DUMMYFUNCTION("""COMPUTED_VALUE"""),46)</f>
        <v>46</v>
      </c>
      <c r="AV449" s="27">
        <f ca="1">IFERROR(__xludf.DUMMYFUNCTION("""COMPUTED_VALUE"""),2313327426)</f>
        <v>2313327426</v>
      </c>
      <c r="AW449" s="27" t="str">
        <f ca="1">IFERROR(__xludf.DUMMYFUNCTION("""COMPUTED_VALUE"""),"3311627426-2")</f>
        <v>3311627426-2</v>
      </c>
      <c r="AX449" s="27"/>
      <c r="AY449" s="27"/>
      <c r="AZ449" s="27" t="str">
        <f ca="1">IFERROR(__xludf.DUMMYFUNCTION("""COMPUTED_VALUE"""),"M")</f>
        <v>M</v>
      </c>
      <c r="BA449" s="27" t="str">
        <f ca="1">IFERROR(__xludf.DUMMYFUNCTION("""COMPUTED_VALUE"""),"Parda")</f>
        <v>Parda</v>
      </c>
      <c r="BB449" s="27" t="str">
        <f ca="1">IFERROR(__xludf.DUMMYFUNCTION("""COMPUTED_VALUE"""),"Mulher, cisgênero")</f>
        <v>Mulher, cisgênero</v>
      </c>
      <c r="BC449" s="27" t="str">
        <f ca="1">IFERROR(__xludf.DUMMYFUNCTION("""COMPUTED_VALUE"""),"Sim")</f>
        <v>Sim</v>
      </c>
      <c r="BD449" s="27" t="str">
        <f ca="1">IFERROR(__xludf.DUMMYFUNCTION("""COMPUTED_VALUE"""),"Sua Tânia dona e treinadora do projeto colorado quer foi criado no Rio de Janeiro dia 18/01/2011 no bairro do Coelho São Gonçalo E depois de 11 anos no Rio de Janeiro hoje me encontro no município da barra de santo Antônio em Alagoas devido a violência do"&amp;" tráfico mais graças a deus pude recomeçar o meu projeto é hoje tenho 125 crianças de 07 a 17 anos")</f>
        <v>Sua Tânia dona e treinadora do projeto colorado quer foi criado no Rio de Janeiro dia 18/01/2011 no bairro do Coelho São Gonçalo E depois de 11 anos no Rio de Janeiro hoje me encontro no município da barra de santo Antônio em Alagoas devido a violência do tráfico mais graças a deus pude recomeçar o meu projeto é hoje tenho 125 crianças de 07 a 17 anos</v>
      </c>
      <c r="BE449" s="27"/>
      <c r="BF449" s="27" t="str">
        <f ca="1">IFERROR(__xludf.DUMMYFUNCTION("""COMPUTED_VALUE"""),"Heterossexual")</f>
        <v>Heterossexual</v>
      </c>
      <c r="BG449" s="27" t="str">
        <f ca="1">IFERROR(__xludf.DUMMYFUNCTION("""COMPUTED_VALUE"""),"Ensino Fundamento - Completo")</f>
        <v>Ensino Fundamento - Completo</v>
      </c>
      <c r="BH449" s="27" t="str">
        <f ca="1">IFERROR(__xludf.DUMMYFUNCTION("""COMPUTED_VALUE"""),"Pública")</f>
        <v>Pública</v>
      </c>
      <c r="BI449" s="27"/>
      <c r="BJ449" s="27"/>
      <c r="BK449" s="27" t="str">
        <f ca="1">IFERROR(__xludf.DUMMYFUNCTION("""COMPUTED_VALUE"""),"Loteamento rume farias")</f>
        <v>Loteamento rume farias</v>
      </c>
      <c r="BL449" s="27">
        <f ca="1">IFERROR(__xludf.DUMMYFUNCTION("""COMPUTED_VALUE"""),3245)</f>
        <v>3245</v>
      </c>
      <c r="BM449" s="27" t="str">
        <f ca="1">IFERROR(__xludf.DUMMYFUNCTION("""COMPUTED_VALUE"""),"Rua do buri taxista")</f>
        <v>Rua do buri taxista</v>
      </c>
      <c r="BN449" s="27" t="str">
        <f ca="1">IFERROR(__xludf.DUMMYFUNCTION("""COMPUTED_VALUE"""),"Barra de santo Antonio")</f>
        <v>Barra de santo Antonio</v>
      </c>
      <c r="BO449" s="27" t="str">
        <f ca="1">IFERROR(__xludf.DUMMYFUNCTION("""COMPUTED_VALUE"""),"57925-000")</f>
        <v>57925-000</v>
      </c>
      <c r="BP449" s="27" t="str">
        <f ca="1">IFERROR(__xludf.DUMMYFUNCTION("""COMPUTED_VALUE"""),"AL")</f>
        <v>AL</v>
      </c>
      <c r="BQ449" s="27" t="str">
        <f ca="1">IFERROR(__xludf.DUMMYFUNCTION("""COMPUTED_VALUE"""),"Entre 1 até 3 salários mínimos")</f>
        <v>Entre 1 até 3 salários mínimos</v>
      </c>
      <c r="BR449" s="27" t="str">
        <f ca="1">IFERROR(__xludf.DUMMYFUNCTION("""COMPUTED_VALUE"""),"Desempregado")</f>
        <v>Desempregado</v>
      </c>
      <c r="BS449" s="27" t="str">
        <f ca="1">IFERROR(__xludf.DUMMYFUNCTION("""COMPUTED_VALUE"""),"Aluguel")</f>
        <v>Aluguel</v>
      </c>
      <c r="BT449" s="27">
        <f ca="1">IFERROR(__xludf.DUMMYFUNCTION("""COMPUTED_VALUE"""),4)</f>
        <v>4</v>
      </c>
      <c r="BU449" s="27" t="str">
        <f ca="1">IFERROR(__xludf.DUMMYFUNCTION("""COMPUTED_VALUE"""),"Não tem")</f>
        <v>Não tem</v>
      </c>
      <c r="BV449" s="27"/>
      <c r="BW449" s="27"/>
      <c r="BX449" s="27" t="str">
        <f ca="1">IFERROR(__xludf.DUMMYFUNCTION("""COMPUTED_VALUE"""),"Projetocoloradofutebolclube")</f>
        <v>Projetocoloradofutebolclube</v>
      </c>
      <c r="BY449" s="21" t="str">
        <f ca="1">IFERROR(__xludf.DUMMYFUNCTION("""COMPUTED_VALUE"""),"https://drive.google.com/open?id=1RWdk7FQXqbO27ZKAu6jB9Jf3DgqwxSJp")</f>
        <v>https://drive.google.com/open?id=1RWdk7FQXqbO27ZKAu6jB9Jf3DgqwxSJp</v>
      </c>
    </row>
    <row r="450" spans="1:77" ht="12.5" x14ac:dyDescent="0.25">
      <c r="A450" s="21" t="str">
        <f ca="1">IFERROR(__xludf.DUMMYFUNCTION("""COMPUTED_VALUE"""),"0014X00002VKCt9QAH")</f>
        <v>0014X00002VKCt9QAH</v>
      </c>
      <c r="B450" s="27" t="str">
        <f ca="1">IFERROR(__xludf.DUMMYFUNCTION("""COMPUTED_VALUE"""),"Fase Inicial")</f>
        <v>Fase Inicial</v>
      </c>
      <c r="C450" s="27" t="str">
        <f ca="1">IFERROR(__xludf.DUMMYFUNCTION("""COMPUTED_VALUE"""),"Fellow")</f>
        <v>Fellow</v>
      </c>
      <c r="D450" s="27" t="str">
        <f ca="1">IFERROR(__xludf.DUMMYFUNCTION("""COMPUTED_VALUE"""),"Ativo")</f>
        <v>Ativo</v>
      </c>
      <c r="E450" s="27" t="str">
        <f ca="1">IFERROR(__xludf.DUMMYFUNCTION("""COMPUTED_VALUE"""),"INTITUTO GERAÇÃO ELEITA MOVA-SE.")</f>
        <v>INTITUTO GERAÇÃO ELEITA MOVA-SE.</v>
      </c>
      <c r="F450" s="27" t="str">
        <f ca="1">IFERROR(__xludf.DUMMYFUNCTION("""COMPUTED_VALUE"""),"Stela")</f>
        <v>Stela</v>
      </c>
      <c r="G450" s="27" t="str">
        <f ca="1">IFERROR(__xludf.DUMMYFUNCTION("""COMPUTED_VALUE"""),"GEM")</f>
        <v>GEM</v>
      </c>
      <c r="H450" s="27" t="str">
        <f ca="1">IFERROR(__xludf.DUMMYFUNCTION("""COMPUTED_VALUE"""),"44.662.699/0001-20")</f>
        <v>44.662.699/0001-20</v>
      </c>
      <c r="I450" s="27" t="str">
        <f ca="1">IFERROR(__xludf.DUMMYFUNCTION("""COMPUTED_VALUE"""),"Stela Bonifácio da Silva Nascimento")</f>
        <v>Stela Bonifácio da Silva Nascimento</v>
      </c>
      <c r="J450" s="27" t="str">
        <f ca="1">IFERROR(__xludf.DUMMYFUNCTION("""COMPUTED_VALUE"""),"gemmovase@gmail.com")</f>
        <v>gemmovase@gmail.com</v>
      </c>
      <c r="K450" s="27" t="str">
        <f ca="1">IFERROR(__xludf.DUMMYFUNCTION("""COMPUTED_VALUE"""),"(21)98063-0661")</f>
        <v>(21)98063-0661</v>
      </c>
      <c r="L450" s="27" t="str">
        <f ca="1">IFERROR(__xludf.DUMMYFUNCTION("""COMPUTED_VALUE"""),"RJ")</f>
        <v>RJ</v>
      </c>
      <c r="M450" s="27" t="str">
        <f ca="1">IFERROR(__xludf.DUMMYFUNCTION("""COMPUTED_VALUE"""),"rua cirene de moraes")</f>
        <v>rua cirene de moraes</v>
      </c>
      <c r="N450" s="27" t="str">
        <f ca="1">IFERROR(__xludf.DUMMYFUNCTION("""COMPUTED_VALUE"""),"tres fontes")</f>
        <v>tres fontes</v>
      </c>
      <c r="O450" s="27">
        <f ca="1">IFERROR(__xludf.DUMMYFUNCTION("""COMPUTED_VALUE"""),135)</f>
        <v>135</v>
      </c>
      <c r="P450" s="27" t="str">
        <f ca="1">IFERROR(__xludf.DUMMYFUNCTION("""COMPUTED_VALUE"""),"queimados")</f>
        <v>queimados</v>
      </c>
      <c r="Q450" s="27"/>
      <c r="R450" s="27" t="str">
        <f ca="1">IFERROR(__xludf.DUMMYFUNCTION("""COMPUTED_VALUE"""),"26382-506")</f>
        <v>26382-506</v>
      </c>
      <c r="S450" s="27" t="str">
        <f ca="1">IFERROR(__xludf.DUMMYFUNCTION("""COMPUTED_VALUE"""),"Sim")</f>
        <v>Sim</v>
      </c>
      <c r="T450" s="27"/>
      <c r="U450"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450" s="27" t="str">
        <f ca="1">IFERROR(__xludf.DUMMYFUNCTION("""COMPUTED_VALUE"""),"Moradores de Favelas, Comunidade rural")</f>
        <v>Moradores de Favelas, Comunidade rural</v>
      </c>
      <c r="W450" s="27">
        <f ca="1">IFERROR(__xludf.DUMMYFUNCTION("""COMPUTED_VALUE"""),8)</f>
        <v>8</v>
      </c>
      <c r="X450" s="27" t="str">
        <f ca="1">IFERROR(__xludf.DUMMYFUNCTION("""COMPUTED_VALUE"""),"NOSSO PROJETO FUNCIONA ENTINERANTE ENTRE AS COMUNIDADES. O PROJETO FUNCIONA 8 A 10 MESES EM UMA LOCALIDADE. ATENDENDO O PÚBLICO DE 4  17 ANOS. E OS FAMILIARES.")</f>
        <v>NOSSO PROJETO FUNCIONA ENTINERANTE ENTRE AS COMUNIDADES. O PROJETO FUNCIONA 8 A 10 MESES EM UMA LOCALIDADE. ATENDENDO O PÚBLICO DE 4  17 ANOS. E OS FAMILIARES.</v>
      </c>
      <c r="Y450" s="27"/>
      <c r="Z450" s="27">
        <f ca="1">IFERROR(__xludf.DUMMYFUNCTION("""COMPUTED_VALUE"""),50)</f>
        <v>50</v>
      </c>
      <c r="AA450" s="29">
        <f ca="1">IFERROR(__xludf.DUMMYFUNCTION("""COMPUTED_VALUE"""),41609)</f>
        <v>41609</v>
      </c>
      <c r="AB450" s="27" t="str">
        <f ca="1">IFERROR(__xludf.DUMMYFUNCTION("""COMPUTED_VALUE"""),"Sim")</f>
        <v>Sim</v>
      </c>
      <c r="AC450" s="27">
        <f ca="1">IFERROR(__xludf.DUMMYFUNCTION("""COMPUTED_VALUE"""),0)</f>
        <v>0</v>
      </c>
      <c r="AD450" s="27">
        <f ca="1">IFERROR(__xludf.DUMMYFUNCTION("""COMPUTED_VALUE"""),28)</f>
        <v>28</v>
      </c>
      <c r="AE450" s="27">
        <f ca="1">IFERROR(__xludf.DUMMYFUNCTION("""COMPUTED_VALUE"""),28)</f>
        <v>28</v>
      </c>
      <c r="AF450" s="27">
        <f ca="1">IFERROR(__xludf.DUMMYFUNCTION("""COMPUTED_VALUE"""),28)</f>
        <v>28</v>
      </c>
      <c r="AG450" s="27">
        <f ca="1">IFERROR(__xludf.DUMMYFUNCTION("""COMPUTED_VALUE"""),2)</f>
        <v>2</v>
      </c>
      <c r="AH450" s="27" t="str">
        <f ca="1">IFERROR(__xludf.DUMMYFUNCTION("""COMPUTED_VALUE"""),"Outro(s), Doações")</f>
        <v>Outro(s), Doações</v>
      </c>
      <c r="AI450" s="27">
        <f ca="1">IFERROR(__xludf.DUMMYFUNCTION("""COMPUTED_VALUE"""),0)</f>
        <v>0</v>
      </c>
      <c r="AJ450" s="27" t="str">
        <f ca="1">IFERROR(__xludf.DUMMYFUNCTION("""COMPUTED_VALUE"""),"Vamos iniciar esse ano")</f>
        <v>Vamos iniciar esse ano</v>
      </c>
      <c r="AK450" s="27"/>
      <c r="AL450" s="21" t="str">
        <f ca="1">IFERROR(__xludf.DUMMYFUNCTION("""COMPUTED_VALUE"""),"0034X0000380O46")</f>
        <v>0034X0000380O46</v>
      </c>
      <c r="AM450" s="27" t="str">
        <f ca="1">IFERROR(__xludf.DUMMYFUNCTION("""COMPUTED_VALUE"""),"Bonifacio da silva nascimento")</f>
        <v>Bonifacio da silva nascimento</v>
      </c>
      <c r="AN450" s="27" t="str">
        <f ca="1">IFERROR(__xludf.DUMMYFUNCTION("""COMPUTED_VALUE"""),"Ativo")</f>
        <v>Ativo</v>
      </c>
      <c r="AO450" s="29">
        <f ca="1">IFERROR(__xludf.DUMMYFUNCTION("""COMPUTED_VALUE"""),44763)</f>
        <v>44763</v>
      </c>
      <c r="AP450" s="27">
        <f ca="1">IFERROR(__xludf.DUMMYFUNCTION("""COMPUTED_VALUE"""),2)</f>
        <v>2</v>
      </c>
      <c r="AQ450" s="27" t="str">
        <f ca="1">IFERROR(__xludf.DUMMYFUNCTION("""COMPUTED_VALUE"""),"Primeiro Semestre 2022")</f>
        <v>Primeiro Semestre 2022</v>
      </c>
      <c r="AR450" s="27" t="str">
        <f ca="1">IFERROR(__xludf.DUMMYFUNCTION("""COMPUTED_VALUE"""),"stela.bonifaciosilva@gmail.com")</f>
        <v>stela.bonifaciosilva@gmail.com</v>
      </c>
      <c r="AS450" s="27">
        <f ca="1">IFERROR(__xludf.DUMMYFUNCTION("""COMPUTED_VALUE"""),21979598397)</f>
        <v>21979598397</v>
      </c>
      <c r="AT450" s="29">
        <f ca="1">IFERROR(__xludf.DUMMYFUNCTION("""COMPUTED_VALUE"""),30432)</f>
        <v>30432</v>
      </c>
      <c r="AU450" s="27">
        <f ca="1">IFERROR(__xludf.DUMMYFUNCTION("""COMPUTED_VALUE"""),39)</f>
        <v>39</v>
      </c>
      <c r="AV450" s="27">
        <f ca="1">IFERROR(__xludf.DUMMYFUNCTION("""COMPUTED_VALUE"""),10370686705)</f>
        <v>10370686705</v>
      </c>
      <c r="AW450" s="27">
        <f ca="1">IFERROR(__xludf.DUMMYFUNCTION("""COMPUTED_VALUE"""),201567211)</f>
        <v>201567211</v>
      </c>
      <c r="AX450" s="27"/>
      <c r="AY450" s="27"/>
      <c r="AZ450" s="27" t="str">
        <f ca="1">IFERROR(__xludf.DUMMYFUNCTION("""COMPUTED_VALUE"""),"P")</f>
        <v>P</v>
      </c>
      <c r="BA450" s="27" t="str">
        <f ca="1">IFERROR(__xludf.DUMMYFUNCTION("""COMPUTED_VALUE"""),"Preta")</f>
        <v>Preta</v>
      </c>
      <c r="BB450" s="27"/>
      <c r="BC450" s="27"/>
      <c r="BD450" s="27" t="str">
        <f ca="1">IFERROR(__xludf.DUMMYFUNCTION("""COMPUTED_VALUE"""),"Nascida e criada no município de Queimados. 
Formada em Serviço social pela Universidade Unigranrio de Duque de Caxias em 2013.
 Pós graduada em Gestão de projeto pela Universidade Estácio de Sá em 2016.
pós graduada em trabalho com famílias e sociedades "&amp;"em 2020.
Graduada em Pedagogia pela Universidade UERJ em 2020.
Gestora do Projeto GEM desde 2014.")</f>
        <v>Nascida e criada no município de Queimados. 
Formada em Serviço social pela Universidade Unigranrio de Duque de Caxias em 2013.
 Pós graduada em Gestão de projeto pela Universidade Estácio de Sá em 2016.
pós graduada em trabalho com famílias e sociedades em 2020.
Graduada em Pedagogia pela Universidade UERJ em 2020.
Gestora do Projeto GEM desde 2014.</v>
      </c>
      <c r="BE450" s="27" t="str">
        <f ca="1">IFERROR(__xludf.DUMMYFUNCTION("""COMPUTED_VALUE"""),"Feminino")</f>
        <v>Feminino</v>
      </c>
      <c r="BF450" s="27" t="str">
        <f ca="1">IFERROR(__xludf.DUMMYFUNCTION("""COMPUTED_VALUE"""),"Heterossexual")</f>
        <v>Heterossexual</v>
      </c>
      <c r="BG450" s="27"/>
      <c r="BH450" s="27" t="str">
        <f ca="1">IFERROR(__xludf.DUMMYFUNCTION("""COMPUTED_VALUE"""),"Público")</f>
        <v>Público</v>
      </c>
      <c r="BI450" s="27" t="str">
        <f ca="1">IFERROR(__xludf.DUMMYFUNCTION("""COMPUTED_VALUE"""),"Pós-Graduação")</f>
        <v>Pós-Graduação</v>
      </c>
      <c r="BJ450" s="27" t="str">
        <f ca="1">IFERROR(__xludf.DUMMYFUNCTION("""COMPUTED_VALUE"""),"Público")</f>
        <v>Público</v>
      </c>
      <c r="BK450" s="27" t="str">
        <f ca="1">IFERROR(__xludf.DUMMYFUNCTION("""COMPUTED_VALUE"""),"RUA RUBENS COUTINHO ROMANO")</f>
        <v>RUA RUBENS COUTINHO ROMANO</v>
      </c>
      <c r="BL450" s="27">
        <f ca="1">IFERROR(__xludf.DUMMYFUNCTION("""COMPUTED_VALUE"""),240)</f>
        <v>240</v>
      </c>
      <c r="BM450" s="27">
        <f ca="1">IFERROR(__xludf.DUMMYFUNCTION("""COMPUTED_VALUE"""),3)</f>
        <v>3</v>
      </c>
      <c r="BN450" s="27"/>
      <c r="BO450" s="27">
        <f ca="1">IFERROR(__xludf.DUMMYFUNCTION("""COMPUTED_VALUE"""),26383544)</f>
        <v>26383544</v>
      </c>
      <c r="BP450" s="27" t="str">
        <f ca="1">IFERROR(__xludf.DUMMYFUNCTION("""COMPUTED_VALUE"""),"RJ")</f>
        <v>RJ</v>
      </c>
      <c r="BQ450" s="27" t="str">
        <f ca="1">IFERROR(__xludf.DUMMYFUNCTION("""COMPUTED_VALUE"""),"Entre 1 até 3 salários mínimos")</f>
        <v>Entre 1 até 3 salários mínimos</v>
      </c>
      <c r="BR450" s="27" t="str">
        <f ca="1">IFERROR(__xludf.DUMMYFUNCTION("""COMPUTED_VALUE"""),"Funcionário Público")</f>
        <v>Funcionário Público</v>
      </c>
      <c r="BS450" s="27" t="str">
        <f ca="1">IFERROR(__xludf.DUMMYFUNCTION("""COMPUTED_VALUE"""),"Casa própria")</f>
        <v>Casa própria</v>
      </c>
      <c r="BT450" s="27">
        <f ca="1">IFERROR(__xludf.DUMMYFUNCTION("""COMPUTED_VALUE"""),2)</f>
        <v>2</v>
      </c>
      <c r="BU450" s="27" t="str">
        <f ca="1">IFERROR(__xludf.DUMMYFUNCTION("""COMPUTED_VALUE"""),"Não tem")</f>
        <v>Não tem</v>
      </c>
      <c r="BV450" s="27" t="str">
        <f ca="1">IFERROR(__xludf.DUMMYFUNCTION("""COMPUTED_VALUE"""),"Sim")</f>
        <v>Sim</v>
      </c>
      <c r="BW450" s="27"/>
      <c r="BX450" s="21" t="str">
        <f ca="1">IFERROR(__xludf.DUMMYFUNCTION("""COMPUTED_VALUE"""),"https://www.instagram.com/p/CXqqWwSg_FCP7CfFKKFFc54U_V6ly_36EKdLgk0/?utm_medium=copy_link")</f>
        <v>https://www.instagram.com/p/CXqqWwSg_FCP7CfFKKFFc54U_V6ly_36EKdLgk0/?utm_medium=copy_link</v>
      </c>
      <c r="BY450" s="21" t="str">
        <f ca="1">IFERROR(__xludf.DUMMYFUNCTION("""COMPUTED_VALUE"""),"https://drive.google.com/open?id=1Ou4ys0a4DIUlv3fSI92VWV6sR3NsIGFH")</f>
        <v>https://drive.google.com/open?id=1Ou4ys0a4DIUlv3fSI92VWV6sR3NsIGFH</v>
      </c>
    </row>
    <row r="451" spans="1:77" ht="12.5" x14ac:dyDescent="0.25">
      <c r="A451" s="21" t="str">
        <f ca="1">IFERROR(__xludf.DUMMYFUNCTION("""COMPUTED_VALUE"""),"0014X00002VKCpBQAX")</f>
        <v>0014X00002VKCpBQAX</v>
      </c>
      <c r="B451" s="27" t="str">
        <f ca="1">IFERROR(__xludf.DUMMYFUNCTION("""COMPUTED_VALUE"""),"Fase Inicial")</f>
        <v>Fase Inicial</v>
      </c>
      <c r="C451" s="27" t="str">
        <f ca="1">IFERROR(__xludf.DUMMYFUNCTION("""COMPUTED_VALUE"""),"Fellow")</f>
        <v>Fellow</v>
      </c>
      <c r="D451" s="27" t="str">
        <f ca="1">IFERROR(__xludf.DUMMYFUNCTION("""COMPUTED_VALUE"""),"Ativo")</f>
        <v>Ativo</v>
      </c>
      <c r="E451" s="27" t="str">
        <f ca="1">IFERROR(__xludf.DUMMYFUNCTION("""COMPUTED_VALUE"""),"Investidores da esperança")</f>
        <v>Investidores da esperança</v>
      </c>
      <c r="F451" s="27" t="str">
        <f ca="1">IFERROR(__xludf.DUMMYFUNCTION("""COMPUTED_VALUE"""),"Eduardo")</f>
        <v>Eduardo</v>
      </c>
      <c r="G451" s="27" t="str">
        <f ca="1">IFERROR(__xludf.DUMMYFUNCTION("""COMPUTED_VALUE"""),"INVESTIDORES DA ESPERANÇA")</f>
        <v>INVESTIDORES DA ESPERANÇA</v>
      </c>
      <c r="H451" s="27"/>
      <c r="I451" s="27" t="str">
        <f ca="1">IFERROR(__xludf.DUMMYFUNCTION("""COMPUTED_VALUE"""),"Eduardo Souza neto")</f>
        <v>Eduardo Souza neto</v>
      </c>
      <c r="J451" s="27" t="str">
        <f ca="1">IFERROR(__xludf.DUMMYFUNCTION("""COMPUTED_VALUE"""),"investidoresdaesperanca@gmail.com")</f>
        <v>investidoresdaesperanca@gmail.com</v>
      </c>
      <c r="K451" s="27" t="str">
        <f ca="1">IFERROR(__xludf.DUMMYFUNCTION("""COMPUTED_VALUE"""),"(71)3304-1856")</f>
        <v>(71)3304-1856</v>
      </c>
      <c r="L451" s="27" t="str">
        <f ca="1">IFERROR(__xludf.DUMMYFUNCTION("""COMPUTED_VALUE"""),"BA")</f>
        <v>BA</v>
      </c>
      <c r="M451" s="27" t="str">
        <f ca="1">IFERROR(__xludf.DUMMYFUNCTION("""COMPUTED_VALUE"""),"Rua vivência Francisca")</f>
        <v>Rua vivência Francisca</v>
      </c>
      <c r="N451" s="27" t="str">
        <f ca="1">IFERROR(__xludf.DUMMYFUNCTION("""COMPUTED_VALUE"""),"São Caetano")</f>
        <v>São Caetano</v>
      </c>
      <c r="O451" s="27">
        <f ca="1">IFERROR(__xludf.DUMMYFUNCTION("""COMPUTED_VALUE"""),22)</f>
        <v>22</v>
      </c>
      <c r="P451" s="27" t="str">
        <f ca="1">IFERROR(__xludf.DUMMYFUNCTION("""COMPUTED_VALUE"""),"Salvador")</f>
        <v>Salvador</v>
      </c>
      <c r="Q451" s="27" t="str">
        <f ca="1">IFERROR(__xludf.DUMMYFUNCTION("""COMPUTED_VALUE"""),"Próximo a quadra de esporte")</f>
        <v>Próximo a quadra de esporte</v>
      </c>
      <c r="R451" s="27" t="str">
        <f ca="1">IFERROR(__xludf.DUMMYFUNCTION("""COMPUTED_VALUE"""),"40390-845")</f>
        <v>40390-845</v>
      </c>
      <c r="S451" s="27" t="str">
        <f ca="1">IFERROR(__xludf.DUMMYFUNCTION("""COMPUTED_VALUE"""),"Sim")</f>
        <v>Sim</v>
      </c>
      <c r="T451" s="27"/>
      <c r="U451"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451" s="27" t="str">
        <f ca="1">IFERROR(__xludf.DUMMYFUNCTION("""COMPUTED_VALUE"""),"Moradores de Favelas")</f>
        <v>Moradores de Favelas</v>
      </c>
      <c r="W451" s="27">
        <f ca="1">IFERROR(__xludf.DUMMYFUNCTION("""COMPUTED_VALUE"""),3)</f>
        <v>3</v>
      </c>
      <c r="X451" s="27"/>
      <c r="Y451" s="27"/>
      <c r="Z451" s="27">
        <f ca="1">IFERROR(__xludf.DUMMYFUNCTION("""COMPUTED_VALUE"""),60)</f>
        <v>60</v>
      </c>
      <c r="AA451" s="30">
        <f ca="1">IFERROR(__xludf.DUMMYFUNCTION("""COMPUTED_VALUE"""),44484)</f>
        <v>44484</v>
      </c>
      <c r="AB451" s="27" t="str">
        <f ca="1">IFERROR(__xludf.DUMMYFUNCTION("""COMPUTED_VALUE"""),"Não")</f>
        <v>Não</v>
      </c>
      <c r="AC451" s="27">
        <f ca="1">IFERROR(__xludf.DUMMYFUNCTION("""COMPUTED_VALUE"""),0)</f>
        <v>0</v>
      </c>
      <c r="AD451" s="27">
        <f ca="1">IFERROR(__xludf.DUMMYFUNCTION("""COMPUTED_VALUE"""),300)</f>
        <v>300</v>
      </c>
      <c r="AE451" s="27">
        <f ca="1">IFERROR(__xludf.DUMMYFUNCTION("""COMPUTED_VALUE"""),20)</f>
        <v>20</v>
      </c>
      <c r="AF451" s="27">
        <f ca="1">IFERROR(__xludf.DUMMYFUNCTION("""COMPUTED_VALUE"""),10)</f>
        <v>10</v>
      </c>
      <c r="AG451" s="27">
        <f ca="1">IFERROR(__xludf.DUMMYFUNCTION("""COMPUTED_VALUE"""),3)</f>
        <v>3</v>
      </c>
      <c r="AH451" s="27" t="str">
        <f ca="1">IFERROR(__xludf.DUMMYFUNCTION("""COMPUTED_VALUE"""),"Negócio Social, Eventos/Ações para captação, Doações")</f>
        <v>Negócio Social, Eventos/Ações para captação, Doações</v>
      </c>
      <c r="AI451" s="27" t="str">
        <f ca="1">IFERROR(__xludf.DUMMYFUNCTION("""COMPUTED_VALUE"""),"Negócio social 8% || Doadores 90% Ações para captações 2%")</f>
        <v>Negócio social 8% || Doadores 90% Ações para captações 2%</v>
      </c>
      <c r="AJ451" s="27" t="str">
        <f ca="1">IFERROR(__xludf.DUMMYFUNCTION("""COMPUTED_VALUE"""),"Vamos iniciar esse ano")</f>
        <v>Vamos iniciar esse ano</v>
      </c>
      <c r="AK451" s="27"/>
      <c r="AL451" s="21" t="str">
        <f ca="1">IFERROR(__xludf.DUMMYFUNCTION("""COMPUTED_VALUE"""),"0034X0000380O23")</f>
        <v>0034X0000380O23</v>
      </c>
      <c r="AM451" s="27" t="str">
        <f ca="1">IFERROR(__xludf.DUMMYFUNCTION("""COMPUTED_VALUE"""),"Souza neto")</f>
        <v>Souza neto</v>
      </c>
      <c r="AN451" s="27" t="str">
        <f ca="1">IFERROR(__xludf.DUMMYFUNCTION("""COMPUTED_VALUE"""),"Ativo")</f>
        <v>Ativo</v>
      </c>
      <c r="AO451" s="29">
        <f ca="1">IFERROR(__xludf.DUMMYFUNCTION("""COMPUTED_VALUE"""),44763)</f>
        <v>44763</v>
      </c>
      <c r="AP451" s="27">
        <f ca="1">IFERROR(__xludf.DUMMYFUNCTION("""COMPUTED_VALUE"""),2)</f>
        <v>2</v>
      </c>
      <c r="AQ451" s="27" t="str">
        <f ca="1">IFERROR(__xludf.DUMMYFUNCTION("""COMPUTED_VALUE"""),"Primeiro Semestre 2022")</f>
        <v>Primeiro Semestre 2022</v>
      </c>
      <c r="AR451" s="27" t="str">
        <f ca="1">IFERROR(__xludf.DUMMYFUNCTION("""COMPUTED_VALUE"""),"eduuardocomunicacoes@gmail.com")</f>
        <v>eduuardocomunicacoes@gmail.com</v>
      </c>
      <c r="AS451" s="27" t="str">
        <f ca="1">IFERROR(__xludf.DUMMYFUNCTION("""COMPUTED_VALUE"""),"(71)99320-1717")</f>
        <v>(71)99320-1717</v>
      </c>
      <c r="AT451" s="29">
        <f ca="1">IFERROR(__xludf.DUMMYFUNCTION("""COMPUTED_VALUE"""),34076)</f>
        <v>34076</v>
      </c>
      <c r="AU451" s="27">
        <f ca="1">IFERROR(__xludf.DUMMYFUNCTION("""COMPUTED_VALUE"""),29)</f>
        <v>29</v>
      </c>
      <c r="AV451" s="27">
        <f ca="1">IFERROR(__xludf.DUMMYFUNCTION("""COMPUTED_VALUE"""),6347239523)</f>
        <v>6347239523</v>
      </c>
      <c r="AW451" s="27">
        <f ca="1">IFERROR(__xludf.DUMMYFUNCTION("""COMPUTED_VALUE"""),1447108035)</f>
        <v>1447108035</v>
      </c>
      <c r="AX451" s="27"/>
      <c r="AY451" s="27" t="str">
        <f ca="1">IFERROR(__xludf.DUMMYFUNCTION("""COMPUTED_VALUE"""),"Presidente")</f>
        <v>Presidente</v>
      </c>
      <c r="AZ451" s="27" t="str">
        <f ca="1">IFERROR(__xludf.DUMMYFUNCTION("""COMPUTED_VALUE"""),"G")</f>
        <v>G</v>
      </c>
      <c r="BA451" s="27" t="str">
        <f ca="1">IFERROR(__xludf.DUMMYFUNCTION("""COMPUTED_VALUE"""),"Preta")</f>
        <v>Preta</v>
      </c>
      <c r="BB451" s="27"/>
      <c r="BC451" s="27"/>
      <c r="BD451" s="27" t="str">
        <f ca="1">IFERROR(__xludf.DUMMYFUNCTION("""COMPUTED_VALUE"""),"Eduardo Neto nasceu em salvador, casado com a Camila, pai de Cecília e benjamim, cresceu em uma família pobre, aos 7 anos seu pai sofreu um AVC por conta do uso abusivo do álcool, onde sua mãe sem medo do mundo começou a trabalhar como empregada doméstica"&amp;" para o sustento da familia.")</f>
        <v>Eduardo Neto nasceu em salvador, casado com a Camila, pai de Cecília e benjamim, cresceu em uma família pobre, aos 7 anos seu pai sofreu um AVC por conta do uso abusivo do álcool, onde sua mãe sem medo do mundo começou a trabalhar como empregada doméstica para o sustento da familia.</v>
      </c>
      <c r="BE451" s="27" t="str">
        <f ca="1">IFERROR(__xludf.DUMMYFUNCTION("""COMPUTED_VALUE"""),"Outro(s)")</f>
        <v>Outro(s)</v>
      </c>
      <c r="BF451" s="27" t="str">
        <f ca="1">IFERROR(__xludf.DUMMYFUNCTION("""COMPUTED_VALUE"""),"Heterossexual")</f>
        <v>Heterossexual</v>
      </c>
      <c r="BG451" s="27" t="str">
        <f ca="1">IFERROR(__xludf.DUMMYFUNCTION("""COMPUTED_VALUE"""),"Ensino Médio - Completo")</f>
        <v>Ensino Médio - Completo</v>
      </c>
      <c r="BH451" s="27" t="str">
        <f ca="1">IFERROR(__xludf.DUMMYFUNCTION("""COMPUTED_VALUE"""),"Público")</f>
        <v>Público</v>
      </c>
      <c r="BI451" s="27"/>
      <c r="BJ451" s="27"/>
      <c r="BK451" s="27" t="str">
        <f ca="1">IFERROR(__xludf.DUMMYFUNCTION("""COMPUTED_VALUE"""),"Rua Jaguaribe")</f>
        <v>Rua Jaguaribe</v>
      </c>
      <c r="BL451" s="27">
        <f ca="1">IFERROR(__xludf.DUMMYFUNCTION("""COMPUTED_VALUE"""),60)</f>
        <v>60</v>
      </c>
      <c r="BM451" s="27" t="str">
        <f ca="1">IFERROR(__xludf.DUMMYFUNCTION("""COMPUTED_VALUE"""),"Loteamento chácara do monte")</f>
        <v>Loteamento chácara do monte</v>
      </c>
      <c r="BN451" s="27" t="str">
        <f ca="1">IFERROR(__xludf.DUMMYFUNCTION("""COMPUTED_VALUE"""),"Salvador")</f>
        <v>Salvador</v>
      </c>
      <c r="BO451" s="27" t="str">
        <f ca="1">IFERROR(__xludf.DUMMYFUNCTION("""COMPUTED_VALUE"""),"41330-770")</f>
        <v>41330-770</v>
      </c>
      <c r="BP451" s="27" t="str">
        <f ca="1">IFERROR(__xludf.DUMMYFUNCTION("""COMPUTED_VALUE"""),"BA")</f>
        <v>BA</v>
      </c>
      <c r="BQ451" s="27" t="str">
        <f ca="1">IFERROR(__xludf.DUMMYFUNCTION("""COMPUTED_VALUE"""),"Entre 1 até 3 salários mínimos")</f>
        <v>Entre 1 até 3 salários mínimos</v>
      </c>
      <c r="BR451" s="27" t="str">
        <f ca="1">IFERROR(__xludf.DUMMYFUNCTION("""COMPUTED_VALUE"""),"MEI, Trabalho informal")</f>
        <v>MEI, Trabalho informal</v>
      </c>
      <c r="BS451" s="27" t="str">
        <f ca="1">IFERROR(__xludf.DUMMYFUNCTION("""COMPUTED_VALUE"""),"Casa própria")</f>
        <v>Casa própria</v>
      </c>
      <c r="BT451" s="27">
        <f ca="1">IFERROR(__xludf.DUMMYFUNCTION("""COMPUTED_VALUE"""),4)</f>
        <v>4</v>
      </c>
      <c r="BU451" s="27" t="str">
        <f ca="1">IFERROR(__xludf.DUMMYFUNCTION("""COMPUTED_VALUE"""),"Não tem")</f>
        <v>Não tem</v>
      </c>
      <c r="BV451" s="27" t="str">
        <f ca="1">IFERROR(__xludf.DUMMYFUNCTION("""COMPUTED_VALUE"""),"Não")</f>
        <v>Não</v>
      </c>
      <c r="BW451" s="21" t="str">
        <f ca="1">IFERROR(__xludf.DUMMYFUNCTION("""COMPUTED_VALUE"""),"https://www.linkedin.com/in/eduardo-neto-18a384138")</f>
        <v>https://www.linkedin.com/in/eduardo-neto-18a384138</v>
      </c>
      <c r="BX451" s="21" t="str">
        <f ca="1">IFERROR(__xludf.DUMMYFUNCTION("""COMPUTED_VALUE"""),"https://instagram.com/eduuardoneto?igshid=YmMyMTA2M2Y=")</f>
        <v>https://instagram.com/eduuardoneto?igshid=YmMyMTA2M2Y=</v>
      </c>
      <c r="BY451" s="21" t="str">
        <f ca="1">IFERROR(__xludf.DUMMYFUNCTION("""COMPUTED_VALUE"""),"https://drive.google.com/open?id=1UWKKRQtWfJbKCoK2gR5Q8LqttjLMNdg0")</f>
        <v>https://drive.google.com/open?id=1UWKKRQtWfJbKCoK2gR5Q8LqttjLMNdg0</v>
      </c>
    </row>
    <row r="452" spans="1:77" ht="12.5" x14ac:dyDescent="0.25">
      <c r="A452" s="21" t="str">
        <f ca="1">IFERROR(__xludf.DUMMYFUNCTION("""COMPUTED_VALUE"""),"0014P00003YSp7qQAD")</f>
        <v>0014P00003YSp7qQAD</v>
      </c>
      <c r="B452" s="27" t="str">
        <f ca="1">IFERROR(__xludf.DUMMYFUNCTION("""COMPUTED_VALUE"""),"Fase Inicial")</f>
        <v>Fase Inicial</v>
      </c>
      <c r="C452" s="27" t="str">
        <f ca="1">IFERROR(__xludf.DUMMYFUNCTION("""COMPUTED_VALUE"""),"Fellow")</f>
        <v>Fellow</v>
      </c>
      <c r="D452" s="27" t="str">
        <f ca="1">IFERROR(__xludf.DUMMYFUNCTION("""COMPUTED_VALUE"""),"Ativo")</f>
        <v>Ativo</v>
      </c>
      <c r="E452" s="27" t="str">
        <f ca="1">IFERROR(__xludf.DUMMYFUNCTION("""COMPUTED_VALUE"""),"Jampa Invisível")</f>
        <v>Jampa Invisível</v>
      </c>
      <c r="F452" s="27" t="str">
        <f ca="1">IFERROR(__xludf.DUMMYFUNCTION("""COMPUTED_VALUE"""),"Stefany")</f>
        <v>Stefany</v>
      </c>
      <c r="G452" s="27"/>
      <c r="H452" s="27"/>
      <c r="I452" s="27" t="str">
        <f ca="1">IFERROR(__xludf.DUMMYFUNCTION("""COMPUTED_VALUE"""),"Stefany Miranda da Silva")</f>
        <v>Stefany Miranda da Silva</v>
      </c>
      <c r="J452" s="27" t="str">
        <f ca="1">IFERROR(__xludf.DUMMYFUNCTION("""COMPUTED_VALUE"""),"paraibainvisivel@gmail.com")</f>
        <v>paraibainvisivel@gmail.com</v>
      </c>
      <c r="K452" s="27" t="str">
        <f ca="1">IFERROR(__xludf.DUMMYFUNCTION("""COMPUTED_VALUE"""),"(83)99895-8336")</f>
        <v>(83)99895-8336</v>
      </c>
      <c r="L452" s="27" t="str">
        <f ca="1">IFERROR(__xludf.DUMMYFUNCTION("""COMPUTED_VALUE"""),"PB")</f>
        <v>PB</v>
      </c>
      <c r="M452" s="27" t="str">
        <f ca="1">IFERROR(__xludf.DUMMYFUNCTION("""COMPUTED_VALUE"""),"Rua. Severino Nunes Correia,  47")</f>
        <v>Rua. Severino Nunes Correia,  47</v>
      </c>
      <c r="N452" s="27" t="str">
        <f ca="1">IFERROR(__xludf.DUMMYFUNCTION("""COMPUTED_VALUE"""),"Funcionários 3")</f>
        <v>Funcionários 3</v>
      </c>
      <c r="O452" s="27">
        <f ca="1">IFERROR(__xludf.DUMMYFUNCTION("""COMPUTED_VALUE"""),47)</f>
        <v>47</v>
      </c>
      <c r="P452" s="27" t="str">
        <f ca="1">IFERROR(__xludf.DUMMYFUNCTION("""COMPUTED_VALUE"""),"João Pessoa")</f>
        <v>João Pessoa</v>
      </c>
      <c r="Q452" s="27" t="str">
        <f ca="1">IFERROR(__xludf.DUMMYFUNCTION("""COMPUTED_VALUE"""),"Casa")</f>
        <v>Casa</v>
      </c>
      <c r="R452" s="27" t="str">
        <f ca="1">IFERROR(__xludf.DUMMYFUNCTION("""COMPUTED_VALUE"""),"58079-127")</f>
        <v>58079-127</v>
      </c>
      <c r="S452" s="27"/>
      <c r="T452" s="27" t="str">
        <f ca="1">IFERROR(__xludf.DUMMYFUNCTION("""COMPUTED_VALUE"""),"Educação; Assistência Social; Cultura; Empreendedorismo; Empoderamento Feminino; Negócios Sociais")</f>
        <v>Educação; Assistência Social; Cultura; Empreendedorismo; Empoderamento Feminino; Negócios Sociais</v>
      </c>
      <c r="U452" s="27" t="str">
        <f ca="1">IFERROR(__xludf.DUMMYFUNCTION("""COMPUTED_VALUE"""),"Adolescentes (12 aos 18 anos); Jovens (18 aos 24 anos); Adultos")</f>
        <v>Adolescentes (12 aos 18 anos); Jovens (18 aos 24 anos); Adultos</v>
      </c>
      <c r="V452" s="27" t="str">
        <f ca="1">IFERROR(__xludf.DUMMYFUNCTION("""COMPUTED_VALUE"""),"Moradores de Favelas; Pessoas em situação de rua; População LGBTQ+; Egressos sistema carcerário")</f>
        <v>Moradores de Favelas; Pessoas em situação de rua; População LGBTQ+; Egressos sistema carcerário</v>
      </c>
      <c r="W452" s="27">
        <f ca="1">IFERROR(__xludf.DUMMYFUNCTION("""COMPUTED_VALUE"""),7)</f>
        <v>7</v>
      </c>
      <c r="X452" s="27" t="str">
        <f ca="1">IFERROR(__xludf.DUMMYFUNCTION("""COMPUTED_VALUE"""),"Foco principal no desenvolvimento de mulheres empreendedoras (manicures sapateiras catadoras vendedora de trufas etc)")</f>
        <v>Foco principal no desenvolvimento de mulheres empreendedoras (manicures sapateiras catadoras vendedora de trufas etc)</v>
      </c>
      <c r="Y452" s="27"/>
      <c r="Z452" s="27">
        <f ca="1">IFERROR(__xludf.DUMMYFUNCTION("""COMPUTED_VALUE"""),600)</f>
        <v>600</v>
      </c>
      <c r="AA452" s="29">
        <f ca="1">IFERROR(__xludf.DUMMYFUNCTION("""COMPUTED_VALUE"""),43475)</f>
        <v>43475</v>
      </c>
      <c r="AB452" s="27" t="str">
        <f ca="1">IFERROR(__xludf.DUMMYFUNCTION("""COMPUTED_VALUE"""),"Não")</f>
        <v>Não</v>
      </c>
      <c r="AC452" s="27">
        <f ca="1">IFERROR(__xludf.DUMMYFUNCTION("""COMPUTED_VALUE"""),5)</f>
        <v>5</v>
      </c>
      <c r="AD452" s="27">
        <f ca="1">IFERROR(__xludf.DUMMYFUNCTION("""COMPUTED_VALUE"""),2)</f>
        <v>2</v>
      </c>
      <c r="AE452" s="27">
        <f ca="1">IFERROR(__xludf.DUMMYFUNCTION("""COMPUTED_VALUE"""),7)</f>
        <v>7</v>
      </c>
      <c r="AF452" s="27">
        <f ca="1">IFERROR(__xludf.DUMMYFUNCTION("""COMPUTED_VALUE"""),1)</f>
        <v>1</v>
      </c>
      <c r="AG452" s="27">
        <f ca="1">IFERROR(__xludf.DUMMYFUNCTION("""COMPUTED_VALUE"""),2)</f>
        <v>2</v>
      </c>
      <c r="AH452" s="27" t="str">
        <f ca="1">IFERROR(__xludf.DUMMYFUNCTION("""COMPUTED_VALUE"""),"Negócio Social; Eventos/Ações para captação; Editais; Doações; Recursos próprios")</f>
        <v>Negócio Social; Eventos/Ações para captação; Editais; Doações; Recursos próprios</v>
      </c>
      <c r="AI452" s="27" t="str">
        <f ca="1">IFERROR(__xludf.DUMMYFUNCTION("""COMPUTED_VALUE"""),"100% de todas marcadas na opção anterior")</f>
        <v>100% de todas marcadas na opção anterior</v>
      </c>
      <c r="AJ452" s="27"/>
      <c r="AK452" s="27"/>
      <c r="AL452" s="21" t="str">
        <f ca="1">IFERROR(__xludf.DUMMYFUNCTION("""COMPUTED_VALUE"""),"0034P000045kxiR")</f>
        <v>0034P000045kxiR</v>
      </c>
      <c r="AM452" s="27" t="str">
        <f ca="1">IFERROR(__xludf.DUMMYFUNCTION("""COMPUTED_VALUE"""),"Miranda Da Silva")</f>
        <v>Miranda Da Silva</v>
      </c>
      <c r="AN452" s="27" t="str">
        <f ca="1">IFERROR(__xludf.DUMMYFUNCTION("""COMPUTED_VALUE"""),"Ativo")</f>
        <v>Ativo</v>
      </c>
      <c r="AO452" s="30">
        <f ca="1">IFERROR(__xludf.DUMMYFUNCTION("""COMPUTED_VALUE"""),44551)</f>
        <v>44551</v>
      </c>
      <c r="AP452" s="27">
        <f ca="1">IFERROR(__xludf.DUMMYFUNCTION("""COMPUTED_VALUE"""),9)</f>
        <v>9</v>
      </c>
      <c r="AQ452" s="27" t="str">
        <f ca="1">IFERROR(__xludf.DUMMYFUNCTION("""COMPUTED_VALUE"""),"Segundo Semestre 2021")</f>
        <v>Segundo Semestre 2021</v>
      </c>
      <c r="AR452" s="27" t="str">
        <f ca="1">IFERROR(__xludf.DUMMYFUNCTION("""COMPUTED_VALUE"""),"stefanymmiranda@gmail.com")</f>
        <v>stefanymmiranda@gmail.com</v>
      </c>
      <c r="AS452" s="27" t="str">
        <f ca="1">IFERROR(__xludf.DUMMYFUNCTION("""COMPUTED_VALUE"""),"(83)99895-8336")</f>
        <v>(83)99895-8336</v>
      </c>
      <c r="AT452" s="29">
        <f ca="1">IFERROR(__xludf.DUMMYFUNCTION("""COMPUTED_VALUE"""),31553)</f>
        <v>31553</v>
      </c>
      <c r="AU452" s="27">
        <f ca="1">IFERROR(__xludf.DUMMYFUNCTION("""COMPUTED_VALUE"""),36)</f>
        <v>36</v>
      </c>
      <c r="AV452" s="27" t="str">
        <f ca="1">IFERROR(__xludf.DUMMYFUNCTION("""COMPUTED_VALUE"""),"05946309404")</f>
        <v>05946309404</v>
      </c>
      <c r="AW452" s="27">
        <f ca="1">IFERROR(__xludf.DUMMYFUNCTION("""COMPUTED_VALUE"""),2846144)</f>
        <v>2846144</v>
      </c>
      <c r="AX452" s="27"/>
      <c r="AY452" s="27"/>
      <c r="AZ452" s="27" t="str">
        <f ca="1">IFERROR(__xludf.DUMMYFUNCTION("""COMPUTED_VALUE"""),"M")</f>
        <v>M</v>
      </c>
      <c r="BA452" s="27" t="str">
        <f ca="1">IFERROR(__xludf.DUMMYFUNCTION("""COMPUTED_VALUE"""),"Preta")</f>
        <v>Preta</v>
      </c>
      <c r="BB452" s="27" t="str">
        <f ca="1">IFERROR(__xludf.DUMMYFUNCTION("""COMPUTED_VALUE"""),"Mulher, cisgênero")</f>
        <v>Mulher, cisgênero</v>
      </c>
      <c r="BC452" s="27" t="str">
        <f ca="1">IFERROR(__xludf.DUMMYFUNCTION("""COMPUTED_VALUE"""),"Sim")</f>
        <v>Sim</v>
      </c>
      <c r="BD452" s="27" t="str">
        <f ca="1">IFERROR(__xludf.DUMMYFUNCTION("""COMPUTED_VALUE"""),"Mãe, Empreend Social, Artista Visual, Jurista Popular. Pintora Letrista, Produtora, Graduada em Mkt, Serviço Social, MBA em Gestão de Pessoas expertise atendimento cliente e gestão. Parte acervo Museu da Pessoa com projeto que gerou e gera soluções inovad"&amp;"oras para enfrentamento da pandemia Covid-19 nas comunidades.Prêmio ""Tamo Junto"" da Aliança Empreendedora categoria Mkt2021Pres. Associação de Mulheres Empreendedoras da ParaíbaFund. Jampa InvisívelFund. Coletivo PavilhãoEmbaix ADG BrasilParaíba")</f>
        <v>Mãe, Empreend Social, Artista Visual, Jurista Popular. Pintora Letrista, Produtora, Graduada em Mkt, Serviço Social, MBA em Gestão de Pessoas expertise atendimento cliente e gestão. Parte acervo Museu da Pessoa com projeto que gerou e gera soluções inovadoras para enfrentamento da pandemia Covid-19 nas comunidades.Prêmio "Tamo Junto" da Aliança Empreendedora categoria Mkt2021Pres. Associação de Mulheres Empreendedoras da ParaíbaFund. Jampa InvisívelFund. Coletivo PavilhãoEmbaix ADG BrasilParaíba</v>
      </c>
      <c r="BE452" s="27"/>
      <c r="BF452" s="27" t="str">
        <f ca="1">IFERROR(__xludf.DUMMYFUNCTION("""COMPUTED_VALUE"""),"Bissexual")</f>
        <v>Bissexual</v>
      </c>
      <c r="BG452" s="27" t="str">
        <f ca="1">IFERROR(__xludf.DUMMYFUNCTION("""COMPUTED_VALUE"""),"Ensino Superior - Completo")</f>
        <v>Ensino Superior - Completo</v>
      </c>
      <c r="BH452" s="27" t="str">
        <f ca="1">IFERROR(__xludf.DUMMYFUNCTION("""COMPUTED_VALUE"""),"Privado")</f>
        <v>Privado</v>
      </c>
      <c r="BI452" s="27" t="str">
        <f ca="1">IFERROR(__xludf.DUMMYFUNCTION("""COMPUTED_VALUE"""),"Pós-Graduação")</f>
        <v>Pós-Graduação</v>
      </c>
      <c r="BJ452" s="27" t="str">
        <f ca="1">IFERROR(__xludf.DUMMYFUNCTION("""COMPUTED_VALUE"""),"Público")</f>
        <v>Público</v>
      </c>
      <c r="BK452" s="27" t="str">
        <f ca="1">IFERROR(__xludf.DUMMYFUNCTION("""COMPUTED_VALUE"""),"Rua SEVERINO NUNES CORREIA")</f>
        <v>Rua SEVERINO NUNES CORREIA</v>
      </c>
      <c r="BL452" s="27">
        <f ca="1">IFERROR(__xludf.DUMMYFUNCTION("""COMPUTED_VALUE"""),47)</f>
        <v>47</v>
      </c>
      <c r="BM452" s="27" t="str">
        <f ca="1">IFERROR(__xludf.DUMMYFUNCTION("""COMPUTED_VALUE"""),"Casa")</f>
        <v>Casa</v>
      </c>
      <c r="BN452" s="27" t="str">
        <f ca="1">IFERROR(__xludf.DUMMYFUNCTION("""COMPUTED_VALUE"""),"João Pessoa")</f>
        <v>João Pessoa</v>
      </c>
      <c r="BO452" s="27" t="str">
        <f ca="1">IFERROR(__xludf.DUMMYFUNCTION("""COMPUTED_VALUE"""),"58079-127")</f>
        <v>58079-127</v>
      </c>
      <c r="BP452" s="27" t="str">
        <f ca="1">IFERROR(__xludf.DUMMYFUNCTION("""COMPUTED_VALUE"""),"PB")</f>
        <v>PB</v>
      </c>
      <c r="BQ452" s="27" t="str">
        <f ca="1">IFERROR(__xludf.DUMMYFUNCTION("""COMPUTED_VALUE"""),"Entre 1 até 3 salários mínimos")</f>
        <v>Entre 1 até 3 salários mínimos</v>
      </c>
      <c r="BR452" s="27" t="str">
        <f ca="1">IFERROR(__xludf.DUMMYFUNCTION("""COMPUTED_VALUE"""),"MEI")</f>
        <v>MEI</v>
      </c>
      <c r="BS452" s="27" t="str">
        <f ca="1">IFERROR(__xludf.DUMMYFUNCTION("""COMPUTED_VALUE"""),"Casa cedida")</f>
        <v>Casa cedida</v>
      </c>
      <c r="BT452" s="27">
        <f ca="1">IFERROR(__xludf.DUMMYFUNCTION("""COMPUTED_VALUE"""),3)</f>
        <v>3</v>
      </c>
      <c r="BU452" s="27" t="str">
        <f ca="1">IFERROR(__xludf.DUMMYFUNCTION("""COMPUTED_VALUE"""),"Não tem")</f>
        <v>Não tem</v>
      </c>
      <c r="BV452" s="27"/>
      <c r="BW452" s="21" t="str">
        <f ca="1">IFERROR(__xludf.DUMMYFUNCTION("""COMPUTED_VALUE"""),"https://br.linkedin.com/in/stefany-miranda-846776198")</f>
        <v>https://br.linkedin.com/in/stefany-miranda-846776198</v>
      </c>
      <c r="BX452" s="21" t="str">
        <f ca="1">IFERROR(__xludf.DUMMYFUNCTION("""COMPUTED_VALUE"""),"https://instagram.com/fanycaligrafia?igshid=YmMyMTA2M2Y=")</f>
        <v>https://instagram.com/fanycaligrafia?igshid=YmMyMTA2M2Y=</v>
      </c>
      <c r="BY452" s="21" t="str">
        <f ca="1">IFERROR(__xludf.DUMMYFUNCTION("""COMPUTED_VALUE"""),"https://drive.google.com/open?id=1KuJRrz0LJjkCms2jb4KlyhM15hnjx4Ru")</f>
        <v>https://drive.google.com/open?id=1KuJRrz0LJjkCms2jb4KlyhM15hnjx4Ru</v>
      </c>
    </row>
    <row r="453" spans="1:77" ht="12.5" hidden="1" x14ac:dyDescent="0.25">
      <c r="A453" s="21" t="str">
        <f ca="1">IFERROR(__xludf.DUMMYFUNCTION("""COMPUTED_VALUE"""),"0014X00002VKCu0QAH")</f>
        <v>0014X00002VKCu0QAH</v>
      </c>
      <c r="B453" s="27" t="str">
        <f ca="1">IFERROR(__xludf.DUMMYFUNCTION("""COMPUTED_VALUE"""),"Fase Inicial")</f>
        <v>Fase Inicial</v>
      </c>
      <c r="C453" s="27" t="str">
        <f ca="1">IFERROR(__xludf.DUMMYFUNCTION("""COMPUTED_VALUE"""),"Fellow")</f>
        <v>Fellow</v>
      </c>
      <c r="D453" s="27" t="str">
        <f ca="1">IFERROR(__xludf.DUMMYFUNCTION("""COMPUTED_VALUE"""),"Ativo")</f>
        <v>Ativo</v>
      </c>
      <c r="E453" s="27" t="str">
        <f ca="1">IFERROR(__xludf.DUMMYFUNCTION("""COMPUTED_VALUE"""),"José Junior Teixeira")</f>
        <v>José Junior Teixeira</v>
      </c>
      <c r="F453" s="27" t="str">
        <f ca="1">IFERROR(__xludf.DUMMYFUNCTION("""COMPUTED_VALUE"""),"JOSÉ")</f>
        <v>JOSÉ</v>
      </c>
      <c r="G453" s="27" t="str">
        <f ca="1">IFERROR(__xludf.DUMMYFUNCTION("""COMPUTED_VALUE"""),"TEIXEIRA JUDÔ")</f>
        <v>TEIXEIRA JUDÔ</v>
      </c>
      <c r="H453" s="27" t="str">
        <f ca="1">IFERROR(__xludf.DUMMYFUNCTION("""COMPUTED_VALUE"""),"35.665.332/0001-70")</f>
        <v>35.665.332/0001-70</v>
      </c>
      <c r="I453" s="27" t="str">
        <f ca="1">IFERROR(__xludf.DUMMYFUNCTION("""COMPUTED_VALUE"""),"José Junior Teixeira")</f>
        <v>José Junior Teixeira</v>
      </c>
      <c r="J453" s="27" t="str">
        <f ca="1">IFERROR(__xludf.DUMMYFUNCTION("""COMPUTED_VALUE"""),"teixeira2803.jjt@gmail.com")</f>
        <v>teixeira2803.jjt@gmail.com</v>
      </c>
      <c r="K453" s="27" t="str">
        <f ca="1">IFERROR(__xludf.DUMMYFUNCTION("""COMPUTED_VALUE"""),"(47)98446-9826")</f>
        <v>(47)98446-9826</v>
      </c>
      <c r="L453" s="27" t="str">
        <f ca="1">IFERROR(__xludf.DUMMYFUNCTION("""COMPUTED_VALUE"""),"SC")</f>
        <v>SC</v>
      </c>
      <c r="M453" s="27" t="str">
        <f ca="1">IFERROR(__xludf.DUMMYFUNCTION("""COMPUTED_VALUE"""),"Rua vereador a delsom Machado de oliveira")</f>
        <v>Rua vereador a delsom Machado de oliveira</v>
      </c>
      <c r="N453" s="27" t="str">
        <f ca="1">IFERROR(__xludf.DUMMYFUNCTION("""COMPUTED_VALUE"""),"São Paulo")</f>
        <v>São Paulo</v>
      </c>
      <c r="O453" s="27">
        <f ca="1">IFERROR(__xludf.DUMMYFUNCTION("""COMPUTED_VALUE"""),176)</f>
        <v>176</v>
      </c>
      <c r="P453" s="27" t="str">
        <f ca="1">IFERROR(__xludf.DUMMYFUNCTION("""COMPUTED_VALUE"""),"Navegante")</f>
        <v>Navegante</v>
      </c>
      <c r="Q453" s="27" t="str">
        <f ca="1">IFERROR(__xludf.DUMMYFUNCTION("""COMPUTED_VALUE"""),"casa 2")</f>
        <v>casa 2</v>
      </c>
      <c r="R453" s="27" t="str">
        <f ca="1">IFERROR(__xludf.DUMMYFUNCTION("""COMPUTED_VALUE"""),"88371-084")</f>
        <v>88371-084</v>
      </c>
      <c r="S453" s="27"/>
      <c r="T453" s="27"/>
      <c r="U453" s="27" t="str">
        <f ca="1">IFERROR(__xludf.DUMMYFUNCTION("""COMPUTED_VALUE"""),"Crianças pequenas (4 anos a 5 anos e 11 meses), Adolescentes (12 aos 18 anos), Jovens (18 aos 24 anos)")</f>
        <v>Crianças pequenas (4 anos a 5 anos e 11 meses), Adolescentes (12 aos 18 anos), Jovens (18 aos 24 anos)</v>
      </c>
      <c r="V453" s="27" t="str">
        <f ca="1">IFERROR(__xludf.DUMMYFUNCTION("""COMPUTED_VALUE"""),"Moradores de Favelas")</f>
        <v>Moradores de Favelas</v>
      </c>
      <c r="W453" s="27">
        <f ca="1">IFERROR(__xludf.DUMMYFUNCTION("""COMPUTED_VALUE"""),1)</f>
        <v>1</v>
      </c>
      <c r="X453" s="27"/>
      <c r="Y453" s="27"/>
      <c r="Z453" s="27">
        <f ca="1">IFERROR(__xludf.DUMMYFUNCTION("""COMPUTED_VALUE"""),115)</f>
        <v>115</v>
      </c>
      <c r="AA453" s="29">
        <f ca="1">IFERROR(__xludf.DUMMYFUNCTION("""COMPUTED_VALUE"""),43370)</f>
        <v>43370</v>
      </c>
      <c r="AB453" s="27" t="str">
        <f ca="1">IFERROR(__xludf.DUMMYFUNCTION("""COMPUTED_VALUE"""),"Não")</f>
        <v>Não</v>
      </c>
      <c r="AC453" s="27">
        <f ca="1">IFERROR(__xludf.DUMMYFUNCTION("""COMPUTED_VALUE"""),0)</f>
        <v>0</v>
      </c>
      <c r="AD453" s="27">
        <f ca="1">IFERROR(__xludf.DUMMYFUNCTION("""COMPUTED_VALUE"""),3)</f>
        <v>3</v>
      </c>
      <c r="AE453" s="27">
        <f ca="1">IFERROR(__xludf.DUMMYFUNCTION("""COMPUTED_VALUE"""),5)</f>
        <v>5</v>
      </c>
      <c r="AF453" s="27">
        <f ca="1">IFERROR(__xludf.DUMMYFUNCTION("""COMPUTED_VALUE"""),3)</f>
        <v>3</v>
      </c>
      <c r="AG453" s="27">
        <f ca="1">IFERROR(__xludf.DUMMYFUNCTION("""COMPUTED_VALUE"""),2)</f>
        <v>2</v>
      </c>
      <c r="AH453" s="27" t="str">
        <f ca="1">IFERROR(__xludf.DUMMYFUNCTION("""COMPUTED_VALUE"""),"Doações, Recursos próprios")</f>
        <v>Doações, Recursos próprios</v>
      </c>
      <c r="AI453" s="27">
        <f ca="1">IFERROR(__xludf.DUMMYFUNCTION("""COMPUTED_VALUE"""),0)</f>
        <v>0</v>
      </c>
      <c r="AJ453" s="27" t="str">
        <f ca="1">IFERROR(__xludf.DUMMYFUNCTION("""COMPUTED_VALUE"""),"Não")</f>
        <v>Não</v>
      </c>
      <c r="AK453" s="27"/>
      <c r="AL453" s="21" t="str">
        <f ca="1">IFERROR(__xludf.DUMMYFUNCTION("""COMPUTED_VALUE"""),"0034X0000380O5P")</f>
        <v>0034X0000380O5P</v>
      </c>
      <c r="AM453" s="27" t="str">
        <f ca="1">IFERROR(__xludf.DUMMYFUNCTION("""COMPUTED_VALUE"""),"Junior teixeira")</f>
        <v>Junior teixeira</v>
      </c>
      <c r="AN453" s="27" t="str">
        <f ca="1">IFERROR(__xludf.DUMMYFUNCTION("""COMPUTED_VALUE"""),"Ativo")</f>
        <v>Ativo</v>
      </c>
      <c r="AO453" s="29">
        <f ca="1">IFERROR(__xludf.DUMMYFUNCTION("""COMPUTED_VALUE"""),44763)</f>
        <v>44763</v>
      </c>
      <c r="AP453" s="27">
        <f ca="1">IFERROR(__xludf.DUMMYFUNCTION("""COMPUTED_VALUE"""),2)</f>
        <v>2</v>
      </c>
      <c r="AQ453" s="27" t="str">
        <f ca="1">IFERROR(__xludf.DUMMYFUNCTION("""COMPUTED_VALUE"""),"Primeiro Semestre 2022")</f>
        <v>Primeiro Semestre 2022</v>
      </c>
      <c r="AR453" s="27" t="str">
        <f ca="1">IFERROR(__xludf.DUMMYFUNCTION("""COMPUTED_VALUE"""),"teixeira2803.jjt@gmail.com")</f>
        <v>teixeira2803.jjt@gmail.com</v>
      </c>
      <c r="AS453" s="27" t="str">
        <f ca="1">IFERROR(__xludf.DUMMYFUNCTION("""COMPUTED_VALUE"""),"(47)98446-9826")</f>
        <v>(47)98446-9826</v>
      </c>
      <c r="AT453" s="29">
        <f ca="1">IFERROR(__xludf.DUMMYFUNCTION("""COMPUTED_VALUE"""),27481)</f>
        <v>27481</v>
      </c>
      <c r="AU453" s="27">
        <f ca="1">IFERROR(__xludf.DUMMYFUNCTION("""COMPUTED_VALUE"""),47)</f>
        <v>47</v>
      </c>
      <c r="AV453" s="27">
        <f ca="1">IFERROR(__xludf.DUMMYFUNCTION("""COMPUTED_VALUE"""),71351850300)</f>
        <v>71351850300</v>
      </c>
      <c r="AW453" s="27">
        <f ca="1">IFERROR(__xludf.DUMMYFUNCTION("""COMPUTED_VALUE"""),5733506)</f>
        <v>5733506</v>
      </c>
      <c r="AX453" s="27"/>
      <c r="AY453" s="27" t="str">
        <f ca="1">IFERROR(__xludf.DUMMYFUNCTION("""COMPUTED_VALUE"""),"Fundador")</f>
        <v>Fundador</v>
      </c>
      <c r="AZ453" s="27" t="str">
        <f ca="1">IFERROR(__xludf.DUMMYFUNCTION("""COMPUTED_VALUE"""),"M")</f>
        <v>M</v>
      </c>
      <c r="BA453" s="27" t="str">
        <f ca="1">IFERROR(__xludf.DUMMYFUNCTION("""COMPUTED_VALUE"""),"Branca")</f>
        <v>Branca</v>
      </c>
      <c r="BB453" s="27"/>
      <c r="BC453" s="27"/>
      <c r="BD453" s="27" t="str">
        <f ca="1">IFERROR(__xludf.DUMMYFUNCTION("""COMPUTED_VALUE"""),"José Junior Teixeira, Cristão, casado com Francisca, Pai de Yasmin, natural de amontada CE. Estou morando em Navegantes SC desde 2004. sou praticante do Judô em 2002, iniciamos o projeto social em 2018 com 15 criança e adolescente, hoje estamos atendendo "&amp;"110 alunos do município de navegantes SC.")</f>
        <v>José Junior Teixeira, Cristão, casado com Francisca, Pai de Yasmin, natural de amontada CE. Estou morando em Navegantes SC desde 2004. sou praticante do Judô em 2002, iniciamos o projeto social em 2018 com 15 criança e adolescente, hoje estamos atendendo 110 alunos do município de navegantes SC.</v>
      </c>
      <c r="BE453" s="27" t="str">
        <f ca="1">IFERROR(__xludf.DUMMYFUNCTION("""COMPUTED_VALUE"""),"Homem, cisgênero")</f>
        <v>Homem, cisgênero</v>
      </c>
      <c r="BF453" s="27" t="str">
        <f ca="1">IFERROR(__xludf.DUMMYFUNCTION("""COMPUTED_VALUE"""),"Heterossexual")</f>
        <v>Heterossexual</v>
      </c>
      <c r="BG453" s="27" t="str">
        <f ca="1">IFERROR(__xludf.DUMMYFUNCTION("""COMPUTED_VALUE"""),"Ensino Superior - Completo")</f>
        <v>Ensino Superior - Completo</v>
      </c>
      <c r="BH453" s="27" t="str">
        <f ca="1">IFERROR(__xludf.DUMMYFUNCTION("""COMPUTED_VALUE"""),"Público")</f>
        <v>Público</v>
      </c>
      <c r="BI453" s="27" t="str">
        <f ca="1">IFERROR(__xludf.DUMMYFUNCTION("""COMPUTED_VALUE"""),"Graduação")</f>
        <v>Graduação</v>
      </c>
      <c r="BJ453" s="27" t="str">
        <f ca="1">IFERROR(__xludf.DUMMYFUNCTION("""COMPUTED_VALUE"""),"Privado")</f>
        <v>Privado</v>
      </c>
      <c r="BK453" s="27" t="str">
        <f ca="1">IFERROR(__xludf.DUMMYFUNCTION("""COMPUTED_VALUE"""),"Rua:Vereador Adelson Machado de Oliveira")</f>
        <v>Rua:Vereador Adelson Machado de Oliveira</v>
      </c>
      <c r="BL453" s="27">
        <f ca="1">IFERROR(__xludf.DUMMYFUNCTION("""COMPUTED_VALUE"""),176)</f>
        <v>176</v>
      </c>
      <c r="BM453" s="27" t="str">
        <f ca="1">IFERROR(__xludf.DUMMYFUNCTION("""COMPUTED_VALUE"""),"casa 2")</f>
        <v>casa 2</v>
      </c>
      <c r="BN453" s="27" t="str">
        <f ca="1">IFERROR(__xludf.DUMMYFUNCTION("""COMPUTED_VALUE"""),"Navegantes")</f>
        <v>Navegantes</v>
      </c>
      <c r="BO453" s="27" t="str">
        <f ca="1">IFERROR(__xludf.DUMMYFUNCTION("""COMPUTED_VALUE"""),"88371-084")</f>
        <v>88371-084</v>
      </c>
      <c r="BP453" s="27" t="str">
        <f ca="1">IFERROR(__xludf.DUMMYFUNCTION("""COMPUTED_VALUE"""),"SC")</f>
        <v>SC</v>
      </c>
      <c r="BQ453" s="27" t="str">
        <f ca="1">IFERROR(__xludf.DUMMYFUNCTION("""COMPUTED_VALUE"""),"Entre 1 até 3 salários mínimos")</f>
        <v>Entre 1 até 3 salários mínimos</v>
      </c>
      <c r="BR453" s="27" t="str">
        <f ca="1">IFERROR(__xludf.DUMMYFUNCTION("""COMPUTED_VALUE"""),"CLT")</f>
        <v>CLT</v>
      </c>
      <c r="BS453" s="27" t="str">
        <f ca="1">IFERROR(__xludf.DUMMYFUNCTION("""COMPUTED_VALUE"""),"Casa própria")</f>
        <v>Casa própria</v>
      </c>
      <c r="BT453" s="27">
        <f ca="1">IFERROR(__xludf.DUMMYFUNCTION("""COMPUTED_VALUE"""),3)</f>
        <v>3</v>
      </c>
      <c r="BU453" s="27" t="str">
        <f ca="1">IFERROR(__xludf.DUMMYFUNCTION("""COMPUTED_VALUE"""),"Deficiência física")</f>
        <v>Deficiência física</v>
      </c>
      <c r="BV453" s="27" t="str">
        <f ca="1">IFERROR(__xludf.DUMMYFUNCTION("""COMPUTED_VALUE"""),"Não")</f>
        <v>Não</v>
      </c>
      <c r="BW453" s="21" t="str">
        <f ca="1">IFERROR(__xludf.DUMMYFUNCTION("""COMPUTED_VALUE"""),"https://www.linkedin.com/feed/")</f>
        <v>https://www.linkedin.com/feed/</v>
      </c>
      <c r="BX453" s="21" t="str">
        <f ca="1">IFERROR(__xludf.DUMMYFUNCTION("""COMPUTED_VALUE"""),"https://instagram.com/teixeira_judo?igshid=YmMyMTA2M2Y=")</f>
        <v>https://instagram.com/teixeira_judo?igshid=YmMyMTA2M2Y=</v>
      </c>
      <c r="BY453" s="21" t="str">
        <f ca="1">IFERROR(__xludf.DUMMYFUNCTION("""COMPUTED_VALUE"""),"https://drive.google.com/open?id=1on4aWaykZfnvbdM3YJcKsN55JyXT8hmu")</f>
        <v>https://drive.google.com/open?id=1on4aWaykZfnvbdM3YJcKsN55JyXT8hmu</v>
      </c>
    </row>
    <row r="454" spans="1:77" ht="12.5" x14ac:dyDescent="0.25">
      <c r="A454" s="21" t="str">
        <f ca="1">IFERROR(__xludf.DUMMYFUNCTION("""COMPUTED_VALUE"""),"0014P00003YSp8mQAD")</f>
        <v>0014P00003YSp8mQAD</v>
      </c>
      <c r="B454" s="27" t="str">
        <f ca="1">IFERROR(__xludf.DUMMYFUNCTION("""COMPUTED_VALUE"""),"Fase Inicial")</f>
        <v>Fase Inicial</v>
      </c>
      <c r="C454" s="27" t="str">
        <f ca="1">IFERROR(__xludf.DUMMYFUNCTION("""COMPUTED_VALUE"""),"Fellow")</f>
        <v>Fellow</v>
      </c>
      <c r="D454" s="27" t="str">
        <f ca="1">IFERROR(__xludf.DUMMYFUNCTION("""COMPUTED_VALUE"""),"Ativo")</f>
        <v>Ativo</v>
      </c>
      <c r="E454" s="27" t="str">
        <f ca="1">IFERROR(__xludf.DUMMYFUNCTION("""COMPUTED_VALUE"""),"judo uniao de guaianases")</f>
        <v>judo uniao de guaianases</v>
      </c>
      <c r="F454" s="27" t="str">
        <f ca="1">IFERROR(__xludf.DUMMYFUNCTION("""COMPUTED_VALUE"""),"Samuel")</f>
        <v>Samuel</v>
      </c>
      <c r="G454" s="27"/>
      <c r="H454" s="27"/>
      <c r="I454" s="27" t="str">
        <f ca="1">IFERROR(__xludf.DUMMYFUNCTION("""COMPUTED_VALUE"""),"Samuel Soares da Silva")</f>
        <v>Samuel Soares da Silva</v>
      </c>
      <c r="J454" s="27"/>
      <c r="K454" s="27" t="str">
        <f ca="1">IFERROR(__xludf.DUMMYFUNCTION("""COMPUTED_VALUE"""),"(11)97793-2091")</f>
        <v>(11)97793-2091</v>
      </c>
      <c r="L454" s="27" t="str">
        <f ca="1">IFERROR(__xludf.DUMMYFUNCTION("""COMPUTED_VALUE"""),"SP")</f>
        <v>SP</v>
      </c>
      <c r="M454" s="27" t="str">
        <f ca="1">IFERROR(__xludf.DUMMYFUNCTION("""COMPUTED_VALUE"""),"Rua Jerônimo Dias Ribeiro 193")</f>
        <v>Rua Jerônimo Dias Ribeiro 193</v>
      </c>
      <c r="N454" s="27" t="str">
        <f ca="1">IFERROR(__xludf.DUMMYFUNCTION("""COMPUTED_VALUE"""),"guaianases")</f>
        <v>guaianases</v>
      </c>
      <c r="O454" s="27">
        <f ca="1">IFERROR(__xludf.DUMMYFUNCTION("""COMPUTED_VALUE"""),193)</f>
        <v>193</v>
      </c>
      <c r="P454" s="27" t="str">
        <f ca="1">IFERROR(__xludf.DUMMYFUNCTION("""COMPUTED_VALUE"""),"São Paulo")</f>
        <v>São Paulo</v>
      </c>
      <c r="Q454" s="27"/>
      <c r="R454" s="27" t="str">
        <f ca="1">IFERROR(__xludf.DUMMYFUNCTION("""COMPUTED_VALUE"""),"08461-560")</f>
        <v>08461-560</v>
      </c>
      <c r="S454" s="27"/>
      <c r="T454" s="27" t="str">
        <f ca="1">IFERROR(__xludf.DUMMYFUNCTION("""COMPUTED_VALUE"""),"Esporte; Educação; Assistência Social")</f>
        <v>Esporte; Educação; Assistência Social</v>
      </c>
      <c r="U454"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454" s="27" t="str">
        <f ca="1">IFERROR(__xludf.DUMMYFUNCTION("""COMPUTED_VALUE"""),"Moradores de Favelas; Pessoas em situação de rua; População LGBTQ+; Povos Indígenas; Quilombola; Afrodescendentes; Dependentes Químicos; Pessoas com Deficiência; Egressos sistema carcerário; Imigrantes; Refugiados; Ribeirinhos; Comunidade rural")</f>
        <v>Moradores de Favelas; Pessoas em situação de rua; População LGBTQ+; Povos Indígenas; Quilombola; Afrodescendentes; Dependentes Químicos; Pessoas com Deficiência; Egressos sistema carcerário; Imigrantes; Refugiados; Ribeirinhos; Comunidade rural</v>
      </c>
      <c r="W454" s="27">
        <f ca="1">IFERROR(__xludf.DUMMYFUNCTION("""COMPUTED_VALUE"""),2)</f>
        <v>2</v>
      </c>
      <c r="X454" s="27"/>
      <c r="Y454" s="27"/>
      <c r="Z454" s="27">
        <f ca="1">IFERROR(__xludf.DUMMYFUNCTION("""COMPUTED_VALUE"""),80)</f>
        <v>80</v>
      </c>
      <c r="AA454" s="30">
        <f ca="1">IFERROR(__xludf.DUMMYFUNCTION("""COMPUTED_VALUE"""),43089)</f>
        <v>43089</v>
      </c>
      <c r="AB454" s="27" t="str">
        <f ca="1">IFERROR(__xludf.DUMMYFUNCTION("""COMPUTED_VALUE"""),"Não")</f>
        <v>Não</v>
      </c>
      <c r="AC454" s="27">
        <f ca="1">IFERROR(__xludf.DUMMYFUNCTION("""COMPUTED_VALUE"""),11)</f>
        <v>11</v>
      </c>
      <c r="AD454" s="27">
        <f ca="1">IFERROR(__xludf.DUMMYFUNCTION("""COMPUTED_VALUE"""),4)</f>
        <v>4</v>
      </c>
      <c r="AE454" s="27">
        <f ca="1">IFERROR(__xludf.DUMMYFUNCTION("""COMPUTED_VALUE"""),11)</f>
        <v>11</v>
      </c>
      <c r="AF454" s="27">
        <f ca="1">IFERROR(__xludf.DUMMYFUNCTION("""COMPUTED_VALUE"""),3)</f>
        <v>3</v>
      </c>
      <c r="AG454" s="27">
        <f ca="1">IFERROR(__xludf.DUMMYFUNCTION("""COMPUTED_VALUE"""),4)</f>
        <v>4</v>
      </c>
      <c r="AH454" s="27" t="str">
        <f ca="1">IFERROR(__xludf.DUMMYFUNCTION("""COMPUTED_VALUE"""),"Eventos/Ações para captação; Recursos próprios")</f>
        <v>Eventos/Ações para captação; Recursos próprios</v>
      </c>
      <c r="AI454" s="27">
        <f ca="1">IFERROR(__xludf.DUMMYFUNCTION("""COMPUTED_VALUE"""),0)</f>
        <v>0</v>
      </c>
      <c r="AJ454" s="27"/>
      <c r="AK454" s="27"/>
      <c r="AL454" s="21" t="str">
        <f ca="1">IFERROR(__xludf.DUMMYFUNCTION("""COMPUTED_VALUE"""),"0034P000045kxjO")</f>
        <v>0034P000045kxjO</v>
      </c>
      <c r="AM454" s="27" t="str">
        <f ca="1">IFERROR(__xludf.DUMMYFUNCTION("""COMPUTED_VALUE"""),"Soares Da Silva")</f>
        <v>Soares Da Silva</v>
      </c>
      <c r="AN454" s="27" t="str">
        <f ca="1">IFERROR(__xludf.DUMMYFUNCTION("""COMPUTED_VALUE"""),"Ativo")</f>
        <v>Ativo</v>
      </c>
      <c r="AO454" s="30">
        <f ca="1">IFERROR(__xludf.DUMMYFUNCTION("""COMPUTED_VALUE"""),44551)</f>
        <v>44551</v>
      </c>
      <c r="AP454" s="27">
        <f ca="1">IFERROR(__xludf.DUMMYFUNCTION("""COMPUTED_VALUE"""),9)</f>
        <v>9</v>
      </c>
      <c r="AQ454" s="27" t="str">
        <f ca="1">IFERROR(__xludf.DUMMYFUNCTION("""COMPUTED_VALUE"""),"Segundo Semestre 2021")</f>
        <v>Segundo Semestre 2021</v>
      </c>
      <c r="AR454" s="27" t="str">
        <f ca="1">IFERROR(__xludf.DUMMYFUNCTION("""COMPUTED_VALUE"""),"sasoasi68@yaho.com.br")</f>
        <v>sasoasi68@yaho.com.br</v>
      </c>
      <c r="AS454" s="27" t="str">
        <f ca="1">IFERROR(__xludf.DUMMYFUNCTION("""COMPUTED_VALUE"""),"(11)97793-2091")</f>
        <v>(11)97793-2091</v>
      </c>
      <c r="AT454" s="29">
        <f ca="1">IFERROR(__xludf.DUMMYFUNCTION("""COMPUTED_VALUE"""),24886)</f>
        <v>24886</v>
      </c>
      <c r="AU454" s="27">
        <f ca="1">IFERROR(__xludf.DUMMYFUNCTION("""COMPUTED_VALUE"""),54)</f>
        <v>54</v>
      </c>
      <c r="AV454" s="27">
        <f ca="1">IFERROR(__xludf.DUMMYFUNCTION("""COMPUTED_VALUE"""),12803470829)</f>
        <v>12803470829</v>
      </c>
      <c r="AW454" s="27">
        <f ca="1">IFERROR(__xludf.DUMMYFUNCTION("""COMPUTED_VALUE"""),179675631)</f>
        <v>179675631</v>
      </c>
      <c r="AX454" s="27"/>
      <c r="AY454" s="27"/>
      <c r="AZ454" s="27" t="str">
        <f ca="1">IFERROR(__xludf.DUMMYFUNCTION("""COMPUTED_VALUE"""),"GG")</f>
        <v>GG</v>
      </c>
      <c r="BA454" s="27" t="str">
        <f ca="1">IFERROR(__xludf.DUMMYFUNCTION("""COMPUTED_VALUE"""),"Parda")</f>
        <v>Parda</v>
      </c>
      <c r="BB454" s="27" t="str">
        <f ca="1">IFERROR(__xludf.DUMMYFUNCTION("""COMPUTED_VALUE"""),"Homem, cisgênero")</f>
        <v>Homem, cisgênero</v>
      </c>
      <c r="BC454" s="27" t="str">
        <f ca="1">IFERROR(__xludf.DUMMYFUNCTION("""COMPUTED_VALUE"""),"Não")</f>
        <v>Não</v>
      </c>
      <c r="BD454" s="27" t="str">
        <f ca="1">IFERROR(__xludf.DUMMYFUNCTION("""COMPUTED_VALUE"""),"Meu nome é Samuel Soares da Silva natural do Rio de Janeiro em São Paulo desde 75
Tenho 54 anos casado 1 filho")</f>
        <v>Meu nome é Samuel Soares da Silva natural do Rio de Janeiro em São Paulo desde 75
Tenho 54 anos casado 1 filho</v>
      </c>
      <c r="BE454" s="27"/>
      <c r="BF454" s="27" t="str">
        <f ca="1">IFERROR(__xludf.DUMMYFUNCTION("""COMPUTED_VALUE"""),"Heterossexual")</f>
        <v>Heterossexual</v>
      </c>
      <c r="BG454" s="27" t="str">
        <f ca="1">IFERROR(__xludf.DUMMYFUNCTION("""COMPUTED_VALUE"""),"Ensino Médio - Completo")</f>
        <v>Ensino Médio - Completo</v>
      </c>
      <c r="BH454" s="27" t="str">
        <f ca="1">IFERROR(__xludf.DUMMYFUNCTION("""COMPUTED_VALUE"""),"Pública")</f>
        <v>Pública</v>
      </c>
      <c r="BI454" s="27"/>
      <c r="BJ454" s="27"/>
      <c r="BK454" s="27" t="str">
        <f ca="1">IFERROR(__xludf.DUMMYFUNCTION("""COMPUTED_VALUE"""),"Rua diaulas Parreira")</f>
        <v>Rua diaulas Parreira</v>
      </c>
      <c r="BL454" s="27">
        <f ca="1">IFERROR(__xludf.DUMMYFUNCTION("""COMPUTED_VALUE"""),106)</f>
        <v>106</v>
      </c>
      <c r="BM454" s="27" t="str">
        <f ca="1">IFERROR(__xludf.DUMMYFUNCTION("""COMPUTED_VALUE"""),"Casa 6")</f>
        <v>Casa 6</v>
      </c>
      <c r="BN454" s="27" t="str">
        <f ca="1">IFERROR(__xludf.DUMMYFUNCTION("""COMPUTED_VALUE"""),"São Paulo")</f>
        <v>São Paulo</v>
      </c>
      <c r="BO454" s="27" t="str">
        <f ca="1">IFERROR(__xludf.DUMMYFUNCTION("""COMPUTED_VALUE"""),"08410-490")</f>
        <v>08410-490</v>
      </c>
      <c r="BP454" s="27" t="str">
        <f ca="1">IFERROR(__xludf.DUMMYFUNCTION("""COMPUTED_VALUE"""),"SP")</f>
        <v>SP</v>
      </c>
      <c r="BQ454" s="27" t="str">
        <f ca="1">IFERROR(__xludf.DUMMYFUNCTION("""COMPUTED_VALUE"""),"Entre 1 até 3 salários mínimos")</f>
        <v>Entre 1 até 3 salários mínimos</v>
      </c>
      <c r="BR454" s="27" t="str">
        <f ca="1">IFERROR(__xludf.DUMMYFUNCTION("""COMPUTED_VALUE"""),"CLT; Trabalho informal")</f>
        <v>CLT; Trabalho informal</v>
      </c>
      <c r="BS454" s="27" t="str">
        <f ca="1">IFERROR(__xludf.DUMMYFUNCTION("""COMPUTED_VALUE"""),"Aluguel")</f>
        <v>Aluguel</v>
      </c>
      <c r="BT454" s="27">
        <f ca="1">IFERROR(__xludf.DUMMYFUNCTION("""COMPUTED_VALUE"""),3)</f>
        <v>3</v>
      </c>
      <c r="BU454" s="27" t="str">
        <f ca="1">IFERROR(__xludf.DUMMYFUNCTION("""COMPUTED_VALUE"""),"Não tem")</f>
        <v>Não tem</v>
      </c>
      <c r="BV454" s="27"/>
      <c r="BW454" s="27"/>
      <c r="BX454" s="21" t="str">
        <f ca="1">IFERROR(__xludf.DUMMYFUNCTION("""COMPUTED_VALUE"""),"https://instagram.com/samuel.soares.716195?utm_medium=copy_link")</f>
        <v>https://instagram.com/samuel.soares.716195?utm_medium=copy_link</v>
      </c>
      <c r="BY454" s="21" t="str">
        <f ca="1">IFERROR(__xludf.DUMMYFUNCTION("""COMPUTED_VALUE"""),"https://drive.google.com/open?id=1YHylL6BWm1hitVgQJT8vmbey2vqKuPVh")</f>
        <v>https://drive.google.com/open?id=1YHylL6BWm1hitVgQJT8vmbey2vqKuPVh</v>
      </c>
    </row>
    <row r="455" spans="1:77" ht="12.5" x14ac:dyDescent="0.25">
      <c r="A455" s="21" t="str">
        <f ca="1">IFERROR(__xludf.DUMMYFUNCTION("""COMPUTED_VALUE"""),"0014P00003YSp9RQAT")</f>
        <v>0014P00003YSp9RQAT</v>
      </c>
      <c r="B455" s="27" t="str">
        <f ca="1">IFERROR(__xludf.DUMMYFUNCTION("""COMPUTED_VALUE"""),"Fase Inicial")</f>
        <v>Fase Inicial</v>
      </c>
      <c r="C455" s="27" t="str">
        <f ca="1">IFERROR(__xludf.DUMMYFUNCTION("""COMPUTED_VALUE"""),"Fellow")</f>
        <v>Fellow</v>
      </c>
      <c r="D455" s="27" t="str">
        <f ca="1">IFERROR(__xludf.DUMMYFUNCTION("""COMPUTED_VALUE"""),"Ativo")</f>
        <v>Ativo</v>
      </c>
      <c r="E455" s="27" t="str">
        <f ca="1">IFERROR(__xludf.DUMMYFUNCTION("""COMPUTED_VALUE"""),"Junta que Ajuda")</f>
        <v>Junta que Ajuda</v>
      </c>
      <c r="F455" s="27" t="str">
        <f ca="1">IFERROR(__xludf.DUMMYFUNCTION("""COMPUTED_VALUE"""),"Fernanda")</f>
        <v>Fernanda</v>
      </c>
      <c r="G455" s="27"/>
      <c r="H455" s="27">
        <f ca="1">IFERROR(__xludf.DUMMYFUNCTION("""COMPUTED_VALUE"""),39970011000130)</f>
        <v>39970011000130</v>
      </c>
      <c r="I455" s="27" t="str">
        <f ca="1">IFERROR(__xludf.DUMMYFUNCTION("""COMPUTED_VALUE"""),"Fernanda Rocha Campanile")</f>
        <v>Fernanda Rocha Campanile</v>
      </c>
      <c r="J455" s="27" t="str">
        <f ca="1">IFERROR(__xludf.DUMMYFUNCTION("""COMPUTED_VALUE"""),"juntaqueajuda@outlook.com")</f>
        <v>juntaqueajuda@outlook.com</v>
      </c>
      <c r="K455" s="27" t="str">
        <f ca="1">IFERROR(__xludf.DUMMYFUNCTION("""COMPUTED_VALUE"""),"(11)99504-1337")</f>
        <v>(11)99504-1337</v>
      </c>
      <c r="L455" s="27" t="str">
        <f ca="1">IFERROR(__xludf.DUMMYFUNCTION("""COMPUTED_VALUE"""),"SP")</f>
        <v>SP</v>
      </c>
      <c r="M455" s="27" t="str">
        <f ca="1">IFERROR(__xludf.DUMMYFUNCTION("""COMPUTED_VALUE"""),"Avenida 9 de Julho")</f>
        <v>Avenida 9 de Julho</v>
      </c>
      <c r="N455" s="27" t="str">
        <f ca="1">IFERROR(__xludf.DUMMYFUNCTION("""COMPUTED_VALUE"""),"centro")</f>
        <v>centro</v>
      </c>
      <c r="O455" s="27">
        <f ca="1">IFERROR(__xludf.DUMMYFUNCTION("""COMPUTED_VALUE"""),240)</f>
        <v>240</v>
      </c>
      <c r="P455" s="27" t="str">
        <f ca="1">IFERROR(__xludf.DUMMYFUNCTION("""COMPUTED_VALUE"""),"Poá")</f>
        <v>Poá</v>
      </c>
      <c r="Q455" s="27" t="str">
        <f ca="1">IFERROR(__xludf.DUMMYFUNCTION("""COMPUTED_VALUE"""),"sala 2")</f>
        <v>sala 2</v>
      </c>
      <c r="R455" s="27">
        <f ca="1">IFERROR(__xludf.DUMMYFUNCTION("""COMPUTED_VALUE"""),8550100)</f>
        <v>8550100</v>
      </c>
      <c r="S455" s="27"/>
      <c r="T455" s="27"/>
      <c r="U455" s="27"/>
      <c r="V455" s="27"/>
      <c r="W455" s="27">
        <f ca="1">IFERROR(__xludf.DUMMYFUNCTION("""COMPUTED_VALUE"""),10)</f>
        <v>10</v>
      </c>
      <c r="X455" s="27" t="str">
        <f ca="1">IFERROR(__xludf.DUMMYFUNCTION("""COMPUTED_VALUE"""),"Não atendemos o mesmo local frequentemente em cada ação procuramos um novo lugar")</f>
        <v>Não atendemos o mesmo local frequentemente em cada ação procuramos um novo lugar</v>
      </c>
      <c r="Y455" s="27"/>
      <c r="Z455" s="27">
        <f ca="1">IFERROR(__xludf.DUMMYFUNCTION("""COMPUTED_VALUE"""),3500)</f>
        <v>3500</v>
      </c>
      <c r="AA455" s="29">
        <f ca="1">IFERROR(__xludf.DUMMYFUNCTION("""COMPUTED_VALUE"""),44041)</f>
        <v>44041</v>
      </c>
      <c r="AB455" s="27" t="str">
        <f ca="1">IFERROR(__xludf.DUMMYFUNCTION("""COMPUTED_VALUE"""),"Sim")</f>
        <v>Sim</v>
      </c>
      <c r="AC455" s="27">
        <f ca="1">IFERROR(__xludf.DUMMYFUNCTION("""COMPUTED_VALUE"""),0)</f>
        <v>0</v>
      </c>
      <c r="AD455" s="27"/>
      <c r="AE455" s="27">
        <f ca="1">IFERROR(__xludf.DUMMYFUNCTION("""COMPUTED_VALUE"""),10)</f>
        <v>10</v>
      </c>
      <c r="AF455" s="27"/>
      <c r="AG455" s="27">
        <f ca="1">IFERROR(__xludf.DUMMYFUNCTION("""COMPUTED_VALUE"""),4)</f>
        <v>4</v>
      </c>
      <c r="AH455" s="27"/>
      <c r="AI455" s="27"/>
      <c r="AJ455" s="27"/>
      <c r="AK455" s="27"/>
      <c r="AL455" s="21" t="str">
        <f ca="1">IFERROR(__xludf.DUMMYFUNCTION("""COMPUTED_VALUE"""),"0034P000045kxk3")</f>
        <v>0034P000045kxk3</v>
      </c>
      <c r="AM455" s="27" t="str">
        <f ca="1">IFERROR(__xludf.DUMMYFUNCTION("""COMPUTED_VALUE"""),"Fernanda Rocha Campanile")</f>
        <v>Fernanda Rocha Campanile</v>
      </c>
      <c r="AN455" s="27" t="str">
        <f ca="1">IFERROR(__xludf.DUMMYFUNCTION("""COMPUTED_VALUE"""),"Ativo")</f>
        <v>Ativo</v>
      </c>
      <c r="AO455" s="30">
        <f ca="1">IFERROR(__xludf.DUMMYFUNCTION("""COMPUTED_VALUE"""),44551)</f>
        <v>44551</v>
      </c>
      <c r="AP455" s="27">
        <f ca="1">IFERROR(__xludf.DUMMYFUNCTION("""COMPUTED_VALUE"""),9)</f>
        <v>9</v>
      </c>
      <c r="AQ455" s="27" t="str">
        <f ca="1">IFERROR(__xludf.DUMMYFUNCTION("""COMPUTED_VALUE"""),"Segundo Semestre 2021")</f>
        <v>Segundo Semestre 2021</v>
      </c>
      <c r="AR455" s="27" t="str">
        <f ca="1">IFERROR(__xludf.DUMMYFUNCTION("""COMPUTED_VALUE"""),"fercampanile@gmail.com")</f>
        <v>fercampanile@gmail.com</v>
      </c>
      <c r="AS455" s="27" t="str">
        <f ca="1">IFERROR(__xludf.DUMMYFUNCTION("""COMPUTED_VALUE"""),"(11)99504-1337")</f>
        <v>(11)99504-1337</v>
      </c>
      <c r="AT455" s="29">
        <f ca="1">IFERROR(__xludf.DUMMYFUNCTION("""COMPUTED_VALUE"""),35342)</f>
        <v>35342</v>
      </c>
      <c r="AU455" s="27">
        <f ca="1">IFERROR(__xludf.DUMMYFUNCTION("""COMPUTED_VALUE"""),26)</f>
        <v>26</v>
      </c>
      <c r="AV455" s="27">
        <f ca="1">IFERROR(__xludf.DUMMYFUNCTION("""COMPUTED_VALUE"""),37963323829)</f>
        <v>37963323829</v>
      </c>
      <c r="AW455" s="27">
        <f ca="1">IFERROR(__xludf.DUMMYFUNCTION("""COMPUTED_VALUE"""),458820842)</f>
        <v>458820842</v>
      </c>
      <c r="AX455" s="27"/>
      <c r="AY455" s="27"/>
      <c r="AZ455" s="27" t="str">
        <f ca="1">IFERROR(__xludf.DUMMYFUNCTION("""COMPUTED_VALUE"""),"P")</f>
        <v>P</v>
      </c>
      <c r="BA455" s="27" t="str">
        <f ca="1">IFERROR(__xludf.DUMMYFUNCTION("""COMPUTED_VALUE"""),"Branca")</f>
        <v>Branca</v>
      </c>
      <c r="BB455" s="27" t="str">
        <f ca="1">IFERROR(__xludf.DUMMYFUNCTION("""COMPUTED_VALUE"""),"Mulher, cisgênero")</f>
        <v>Mulher, cisgênero</v>
      </c>
      <c r="BC455" s="27" t="str">
        <f ca="1">IFERROR(__xludf.DUMMYFUNCTION("""COMPUTED_VALUE"""),"Não")</f>
        <v>Não</v>
      </c>
      <c r="BD455" s="27" t="str">
        <f ca="1">IFERROR(__xludf.DUMMYFUNCTION("""COMPUTED_VALUE"""),"26 anos e brasileira, nascida em São Paulo e hoje residente de Suzano, na vontade de ser parte da solução do combate à fome fundei o Junta que ajuda, primeira ong no Brasil a reciclar lacres por alimento. Através da sustentabilidade combatemos a fome e mo"&amp;"bilizamos cidades e centenas de pessoas nessa causa.")</f>
        <v>26 anos e brasileira, nascida em São Paulo e hoje residente de Suzano, na vontade de ser parte da solução do combate à fome fundei o Junta que ajuda, primeira ong no Brasil a reciclar lacres por alimento. Através da sustentabilidade combatemos a fome e mobilizamos cidades e centenas de pessoas nessa causa.</v>
      </c>
      <c r="BE455" s="27"/>
      <c r="BF455" s="27" t="str">
        <f ca="1">IFERROR(__xludf.DUMMYFUNCTION("""COMPUTED_VALUE"""),"Heterossexual")</f>
        <v>Heterossexual</v>
      </c>
      <c r="BG455" s="27" t="str">
        <f ca="1">IFERROR(__xludf.DUMMYFUNCTION("""COMPUTED_VALUE"""),"Ensino Superior - Completo")</f>
        <v>Ensino Superior - Completo</v>
      </c>
      <c r="BH455" s="27" t="str">
        <f ca="1">IFERROR(__xludf.DUMMYFUNCTION("""COMPUTED_VALUE"""),"Privado")</f>
        <v>Privado</v>
      </c>
      <c r="BI455" s="27" t="str">
        <f ca="1">IFERROR(__xludf.DUMMYFUNCTION("""COMPUTED_VALUE"""),"Pós-Graduação")</f>
        <v>Pós-Graduação</v>
      </c>
      <c r="BJ455" s="27" t="str">
        <f ca="1">IFERROR(__xludf.DUMMYFUNCTION("""COMPUTED_VALUE"""),"Privado")</f>
        <v>Privado</v>
      </c>
      <c r="BK455" s="27" t="str">
        <f ca="1">IFERROR(__xludf.DUMMYFUNCTION("""COMPUTED_VALUE"""),"27 de outubro, 224")</f>
        <v>27 de outubro, 224</v>
      </c>
      <c r="BL455" s="27">
        <f ca="1">IFERROR(__xludf.DUMMYFUNCTION("""COMPUTED_VALUE"""),224)</f>
        <v>224</v>
      </c>
      <c r="BM455" s="27">
        <f ca="1">IFERROR(__xludf.DUMMYFUNCTION("""COMPUTED_VALUE"""),24)</f>
        <v>24</v>
      </c>
      <c r="BN455" s="27" t="str">
        <f ca="1">IFERROR(__xludf.DUMMYFUNCTION("""COMPUTED_VALUE"""),"Suzano")</f>
        <v>Suzano</v>
      </c>
      <c r="BO455" s="27" t="str">
        <f ca="1">IFERROR(__xludf.DUMMYFUNCTION("""COMPUTED_VALUE"""),"08674-200")</f>
        <v>08674-200</v>
      </c>
      <c r="BP455" s="27" t="str">
        <f ca="1">IFERROR(__xludf.DUMMYFUNCTION("""COMPUTED_VALUE"""),"SP")</f>
        <v>SP</v>
      </c>
      <c r="BQ455" s="27" t="str">
        <f ca="1">IFERROR(__xludf.DUMMYFUNCTION("""COMPUTED_VALUE"""),"Entre 1 até 3 salários mínimos")</f>
        <v>Entre 1 até 3 salários mínimos</v>
      </c>
      <c r="BR455" s="27" t="str">
        <f ca="1">IFERROR(__xludf.DUMMYFUNCTION("""COMPUTED_VALUE"""),"Trabalho informal")</f>
        <v>Trabalho informal</v>
      </c>
      <c r="BS455" s="27" t="str">
        <f ca="1">IFERROR(__xludf.DUMMYFUNCTION("""COMPUTED_VALUE"""),"Aluguel")</f>
        <v>Aluguel</v>
      </c>
      <c r="BT455" s="27">
        <f ca="1">IFERROR(__xludf.DUMMYFUNCTION("""COMPUTED_VALUE"""),1)</f>
        <v>1</v>
      </c>
      <c r="BU455" s="27" t="str">
        <f ca="1">IFERROR(__xludf.DUMMYFUNCTION("""COMPUTED_VALUE"""),"Não tem")</f>
        <v>Não tem</v>
      </c>
      <c r="BV455" s="27"/>
      <c r="BW455" s="27"/>
      <c r="BX455" s="21" t="str">
        <f ca="1">IFERROR(__xludf.DUMMYFUNCTION("""COMPUTED_VALUE"""),"Instagram.com/fecampanile")</f>
        <v>Instagram.com/fecampanile</v>
      </c>
      <c r="BY455" s="21" t="str">
        <f ca="1">IFERROR(__xludf.DUMMYFUNCTION("""COMPUTED_VALUE"""),"https://drive.google.com/open?id=1C-mYkiCXLYAyKMWJ2tWkQHSvO_GzLGX7")</f>
        <v>https://drive.google.com/open?id=1C-mYkiCXLYAyKMWJ2tWkQHSvO_GzLGX7</v>
      </c>
    </row>
    <row r="456" spans="1:77" ht="12.5" x14ac:dyDescent="0.25">
      <c r="A456" s="21" t="str">
        <f ca="1">IFERROR(__xludf.DUMMYFUNCTION("""COMPUTED_VALUE"""),"0014P00003SGWQ0QAP")</f>
        <v>0014P00003SGWQ0QAP</v>
      </c>
      <c r="B456" s="27" t="str">
        <f ca="1">IFERROR(__xludf.DUMMYFUNCTION("""COMPUTED_VALUE"""),"Fase Inicial")</f>
        <v>Fase Inicial</v>
      </c>
      <c r="C456" s="27" t="str">
        <f ca="1">IFERROR(__xludf.DUMMYFUNCTION("""COMPUTED_VALUE"""),"Fellow")</f>
        <v>Fellow</v>
      </c>
      <c r="D456" s="27" t="str">
        <f ca="1">IFERROR(__xludf.DUMMYFUNCTION("""COMPUTED_VALUE"""),"Ativo")</f>
        <v>Ativo</v>
      </c>
      <c r="E456" s="27" t="str">
        <f ca="1">IFERROR(__xludf.DUMMYFUNCTION("""COMPUTED_VALUE"""),"KYRIUS CIA DE ARTES")</f>
        <v>KYRIUS CIA DE ARTES</v>
      </c>
      <c r="F456" s="27" t="str">
        <f ca="1">IFERROR(__xludf.DUMMYFUNCTION("""COMPUTED_VALUE"""),"Katia")</f>
        <v>Katia</v>
      </c>
      <c r="G456" s="27" t="str">
        <f ca="1">IFERROR(__xludf.DUMMYFUNCTION("""COMPUTED_VALUE"""),"KYRIUS")</f>
        <v>KYRIUS</v>
      </c>
      <c r="H456" s="27" t="str">
        <f ca="1">IFERROR(__xludf.DUMMYFUNCTION("""COMPUTED_VALUE"""),"06.329.045/0001-90")</f>
        <v>06.329.045/0001-90</v>
      </c>
      <c r="I456" s="27" t="str">
        <f ca="1">IFERROR(__xludf.DUMMYFUNCTION("""COMPUTED_VALUE"""),"José Nilton Batista Soares")</f>
        <v>José Nilton Batista Soares</v>
      </c>
      <c r="J456" s="27" t="str">
        <f ca="1">IFERROR(__xludf.DUMMYFUNCTION("""COMPUTED_VALUE"""),"kyrius.artes@gmail.com")</f>
        <v>kyrius.artes@gmail.com</v>
      </c>
      <c r="K456" s="27" t="str">
        <f ca="1">IFERROR(__xludf.DUMMYFUNCTION("""COMPUTED_VALUE"""),"(31)9917-55109")</f>
        <v>(31)9917-55109</v>
      </c>
      <c r="L456" s="27" t="str">
        <f ca="1">IFERROR(__xludf.DUMMYFUNCTION("""COMPUTED_VALUE"""),"MG")</f>
        <v>MG</v>
      </c>
      <c r="M456" s="27" t="str">
        <f ca="1">IFERROR(__xludf.DUMMYFUNCTION("""COMPUTED_VALUE"""),"Rua São Marcos")</f>
        <v>Rua São Marcos</v>
      </c>
      <c r="N456" s="27" t="str">
        <f ca="1">IFERROR(__xludf.DUMMYFUNCTION("""COMPUTED_VALUE"""),"Água Branca")</f>
        <v>Água Branca</v>
      </c>
      <c r="O456" s="27" t="str">
        <f ca="1">IFERROR(__xludf.DUMMYFUNCTION("""COMPUTED_VALUE"""),"(31)9917-55109")</f>
        <v>(31)9917-55109</v>
      </c>
      <c r="P456" s="27" t="str">
        <f ca="1">IFERROR(__xludf.DUMMYFUNCTION("""COMPUTED_VALUE"""),"Contagem")</f>
        <v>Contagem</v>
      </c>
      <c r="Q456" s="27" t="str">
        <f ca="1">IFERROR(__xludf.DUMMYFUNCTION("""COMPUTED_VALUE"""),"O espaço é cedida pela prefeitura anualmente via acordo de cooperação técnica que podem ser ou não renovados.")</f>
        <v>O espaço é cedida pela prefeitura anualmente via acordo de cooperação técnica que podem ser ou não renovados.</v>
      </c>
      <c r="R456" s="27" t="str">
        <f ca="1">IFERROR(__xludf.DUMMYFUNCTION("""COMPUTED_VALUE"""),"32371-120")</f>
        <v>32371-120</v>
      </c>
      <c r="S456" s="27"/>
      <c r="T456" s="27" t="str">
        <f ca="1">IFERROR(__xludf.DUMMYFUNCTION("""COMPUTED_VALUE"""),"Educação; Assistência Social; Cultura; Empreendedorismo; Saúde; Empoderamento Feminino; Defesa de Direitos")</f>
        <v>Educação; Assistência Social; Cultura; Empreendedorismo; Saúde; Empoderamento Feminino; Defesa de Direitos</v>
      </c>
      <c r="U456" s="27" t="str">
        <f ca="1">IFERROR(__xludf.DUMMYFUNCTION("""COMPUTED_VALUE"""),"Crianças (6 a 12 anos); Adolescentes (12 aos 18 anos); Jovens (18 aos 24 anos); Adultos; Idosos (60 anos ou mais)")</f>
        <v>Crianças (6 a 12 anos); Adolescentes (12 aos 18 anos); Jovens (18 aos 24 anos); Adultos; Idosos (60 anos ou mais)</v>
      </c>
      <c r="V456" s="27" t="str">
        <f ca="1">IFERROR(__xludf.DUMMYFUNCTION("""COMPUTED_VALUE"""),"Moradores de Favelas; Afrodescendentes; Pessoas com Deficiência")</f>
        <v>Moradores de Favelas; Afrodescendentes; Pessoas com Deficiência</v>
      </c>
      <c r="W456" s="27">
        <f ca="1">IFERROR(__xludf.DUMMYFUNCTION("""COMPUTED_VALUE"""),7)</f>
        <v>7</v>
      </c>
      <c r="X456" s="27" t="str">
        <f ca="1">IFERROR(__xludf.DUMMYFUNCTION("""COMPUTED_VALUE"""),"A maioria é criança e adolescente morador de Vila que moram apenas com a mãe recebem bolsa família e estudam na escola pública. Uma parcela significativa são moradores de vilas. pequenas que surgem ao derredor de distritos industriais marcadas por intensa"&amp;" violência. Contagem é a 5 cidade mais violenta do Estado de Minas e junto com Ribeirão das neves que é a 3 e Betim que é a primeira formam um cinturão da violência. Ribeirão das neves tem o presídio estadual e Contagem um presídio federal.")</f>
        <v>A maioria é criança e adolescente morador de Vila que moram apenas com a mãe recebem bolsa família e estudam na escola pública. Uma parcela significativa são moradores de vilas. pequenas que surgem ao derredor de distritos industriais marcadas por intensa violência. Contagem é a 5 cidade mais violenta do Estado de Minas e junto com Ribeirão das neves que é a 3 e Betim que é a primeira formam um cinturão da violência. Ribeirão das neves tem o presídio estadual e Contagem um presídio federal.</v>
      </c>
      <c r="Y456" s="27">
        <f ca="1">IFERROR(__xludf.DUMMYFUNCTION("""COMPUTED_VALUE"""),80)</f>
        <v>80</v>
      </c>
      <c r="Z456" s="27">
        <f ca="1">IFERROR(__xludf.DUMMYFUNCTION("""COMPUTED_VALUE"""),1000)</f>
        <v>1000</v>
      </c>
      <c r="AA456" s="29">
        <f ca="1">IFERROR(__xludf.DUMMYFUNCTION("""COMPUTED_VALUE"""),38107)</f>
        <v>38107</v>
      </c>
      <c r="AB456" s="27" t="str">
        <f ca="1">IFERROR(__xludf.DUMMYFUNCTION("""COMPUTED_VALUE"""),"Sim")</f>
        <v>Sim</v>
      </c>
      <c r="AC456" s="27">
        <f ca="1">IFERROR(__xludf.DUMMYFUNCTION("""COMPUTED_VALUE"""),6)</f>
        <v>6</v>
      </c>
      <c r="AD456" s="27">
        <f ca="1">IFERROR(__xludf.DUMMYFUNCTION("""COMPUTED_VALUE"""),0)</f>
        <v>0</v>
      </c>
      <c r="AE456" s="27">
        <f ca="1">IFERROR(__xludf.DUMMYFUNCTION("""COMPUTED_VALUE"""),9)</f>
        <v>9</v>
      </c>
      <c r="AF456" s="27">
        <f ca="1">IFERROR(__xludf.DUMMYFUNCTION("""COMPUTED_VALUE"""),12)</f>
        <v>12</v>
      </c>
      <c r="AG456" s="27">
        <f ca="1">IFERROR(__xludf.DUMMYFUNCTION("""COMPUTED_VALUE"""),2)</f>
        <v>2</v>
      </c>
      <c r="AH456" s="27" t="str">
        <f ca="1">IFERROR(__xludf.DUMMYFUNCTION("""COMPUTED_VALUE"""),"Lei de Incentivo; Editais; Doações")</f>
        <v>Lei de Incentivo; Editais; Doações</v>
      </c>
      <c r="AI456" s="27" t="str">
        <f ca="1">IFERROR(__xludf.DUMMYFUNCTION("""COMPUTED_VALUE"""),"Lei de incentivo- 65%. Editais 30%, 5 %")</f>
        <v>Lei de incentivo- 65%. Editais 30%, 5 %</v>
      </c>
      <c r="AJ456" s="27" t="str">
        <f ca="1">IFERROR(__xludf.DUMMYFUNCTION("""COMPUTED_VALUE"""),"Não")</f>
        <v>Não</v>
      </c>
      <c r="AK456" s="27" t="str">
        <f ca="1">IFERROR(__xludf.DUMMYFUNCTION("""COMPUTED_VALUE"""),"Não")</f>
        <v>Não</v>
      </c>
      <c r="AL456" s="21" t="str">
        <f ca="1">IFERROR(__xludf.DUMMYFUNCTION("""COMPUTED_VALUE"""),"0034P000043fPDn")</f>
        <v>0034P000043fPDn</v>
      </c>
      <c r="AM456" s="27" t="str">
        <f ca="1">IFERROR(__xludf.DUMMYFUNCTION("""COMPUTED_VALUE"""),"Helena De Jesus Soares")</f>
        <v>Helena De Jesus Soares</v>
      </c>
      <c r="AN456" s="27" t="str">
        <f ca="1">IFERROR(__xludf.DUMMYFUNCTION("""COMPUTED_VALUE"""),"Ativo")</f>
        <v>Ativo</v>
      </c>
      <c r="AO456" s="29">
        <f ca="1">IFERROR(__xludf.DUMMYFUNCTION("""COMPUTED_VALUE"""),44432)</f>
        <v>44432</v>
      </c>
      <c r="AP456" s="27">
        <f ca="1">IFERROR(__xludf.DUMMYFUNCTION("""COMPUTED_VALUE"""),13)</f>
        <v>13</v>
      </c>
      <c r="AQ456" s="27" t="str">
        <f ca="1">IFERROR(__xludf.DUMMYFUNCTION("""COMPUTED_VALUE"""),"Primeiro Semestre 2021")</f>
        <v>Primeiro Semestre 2021</v>
      </c>
      <c r="AR456" s="27" t="str">
        <f ca="1">IFERROR(__xludf.DUMMYFUNCTION("""COMPUTED_VALUE"""),"kajesoares@gmail.com")</f>
        <v>kajesoares@gmail.com</v>
      </c>
      <c r="AS456" s="27" t="str">
        <f ca="1">IFERROR(__xludf.DUMMYFUNCTION("""COMPUTED_VALUE"""),"(31)9917-55109")</f>
        <v>(31)9917-55109</v>
      </c>
      <c r="AT456" s="29">
        <f ca="1">IFERROR(__xludf.DUMMYFUNCTION("""COMPUTED_VALUE"""),23767)</f>
        <v>23767</v>
      </c>
      <c r="AU456" s="27">
        <f ca="1">IFERROR(__xludf.DUMMYFUNCTION("""COMPUTED_VALUE"""),57)</f>
        <v>57</v>
      </c>
      <c r="AV456" s="27">
        <f ca="1">IFERROR(__xludf.DUMMYFUNCTION("""COMPUTED_VALUE"""),57707464672)</f>
        <v>57707464672</v>
      </c>
      <c r="AW456" s="27">
        <f ca="1">IFERROR(__xludf.DUMMYFUNCTION("""COMPUTED_VALUE"""),3994120)</f>
        <v>3994120</v>
      </c>
      <c r="AX456" s="27" t="str">
        <f ca="1">IFERROR(__xludf.DUMMYFUNCTION("""COMPUTED_VALUE"""),"Graduação Em Ciências Socaiais/Antropologia (Ufmg) Especialização Em Pesquisa E Ensino Em Arte E Cultura (Uemg) Mestranda No Curso De Letras ( Puc Minas)")</f>
        <v>Graduação Em Ciências Socaiais/Antropologia (Ufmg) Especialização Em Pesquisa E Ensino Em Arte E Cultura (Uemg) Mestranda No Curso De Letras ( Puc Minas)</v>
      </c>
      <c r="AY456" s="27" t="str">
        <f ca="1">IFERROR(__xludf.DUMMYFUNCTION("""COMPUTED_VALUE"""),"Contrato temporário-Secretaria Estadual de Educação-MG")</f>
        <v>Contrato temporário-Secretaria Estadual de Educação-MG</v>
      </c>
      <c r="AZ456" s="27" t="str">
        <f ca="1">IFERROR(__xludf.DUMMYFUNCTION("""COMPUTED_VALUE"""),"G")</f>
        <v>G</v>
      </c>
      <c r="BA456" s="27" t="str">
        <f ca="1">IFERROR(__xludf.DUMMYFUNCTION("""COMPUTED_VALUE"""),"Preta")</f>
        <v>Preta</v>
      </c>
      <c r="BB456" s="27"/>
      <c r="BC456" s="27" t="str">
        <f ca="1">IFERROR(__xludf.DUMMYFUNCTION("""COMPUTED_VALUE"""),"Sim")</f>
        <v>Sim</v>
      </c>
      <c r="BD456" s="27" t="str">
        <f ca="1">IFERROR(__xludf.DUMMYFUNCTION("""COMPUTED_VALUE"""),"Eu sou a Katia Soares. Sou mulher do Nilton, e mãe da Luísa, Lucas e Luís.  Sou líder social,  idealizadora e gestora da Kyrius Cia de Artes, que tem como finalidade a democratização do acesso à cultura. Sou atriz profissional e estou conselheira de direi"&amp;"tos do CMDCAC -contagem, MG. Sou Mestranda em Linguística e Língua Portuguesa pela PUC Minas e graduanda em Letras pela UFMG.  Especialista em Pesquisa e Ensino em Arte e Cultura pela UEMG-2009 e antropóloga pela UFMG 2000")</f>
        <v>Eu sou a Katia Soares. Sou mulher do Nilton, e mãe da Luísa, Lucas e Luís.  Sou líder social,  idealizadora e gestora da Kyrius Cia de Artes, que tem como finalidade a democratização do acesso à cultura. Sou atriz profissional e estou conselheira de direitos do CMDCAC -contagem, MG. Sou Mestranda em Linguística e Língua Portuguesa pela PUC Minas e graduanda em Letras pela UFMG.  Especialista em Pesquisa e Ensino em Arte e Cultura pela UEMG-2009 e antropóloga pela UFMG 2000</v>
      </c>
      <c r="BE456" s="27" t="str">
        <f ca="1">IFERROR(__xludf.DUMMYFUNCTION("""COMPUTED_VALUE"""),"Feminino")</f>
        <v>Feminino</v>
      </c>
      <c r="BF456" s="27" t="str">
        <f ca="1">IFERROR(__xludf.DUMMYFUNCTION("""COMPUTED_VALUE"""),"Heterossexual")</f>
        <v>Heterossexual</v>
      </c>
      <c r="BG456" s="27" t="str">
        <f ca="1">IFERROR(__xludf.DUMMYFUNCTION("""COMPUTED_VALUE"""),"Ensino Superior - Completo")</f>
        <v>Ensino Superior - Completo</v>
      </c>
      <c r="BH456" s="27"/>
      <c r="BI456" s="27" t="str">
        <f ca="1">IFERROR(__xludf.DUMMYFUNCTION("""COMPUTED_VALUE"""),"Pós-Graduação")</f>
        <v>Pós-Graduação</v>
      </c>
      <c r="BJ456" s="27" t="str">
        <f ca="1">IFERROR(__xludf.DUMMYFUNCTION("""COMPUTED_VALUE"""),"Público")</f>
        <v>Público</v>
      </c>
      <c r="BK456" s="27" t="str">
        <f ca="1">IFERROR(__xludf.DUMMYFUNCTION("""COMPUTED_VALUE"""),"Flamboyant")</f>
        <v>Flamboyant</v>
      </c>
      <c r="BL456" s="27">
        <f ca="1">IFERROR(__xludf.DUMMYFUNCTION("""COMPUTED_VALUE"""),448)</f>
        <v>448</v>
      </c>
      <c r="BM456" s="27" t="str">
        <f ca="1">IFERROR(__xludf.DUMMYFUNCTION("""COMPUTED_VALUE"""),"Casa 1")</f>
        <v>Casa 1</v>
      </c>
      <c r="BN456" s="27" t="str">
        <f ca="1">IFERROR(__xludf.DUMMYFUNCTION("""COMPUTED_VALUE"""),"Contagem")</f>
        <v>Contagem</v>
      </c>
      <c r="BO456" s="27" t="str">
        <f ca="1">IFERROR(__xludf.DUMMYFUNCTION("""COMPUTED_VALUE"""),"32310-240")</f>
        <v>32310-240</v>
      </c>
      <c r="BP456" s="27" t="str">
        <f ca="1">IFERROR(__xludf.DUMMYFUNCTION("""COMPUTED_VALUE"""),"MG")</f>
        <v>MG</v>
      </c>
      <c r="BQ456" s="27" t="str">
        <f ca="1">IFERROR(__xludf.DUMMYFUNCTION("""COMPUTED_VALUE"""),"De 3 até 5 salários mínimos")</f>
        <v>De 3 até 5 salários mínimos</v>
      </c>
      <c r="BR456" s="27" t="str">
        <f ca="1">IFERROR(__xludf.DUMMYFUNCTION("""COMPUTED_VALUE"""),"CLT")</f>
        <v>CLT</v>
      </c>
      <c r="BS456" s="27" t="str">
        <f ca="1">IFERROR(__xludf.DUMMYFUNCTION("""COMPUTED_VALUE"""),"Aluguel")</f>
        <v>Aluguel</v>
      </c>
      <c r="BT456" s="27">
        <f ca="1">IFERROR(__xludf.DUMMYFUNCTION("""COMPUTED_VALUE"""),5)</f>
        <v>5</v>
      </c>
      <c r="BU456" s="27"/>
      <c r="BV456" s="27"/>
      <c r="BW456" s="21" t="str">
        <f ca="1">IFERROR(__xludf.DUMMYFUNCTION("""COMPUTED_VALUE"""),"https://www.linkedin.com/in/katia-soares-38359858/")</f>
        <v>https://www.linkedin.com/in/katia-soares-38359858/</v>
      </c>
      <c r="BX456" s="21" t="str">
        <f ca="1">IFERROR(__xludf.DUMMYFUNCTION("""COMPUTED_VALUE"""),"https://www.instagram.com/kajesoares/")</f>
        <v>https://www.instagram.com/kajesoares/</v>
      </c>
      <c r="BY456" s="21" t="str">
        <f ca="1">IFERROR(__xludf.DUMMYFUNCTION("""COMPUTED_VALUE"""),"https://drive.google.com/open?id=1MZOmvzs-8GIKlPZRjuPt2xc_okVXzWI5")</f>
        <v>https://drive.google.com/open?id=1MZOmvzs-8GIKlPZRjuPt2xc_okVXzWI5</v>
      </c>
    </row>
    <row r="457" spans="1:77" ht="12.5" x14ac:dyDescent="0.25">
      <c r="A457" s="21" t="str">
        <f ca="1">IFERROR(__xludf.DUMMYFUNCTION("""COMPUTED_VALUE"""),"0014P00003YSp8yQAD")</f>
        <v>0014P00003YSp8yQAD</v>
      </c>
      <c r="B457" s="27" t="str">
        <f ca="1">IFERROR(__xludf.DUMMYFUNCTION("""COMPUTED_VALUE"""),"Fase Inicial")</f>
        <v>Fase Inicial</v>
      </c>
      <c r="C457" s="27" t="str">
        <f ca="1">IFERROR(__xludf.DUMMYFUNCTION("""COMPUTED_VALUE"""),"Fellow")</f>
        <v>Fellow</v>
      </c>
      <c r="D457" s="27" t="str">
        <f ca="1">IFERROR(__xludf.DUMMYFUNCTION("""COMPUTED_VALUE"""),"Ativo")</f>
        <v>Ativo</v>
      </c>
      <c r="E457" s="27" t="str">
        <f ca="1">IFERROR(__xludf.DUMMYFUNCTION("""COMPUTED_VALUE"""),"Leia e Aprenda")</f>
        <v>Leia e Aprenda</v>
      </c>
      <c r="F457" s="27" t="str">
        <f ca="1">IFERROR(__xludf.DUMMYFUNCTION("""COMPUTED_VALUE"""),"João")</f>
        <v>João</v>
      </c>
      <c r="G457" s="27"/>
      <c r="H457" s="27" t="str">
        <f ca="1">IFERROR(__xludf.DUMMYFUNCTION("""COMPUTED_VALUE"""),"17.832.051/0001-82")</f>
        <v>17.832.051/0001-82</v>
      </c>
      <c r="I457" s="27" t="str">
        <f ca="1">IFERROR(__xludf.DUMMYFUNCTION("""COMPUTED_VALUE"""),"João Lino")</f>
        <v>João Lino</v>
      </c>
      <c r="J457" s="27" t="str">
        <f ca="1">IFERROR(__xludf.DUMMYFUNCTION("""COMPUTED_VALUE"""),"joaolino@leiaeaprenda.com.br")</f>
        <v>joaolino@leiaeaprenda.com.br</v>
      </c>
      <c r="K457" s="27" t="str">
        <f ca="1">IFERROR(__xludf.DUMMYFUNCTION("""COMPUTED_VALUE"""),"(11)98160-5966")</f>
        <v>(11)98160-5966</v>
      </c>
      <c r="L457" s="27" t="str">
        <f ca="1">IFERROR(__xludf.DUMMYFUNCTION("""COMPUTED_VALUE"""),"SP")</f>
        <v>SP</v>
      </c>
      <c r="M457" s="27" t="str">
        <f ca="1">IFERROR(__xludf.DUMMYFUNCTION("""COMPUTED_VALUE"""),"av. celso garcia")</f>
        <v>av. celso garcia</v>
      </c>
      <c r="N457" s="27" t="str">
        <f ca="1">IFERROR(__xludf.DUMMYFUNCTION("""COMPUTED_VALUE"""),"Tatuapé")</f>
        <v>Tatuapé</v>
      </c>
      <c r="O457" s="27">
        <f ca="1">IFERROR(__xludf.DUMMYFUNCTION("""COMPUTED_VALUE"""),5885)</f>
        <v>5885</v>
      </c>
      <c r="P457" s="27" t="str">
        <f ca="1">IFERROR(__xludf.DUMMYFUNCTION("""COMPUTED_VALUE"""),"São Paulo")</f>
        <v>São Paulo</v>
      </c>
      <c r="Q457" s="27" t="str">
        <f ca="1">IFERROR(__xludf.DUMMYFUNCTION("""COMPUTED_VALUE"""),"Bloco 9 apto 51")</f>
        <v>Bloco 9 apto 51</v>
      </c>
      <c r="R457" s="27" t="str">
        <f ca="1">IFERROR(__xludf.DUMMYFUNCTION("""COMPUTED_VALUE"""),"03063-000")</f>
        <v>03063-000</v>
      </c>
      <c r="S457" s="27"/>
      <c r="T457" s="27" t="str">
        <f ca="1">IFERROR(__xludf.DUMMYFUNCTION("""COMPUTED_VALUE"""),"Educação")</f>
        <v>Educação</v>
      </c>
      <c r="U457" s="27" t="str">
        <f ca="1">IFERROR(__xludf.DUMMYFUNCTION("""COMPUTED_VALUE"""),"Crianças bem pequenas (1 ano e 7 meses até 3 anos e 11 meses); Crianças pequenas (4 anos a 5 anos e 11 meses); Crianças (6 a 12 anos)")</f>
        <v>Crianças bem pequenas (1 ano e 7 meses até 3 anos e 11 meses); Crianças pequenas (4 anos a 5 anos e 11 meses); Crianças (6 a 12 anos)</v>
      </c>
      <c r="V457" s="27" t="str">
        <f ca="1">IFERROR(__xludf.DUMMYFUNCTION("""COMPUTED_VALUE"""),"Outros")</f>
        <v>Outros</v>
      </c>
      <c r="W457" s="27">
        <f ca="1">IFERROR(__xludf.DUMMYFUNCTION("""COMPUTED_VALUE"""),0)</f>
        <v>0</v>
      </c>
      <c r="X457" s="27" t="str">
        <f ca="1">IFERROR(__xludf.DUMMYFUNCTION("""COMPUTED_VALUE"""),"O projeto disponibiliza ideias de atividades práticas para ajudar a desenvolver a criatividade das crianças. O público alvo são pais tios avós padrinhos tutores e professores.")</f>
        <v>O projeto disponibiliza ideias de atividades práticas para ajudar a desenvolver a criatividade das crianças. O público alvo são pais tios avós padrinhos tutores e professores.</v>
      </c>
      <c r="Y457" s="27"/>
      <c r="Z457" s="27">
        <f ca="1">IFERROR(__xludf.DUMMYFUNCTION("""COMPUTED_VALUE"""),0)</f>
        <v>0</v>
      </c>
      <c r="AA457" s="29">
        <f ca="1">IFERROR(__xludf.DUMMYFUNCTION("""COMPUTED_VALUE"""),41360)</f>
        <v>41360</v>
      </c>
      <c r="AB457" s="27" t="str">
        <f ca="1">IFERROR(__xludf.DUMMYFUNCTION("""COMPUTED_VALUE"""),"Não")</f>
        <v>Não</v>
      </c>
      <c r="AC457" s="27">
        <f ca="1">IFERROR(__xludf.DUMMYFUNCTION("""COMPUTED_VALUE"""),2)</f>
        <v>2</v>
      </c>
      <c r="AD457" s="27">
        <f ca="1">IFERROR(__xludf.DUMMYFUNCTION("""COMPUTED_VALUE"""),2)</f>
        <v>2</v>
      </c>
      <c r="AE457" s="27">
        <f ca="1">IFERROR(__xludf.DUMMYFUNCTION("""COMPUTED_VALUE"""),2)</f>
        <v>2</v>
      </c>
      <c r="AF457" s="27">
        <f ca="1">IFERROR(__xludf.DUMMYFUNCTION("""COMPUTED_VALUE"""),2)</f>
        <v>2</v>
      </c>
      <c r="AG457" s="27">
        <f ca="1">IFERROR(__xludf.DUMMYFUNCTION("""COMPUTED_VALUE"""),2)</f>
        <v>2</v>
      </c>
      <c r="AH457" s="27" t="str">
        <f ca="1">IFERROR(__xludf.DUMMYFUNCTION("""COMPUTED_VALUE"""),"Recursos próprios")</f>
        <v>Recursos próprios</v>
      </c>
      <c r="AI457" s="27">
        <f ca="1">IFERROR(__xludf.DUMMYFUNCTION("""COMPUTED_VALUE"""),0)</f>
        <v>0</v>
      </c>
      <c r="AJ457" s="27"/>
      <c r="AK457" s="27"/>
      <c r="AL457" s="21" t="str">
        <f ca="1">IFERROR(__xludf.DUMMYFUNCTION("""COMPUTED_VALUE"""),"0034P000045kxja")</f>
        <v>0034P000045kxja</v>
      </c>
      <c r="AM457" s="27" t="str">
        <f ca="1">IFERROR(__xludf.DUMMYFUNCTION("""COMPUTED_VALUE"""),"Baptista Lino Neto")</f>
        <v>Baptista Lino Neto</v>
      </c>
      <c r="AN457" s="27" t="str">
        <f ca="1">IFERROR(__xludf.DUMMYFUNCTION("""COMPUTED_VALUE"""),"Ativo")</f>
        <v>Ativo</v>
      </c>
      <c r="AO457" s="30">
        <f ca="1">IFERROR(__xludf.DUMMYFUNCTION("""COMPUTED_VALUE"""),44551)</f>
        <v>44551</v>
      </c>
      <c r="AP457" s="27">
        <f ca="1">IFERROR(__xludf.DUMMYFUNCTION("""COMPUTED_VALUE"""),9)</f>
        <v>9</v>
      </c>
      <c r="AQ457" s="27" t="str">
        <f ca="1">IFERROR(__xludf.DUMMYFUNCTION("""COMPUTED_VALUE"""),"Segundo Semestre 2021")</f>
        <v>Segundo Semestre 2021</v>
      </c>
      <c r="AR457" s="27" t="str">
        <f ca="1">IFERROR(__xludf.DUMMYFUNCTION("""COMPUTED_VALUE"""),"jlmcpo@terra.com.br")</f>
        <v>jlmcpo@terra.com.br</v>
      </c>
      <c r="AS457" s="27" t="str">
        <f ca="1">IFERROR(__xludf.DUMMYFUNCTION("""COMPUTED_VALUE"""),"(11)98160-5966")</f>
        <v>(11)98160-5966</v>
      </c>
      <c r="AT457" s="29">
        <f ca="1">IFERROR(__xludf.DUMMYFUNCTION("""COMPUTED_VALUE"""),22090)</f>
        <v>22090</v>
      </c>
      <c r="AU457" s="27">
        <f ca="1">IFERROR(__xludf.DUMMYFUNCTION("""COMPUTED_VALUE"""),62)</f>
        <v>62</v>
      </c>
      <c r="AV457" s="27">
        <f ca="1">IFERROR(__xludf.DUMMYFUNCTION("""COMPUTED_VALUE"""),1320725805)</f>
        <v>1320725805</v>
      </c>
      <c r="AW457" s="27">
        <f ca="1">IFERROR(__xludf.DUMMYFUNCTION("""COMPUTED_VALUE"""),99848909)</f>
        <v>99848909</v>
      </c>
      <c r="AX457" s="27"/>
      <c r="AY457" s="27"/>
      <c r="AZ457" s="27" t="str">
        <f ca="1">IFERROR(__xludf.DUMMYFUNCTION("""COMPUTED_VALUE"""),"M")</f>
        <v>M</v>
      </c>
      <c r="BA457" s="27" t="str">
        <f ca="1">IFERROR(__xludf.DUMMYFUNCTION("""COMPUTED_VALUE"""),"Branca")</f>
        <v>Branca</v>
      </c>
      <c r="BB457" s="27" t="str">
        <f ca="1">IFERROR(__xludf.DUMMYFUNCTION("""COMPUTED_VALUE"""),"Homem, cisgênero")</f>
        <v>Homem, cisgênero</v>
      </c>
      <c r="BC457" s="27" t="str">
        <f ca="1">IFERROR(__xludf.DUMMYFUNCTION("""COMPUTED_VALUE"""),"Sim")</f>
        <v>Sim</v>
      </c>
      <c r="BD457" s="27" t="str">
        <f ca="1">IFERROR(__xludf.DUMMYFUNCTION("""COMPUTED_VALUE"""),"Tenho 61 anos, sou casado e atualmente trabalho com desenvolvimento de projetos educacionais. O site PPeP ou Para Pais e Professores está funcionando há 10 anos e possui mais de 1.300 atividades com acesso gratuito. No momento estou trabalhando em um proj"&amp;"eto para conseguir recursos financeiros de forma recorrente para as ONGs no Brasil.")</f>
        <v>Tenho 61 anos, sou casado e atualmente trabalho com desenvolvimento de projetos educacionais. O site PPeP ou Para Pais e Professores está funcionando há 10 anos e possui mais de 1.300 atividades com acesso gratuito. No momento estou trabalhando em um projeto para conseguir recursos financeiros de forma recorrente para as ONGs no Brasil.</v>
      </c>
      <c r="BE457" s="27"/>
      <c r="BF457" s="27" t="str">
        <f ca="1">IFERROR(__xludf.DUMMYFUNCTION("""COMPUTED_VALUE"""),"Heterossexual")</f>
        <v>Heterossexual</v>
      </c>
      <c r="BG457" s="27" t="str">
        <f ca="1">IFERROR(__xludf.DUMMYFUNCTION("""COMPUTED_VALUE"""),"Ensino Superior - Incompleto")</f>
        <v>Ensino Superior - Incompleto</v>
      </c>
      <c r="BH457" s="27" t="str">
        <f ca="1">IFERROR(__xludf.DUMMYFUNCTION("""COMPUTED_VALUE"""),"Público")</f>
        <v>Público</v>
      </c>
      <c r="BI457" s="27" t="str">
        <f ca="1">IFERROR(__xludf.DUMMYFUNCTION("""COMPUTED_VALUE"""),"Graduação")</f>
        <v>Graduação</v>
      </c>
      <c r="BJ457" s="27" t="str">
        <f ca="1">IFERROR(__xludf.DUMMYFUNCTION("""COMPUTED_VALUE"""),"Privado")</f>
        <v>Privado</v>
      </c>
      <c r="BK457" s="27" t="str">
        <f ca="1">IFERROR(__xludf.DUMMYFUNCTION("""COMPUTED_VALUE"""),"av. celso garcia")</f>
        <v>av. celso garcia</v>
      </c>
      <c r="BL457" s="27">
        <f ca="1">IFERROR(__xludf.DUMMYFUNCTION("""COMPUTED_VALUE"""),5885)</f>
        <v>5885</v>
      </c>
      <c r="BM457" s="27" t="str">
        <f ca="1">IFERROR(__xludf.DUMMYFUNCTION("""COMPUTED_VALUE"""),"bloco 9 apto 51")</f>
        <v>bloco 9 apto 51</v>
      </c>
      <c r="BN457" s="27" t="str">
        <f ca="1">IFERROR(__xludf.DUMMYFUNCTION("""COMPUTED_VALUE"""),"São Paulo")</f>
        <v>São Paulo</v>
      </c>
      <c r="BO457" s="27" t="str">
        <f ca="1">IFERROR(__xludf.DUMMYFUNCTION("""COMPUTED_VALUE"""),"03063-000")</f>
        <v>03063-000</v>
      </c>
      <c r="BP457" s="27" t="str">
        <f ca="1">IFERROR(__xludf.DUMMYFUNCTION("""COMPUTED_VALUE"""),"SP")</f>
        <v>SP</v>
      </c>
      <c r="BQ457" s="27" t="str">
        <f ca="1">IFERROR(__xludf.DUMMYFUNCTION("""COMPUTED_VALUE"""),"De 3 até 5 salários mínimos")</f>
        <v>De 3 até 5 salários mínimos</v>
      </c>
      <c r="BR457" s="27" t="str">
        <f ca="1">IFERROR(__xludf.DUMMYFUNCTION("""COMPUTED_VALUE"""),"CLT; MEI; Funcionário Público")</f>
        <v>CLT; MEI; Funcionário Público</v>
      </c>
      <c r="BS457" s="27" t="str">
        <f ca="1">IFERROR(__xludf.DUMMYFUNCTION("""COMPUTED_VALUE"""),"Casa própria")</f>
        <v>Casa própria</v>
      </c>
      <c r="BT457" s="27">
        <f ca="1">IFERROR(__xludf.DUMMYFUNCTION("""COMPUTED_VALUE"""),3)</f>
        <v>3</v>
      </c>
      <c r="BU457" s="27" t="str">
        <f ca="1">IFERROR(__xludf.DUMMYFUNCTION("""COMPUTED_VALUE"""),"Surdez leve/moderada")</f>
        <v>Surdez leve/moderada</v>
      </c>
      <c r="BV457" s="27"/>
      <c r="BW457" s="27"/>
      <c r="BX457" s="21" t="str">
        <f ca="1">IFERROR(__xludf.DUMMYFUNCTION("""COMPUTED_VALUE"""),"https://www.instagram.com/joaolino1001/")</f>
        <v>https://www.instagram.com/joaolino1001/</v>
      </c>
      <c r="BY457" s="21" t="str">
        <f ca="1">IFERROR(__xludf.DUMMYFUNCTION("""COMPUTED_VALUE"""),"https://drive.google.com/open?id=1avbizm6xs9ArRVa9-hvXirRX9eWFrjpO")</f>
        <v>https://drive.google.com/open?id=1avbizm6xs9ArRVa9-hvXirRX9eWFrjpO</v>
      </c>
    </row>
    <row r="458" spans="1:77" ht="12.5" x14ac:dyDescent="0.25">
      <c r="A458" s="21" t="str">
        <f ca="1">IFERROR(__xludf.DUMMYFUNCTION("""COMPUTED_VALUE"""),"0014X00002VKCrVQAX")</f>
        <v>0014X00002VKCrVQAX</v>
      </c>
      <c r="B458" s="27" t="str">
        <f ca="1">IFERROR(__xludf.DUMMYFUNCTION("""COMPUTED_VALUE"""),"Fase Inicial")</f>
        <v>Fase Inicial</v>
      </c>
      <c r="C458" s="27" t="str">
        <f ca="1">IFERROR(__xludf.DUMMYFUNCTION("""COMPUTED_VALUE"""),"Fellow")</f>
        <v>Fellow</v>
      </c>
      <c r="D458" s="27" t="str">
        <f ca="1">IFERROR(__xludf.DUMMYFUNCTION("""COMPUTED_VALUE"""),"Ativo")</f>
        <v>Ativo</v>
      </c>
      <c r="E458" s="27" t="str">
        <f ca="1">IFERROR(__xludf.DUMMYFUNCTION("""COMPUTED_VALUE"""),"LOBO &amp; DUREY ARQUITETURA LTDA.")</f>
        <v>LOBO &amp; DUREY ARQUITETURA LTDA.</v>
      </c>
      <c r="F458" s="27" t="str">
        <f ca="1">IFERROR(__xludf.DUMMYFUNCTION("""COMPUTED_VALUE"""),"Denise")</f>
        <v>Denise</v>
      </c>
      <c r="G458" s="27" t="str">
        <f ca="1">IFERROR(__xludf.DUMMYFUNCTION("""COMPUTED_VALUE"""),"DONA OBRA")</f>
        <v>DONA OBRA</v>
      </c>
      <c r="H458" s="27" t="str">
        <f ca="1">IFERROR(__xludf.DUMMYFUNCTION("""COMPUTED_VALUE"""),"34.955.596/0001-03")</f>
        <v>34.955.596/0001-03</v>
      </c>
      <c r="I458" s="27" t="str">
        <f ca="1">IFERROR(__xludf.DUMMYFUNCTION("""COMPUTED_VALUE"""),"DENISE BESERRA DUREY")</f>
        <v>DENISE BESERRA DUREY</v>
      </c>
      <c r="J458" s="27" t="str">
        <f ca="1">IFERROR(__xludf.DUMMYFUNCTION("""COMPUTED_VALUE"""),"contato@donaobra.arq.br")</f>
        <v>contato@donaobra.arq.br</v>
      </c>
      <c r="K458" s="27" t="str">
        <f ca="1">IFERROR(__xludf.DUMMYFUNCTION("""COMPUTED_VALUE"""),"(81)98164-3898")</f>
        <v>(81)98164-3898</v>
      </c>
      <c r="L458" s="27" t="str">
        <f ca="1">IFERROR(__xludf.DUMMYFUNCTION("""COMPUTED_VALUE"""),"PE")</f>
        <v>PE</v>
      </c>
      <c r="M458" s="27" t="str">
        <f ca="1">IFERROR(__xludf.DUMMYFUNCTION("""COMPUTED_VALUE"""),"Arlindo Cisneiros, 237, Sala 12")</f>
        <v>Arlindo Cisneiros, 237, Sala 12</v>
      </c>
      <c r="N458" s="27" t="str">
        <f ca="1">IFERROR(__xludf.DUMMYFUNCTION("""COMPUTED_VALUE"""),"Bomba do Hemetério")</f>
        <v>Bomba do Hemetério</v>
      </c>
      <c r="O458" s="27">
        <f ca="1">IFERROR(__xludf.DUMMYFUNCTION("""COMPUTED_VALUE"""),237)</f>
        <v>237</v>
      </c>
      <c r="P458" s="27" t="str">
        <f ca="1">IFERROR(__xludf.DUMMYFUNCTION("""COMPUTED_VALUE"""),"Recife")</f>
        <v>Recife</v>
      </c>
      <c r="Q458" s="27" t="str">
        <f ca="1">IFERROR(__xludf.DUMMYFUNCTION("""COMPUTED_VALUE"""),"Sala 12")</f>
        <v>Sala 12</v>
      </c>
      <c r="R458" s="27" t="str">
        <f ca="1">IFERROR(__xludf.DUMMYFUNCTION("""COMPUTED_VALUE"""),"52080-100")</f>
        <v>52080-100</v>
      </c>
      <c r="S458" s="27"/>
      <c r="T458" s="27"/>
      <c r="U458" s="27" t="str">
        <f ca="1">IFERROR(__xludf.DUMMYFUNCTION("""COMPUTED_VALUE"""),"Jovens (18 aos 24 anos), Adultos")</f>
        <v>Jovens (18 aos 24 anos), Adultos</v>
      </c>
      <c r="V458" s="27" t="str">
        <f ca="1">IFERROR(__xludf.DUMMYFUNCTION("""COMPUTED_VALUE"""),"Moradores de Favelas, População LGBTQ+")</f>
        <v>Moradores de Favelas, População LGBTQ+</v>
      </c>
      <c r="W458" s="27">
        <f ca="1">IFERROR(__xludf.DUMMYFUNCTION("""COMPUTED_VALUE"""),0)</f>
        <v>0</v>
      </c>
      <c r="X458" s="27" t="str">
        <f ca="1">IFERROR(__xludf.DUMMYFUNCTION("""COMPUTED_VALUE"""),"Somos um Negócio Social que capta recursos financeiros de terceiros para realizar reformas habitacionais e promover a moradia digna pra famílias de extrema pobreza nos territórios em que atuamos. Em paralelo* para sermos autosustentáveis* também vendemos "&amp;"reformas para famílias de menor renda das classes C e D* mas que tem condições de pagar por uma reforma. Para estas famílias as reformas são vendidas através de parcelamento em 30x no boleto.
Os beneficiados são as próprias famílias que recebem as reform"&amp;"as doadas (ou que compraram  a reforma)* mas também a economia local dos territórios em que atuamos pois contratamos a mão de obra da comunidade para executar a reforma (gerando renda pra estas pessoas) e também compramos os materiais de construção nos pe"&amp;"quenos lojistas destas localidades.")</f>
        <v>Somos um Negócio Social que capta recursos financeiros de terceiros para realizar reformas habitacionais e promover a moradia digna pra famílias de extrema pobreza nos territórios em que atuamos. Em paralelo* para sermos autosustentáveis* também vendemos reformas para famílias de menor renda das classes C e D* mas que tem condições de pagar por uma reforma. Para estas famílias as reformas são vendidas através de parcelamento em 30x no boleto.
Os beneficiados são as próprias famílias que recebem as reformas doadas (ou que compraram  a reforma)* mas também a economia local dos territórios em que atuamos pois contratamos a mão de obra da comunidade para executar a reforma (gerando renda pra estas pessoas) e também compramos os materiais de construção nos pequenos lojistas destas localidades.</v>
      </c>
      <c r="Y458" s="27"/>
      <c r="Z458" s="27">
        <f ca="1">IFERROR(__xludf.DUMMYFUNCTION("""COMPUTED_VALUE"""),0)</f>
        <v>0</v>
      </c>
      <c r="AA458" s="29">
        <f ca="1">IFERROR(__xludf.DUMMYFUNCTION("""COMPUTED_VALUE"""),43731)</f>
        <v>43731</v>
      </c>
      <c r="AB458" s="27" t="str">
        <f ca="1">IFERROR(__xludf.DUMMYFUNCTION("""COMPUTED_VALUE"""),"Não")</f>
        <v>Não</v>
      </c>
      <c r="AC458" s="27">
        <f ca="1">IFERROR(__xludf.DUMMYFUNCTION("""COMPUTED_VALUE"""),0)</f>
        <v>0</v>
      </c>
      <c r="AD458" s="27">
        <f ca="1">IFERROR(__xludf.DUMMYFUNCTION("""COMPUTED_VALUE"""),0)</f>
        <v>0</v>
      </c>
      <c r="AE458" s="27">
        <f ca="1">IFERROR(__xludf.DUMMYFUNCTION("""COMPUTED_VALUE"""),0)</f>
        <v>0</v>
      </c>
      <c r="AF458" s="27">
        <f ca="1">IFERROR(__xludf.DUMMYFUNCTION("""COMPUTED_VALUE"""),0)</f>
        <v>0</v>
      </c>
      <c r="AG458" s="27">
        <f ca="1">IFERROR(__xludf.DUMMYFUNCTION("""COMPUTED_VALUE"""),2)</f>
        <v>2</v>
      </c>
      <c r="AH458" s="27" t="str">
        <f ca="1">IFERROR(__xludf.DUMMYFUNCTION("""COMPUTED_VALUE"""),"Outro(s), Recursos próprios")</f>
        <v>Outro(s), Recursos próprios</v>
      </c>
      <c r="AI458" s="27">
        <f ca="1">IFERROR(__xludf.DUMMYFUNCTION("""COMPUTED_VALUE"""),0)</f>
        <v>0</v>
      </c>
      <c r="AJ458" s="27" t="str">
        <f ca="1">IFERROR(__xludf.DUMMYFUNCTION("""COMPUTED_VALUE"""),"Não")</f>
        <v>Não</v>
      </c>
      <c r="AK458" s="27"/>
      <c r="AL458" s="21" t="str">
        <f ca="1">IFERROR(__xludf.DUMMYFUNCTION("""COMPUTED_VALUE"""),"0034X0000380O2N")</f>
        <v>0034X0000380O2N</v>
      </c>
      <c r="AM458" s="27" t="str">
        <f ca="1">IFERROR(__xludf.DUMMYFUNCTION("""COMPUTED_VALUE"""),"Beserra durey")</f>
        <v>Beserra durey</v>
      </c>
      <c r="AN458" s="27" t="str">
        <f ca="1">IFERROR(__xludf.DUMMYFUNCTION("""COMPUTED_VALUE"""),"Ativo")</f>
        <v>Ativo</v>
      </c>
      <c r="AO458" s="29">
        <f ca="1">IFERROR(__xludf.DUMMYFUNCTION("""COMPUTED_VALUE"""),44763)</f>
        <v>44763</v>
      </c>
      <c r="AP458" s="27">
        <f ca="1">IFERROR(__xludf.DUMMYFUNCTION("""COMPUTED_VALUE"""),2)</f>
        <v>2</v>
      </c>
      <c r="AQ458" s="27" t="str">
        <f ca="1">IFERROR(__xludf.DUMMYFUNCTION("""COMPUTED_VALUE"""),"Primeiro Semestre 2022")</f>
        <v>Primeiro Semestre 2022</v>
      </c>
      <c r="AR458" s="27" t="str">
        <f ca="1">IFERROR(__xludf.DUMMYFUNCTION("""COMPUTED_VALUE"""),"dbdurey@gmail.com")</f>
        <v>dbdurey@gmail.com</v>
      </c>
      <c r="AS458" s="27">
        <f ca="1">IFERROR(__xludf.DUMMYFUNCTION("""COMPUTED_VALUE"""),81981643898)</f>
        <v>81981643898</v>
      </c>
      <c r="AT458" s="29">
        <f ca="1">IFERROR(__xludf.DUMMYFUNCTION("""COMPUTED_VALUE"""),29267)</f>
        <v>29267</v>
      </c>
      <c r="AU458" s="27">
        <f ca="1">IFERROR(__xludf.DUMMYFUNCTION("""COMPUTED_VALUE"""),42)</f>
        <v>42</v>
      </c>
      <c r="AV458" s="27">
        <f ca="1">IFERROR(__xludf.DUMMYFUNCTION("""COMPUTED_VALUE"""),90674847172)</f>
        <v>90674847172</v>
      </c>
      <c r="AW458" s="27" t="str">
        <f ca="1">IFERROR(__xludf.DUMMYFUNCTION("""COMPUTED_VALUE"""),"001139084 SSP/MS")</f>
        <v>001139084 SSP/MS</v>
      </c>
      <c r="AX458" s="27"/>
      <c r="AY458" s="27"/>
      <c r="AZ458" s="27" t="str">
        <f ca="1">IFERROR(__xludf.DUMMYFUNCTION("""COMPUTED_VALUE"""),"M")</f>
        <v>M</v>
      </c>
      <c r="BA458" s="27" t="str">
        <f ca="1">IFERROR(__xludf.DUMMYFUNCTION("""COMPUTED_VALUE"""),"Preta")</f>
        <v>Preta</v>
      </c>
      <c r="BB458" s="27"/>
      <c r="BC458" s="27"/>
      <c r="BD458" s="27" t="str">
        <f ca="1">IFERROR(__xludf.DUMMYFUNCTION("""COMPUTED_VALUE"""),"Me chamo Denise Beserra Durey* tenho 41 anos. De família Pernambucana* me reconheço privilegiada pois meus pais tiveram a oportunidade de priorizar meus estudos. Tenho a constante inquietação de não passar nula pelo mundo e procuro viver de modo a dar res"&amp;"posta a esta inquietação em todos os campos de minha vida. Na vida profissional* enquanto Arquiteta por formação*  me questionei em determinado momento sobre como poderia dar resposta e ser agente para a redução de desigualdades na minha cidade. A partir "&amp;"disso fundei a Dona Obra* que promove Moradia Digna na cidade do Recife a partir de reformas habitacionais para a população das classes C* D e E.")</f>
        <v>Me chamo Denise Beserra Durey* tenho 41 anos. De família Pernambucana* me reconheço privilegiada pois meus pais tiveram a oportunidade de priorizar meus estudos. Tenho a constante inquietação de não passar nula pelo mundo e procuro viver de modo a dar resposta a esta inquietação em todos os campos de minha vida. Na vida profissional* enquanto Arquiteta por formação*  me questionei em determinado momento sobre como poderia dar resposta e ser agente para a redução de desigualdades na minha cidade. A partir disso fundei a Dona Obra* que promove Moradia Digna na cidade do Recife a partir de reformas habitacionais para a população das classes C* D e E.</v>
      </c>
      <c r="BE458" s="27" t="str">
        <f ca="1">IFERROR(__xludf.DUMMYFUNCTION("""COMPUTED_VALUE"""),"Feminino")</f>
        <v>Feminino</v>
      </c>
      <c r="BF458" s="27" t="str">
        <f ca="1">IFERROR(__xludf.DUMMYFUNCTION("""COMPUTED_VALUE"""),"Heterossexual")</f>
        <v>Heterossexual</v>
      </c>
      <c r="BG458" s="27"/>
      <c r="BH458" s="27" t="str">
        <f ca="1">IFERROR(__xludf.DUMMYFUNCTION("""COMPUTED_VALUE"""),"Privado")</f>
        <v>Privado</v>
      </c>
      <c r="BI458" s="27" t="str">
        <f ca="1">IFERROR(__xludf.DUMMYFUNCTION("""COMPUTED_VALUE"""),"Pós-Graduação")</f>
        <v>Pós-Graduação</v>
      </c>
      <c r="BJ458" s="27" t="str">
        <f ca="1">IFERROR(__xludf.DUMMYFUNCTION("""COMPUTED_VALUE"""),"Privado")</f>
        <v>Privado</v>
      </c>
      <c r="BK458" s="27" t="str">
        <f ca="1">IFERROR(__xludf.DUMMYFUNCTION("""COMPUTED_VALUE"""),"Rua Pedro Bérgamo")</f>
        <v>Rua Pedro Bérgamo</v>
      </c>
      <c r="BL458" s="27">
        <f ca="1">IFERROR(__xludf.DUMMYFUNCTION("""COMPUTED_VALUE"""),109)</f>
        <v>109</v>
      </c>
      <c r="BM458" s="27">
        <f ca="1">IFERROR(__xludf.DUMMYFUNCTION("""COMPUTED_VALUE"""),401)</f>
        <v>401</v>
      </c>
      <c r="BN458" s="27"/>
      <c r="BO458" s="27" t="str">
        <f ca="1">IFERROR(__xludf.DUMMYFUNCTION("""COMPUTED_VALUE"""),"51021-320")</f>
        <v>51021-320</v>
      </c>
      <c r="BP458" s="27" t="str">
        <f ca="1">IFERROR(__xludf.DUMMYFUNCTION("""COMPUTED_VALUE"""),"PE")</f>
        <v>PE</v>
      </c>
      <c r="BQ458" s="27" t="str">
        <f ca="1">IFERROR(__xludf.DUMMYFUNCTION("""COMPUTED_VALUE"""),"Entre 1 até 3 salários mínimos")</f>
        <v>Entre 1 até 3 salários mínimos</v>
      </c>
      <c r="BR458" s="27" t="str">
        <f ca="1">IFERROR(__xludf.DUMMYFUNCTION("""COMPUTED_VALUE"""),"CLT")</f>
        <v>CLT</v>
      </c>
      <c r="BS458" s="27" t="str">
        <f ca="1">IFERROR(__xludf.DUMMYFUNCTION("""COMPUTED_VALUE"""),"Casa própria")</f>
        <v>Casa própria</v>
      </c>
      <c r="BT458" s="27">
        <f ca="1">IFERROR(__xludf.DUMMYFUNCTION("""COMPUTED_VALUE"""),1)</f>
        <v>1</v>
      </c>
      <c r="BU458" s="27" t="str">
        <f ca="1">IFERROR(__xludf.DUMMYFUNCTION("""COMPUTED_VALUE"""),"Não tem")</f>
        <v>Não tem</v>
      </c>
      <c r="BV458" s="27" t="str">
        <f ca="1">IFERROR(__xludf.DUMMYFUNCTION("""COMPUTED_VALUE"""),"Não")</f>
        <v>Não</v>
      </c>
      <c r="BW458" s="27"/>
      <c r="BX458" s="27"/>
      <c r="BY458" s="21" t="str">
        <f ca="1">IFERROR(__xludf.DUMMYFUNCTION("""COMPUTED_VALUE"""),"https://drive.google.com/open?id=18vDNDXgu1PuyjaitqGLkP_4VMAAPSlX-")</f>
        <v>https://drive.google.com/open?id=18vDNDXgu1PuyjaitqGLkP_4VMAAPSlX-</v>
      </c>
    </row>
    <row r="459" spans="1:77" ht="12.5" x14ac:dyDescent="0.25">
      <c r="A459" s="21" t="str">
        <f ca="1">IFERROR(__xludf.DUMMYFUNCTION("""COMPUTED_VALUE"""),"0014P00003YSp8LQAT")</f>
        <v>0014P00003YSp8LQAT</v>
      </c>
      <c r="B459" s="27" t="str">
        <f ca="1">IFERROR(__xludf.DUMMYFUNCTION("""COMPUTED_VALUE"""),"Fase Inicial")</f>
        <v>Fase Inicial</v>
      </c>
      <c r="C459" s="27" t="str">
        <f ca="1">IFERROR(__xludf.DUMMYFUNCTION("""COMPUTED_VALUE"""),"Fellow")</f>
        <v>Fellow</v>
      </c>
      <c r="D459" s="27" t="str">
        <f ca="1">IFERROR(__xludf.DUMMYFUNCTION("""COMPUTED_VALUE"""),"Ativo")</f>
        <v>Ativo</v>
      </c>
      <c r="E459" s="27" t="str">
        <f ca="1">IFERROR(__xludf.DUMMYFUNCTION("""COMPUTED_VALUE"""),"M.A.L.O.C.A.( Movimento Articulado Libertário Organizado em prol da Cidadania e do Apoio Social)")</f>
        <v>M.A.L.O.C.A.( Movimento Articulado Libertário Organizado em prol da Cidadania e do Apoio Social)</v>
      </c>
      <c r="F459" s="27" t="str">
        <f ca="1">IFERROR(__xludf.DUMMYFUNCTION("""COMPUTED_VALUE"""),"Ana")</f>
        <v>Ana</v>
      </c>
      <c r="G459" s="27"/>
      <c r="H459" s="27"/>
      <c r="I459" s="27" t="str">
        <f ca="1">IFERROR(__xludf.DUMMYFUNCTION("""COMPUTED_VALUE"""),"Ana Aparecida Felix de Almeida")</f>
        <v>Ana Aparecida Felix de Almeida</v>
      </c>
      <c r="J459" s="27" t="str">
        <f ca="1">IFERROR(__xludf.DUMMYFUNCTION("""COMPUTED_VALUE"""),"malocadacidadania@gmail.com")</f>
        <v>malocadacidadania@gmail.com</v>
      </c>
      <c r="K459" s="27" t="str">
        <f ca="1">IFERROR(__xludf.DUMMYFUNCTION("""COMPUTED_VALUE"""),"(21)98346-3724")</f>
        <v>(21)98346-3724</v>
      </c>
      <c r="L459" s="27" t="str">
        <f ca="1">IFERROR(__xludf.DUMMYFUNCTION("""COMPUTED_VALUE"""),"RJ")</f>
        <v>RJ</v>
      </c>
      <c r="M459" s="27" t="str">
        <f ca="1">IFERROR(__xludf.DUMMYFUNCTION("""COMPUTED_VALUE"""),"Estrada José Adamian")</f>
        <v>Estrada José Adamian</v>
      </c>
      <c r="N459" s="27" t="str">
        <f ca="1">IFERROR(__xludf.DUMMYFUNCTION("""COMPUTED_VALUE"""),"Vila Santo Antônio")</f>
        <v>Vila Santo Antônio</v>
      </c>
      <c r="O459" s="27">
        <f ca="1">IFERROR(__xludf.DUMMYFUNCTION("""COMPUTED_VALUE"""),10)</f>
        <v>10</v>
      </c>
      <c r="P459" s="27" t="str">
        <f ca="1">IFERROR(__xludf.DUMMYFUNCTION("""COMPUTED_VALUE"""),"Duque de Caxias")</f>
        <v>Duque de Caxias</v>
      </c>
      <c r="Q459" s="27" t="str">
        <f ca="1">IFERROR(__xludf.DUMMYFUNCTION("""COMPUTED_VALUE"""),"Lote 10 Quadra 11")</f>
        <v>Lote 10 Quadra 11</v>
      </c>
      <c r="R459" s="27" t="str">
        <f ca="1">IFERROR(__xludf.DUMMYFUNCTION("""COMPUTED_VALUE"""),"25041-560")</f>
        <v>25041-560</v>
      </c>
      <c r="S459" s="27"/>
      <c r="T459" s="27" t="str">
        <f ca="1">IFERROR(__xludf.DUMMYFUNCTION("""COMPUTED_VALUE"""),"Educação; Assistência Social; Cultura; Saúde; Empoderamento Feminino")</f>
        <v>Educação; Assistência Social; Cultura; Saúde; Empoderamento Feminino</v>
      </c>
      <c r="U459" s="27" t="str">
        <f ca="1">IFERROR(__xludf.DUMMYFUNCTION("""COMPUTED_VALUE"""),"Crianças (6 a 12 anos); Adolescentes (12 aos 18 anos); Jovens (18 aos 24 anos); Adultos; Idosos (60 anos ou mais)")</f>
        <v>Crianças (6 a 12 anos); Adolescentes (12 aos 18 anos); Jovens (18 aos 24 anos); Adultos; Idosos (60 anos ou mais)</v>
      </c>
      <c r="V459" s="27" t="str">
        <f ca="1">IFERROR(__xludf.DUMMYFUNCTION("""COMPUTED_VALUE"""),"Moradores de Favelas")</f>
        <v>Moradores de Favelas</v>
      </c>
      <c r="W459" s="27">
        <f ca="1">IFERROR(__xludf.DUMMYFUNCTION("""COMPUTED_VALUE"""),10)</f>
        <v>10</v>
      </c>
      <c r="X459" s="27"/>
      <c r="Y459" s="27"/>
      <c r="Z459" s="27">
        <f ca="1">IFERROR(__xludf.DUMMYFUNCTION("""COMPUTED_VALUE"""),2000)</f>
        <v>2000</v>
      </c>
      <c r="AA459" s="29">
        <f ca="1">IFERROR(__xludf.DUMMYFUNCTION("""COMPUTED_VALUE"""),43284)</f>
        <v>43284</v>
      </c>
      <c r="AB459" s="27" t="str">
        <f ca="1">IFERROR(__xludf.DUMMYFUNCTION("""COMPUTED_VALUE"""),"Não")</f>
        <v>Não</v>
      </c>
      <c r="AC459" s="27">
        <f ca="1">IFERROR(__xludf.DUMMYFUNCTION("""COMPUTED_VALUE"""),0)</f>
        <v>0</v>
      </c>
      <c r="AD459" s="27">
        <f ca="1">IFERROR(__xludf.DUMMYFUNCTION("""COMPUTED_VALUE"""),0)</f>
        <v>0</v>
      </c>
      <c r="AE459" s="27">
        <f ca="1">IFERROR(__xludf.DUMMYFUNCTION("""COMPUTED_VALUE"""),10)</f>
        <v>10</v>
      </c>
      <c r="AF459" s="27">
        <f ca="1">IFERROR(__xludf.DUMMYFUNCTION("""COMPUTED_VALUE"""),20)</f>
        <v>20</v>
      </c>
      <c r="AG459" s="27">
        <f ca="1">IFERROR(__xludf.DUMMYFUNCTION("""COMPUTED_VALUE"""),2)</f>
        <v>2</v>
      </c>
      <c r="AH459" s="27" t="str">
        <f ca="1">IFERROR(__xludf.DUMMYFUNCTION("""COMPUTED_VALUE"""),"Eventos/Ações para captação; Doações")</f>
        <v>Eventos/Ações para captação; Doações</v>
      </c>
      <c r="AI459" s="27">
        <f ca="1">IFERROR(__xludf.DUMMYFUNCTION("""COMPUTED_VALUE"""),0)</f>
        <v>0</v>
      </c>
      <c r="AJ459" s="27"/>
      <c r="AK459" s="27"/>
      <c r="AL459" s="21" t="str">
        <f ca="1">IFERROR(__xludf.DUMMYFUNCTION("""COMPUTED_VALUE"""),"0034P000045kxiw")</f>
        <v>0034P000045kxiw</v>
      </c>
      <c r="AM459" s="27" t="str">
        <f ca="1">IFERROR(__xludf.DUMMYFUNCTION("""COMPUTED_VALUE"""),"Aparecida Felix De Almeida")</f>
        <v>Aparecida Felix De Almeida</v>
      </c>
      <c r="AN459" s="27" t="str">
        <f ca="1">IFERROR(__xludf.DUMMYFUNCTION("""COMPUTED_VALUE"""),"Ativo")</f>
        <v>Ativo</v>
      </c>
      <c r="AO459" s="30">
        <f ca="1">IFERROR(__xludf.DUMMYFUNCTION("""COMPUTED_VALUE"""),44551)</f>
        <v>44551</v>
      </c>
      <c r="AP459" s="27">
        <f ca="1">IFERROR(__xludf.DUMMYFUNCTION("""COMPUTED_VALUE"""),9)</f>
        <v>9</v>
      </c>
      <c r="AQ459" s="27" t="str">
        <f ca="1">IFERROR(__xludf.DUMMYFUNCTION("""COMPUTED_VALUE"""),"Segundo Semestre 2021")</f>
        <v>Segundo Semestre 2021</v>
      </c>
      <c r="AR459" s="27" t="str">
        <f ca="1">IFERROR(__xludf.DUMMYFUNCTION("""COMPUTED_VALUE"""),"malocadacidadania@gmail.com")</f>
        <v>malocadacidadania@gmail.com</v>
      </c>
      <c r="AS459" s="27" t="str">
        <f ca="1">IFERROR(__xludf.DUMMYFUNCTION("""COMPUTED_VALUE"""),"(21)98346-3724")</f>
        <v>(21)98346-3724</v>
      </c>
      <c r="AT459" s="29">
        <f ca="1">IFERROR(__xludf.DUMMYFUNCTION("""COMPUTED_VALUE"""),28177)</f>
        <v>28177</v>
      </c>
      <c r="AU459" s="27">
        <f ca="1">IFERROR(__xludf.DUMMYFUNCTION("""COMPUTED_VALUE"""),45)</f>
        <v>45</v>
      </c>
      <c r="AV459" s="27">
        <f ca="1">IFERROR(__xludf.DUMMYFUNCTION("""COMPUTED_VALUE"""),7574315779)</f>
        <v>7574315779</v>
      </c>
      <c r="AW459" s="27">
        <f ca="1">IFERROR(__xludf.DUMMYFUNCTION("""COMPUTED_VALUE"""),113878482)</f>
        <v>113878482</v>
      </c>
      <c r="AX459" s="27"/>
      <c r="AY459" s="27"/>
      <c r="AZ459" s="27" t="str">
        <f ca="1">IFERROR(__xludf.DUMMYFUNCTION("""COMPUTED_VALUE"""),"M")</f>
        <v>M</v>
      </c>
      <c r="BA459" s="27" t="str">
        <f ca="1">IFERROR(__xludf.DUMMYFUNCTION("""COMPUTED_VALUE"""),"Preta")</f>
        <v>Preta</v>
      </c>
      <c r="BB459" s="27" t="str">
        <f ca="1">IFERROR(__xludf.DUMMYFUNCTION("""COMPUTED_VALUE"""),"Mulher, cisgênero")</f>
        <v>Mulher, cisgênero</v>
      </c>
      <c r="BC459" s="27" t="str">
        <f ca="1">IFERROR(__xludf.DUMMYFUNCTION("""COMPUTED_VALUE"""),"Sim")</f>
        <v>Sim</v>
      </c>
      <c r="BD459" s="27" t="str">
        <f ca="1">IFERROR(__xludf.DUMMYFUNCTION("""COMPUTED_VALUE"""),"Esposa, mãe,pastora e cria do Pantanal, em Duque de Caxias. Assistente Social, Especialista em Promoção da Saúde e Desenvolvimento, Social, Idealizara e Coordenadora do Instituto Maloca da Cidadania.")</f>
        <v>Esposa, mãe,pastora e cria do Pantanal, em Duque de Caxias. Assistente Social, Especialista em Promoção da Saúde e Desenvolvimento, Social, Idealizara e Coordenadora do Instituto Maloca da Cidadania.</v>
      </c>
      <c r="BE459" s="27"/>
      <c r="BF459" s="27" t="str">
        <f ca="1">IFERROR(__xludf.DUMMYFUNCTION("""COMPUTED_VALUE"""),"Heterossexual")</f>
        <v>Heterossexual</v>
      </c>
      <c r="BG459" s="27" t="str">
        <f ca="1">IFERROR(__xludf.DUMMYFUNCTION("""COMPUTED_VALUE"""),"Ensino Superior - Completo")</f>
        <v>Ensino Superior - Completo</v>
      </c>
      <c r="BH459" s="27" t="str">
        <f ca="1">IFERROR(__xludf.DUMMYFUNCTION("""COMPUTED_VALUE"""),"Privado")</f>
        <v>Privado</v>
      </c>
      <c r="BI459" s="27" t="str">
        <f ca="1">IFERROR(__xludf.DUMMYFUNCTION("""COMPUTED_VALUE"""),"Pós-Graduação")</f>
        <v>Pós-Graduação</v>
      </c>
      <c r="BJ459" s="27" t="str">
        <f ca="1">IFERROR(__xludf.DUMMYFUNCTION("""COMPUTED_VALUE"""),"Público")</f>
        <v>Público</v>
      </c>
      <c r="BK459" s="27" t="str">
        <f ca="1">IFERROR(__xludf.DUMMYFUNCTION("""COMPUTED_VALUE"""),"Sambaitiba")</f>
        <v>Sambaitiba</v>
      </c>
      <c r="BL459" s="27">
        <f ca="1">IFERROR(__xludf.DUMMYFUNCTION("""COMPUTED_VALUE"""),26)</f>
        <v>26</v>
      </c>
      <c r="BM459" s="27" t="str">
        <f ca="1">IFERROR(__xludf.DUMMYFUNCTION("""COMPUTED_VALUE"""),"Lt 26 Qd 57")</f>
        <v>Lt 26 Qd 57</v>
      </c>
      <c r="BN459" s="27" t="str">
        <f ca="1">IFERROR(__xludf.DUMMYFUNCTION("""COMPUTED_VALUE"""),"Duque de Caxias")</f>
        <v>Duque de Caxias</v>
      </c>
      <c r="BO459" s="27" t="str">
        <f ca="1">IFERROR(__xludf.DUMMYFUNCTION("""COMPUTED_VALUE"""),"25041-170")</f>
        <v>25041-170</v>
      </c>
      <c r="BP459" s="27" t="str">
        <f ca="1">IFERROR(__xludf.DUMMYFUNCTION("""COMPUTED_VALUE"""),"RJ")</f>
        <v>RJ</v>
      </c>
      <c r="BQ459" s="27" t="str">
        <f ca="1">IFERROR(__xludf.DUMMYFUNCTION("""COMPUTED_VALUE"""),"Entre 1 até 3 salários mínimos")</f>
        <v>Entre 1 até 3 salários mínimos</v>
      </c>
      <c r="BR459" s="27" t="str">
        <f ca="1">IFERROR(__xludf.DUMMYFUNCTION("""COMPUTED_VALUE"""),"MEI; Desempregado")</f>
        <v>MEI; Desempregado</v>
      </c>
      <c r="BS459" s="27" t="str">
        <f ca="1">IFERROR(__xludf.DUMMYFUNCTION("""COMPUTED_VALUE"""),"Casa cedida")</f>
        <v>Casa cedida</v>
      </c>
      <c r="BT459" s="27">
        <f ca="1">IFERROR(__xludf.DUMMYFUNCTION("""COMPUTED_VALUE"""),2)</f>
        <v>2</v>
      </c>
      <c r="BU459" s="27" t="str">
        <f ca="1">IFERROR(__xludf.DUMMYFUNCTION("""COMPUTED_VALUE"""),"Não tem")</f>
        <v>Não tem</v>
      </c>
      <c r="BV459" s="27"/>
      <c r="BW459" s="27"/>
      <c r="BX459" s="21" t="str">
        <f ca="1">IFERROR(__xludf.DUMMYFUNCTION("""COMPUTED_VALUE"""),"https://instagram.com/anafelix2019?utm_medium=copy_link")</f>
        <v>https://instagram.com/anafelix2019?utm_medium=copy_link</v>
      </c>
      <c r="BY459" s="21" t="str">
        <f ca="1">IFERROR(__xludf.DUMMYFUNCTION("""COMPUTED_VALUE"""),"https://drive.google.com/open?id=1jePFUYdDBAn4RqRWXOOgSQuBTVep3YGp")</f>
        <v>https://drive.google.com/open?id=1jePFUYdDBAn4RqRWXOOgSQuBTVep3YGp</v>
      </c>
    </row>
    <row r="460" spans="1:77" ht="12.5" x14ac:dyDescent="0.25">
      <c r="A460" s="21" t="str">
        <f ca="1">IFERROR(__xludf.DUMMYFUNCTION("""COMPUTED_VALUE"""),"0014X00002VKCrcQAH")</f>
        <v>0014X00002VKCrcQAH</v>
      </c>
      <c r="B460" s="27" t="str">
        <f ca="1">IFERROR(__xludf.DUMMYFUNCTION("""COMPUTED_VALUE"""),"Fase Inicial")</f>
        <v>Fase Inicial</v>
      </c>
      <c r="C460" s="27" t="str">
        <f ca="1">IFERROR(__xludf.DUMMYFUNCTION("""COMPUTED_VALUE"""),"Fellow")</f>
        <v>Fellow</v>
      </c>
      <c r="D460" s="27" t="str">
        <f ca="1">IFERROR(__xludf.DUMMYFUNCTION("""COMPUTED_VALUE"""),"Ativo")</f>
        <v>Ativo</v>
      </c>
      <c r="E460" s="27" t="str">
        <f ca="1">IFERROR(__xludf.DUMMYFUNCTION("""COMPUTED_VALUE"""),"MAAC - Movimento de Articulação Ambiental e Cultural")</f>
        <v>MAAC - Movimento de Articulação Ambiental e Cultural</v>
      </c>
      <c r="F460" s="27" t="str">
        <f ca="1">IFERROR(__xludf.DUMMYFUNCTION("""COMPUTED_VALUE"""),"Eufrásio")</f>
        <v>Eufrásio</v>
      </c>
      <c r="G460" s="27" t="str">
        <f ca="1">IFERROR(__xludf.DUMMYFUNCTION("""COMPUTED_VALUE"""),"MAAC")</f>
        <v>MAAC</v>
      </c>
      <c r="H460" s="27" t="str">
        <f ca="1">IFERROR(__xludf.DUMMYFUNCTION("""COMPUTED_VALUE"""),"10.550.948/0001-74")</f>
        <v>10.550.948/0001-74</v>
      </c>
      <c r="I460" s="27" t="str">
        <f ca="1">IFERROR(__xludf.DUMMYFUNCTION("""COMPUTED_VALUE"""),"Eufrásio Cavalcanti de Sena")</f>
        <v>Eufrásio Cavalcanti de Sena</v>
      </c>
      <c r="J460" s="27" t="str">
        <f ca="1">IFERROR(__xludf.DUMMYFUNCTION("""COMPUTED_VALUE"""),"maac.recife@gmail.com")</f>
        <v>maac.recife@gmail.com</v>
      </c>
      <c r="K460" s="27" t="str">
        <f ca="1">IFERROR(__xludf.DUMMYFUNCTION("""COMPUTED_VALUE"""),"(81)99941-6999")</f>
        <v>(81)99941-6999</v>
      </c>
      <c r="L460" s="27" t="str">
        <f ca="1">IFERROR(__xludf.DUMMYFUNCTION("""COMPUTED_VALUE"""),"PE")</f>
        <v>PE</v>
      </c>
      <c r="M460" s="27" t="str">
        <f ca="1">IFERROR(__xludf.DUMMYFUNCTION("""COMPUTED_VALUE"""),"Rua Vale do Siriji,30")</f>
        <v>Rua Vale do Siriji,30</v>
      </c>
      <c r="N460" s="27" t="str">
        <f ca="1">IFERROR(__xludf.DUMMYFUNCTION("""COMPUTED_VALUE"""),"UR-07 Várzea")</f>
        <v>UR-07 Várzea</v>
      </c>
      <c r="O460" s="27">
        <f ca="1">IFERROR(__xludf.DUMMYFUNCTION("""COMPUTED_VALUE"""),30)</f>
        <v>30</v>
      </c>
      <c r="P460" s="27" t="str">
        <f ca="1">IFERROR(__xludf.DUMMYFUNCTION("""COMPUTED_VALUE"""),"Recife")</f>
        <v>Recife</v>
      </c>
      <c r="Q460" s="27"/>
      <c r="R460" s="27" t="str">
        <f ca="1">IFERROR(__xludf.DUMMYFUNCTION("""COMPUTED_VALUE"""),"50970-000")</f>
        <v>50970-000</v>
      </c>
      <c r="S460" s="27" t="str">
        <f ca="1">IFERROR(__xludf.DUMMYFUNCTION("""COMPUTED_VALUE"""),"Escola municipal João Francisco")</f>
        <v>Escola municipal João Francisco</v>
      </c>
      <c r="T460" s="27"/>
      <c r="U460" s="27" t="str">
        <f ca="1">IFERROR(__xludf.DUMMYFUNCTION("""COMPUTED_VALUE"""),"Crianças (6 a 12 anos), Adolescentes (12 aos 18 anos), Jovens (18 aos 24 anos), Adultos")</f>
        <v>Crianças (6 a 12 anos), Adolescentes (12 aos 18 anos), Jovens (18 aos 24 anos), Adultos</v>
      </c>
      <c r="V460" s="27" t="str">
        <f ca="1">IFERROR(__xludf.DUMMYFUNCTION("""COMPUTED_VALUE"""),"Moradores de Favelas, Outros")</f>
        <v>Moradores de Favelas, Outros</v>
      </c>
      <c r="W460" s="27">
        <f ca="1">IFERROR(__xludf.DUMMYFUNCTION("""COMPUTED_VALUE"""),5)</f>
        <v>5</v>
      </c>
      <c r="X460" s="27"/>
      <c r="Y460" s="27"/>
      <c r="Z460" s="27">
        <f ca="1">IFERROR(__xludf.DUMMYFUNCTION("""COMPUTED_VALUE"""),200)</f>
        <v>200</v>
      </c>
      <c r="AA460" s="30">
        <f ca="1">IFERROR(__xludf.DUMMYFUNCTION("""COMPUTED_VALUE"""),39794)</f>
        <v>39794</v>
      </c>
      <c r="AB460" s="27" t="str">
        <f ca="1">IFERROR(__xludf.DUMMYFUNCTION("""COMPUTED_VALUE"""),"Sim")</f>
        <v>Sim</v>
      </c>
      <c r="AC460" s="27">
        <f ca="1">IFERROR(__xludf.DUMMYFUNCTION("""COMPUTED_VALUE"""),0)</f>
        <v>0</v>
      </c>
      <c r="AD460" s="27">
        <f ca="1">IFERROR(__xludf.DUMMYFUNCTION("""COMPUTED_VALUE"""),7)</f>
        <v>7</v>
      </c>
      <c r="AE460" s="27">
        <f ca="1">IFERROR(__xludf.DUMMYFUNCTION("""COMPUTED_VALUE"""),6)</f>
        <v>6</v>
      </c>
      <c r="AF460" s="27">
        <f ca="1">IFERROR(__xludf.DUMMYFUNCTION("""COMPUTED_VALUE"""),3)</f>
        <v>3</v>
      </c>
      <c r="AG460" s="27">
        <f ca="1">IFERROR(__xludf.DUMMYFUNCTION("""COMPUTED_VALUE"""),3)</f>
        <v>3</v>
      </c>
      <c r="AH460" s="27" t="str">
        <f ca="1">IFERROR(__xludf.DUMMYFUNCTION("""COMPUTED_VALUE"""),"Negócio Social, Doações, Recursos próprios")</f>
        <v>Negócio Social, Doações, Recursos próprios</v>
      </c>
      <c r="AI460" s="27">
        <f ca="1">IFERROR(__xludf.DUMMYFUNCTION("""COMPUTED_VALUE"""),0)</f>
        <v>0</v>
      </c>
      <c r="AJ460" s="27" t="str">
        <f ca="1">IFERROR(__xludf.DUMMYFUNCTION("""COMPUTED_VALUE"""),"Sim")</f>
        <v>Sim</v>
      </c>
      <c r="AK460" s="27"/>
      <c r="AL460" s="21" t="str">
        <f ca="1">IFERROR(__xludf.DUMMYFUNCTION("""COMPUTED_VALUE"""),"0034X0000380O47")</f>
        <v>0034X0000380O47</v>
      </c>
      <c r="AM460" s="27" t="str">
        <f ca="1">IFERROR(__xludf.DUMMYFUNCTION("""COMPUTED_VALUE"""),"Cavalcanti de sena")</f>
        <v>Cavalcanti de sena</v>
      </c>
      <c r="AN460" s="27" t="str">
        <f ca="1">IFERROR(__xludf.DUMMYFUNCTION("""COMPUTED_VALUE"""),"Ativo")</f>
        <v>Ativo</v>
      </c>
      <c r="AO460" s="29">
        <f ca="1">IFERROR(__xludf.DUMMYFUNCTION("""COMPUTED_VALUE"""),44763)</f>
        <v>44763</v>
      </c>
      <c r="AP460" s="27">
        <f ca="1">IFERROR(__xludf.DUMMYFUNCTION("""COMPUTED_VALUE"""),2)</f>
        <v>2</v>
      </c>
      <c r="AQ460" s="27" t="str">
        <f ca="1">IFERROR(__xludf.DUMMYFUNCTION("""COMPUTED_VALUE"""),"Primeiro Semestre 2022")</f>
        <v>Primeiro Semestre 2022</v>
      </c>
      <c r="AR460" s="27" t="str">
        <f ca="1">IFERROR(__xludf.DUMMYFUNCTION("""COMPUTED_VALUE"""),"senamaac.07@gmail.com")</f>
        <v>senamaac.07@gmail.com</v>
      </c>
      <c r="AS460" s="27" t="str">
        <f ca="1">IFERROR(__xludf.DUMMYFUNCTION("""COMPUTED_VALUE"""),"(81)99941-6999")</f>
        <v>(81)99941-6999</v>
      </c>
      <c r="AT460" s="29">
        <f ca="1">IFERROR(__xludf.DUMMYFUNCTION("""COMPUTED_VALUE"""),27175)</f>
        <v>27175</v>
      </c>
      <c r="AU460" s="27">
        <f ca="1">IFERROR(__xludf.DUMMYFUNCTION("""COMPUTED_VALUE"""),48)</f>
        <v>48</v>
      </c>
      <c r="AV460" s="27">
        <f ca="1">IFERROR(__xludf.DUMMYFUNCTION("""COMPUTED_VALUE"""),77349997434)</f>
        <v>77349997434</v>
      </c>
      <c r="AW460" s="27">
        <f ca="1">IFERROR(__xludf.DUMMYFUNCTION("""COMPUTED_VALUE"""),4099712)</f>
        <v>4099712</v>
      </c>
      <c r="AX460" s="27"/>
      <c r="AY460" s="27" t="str">
        <f ca="1">IFERROR(__xludf.DUMMYFUNCTION("""COMPUTED_VALUE"""),"Presidente")</f>
        <v>Presidente</v>
      </c>
      <c r="AZ460" s="27" t="str">
        <f ca="1">IFERROR(__xludf.DUMMYFUNCTION("""COMPUTED_VALUE"""),"G")</f>
        <v>G</v>
      </c>
      <c r="BA460" s="27" t="str">
        <f ca="1">IFERROR(__xludf.DUMMYFUNCTION("""COMPUTED_VALUE"""),"Parda")</f>
        <v>Parda</v>
      </c>
      <c r="BB460" s="27"/>
      <c r="BC460" s="27"/>
      <c r="BD460" s="27" t="str">
        <f ca="1">IFERROR(__xludf.DUMMYFUNCTION("""COMPUTED_VALUE"""),"Sou Eufrásio Sena, conhecido como Sena do MAAC, sou educador social e arte educador, ativista social e co-fundador do MAAC - Movimento de Articulação Ambiental e Cultural.")</f>
        <v>Sou Eufrásio Sena, conhecido como Sena do MAAC, sou educador social e arte educador, ativista social e co-fundador do MAAC - Movimento de Articulação Ambiental e Cultural.</v>
      </c>
      <c r="BE460" s="27" t="str">
        <f ca="1">IFERROR(__xludf.DUMMYFUNCTION("""COMPUTED_VALUE"""),"Homem, cisgênero")</f>
        <v>Homem, cisgênero</v>
      </c>
      <c r="BF460" s="27" t="str">
        <f ca="1">IFERROR(__xludf.DUMMYFUNCTION("""COMPUTED_VALUE"""),"Heterossexual")</f>
        <v>Heterossexual</v>
      </c>
      <c r="BG460" s="27" t="str">
        <f ca="1">IFERROR(__xludf.DUMMYFUNCTION("""COMPUTED_VALUE"""),"Ensino Superior - Incompleto")</f>
        <v>Ensino Superior - Incompleto</v>
      </c>
      <c r="BH460" s="27" t="str">
        <f ca="1">IFERROR(__xludf.DUMMYFUNCTION("""COMPUTED_VALUE"""),"Público")</f>
        <v>Público</v>
      </c>
      <c r="BI460" s="27" t="str">
        <f ca="1">IFERROR(__xludf.DUMMYFUNCTION("""COMPUTED_VALUE"""),"Graduação")</f>
        <v>Graduação</v>
      </c>
      <c r="BJ460" s="27"/>
      <c r="BK460" s="27" t="str">
        <f ca="1">IFERROR(__xludf.DUMMYFUNCTION("""COMPUTED_VALUE"""),"Rua Vale do Siriji")</f>
        <v>Rua Vale do Siriji</v>
      </c>
      <c r="BL460" s="27">
        <f ca="1">IFERROR(__xludf.DUMMYFUNCTION("""COMPUTED_VALUE"""),32)</f>
        <v>32</v>
      </c>
      <c r="BM460" s="27"/>
      <c r="BN460" s="27" t="str">
        <f ca="1">IFERROR(__xludf.DUMMYFUNCTION("""COMPUTED_VALUE"""),"Recife")</f>
        <v>Recife</v>
      </c>
      <c r="BO460" s="27" t="str">
        <f ca="1">IFERROR(__xludf.DUMMYFUNCTION("""COMPUTED_VALUE"""),"50979-000")</f>
        <v>50979-000</v>
      </c>
      <c r="BP460" s="27" t="str">
        <f ca="1">IFERROR(__xludf.DUMMYFUNCTION("""COMPUTED_VALUE"""),"PE")</f>
        <v>PE</v>
      </c>
      <c r="BQ460" s="27" t="str">
        <f ca="1">IFERROR(__xludf.DUMMYFUNCTION("""COMPUTED_VALUE"""),"Entre 1 até 3 salários mínimos")</f>
        <v>Entre 1 até 3 salários mínimos</v>
      </c>
      <c r="BR460" s="27" t="str">
        <f ca="1">IFERROR(__xludf.DUMMYFUNCTION("""COMPUTED_VALUE"""),"CLT")</f>
        <v>CLT</v>
      </c>
      <c r="BS460" s="27" t="str">
        <f ca="1">IFERROR(__xludf.DUMMYFUNCTION("""COMPUTED_VALUE"""),"Aluguel")</f>
        <v>Aluguel</v>
      </c>
      <c r="BT460" s="27">
        <f ca="1">IFERROR(__xludf.DUMMYFUNCTION("""COMPUTED_VALUE"""),4)</f>
        <v>4</v>
      </c>
      <c r="BU460" s="27" t="str">
        <f ca="1">IFERROR(__xludf.DUMMYFUNCTION("""COMPUTED_VALUE"""),"Não tem")</f>
        <v>Não tem</v>
      </c>
      <c r="BV460" s="27" t="str">
        <f ca="1">IFERROR(__xludf.DUMMYFUNCTION("""COMPUTED_VALUE"""),"Não")</f>
        <v>Não</v>
      </c>
      <c r="BW460" s="27"/>
      <c r="BX460" s="27"/>
      <c r="BY460" s="21" t="str">
        <f ca="1">IFERROR(__xludf.DUMMYFUNCTION("""COMPUTED_VALUE"""),"https://drive.google.com/open?id=1OFFk76uGggfu2mKwiRjLP4-xRr8NivJ4")</f>
        <v>https://drive.google.com/open?id=1OFFk76uGggfu2mKwiRjLP4-xRr8NivJ4</v>
      </c>
    </row>
    <row r="461" spans="1:77" ht="12.5" hidden="1" x14ac:dyDescent="0.25">
      <c r="A461" s="21" t="str">
        <f ca="1">IFERROR(__xludf.DUMMYFUNCTION("""COMPUTED_VALUE"""),"0014X00002VKCuVQAX")</f>
        <v>0014X00002VKCuVQAX</v>
      </c>
      <c r="B461" s="27" t="str">
        <f ca="1">IFERROR(__xludf.DUMMYFUNCTION("""COMPUTED_VALUE"""),"Fase Inicial")</f>
        <v>Fase Inicial</v>
      </c>
      <c r="C461" s="27" t="str">
        <f ca="1">IFERROR(__xludf.DUMMYFUNCTION("""COMPUTED_VALUE"""),"Fellow")</f>
        <v>Fellow</v>
      </c>
      <c r="D461" s="27" t="str">
        <f ca="1">IFERROR(__xludf.DUMMYFUNCTION("""COMPUTED_VALUE"""),"Ativo")</f>
        <v>Ativo</v>
      </c>
      <c r="E461" s="27" t="str">
        <f ca="1">IFERROR(__xludf.DUMMYFUNCTION("""COMPUTED_VALUE"""),"Manifesta Movement")</f>
        <v>Manifesta Movement</v>
      </c>
      <c r="F461" s="27" t="str">
        <f ca="1">IFERROR(__xludf.DUMMYFUNCTION("""COMPUTED_VALUE"""),"Caio")</f>
        <v>Caio</v>
      </c>
      <c r="G461" s="27" t="str">
        <f ca="1">IFERROR(__xludf.DUMMYFUNCTION("""COMPUTED_VALUE"""),"MANIFESTA MOVEMENT")</f>
        <v>MANIFESTA MOVEMENT</v>
      </c>
      <c r="H461" s="27"/>
      <c r="I461" s="27" t="str">
        <f ca="1">IFERROR(__xludf.DUMMYFUNCTION("""COMPUTED_VALUE"""),"Caio Vinicius Cuadrado Garcia")</f>
        <v>Caio Vinicius Cuadrado Garcia</v>
      </c>
      <c r="J461" s="27"/>
      <c r="K461" s="27" t="str">
        <f ca="1">IFERROR(__xludf.DUMMYFUNCTION("""COMPUTED_VALUE"""),"(11)97575-6967")</f>
        <v>(11)97575-6967</v>
      </c>
      <c r="L461" s="27" t="str">
        <f ca="1">IFERROR(__xludf.DUMMYFUNCTION("""COMPUTED_VALUE"""),"SP")</f>
        <v>SP</v>
      </c>
      <c r="M461" s="27" t="str">
        <f ca="1">IFERROR(__xludf.DUMMYFUNCTION("""COMPUTED_VALUE"""),"Rua elgin")</f>
        <v>Rua elgin</v>
      </c>
      <c r="N461" s="27" t="str">
        <f ca="1">IFERROR(__xludf.DUMMYFUNCTION("""COMPUTED_VALUE"""),"Jardim Veneza")</f>
        <v>Jardim Veneza</v>
      </c>
      <c r="O461" s="27">
        <f ca="1">IFERROR(__xludf.DUMMYFUNCTION("""COMPUTED_VALUE"""),126)</f>
        <v>126</v>
      </c>
      <c r="P461" s="27" t="str">
        <f ca="1">IFERROR(__xludf.DUMMYFUNCTION("""COMPUTED_VALUE"""),"Mogi das Cruzes")</f>
        <v>Mogi das Cruzes</v>
      </c>
      <c r="Q461" s="27"/>
      <c r="R461" s="27" t="str">
        <f ca="1">IFERROR(__xludf.DUMMYFUNCTION("""COMPUTED_VALUE"""),"08715-450")</f>
        <v>08715-450</v>
      </c>
      <c r="S461" s="27"/>
      <c r="T461" s="27"/>
      <c r="U461"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461" s="27" t="str">
        <f ca="1">IFERROR(__xludf.DUMMYFUNCTION("""COMPUTED_VALUE"""),"Moradores de Favelas, Pessoas em situação de rua")</f>
        <v>Moradores de Favelas, Pessoas em situação de rua</v>
      </c>
      <c r="W461" s="27">
        <f ca="1">IFERROR(__xludf.DUMMYFUNCTION("""COMPUTED_VALUE"""),5)</f>
        <v>5</v>
      </c>
      <c r="X461" s="27" t="str">
        <f ca="1">IFERROR(__xludf.DUMMYFUNCTION("""COMPUTED_VALUE"""),"Famílias")</f>
        <v>Famílias</v>
      </c>
      <c r="Y461" s="27"/>
      <c r="Z461" s="27">
        <f ca="1">IFERROR(__xludf.DUMMYFUNCTION("""COMPUTED_VALUE"""),10)</f>
        <v>10</v>
      </c>
      <c r="AA461" s="30">
        <f ca="1">IFERROR(__xludf.DUMMYFUNCTION("""COMPUTED_VALUE"""),41202)</f>
        <v>41202</v>
      </c>
      <c r="AB461" s="27" t="str">
        <f ca="1">IFERROR(__xludf.DUMMYFUNCTION("""COMPUTED_VALUE"""),"Não")</f>
        <v>Não</v>
      </c>
      <c r="AC461" s="27">
        <f ca="1">IFERROR(__xludf.DUMMYFUNCTION("""COMPUTED_VALUE"""),0)</f>
        <v>0</v>
      </c>
      <c r="AD461" s="27">
        <f ca="1">IFERROR(__xludf.DUMMYFUNCTION("""COMPUTED_VALUE"""),0)</f>
        <v>0</v>
      </c>
      <c r="AE461" s="27">
        <f ca="1">IFERROR(__xludf.DUMMYFUNCTION("""COMPUTED_VALUE"""),29)</f>
        <v>29</v>
      </c>
      <c r="AF461" s="27">
        <f ca="1">IFERROR(__xludf.DUMMYFUNCTION("""COMPUTED_VALUE"""),29)</f>
        <v>29</v>
      </c>
      <c r="AG461" s="27">
        <f ca="1">IFERROR(__xludf.DUMMYFUNCTION("""COMPUTED_VALUE"""),2)</f>
        <v>2</v>
      </c>
      <c r="AH461" s="27" t="str">
        <f ca="1">IFERROR(__xludf.DUMMYFUNCTION("""COMPUTED_VALUE"""),"Doações, Recursos próprios")</f>
        <v>Doações, Recursos próprios</v>
      </c>
      <c r="AI461" s="27">
        <f ca="1">IFERROR(__xludf.DUMMYFUNCTION("""COMPUTED_VALUE"""),0)</f>
        <v>0</v>
      </c>
      <c r="AJ461" s="27" t="str">
        <f ca="1">IFERROR(__xludf.DUMMYFUNCTION("""COMPUTED_VALUE"""),"Não")</f>
        <v>Não</v>
      </c>
      <c r="AK461" s="27"/>
      <c r="AL461" s="21" t="str">
        <f ca="1">IFERROR(__xludf.DUMMYFUNCTION("""COMPUTED_VALUE"""),"0034X0000380O1y")</f>
        <v>0034X0000380O1y</v>
      </c>
      <c r="AM461" s="27" t="str">
        <f ca="1">IFERROR(__xludf.DUMMYFUNCTION("""COMPUTED_VALUE"""),"Vinicius cuadrado garcia")</f>
        <v>Vinicius cuadrado garcia</v>
      </c>
      <c r="AN461" s="27" t="str">
        <f ca="1">IFERROR(__xludf.DUMMYFUNCTION("""COMPUTED_VALUE"""),"Ativo")</f>
        <v>Ativo</v>
      </c>
      <c r="AO461" s="29">
        <f ca="1">IFERROR(__xludf.DUMMYFUNCTION("""COMPUTED_VALUE"""),44763)</f>
        <v>44763</v>
      </c>
      <c r="AP461" s="27">
        <f ca="1">IFERROR(__xludf.DUMMYFUNCTION("""COMPUTED_VALUE"""),2)</f>
        <v>2</v>
      </c>
      <c r="AQ461" s="27" t="str">
        <f ca="1">IFERROR(__xludf.DUMMYFUNCTION("""COMPUTED_VALUE"""),"Primeiro Semestre 2022")</f>
        <v>Primeiro Semestre 2022</v>
      </c>
      <c r="AR461" s="27" t="str">
        <f ca="1">IFERROR(__xludf.DUMMYFUNCTION("""COMPUTED_VALUE"""),"caiofalcons@gmail.com")</f>
        <v>caiofalcons@gmail.com</v>
      </c>
      <c r="AS461" s="27" t="str">
        <f ca="1">IFERROR(__xludf.DUMMYFUNCTION("""COMPUTED_VALUE"""),"(11)97575-6967")</f>
        <v>(11)97575-6967</v>
      </c>
      <c r="AT461" s="29">
        <f ca="1">IFERROR(__xludf.DUMMYFUNCTION("""COMPUTED_VALUE"""),29841)</f>
        <v>29841</v>
      </c>
      <c r="AU461" s="27">
        <f ca="1">IFERROR(__xludf.DUMMYFUNCTION("""COMPUTED_VALUE"""),41)</f>
        <v>41</v>
      </c>
      <c r="AV461" s="27">
        <f ca="1">IFERROR(__xludf.DUMMYFUNCTION("""COMPUTED_VALUE"""),30435194852)</f>
        <v>30435194852</v>
      </c>
      <c r="AW461" s="27">
        <f ca="1">IFERROR(__xludf.DUMMYFUNCTION("""COMPUTED_VALUE"""),262295775)</f>
        <v>262295775</v>
      </c>
      <c r="AX461" s="27"/>
      <c r="AY461" s="27"/>
      <c r="AZ461" s="27" t="str">
        <f ca="1">IFERROR(__xludf.DUMMYFUNCTION("""COMPUTED_VALUE"""),"GG")</f>
        <v>GG</v>
      </c>
      <c r="BA461" s="27" t="str">
        <f ca="1">IFERROR(__xludf.DUMMYFUNCTION("""COMPUTED_VALUE"""),"Branca")</f>
        <v>Branca</v>
      </c>
      <c r="BB461" s="27"/>
      <c r="BC461" s="27"/>
      <c r="BD461" s="27" t="str">
        <f ca="1">IFERROR(__xludf.DUMMYFUNCTION("""COMPUTED_VALUE"""),"É designer gráfico com experiência de mais de 15 anos
Sempre envolvido com voluntariado, pós graduou em gestão de projetos sociais e em gestão social, políticas públicas e defesa de direitos. Atuou em organizações do terceiro setor como educador social, c"&amp;"oordenador e comunicação.
Formado em Design Gráfico pela UMC, pós graduado em Gestão de Projetos Sociais pela Flam e pós graduado o em Gestão Social de Políticas Públicas e Defesa de Direitos pela Unopar.")</f>
        <v>É designer gráfico com experiência de mais de 15 anos
Sempre envolvido com voluntariado, pós graduou em gestão de projetos sociais e em gestão social, políticas públicas e defesa de direitos. Atuou em organizações do terceiro setor como educador social, coordenador e comunicação.
Formado em Design Gráfico pela UMC, pós graduado em Gestão de Projetos Sociais pela Flam e pós graduado o em Gestão Social de Políticas Públicas e Defesa de Direitos pela Unopar.</v>
      </c>
      <c r="BE461" s="27" t="str">
        <f ca="1">IFERROR(__xludf.DUMMYFUNCTION("""COMPUTED_VALUE"""),"Homem, cisgênero")</f>
        <v>Homem, cisgênero</v>
      </c>
      <c r="BF461" s="27" t="str">
        <f ca="1">IFERROR(__xludf.DUMMYFUNCTION("""COMPUTED_VALUE"""),"Heterossexual")</f>
        <v>Heterossexual</v>
      </c>
      <c r="BG461" s="27" t="str">
        <f ca="1">IFERROR(__xludf.DUMMYFUNCTION("""COMPUTED_VALUE"""),"Ensino Superior - Completo")</f>
        <v>Ensino Superior - Completo</v>
      </c>
      <c r="BH461" s="27" t="str">
        <f ca="1">IFERROR(__xludf.DUMMYFUNCTION("""COMPUTED_VALUE"""),"Público")</f>
        <v>Público</v>
      </c>
      <c r="BI461" s="27" t="str">
        <f ca="1">IFERROR(__xludf.DUMMYFUNCTION("""COMPUTED_VALUE"""),"Pós-Graduação")</f>
        <v>Pós-Graduação</v>
      </c>
      <c r="BJ461" s="27" t="str">
        <f ca="1">IFERROR(__xludf.DUMMYFUNCTION("""COMPUTED_VALUE"""),"Privado")</f>
        <v>Privado</v>
      </c>
      <c r="BK461" s="27" t="str">
        <f ca="1">IFERROR(__xludf.DUMMYFUNCTION("""COMPUTED_VALUE"""),"Avenida Gilberto Rodrigues de Souza")</f>
        <v>Avenida Gilberto Rodrigues de Souza</v>
      </c>
      <c r="BL461" s="27">
        <f ca="1">IFERROR(__xludf.DUMMYFUNCTION("""COMPUTED_VALUE"""),44)</f>
        <v>44</v>
      </c>
      <c r="BM461" s="27"/>
      <c r="BN461" s="27" t="str">
        <f ca="1">IFERROR(__xludf.DUMMYFUNCTION("""COMPUTED_VALUE"""),"Mogi das Cruzes")</f>
        <v>Mogi das Cruzes</v>
      </c>
      <c r="BO461" s="27" t="str">
        <f ca="1">IFERROR(__xludf.DUMMYFUNCTION("""COMPUTED_VALUE"""),"08720-230")</f>
        <v>08720-230</v>
      </c>
      <c r="BP461" s="27" t="str">
        <f ca="1">IFERROR(__xludf.DUMMYFUNCTION("""COMPUTED_VALUE"""),"SP")</f>
        <v>SP</v>
      </c>
      <c r="BQ461" s="27" t="str">
        <f ca="1">IFERROR(__xludf.DUMMYFUNCTION("""COMPUTED_VALUE"""),"De 3 até 5 salários mínimos")</f>
        <v>De 3 até 5 salários mínimos</v>
      </c>
      <c r="BR461" s="27" t="str">
        <f ca="1">IFERROR(__xludf.DUMMYFUNCTION("""COMPUTED_VALUE"""),"CLT")</f>
        <v>CLT</v>
      </c>
      <c r="BS461" s="27" t="str">
        <f ca="1">IFERROR(__xludf.DUMMYFUNCTION("""COMPUTED_VALUE"""),"Aluguel")</f>
        <v>Aluguel</v>
      </c>
      <c r="BT461" s="27">
        <f ca="1">IFERROR(__xludf.DUMMYFUNCTION("""COMPUTED_VALUE"""),4)</f>
        <v>4</v>
      </c>
      <c r="BU461" s="27" t="str">
        <f ca="1">IFERROR(__xludf.DUMMYFUNCTION("""COMPUTED_VALUE"""),"Não tem")</f>
        <v>Não tem</v>
      </c>
      <c r="BV461" s="27" t="str">
        <f ca="1">IFERROR(__xludf.DUMMYFUNCTION("""COMPUTED_VALUE"""),"Não")</f>
        <v>Não</v>
      </c>
      <c r="BW461" s="21" t="str">
        <f ca="1">IFERROR(__xludf.DUMMYFUNCTION("""COMPUTED_VALUE"""),"https://www.linkedin.com/in/caiocuadrado")</f>
        <v>https://www.linkedin.com/in/caiocuadrado</v>
      </c>
      <c r="BX461" s="21" t="str">
        <f ca="1">IFERROR(__xludf.DUMMYFUNCTION("""COMPUTED_VALUE"""),"https://www.instagram.com/caiocuadrado")</f>
        <v>https://www.instagram.com/caiocuadrado</v>
      </c>
      <c r="BY461" s="21" t="str">
        <f ca="1">IFERROR(__xludf.DUMMYFUNCTION("""COMPUTED_VALUE"""),"https://drive.google.com/open?id=1elfHJjbNYc5D_gUXGZ0oW7Jl2hVgc7Pr")</f>
        <v>https://drive.google.com/open?id=1elfHJjbNYc5D_gUXGZ0oW7Jl2hVgc7Pr</v>
      </c>
    </row>
    <row r="462" spans="1:77" ht="12.5" x14ac:dyDescent="0.25">
      <c r="A462" s="21" t="str">
        <f ca="1">IFERROR(__xludf.DUMMYFUNCTION("""COMPUTED_VALUE"""),"0014X00002VKCqFQAX")</f>
        <v>0014X00002VKCqFQAX</v>
      </c>
      <c r="B462" s="27"/>
      <c r="C462" s="27" t="str">
        <f ca="1">IFERROR(__xludf.DUMMYFUNCTION("""COMPUTED_VALUE"""),"Fellow")</f>
        <v>Fellow</v>
      </c>
      <c r="D462" s="27" t="str">
        <f ca="1">IFERROR(__xludf.DUMMYFUNCTION("""COMPUTED_VALUE"""),"Ativo")</f>
        <v>Ativo</v>
      </c>
      <c r="E462" s="27" t="str">
        <f ca="1">IFERROR(__xludf.DUMMYFUNCTION("""COMPUTED_VALUE"""),"Mão amiga")</f>
        <v>Mão amiga</v>
      </c>
      <c r="F462" s="27" t="str">
        <f ca="1">IFERROR(__xludf.DUMMYFUNCTION("""COMPUTED_VALUE"""),"Luzirene")</f>
        <v>Luzirene</v>
      </c>
      <c r="G462" s="27" t="str">
        <f ca="1">IFERROR(__xludf.DUMMYFUNCTION("""COMPUTED_VALUE"""),"TIA LU")</f>
        <v>TIA LU</v>
      </c>
      <c r="H462" s="27"/>
      <c r="I462" s="27" t="str">
        <f ca="1">IFERROR(__xludf.DUMMYFUNCTION("""COMPUTED_VALUE"""),"Luzirene")</f>
        <v>Luzirene</v>
      </c>
      <c r="J462" s="27"/>
      <c r="K462" s="27"/>
      <c r="L462" s="27" t="str">
        <f ca="1">IFERROR(__xludf.DUMMYFUNCTION("""COMPUTED_VALUE"""),"CE")</f>
        <v>CE</v>
      </c>
      <c r="M462" s="27" t="str">
        <f ca="1">IFERROR(__xludf.DUMMYFUNCTION("""COMPUTED_VALUE"""),"Rua Professora Maria Iracema Lima Paiva")</f>
        <v>Rua Professora Maria Iracema Lima Paiva</v>
      </c>
      <c r="N462" s="27" t="str">
        <f ca="1">IFERROR(__xludf.DUMMYFUNCTION("""COMPUTED_VALUE"""),"Novo Parque Iracema")</f>
        <v>Novo Parque Iracema</v>
      </c>
      <c r="O462" s="27">
        <f ca="1">IFERROR(__xludf.DUMMYFUNCTION("""COMPUTED_VALUE"""),401)</f>
        <v>401</v>
      </c>
      <c r="P462" s="27" t="str">
        <f ca="1">IFERROR(__xludf.DUMMYFUNCTION("""COMPUTED_VALUE"""),"Maranguape")</f>
        <v>Maranguape</v>
      </c>
      <c r="Q462" s="27"/>
      <c r="R462" s="27" t="str">
        <f ca="1">IFERROR(__xludf.DUMMYFUNCTION("""COMPUTED_VALUE"""),"61949-040")</f>
        <v>61949-040</v>
      </c>
      <c r="S462" s="27"/>
      <c r="T462" s="27"/>
      <c r="U462" s="27"/>
      <c r="V462" s="27"/>
      <c r="W462" s="27">
        <f ca="1">IFERROR(__xludf.DUMMYFUNCTION("""COMPUTED_VALUE"""),5)</f>
        <v>5</v>
      </c>
      <c r="X462" s="27"/>
      <c r="Y462" s="27"/>
      <c r="Z462" s="27">
        <f ca="1">IFERROR(__xludf.DUMMYFUNCTION("""COMPUTED_VALUE"""),300)</f>
        <v>300</v>
      </c>
      <c r="AA462" s="29">
        <f ca="1">IFERROR(__xludf.DUMMYFUNCTION("""COMPUTED_VALUE"""),40362)</f>
        <v>40362</v>
      </c>
      <c r="AB462" s="27" t="str">
        <f ca="1">IFERROR(__xludf.DUMMYFUNCTION("""COMPUTED_VALUE"""),"Não")</f>
        <v>Não</v>
      </c>
      <c r="AC462" s="27"/>
      <c r="AD462" s="27"/>
      <c r="AE462" s="27">
        <f ca="1">IFERROR(__xludf.DUMMYFUNCTION("""COMPUTED_VALUE"""),12)</f>
        <v>12</v>
      </c>
      <c r="AF462" s="27"/>
      <c r="AG462" s="27">
        <f ca="1">IFERROR(__xludf.DUMMYFUNCTION("""COMPUTED_VALUE"""),0)</f>
        <v>0</v>
      </c>
      <c r="AH462" s="27"/>
      <c r="AI462" s="27">
        <f ca="1">IFERROR(__xludf.DUMMYFUNCTION("""COMPUTED_VALUE"""),0)</f>
        <v>0</v>
      </c>
      <c r="AJ462" s="27"/>
      <c r="AK462" s="27"/>
      <c r="AL462" s="21" t="str">
        <f ca="1">IFERROR(__xludf.DUMMYFUNCTION("""COMPUTED_VALUE"""),"0034X0000380O6q")</f>
        <v>0034X0000380O6q</v>
      </c>
      <c r="AM462" s="27" t="str">
        <f ca="1">IFERROR(__xludf.DUMMYFUNCTION("""COMPUTED_VALUE"""),"De brito silva")</f>
        <v>De brito silva</v>
      </c>
      <c r="AN462" s="27" t="str">
        <f ca="1">IFERROR(__xludf.DUMMYFUNCTION("""COMPUTED_VALUE"""),"Ativo")</f>
        <v>Ativo</v>
      </c>
      <c r="AO462" s="29">
        <f ca="1">IFERROR(__xludf.DUMMYFUNCTION("""COMPUTED_VALUE"""),44763)</f>
        <v>44763</v>
      </c>
      <c r="AP462" s="27">
        <f ca="1">IFERROR(__xludf.DUMMYFUNCTION("""COMPUTED_VALUE"""),2)</f>
        <v>2</v>
      </c>
      <c r="AQ462" s="27" t="str">
        <f ca="1">IFERROR(__xludf.DUMMYFUNCTION("""COMPUTED_VALUE"""),"Primeiro Semestre 2022")</f>
        <v>Primeiro Semestre 2022</v>
      </c>
      <c r="AR462" s="27" t="str">
        <f ca="1">IFERROR(__xludf.DUMMYFUNCTION("""COMPUTED_VALUE"""),"luzirenibritoluzireni@gmail.com")</f>
        <v>luzirenibritoluzireni@gmail.com</v>
      </c>
      <c r="AS462" s="27">
        <f ca="1">IFERROR(__xludf.DUMMYFUNCTION("""COMPUTED_VALUE"""),85987755459)</f>
        <v>85987755459</v>
      </c>
      <c r="AT462" s="29">
        <f ca="1">IFERROR(__xludf.DUMMYFUNCTION("""COMPUTED_VALUE"""),31800)</f>
        <v>31800</v>
      </c>
      <c r="AU462" s="27">
        <f ca="1">IFERROR(__xludf.DUMMYFUNCTION("""COMPUTED_VALUE"""),35)</f>
        <v>35</v>
      </c>
      <c r="AV462" s="27">
        <f ca="1">IFERROR(__xludf.DUMMYFUNCTION("""COMPUTED_VALUE"""),1782113380)</f>
        <v>1782113380</v>
      </c>
      <c r="AW462" s="27">
        <f ca="1">IFERROR(__xludf.DUMMYFUNCTION("""COMPUTED_VALUE"""),2003002101632)</f>
        <v>2003002101632</v>
      </c>
      <c r="AX462" s="27"/>
      <c r="AY462" s="27"/>
      <c r="AZ462" s="27" t="str">
        <f ca="1">IFERROR(__xludf.DUMMYFUNCTION("""COMPUTED_VALUE"""),"G")</f>
        <v>G</v>
      </c>
      <c r="BA462" s="27" t="str">
        <f ca="1">IFERROR(__xludf.DUMMYFUNCTION("""COMPUTED_VALUE"""),"Parda")</f>
        <v>Parda</v>
      </c>
      <c r="BB462" s="27"/>
      <c r="BC462" s="27"/>
      <c r="BD462" s="27" t="str">
        <f ca="1">IFERROR(__xludf.DUMMYFUNCTION("""COMPUTED_VALUE"""),"Lutar sempre")</f>
        <v>Lutar sempre</v>
      </c>
      <c r="BE462" s="27" t="str">
        <f ca="1">IFERROR(__xludf.DUMMYFUNCTION("""COMPUTED_VALUE"""),"Feminino")</f>
        <v>Feminino</v>
      </c>
      <c r="BF462" s="27" t="str">
        <f ca="1">IFERROR(__xludf.DUMMYFUNCTION("""COMPUTED_VALUE"""),"Heterossexual")</f>
        <v>Heterossexual</v>
      </c>
      <c r="BG462" s="27"/>
      <c r="BH462" s="27" t="str">
        <f ca="1">IFERROR(__xludf.DUMMYFUNCTION("""COMPUTED_VALUE"""),"Público")</f>
        <v>Público</v>
      </c>
      <c r="BI462" s="27"/>
      <c r="BJ462" s="27"/>
      <c r="BK462" s="27" t="str">
        <f ca="1">IFERROR(__xludf.DUMMYFUNCTION("""COMPUTED_VALUE"""),"Professora maria iracema lima paiva")</f>
        <v>Professora maria iracema lima paiva</v>
      </c>
      <c r="BL462" s="27">
        <f ca="1">IFERROR(__xludf.DUMMYFUNCTION("""COMPUTED_VALUE"""),401)</f>
        <v>401</v>
      </c>
      <c r="BM462" s="27"/>
      <c r="BN462" s="27"/>
      <c r="BO462" s="27">
        <f ca="1">IFERROR(__xludf.DUMMYFUNCTION("""COMPUTED_VALUE"""),61949040)</f>
        <v>61949040</v>
      </c>
      <c r="BP462" s="27" t="str">
        <f ca="1">IFERROR(__xludf.DUMMYFUNCTION("""COMPUTED_VALUE"""),"CE")</f>
        <v>CE</v>
      </c>
      <c r="BQ462" s="27" t="str">
        <f ca="1">IFERROR(__xludf.DUMMYFUNCTION("""COMPUTED_VALUE"""),"Entre 1 até 3 salários mínimos")</f>
        <v>Entre 1 até 3 salários mínimos</v>
      </c>
      <c r="BR462" s="27" t="str">
        <f ca="1">IFERROR(__xludf.DUMMYFUNCTION("""COMPUTED_VALUE"""),"Desempregado")</f>
        <v>Desempregado</v>
      </c>
      <c r="BS462" s="27" t="str">
        <f ca="1">IFERROR(__xludf.DUMMYFUNCTION("""COMPUTED_VALUE"""),"Casa própria")</f>
        <v>Casa própria</v>
      </c>
      <c r="BT462" s="27">
        <f ca="1">IFERROR(__xludf.DUMMYFUNCTION("""COMPUTED_VALUE"""),10)</f>
        <v>10</v>
      </c>
      <c r="BU462" s="27" t="str">
        <f ca="1">IFERROR(__xludf.DUMMYFUNCTION("""COMPUTED_VALUE"""),"Não tem")</f>
        <v>Não tem</v>
      </c>
      <c r="BV462" s="27" t="str">
        <f ca="1">IFERROR(__xludf.DUMMYFUNCTION("""COMPUTED_VALUE"""),"Não")</f>
        <v>Não</v>
      </c>
      <c r="BW462" s="27"/>
      <c r="BX462" s="27"/>
      <c r="BY462" s="21" t="str">
        <f ca="1">IFERROR(__xludf.DUMMYFUNCTION("""COMPUTED_VALUE"""),"https://drive.google.com/open?id=1bQIsYyFNuqKx-ku43rDgtUKsF6ajDX9S")</f>
        <v>https://drive.google.com/open?id=1bQIsYyFNuqKx-ku43rDgtUKsF6ajDX9S</v>
      </c>
    </row>
    <row r="463" spans="1:77" ht="12.5" x14ac:dyDescent="0.25">
      <c r="A463" s="21" t="str">
        <f ca="1">IFERROR(__xludf.DUMMYFUNCTION("""COMPUTED_VALUE"""),"0014P00003SGWQ1QAP")</f>
        <v>0014P00003SGWQ1QAP</v>
      </c>
      <c r="B463" s="27" t="str">
        <f ca="1">IFERROR(__xludf.DUMMYFUNCTION("""COMPUTED_VALUE"""),"Fase Inicial")</f>
        <v>Fase Inicial</v>
      </c>
      <c r="C463" s="27" t="str">
        <f ca="1">IFERROR(__xludf.DUMMYFUNCTION("""COMPUTED_VALUE"""),"Fellow")</f>
        <v>Fellow</v>
      </c>
      <c r="D463" s="27" t="str">
        <f ca="1">IFERROR(__xludf.DUMMYFUNCTION("""COMPUTED_VALUE"""),"Ativo")</f>
        <v>Ativo</v>
      </c>
      <c r="E463" s="27" t="str">
        <f ca="1">IFERROR(__xludf.DUMMYFUNCTION("""COMPUTED_VALUE"""),"MARGARIDAS PROJETOS PRA VIDA")</f>
        <v>MARGARIDAS PROJETOS PRA VIDA</v>
      </c>
      <c r="F463" s="27" t="str">
        <f ca="1">IFERROR(__xludf.DUMMYFUNCTION("""COMPUTED_VALUE"""),"Thamires")</f>
        <v>Thamires</v>
      </c>
      <c r="G463" s="27" t="str">
        <f ca="1">IFERROR(__xludf.DUMMYFUNCTION("""COMPUTED_VALUE"""),"MARGARIDAS")</f>
        <v>MARGARIDAS</v>
      </c>
      <c r="H463" s="27" t="str">
        <f ca="1">IFERROR(__xludf.DUMMYFUNCTION("""COMPUTED_VALUE"""),"37.651.337/0001-79")</f>
        <v>37.651.337/0001-79</v>
      </c>
      <c r="I463" s="27" t="str">
        <f ca="1">IFERROR(__xludf.DUMMYFUNCTION("""COMPUTED_VALUE"""),"Andreia Nascimento Da Silva")</f>
        <v>Andreia Nascimento Da Silva</v>
      </c>
      <c r="J463" s="27" t="str">
        <f ca="1">IFERROR(__xludf.DUMMYFUNCTION("""COMPUTED_VALUE"""),"margaridasprojeto@gmail.com")</f>
        <v>margaridasprojeto@gmail.com</v>
      </c>
      <c r="K463" s="27" t="str">
        <f ca="1">IFERROR(__xludf.DUMMYFUNCTION("""COMPUTED_VALUE"""),"(31)98534-6345")</f>
        <v>(31)98534-6345</v>
      </c>
      <c r="L463" s="27" t="str">
        <f ca="1">IFERROR(__xludf.DUMMYFUNCTION("""COMPUTED_VALUE"""),"MG")</f>
        <v>MG</v>
      </c>
      <c r="M463" s="27" t="str">
        <f ca="1">IFERROR(__xludf.DUMMYFUNCTION("""COMPUTED_VALUE"""),"Rua cento e vinte e nove")</f>
        <v>Rua cento e vinte e nove</v>
      </c>
      <c r="N463" s="27" t="str">
        <f ca="1">IFERROR(__xludf.DUMMYFUNCTION("""COMPUTED_VALUE"""),"Quitandinha")</f>
        <v>Quitandinha</v>
      </c>
      <c r="O463" s="27" t="str">
        <f ca="1">IFERROR(__xludf.DUMMYFUNCTION("""COMPUTED_VALUE"""),"(31)98534-6345")</f>
        <v>(31)98534-6345</v>
      </c>
      <c r="P463" s="27" t="str">
        <f ca="1">IFERROR(__xludf.DUMMYFUNCTION("""COMPUTED_VALUE"""),"Timóteo")</f>
        <v>Timóteo</v>
      </c>
      <c r="Q463" s="27" t="str">
        <f ca="1">IFERROR(__xludf.DUMMYFUNCTION("""COMPUTED_VALUE"""),"16A")</f>
        <v>16A</v>
      </c>
      <c r="R463" s="27" t="str">
        <f ca="1">IFERROR(__xludf.DUMMYFUNCTION("""COMPUTED_VALUE"""),"35180-140")</f>
        <v>35180-140</v>
      </c>
      <c r="S463" s="27" t="str">
        <f ca="1">IFERROR(__xludf.DUMMYFUNCTION("""COMPUTED_VALUE"""),"Rua Padre Zanor 09 sala 203 - Centro Norte - Timóteo - Minas Gerais | Rua cento e vinte e nove nº 369  Bairro Santa Maria - Timóteo - Minas Gerais")</f>
        <v>Rua Padre Zanor 09 sala 203 - Centro Norte - Timóteo - Minas Gerais | Rua cento e vinte e nove nº 369  Bairro Santa Maria - Timóteo - Minas Gerais</v>
      </c>
      <c r="T463" s="27" t="str">
        <f ca="1">IFERROR(__xludf.DUMMYFUNCTION("""COMPUTED_VALUE"""),"Esporte; Educação; Assistência Social; Cultura; Qualificação Profissional; Empreendedorismo; Empoderamento Feminino; Apoio à gestão de organizações de Terceiro Setor; Defesa de Direitos; Assistência Psicológica")</f>
        <v>Esporte; Educação; Assistência Social; Cultura; Qualificação Profissional; Empreendedorismo; Empoderamento Feminino; Apoio à gestão de organizações de Terceiro Setor; Defesa de Direitos; Assistência Psicológica</v>
      </c>
      <c r="U463"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463" s="27" t="str">
        <f ca="1">IFERROR(__xludf.DUMMYFUNCTION("""COMPUTED_VALUE"""),"Moradores de Favelas")</f>
        <v>Moradores de Favelas</v>
      </c>
      <c r="W463" s="27">
        <f ca="1">IFERROR(__xludf.DUMMYFUNCTION("""COMPUTED_VALUE"""),18)</f>
        <v>18</v>
      </c>
      <c r="X463" s="27" t="str">
        <f ca="1">IFERROR(__xludf.DUMMYFUNCTION("""COMPUTED_VALUE"""),"São Mulheres de todas as idades crianças jovens idosas e deficientes físicos crianças com autismo.")</f>
        <v>São Mulheres de todas as idades crianças jovens idosas e deficientes físicos crianças com autismo.</v>
      </c>
      <c r="Y463" s="27">
        <f ca="1">IFERROR(__xludf.DUMMYFUNCTION("""COMPUTED_VALUE"""),600)</f>
        <v>600</v>
      </c>
      <c r="Z463" s="27">
        <f ca="1">IFERROR(__xludf.DUMMYFUNCTION("""COMPUTED_VALUE"""),300)</f>
        <v>300</v>
      </c>
      <c r="AA463" s="29">
        <f ca="1">IFERROR(__xludf.DUMMYFUNCTION("""COMPUTED_VALUE"""),43989)</f>
        <v>43989</v>
      </c>
      <c r="AB463" s="27" t="str">
        <f ca="1">IFERROR(__xludf.DUMMYFUNCTION("""COMPUTED_VALUE"""),"Sim")</f>
        <v>Sim</v>
      </c>
      <c r="AC463" s="27">
        <f ca="1">IFERROR(__xludf.DUMMYFUNCTION("""COMPUTED_VALUE"""),6)</f>
        <v>6</v>
      </c>
      <c r="AD463" s="27">
        <f ca="1">IFERROR(__xludf.DUMMYFUNCTION("""COMPUTED_VALUE"""),0)</f>
        <v>0</v>
      </c>
      <c r="AE463" s="27">
        <f ca="1">IFERROR(__xludf.DUMMYFUNCTION("""COMPUTED_VALUE"""),12)</f>
        <v>12</v>
      </c>
      <c r="AF463" s="27">
        <f ca="1">IFERROR(__xludf.DUMMYFUNCTION("""COMPUTED_VALUE"""),7)</f>
        <v>7</v>
      </c>
      <c r="AG463" s="27">
        <f ca="1">IFERROR(__xludf.DUMMYFUNCTION("""COMPUTED_VALUE"""),2)</f>
        <v>2</v>
      </c>
      <c r="AH463" s="27" t="str">
        <f ca="1">IFERROR(__xludf.DUMMYFUNCTION("""COMPUTED_VALUE"""),"Plataforma doação online - Pessoa Física; Doações; FIA")</f>
        <v>Plataforma doação online - Pessoa Física; Doações; FIA</v>
      </c>
      <c r="AI463" s="27" t="str">
        <f ca="1">IFERROR(__xludf.DUMMYFUNCTION("""COMPUTED_VALUE"""),"100% FIA")</f>
        <v>100% FIA</v>
      </c>
      <c r="AJ463" s="27" t="str">
        <f ca="1">IFERROR(__xludf.DUMMYFUNCTION("""COMPUTED_VALUE"""),"Não")</f>
        <v>Não</v>
      </c>
      <c r="AK463" s="27" t="str">
        <f ca="1">IFERROR(__xludf.DUMMYFUNCTION("""COMPUTED_VALUE"""),"Sim")</f>
        <v>Sim</v>
      </c>
      <c r="AL463" s="21" t="str">
        <f ca="1">IFERROR(__xludf.DUMMYFUNCTION("""COMPUTED_VALUE"""),"0034P000043fOo3")</f>
        <v>0034P000043fOo3</v>
      </c>
      <c r="AM463" s="27" t="str">
        <f ca="1">IFERROR(__xludf.DUMMYFUNCTION("""COMPUTED_VALUE"""),"Andrade Castro")</f>
        <v>Andrade Castro</v>
      </c>
      <c r="AN463" s="27" t="str">
        <f ca="1">IFERROR(__xludf.DUMMYFUNCTION("""COMPUTED_VALUE"""),"Ativo")</f>
        <v>Ativo</v>
      </c>
      <c r="AO463" s="29">
        <f ca="1">IFERROR(__xludf.DUMMYFUNCTION("""COMPUTED_VALUE"""),44432)</f>
        <v>44432</v>
      </c>
      <c r="AP463" s="27">
        <f ca="1">IFERROR(__xludf.DUMMYFUNCTION("""COMPUTED_VALUE"""),13)</f>
        <v>13</v>
      </c>
      <c r="AQ463" s="27" t="str">
        <f ca="1">IFERROR(__xludf.DUMMYFUNCTION("""COMPUTED_VALUE"""),"Primeiro Semestre 2021")</f>
        <v>Primeiro Semestre 2021</v>
      </c>
      <c r="AR463" s="27" t="str">
        <f ca="1">IFERROR(__xludf.DUMMYFUNCTION("""COMPUTED_VALUE"""),"thamirescastromargaridas@gmail.com")</f>
        <v>thamirescastromargaridas@gmail.com</v>
      </c>
      <c r="AS463" s="27" t="str">
        <f ca="1">IFERROR(__xludf.DUMMYFUNCTION("""COMPUTED_VALUE"""),"(31)98534-6345")</f>
        <v>(31)98534-6345</v>
      </c>
      <c r="AT463" s="29">
        <f ca="1">IFERROR(__xludf.DUMMYFUNCTION("""COMPUTED_VALUE"""),34220)</f>
        <v>34220</v>
      </c>
      <c r="AU463" s="27">
        <f ca="1">IFERROR(__xludf.DUMMYFUNCTION("""COMPUTED_VALUE"""),29)</f>
        <v>29</v>
      </c>
      <c r="AV463" s="27">
        <f ca="1">IFERROR(__xludf.DUMMYFUNCTION("""COMPUTED_VALUE"""),10771877692)</f>
        <v>10771877692</v>
      </c>
      <c r="AW463" s="27">
        <f ca="1">IFERROR(__xludf.DUMMYFUNCTION("""COMPUTED_VALUE"""),17303714)</f>
        <v>17303714</v>
      </c>
      <c r="AX463" s="27" t="str">
        <f ca="1">IFERROR(__xludf.DUMMYFUNCTION("""COMPUTED_VALUE"""),"Direito E Designer De Moda")</f>
        <v>Direito E Designer De Moda</v>
      </c>
      <c r="AY463" s="27" t="str">
        <f ca="1">IFERROR(__xludf.DUMMYFUNCTION("""COMPUTED_VALUE"""),"Advogada - Andrade Castro Advocacia")</f>
        <v>Advogada - Andrade Castro Advocacia</v>
      </c>
      <c r="AZ463" s="27" t="str">
        <f ca="1">IFERROR(__xludf.DUMMYFUNCTION("""COMPUTED_VALUE"""),"P")</f>
        <v>P</v>
      </c>
      <c r="BA463" s="27" t="str">
        <f ca="1">IFERROR(__xludf.DUMMYFUNCTION("""COMPUTED_VALUE"""),"Preta")</f>
        <v>Preta</v>
      </c>
      <c r="BB463" s="27"/>
      <c r="BC463" s="27" t="str">
        <f ca="1">IFERROR(__xludf.DUMMYFUNCTION("""COMPUTED_VALUE"""),"Sim")</f>
        <v>Sim</v>
      </c>
      <c r="BD463" s="27" t="str">
        <f ca="1">IFERROR(__xludf.DUMMYFUNCTION("""COMPUTED_VALUE"""),"Thamires Castro, 28 anos, Advogada, Designer de Moda e Co-fundadora do Projeto Social Margaridas em Projetos pra vida de Timóteo - Minas Gerais.")</f>
        <v>Thamires Castro, 28 anos, Advogada, Designer de Moda e Co-fundadora do Projeto Social Margaridas em Projetos pra vida de Timóteo - Minas Gerais.</v>
      </c>
      <c r="BE463" s="27" t="str">
        <f ca="1">IFERROR(__xludf.DUMMYFUNCTION("""COMPUTED_VALUE"""),"Feminino")</f>
        <v>Feminino</v>
      </c>
      <c r="BF463" s="27" t="str">
        <f ca="1">IFERROR(__xludf.DUMMYFUNCTION("""COMPUTED_VALUE"""),"Heterossexual")</f>
        <v>Heterossexual</v>
      </c>
      <c r="BG463" s="27" t="str">
        <f ca="1">IFERROR(__xludf.DUMMYFUNCTION("""COMPUTED_VALUE"""),"Ensino Superior - Completo")</f>
        <v>Ensino Superior - Completo</v>
      </c>
      <c r="BH463" s="27"/>
      <c r="BI463" s="27" t="str">
        <f ca="1">IFERROR(__xludf.DUMMYFUNCTION("""COMPUTED_VALUE"""),"Graduação")</f>
        <v>Graduação</v>
      </c>
      <c r="BJ463" s="27" t="str">
        <f ca="1">IFERROR(__xludf.DUMMYFUNCTION("""COMPUTED_VALUE"""),"Privado")</f>
        <v>Privado</v>
      </c>
      <c r="BK463" s="27" t="str">
        <f ca="1">IFERROR(__xludf.DUMMYFUNCTION("""COMPUTED_VALUE"""),"Margarida Menezes")</f>
        <v>Margarida Menezes</v>
      </c>
      <c r="BL463" s="27" t="str">
        <f ca="1">IFERROR(__xludf.DUMMYFUNCTION("""COMPUTED_VALUE"""),"16A")</f>
        <v>16A</v>
      </c>
      <c r="BM463" s="27" t="str">
        <f ca="1">IFERROR(__xludf.DUMMYFUNCTION("""COMPUTED_VALUE"""),"Casa (portão azul)")</f>
        <v>Casa (portão azul)</v>
      </c>
      <c r="BN463" s="27" t="str">
        <f ca="1">IFERROR(__xludf.DUMMYFUNCTION("""COMPUTED_VALUE"""),"Timóteo")</f>
        <v>Timóteo</v>
      </c>
      <c r="BO463" s="27" t="str">
        <f ca="1">IFERROR(__xludf.DUMMYFUNCTION("""COMPUTED_VALUE"""),"35180-084")</f>
        <v>35180-084</v>
      </c>
      <c r="BP463" s="27" t="str">
        <f ca="1">IFERROR(__xludf.DUMMYFUNCTION("""COMPUTED_VALUE"""),"MG")</f>
        <v>MG</v>
      </c>
      <c r="BQ463" s="27" t="str">
        <f ca="1">IFERROR(__xludf.DUMMYFUNCTION("""COMPUTED_VALUE"""),"De 3 até 5 salários mínimos")</f>
        <v>De 3 até 5 salários mínimos</v>
      </c>
      <c r="BR463" s="27" t="str">
        <f ca="1">IFERROR(__xludf.DUMMYFUNCTION("""COMPUTED_VALUE"""),"Trabalho informal")</f>
        <v>Trabalho informal</v>
      </c>
      <c r="BS463" s="27" t="str">
        <f ca="1">IFERROR(__xludf.DUMMYFUNCTION("""COMPUTED_VALUE"""),"Casa própria")</f>
        <v>Casa própria</v>
      </c>
      <c r="BT463" s="27">
        <f ca="1">IFERROR(__xludf.DUMMYFUNCTION("""COMPUTED_VALUE"""),3)</f>
        <v>3</v>
      </c>
      <c r="BU463" s="27"/>
      <c r="BV463" s="27" t="str">
        <f ca="1">IFERROR(__xludf.DUMMYFUNCTION("""COMPUTED_VALUE"""),"Intolerância a lactose")</f>
        <v>Intolerância a lactose</v>
      </c>
      <c r="BW463" s="21" t="str">
        <f ca="1">IFERROR(__xludf.DUMMYFUNCTION("""COMPUTED_VALUE"""),"https://www.linkedin.com/in/thamires-castro-03901810a")</f>
        <v>https://www.linkedin.com/in/thamires-castro-03901810a</v>
      </c>
      <c r="BX463" s="21" t="str">
        <f ca="1">IFERROR(__xludf.DUMMYFUNCTION("""COMPUTED_VALUE"""),"www.instagram.com/thamirescastroa")</f>
        <v>www.instagram.com/thamirescastroa</v>
      </c>
      <c r="BY463" s="21" t="str">
        <f ca="1">IFERROR(__xludf.DUMMYFUNCTION("""COMPUTED_VALUE"""),"https://drive.google.com/open?id=1hB8NALZw1WGjiC7E-TLSfCaz6b42uXKz")</f>
        <v>https://drive.google.com/open?id=1hB8NALZw1WGjiC7E-TLSfCaz6b42uXKz</v>
      </c>
    </row>
    <row r="464" spans="1:77" ht="12.5" x14ac:dyDescent="0.25">
      <c r="A464" s="21" t="str">
        <f ca="1">IFERROR(__xludf.DUMMYFUNCTION("""COMPUTED_VALUE"""),"0014X00002VKCstQAH")</f>
        <v>0014X00002VKCstQAH</v>
      </c>
      <c r="B464" s="27" t="str">
        <f ca="1">IFERROR(__xludf.DUMMYFUNCTION("""COMPUTED_VALUE"""),"Fase Inicial")</f>
        <v>Fase Inicial</v>
      </c>
      <c r="C464" s="27" t="str">
        <f ca="1">IFERROR(__xludf.DUMMYFUNCTION("""COMPUTED_VALUE"""),"Fellow")</f>
        <v>Fellow</v>
      </c>
      <c r="D464" s="27" t="str">
        <f ca="1">IFERROR(__xludf.DUMMYFUNCTION("""COMPUTED_VALUE"""),"Ativo")</f>
        <v>Ativo</v>
      </c>
      <c r="E464" s="27" t="str">
        <f ca="1">IFERROR(__xludf.DUMMYFUNCTION("""COMPUTED_VALUE"""),"MATRIARCAS EM AÇAO")</f>
        <v>MATRIARCAS EM AÇAO</v>
      </c>
      <c r="F464" s="27" t="str">
        <f ca="1">IFERROR(__xludf.DUMMYFUNCTION("""COMPUTED_VALUE"""),"Maria")</f>
        <v>Maria</v>
      </c>
      <c r="G464" s="27" t="str">
        <f ca="1">IFERROR(__xludf.DUMMYFUNCTION("""COMPUTED_VALUE"""),"MATRIARCAS EM AÇÃO")</f>
        <v>MATRIARCAS EM AÇÃO</v>
      </c>
      <c r="H464" s="27"/>
      <c r="I464" s="27" t="str">
        <f ca="1">IFERROR(__xludf.DUMMYFUNCTION("""COMPUTED_VALUE"""),"MARIA  ROSANE BATISTA MEDEIROS DA FONSECA")</f>
        <v>MARIA  ROSANE BATISTA MEDEIROS DA FONSECA</v>
      </c>
      <c r="J464" s="27" t="str">
        <f ca="1">IFERROR(__xludf.DUMMYFUNCTION("""COMPUTED_VALUE"""),"matriarcasemacao@gmail.com")</f>
        <v>matriarcasemacao@gmail.com</v>
      </c>
      <c r="K464" s="27" t="str">
        <f ca="1">IFERROR(__xludf.DUMMYFUNCTION("""COMPUTED_VALUE"""),"(21)97307-5252")</f>
        <v>(21)97307-5252</v>
      </c>
      <c r="L464" s="27" t="str">
        <f ca="1">IFERROR(__xludf.DUMMYFUNCTION("""COMPUTED_VALUE"""),"RJ")</f>
        <v>RJ</v>
      </c>
      <c r="M464" s="27" t="str">
        <f ca="1">IFERROR(__xludf.DUMMYFUNCTION("""COMPUTED_VALUE"""),"RUA Catas Altas")</f>
        <v>RUA Catas Altas</v>
      </c>
      <c r="N464" s="27" t="str">
        <f ca="1">IFERROR(__xludf.DUMMYFUNCTION("""COMPUTED_VALUE"""),"BARRO VERMELHO")</f>
        <v>BARRO VERMELHO</v>
      </c>
      <c r="O464" s="27">
        <f ca="1">IFERROR(__xludf.DUMMYFUNCTION("""COMPUTED_VALUE"""),210)</f>
        <v>210</v>
      </c>
      <c r="P464" s="27" t="str">
        <f ca="1">IFERROR(__xludf.DUMMYFUNCTION("""COMPUTED_VALUE"""),"BELFORD ROXO")</f>
        <v>BELFORD ROXO</v>
      </c>
      <c r="Q464" s="27" t="str">
        <f ca="1">IFERROR(__xludf.DUMMYFUNCTION("""COMPUTED_VALUE"""),"FRENTE")</f>
        <v>FRENTE</v>
      </c>
      <c r="R464" s="27" t="str">
        <f ca="1">IFERROR(__xludf.DUMMYFUNCTION("""COMPUTED_VALUE"""),"26110-580")</f>
        <v>26110-580</v>
      </c>
      <c r="S464" s="27" t="str">
        <f ca="1">IFERROR(__xludf.DUMMYFUNCTION("""COMPUTED_VALUE"""),"NAO")</f>
        <v>NAO</v>
      </c>
      <c r="T464" s="27"/>
      <c r="U464"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464" s="27" t="str">
        <f ca="1">IFERROR(__xludf.DUMMYFUNCTION("""COMPUTED_VALUE"""),"Moradores de Favelas, Pessoas em situação de rua, Pessoas com Deficiência")</f>
        <v>Moradores de Favelas, Pessoas em situação de rua, Pessoas com Deficiência</v>
      </c>
      <c r="W464" s="27">
        <f ca="1">IFERROR(__xludf.DUMMYFUNCTION("""COMPUTED_VALUE"""),320)</f>
        <v>320</v>
      </c>
      <c r="X464" s="27" t="str">
        <f ca="1">IFERROR(__xludf.DUMMYFUNCTION("""COMPUTED_VALUE"""),"GESTANTES**MORADORES DE RUA")</f>
        <v>GESTANTES**MORADORES DE RUA</v>
      </c>
      <c r="Y464" s="27"/>
      <c r="Z464" s="27">
        <f ca="1">IFERROR(__xludf.DUMMYFUNCTION("""COMPUTED_VALUE"""),760)</f>
        <v>760</v>
      </c>
      <c r="AA464" s="29">
        <f ca="1">IFERROR(__xludf.DUMMYFUNCTION("""COMPUTED_VALUE"""),43500)</f>
        <v>43500</v>
      </c>
      <c r="AB464" s="27" t="str">
        <f ca="1">IFERROR(__xludf.DUMMYFUNCTION("""COMPUTED_VALUE"""),"Não")</f>
        <v>Não</v>
      </c>
      <c r="AC464" s="27">
        <f ca="1">IFERROR(__xludf.DUMMYFUNCTION("""COMPUTED_VALUE"""),2)</f>
        <v>2</v>
      </c>
      <c r="AD464" s="27">
        <f ca="1">IFERROR(__xludf.DUMMYFUNCTION("""COMPUTED_VALUE"""),10)</f>
        <v>10</v>
      </c>
      <c r="AE464" s="27">
        <f ca="1">IFERROR(__xludf.DUMMYFUNCTION("""COMPUTED_VALUE"""),11)</f>
        <v>11</v>
      </c>
      <c r="AF464" s="27">
        <f ca="1">IFERROR(__xludf.DUMMYFUNCTION("""COMPUTED_VALUE"""),7)</f>
        <v>7</v>
      </c>
      <c r="AG464" s="27">
        <f ca="1">IFERROR(__xludf.DUMMYFUNCTION("""COMPUTED_VALUE"""),3)</f>
        <v>3</v>
      </c>
      <c r="AH464" s="27" t="str">
        <f ca="1">IFERROR(__xludf.DUMMYFUNCTION("""COMPUTED_VALUE"""),"Eventos/Ações para captação, Doações, Recursos próprios")</f>
        <v>Eventos/Ações para captação, Doações, Recursos próprios</v>
      </c>
      <c r="AI464" s="27" t="str">
        <f ca="1">IFERROR(__xludf.DUMMYFUNCTION("""COMPUTED_VALUE"""),"Recursos próprio 70% doações 20% Eventos 10%0%")</f>
        <v>Recursos próprio 70% doações 20% Eventos 10%0%</v>
      </c>
      <c r="AJ464" s="27" t="str">
        <f ca="1">IFERROR(__xludf.DUMMYFUNCTION("""COMPUTED_VALUE"""),"Vamos iniciar esse ano")</f>
        <v>Vamos iniciar esse ano</v>
      </c>
      <c r="AK464" s="27"/>
      <c r="AL464" s="21" t="str">
        <f ca="1">IFERROR(__xludf.DUMMYFUNCTION("""COMPUTED_VALUE"""),"0034X0000380O18")</f>
        <v>0034X0000380O18</v>
      </c>
      <c r="AM464" s="27" t="str">
        <f ca="1">IFERROR(__xludf.DUMMYFUNCTION("""COMPUTED_VALUE"""),"Rosane batista medeiros da fonseca")</f>
        <v>Rosane batista medeiros da fonseca</v>
      </c>
      <c r="AN464" s="27" t="str">
        <f ca="1">IFERROR(__xludf.DUMMYFUNCTION("""COMPUTED_VALUE"""),"Ativo")</f>
        <v>Ativo</v>
      </c>
      <c r="AO464" s="29">
        <f ca="1">IFERROR(__xludf.DUMMYFUNCTION("""COMPUTED_VALUE"""),44763)</f>
        <v>44763</v>
      </c>
      <c r="AP464" s="27">
        <f ca="1">IFERROR(__xludf.DUMMYFUNCTION("""COMPUTED_VALUE"""),2)</f>
        <v>2</v>
      </c>
      <c r="AQ464" s="27" t="str">
        <f ca="1">IFERROR(__xludf.DUMMYFUNCTION("""COMPUTED_VALUE"""),"Primeiro Semestre 2022")</f>
        <v>Primeiro Semestre 2022</v>
      </c>
      <c r="AR464" s="27" t="str">
        <f ca="1">IFERROR(__xludf.DUMMYFUNCTION("""COMPUTED_VALUE"""),"matriarcasemacao@gmail.com")</f>
        <v>matriarcasemacao@gmail.com</v>
      </c>
      <c r="AS464" s="27">
        <f ca="1">IFERROR(__xludf.DUMMYFUNCTION("""COMPUTED_VALUE"""),21976125245)</f>
        <v>21976125245</v>
      </c>
      <c r="AT464" s="30">
        <f ca="1">IFERROR(__xludf.DUMMYFUNCTION("""COMPUTED_VALUE"""),20448)</f>
        <v>20448</v>
      </c>
      <c r="AU464" s="27">
        <f ca="1">IFERROR(__xludf.DUMMYFUNCTION("""COMPUTED_VALUE"""),67)</f>
        <v>67</v>
      </c>
      <c r="AV464" s="27">
        <f ca="1">IFERROR(__xludf.DUMMYFUNCTION("""COMPUTED_VALUE"""),44629486704)</f>
        <v>44629486704</v>
      </c>
      <c r="AW464" s="27">
        <f ca="1">IFERROR(__xludf.DUMMYFUNCTION("""COMPUTED_VALUE"""),39636329)</f>
        <v>39636329</v>
      </c>
      <c r="AX464" s="27"/>
      <c r="AY464" s="27"/>
      <c r="AZ464" s="27" t="str">
        <f ca="1">IFERROR(__xludf.DUMMYFUNCTION("""COMPUTED_VALUE"""),"G")</f>
        <v>G</v>
      </c>
      <c r="BA464" s="27" t="str">
        <f ca="1">IFERROR(__xludf.DUMMYFUNCTION("""COMPUTED_VALUE"""),"Preta")</f>
        <v>Preta</v>
      </c>
      <c r="BB464" s="27"/>
      <c r="BC464" s="27"/>
      <c r="BD464" s="27" t="str">
        <f ca="1">IFERROR(__xludf.DUMMYFUNCTION("""COMPUTED_VALUE"""),"SOU Rosane Fonseca fundadora e idealizadora do projeto social Matriarcas em AÇAO*com o objetivo de dar mas visibilidade aos moradores do Barro Vermelho* nao só  dando uma cesta basica*mas buscando a sua cidadania e criando um futuro melhor *trazendo atrav"&amp;"es das oficinas  de trabalhos, reciclagem*artesanatos * gastronomia *embelezamento *pinturas artisticas*esporte* O projeto  vem trazendo todas modalidades onde busca  levar a possibilidade deles   obterem um aprendizado e  se capacitarem atraves das varie"&amp;"dades  das oficinas e *workshop  que podera transformar em uma fonte financeira*para o aumento de suas rendas dando mais um auxilio financeiro*ou unico* pois muitos sao pessoas sem qualificaçaoes profissionais
Tambem a concientização dos seus deveres e di"&amp;"reitos**atraves de palestras e rodas de conversas . *Nao podemos  deixar  de ressaltar o reforço escolar podemos lidamos com uma comunidade carente na area educacional*onde muitos nao conseguem obter o apreendizado e com o reforço escolar vem muito auxili"&amp;"ar as  crianças * pois tambem deparemos com uma triste realidade do analfabetismo. Temos  os encaminhamentos medicos  e  as insenções dos documentos  IDEALIZAR E REALIZAR E OBJETIVO  DO PROJETO MATRIARCAS EM AÇAO")</f>
        <v>SOU Rosane Fonseca fundadora e idealizadora do projeto social Matriarcas em AÇAO*com o objetivo de dar mas visibilidade aos moradores do Barro Vermelho* nao só  dando uma cesta basica*mas buscando a sua cidadania e criando um futuro melhor *trazendo atraves das oficinas  de trabalhos, reciclagem*artesanatos * gastronomia *embelezamento *pinturas artisticas*esporte* O projeto  vem trazendo todas modalidades onde busca  levar a possibilidade deles   obterem um aprendizado e  se capacitarem atraves das variedades  das oficinas e *workshop  que podera transformar em uma fonte financeira*para o aumento de suas rendas dando mais um auxilio financeiro*ou unico* pois muitos sao pessoas sem qualificaçaoes profissionais
Tambem a concientização dos seus deveres e direitos**atraves de palestras e rodas de conversas . *Nao podemos  deixar  de ressaltar o reforço escolar podemos lidamos com uma comunidade carente na area educacional*onde muitos nao conseguem obter o apreendizado e com o reforço escolar vem muito auxiliar as  crianças * pois tambem deparemos com uma triste realidade do analfabetismo. Temos  os encaminhamentos medicos  e  as insenções dos documentos  IDEALIZAR E REALIZAR E OBJETIVO  DO PROJETO MATRIARCAS EM AÇAO</v>
      </c>
      <c r="BE464" s="27" t="str">
        <f ca="1">IFERROR(__xludf.DUMMYFUNCTION("""COMPUTED_VALUE"""),"Feminino")</f>
        <v>Feminino</v>
      </c>
      <c r="BF464" s="27" t="str">
        <f ca="1">IFERROR(__xludf.DUMMYFUNCTION("""COMPUTED_VALUE"""),"Heterossexual")</f>
        <v>Heterossexual</v>
      </c>
      <c r="BG464" s="27"/>
      <c r="BH464" s="27" t="str">
        <f ca="1">IFERROR(__xludf.DUMMYFUNCTION("""COMPUTED_VALUE"""),"Privado")</f>
        <v>Privado</v>
      </c>
      <c r="BI464" s="27" t="str">
        <f ca="1">IFERROR(__xludf.DUMMYFUNCTION("""COMPUTED_VALUE"""),"Pós-Graduação")</f>
        <v>Pós-Graduação</v>
      </c>
      <c r="BJ464" s="27" t="str">
        <f ca="1">IFERROR(__xludf.DUMMYFUNCTION("""COMPUTED_VALUE"""),"Privado")</f>
        <v>Privado</v>
      </c>
      <c r="BK464" s="27" t="str">
        <f ca="1">IFERROR(__xludf.DUMMYFUNCTION("""COMPUTED_VALUE"""),"Rua paranapiacaba")</f>
        <v>Rua paranapiacaba</v>
      </c>
      <c r="BL464" s="27">
        <f ca="1">IFERROR(__xludf.DUMMYFUNCTION("""COMPUTED_VALUE"""),42)</f>
        <v>42</v>
      </c>
      <c r="BM464" s="27"/>
      <c r="BN464" s="27"/>
      <c r="BO464" s="27">
        <f ca="1">IFERROR(__xludf.DUMMYFUNCTION("""COMPUTED_VALUE"""),20751390)</f>
        <v>20751390</v>
      </c>
      <c r="BP464" s="27" t="str">
        <f ca="1">IFERROR(__xludf.DUMMYFUNCTION("""COMPUTED_VALUE"""),"RJ")</f>
        <v>RJ</v>
      </c>
      <c r="BQ464" s="27" t="str">
        <f ca="1">IFERROR(__xludf.DUMMYFUNCTION("""COMPUTED_VALUE"""),"Entre 1 até 3 salários mínimos")</f>
        <v>Entre 1 até 3 salários mínimos</v>
      </c>
      <c r="BR464" s="27" t="str">
        <f ca="1">IFERROR(__xludf.DUMMYFUNCTION("""COMPUTED_VALUE"""),"CLT")</f>
        <v>CLT</v>
      </c>
      <c r="BS464" s="27" t="str">
        <f ca="1">IFERROR(__xludf.DUMMYFUNCTION("""COMPUTED_VALUE"""),"Casa própria")</f>
        <v>Casa própria</v>
      </c>
      <c r="BT464" s="27">
        <f ca="1">IFERROR(__xludf.DUMMYFUNCTION("""COMPUTED_VALUE"""),3)</f>
        <v>3</v>
      </c>
      <c r="BU464" s="27" t="str">
        <f ca="1">IFERROR(__xludf.DUMMYFUNCTION("""COMPUTED_VALUE"""),"Não tem")</f>
        <v>Não tem</v>
      </c>
      <c r="BV464" s="27" t="str">
        <f ca="1">IFERROR(__xludf.DUMMYFUNCTION("""COMPUTED_VALUE"""),"Não")</f>
        <v>Não</v>
      </c>
      <c r="BW464" s="27"/>
      <c r="BX464" s="21" t="str">
        <f ca="1">IFERROR(__xludf.DUMMYFUNCTION("""COMPUTED_VALUE"""),"https://www.instagram.com/favelabarrovermelho/")</f>
        <v>https://www.instagram.com/favelabarrovermelho/</v>
      </c>
      <c r="BY464" s="21" t="str">
        <f ca="1">IFERROR(__xludf.DUMMYFUNCTION("""COMPUTED_VALUE"""),"https://drive.google.com/open?id=1_rj2uDOCIvcsIcToXNp2-O37cuxga6yM")</f>
        <v>https://drive.google.com/open?id=1_rj2uDOCIvcsIcToXNp2-O37cuxga6yM</v>
      </c>
    </row>
    <row r="465" spans="1:77" ht="12.5" hidden="1" x14ac:dyDescent="0.25">
      <c r="A465" s="21" t="str">
        <f ca="1">IFERROR(__xludf.DUMMYFUNCTION("""COMPUTED_VALUE"""),"0014X00002VKCsmQAH")</f>
        <v>0014X00002VKCsmQAH</v>
      </c>
      <c r="B465" s="27" t="str">
        <f ca="1">IFERROR(__xludf.DUMMYFUNCTION("""COMPUTED_VALUE"""),"Fase Inicial")</f>
        <v>Fase Inicial</v>
      </c>
      <c r="C465" s="27" t="str">
        <f ca="1">IFERROR(__xludf.DUMMYFUNCTION("""COMPUTED_VALUE"""),"Fellow")</f>
        <v>Fellow</v>
      </c>
      <c r="D465" s="27" t="str">
        <f ca="1">IFERROR(__xludf.DUMMYFUNCTION("""COMPUTED_VALUE"""),"Ativo")</f>
        <v>Ativo</v>
      </c>
      <c r="E465" s="27" t="str">
        <f ca="1">IFERROR(__xludf.DUMMYFUNCTION("""COMPUTED_VALUE"""),"Missão Casa Gaio")</f>
        <v>Missão Casa Gaio</v>
      </c>
      <c r="F465" s="27" t="str">
        <f ca="1">IFERROR(__xludf.DUMMYFUNCTION("""COMPUTED_VALUE"""),"heveltton")</f>
        <v>heveltton</v>
      </c>
      <c r="G465" s="27" t="str">
        <f ca="1">IFERROR(__xludf.DUMMYFUNCTION("""COMPUTED_VALUE"""),"MISSÃO CASA GAIO")</f>
        <v>MISSÃO CASA GAIO</v>
      </c>
      <c r="H465" s="27"/>
      <c r="I465" s="27" t="str">
        <f ca="1">IFERROR(__xludf.DUMMYFUNCTION("""COMPUTED_VALUE"""),"Lais Alves Nogueira")</f>
        <v>Lais Alves Nogueira</v>
      </c>
      <c r="J465" s="27" t="str">
        <f ca="1">IFERROR(__xludf.DUMMYFUNCTION("""COMPUTED_VALUE"""),"missaocasagaio@gmail.com")</f>
        <v>missaocasagaio@gmail.com</v>
      </c>
      <c r="K465" s="27" t="str">
        <f ca="1">IFERROR(__xludf.DUMMYFUNCTION("""COMPUTED_VALUE"""),"(21)9906-05798")</f>
        <v>(21)9906-05798</v>
      </c>
      <c r="L465" s="27" t="str">
        <f ca="1">IFERROR(__xludf.DUMMYFUNCTION("""COMPUTED_VALUE"""),"RJ")</f>
        <v>RJ</v>
      </c>
      <c r="M465" s="27" t="str">
        <f ca="1">IFERROR(__xludf.DUMMYFUNCTION("""COMPUTED_VALUE"""),"Rua Agripino Campos")</f>
        <v>Rua Agripino Campos</v>
      </c>
      <c r="N465" s="27" t="str">
        <f ca="1">IFERROR(__xludf.DUMMYFUNCTION("""COMPUTED_VALUE"""),"Mutua")</f>
        <v>Mutua</v>
      </c>
      <c r="O465" s="27" t="str">
        <f ca="1">IFERROR(__xludf.DUMMYFUNCTION("""COMPUTED_VALUE"""),"(21)9906-05798")</f>
        <v>(21)9906-05798</v>
      </c>
      <c r="P465" s="27" t="str">
        <f ca="1">IFERROR(__xludf.DUMMYFUNCTION("""COMPUTED_VALUE"""),"São Gonçalo")</f>
        <v>São Gonçalo</v>
      </c>
      <c r="Q465" s="27">
        <f ca="1">IFERROR(__xludf.DUMMYFUNCTION("""COMPUTED_VALUE"""),1011)</f>
        <v>1011</v>
      </c>
      <c r="R465" s="27" t="str">
        <f ca="1">IFERROR(__xludf.DUMMYFUNCTION("""COMPUTED_VALUE"""),"24461-320")</f>
        <v>24461-320</v>
      </c>
      <c r="S465" s="27" t="str">
        <f ca="1">IFERROR(__xludf.DUMMYFUNCTION("""COMPUTED_VALUE"""),"ESCOLAS")</f>
        <v>ESCOLAS</v>
      </c>
      <c r="T465" s="27"/>
      <c r="U465" s="27" t="str">
        <f ca="1">IFERROR(__xludf.DUMMYFUNCTION("""COMPUTED_VALUE"""),"Crianças pequenas (4 anos a 5 anos e 11 meses), Crianças (6 a 12 anos), Adultos")</f>
        <v>Crianças pequenas (4 anos a 5 anos e 11 meses), Crianças (6 a 12 anos), Adultos</v>
      </c>
      <c r="V465" s="27" t="str">
        <f ca="1">IFERROR(__xludf.DUMMYFUNCTION("""COMPUTED_VALUE"""),"Moradores de Favelas, Afrodescendentes")</f>
        <v>Moradores de Favelas, Afrodescendentes</v>
      </c>
      <c r="W465" s="27">
        <f ca="1">IFERROR(__xludf.DUMMYFUNCTION("""COMPUTED_VALUE"""),4)</f>
        <v>4</v>
      </c>
      <c r="X465" s="27" t="str">
        <f ca="1">IFERROR(__xludf.DUMMYFUNCTION("""COMPUTED_VALUE"""),"Trabalho mais direcionado a mulheres* estamos ampliando agora para homens.")</f>
        <v>Trabalho mais direcionado a mulheres* estamos ampliando agora para homens.</v>
      </c>
      <c r="Y465" s="27"/>
      <c r="Z465" s="27">
        <f ca="1">IFERROR(__xludf.DUMMYFUNCTION("""COMPUTED_VALUE"""),70)</f>
        <v>70</v>
      </c>
      <c r="AA465" s="29">
        <f ca="1">IFERROR(__xludf.DUMMYFUNCTION("""COMPUTED_VALUE"""),43220)</f>
        <v>43220</v>
      </c>
      <c r="AB465" s="27" t="str">
        <f ca="1">IFERROR(__xludf.DUMMYFUNCTION("""COMPUTED_VALUE"""),"Não")</f>
        <v>Não</v>
      </c>
      <c r="AC465" s="27">
        <f ca="1">IFERROR(__xludf.DUMMYFUNCTION("""COMPUTED_VALUE"""),0)</f>
        <v>0</v>
      </c>
      <c r="AD465" s="27">
        <f ca="1">IFERROR(__xludf.DUMMYFUNCTION("""COMPUTED_VALUE"""),30)</f>
        <v>30</v>
      </c>
      <c r="AE465" s="27">
        <f ca="1">IFERROR(__xludf.DUMMYFUNCTION("""COMPUTED_VALUE"""),10)</f>
        <v>10</v>
      </c>
      <c r="AF465" s="27">
        <f ca="1">IFERROR(__xludf.DUMMYFUNCTION("""COMPUTED_VALUE"""),15)</f>
        <v>15</v>
      </c>
      <c r="AG465" s="27">
        <f ca="1">IFERROR(__xludf.DUMMYFUNCTION("""COMPUTED_VALUE"""),2)</f>
        <v>2</v>
      </c>
      <c r="AH465" s="27" t="str">
        <f ca="1">IFERROR(__xludf.DUMMYFUNCTION("""COMPUTED_VALUE"""),"Doações, Recursos próprios")</f>
        <v>Doações, Recursos próprios</v>
      </c>
      <c r="AI465" s="27">
        <f ca="1">IFERROR(__xludf.DUMMYFUNCTION("""COMPUTED_VALUE"""),0)</f>
        <v>0</v>
      </c>
      <c r="AJ465" s="27" t="str">
        <f ca="1">IFERROR(__xludf.DUMMYFUNCTION("""COMPUTED_VALUE"""),"Vamos iniciar esse ano")</f>
        <v>Vamos iniciar esse ano</v>
      </c>
      <c r="AK465" s="27"/>
      <c r="AL465" s="21" t="str">
        <f ca="1">IFERROR(__xludf.DUMMYFUNCTION("""COMPUTED_VALUE"""),"0034X0000380O6k")</f>
        <v>0034X0000380O6k</v>
      </c>
      <c r="AM465" s="27" t="str">
        <f ca="1">IFERROR(__xludf.DUMMYFUNCTION("""COMPUTED_VALUE"""),"Alves nogueira")</f>
        <v>Alves nogueira</v>
      </c>
      <c r="AN465" s="27" t="str">
        <f ca="1">IFERROR(__xludf.DUMMYFUNCTION("""COMPUTED_VALUE"""),"Ativo")</f>
        <v>Ativo</v>
      </c>
      <c r="AO465" s="29">
        <f ca="1">IFERROR(__xludf.DUMMYFUNCTION("""COMPUTED_VALUE"""),44763)</f>
        <v>44763</v>
      </c>
      <c r="AP465" s="27">
        <f ca="1">IFERROR(__xludf.DUMMYFUNCTION("""COMPUTED_VALUE"""),2)</f>
        <v>2</v>
      </c>
      <c r="AQ465" s="27" t="str">
        <f ca="1">IFERROR(__xludf.DUMMYFUNCTION("""COMPUTED_VALUE"""),"Primeiro Semestre 2022")</f>
        <v>Primeiro Semestre 2022</v>
      </c>
      <c r="AR465" s="27" t="str">
        <f ca="1">IFERROR(__xludf.DUMMYFUNCTION("""COMPUTED_VALUE"""),"heveltton6@gmail.com")</f>
        <v>heveltton6@gmail.com</v>
      </c>
      <c r="AS465" s="27" t="str">
        <f ca="1">IFERROR(__xludf.DUMMYFUNCTION("""COMPUTED_VALUE"""),"(11)97195-6257")</f>
        <v>(11)97195-6257</v>
      </c>
      <c r="AT465" s="29">
        <f ca="1">IFERROR(__xludf.DUMMYFUNCTION("""COMPUTED_VALUE"""),30153)</f>
        <v>30153</v>
      </c>
      <c r="AU465" s="27">
        <f ca="1">IFERROR(__xludf.DUMMYFUNCTION("""COMPUTED_VALUE"""),40)</f>
        <v>40</v>
      </c>
      <c r="AV465" s="27">
        <f ca="1">IFERROR(__xludf.DUMMYFUNCTION("""COMPUTED_VALUE"""),31008255866)</f>
        <v>31008255866</v>
      </c>
      <c r="AW465" s="27">
        <f ca="1">IFERROR(__xludf.DUMMYFUNCTION("""COMPUTED_VALUE"""),302446126)</f>
        <v>302446126</v>
      </c>
      <c r="AX465" s="27"/>
      <c r="AY465" s="27" t="str">
        <f ca="1">IFERROR(__xludf.DUMMYFUNCTION("""COMPUTED_VALUE"""),"presidente")</f>
        <v>presidente</v>
      </c>
      <c r="AZ465" s="27" t="str">
        <f ca="1">IFERROR(__xludf.DUMMYFUNCTION("""COMPUTED_VALUE"""),"P")</f>
        <v>P</v>
      </c>
      <c r="BA465" s="27" t="str">
        <f ca="1">IFERROR(__xludf.DUMMYFUNCTION("""COMPUTED_VALUE"""),"Preta")</f>
        <v>Preta</v>
      </c>
      <c r="BB465" s="27"/>
      <c r="BC465" s="27"/>
      <c r="BD465" s="27" t="str">
        <f ca="1">IFERROR(__xludf.DUMMYFUNCTION("""COMPUTED_VALUE"""),"sou uma pessoa pro ativa")</f>
        <v>sou uma pessoa pro ativa</v>
      </c>
      <c r="BE465" s="27" t="str">
        <f ca="1">IFERROR(__xludf.DUMMYFUNCTION("""COMPUTED_VALUE"""),"Homem, cisgênero")</f>
        <v>Homem, cisgênero</v>
      </c>
      <c r="BF465" s="27" t="str">
        <f ca="1">IFERROR(__xludf.DUMMYFUNCTION("""COMPUTED_VALUE"""),"Heterossexual")</f>
        <v>Heterossexual</v>
      </c>
      <c r="BG465" s="27" t="str">
        <f ca="1">IFERROR(__xludf.DUMMYFUNCTION("""COMPUTED_VALUE"""),"Ensino Superior - Incompleto")</f>
        <v>Ensino Superior - Incompleto</v>
      </c>
      <c r="BH465" s="27" t="str">
        <f ca="1">IFERROR(__xludf.DUMMYFUNCTION("""COMPUTED_VALUE"""),"Privado")</f>
        <v>Privado</v>
      </c>
      <c r="BI465" s="27" t="str">
        <f ca="1">IFERROR(__xludf.DUMMYFUNCTION("""COMPUTED_VALUE"""),"Graduação")</f>
        <v>Graduação</v>
      </c>
      <c r="BJ465" s="27" t="str">
        <f ca="1">IFERROR(__xludf.DUMMYFUNCTION("""COMPUTED_VALUE"""),"Privado")</f>
        <v>Privado</v>
      </c>
      <c r="BK465" s="27" t="str">
        <f ca="1">IFERROR(__xludf.DUMMYFUNCTION("""COMPUTED_VALUE"""),"avenida nossa senhora de lourdes")</f>
        <v>avenida nossa senhora de lourdes</v>
      </c>
      <c r="BL465" s="27">
        <f ca="1">IFERROR(__xludf.DUMMYFUNCTION("""COMPUTED_VALUE"""),764)</f>
        <v>764</v>
      </c>
      <c r="BM465" s="27" t="str">
        <f ca="1">IFERROR(__xludf.DUMMYFUNCTION("""COMPUTED_VALUE"""),"casa fundos")</f>
        <v>casa fundos</v>
      </c>
      <c r="BN465" s="27" t="str">
        <f ca="1">IFERROR(__xludf.DUMMYFUNCTION("""COMPUTED_VALUE"""),"poá")</f>
        <v>poá</v>
      </c>
      <c r="BO465" s="27" t="str">
        <f ca="1">IFERROR(__xludf.DUMMYFUNCTION("""COMPUTED_VALUE"""),"08566-600")</f>
        <v>08566-600</v>
      </c>
      <c r="BP465" s="27" t="str">
        <f ca="1">IFERROR(__xludf.DUMMYFUNCTION("""COMPUTED_VALUE"""),"SP")</f>
        <v>SP</v>
      </c>
      <c r="BQ465" s="27" t="str">
        <f ca="1">IFERROR(__xludf.DUMMYFUNCTION("""COMPUTED_VALUE"""),"Entre 1 até 3 salários mínimos")</f>
        <v>Entre 1 até 3 salários mínimos</v>
      </c>
      <c r="BR465" s="27" t="str">
        <f ca="1">IFERROR(__xludf.DUMMYFUNCTION("""COMPUTED_VALUE"""),"Trabalho informal")</f>
        <v>Trabalho informal</v>
      </c>
      <c r="BS465" s="27" t="str">
        <f ca="1">IFERROR(__xludf.DUMMYFUNCTION("""COMPUTED_VALUE"""),"Aluguel")</f>
        <v>Aluguel</v>
      </c>
      <c r="BT465" s="27">
        <f ca="1">IFERROR(__xludf.DUMMYFUNCTION("""COMPUTED_VALUE"""),4)</f>
        <v>4</v>
      </c>
      <c r="BU465" s="27" t="str">
        <f ca="1">IFERROR(__xludf.DUMMYFUNCTION("""COMPUTED_VALUE"""),"Não tem")</f>
        <v>Não tem</v>
      </c>
      <c r="BV465" s="27" t="str">
        <f ca="1">IFERROR(__xludf.DUMMYFUNCTION("""COMPUTED_VALUE"""),"Não")</f>
        <v>Não</v>
      </c>
      <c r="BW465" s="27"/>
      <c r="BX465" s="21" t="str">
        <f ca="1">IFERROR(__xludf.DUMMYFUNCTION("""COMPUTED_VALUE"""),"https://www.instagram.com/llaisnogueira/")</f>
        <v>https://www.instagram.com/llaisnogueira/</v>
      </c>
      <c r="BY465" s="21" t="str">
        <f ca="1">IFERROR(__xludf.DUMMYFUNCTION("""COMPUTED_VALUE"""),"https://drive.google.com/open?id=1H3dR8LywJB5dhzs5gZWMhNOXf6T0eiYa")</f>
        <v>https://drive.google.com/open?id=1H3dR8LywJB5dhzs5gZWMhNOXf6T0eiYa</v>
      </c>
    </row>
    <row r="466" spans="1:77" ht="12.5" hidden="1" x14ac:dyDescent="0.25">
      <c r="A466" s="21" t="str">
        <f ca="1">IFERROR(__xludf.DUMMYFUNCTION("""COMPUTED_VALUE"""),"0014X00002VKCv1QAH")</f>
        <v>0014X00002VKCv1QAH</v>
      </c>
      <c r="B466" s="27" t="str">
        <f ca="1">IFERROR(__xludf.DUMMYFUNCTION("""COMPUTED_VALUE"""),"Fase Inicial")</f>
        <v>Fase Inicial</v>
      </c>
      <c r="C466" s="27" t="str">
        <f ca="1">IFERROR(__xludf.DUMMYFUNCTION("""COMPUTED_VALUE"""),"Fellow")</f>
        <v>Fellow</v>
      </c>
      <c r="D466" s="27" t="str">
        <f ca="1">IFERROR(__xludf.DUMMYFUNCTION("""COMPUTED_VALUE"""),"Ativo")</f>
        <v>Ativo</v>
      </c>
      <c r="E466" s="27" t="str">
        <f ca="1">IFERROR(__xludf.DUMMYFUNCTION("""COMPUTED_VALUE"""),"Missão Edede Meleque")</f>
        <v>Missão Edede Meleque</v>
      </c>
      <c r="F466" s="27" t="str">
        <f ca="1">IFERROR(__xludf.DUMMYFUNCTION("""COMPUTED_VALUE"""),"Nelson")</f>
        <v>Nelson</v>
      </c>
      <c r="G466" s="27" t="str">
        <f ca="1">IFERROR(__xludf.DUMMYFUNCTION("""COMPUTED_VALUE"""),"MISSÃO EDEDE MELEQUE")</f>
        <v>MISSÃO EDEDE MELEQUE</v>
      </c>
      <c r="H466" s="27" t="str">
        <f ca="1">IFERROR(__xludf.DUMMYFUNCTION("""COMPUTED_VALUE"""),"13.744.955/0001-03")</f>
        <v>13.744.955/0001-03</v>
      </c>
      <c r="I466" s="27" t="str">
        <f ca="1">IFERROR(__xludf.DUMMYFUNCTION("""COMPUTED_VALUE"""),"Nelson Mendes Gouvea Junior")</f>
        <v>Nelson Mendes Gouvea Junior</v>
      </c>
      <c r="J466" s="27" t="str">
        <f ca="1">IFERROR(__xludf.DUMMYFUNCTION("""COMPUTED_VALUE"""),"ebedemeleque2014@gmail.com")</f>
        <v>ebedemeleque2014@gmail.com</v>
      </c>
      <c r="K466" s="27" t="str">
        <f ca="1">IFERROR(__xludf.DUMMYFUNCTION("""COMPUTED_VALUE"""),"(11)98780-8748")</f>
        <v>(11)98780-8748</v>
      </c>
      <c r="L466" s="27" t="str">
        <f ca="1">IFERROR(__xludf.DUMMYFUNCTION("""COMPUTED_VALUE"""),"SP")</f>
        <v>SP</v>
      </c>
      <c r="M466" s="27" t="str">
        <f ca="1">IFERROR(__xludf.DUMMYFUNCTION("""COMPUTED_VALUE"""),"rua Abílio Secundido Leite")</f>
        <v>rua Abílio Secundido Leite</v>
      </c>
      <c r="N466" s="27" t="str">
        <f ca="1">IFERROR(__xludf.DUMMYFUNCTION("""COMPUTED_VALUE"""),"Vila Andeyara")</f>
        <v>Vila Andeyara</v>
      </c>
      <c r="O466" s="27">
        <f ca="1">IFERROR(__xludf.DUMMYFUNCTION("""COMPUTED_VALUE"""),163)</f>
        <v>163</v>
      </c>
      <c r="P466" s="27" t="str">
        <f ca="1">IFERROR(__xludf.DUMMYFUNCTION("""COMPUTED_VALUE"""),"Ferraz de Vasconcelos")</f>
        <v>Ferraz de Vasconcelos</v>
      </c>
      <c r="Q466" s="27" t="str">
        <f ca="1">IFERROR(__xludf.DUMMYFUNCTION("""COMPUTED_VALUE"""),"casa 2")</f>
        <v>casa 2</v>
      </c>
      <c r="R466" s="27" t="str">
        <f ca="1">IFERROR(__xludf.DUMMYFUNCTION("""COMPUTED_VALUE"""),"08530-210")</f>
        <v>08530-210</v>
      </c>
      <c r="S466" s="27" t="str">
        <f ca="1">IFERROR(__xludf.DUMMYFUNCTION("""COMPUTED_VALUE"""),"sim!")</f>
        <v>sim!</v>
      </c>
      <c r="T466" s="27"/>
      <c r="U466" s="27" t="str">
        <f ca="1">IFERROR(__xludf.DUMMYFUNCTION("""COMPUTED_VALUE"""),"Crianças bem pequenas (1 ano e 7 meses até 3 anos e 11 meses), Jovens (18 aos 24 anos), Adultos, Idosos (60 anos ou mais)")</f>
        <v>Crianças bem pequenas (1 ano e 7 meses até 3 anos e 11 meses), Jovens (18 aos 24 anos), Adultos, Idosos (60 anos ou mais)</v>
      </c>
      <c r="V466" s="27" t="str">
        <f ca="1">IFERROR(__xludf.DUMMYFUNCTION("""COMPUTED_VALUE"""),"Moradores de Favelas, Pessoas em situação de rua, Egressos sistema carcerário")</f>
        <v>Moradores de Favelas, Pessoas em situação de rua, Egressos sistema carcerário</v>
      </c>
      <c r="W466" s="27">
        <f ca="1">IFERROR(__xludf.DUMMYFUNCTION("""COMPUTED_VALUE"""),1)</f>
        <v>1</v>
      </c>
      <c r="X466" s="27" t="str">
        <f ca="1">IFERROR(__xludf.DUMMYFUNCTION("""COMPUTED_VALUE"""),"Atendo reenducandos* egressos* adctos e moradores em situação de rua e seus familiares* sendo que não possuímos ainda nomes das comunidades que seus familiares moram* (nós possuímos endereços de presidiários (CDPs* CPPs*CRs* RDDs* HOSPs*novas 179 unudades"&amp;" prisionais)* (não estamos em todas  ainda) que serviriam como comunidades porém não parecem fisicamente)* mas durante o curso estas informações ganharão alto relevo.")</f>
        <v>Atendo reenducandos* egressos* adctos e moradores em situação de rua e seus familiares* sendo que não possuímos ainda nomes das comunidades que seus familiares moram* (nós possuímos endereços de presidiários (CDPs* CPPs*CRs* RDDs* HOSPs*novas 179 unudades prisionais)* (não estamos em todas  ainda) que serviriam como comunidades porém não parecem fisicamente)* mas durante o curso estas informações ganharão alto relevo.</v>
      </c>
      <c r="Y466" s="27"/>
      <c r="Z466" s="27">
        <f ca="1">IFERROR(__xludf.DUMMYFUNCTION("""COMPUTED_VALUE"""),10)</f>
        <v>10</v>
      </c>
      <c r="AA466" s="29">
        <f ca="1">IFERROR(__xludf.DUMMYFUNCTION("""COMPUTED_VALUE"""),40359)</f>
        <v>40359</v>
      </c>
      <c r="AB466" s="27" t="str">
        <f ca="1">IFERROR(__xludf.DUMMYFUNCTION("""COMPUTED_VALUE"""),"Sim")</f>
        <v>Sim</v>
      </c>
      <c r="AC466" s="27">
        <f ca="1">IFERROR(__xludf.DUMMYFUNCTION("""COMPUTED_VALUE"""),0)</f>
        <v>0</v>
      </c>
      <c r="AD466" s="27">
        <f ca="1">IFERROR(__xludf.DUMMYFUNCTION("""COMPUTED_VALUE"""),1)</f>
        <v>1</v>
      </c>
      <c r="AE466" s="27">
        <f ca="1">IFERROR(__xludf.DUMMYFUNCTION("""COMPUTED_VALUE"""),10)</f>
        <v>10</v>
      </c>
      <c r="AF466" s="27">
        <f ca="1">IFERROR(__xludf.DUMMYFUNCTION("""COMPUTED_VALUE"""),4)</f>
        <v>4</v>
      </c>
      <c r="AG466" s="27">
        <f ca="1">IFERROR(__xludf.DUMMYFUNCTION("""COMPUTED_VALUE"""),2)</f>
        <v>2</v>
      </c>
      <c r="AH466" s="27" t="str">
        <f ca="1">IFERROR(__xludf.DUMMYFUNCTION("""COMPUTED_VALUE"""),"Outro(s), Doações")</f>
        <v>Outro(s), Doações</v>
      </c>
      <c r="AI466" s="27">
        <f ca="1">IFERROR(__xludf.DUMMYFUNCTION("""COMPUTED_VALUE"""),0)</f>
        <v>0</v>
      </c>
      <c r="AJ466" s="27" t="str">
        <f ca="1">IFERROR(__xludf.DUMMYFUNCTION("""COMPUTED_VALUE"""),"Vamos iniciar esse ano")</f>
        <v>Vamos iniciar esse ano</v>
      </c>
      <c r="AK466" s="27"/>
      <c r="AL466" s="21" t="str">
        <f ca="1">IFERROR(__xludf.DUMMYFUNCTION("""COMPUTED_VALUE"""),"0034X0000380O22")</f>
        <v>0034X0000380O22</v>
      </c>
      <c r="AM466" s="27" t="str">
        <f ca="1">IFERROR(__xludf.DUMMYFUNCTION("""COMPUTED_VALUE"""),"Mendes gouvea")</f>
        <v>Mendes gouvea</v>
      </c>
      <c r="AN466" s="27" t="str">
        <f ca="1">IFERROR(__xludf.DUMMYFUNCTION("""COMPUTED_VALUE"""),"Ativo")</f>
        <v>Ativo</v>
      </c>
      <c r="AO466" s="29">
        <f ca="1">IFERROR(__xludf.DUMMYFUNCTION("""COMPUTED_VALUE"""),44763)</f>
        <v>44763</v>
      </c>
      <c r="AP466" s="27">
        <f ca="1">IFERROR(__xludf.DUMMYFUNCTION("""COMPUTED_VALUE"""),2)</f>
        <v>2</v>
      </c>
      <c r="AQ466" s="27" t="str">
        <f ca="1">IFERROR(__xludf.DUMMYFUNCTION("""COMPUTED_VALUE"""),"Primeiro Semestre 2022")</f>
        <v>Primeiro Semestre 2022</v>
      </c>
      <c r="AR466" s="27" t="str">
        <f ca="1">IFERROR(__xludf.DUMMYFUNCTION("""COMPUTED_VALUE"""),"ebedemeleque2014@gmail.com")</f>
        <v>ebedemeleque2014@gmail.com</v>
      </c>
      <c r="AS466" s="27" t="str">
        <f ca="1">IFERROR(__xludf.DUMMYFUNCTION("""COMPUTED_VALUE"""),"(11)95705-7234")</f>
        <v>(11)95705-7234</v>
      </c>
      <c r="AT466" s="29">
        <f ca="1">IFERROR(__xludf.DUMMYFUNCTION("""COMPUTED_VALUE"""),25546)</f>
        <v>25546</v>
      </c>
      <c r="AU466" s="27">
        <f ca="1">IFERROR(__xludf.DUMMYFUNCTION("""COMPUTED_VALUE"""),53)</f>
        <v>53</v>
      </c>
      <c r="AV466" s="27">
        <f ca="1">IFERROR(__xludf.DUMMYFUNCTION("""COMPUTED_VALUE"""),14406626816)</f>
        <v>14406626816</v>
      </c>
      <c r="AW466" s="27" t="str">
        <f ca="1">IFERROR(__xludf.DUMMYFUNCTION("""COMPUTED_VALUE"""),"21410531-3")</f>
        <v>21410531-3</v>
      </c>
      <c r="AX466" s="27"/>
      <c r="AY466" s="27" t="str">
        <f ca="1">IFERROR(__xludf.DUMMYFUNCTION("""COMPUTED_VALUE"""),"CEO Fundador")</f>
        <v>CEO Fundador</v>
      </c>
      <c r="AZ466" s="27" t="str">
        <f ca="1">IFERROR(__xludf.DUMMYFUNCTION("""COMPUTED_VALUE"""),"GG")</f>
        <v>GG</v>
      </c>
      <c r="BA466" s="27" t="str">
        <f ca="1">IFERROR(__xludf.DUMMYFUNCTION("""COMPUTED_VALUE"""),"Preta")</f>
        <v>Preta</v>
      </c>
      <c r="BB466" s="27"/>
      <c r="BC466" s="27"/>
      <c r="BD466" s="27" t="str">
        <f ca="1">IFERROR(__xludf.DUMMYFUNCTION("""COMPUTED_VALUE"""),"ativista no tripe droga dição, sistema prisional, e situação de rua, onde viveu e conviveu a maior pate de sua vida neste contexto. De traficante a usuário, de presidiário por 17 anos entre vindas e idas; hoje um visitador e idealizador do projeto lapidan"&amp;"do diamantes, com o objetivo de ser uma mão estendida a todos que querem sair da criminalidade; da droga dição, e das ruas.")</f>
        <v>ativista no tripe droga dição, sistema prisional, e situação de rua, onde viveu e conviveu a maior pate de sua vida neste contexto. De traficante a usuário, de presidiário por 17 anos entre vindas e idas; hoje um visitador e idealizador do projeto lapidando diamantes, com o objetivo de ser uma mão estendida a todos que querem sair da criminalidade; da droga dição, e das ruas.</v>
      </c>
      <c r="BE466" s="27" t="str">
        <f ca="1">IFERROR(__xludf.DUMMYFUNCTION("""COMPUTED_VALUE"""),"Homem, cisgênero")</f>
        <v>Homem, cisgênero</v>
      </c>
      <c r="BF466" s="27" t="str">
        <f ca="1">IFERROR(__xludf.DUMMYFUNCTION("""COMPUTED_VALUE"""),"Heterossexual")</f>
        <v>Heterossexual</v>
      </c>
      <c r="BG466" s="27" t="str">
        <f ca="1">IFERROR(__xludf.DUMMYFUNCTION("""COMPUTED_VALUE"""),"Ensino Superior - Completo")</f>
        <v>Ensino Superior - Completo</v>
      </c>
      <c r="BH466" s="27" t="str">
        <f ca="1">IFERROR(__xludf.DUMMYFUNCTION("""COMPUTED_VALUE"""),"Público")</f>
        <v>Público</v>
      </c>
      <c r="BI466" s="27" t="str">
        <f ca="1">IFERROR(__xludf.DUMMYFUNCTION("""COMPUTED_VALUE"""),"Pós-Graduação")</f>
        <v>Pós-Graduação</v>
      </c>
      <c r="BJ466" s="27" t="str">
        <f ca="1">IFERROR(__xludf.DUMMYFUNCTION("""COMPUTED_VALUE"""),"Privado")</f>
        <v>Privado</v>
      </c>
      <c r="BK466" s="27" t="str">
        <f ca="1">IFERROR(__xludf.DUMMYFUNCTION("""COMPUTED_VALUE"""),"rua Abílio Secundido Leite")</f>
        <v>rua Abílio Secundido Leite</v>
      </c>
      <c r="BL466" s="27">
        <f ca="1">IFERROR(__xludf.DUMMYFUNCTION("""COMPUTED_VALUE"""),163)</f>
        <v>163</v>
      </c>
      <c r="BM466" s="27" t="str">
        <f ca="1">IFERROR(__xludf.DUMMYFUNCTION("""COMPUTED_VALUE"""),"casa 2")</f>
        <v>casa 2</v>
      </c>
      <c r="BN466" s="27" t="str">
        <f ca="1">IFERROR(__xludf.DUMMYFUNCTION("""COMPUTED_VALUE"""),"Ferraz de Vasconcelos")</f>
        <v>Ferraz de Vasconcelos</v>
      </c>
      <c r="BO466" s="27" t="str">
        <f ca="1">IFERROR(__xludf.DUMMYFUNCTION("""COMPUTED_VALUE"""),"08530-210")</f>
        <v>08530-210</v>
      </c>
      <c r="BP466" s="27" t="str">
        <f ca="1">IFERROR(__xludf.DUMMYFUNCTION("""COMPUTED_VALUE"""),"SP")</f>
        <v>SP</v>
      </c>
      <c r="BQ466" s="27" t="str">
        <f ca="1">IFERROR(__xludf.DUMMYFUNCTION("""COMPUTED_VALUE"""),"Entre 1 até 3 salários mínimos")</f>
        <v>Entre 1 até 3 salários mínimos</v>
      </c>
      <c r="BR466" s="27" t="str">
        <f ca="1">IFERROR(__xludf.DUMMYFUNCTION("""COMPUTED_VALUE"""),"Desempregado")</f>
        <v>Desempregado</v>
      </c>
      <c r="BS466" s="27" t="str">
        <f ca="1">IFERROR(__xludf.DUMMYFUNCTION("""COMPUTED_VALUE"""),"Aluguel")</f>
        <v>Aluguel</v>
      </c>
      <c r="BT466" s="27">
        <f ca="1">IFERROR(__xludf.DUMMYFUNCTION("""COMPUTED_VALUE"""),4)</f>
        <v>4</v>
      </c>
      <c r="BU466" s="27" t="str">
        <f ca="1">IFERROR(__xludf.DUMMYFUNCTION("""COMPUTED_VALUE"""),"Não tem")</f>
        <v>Não tem</v>
      </c>
      <c r="BV466" s="27" t="str">
        <f ca="1">IFERROR(__xludf.DUMMYFUNCTION("""COMPUTED_VALUE"""),"Não")</f>
        <v>Não</v>
      </c>
      <c r="BW466" s="27"/>
      <c r="BX466" s="21" t="str">
        <f ca="1">IFERROR(__xludf.DUMMYFUNCTION("""COMPUTED_VALUE"""),"www.instagram.com")</f>
        <v>www.instagram.com</v>
      </c>
      <c r="BY466" s="21" t="str">
        <f ca="1">IFERROR(__xludf.DUMMYFUNCTION("""COMPUTED_VALUE"""),"https://drive.google.com/open?id=1loJJUyGsE_giTAc2AGPLlRyMdQD6ucbs")</f>
        <v>https://drive.google.com/open?id=1loJJUyGsE_giTAc2AGPLlRyMdQD6ucbs</v>
      </c>
    </row>
    <row r="467" spans="1:77" ht="12.5" x14ac:dyDescent="0.25">
      <c r="A467" s="21" t="str">
        <f ca="1">IFERROR(__xludf.DUMMYFUNCTION("""COMPUTED_VALUE"""),"0014X00002VKCrLQAX")</f>
        <v>0014X00002VKCrLQAX</v>
      </c>
      <c r="B467" s="27" t="str">
        <f ca="1">IFERROR(__xludf.DUMMYFUNCTION("""COMPUTED_VALUE"""),"Fase Inicial")</f>
        <v>Fase Inicial</v>
      </c>
      <c r="C467" s="27" t="str">
        <f ca="1">IFERROR(__xludf.DUMMYFUNCTION("""COMPUTED_VALUE"""),"Fellow")</f>
        <v>Fellow</v>
      </c>
      <c r="D467" s="27" t="str">
        <f ca="1">IFERROR(__xludf.DUMMYFUNCTION("""COMPUTED_VALUE"""),"Ativo")</f>
        <v>Ativo</v>
      </c>
      <c r="E467" s="27" t="str">
        <f ca="1">IFERROR(__xludf.DUMMYFUNCTION("""COMPUTED_VALUE"""),"Missão Sertão")</f>
        <v>Missão Sertão</v>
      </c>
      <c r="F467" s="27" t="str">
        <f ca="1">IFERROR(__xludf.DUMMYFUNCTION("""COMPUTED_VALUE"""),"ADONIRAN")</f>
        <v>ADONIRAN</v>
      </c>
      <c r="G467" s="27" t="str">
        <f ca="1">IFERROR(__xludf.DUMMYFUNCTION("""COMPUTED_VALUE"""),"MISSÃO SERTÃO")</f>
        <v>MISSÃO SERTÃO</v>
      </c>
      <c r="H467" s="27"/>
      <c r="I467" s="27" t="str">
        <f ca="1">IFERROR(__xludf.DUMMYFUNCTION("""COMPUTED_VALUE"""),"ADONIRAN PAULINO DOS PASSOS")</f>
        <v>ADONIRAN PAULINO DOS PASSOS</v>
      </c>
      <c r="J467" s="27"/>
      <c r="K467" s="27">
        <f ca="1">IFERROR(__xludf.DUMMYFUNCTION("""COMPUTED_VALUE"""),81991459515)</f>
        <v>81991459515</v>
      </c>
      <c r="L467" s="27" t="str">
        <f ca="1">IFERROR(__xludf.DUMMYFUNCTION("""COMPUTED_VALUE"""),"PE")</f>
        <v>PE</v>
      </c>
      <c r="M467" s="27" t="str">
        <f ca="1">IFERROR(__xludf.DUMMYFUNCTION("""COMPUTED_VALUE"""),"Rua Professora Zênia Guerra")</f>
        <v>Rua Professora Zênia Guerra</v>
      </c>
      <c r="N467" s="27" t="str">
        <f ca="1">IFERROR(__xludf.DUMMYFUNCTION("""COMPUTED_VALUE"""),"Jardim São Paulo")</f>
        <v>Jardim São Paulo</v>
      </c>
      <c r="O467" s="27">
        <f ca="1">IFERROR(__xludf.DUMMYFUNCTION("""COMPUTED_VALUE"""),681)</f>
        <v>681</v>
      </c>
      <c r="P467" s="27" t="str">
        <f ca="1">IFERROR(__xludf.DUMMYFUNCTION("""COMPUTED_VALUE"""),"Recife")</f>
        <v>Recife</v>
      </c>
      <c r="Q467" s="27"/>
      <c r="R467" s="27" t="str">
        <f ca="1">IFERROR(__xludf.DUMMYFUNCTION("""COMPUTED_VALUE"""),"50910-210")</f>
        <v>50910-210</v>
      </c>
      <c r="S467" s="27"/>
      <c r="T467" s="27"/>
      <c r="U467" s="27"/>
      <c r="V467" s="27"/>
      <c r="W467" s="27">
        <f ca="1">IFERROR(__xludf.DUMMYFUNCTION("""COMPUTED_VALUE"""),15)</f>
        <v>15</v>
      </c>
      <c r="X467" s="27" t="str">
        <f ca="1">IFERROR(__xludf.DUMMYFUNCTION("""COMPUTED_VALUE"""),"Pessoas que vivem em situação de extrema pobreza")</f>
        <v>Pessoas que vivem em situação de extrema pobreza</v>
      </c>
      <c r="Y467" s="27"/>
      <c r="Z467" s="27">
        <f ca="1">IFERROR(__xludf.DUMMYFUNCTION("""COMPUTED_VALUE"""),450)</f>
        <v>450</v>
      </c>
      <c r="AA467" s="29">
        <f ca="1">IFERROR(__xludf.DUMMYFUNCTION("""COMPUTED_VALUE"""),33147)</f>
        <v>33147</v>
      </c>
      <c r="AB467" s="27" t="str">
        <f ca="1">IFERROR(__xludf.DUMMYFUNCTION("""COMPUTED_VALUE"""),"Não")</f>
        <v>Não</v>
      </c>
      <c r="AC467" s="27">
        <f ca="1">IFERROR(__xludf.DUMMYFUNCTION("""COMPUTED_VALUE"""),0)</f>
        <v>0</v>
      </c>
      <c r="AD467" s="27"/>
      <c r="AE467" s="27">
        <f ca="1">IFERROR(__xludf.DUMMYFUNCTION("""COMPUTED_VALUE"""),55)</f>
        <v>55</v>
      </c>
      <c r="AF467" s="27"/>
      <c r="AG467" s="27">
        <f ca="1">IFERROR(__xludf.DUMMYFUNCTION("""COMPUTED_VALUE"""),4)</f>
        <v>4</v>
      </c>
      <c r="AH467" s="27"/>
      <c r="AI467" s="27" t="str">
        <f ca="1">IFERROR(__xludf.DUMMYFUNCTION("""COMPUTED_VALUE"""),"Depende muito")</f>
        <v>Depende muito</v>
      </c>
      <c r="AJ467" s="27" t="str">
        <f ca="1">IFERROR(__xludf.DUMMYFUNCTION("""COMPUTED_VALUE"""),"Não")</f>
        <v>Não</v>
      </c>
      <c r="AK467" s="27"/>
      <c r="AL467" s="21" t="str">
        <f ca="1">IFERROR(__xludf.DUMMYFUNCTION("""COMPUTED_VALUE"""),"0034X0000380O5A")</f>
        <v>0034X0000380O5A</v>
      </c>
      <c r="AM467" s="27" t="str">
        <f ca="1">IFERROR(__xludf.DUMMYFUNCTION("""COMPUTED_VALUE"""),"Paulino dos passos")</f>
        <v>Paulino dos passos</v>
      </c>
      <c r="AN467" s="27" t="str">
        <f ca="1">IFERROR(__xludf.DUMMYFUNCTION("""COMPUTED_VALUE"""),"Ativo")</f>
        <v>Ativo</v>
      </c>
      <c r="AO467" s="29">
        <f ca="1">IFERROR(__xludf.DUMMYFUNCTION("""COMPUTED_VALUE"""),44763)</f>
        <v>44763</v>
      </c>
      <c r="AP467" s="27">
        <f ca="1">IFERROR(__xludf.DUMMYFUNCTION("""COMPUTED_VALUE"""),2)</f>
        <v>2</v>
      </c>
      <c r="AQ467" s="27" t="str">
        <f ca="1">IFERROR(__xludf.DUMMYFUNCTION("""COMPUTED_VALUE"""),"Primeiro Semestre 2022")</f>
        <v>Primeiro Semestre 2022</v>
      </c>
      <c r="AR467" s="27" t="str">
        <f ca="1">IFERROR(__xludf.DUMMYFUNCTION("""COMPUTED_VALUE"""),"adoniran2007@gmail.com")</f>
        <v>adoniran2007@gmail.com</v>
      </c>
      <c r="AS467" s="27" t="str">
        <f ca="1">IFERROR(__xludf.DUMMYFUNCTION("""COMPUTED_VALUE"""),"(81)99145-9515")</f>
        <v>(81)99145-9515</v>
      </c>
      <c r="AT467" s="29">
        <f ca="1">IFERROR(__xludf.DUMMYFUNCTION("""COMPUTED_VALUE"""),27466)</f>
        <v>27466</v>
      </c>
      <c r="AU467" s="27">
        <f ca="1">IFERROR(__xludf.DUMMYFUNCTION("""COMPUTED_VALUE"""),47)</f>
        <v>47</v>
      </c>
      <c r="AV467" s="27">
        <f ca="1">IFERROR(__xludf.DUMMYFUNCTION("""COMPUTED_VALUE"""),2174165430)</f>
        <v>2174165430</v>
      </c>
      <c r="AW467" s="27">
        <f ca="1">IFERROR(__xludf.DUMMYFUNCTION("""COMPUTED_VALUE"""),4449069)</f>
        <v>4449069</v>
      </c>
      <c r="AX467" s="27"/>
      <c r="AY467" s="27" t="str">
        <f ca="1">IFERROR(__xludf.DUMMYFUNCTION("""COMPUTED_VALUE"""),"Vice presidente")</f>
        <v>Vice presidente</v>
      </c>
      <c r="AZ467" s="27" t="str">
        <f ca="1">IFERROR(__xludf.DUMMYFUNCTION("""COMPUTED_VALUE"""),"GG")</f>
        <v>GG</v>
      </c>
      <c r="BA467" s="27" t="str">
        <f ca="1">IFERROR(__xludf.DUMMYFUNCTION("""COMPUTED_VALUE"""),"Parda")</f>
        <v>Parda</v>
      </c>
      <c r="BB467" s="27"/>
      <c r="BC467" s="27"/>
      <c r="BD467" s="27" t="str">
        <f ca="1">IFERROR(__xludf.DUMMYFUNCTION("""COMPUTED_VALUE"""),"Mi chamo ADONIRAN sou casado a 15 anos tenho 2 filhos. E trabalho nessa obra social a 18 anos sou motorista de aplicativo e  faço trabalho social no bairro de jardim são Paulo e no sertão do estado de Pernambuco a 18 anos")</f>
        <v>Mi chamo ADONIRAN sou casado a 15 anos tenho 2 filhos. E trabalho nessa obra social a 18 anos sou motorista de aplicativo e  faço trabalho social no bairro de jardim são Paulo e no sertão do estado de Pernambuco a 18 anos</v>
      </c>
      <c r="BE467" s="27" t="str">
        <f ca="1">IFERROR(__xludf.DUMMYFUNCTION("""COMPUTED_VALUE"""),"Homem, cisgênero")</f>
        <v>Homem, cisgênero</v>
      </c>
      <c r="BF467" s="27" t="str">
        <f ca="1">IFERROR(__xludf.DUMMYFUNCTION("""COMPUTED_VALUE"""),"Heterossexual")</f>
        <v>Heterossexual</v>
      </c>
      <c r="BG467" s="27" t="str">
        <f ca="1">IFERROR(__xludf.DUMMYFUNCTION("""COMPUTED_VALUE"""),"Ensino Superior - Incompleto")</f>
        <v>Ensino Superior - Incompleto</v>
      </c>
      <c r="BH467" s="27" t="str">
        <f ca="1">IFERROR(__xludf.DUMMYFUNCTION("""COMPUTED_VALUE"""),"Público")</f>
        <v>Público</v>
      </c>
      <c r="BI467" s="27" t="str">
        <f ca="1">IFERROR(__xludf.DUMMYFUNCTION("""COMPUTED_VALUE"""),"Graduação")</f>
        <v>Graduação</v>
      </c>
      <c r="BJ467" s="27"/>
      <c r="BK467" s="27" t="str">
        <f ca="1">IFERROR(__xludf.DUMMYFUNCTION("""COMPUTED_VALUE"""),"Rua jundiai")</f>
        <v>Rua jundiai</v>
      </c>
      <c r="BL467" s="27">
        <f ca="1">IFERROR(__xludf.DUMMYFUNCTION("""COMPUTED_VALUE"""),260)</f>
        <v>260</v>
      </c>
      <c r="BM467" s="27" t="str">
        <f ca="1">IFERROR(__xludf.DUMMYFUNCTION("""COMPUTED_VALUE"""),"Casa 04")</f>
        <v>Casa 04</v>
      </c>
      <c r="BN467" s="27" t="str">
        <f ca="1">IFERROR(__xludf.DUMMYFUNCTION("""COMPUTED_VALUE"""),"Recife")</f>
        <v>Recife</v>
      </c>
      <c r="BO467" s="27" t="str">
        <f ca="1">IFERROR(__xludf.DUMMYFUNCTION("""COMPUTED_VALUE"""),"50790-010")</f>
        <v>50790-010</v>
      </c>
      <c r="BP467" s="27" t="str">
        <f ca="1">IFERROR(__xludf.DUMMYFUNCTION("""COMPUTED_VALUE"""),"PE")</f>
        <v>PE</v>
      </c>
      <c r="BQ467" s="27" t="str">
        <f ca="1">IFERROR(__xludf.DUMMYFUNCTION("""COMPUTED_VALUE"""),"Entre 1 até 3 salários mínimos")</f>
        <v>Entre 1 até 3 salários mínimos</v>
      </c>
      <c r="BR467" s="27" t="str">
        <f ca="1">IFERROR(__xludf.DUMMYFUNCTION("""COMPUTED_VALUE"""),"Trabalho informal")</f>
        <v>Trabalho informal</v>
      </c>
      <c r="BS467" s="27" t="str">
        <f ca="1">IFERROR(__xludf.DUMMYFUNCTION("""COMPUTED_VALUE"""),"Aluguel")</f>
        <v>Aluguel</v>
      </c>
      <c r="BT467" s="27">
        <f ca="1">IFERROR(__xludf.DUMMYFUNCTION("""COMPUTED_VALUE"""),4)</f>
        <v>4</v>
      </c>
      <c r="BU467" s="27" t="str">
        <f ca="1">IFERROR(__xludf.DUMMYFUNCTION("""COMPUTED_VALUE"""),"Não tem")</f>
        <v>Não tem</v>
      </c>
      <c r="BV467" s="27" t="str">
        <f ca="1">IFERROR(__xludf.DUMMYFUNCTION("""COMPUTED_VALUE"""),"Não")</f>
        <v>Não</v>
      </c>
      <c r="BW467" s="27"/>
      <c r="BX467" s="21" t="str">
        <f ca="1">IFERROR(__xludf.DUMMYFUNCTION("""COMPUTED_VALUE"""),"https://instagram.com/adoniranpaulinodospassos?utm_medium=copy_link")</f>
        <v>https://instagram.com/adoniranpaulinodospassos?utm_medium=copy_link</v>
      </c>
      <c r="BY467" s="21" t="str">
        <f ca="1">IFERROR(__xludf.DUMMYFUNCTION("""COMPUTED_VALUE"""),"https://drive.google.com/open?id=1iQQCVzJggVXX3WjPuawaZIkyknJcMq86")</f>
        <v>https://drive.google.com/open?id=1iQQCVzJggVXX3WjPuawaZIkyknJcMq86</v>
      </c>
    </row>
    <row r="468" spans="1:77" ht="12.5" x14ac:dyDescent="0.25">
      <c r="A468" s="21" t="str">
        <f ca="1">IFERROR(__xludf.DUMMYFUNCTION("""COMPUTED_VALUE"""),"0014X00002VKCurQAH")</f>
        <v>0014X00002VKCurQAH</v>
      </c>
      <c r="B468" s="27" t="str">
        <f ca="1">IFERROR(__xludf.DUMMYFUNCTION("""COMPUTED_VALUE"""),"Fase Inicial")</f>
        <v>Fase Inicial</v>
      </c>
      <c r="C468" s="27" t="str">
        <f ca="1">IFERROR(__xludf.DUMMYFUNCTION("""COMPUTED_VALUE"""),"Fellow")</f>
        <v>Fellow</v>
      </c>
      <c r="D468" s="27" t="str">
        <f ca="1">IFERROR(__xludf.DUMMYFUNCTION("""COMPUTED_VALUE"""),"Ativo")</f>
        <v>Ativo</v>
      </c>
      <c r="E468" s="27" t="str">
        <f ca="1">IFERROR(__xludf.DUMMYFUNCTION("""COMPUTED_VALUE"""),"Motirô")</f>
        <v>Motirô</v>
      </c>
      <c r="F468" s="27" t="str">
        <f ca="1">IFERROR(__xludf.DUMMYFUNCTION("""COMPUTED_VALUE"""),"Marcela")</f>
        <v>Marcela</v>
      </c>
      <c r="G468" s="27" t="str">
        <f ca="1">IFERROR(__xludf.DUMMYFUNCTION("""COMPUTED_VALUE"""),"MOTIRÕ")</f>
        <v>MOTIRÕ</v>
      </c>
      <c r="H468" s="27"/>
      <c r="I468" s="27" t="str">
        <f ca="1">IFERROR(__xludf.DUMMYFUNCTION("""COMPUTED_VALUE"""),"Marcela Fernandes Siqueira")</f>
        <v>Marcela Fernandes Siqueira</v>
      </c>
      <c r="J468" s="27" t="str">
        <f ca="1">IFERROR(__xludf.DUMMYFUNCTION("""COMPUTED_VALUE"""),"projetomotirocontato@gmail.com")</f>
        <v>projetomotirocontato@gmail.com</v>
      </c>
      <c r="K468" s="27" t="str">
        <f ca="1">IFERROR(__xludf.DUMMYFUNCTION("""COMPUTED_VALUE"""),"(11)99612-8559")</f>
        <v>(11)99612-8559</v>
      </c>
      <c r="L468" s="27" t="str">
        <f ca="1">IFERROR(__xludf.DUMMYFUNCTION("""COMPUTED_VALUE"""),"SP")</f>
        <v>SP</v>
      </c>
      <c r="M468" s="27" t="str">
        <f ca="1">IFERROR(__xludf.DUMMYFUNCTION("""COMPUTED_VALUE"""),"Não temos filial")</f>
        <v>Não temos filial</v>
      </c>
      <c r="N468" s="27" t="str">
        <f ca="1">IFERROR(__xludf.DUMMYFUNCTION("""COMPUTED_VALUE"""),"Não temos filial")</f>
        <v>Não temos filial</v>
      </c>
      <c r="O468" s="27" t="str">
        <f ca="1">IFERROR(__xludf.DUMMYFUNCTION("""COMPUTED_VALUE"""),"Não temos filial")</f>
        <v>Não temos filial</v>
      </c>
      <c r="P468" s="27" t="str">
        <f ca="1">IFERROR(__xludf.DUMMYFUNCTION("""COMPUTED_VALUE"""),"Suzano")</f>
        <v>Suzano</v>
      </c>
      <c r="Q468" s="27">
        <f ca="1">IFERROR(__xludf.DUMMYFUNCTION("""COMPUTED_VALUE"""),82)</f>
        <v>82</v>
      </c>
      <c r="R468" s="27" t="str">
        <f ca="1">IFERROR(__xludf.DUMMYFUNCTION("""COMPUTED_VALUE"""),"08675-240")</f>
        <v>08675-240</v>
      </c>
      <c r="S468" s="27"/>
      <c r="T468" s="27"/>
      <c r="U468" s="27" t="str">
        <f ca="1">IFERROR(__xludf.DUMMYFUNCTION("""COMPUTED_VALUE"""),"bebês (1 a 1ano e 6 meses), Crianças bem pequenas (1 ano e 7 meses até 3 anos e 11 meses), Crianças pequenas (4 anos a 5 anos e 11 meses), Crianças (6 a 12 anos), Adolescentes (12 aos 18 anos), Jovens (18 aos 24 anos)")</f>
        <v>bebês (1 a 1ano e 6 meses), Crianças bem pequenas (1 ano e 7 meses até 3 anos e 11 meses), Crianças pequenas (4 anos a 5 anos e 11 meses), Crianças (6 a 12 anos), Adolescentes (12 aos 18 anos), Jovens (18 aos 24 anos)</v>
      </c>
      <c r="V468" s="27" t="str">
        <f ca="1">IFERROR(__xludf.DUMMYFUNCTION("""COMPUTED_VALUE"""),"Moradores de Favelas")</f>
        <v>Moradores de Favelas</v>
      </c>
      <c r="W468" s="27">
        <f ca="1">IFERROR(__xludf.DUMMYFUNCTION("""COMPUTED_VALUE"""),5)</f>
        <v>5</v>
      </c>
      <c r="X468" s="27"/>
      <c r="Y468" s="27"/>
      <c r="Z468" s="27">
        <f ca="1">IFERROR(__xludf.DUMMYFUNCTION("""COMPUTED_VALUE"""),4000)</f>
        <v>4000</v>
      </c>
      <c r="AA468" s="29">
        <f ca="1">IFERROR(__xludf.DUMMYFUNCTION("""COMPUTED_VALUE"""),42588)</f>
        <v>42588</v>
      </c>
      <c r="AB468" s="27" t="str">
        <f ca="1">IFERROR(__xludf.DUMMYFUNCTION("""COMPUTED_VALUE"""),"Não")</f>
        <v>Não</v>
      </c>
      <c r="AC468" s="27">
        <f ca="1">IFERROR(__xludf.DUMMYFUNCTION("""COMPUTED_VALUE"""),0)</f>
        <v>0</v>
      </c>
      <c r="AD468" s="27">
        <f ca="1">IFERROR(__xludf.DUMMYFUNCTION("""COMPUTED_VALUE"""),20)</f>
        <v>20</v>
      </c>
      <c r="AE468" s="27">
        <f ca="1">IFERROR(__xludf.DUMMYFUNCTION("""COMPUTED_VALUE"""),150)</f>
        <v>150</v>
      </c>
      <c r="AF468" s="27">
        <f ca="1">IFERROR(__xludf.DUMMYFUNCTION("""COMPUTED_VALUE"""),100)</f>
        <v>100</v>
      </c>
      <c r="AG468" s="27">
        <f ca="1">IFERROR(__xludf.DUMMYFUNCTION("""COMPUTED_VALUE"""),2)</f>
        <v>2</v>
      </c>
      <c r="AH468" s="27" t="str">
        <f ca="1">IFERROR(__xludf.DUMMYFUNCTION("""COMPUTED_VALUE"""),"Parceria iniciativa privada, Doações")</f>
        <v>Parceria iniciativa privada, Doações</v>
      </c>
      <c r="AI468" s="27">
        <f ca="1">IFERROR(__xludf.DUMMYFUNCTION("""COMPUTED_VALUE"""),0)</f>
        <v>0</v>
      </c>
      <c r="AJ468" s="27" t="str">
        <f ca="1">IFERROR(__xludf.DUMMYFUNCTION("""COMPUTED_VALUE"""),"Sim")</f>
        <v>Sim</v>
      </c>
      <c r="AK468" s="27"/>
      <c r="AL468" s="21" t="str">
        <f ca="1">IFERROR(__xludf.DUMMYFUNCTION("""COMPUTED_VALUE"""),"0034X0000380O2y")</f>
        <v>0034X0000380O2y</v>
      </c>
      <c r="AM468" s="27" t="str">
        <f ca="1">IFERROR(__xludf.DUMMYFUNCTION("""COMPUTED_VALUE"""),"Fernandes siqueira")</f>
        <v>Fernandes siqueira</v>
      </c>
      <c r="AN468" s="27" t="str">
        <f ca="1">IFERROR(__xludf.DUMMYFUNCTION("""COMPUTED_VALUE"""),"Ativo")</f>
        <v>Ativo</v>
      </c>
      <c r="AO468" s="29">
        <f ca="1">IFERROR(__xludf.DUMMYFUNCTION("""COMPUTED_VALUE"""),44763)</f>
        <v>44763</v>
      </c>
      <c r="AP468" s="27">
        <f ca="1">IFERROR(__xludf.DUMMYFUNCTION("""COMPUTED_VALUE"""),2)</f>
        <v>2</v>
      </c>
      <c r="AQ468" s="27" t="str">
        <f ca="1">IFERROR(__xludf.DUMMYFUNCTION("""COMPUTED_VALUE"""),"Primeiro Semestre 2022")</f>
        <v>Primeiro Semestre 2022</v>
      </c>
      <c r="AR468" s="27" t="str">
        <f ca="1">IFERROR(__xludf.DUMMYFUNCTION("""COMPUTED_VALUE"""),"marcelafernandessiqueira@gmail.com")</f>
        <v>marcelafernandessiqueira@gmail.com</v>
      </c>
      <c r="AS468" s="27">
        <f ca="1">IFERROR(__xludf.DUMMYFUNCTION("""COMPUTED_VALUE"""),11996128559)</f>
        <v>11996128559</v>
      </c>
      <c r="AT468" s="29">
        <f ca="1">IFERROR(__xludf.DUMMYFUNCTION("""COMPUTED_VALUE"""),35184)</f>
        <v>35184</v>
      </c>
      <c r="AU468" s="27">
        <f ca="1">IFERROR(__xludf.DUMMYFUNCTION("""COMPUTED_VALUE"""),26)</f>
        <v>26</v>
      </c>
      <c r="AV468" s="27">
        <f ca="1">IFERROR(__xludf.DUMMYFUNCTION("""COMPUTED_VALUE"""),48381242878)</f>
        <v>48381242878</v>
      </c>
      <c r="AW468" s="27">
        <f ca="1">IFERROR(__xludf.DUMMYFUNCTION("""COMPUTED_VALUE"""),506019093)</f>
        <v>506019093</v>
      </c>
      <c r="AX468" s="27"/>
      <c r="AY468" s="27"/>
      <c r="AZ468" s="27" t="str">
        <f ca="1">IFERROR(__xludf.DUMMYFUNCTION("""COMPUTED_VALUE"""),"G")</f>
        <v>G</v>
      </c>
      <c r="BA468" s="27" t="str">
        <f ca="1">IFERROR(__xludf.DUMMYFUNCTION("""COMPUTED_VALUE"""),"Branca")</f>
        <v>Branca</v>
      </c>
      <c r="BB468" s="27"/>
      <c r="BC468" s="27"/>
      <c r="BD468" s="27" t="str">
        <f ca="1">IFERROR(__xludf.DUMMYFUNCTION("""COMPUTED_VALUE"""),"Olá* Meu nome é Marcela* tenho 25 anos* taurina e sou Publicitária com uma vasta experiência na área de atendimento ao cliente e gestão de projetos* sou uma apaixonada pela comunicação. 
A busca por aprendizados é o que me move. Além disso* acredito que "&amp;"a solidariedade é a principal ferramenta para mudar o mundo e por isso fundei* em 2016* o Motirõ — um projeto social que leva amor e esperança para aqueles que um dia deixaram de acreditar na bondade humana.
Quer saber mais sobre mim? É só marcar um café"&amp;"! ,)")</f>
        <v>Olá* Meu nome é Marcela* tenho 25 anos* taurina e sou Publicitária com uma vasta experiência na área de atendimento ao cliente e gestão de projetos* sou uma apaixonada pela comunicação. 
A busca por aprendizados é o que me move. Além disso* acredito que a solidariedade é a principal ferramenta para mudar o mundo e por isso fundei* em 2016* o Motirõ — um projeto social que leva amor e esperança para aqueles que um dia deixaram de acreditar na bondade humana.
Quer saber mais sobre mim? É só marcar um café! ,)</v>
      </c>
      <c r="BE468" s="27" t="str">
        <f ca="1">IFERROR(__xludf.DUMMYFUNCTION("""COMPUTED_VALUE"""),"Feminino")</f>
        <v>Feminino</v>
      </c>
      <c r="BF468" s="27" t="str">
        <f ca="1">IFERROR(__xludf.DUMMYFUNCTION("""COMPUTED_VALUE"""),"Heterossexual")</f>
        <v>Heterossexual</v>
      </c>
      <c r="BG468" s="27"/>
      <c r="BH468" s="27" t="str">
        <f ca="1">IFERROR(__xludf.DUMMYFUNCTION("""COMPUTED_VALUE"""),"Privado")</f>
        <v>Privado</v>
      </c>
      <c r="BI468" s="27" t="str">
        <f ca="1">IFERROR(__xludf.DUMMYFUNCTION("""COMPUTED_VALUE"""),"Graduação")</f>
        <v>Graduação</v>
      </c>
      <c r="BJ468" s="27" t="str">
        <f ca="1">IFERROR(__xludf.DUMMYFUNCTION("""COMPUTED_VALUE"""),"Privado")</f>
        <v>Privado</v>
      </c>
      <c r="BK468" s="27" t="str">
        <f ca="1">IFERROR(__xludf.DUMMYFUNCTION("""COMPUTED_VALUE"""),"Rua Paulo Alfredo hilbert")</f>
        <v>Rua Paulo Alfredo hilbert</v>
      </c>
      <c r="BL468" s="27">
        <f ca="1">IFERROR(__xludf.DUMMYFUNCTION("""COMPUTED_VALUE"""),234)</f>
        <v>234</v>
      </c>
      <c r="BM468" s="27">
        <f ca="1">IFERROR(__xludf.DUMMYFUNCTION("""COMPUTED_VALUE"""),82)</f>
        <v>82</v>
      </c>
      <c r="BN468" s="27" t="str">
        <f ca="1">IFERROR(__xludf.DUMMYFUNCTION("""COMPUTED_VALUE"""),"Suzano")</f>
        <v>Suzano</v>
      </c>
      <c r="BO468" s="27">
        <f ca="1">IFERROR(__xludf.DUMMYFUNCTION("""COMPUTED_VALUE"""),8675240)</f>
        <v>8675240</v>
      </c>
      <c r="BP468" s="27" t="str">
        <f ca="1">IFERROR(__xludf.DUMMYFUNCTION("""COMPUTED_VALUE"""),"SP")</f>
        <v>SP</v>
      </c>
      <c r="BQ468" s="27" t="str">
        <f ca="1">IFERROR(__xludf.DUMMYFUNCTION("""COMPUTED_VALUE"""),"Entre 1 até 3 salários mínimos")</f>
        <v>Entre 1 até 3 salários mínimos</v>
      </c>
      <c r="BR468" s="27" t="str">
        <f ca="1">IFERROR(__xludf.DUMMYFUNCTION("""COMPUTED_VALUE"""),"MEI")</f>
        <v>MEI</v>
      </c>
      <c r="BS468" s="27" t="str">
        <f ca="1">IFERROR(__xludf.DUMMYFUNCTION("""COMPUTED_VALUE"""),"Aluguel")</f>
        <v>Aluguel</v>
      </c>
      <c r="BT468" s="27">
        <f ca="1">IFERROR(__xludf.DUMMYFUNCTION("""COMPUTED_VALUE"""),2)</f>
        <v>2</v>
      </c>
      <c r="BU468" s="27"/>
      <c r="BV468" s="27" t="str">
        <f ca="1">IFERROR(__xludf.DUMMYFUNCTION("""COMPUTED_VALUE"""),"Não")</f>
        <v>Não</v>
      </c>
      <c r="BW468" s="27"/>
      <c r="BX468" s="21" t="str">
        <f ca="1">IFERROR(__xludf.DUMMYFUNCTION("""COMPUTED_VALUE"""),"https://instagram.com/marcelasiqueeira?utm_medium=copy_link")</f>
        <v>https://instagram.com/marcelasiqueeira?utm_medium=copy_link</v>
      </c>
      <c r="BY468" s="21" t="str">
        <f ca="1">IFERROR(__xludf.DUMMYFUNCTION("""COMPUTED_VALUE"""),"https://drive.google.com/open?id=1_VmizHxq97IH7FVbnU8TNeHV0SvXI1H2")</f>
        <v>https://drive.google.com/open?id=1_VmizHxq97IH7FVbnU8TNeHV0SvXI1H2</v>
      </c>
    </row>
    <row r="469" spans="1:77" ht="12.5" x14ac:dyDescent="0.25">
      <c r="A469" s="21" t="str">
        <f ca="1">IFERROR(__xludf.DUMMYFUNCTION("""COMPUTED_VALUE"""),"0014P00003SGWQ7QAP")</f>
        <v>0014P00003SGWQ7QAP</v>
      </c>
      <c r="B469" s="27" t="str">
        <f ca="1">IFERROR(__xludf.DUMMYFUNCTION("""COMPUTED_VALUE"""),"Fase Inicial")</f>
        <v>Fase Inicial</v>
      </c>
      <c r="C469" s="27" t="str">
        <f ca="1">IFERROR(__xludf.DUMMYFUNCTION("""COMPUTED_VALUE"""),"Acelerada")</f>
        <v>Acelerada</v>
      </c>
      <c r="D469" s="27" t="str">
        <f ca="1">IFERROR(__xludf.DUMMYFUNCTION("""COMPUTED_VALUE"""),"Ativo")</f>
        <v>Ativo</v>
      </c>
      <c r="E469" s="27" t="str">
        <f ca="1">IFERROR(__xludf.DUMMYFUNCTION("""COMPUTED_VALUE"""),"MOVIMENTO INSPIRE")</f>
        <v>MOVIMENTO INSPIRE</v>
      </c>
      <c r="F469" s="27" t="str">
        <f ca="1">IFERROR(__xludf.DUMMYFUNCTION("""COMPUTED_VALUE"""),"Roberta")</f>
        <v>Roberta</v>
      </c>
      <c r="G469" s="27" t="str">
        <f ca="1">IFERROR(__xludf.DUMMYFUNCTION("""COMPUTED_VALUE"""),"MOVIMENTO INSPIRE")</f>
        <v>MOVIMENTO INSPIRE</v>
      </c>
      <c r="H469" s="27" t="str">
        <f ca="1">IFERROR(__xludf.DUMMYFUNCTION("""COMPUTED_VALUE"""),"42.527.038/0001-67")</f>
        <v>42.527.038/0001-67</v>
      </c>
      <c r="I469" s="27" t="str">
        <f ca="1">IFERROR(__xludf.DUMMYFUNCTION("""COMPUTED_VALUE"""),"Mariza Pessoa Maranhão")</f>
        <v>Mariza Pessoa Maranhão</v>
      </c>
      <c r="J469" s="27" t="str">
        <f ca="1">IFERROR(__xludf.DUMMYFUNCTION("""COMPUTED_VALUE"""),"inspireolinda@gmail.com")</f>
        <v>inspireolinda@gmail.com</v>
      </c>
      <c r="K469" s="27" t="str">
        <f ca="1">IFERROR(__xludf.DUMMYFUNCTION("""COMPUTED_VALUE"""),"(81)99763-0905")</f>
        <v>(81)99763-0905</v>
      </c>
      <c r="L469" s="27" t="str">
        <f ca="1">IFERROR(__xludf.DUMMYFUNCTION("""COMPUTED_VALUE"""),"PE")</f>
        <v>PE</v>
      </c>
      <c r="M469" s="27" t="str">
        <f ca="1">IFERROR(__xludf.DUMMYFUNCTION("""COMPUTED_VALUE"""),"Av Sigismundo Gonçalves")</f>
        <v>Av Sigismundo Gonçalves</v>
      </c>
      <c r="N469" s="27" t="str">
        <f ca="1">IFERROR(__xludf.DUMMYFUNCTION("""COMPUTED_VALUE"""),"Casa Caiada")</f>
        <v>Casa Caiada</v>
      </c>
      <c r="O469" s="27" t="str">
        <f ca="1">IFERROR(__xludf.DUMMYFUNCTION("""COMPUTED_VALUE"""),"(81)99763-0905")</f>
        <v>(81)99763-0905</v>
      </c>
      <c r="P469" s="27" t="str">
        <f ca="1">IFERROR(__xludf.DUMMYFUNCTION("""COMPUTED_VALUE"""),"Olinda")</f>
        <v>Olinda</v>
      </c>
      <c r="Q469" s="27" t="str">
        <f ca="1">IFERROR(__xludf.DUMMYFUNCTION("""COMPUTED_VALUE"""),"apto 106")</f>
        <v>apto 106</v>
      </c>
      <c r="R469" s="27" t="str">
        <f ca="1">IFERROR(__xludf.DUMMYFUNCTION("""COMPUTED_VALUE"""),"53010-240")</f>
        <v>53010-240</v>
      </c>
      <c r="S469" s="27"/>
      <c r="T469" s="27" t="str">
        <f ca="1">IFERROR(__xludf.DUMMYFUNCTION("""COMPUTED_VALUE"""),"Educação; Qualificação Profissional; Desenvolvimento comunitário")</f>
        <v>Educação; Qualificação Profissional; Desenvolvimento comunitário</v>
      </c>
      <c r="U469" s="27" t="str">
        <f ca="1">IFERROR(__xludf.DUMMYFUNCTION("""COMPUTED_VALUE"""),"Crianças (6 a 12 anos); Adolescentes (12 aos 18 anos); Jovens (18 aos 24 anos); Adultos")</f>
        <v>Crianças (6 a 12 anos); Adolescentes (12 aos 18 anos); Jovens (18 aos 24 anos); Adultos</v>
      </c>
      <c r="V469" s="27" t="str">
        <f ca="1">IFERROR(__xludf.DUMMYFUNCTION("""COMPUTED_VALUE"""),"Moradores de Favelas")</f>
        <v>Moradores de Favelas</v>
      </c>
      <c r="W469" s="27">
        <f ca="1">IFERROR(__xludf.DUMMYFUNCTION("""COMPUTED_VALUE"""),15)</f>
        <v>15</v>
      </c>
      <c r="X469" s="27" t="str">
        <f ca="1">IFERROR(__xludf.DUMMYFUNCTION("""COMPUTED_VALUE"""),"Famílias de baixa renda em extrema vulnerabilidade social maioria morador de invasão")</f>
        <v>Famílias de baixa renda em extrema vulnerabilidade social maioria morador de invasão</v>
      </c>
      <c r="Y469" s="27">
        <f ca="1">IFERROR(__xludf.DUMMYFUNCTION("""COMPUTED_VALUE"""),900)</f>
        <v>900</v>
      </c>
      <c r="Z469" s="27">
        <f ca="1">IFERROR(__xludf.DUMMYFUNCTION("""COMPUTED_VALUE"""),2250)</f>
        <v>2250</v>
      </c>
      <c r="AA469" s="30">
        <f ca="1">IFERROR(__xludf.DUMMYFUNCTION("""COMPUTED_VALUE"""),43400)</f>
        <v>43400</v>
      </c>
      <c r="AB469" s="27" t="str">
        <f ca="1">IFERROR(__xludf.DUMMYFUNCTION("""COMPUTED_VALUE"""),"Sim")</f>
        <v>Sim</v>
      </c>
      <c r="AC469" s="27">
        <f ca="1">IFERROR(__xludf.DUMMYFUNCTION("""COMPUTED_VALUE"""),6)</f>
        <v>6</v>
      </c>
      <c r="AD469" s="27">
        <f ca="1">IFERROR(__xludf.DUMMYFUNCTION("""COMPUTED_VALUE"""),2)</f>
        <v>2</v>
      </c>
      <c r="AE469" s="27">
        <f ca="1">IFERROR(__xludf.DUMMYFUNCTION("""COMPUTED_VALUE"""),15)</f>
        <v>15</v>
      </c>
      <c r="AF469" s="27">
        <f ca="1">IFERROR(__xludf.DUMMYFUNCTION("""COMPUTED_VALUE"""),15)</f>
        <v>15</v>
      </c>
      <c r="AG469" s="27">
        <f ca="1">IFERROR(__xludf.DUMMYFUNCTION("""COMPUTED_VALUE"""),2)</f>
        <v>2</v>
      </c>
      <c r="AH469" s="27" t="str">
        <f ca="1">IFERROR(__xludf.DUMMYFUNCTION("""COMPUTED_VALUE"""),"Eventos/Ações para captação; Doações")</f>
        <v>Eventos/Ações para captação; Doações</v>
      </c>
      <c r="AI469" s="27">
        <f ca="1">IFERROR(__xludf.DUMMYFUNCTION("""COMPUTED_VALUE"""),0)</f>
        <v>0</v>
      </c>
      <c r="AJ469" s="27" t="str">
        <f ca="1">IFERROR(__xludf.DUMMYFUNCTION("""COMPUTED_VALUE"""),"Não")</f>
        <v>Não</v>
      </c>
      <c r="AK469" s="27" t="str">
        <f ca="1">IFERROR(__xludf.DUMMYFUNCTION("""COMPUTED_VALUE"""),"Não")</f>
        <v>Não</v>
      </c>
      <c r="AL469" s="21" t="str">
        <f ca="1">IFERROR(__xludf.DUMMYFUNCTION("""COMPUTED_VALUE"""),"0034P000043fOo8")</f>
        <v>0034P000043fOo8</v>
      </c>
      <c r="AM469" s="27" t="str">
        <f ca="1">IFERROR(__xludf.DUMMYFUNCTION("""COMPUTED_VALUE"""),"Maria Pessoa Maranhao De Lima")</f>
        <v>Maria Pessoa Maranhao De Lima</v>
      </c>
      <c r="AN469" s="27" t="str">
        <f ca="1">IFERROR(__xludf.DUMMYFUNCTION("""COMPUTED_VALUE"""),"Ativo")</f>
        <v>Ativo</v>
      </c>
      <c r="AO469" s="29">
        <f ca="1">IFERROR(__xludf.DUMMYFUNCTION("""COMPUTED_VALUE"""),44432)</f>
        <v>44432</v>
      </c>
      <c r="AP469" s="27">
        <f ca="1">IFERROR(__xludf.DUMMYFUNCTION("""COMPUTED_VALUE"""),13)</f>
        <v>13</v>
      </c>
      <c r="AQ469" s="27" t="str">
        <f ca="1">IFERROR(__xludf.DUMMYFUNCTION("""COMPUTED_VALUE"""),"Primeiro Semestre 2021")</f>
        <v>Primeiro Semestre 2021</v>
      </c>
      <c r="AR469" s="27" t="str">
        <f ca="1">IFERROR(__xludf.DUMMYFUNCTION("""COMPUTED_VALUE"""),"robertamaranhao.pe@gmail.com")</f>
        <v>robertamaranhao.pe@gmail.com</v>
      </c>
      <c r="AS469" s="27" t="str">
        <f ca="1">IFERROR(__xludf.DUMMYFUNCTION("""COMPUTED_VALUE"""),"(81)99763-0905")</f>
        <v>(81)99763-0905</v>
      </c>
      <c r="AT469" s="29">
        <f ca="1">IFERROR(__xludf.DUMMYFUNCTION("""COMPUTED_VALUE"""),28614)</f>
        <v>28614</v>
      </c>
      <c r="AU469" s="27">
        <f ca="1">IFERROR(__xludf.DUMMYFUNCTION("""COMPUTED_VALUE"""),44)</f>
        <v>44</v>
      </c>
      <c r="AV469" s="27">
        <f ca="1">IFERROR(__xludf.DUMMYFUNCTION("""COMPUTED_VALUE"""),3204870405)</f>
        <v>3204870405</v>
      </c>
      <c r="AW469" s="27">
        <f ca="1">IFERROR(__xludf.DUMMYFUNCTION("""COMPUTED_VALUE"""),4727447)</f>
        <v>4727447</v>
      </c>
      <c r="AX469" s="27" t="str">
        <f ca="1">IFERROR(__xludf.DUMMYFUNCTION("""COMPUTED_VALUE"""),"Pós Gestão De Pessoas E Bacharel Design Gráfico")</f>
        <v>Pós Gestão De Pessoas E Bacharel Design Gráfico</v>
      </c>
      <c r="AY469" s="27" t="str">
        <f ca="1">IFERROR(__xludf.DUMMYFUNCTION("""COMPUTED_VALUE"""),"Líder Social")</f>
        <v>Líder Social</v>
      </c>
      <c r="AZ469" s="27" t="str">
        <f ca="1">IFERROR(__xludf.DUMMYFUNCTION("""COMPUTED_VALUE"""),"G")</f>
        <v>G</v>
      </c>
      <c r="BA469" s="27" t="str">
        <f ca="1">IFERROR(__xludf.DUMMYFUNCTION("""COMPUTED_VALUE"""),"Branca")</f>
        <v>Branca</v>
      </c>
      <c r="BB469" s="27"/>
      <c r="BC469" s="27" t="str">
        <f ca="1">IFERROR(__xludf.DUMMYFUNCTION("""COMPUTED_VALUE"""),"Sim")</f>
        <v>Sim</v>
      </c>
      <c r="BD469" s="27" t="str">
        <f ca="1">IFERROR(__xludf.DUMMYFUNCTION("""COMPUTED_VALUE"""),"43 anos, moradora de Olinda e apaixonada pela sua cidade. Mãe de Lucas, 16 anos. Em 2018 fundou o Movimento Inspire para realizar ações sociais e até Julho de 2019 atuou sem objetivo definido. Até então, desconhecia a realidade de milhares de olindenses. "&amp;"Ao entrar pela primeira vez em uma favela, descobriu seu propósito de vida: ACABAR COM A MISÉRIA. Formou-se pela Falcons University e trouxe para Pernambuco a primeira franquia social da GF. Hoje, dedica-se exclusivamente ao propósito.")</f>
        <v>43 anos, moradora de Olinda e apaixonada pela sua cidade. Mãe de Lucas, 16 anos. Em 2018 fundou o Movimento Inspire para realizar ações sociais e até Julho de 2019 atuou sem objetivo definido. Até então, desconhecia a realidade de milhares de olindenses. Ao entrar pela primeira vez em uma favela, descobriu seu propósito de vida: ACABAR COM A MISÉRIA. Formou-se pela Falcons University e trouxe para Pernambuco a primeira franquia social da GF. Hoje, dedica-se exclusivamente ao propósito.</v>
      </c>
      <c r="BE469" s="27" t="str">
        <f ca="1">IFERROR(__xludf.DUMMYFUNCTION("""COMPUTED_VALUE"""),"Feminino")</f>
        <v>Feminino</v>
      </c>
      <c r="BF469" s="27" t="str">
        <f ca="1">IFERROR(__xludf.DUMMYFUNCTION("""COMPUTED_VALUE"""),"Heterossexual")</f>
        <v>Heterossexual</v>
      </c>
      <c r="BG469" s="27" t="str">
        <f ca="1">IFERROR(__xludf.DUMMYFUNCTION("""COMPUTED_VALUE"""),"Ensino Superior - Completo")</f>
        <v>Ensino Superior - Completo</v>
      </c>
      <c r="BH469" s="27"/>
      <c r="BI469" s="27" t="str">
        <f ca="1">IFERROR(__xludf.DUMMYFUNCTION("""COMPUTED_VALUE"""),"Pós-Graduação")</f>
        <v>Pós-Graduação</v>
      </c>
      <c r="BJ469" s="27" t="str">
        <f ca="1">IFERROR(__xludf.DUMMYFUNCTION("""COMPUTED_VALUE"""),"Público")</f>
        <v>Público</v>
      </c>
      <c r="BK469" s="27" t="str">
        <f ca="1">IFERROR(__xludf.DUMMYFUNCTION("""COMPUTED_VALUE"""),"Rua Ulisses Tenório de Albuquerque")</f>
        <v>Rua Ulisses Tenório de Albuquerque</v>
      </c>
      <c r="BL469" s="27">
        <f ca="1">IFERROR(__xludf.DUMMYFUNCTION("""COMPUTED_VALUE"""),83)</f>
        <v>83</v>
      </c>
      <c r="BM469" s="27" t="str">
        <f ca="1">IFERROR(__xludf.DUMMYFUNCTION("""COMPUTED_VALUE"""),"Apto 106")</f>
        <v>Apto 106</v>
      </c>
      <c r="BN469" s="27" t="str">
        <f ca="1">IFERROR(__xludf.DUMMYFUNCTION("""COMPUTED_VALUE"""),"Olinda")</f>
        <v>Olinda</v>
      </c>
      <c r="BO469" s="27" t="str">
        <f ca="1">IFERROR(__xludf.DUMMYFUNCTION("""COMPUTED_VALUE"""),"53130-510")</f>
        <v>53130-510</v>
      </c>
      <c r="BP469" s="27" t="str">
        <f ca="1">IFERROR(__xludf.DUMMYFUNCTION("""COMPUTED_VALUE"""),"PE")</f>
        <v>PE</v>
      </c>
      <c r="BQ469" s="27" t="str">
        <f ca="1">IFERROR(__xludf.DUMMYFUNCTION("""COMPUTED_VALUE"""),"Entre 1 até 3 salários mínimos")</f>
        <v>Entre 1 até 3 salários mínimos</v>
      </c>
      <c r="BR469" s="27" t="str">
        <f ca="1">IFERROR(__xludf.DUMMYFUNCTION("""COMPUTED_VALUE"""),"Funcionário Público")</f>
        <v>Funcionário Público</v>
      </c>
      <c r="BS469" s="27" t="str">
        <f ca="1">IFERROR(__xludf.DUMMYFUNCTION("""COMPUTED_VALUE"""),"Aluguel")</f>
        <v>Aluguel</v>
      </c>
      <c r="BT469" s="27">
        <f ca="1">IFERROR(__xludf.DUMMYFUNCTION("""COMPUTED_VALUE"""),2)</f>
        <v>2</v>
      </c>
      <c r="BU469" s="27"/>
      <c r="BV469" s="27"/>
      <c r="BW469" s="21" t="str">
        <f ca="1">IFERROR(__xludf.DUMMYFUNCTION("""COMPUTED_VALUE"""),"robertamaranhao.pe")</f>
        <v>robertamaranhao.pe</v>
      </c>
      <c r="BX469" s="27" t="str">
        <f ca="1">IFERROR(__xludf.DUMMYFUNCTION("""COMPUTED_VALUE"""),"/roberta_inspire")</f>
        <v>/roberta_inspire</v>
      </c>
      <c r="BY469" s="21" t="str">
        <f ca="1">IFERROR(__xludf.DUMMYFUNCTION("""COMPUTED_VALUE"""),"https://drive.google.com/open?id=1-Lys8KRyJab7v9y6Vry3eNjJLwmnS8GO")</f>
        <v>https://drive.google.com/open?id=1-Lys8KRyJab7v9y6Vry3eNjJLwmnS8GO</v>
      </c>
    </row>
    <row r="470" spans="1:77" ht="12.5" x14ac:dyDescent="0.25">
      <c r="A470" s="21" t="str">
        <f ca="1">IFERROR(__xludf.DUMMYFUNCTION("""COMPUTED_VALUE"""),"0014P00003YSp9zQAD")</f>
        <v>0014P00003YSp9zQAD</v>
      </c>
      <c r="B470" s="27" t="str">
        <f ca="1">IFERROR(__xludf.DUMMYFUNCTION("""COMPUTED_VALUE"""),"Fase Inicial")</f>
        <v>Fase Inicial</v>
      </c>
      <c r="C470" s="27" t="str">
        <f ca="1">IFERROR(__xludf.DUMMYFUNCTION("""COMPUTED_VALUE"""),"Fellow")</f>
        <v>Fellow</v>
      </c>
      <c r="D470" s="27" t="str">
        <f ca="1">IFERROR(__xludf.DUMMYFUNCTION("""COMPUTED_VALUE"""),"Ativo")</f>
        <v>Ativo</v>
      </c>
      <c r="E470" s="27" t="str">
        <f ca="1">IFERROR(__xludf.DUMMYFUNCTION("""COMPUTED_VALUE"""),"MOVIMENTO SOCIAL E CULTURAL CORES DO AMANHÃ")</f>
        <v>MOVIMENTO SOCIAL E CULTURAL CORES DO AMANHÃ</v>
      </c>
      <c r="F470" s="27" t="str">
        <f ca="1">IFERROR(__xludf.DUMMYFUNCTION("""COMPUTED_VALUE"""),"Jouse")</f>
        <v>Jouse</v>
      </c>
      <c r="G470" s="27"/>
      <c r="H470" s="27" t="str">
        <f ca="1">IFERROR(__xludf.DUMMYFUNCTION("""COMPUTED_VALUE"""),"13.449.687/0001-99")</f>
        <v>13.449.687/0001-99</v>
      </c>
      <c r="I470" s="27" t="str">
        <f ca="1">IFERROR(__xludf.DUMMYFUNCTION("""COMPUTED_VALUE"""),"Jouse Barata de Queiroz")</f>
        <v>Jouse Barata de Queiroz</v>
      </c>
      <c r="J470" s="27" t="str">
        <f ca="1">IFERROR(__xludf.DUMMYFUNCTION("""COMPUTED_VALUE"""),"movimentoculturalcoresdoamanha@gmail.com")</f>
        <v>movimentoculturalcoresdoamanha@gmail.com</v>
      </c>
      <c r="K470" s="27" t="str">
        <f ca="1">IFERROR(__xludf.DUMMYFUNCTION("""COMPUTED_VALUE"""),"(81)98876-3593")</f>
        <v>(81)98876-3593</v>
      </c>
      <c r="L470" s="27" t="str">
        <f ca="1">IFERROR(__xludf.DUMMYFUNCTION("""COMPUTED_VALUE"""),"PE")</f>
        <v>PE</v>
      </c>
      <c r="M470" s="27" t="str">
        <f ca="1">IFERROR(__xludf.DUMMYFUNCTION("""COMPUTED_VALUE"""),"Garota de Ipanema 03")</f>
        <v>Garota de Ipanema 03</v>
      </c>
      <c r="N470" s="27" t="str">
        <f ca="1">IFERROR(__xludf.DUMMYFUNCTION("""COMPUTED_VALUE"""),"SANCHO")</f>
        <v>SANCHO</v>
      </c>
      <c r="O470" s="27">
        <f ca="1">IFERROR(__xludf.DUMMYFUNCTION("""COMPUTED_VALUE"""),3)</f>
        <v>3</v>
      </c>
      <c r="P470" s="27" t="str">
        <f ca="1">IFERROR(__xludf.DUMMYFUNCTION("""COMPUTED_VALUE"""),"Recife")</f>
        <v>Recife</v>
      </c>
      <c r="Q470" s="27"/>
      <c r="R470" s="27" t="str">
        <f ca="1">IFERROR(__xludf.DUMMYFUNCTION("""COMPUTED_VALUE"""),"50920-680")</f>
        <v>50920-680</v>
      </c>
      <c r="S470" s="27"/>
      <c r="T470" s="27" t="str">
        <f ca="1">IFERROR(__xludf.DUMMYFUNCTION("""COMPUTED_VALUE"""),"Esporte; Educação; Empregabilidade; Assistência Social; Cultura; Qualificação Profissional; Empreendedorismo; Saúde; Meio ambiente; Empoderamento Feminino; Defesa de Direitos; Assistência Psicológica; Desenvolvimento comunitário")</f>
        <v>Esporte; Educação; Empregabilidade; Assistência Social; Cultura; Qualificação Profissional; Empreendedorismo; Saúde; Meio ambiente; Empoderamento Feminino; Defesa de Direitos; Assistência Psicológica; Desenvolvimento comunitário</v>
      </c>
      <c r="U470"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470" s="27" t="str">
        <f ca="1">IFERROR(__xludf.DUMMYFUNCTION("""COMPUTED_VALUE"""),"Moradores de Favelas; Pessoas em situação de rua; População LGBTQ+; Dependentes Químicos; Egressos sistema carcerário; Ribeirinhos; Outros")</f>
        <v>Moradores de Favelas; Pessoas em situação de rua; População LGBTQ+; Dependentes Químicos; Egressos sistema carcerário; Ribeirinhos; Outros</v>
      </c>
      <c r="W470" s="27">
        <f ca="1">IFERROR(__xludf.DUMMYFUNCTION("""COMPUTED_VALUE"""),16)</f>
        <v>16</v>
      </c>
      <c r="X470" s="27" t="str">
        <f ca="1">IFERROR(__xludf.DUMMYFUNCTION("""COMPUTED_VALUE"""),"Atendemos todos os bairros no entorno do presidio em sua grande maioria todas da RPA 5 em Recife são areas consideradas de risco ou favelas. O cores tem um espaço físico no sancho mas também atende de forma itinerante em outras localidades dentro do estad"&amp;"o.")</f>
        <v>Atendemos todos os bairros no entorno do presidio em sua grande maioria todas da RPA 5 em Recife são areas consideradas de risco ou favelas. O cores tem um espaço físico no sancho mas também atende de forma itinerante em outras localidades dentro do estado.</v>
      </c>
      <c r="Y470" s="27"/>
      <c r="Z470" s="27">
        <f ca="1">IFERROR(__xludf.DUMMYFUNCTION("""COMPUTED_VALUE"""),8000)</f>
        <v>8000</v>
      </c>
      <c r="AA470" s="29">
        <f ca="1">IFERROR(__xludf.DUMMYFUNCTION("""COMPUTED_VALUE"""),39902)</f>
        <v>39902</v>
      </c>
      <c r="AB470" s="27" t="str">
        <f ca="1">IFERROR(__xludf.DUMMYFUNCTION("""COMPUTED_VALUE"""),"Sim")</f>
        <v>Sim</v>
      </c>
      <c r="AC470" s="27">
        <f ca="1">IFERROR(__xludf.DUMMYFUNCTION("""COMPUTED_VALUE"""),0)</f>
        <v>0</v>
      </c>
      <c r="AD470" s="27">
        <f ca="1">IFERROR(__xludf.DUMMYFUNCTION("""COMPUTED_VALUE"""),0)</f>
        <v>0</v>
      </c>
      <c r="AE470" s="27">
        <f ca="1">IFERROR(__xludf.DUMMYFUNCTION("""COMPUTED_VALUE"""),85)</f>
        <v>85</v>
      </c>
      <c r="AF470" s="27">
        <f ca="1">IFERROR(__xludf.DUMMYFUNCTION("""COMPUTED_VALUE"""),65)</f>
        <v>65</v>
      </c>
      <c r="AG470" s="27">
        <f ca="1">IFERROR(__xludf.DUMMYFUNCTION("""COMPUTED_VALUE"""),2)</f>
        <v>2</v>
      </c>
      <c r="AH470" s="27" t="str">
        <f ca="1">IFERROR(__xludf.DUMMYFUNCTION("""COMPUTED_VALUE"""),"Eventos/Ações para captação; Editais")</f>
        <v>Eventos/Ações para captação; Editais</v>
      </c>
      <c r="AI470" s="27" t="str">
        <f ca="1">IFERROR(__xludf.DUMMYFUNCTION("""COMPUTED_VALUE"""),"Não")</f>
        <v>Não</v>
      </c>
      <c r="AJ470" s="27"/>
      <c r="AK470" s="27"/>
      <c r="AL470" s="21" t="str">
        <f ca="1">IFERROR(__xludf.DUMMYFUNCTION("""COMPUTED_VALUE"""),"0034P000045kxkb")</f>
        <v>0034P000045kxkb</v>
      </c>
      <c r="AM470" s="27" t="str">
        <f ca="1">IFERROR(__xludf.DUMMYFUNCTION("""COMPUTED_VALUE"""),"Barata De Queiroz")</f>
        <v>Barata De Queiroz</v>
      </c>
      <c r="AN470" s="27" t="str">
        <f ca="1">IFERROR(__xludf.DUMMYFUNCTION("""COMPUTED_VALUE"""),"Ativo")</f>
        <v>Ativo</v>
      </c>
      <c r="AO470" s="30">
        <f ca="1">IFERROR(__xludf.DUMMYFUNCTION("""COMPUTED_VALUE"""),44551)</f>
        <v>44551</v>
      </c>
      <c r="AP470" s="27">
        <f ca="1">IFERROR(__xludf.DUMMYFUNCTION("""COMPUTED_VALUE"""),9)</f>
        <v>9</v>
      </c>
      <c r="AQ470" s="27" t="str">
        <f ca="1">IFERROR(__xludf.DUMMYFUNCTION("""COMPUTED_VALUE"""),"Segundo Semestre 2021")</f>
        <v>Segundo Semestre 2021</v>
      </c>
      <c r="AR470" s="27" t="str">
        <f ca="1">IFERROR(__xludf.DUMMYFUNCTION("""COMPUTED_VALUE"""),"movimentoculturalcoresdoamanha@gmail.com")</f>
        <v>movimentoculturalcoresdoamanha@gmail.com</v>
      </c>
      <c r="AS470" s="27" t="str">
        <f ca="1">IFERROR(__xludf.DUMMYFUNCTION("""COMPUTED_VALUE"""),"(81)98876-3593")</f>
        <v>(81)98876-3593</v>
      </c>
      <c r="AT470" s="29">
        <f ca="1">IFERROR(__xludf.DUMMYFUNCTION("""COMPUTED_VALUE"""),30259)</f>
        <v>30259</v>
      </c>
      <c r="AU470" s="27">
        <f ca="1">IFERROR(__xludf.DUMMYFUNCTION("""COMPUTED_VALUE"""),40)</f>
        <v>40</v>
      </c>
      <c r="AV470" s="27">
        <f ca="1">IFERROR(__xludf.DUMMYFUNCTION("""COMPUTED_VALUE"""),1085465438)</f>
        <v>1085465438</v>
      </c>
      <c r="AW470" s="27">
        <f ca="1">IFERROR(__xludf.DUMMYFUNCTION("""COMPUTED_VALUE"""),5905772)</f>
        <v>5905772</v>
      </c>
      <c r="AX470" s="27"/>
      <c r="AY470" s="27"/>
      <c r="AZ470" s="27" t="str">
        <f ca="1">IFERROR(__xludf.DUMMYFUNCTION("""COMPUTED_VALUE"""),"GG")</f>
        <v>GG</v>
      </c>
      <c r="BA470" s="27" t="str">
        <f ca="1">IFERROR(__xludf.DUMMYFUNCTION("""COMPUTED_VALUE"""),"Parda")</f>
        <v>Parda</v>
      </c>
      <c r="BB470" s="27" t="str">
        <f ca="1">IFERROR(__xludf.DUMMYFUNCTION("""COMPUTED_VALUE"""),"Mulher, cisgênero")</f>
        <v>Mulher, cisgênero</v>
      </c>
      <c r="BC470" s="27" t="str">
        <f ca="1">IFERROR(__xludf.DUMMYFUNCTION("""COMPUTED_VALUE"""),"Sim")</f>
        <v>Sim</v>
      </c>
      <c r="BD470" s="27" t="str">
        <f ca="1">IFERROR(__xludf.DUMMYFUNCTION("""COMPUTED_VALUE"""),"Jouse Barata é arte educadora, turismóloga e grafiteira, presidente do movimento Cores do Amanhã e grupo Cores femininas")</f>
        <v>Jouse Barata é arte educadora, turismóloga e grafiteira, presidente do movimento Cores do Amanhã e grupo Cores femininas</v>
      </c>
      <c r="BE470" s="27"/>
      <c r="BF470" s="27" t="str">
        <f ca="1">IFERROR(__xludf.DUMMYFUNCTION("""COMPUTED_VALUE"""),"Heterossexual")</f>
        <v>Heterossexual</v>
      </c>
      <c r="BG470" s="27" t="str">
        <f ca="1">IFERROR(__xludf.DUMMYFUNCTION("""COMPUTED_VALUE"""),"Ensino Superior - Completo")</f>
        <v>Ensino Superior - Completo</v>
      </c>
      <c r="BH470" s="27" t="str">
        <f ca="1">IFERROR(__xludf.DUMMYFUNCTION("""COMPUTED_VALUE"""),"Público")</f>
        <v>Público</v>
      </c>
      <c r="BI470" s="27" t="str">
        <f ca="1">IFERROR(__xludf.DUMMYFUNCTION("""COMPUTED_VALUE"""),"Graduação")</f>
        <v>Graduação</v>
      </c>
      <c r="BJ470" s="27" t="str">
        <f ca="1">IFERROR(__xludf.DUMMYFUNCTION("""COMPUTED_VALUE"""),"Privado")</f>
        <v>Privado</v>
      </c>
      <c r="BK470" s="27" t="str">
        <f ca="1">IFERROR(__xludf.DUMMYFUNCTION("""COMPUTED_VALUE"""),"Carolina Martins Sobral")</f>
        <v>Carolina Martins Sobral</v>
      </c>
      <c r="BL470" s="27">
        <f ca="1">IFERROR(__xludf.DUMMYFUNCTION("""COMPUTED_VALUE"""),71)</f>
        <v>71</v>
      </c>
      <c r="BM470" s="27" t="str">
        <f ca="1">IFERROR(__xludf.DUMMYFUNCTION("""COMPUTED_VALUE"""),"Antiga rua G")</f>
        <v>Antiga rua G</v>
      </c>
      <c r="BN470" s="27" t="str">
        <f ca="1">IFERROR(__xludf.DUMMYFUNCTION("""COMPUTED_VALUE"""),"Recife")</f>
        <v>Recife</v>
      </c>
      <c r="BO470" s="27" t="str">
        <f ca="1">IFERROR(__xludf.DUMMYFUNCTION("""COMPUTED_VALUE"""),"50920-832")</f>
        <v>50920-832</v>
      </c>
      <c r="BP470" s="27" t="str">
        <f ca="1">IFERROR(__xludf.DUMMYFUNCTION("""COMPUTED_VALUE"""),"PE")</f>
        <v>PE</v>
      </c>
      <c r="BQ470" s="27" t="str">
        <f ca="1">IFERROR(__xludf.DUMMYFUNCTION("""COMPUTED_VALUE"""),"Entre 1 até 3 salários mínimos")</f>
        <v>Entre 1 até 3 salários mínimos</v>
      </c>
      <c r="BR470" s="27" t="str">
        <f ca="1">IFERROR(__xludf.DUMMYFUNCTION("""COMPUTED_VALUE"""),"Desempregado")</f>
        <v>Desempregado</v>
      </c>
      <c r="BS470" s="27" t="str">
        <f ca="1">IFERROR(__xludf.DUMMYFUNCTION("""COMPUTED_VALUE"""),"Casa cedida")</f>
        <v>Casa cedida</v>
      </c>
      <c r="BT470" s="27">
        <f ca="1">IFERROR(__xludf.DUMMYFUNCTION("""COMPUTED_VALUE"""),3)</f>
        <v>3</v>
      </c>
      <c r="BU470" s="27" t="str">
        <f ca="1">IFERROR(__xludf.DUMMYFUNCTION("""COMPUTED_VALUE"""),"Não tem")</f>
        <v>Não tem</v>
      </c>
      <c r="BV470" s="27"/>
      <c r="BW470" s="27" t="str">
        <f ca="1">IFERROR(__xludf.DUMMYFUNCTION("""COMPUTED_VALUE"""),"Não tem")</f>
        <v>Não tem</v>
      </c>
      <c r="BX470" s="27" t="str">
        <f ca="1">IFERROR(__xludf.DUMMYFUNCTION("""COMPUTED_VALUE"""),"@jousebarata")</f>
        <v>@jousebarata</v>
      </c>
      <c r="BY470" s="21" t="str">
        <f ca="1">IFERROR(__xludf.DUMMYFUNCTION("""COMPUTED_VALUE"""),"https://drive.google.com/open?id=1J4W7qCOEiSAjT49HUy1qeLgAGaugVMmn")</f>
        <v>https://drive.google.com/open?id=1J4W7qCOEiSAjT49HUy1qeLgAGaugVMmn</v>
      </c>
    </row>
    <row r="471" spans="1:77" ht="12.5" x14ac:dyDescent="0.25">
      <c r="A471" s="21" t="str">
        <f ca="1">IFERROR(__xludf.DUMMYFUNCTION("""COMPUTED_VALUE"""),"0014X00002VKCrKQAX")</f>
        <v>0014X00002VKCrKQAX</v>
      </c>
      <c r="B471" s="27" t="str">
        <f ca="1">IFERROR(__xludf.DUMMYFUNCTION("""COMPUTED_VALUE"""),"Fase Inicial")</f>
        <v>Fase Inicial</v>
      </c>
      <c r="C471" s="27" t="str">
        <f ca="1">IFERROR(__xludf.DUMMYFUNCTION("""COMPUTED_VALUE"""),"Fellow")</f>
        <v>Fellow</v>
      </c>
      <c r="D471" s="27" t="str">
        <f ca="1">IFERROR(__xludf.DUMMYFUNCTION("""COMPUTED_VALUE"""),"Ativo")</f>
        <v>Ativo</v>
      </c>
      <c r="E471" s="27" t="str">
        <f ca="1">IFERROR(__xludf.DUMMYFUNCTION("""COMPUTED_VALUE"""),"MUCA - Mulheres Unidas do Caratoira")</f>
        <v>MUCA - Mulheres Unidas do Caratoira</v>
      </c>
      <c r="F471" s="27" t="str">
        <f ca="1">IFERROR(__xludf.DUMMYFUNCTION("""COMPUTED_VALUE"""),"Winy")</f>
        <v>Winy</v>
      </c>
      <c r="G471" s="27" t="str">
        <f ca="1">IFERROR(__xludf.DUMMYFUNCTION("""COMPUTED_VALUE"""),"MUCA")</f>
        <v>MUCA</v>
      </c>
      <c r="H471" s="27"/>
      <c r="I471" s="27" t="str">
        <f ca="1">IFERROR(__xludf.DUMMYFUNCTION("""COMPUTED_VALUE"""),"Winy da Vitória Fabiano de Oliveira")</f>
        <v>Winy da Vitória Fabiano de Oliveira</v>
      </c>
      <c r="J471" s="27" t="str">
        <f ca="1">IFERROR(__xludf.DUMMYFUNCTION("""COMPUTED_VALUE"""),"mulheresunidasdocaratoira@gmail.com")</f>
        <v>mulheresunidasdocaratoira@gmail.com</v>
      </c>
      <c r="K471" s="27" t="str">
        <f ca="1">IFERROR(__xludf.DUMMYFUNCTION("""COMPUTED_VALUE"""),"(27)99752-2458")</f>
        <v>(27)99752-2458</v>
      </c>
      <c r="L471" s="27" t="str">
        <f ca="1">IFERROR(__xludf.DUMMYFUNCTION("""COMPUTED_VALUE"""),"ES")</f>
        <v>ES</v>
      </c>
      <c r="M471" s="27" t="str">
        <f ca="1">IFERROR(__xludf.DUMMYFUNCTION("""COMPUTED_VALUE"""),"Escadaria Alarico Pereira do Sacramento")</f>
        <v>Escadaria Alarico Pereira do Sacramento</v>
      </c>
      <c r="N471" s="27" t="str">
        <f ca="1">IFERROR(__xludf.DUMMYFUNCTION("""COMPUTED_VALUE"""),"Caratoira")</f>
        <v>Caratoira</v>
      </c>
      <c r="O471" s="27">
        <f ca="1">IFERROR(__xludf.DUMMYFUNCTION("""COMPUTED_VALUE"""),14)</f>
        <v>14</v>
      </c>
      <c r="P471" s="27" t="str">
        <f ca="1">IFERROR(__xludf.DUMMYFUNCTION("""COMPUTED_VALUE"""),"Vitória")</f>
        <v>Vitória</v>
      </c>
      <c r="Q471" s="27" t="str">
        <f ca="1">IFERROR(__xludf.DUMMYFUNCTION("""COMPUTED_VALUE"""),"casa de winy/braz")</f>
        <v>casa de winy/braz</v>
      </c>
      <c r="R471" s="27" t="str">
        <f ca="1">IFERROR(__xludf.DUMMYFUNCTION("""COMPUTED_VALUE"""),"29025-646")</f>
        <v>29025-646</v>
      </c>
      <c r="S471" s="27" t="str">
        <f ca="1">IFERROR(__xludf.DUMMYFUNCTION("""COMPUTED_VALUE"""),"Produtora Cultural")</f>
        <v>Produtora Cultural</v>
      </c>
      <c r="T471" s="27"/>
      <c r="U471" s="27" t="str">
        <f ca="1">IFERROR(__xludf.DUMMYFUNCTION("""COMPUTED_VALUE"""),"Adolescentes (12 aos 18 anos), Jovens (18 aos 24 anos), Adultos, Idosos (60 anos ou mais)")</f>
        <v>Adolescentes (12 aos 18 anos), Jovens (18 aos 24 anos), Adultos, Idosos (60 anos ou mais)</v>
      </c>
      <c r="V471" s="27" t="str">
        <f ca="1">IFERROR(__xludf.DUMMYFUNCTION("""COMPUTED_VALUE"""),"Moradores de Favelas, População LGBTQ+, Afrodescendentes, Egressos sistema carcerário")</f>
        <v>Moradores de Favelas, População LGBTQ+, Afrodescendentes, Egressos sistema carcerário</v>
      </c>
      <c r="W471" s="27">
        <f ca="1">IFERROR(__xludf.DUMMYFUNCTION("""COMPUTED_VALUE"""),1)</f>
        <v>1</v>
      </c>
      <c r="X471" s="27"/>
      <c r="Y471" s="27"/>
      <c r="Z471" s="27">
        <f ca="1">IFERROR(__xludf.DUMMYFUNCTION("""COMPUTED_VALUE"""),200)</f>
        <v>200</v>
      </c>
      <c r="AA471" s="29">
        <f ca="1">IFERROR(__xludf.DUMMYFUNCTION("""COMPUTED_VALUE"""),42782)</f>
        <v>42782</v>
      </c>
      <c r="AB471" s="27" t="str">
        <f ca="1">IFERROR(__xludf.DUMMYFUNCTION("""COMPUTED_VALUE"""),"Não")</f>
        <v>Não</v>
      </c>
      <c r="AC471" s="27">
        <f ca="1">IFERROR(__xludf.DUMMYFUNCTION("""COMPUTED_VALUE"""),7)</f>
        <v>7</v>
      </c>
      <c r="AD471" s="27">
        <f ca="1">IFERROR(__xludf.DUMMYFUNCTION("""COMPUTED_VALUE"""),5)</f>
        <v>5</v>
      </c>
      <c r="AE471" s="27">
        <f ca="1">IFERROR(__xludf.DUMMYFUNCTION("""COMPUTED_VALUE"""),15)</f>
        <v>15</v>
      </c>
      <c r="AF471" s="27">
        <f ca="1">IFERROR(__xludf.DUMMYFUNCTION("""COMPUTED_VALUE"""),5)</f>
        <v>5</v>
      </c>
      <c r="AG471" s="27">
        <f ca="1">IFERROR(__xludf.DUMMYFUNCTION("""COMPUTED_VALUE"""),5)</f>
        <v>5</v>
      </c>
      <c r="AH471" s="27" t="str">
        <f ca="1">IFERROR(__xludf.DUMMYFUNCTION("""COMPUTED_VALUE"""),"Eventos/Ações para captação, Editais")</f>
        <v>Eventos/Ações para captação, Editais</v>
      </c>
      <c r="AI471" s="27" t="str">
        <f ca="1">IFERROR(__xludf.DUMMYFUNCTION("""COMPUTED_VALUE"""),"20%Eventos/Ações para captação; 10%Editais; 20% Parceria iniciativa privada50% Doações")</f>
        <v>20%Eventos/Ações para captação; 10%Editais; 20% Parceria iniciativa privada50% Doações</v>
      </c>
      <c r="AJ471" s="27" t="str">
        <f ca="1">IFERROR(__xludf.DUMMYFUNCTION("""COMPUTED_VALUE"""),"Vamos iniciar esse ano")</f>
        <v>Vamos iniciar esse ano</v>
      </c>
      <c r="AK471" s="27"/>
      <c r="AL471" s="21" t="str">
        <f ca="1">IFERROR(__xludf.DUMMYFUNCTION("""COMPUTED_VALUE"""),"0034X0000380O5I")</f>
        <v>0034X0000380O5I</v>
      </c>
      <c r="AM471" s="27" t="str">
        <f ca="1">IFERROR(__xludf.DUMMYFUNCTION("""COMPUTED_VALUE"""),"Da vitória fabiano de oliveira")</f>
        <v>Da vitória fabiano de oliveira</v>
      </c>
      <c r="AN471" s="27" t="str">
        <f ca="1">IFERROR(__xludf.DUMMYFUNCTION("""COMPUTED_VALUE"""),"Ativo")</f>
        <v>Ativo</v>
      </c>
      <c r="AO471" s="27"/>
      <c r="AP471" s="27"/>
      <c r="AQ471" s="27" t="str">
        <f ca="1">IFERROR(__xludf.DUMMYFUNCTION("""COMPUTED_VALUE"""),"Primeiro Semestre 2022")</f>
        <v>Primeiro Semestre 2022</v>
      </c>
      <c r="AR471" s="27" t="str">
        <f ca="1">IFERROR(__xludf.DUMMYFUNCTION("""COMPUTED_VALUE"""),"winyfabiano@gmail.com")</f>
        <v>winyfabiano@gmail.com</v>
      </c>
      <c r="AS471" s="27">
        <f ca="1">IFERROR(__xludf.DUMMYFUNCTION("""COMPUTED_VALUE"""),27997522458)</f>
        <v>27997522458</v>
      </c>
      <c r="AT471" s="29">
        <f ca="1">IFERROR(__xludf.DUMMYFUNCTION("""COMPUTED_VALUE"""),32717)</f>
        <v>32717</v>
      </c>
      <c r="AU471" s="27">
        <f ca="1">IFERROR(__xludf.DUMMYFUNCTION("""COMPUTED_VALUE"""),33)</f>
        <v>33</v>
      </c>
      <c r="AV471" s="27">
        <f ca="1">IFERROR(__xludf.DUMMYFUNCTION("""COMPUTED_VALUE"""),12481232712)</f>
        <v>12481232712</v>
      </c>
      <c r="AW471" s="27">
        <f ca="1">IFERROR(__xludf.DUMMYFUNCTION("""COMPUTED_VALUE"""),2228678)</f>
        <v>2228678</v>
      </c>
      <c r="AX471" s="27"/>
      <c r="AY471" s="27"/>
      <c r="AZ471" s="27" t="str">
        <f ca="1">IFERROR(__xludf.DUMMYFUNCTION("""COMPUTED_VALUE"""),"G2")</f>
        <v>G2</v>
      </c>
      <c r="BA471" s="27" t="str">
        <f ca="1">IFERROR(__xludf.DUMMYFUNCTION("""COMPUTED_VALUE"""),"Preta")</f>
        <v>Preta</v>
      </c>
      <c r="BB471" s="27"/>
      <c r="BC471" s="27"/>
      <c r="BD471" s="27" t="str">
        <f ca="1">IFERROR(__xludf.DUMMYFUNCTION("""COMPUTED_VALUE"""),"Sou Winy Fabiano* mulher* preta* gorda e favelada. Bacharel em Administração* CEO da Ubuntu Quitutes* Presidente do Coletivo Mulheres Unidas do Caratoira-MUCA. Atuo como educadora* produtora e ativista social/cultural.")</f>
        <v>Sou Winy Fabiano* mulher* preta* gorda e favelada. Bacharel em Administração* CEO da Ubuntu Quitutes* Presidente do Coletivo Mulheres Unidas do Caratoira-MUCA. Atuo como educadora* produtora e ativista social/cultural.</v>
      </c>
      <c r="BE471" s="27" t="str">
        <f ca="1">IFERROR(__xludf.DUMMYFUNCTION("""COMPUTED_VALUE"""),"Feminino")</f>
        <v>Feminino</v>
      </c>
      <c r="BF471" s="27" t="str">
        <f ca="1">IFERROR(__xludf.DUMMYFUNCTION("""COMPUTED_VALUE"""),"Heterossexual")</f>
        <v>Heterossexual</v>
      </c>
      <c r="BG471" s="27"/>
      <c r="BH471" s="27" t="str">
        <f ca="1">IFERROR(__xludf.DUMMYFUNCTION("""COMPUTED_VALUE"""),"Público")</f>
        <v>Público</v>
      </c>
      <c r="BI471" s="27" t="str">
        <f ca="1">IFERROR(__xludf.DUMMYFUNCTION("""COMPUTED_VALUE"""),"Graduação")</f>
        <v>Graduação</v>
      </c>
      <c r="BJ471" s="27" t="str">
        <f ca="1">IFERROR(__xludf.DUMMYFUNCTION("""COMPUTED_VALUE"""),"Privado")</f>
        <v>Privado</v>
      </c>
      <c r="BK471" s="27" t="str">
        <f ca="1">IFERROR(__xludf.DUMMYFUNCTION("""COMPUTED_VALUE"""),"Escadaria Alarico Pereira do Sacramento")</f>
        <v>Escadaria Alarico Pereira do Sacramento</v>
      </c>
      <c r="BL471" s="27">
        <f ca="1">IFERROR(__xludf.DUMMYFUNCTION("""COMPUTED_VALUE"""),14)</f>
        <v>14</v>
      </c>
      <c r="BM471" s="27"/>
      <c r="BN471" s="27"/>
      <c r="BO471" s="27" t="str">
        <f ca="1">IFERROR(__xludf.DUMMYFUNCTION("""COMPUTED_VALUE"""),"29025-646")</f>
        <v>29025-646</v>
      </c>
      <c r="BP471" s="27" t="str">
        <f ca="1">IFERROR(__xludf.DUMMYFUNCTION("""COMPUTED_VALUE"""),"ES")</f>
        <v>ES</v>
      </c>
      <c r="BQ471" s="27" t="str">
        <f ca="1">IFERROR(__xludf.DUMMYFUNCTION("""COMPUTED_VALUE"""),"Entre 1 até 3 salários mínimos")</f>
        <v>Entre 1 até 3 salários mínimos</v>
      </c>
      <c r="BR471" s="27" t="str">
        <f ca="1">IFERROR(__xludf.DUMMYFUNCTION("""COMPUTED_VALUE"""),"MEI")</f>
        <v>MEI</v>
      </c>
      <c r="BS471" s="27" t="str">
        <f ca="1">IFERROR(__xludf.DUMMYFUNCTION("""COMPUTED_VALUE"""),"Casa própria")</f>
        <v>Casa própria</v>
      </c>
      <c r="BT471" s="27">
        <f ca="1">IFERROR(__xludf.DUMMYFUNCTION("""COMPUTED_VALUE"""),4)</f>
        <v>4</v>
      </c>
      <c r="BU471" s="27" t="str">
        <f ca="1">IFERROR(__xludf.DUMMYFUNCTION("""COMPUTED_VALUE"""),"Não tem")</f>
        <v>Não tem</v>
      </c>
      <c r="BV471" s="27" t="str">
        <f ca="1">IFERROR(__xludf.DUMMYFUNCTION("""COMPUTED_VALUE"""),"Não")</f>
        <v>Não</v>
      </c>
      <c r="BW471" s="21" t="str">
        <f ca="1">IFERROR(__xludf.DUMMYFUNCTION("""COMPUTED_VALUE"""),"https://www.linkedin.com/in/winy-fabiano-42919b150")</f>
        <v>https://www.linkedin.com/in/winy-fabiano-42919b150</v>
      </c>
      <c r="BX471" s="21" t="str">
        <f ca="1">IFERROR(__xludf.DUMMYFUNCTION("""COMPUTED_VALUE"""),"https://instagram.com/winyfabiano?utm_medium=copy_link")</f>
        <v>https://instagram.com/winyfabiano?utm_medium=copy_link</v>
      </c>
      <c r="BY471" s="21" t="str">
        <f ca="1">IFERROR(__xludf.DUMMYFUNCTION("""COMPUTED_VALUE"""),"https://drive.google.com/open?id=19u1xJ430VJM_C9Dype5WgPDOC4E6t4bL")</f>
        <v>https://drive.google.com/open?id=19u1xJ430VJM_C9Dype5WgPDOC4E6t4bL</v>
      </c>
    </row>
    <row r="472" spans="1:77" ht="12.5" x14ac:dyDescent="0.25">
      <c r="A472" s="21" t="str">
        <f ca="1">IFERROR(__xludf.DUMMYFUNCTION("""COMPUTED_VALUE"""),"0014X00002VKCp9QAH")</f>
        <v>0014X00002VKCp9QAH</v>
      </c>
      <c r="B472" s="27" t="str">
        <f ca="1">IFERROR(__xludf.DUMMYFUNCTION("""COMPUTED_VALUE"""),"Fase Inicial")</f>
        <v>Fase Inicial</v>
      </c>
      <c r="C472" s="27" t="str">
        <f ca="1">IFERROR(__xludf.DUMMYFUNCTION("""COMPUTED_VALUE"""),"Fellow")</f>
        <v>Fellow</v>
      </c>
      <c r="D472" s="27" t="str">
        <f ca="1">IFERROR(__xludf.DUMMYFUNCTION("""COMPUTED_VALUE"""),"Ativo")</f>
        <v>Ativo</v>
      </c>
      <c r="E472" s="27" t="str">
        <f ca="1">IFERROR(__xludf.DUMMYFUNCTION("""COMPUTED_VALUE"""),"Mulheres Arretadas")</f>
        <v>Mulheres Arretadas</v>
      </c>
      <c r="F472" s="27" t="str">
        <f ca="1">IFERROR(__xludf.DUMMYFUNCTION("""COMPUTED_VALUE"""),"Edileide")</f>
        <v>Edileide</v>
      </c>
      <c r="G472" s="27" t="str">
        <f ca="1">IFERROR(__xludf.DUMMYFUNCTION("""COMPUTED_VALUE"""),"MULHERES ARRETADAS")</f>
        <v>MULHERES ARRETADAS</v>
      </c>
      <c r="H472" s="27"/>
      <c r="I472" s="27" t="str">
        <f ca="1">IFERROR(__xludf.DUMMYFUNCTION("""COMPUTED_VALUE"""),"Edileide Rezende Santos")</f>
        <v>Edileide Rezende Santos</v>
      </c>
      <c r="J472" s="27" t="str">
        <f ca="1">IFERROR(__xludf.DUMMYFUNCTION("""COMPUTED_VALUE"""),"mulheresarretadasdafavela@gmail.com")</f>
        <v>mulheresarretadasdafavela@gmail.com</v>
      </c>
      <c r="K472" s="27" t="str">
        <f ca="1">IFERROR(__xludf.DUMMYFUNCTION("""COMPUTED_VALUE"""),"(71)0000-0000")</f>
        <v>(71)0000-0000</v>
      </c>
      <c r="L472" s="27" t="str">
        <f ca="1">IFERROR(__xludf.DUMMYFUNCTION("""COMPUTED_VALUE"""),"BA")</f>
        <v>BA</v>
      </c>
      <c r="M472" s="27" t="str">
        <f ca="1">IFERROR(__xludf.DUMMYFUNCTION("""COMPUTED_VALUE"""),"Benedito Jenikens")</f>
        <v>Benedito Jenikens</v>
      </c>
      <c r="N472" s="27" t="str">
        <f ca="1">IFERROR(__xludf.DUMMYFUNCTION("""COMPUTED_VALUE"""),"Águas claras")</f>
        <v>Águas claras</v>
      </c>
      <c r="O472" s="27" t="str">
        <f ca="1">IFERROR(__xludf.DUMMYFUNCTION("""COMPUTED_VALUE"""),"S/n")</f>
        <v>S/n</v>
      </c>
      <c r="P472" s="27" t="str">
        <f ca="1">IFERROR(__xludf.DUMMYFUNCTION("""COMPUTED_VALUE"""),"Salvador")</f>
        <v>Salvador</v>
      </c>
      <c r="Q472" s="27" t="str">
        <f ca="1">IFERROR(__xludf.DUMMYFUNCTION("""COMPUTED_VALUE"""),"Salão da Paróquia Santa Clara")</f>
        <v>Salão da Paróquia Santa Clara</v>
      </c>
      <c r="R472" s="27" t="str">
        <f ca="1">IFERROR(__xludf.DUMMYFUNCTION("""COMPUTED_VALUE"""),"41310-270")</f>
        <v>41310-270</v>
      </c>
      <c r="S472" s="27" t="str">
        <f ca="1">IFERROR(__xludf.DUMMYFUNCTION("""COMPUTED_VALUE"""),"Salão da Paróquia Santa Clara")</f>
        <v>Salão da Paróquia Santa Clara</v>
      </c>
      <c r="T472" s="27"/>
      <c r="U472" s="27" t="str">
        <f ca="1">IFERROR(__xludf.DUMMYFUNCTION("""COMPUTED_VALUE"""),"Adolescentes (12 aos 18 anos), Jovens (18 aos 24 anos), Adultos, Idosos (60 anos ou mais)")</f>
        <v>Adolescentes (12 aos 18 anos), Jovens (18 aos 24 anos), Adultos, Idosos (60 anos ou mais)</v>
      </c>
      <c r="V472" s="27" t="str">
        <f ca="1">IFERROR(__xludf.DUMMYFUNCTION("""COMPUTED_VALUE"""),"Moradores de Favelas, Pessoas em situação de rua, Comunidade rural")</f>
        <v>Moradores de Favelas, Pessoas em situação de rua, Comunidade rural</v>
      </c>
      <c r="W472" s="27">
        <f ca="1">IFERROR(__xludf.DUMMYFUNCTION("""COMPUTED_VALUE"""),10)</f>
        <v>10</v>
      </c>
      <c r="X472" s="27" t="str">
        <f ca="1">IFERROR(__xludf.DUMMYFUNCTION("""COMPUTED_VALUE"""),"Atendemos também outros Bairros de Salvador* quando dar  ex: Castelo Branco* Pirajá Km 9 * e Derba * Escada")</f>
        <v>Atendemos também outros Bairros de Salvador* quando dar  ex: Castelo Branco* Pirajá Km 9 * e Derba * Escada</v>
      </c>
      <c r="Y472" s="27"/>
      <c r="Z472" s="27">
        <f ca="1">IFERROR(__xludf.DUMMYFUNCTION("""COMPUTED_VALUE"""),290)</f>
        <v>290</v>
      </c>
      <c r="AA472" s="29">
        <f ca="1">IFERROR(__xludf.DUMMYFUNCTION("""COMPUTED_VALUE"""),42962)</f>
        <v>42962</v>
      </c>
      <c r="AB472" s="27" t="str">
        <f ca="1">IFERROR(__xludf.DUMMYFUNCTION("""COMPUTED_VALUE"""),"Não")</f>
        <v>Não</v>
      </c>
      <c r="AC472" s="27">
        <f ca="1">IFERROR(__xludf.DUMMYFUNCTION("""COMPUTED_VALUE"""),17)</f>
        <v>17</v>
      </c>
      <c r="AD472" s="27">
        <f ca="1">IFERROR(__xludf.DUMMYFUNCTION("""COMPUTED_VALUE"""),15)</f>
        <v>15</v>
      </c>
      <c r="AE472" s="27">
        <f ca="1">IFERROR(__xludf.DUMMYFUNCTION("""COMPUTED_VALUE"""),17)</f>
        <v>17</v>
      </c>
      <c r="AF472" s="27">
        <f ca="1">IFERROR(__xludf.DUMMYFUNCTION("""COMPUTED_VALUE"""),15)</f>
        <v>15</v>
      </c>
      <c r="AG472" s="27">
        <f ca="1">IFERROR(__xludf.DUMMYFUNCTION("""COMPUTED_VALUE"""),5)</f>
        <v>5</v>
      </c>
      <c r="AH472" s="27" t="str">
        <f ca="1">IFERROR(__xludf.DUMMYFUNCTION("""COMPUTED_VALUE"""),"Eventos/Ações para captação, Parceria iniciativa privada, Outro(s), Doações, Recursos próprios")</f>
        <v>Eventos/Ações para captação, Parceria iniciativa privada, Outro(s), Doações, Recursos próprios</v>
      </c>
      <c r="AI472" s="27">
        <f ca="1">IFERROR(__xludf.DUMMYFUNCTION("""COMPUTED_VALUE"""),0)</f>
        <v>0</v>
      </c>
      <c r="AJ472" s="27" t="str">
        <f ca="1">IFERROR(__xludf.DUMMYFUNCTION("""COMPUTED_VALUE"""),"Sim")</f>
        <v>Sim</v>
      </c>
      <c r="AK472" s="27"/>
      <c r="AL472" s="21" t="str">
        <f ca="1">IFERROR(__xludf.DUMMYFUNCTION("""COMPUTED_VALUE"""),"0034X0000380O4P")</f>
        <v>0034X0000380O4P</v>
      </c>
      <c r="AM472" s="27" t="str">
        <f ca="1">IFERROR(__xludf.DUMMYFUNCTION("""COMPUTED_VALUE"""),"Rezende santos")</f>
        <v>Rezende santos</v>
      </c>
      <c r="AN472" s="27" t="str">
        <f ca="1">IFERROR(__xludf.DUMMYFUNCTION("""COMPUTED_VALUE"""),"Ativo")</f>
        <v>Ativo</v>
      </c>
      <c r="AO472" s="29">
        <f ca="1">IFERROR(__xludf.DUMMYFUNCTION("""COMPUTED_VALUE"""),44763)</f>
        <v>44763</v>
      </c>
      <c r="AP472" s="27">
        <f ca="1">IFERROR(__xludf.DUMMYFUNCTION("""COMPUTED_VALUE"""),2)</f>
        <v>2</v>
      </c>
      <c r="AQ472" s="27" t="str">
        <f ca="1">IFERROR(__xludf.DUMMYFUNCTION("""COMPUTED_VALUE"""),"Primeiro Semestre 2022")</f>
        <v>Primeiro Semestre 2022</v>
      </c>
      <c r="AR472" s="27" t="str">
        <f ca="1">IFERROR(__xludf.DUMMYFUNCTION("""COMPUTED_VALUE"""),"leydex@gmail.com")</f>
        <v>leydex@gmail.com</v>
      </c>
      <c r="AS472" s="27">
        <f ca="1">IFERROR(__xludf.DUMMYFUNCTION("""COMPUTED_VALUE"""),71987397322)</f>
        <v>71987397322</v>
      </c>
      <c r="AT472" s="30">
        <f ca="1">IFERROR(__xludf.DUMMYFUNCTION("""COMPUTED_VALUE"""),30983)</f>
        <v>30983</v>
      </c>
      <c r="AU472" s="27">
        <f ca="1">IFERROR(__xludf.DUMMYFUNCTION("""COMPUTED_VALUE"""),38)</f>
        <v>38</v>
      </c>
      <c r="AV472" s="27">
        <f ca="1">IFERROR(__xludf.DUMMYFUNCTION("""COMPUTED_VALUE"""),1074999592)</f>
        <v>1074999592</v>
      </c>
      <c r="AW472" s="27" t="str">
        <f ca="1">IFERROR(__xludf.DUMMYFUNCTION("""COMPUTED_VALUE"""),"09.475.733-05")</f>
        <v>09.475.733-05</v>
      </c>
      <c r="AX472" s="27"/>
      <c r="AY472" s="27"/>
      <c r="AZ472" s="27" t="str">
        <f ca="1">IFERROR(__xludf.DUMMYFUNCTION("""COMPUTED_VALUE"""),"G")</f>
        <v>G</v>
      </c>
      <c r="BA472" s="27" t="str">
        <f ca="1">IFERROR(__xludf.DUMMYFUNCTION("""COMPUTED_VALUE"""),"Preta")</f>
        <v>Preta</v>
      </c>
      <c r="BB472" s="27"/>
      <c r="BC472" s="27"/>
      <c r="BD472" s="27" t="str">
        <f ca="1">IFERROR(__xludf.DUMMYFUNCTION("""COMPUTED_VALUE"""),"Mulher* preta *favelada* casada e mãe de um adolescente de 16 anos* nascida no sertão da Bahia ( Jacobina)* residente na capital Baiana Salvador* desde os 10 anos trabalho e aos 14 comecei com o social* participei de projetos como Abrindo espaços da UNESC"&amp;"O aos 16 anos * formada em Técnica de Segurança do Trabalho.")</f>
        <v>Mulher* preta *favelada* casada e mãe de um adolescente de 16 anos* nascida no sertão da Bahia ( Jacobina)* residente na capital Baiana Salvador* desde os 10 anos trabalho e aos 14 comecei com o social* participei de projetos como Abrindo espaços da UNESCO aos 16 anos * formada em Técnica de Segurança do Trabalho.</v>
      </c>
      <c r="BE472" s="27" t="str">
        <f ca="1">IFERROR(__xludf.DUMMYFUNCTION("""COMPUTED_VALUE"""),"Feminino")</f>
        <v>Feminino</v>
      </c>
      <c r="BF472" s="27" t="str">
        <f ca="1">IFERROR(__xludf.DUMMYFUNCTION("""COMPUTED_VALUE"""),"Heterossexual")</f>
        <v>Heterossexual</v>
      </c>
      <c r="BG472" s="27"/>
      <c r="BH472" s="27" t="str">
        <f ca="1">IFERROR(__xludf.DUMMYFUNCTION("""COMPUTED_VALUE"""),"Público")</f>
        <v>Público</v>
      </c>
      <c r="BI472" s="27"/>
      <c r="BJ472" s="27"/>
      <c r="BK472" s="27" t="str">
        <f ca="1">IFERROR(__xludf.DUMMYFUNCTION("""COMPUTED_VALUE"""),"Loteamento Condor caminho 4 setor 2")</f>
        <v>Loteamento Condor caminho 4 setor 2</v>
      </c>
      <c r="BL472" s="27">
        <f ca="1">IFERROR(__xludf.DUMMYFUNCTION("""COMPUTED_VALUE"""),12)</f>
        <v>12</v>
      </c>
      <c r="BM472" s="27"/>
      <c r="BN472" s="27"/>
      <c r="BO472" s="27">
        <f ca="1">IFERROR(__xludf.DUMMYFUNCTION("""COMPUTED_VALUE"""),41311070)</f>
        <v>41311070</v>
      </c>
      <c r="BP472" s="27" t="str">
        <f ca="1">IFERROR(__xludf.DUMMYFUNCTION("""COMPUTED_VALUE"""),"BA")</f>
        <v>BA</v>
      </c>
      <c r="BQ472" s="27" t="str">
        <f ca="1">IFERROR(__xludf.DUMMYFUNCTION("""COMPUTED_VALUE"""),"Entre 1 até 3 salários mínimos")</f>
        <v>Entre 1 até 3 salários mínimos</v>
      </c>
      <c r="BR472" s="27" t="str">
        <f ca="1">IFERROR(__xludf.DUMMYFUNCTION("""COMPUTED_VALUE"""),"CLT")</f>
        <v>CLT</v>
      </c>
      <c r="BS472" s="27" t="str">
        <f ca="1">IFERROR(__xludf.DUMMYFUNCTION("""COMPUTED_VALUE"""),"Casa própria")</f>
        <v>Casa própria</v>
      </c>
      <c r="BT472" s="27">
        <f ca="1">IFERROR(__xludf.DUMMYFUNCTION("""COMPUTED_VALUE"""),3)</f>
        <v>3</v>
      </c>
      <c r="BU472" s="27" t="str">
        <f ca="1">IFERROR(__xludf.DUMMYFUNCTION("""COMPUTED_VALUE"""),"Não tem")</f>
        <v>Não tem</v>
      </c>
      <c r="BV472" s="27" t="str">
        <f ca="1">IFERROR(__xludf.DUMMYFUNCTION("""COMPUTED_VALUE"""),"Não")</f>
        <v>Não</v>
      </c>
      <c r="BW472" s="27"/>
      <c r="BX472" s="21" t="str">
        <f ca="1">IFERROR(__xludf.DUMMYFUNCTION("""COMPUTED_VALUE"""),"https://www.instagram.com/p/CX_Yn-JI38r/?utm_medium=copy_link")</f>
        <v>https://www.instagram.com/p/CX_Yn-JI38r/?utm_medium=copy_link</v>
      </c>
      <c r="BY472" s="21" t="str">
        <f ca="1">IFERROR(__xludf.DUMMYFUNCTION("""COMPUTED_VALUE"""),"https://drive.google.com/open?id=18k3beDwBTDIcBmzLT6V7X7sZZ42lcbwo")</f>
        <v>https://drive.google.com/open?id=18k3beDwBTDIcBmzLT6V7X7sZZ42lcbwo</v>
      </c>
    </row>
    <row r="473" spans="1:77" ht="12.5" x14ac:dyDescent="0.25">
      <c r="A473" s="21" t="str">
        <f ca="1">IFERROR(__xludf.DUMMYFUNCTION("""COMPUTED_VALUE"""),"0014P00003YSp8nQAD")</f>
        <v>0014P00003YSp8nQAD</v>
      </c>
      <c r="B473" s="27" t="str">
        <f ca="1">IFERROR(__xludf.DUMMYFUNCTION("""COMPUTED_VALUE"""),"Fase Inicial")</f>
        <v>Fase Inicial</v>
      </c>
      <c r="C473" s="27" t="str">
        <f ca="1">IFERROR(__xludf.DUMMYFUNCTION("""COMPUTED_VALUE"""),"Fellow")</f>
        <v>Fellow</v>
      </c>
      <c r="D473" s="27" t="str">
        <f ca="1">IFERROR(__xludf.DUMMYFUNCTION("""COMPUTED_VALUE"""),"Ativo")</f>
        <v>Ativo</v>
      </c>
      <c r="E473" s="27" t="str">
        <f ca="1">IFERROR(__xludf.DUMMYFUNCTION("""COMPUTED_VALUE"""),"Multiplicar o amor incluir o saber")</f>
        <v>Multiplicar o amor incluir o saber</v>
      </c>
      <c r="F473" s="27" t="str">
        <f ca="1">IFERROR(__xludf.DUMMYFUNCTION("""COMPUTED_VALUE"""),"Daisy")</f>
        <v>Daisy</v>
      </c>
      <c r="G473" s="27"/>
      <c r="H473" s="27" t="str">
        <f ca="1">IFERROR(__xludf.DUMMYFUNCTION("""COMPUTED_VALUE"""),"44.888.110/0001-07")</f>
        <v>44.888.110/0001-07</v>
      </c>
      <c r="I473" s="27" t="str">
        <f ca="1">IFERROR(__xludf.DUMMYFUNCTION("""COMPUTED_VALUE"""),"Daisy Cristina Martins Dos Santos")</f>
        <v>Daisy Cristina Martins Dos Santos</v>
      </c>
      <c r="J473" s="27" t="str">
        <f ca="1">IFERROR(__xludf.DUMMYFUNCTION("""COMPUTED_VALUE"""),"multiplicaramor2020@gmail.com")</f>
        <v>multiplicaramor2020@gmail.com</v>
      </c>
      <c r="K473" s="27" t="str">
        <f ca="1">IFERROR(__xludf.DUMMYFUNCTION("""COMPUTED_VALUE"""),"(51)3319-3075")</f>
        <v>(51)3319-3075</v>
      </c>
      <c r="L473" s="27" t="str">
        <f ca="1">IFERROR(__xludf.DUMMYFUNCTION("""COMPUTED_VALUE"""),"RS")</f>
        <v>RS</v>
      </c>
      <c r="M473" s="27" t="str">
        <f ca="1">IFERROR(__xludf.DUMMYFUNCTION("""COMPUTED_VALUE"""),"Dona Veva")</f>
        <v>Dona Veva</v>
      </c>
      <c r="N473" s="27" t="str">
        <f ca="1">IFERROR(__xludf.DUMMYFUNCTION("""COMPUTED_VALUE"""),"Coronel Aparício Borges")</f>
        <v>Coronel Aparício Borges</v>
      </c>
      <c r="O473" s="27">
        <f ca="1">IFERROR(__xludf.DUMMYFUNCTION("""COMPUTED_VALUE"""),310)</f>
        <v>310</v>
      </c>
      <c r="P473" s="27" t="str">
        <f ca="1">IFERROR(__xludf.DUMMYFUNCTION("""COMPUTED_VALUE"""),"Porto Alegre")</f>
        <v>Porto Alegre</v>
      </c>
      <c r="Q473" s="27"/>
      <c r="R473" s="27" t="str">
        <f ca="1">IFERROR(__xludf.DUMMYFUNCTION("""COMPUTED_VALUE"""),"91710-070")</f>
        <v>91710-070</v>
      </c>
      <c r="S473" s="27"/>
      <c r="T473" s="27" t="str">
        <f ca="1">IFERROR(__xludf.DUMMYFUNCTION("""COMPUTED_VALUE"""),"Esporte; Educação; Assistência Social; Cultura; Empreendedorismo; Desenvolvimento comunitário")</f>
        <v>Esporte; Educação; Assistência Social; Cultura; Empreendedorismo; Desenvolvimento comunitário</v>
      </c>
      <c r="U473" s="27" t="str">
        <f ca="1">IFERROR(__xludf.DUMMYFUNCTION("""COMPUTED_VALUE"""),"Crianças bem pequenas (1 ano e 7 meses até 3 anos e 11 meses); Crianças pequenas (4 anos a 5 anos e 11 meses); Crianças (6 a 12 anos); Adolescentes (12 aos 18 anos)")</f>
        <v>Crianças bem pequenas (1 ano e 7 meses até 3 anos e 11 meses); Crianças pequenas (4 anos a 5 anos e 11 meses); Crianças (6 a 12 anos); Adolescentes (12 aos 18 anos)</v>
      </c>
      <c r="V473" s="27" t="str">
        <f ca="1">IFERROR(__xludf.DUMMYFUNCTION("""COMPUTED_VALUE"""),"Moradores de Favelas")</f>
        <v>Moradores de Favelas</v>
      </c>
      <c r="W473" s="27">
        <f ca="1">IFERROR(__xludf.DUMMYFUNCTION("""COMPUTED_VALUE"""),3)</f>
        <v>3</v>
      </c>
      <c r="X473" s="27" t="str">
        <f ca="1">IFERROR(__xludf.DUMMYFUNCTION("""COMPUTED_VALUE"""),"Atendemos todos os tipos de vulnerabilidades sociais culturais emocionais alimentar psicológica....")</f>
        <v>Atendemos todos os tipos de vulnerabilidades sociais culturais emocionais alimentar psicológica....</v>
      </c>
      <c r="Y473" s="27"/>
      <c r="Z473" s="27">
        <f ca="1">IFERROR(__xludf.DUMMYFUNCTION("""COMPUTED_VALUE"""),500)</f>
        <v>500</v>
      </c>
      <c r="AA473" s="30">
        <f ca="1">IFERROR(__xludf.DUMMYFUNCTION("""COMPUTED_VALUE"""),44175)</f>
        <v>44175</v>
      </c>
      <c r="AB473" s="27" t="str">
        <f ca="1">IFERROR(__xludf.DUMMYFUNCTION("""COMPUTED_VALUE"""),"Sim")</f>
        <v>Sim</v>
      </c>
      <c r="AC473" s="27">
        <f ca="1">IFERROR(__xludf.DUMMYFUNCTION("""COMPUTED_VALUE"""),6)</f>
        <v>6</v>
      </c>
      <c r="AD473" s="27">
        <f ca="1">IFERROR(__xludf.DUMMYFUNCTION("""COMPUTED_VALUE"""),3)</f>
        <v>3</v>
      </c>
      <c r="AE473" s="27">
        <f ca="1">IFERROR(__xludf.DUMMYFUNCTION("""COMPUTED_VALUE"""),6)</f>
        <v>6</v>
      </c>
      <c r="AF473" s="27">
        <f ca="1">IFERROR(__xludf.DUMMYFUNCTION("""COMPUTED_VALUE"""),3)</f>
        <v>3</v>
      </c>
      <c r="AG473" s="27">
        <f ca="1">IFERROR(__xludf.DUMMYFUNCTION("""COMPUTED_VALUE"""),5)</f>
        <v>5</v>
      </c>
      <c r="AH473" s="27" t="str">
        <f ca="1">IFERROR(__xludf.DUMMYFUNCTION("""COMPUTED_VALUE"""),"Negócio Social; Eventos/Ações para captação; Plataforma doação online - Pessoa Física; Doações; Recursos próprios")</f>
        <v>Negócio Social; Eventos/Ações para captação; Plataforma doação online - Pessoa Física; Doações; Recursos próprios</v>
      </c>
      <c r="AI473" s="27" t="str">
        <f ca="1">IFERROR(__xludf.DUMMYFUNCTION("""COMPUTED_VALUE"""),"O")</f>
        <v>O</v>
      </c>
      <c r="AJ473" s="27"/>
      <c r="AK473" s="27"/>
      <c r="AL473" s="21" t="str">
        <f ca="1">IFERROR(__xludf.DUMMYFUNCTION("""COMPUTED_VALUE"""),"0034P000045kxjP")</f>
        <v>0034P000045kxjP</v>
      </c>
      <c r="AM473" s="27" t="str">
        <f ca="1">IFERROR(__xludf.DUMMYFUNCTION("""COMPUTED_VALUE"""),"Cristina Martins Dos Santos")</f>
        <v>Cristina Martins Dos Santos</v>
      </c>
      <c r="AN473" s="27" t="str">
        <f ca="1">IFERROR(__xludf.DUMMYFUNCTION("""COMPUTED_VALUE"""),"Ativo")</f>
        <v>Ativo</v>
      </c>
      <c r="AO473" s="30">
        <f ca="1">IFERROR(__xludf.DUMMYFUNCTION("""COMPUTED_VALUE"""),44551)</f>
        <v>44551</v>
      </c>
      <c r="AP473" s="27">
        <f ca="1">IFERROR(__xludf.DUMMYFUNCTION("""COMPUTED_VALUE"""),9)</f>
        <v>9</v>
      </c>
      <c r="AQ473" s="27" t="str">
        <f ca="1">IFERROR(__xludf.DUMMYFUNCTION("""COMPUTED_VALUE"""),"Segundo Semestre 2021")</f>
        <v>Segundo Semestre 2021</v>
      </c>
      <c r="AR473" s="27" t="str">
        <f ca="1">IFERROR(__xludf.DUMMYFUNCTION("""COMPUTED_VALUE"""),"daitins63@gmail.com")</f>
        <v>daitins63@gmail.com</v>
      </c>
      <c r="AS473" s="27" t="str">
        <f ca="1">IFERROR(__xludf.DUMMYFUNCTION("""COMPUTED_VALUE"""),"(51)8458-2931")</f>
        <v>(51)8458-2931</v>
      </c>
      <c r="AT473" s="29">
        <f ca="1">IFERROR(__xludf.DUMMYFUNCTION("""COMPUTED_VALUE"""),30489)</f>
        <v>30489</v>
      </c>
      <c r="AU473" s="27">
        <f ca="1">IFERROR(__xludf.DUMMYFUNCTION("""COMPUTED_VALUE"""),39)</f>
        <v>39</v>
      </c>
      <c r="AV473" s="27">
        <f ca="1">IFERROR(__xludf.DUMMYFUNCTION("""COMPUTED_VALUE"""),81185715053)</f>
        <v>81185715053</v>
      </c>
      <c r="AW473" s="27">
        <f ca="1">IFERROR(__xludf.DUMMYFUNCTION("""COMPUTED_VALUE"""),3082057021)</f>
        <v>3082057021</v>
      </c>
      <c r="AX473" s="27"/>
      <c r="AY473" s="27"/>
      <c r="AZ473" s="27" t="str">
        <f ca="1">IFERROR(__xludf.DUMMYFUNCTION("""COMPUTED_VALUE"""),"G")</f>
        <v>G</v>
      </c>
      <c r="BA473" s="27" t="str">
        <f ca="1">IFERROR(__xludf.DUMMYFUNCTION("""COMPUTED_VALUE"""),"Amarela")</f>
        <v>Amarela</v>
      </c>
      <c r="BB473" s="27" t="str">
        <f ca="1">IFERROR(__xludf.DUMMYFUNCTION("""COMPUTED_VALUE"""),"Mulher, cisgênero")</f>
        <v>Mulher, cisgênero</v>
      </c>
      <c r="BC473" s="27" t="str">
        <f ca="1">IFERROR(__xludf.DUMMYFUNCTION("""COMPUTED_VALUE"""),"Sim")</f>
        <v>Sim</v>
      </c>
      <c r="BD473" s="27" t="str">
        <f ca="1">IFERROR(__xludf.DUMMYFUNCTION("""COMPUTED_VALUE"""),"Sou moradora do morro da polícia em Porto  Alegre, desde que nasci tenho 38 anos casada, 3 filhos.
Cansada de viver em meio a criminalidade e pobreza, resolvi arregaçar as mangas e trabalhar no combate a pobreza, junto a rede GF, me tranformei empreendedo"&amp;"ras social e o trabalho é duro, mas estou disposta a vivenciar os desafios diário de ser pobre e favelada.")</f>
        <v>Sou moradora do morro da polícia em Porto  Alegre, desde que nasci tenho 38 anos casada, 3 filhos.
Cansada de viver em meio a criminalidade e pobreza, resolvi arregaçar as mangas e trabalhar no combate a pobreza, junto a rede GF, me tranformei empreendedoras social e o trabalho é duro, mas estou disposta a vivenciar os desafios diário de ser pobre e favelada.</v>
      </c>
      <c r="BE473" s="27"/>
      <c r="BF473" s="27" t="str">
        <f ca="1">IFERROR(__xludf.DUMMYFUNCTION("""COMPUTED_VALUE"""),"Heterossexual")</f>
        <v>Heterossexual</v>
      </c>
      <c r="BG473" s="27" t="str">
        <f ca="1">IFERROR(__xludf.DUMMYFUNCTION("""COMPUTED_VALUE"""),"Ensino Médio - Completo")</f>
        <v>Ensino Médio - Completo</v>
      </c>
      <c r="BH473" s="27" t="str">
        <f ca="1">IFERROR(__xludf.DUMMYFUNCTION("""COMPUTED_VALUE"""),"Pública")</f>
        <v>Pública</v>
      </c>
      <c r="BI473" s="27"/>
      <c r="BJ473" s="27" t="str">
        <f ca="1">IFERROR(__xludf.DUMMYFUNCTION("""COMPUTED_VALUE"""),"Público")</f>
        <v>Público</v>
      </c>
      <c r="BK473" s="27" t="str">
        <f ca="1">IFERROR(__xludf.DUMMYFUNCTION("""COMPUTED_VALUE"""),"Dona Veva")</f>
        <v>Dona Veva</v>
      </c>
      <c r="BL473" s="27">
        <f ca="1">IFERROR(__xludf.DUMMYFUNCTION("""COMPUTED_VALUE"""),310)</f>
        <v>310</v>
      </c>
      <c r="BM473" s="27" t="str">
        <f ca="1">IFERROR(__xludf.DUMMYFUNCTION("""COMPUTED_VALUE"""),"Alto do morro")</f>
        <v>Alto do morro</v>
      </c>
      <c r="BN473" s="27" t="str">
        <f ca="1">IFERROR(__xludf.DUMMYFUNCTION("""COMPUTED_VALUE"""),"Porto  Alegre")</f>
        <v>Porto  Alegre</v>
      </c>
      <c r="BO473" s="27" t="str">
        <f ca="1">IFERROR(__xludf.DUMMYFUNCTION("""COMPUTED_VALUE"""),"91710-070")</f>
        <v>91710-070</v>
      </c>
      <c r="BP473" s="27" t="str">
        <f ca="1">IFERROR(__xludf.DUMMYFUNCTION("""COMPUTED_VALUE"""),"RS")</f>
        <v>RS</v>
      </c>
      <c r="BQ473" s="27" t="str">
        <f ca="1">IFERROR(__xludf.DUMMYFUNCTION("""COMPUTED_VALUE"""),"Entre 1 até 3 salários mínimos")</f>
        <v>Entre 1 até 3 salários mínimos</v>
      </c>
      <c r="BR473" s="27" t="str">
        <f ca="1">IFERROR(__xludf.DUMMYFUNCTION("""COMPUTED_VALUE"""),"CLT")</f>
        <v>CLT</v>
      </c>
      <c r="BS473" s="27" t="str">
        <f ca="1">IFERROR(__xludf.DUMMYFUNCTION("""COMPUTED_VALUE"""),"Casa própria")</f>
        <v>Casa própria</v>
      </c>
      <c r="BT473" s="27">
        <f ca="1">IFERROR(__xludf.DUMMYFUNCTION("""COMPUTED_VALUE"""),5)</f>
        <v>5</v>
      </c>
      <c r="BU473" s="27" t="str">
        <f ca="1">IFERROR(__xludf.DUMMYFUNCTION("""COMPUTED_VALUE"""),"Não tem")</f>
        <v>Não tem</v>
      </c>
      <c r="BV473" s="27"/>
      <c r="BW473" s="21" t="str">
        <f ca="1">IFERROR(__xludf.DUMMYFUNCTION("""COMPUTED_VALUE"""),"https://www.linkedin.com/in/daisy-cristina-martins-dos-santos-42440b200")</f>
        <v>https://www.linkedin.com/in/daisy-cristina-martins-dos-santos-42440b200</v>
      </c>
      <c r="BX473" s="21" t="str">
        <f ca="1">IFERROR(__xludf.DUMMYFUNCTION("""COMPUTED_VALUE"""),"https://www.instagram.com/p/Ca3UleMOwWn/?utm_medium=copy_link")</f>
        <v>https://www.instagram.com/p/Ca3UleMOwWn/?utm_medium=copy_link</v>
      </c>
      <c r="BY473" s="21" t="str">
        <f ca="1">IFERROR(__xludf.DUMMYFUNCTION("""COMPUTED_VALUE"""),"https://drive.google.com/open?id=1Wk4VMVGXbvnh2_DC_ZcdHASXIERgcHx4")</f>
        <v>https://drive.google.com/open?id=1Wk4VMVGXbvnh2_DC_ZcdHASXIERgcHx4</v>
      </c>
    </row>
    <row r="474" spans="1:77" ht="12.5" x14ac:dyDescent="0.25">
      <c r="A474" s="21" t="str">
        <f ca="1">IFERROR(__xludf.DUMMYFUNCTION("""COMPUTED_VALUE"""),"0014X00002VKCtEQAX")</f>
        <v>0014X00002VKCtEQAX</v>
      </c>
      <c r="B474" s="27" t="str">
        <f ca="1">IFERROR(__xludf.DUMMYFUNCTION("""COMPUTED_VALUE"""),"Fase Inicial")</f>
        <v>Fase Inicial</v>
      </c>
      <c r="C474" s="27" t="str">
        <f ca="1">IFERROR(__xludf.DUMMYFUNCTION("""COMPUTED_VALUE"""),"Fellow")</f>
        <v>Fellow</v>
      </c>
      <c r="D474" s="27" t="str">
        <f ca="1">IFERROR(__xludf.DUMMYFUNCTION("""COMPUTED_VALUE"""),"Ativo")</f>
        <v>Ativo</v>
      </c>
      <c r="E474" s="27" t="str">
        <f ca="1">IFERROR(__xludf.DUMMYFUNCTION("""COMPUTED_VALUE"""),"MutAmb")</f>
        <v>MutAmb</v>
      </c>
      <c r="F474" s="27" t="str">
        <f ca="1">IFERROR(__xludf.DUMMYFUNCTION("""COMPUTED_VALUE"""),"Brenda")</f>
        <v>Brenda</v>
      </c>
      <c r="G474" s="27" t="str">
        <f ca="1">IFERROR(__xludf.DUMMYFUNCTION("""COMPUTED_VALUE"""),"MUTAMB")</f>
        <v>MUTAMB</v>
      </c>
      <c r="H474" s="27"/>
      <c r="I474" s="27" t="str">
        <f ca="1">IFERROR(__xludf.DUMMYFUNCTION("""COMPUTED_VALUE"""),"Brenda Lorany Martins Santana")</f>
        <v>Brenda Lorany Martins Santana</v>
      </c>
      <c r="J474" s="27" t="str">
        <f ca="1">IFERROR(__xludf.DUMMYFUNCTION("""COMPUTED_VALUE"""),"mutiraoambienta878@gmail.com")</f>
        <v>mutiraoambienta878@gmail.com</v>
      </c>
      <c r="K474" s="27" t="str">
        <f ca="1">IFERROR(__xludf.DUMMYFUNCTION("""COMPUTED_VALUE"""),"(84)0000-0000")</f>
        <v>(84)0000-0000</v>
      </c>
      <c r="L474" s="27" t="str">
        <f ca="1">IFERROR(__xludf.DUMMYFUNCTION("""COMPUTED_VALUE"""),"RN")</f>
        <v>RN</v>
      </c>
      <c r="M474" s="27" t="str">
        <f ca="1">IFERROR(__xludf.DUMMYFUNCTION("""COMPUTED_VALUE"""),"Rua Padre Francisco Sales Gorjão")</f>
        <v>Rua Padre Francisco Sales Gorjão</v>
      </c>
      <c r="N474" s="27" t="str">
        <f ca="1">IFERROR(__xludf.DUMMYFUNCTION("""COMPUTED_VALUE"""),"Frutilandia")</f>
        <v>Frutilandia</v>
      </c>
      <c r="O474" s="27">
        <f ca="1">IFERROR(__xludf.DUMMYFUNCTION("""COMPUTED_VALUE"""),14)</f>
        <v>14</v>
      </c>
      <c r="P474" s="27" t="str">
        <f ca="1">IFERROR(__xludf.DUMMYFUNCTION("""COMPUTED_VALUE"""),"Assu")</f>
        <v>Assu</v>
      </c>
      <c r="Q474" s="27"/>
      <c r="R474" s="27" t="str">
        <f ca="1">IFERROR(__xludf.DUMMYFUNCTION("""COMPUTED_VALUE"""),"59650-000")</f>
        <v>59650-000</v>
      </c>
      <c r="S474" s="27" t="str">
        <f ca="1">IFERROR(__xludf.DUMMYFUNCTION("""COMPUTED_VALUE"""),"Escola municipal Janduís. 
Anexo da capela de Santa Luzia. 
Quadra da comunidade Mutamba.")</f>
        <v>Escola municipal Janduís. 
Anexo da capela de Santa Luzia. 
Quadra da comunidade Mutamba.</v>
      </c>
      <c r="T474" s="27"/>
      <c r="U474" s="27" t="str">
        <f ca="1">IFERROR(__xludf.DUMMYFUNCTION("""COMPUTED_VALUE"""),"Crianças pequenas (4 anos a 5 anos e 11 meses), Crianças (6 a 12 anos), Adolescentes (12 aos 18 anos), Jovens (18 aos 24 anos)")</f>
        <v>Crianças pequenas (4 anos a 5 anos e 11 meses), Crianças (6 a 12 anos), Adolescentes (12 aos 18 anos), Jovens (18 aos 24 anos)</v>
      </c>
      <c r="V474" s="27" t="str">
        <f ca="1">IFERROR(__xludf.DUMMYFUNCTION("""COMPUTED_VALUE"""),"Moradores de Favelas, Pessoas em situação de rua, População LGBTQ+, Pessoas com Deficiência, Comunidade rural")</f>
        <v>Moradores de Favelas, Pessoas em situação de rua, População LGBTQ+, Pessoas com Deficiência, Comunidade rural</v>
      </c>
      <c r="W474" s="27">
        <f ca="1">IFERROR(__xludf.DUMMYFUNCTION("""COMPUTED_VALUE"""),5)</f>
        <v>5</v>
      </c>
      <c r="X474" s="27"/>
      <c r="Y474" s="27"/>
      <c r="Z474" s="27">
        <f ca="1">IFERROR(__xludf.DUMMYFUNCTION("""COMPUTED_VALUE"""),36)</f>
        <v>36</v>
      </c>
      <c r="AA474" s="29">
        <f ca="1">IFERROR(__xludf.DUMMYFUNCTION("""COMPUTED_VALUE"""),44724)</f>
        <v>44724</v>
      </c>
      <c r="AB474" s="27" t="str">
        <f ca="1">IFERROR(__xludf.DUMMYFUNCTION("""COMPUTED_VALUE"""),"Não")</f>
        <v>Não</v>
      </c>
      <c r="AC474" s="27">
        <f ca="1">IFERROR(__xludf.DUMMYFUNCTION("""COMPUTED_VALUE"""),0)</f>
        <v>0</v>
      </c>
      <c r="AD474" s="27">
        <f ca="1">IFERROR(__xludf.DUMMYFUNCTION("""COMPUTED_VALUE"""),7)</f>
        <v>7</v>
      </c>
      <c r="AE474" s="27">
        <f ca="1">IFERROR(__xludf.DUMMYFUNCTION("""COMPUTED_VALUE"""),16)</f>
        <v>16</v>
      </c>
      <c r="AF474" s="27">
        <f ca="1">IFERROR(__xludf.DUMMYFUNCTION("""COMPUTED_VALUE"""),7)</f>
        <v>7</v>
      </c>
      <c r="AG474" s="27">
        <f ca="1">IFERROR(__xludf.DUMMYFUNCTION("""COMPUTED_VALUE"""),3)</f>
        <v>3</v>
      </c>
      <c r="AH474" s="27" t="str">
        <f ca="1">IFERROR(__xludf.DUMMYFUNCTION("""COMPUTED_VALUE"""),"Eventos/Ações para captação, Parceria iniciativa privada, Doações")</f>
        <v>Eventos/Ações para captação, Parceria iniciativa privada, Doações</v>
      </c>
      <c r="AI474" s="27" t="str">
        <f ca="1">IFERROR(__xludf.DUMMYFUNCTION("""COMPUTED_VALUE"""),"50% doações 40% ações 10% iniciativa privada")</f>
        <v>50% doações 40% ações 10% iniciativa privada</v>
      </c>
      <c r="AJ474" s="27" t="str">
        <f ca="1">IFERROR(__xludf.DUMMYFUNCTION("""COMPUTED_VALUE"""),"Vamos iniciar esse ano")</f>
        <v>Vamos iniciar esse ano</v>
      </c>
      <c r="AK474" s="27"/>
      <c r="AL474" s="21" t="str">
        <f ca="1">IFERROR(__xludf.DUMMYFUNCTION("""COMPUTED_VALUE"""),"0034X0000380O5h")</f>
        <v>0034X0000380O5h</v>
      </c>
      <c r="AM474" s="27" t="str">
        <f ca="1">IFERROR(__xludf.DUMMYFUNCTION("""COMPUTED_VALUE"""),"Lorany martins santana")</f>
        <v>Lorany martins santana</v>
      </c>
      <c r="AN474" s="27" t="str">
        <f ca="1">IFERROR(__xludf.DUMMYFUNCTION("""COMPUTED_VALUE"""),"Ativo")</f>
        <v>Ativo</v>
      </c>
      <c r="AO474" s="29">
        <f ca="1">IFERROR(__xludf.DUMMYFUNCTION("""COMPUTED_VALUE"""),44763)</f>
        <v>44763</v>
      </c>
      <c r="AP474" s="27">
        <f ca="1">IFERROR(__xludf.DUMMYFUNCTION("""COMPUTED_VALUE"""),2)</f>
        <v>2</v>
      </c>
      <c r="AQ474" s="27" t="str">
        <f ca="1">IFERROR(__xludf.DUMMYFUNCTION("""COMPUTED_VALUE"""),"Primeiro Semestre 2022")</f>
        <v>Primeiro Semestre 2022</v>
      </c>
      <c r="AR474" s="27" t="str">
        <f ca="1">IFERROR(__xludf.DUMMYFUNCTION("""COMPUTED_VALUE"""),"brendaamkl@gmail.com")</f>
        <v>brendaamkl@gmail.com</v>
      </c>
      <c r="AS474" s="27">
        <f ca="1">IFERROR(__xludf.DUMMYFUNCTION("""COMPUTED_VALUE"""),84998567036)</f>
        <v>84998567036</v>
      </c>
      <c r="AT474" s="29">
        <f ca="1">IFERROR(__xludf.DUMMYFUNCTION("""COMPUTED_VALUE"""),36571)</f>
        <v>36571</v>
      </c>
      <c r="AU474" s="27">
        <f ca="1">IFERROR(__xludf.DUMMYFUNCTION("""COMPUTED_VALUE"""),22)</f>
        <v>22</v>
      </c>
      <c r="AV474" s="27">
        <f ca="1">IFERROR(__xludf.DUMMYFUNCTION("""COMPUTED_VALUE"""),70324781407)</f>
        <v>70324781407</v>
      </c>
      <c r="AW474" s="27">
        <f ca="1">IFERROR(__xludf.DUMMYFUNCTION("""COMPUTED_VALUE"""),3423859)</f>
        <v>3423859</v>
      </c>
      <c r="AX474" s="27"/>
      <c r="AY474" s="27"/>
      <c r="AZ474" s="27" t="str">
        <f ca="1">IFERROR(__xludf.DUMMYFUNCTION("""COMPUTED_VALUE"""),"M")</f>
        <v>M</v>
      </c>
      <c r="BA474" s="27" t="str">
        <f ca="1">IFERROR(__xludf.DUMMYFUNCTION("""COMPUTED_VALUE"""),"Branca")</f>
        <v>Branca</v>
      </c>
      <c r="BB474" s="27"/>
      <c r="BC474" s="27"/>
      <c r="BD474" s="27" t="str">
        <f ca="1">IFERROR(__xludf.DUMMYFUNCTION("""COMPUTED_VALUE"""),"Meu nome é Brenda* tenho 21 anos* nascida e criada no interior do Rio Grande do Norte* estudante de Gestão Ambiental e apaixonada pelas pessoas e pelo desenvolvimento sustentável.")</f>
        <v>Meu nome é Brenda* tenho 21 anos* nascida e criada no interior do Rio Grande do Norte* estudante de Gestão Ambiental e apaixonada pelas pessoas e pelo desenvolvimento sustentável.</v>
      </c>
      <c r="BE474" s="27" t="str">
        <f ca="1">IFERROR(__xludf.DUMMYFUNCTION("""COMPUTED_VALUE"""),"Feminino")</f>
        <v>Feminino</v>
      </c>
      <c r="BF474" s="27" t="str">
        <f ca="1">IFERROR(__xludf.DUMMYFUNCTION("""COMPUTED_VALUE"""),"Pansexual")</f>
        <v>Pansexual</v>
      </c>
      <c r="BG474" s="27"/>
      <c r="BH474" s="27" t="str">
        <f ca="1">IFERROR(__xludf.DUMMYFUNCTION("""COMPUTED_VALUE"""),"Público")</f>
        <v>Público</v>
      </c>
      <c r="BI474" s="27"/>
      <c r="BJ474" s="27"/>
      <c r="BK474" s="27" t="str">
        <f ca="1">IFERROR(__xludf.DUMMYFUNCTION("""COMPUTED_VALUE"""),"Francisco Sales Gorjão")</f>
        <v>Francisco Sales Gorjão</v>
      </c>
      <c r="BL474" s="27">
        <f ca="1">IFERROR(__xludf.DUMMYFUNCTION("""COMPUTED_VALUE"""),14)</f>
        <v>14</v>
      </c>
      <c r="BM474" s="27"/>
      <c r="BN474" s="27"/>
      <c r="BO474" s="27">
        <f ca="1">IFERROR(__xludf.DUMMYFUNCTION("""COMPUTED_VALUE"""),59650000)</f>
        <v>59650000</v>
      </c>
      <c r="BP474" s="27" t="str">
        <f ca="1">IFERROR(__xludf.DUMMYFUNCTION("""COMPUTED_VALUE"""),"RN")</f>
        <v>RN</v>
      </c>
      <c r="BQ474" s="27" t="str">
        <f ca="1">IFERROR(__xludf.DUMMYFUNCTION("""COMPUTED_VALUE"""),"Entre 1 até 3 salários mínimos")</f>
        <v>Entre 1 até 3 salários mínimos</v>
      </c>
      <c r="BR474" s="27" t="str">
        <f ca="1">IFERROR(__xludf.DUMMYFUNCTION("""COMPUTED_VALUE"""),"CLT")</f>
        <v>CLT</v>
      </c>
      <c r="BS474" s="27" t="str">
        <f ca="1">IFERROR(__xludf.DUMMYFUNCTION("""COMPUTED_VALUE"""),"Casa própria")</f>
        <v>Casa própria</v>
      </c>
      <c r="BT474" s="27">
        <f ca="1">IFERROR(__xludf.DUMMYFUNCTION("""COMPUTED_VALUE"""),3)</f>
        <v>3</v>
      </c>
      <c r="BU474" s="27" t="str">
        <f ca="1">IFERROR(__xludf.DUMMYFUNCTION("""COMPUTED_VALUE"""),"Não tem")</f>
        <v>Não tem</v>
      </c>
      <c r="BV474" s="27" t="str">
        <f ca="1">IFERROR(__xludf.DUMMYFUNCTION("""COMPUTED_VALUE"""),"Não")</f>
        <v>Não</v>
      </c>
      <c r="BW474" s="27"/>
      <c r="BX474" s="21" t="str">
        <f ca="1">IFERROR(__xludf.DUMMYFUNCTION("""COMPUTED_VALUE"""),"https://instagram.com/brendavilhosa?utm_medium=copy_link")</f>
        <v>https://instagram.com/brendavilhosa?utm_medium=copy_link</v>
      </c>
      <c r="BY474" s="21" t="str">
        <f ca="1">IFERROR(__xludf.DUMMYFUNCTION("""COMPUTED_VALUE"""),"https://drive.google.com/open?id=1PbbIjsAeffmEXCZLf3eQUwKVEaDDVrMg")</f>
        <v>https://drive.google.com/open?id=1PbbIjsAeffmEXCZLf3eQUwKVEaDDVrMg</v>
      </c>
    </row>
    <row r="475" spans="1:77" ht="12.5" x14ac:dyDescent="0.25">
      <c r="A475" s="21" t="str">
        <f ca="1">IFERROR(__xludf.DUMMYFUNCTION("""COMPUTED_VALUE"""),"0014X00002VKCt8QAH")</f>
        <v>0014X00002VKCt8QAH</v>
      </c>
      <c r="B475" s="27" t="str">
        <f ca="1">IFERROR(__xludf.DUMMYFUNCTION("""COMPUTED_VALUE"""),"Fase Inicial")</f>
        <v>Fase Inicial</v>
      </c>
      <c r="C475" s="27" t="str">
        <f ca="1">IFERROR(__xludf.DUMMYFUNCTION("""COMPUTED_VALUE"""),"Fellow")</f>
        <v>Fellow</v>
      </c>
      <c r="D475" s="27" t="str">
        <f ca="1">IFERROR(__xludf.DUMMYFUNCTION("""COMPUTED_VALUE"""),"Ativo")</f>
        <v>Ativo</v>
      </c>
      <c r="E475" s="27" t="str">
        <f ca="1">IFERROR(__xludf.DUMMYFUNCTION("""COMPUTED_VALUE"""),"não possui")</f>
        <v>não possui</v>
      </c>
      <c r="F475" s="27" t="str">
        <f ca="1">IFERROR(__xludf.DUMMYFUNCTION("""COMPUTED_VALUE"""),"Sonia")</f>
        <v>Sonia</v>
      </c>
      <c r="G475" s="27" t="str">
        <f ca="1">IFERROR(__xludf.DUMMYFUNCTION("""COMPUTED_VALUE"""),"NÃO POSSUU")</f>
        <v>NÃO POSSUU</v>
      </c>
      <c r="H475" s="27" t="str">
        <f ca="1">IFERROR(__xludf.DUMMYFUNCTION("""COMPUTED_VALUE"""),"46.903.719/0001-33")</f>
        <v>46.903.719/0001-33</v>
      </c>
      <c r="I475" s="27" t="str">
        <f ca="1">IFERROR(__xludf.DUMMYFUNCTION("""COMPUTED_VALUE"""),"Ismael Da Silva Pinherio")</f>
        <v>Ismael Da Silva Pinherio</v>
      </c>
      <c r="J475" s="27" t="str">
        <f ca="1">IFERROR(__xludf.DUMMYFUNCTION("""COMPUTED_VALUE"""),"bcmlm123@gmail.com")</f>
        <v>bcmlm123@gmail.com</v>
      </c>
      <c r="K475" s="27" t="str">
        <f ca="1">IFERROR(__xludf.DUMMYFUNCTION("""COMPUTED_VALUE"""),"(85)98550-9916")</f>
        <v>(85)98550-9916</v>
      </c>
      <c r="L475" s="27" t="str">
        <f ca="1">IFERROR(__xludf.DUMMYFUNCTION("""COMPUTED_VALUE"""),"CE")</f>
        <v>CE</v>
      </c>
      <c r="M475" s="27" t="str">
        <f ca="1">IFERROR(__xludf.DUMMYFUNCTION("""COMPUTED_VALUE"""),"R. Torres Camara")</f>
        <v>R. Torres Camara</v>
      </c>
      <c r="N475" s="27" t="str">
        <f ca="1">IFERROR(__xludf.DUMMYFUNCTION("""COMPUTED_VALUE"""),"Aldeota")</f>
        <v>Aldeota</v>
      </c>
      <c r="O475" s="27">
        <f ca="1">IFERROR(__xludf.DUMMYFUNCTION("""COMPUTED_VALUE"""),600)</f>
        <v>600</v>
      </c>
      <c r="P475" s="27" t="str">
        <f ca="1">IFERROR(__xludf.DUMMYFUNCTION("""COMPUTED_VALUE"""),"Fortaleza")</f>
        <v>Fortaleza</v>
      </c>
      <c r="Q475" s="27" t="str">
        <f ca="1">IFERROR(__xludf.DUMMYFUNCTION("""COMPUTED_VALUE"""),"Casa 47")</f>
        <v>Casa 47</v>
      </c>
      <c r="R475" s="27" t="str">
        <f ca="1">IFERROR(__xludf.DUMMYFUNCTION("""COMPUTED_VALUE"""),"60150-060")</f>
        <v>60150-060</v>
      </c>
      <c r="S475" s="27" t="str">
        <f ca="1">IFERROR(__xludf.DUMMYFUNCTION("""COMPUTED_VALUE"""),"sim ( Atividades Ludicas Na Areia Da Praia/Atividades De Surfer No Mar)")</f>
        <v>sim ( Atividades Ludicas Na Areia Da Praia/Atividades De Surfer No Mar)</v>
      </c>
      <c r="T475" s="27"/>
      <c r="U475" s="27" t="str">
        <f ca="1">IFERROR(__xludf.DUMMYFUNCTION("""COMPUTED_VALUE"""),"Crianças pequenas (4 anos a 5 anos e 11 meses), Crianças (6 a 12 anos), Adolescentes (12 aos 18 anos), Jovens (18 aos 24 anos)")</f>
        <v>Crianças pequenas (4 anos a 5 anos e 11 meses), Crianças (6 a 12 anos), Adolescentes (12 aos 18 anos), Jovens (18 aos 24 anos)</v>
      </c>
      <c r="V475" s="27" t="str">
        <f ca="1">IFERROR(__xludf.DUMMYFUNCTION("""COMPUTED_VALUE"""),"Moradores de Favelas, Outros")</f>
        <v>Moradores de Favelas, Outros</v>
      </c>
      <c r="W475" s="27">
        <f ca="1">IFERROR(__xludf.DUMMYFUNCTION("""COMPUTED_VALUE"""),1)</f>
        <v>1</v>
      </c>
      <c r="X475" s="27"/>
      <c r="Y475" s="27"/>
      <c r="Z475" s="27">
        <f ca="1">IFERROR(__xludf.DUMMYFUNCTION("""COMPUTED_VALUE"""),30)</f>
        <v>30</v>
      </c>
      <c r="AA475" s="29">
        <f ca="1">IFERROR(__xludf.DUMMYFUNCTION("""COMPUTED_VALUE"""),44736)</f>
        <v>44736</v>
      </c>
      <c r="AB475" s="27" t="str">
        <f ca="1">IFERROR(__xludf.DUMMYFUNCTION("""COMPUTED_VALUE"""),"Não")</f>
        <v>Não</v>
      </c>
      <c r="AC475" s="27">
        <f ca="1">IFERROR(__xludf.DUMMYFUNCTION("""COMPUTED_VALUE"""),0)</f>
        <v>0</v>
      </c>
      <c r="AD475" s="27">
        <f ca="1">IFERROR(__xludf.DUMMYFUNCTION("""COMPUTED_VALUE"""),1)</f>
        <v>1</v>
      </c>
      <c r="AE475" s="27">
        <f ca="1">IFERROR(__xludf.DUMMYFUNCTION("""COMPUTED_VALUE"""),8)</f>
        <v>8</v>
      </c>
      <c r="AF475" s="27">
        <f ca="1">IFERROR(__xludf.DUMMYFUNCTION("""COMPUTED_VALUE"""),3)</f>
        <v>3</v>
      </c>
      <c r="AG475" s="27">
        <f ca="1">IFERROR(__xludf.DUMMYFUNCTION("""COMPUTED_VALUE"""),2)</f>
        <v>2</v>
      </c>
      <c r="AH475" s="27" t="str">
        <f ca="1">IFERROR(__xludf.DUMMYFUNCTION("""COMPUTED_VALUE"""),"Doações")</f>
        <v>Doações</v>
      </c>
      <c r="AI475" s="27">
        <f ca="1">IFERROR(__xludf.DUMMYFUNCTION("""COMPUTED_VALUE"""),0)</f>
        <v>0</v>
      </c>
      <c r="AJ475" s="27" t="str">
        <f ca="1">IFERROR(__xludf.DUMMYFUNCTION("""COMPUTED_VALUE"""),"Vamos iniciar esse ano")</f>
        <v>Vamos iniciar esse ano</v>
      </c>
      <c r="AK475" s="27"/>
      <c r="AL475" s="21" t="str">
        <f ca="1">IFERROR(__xludf.DUMMYFUNCTION("""COMPUTED_VALUE"""),"0034X0000380O2F")</f>
        <v>0034X0000380O2F</v>
      </c>
      <c r="AM475" s="27" t="str">
        <f ca="1">IFERROR(__xludf.DUMMYFUNCTION("""COMPUTED_VALUE"""),"Maria miranda reis")</f>
        <v>Maria miranda reis</v>
      </c>
      <c r="AN475" s="27" t="str">
        <f ca="1">IFERROR(__xludf.DUMMYFUNCTION("""COMPUTED_VALUE"""),"Ativo")</f>
        <v>Ativo</v>
      </c>
      <c r="AO475" s="27"/>
      <c r="AP475" s="27"/>
      <c r="AQ475" s="27" t="str">
        <f ca="1">IFERROR(__xludf.DUMMYFUNCTION("""COMPUTED_VALUE"""),"Primeiro Semestre 2022")</f>
        <v>Primeiro Semestre 2022</v>
      </c>
      <c r="AR475" s="27" t="str">
        <f ca="1">IFERROR(__xludf.DUMMYFUNCTION("""COMPUTED_VALUE"""),"soniaam959@gmail.com")</f>
        <v>soniaam959@gmail.com</v>
      </c>
      <c r="AS475" s="27">
        <f ca="1">IFERROR(__xludf.DUMMYFUNCTION("""COMPUTED_VALUE"""),21992946480)</f>
        <v>21992946480</v>
      </c>
      <c r="AT475" s="29">
        <f ca="1">IFERROR(__xludf.DUMMYFUNCTION("""COMPUTED_VALUE"""),21968)</f>
        <v>21968</v>
      </c>
      <c r="AU475" s="27">
        <f ca="1">IFERROR(__xludf.DUMMYFUNCTION("""COMPUTED_VALUE"""),62)</f>
        <v>62</v>
      </c>
      <c r="AV475" s="27">
        <f ca="1">IFERROR(__xludf.DUMMYFUNCTION("""COMPUTED_VALUE"""),64907430787)</f>
        <v>64907430787</v>
      </c>
      <c r="AW475" s="27">
        <f ca="1">IFERROR(__xludf.DUMMYFUNCTION("""COMPUTED_VALUE"""),54076559)</f>
        <v>54076559</v>
      </c>
      <c r="AX475" s="27"/>
      <c r="AY475" s="27"/>
      <c r="AZ475" s="27" t="str">
        <f ca="1">IFERROR(__xludf.DUMMYFUNCTION("""COMPUTED_VALUE"""),"G2")</f>
        <v>G2</v>
      </c>
      <c r="BA475" s="27" t="str">
        <f ca="1">IFERROR(__xludf.DUMMYFUNCTION("""COMPUTED_VALUE"""),"Preta")</f>
        <v>Preta</v>
      </c>
      <c r="BB475" s="27"/>
      <c r="BC475" s="27"/>
      <c r="BD475" s="27" t="str">
        <f ca="1">IFERROR(__xludf.DUMMYFUNCTION("""COMPUTED_VALUE"""),"SÔNIA MARIA MIRANDA REIS
Sou Sônia Maria Miranda Reis* tenho 61 anos* sou professora aposentada e trabalhei
como coordenadora pedagógica durante 12 anos. Comecei meus trabalhos
comunitários quando tinha 16 anos* ajudando na alfabetização de adultos pelo a"&amp;"ntigo
Mobral. Atualmente* sou coordenadora da Varanda Literária Maria de Lourdes
Miranda* que faz parte da Rede de Bibliotecas Comunitárias Tecendo Uma Rede de
Leitura. Faço parte do Grupo de Trabalho de Incidência em Políticas Públicas da Rede
Nacional d"&amp;"e Bibliotecas Comunitárias (RNBC). Estou no segundo mandato como
suplente no Conselho Municipal de Cultura de Duque de Caxias* na cadeira de
Literatura Bibliotecas e Salas de Leitura.")</f>
        <v>SÔNIA MARIA MIRANDA REIS
Sou Sônia Maria Miranda Reis* tenho 61 anos* sou professora aposentada e trabalhei
como coordenadora pedagógica durante 12 anos. Comecei meus trabalhos
comunitários quando tinha 16 anos* ajudando na alfabetização de adultos pelo antigo
Mobral. Atualmente* sou coordenadora da Varanda Literária Maria de Lourdes
Miranda* que faz parte da Rede de Bibliotecas Comunitárias Tecendo Uma Rede de
Leitura. Faço parte do Grupo de Trabalho de Incidência em Políticas Públicas da Rede
Nacional de Bibliotecas Comunitárias (RNBC). Estou no segundo mandato como
suplente no Conselho Municipal de Cultura de Duque de Caxias* na cadeira de
Literatura Bibliotecas e Salas de Leitura.</v>
      </c>
      <c r="BE475" s="27" t="str">
        <f ca="1">IFERROR(__xludf.DUMMYFUNCTION("""COMPUTED_VALUE"""),"Feminino")</f>
        <v>Feminino</v>
      </c>
      <c r="BF475" s="27" t="str">
        <f ca="1">IFERROR(__xludf.DUMMYFUNCTION("""COMPUTED_VALUE"""),"Heterossexual")</f>
        <v>Heterossexual</v>
      </c>
      <c r="BG475" s="27"/>
      <c r="BH475" s="27" t="str">
        <f ca="1">IFERROR(__xludf.DUMMYFUNCTION("""COMPUTED_VALUE"""),"Privado")</f>
        <v>Privado</v>
      </c>
      <c r="BI475" s="27"/>
      <c r="BJ475" s="27"/>
      <c r="BK475" s="27" t="str">
        <f ca="1">IFERROR(__xludf.DUMMYFUNCTION("""COMPUTED_VALUE"""),"Rua José Fichiman")</f>
        <v>Rua José Fichiman</v>
      </c>
      <c r="BL475" s="27">
        <f ca="1">IFERROR(__xludf.DUMMYFUNCTION("""COMPUTED_VALUE"""),655)</f>
        <v>655</v>
      </c>
      <c r="BM475" s="27"/>
      <c r="BN475" s="27"/>
      <c r="BO475" s="27">
        <f ca="1">IFERROR(__xludf.DUMMYFUNCTION("""COMPUTED_VALUE"""),25220690)</f>
        <v>25220690</v>
      </c>
      <c r="BP475" s="27" t="str">
        <f ca="1">IFERROR(__xludf.DUMMYFUNCTION("""COMPUTED_VALUE"""),"RJ")</f>
        <v>RJ</v>
      </c>
      <c r="BQ475" s="27" t="str">
        <f ca="1">IFERROR(__xludf.DUMMYFUNCTION("""COMPUTED_VALUE"""),"Entre 1 até 3 salários mínimos")</f>
        <v>Entre 1 até 3 salários mínimos</v>
      </c>
      <c r="BR475" s="27" t="str">
        <f ca="1">IFERROR(__xludf.DUMMYFUNCTION("""COMPUTED_VALUE"""),"CLT")</f>
        <v>CLT</v>
      </c>
      <c r="BS475" s="27" t="str">
        <f ca="1">IFERROR(__xludf.DUMMYFUNCTION("""COMPUTED_VALUE"""),"Casa própria")</f>
        <v>Casa própria</v>
      </c>
      <c r="BT475" s="27">
        <f ca="1">IFERROR(__xludf.DUMMYFUNCTION("""COMPUTED_VALUE"""),3)</f>
        <v>3</v>
      </c>
      <c r="BU475" s="27" t="str">
        <f ca="1">IFERROR(__xludf.DUMMYFUNCTION("""COMPUTED_VALUE"""),"Não tem")</f>
        <v>Não tem</v>
      </c>
      <c r="BV475" s="27" t="str">
        <f ca="1">IFERROR(__xludf.DUMMYFUNCTION("""COMPUTED_VALUE"""),"Não")</f>
        <v>Não</v>
      </c>
      <c r="BW475" s="27"/>
      <c r="BX475" s="27"/>
      <c r="BY475" s="21" t="str">
        <f ca="1">IFERROR(__xludf.DUMMYFUNCTION("""COMPUTED_VALUE"""),"https://drive.google.com/open?id=1cDfta_XQldB9qXqiDerniJ-A7sIV_OTu")</f>
        <v>https://drive.google.com/open?id=1cDfta_XQldB9qXqiDerniJ-A7sIV_OTu</v>
      </c>
    </row>
    <row r="476" spans="1:77" ht="12.5" x14ac:dyDescent="0.25">
      <c r="A476" s="21" t="str">
        <f ca="1">IFERROR(__xludf.DUMMYFUNCTION("""COMPUTED_VALUE"""),"0014P00003YSp8CQAT")</f>
        <v>0014P00003YSp8CQAT</v>
      </c>
      <c r="B476" s="27" t="str">
        <f ca="1">IFERROR(__xludf.DUMMYFUNCTION("""COMPUTED_VALUE"""),"Fase Estruturação")</f>
        <v>Fase Estruturação</v>
      </c>
      <c r="C476" s="27" t="str">
        <f ca="1">IFERROR(__xludf.DUMMYFUNCTION("""COMPUTED_VALUE"""),"Fellow")</f>
        <v>Fellow</v>
      </c>
      <c r="D476" s="27" t="str">
        <f ca="1">IFERROR(__xludf.DUMMYFUNCTION("""COMPUTED_VALUE"""),"Ativo")</f>
        <v>Ativo</v>
      </c>
      <c r="E476" s="27" t="str">
        <f ca="1">IFERROR(__xludf.DUMMYFUNCTION("""COMPUTED_VALUE"""),"NEAC - Núcleo Especial de Atenção à Criança")</f>
        <v>NEAC - Núcleo Especial de Atenção à Criança</v>
      </c>
      <c r="F476" s="27" t="str">
        <f ca="1">IFERROR(__xludf.DUMMYFUNCTION("""COMPUTED_VALUE"""),"Abel")</f>
        <v>Abel</v>
      </c>
      <c r="G476" s="27"/>
      <c r="H476" s="27" t="str">
        <f ca="1">IFERROR(__xludf.DUMMYFUNCTION("""COMPUTED_VALUE"""),"01.721.077/0001-13")</f>
        <v>01.721.077/0001-13</v>
      </c>
      <c r="I476" s="27" t="str">
        <f ca="1">IFERROR(__xludf.DUMMYFUNCTION("""COMPUTED_VALUE"""),"Abel Colberth de Souza Gomes")</f>
        <v>Abel Colberth de Souza Gomes</v>
      </c>
      <c r="J476" s="27" t="str">
        <f ca="1">IFERROR(__xludf.DUMMYFUNCTION("""COMPUTED_VALUE"""),"abelcolberth@gmail.com")</f>
        <v>abelcolberth@gmail.com</v>
      </c>
      <c r="K476" s="27" t="str">
        <f ca="1">IFERROR(__xludf.DUMMYFUNCTION("""COMPUTED_VALUE"""),"(21)99202-6071")</f>
        <v>(21)99202-6071</v>
      </c>
      <c r="L476" s="27" t="str">
        <f ca="1">IFERROR(__xludf.DUMMYFUNCTION("""COMPUTED_VALUE"""),"RJ")</f>
        <v>RJ</v>
      </c>
      <c r="M476" s="27" t="str">
        <f ca="1">IFERROR(__xludf.DUMMYFUNCTION("""COMPUTED_VALUE"""),"Estrada Iaraquã")</f>
        <v>Estrada Iaraquã</v>
      </c>
      <c r="N476" s="27" t="str">
        <f ca="1">IFERROR(__xludf.DUMMYFUNCTION("""COMPUTED_VALUE"""),"Campo Grande")</f>
        <v>Campo Grande</v>
      </c>
      <c r="O476" s="27">
        <f ca="1">IFERROR(__xludf.DUMMYFUNCTION("""COMPUTED_VALUE"""),375)</f>
        <v>375</v>
      </c>
      <c r="P476" s="27" t="str">
        <f ca="1">IFERROR(__xludf.DUMMYFUNCTION("""COMPUTED_VALUE"""),"Rio de Janeiro")</f>
        <v>Rio de Janeiro</v>
      </c>
      <c r="Q476" s="27" t="str">
        <f ca="1">IFERROR(__xludf.DUMMYFUNCTION("""COMPUTED_VALUE"""),"Rua Nossa Senhora da Aparecia 110")</f>
        <v>Rua Nossa Senhora da Aparecia 110</v>
      </c>
      <c r="R476" s="27" t="str">
        <f ca="1">IFERROR(__xludf.DUMMYFUNCTION("""COMPUTED_VALUE"""),"23047-160")</f>
        <v>23047-160</v>
      </c>
      <c r="S476" s="27"/>
      <c r="T476" s="27" t="str">
        <f ca="1">IFERROR(__xludf.DUMMYFUNCTION("""COMPUTED_VALUE"""),"Esporte; Educação; Empregabilidade; Assistência Social; Cultura; Qualificação Profissional; Empreendedorismo; Meio ambiente; Empoderamento Feminino; Negócios Sociais; Defesa de Direitos; Assistência Psicológica; Desenvolvimento comunitário")</f>
        <v>Esporte; Educação; Empregabilidade; Assistência Social; Cultura; Qualificação Profissional; Empreendedorismo; Meio ambiente; Empoderamento Feminino; Negócios Sociais; Defesa de Direitos; Assistência Psicológica; Desenvolvimento comunitário</v>
      </c>
      <c r="U476"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476" s="27" t="str">
        <f ca="1">IFERROR(__xludf.DUMMYFUNCTION("""COMPUTED_VALUE"""),"Moradores de Favelas; Afrodescendentes")</f>
        <v>Moradores de Favelas; Afrodescendentes</v>
      </c>
      <c r="W476" s="27">
        <f ca="1">IFERROR(__xludf.DUMMYFUNCTION("""COMPUTED_VALUE"""),2)</f>
        <v>2</v>
      </c>
      <c r="X476" s="27" t="str">
        <f ca="1">IFERROR(__xludf.DUMMYFUNCTION("""COMPUTED_VALUE"""),"São pessoas em situação de extrema vulnerabilidade social passando pela insegurança alimentar e até a fome. Muitos sobrevivem apenas com benefícios sociais como o Bolsa-Família.")</f>
        <v>São pessoas em situação de extrema vulnerabilidade social passando pela insegurança alimentar e até a fome. Muitos sobrevivem apenas com benefícios sociais como o Bolsa-Família.</v>
      </c>
      <c r="Y476" s="27"/>
      <c r="Z476" s="27">
        <f ca="1">IFERROR(__xludf.DUMMYFUNCTION("""COMPUTED_VALUE"""),800)</f>
        <v>800</v>
      </c>
      <c r="AA476" s="29">
        <f ca="1">IFERROR(__xludf.DUMMYFUNCTION("""COMPUTED_VALUE"""),35482)</f>
        <v>35482</v>
      </c>
      <c r="AB476" s="27" t="str">
        <f ca="1">IFERROR(__xludf.DUMMYFUNCTION("""COMPUTED_VALUE"""),"Sim")</f>
        <v>Sim</v>
      </c>
      <c r="AC476" s="27">
        <f ca="1">IFERROR(__xludf.DUMMYFUNCTION("""COMPUTED_VALUE"""),11)</f>
        <v>11</v>
      </c>
      <c r="AD476" s="27">
        <f ca="1">IFERROR(__xludf.DUMMYFUNCTION("""COMPUTED_VALUE"""),11)</f>
        <v>11</v>
      </c>
      <c r="AE476" s="27">
        <f ca="1">IFERROR(__xludf.DUMMYFUNCTION("""COMPUTED_VALUE"""),8)</f>
        <v>8</v>
      </c>
      <c r="AF476" s="27">
        <f ca="1">IFERROR(__xludf.DUMMYFUNCTION("""COMPUTED_VALUE"""),8)</f>
        <v>8</v>
      </c>
      <c r="AG476" s="27">
        <f ca="1">IFERROR(__xludf.DUMMYFUNCTION("""COMPUTED_VALUE"""),4)</f>
        <v>4</v>
      </c>
      <c r="AH476" s="27" t="str">
        <f ca="1">IFERROR(__xludf.DUMMYFUNCTION("""COMPUTED_VALUE"""),"Negócio Social; Convênio Público; Eventos/Ações para captação; Plataforma doação online - Pessoa Física; Parceria iniciativa privada; Editais; Doações; FIA; Recursos próprios")</f>
        <v>Negócio Social; Convênio Público; Eventos/Ações para captação; Plataforma doação online - Pessoa Física; Parceria iniciativa privada; Editais; Doações; FIA; Recursos próprios</v>
      </c>
      <c r="AI476" s="27" t="str">
        <f ca="1">IFERROR(__xludf.DUMMYFUNCTION("""COMPUTED_VALUE"""),"17% emenda / 40% FIA / 9% Centauro / 34% Instituto Phi")</f>
        <v>17% emenda / 40% FIA / 9% Centauro / 34% Instituto Phi</v>
      </c>
      <c r="AJ476" s="27"/>
      <c r="AK476" s="27"/>
      <c r="AL476" s="21" t="str">
        <f ca="1">IFERROR(__xludf.DUMMYFUNCTION("""COMPUTED_VALUE"""),"0034P000045kxin")</f>
        <v>0034P000045kxin</v>
      </c>
      <c r="AM476" s="27" t="str">
        <f ca="1">IFERROR(__xludf.DUMMYFUNCTION("""COMPUTED_VALUE"""),"Colberth De Souza Gomes")</f>
        <v>Colberth De Souza Gomes</v>
      </c>
      <c r="AN476" s="27" t="str">
        <f ca="1">IFERROR(__xludf.DUMMYFUNCTION("""COMPUTED_VALUE"""),"Ativo")</f>
        <v>Ativo</v>
      </c>
      <c r="AO476" s="30">
        <f ca="1">IFERROR(__xludf.DUMMYFUNCTION("""COMPUTED_VALUE"""),44551)</f>
        <v>44551</v>
      </c>
      <c r="AP476" s="27">
        <f ca="1">IFERROR(__xludf.DUMMYFUNCTION("""COMPUTED_VALUE"""),9)</f>
        <v>9</v>
      </c>
      <c r="AQ476" s="27" t="str">
        <f ca="1">IFERROR(__xludf.DUMMYFUNCTION("""COMPUTED_VALUE"""),"Segundo Semestre 2021")</f>
        <v>Segundo Semestre 2021</v>
      </c>
      <c r="AR476" s="27" t="str">
        <f ca="1">IFERROR(__xludf.DUMMYFUNCTION("""COMPUTED_VALUE"""),"abelcolberth@gmail.com")</f>
        <v>abelcolberth@gmail.com</v>
      </c>
      <c r="AS476" s="27" t="str">
        <f ca="1">IFERROR(__xludf.DUMMYFUNCTION("""COMPUTED_VALUE"""),"(21)99202-6071")</f>
        <v>(21)99202-6071</v>
      </c>
      <c r="AT476" s="29">
        <f ca="1">IFERROR(__xludf.DUMMYFUNCTION("""COMPUTED_VALUE"""),35215)</f>
        <v>35215</v>
      </c>
      <c r="AU476" s="27">
        <f ca="1">IFERROR(__xludf.DUMMYFUNCTION("""COMPUTED_VALUE"""),26)</f>
        <v>26</v>
      </c>
      <c r="AV476" s="27">
        <f ca="1">IFERROR(__xludf.DUMMYFUNCTION("""COMPUTED_VALUE"""),17326499799)</f>
        <v>17326499799</v>
      </c>
      <c r="AW476" s="27">
        <f ca="1">IFERROR(__xludf.DUMMYFUNCTION("""COMPUTED_VALUE"""),3013943344)</f>
        <v>3013943344</v>
      </c>
      <c r="AX476" s="27"/>
      <c r="AY476" s="27"/>
      <c r="AZ476" s="27" t="str">
        <f ca="1">IFERROR(__xludf.DUMMYFUNCTION("""COMPUTED_VALUE"""),"M")</f>
        <v>M</v>
      </c>
      <c r="BA476" s="27" t="str">
        <f ca="1">IFERROR(__xludf.DUMMYFUNCTION("""COMPUTED_VALUE"""),"Parda")</f>
        <v>Parda</v>
      </c>
      <c r="BB476" s="27" t="str">
        <f ca="1">IFERROR(__xludf.DUMMYFUNCTION("""COMPUTED_VALUE"""),"Homem, cisgênero")</f>
        <v>Homem, cisgênero</v>
      </c>
      <c r="BC476" s="27" t="str">
        <f ca="1">IFERROR(__xludf.DUMMYFUNCTION("""COMPUTED_VALUE"""),"Sim")</f>
        <v>Sim</v>
      </c>
      <c r="BD476" s="27" t="str">
        <f ca="1">IFERROR(__xludf.DUMMYFUNCTION("""COMPUTED_VALUE"""),"Abel Gomes é filho de um Nordestino e uma carioca, e viveu de perto a pobreza desde criança. Graças à educação teve sua vida transformada, e hoje é um assistente social que luta para promover a educação e transformar a vida de outras crianças que passaram"&amp;" pela mesma situação que ele.")</f>
        <v>Abel Gomes é filho de um Nordestino e uma carioca, e viveu de perto a pobreza desde criança. Graças à educação teve sua vida transformada, e hoje é um assistente social que luta para promover a educação e transformar a vida de outras crianças que passaram pela mesma situação que ele.</v>
      </c>
      <c r="BE476" s="27"/>
      <c r="BF476" s="27" t="str">
        <f ca="1">IFERROR(__xludf.DUMMYFUNCTION("""COMPUTED_VALUE"""),"Heterossexual")</f>
        <v>Heterossexual</v>
      </c>
      <c r="BG476" s="27" t="str">
        <f ca="1">IFERROR(__xludf.DUMMYFUNCTION("""COMPUTED_VALUE"""),"Ensino Superior - Completo")</f>
        <v>Ensino Superior - Completo</v>
      </c>
      <c r="BH476" s="27" t="str">
        <f ca="1">IFERROR(__xludf.DUMMYFUNCTION("""COMPUTED_VALUE"""),"Público")</f>
        <v>Público</v>
      </c>
      <c r="BI476" s="27" t="str">
        <f ca="1">IFERROR(__xludf.DUMMYFUNCTION("""COMPUTED_VALUE"""),"Graduação")</f>
        <v>Graduação</v>
      </c>
      <c r="BJ476" s="27" t="str">
        <f ca="1">IFERROR(__xludf.DUMMYFUNCTION("""COMPUTED_VALUE"""),"Público")</f>
        <v>Público</v>
      </c>
      <c r="BK476" s="27" t="str">
        <f ca="1">IFERROR(__xludf.DUMMYFUNCTION("""COMPUTED_VALUE"""),"Estrada Iaraquã")</f>
        <v>Estrada Iaraquã</v>
      </c>
      <c r="BL476" s="27">
        <f ca="1">IFERROR(__xludf.DUMMYFUNCTION("""COMPUTED_VALUE"""),675)</f>
        <v>675</v>
      </c>
      <c r="BM476" s="27" t="str">
        <f ca="1">IFERROR(__xludf.DUMMYFUNCTION("""COMPUTED_VALUE"""),"Casa 77")</f>
        <v>Casa 77</v>
      </c>
      <c r="BN476" s="27" t="str">
        <f ca="1">IFERROR(__xludf.DUMMYFUNCTION("""COMPUTED_VALUE"""),"Rio de Janeiro")</f>
        <v>Rio de Janeiro</v>
      </c>
      <c r="BO476" s="27" t="str">
        <f ca="1">IFERROR(__xludf.DUMMYFUNCTION("""COMPUTED_VALUE"""),"23047-160")</f>
        <v>23047-160</v>
      </c>
      <c r="BP476" s="27" t="str">
        <f ca="1">IFERROR(__xludf.DUMMYFUNCTION("""COMPUTED_VALUE"""),"RJ")</f>
        <v>RJ</v>
      </c>
      <c r="BQ476" s="27" t="str">
        <f ca="1">IFERROR(__xludf.DUMMYFUNCTION("""COMPUTED_VALUE"""),"De 3 até 5 salários mínimos")</f>
        <v>De 3 até 5 salários mínimos</v>
      </c>
      <c r="BR476" s="27" t="str">
        <f ca="1">IFERROR(__xludf.DUMMYFUNCTION("""COMPUTED_VALUE"""),"MEI")</f>
        <v>MEI</v>
      </c>
      <c r="BS476" s="27" t="str">
        <f ca="1">IFERROR(__xludf.DUMMYFUNCTION("""COMPUTED_VALUE"""),"Casa própria")</f>
        <v>Casa própria</v>
      </c>
      <c r="BT476" s="27">
        <f ca="1">IFERROR(__xludf.DUMMYFUNCTION("""COMPUTED_VALUE"""),2)</f>
        <v>2</v>
      </c>
      <c r="BU476" s="27" t="str">
        <f ca="1">IFERROR(__xludf.DUMMYFUNCTION("""COMPUTED_VALUE"""),"Não tem")</f>
        <v>Não tem</v>
      </c>
      <c r="BV476" s="27"/>
      <c r="BW476" s="21" t="str">
        <f ca="1">IFERROR(__xludf.DUMMYFUNCTION("""COMPUTED_VALUE"""),"https://www.linkedin.com/in/abel-gomes-9820221b9")</f>
        <v>https://www.linkedin.com/in/abel-gomes-9820221b9</v>
      </c>
      <c r="BX476" s="27"/>
      <c r="BY476" s="21" t="str">
        <f ca="1">IFERROR(__xludf.DUMMYFUNCTION("""COMPUTED_VALUE"""),"https://drive.google.com/open?id=1hFpaQh1Er-ptYpVeMbd2ZFSsKNu2SNTW")</f>
        <v>https://drive.google.com/open?id=1hFpaQh1Er-ptYpVeMbd2ZFSsKNu2SNTW</v>
      </c>
    </row>
    <row r="477" spans="1:77" ht="12.5" hidden="1" x14ac:dyDescent="0.25">
      <c r="A477" s="21" t="str">
        <f ca="1">IFERROR(__xludf.DUMMYFUNCTION("""COMPUTED_VALUE"""),"0014X00002VKCpvQAH")</f>
        <v>0014X00002VKCpvQAH</v>
      </c>
      <c r="B477" s="27" t="str">
        <f ca="1">IFERROR(__xludf.DUMMYFUNCTION("""COMPUTED_VALUE"""),"Fase Inicial")</f>
        <v>Fase Inicial</v>
      </c>
      <c r="C477" s="27" t="str">
        <f ca="1">IFERROR(__xludf.DUMMYFUNCTION("""COMPUTED_VALUE"""),"Fellow")</f>
        <v>Fellow</v>
      </c>
      <c r="D477" s="27" t="str">
        <f ca="1">IFERROR(__xludf.DUMMYFUNCTION("""COMPUTED_VALUE"""),"Ativo")</f>
        <v>Ativo</v>
      </c>
      <c r="E477" s="27" t="str">
        <f ca="1">IFERROR(__xludf.DUMMYFUNCTION("""COMPUTED_VALUE"""),"Nossa razão e uma sociedade igual para todos ! Que família carentes tenha direto alimentação digna e educação para todos para um futuro com mas igualdade!")</f>
        <v>Nossa razão e uma sociedade igual para todos ! Que família carentes tenha direto alimentação digna e educação para todos para um futuro com mas igualdade!</v>
      </c>
      <c r="F477" s="27" t="str">
        <f ca="1">IFERROR(__xludf.DUMMYFUNCTION("""COMPUTED_VALUE"""),"Francisca")</f>
        <v>Francisca</v>
      </c>
      <c r="G477" s="27" t="str">
        <f ca="1">IFERROR(__xludf.DUMMYFUNCTION("""COMPUTED_VALUE"""),"PROJETO AMOR AO PRÓXIMO")</f>
        <v>PROJETO AMOR AO PRÓXIMO</v>
      </c>
      <c r="H477" s="27"/>
      <c r="I477" s="27" t="str">
        <f ca="1">IFERROR(__xludf.DUMMYFUNCTION("""COMPUTED_VALUE"""),"Luzyrene de Brito Silva")</f>
        <v>Luzyrene de Brito Silva</v>
      </c>
      <c r="J477" s="27" t="str">
        <f ca="1">IFERROR(__xludf.DUMMYFUNCTION("""COMPUTED_VALUE"""),"luzirenibritoluzireni@gmail.com")</f>
        <v>luzirenibritoluzireni@gmail.com</v>
      </c>
      <c r="K477" s="27" t="str">
        <f ca="1">IFERROR(__xludf.DUMMYFUNCTION("""COMPUTED_VALUE"""),"(85)98775-5459")</f>
        <v>(85)98775-5459</v>
      </c>
      <c r="L477" s="27" t="str">
        <f ca="1">IFERROR(__xludf.DUMMYFUNCTION("""COMPUTED_VALUE"""),"CE")</f>
        <v>CE</v>
      </c>
      <c r="M477" s="27" t="str">
        <f ca="1">IFERROR(__xludf.DUMMYFUNCTION("""COMPUTED_VALUE"""),"Rua Lauro Cirino")</f>
        <v>Rua Lauro Cirino</v>
      </c>
      <c r="N477" s="27" t="str">
        <f ca="1">IFERROR(__xludf.DUMMYFUNCTION("""COMPUTED_VALUE"""),"Novo parque Iracema")</f>
        <v>Novo parque Iracema</v>
      </c>
      <c r="O477" s="27">
        <f ca="1">IFERROR(__xludf.DUMMYFUNCTION("""COMPUTED_VALUE"""),805)</f>
        <v>805</v>
      </c>
      <c r="P477" s="27" t="str">
        <f ca="1">IFERROR(__xludf.DUMMYFUNCTION("""COMPUTED_VALUE"""),"Maranguape")</f>
        <v>Maranguape</v>
      </c>
      <c r="Q477" s="27" t="str">
        <f ca="1">IFERROR(__xludf.DUMMYFUNCTION("""COMPUTED_VALUE"""),"Casa")</f>
        <v>Casa</v>
      </c>
      <c r="R477" s="27" t="str">
        <f ca="1">IFERROR(__xludf.DUMMYFUNCTION("""COMPUTED_VALUE"""),"61649-150")</f>
        <v>61649-150</v>
      </c>
      <c r="S477" s="27"/>
      <c r="T477" s="27"/>
      <c r="U477" s="27" t="str">
        <f ca="1">IFERROR(__xludf.DUMMYFUNCTION("""COMPUTED_VALUE"""),"Crianças (6 a 12 anos), Adolescentes (12 aos 18 anos), Jovens (18 aos 24 anos), Adultos, Idosos (60 anos ou mais)")</f>
        <v>Crianças (6 a 12 anos), Adolescentes (12 aos 18 anos), Jovens (18 aos 24 anos), Adultos, Idosos (60 anos ou mais)</v>
      </c>
      <c r="V477" s="27" t="str">
        <f ca="1">IFERROR(__xludf.DUMMYFUNCTION("""COMPUTED_VALUE"""),"Moradores de Favelas, Pessoas em situação de rua, Comunidade rural")</f>
        <v>Moradores de Favelas, Pessoas em situação de rua, Comunidade rural</v>
      </c>
      <c r="W477" s="27">
        <f ca="1">IFERROR(__xludf.DUMMYFUNCTION("""COMPUTED_VALUE"""),2)</f>
        <v>2</v>
      </c>
      <c r="X477" s="27" t="str">
        <f ca="1">IFERROR(__xludf.DUMMYFUNCTION("""COMPUTED_VALUE"""),"Entre o público alvo pessoas com deficiência são atendidos para assim leva uma melhoria de vida !buscamos leva alimentação digna para as famílias carentes que trabalham com a reciclagem e mulheres chefes de família! Lutamos contra a violência doméstica as"&amp;"sim juntos transformar a vida destas famílias!
Nossa maior missão e leva amor em forma de alimentação pras famílias carentes!")</f>
        <v>Entre o público alvo pessoas com deficiência são atendidos para assim leva uma melhoria de vida !buscamos leva alimentação digna para as famílias carentes que trabalham com a reciclagem e mulheres chefes de família! Lutamos contra a violência doméstica assim juntos transformar a vida destas famílias!
Nossa maior missão e leva amor em forma de alimentação pras famílias carentes!</v>
      </c>
      <c r="Y477" s="27"/>
      <c r="Z477" s="27">
        <f ca="1">IFERROR(__xludf.DUMMYFUNCTION("""COMPUTED_VALUE"""),20)</f>
        <v>20</v>
      </c>
      <c r="AA477" s="29">
        <f ca="1">IFERROR(__xludf.DUMMYFUNCTION("""COMPUTED_VALUE"""),42073)</f>
        <v>42073</v>
      </c>
      <c r="AB477" s="27" t="str">
        <f ca="1">IFERROR(__xludf.DUMMYFUNCTION("""COMPUTED_VALUE"""),"Não")</f>
        <v>Não</v>
      </c>
      <c r="AC477" s="27">
        <f ca="1">IFERROR(__xludf.DUMMYFUNCTION("""COMPUTED_VALUE"""),1)</f>
        <v>1</v>
      </c>
      <c r="AD477" s="27">
        <f ca="1">IFERROR(__xludf.DUMMYFUNCTION("""COMPUTED_VALUE"""),8)</f>
        <v>8</v>
      </c>
      <c r="AE477" s="27">
        <f ca="1">IFERROR(__xludf.DUMMYFUNCTION("""COMPUTED_VALUE"""),12)</f>
        <v>12</v>
      </c>
      <c r="AF477" s="27">
        <f ca="1">IFERROR(__xludf.DUMMYFUNCTION("""COMPUTED_VALUE"""),12)</f>
        <v>12</v>
      </c>
      <c r="AG477" s="27">
        <f ca="1">IFERROR(__xludf.DUMMYFUNCTION("""COMPUTED_VALUE"""),2)</f>
        <v>2</v>
      </c>
      <c r="AH477" s="27" t="str">
        <f ca="1">IFERROR(__xludf.DUMMYFUNCTION("""COMPUTED_VALUE"""),"Eventos/Ações para captação")</f>
        <v>Eventos/Ações para captação</v>
      </c>
      <c r="AI477" s="27" t="str">
        <f ca="1">IFERROR(__xludf.DUMMYFUNCTION("""COMPUTED_VALUE"""),"Não temos")</f>
        <v>Não temos</v>
      </c>
      <c r="AJ477" s="27" t="str">
        <f ca="1">IFERROR(__xludf.DUMMYFUNCTION("""COMPUTED_VALUE"""),"Não")</f>
        <v>Não</v>
      </c>
      <c r="AK477" s="27"/>
      <c r="AL477" s="21" t="str">
        <f ca="1">IFERROR(__xludf.DUMMYFUNCTION("""COMPUTED_VALUE"""),"0034X0000380O6Z")</f>
        <v>0034X0000380O6Z</v>
      </c>
      <c r="AM477" s="27" t="str">
        <f ca="1">IFERROR(__xludf.DUMMYFUNCTION("""COMPUTED_VALUE"""),"Luzia dos santos gomes")</f>
        <v>Luzia dos santos gomes</v>
      </c>
      <c r="AN477" s="27" t="str">
        <f ca="1">IFERROR(__xludf.DUMMYFUNCTION("""COMPUTED_VALUE"""),"Ativo")</f>
        <v>Ativo</v>
      </c>
      <c r="AO477" s="29">
        <f ca="1">IFERROR(__xludf.DUMMYFUNCTION("""COMPUTED_VALUE"""),44763)</f>
        <v>44763</v>
      </c>
      <c r="AP477" s="27">
        <f ca="1">IFERROR(__xludf.DUMMYFUNCTION("""COMPUTED_VALUE"""),2)</f>
        <v>2</v>
      </c>
      <c r="AQ477" s="27" t="str">
        <f ca="1">IFERROR(__xludf.DUMMYFUNCTION("""COMPUTED_VALUE"""),"Primeiro Semestre 2022")</f>
        <v>Primeiro Semestre 2022</v>
      </c>
      <c r="AR477" s="27" t="str">
        <f ca="1">IFERROR(__xludf.DUMMYFUNCTION("""COMPUTED_VALUE"""),"luziadojp@gmail.com")</f>
        <v>luziadojp@gmail.com</v>
      </c>
      <c r="AS477" s="27">
        <f ca="1">IFERROR(__xludf.DUMMYFUNCTION("""COMPUTED_VALUE"""),85986286557)</f>
        <v>85986286557</v>
      </c>
      <c r="AT477" s="29">
        <f ca="1">IFERROR(__xludf.DUMMYFUNCTION("""COMPUTED_VALUE"""),32367)</f>
        <v>32367</v>
      </c>
      <c r="AU477" s="27">
        <f ca="1">IFERROR(__xludf.DUMMYFUNCTION("""COMPUTED_VALUE"""),34)</f>
        <v>34</v>
      </c>
      <c r="AV477" s="27">
        <f ca="1">IFERROR(__xludf.DUMMYFUNCTION("""COMPUTED_VALUE"""),3377330313)</f>
        <v>3377330313</v>
      </c>
      <c r="AW477" s="27">
        <f ca="1">IFERROR(__xludf.DUMMYFUNCTION("""COMPUTED_VALUE"""),2004097009036)</f>
        <v>2004097009036</v>
      </c>
      <c r="AX477" s="27"/>
      <c r="AY477" s="27"/>
      <c r="AZ477" s="27" t="str">
        <f ca="1">IFERROR(__xludf.DUMMYFUNCTION("""COMPUTED_VALUE"""),"P")</f>
        <v>P</v>
      </c>
      <c r="BA477" s="27" t="str">
        <f ca="1">IFERROR(__xludf.DUMMYFUNCTION("""COMPUTED_VALUE"""),"Preta")</f>
        <v>Preta</v>
      </c>
      <c r="BB477" s="27"/>
      <c r="BC477" s="27"/>
      <c r="BD477" s="27" t="str">
        <f ca="1">IFERROR(__xludf.DUMMYFUNCTION("""COMPUTED_VALUE"""),"Que a felicidade do próximo seja o motivo da minha felicidade ??")</f>
        <v>Que a felicidade do próximo seja o motivo da minha felicidade ??</v>
      </c>
      <c r="BE477" s="27" t="str">
        <f ca="1">IFERROR(__xludf.DUMMYFUNCTION("""COMPUTED_VALUE"""),"Feminino")</f>
        <v>Feminino</v>
      </c>
      <c r="BF477" s="27" t="str">
        <f ca="1">IFERROR(__xludf.DUMMYFUNCTION("""COMPUTED_VALUE"""),"Heterossexual")</f>
        <v>Heterossexual</v>
      </c>
      <c r="BG477" s="27"/>
      <c r="BH477" s="27" t="str">
        <f ca="1">IFERROR(__xludf.DUMMYFUNCTION("""COMPUTED_VALUE"""),"Público")</f>
        <v>Público</v>
      </c>
      <c r="BI477" s="27"/>
      <c r="BJ477" s="27"/>
      <c r="BK477" s="27" t="str">
        <f ca="1">IFERROR(__xludf.DUMMYFUNCTION("""COMPUTED_VALUE"""),"Rua 03")</f>
        <v>Rua 03</v>
      </c>
      <c r="BL477" s="27">
        <f ca="1">IFERROR(__xludf.DUMMYFUNCTION("""COMPUTED_VALUE"""),118)</f>
        <v>118</v>
      </c>
      <c r="BM477" s="27"/>
      <c r="BN477" s="27"/>
      <c r="BO477" s="27">
        <f ca="1">IFERROR(__xludf.DUMMYFUNCTION("""COMPUTED_VALUE"""),60863840)</f>
        <v>60863840</v>
      </c>
      <c r="BP477" s="27" t="str">
        <f ca="1">IFERROR(__xludf.DUMMYFUNCTION("""COMPUTED_VALUE"""),"CE")</f>
        <v>CE</v>
      </c>
      <c r="BQ477" s="27" t="str">
        <f ca="1">IFERROR(__xludf.DUMMYFUNCTION("""COMPUTED_VALUE"""),"Entre 1 até 3 salários mínimos")</f>
        <v>Entre 1 até 3 salários mínimos</v>
      </c>
      <c r="BR477" s="27" t="str">
        <f ca="1">IFERROR(__xludf.DUMMYFUNCTION("""COMPUTED_VALUE"""),"Trabalho informal")</f>
        <v>Trabalho informal</v>
      </c>
      <c r="BS477" s="27" t="str">
        <f ca="1">IFERROR(__xludf.DUMMYFUNCTION("""COMPUTED_VALUE"""),"Casa própria")</f>
        <v>Casa própria</v>
      </c>
      <c r="BT477" s="27">
        <f ca="1">IFERROR(__xludf.DUMMYFUNCTION("""COMPUTED_VALUE"""),7)</f>
        <v>7</v>
      </c>
      <c r="BU477" s="27" t="str">
        <f ca="1">IFERROR(__xludf.DUMMYFUNCTION("""COMPUTED_VALUE"""),"Não tem")</f>
        <v>Não tem</v>
      </c>
      <c r="BV477" s="27" t="str">
        <f ca="1">IFERROR(__xludf.DUMMYFUNCTION("""COMPUTED_VALUE"""),"Não")</f>
        <v>Não</v>
      </c>
      <c r="BW477" s="27"/>
      <c r="BX477" s="21" t="str">
        <f ca="1">IFERROR(__xludf.DUMMYFUNCTION("""COMPUTED_VALUE"""),"https://instagram.com/luizadssantoss?utm_medium=copy_link")</f>
        <v>https://instagram.com/luizadssantoss?utm_medium=copy_link</v>
      </c>
      <c r="BY477" s="21" t="str">
        <f ca="1">IFERROR(__xludf.DUMMYFUNCTION("""COMPUTED_VALUE"""),"https://drive.google.com/open?id=1UaVBIpMGTvugcCNZe4DZC2_TqAtVspG2")</f>
        <v>https://drive.google.com/open?id=1UaVBIpMGTvugcCNZe4DZC2_TqAtVspG2</v>
      </c>
    </row>
    <row r="478" spans="1:77" ht="12.5" x14ac:dyDescent="0.25">
      <c r="A478" s="21" t="str">
        <f ca="1">IFERROR(__xludf.DUMMYFUNCTION("""COMPUTED_VALUE"""),"0014P00003SGWFtQAP")</f>
        <v>0014P00003SGWFtQAP</v>
      </c>
      <c r="B478" s="27" t="str">
        <f ca="1">IFERROR(__xludf.DUMMYFUNCTION("""COMPUTED_VALUE"""),"Fase Inicial")</f>
        <v>Fase Inicial</v>
      </c>
      <c r="C478" s="27" t="str">
        <f ca="1">IFERROR(__xludf.DUMMYFUNCTION("""COMPUTED_VALUE"""),"Acelerada")</f>
        <v>Acelerada</v>
      </c>
      <c r="D478" s="27" t="str">
        <f ca="1">IFERROR(__xludf.DUMMYFUNCTION("""COMPUTED_VALUE"""),"Ativo")</f>
        <v>Ativo</v>
      </c>
      <c r="E478" s="27" t="str">
        <f ca="1">IFERROR(__xludf.DUMMYFUNCTION("""COMPUTED_VALUE"""),"NOS SOMOS A PONTE")</f>
        <v>NOS SOMOS A PONTE</v>
      </c>
      <c r="F478" s="27" t="str">
        <f ca="1">IFERROR(__xludf.DUMMYFUNCTION("""COMPUTED_VALUE"""),"Alcione")</f>
        <v>Alcione</v>
      </c>
      <c r="G478" s="27" t="str">
        <f ca="1">IFERROR(__xludf.DUMMYFUNCTION("""COMPUTED_VALUE"""),"PROJETO PONTE")</f>
        <v>PROJETO PONTE</v>
      </c>
      <c r="H478" s="27" t="str">
        <f ca="1">IFERROR(__xludf.DUMMYFUNCTION("""COMPUTED_VALUE"""),"42.364.272/0001-10")</f>
        <v>42.364.272/0001-10</v>
      </c>
      <c r="I478" s="27" t="str">
        <f ca="1">IFERROR(__xludf.DUMMYFUNCTION("""COMPUTED_VALUE"""),"Keila Ramos Verdeiro")</f>
        <v>Keila Ramos Verdeiro</v>
      </c>
      <c r="J478" s="27" t="str">
        <f ca="1">IFERROR(__xludf.DUMMYFUNCTION("""COMPUTED_VALUE"""),"projetoponte.adm@gmail.com")</f>
        <v>projetoponte.adm@gmail.com</v>
      </c>
      <c r="K478" s="27" t="str">
        <f ca="1">IFERROR(__xludf.DUMMYFUNCTION("""COMPUTED_VALUE"""),"(11)95232-2013")</f>
        <v>(11)95232-2013</v>
      </c>
      <c r="L478" s="27" t="str">
        <f ca="1">IFERROR(__xludf.DUMMYFUNCTION("""COMPUTED_VALUE"""),"SP")</f>
        <v>SP</v>
      </c>
      <c r="M478" s="27" t="str">
        <f ca="1">IFERROR(__xludf.DUMMYFUNCTION("""COMPUTED_VALUE"""),"Rua Mariano")</f>
        <v>Rua Mariano</v>
      </c>
      <c r="N478" s="27" t="str">
        <f ca="1">IFERROR(__xludf.DUMMYFUNCTION("""COMPUTED_VALUE"""),"CIDADE NOVA HELIÓPOLIS")</f>
        <v>CIDADE NOVA HELIÓPOLIS</v>
      </c>
      <c r="O478" s="27" t="str">
        <f ca="1">IFERROR(__xludf.DUMMYFUNCTION("""COMPUTED_VALUE"""),"(11)95232-2013")</f>
        <v>(11)95232-2013</v>
      </c>
      <c r="P478" s="27" t="str">
        <f ca="1">IFERROR(__xludf.DUMMYFUNCTION("""COMPUTED_VALUE"""),"São Paulo")</f>
        <v>São Paulo</v>
      </c>
      <c r="Q478" s="27"/>
      <c r="R478" s="27" t="str">
        <f ca="1">IFERROR(__xludf.DUMMYFUNCTION("""COMPUTED_VALUE"""),"04235-370")</f>
        <v>04235-370</v>
      </c>
      <c r="S478" s="27"/>
      <c r="T478" s="27" t="str">
        <f ca="1">IFERROR(__xludf.DUMMYFUNCTION("""COMPUTED_VALUE"""),"Esporte; Educação; Empregabilidade; Cultura; Qualificação Profissional; Empreendedorismo; Saúde; Empoderamento Feminino; Negócios Sociais; Defesa de Direitos; Assistência Psicológica")</f>
        <v>Esporte; Educação; Empregabilidade; Cultura; Qualificação Profissional; Empreendedorismo; Saúde; Empoderamento Feminino; Negócios Sociais; Defesa de Direitos; Assistência Psicológica</v>
      </c>
      <c r="U478" s="27" t="str">
        <f ca="1">IFERROR(__xludf.DUMMYFUNCTION("""COMPUTED_VALUE"""),"Crianças (6 a 12 anos); Adolescentes (12 aos 18 anos); Jovens (18 aos 24 anos); Adultos; Idosos (60 anos ou mais)")</f>
        <v>Crianças (6 a 12 anos); Adolescentes (12 aos 18 anos); Jovens (18 aos 24 anos); Adultos; Idosos (60 anos ou mais)</v>
      </c>
      <c r="V478" s="27" t="str">
        <f ca="1">IFERROR(__xludf.DUMMYFUNCTION("""COMPUTED_VALUE"""),"Moradores de Favelas")</f>
        <v>Moradores de Favelas</v>
      </c>
      <c r="W478" s="27">
        <f ca="1">IFERROR(__xludf.DUMMYFUNCTION("""COMPUTED_VALUE"""),2)</f>
        <v>2</v>
      </c>
      <c r="X478" s="27"/>
      <c r="Y478" s="27">
        <f ca="1">IFERROR(__xludf.DUMMYFUNCTION("""COMPUTED_VALUE"""),902)</f>
        <v>902</v>
      </c>
      <c r="Z478" s="27">
        <f ca="1">IFERROR(__xludf.DUMMYFUNCTION("""COMPUTED_VALUE"""),2000)</f>
        <v>2000</v>
      </c>
      <c r="AA478" s="29">
        <f ca="1">IFERROR(__xludf.DUMMYFUNCTION("""COMPUTED_VALUE"""),44035)</f>
        <v>44035</v>
      </c>
      <c r="AB478" s="27" t="str">
        <f ca="1">IFERROR(__xludf.DUMMYFUNCTION("""COMPUTED_VALUE"""),"Sim")</f>
        <v>Sim</v>
      </c>
      <c r="AC478" s="27">
        <f ca="1">IFERROR(__xludf.DUMMYFUNCTION("""COMPUTED_VALUE"""),4)</f>
        <v>4</v>
      </c>
      <c r="AD478" s="27">
        <f ca="1">IFERROR(__xludf.DUMMYFUNCTION("""COMPUTED_VALUE"""),0)</f>
        <v>0</v>
      </c>
      <c r="AE478" s="27">
        <f ca="1">IFERROR(__xludf.DUMMYFUNCTION("""COMPUTED_VALUE"""),5)</f>
        <v>5</v>
      </c>
      <c r="AF478" s="27">
        <f ca="1">IFERROR(__xludf.DUMMYFUNCTION("""COMPUTED_VALUE"""),0)</f>
        <v>0</v>
      </c>
      <c r="AG478" s="27">
        <f ca="1">IFERROR(__xludf.DUMMYFUNCTION("""COMPUTED_VALUE"""),1)</f>
        <v>1</v>
      </c>
      <c r="AH478" s="27" t="str">
        <f ca="1">IFERROR(__xludf.DUMMYFUNCTION("""COMPUTED_VALUE"""),"Outro(s)")</f>
        <v>Outro(s)</v>
      </c>
      <c r="AI478" s="27">
        <f ca="1">IFERROR(__xludf.DUMMYFUNCTION("""COMPUTED_VALUE"""),1)</f>
        <v>1</v>
      </c>
      <c r="AJ478" s="27" t="str">
        <f ca="1">IFERROR(__xludf.DUMMYFUNCTION("""COMPUTED_VALUE"""),"Sim")</f>
        <v>Sim</v>
      </c>
      <c r="AK478" s="27" t="str">
        <f ca="1">IFERROR(__xludf.DUMMYFUNCTION("""COMPUTED_VALUE"""),"Não")</f>
        <v>Não</v>
      </c>
      <c r="AL478" s="21" t="str">
        <f ca="1">IFERROR(__xludf.DUMMYFUNCTION("""COMPUTED_VALUE"""),"0034P000043fOnT")</f>
        <v>0034P000043fOnT</v>
      </c>
      <c r="AM478" s="27" t="str">
        <f ca="1">IFERROR(__xludf.DUMMYFUNCTION("""COMPUTED_VALUE"""),"Rodrigues")</f>
        <v>Rodrigues</v>
      </c>
      <c r="AN478" s="27" t="str">
        <f ca="1">IFERROR(__xludf.DUMMYFUNCTION("""COMPUTED_VALUE"""),"Ativo")</f>
        <v>Ativo</v>
      </c>
      <c r="AO478" s="29">
        <f ca="1">IFERROR(__xludf.DUMMYFUNCTION("""COMPUTED_VALUE"""),44432)</f>
        <v>44432</v>
      </c>
      <c r="AP478" s="27">
        <f ca="1">IFERROR(__xludf.DUMMYFUNCTION("""COMPUTED_VALUE"""),13)</f>
        <v>13</v>
      </c>
      <c r="AQ478" s="27" t="str">
        <f ca="1">IFERROR(__xludf.DUMMYFUNCTION("""COMPUTED_VALUE"""),"Primeiro Semestre 2021")</f>
        <v>Primeiro Semestre 2021</v>
      </c>
      <c r="AR478" s="27" t="str">
        <f ca="1">IFERROR(__xludf.DUMMYFUNCTION("""COMPUTED_VALUE"""),"alcione_r@hotmail.com")</f>
        <v>alcione_r@hotmail.com</v>
      </c>
      <c r="AS478" s="27" t="str">
        <f ca="1">IFERROR(__xludf.DUMMYFUNCTION("""COMPUTED_VALUE"""),"(11)95232-2013")</f>
        <v>(11)95232-2013</v>
      </c>
      <c r="AT478" s="29">
        <f ca="1">IFERROR(__xludf.DUMMYFUNCTION("""COMPUTED_VALUE"""),31503)</f>
        <v>31503</v>
      </c>
      <c r="AU478" s="27">
        <f ca="1">IFERROR(__xludf.DUMMYFUNCTION("""COMPUTED_VALUE"""),36)</f>
        <v>36</v>
      </c>
      <c r="AV478" s="27">
        <f ca="1">IFERROR(__xludf.DUMMYFUNCTION("""COMPUTED_VALUE"""),33604433819)</f>
        <v>33604433819</v>
      </c>
      <c r="AW478" s="27">
        <f ca="1">IFERROR(__xludf.DUMMYFUNCTION("""COMPUTED_VALUE"""),410149871)</f>
        <v>410149871</v>
      </c>
      <c r="AX478" s="27" t="str">
        <f ca="1">IFERROR(__xludf.DUMMYFUNCTION("""COMPUTED_VALUE"""),"Esducação Física - Pós De Inovação Design E Estratégia ( Trancada )")</f>
        <v>Esducação Física - Pós De Inovação Design E Estratégia ( Trancada )</v>
      </c>
      <c r="AY478" s="27" t="str">
        <f ca="1">IFERROR(__xludf.DUMMYFUNCTION("""COMPUTED_VALUE"""),"Presidente")</f>
        <v>Presidente</v>
      </c>
      <c r="AZ478" s="27" t="str">
        <f ca="1">IFERROR(__xludf.DUMMYFUNCTION("""COMPUTED_VALUE"""),"P")</f>
        <v>P</v>
      </c>
      <c r="BA478" s="27" t="str">
        <f ca="1">IFERROR(__xludf.DUMMYFUNCTION("""COMPUTED_VALUE"""),"Parda")</f>
        <v>Parda</v>
      </c>
      <c r="BB478" s="27"/>
      <c r="BC478" s="27" t="str">
        <f ca="1">IFERROR(__xludf.DUMMYFUNCTION("""COMPUTED_VALUE"""),"Sim")</f>
        <v>Sim</v>
      </c>
      <c r="BD478" s="27" t="str">
        <f ca="1">IFERROR(__xludf.DUMMYFUNCTION("""COMPUTED_VALUE"""),"Nasci e cresci na maior favela de São Paulo - Heliópolis .Com 14 anos trabalhei entregando papel na rua, não conseguia enxergar outras possibilidades, foi no emprego de cobradora de uma perua que minha visão ampliou, todos os dias eu transportava diversas"&amp;" pessoas e cada uma com tipo de profissão, meu repertório foi aumentando, pessoas que quebram minhas cresças e me motivaram a um dia ter uma profissão, me formei e hoje quero entregar para comunidade a informação que recebi na perua.")</f>
        <v>Nasci e cresci na maior favela de São Paulo - Heliópolis .Com 14 anos trabalhei entregando papel na rua, não conseguia enxergar outras possibilidades, foi no emprego de cobradora de uma perua que minha visão ampliou, todos os dias eu transportava diversas pessoas e cada uma com tipo de profissão, meu repertório foi aumentando, pessoas que quebram minhas cresças e me motivaram a um dia ter uma profissão, me formei e hoje quero entregar para comunidade a informação que recebi na perua.</v>
      </c>
      <c r="BE478" s="27" t="str">
        <f ca="1">IFERROR(__xludf.DUMMYFUNCTION("""COMPUTED_VALUE"""),"Feminino")</f>
        <v>Feminino</v>
      </c>
      <c r="BF478" s="27" t="str">
        <f ca="1">IFERROR(__xludf.DUMMYFUNCTION("""COMPUTED_VALUE"""),"Heterossexual")</f>
        <v>Heterossexual</v>
      </c>
      <c r="BG478" s="27" t="str">
        <f ca="1">IFERROR(__xludf.DUMMYFUNCTION("""COMPUTED_VALUE"""),"Ensino Superior - Completo")</f>
        <v>Ensino Superior - Completo</v>
      </c>
      <c r="BH478" s="27"/>
      <c r="BI478" s="27" t="str">
        <f ca="1">IFERROR(__xludf.DUMMYFUNCTION("""COMPUTED_VALUE"""),"Graduação")</f>
        <v>Graduação</v>
      </c>
      <c r="BJ478" s="27" t="str">
        <f ca="1">IFERROR(__xludf.DUMMYFUNCTION("""COMPUTED_VALUE"""),"Privado")</f>
        <v>Privado</v>
      </c>
      <c r="BK478" s="27" t="str">
        <f ca="1">IFERROR(__xludf.DUMMYFUNCTION("""COMPUTED_VALUE"""),"Estrada das lágrimas")</f>
        <v>Estrada das lágrimas</v>
      </c>
      <c r="BL478" s="27">
        <f ca="1">IFERROR(__xludf.DUMMYFUNCTION("""COMPUTED_VALUE"""),1591)</f>
        <v>1591</v>
      </c>
      <c r="BM478" s="27"/>
      <c r="BN478" s="27" t="str">
        <f ca="1">IFERROR(__xludf.DUMMYFUNCTION("""COMPUTED_VALUE"""),"São Paulo")</f>
        <v>São Paulo</v>
      </c>
      <c r="BO478" s="27" t="str">
        <f ca="1">IFERROR(__xludf.DUMMYFUNCTION("""COMPUTED_VALUE"""),"04232-901")</f>
        <v>04232-901</v>
      </c>
      <c r="BP478" s="27" t="str">
        <f ca="1">IFERROR(__xludf.DUMMYFUNCTION("""COMPUTED_VALUE"""),"SP")</f>
        <v>SP</v>
      </c>
      <c r="BQ478" s="27" t="str">
        <f ca="1">IFERROR(__xludf.DUMMYFUNCTION("""COMPUTED_VALUE"""),"De 3 até 5 salários mínimos")</f>
        <v>De 3 até 5 salários mínimos</v>
      </c>
      <c r="BR478" s="27" t="str">
        <f ca="1">IFERROR(__xludf.DUMMYFUNCTION("""COMPUTED_VALUE"""),"MEI")</f>
        <v>MEI</v>
      </c>
      <c r="BS478" s="27" t="str">
        <f ca="1">IFERROR(__xludf.DUMMYFUNCTION("""COMPUTED_VALUE"""),"Aluguel")</f>
        <v>Aluguel</v>
      </c>
      <c r="BT478" s="27">
        <f ca="1">IFERROR(__xludf.DUMMYFUNCTION("""COMPUTED_VALUE"""),2)</f>
        <v>2</v>
      </c>
      <c r="BU478" s="27"/>
      <c r="BV478" s="27"/>
      <c r="BW478" s="21" t="str">
        <f ca="1">IFERROR(__xludf.DUMMYFUNCTION("""COMPUTED_VALUE"""),"https://www.linkedin.com/in/alcione-rodrigues-b22213121")</f>
        <v>https://www.linkedin.com/in/alcione-rodrigues-b22213121</v>
      </c>
      <c r="BX478" s="21" t="str">
        <f ca="1">IFERROR(__xludf.DUMMYFUNCTION("""COMPUTED_VALUE"""),"https://www.instagram.com/reel/CXyV4P5gQd-x0B0UQDh5Q8NEPswBr12-gy_xWs0/?utm_medium=copy_link")</f>
        <v>https://www.instagram.com/reel/CXyV4P5gQd-x0B0UQDh5Q8NEPswBr12-gy_xWs0/?utm_medium=copy_link</v>
      </c>
      <c r="BY478" s="21" t="str">
        <f ca="1">IFERROR(__xludf.DUMMYFUNCTION("""COMPUTED_VALUE"""),"https://drive.google.com/open?id=1x6dXVupTpE0-r0Yz9ttId9f3ZQAH-Rhy")</f>
        <v>https://drive.google.com/open?id=1x6dXVupTpE0-r0Yz9ttId9f3ZQAH-Rhy</v>
      </c>
    </row>
    <row r="479" spans="1:77" ht="12.5" x14ac:dyDescent="0.25">
      <c r="A479" s="21" t="str">
        <f ca="1">IFERROR(__xludf.DUMMYFUNCTION("""COMPUTED_VALUE"""),"0014X00002VKCpYQAX")</f>
        <v>0014X00002VKCpYQAX</v>
      </c>
      <c r="B479" s="27" t="str">
        <f ca="1">IFERROR(__xludf.DUMMYFUNCTION("""COMPUTED_VALUE"""),"Fase Inicial")</f>
        <v>Fase Inicial</v>
      </c>
      <c r="C479" s="27" t="str">
        <f ca="1">IFERROR(__xludf.DUMMYFUNCTION("""COMPUTED_VALUE"""),"Fellow")</f>
        <v>Fellow</v>
      </c>
      <c r="D479" s="27" t="str">
        <f ca="1">IFERROR(__xludf.DUMMYFUNCTION("""COMPUTED_VALUE"""),"Ativo")</f>
        <v>Ativo</v>
      </c>
      <c r="E479" s="27" t="str">
        <f ca="1">IFERROR(__xludf.DUMMYFUNCTION("""COMPUTED_VALUE"""),"Nucleo de Apoio a Comunidades")</f>
        <v>Nucleo de Apoio a Comunidades</v>
      </c>
      <c r="F479" s="27" t="str">
        <f ca="1">IFERROR(__xludf.DUMMYFUNCTION("""COMPUTED_VALUE"""),"Raquel")</f>
        <v>Raquel</v>
      </c>
      <c r="G479" s="27" t="str">
        <f ca="1">IFERROR(__xludf.DUMMYFUNCTION("""COMPUTED_VALUE"""),"NAC")</f>
        <v>NAC</v>
      </c>
      <c r="H479" s="27"/>
      <c r="I479" s="27" t="str">
        <f ca="1">IFERROR(__xludf.DUMMYFUNCTION("""COMPUTED_VALUE"""),"Raquel Menezes Maia")</f>
        <v>Raquel Menezes Maia</v>
      </c>
      <c r="J479" s="27" t="str">
        <f ca="1">IFERROR(__xludf.DUMMYFUNCTION("""COMPUTED_VALUE"""),"nucleodeapoioacomunidades@gmail.com")</f>
        <v>nucleodeapoioacomunidades@gmail.com</v>
      </c>
      <c r="K479" s="27" t="str">
        <f ca="1">IFERROR(__xludf.DUMMYFUNCTION("""COMPUTED_VALUE"""),"(71)99415-3636")</f>
        <v>(71)99415-3636</v>
      </c>
      <c r="L479" s="27" t="str">
        <f ca="1">IFERROR(__xludf.DUMMYFUNCTION("""COMPUTED_VALUE"""),"BA")</f>
        <v>BA</v>
      </c>
      <c r="M479" s="27" t="str">
        <f ca="1">IFERROR(__xludf.DUMMYFUNCTION("""COMPUTED_VALUE"""),"Rua Jorge Teles 149")</f>
        <v>Rua Jorge Teles 149</v>
      </c>
      <c r="N479" s="27" t="str">
        <f ca="1">IFERROR(__xludf.DUMMYFUNCTION("""COMPUTED_VALUE"""),"Itinga")</f>
        <v>Itinga</v>
      </c>
      <c r="O479" s="27">
        <f ca="1">IFERROR(__xludf.DUMMYFUNCTION("""COMPUTED_VALUE"""),149)</f>
        <v>149</v>
      </c>
      <c r="P479" s="27" t="str">
        <f ca="1">IFERROR(__xludf.DUMMYFUNCTION("""COMPUTED_VALUE"""),"Lauro de Freitas")</f>
        <v>Lauro de Freitas</v>
      </c>
      <c r="Q479" s="27"/>
      <c r="R479" s="27" t="str">
        <f ca="1">IFERROR(__xludf.DUMMYFUNCTION("""COMPUTED_VALUE"""),"42739-190")</f>
        <v>42739-190</v>
      </c>
      <c r="S479" s="27" t="str">
        <f ca="1">IFERROR(__xludf.DUMMYFUNCTION("""COMPUTED_VALUE"""),"Escola Solange Coelho , Teatro Eliete Teles, Chacara da Poesia, PArque Shoping Bahiia, CEntro administrativo de Lauro de Freitas, Cine Teatro Lauro de Freitas Rotary Club ++")</f>
        <v>Escola Solange Coelho , Teatro Eliete Teles, Chacara da Poesia, PArque Shoping Bahiia, CEntro administrativo de Lauro de Freitas, Cine Teatro Lauro de Freitas Rotary Club ++</v>
      </c>
      <c r="T479" s="27"/>
      <c r="U479"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479" s="27" t="str">
        <f ca="1">IFERROR(__xludf.DUMMYFUNCTION("""COMPUTED_VALUE"""),"Quilombola, Afrodescendentes, Pessoas com Deficiência, Imigrantes, Comunidade rural")</f>
        <v>Quilombola, Afrodescendentes, Pessoas com Deficiência, Imigrantes, Comunidade rural</v>
      </c>
      <c r="W479" s="27">
        <f ca="1">IFERROR(__xludf.DUMMYFUNCTION("""COMPUTED_VALUE"""),0)</f>
        <v>0</v>
      </c>
      <c r="X479" s="27" t="str">
        <f ca="1">IFERROR(__xludf.DUMMYFUNCTION("""COMPUTED_VALUE"""),"atendemos demandas pontuais de todo o municipio")</f>
        <v>atendemos demandas pontuais de todo o municipio</v>
      </c>
      <c r="Y479" s="27"/>
      <c r="Z479" s="27">
        <f ca="1">IFERROR(__xludf.DUMMYFUNCTION("""COMPUTED_VALUE"""),100)</f>
        <v>100</v>
      </c>
      <c r="AA479" s="29">
        <f ca="1">IFERROR(__xludf.DUMMYFUNCTION("""COMPUTED_VALUE"""),44026)</f>
        <v>44026</v>
      </c>
      <c r="AB479" s="27" t="str">
        <f ca="1">IFERROR(__xludf.DUMMYFUNCTION("""COMPUTED_VALUE"""),"Não")</f>
        <v>Não</v>
      </c>
      <c r="AC479" s="27">
        <f ca="1">IFERROR(__xludf.DUMMYFUNCTION("""COMPUTED_VALUE"""),0)</f>
        <v>0</v>
      </c>
      <c r="AD479" s="27">
        <f ca="1">IFERROR(__xludf.DUMMYFUNCTION("""COMPUTED_VALUE"""),5)</f>
        <v>5</v>
      </c>
      <c r="AE479" s="27">
        <f ca="1">IFERROR(__xludf.DUMMYFUNCTION("""COMPUTED_VALUE"""),5)</f>
        <v>5</v>
      </c>
      <c r="AF479" s="27">
        <f ca="1">IFERROR(__xludf.DUMMYFUNCTION("""COMPUTED_VALUE"""),5)</f>
        <v>5</v>
      </c>
      <c r="AG479" s="27">
        <f ca="1">IFERROR(__xludf.DUMMYFUNCTION("""COMPUTED_VALUE"""),5)</f>
        <v>5</v>
      </c>
      <c r="AH479" s="27" t="str">
        <f ca="1">IFERROR(__xludf.DUMMYFUNCTION("""COMPUTED_VALUE"""),"Negócio Social, Eventos/Ações para captação, Parceria iniciativa privada, Doações, Recursos próprios")</f>
        <v>Negócio Social, Eventos/Ações para captação, Parceria iniciativa privada, Doações, Recursos próprios</v>
      </c>
      <c r="AI479" s="27" t="str">
        <f ca="1">IFERROR(__xludf.DUMMYFUNCTION("""COMPUTED_VALUE"""),"50%negocio social")</f>
        <v>50%negocio social</v>
      </c>
      <c r="AJ479" s="27" t="str">
        <f ca="1">IFERROR(__xludf.DUMMYFUNCTION("""COMPUTED_VALUE"""),"Sim")</f>
        <v>Sim</v>
      </c>
      <c r="AK479" s="27"/>
      <c r="AL479" s="21" t="str">
        <f ca="1">IFERROR(__xludf.DUMMYFUNCTION("""COMPUTED_VALUE"""),"0034X0000380O2x")</f>
        <v>0034X0000380O2x</v>
      </c>
      <c r="AM479" s="27" t="str">
        <f ca="1">IFERROR(__xludf.DUMMYFUNCTION("""COMPUTED_VALUE"""),"Menezes maia")</f>
        <v>Menezes maia</v>
      </c>
      <c r="AN479" s="27" t="str">
        <f ca="1">IFERROR(__xludf.DUMMYFUNCTION("""COMPUTED_VALUE"""),"Ativo")</f>
        <v>Ativo</v>
      </c>
      <c r="AO479" s="27"/>
      <c r="AP479" s="27"/>
      <c r="AQ479" s="27" t="str">
        <f ca="1">IFERROR(__xludf.DUMMYFUNCTION("""COMPUTED_VALUE"""),"Primeiro Semestre 2022")</f>
        <v>Primeiro Semestre 2022</v>
      </c>
      <c r="AR479" s="27" t="str">
        <f ca="1">IFERROR(__xludf.DUMMYFUNCTION("""COMPUTED_VALUE"""),"nucleodeapoioacomunidades@gmail.com")</f>
        <v>nucleodeapoioacomunidades@gmail.com</v>
      </c>
      <c r="AS479" s="27">
        <f ca="1">IFERROR(__xludf.DUMMYFUNCTION("""COMPUTED_VALUE"""),71991925673)</f>
        <v>71991925673</v>
      </c>
      <c r="AT479" s="30">
        <f ca="1">IFERROR(__xludf.DUMMYFUNCTION("""COMPUTED_VALUE"""),27723)</f>
        <v>27723</v>
      </c>
      <c r="AU479" s="27">
        <f ca="1">IFERROR(__xludf.DUMMYFUNCTION("""COMPUTED_VALUE"""),47)</f>
        <v>47</v>
      </c>
      <c r="AV479" s="27">
        <f ca="1">IFERROR(__xludf.DUMMYFUNCTION("""COMPUTED_VALUE"""),18677513809)</f>
        <v>18677513809</v>
      </c>
      <c r="AW479" s="27">
        <f ca="1">IFERROR(__xludf.DUMMYFUNCTION("""COMPUTED_VALUE"""),2133227814)</f>
        <v>2133227814</v>
      </c>
      <c r="AX479" s="27"/>
      <c r="AY479" s="27"/>
      <c r="AZ479" s="27" t="str">
        <f ca="1">IFERROR(__xludf.DUMMYFUNCTION("""COMPUTED_VALUE"""),"G")</f>
        <v>G</v>
      </c>
      <c r="BA479" s="27" t="str">
        <f ca="1">IFERROR(__xludf.DUMMYFUNCTION("""COMPUTED_VALUE"""),"Preta")</f>
        <v>Preta</v>
      </c>
      <c r="BB479" s="27"/>
      <c r="BC479" s="27"/>
      <c r="BD479" s="27" t="str">
        <f ca="1">IFERROR(__xludf.DUMMYFUNCTION("""COMPUTED_VALUE"""),"Graduanda em Serviço Social – Ativista e mobilizadora social. Conselheira atuante no conselhos  municipais de Saúde * da Educaçãoe Igualdade Racial* também conselheira suplente do Conselho Tutelar de Lauro de Freitas . Idealizadora do NAC – Núcleo de Apoi"&amp;"o a Comunidades* que atualmente  age nas comunidades e associações em conjunto com  agentes multiplicadores * movimentos  e outras  organizações voluntárias. Integra a  Rede de Mulheres Negras da Bahia. Desenvolve Negocios de impacto Social  / Economia So"&amp;"lidaria")</f>
        <v>Graduanda em Serviço Social – Ativista e mobilizadora social. Conselheira atuante no conselhos  municipais de Saúde * da Educaçãoe Igualdade Racial* também conselheira suplente do Conselho Tutelar de Lauro de Freitas . Idealizadora do NAC – Núcleo de Apoio a Comunidades* que atualmente  age nas comunidades e associações em conjunto com  agentes multiplicadores * movimentos  e outras  organizações voluntárias. Integra a  Rede de Mulheres Negras da Bahia. Desenvolve Negocios de impacto Social  / Economia Solidaria</v>
      </c>
      <c r="BE479" s="27" t="str">
        <f ca="1">IFERROR(__xludf.DUMMYFUNCTION("""COMPUTED_VALUE"""),"Feminino")</f>
        <v>Feminino</v>
      </c>
      <c r="BF479" s="27" t="str">
        <f ca="1">IFERROR(__xludf.DUMMYFUNCTION("""COMPUTED_VALUE"""),"Bissexual")</f>
        <v>Bissexual</v>
      </c>
      <c r="BG479" s="27"/>
      <c r="BH479" s="27" t="str">
        <f ca="1">IFERROR(__xludf.DUMMYFUNCTION("""COMPUTED_VALUE"""),"Público")</f>
        <v>Público</v>
      </c>
      <c r="BI479" s="27"/>
      <c r="BJ479" s="27"/>
      <c r="BK479" s="27" t="str">
        <f ca="1">IFERROR(__xludf.DUMMYFUNCTION("""COMPUTED_VALUE"""),"Rua Jorge Teles")</f>
        <v>Rua Jorge Teles</v>
      </c>
      <c r="BL479" s="27">
        <f ca="1">IFERROR(__xludf.DUMMYFUNCTION("""COMPUTED_VALUE"""),149)</f>
        <v>149</v>
      </c>
      <c r="BM479" s="27">
        <f ca="1">IFERROR(__xludf.DUMMYFUNCTION("""COMPUTED_VALUE"""),7)</f>
        <v>7</v>
      </c>
      <c r="BN479" s="27"/>
      <c r="BO479" s="27">
        <f ca="1">IFERROR(__xludf.DUMMYFUNCTION("""COMPUTED_VALUE"""),42739190)</f>
        <v>42739190</v>
      </c>
      <c r="BP479" s="27" t="str">
        <f ca="1">IFERROR(__xludf.DUMMYFUNCTION("""COMPUTED_VALUE"""),"BA")</f>
        <v>BA</v>
      </c>
      <c r="BQ479" s="27" t="str">
        <f ca="1">IFERROR(__xludf.DUMMYFUNCTION("""COMPUTED_VALUE"""),"Entre 1 até 3 salários mínimos")</f>
        <v>Entre 1 até 3 salários mínimos</v>
      </c>
      <c r="BR479" s="27" t="str">
        <f ca="1">IFERROR(__xludf.DUMMYFUNCTION("""COMPUTED_VALUE"""),"Trabalho informal")</f>
        <v>Trabalho informal</v>
      </c>
      <c r="BS479" s="27" t="str">
        <f ca="1">IFERROR(__xludf.DUMMYFUNCTION("""COMPUTED_VALUE"""),"Casa própria")</f>
        <v>Casa própria</v>
      </c>
      <c r="BT479" s="27">
        <f ca="1">IFERROR(__xludf.DUMMYFUNCTION("""COMPUTED_VALUE"""),1)</f>
        <v>1</v>
      </c>
      <c r="BU479" s="27" t="str">
        <f ca="1">IFERROR(__xludf.DUMMYFUNCTION("""COMPUTED_VALUE"""),"Não tem")</f>
        <v>Não tem</v>
      </c>
      <c r="BV479" s="27" t="str">
        <f ca="1">IFERROR(__xludf.DUMMYFUNCTION("""COMPUTED_VALUE"""),"Não")</f>
        <v>Não</v>
      </c>
      <c r="BW479" s="27"/>
      <c r="BX479" s="21" t="str">
        <f ca="1">IFERROR(__xludf.DUMMYFUNCTION("""COMPUTED_VALUE"""),"https://www.instagram.com/raquelmaia37/?hl=pt-br")</f>
        <v>https://www.instagram.com/raquelmaia37/?hl=pt-br</v>
      </c>
      <c r="BY479" s="27"/>
    </row>
    <row r="480" spans="1:77" ht="12.5" x14ac:dyDescent="0.25">
      <c r="A480" s="21" t="str">
        <f ca="1">IFERROR(__xludf.DUMMYFUNCTION("""COMPUTED_VALUE"""),"0014P00003YSp9JQAT")</f>
        <v>0014P00003YSp9JQAT</v>
      </c>
      <c r="B480" s="27" t="str">
        <f ca="1">IFERROR(__xludf.DUMMYFUNCTION("""COMPUTED_VALUE"""),"Fase Inicial")</f>
        <v>Fase Inicial</v>
      </c>
      <c r="C480" s="27" t="str">
        <f ca="1">IFERROR(__xludf.DUMMYFUNCTION("""COMPUTED_VALUE"""),"Fellow")</f>
        <v>Fellow</v>
      </c>
      <c r="D480" s="27" t="str">
        <f ca="1">IFERROR(__xludf.DUMMYFUNCTION("""COMPUTED_VALUE"""),"Ativo")</f>
        <v>Ativo</v>
      </c>
      <c r="E480" s="27" t="str">
        <f ca="1">IFERROR(__xludf.DUMMYFUNCTION("""COMPUTED_VALUE"""),"Núcleo de Apoio ao Pequeno Cidadão")</f>
        <v>Núcleo de Apoio ao Pequeno Cidadão</v>
      </c>
      <c r="F480" s="27" t="str">
        <f ca="1">IFERROR(__xludf.DUMMYFUNCTION("""COMPUTED_VALUE"""),"Valquiria")</f>
        <v>Valquiria</v>
      </c>
      <c r="G480" s="27"/>
      <c r="H480" s="27" t="str">
        <f ca="1">IFERROR(__xludf.DUMMYFUNCTION("""COMPUTED_VALUE"""),"05.218.684/0001-16")</f>
        <v>05.218.684/0001-16</v>
      </c>
      <c r="I480" s="27" t="str">
        <f ca="1">IFERROR(__xludf.DUMMYFUNCTION("""COMPUTED_VALUE"""),"Ingrid Gonçalves Moraes")</f>
        <v>Ingrid Gonçalves Moraes</v>
      </c>
      <c r="J480" s="27" t="str">
        <f ca="1">IFERROR(__xludf.DUMMYFUNCTION("""COMPUTED_VALUE"""),"pequenocidadao@pequenocidadao.org.br")</f>
        <v>pequenocidadao@pequenocidadao.org.br</v>
      </c>
      <c r="K480" s="27" t="str">
        <f ca="1">IFERROR(__xludf.DUMMYFUNCTION("""COMPUTED_VALUE"""),"(11)99155-3934")</f>
        <v>(11)99155-3934</v>
      </c>
      <c r="L480" s="27" t="str">
        <f ca="1">IFERROR(__xludf.DUMMYFUNCTION("""COMPUTED_VALUE"""),"SP")</f>
        <v>SP</v>
      </c>
      <c r="M480" s="27" t="str">
        <f ca="1">IFERROR(__xludf.DUMMYFUNCTION("""COMPUTED_VALUE"""),"Rua Tietê")</f>
        <v>Rua Tietê</v>
      </c>
      <c r="N480" s="27" t="str">
        <f ca="1">IFERROR(__xludf.DUMMYFUNCTION("""COMPUTED_VALUE"""),"Vila Vivaldi")</f>
        <v>Vila Vivaldi</v>
      </c>
      <c r="O480" s="27">
        <f ca="1">IFERROR(__xludf.DUMMYFUNCTION("""COMPUTED_VALUE"""),1285)</f>
        <v>1285</v>
      </c>
      <c r="P480" s="27" t="str">
        <f ca="1">IFERROR(__xludf.DUMMYFUNCTION("""COMPUTED_VALUE"""),"São Bernardo do Campo")</f>
        <v>São Bernardo do Campo</v>
      </c>
      <c r="Q480" s="27"/>
      <c r="R480" s="27">
        <f ca="1">IFERROR(__xludf.DUMMYFUNCTION("""COMPUTED_VALUE"""),9616080)</f>
        <v>9616080</v>
      </c>
      <c r="S480" s="27"/>
      <c r="T480" s="27" t="str">
        <f ca="1">IFERROR(__xludf.DUMMYFUNCTION("""COMPUTED_VALUE"""),"Assistência Social; Meio ambiente; Comunicação")</f>
        <v>Assistência Social; Meio ambiente; Comunicação</v>
      </c>
      <c r="U480" s="27" t="str">
        <f ca="1">IFERROR(__xludf.DUMMYFUNCTION("""COMPUTED_VALUE"""),"Crianças (6 a 12 anos); Adolescentes (12 aos 18 anos); Jovens (18 aos 24 anos); Adultos")</f>
        <v>Crianças (6 a 12 anos); Adolescentes (12 aos 18 anos); Jovens (18 aos 24 anos); Adultos</v>
      </c>
      <c r="V480" s="27" t="str">
        <f ca="1">IFERROR(__xludf.DUMMYFUNCTION("""COMPUTED_VALUE"""),"Outros")</f>
        <v>Outros</v>
      </c>
      <c r="W480" s="27">
        <f ca="1">IFERROR(__xludf.DUMMYFUNCTION("""COMPUTED_VALUE"""),3)</f>
        <v>3</v>
      </c>
      <c r="X480" s="27"/>
      <c r="Y480" s="27"/>
      <c r="Z480" s="27">
        <f ca="1">IFERROR(__xludf.DUMMYFUNCTION("""COMPUTED_VALUE"""),500)</f>
        <v>500</v>
      </c>
      <c r="AA480" s="29">
        <f ca="1">IFERROR(__xludf.DUMMYFUNCTION("""COMPUTED_VALUE"""),37597)</f>
        <v>37597</v>
      </c>
      <c r="AB480" s="27" t="str">
        <f ca="1">IFERROR(__xludf.DUMMYFUNCTION("""COMPUTED_VALUE"""),"Sim")</f>
        <v>Sim</v>
      </c>
      <c r="AC480" s="27">
        <f ca="1">IFERROR(__xludf.DUMMYFUNCTION("""COMPUTED_VALUE"""),4)</f>
        <v>4</v>
      </c>
      <c r="AD480" s="27"/>
      <c r="AE480" s="27">
        <f ca="1">IFERROR(__xludf.DUMMYFUNCTION("""COMPUTED_VALUE"""),4)</f>
        <v>4</v>
      </c>
      <c r="AF480" s="27">
        <f ca="1">IFERROR(__xludf.DUMMYFUNCTION("""COMPUTED_VALUE"""),3)</f>
        <v>3</v>
      </c>
      <c r="AG480" s="27">
        <f ca="1">IFERROR(__xludf.DUMMYFUNCTION("""COMPUTED_VALUE"""),4)</f>
        <v>4</v>
      </c>
      <c r="AH480" s="27" t="str">
        <f ca="1">IFERROR(__xludf.DUMMYFUNCTION("""COMPUTED_VALUE"""),"Convênio Público; Eventos/Ações para captação; Parceria iniciativa privada; Editais")</f>
        <v>Convênio Público; Eventos/Ações para captação; Parceria iniciativa privada; Editais</v>
      </c>
      <c r="AI480" s="27" t="str">
        <f ca="1">IFERROR(__xludf.DUMMYFUNCTION("""COMPUTED_VALUE"""),"65% Poder Público - 15% editais - 10% Negócio Social - 5% doações - 5% Eventos")</f>
        <v>65% Poder Público - 15% editais - 10% Negócio Social - 5% doações - 5% Eventos</v>
      </c>
      <c r="AJ480" s="27"/>
      <c r="AK480" s="27"/>
      <c r="AL480" s="21" t="str">
        <f ca="1">IFERROR(__xludf.DUMMYFUNCTION("""COMPUTED_VALUE"""),"0034P000045kxjv")</f>
        <v>0034P000045kxjv</v>
      </c>
      <c r="AM480" s="27" t="str">
        <f ca="1">IFERROR(__xludf.DUMMYFUNCTION("""COMPUTED_VALUE"""),"Leite Gonçalves Moraes")</f>
        <v>Leite Gonçalves Moraes</v>
      </c>
      <c r="AN480" s="27" t="str">
        <f ca="1">IFERROR(__xludf.DUMMYFUNCTION("""COMPUTED_VALUE"""),"Ativo")</f>
        <v>Ativo</v>
      </c>
      <c r="AO480" s="30">
        <f ca="1">IFERROR(__xludf.DUMMYFUNCTION("""COMPUTED_VALUE"""),44551)</f>
        <v>44551</v>
      </c>
      <c r="AP480" s="27">
        <f ca="1">IFERROR(__xludf.DUMMYFUNCTION("""COMPUTED_VALUE"""),9)</f>
        <v>9</v>
      </c>
      <c r="AQ480" s="27" t="str">
        <f ca="1">IFERROR(__xludf.DUMMYFUNCTION("""COMPUTED_VALUE"""),"Segundo Semestre 2021")</f>
        <v>Segundo Semestre 2021</v>
      </c>
      <c r="AR480" s="27" t="str">
        <f ca="1">IFERROR(__xludf.DUMMYFUNCTION("""COMPUTED_VALUE"""),"valquiria.moraes@pequenocidadao.org.br")</f>
        <v>valquiria.moraes@pequenocidadao.org.br</v>
      </c>
      <c r="AS480" s="27" t="str">
        <f ca="1">IFERROR(__xludf.DUMMYFUNCTION("""COMPUTED_VALUE"""),"(11)99155-3934")</f>
        <v>(11)99155-3934</v>
      </c>
      <c r="AT480" s="29">
        <f ca="1">IFERROR(__xludf.DUMMYFUNCTION("""COMPUTED_VALUE"""),21987)</f>
        <v>21987</v>
      </c>
      <c r="AU480" s="27">
        <f ca="1">IFERROR(__xludf.DUMMYFUNCTION("""COMPUTED_VALUE"""),62)</f>
        <v>62</v>
      </c>
      <c r="AV480" s="27">
        <f ca="1">IFERROR(__xludf.DUMMYFUNCTION("""COMPUTED_VALUE"""),1152941801)</f>
        <v>1152941801</v>
      </c>
      <c r="AW480" s="27" t="str">
        <f ca="1">IFERROR(__xludf.DUMMYFUNCTION("""COMPUTED_VALUE"""),"11718805-00")</f>
        <v>11718805-00</v>
      </c>
      <c r="AX480" s="27"/>
      <c r="AY480" s="27"/>
      <c r="AZ480" s="27" t="str">
        <f ca="1">IFERROR(__xludf.DUMMYFUNCTION("""COMPUTED_VALUE"""),"M")</f>
        <v>M</v>
      </c>
      <c r="BA480" s="27" t="str">
        <f ca="1">IFERROR(__xludf.DUMMYFUNCTION("""COMPUTED_VALUE"""),"Parda")</f>
        <v>Parda</v>
      </c>
      <c r="BB480" s="27" t="str">
        <f ca="1">IFERROR(__xludf.DUMMYFUNCTION("""COMPUTED_VALUE"""),"Mulher, cisgênero")</f>
        <v>Mulher, cisgênero</v>
      </c>
      <c r="BC480" s="27" t="str">
        <f ca="1">IFERROR(__xludf.DUMMYFUNCTION("""COMPUTED_VALUE"""),"Não")</f>
        <v>Não</v>
      </c>
      <c r="BD480" s="27" t="str">
        <f ca="1">IFERROR(__xludf.DUMMYFUNCTION("""COMPUTED_VALUE"""),"Fundadora do Núcleo de Apoio ao Pequeno Cidadão, tenho 61 anos , sou de família humilde que acredita no poder da educação. Formada em psicologia graças ao apoio de uma empresa que patrocinou toda minha formação. O desejo de estimular crianças e jovens da "&amp;"periferia a terem oportunidade de alcançarem os seus sonhos, por meio da educação, me levou a organizar a Ong, pois acredito que as comunidades são um “berço” de talentos. ""Eduquem as crianças e não será necessário castigar os homens"" Pitágoras")</f>
        <v>Fundadora do Núcleo de Apoio ao Pequeno Cidadão, tenho 61 anos , sou de família humilde que acredita no poder da educação. Formada em psicologia graças ao apoio de uma empresa que patrocinou toda minha formação. O desejo de estimular crianças e jovens da periferia a terem oportunidade de alcançarem os seus sonhos, por meio da educação, me levou a organizar a Ong, pois acredito que as comunidades são um “berço” de talentos. "Eduquem as crianças e não será necessário castigar os homens" Pitágoras</v>
      </c>
      <c r="BE480" s="27"/>
      <c r="BF480" s="27" t="str">
        <f ca="1">IFERROR(__xludf.DUMMYFUNCTION("""COMPUTED_VALUE"""),"Heterossexual")</f>
        <v>Heterossexual</v>
      </c>
      <c r="BG480" s="27" t="str">
        <f ca="1">IFERROR(__xludf.DUMMYFUNCTION("""COMPUTED_VALUE"""),"Ensino Superior - Completo")</f>
        <v>Ensino Superior - Completo</v>
      </c>
      <c r="BH480" s="27" t="str">
        <f ca="1">IFERROR(__xludf.DUMMYFUNCTION("""COMPUTED_VALUE"""),"Público")</f>
        <v>Público</v>
      </c>
      <c r="BI480" s="27" t="str">
        <f ca="1">IFERROR(__xludf.DUMMYFUNCTION("""COMPUTED_VALUE"""),"Pós-Graduação")</f>
        <v>Pós-Graduação</v>
      </c>
      <c r="BJ480" s="27" t="str">
        <f ca="1">IFERROR(__xludf.DUMMYFUNCTION("""COMPUTED_VALUE"""),"Privado")</f>
        <v>Privado</v>
      </c>
      <c r="BK480" s="27" t="str">
        <f ca="1">IFERROR(__xludf.DUMMYFUNCTION("""COMPUTED_VALUE"""),"Praça Antonio Pinheiro Costa")</f>
        <v>Praça Antonio Pinheiro Costa</v>
      </c>
      <c r="BL480" s="27">
        <f ca="1">IFERROR(__xludf.DUMMYFUNCTION("""COMPUTED_VALUE"""),55)</f>
        <v>55</v>
      </c>
      <c r="BM480" s="27" t="str">
        <f ca="1">IFERROR(__xludf.DUMMYFUNCTION("""COMPUTED_VALUE"""),"Apto 102 - Bloco 04")</f>
        <v>Apto 102 - Bloco 04</v>
      </c>
      <c r="BN480" s="27" t="str">
        <f ca="1">IFERROR(__xludf.DUMMYFUNCTION("""COMPUTED_VALUE"""),"São Bernardo do Campo")</f>
        <v>São Bernardo do Campo</v>
      </c>
      <c r="BO480" s="27" t="str">
        <f ca="1">IFERROR(__xludf.DUMMYFUNCTION("""COMPUTED_VALUE"""),"09725-120")</f>
        <v>09725-120</v>
      </c>
      <c r="BP480" s="27" t="str">
        <f ca="1">IFERROR(__xludf.DUMMYFUNCTION("""COMPUTED_VALUE"""),"SP")</f>
        <v>SP</v>
      </c>
      <c r="BQ480" s="27" t="str">
        <f ca="1">IFERROR(__xludf.DUMMYFUNCTION("""COMPUTED_VALUE"""),"De 3 até 5 salários mínimos")</f>
        <v>De 3 até 5 salários mínimos</v>
      </c>
      <c r="BR480" s="27" t="str">
        <f ca="1">IFERROR(__xludf.DUMMYFUNCTION("""COMPUTED_VALUE"""),"CLT")</f>
        <v>CLT</v>
      </c>
      <c r="BS480" s="27" t="str">
        <f ca="1">IFERROR(__xludf.DUMMYFUNCTION("""COMPUTED_VALUE"""),"Casa própria")</f>
        <v>Casa própria</v>
      </c>
      <c r="BT480" s="27">
        <f ca="1">IFERROR(__xludf.DUMMYFUNCTION("""COMPUTED_VALUE"""),1)</f>
        <v>1</v>
      </c>
      <c r="BU480" s="27" t="str">
        <f ca="1">IFERROR(__xludf.DUMMYFUNCTION("""COMPUTED_VALUE"""),"Não tem")</f>
        <v>Não tem</v>
      </c>
      <c r="BV480" s="27"/>
      <c r="BW480" s="27"/>
      <c r="BX480" s="27" t="str">
        <f ca="1">IFERROR(__xludf.DUMMYFUNCTION("""COMPUTED_VALUE"""),"@valquiria.moraes.1238")</f>
        <v>@valquiria.moraes.1238</v>
      </c>
      <c r="BY480" s="21" t="str">
        <f ca="1">IFERROR(__xludf.DUMMYFUNCTION("""COMPUTED_VALUE"""),"https://drive.google.com/open?id=1ttgFAwuIeCw47J68v5MCzz0XeRZj0maB")</f>
        <v>https://drive.google.com/open?id=1ttgFAwuIeCw47J68v5MCzz0XeRZj0maB</v>
      </c>
    </row>
    <row r="481" spans="1:77" ht="12.5" hidden="1" x14ac:dyDescent="0.25">
      <c r="A481" s="21" t="str">
        <f ca="1">IFERROR(__xludf.DUMMYFUNCTION("""COMPUTED_VALUE"""),"0014X00002VKCouQAH")</f>
        <v>0014X00002VKCouQAH</v>
      </c>
      <c r="B481" s="27" t="str">
        <f ca="1">IFERROR(__xludf.DUMMYFUNCTION("""COMPUTED_VALUE"""),"Fase Inicial")</f>
        <v>Fase Inicial</v>
      </c>
      <c r="C481" s="27" t="str">
        <f ca="1">IFERROR(__xludf.DUMMYFUNCTION("""COMPUTED_VALUE"""),"Fellow")</f>
        <v>Fellow</v>
      </c>
      <c r="D481" s="27" t="str">
        <f ca="1">IFERROR(__xludf.DUMMYFUNCTION("""COMPUTED_VALUE"""),"Ativo")</f>
        <v>Ativo</v>
      </c>
      <c r="E481" s="27" t="str">
        <f ca="1">IFERROR(__xludf.DUMMYFUNCTION("""COMPUTED_VALUE"""),"O2 EDUCATION")</f>
        <v>O2 EDUCATION</v>
      </c>
      <c r="F481" s="27" t="str">
        <f ca="1">IFERROR(__xludf.DUMMYFUNCTION("""COMPUTED_VALUE"""),"Admilson")</f>
        <v>Admilson</v>
      </c>
      <c r="G481" s="27" t="str">
        <f ca="1">IFERROR(__xludf.DUMMYFUNCTION("""COMPUTED_VALUE"""),"O2 EDUCATON")</f>
        <v>O2 EDUCATON</v>
      </c>
      <c r="H481" s="27" t="str">
        <f ca="1">IFERROR(__xludf.DUMMYFUNCTION("""COMPUTED_VALUE"""),"40.948.421/0001-63")</f>
        <v>40.948.421/0001-63</v>
      </c>
      <c r="I481" s="27" t="str">
        <f ca="1">IFERROR(__xludf.DUMMYFUNCTION("""COMPUTED_VALUE"""),"Admilson Santos")</f>
        <v>Admilson Santos</v>
      </c>
      <c r="J481" s="27" t="str">
        <f ca="1">IFERROR(__xludf.DUMMYFUNCTION("""COMPUTED_VALUE"""),"asjr.professor@hotmail.com")</f>
        <v>asjr.professor@hotmail.com</v>
      </c>
      <c r="K481" s="27" t="str">
        <f ca="1">IFERROR(__xludf.DUMMYFUNCTION("""COMPUTED_VALUE"""),"(71)3243-4374")</f>
        <v>(71)3243-4374</v>
      </c>
      <c r="L481" s="27" t="str">
        <f ca="1">IFERROR(__xludf.DUMMYFUNCTION("""COMPUTED_VALUE"""),"BA")</f>
        <v>BA</v>
      </c>
      <c r="M481" s="27" t="str">
        <f ca="1">IFERROR(__xludf.DUMMYFUNCTION("""COMPUTED_VALUE"""),"Rua dos Carvoes")</f>
        <v>Rua dos Carvoes</v>
      </c>
      <c r="N481" s="27" t="str">
        <f ca="1">IFERROR(__xludf.DUMMYFUNCTION("""COMPUTED_VALUE"""),"Santo Antonio além do Carmo")</f>
        <v>Santo Antonio além do Carmo</v>
      </c>
      <c r="O481" s="27" t="str">
        <f ca="1">IFERROR(__xludf.DUMMYFUNCTION("""COMPUTED_VALUE"""),"(71)99616-2121")</f>
        <v>(71)99616-2121</v>
      </c>
      <c r="P481" s="27" t="str">
        <f ca="1">IFERROR(__xludf.DUMMYFUNCTION("""COMPUTED_VALUE"""),"Salvador")</f>
        <v>Salvador</v>
      </c>
      <c r="Q481" s="27"/>
      <c r="R481" s="27" t="str">
        <f ca="1">IFERROR(__xludf.DUMMYFUNCTION("""COMPUTED_VALUE"""),"40301-300")</f>
        <v>40301-300</v>
      </c>
      <c r="S481" s="27"/>
      <c r="T481" s="27"/>
      <c r="U481" s="27" t="str">
        <f ca="1">IFERROR(__xludf.DUMMYFUNCTION("""COMPUTED_VALUE"""),"Jovens (18 aos 24 anos)")</f>
        <v>Jovens (18 aos 24 anos)</v>
      </c>
      <c r="V481" s="27" t="str">
        <f ca="1">IFERROR(__xludf.DUMMYFUNCTION("""COMPUTED_VALUE"""),"Moradores de Favelas, População LGBTQ+, Quilombola, Afrodescendentes, Outros")</f>
        <v>Moradores de Favelas, População LGBTQ+, Quilombola, Afrodescendentes, Outros</v>
      </c>
      <c r="W481" s="27">
        <f ca="1">IFERROR(__xludf.DUMMYFUNCTION("""COMPUTED_VALUE"""),0)</f>
        <v>0</v>
      </c>
      <c r="X481" s="27"/>
      <c r="Y481" s="27"/>
      <c r="Z481" s="27">
        <f ca="1">IFERROR(__xludf.DUMMYFUNCTION("""COMPUTED_VALUE"""),0)</f>
        <v>0</v>
      </c>
      <c r="AA481" s="29">
        <f ca="1">IFERROR(__xludf.DUMMYFUNCTION("""COMPUTED_VALUE"""),43985)</f>
        <v>43985</v>
      </c>
      <c r="AB481" s="27" t="str">
        <f ca="1">IFERROR(__xludf.DUMMYFUNCTION("""COMPUTED_VALUE"""),"Não")</f>
        <v>Não</v>
      </c>
      <c r="AC481" s="27">
        <f ca="1">IFERROR(__xludf.DUMMYFUNCTION("""COMPUTED_VALUE"""),0)</f>
        <v>0</v>
      </c>
      <c r="AD481" s="27">
        <f ca="1">IFERROR(__xludf.DUMMYFUNCTION("""COMPUTED_VALUE"""),1)</f>
        <v>1</v>
      </c>
      <c r="AE481" s="27">
        <f ca="1">IFERROR(__xludf.DUMMYFUNCTION("""COMPUTED_VALUE"""),0)</f>
        <v>0</v>
      </c>
      <c r="AF481" s="27">
        <f ca="1">IFERROR(__xludf.DUMMYFUNCTION("""COMPUTED_VALUE"""),1)</f>
        <v>1</v>
      </c>
      <c r="AG481" s="27">
        <f ca="1">IFERROR(__xludf.DUMMYFUNCTION("""COMPUTED_VALUE"""),2)</f>
        <v>2</v>
      </c>
      <c r="AH481" s="27" t="str">
        <f ca="1">IFERROR(__xludf.DUMMYFUNCTION("""COMPUTED_VALUE"""),"Negócio Social")</f>
        <v>Negócio Social</v>
      </c>
      <c r="AI481" s="27">
        <f ca="1">IFERROR(__xludf.DUMMYFUNCTION("""COMPUTED_VALUE"""),0)</f>
        <v>0</v>
      </c>
      <c r="AJ481" s="27" t="str">
        <f ca="1">IFERROR(__xludf.DUMMYFUNCTION("""COMPUTED_VALUE"""),"Não")</f>
        <v>Não</v>
      </c>
      <c r="AK481" s="27"/>
      <c r="AL481" s="21" t="str">
        <f ca="1">IFERROR(__xludf.DUMMYFUNCTION("""COMPUTED_VALUE"""),"0034X0000380O5w")</f>
        <v>0034X0000380O5w</v>
      </c>
      <c r="AM481" s="27" t="str">
        <f ca="1">IFERROR(__xludf.DUMMYFUNCTION("""COMPUTED_VALUE"""),"Santos junior")</f>
        <v>Santos junior</v>
      </c>
      <c r="AN481" s="27" t="str">
        <f ca="1">IFERROR(__xludf.DUMMYFUNCTION("""COMPUTED_VALUE"""),"Ativo")</f>
        <v>Ativo</v>
      </c>
      <c r="AO481" s="29">
        <f ca="1">IFERROR(__xludf.DUMMYFUNCTION("""COMPUTED_VALUE"""),44763)</f>
        <v>44763</v>
      </c>
      <c r="AP481" s="27">
        <f ca="1">IFERROR(__xludf.DUMMYFUNCTION("""COMPUTED_VALUE"""),2)</f>
        <v>2</v>
      </c>
      <c r="AQ481" s="27" t="str">
        <f ca="1">IFERROR(__xludf.DUMMYFUNCTION("""COMPUTED_VALUE"""),"Primeiro Semestre 2022")</f>
        <v>Primeiro Semestre 2022</v>
      </c>
      <c r="AR481" s="27" t="str">
        <f ca="1">IFERROR(__xludf.DUMMYFUNCTION("""COMPUTED_VALUE"""),"asjr.professor@hotmail.com")</f>
        <v>asjr.professor@hotmail.com</v>
      </c>
      <c r="AS481" s="27" t="str">
        <f ca="1">IFERROR(__xludf.DUMMYFUNCTION("""COMPUTED_VALUE"""),"(71)99616-2121")</f>
        <v>(71)99616-2121</v>
      </c>
      <c r="AT481" s="29">
        <f ca="1">IFERROR(__xludf.DUMMYFUNCTION("""COMPUTED_VALUE"""),29715)</f>
        <v>29715</v>
      </c>
      <c r="AU481" s="27">
        <f ca="1">IFERROR(__xludf.DUMMYFUNCTION("""COMPUTED_VALUE"""),41)</f>
        <v>41</v>
      </c>
      <c r="AV481" s="27">
        <f ca="1">IFERROR(__xludf.DUMMYFUNCTION("""COMPUTED_VALUE"""),82649006587)</f>
        <v>82649006587</v>
      </c>
      <c r="AW481" s="27">
        <f ca="1">IFERROR(__xludf.DUMMYFUNCTION("""COMPUTED_VALUE"""),750515325)</f>
        <v>750515325</v>
      </c>
      <c r="AX481" s="27"/>
      <c r="AY481" s="27" t="str">
        <f ca="1">IFERROR(__xludf.DUMMYFUNCTION("""COMPUTED_VALUE"""),"Administrador")</f>
        <v>Administrador</v>
      </c>
      <c r="AZ481" s="27" t="str">
        <f ca="1">IFERROR(__xludf.DUMMYFUNCTION("""COMPUTED_VALUE"""),"P")</f>
        <v>P</v>
      </c>
      <c r="BA481" s="27" t="str">
        <f ca="1">IFERROR(__xludf.DUMMYFUNCTION("""COMPUTED_VALUE"""),"Preta")</f>
        <v>Preta</v>
      </c>
      <c r="BB481" s="27"/>
      <c r="BC481" s="27"/>
      <c r="BD481" s="27" t="str">
        <f ca="1">IFERROR(__xludf.DUMMYFUNCTION("""COMPUTED_VALUE"""),"Sou Admilson Júnior gosto de apoiar iniciativas que promovam o desenvolvimento de vulneráveis com expertise com trabalho de jovens processo de inserção socioprodutiva.")</f>
        <v>Sou Admilson Júnior gosto de apoiar iniciativas que promovam o desenvolvimento de vulneráveis com expertise com trabalho de jovens processo de inserção socioprodutiva.</v>
      </c>
      <c r="BE481" s="27" t="str">
        <f ca="1">IFERROR(__xludf.DUMMYFUNCTION("""COMPUTED_VALUE"""),"Homem, cisgênero")</f>
        <v>Homem, cisgênero</v>
      </c>
      <c r="BF481" s="27" t="str">
        <f ca="1">IFERROR(__xludf.DUMMYFUNCTION("""COMPUTED_VALUE"""),"Heterossexual")</f>
        <v>Heterossexual</v>
      </c>
      <c r="BG481" s="27" t="str">
        <f ca="1">IFERROR(__xludf.DUMMYFUNCTION("""COMPUTED_VALUE"""),"Ensino Superior - Completo")</f>
        <v>Ensino Superior - Completo</v>
      </c>
      <c r="BH481" s="27" t="str">
        <f ca="1">IFERROR(__xludf.DUMMYFUNCTION("""COMPUTED_VALUE"""),"Privado")</f>
        <v>Privado</v>
      </c>
      <c r="BI481" s="27" t="str">
        <f ca="1">IFERROR(__xludf.DUMMYFUNCTION("""COMPUTED_VALUE"""),"Pós-Graduação")</f>
        <v>Pós-Graduação</v>
      </c>
      <c r="BJ481" s="27" t="str">
        <f ca="1">IFERROR(__xludf.DUMMYFUNCTION("""COMPUTED_VALUE"""),"Privado")</f>
        <v>Privado</v>
      </c>
      <c r="BK481" s="27" t="str">
        <f ca="1">IFERROR(__xludf.DUMMYFUNCTION("""COMPUTED_VALUE"""),"Rua dos Carvões")</f>
        <v>Rua dos Carvões</v>
      </c>
      <c r="BL481" s="27">
        <f ca="1">IFERROR(__xludf.DUMMYFUNCTION("""COMPUTED_VALUE"""),55)</f>
        <v>55</v>
      </c>
      <c r="BM481" s="27"/>
      <c r="BN481" s="27" t="str">
        <f ca="1">IFERROR(__xludf.DUMMYFUNCTION("""COMPUTED_VALUE"""),"Salvador")</f>
        <v>Salvador</v>
      </c>
      <c r="BO481" s="27" t="str">
        <f ca="1">IFERROR(__xludf.DUMMYFUNCTION("""COMPUTED_VALUE"""),"40301-300")</f>
        <v>40301-300</v>
      </c>
      <c r="BP481" s="27" t="str">
        <f ca="1">IFERROR(__xludf.DUMMYFUNCTION("""COMPUTED_VALUE"""),"BA")</f>
        <v>BA</v>
      </c>
      <c r="BQ481" s="27" t="str">
        <f ca="1">IFERROR(__xludf.DUMMYFUNCTION("""COMPUTED_VALUE"""),"Entre 1 até 3 salários mínimos")</f>
        <v>Entre 1 até 3 salários mínimos</v>
      </c>
      <c r="BR481" s="27" t="str">
        <f ca="1">IFERROR(__xludf.DUMMYFUNCTION("""COMPUTED_VALUE"""),"CLT")</f>
        <v>CLT</v>
      </c>
      <c r="BS481" s="27" t="str">
        <f ca="1">IFERROR(__xludf.DUMMYFUNCTION("""COMPUTED_VALUE"""),"Casa própria")</f>
        <v>Casa própria</v>
      </c>
      <c r="BT481" s="27">
        <f ca="1">IFERROR(__xludf.DUMMYFUNCTION("""COMPUTED_VALUE"""),2)</f>
        <v>2</v>
      </c>
      <c r="BU481" s="27" t="str">
        <f ca="1">IFERROR(__xludf.DUMMYFUNCTION("""COMPUTED_VALUE"""),"Não tem")</f>
        <v>Não tem</v>
      </c>
      <c r="BV481" s="27" t="str">
        <f ca="1">IFERROR(__xludf.DUMMYFUNCTION("""COMPUTED_VALUE"""),"Não")</f>
        <v>Não</v>
      </c>
      <c r="BW481" s="21" t="str">
        <f ca="1">IFERROR(__xludf.DUMMYFUNCTION("""COMPUTED_VALUE"""),"https://www.linkedin.com/in/admilson-fuca")</f>
        <v>https://www.linkedin.com/in/admilson-fuca</v>
      </c>
      <c r="BX481" s="21" t="str">
        <f ca="1">IFERROR(__xludf.DUMMYFUNCTION("""COMPUTED_VALUE"""),"https://www.instagram.com/asjr.professor/")</f>
        <v>https://www.instagram.com/asjr.professor/</v>
      </c>
      <c r="BY481" s="21" t="str">
        <f ca="1">IFERROR(__xludf.DUMMYFUNCTION("""COMPUTED_VALUE"""),"https://drive.google.com/open?id=1yxX85NXSxXoEzTJyrlXw7eYxy4Jmw-R-")</f>
        <v>https://drive.google.com/open?id=1yxX85NXSxXoEzTJyrlXw7eYxy4Jmw-R-</v>
      </c>
    </row>
    <row r="482" spans="1:77" ht="12.5" x14ac:dyDescent="0.25">
      <c r="A482" s="21" t="str">
        <f ca="1">IFERROR(__xludf.DUMMYFUNCTION("""COMPUTED_VALUE"""),"0014P00003YSpAGQA1")</f>
        <v>0014P00003YSpAGQA1</v>
      </c>
      <c r="B482" s="27" t="str">
        <f ca="1">IFERROR(__xludf.DUMMYFUNCTION("""COMPUTED_VALUE"""),"Fase Inicial")</f>
        <v>Fase Inicial</v>
      </c>
      <c r="C482" s="27" t="str">
        <f ca="1">IFERROR(__xludf.DUMMYFUNCTION("""COMPUTED_VALUE"""),"Fellow")</f>
        <v>Fellow</v>
      </c>
      <c r="D482" s="27" t="str">
        <f ca="1">IFERROR(__xludf.DUMMYFUNCTION("""COMPUTED_VALUE"""),"Ativo")</f>
        <v>Ativo</v>
      </c>
      <c r="E482" s="27" t="str">
        <f ca="1">IFERROR(__xludf.DUMMYFUNCTION("""COMPUTED_VALUE"""),"O Bom Samaritano Contagem")</f>
        <v>O Bom Samaritano Contagem</v>
      </c>
      <c r="F482" s="27" t="str">
        <f ca="1">IFERROR(__xludf.DUMMYFUNCTION("""COMPUTED_VALUE"""),"Ana")</f>
        <v>Ana</v>
      </c>
      <c r="G482" s="27"/>
      <c r="H482" s="27" t="str">
        <f ca="1">IFERROR(__xludf.DUMMYFUNCTION("""COMPUTED_VALUE"""),"45.584.517/0001-03")</f>
        <v>45.584.517/0001-03</v>
      </c>
      <c r="I482" s="27" t="str">
        <f ca="1">IFERROR(__xludf.DUMMYFUNCTION("""COMPUTED_VALUE"""),"Ana Paula Almeida Rodrigues")</f>
        <v>Ana Paula Almeida Rodrigues</v>
      </c>
      <c r="J482" s="27" t="str">
        <f ca="1">IFERROR(__xludf.DUMMYFUNCTION("""COMPUTED_VALUE"""),"obomsamaritanocontagem@gmail.com")</f>
        <v>obomsamaritanocontagem@gmail.com</v>
      </c>
      <c r="K482" s="27" t="str">
        <f ca="1">IFERROR(__xludf.DUMMYFUNCTION("""COMPUTED_VALUE"""),"(31)98602-9637")</f>
        <v>(31)98602-9637</v>
      </c>
      <c r="L482" s="27" t="str">
        <f ca="1">IFERROR(__xludf.DUMMYFUNCTION("""COMPUTED_VALUE"""),"MG")</f>
        <v>MG</v>
      </c>
      <c r="M482" s="27" t="str">
        <f ca="1">IFERROR(__xludf.DUMMYFUNCTION("""COMPUTED_VALUE"""),"Rua tenente Serpa")</f>
        <v>Rua tenente Serpa</v>
      </c>
      <c r="N482" s="27" t="str">
        <f ca="1">IFERROR(__xludf.DUMMYFUNCTION("""COMPUTED_VALUE"""),"Novo progresso")</f>
        <v>Novo progresso</v>
      </c>
      <c r="O482" s="27">
        <f ca="1">IFERROR(__xludf.DUMMYFUNCTION("""COMPUTED_VALUE"""),976)</f>
        <v>976</v>
      </c>
      <c r="P482" s="27" t="str">
        <f ca="1">IFERROR(__xludf.DUMMYFUNCTION("""COMPUTED_VALUE"""),"Contagem")</f>
        <v>Contagem</v>
      </c>
      <c r="Q482" s="27"/>
      <c r="R482" s="27" t="str">
        <f ca="1">IFERROR(__xludf.DUMMYFUNCTION("""COMPUTED_VALUE"""),"32115-180")</f>
        <v>32115-180</v>
      </c>
      <c r="S482" s="27"/>
      <c r="T482" s="27" t="str">
        <f ca="1">IFERROR(__xludf.DUMMYFUNCTION("""COMPUTED_VALUE"""),"Educação; Assistência Social; Cultura; Qualificação Profissional; Empreendedorismo")</f>
        <v>Educação; Assistência Social; Cultura; Qualificação Profissional; Empreendedorismo</v>
      </c>
      <c r="U482" s="27" t="str">
        <f ca="1">IFERROR(__xludf.DUMMYFUNCTION("""COMPUTED_VALUE"""),"Crianças (6 a 12 anos); Adolescentes (12 aos 18 anos); Jovens (18 aos 24 anos); Adultos; Idosos (60 anos ou mais)")</f>
        <v>Crianças (6 a 12 anos); Adolescentes (12 aos 18 anos); Jovens (18 aos 24 anos); Adultos; Idosos (60 anos ou mais)</v>
      </c>
      <c r="V482" s="27" t="str">
        <f ca="1">IFERROR(__xludf.DUMMYFUNCTION("""COMPUTED_VALUE"""),"Moradores de Favelas; Pessoas em situação de rua")</f>
        <v>Moradores de Favelas; Pessoas em situação de rua</v>
      </c>
      <c r="W482" s="27">
        <f ca="1">IFERROR(__xludf.DUMMYFUNCTION("""COMPUTED_VALUE"""),4)</f>
        <v>4</v>
      </c>
      <c r="X482" s="27"/>
      <c r="Y482" s="27"/>
      <c r="Z482" s="27">
        <f ca="1">IFERROR(__xludf.DUMMYFUNCTION("""COMPUTED_VALUE"""),2000)</f>
        <v>2000</v>
      </c>
      <c r="AA482" s="30">
        <f ca="1">IFERROR(__xludf.DUMMYFUNCTION("""COMPUTED_VALUE"""),44515)</f>
        <v>44515</v>
      </c>
      <c r="AB482" s="27" t="str">
        <f ca="1">IFERROR(__xludf.DUMMYFUNCTION("""COMPUTED_VALUE"""),"Não")</f>
        <v>Não</v>
      </c>
      <c r="AC482" s="27">
        <f ca="1">IFERROR(__xludf.DUMMYFUNCTION("""COMPUTED_VALUE"""),0)</f>
        <v>0</v>
      </c>
      <c r="AD482" s="27">
        <f ca="1">IFERROR(__xludf.DUMMYFUNCTION("""COMPUTED_VALUE"""),0)</f>
        <v>0</v>
      </c>
      <c r="AE482" s="27">
        <f ca="1">IFERROR(__xludf.DUMMYFUNCTION("""COMPUTED_VALUE"""),15)</f>
        <v>15</v>
      </c>
      <c r="AF482" s="27">
        <f ca="1">IFERROR(__xludf.DUMMYFUNCTION("""COMPUTED_VALUE"""),4)</f>
        <v>4</v>
      </c>
      <c r="AG482" s="27">
        <f ca="1">IFERROR(__xludf.DUMMYFUNCTION("""COMPUTED_VALUE"""),3)</f>
        <v>3</v>
      </c>
      <c r="AH482" s="27" t="str">
        <f ca="1">IFERROR(__xludf.DUMMYFUNCTION("""COMPUTED_VALUE"""),"Eventos/Ações para captação; Parceria iniciativa privada; Doações")</f>
        <v>Eventos/Ações para captação; Parceria iniciativa privada; Doações</v>
      </c>
      <c r="AI482" s="27" t="str">
        <f ca="1">IFERROR(__xludf.DUMMYFUNCTION("""COMPUTED_VALUE"""),"Não temos")</f>
        <v>Não temos</v>
      </c>
      <c r="AJ482" s="27"/>
      <c r="AK482" s="27"/>
      <c r="AL482" s="21" t="str">
        <f ca="1">IFERROR(__xludf.DUMMYFUNCTION("""COMPUTED_VALUE"""),"0034P000045kxks")</f>
        <v>0034P000045kxks</v>
      </c>
      <c r="AM482" s="27" t="str">
        <f ca="1">IFERROR(__xludf.DUMMYFUNCTION("""COMPUTED_VALUE"""),"Paula Almeida Rodrigues")</f>
        <v>Paula Almeida Rodrigues</v>
      </c>
      <c r="AN482" s="27" t="str">
        <f ca="1">IFERROR(__xludf.DUMMYFUNCTION("""COMPUTED_VALUE"""),"Ativo")</f>
        <v>Ativo</v>
      </c>
      <c r="AO482" s="30">
        <f ca="1">IFERROR(__xludf.DUMMYFUNCTION("""COMPUTED_VALUE"""),44551)</f>
        <v>44551</v>
      </c>
      <c r="AP482" s="27">
        <f ca="1">IFERROR(__xludf.DUMMYFUNCTION("""COMPUTED_VALUE"""),9)</f>
        <v>9</v>
      </c>
      <c r="AQ482" s="27" t="str">
        <f ca="1">IFERROR(__xludf.DUMMYFUNCTION("""COMPUTED_VALUE"""),"Segundo Semestre 2021")</f>
        <v>Segundo Semestre 2021</v>
      </c>
      <c r="AR482" s="27" t="str">
        <f ca="1">IFERROR(__xludf.DUMMYFUNCTION("""COMPUTED_VALUE"""),"anapaula.almeidarodrigues@gmail.com")</f>
        <v>anapaula.almeidarodrigues@gmail.com</v>
      </c>
      <c r="AS482" s="27" t="str">
        <f ca="1">IFERROR(__xludf.DUMMYFUNCTION("""COMPUTED_VALUE"""),"(31)98602-9637")</f>
        <v>(31)98602-9637</v>
      </c>
      <c r="AT482" s="29">
        <f ca="1">IFERROR(__xludf.DUMMYFUNCTION("""COMPUTED_VALUE"""),33012)</f>
        <v>33012</v>
      </c>
      <c r="AU482" s="27">
        <f ca="1">IFERROR(__xludf.DUMMYFUNCTION("""COMPUTED_VALUE"""),32)</f>
        <v>32</v>
      </c>
      <c r="AV482" s="27">
        <f ca="1">IFERROR(__xludf.DUMMYFUNCTION("""COMPUTED_VALUE"""),10018829627)</f>
        <v>10018829627</v>
      </c>
      <c r="AW482" s="27">
        <f ca="1">IFERROR(__xludf.DUMMYFUNCTION("""COMPUTED_VALUE"""),16199563)</f>
        <v>16199563</v>
      </c>
      <c r="AX482" s="27"/>
      <c r="AY482" s="27"/>
      <c r="AZ482" s="27" t="str">
        <f ca="1">IFERROR(__xludf.DUMMYFUNCTION("""COMPUTED_VALUE"""),"G")</f>
        <v>G</v>
      </c>
      <c r="BA482" s="27" t="str">
        <f ca="1">IFERROR(__xludf.DUMMYFUNCTION("""COMPUTED_VALUE"""),"Parda")</f>
        <v>Parda</v>
      </c>
      <c r="BB482" s="27" t="str">
        <f ca="1">IFERROR(__xludf.DUMMYFUNCTION("""COMPUTED_VALUE"""),"Mulher, cisgênero")</f>
        <v>Mulher, cisgênero</v>
      </c>
      <c r="BC482" s="27" t="str">
        <f ca="1">IFERROR(__xludf.DUMMYFUNCTION("""COMPUTED_VALUE"""),"Não")</f>
        <v>Não</v>
      </c>
      <c r="BD482" s="27" t="str">
        <f ca="1">IFERROR(__xludf.DUMMYFUNCTION("""COMPUTED_VALUE"""),"Nascida em Belo Horizonte, filha do Saulo e Marinalva, casada com o Jonnatha, formada em Ciências Sociais e graduanda em Serviço social, viajou o brasil com os pais missionários e fiz morada em Contagem- MG.
Atuo no terceiro setor e com comunidades desde "&amp;"o 1° emprego. 
Enquanto muitos buscam seu propósito, eu me sinto privilegiada por descobrir e viver o meu propósito, antes mesmo de descobrir o significado desta palavra.")</f>
        <v>Nascida em Belo Horizonte, filha do Saulo e Marinalva, casada com o Jonnatha, formada em Ciências Sociais e graduanda em Serviço social, viajou o brasil com os pais missionários e fiz morada em Contagem- MG.
Atuo no terceiro setor e com comunidades desde o 1° emprego. 
Enquanto muitos buscam seu propósito, eu me sinto privilegiada por descobrir e viver o meu propósito, antes mesmo de descobrir o significado desta palavra.</v>
      </c>
      <c r="BE482" s="27"/>
      <c r="BF482" s="27" t="str">
        <f ca="1">IFERROR(__xludf.DUMMYFUNCTION("""COMPUTED_VALUE"""),"Heterossexual")</f>
        <v>Heterossexual</v>
      </c>
      <c r="BG482" s="27" t="str">
        <f ca="1">IFERROR(__xludf.DUMMYFUNCTION("""COMPUTED_VALUE"""),"Ensino Superior - Completo")</f>
        <v>Ensino Superior - Completo</v>
      </c>
      <c r="BH482" s="27" t="str">
        <f ca="1">IFERROR(__xludf.DUMMYFUNCTION("""COMPUTED_VALUE"""),"Público")</f>
        <v>Público</v>
      </c>
      <c r="BI482" s="27" t="str">
        <f ca="1">IFERROR(__xludf.DUMMYFUNCTION("""COMPUTED_VALUE"""),"Graduação")</f>
        <v>Graduação</v>
      </c>
      <c r="BJ482" s="27" t="str">
        <f ca="1">IFERROR(__xludf.DUMMYFUNCTION("""COMPUTED_VALUE"""),"Privado")</f>
        <v>Privado</v>
      </c>
      <c r="BK482" s="27" t="str">
        <f ca="1">IFERROR(__xludf.DUMMYFUNCTION("""COMPUTED_VALUE"""),"Silvestone")</f>
        <v>Silvestone</v>
      </c>
      <c r="BL482" s="27">
        <f ca="1">IFERROR(__xludf.DUMMYFUNCTION("""COMPUTED_VALUE"""),4)</f>
        <v>4</v>
      </c>
      <c r="BM482" s="27" t="str">
        <f ca="1">IFERROR(__xludf.DUMMYFUNCTION("""COMPUTED_VALUE"""),"Casa")</f>
        <v>Casa</v>
      </c>
      <c r="BN482" s="27" t="str">
        <f ca="1">IFERROR(__xludf.DUMMYFUNCTION("""COMPUTED_VALUE"""),"Contagem")</f>
        <v>Contagem</v>
      </c>
      <c r="BO482" s="27" t="str">
        <f ca="1">IFERROR(__xludf.DUMMYFUNCTION("""COMPUTED_VALUE"""),"32141-010")</f>
        <v>32141-010</v>
      </c>
      <c r="BP482" s="27" t="str">
        <f ca="1">IFERROR(__xludf.DUMMYFUNCTION("""COMPUTED_VALUE"""),"MG")</f>
        <v>MG</v>
      </c>
      <c r="BQ482" s="27" t="str">
        <f ca="1">IFERROR(__xludf.DUMMYFUNCTION("""COMPUTED_VALUE"""),"De 3 até 5 salários mínimos")</f>
        <v>De 3 até 5 salários mínimos</v>
      </c>
      <c r="BR482" s="27" t="str">
        <f ca="1">IFERROR(__xludf.DUMMYFUNCTION("""COMPUTED_VALUE"""),"CLT")</f>
        <v>CLT</v>
      </c>
      <c r="BS482" s="27" t="str">
        <f ca="1">IFERROR(__xludf.DUMMYFUNCTION("""COMPUTED_VALUE"""),"Casa própria")</f>
        <v>Casa própria</v>
      </c>
      <c r="BT482" s="27">
        <f ca="1">IFERROR(__xludf.DUMMYFUNCTION("""COMPUTED_VALUE"""),2)</f>
        <v>2</v>
      </c>
      <c r="BU482" s="27" t="str">
        <f ca="1">IFERROR(__xludf.DUMMYFUNCTION("""COMPUTED_VALUE"""),"Não tem")</f>
        <v>Não tem</v>
      </c>
      <c r="BV482" s="27" t="str">
        <f ca="1">IFERROR(__xludf.DUMMYFUNCTION("""COMPUTED_VALUE"""),"Vegetariana(o)")</f>
        <v>Vegetariana(o)</v>
      </c>
      <c r="BW482" s="21" t="str">
        <f ca="1">IFERROR(__xludf.DUMMYFUNCTION("""COMPUTED_VALUE"""),"https://www.linkedin.com/in/ana-paula-almeida-rodrigues-b9002b44")</f>
        <v>https://www.linkedin.com/in/ana-paula-almeida-rodrigues-b9002b44</v>
      </c>
      <c r="BX482" s="21" t="str">
        <f ca="1">IFERROR(__xludf.DUMMYFUNCTION("""COMPUTED_VALUE"""),"https://instagram.com/anapaula.almeidarodrigues?utm_medium=copy_link")</f>
        <v>https://instagram.com/anapaula.almeidarodrigues?utm_medium=copy_link</v>
      </c>
      <c r="BY482" s="21" t="str">
        <f ca="1">IFERROR(__xludf.DUMMYFUNCTION("""COMPUTED_VALUE"""),"https://drive.google.com/open?id=11uUQOTvq0vidwHYMUQOADdzirZbRyUnh")</f>
        <v>https://drive.google.com/open?id=11uUQOTvq0vidwHYMUQOADdzirZbRyUnh</v>
      </c>
    </row>
    <row r="483" spans="1:77" ht="12.5" x14ac:dyDescent="0.25">
      <c r="A483" s="21" t="str">
        <f ca="1">IFERROR(__xludf.DUMMYFUNCTION("""COMPUTED_VALUE"""),"0014P00003SGWPbQAP")</f>
        <v>0014P00003SGWPbQAP</v>
      </c>
      <c r="B483" s="27" t="str">
        <f ca="1">IFERROR(__xludf.DUMMYFUNCTION("""COMPUTED_VALUE"""),"Fase Inicial")</f>
        <v>Fase Inicial</v>
      </c>
      <c r="C483" s="27" t="str">
        <f ca="1">IFERROR(__xludf.DUMMYFUNCTION("""COMPUTED_VALUE"""),"Fellow")</f>
        <v>Fellow</v>
      </c>
      <c r="D483" s="27" t="str">
        <f ca="1">IFERROR(__xludf.DUMMYFUNCTION("""COMPUTED_VALUE"""),"Ativo")</f>
        <v>Ativo</v>
      </c>
      <c r="E483" s="27" t="str">
        <f ca="1">IFERROR(__xludf.DUMMYFUNCTION("""COMPUTED_VALUE"""),"OBRAS SOCIAIS DO CENTRO ESPÍRITA OBREIROS DO SENHOR")</f>
        <v>OBRAS SOCIAIS DO CENTRO ESPÍRITA OBREIROS DO SENHOR</v>
      </c>
      <c r="F483" s="27" t="str">
        <f ca="1">IFERROR(__xludf.DUMMYFUNCTION("""COMPUTED_VALUE"""),"Elisandra")</f>
        <v>Elisandra</v>
      </c>
      <c r="G483" s="27" t="str">
        <f ca="1">IFERROR(__xludf.DUMMYFUNCTION("""COMPUTED_VALUE"""),"OBREIROS DO SENHOR")</f>
        <v>OBREIROS DO SENHOR</v>
      </c>
      <c r="H483" s="27" t="str">
        <f ca="1">IFERROR(__xludf.DUMMYFUNCTION("""COMPUTED_VALUE"""),"37.584.240/0001-90")</f>
        <v>37.584.240/0001-90</v>
      </c>
      <c r="I483" s="27" t="str">
        <f ca="1">IFERROR(__xludf.DUMMYFUNCTION("""COMPUTED_VALUE"""),"Elisandra Aparecida Martins Melo")</f>
        <v>Elisandra Aparecida Martins Melo</v>
      </c>
      <c r="J483" s="27" t="str">
        <f ca="1">IFERROR(__xludf.DUMMYFUNCTION("""COMPUTED_VALUE"""),"gestor@osceos.org.br")</f>
        <v>gestor@osceos.org.br</v>
      </c>
      <c r="K483" s="27" t="str">
        <f ca="1">IFERROR(__xludf.DUMMYFUNCTION("""COMPUTED_VALUE"""),"(64)99233-9387")</f>
        <v>(64)99233-9387</v>
      </c>
      <c r="L483" s="27" t="str">
        <f ca="1">IFERROR(__xludf.DUMMYFUNCTION("""COMPUTED_VALUE"""),"GO")</f>
        <v>GO</v>
      </c>
      <c r="M483" s="27" t="str">
        <f ca="1">IFERROR(__xludf.DUMMYFUNCTION("""COMPUTED_VALUE"""),"Rua Machado de Assis")</f>
        <v>Rua Machado de Assis</v>
      </c>
      <c r="N483" s="27" t="str">
        <f ca="1">IFERROR(__xludf.DUMMYFUNCTION("""COMPUTED_VALUE"""),"São João")</f>
        <v>São João</v>
      </c>
      <c r="O483" s="27" t="str">
        <f ca="1">IFERROR(__xludf.DUMMYFUNCTION("""COMPUTED_VALUE"""),"(64)99233-9387")</f>
        <v>(64)99233-9387</v>
      </c>
      <c r="P483" s="27" t="str">
        <f ca="1">IFERROR(__xludf.DUMMYFUNCTION("""COMPUTED_VALUE"""),"Itumbiara")</f>
        <v>Itumbiara</v>
      </c>
      <c r="Q483" s="27"/>
      <c r="R483" s="27" t="str">
        <f ca="1">IFERROR(__xludf.DUMMYFUNCTION("""COMPUTED_VALUE"""),"75522-150")</f>
        <v>75522-150</v>
      </c>
      <c r="S483" s="27"/>
      <c r="T483" s="27" t="str">
        <f ca="1">IFERROR(__xludf.DUMMYFUNCTION("""COMPUTED_VALUE"""),"Educação")</f>
        <v>Educação</v>
      </c>
      <c r="U483" s="27" t="str">
        <f ca="1">IFERROR(__xludf.DUMMYFUNCTION("""COMPUTED_VALUE"""),"Crianças bem pequenas (1 ano e 7 meses até 3 anos e 11 meses); Crianças pequenas (4 anos a 5 anos e 11 meses)")</f>
        <v>Crianças bem pequenas (1 ano e 7 meses até 3 anos e 11 meses); Crianças pequenas (4 anos a 5 anos e 11 meses)</v>
      </c>
      <c r="V483" s="27" t="str">
        <f ca="1">IFERROR(__xludf.DUMMYFUNCTION("""COMPUTED_VALUE"""),"Outros")</f>
        <v>Outros</v>
      </c>
      <c r="W483" s="27">
        <f ca="1">IFERROR(__xludf.DUMMYFUNCTION("""COMPUTED_VALUE"""),8)</f>
        <v>8</v>
      </c>
      <c r="X483" s="27" t="str">
        <f ca="1">IFERROR(__xludf.DUMMYFUNCTION("""COMPUTED_VALUE"""),"Além do púbico mencionado acima também atendemos uma comunidade cigana.")</f>
        <v>Além do púbico mencionado acima também atendemos uma comunidade cigana.</v>
      </c>
      <c r="Y483" s="27">
        <f ca="1">IFERROR(__xludf.DUMMYFUNCTION("""COMPUTED_VALUE"""),76)</f>
        <v>76</v>
      </c>
      <c r="Z483" s="27">
        <f ca="1">IFERROR(__xludf.DUMMYFUNCTION("""COMPUTED_VALUE"""),2005)</f>
        <v>2005</v>
      </c>
      <c r="AA483" s="29">
        <f ca="1">IFERROR(__xludf.DUMMYFUNCTION("""COMPUTED_VALUE"""),33701)</f>
        <v>33701</v>
      </c>
      <c r="AB483" s="27" t="str">
        <f ca="1">IFERROR(__xludf.DUMMYFUNCTION("""COMPUTED_VALUE"""),"Sim")</f>
        <v>Sim</v>
      </c>
      <c r="AC483" s="27">
        <f ca="1">IFERROR(__xludf.DUMMYFUNCTION("""COMPUTED_VALUE"""),21)</f>
        <v>21</v>
      </c>
      <c r="AD483" s="27">
        <f ca="1">IFERROR(__xludf.DUMMYFUNCTION("""COMPUTED_VALUE"""),4)</f>
        <v>4</v>
      </c>
      <c r="AE483" s="27">
        <f ca="1">IFERROR(__xludf.DUMMYFUNCTION("""COMPUTED_VALUE"""),19)</f>
        <v>19</v>
      </c>
      <c r="AF483" s="27">
        <f ca="1">IFERROR(__xludf.DUMMYFUNCTION("""COMPUTED_VALUE"""),19)</f>
        <v>19</v>
      </c>
      <c r="AG483" s="27">
        <f ca="1">IFERROR(__xludf.DUMMYFUNCTION("""COMPUTED_VALUE"""),5)</f>
        <v>5</v>
      </c>
      <c r="AH483" s="27" t="str">
        <f ca="1">IFERROR(__xludf.DUMMYFUNCTION("""COMPUTED_VALUE"""),"Negócio Social; Convênio Público; Eventos/Ações para captação; Parceria iniciativa privada; Doações")</f>
        <v>Negócio Social; Convênio Público; Eventos/Ações para captação; Parceria iniciativa privada; Doações</v>
      </c>
      <c r="AI483" s="27" t="str">
        <f ca="1">IFERROR(__xludf.DUMMYFUNCTION("""COMPUTED_VALUE"""),"9% Negócio Social, 55% Convênio Público, 17% Eventos/Ações para Captação, 8% Parceria Iniciativa Privada, 11% Doações")</f>
        <v>9% Negócio Social, 55% Convênio Público, 17% Eventos/Ações para Captação, 8% Parceria Iniciativa Privada, 11% Doações</v>
      </c>
      <c r="AJ483" s="27" t="str">
        <f ca="1">IFERROR(__xludf.DUMMYFUNCTION("""COMPUTED_VALUE"""),"Não")</f>
        <v>Não</v>
      </c>
      <c r="AK483" s="27" t="str">
        <f ca="1">IFERROR(__xludf.DUMMYFUNCTION("""COMPUTED_VALUE"""),"Não")</f>
        <v>Não</v>
      </c>
      <c r="AL483" s="21" t="str">
        <f ca="1">IFERROR(__xludf.DUMMYFUNCTION("""COMPUTED_VALUE"""),"0034P000043fOni")</f>
        <v>0034P000043fOni</v>
      </c>
      <c r="AM483" s="27" t="str">
        <f ca="1">IFERROR(__xludf.DUMMYFUNCTION("""COMPUTED_VALUE"""),"Aparecida Martins Melo")</f>
        <v>Aparecida Martins Melo</v>
      </c>
      <c r="AN483" s="27" t="str">
        <f ca="1">IFERROR(__xludf.DUMMYFUNCTION("""COMPUTED_VALUE"""),"Ativo")</f>
        <v>Ativo</v>
      </c>
      <c r="AO483" s="29">
        <f ca="1">IFERROR(__xludf.DUMMYFUNCTION("""COMPUTED_VALUE"""),44432)</f>
        <v>44432</v>
      </c>
      <c r="AP483" s="27">
        <f ca="1">IFERROR(__xludf.DUMMYFUNCTION("""COMPUTED_VALUE"""),13)</f>
        <v>13</v>
      </c>
      <c r="AQ483" s="27" t="str">
        <f ca="1">IFERROR(__xludf.DUMMYFUNCTION("""COMPUTED_VALUE"""),"Primeiro Semestre 2021")</f>
        <v>Primeiro Semestre 2021</v>
      </c>
      <c r="AR483" s="27" t="str">
        <f ca="1">IFERROR(__xludf.DUMMYFUNCTION("""COMPUTED_VALUE"""),"elisandra79melo@gmail.com")</f>
        <v>elisandra79melo@gmail.com</v>
      </c>
      <c r="AS483" s="27" t="str">
        <f ca="1">IFERROR(__xludf.DUMMYFUNCTION("""COMPUTED_VALUE"""),"(64)99233-9387")</f>
        <v>(64)99233-9387</v>
      </c>
      <c r="AT483" s="29">
        <f ca="1">IFERROR(__xludf.DUMMYFUNCTION("""COMPUTED_VALUE"""),29121)</f>
        <v>29121</v>
      </c>
      <c r="AU483" s="27">
        <f ca="1">IFERROR(__xludf.DUMMYFUNCTION("""COMPUTED_VALUE"""),43)</f>
        <v>43</v>
      </c>
      <c r="AV483" s="27">
        <f ca="1">IFERROR(__xludf.DUMMYFUNCTION("""COMPUTED_VALUE"""),89943104104)</f>
        <v>89943104104</v>
      </c>
      <c r="AW483" s="27">
        <f ca="1">IFERROR(__xludf.DUMMYFUNCTION("""COMPUTED_VALUE"""),4136453)</f>
        <v>4136453</v>
      </c>
      <c r="AX483" s="27" t="str">
        <f ca="1">IFERROR(__xludf.DUMMYFUNCTION("""COMPUTED_VALUE"""),"Serviço Social")</f>
        <v>Serviço Social</v>
      </c>
      <c r="AY483" s="27"/>
      <c r="AZ483" s="27" t="str">
        <f ca="1">IFERROR(__xludf.DUMMYFUNCTION("""COMPUTED_VALUE"""),"P")</f>
        <v>P</v>
      </c>
      <c r="BA483" s="27" t="str">
        <f ca="1">IFERROR(__xludf.DUMMYFUNCTION("""COMPUTED_VALUE"""),"Preta")</f>
        <v>Preta</v>
      </c>
      <c r="BB483" s="27"/>
      <c r="BC483" s="27" t="str">
        <f ca="1">IFERROR(__xludf.DUMMYFUNCTION("""COMPUTED_VALUE"""),"Sim")</f>
        <v>Sim</v>
      </c>
      <c r="BD483" s="27" t="str">
        <f ca="1">IFERROR(__xludf.DUMMYFUNCTION("""COMPUTED_VALUE"""),"Eu Elisandra, nasci em Itumbiara Goiás, cresci na fazenda lagoa município de Panamá Goiás, fui alfabetizada em Grupo Escolar da Zona Rural, cursei o ensino fundamental segunda fase e o ensino médio em escolas públicas, sou casada, mãe de duas filhas, minh"&amp;"a religião é espírita, sou confundadora da OSC (OSCEOS), no qual estou presidente e gestora executiva dos programas e projetos desenvolvidos na OSC, formada em serviço social e finalizando o curso de pedagogia.")</f>
        <v>Eu Elisandra, nasci em Itumbiara Goiás, cresci na fazenda lagoa município de Panamá Goiás, fui alfabetizada em Grupo Escolar da Zona Rural, cursei o ensino fundamental segunda fase e o ensino médio em escolas públicas, sou casada, mãe de duas filhas, minha religião é espírita, sou confundadora da OSC (OSCEOS), no qual estou presidente e gestora executiva dos programas e projetos desenvolvidos na OSC, formada em serviço social e finalizando o curso de pedagogia.</v>
      </c>
      <c r="BE483" s="27" t="str">
        <f ca="1">IFERROR(__xludf.DUMMYFUNCTION("""COMPUTED_VALUE"""),"Masculino")</f>
        <v>Masculino</v>
      </c>
      <c r="BF483" s="27" t="str">
        <f ca="1">IFERROR(__xludf.DUMMYFUNCTION("""COMPUTED_VALUE"""),"Heterossexual")</f>
        <v>Heterossexual</v>
      </c>
      <c r="BG483" s="27" t="str">
        <f ca="1">IFERROR(__xludf.DUMMYFUNCTION("""COMPUTED_VALUE"""),"Ensino Superior - Completo")</f>
        <v>Ensino Superior - Completo</v>
      </c>
      <c r="BH483" s="27"/>
      <c r="BI483" s="27" t="str">
        <f ca="1">IFERROR(__xludf.DUMMYFUNCTION("""COMPUTED_VALUE"""),"Graduação")</f>
        <v>Graduação</v>
      </c>
      <c r="BJ483" s="27" t="str">
        <f ca="1">IFERROR(__xludf.DUMMYFUNCTION("""COMPUTED_VALUE"""),"Privado")</f>
        <v>Privado</v>
      </c>
      <c r="BK483" s="27" t="str">
        <f ca="1">IFERROR(__xludf.DUMMYFUNCTION("""COMPUTED_VALUE"""),"Rua dos Cinquenta")</f>
        <v>Rua dos Cinquenta</v>
      </c>
      <c r="BL483" s="27">
        <f ca="1">IFERROR(__xludf.DUMMYFUNCTION("""COMPUTED_VALUE"""),215)</f>
        <v>215</v>
      </c>
      <c r="BM483" s="27" t="str">
        <f ca="1">IFERROR(__xludf.DUMMYFUNCTION("""COMPUTED_VALUE"""),"Casa")</f>
        <v>Casa</v>
      </c>
      <c r="BN483" s="27" t="str">
        <f ca="1">IFERROR(__xludf.DUMMYFUNCTION("""COMPUTED_VALUE"""),"Itumbiara")</f>
        <v>Itumbiara</v>
      </c>
      <c r="BO483" s="27" t="str">
        <f ca="1">IFERROR(__xludf.DUMMYFUNCTION("""COMPUTED_VALUE"""),"75522-045")</f>
        <v>75522-045</v>
      </c>
      <c r="BP483" s="27" t="str">
        <f ca="1">IFERROR(__xludf.DUMMYFUNCTION("""COMPUTED_VALUE"""),"GO")</f>
        <v>GO</v>
      </c>
      <c r="BQ483" s="27" t="str">
        <f ca="1">IFERROR(__xludf.DUMMYFUNCTION("""COMPUTED_VALUE"""),"Acima de 5 salários mínimos")</f>
        <v>Acima de 5 salários mínimos</v>
      </c>
      <c r="BR483" s="27" t="str">
        <f ca="1">IFERROR(__xludf.DUMMYFUNCTION("""COMPUTED_VALUE"""),"CLT")</f>
        <v>CLT</v>
      </c>
      <c r="BS483" s="27" t="str">
        <f ca="1">IFERROR(__xludf.DUMMYFUNCTION("""COMPUTED_VALUE"""),"Casa própria")</f>
        <v>Casa própria</v>
      </c>
      <c r="BT483" s="27">
        <f ca="1">IFERROR(__xludf.DUMMYFUNCTION("""COMPUTED_VALUE"""),2)</f>
        <v>2</v>
      </c>
      <c r="BU483" s="27"/>
      <c r="BV483" s="27"/>
      <c r="BW483" s="21" t="str">
        <f ca="1">IFERROR(__xludf.DUMMYFUNCTION("""COMPUTED_VALUE"""),"https://www.linkedin.com/in/elisandra-aparecida-martins-melo-367843215/")</f>
        <v>https://www.linkedin.com/in/elisandra-aparecida-martins-melo-367843215/</v>
      </c>
      <c r="BX483" s="21" t="str">
        <f ca="1">IFERROR(__xludf.DUMMYFUNCTION("""COMPUTED_VALUE"""),"https://www.instagram.com/p/CLsPnUJDm-2/?utm_medium=copy_link")</f>
        <v>https://www.instagram.com/p/CLsPnUJDm-2/?utm_medium=copy_link</v>
      </c>
      <c r="BY483" s="21" t="str">
        <f ca="1">IFERROR(__xludf.DUMMYFUNCTION("""COMPUTED_VALUE"""),"https://drive.google.com/open?id=1mpT_OZt3DRBDicUM1bdyDPaLt-5zPx_w")</f>
        <v>https://drive.google.com/open?id=1mpT_OZt3DRBDicUM1bdyDPaLt-5zPx_w</v>
      </c>
    </row>
    <row r="484" spans="1:77" ht="12.5" hidden="1" x14ac:dyDescent="0.25">
      <c r="A484" s="21" t="str">
        <f ca="1">IFERROR(__xludf.DUMMYFUNCTION("""COMPUTED_VALUE"""),"0014X00002VKCr3QAH")</f>
        <v>0014X00002VKCr3QAH</v>
      </c>
      <c r="B484" s="27" t="str">
        <f ca="1">IFERROR(__xludf.DUMMYFUNCTION("""COMPUTED_VALUE"""),"Fase Inicial")</f>
        <v>Fase Inicial</v>
      </c>
      <c r="C484" s="27" t="str">
        <f ca="1">IFERROR(__xludf.DUMMYFUNCTION("""COMPUTED_VALUE"""),"Fellow")</f>
        <v>Fellow</v>
      </c>
      <c r="D484" s="27" t="str">
        <f ca="1">IFERROR(__xludf.DUMMYFUNCTION("""COMPUTED_VALUE"""),"Ativo")</f>
        <v>Ativo</v>
      </c>
      <c r="E484" s="27" t="str">
        <f ca="1">IFERROR(__xludf.DUMMYFUNCTION("""COMPUTED_VALUE"""),"ONG ABRAÇAR FILHAS DE MARIA")</f>
        <v>ONG ABRAÇAR FILHAS DE MARIA</v>
      </c>
      <c r="F484" s="27" t="str">
        <f ca="1">IFERROR(__xludf.DUMMYFUNCTION("""COMPUTED_VALUE"""),"Mariete")</f>
        <v>Mariete</v>
      </c>
      <c r="G484" s="27" t="str">
        <f ca="1">IFERROR(__xludf.DUMMYFUNCTION("""COMPUTED_VALUE"""),"ONGAFM")</f>
        <v>ONGAFM</v>
      </c>
      <c r="H484" s="27" t="str">
        <f ca="1">IFERROR(__xludf.DUMMYFUNCTION("""COMPUTED_VALUE"""),"40.914.089/0001-16")</f>
        <v>40.914.089/0001-16</v>
      </c>
      <c r="I484" s="27" t="str">
        <f ca="1">IFERROR(__xludf.DUMMYFUNCTION("""COMPUTED_VALUE"""),"Mariete Teixeira dos Santos")</f>
        <v>Mariete Teixeira dos Santos</v>
      </c>
      <c r="J484" s="27" t="str">
        <f ca="1">IFERROR(__xludf.DUMMYFUNCTION("""COMPUTED_VALUE"""),"ongabracarfilhasdemaria@gmail.com")</f>
        <v>ongabracarfilhasdemaria@gmail.com</v>
      </c>
      <c r="K484" s="27" t="str">
        <f ca="1">IFERROR(__xludf.DUMMYFUNCTION("""COMPUTED_VALUE"""),"(31)97103-2340")</f>
        <v>(31)97103-2340</v>
      </c>
      <c r="L484" s="27" t="str">
        <f ca="1">IFERROR(__xludf.DUMMYFUNCTION("""COMPUTED_VALUE"""),"MG")</f>
        <v>MG</v>
      </c>
      <c r="M484" s="27" t="str">
        <f ca="1">IFERROR(__xludf.DUMMYFUNCTION("""COMPUTED_VALUE"""),"Rua Carlos vitoriano de sá")</f>
        <v>Rua Carlos vitoriano de sá</v>
      </c>
      <c r="N484" s="27" t="str">
        <f ca="1">IFERROR(__xludf.DUMMYFUNCTION("""COMPUTED_VALUE"""),"Bela vista")</f>
        <v>Bela vista</v>
      </c>
      <c r="O484" s="27">
        <f ca="1">IFERROR(__xludf.DUMMYFUNCTION("""COMPUTED_VALUE"""),364)</f>
        <v>364</v>
      </c>
      <c r="P484" s="27" t="str">
        <f ca="1">IFERROR(__xludf.DUMMYFUNCTION("""COMPUTED_VALUE"""),"Contagem")</f>
        <v>Contagem</v>
      </c>
      <c r="Q484" s="27"/>
      <c r="R484" s="27" t="str">
        <f ca="1">IFERROR(__xludf.DUMMYFUNCTION("""COMPUTED_VALUE"""),"32010-260")</f>
        <v>32010-260</v>
      </c>
      <c r="S484" s="27"/>
      <c r="T484" s="27"/>
      <c r="U484" s="27" t="str">
        <f ca="1">IFERROR(__xludf.DUMMYFUNCTION("""COMPUTED_VALUE"""),"Crianças (6 a 12 anos), Adolescentes (12 aos 18 anos), Jovens (18 aos 24 anos), Adultos, Idosos (60 anos ou mais)")</f>
        <v>Crianças (6 a 12 anos), Adolescentes (12 aos 18 anos), Jovens (18 aos 24 anos), Adultos, Idosos (60 anos ou mais)</v>
      </c>
      <c r="V484" s="27" t="str">
        <f ca="1">IFERROR(__xludf.DUMMYFUNCTION("""COMPUTED_VALUE"""),"Moradores de Favelas, Pessoas em situação de rua, População LGBTQ+, Quilombola, Afrodescendentes, Pessoas com Deficiência")</f>
        <v>Moradores de Favelas, Pessoas em situação de rua, População LGBTQ+, Quilombola, Afrodescendentes, Pessoas com Deficiência</v>
      </c>
      <c r="W484" s="27">
        <f ca="1">IFERROR(__xludf.DUMMYFUNCTION("""COMPUTED_VALUE"""),8)</f>
        <v>8</v>
      </c>
      <c r="X484" s="27"/>
      <c r="Y484" s="27"/>
      <c r="Z484" s="27">
        <f ca="1">IFERROR(__xludf.DUMMYFUNCTION("""COMPUTED_VALUE"""),4000)</f>
        <v>4000</v>
      </c>
      <c r="AA484" s="29">
        <f ca="1">IFERROR(__xludf.DUMMYFUNCTION("""COMPUTED_VALUE"""),26770)</f>
        <v>26770</v>
      </c>
      <c r="AB484" s="27" t="str">
        <f ca="1">IFERROR(__xludf.DUMMYFUNCTION("""COMPUTED_VALUE"""),"Sim")</f>
        <v>Sim</v>
      </c>
      <c r="AC484" s="27">
        <f ca="1">IFERROR(__xludf.DUMMYFUNCTION("""COMPUTED_VALUE"""),0)</f>
        <v>0</v>
      </c>
      <c r="AD484" s="27">
        <f ca="1">IFERROR(__xludf.DUMMYFUNCTION("""COMPUTED_VALUE"""),12)</f>
        <v>12</v>
      </c>
      <c r="AE484" s="27">
        <f ca="1">IFERROR(__xludf.DUMMYFUNCTION("""COMPUTED_VALUE"""),12)</f>
        <v>12</v>
      </c>
      <c r="AF484" s="27">
        <f ca="1">IFERROR(__xludf.DUMMYFUNCTION("""COMPUTED_VALUE"""),12)</f>
        <v>12</v>
      </c>
      <c r="AG484" s="27">
        <f ca="1">IFERROR(__xludf.DUMMYFUNCTION("""COMPUTED_VALUE"""),2)</f>
        <v>2</v>
      </c>
      <c r="AH484" s="27" t="str">
        <f ca="1">IFERROR(__xludf.DUMMYFUNCTION("""COMPUTED_VALUE"""),"Outro(s), Doações")</f>
        <v>Outro(s), Doações</v>
      </c>
      <c r="AI484" s="27" t="str">
        <f ca="1">IFERROR(__xludf.DUMMYFUNCTION("""COMPUTED_VALUE"""),"100% doações")</f>
        <v>100% doações</v>
      </c>
      <c r="AJ484" s="27" t="str">
        <f ca="1">IFERROR(__xludf.DUMMYFUNCTION("""COMPUTED_VALUE"""),"Sim")</f>
        <v>Sim</v>
      </c>
      <c r="AK484" s="27"/>
      <c r="AL484" s="21" t="str">
        <f ca="1">IFERROR(__xludf.DUMMYFUNCTION("""COMPUTED_VALUE"""),"0034X0000380O32")</f>
        <v>0034X0000380O32</v>
      </c>
      <c r="AM484" s="27" t="str">
        <f ca="1">IFERROR(__xludf.DUMMYFUNCTION("""COMPUTED_VALUE"""),"Teixeira dos santos")</f>
        <v>Teixeira dos santos</v>
      </c>
      <c r="AN484" s="27" t="str">
        <f ca="1">IFERROR(__xludf.DUMMYFUNCTION("""COMPUTED_VALUE"""),"Ativo")</f>
        <v>Ativo</v>
      </c>
      <c r="AO484" s="29">
        <f ca="1">IFERROR(__xludf.DUMMYFUNCTION("""COMPUTED_VALUE"""),44763)</f>
        <v>44763</v>
      </c>
      <c r="AP484" s="27">
        <f ca="1">IFERROR(__xludf.DUMMYFUNCTION("""COMPUTED_VALUE"""),2)</f>
        <v>2</v>
      </c>
      <c r="AQ484" s="27" t="str">
        <f ca="1">IFERROR(__xludf.DUMMYFUNCTION("""COMPUTED_VALUE"""),"Primeiro Semestre 2022")</f>
        <v>Primeiro Semestre 2022</v>
      </c>
      <c r="AR484" s="27" t="str">
        <f ca="1">IFERROR(__xludf.DUMMYFUNCTION("""COMPUTED_VALUE"""),"ongabracarfilhasdemaria@gmail.com")</f>
        <v>ongabracarfilhasdemaria@gmail.com</v>
      </c>
      <c r="AS484" s="27">
        <f ca="1">IFERROR(__xludf.DUMMYFUNCTION("""COMPUTED_VALUE"""),31971032340)</f>
        <v>31971032340</v>
      </c>
      <c r="AT484" s="29">
        <f ca="1">IFERROR(__xludf.DUMMYFUNCTION("""COMPUTED_VALUE"""),26770)</f>
        <v>26770</v>
      </c>
      <c r="AU484" s="27">
        <f ca="1">IFERROR(__xludf.DUMMYFUNCTION("""COMPUTED_VALUE"""),49)</f>
        <v>49</v>
      </c>
      <c r="AV484" s="27">
        <f ca="1">IFERROR(__xludf.DUMMYFUNCTION("""COMPUTED_VALUE"""),99672545649)</f>
        <v>99672545649</v>
      </c>
      <c r="AW484" s="27" t="str">
        <f ca="1">IFERROR(__xludf.DUMMYFUNCTION("""COMPUTED_VALUE"""),"Mg-7536637")</f>
        <v>Mg-7536637</v>
      </c>
      <c r="AX484" s="27"/>
      <c r="AY484" s="27"/>
      <c r="AZ484" s="27" t="str">
        <f ca="1">IFERROR(__xludf.DUMMYFUNCTION("""COMPUTED_VALUE"""),"G")</f>
        <v>G</v>
      </c>
      <c r="BA484" s="27" t="str">
        <f ca="1">IFERROR(__xludf.DUMMYFUNCTION("""COMPUTED_VALUE"""),"Branca")</f>
        <v>Branca</v>
      </c>
      <c r="BB484" s="27"/>
      <c r="BC484" s="27"/>
      <c r="BD484" s="27" t="str">
        <f ca="1">IFERROR(__xludf.DUMMYFUNCTION("""COMPUTED_VALUE"""),"Olá*
Meu nome é Mariete Teixeira Dos Santos* tenho 48 anos* casada* tenho três filhos* sou presidente e fundadora da ONG ABRAÇAR FILHAS DE MARIA.  A 4 anos faço trabalhos sociais para famílias de baixa vulnerabilidade* dando oportunidades de capacitação p"&amp;"rofissional. Faço meu trabalho com muito amor* carinho e dedicação* porque também na minha infância e adolescência não tive oportunidades* por isso que do oportunidades para jovens* crianças e adultos. Acredito que assim podemos transformar vidas.")</f>
        <v>Olá*
Meu nome é Mariete Teixeira Dos Santos* tenho 48 anos* casada* tenho três filhos* sou presidente e fundadora da ONG ABRAÇAR FILHAS DE MARIA.  A 4 anos faço trabalhos sociais para famílias de baixa vulnerabilidade* dando oportunidades de capacitação profissional. Faço meu trabalho com muito amor* carinho e dedicação* porque também na minha infância e adolescência não tive oportunidades* por isso que do oportunidades para jovens* crianças e adultos. Acredito que assim podemos transformar vidas.</v>
      </c>
      <c r="BE484" s="27" t="str">
        <f ca="1">IFERROR(__xludf.DUMMYFUNCTION("""COMPUTED_VALUE"""),"Feminino")</f>
        <v>Feminino</v>
      </c>
      <c r="BF484" s="27" t="str">
        <f ca="1">IFERROR(__xludf.DUMMYFUNCTION("""COMPUTED_VALUE"""),"Heterossexual")</f>
        <v>Heterossexual</v>
      </c>
      <c r="BG484" s="27"/>
      <c r="BH484" s="27" t="str">
        <f ca="1">IFERROR(__xludf.DUMMYFUNCTION("""COMPUTED_VALUE"""),"Público")</f>
        <v>Público</v>
      </c>
      <c r="BI484" s="27"/>
      <c r="BJ484" s="27"/>
      <c r="BK484" s="27" t="str">
        <f ca="1">IFERROR(__xludf.DUMMYFUNCTION("""COMPUTED_VALUE"""),"Rua Carlos Vitoriano de Sá")</f>
        <v>Rua Carlos Vitoriano de Sá</v>
      </c>
      <c r="BL484" s="27">
        <f ca="1">IFERROR(__xludf.DUMMYFUNCTION("""COMPUTED_VALUE"""),364)</f>
        <v>364</v>
      </c>
      <c r="BM484" s="27"/>
      <c r="BN484" s="27"/>
      <c r="BO484" s="27">
        <f ca="1">IFERROR(__xludf.DUMMYFUNCTION("""COMPUTED_VALUE"""),32010260)</f>
        <v>32010260</v>
      </c>
      <c r="BP484" s="27" t="str">
        <f ca="1">IFERROR(__xludf.DUMMYFUNCTION("""COMPUTED_VALUE"""),"MG")</f>
        <v>MG</v>
      </c>
      <c r="BQ484" s="27" t="str">
        <f ca="1">IFERROR(__xludf.DUMMYFUNCTION("""COMPUTED_VALUE"""),"Entre 1 até 3 salários mínimos")</f>
        <v>Entre 1 até 3 salários mínimos</v>
      </c>
      <c r="BR484" s="27" t="str">
        <f ca="1">IFERROR(__xludf.DUMMYFUNCTION("""COMPUTED_VALUE"""),"Desempregado")</f>
        <v>Desempregado</v>
      </c>
      <c r="BS484" s="27" t="str">
        <f ca="1">IFERROR(__xludf.DUMMYFUNCTION("""COMPUTED_VALUE"""),"Aluguel")</f>
        <v>Aluguel</v>
      </c>
      <c r="BT484" s="27">
        <f ca="1">IFERROR(__xludf.DUMMYFUNCTION("""COMPUTED_VALUE"""),5)</f>
        <v>5</v>
      </c>
      <c r="BU484" s="27" t="str">
        <f ca="1">IFERROR(__xludf.DUMMYFUNCTION("""COMPUTED_VALUE"""),"Não tem")</f>
        <v>Não tem</v>
      </c>
      <c r="BV484" s="27" t="str">
        <f ca="1">IFERROR(__xludf.DUMMYFUNCTION("""COMPUTED_VALUE"""),"Não")</f>
        <v>Não</v>
      </c>
      <c r="BW484" s="27"/>
      <c r="BX484" s="21" t="str">
        <f ca="1">IFERROR(__xludf.DUMMYFUNCTION("""COMPUTED_VALUE"""),"https://www.instagram.com/p/CY_we9SAi8V/?utm_medium=share_sheet")</f>
        <v>https://www.instagram.com/p/CY_we9SAi8V/?utm_medium=share_sheet</v>
      </c>
      <c r="BY484" s="21" t="str">
        <f ca="1">IFERROR(__xludf.DUMMYFUNCTION("""COMPUTED_VALUE"""),"https://drive.google.com/open?id=1HkKsm0aumTPHbS1qXz45eyluI7e3m7Yj")</f>
        <v>https://drive.google.com/open?id=1HkKsm0aumTPHbS1qXz45eyluI7e3m7Yj</v>
      </c>
    </row>
    <row r="485" spans="1:77" ht="12.5" x14ac:dyDescent="0.25">
      <c r="A485" s="21" t="str">
        <f ca="1">IFERROR(__xludf.DUMMYFUNCTION("""COMPUTED_VALUE"""),"0014X00002VKCowQAH")</f>
        <v>0014X00002VKCowQAH</v>
      </c>
      <c r="B485" s="27" t="str">
        <f ca="1">IFERROR(__xludf.DUMMYFUNCTION("""COMPUTED_VALUE"""),"Fase Inicial")</f>
        <v>Fase Inicial</v>
      </c>
      <c r="C485" s="27" t="str">
        <f ca="1">IFERROR(__xludf.DUMMYFUNCTION("""COMPUTED_VALUE"""),"Fellow")</f>
        <v>Fellow</v>
      </c>
      <c r="D485" s="27" t="str">
        <f ca="1">IFERROR(__xludf.DUMMYFUNCTION("""COMPUTED_VALUE"""),"Ativo")</f>
        <v>Ativo</v>
      </c>
      <c r="E485" s="27" t="str">
        <f ca="1">IFERROR(__xludf.DUMMYFUNCTION("""COMPUTED_VALUE"""),"ONG Centro  Zumbi dos Palmares")</f>
        <v>ONG Centro  Zumbi dos Palmares</v>
      </c>
      <c r="F485" s="27" t="str">
        <f ca="1">IFERROR(__xludf.DUMMYFUNCTION("""COMPUTED_VALUE"""),"Aline")</f>
        <v>Aline</v>
      </c>
      <c r="G485" s="27" t="str">
        <f ca="1">IFERROR(__xludf.DUMMYFUNCTION("""COMPUTED_VALUE"""),"CENTRO DE CULTURA E CIDA ZUMBI DOS PALMARES")</f>
        <v>CENTRO DE CULTURA E CIDA ZUMBI DOS PALMARES</v>
      </c>
      <c r="H485" s="27" t="str">
        <f ca="1">IFERROR(__xludf.DUMMYFUNCTION("""COMPUTED_VALUE"""),"05.849.003/0001-18")</f>
        <v>05.849.003/0001-18</v>
      </c>
      <c r="I485" s="27" t="str">
        <f ca="1">IFERROR(__xludf.DUMMYFUNCTION("""COMPUTED_VALUE"""),"Aline Maria da silva")</f>
        <v>Aline Maria da silva</v>
      </c>
      <c r="J485" s="27"/>
      <c r="K485" s="27"/>
      <c r="L485" s="27" t="str">
        <f ca="1">IFERROR(__xludf.DUMMYFUNCTION("""COMPUTED_VALUE"""),"PE")</f>
        <v>PE</v>
      </c>
      <c r="M485" s="27" t="str">
        <f ca="1">IFERROR(__xludf.DUMMYFUNCTION("""COMPUTED_VALUE"""),"Aníbal  Cantarelli")</f>
        <v>Aníbal  Cantarelli</v>
      </c>
      <c r="N485" s="27" t="str">
        <f ca="1">IFERROR(__xludf.DUMMYFUNCTION("""COMPUTED_VALUE"""),"Centro")</f>
        <v>Centro</v>
      </c>
      <c r="O485" s="27">
        <f ca="1">IFERROR(__xludf.DUMMYFUNCTION("""COMPUTED_VALUE"""),74)</f>
        <v>74</v>
      </c>
      <c r="P485" s="27" t="str">
        <f ca="1">IFERROR(__xludf.DUMMYFUNCTION("""COMPUTED_VALUE"""),"Mirandiba")</f>
        <v>Mirandiba</v>
      </c>
      <c r="Q485" s="27"/>
      <c r="R485" s="27" t="str">
        <f ca="1">IFERROR(__xludf.DUMMYFUNCTION("""COMPUTED_VALUE"""),"56980-000")</f>
        <v>56980-000</v>
      </c>
      <c r="S485" s="27"/>
      <c r="T485" s="27"/>
      <c r="U485" s="27"/>
      <c r="V485" s="27"/>
      <c r="W485" s="27">
        <f ca="1">IFERROR(__xludf.DUMMYFUNCTION("""COMPUTED_VALUE"""),10)</f>
        <v>10</v>
      </c>
      <c r="X485" s="27" t="str">
        <f ca="1">IFERROR(__xludf.DUMMYFUNCTION("""COMPUTED_VALUE"""),"O público atendido  é  referenciado por comunidades quilombola* Rural e urbana")</f>
        <v>O público atendido  é  referenciado por comunidades quilombola* Rural e urbana</v>
      </c>
      <c r="Y485" s="27"/>
      <c r="Z485" s="27">
        <f ca="1">IFERROR(__xludf.DUMMYFUNCTION("""COMPUTED_VALUE"""),300)</f>
        <v>300</v>
      </c>
      <c r="AA485" s="29">
        <f ca="1">IFERROR(__xludf.DUMMYFUNCTION("""COMPUTED_VALUE"""),37115)</f>
        <v>37115</v>
      </c>
      <c r="AB485" s="27" t="str">
        <f ca="1">IFERROR(__xludf.DUMMYFUNCTION("""COMPUTED_VALUE"""),"Sim")</f>
        <v>Sim</v>
      </c>
      <c r="AC485" s="27">
        <f ca="1">IFERROR(__xludf.DUMMYFUNCTION("""COMPUTED_VALUE"""),0)</f>
        <v>0</v>
      </c>
      <c r="AD485" s="27"/>
      <c r="AE485" s="27">
        <f ca="1">IFERROR(__xludf.DUMMYFUNCTION("""COMPUTED_VALUE"""),5)</f>
        <v>5</v>
      </c>
      <c r="AF485" s="27"/>
      <c r="AG485" s="27">
        <f ca="1">IFERROR(__xludf.DUMMYFUNCTION("""COMPUTED_VALUE"""),3)</f>
        <v>3</v>
      </c>
      <c r="AH485" s="27"/>
      <c r="AI485" s="27"/>
      <c r="AJ485" s="27"/>
      <c r="AK485" s="27"/>
      <c r="AL485" s="21" t="str">
        <f ca="1">IFERROR(__xludf.DUMMYFUNCTION("""COMPUTED_VALUE"""),"0034X0000380O3a")</f>
        <v>0034X0000380O3a</v>
      </c>
      <c r="AM485" s="27" t="str">
        <f ca="1">IFERROR(__xludf.DUMMYFUNCTION("""COMPUTED_VALUE"""),"Maria da silva")</f>
        <v>Maria da silva</v>
      </c>
      <c r="AN485" s="27" t="str">
        <f ca="1">IFERROR(__xludf.DUMMYFUNCTION("""COMPUTED_VALUE"""),"Ativo")</f>
        <v>Ativo</v>
      </c>
      <c r="AO485" s="27"/>
      <c r="AP485" s="27"/>
      <c r="AQ485" s="27" t="str">
        <f ca="1">IFERROR(__xludf.DUMMYFUNCTION("""COMPUTED_VALUE"""),"Primeiro Semestre 2022")</f>
        <v>Primeiro Semestre 2022</v>
      </c>
      <c r="AR485" s="27" t="str">
        <f ca="1">IFERROR(__xludf.DUMMYFUNCTION("""COMPUTED_VALUE"""),"alinemcajc48@gmail.com")</f>
        <v>alinemcajc48@gmail.com</v>
      </c>
      <c r="AS485" s="27">
        <f ca="1">IFERROR(__xludf.DUMMYFUNCTION("""COMPUTED_VALUE"""),87999668328)</f>
        <v>87999668328</v>
      </c>
      <c r="AT485" s="30">
        <f ca="1">IFERROR(__xludf.DUMMYFUNCTION("""COMPUTED_VALUE"""),28779)</f>
        <v>28779</v>
      </c>
      <c r="AU485" s="27">
        <f ca="1">IFERROR(__xludf.DUMMYFUNCTION("""COMPUTED_VALUE"""),44)</f>
        <v>44</v>
      </c>
      <c r="AV485" s="27">
        <f ca="1">IFERROR(__xludf.DUMMYFUNCTION("""COMPUTED_VALUE"""),2858968497)</f>
        <v>2858968497</v>
      </c>
      <c r="AW485" s="27">
        <f ca="1">IFERROR(__xludf.DUMMYFUNCTION("""COMPUTED_VALUE"""),4752123)</f>
        <v>4752123</v>
      </c>
      <c r="AX485" s="27"/>
      <c r="AY485" s="27"/>
      <c r="AZ485" s="27" t="str">
        <f ca="1">IFERROR(__xludf.DUMMYFUNCTION("""COMPUTED_VALUE"""),"G")</f>
        <v>G</v>
      </c>
      <c r="BA485" s="27" t="str">
        <f ca="1">IFERROR(__xludf.DUMMYFUNCTION("""COMPUTED_VALUE"""),"Preta")</f>
        <v>Preta</v>
      </c>
      <c r="BB485" s="27"/>
      <c r="BC485" s="27"/>
      <c r="BD485" s="27" t="str">
        <f ca="1">IFERROR(__xludf.DUMMYFUNCTION("""COMPUTED_VALUE"""),"SOU ALINE MARIA DA SILVA* MULHER ESPOSA E MÃE* DE 4 FILHOS* TRÊS MENINAS E UM MENINO, SOU A 3º DE SETE FILHOS DOS MEUS PAIS, NASCI EM FAMÍLIA POBRE* EM UMA CIDADE RICA EM RECURSOS NATURAIS, TERRA E ÁGUA BOA* COM POPULAÇÃO* MAJORITÁRIA NEGRA* POREM UMA CID"&amp;"ADE RACISTA E PRECONCEITUOSA. ACREDITO NA EDUCAÇÃO COMO UMA FORMA DE LIBERTAÇÃO PARA O SUJEITO* EDUCAÇÃO FEITA DENTRO E FORA DAS QUATRO PAREDES.")</f>
        <v>SOU ALINE MARIA DA SILVA* MULHER ESPOSA E MÃE* DE 4 FILHOS* TRÊS MENINAS E UM MENINO, SOU A 3º DE SETE FILHOS DOS MEUS PAIS, NASCI EM FAMÍLIA POBRE* EM UMA CIDADE RICA EM RECURSOS NATURAIS, TERRA E ÁGUA BOA* COM POPULAÇÃO* MAJORITÁRIA NEGRA* POREM UMA CIDADE RACISTA E PRECONCEITUOSA. ACREDITO NA EDUCAÇÃO COMO UMA FORMA DE LIBERTAÇÃO PARA O SUJEITO* EDUCAÇÃO FEITA DENTRO E FORA DAS QUATRO PAREDES.</v>
      </c>
      <c r="BE485" s="27" t="str">
        <f ca="1">IFERROR(__xludf.DUMMYFUNCTION("""COMPUTED_VALUE"""),"Feminino")</f>
        <v>Feminino</v>
      </c>
      <c r="BF485" s="27" t="str">
        <f ca="1">IFERROR(__xludf.DUMMYFUNCTION("""COMPUTED_VALUE"""),"Heterossexual")</f>
        <v>Heterossexual</v>
      </c>
      <c r="BG485" s="27"/>
      <c r="BH485" s="27" t="str">
        <f ca="1">IFERROR(__xludf.DUMMYFUNCTION("""COMPUTED_VALUE"""),"Público")</f>
        <v>Público</v>
      </c>
      <c r="BI485" s="27" t="str">
        <f ca="1">IFERROR(__xludf.DUMMYFUNCTION("""COMPUTED_VALUE"""),"Pós-Graduação")</f>
        <v>Pós-Graduação</v>
      </c>
      <c r="BJ485" s="27" t="str">
        <f ca="1">IFERROR(__xludf.DUMMYFUNCTION("""COMPUTED_VALUE"""),"Privado")</f>
        <v>Privado</v>
      </c>
      <c r="BK485" s="27" t="str">
        <f ca="1">IFERROR(__xludf.DUMMYFUNCTION("""COMPUTED_VALUE"""),"QUILOMBO PEDRA DO AMOLAR")</f>
        <v>QUILOMBO PEDRA DO AMOLAR</v>
      </c>
      <c r="BL485" s="27">
        <f ca="1">IFERROR(__xludf.DUMMYFUNCTION("""COMPUTED_VALUE"""),1)</f>
        <v>1</v>
      </c>
      <c r="BM485" s="27"/>
      <c r="BN485" s="27"/>
      <c r="BO485" s="27">
        <f ca="1">IFERROR(__xludf.DUMMYFUNCTION("""COMPUTED_VALUE"""),56980000)</f>
        <v>56980000</v>
      </c>
      <c r="BP485" s="27" t="str">
        <f ca="1">IFERROR(__xludf.DUMMYFUNCTION("""COMPUTED_VALUE"""),"PE")</f>
        <v>PE</v>
      </c>
      <c r="BQ485" s="27" t="str">
        <f ca="1">IFERROR(__xludf.DUMMYFUNCTION("""COMPUTED_VALUE"""),"Entre 1 até 3 salários mínimos")</f>
        <v>Entre 1 até 3 salários mínimos</v>
      </c>
      <c r="BR485" s="27" t="str">
        <f ca="1">IFERROR(__xludf.DUMMYFUNCTION("""COMPUTED_VALUE"""),"Desempregado")</f>
        <v>Desempregado</v>
      </c>
      <c r="BS485" s="27" t="str">
        <f ca="1">IFERROR(__xludf.DUMMYFUNCTION("""COMPUTED_VALUE"""),"Casa própria")</f>
        <v>Casa própria</v>
      </c>
      <c r="BT485" s="27">
        <f ca="1">IFERROR(__xludf.DUMMYFUNCTION("""COMPUTED_VALUE"""),6)</f>
        <v>6</v>
      </c>
      <c r="BU485" s="27" t="str">
        <f ca="1">IFERROR(__xludf.DUMMYFUNCTION("""COMPUTED_VALUE"""),"Não tem")</f>
        <v>Não tem</v>
      </c>
      <c r="BV485" s="27" t="str">
        <f ca="1">IFERROR(__xludf.DUMMYFUNCTION("""COMPUTED_VALUE"""),"Não")</f>
        <v>Não</v>
      </c>
      <c r="BW485" s="27"/>
      <c r="BX485" s="21" t="str">
        <f ca="1">IFERROR(__xludf.DUMMYFUNCTION("""COMPUTED_VALUE"""),"https://instagram.com/aline_assistente_social?utm_medium=copy_link")</f>
        <v>https://instagram.com/aline_assistente_social?utm_medium=copy_link</v>
      </c>
      <c r="BY485" s="27"/>
    </row>
    <row r="486" spans="1:77" ht="12.5" hidden="1" x14ac:dyDescent="0.25">
      <c r="A486" s="21" t="str">
        <f ca="1">IFERROR(__xludf.DUMMYFUNCTION("""COMPUTED_VALUE"""),"0014X00002VKCrfQAH")</f>
        <v>0014X00002VKCrfQAH</v>
      </c>
      <c r="B486" s="27" t="str">
        <f ca="1">IFERROR(__xludf.DUMMYFUNCTION("""COMPUTED_VALUE"""),"Fase Inicial")</f>
        <v>Fase Inicial</v>
      </c>
      <c r="C486" s="27" t="str">
        <f ca="1">IFERROR(__xludf.DUMMYFUNCTION("""COMPUTED_VALUE"""),"Fellow")</f>
        <v>Fellow</v>
      </c>
      <c r="D486" s="27" t="str">
        <f ca="1">IFERROR(__xludf.DUMMYFUNCTION("""COMPUTED_VALUE"""),"Ativo")</f>
        <v>Ativo</v>
      </c>
      <c r="E486" s="27" t="str">
        <f ca="1">IFERROR(__xludf.DUMMYFUNCTION("""COMPUTED_VALUE"""),"Ong Deus é Fiel")</f>
        <v>Ong Deus é Fiel</v>
      </c>
      <c r="F486" s="27" t="str">
        <f ca="1">IFERROR(__xludf.DUMMYFUNCTION("""COMPUTED_VALUE"""),"Fernanda")</f>
        <v>Fernanda</v>
      </c>
      <c r="G486" s="27" t="str">
        <f ca="1">IFERROR(__xludf.DUMMYFUNCTION("""COMPUTED_VALUE"""),"ONG DEUS É FIEL")</f>
        <v>ONG DEUS É FIEL</v>
      </c>
      <c r="H486" s="27"/>
      <c r="I486" s="27" t="str">
        <f ca="1">IFERROR(__xludf.DUMMYFUNCTION("""COMPUTED_VALUE"""),"FERNANDA ANGELA")</f>
        <v>FERNANDA ANGELA</v>
      </c>
      <c r="J486" s="27" t="str">
        <f ca="1">IFERROR(__xludf.DUMMYFUNCTION("""COMPUTED_VALUE"""),"ongdeusefieloficial@gmail.com")</f>
        <v>ongdeusefieloficial@gmail.com</v>
      </c>
      <c r="K486" s="27" t="str">
        <f ca="1">IFERROR(__xludf.DUMMYFUNCTION("""COMPUTED_VALUE"""),"(81)98638-5977")</f>
        <v>(81)98638-5977</v>
      </c>
      <c r="L486" s="27" t="str">
        <f ca="1">IFERROR(__xludf.DUMMYFUNCTION("""COMPUTED_VALUE"""),"PE")</f>
        <v>PE</v>
      </c>
      <c r="M486" s="27" t="str">
        <f ca="1">IFERROR(__xludf.DUMMYFUNCTION("""COMPUTED_VALUE"""),"av d")</f>
        <v>av d</v>
      </c>
      <c r="N486" s="27" t="str">
        <f ca="1">IFERROR(__xludf.DUMMYFUNCTION("""COMPUTED_VALUE"""),"maranguape 2")</f>
        <v>maranguape 2</v>
      </c>
      <c r="O486" s="27">
        <f ca="1">IFERROR(__xludf.DUMMYFUNCTION("""COMPUTED_VALUE"""),20)</f>
        <v>20</v>
      </c>
      <c r="P486" s="27" t="str">
        <f ca="1">IFERROR(__xludf.DUMMYFUNCTION("""COMPUTED_VALUE"""),"paulista")</f>
        <v>paulista</v>
      </c>
      <c r="Q486" s="27"/>
      <c r="R486" s="27" t="str">
        <f ca="1">IFERROR(__xludf.DUMMYFUNCTION("""COMPUTED_VALUE"""),"53421-612")</f>
        <v>53421-612</v>
      </c>
      <c r="S486" s="27"/>
      <c r="T486" s="27"/>
      <c r="U486"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486" s="27" t="str">
        <f ca="1">IFERROR(__xludf.DUMMYFUNCTION("""COMPUTED_VALUE"""),"Moradores de Favelas, Pessoas em situação de rua, População LGBTQ+, Povos Indígenas, Quilombola, Afrodescendentes, Dependentes Químicos, Pessoas com Deficiência, Egressos sistema carcerário, Imigrantes, Refugiados, Ribeirinhos, Comunidade rural")</f>
        <v>Moradores de Favelas, Pessoas em situação de rua, População LGBTQ+, Povos Indígenas, Quilombola, Afrodescendentes, Dependentes Químicos, Pessoas com Deficiência, Egressos sistema carcerário, Imigrantes, Refugiados, Ribeirinhos, Comunidade rural</v>
      </c>
      <c r="W486" s="27">
        <f ca="1">IFERROR(__xludf.DUMMYFUNCTION("""COMPUTED_VALUE"""),15)</f>
        <v>15</v>
      </c>
      <c r="X486" s="27" t="str">
        <f ca="1">IFERROR(__xludf.DUMMYFUNCTION("""COMPUTED_VALUE"""),"Toda comunidade  adjacentes")</f>
        <v>Toda comunidade  adjacentes</v>
      </c>
      <c r="Y486" s="27"/>
      <c r="Z486" s="27">
        <f ca="1">IFERROR(__xludf.DUMMYFUNCTION("""COMPUTED_VALUE"""),8000)</f>
        <v>8000</v>
      </c>
      <c r="AA486" s="29">
        <f ca="1">IFERROR(__xludf.DUMMYFUNCTION("""COMPUTED_VALUE"""),43242)</f>
        <v>43242</v>
      </c>
      <c r="AB486" s="27" t="str">
        <f ca="1">IFERROR(__xludf.DUMMYFUNCTION("""COMPUTED_VALUE"""),"Não")</f>
        <v>Não</v>
      </c>
      <c r="AC486" s="27">
        <f ca="1">IFERROR(__xludf.DUMMYFUNCTION("""COMPUTED_VALUE"""),0)</f>
        <v>0</v>
      </c>
      <c r="AD486" s="27">
        <f ca="1">IFERROR(__xludf.DUMMYFUNCTION("""COMPUTED_VALUE"""),3)</f>
        <v>3</v>
      </c>
      <c r="AE486" s="27">
        <f ca="1">IFERROR(__xludf.DUMMYFUNCTION("""COMPUTED_VALUE"""),6)</f>
        <v>6</v>
      </c>
      <c r="AF486" s="27">
        <f ca="1">IFERROR(__xludf.DUMMYFUNCTION("""COMPUTED_VALUE"""),1)</f>
        <v>1</v>
      </c>
      <c r="AG486" s="27">
        <f ca="1">IFERROR(__xludf.DUMMYFUNCTION("""COMPUTED_VALUE"""),4)</f>
        <v>4</v>
      </c>
      <c r="AH486" s="27" t="str">
        <f ca="1">IFERROR(__xludf.DUMMYFUNCTION("""COMPUTED_VALUE"""),"Eventos/Ações para captação, Plataforma doação online - Pessoa Física, Outro(s), Recursos próprios")</f>
        <v>Eventos/Ações para captação, Plataforma doação online - Pessoa Física, Outro(s), Recursos próprios</v>
      </c>
      <c r="AI486" s="27" t="str">
        <f ca="1">IFERROR(__xludf.DUMMYFUNCTION("""COMPUTED_VALUE"""),"90% recursos proprios")</f>
        <v>90% recursos proprios</v>
      </c>
      <c r="AJ486" s="27" t="str">
        <f ca="1">IFERROR(__xludf.DUMMYFUNCTION("""COMPUTED_VALUE"""),"Vamos iniciar esse ano")</f>
        <v>Vamos iniciar esse ano</v>
      </c>
      <c r="AK486" s="27"/>
      <c r="AL486" s="21" t="str">
        <f ca="1">IFERROR(__xludf.DUMMYFUNCTION("""COMPUTED_VALUE"""),"0034X0000380O6h")</f>
        <v>0034X0000380O6h</v>
      </c>
      <c r="AM486" s="27" t="str">
        <f ca="1">IFERROR(__xludf.DUMMYFUNCTION("""COMPUTED_VALUE"""),"Angela gomes de albuquerque pinto")</f>
        <v>Angela gomes de albuquerque pinto</v>
      </c>
      <c r="AN486" s="27" t="str">
        <f ca="1">IFERROR(__xludf.DUMMYFUNCTION("""COMPUTED_VALUE"""),"Ativo")</f>
        <v>Ativo</v>
      </c>
      <c r="AO486" s="29">
        <f ca="1">IFERROR(__xludf.DUMMYFUNCTION("""COMPUTED_VALUE"""),44763)</f>
        <v>44763</v>
      </c>
      <c r="AP486" s="27">
        <f ca="1">IFERROR(__xludf.DUMMYFUNCTION("""COMPUTED_VALUE"""),2)</f>
        <v>2</v>
      </c>
      <c r="AQ486" s="27" t="str">
        <f ca="1">IFERROR(__xludf.DUMMYFUNCTION("""COMPUTED_VALUE"""),"Primeiro Semestre 2022")</f>
        <v>Primeiro Semestre 2022</v>
      </c>
      <c r="AR486" s="27" t="str">
        <f ca="1">IFERROR(__xludf.DUMMYFUNCTION("""COMPUTED_VALUE"""),"fernandaangela1978@gmail.com")</f>
        <v>fernandaangela1978@gmail.com</v>
      </c>
      <c r="AS486" s="27">
        <f ca="1">IFERROR(__xludf.DUMMYFUNCTION("""COMPUTED_VALUE"""),81983560445)</f>
        <v>81983560445</v>
      </c>
      <c r="AT486" s="29">
        <f ca="1">IFERROR(__xludf.DUMMYFUNCTION("""COMPUTED_VALUE"""),28734)</f>
        <v>28734</v>
      </c>
      <c r="AU486" s="27">
        <f ca="1">IFERROR(__xludf.DUMMYFUNCTION("""COMPUTED_VALUE"""),44)</f>
        <v>44</v>
      </c>
      <c r="AV486" s="27">
        <f ca="1">IFERROR(__xludf.DUMMYFUNCTION("""COMPUTED_VALUE"""),2159564435)</f>
        <v>2159564435</v>
      </c>
      <c r="AW486" s="27">
        <f ca="1">IFERROR(__xludf.DUMMYFUNCTION("""COMPUTED_VALUE"""),5158594)</f>
        <v>5158594</v>
      </c>
      <c r="AX486" s="27"/>
      <c r="AY486" s="27"/>
      <c r="AZ486" s="27" t="str">
        <f ca="1">IFERROR(__xludf.DUMMYFUNCTION("""COMPUTED_VALUE"""),"P")</f>
        <v>P</v>
      </c>
      <c r="BA486" s="27" t="str">
        <f ca="1">IFERROR(__xludf.DUMMYFUNCTION("""COMPUTED_VALUE"""),"Parda")</f>
        <v>Parda</v>
      </c>
      <c r="BB486" s="27"/>
      <c r="BC486" s="27"/>
      <c r="BD486" s="27" t="str">
        <f ca="1">IFERROR(__xludf.DUMMYFUNCTION("""COMPUTED_VALUE"""),"Pedagoga, estudante de psicopedagogia")</f>
        <v>Pedagoga, estudante de psicopedagogia</v>
      </c>
      <c r="BE486" s="27" t="str">
        <f ca="1">IFERROR(__xludf.DUMMYFUNCTION("""COMPUTED_VALUE"""),"Feminino")</f>
        <v>Feminino</v>
      </c>
      <c r="BF486" s="27" t="str">
        <f ca="1">IFERROR(__xludf.DUMMYFUNCTION("""COMPUTED_VALUE"""),"Heterossexual")</f>
        <v>Heterossexual</v>
      </c>
      <c r="BG486" s="27"/>
      <c r="BH486" s="27" t="str">
        <f ca="1">IFERROR(__xludf.DUMMYFUNCTION("""COMPUTED_VALUE"""),"Público")</f>
        <v>Público</v>
      </c>
      <c r="BI486" s="27" t="str">
        <f ca="1">IFERROR(__xludf.DUMMYFUNCTION("""COMPUTED_VALUE"""),"Graduação")</f>
        <v>Graduação</v>
      </c>
      <c r="BJ486" s="27" t="str">
        <f ca="1">IFERROR(__xludf.DUMMYFUNCTION("""COMPUTED_VALUE"""),"Privado")</f>
        <v>Privado</v>
      </c>
      <c r="BK486" s="27" t="str">
        <f ca="1">IFERROR(__xludf.DUMMYFUNCTION("""COMPUTED_VALUE"""),"Rua 96")</f>
        <v>Rua 96</v>
      </c>
      <c r="BL486" s="27" t="str">
        <f ca="1">IFERROR(__xludf.DUMMYFUNCTION("""COMPUTED_VALUE"""),"N.257")</f>
        <v>N.257</v>
      </c>
      <c r="BM486" s="27"/>
      <c r="BN486" s="27"/>
      <c r="BO486" s="27">
        <f ca="1">IFERROR(__xludf.DUMMYFUNCTION("""COMPUTED_VALUE"""),53421440)</f>
        <v>53421440</v>
      </c>
      <c r="BP486" s="27" t="str">
        <f ca="1">IFERROR(__xludf.DUMMYFUNCTION("""COMPUTED_VALUE"""),"PE")</f>
        <v>PE</v>
      </c>
      <c r="BQ486" s="27" t="str">
        <f ca="1">IFERROR(__xludf.DUMMYFUNCTION("""COMPUTED_VALUE"""),"Entre 1 até 3 salários mínimos")</f>
        <v>Entre 1 até 3 salários mínimos</v>
      </c>
      <c r="BR486" s="27" t="str">
        <f ca="1">IFERROR(__xludf.DUMMYFUNCTION("""COMPUTED_VALUE"""),"Desempregado")</f>
        <v>Desempregado</v>
      </c>
      <c r="BS486" s="27" t="str">
        <f ca="1">IFERROR(__xludf.DUMMYFUNCTION("""COMPUTED_VALUE"""),"Casa própria")</f>
        <v>Casa própria</v>
      </c>
      <c r="BT486" s="27">
        <f ca="1">IFERROR(__xludf.DUMMYFUNCTION("""COMPUTED_VALUE"""),3)</f>
        <v>3</v>
      </c>
      <c r="BU486" s="27" t="str">
        <f ca="1">IFERROR(__xludf.DUMMYFUNCTION("""COMPUTED_VALUE"""),"Não tem")</f>
        <v>Não tem</v>
      </c>
      <c r="BV486" s="27" t="str">
        <f ca="1">IFERROR(__xludf.DUMMYFUNCTION("""COMPUTED_VALUE"""),"Não")</f>
        <v>Não</v>
      </c>
      <c r="BW486" s="27"/>
      <c r="BX486" s="27"/>
      <c r="BY486" s="21" t="str">
        <f ca="1">IFERROR(__xludf.DUMMYFUNCTION("""COMPUTED_VALUE"""),"https://drive.google.com/open?id=1OVhP1ER0dEOAvtOCgpqOESk7v5BiU0N9")</f>
        <v>https://drive.google.com/open?id=1OVhP1ER0dEOAvtOCgpqOESk7v5BiU0N9</v>
      </c>
    </row>
    <row r="487" spans="1:77" ht="12.5" x14ac:dyDescent="0.25">
      <c r="A487" s="21" t="str">
        <f ca="1">IFERROR(__xludf.DUMMYFUNCTION("""COMPUTED_VALUE"""),"0014P00003YSpA1QAL")</f>
        <v>0014P00003YSpA1QAL</v>
      </c>
      <c r="B487" s="27" t="str">
        <f ca="1">IFERROR(__xludf.DUMMYFUNCTION("""COMPUTED_VALUE"""),"Fase Inicial")</f>
        <v>Fase Inicial</v>
      </c>
      <c r="C487" s="27" t="str">
        <f ca="1">IFERROR(__xludf.DUMMYFUNCTION("""COMPUTED_VALUE"""),"Fellow")</f>
        <v>Fellow</v>
      </c>
      <c r="D487" s="27" t="str">
        <f ca="1">IFERROR(__xludf.DUMMYFUNCTION("""COMPUTED_VALUE"""),"Ativo")</f>
        <v>Ativo</v>
      </c>
      <c r="E487" s="27" t="str">
        <f ca="1">IFERROR(__xludf.DUMMYFUNCTION("""COMPUTED_VALUE"""),"Ong Esperança Brasil")</f>
        <v>Ong Esperança Brasil</v>
      </c>
      <c r="F487" s="27" t="str">
        <f ca="1">IFERROR(__xludf.DUMMYFUNCTION("""COMPUTED_VALUE"""),"Daiani")</f>
        <v>Daiani</v>
      </c>
      <c r="G487" s="27"/>
      <c r="H487" s="27" t="str">
        <f ca="1">IFERROR(__xludf.DUMMYFUNCTION("""COMPUTED_VALUE"""),"41.365.960/0001-32")</f>
        <v>41.365.960/0001-32</v>
      </c>
      <c r="I487" s="27" t="str">
        <f ca="1">IFERROR(__xludf.DUMMYFUNCTION("""COMPUTED_VALUE"""),"Leandro Diogo soares")</f>
        <v>Leandro Diogo soares</v>
      </c>
      <c r="J487" s="27" t="str">
        <f ca="1">IFERROR(__xludf.DUMMYFUNCTION("""COMPUTED_VALUE"""),"daiani@esperancabrasil.org")</f>
        <v>daiani@esperancabrasil.org</v>
      </c>
      <c r="K487" s="27" t="str">
        <f ca="1">IFERROR(__xludf.DUMMYFUNCTION("""COMPUTED_VALUE"""),"(47)99260-0288")</f>
        <v>(47)99260-0288</v>
      </c>
      <c r="L487" s="27" t="str">
        <f ca="1">IFERROR(__xludf.DUMMYFUNCTION("""COMPUTED_VALUE"""),"SC")</f>
        <v>SC</v>
      </c>
      <c r="M487" s="27" t="str">
        <f ca="1">IFERROR(__xludf.DUMMYFUNCTION("""COMPUTED_VALUE"""),"Rua Canoas")</f>
        <v>Rua Canoas</v>
      </c>
      <c r="N487" s="27" t="str">
        <f ca="1">IFERROR(__xludf.DUMMYFUNCTION("""COMPUTED_VALUE"""),"Jardim Iririú")</f>
        <v>Jardim Iririú</v>
      </c>
      <c r="O487" s="27">
        <f ca="1">IFERROR(__xludf.DUMMYFUNCTION("""COMPUTED_VALUE"""),543)</f>
        <v>543</v>
      </c>
      <c r="P487" s="27" t="str">
        <f ca="1">IFERROR(__xludf.DUMMYFUNCTION("""COMPUTED_VALUE"""),"Joinville")</f>
        <v>Joinville</v>
      </c>
      <c r="Q487" s="27"/>
      <c r="R487" s="27" t="str">
        <f ca="1">IFERROR(__xludf.DUMMYFUNCTION("""COMPUTED_VALUE"""),"89224-031")</f>
        <v>89224-031</v>
      </c>
      <c r="S487" s="27"/>
      <c r="T487" s="27" t="str">
        <f ca="1">IFERROR(__xludf.DUMMYFUNCTION("""COMPUTED_VALUE"""),"Assistência Social")</f>
        <v>Assistência Social</v>
      </c>
      <c r="U487"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487" s="27" t="str">
        <f ca="1">IFERROR(__xludf.DUMMYFUNCTION("""COMPUTED_VALUE"""),"Moradores de Favelas")</f>
        <v>Moradores de Favelas</v>
      </c>
      <c r="W487" s="27">
        <f ca="1">IFERROR(__xludf.DUMMYFUNCTION("""COMPUTED_VALUE"""),30)</f>
        <v>30</v>
      </c>
      <c r="X487" s="27"/>
      <c r="Y487" s="27"/>
      <c r="Z487" s="27">
        <f ca="1">IFERROR(__xludf.DUMMYFUNCTION("""COMPUTED_VALUE"""),300)</f>
        <v>300</v>
      </c>
      <c r="AA487" s="29">
        <f ca="1">IFERROR(__xludf.DUMMYFUNCTION("""COMPUTED_VALUE"""),43838)</f>
        <v>43838</v>
      </c>
      <c r="AB487" s="27" t="str">
        <f ca="1">IFERROR(__xludf.DUMMYFUNCTION("""COMPUTED_VALUE"""),"Sim")</f>
        <v>Sim</v>
      </c>
      <c r="AC487" s="27">
        <f ca="1">IFERROR(__xludf.DUMMYFUNCTION("""COMPUTED_VALUE"""),0)</f>
        <v>0</v>
      </c>
      <c r="AD487" s="27">
        <f ca="1">IFERROR(__xludf.DUMMYFUNCTION("""COMPUTED_VALUE"""),0)</f>
        <v>0</v>
      </c>
      <c r="AE487" s="27">
        <f ca="1">IFERROR(__xludf.DUMMYFUNCTION("""COMPUTED_VALUE"""),10)</f>
        <v>10</v>
      </c>
      <c r="AF487" s="27">
        <f ca="1">IFERROR(__xludf.DUMMYFUNCTION("""COMPUTED_VALUE"""),7)</f>
        <v>7</v>
      </c>
      <c r="AG487" s="27">
        <f ca="1">IFERROR(__xludf.DUMMYFUNCTION("""COMPUTED_VALUE"""),2)</f>
        <v>2</v>
      </c>
      <c r="AH487" s="27" t="str">
        <f ca="1">IFERROR(__xludf.DUMMYFUNCTION("""COMPUTED_VALUE"""),"Eventos/Ações para captação; Plataforma doação online - Pessoa Física")</f>
        <v>Eventos/Ações para captação; Plataforma doação online - Pessoa Física</v>
      </c>
      <c r="AI487" s="27">
        <f ca="1">IFERROR(__xludf.DUMMYFUNCTION("""COMPUTED_VALUE"""),0)</f>
        <v>0</v>
      </c>
      <c r="AJ487" s="27"/>
      <c r="AK487" s="27"/>
      <c r="AL487" s="21" t="str">
        <f ca="1">IFERROR(__xludf.DUMMYFUNCTION("""COMPUTED_VALUE"""),"0034P000045kxkd")</f>
        <v>0034P000045kxkd</v>
      </c>
      <c r="AM487" s="27" t="str">
        <f ca="1">IFERROR(__xludf.DUMMYFUNCTION("""COMPUTED_VALUE"""),"Ferreira Soares")</f>
        <v>Ferreira Soares</v>
      </c>
      <c r="AN487" s="27" t="str">
        <f ca="1">IFERROR(__xludf.DUMMYFUNCTION("""COMPUTED_VALUE"""),"Ativo")</f>
        <v>Ativo</v>
      </c>
      <c r="AO487" s="30">
        <f ca="1">IFERROR(__xludf.DUMMYFUNCTION("""COMPUTED_VALUE"""),44551)</f>
        <v>44551</v>
      </c>
      <c r="AP487" s="27">
        <f ca="1">IFERROR(__xludf.DUMMYFUNCTION("""COMPUTED_VALUE"""),9)</f>
        <v>9</v>
      </c>
      <c r="AQ487" s="27" t="str">
        <f ca="1">IFERROR(__xludf.DUMMYFUNCTION("""COMPUTED_VALUE"""),"Segundo Semestre 2021")</f>
        <v>Segundo Semestre 2021</v>
      </c>
      <c r="AR487" s="27" t="str">
        <f ca="1">IFERROR(__xludf.DUMMYFUNCTION("""COMPUTED_VALUE"""),"daiani@esperancabrasil.org")</f>
        <v>daiani@esperancabrasil.org</v>
      </c>
      <c r="AS487" s="27" t="str">
        <f ca="1">IFERROR(__xludf.DUMMYFUNCTION("""COMPUTED_VALUE"""),"(47)99260-0288")</f>
        <v>(47)99260-0288</v>
      </c>
      <c r="AT487" s="30">
        <f ca="1">IFERROR(__xludf.DUMMYFUNCTION("""COMPUTED_VALUE"""),32102)</f>
        <v>32102</v>
      </c>
      <c r="AU487" s="27">
        <f ca="1">IFERROR(__xludf.DUMMYFUNCTION("""COMPUTED_VALUE"""),35)</f>
        <v>35</v>
      </c>
      <c r="AV487" s="27">
        <f ca="1">IFERROR(__xludf.DUMMYFUNCTION("""COMPUTED_VALUE"""),6166790929)</f>
        <v>6166790929</v>
      </c>
      <c r="AW487" s="27">
        <f ca="1">IFERROR(__xludf.DUMMYFUNCTION("""COMPUTED_VALUE"""),4953458)</f>
        <v>4953458</v>
      </c>
      <c r="AX487" s="27"/>
      <c r="AY487" s="27"/>
      <c r="AZ487" s="27" t="str">
        <f ca="1">IFERROR(__xludf.DUMMYFUNCTION("""COMPUTED_VALUE"""),"M")</f>
        <v>M</v>
      </c>
      <c r="BA487" s="27" t="str">
        <f ca="1">IFERROR(__xludf.DUMMYFUNCTION("""COMPUTED_VALUE"""),"Branca")</f>
        <v>Branca</v>
      </c>
      <c r="BB487" s="27" t="str">
        <f ca="1">IFERROR(__xludf.DUMMYFUNCTION("""COMPUTED_VALUE"""),"Mulher, cisgênero")</f>
        <v>Mulher, cisgênero</v>
      </c>
      <c r="BC487" s="27" t="str">
        <f ca="1">IFERROR(__xludf.DUMMYFUNCTION("""COMPUTED_VALUE"""),"Não")</f>
        <v>Não</v>
      </c>
      <c r="BD487" s="27" t="str">
        <f ca="1">IFERROR(__xludf.DUMMYFUNCTION("""COMPUTED_VALUE"""),"Daiani Soares é empreendedora e fotógrafa, CoFundadora da Ong Esperança. Movida pelo propósito de fazer a diferença na vida das pessoas e nos meios sociais e profissionais em que vive, criou, juntamente com seu esposo, a ONG Esperança. Iniciou atendendo e"&amp;"scolas municipais com um programa de apadrinhamento a crianças de baixa renda. Com sua visão estratégica e planejamento, ampliou os trabalhos. Em 2022 já foram mais de 5 mil famílias atendidas com alimentação e 19 casas construídas.")</f>
        <v>Daiani Soares é empreendedora e fotógrafa, CoFundadora da Ong Esperança. Movida pelo propósito de fazer a diferença na vida das pessoas e nos meios sociais e profissionais em que vive, criou, juntamente com seu esposo, a ONG Esperança. Iniciou atendendo escolas municipais com um programa de apadrinhamento a crianças de baixa renda. Com sua visão estratégica e planejamento, ampliou os trabalhos. Em 2022 já foram mais de 5 mil famílias atendidas com alimentação e 19 casas construídas.</v>
      </c>
      <c r="BE487" s="27"/>
      <c r="BF487" s="27" t="str">
        <f ca="1">IFERROR(__xludf.DUMMYFUNCTION("""COMPUTED_VALUE"""),"Heterossexual")</f>
        <v>Heterossexual</v>
      </c>
      <c r="BG487" s="27" t="str">
        <f ca="1">IFERROR(__xludf.DUMMYFUNCTION("""COMPUTED_VALUE"""),"Ensino Superior - Completo")</f>
        <v>Ensino Superior - Completo</v>
      </c>
      <c r="BH487" s="27" t="str">
        <f ca="1">IFERROR(__xludf.DUMMYFUNCTION("""COMPUTED_VALUE"""),"Público")</f>
        <v>Público</v>
      </c>
      <c r="BI487" s="27" t="str">
        <f ca="1">IFERROR(__xludf.DUMMYFUNCTION("""COMPUTED_VALUE"""),"Graduação")</f>
        <v>Graduação</v>
      </c>
      <c r="BJ487" s="27" t="str">
        <f ca="1">IFERROR(__xludf.DUMMYFUNCTION("""COMPUTED_VALUE"""),"Privado")</f>
        <v>Privado</v>
      </c>
      <c r="BK487" s="27" t="str">
        <f ca="1">IFERROR(__xludf.DUMMYFUNCTION("""COMPUTED_VALUE"""),"Rua Coronel Vieira")</f>
        <v>Rua Coronel Vieira</v>
      </c>
      <c r="BL487" s="27">
        <f ca="1">IFERROR(__xludf.DUMMYFUNCTION("""COMPUTED_VALUE"""),1836)</f>
        <v>1836</v>
      </c>
      <c r="BM487" s="27"/>
      <c r="BN487" s="27" t="str">
        <f ca="1">IFERROR(__xludf.DUMMYFUNCTION("""COMPUTED_VALUE"""),"Joinville")</f>
        <v>Joinville</v>
      </c>
      <c r="BO487" s="27" t="str">
        <f ca="1">IFERROR(__xludf.DUMMYFUNCTION("""COMPUTED_VALUE"""),"89224-031")</f>
        <v>89224-031</v>
      </c>
      <c r="BP487" s="27" t="str">
        <f ca="1">IFERROR(__xludf.DUMMYFUNCTION("""COMPUTED_VALUE"""),"SC")</f>
        <v>SC</v>
      </c>
      <c r="BQ487" s="27" t="str">
        <f ca="1">IFERROR(__xludf.DUMMYFUNCTION("""COMPUTED_VALUE"""),"Acima de 5 salários mínimos")</f>
        <v>Acima de 5 salários mínimos</v>
      </c>
      <c r="BR487" s="27" t="str">
        <f ca="1">IFERROR(__xludf.DUMMYFUNCTION("""COMPUTED_VALUE"""),"MEI")</f>
        <v>MEI</v>
      </c>
      <c r="BS487" s="27" t="str">
        <f ca="1">IFERROR(__xludf.DUMMYFUNCTION("""COMPUTED_VALUE"""),"Casa própria")</f>
        <v>Casa própria</v>
      </c>
      <c r="BT487" s="27">
        <f ca="1">IFERROR(__xludf.DUMMYFUNCTION("""COMPUTED_VALUE"""),3)</f>
        <v>3</v>
      </c>
      <c r="BU487" s="27" t="str">
        <f ca="1">IFERROR(__xludf.DUMMYFUNCTION("""COMPUTED_VALUE"""),"Não tem")</f>
        <v>Não tem</v>
      </c>
      <c r="BV487" s="27"/>
      <c r="BW487" s="21" t="str">
        <f ca="1">IFERROR(__xludf.DUMMYFUNCTION("""COMPUTED_VALUE"""),"https://www.linkedin.com/in/daiani-ferreira-soares-58973534")</f>
        <v>https://www.linkedin.com/in/daiani-ferreira-soares-58973534</v>
      </c>
      <c r="BX487" s="21" t="str">
        <f ca="1">IFERROR(__xludf.DUMMYFUNCTION("""COMPUTED_VALUE"""),"https://instagram.com/daianisoares_?utm_medium=copy_link")</f>
        <v>https://instagram.com/daianisoares_?utm_medium=copy_link</v>
      </c>
      <c r="BY487" s="21" t="str">
        <f ca="1">IFERROR(__xludf.DUMMYFUNCTION("""COMPUTED_VALUE"""),"https://drive.google.com/open?id=1lVruTCt34Gfcu971bDo1y0-xo6P41EPF")</f>
        <v>https://drive.google.com/open?id=1lVruTCt34Gfcu971bDo1y0-xo6P41EPF</v>
      </c>
    </row>
    <row r="488" spans="1:77" ht="12.5" x14ac:dyDescent="0.25">
      <c r="A488" s="21" t="str">
        <f ca="1">IFERROR(__xludf.DUMMYFUNCTION("""COMPUTED_VALUE"""),"0014X00002VKCubQAH")</f>
        <v>0014X00002VKCubQAH</v>
      </c>
      <c r="B488" s="27" t="str">
        <f ca="1">IFERROR(__xludf.DUMMYFUNCTION("""COMPUTED_VALUE"""),"Fase Inicial")</f>
        <v>Fase Inicial</v>
      </c>
      <c r="C488" s="27" t="str">
        <f ca="1">IFERROR(__xludf.DUMMYFUNCTION("""COMPUTED_VALUE"""),"Fellow")</f>
        <v>Fellow</v>
      </c>
      <c r="D488" s="27" t="str">
        <f ca="1">IFERROR(__xludf.DUMMYFUNCTION("""COMPUTED_VALUE"""),"Ativo")</f>
        <v>Ativo</v>
      </c>
      <c r="E488" s="27" t="str">
        <f ca="1">IFERROR(__xludf.DUMMYFUNCTION("""COMPUTED_VALUE"""),"Ong Heróis dos Lacres")</f>
        <v>Ong Heróis dos Lacres</v>
      </c>
      <c r="F488" s="27" t="str">
        <f ca="1">IFERROR(__xludf.DUMMYFUNCTION("""COMPUTED_VALUE"""),"Djalma")</f>
        <v>Djalma</v>
      </c>
      <c r="G488" s="27" t="str">
        <f ca="1">IFERROR(__xludf.DUMMYFUNCTION("""COMPUTED_VALUE"""),"HERÓIS DOS LACRES")</f>
        <v>HERÓIS DOS LACRES</v>
      </c>
      <c r="H488" s="27" t="str">
        <f ca="1">IFERROR(__xludf.DUMMYFUNCTION("""COMPUTED_VALUE"""),"40.661.595/0001-40")</f>
        <v>40.661.595/0001-40</v>
      </c>
      <c r="I488" s="27" t="str">
        <f ca="1">IFERROR(__xludf.DUMMYFUNCTION("""COMPUTED_VALUE"""),"Djalma Nunes Ferreira")</f>
        <v>Djalma Nunes Ferreira</v>
      </c>
      <c r="J488" s="27" t="str">
        <f ca="1">IFERROR(__xludf.DUMMYFUNCTION("""COMPUTED_VALUE"""),"lacredobemermelino@gmail.com")</f>
        <v>lacredobemermelino@gmail.com</v>
      </c>
      <c r="K488" s="27" t="str">
        <f ca="1">IFERROR(__xludf.DUMMYFUNCTION("""COMPUTED_VALUE"""),"(11)97997-4464")</f>
        <v>(11)97997-4464</v>
      </c>
      <c r="L488" s="27" t="str">
        <f ca="1">IFERROR(__xludf.DUMMYFUNCTION("""COMPUTED_VALUE"""),"SP")</f>
        <v>SP</v>
      </c>
      <c r="M488" s="27" t="str">
        <f ca="1">IFERROR(__xludf.DUMMYFUNCTION("""COMPUTED_VALUE"""),"Rua Paulina Augustin")</f>
        <v>Rua Paulina Augustin</v>
      </c>
      <c r="N488" s="27" t="str">
        <f ca="1">IFERROR(__xludf.DUMMYFUNCTION("""COMPUTED_VALUE"""),"Ermelino Matarazzo")</f>
        <v>Ermelino Matarazzo</v>
      </c>
      <c r="O488" s="27">
        <f ca="1">IFERROR(__xludf.DUMMYFUNCTION("""COMPUTED_VALUE"""),240)</f>
        <v>240</v>
      </c>
      <c r="P488" s="27" t="str">
        <f ca="1">IFERROR(__xludf.DUMMYFUNCTION("""COMPUTED_VALUE"""),"São Paulo")</f>
        <v>São Paulo</v>
      </c>
      <c r="Q488" s="27"/>
      <c r="R488" s="27" t="str">
        <f ca="1">IFERROR(__xludf.DUMMYFUNCTION("""COMPUTED_VALUE"""),"03807-400")</f>
        <v>03807-400</v>
      </c>
      <c r="S488" s="27" t="str">
        <f ca="1">IFERROR(__xludf.DUMMYFUNCTION("""COMPUTED_VALUE"""),"Sim, realizamos palestras sobre educação ambiental e amor ao próximo em instituições de ensinos, igrejas, eventos de bairros e comunidades.")</f>
        <v>Sim, realizamos palestras sobre educação ambiental e amor ao próximo em instituições de ensinos, igrejas, eventos de bairros e comunidades.</v>
      </c>
      <c r="T488" s="27"/>
      <c r="U488"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488" s="27" t="str">
        <f ca="1">IFERROR(__xludf.DUMMYFUNCTION("""COMPUTED_VALUE"""),"Moradores de Favelas, Pessoas em situação de rua, População LGBTQ+, Povos Indígenas, Quilombola, Afrodescendentes, Dependentes Químicos, Pessoas com Deficiência, Egressos sistema carcerário, Imigrantes, Refugiados")</f>
        <v>Moradores de Favelas, Pessoas em situação de rua, População LGBTQ+, Povos Indígenas, Quilombola, Afrodescendentes, Dependentes Químicos, Pessoas com Deficiência, Egressos sistema carcerário, Imigrantes, Refugiados</v>
      </c>
      <c r="W488" s="27">
        <f ca="1">IFERROR(__xludf.DUMMYFUNCTION("""COMPUTED_VALUE"""),3)</f>
        <v>3</v>
      </c>
      <c r="X488" s="27" t="str">
        <f ca="1">IFERROR(__xludf.DUMMYFUNCTION("""COMPUTED_VALUE"""),"Deficientes físicos e mentais")</f>
        <v>Deficientes físicos e mentais</v>
      </c>
      <c r="Y488" s="27"/>
      <c r="Z488" s="27">
        <f ca="1">IFERROR(__xludf.DUMMYFUNCTION("""COMPUTED_VALUE"""),200)</f>
        <v>200</v>
      </c>
      <c r="AA488" s="29">
        <f ca="1">IFERROR(__xludf.DUMMYFUNCTION("""COMPUTED_VALUE"""),43269)</f>
        <v>43269</v>
      </c>
      <c r="AB488" s="27" t="str">
        <f ca="1">IFERROR(__xludf.DUMMYFUNCTION("""COMPUTED_VALUE"""),"Sim")</f>
        <v>Sim</v>
      </c>
      <c r="AC488" s="27">
        <f ca="1">IFERROR(__xludf.DUMMYFUNCTION("""COMPUTED_VALUE"""),3)</f>
        <v>3</v>
      </c>
      <c r="AD488" s="27">
        <f ca="1">IFERROR(__xludf.DUMMYFUNCTION("""COMPUTED_VALUE"""),1)</f>
        <v>1</v>
      </c>
      <c r="AE488" s="27">
        <f ca="1">IFERROR(__xludf.DUMMYFUNCTION("""COMPUTED_VALUE"""),3)</f>
        <v>3</v>
      </c>
      <c r="AF488" s="27">
        <f ca="1">IFERROR(__xludf.DUMMYFUNCTION("""COMPUTED_VALUE"""),1)</f>
        <v>1</v>
      </c>
      <c r="AG488" s="27">
        <f ca="1">IFERROR(__xludf.DUMMYFUNCTION("""COMPUTED_VALUE"""),3)</f>
        <v>3</v>
      </c>
      <c r="AH488" s="27" t="str">
        <f ca="1">IFERROR(__xludf.DUMMYFUNCTION("""COMPUTED_VALUE"""),"Negócio Social, Doações, Recursos próprios")</f>
        <v>Negócio Social, Doações, Recursos próprios</v>
      </c>
      <c r="AI488" s="27">
        <f ca="1">IFERROR(__xludf.DUMMYFUNCTION("""COMPUTED_VALUE"""),10)</f>
        <v>10</v>
      </c>
      <c r="AJ488" s="27" t="str">
        <f ca="1">IFERROR(__xludf.DUMMYFUNCTION("""COMPUTED_VALUE"""),"Não")</f>
        <v>Não</v>
      </c>
      <c r="AK488" s="27"/>
      <c r="AL488" s="21" t="str">
        <f ca="1">IFERROR(__xludf.DUMMYFUNCTION("""COMPUTED_VALUE"""),"0034X0000380O4L")</f>
        <v>0034X0000380O4L</v>
      </c>
      <c r="AM488" s="27" t="str">
        <f ca="1">IFERROR(__xludf.DUMMYFUNCTION("""COMPUTED_VALUE"""),"Nunes ferreira")</f>
        <v>Nunes ferreira</v>
      </c>
      <c r="AN488" s="27" t="str">
        <f ca="1">IFERROR(__xludf.DUMMYFUNCTION("""COMPUTED_VALUE"""),"Ativo")</f>
        <v>Ativo</v>
      </c>
      <c r="AO488" s="29">
        <f ca="1">IFERROR(__xludf.DUMMYFUNCTION("""COMPUTED_VALUE"""),44763)</f>
        <v>44763</v>
      </c>
      <c r="AP488" s="27">
        <f ca="1">IFERROR(__xludf.DUMMYFUNCTION("""COMPUTED_VALUE"""),2)</f>
        <v>2</v>
      </c>
      <c r="AQ488" s="27" t="str">
        <f ca="1">IFERROR(__xludf.DUMMYFUNCTION("""COMPUTED_VALUE"""),"Primeiro Semestre 2022")</f>
        <v>Primeiro Semestre 2022</v>
      </c>
      <c r="AR488" s="27" t="str">
        <f ca="1">IFERROR(__xludf.DUMMYFUNCTION("""COMPUTED_VALUE"""),"djalmanunes.consultor@gmail.com")</f>
        <v>djalmanunes.consultor@gmail.com</v>
      </c>
      <c r="AS488" s="27" t="str">
        <f ca="1">IFERROR(__xludf.DUMMYFUNCTION("""COMPUTED_VALUE"""),"(11)97997-4464")</f>
        <v>(11)97997-4464</v>
      </c>
      <c r="AT488" s="29">
        <f ca="1">IFERROR(__xludf.DUMMYFUNCTION("""COMPUTED_VALUE"""),29333)</f>
        <v>29333</v>
      </c>
      <c r="AU488" s="27">
        <f ca="1">IFERROR(__xludf.DUMMYFUNCTION("""COMPUTED_VALUE"""),42)</f>
        <v>42</v>
      </c>
      <c r="AV488" s="27">
        <f ca="1">IFERROR(__xludf.DUMMYFUNCTION("""COMPUTED_VALUE"""),21768724873)</f>
        <v>21768724873</v>
      </c>
      <c r="AW488" s="27">
        <f ca="1">IFERROR(__xludf.DUMMYFUNCTION("""COMPUTED_VALUE"""),336678216)</f>
        <v>336678216</v>
      </c>
      <c r="AX488" s="27"/>
      <c r="AY488" s="27" t="str">
        <f ca="1">IFERROR(__xludf.DUMMYFUNCTION("""COMPUTED_VALUE"""),"Presidente")</f>
        <v>Presidente</v>
      </c>
      <c r="AZ488" s="27" t="str">
        <f ca="1">IFERROR(__xludf.DUMMYFUNCTION("""COMPUTED_VALUE"""),"G")</f>
        <v>G</v>
      </c>
      <c r="BA488" s="27" t="str">
        <f ca="1">IFERROR(__xludf.DUMMYFUNCTION("""COMPUTED_VALUE"""),"Branca")</f>
        <v>Branca</v>
      </c>
      <c r="BB488" s="27"/>
      <c r="BC488" s="27"/>
      <c r="BD488" s="27" t="str">
        <f ca="1">IFERROR(__xludf.DUMMYFUNCTION("""COMPUTED_VALUE"""),"Solteiro, 41 anos de idade, cristão, pai de uma filha de 11 anos e com o sonho de ter a maior Ong de distribuição gratuita de assessórios de mobilidade com recursos ambientais, matar a fome, frio e a sede de pessoas em situação de vulnerabilidade social.")</f>
        <v>Solteiro, 41 anos de idade, cristão, pai de uma filha de 11 anos e com o sonho de ter a maior Ong de distribuição gratuita de assessórios de mobilidade com recursos ambientais, matar a fome, frio e a sede de pessoas em situação de vulnerabilidade social.</v>
      </c>
      <c r="BE488" s="27" t="str">
        <f ca="1">IFERROR(__xludf.DUMMYFUNCTION("""COMPUTED_VALUE"""),"Homem, cisgênero")</f>
        <v>Homem, cisgênero</v>
      </c>
      <c r="BF488" s="27" t="str">
        <f ca="1">IFERROR(__xludf.DUMMYFUNCTION("""COMPUTED_VALUE"""),"Heterossexual")</f>
        <v>Heterossexual</v>
      </c>
      <c r="BG488" s="27" t="str">
        <f ca="1">IFERROR(__xludf.DUMMYFUNCTION("""COMPUTED_VALUE"""),"Ensino Superior - Incompleto")</f>
        <v>Ensino Superior - Incompleto</v>
      </c>
      <c r="BH488" s="27" t="str">
        <f ca="1">IFERROR(__xludf.DUMMYFUNCTION("""COMPUTED_VALUE"""),"Público")</f>
        <v>Público</v>
      </c>
      <c r="BI488" s="27" t="str">
        <f ca="1">IFERROR(__xludf.DUMMYFUNCTION("""COMPUTED_VALUE"""),"Graduação")</f>
        <v>Graduação</v>
      </c>
      <c r="BJ488" s="27" t="str">
        <f ca="1">IFERROR(__xludf.DUMMYFUNCTION("""COMPUTED_VALUE"""),"Privado")</f>
        <v>Privado</v>
      </c>
      <c r="BK488" s="27" t="str">
        <f ca="1">IFERROR(__xludf.DUMMYFUNCTION("""COMPUTED_VALUE"""),"Rua Cândido José de Andrade")</f>
        <v>Rua Cândido José de Andrade</v>
      </c>
      <c r="BL488" s="27">
        <f ca="1">IFERROR(__xludf.DUMMYFUNCTION("""COMPUTED_VALUE"""),143)</f>
        <v>143</v>
      </c>
      <c r="BM488" s="27" t="str">
        <f ca="1">IFERROR(__xludf.DUMMYFUNCTION("""COMPUTED_VALUE"""),"Fundos")</f>
        <v>Fundos</v>
      </c>
      <c r="BN488" s="27" t="str">
        <f ca="1">IFERROR(__xludf.DUMMYFUNCTION("""COMPUTED_VALUE"""),"São Paulo")</f>
        <v>São Paulo</v>
      </c>
      <c r="BO488" s="27" t="str">
        <f ca="1">IFERROR(__xludf.DUMMYFUNCTION("""COMPUTED_VALUE"""),"03807-030")</f>
        <v>03807-030</v>
      </c>
      <c r="BP488" s="27" t="str">
        <f ca="1">IFERROR(__xludf.DUMMYFUNCTION("""COMPUTED_VALUE"""),"SP")</f>
        <v>SP</v>
      </c>
      <c r="BQ488" s="27" t="str">
        <f ca="1">IFERROR(__xludf.DUMMYFUNCTION("""COMPUTED_VALUE"""),"Entre 1 até 3 salários mínimos")</f>
        <v>Entre 1 até 3 salários mínimos</v>
      </c>
      <c r="BR488" s="27" t="str">
        <f ca="1">IFERROR(__xludf.DUMMYFUNCTION("""COMPUTED_VALUE"""),"Trabalho informal")</f>
        <v>Trabalho informal</v>
      </c>
      <c r="BS488" s="27" t="str">
        <f ca="1">IFERROR(__xludf.DUMMYFUNCTION("""COMPUTED_VALUE"""),"Casa própria")</f>
        <v>Casa própria</v>
      </c>
      <c r="BT488" s="27">
        <f ca="1">IFERROR(__xludf.DUMMYFUNCTION("""COMPUTED_VALUE"""),2)</f>
        <v>2</v>
      </c>
      <c r="BU488" s="27" t="str">
        <f ca="1">IFERROR(__xludf.DUMMYFUNCTION("""COMPUTED_VALUE"""),"Não tem")</f>
        <v>Não tem</v>
      </c>
      <c r="BV488" s="27" t="str">
        <f ca="1">IFERROR(__xludf.DUMMYFUNCTION("""COMPUTED_VALUE"""),"Não")</f>
        <v>Não</v>
      </c>
      <c r="BW488" s="21" t="str">
        <f ca="1">IFERROR(__xludf.DUMMYFUNCTION("""COMPUTED_VALUE"""),"https://www.linkedin.com/in/djalma-nunes-609a09ab/")</f>
        <v>https://www.linkedin.com/in/djalma-nunes-609a09ab/</v>
      </c>
      <c r="BX488" s="21" t="str">
        <f ca="1">IFERROR(__xludf.DUMMYFUNCTION("""COMPUTED_VALUE"""),"https://www.instagram.com/djalmanunes_/")</f>
        <v>https://www.instagram.com/djalmanunes_/</v>
      </c>
      <c r="BY488" s="21" t="str">
        <f ca="1">IFERROR(__xludf.DUMMYFUNCTION("""COMPUTED_VALUE"""),"https://drive.google.com/open?id=1kjvfjghNti_llx9gXaHaIqXHTYhr2buE")</f>
        <v>https://drive.google.com/open?id=1kjvfjghNti_llx9gXaHaIqXHTYhr2buE</v>
      </c>
    </row>
    <row r="489" spans="1:77" ht="12.5" x14ac:dyDescent="0.25">
      <c r="A489" s="21" t="str">
        <f ca="1">IFERROR(__xludf.DUMMYFUNCTION("""COMPUTED_VALUE"""),"0014X00002VKCv8QAH")</f>
        <v>0014X00002VKCv8QAH</v>
      </c>
      <c r="B489" s="27" t="str">
        <f ca="1">IFERROR(__xludf.DUMMYFUNCTION("""COMPUTED_VALUE"""),"Fase Inicial")</f>
        <v>Fase Inicial</v>
      </c>
      <c r="C489" s="27" t="str">
        <f ca="1">IFERROR(__xludf.DUMMYFUNCTION("""COMPUTED_VALUE"""),"Fellow")</f>
        <v>Fellow</v>
      </c>
      <c r="D489" s="27" t="str">
        <f ca="1">IFERROR(__xludf.DUMMYFUNCTION("""COMPUTED_VALUE"""),"Ativo")</f>
        <v>Ativo</v>
      </c>
      <c r="E489" s="27" t="str">
        <f ca="1">IFERROR(__xludf.DUMMYFUNCTION("""COMPUTED_VALUE"""),"ONG instituto vitória de Sá")</f>
        <v>ONG instituto vitória de Sá</v>
      </c>
      <c r="F489" s="27" t="str">
        <f ca="1">IFERROR(__xludf.DUMMYFUNCTION("""COMPUTED_VALUE"""),"Shirley")</f>
        <v>Shirley</v>
      </c>
      <c r="G489" s="27" t="str">
        <f ca="1">IFERROR(__xludf.DUMMYFUNCTION("""COMPUTED_VALUE"""),"ONG VITÓRIA DE SÁ")</f>
        <v>ONG VITÓRIA DE SÁ</v>
      </c>
      <c r="H489" s="27" t="str">
        <f ca="1">IFERROR(__xludf.DUMMYFUNCTION("""COMPUTED_VALUE"""),"15.296.457/0001-62")</f>
        <v>15.296.457/0001-62</v>
      </c>
      <c r="I489" s="27" t="str">
        <f ca="1">IFERROR(__xludf.DUMMYFUNCTION("""COMPUTED_VALUE"""),"Larissa Café Pimentel")</f>
        <v>Larissa Café Pimentel</v>
      </c>
      <c r="J489" s="27" t="str">
        <f ca="1">IFERROR(__xludf.DUMMYFUNCTION("""COMPUTED_VALUE"""),"ongvitoriadesa123@gmai.com")</f>
        <v>ongvitoriadesa123@gmai.com</v>
      </c>
      <c r="K489" s="27" t="str">
        <f ca="1">IFERROR(__xludf.DUMMYFUNCTION("""COMPUTED_VALUE"""),"(11)94782-2137")</f>
        <v>(11)94782-2137</v>
      </c>
      <c r="L489" s="27" t="str">
        <f ca="1">IFERROR(__xludf.DUMMYFUNCTION("""COMPUTED_VALUE"""),"SP")</f>
        <v>SP</v>
      </c>
      <c r="M489" s="27" t="str">
        <f ca="1">IFERROR(__xludf.DUMMYFUNCTION("""COMPUTED_VALUE"""),"Acajutiba")</f>
        <v>Acajutiba</v>
      </c>
      <c r="N489" s="27" t="str">
        <f ca="1">IFERROR(__xludf.DUMMYFUNCTION("""COMPUTED_VALUE"""),"Jd.Centenario")</f>
        <v>Jd.Centenario</v>
      </c>
      <c r="O489" s="27">
        <f ca="1">IFERROR(__xludf.DUMMYFUNCTION("""COMPUTED_VALUE"""),23)</f>
        <v>23</v>
      </c>
      <c r="P489" s="27" t="str">
        <f ca="1">IFERROR(__xludf.DUMMYFUNCTION("""COMPUTED_VALUE"""),"Guarulhos")</f>
        <v>Guarulhos</v>
      </c>
      <c r="Q489" s="27"/>
      <c r="R489" s="27" t="str">
        <f ca="1">IFERROR(__xludf.DUMMYFUNCTION("""COMPUTED_VALUE"""),"07270-050")</f>
        <v>07270-050</v>
      </c>
      <c r="S489" s="27" t="str">
        <f ca="1">IFERROR(__xludf.DUMMYFUNCTION("""COMPUTED_VALUE"""),"Sim")</f>
        <v>Sim</v>
      </c>
      <c r="T489" s="27"/>
      <c r="U489" s="27" t="str">
        <f ca="1">IFERROR(__xludf.DUMMYFUNCTION("""COMPUTED_VALUE"""),"bebês (1 a 1ano e 6 meses), Crianças bem pequenas (1 ano e 7 meses até 3 anos e 11 meses), Crianças (6 a 12 anos), Jovens (18 aos 24 anos), Adultos, Idosos (60 anos ou mais)")</f>
        <v>bebês (1 a 1ano e 6 meses), Crianças bem pequenas (1 ano e 7 meses até 3 anos e 11 meses), Crianças (6 a 12 anos), Jovens (18 aos 24 anos), Adultos, Idosos (60 anos ou mais)</v>
      </c>
      <c r="V489" s="27" t="str">
        <f ca="1">IFERROR(__xludf.DUMMYFUNCTION("""COMPUTED_VALUE"""),"Moradores de Favelas")</f>
        <v>Moradores de Favelas</v>
      </c>
      <c r="W489" s="27">
        <f ca="1">IFERROR(__xludf.DUMMYFUNCTION("""COMPUTED_VALUE"""),4)</f>
        <v>4</v>
      </c>
      <c r="X489" s="27" t="str">
        <f ca="1">IFERROR(__xludf.DUMMYFUNCTION("""COMPUTED_VALUE"""),"Publico mais carente")</f>
        <v>Publico mais carente</v>
      </c>
      <c r="Y489" s="27"/>
      <c r="Z489" s="27">
        <f ca="1">IFERROR(__xludf.DUMMYFUNCTION("""COMPUTED_VALUE"""),700)</f>
        <v>700</v>
      </c>
      <c r="AA489" s="29">
        <f ca="1">IFERROR(__xludf.DUMMYFUNCTION("""COMPUTED_VALUE"""),40705)</f>
        <v>40705</v>
      </c>
      <c r="AB489" s="27" t="str">
        <f ca="1">IFERROR(__xludf.DUMMYFUNCTION("""COMPUTED_VALUE"""),"Sim")</f>
        <v>Sim</v>
      </c>
      <c r="AC489" s="27">
        <f ca="1">IFERROR(__xludf.DUMMYFUNCTION("""COMPUTED_VALUE"""),0)</f>
        <v>0</v>
      </c>
      <c r="AD489" s="27">
        <f ca="1">IFERROR(__xludf.DUMMYFUNCTION("""COMPUTED_VALUE"""),6)</f>
        <v>6</v>
      </c>
      <c r="AE489" s="27">
        <f ca="1">IFERROR(__xludf.DUMMYFUNCTION("""COMPUTED_VALUE"""),5)</f>
        <v>5</v>
      </c>
      <c r="AF489" s="27">
        <f ca="1">IFERROR(__xludf.DUMMYFUNCTION("""COMPUTED_VALUE"""),5)</f>
        <v>5</v>
      </c>
      <c r="AG489" s="27">
        <f ca="1">IFERROR(__xludf.DUMMYFUNCTION("""COMPUTED_VALUE"""),6)</f>
        <v>6</v>
      </c>
      <c r="AH489" s="27" t="str">
        <f ca="1">IFERROR(__xludf.DUMMYFUNCTION("""COMPUTED_VALUE"""),"Doações")</f>
        <v>Doações</v>
      </c>
      <c r="AI489" s="27">
        <f ca="1">IFERROR(__xludf.DUMMYFUNCTION("""COMPUTED_VALUE"""),0)</f>
        <v>0</v>
      </c>
      <c r="AJ489" s="27" t="str">
        <f ca="1">IFERROR(__xludf.DUMMYFUNCTION("""COMPUTED_VALUE"""),"Vamos iniciar esse ano")</f>
        <v>Vamos iniciar esse ano</v>
      </c>
      <c r="AK489" s="27"/>
      <c r="AL489" s="21" t="str">
        <f ca="1">IFERROR(__xludf.DUMMYFUNCTION("""COMPUTED_VALUE"""),"0034X0000380O58")</f>
        <v>0034X0000380O58</v>
      </c>
      <c r="AM489" s="27" t="str">
        <f ca="1">IFERROR(__xludf.DUMMYFUNCTION("""COMPUTED_VALUE"""),"Aparecida café ribeiro")</f>
        <v>Aparecida café ribeiro</v>
      </c>
      <c r="AN489" s="27" t="str">
        <f ca="1">IFERROR(__xludf.DUMMYFUNCTION("""COMPUTED_VALUE"""),"Ativo")</f>
        <v>Ativo</v>
      </c>
      <c r="AO489" s="29">
        <f ca="1">IFERROR(__xludf.DUMMYFUNCTION("""COMPUTED_VALUE"""),44763)</f>
        <v>44763</v>
      </c>
      <c r="AP489" s="27">
        <f ca="1">IFERROR(__xludf.DUMMYFUNCTION("""COMPUTED_VALUE"""),2)</f>
        <v>2</v>
      </c>
      <c r="AQ489" s="27" t="str">
        <f ca="1">IFERROR(__xludf.DUMMYFUNCTION("""COMPUTED_VALUE"""),"Primeiro Semestre 2022")</f>
        <v>Primeiro Semestre 2022</v>
      </c>
      <c r="AR489" s="27" t="str">
        <f ca="1">IFERROR(__xludf.DUMMYFUNCTION("""COMPUTED_VALUE"""),"shirleycafe00@gmail.com")</f>
        <v>shirleycafe00@gmail.com</v>
      </c>
      <c r="AS489" s="27">
        <f ca="1">IFERROR(__xludf.DUMMYFUNCTION("""COMPUTED_VALUE"""),11947822137)</f>
        <v>11947822137</v>
      </c>
      <c r="AT489" s="29">
        <f ca="1">IFERROR(__xludf.DUMMYFUNCTION("""COMPUTED_VALUE"""),28375)</f>
        <v>28375</v>
      </c>
      <c r="AU489" s="27">
        <f ca="1">IFERROR(__xludf.DUMMYFUNCTION("""COMPUTED_VALUE"""),45)</f>
        <v>45</v>
      </c>
      <c r="AV489" s="27">
        <f ca="1">IFERROR(__xludf.DUMMYFUNCTION("""COMPUTED_VALUE"""),25645807855)</f>
        <v>25645807855</v>
      </c>
      <c r="AW489" s="27" t="str">
        <f ca="1">IFERROR(__xludf.DUMMYFUNCTION("""COMPUTED_VALUE"""),"29.195.177-6")</f>
        <v>29.195.177-6</v>
      </c>
      <c r="AX489" s="27"/>
      <c r="AY489" s="27"/>
      <c r="AZ489" s="27" t="str">
        <f ca="1">IFERROR(__xludf.DUMMYFUNCTION("""COMPUTED_VALUE"""),"G")</f>
        <v>G</v>
      </c>
      <c r="BA489" s="27" t="str">
        <f ca="1">IFERROR(__xludf.DUMMYFUNCTION("""COMPUTED_VALUE"""),"Parda")</f>
        <v>Parda</v>
      </c>
      <c r="BB489" s="27"/>
      <c r="BC489" s="27"/>
      <c r="BD489" s="27" t="str">
        <f ca="1">IFERROR(__xludf.DUMMYFUNCTION("""COMPUTED_VALUE"""),"Sou Shirley Aparecida café Ribeiro * faço parte da ONG Instituto vitória de Sá dez 2010 sempre tive como referência o amor ao próximo a fazer um trabalho social digno para essas famílias que precisam de nossa ajuda e uma capitação .")</f>
        <v>Sou Shirley Aparecida café Ribeiro * faço parte da ONG Instituto vitória de Sá dez 2010 sempre tive como referência o amor ao próximo a fazer um trabalho social digno para essas famílias que precisam de nossa ajuda e uma capitação .</v>
      </c>
      <c r="BE489" s="27" t="str">
        <f ca="1">IFERROR(__xludf.DUMMYFUNCTION("""COMPUTED_VALUE"""),"Feminino")</f>
        <v>Feminino</v>
      </c>
      <c r="BF489" s="27" t="str">
        <f ca="1">IFERROR(__xludf.DUMMYFUNCTION("""COMPUTED_VALUE"""),"Heterossexual")</f>
        <v>Heterossexual</v>
      </c>
      <c r="BG489" s="27"/>
      <c r="BH489" s="27" t="str">
        <f ca="1">IFERROR(__xludf.DUMMYFUNCTION("""COMPUTED_VALUE"""),"Público")</f>
        <v>Público</v>
      </c>
      <c r="BI489" s="27"/>
      <c r="BJ489" s="27"/>
      <c r="BK489" s="27" t="str">
        <f ca="1">IFERROR(__xludf.DUMMYFUNCTION("""COMPUTED_VALUE"""),"Rua Boa Vista do tupim jd Centenário")</f>
        <v>Rua Boa Vista do tupim jd Centenário</v>
      </c>
      <c r="BL489" s="27">
        <f ca="1">IFERROR(__xludf.DUMMYFUNCTION("""COMPUTED_VALUE"""),231)</f>
        <v>231</v>
      </c>
      <c r="BM489" s="27"/>
      <c r="BN489" s="27"/>
      <c r="BO489" s="27" t="str">
        <f ca="1">IFERROR(__xludf.DUMMYFUNCTION("""COMPUTED_VALUE"""),"07270-070")</f>
        <v>07270-070</v>
      </c>
      <c r="BP489" s="27" t="str">
        <f ca="1">IFERROR(__xludf.DUMMYFUNCTION("""COMPUTED_VALUE"""),"SP")</f>
        <v>SP</v>
      </c>
      <c r="BQ489" s="27" t="str">
        <f ca="1">IFERROR(__xludf.DUMMYFUNCTION("""COMPUTED_VALUE"""),"Entre 1 até 3 salários mínimos")</f>
        <v>Entre 1 até 3 salários mínimos</v>
      </c>
      <c r="BR489" s="27" t="str">
        <f ca="1">IFERROR(__xludf.DUMMYFUNCTION("""COMPUTED_VALUE"""),"Trabalho informal")</f>
        <v>Trabalho informal</v>
      </c>
      <c r="BS489" s="27" t="str">
        <f ca="1">IFERROR(__xludf.DUMMYFUNCTION("""COMPUTED_VALUE"""),"Casa própria")</f>
        <v>Casa própria</v>
      </c>
      <c r="BT489" s="27">
        <f ca="1">IFERROR(__xludf.DUMMYFUNCTION("""COMPUTED_VALUE"""),1)</f>
        <v>1</v>
      </c>
      <c r="BU489" s="27" t="str">
        <f ca="1">IFERROR(__xludf.DUMMYFUNCTION("""COMPUTED_VALUE"""),"Não tem")</f>
        <v>Não tem</v>
      </c>
      <c r="BV489" s="27" t="str">
        <f ca="1">IFERROR(__xludf.DUMMYFUNCTION("""COMPUTED_VALUE"""),"Não")</f>
        <v>Não</v>
      </c>
      <c r="BW489" s="27"/>
      <c r="BX489" s="27"/>
      <c r="BY489" s="21" t="str">
        <f ca="1">IFERROR(__xludf.DUMMYFUNCTION("""COMPUTED_VALUE"""),"https://drive.google.com/open?id=11FAnuy-HeqviqES3pVRYGPWki54mEJ73")</f>
        <v>https://drive.google.com/open?id=11FAnuy-HeqviqES3pVRYGPWki54mEJ73</v>
      </c>
    </row>
    <row r="490" spans="1:77" ht="12.5" x14ac:dyDescent="0.25">
      <c r="A490" s="21" t="str">
        <f ca="1">IFERROR(__xludf.DUMMYFUNCTION("""COMPUTED_VALUE"""),"0014X00002VKCtRQAX")</f>
        <v>0014X00002VKCtRQAX</v>
      </c>
      <c r="B490" s="27" t="str">
        <f ca="1">IFERROR(__xludf.DUMMYFUNCTION("""COMPUTED_VALUE"""),"Fase Inicial")</f>
        <v>Fase Inicial</v>
      </c>
      <c r="C490" s="27" t="str">
        <f ca="1">IFERROR(__xludf.DUMMYFUNCTION("""COMPUTED_VALUE"""),"Fellow")</f>
        <v>Fellow</v>
      </c>
      <c r="D490" s="27" t="str">
        <f ca="1">IFERROR(__xludf.DUMMYFUNCTION("""COMPUTED_VALUE"""),"Ativo")</f>
        <v>Ativo</v>
      </c>
      <c r="E490" s="27" t="str">
        <f ca="1">IFERROR(__xludf.DUMMYFUNCTION("""COMPUTED_VALUE"""),"Ong Potiarte Educação PAE Projeto ABC Hip Hop Kids")</f>
        <v>Ong Potiarte Educação PAE Projeto ABC Hip Hop Kids</v>
      </c>
      <c r="F490" s="27" t="str">
        <f ca="1">IFERROR(__xludf.DUMMYFUNCTION("""COMPUTED_VALUE"""),"johny")</f>
        <v>johny</v>
      </c>
      <c r="G490" s="27" t="str">
        <f ca="1">IFERROR(__xludf.DUMMYFUNCTION("""COMPUTED_VALUE"""),"ABC HIP-HOP KIDS")</f>
        <v>ABC HIP-HOP KIDS</v>
      </c>
      <c r="H490" s="27" t="str">
        <f ca="1">IFERROR(__xludf.DUMMYFUNCTION("""COMPUTED_VALUE"""),"33.407.737/0001-82")</f>
        <v>33.407.737/0001-82</v>
      </c>
      <c r="I490" s="27" t="str">
        <f ca="1">IFERROR(__xludf.DUMMYFUNCTION("""COMPUTED_VALUE"""),"johny everton firmino da silva")</f>
        <v>johny everton firmino da silva</v>
      </c>
      <c r="J490" s="27" t="str">
        <f ca="1">IFERROR(__xludf.DUMMYFUNCTION("""COMPUTED_VALUE"""),"kamalartistapotiguar@yahoo.com")</f>
        <v>kamalartistapotiguar@yahoo.com</v>
      </c>
      <c r="K490" s="27" t="str">
        <f ca="1">IFERROR(__xludf.DUMMYFUNCTION("""COMPUTED_VALUE"""),"(84)99840-7383")</f>
        <v>(84)99840-7383</v>
      </c>
      <c r="L490" s="27" t="str">
        <f ca="1">IFERROR(__xludf.DUMMYFUNCTION("""COMPUTED_VALUE"""),"RN")</f>
        <v>RN</v>
      </c>
      <c r="M490" s="27" t="str">
        <f ca="1">IFERROR(__xludf.DUMMYFUNCTION("""COMPUTED_VALUE"""),"Rua industrial")</f>
        <v>Rua industrial</v>
      </c>
      <c r="N490" s="27" t="str">
        <f ca="1">IFERROR(__xludf.DUMMYFUNCTION("""COMPUTED_VALUE"""),"Jardim Progresso")</f>
        <v>Jardim Progresso</v>
      </c>
      <c r="O490" s="27">
        <f ca="1">IFERROR(__xludf.DUMMYFUNCTION("""COMPUTED_VALUE"""),219)</f>
        <v>219</v>
      </c>
      <c r="P490" s="27" t="str">
        <f ca="1">IFERROR(__xludf.DUMMYFUNCTION("""COMPUTED_VALUE"""),"Natal")</f>
        <v>Natal</v>
      </c>
      <c r="Q490" s="27"/>
      <c r="R490" s="27" t="str">
        <f ca="1">IFERROR(__xludf.DUMMYFUNCTION("""COMPUTED_VALUE"""),"59114-166")</f>
        <v>59114-166</v>
      </c>
      <c r="S490" s="27"/>
      <c r="T490" s="27"/>
      <c r="U490" s="27" t="str">
        <f ca="1">IFERROR(__xludf.DUMMYFUNCTION("""COMPUTED_VALUE"""),"Crianças (6 a 12 anos), Adolescentes (12 aos 18 anos), Jovens (18 aos 24 anos), Adultos")</f>
        <v>Crianças (6 a 12 anos), Adolescentes (12 aos 18 anos), Jovens (18 aos 24 anos), Adultos</v>
      </c>
      <c r="V490" s="27" t="str">
        <f ca="1">IFERROR(__xludf.DUMMYFUNCTION("""COMPUTED_VALUE"""),"Moradores de Favelas, População LGBTQ+, Povos Indígenas, Quilombola, Afrodescendentes")</f>
        <v>Moradores de Favelas, População LGBTQ+, Povos Indígenas, Quilombola, Afrodescendentes</v>
      </c>
      <c r="W490" s="27">
        <f ca="1">IFERROR(__xludf.DUMMYFUNCTION("""COMPUTED_VALUE"""),2)</f>
        <v>2</v>
      </c>
      <c r="X490" s="27"/>
      <c r="Y490" s="27"/>
      <c r="Z490" s="27">
        <f ca="1">IFERROR(__xludf.DUMMYFUNCTION("""COMPUTED_VALUE"""),20)</f>
        <v>20</v>
      </c>
      <c r="AA490" s="29">
        <f ca="1">IFERROR(__xludf.DUMMYFUNCTION("""COMPUTED_VALUE"""),33432)</f>
        <v>33432</v>
      </c>
      <c r="AB490" s="27" t="str">
        <f ca="1">IFERROR(__xludf.DUMMYFUNCTION("""COMPUTED_VALUE"""),"Não")</f>
        <v>Não</v>
      </c>
      <c r="AC490" s="27">
        <f ca="1">IFERROR(__xludf.DUMMYFUNCTION("""COMPUTED_VALUE"""),1)</f>
        <v>1</v>
      </c>
      <c r="AD490" s="27">
        <f ca="1">IFERROR(__xludf.DUMMYFUNCTION("""COMPUTED_VALUE"""),1)</f>
        <v>1</v>
      </c>
      <c r="AE490" s="27">
        <f ca="1">IFERROR(__xludf.DUMMYFUNCTION("""COMPUTED_VALUE"""),4)</f>
        <v>4</v>
      </c>
      <c r="AF490" s="27">
        <f ca="1">IFERROR(__xludf.DUMMYFUNCTION("""COMPUTED_VALUE"""),1)</f>
        <v>1</v>
      </c>
      <c r="AG490" s="27">
        <f ca="1">IFERROR(__xludf.DUMMYFUNCTION("""COMPUTED_VALUE"""),6)</f>
        <v>6</v>
      </c>
      <c r="AH490" s="27" t="str">
        <f ca="1">IFERROR(__xludf.DUMMYFUNCTION("""COMPUTED_VALUE"""),"Lei de Incentivo, Editais, Lei Estadual da Cultura, Lei Municipal da Cultura, Lei Estadual do Esporte, Lei Federal do Esporte")</f>
        <v>Lei de Incentivo, Editais, Lei Estadual da Cultura, Lei Municipal da Cultura, Lei Estadual do Esporte, Lei Federal do Esporte</v>
      </c>
      <c r="AI490" s="27" t="str">
        <f ca="1">IFERROR(__xludf.DUMMYFUNCTION("""COMPUTED_VALUE"""),"50% editais 50% lei municipal")</f>
        <v>50% editais 50% lei municipal</v>
      </c>
      <c r="AJ490" s="27" t="str">
        <f ca="1">IFERROR(__xludf.DUMMYFUNCTION("""COMPUTED_VALUE"""),"Vamos iniciar esse ano")</f>
        <v>Vamos iniciar esse ano</v>
      </c>
      <c r="AK490" s="27"/>
      <c r="AL490" s="21" t="str">
        <f ca="1">IFERROR(__xludf.DUMMYFUNCTION("""COMPUTED_VALUE"""),"0034X0000380O2C")</f>
        <v>0034X0000380O2C</v>
      </c>
      <c r="AM490" s="27" t="str">
        <f ca="1">IFERROR(__xludf.DUMMYFUNCTION("""COMPUTED_VALUE"""),"Everton firmino da silva")</f>
        <v>Everton firmino da silva</v>
      </c>
      <c r="AN490" s="27" t="str">
        <f ca="1">IFERROR(__xludf.DUMMYFUNCTION("""COMPUTED_VALUE"""),"Ativo")</f>
        <v>Ativo</v>
      </c>
      <c r="AO490" s="29">
        <f ca="1">IFERROR(__xludf.DUMMYFUNCTION("""COMPUTED_VALUE"""),44763)</f>
        <v>44763</v>
      </c>
      <c r="AP490" s="27">
        <f ca="1">IFERROR(__xludf.DUMMYFUNCTION("""COMPUTED_VALUE"""),2)</f>
        <v>2</v>
      </c>
      <c r="AQ490" s="27" t="str">
        <f ca="1">IFERROR(__xludf.DUMMYFUNCTION("""COMPUTED_VALUE"""),"Primeiro Semestre 2022")</f>
        <v>Primeiro Semestre 2022</v>
      </c>
      <c r="AR490" s="27" t="str">
        <f ca="1">IFERROR(__xludf.DUMMYFUNCTION("""COMPUTED_VALUE"""),"kamalartistapotiguar@yahoo.com")</f>
        <v>kamalartistapotiguar@yahoo.com</v>
      </c>
      <c r="AS490" s="27" t="str">
        <f ca="1">IFERROR(__xludf.DUMMYFUNCTION("""COMPUTED_VALUE"""),"(84)99840-7383")</f>
        <v>(84)99840-7383</v>
      </c>
      <c r="AT490" s="29">
        <f ca="1">IFERROR(__xludf.DUMMYFUNCTION("""COMPUTED_VALUE"""),33432)</f>
        <v>33432</v>
      </c>
      <c r="AU490" s="27">
        <f ca="1">IFERROR(__xludf.DUMMYFUNCTION("""COMPUTED_VALUE"""),31)</f>
        <v>31</v>
      </c>
      <c r="AV490" s="27">
        <f ca="1">IFERROR(__xludf.DUMMYFUNCTION("""COMPUTED_VALUE"""),9582589450)</f>
        <v>9582589450</v>
      </c>
      <c r="AW490" s="27">
        <f ca="1">IFERROR(__xludf.DUMMYFUNCTION("""COMPUTED_VALUE"""),2370904)</f>
        <v>2370904</v>
      </c>
      <c r="AX490" s="27"/>
      <c r="AY490" s="27" t="str">
        <f ca="1">IFERROR(__xludf.DUMMYFUNCTION("""COMPUTED_VALUE"""),"Diretor")</f>
        <v>Diretor</v>
      </c>
      <c r="AZ490" s="27" t="str">
        <f ca="1">IFERROR(__xludf.DUMMYFUNCTION("""COMPUTED_VALUE"""),"G")</f>
        <v>G</v>
      </c>
      <c r="BA490" s="27" t="str">
        <f ca="1">IFERROR(__xludf.DUMMYFUNCTION("""COMPUTED_VALUE"""),"Preta")</f>
        <v>Preta</v>
      </c>
      <c r="BB490" s="27"/>
      <c r="BC490" s="27"/>
      <c r="BD490" s="27" t="str">
        <f ca="1">IFERROR(__xludf.DUMMYFUNCTION("""COMPUTED_VALUE"""),"Johny Everton Firmino da silva (Kamal), tenho 31 anos de idade, sou brasileiro, natural da cidade de Montanhas residente da cidade de Natal. Autor e Criador do  projeto de investimento social ABC Hip-Hop Kids, onde oferecemos aulas gratuitas de danças urb"&amp;"anas tendo em vista e como objetivo estimular e inserir crianças e adolescentes ao universo artístico através da cultura Hip-Hop,  na periferia da Zona Norte de Natal; Atualmente sou graduando do curso de L. dança pela UFRN e investidor social.")</f>
        <v>Johny Everton Firmino da silva (Kamal), tenho 31 anos de idade, sou brasileiro, natural da cidade de Montanhas residente da cidade de Natal. Autor e Criador do  projeto de investimento social ABC Hip-Hop Kids, onde oferecemos aulas gratuitas de danças urbanas tendo em vista e como objetivo estimular e inserir crianças e adolescentes ao universo artístico através da cultura Hip-Hop,  na periferia da Zona Norte de Natal; Atualmente sou graduando do curso de L. dança pela UFRN e investidor social.</v>
      </c>
      <c r="BE490" s="27" t="str">
        <f ca="1">IFERROR(__xludf.DUMMYFUNCTION("""COMPUTED_VALUE"""),"Homem, cisgênero")</f>
        <v>Homem, cisgênero</v>
      </c>
      <c r="BF490" s="27" t="str">
        <f ca="1">IFERROR(__xludf.DUMMYFUNCTION("""COMPUTED_VALUE"""),"Heterossexual")</f>
        <v>Heterossexual</v>
      </c>
      <c r="BG490" s="27" t="str">
        <f ca="1">IFERROR(__xludf.DUMMYFUNCTION("""COMPUTED_VALUE"""),"Ensino Superior - Incompleto")</f>
        <v>Ensino Superior - Incompleto</v>
      </c>
      <c r="BH490" s="27" t="str">
        <f ca="1">IFERROR(__xludf.DUMMYFUNCTION("""COMPUTED_VALUE"""),"Público")</f>
        <v>Público</v>
      </c>
      <c r="BI490" s="27" t="str">
        <f ca="1">IFERROR(__xludf.DUMMYFUNCTION("""COMPUTED_VALUE"""),"Graduação")</f>
        <v>Graduação</v>
      </c>
      <c r="BJ490" s="27" t="str">
        <f ca="1">IFERROR(__xludf.DUMMYFUNCTION("""COMPUTED_VALUE"""),"Público")</f>
        <v>Público</v>
      </c>
      <c r="BK490" s="27" t="str">
        <f ca="1">IFERROR(__xludf.DUMMYFUNCTION("""COMPUTED_VALUE"""),"rua joaquim luiz")</f>
        <v>rua joaquim luiz</v>
      </c>
      <c r="BL490" s="27">
        <f ca="1">IFERROR(__xludf.DUMMYFUNCTION("""COMPUTED_VALUE"""),50)</f>
        <v>50</v>
      </c>
      <c r="BM490" s="27"/>
      <c r="BN490" s="27" t="str">
        <f ca="1">IFERROR(__xludf.DUMMYFUNCTION("""COMPUTED_VALUE"""),"Natal")</f>
        <v>Natal</v>
      </c>
      <c r="BO490" s="27" t="str">
        <f ca="1">IFERROR(__xludf.DUMMYFUNCTION("""COMPUTED_VALUE"""),"59114-166")</f>
        <v>59114-166</v>
      </c>
      <c r="BP490" s="27" t="str">
        <f ca="1">IFERROR(__xludf.DUMMYFUNCTION("""COMPUTED_VALUE"""),"RN")</f>
        <v>RN</v>
      </c>
      <c r="BQ490" s="27" t="str">
        <f ca="1">IFERROR(__xludf.DUMMYFUNCTION("""COMPUTED_VALUE"""),"Entre 1 até 3 salários mínimos")</f>
        <v>Entre 1 até 3 salários mínimos</v>
      </c>
      <c r="BR490" s="27" t="str">
        <f ca="1">IFERROR(__xludf.DUMMYFUNCTION("""COMPUTED_VALUE"""),"MEI")</f>
        <v>MEI</v>
      </c>
      <c r="BS490" s="27" t="str">
        <f ca="1">IFERROR(__xludf.DUMMYFUNCTION("""COMPUTED_VALUE"""),"Aluguel")</f>
        <v>Aluguel</v>
      </c>
      <c r="BT490" s="27">
        <f ca="1">IFERROR(__xludf.DUMMYFUNCTION("""COMPUTED_VALUE"""),2)</f>
        <v>2</v>
      </c>
      <c r="BU490" s="27" t="str">
        <f ca="1">IFERROR(__xludf.DUMMYFUNCTION("""COMPUTED_VALUE"""),"Não tem")</f>
        <v>Não tem</v>
      </c>
      <c r="BV490" s="27" t="str">
        <f ca="1">IFERROR(__xludf.DUMMYFUNCTION("""COMPUTED_VALUE"""),"Não")</f>
        <v>Não</v>
      </c>
      <c r="BW490" s="27"/>
      <c r="BX490" s="21" t="str">
        <f ca="1">IFERROR(__xludf.DUMMYFUNCTION("""COMPUTED_VALUE"""),"https://www.instagram.com/kamalartistapotiguar/")</f>
        <v>https://www.instagram.com/kamalartistapotiguar/</v>
      </c>
      <c r="BY490" s="21" t="str">
        <f ca="1">IFERROR(__xludf.DUMMYFUNCTION("""COMPUTED_VALUE"""),"https://drive.google.com/open?id=1Wpk3V6fdUQvLRQR_hBO_qYAQexmndDyX")</f>
        <v>https://drive.google.com/open?id=1Wpk3V6fdUQvLRQR_hBO_qYAQexmndDyX</v>
      </c>
    </row>
    <row r="491" spans="1:77" ht="12.5" x14ac:dyDescent="0.25">
      <c r="A491" s="21" t="str">
        <f ca="1">IFERROR(__xludf.DUMMYFUNCTION("""COMPUTED_VALUE"""),"0014X00002VKCsxQAH")</f>
        <v>0014X00002VKCsxQAH</v>
      </c>
      <c r="B491" s="27" t="str">
        <f ca="1">IFERROR(__xludf.DUMMYFUNCTION("""COMPUTED_VALUE"""),"Fase Inicial")</f>
        <v>Fase Inicial</v>
      </c>
      <c r="C491" s="27" t="str">
        <f ca="1">IFERROR(__xludf.DUMMYFUNCTION("""COMPUTED_VALUE"""),"Fellow")</f>
        <v>Fellow</v>
      </c>
      <c r="D491" s="27" t="str">
        <f ca="1">IFERROR(__xludf.DUMMYFUNCTION("""COMPUTED_VALUE"""),"Ativo")</f>
        <v>Ativo</v>
      </c>
      <c r="E491" s="27" t="str">
        <f ca="1">IFERROR(__xludf.DUMMYFUNCTION("""COMPUTED_VALUE"""),"Ong resgatando a inocencia")</f>
        <v>Ong resgatando a inocencia</v>
      </c>
      <c r="F491" s="27" t="str">
        <f ca="1">IFERROR(__xludf.DUMMYFUNCTION("""COMPUTED_VALUE"""),"Natalina")</f>
        <v>Natalina</v>
      </c>
      <c r="G491" s="27" t="str">
        <f ca="1">IFERROR(__xludf.DUMMYFUNCTION("""COMPUTED_VALUE"""),"RESGATANDO A INOCENCIA")</f>
        <v>RESGATANDO A INOCENCIA</v>
      </c>
      <c r="H491" s="27"/>
      <c r="I491" s="27" t="str">
        <f ca="1">IFERROR(__xludf.DUMMYFUNCTION("""COMPUTED_VALUE"""),"Natalina Maria barbosa")</f>
        <v>Natalina Maria barbosa</v>
      </c>
      <c r="J491" s="27" t="str">
        <f ca="1">IFERROR(__xludf.DUMMYFUNCTION("""COMPUTED_VALUE"""),"projetoresgatandoainocencia@gmail.com")</f>
        <v>projetoresgatandoainocencia@gmail.com</v>
      </c>
      <c r="K491" s="27" t="str">
        <f ca="1">IFERROR(__xludf.DUMMYFUNCTION("""COMPUTED_VALUE"""),"(21)98419-8968")</f>
        <v>(21)98419-8968</v>
      </c>
      <c r="L491" s="27" t="str">
        <f ca="1">IFERROR(__xludf.DUMMYFUNCTION("""COMPUTED_VALUE"""),"RJ")</f>
        <v>RJ</v>
      </c>
      <c r="M491" s="27" t="str">
        <f ca="1">IFERROR(__xludf.DUMMYFUNCTION("""COMPUTED_VALUE"""),"Rua capucara n 241")</f>
        <v>Rua capucara n 241</v>
      </c>
      <c r="N491" s="27" t="str">
        <f ca="1">IFERROR(__xludf.DUMMYFUNCTION("""COMPUTED_VALUE"""),"Bonsucesso")</f>
        <v>Bonsucesso</v>
      </c>
      <c r="O491" s="27">
        <f ca="1">IFERROR(__xludf.DUMMYFUNCTION("""COMPUTED_VALUE"""),241)</f>
        <v>241</v>
      </c>
      <c r="P491" s="27" t="str">
        <f ca="1">IFERROR(__xludf.DUMMYFUNCTION("""COMPUTED_VALUE"""),"Rio de janeiro")</f>
        <v>Rio de janeiro</v>
      </c>
      <c r="Q491" s="27" t="str">
        <f ca="1">IFERROR(__xludf.DUMMYFUNCTION("""COMPUTED_VALUE"""),"Frente")</f>
        <v>Frente</v>
      </c>
      <c r="R491" s="27" t="str">
        <f ca="1">IFERROR(__xludf.DUMMYFUNCTION("""COMPUTED_VALUE"""),"21060-580")</f>
        <v>21060-580</v>
      </c>
      <c r="S491" s="27" t="str">
        <f ca="1">IFERROR(__xludf.DUMMYFUNCTION("""COMPUTED_VALUE"""),"Não")</f>
        <v>Não</v>
      </c>
      <c r="T491" s="27"/>
      <c r="U491" s="27" t="str">
        <f ca="1">IFERROR(__xludf.DUMMYFUNCTION("""COMPUTED_VALUE"""),"Crianças pequenas (4 anos a 5 anos e 11 meses), Crianças (6 a 12 anos), Adolescentes (12 aos 18 anos), Idosos (60 anos ou mais)")</f>
        <v>Crianças pequenas (4 anos a 5 anos e 11 meses), Crianças (6 a 12 anos), Adolescentes (12 aos 18 anos), Idosos (60 anos ou mais)</v>
      </c>
      <c r="V491" s="27" t="str">
        <f ca="1">IFERROR(__xludf.DUMMYFUNCTION("""COMPUTED_VALUE"""),"Moradores de Favelas")</f>
        <v>Moradores de Favelas</v>
      </c>
      <c r="W491" s="27">
        <f ca="1">IFERROR(__xludf.DUMMYFUNCTION("""COMPUTED_VALUE"""),2)</f>
        <v>2</v>
      </c>
      <c r="X491" s="27" t="str">
        <f ca="1">IFERROR(__xludf.DUMMYFUNCTION("""COMPUTED_VALUE"""),"No projeto atendemos crianças e adolescente de 2 a 17 anos* oferecemos diversas atividades* doamos cesta basica (quando temos) e oferecemos aula funcional para os adultos e adolescentes")</f>
        <v>No projeto atendemos crianças e adolescente de 2 a 17 anos* oferecemos diversas atividades* doamos cesta basica (quando temos) e oferecemos aula funcional para os adultos e adolescentes</v>
      </c>
      <c r="Y491" s="27"/>
      <c r="Z491" s="27">
        <f ca="1">IFERROR(__xludf.DUMMYFUNCTION("""COMPUTED_VALUE"""),127)</f>
        <v>127</v>
      </c>
      <c r="AA491" s="29">
        <f ca="1">IFERROR(__xludf.DUMMYFUNCTION("""COMPUTED_VALUE"""),43209)</f>
        <v>43209</v>
      </c>
      <c r="AB491" s="27" t="str">
        <f ca="1">IFERROR(__xludf.DUMMYFUNCTION("""COMPUTED_VALUE"""),"Não")</f>
        <v>Não</v>
      </c>
      <c r="AC491" s="27">
        <f ca="1">IFERROR(__xludf.DUMMYFUNCTION("""COMPUTED_VALUE"""),0)</f>
        <v>0</v>
      </c>
      <c r="AD491" s="27">
        <f ca="1">IFERROR(__xludf.DUMMYFUNCTION("""COMPUTED_VALUE"""),1)</f>
        <v>1</v>
      </c>
      <c r="AE491" s="27">
        <f ca="1">IFERROR(__xludf.DUMMYFUNCTION("""COMPUTED_VALUE"""),12)</f>
        <v>12</v>
      </c>
      <c r="AF491" s="27">
        <f ca="1">IFERROR(__xludf.DUMMYFUNCTION("""COMPUTED_VALUE"""),12)</f>
        <v>12</v>
      </c>
      <c r="AG491" s="27">
        <f ca="1">IFERROR(__xludf.DUMMYFUNCTION("""COMPUTED_VALUE"""),3)</f>
        <v>3</v>
      </c>
      <c r="AH491" s="27" t="str">
        <f ca="1">IFERROR(__xludf.DUMMYFUNCTION("""COMPUTED_VALUE"""),"Outro(s), Doações, Recursos próprios")</f>
        <v>Outro(s), Doações, Recursos próprios</v>
      </c>
      <c r="AI491" s="27">
        <f ca="1">IFERROR(__xludf.DUMMYFUNCTION("""COMPUTED_VALUE"""),0)</f>
        <v>0</v>
      </c>
      <c r="AJ491" s="27" t="str">
        <f ca="1">IFERROR(__xludf.DUMMYFUNCTION("""COMPUTED_VALUE"""),"Vamos iniciar esse ano")</f>
        <v>Vamos iniciar esse ano</v>
      </c>
      <c r="AK491" s="27"/>
      <c r="AL491" s="21" t="str">
        <f ca="1">IFERROR(__xludf.DUMMYFUNCTION("""COMPUTED_VALUE"""),"0034X0000380O3M")</f>
        <v>0034X0000380O3M</v>
      </c>
      <c r="AM491" s="27" t="str">
        <f ca="1">IFERROR(__xludf.DUMMYFUNCTION("""COMPUTED_VALUE"""),"Maria barbosa")</f>
        <v>Maria barbosa</v>
      </c>
      <c r="AN491" s="27" t="str">
        <f ca="1">IFERROR(__xludf.DUMMYFUNCTION("""COMPUTED_VALUE"""),"Ativo")</f>
        <v>Ativo</v>
      </c>
      <c r="AO491" s="29">
        <f ca="1">IFERROR(__xludf.DUMMYFUNCTION("""COMPUTED_VALUE"""),44763)</f>
        <v>44763</v>
      </c>
      <c r="AP491" s="27">
        <f ca="1">IFERROR(__xludf.DUMMYFUNCTION("""COMPUTED_VALUE"""),2)</f>
        <v>2</v>
      </c>
      <c r="AQ491" s="27" t="str">
        <f ca="1">IFERROR(__xludf.DUMMYFUNCTION("""COMPUTED_VALUE"""),"Primeiro Semestre 2022")</f>
        <v>Primeiro Semestre 2022</v>
      </c>
      <c r="AR491" s="27" t="str">
        <f ca="1">IFERROR(__xludf.DUMMYFUNCTION("""COMPUTED_VALUE"""),"sxandy304@gmail.com")</f>
        <v>sxandy304@gmail.com</v>
      </c>
      <c r="AS491" s="27">
        <f ca="1">IFERROR(__xludf.DUMMYFUNCTION("""COMPUTED_VALUE"""),21984198968)</f>
        <v>21984198968</v>
      </c>
      <c r="AT491" s="30">
        <f ca="1">IFERROR(__xludf.DUMMYFUNCTION("""COMPUTED_VALUE"""),32866)</f>
        <v>32866</v>
      </c>
      <c r="AU491" s="27">
        <f ca="1">IFERROR(__xludf.DUMMYFUNCTION("""COMPUTED_VALUE"""),33)</f>
        <v>33</v>
      </c>
      <c r="AV491" s="27">
        <f ca="1">IFERROR(__xludf.DUMMYFUNCTION("""COMPUTED_VALUE"""),13948719705)</f>
        <v>13948719705</v>
      </c>
      <c r="AW491" s="27">
        <f ca="1">IFERROR(__xludf.DUMMYFUNCTION("""COMPUTED_VALUE"""),256611286)</f>
        <v>256611286</v>
      </c>
      <c r="AX491" s="27"/>
      <c r="AY491" s="27"/>
      <c r="AZ491" s="27" t="str">
        <f ca="1">IFERROR(__xludf.DUMMYFUNCTION("""COMPUTED_VALUE"""),"M")</f>
        <v>M</v>
      </c>
      <c r="BA491" s="27" t="str">
        <f ca="1">IFERROR(__xludf.DUMMYFUNCTION("""COMPUTED_VALUE"""),"Amarela")</f>
        <v>Amarela</v>
      </c>
      <c r="BB491" s="27"/>
      <c r="BC491" s="27"/>
      <c r="BD491" s="27" t="str">
        <f ca="1">IFERROR(__xludf.DUMMYFUNCTION("""COMPUTED_VALUE"""),"Sou mais conhecida como Naty* de 32 anos* sou pernambucana* moradora do Morro do Adeus* mãe do Richard* Enzo e Eloah e idealizadora do projeto Resgatando a Inocência. Criado em 2018* no Morro do Adeus* o projeto atende às crianças carentes da comunidade e"&amp;" tem como objetivo receber meninos moradores de rua* oferecendo a eles atividades* alimentação e muito afeto. Antes da pandemia da Covid-19* a iniciativa chegou a atender mais de 100 crianças.")</f>
        <v>Sou mais conhecida como Naty* de 32 anos* sou pernambucana* moradora do Morro do Adeus* mãe do Richard* Enzo e Eloah e idealizadora do projeto Resgatando a Inocência. Criado em 2018* no Morro do Adeus* o projeto atende às crianças carentes da comunidade e tem como objetivo receber meninos moradores de rua* oferecendo a eles atividades* alimentação e muito afeto. Antes da pandemia da Covid-19* a iniciativa chegou a atender mais de 100 crianças.</v>
      </c>
      <c r="BE491" s="27" t="str">
        <f ca="1">IFERROR(__xludf.DUMMYFUNCTION("""COMPUTED_VALUE"""),"Feminino")</f>
        <v>Feminino</v>
      </c>
      <c r="BF491" s="27" t="str">
        <f ca="1">IFERROR(__xludf.DUMMYFUNCTION("""COMPUTED_VALUE"""),"Heterossexual")</f>
        <v>Heterossexual</v>
      </c>
      <c r="BG491" s="27"/>
      <c r="BH491" s="27" t="str">
        <f ca="1">IFERROR(__xludf.DUMMYFUNCTION("""COMPUTED_VALUE"""),"Público")</f>
        <v>Público</v>
      </c>
      <c r="BI491" s="27"/>
      <c r="BJ491" s="27"/>
      <c r="BK491" s="27" t="str">
        <f ca="1">IFERROR(__xludf.DUMMYFUNCTION("""COMPUTED_VALUE"""),"Rua capuçara")</f>
        <v>Rua capuçara</v>
      </c>
      <c r="BL491" s="27">
        <f ca="1">IFERROR(__xludf.DUMMYFUNCTION("""COMPUTED_VALUE"""),250)</f>
        <v>250</v>
      </c>
      <c r="BM491" s="27"/>
      <c r="BN491" s="27"/>
      <c r="BO491" s="27">
        <f ca="1">IFERROR(__xludf.DUMMYFUNCTION("""COMPUTED_VALUE"""),21060580)</f>
        <v>21060580</v>
      </c>
      <c r="BP491" s="27" t="str">
        <f ca="1">IFERROR(__xludf.DUMMYFUNCTION("""COMPUTED_VALUE"""),"RJ")</f>
        <v>RJ</v>
      </c>
      <c r="BQ491" s="27" t="str">
        <f ca="1">IFERROR(__xludf.DUMMYFUNCTION("""COMPUTED_VALUE"""),"Entre 1 até 3 salários mínimos")</f>
        <v>Entre 1 até 3 salários mínimos</v>
      </c>
      <c r="BR491" s="27" t="str">
        <f ca="1">IFERROR(__xludf.DUMMYFUNCTION("""COMPUTED_VALUE"""),"Trabalho informal")</f>
        <v>Trabalho informal</v>
      </c>
      <c r="BS491" s="27" t="str">
        <f ca="1">IFERROR(__xludf.DUMMYFUNCTION("""COMPUTED_VALUE"""),"Outros")</f>
        <v>Outros</v>
      </c>
      <c r="BT491" s="27">
        <f ca="1">IFERROR(__xludf.DUMMYFUNCTION("""COMPUTED_VALUE"""),5)</f>
        <v>5</v>
      </c>
      <c r="BU491" s="27" t="str">
        <f ca="1">IFERROR(__xludf.DUMMYFUNCTION("""COMPUTED_VALUE"""),"Não tem")</f>
        <v>Não tem</v>
      </c>
      <c r="BV491" s="27" t="str">
        <f ca="1">IFERROR(__xludf.DUMMYFUNCTION("""COMPUTED_VALUE"""),"Não")</f>
        <v>Não</v>
      </c>
      <c r="BW491" s="27"/>
      <c r="BX491" s="21" t="str">
        <f ca="1">IFERROR(__xludf.DUMMYFUNCTION("""COMPUTED_VALUE"""),"https://instagram.com/natysilva6770?utm_medium=copy_link")</f>
        <v>https://instagram.com/natysilva6770?utm_medium=copy_link</v>
      </c>
      <c r="BY491" s="21" t="str">
        <f ca="1">IFERROR(__xludf.DUMMYFUNCTION("""COMPUTED_VALUE"""),"https://drive.google.com/open?id=15tfj4B3HYV2WpBN255HF3Ww7ZTqwOwN3")</f>
        <v>https://drive.google.com/open?id=15tfj4B3HYV2WpBN255HF3Ww7ZTqwOwN3</v>
      </c>
    </row>
    <row r="492" spans="1:77" ht="12.5" x14ac:dyDescent="0.25">
      <c r="A492" s="21" t="str">
        <f ca="1">IFERROR(__xludf.DUMMYFUNCTION("""COMPUTED_VALUE"""),"0014P00003AN2G3QAL")</f>
        <v>0014P00003AN2G3QAL</v>
      </c>
      <c r="B492" s="27" t="str">
        <f ca="1">IFERROR(__xludf.DUMMYFUNCTION("""COMPUTED_VALUE"""),"Fase Estruturação")</f>
        <v>Fase Estruturação</v>
      </c>
      <c r="C492" s="27" t="str">
        <f ca="1">IFERROR(__xludf.DUMMYFUNCTION("""COMPUTED_VALUE"""),"Acelerada")</f>
        <v>Acelerada</v>
      </c>
      <c r="D492" s="27" t="str">
        <f ca="1">IFERROR(__xludf.DUMMYFUNCTION("""COMPUTED_VALUE"""),"Ativo")</f>
        <v>Ativo</v>
      </c>
      <c r="E492" s="27" t="str">
        <f ca="1">IFERROR(__xludf.DUMMYFUNCTION("""COMPUTED_VALUE"""),"Organização da Sociedade Civil Izaias Luzia da Silva")</f>
        <v>Organização da Sociedade Civil Izaias Luzia da Silva</v>
      </c>
      <c r="F492" s="27" t="str">
        <f ca="1">IFERROR(__xludf.DUMMYFUNCTION("""COMPUTED_VALUE"""),"Danielle")</f>
        <v>Danielle</v>
      </c>
      <c r="G492" s="27" t="str">
        <f ca="1">IFERROR(__xludf.DUMMYFUNCTION("""COMPUTED_VALUE"""),"IZAIAS LUZIA")</f>
        <v>IZAIAS LUZIA</v>
      </c>
      <c r="H492" s="27" t="str">
        <f ca="1">IFERROR(__xludf.DUMMYFUNCTION("""COMPUTED_VALUE"""),"33.999.980/0001-37")</f>
        <v>33.999.980/0001-37</v>
      </c>
      <c r="I492" s="27"/>
      <c r="J492" s="27" t="str">
        <f ca="1">IFERROR(__xludf.DUMMYFUNCTION("""COMPUTED_VALUE"""),"contatodaniluzia@gmail.com")</f>
        <v>contatodaniluzia@gmail.com</v>
      </c>
      <c r="K492" s="27" t="str">
        <f ca="1">IFERROR(__xludf.DUMMYFUNCTION("""COMPUTED_VALUE"""),"(11)95234-2824")</f>
        <v>(11)95234-2824</v>
      </c>
      <c r="L492" s="27" t="str">
        <f ca="1">IFERROR(__xludf.DUMMYFUNCTION("""COMPUTED_VALUE"""),"SP")</f>
        <v>SP</v>
      </c>
      <c r="M492" s="27" t="str">
        <f ca="1">IFERROR(__xludf.DUMMYFUNCTION("""COMPUTED_VALUE"""),"Rua Professor Francisco Pinheiro")</f>
        <v>Rua Professor Francisco Pinheiro</v>
      </c>
      <c r="N492" s="27"/>
      <c r="O492" s="27" t="str">
        <f ca="1">IFERROR(__xludf.DUMMYFUNCTION("""COMPUTED_VALUE"""),"(11)95234-2824")</f>
        <v>(11)95234-2824</v>
      </c>
      <c r="P492" s="27" t="str">
        <f ca="1">IFERROR(__xludf.DUMMYFUNCTION("""COMPUTED_VALUE"""),"São Paulo")</f>
        <v>São Paulo</v>
      </c>
      <c r="Q492" s="27"/>
      <c r="R492" s="27" t="str">
        <f ca="1">IFERROR(__xludf.DUMMYFUNCTION("""COMPUTED_VALUE"""),"08410-020")</f>
        <v>08410-020</v>
      </c>
      <c r="S492" s="27" t="str">
        <f ca="1">IFERROR(__xludf.DUMMYFUNCTION("""COMPUTED_VALUE"""),"Vamos iniciar este ano oficinas de futsal e basquete na quadra de uma escola estadual próxima ao instituto ( Escola Estadual Pedro Taques R. Cmte. Carlos Ruhl 56 - Guaianases São Paulo - SP 08410-130)")</f>
        <v>Vamos iniciar este ano oficinas de futsal e basquete na quadra de uma escola estadual próxima ao instituto ( Escola Estadual Pedro Taques R. Cmte. Carlos Ruhl 56 - Guaianases São Paulo - SP 08410-130)</v>
      </c>
      <c r="T492" s="27" t="str">
        <f ca="1">IFERROR(__xludf.DUMMYFUNCTION("""COMPUTED_VALUE"""),"Esporte; Educação; Cultura; Qualificação Profissional; Empreendedorismo; Empoderamento Feminino; Assistência Psicológica")</f>
        <v>Esporte; Educação; Cultura; Qualificação Profissional; Empreendedorismo; Empoderamento Feminino; Assistência Psicológica</v>
      </c>
      <c r="U492"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492" s="27" t="str">
        <f ca="1">IFERROR(__xludf.DUMMYFUNCTION("""COMPUTED_VALUE"""),"Moradores de Favelas; Afrodescendentes; Outros")</f>
        <v>Moradores de Favelas; Afrodescendentes; Outros</v>
      </c>
      <c r="W492" s="27">
        <f ca="1">IFERROR(__xludf.DUMMYFUNCTION("""COMPUTED_VALUE"""),4)</f>
        <v>4</v>
      </c>
      <c r="X492" s="27" t="str">
        <f ca="1">IFERROR(__xludf.DUMMYFUNCTION("""COMPUTED_VALUE"""),"Além destas comunidades que auxiliamos nosso instituto é aberto a todos que querem participar estando em situação de vulnerabilidade ou não.")</f>
        <v>Além destas comunidades que auxiliamos nosso instituto é aberto a todos que querem participar estando em situação de vulnerabilidade ou não.</v>
      </c>
      <c r="Y492" s="27"/>
      <c r="Z492" s="27"/>
      <c r="AA492" s="29">
        <f ca="1">IFERROR(__xludf.DUMMYFUNCTION("""COMPUTED_VALUE"""),43327)</f>
        <v>43327</v>
      </c>
      <c r="AB492" s="27" t="str">
        <f ca="1">IFERROR(__xludf.DUMMYFUNCTION("""COMPUTED_VALUE"""),"Sim")</f>
        <v>Sim</v>
      </c>
      <c r="AC492" s="27">
        <f ca="1">IFERROR(__xludf.DUMMYFUNCTION("""COMPUTED_VALUE"""),9)</f>
        <v>9</v>
      </c>
      <c r="AD492" s="27">
        <f ca="1">IFERROR(__xludf.DUMMYFUNCTION("""COMPUTED_VALUE"""),2)</f>
        <v>2</v>
      </c>
      <c r="AE492" s="27">
        <f ca="1">IFERROR(__xludf.DUMMYFUNCTION("""COMPUTED_VALUE"""),32)</f>
        <v>32</v>
      </c>
      <c r="AF492" s="27">
        <f ca="1">IFERROR(__xludf.DUMMYFUNCTION("""COMPUTED_VALUE"""),24)</f>
        <v>24</v>
      </c>
      <c r="AG492" s="27">
        <f ca="1">IFERROR(__xludf.DUMMYFUNCTION("""COMPUTED_VALUE"""),3)</f>
        <v>3</v>
      </c>
      <c r="AH492" s="27" t="str">
        <f ca="1">IFERROR(__xludf.DUMMYFUNCTION("""COMPUTED_VALUE"""),"Negócio Social; Eventos/Ações para captação; Doações")</f>
        <v>Negócio Social; Eventos/Ações para captação; Doações</v>
      </c>
      <c r="AI492" s="27" t="str">
        <f ca="1">IFERROR(__xludf.DUMMYFUNCTION("""COMPUTED_VALUE"""),"Não temos")</f>
        <v>Não temos</v>
      </c>
      <c r="AJ492" s="27" t="str">
        <f ca="1">IFERROR(__xludf.DUMMYFUNCTION("""COMPUTED_VALUE"""),"Não")</f>
        <v>Não</v>
      </c>
      <c r="AK492" s="27" t="str">
        <f ca="1">IFERROR(__xludf.DUMMYFUNCTION("""COMPUTED_VALUE"""),"Não")</f>
        <v>Não</v>
      </c>
      <c r="AL492" s="21" t="str">
        <f ca="1">IFERROR(__xludf.DUMMYFUNCTION("""COMPUTED_VALUE"""),"0034P00003maBVX")</f>
        <v>0034P00003maBVX</v>
      </c>
      <c r="AM492" s="27" t="str">
        <f ca="1">IFERROR(__xludf.DUMMYFUNCTION("""COMPUTED_VALUE"""),"Luzia Da Silva")</f>
        <v>Luzia Da Silva</v>
      </c>
      <c r="AN492" s="27" t="str">
        <f ca="1">IFERROR(__xludf.DUMMYFUNCTION("""COMPUTED_VALUE"""),"Ativo")</f>
        <v>Ativo</v>
      </c>
      <c r="AO492" s="30">
        <f ca="1">IFERROR(__xludf.DUMMYFUNCTION("""COMPUTED_VALUE"""),44145)</f>
        <v>44145</v>
      </c>
      <c r="AP492" s="27">
        <f ca="1">IFERROR(__xludf.DUMMYFUNCTION("""COMPUTED_VALUE"""),22)</f>
        <v>22</v>
      </c>
      <c r="AQ492" s="27" t="str">
        <f ca="1">IFERROR(__xludf.DUMMYFUNCTION("""COMPUTED_VALUE"""),"Primeiro Semestre 2020")</f>
        <v>Primeiro Semestre 2020</v>
      </c>
      <c r="AR492" s="27" t="str">
        <f ca="1">IFERROR(__xludf.DUMMYFUNCTION("""COMPUTED_VALUE"""),"contatodaniluzia@gmail.com")</f>
        <v>contatodaniluzia@gmail.com</v>
      </c>
      <c r="AS492" s="27" t="str">
        <f ca="1">IFERROR(__xludf.DUMMYFUNCTION("""COMPUTED_VALUE"""),"(11)95234-2824")</f>
        <v>(11)95234-2824</v>
      </c>
      <c r="AT492" s="29">
        <f ca="1">IFERROR(__xludf.DUMMYFUNCTION("""COMPUTED_VALUE"""),30808)</f>
        <v>30808</v>
      </c>
      <c r="AU492" s="27">
        <f ca="1">IFERROR(__xludf.DUMMYFUNCTION("""COMPUTED_VALUE"""),38)</f>
        <v>38</v>
      </c>
      <c r="AV492" s="27">
        <f ca="1">IFERROR(__xludf.DUMMYFUNCTION("""COMPUTED_VALUE"""),33155032812)</f>
        <v>33155032812</v>
      </c>
      <c r="AW492" s="27">
        <f ca="1">IFERROR(__xludf.DUMMYFUNCTION("""COMPUTED_VALUE"""),405981041)</f>
        <v>405981041</v>
      </c>
      <c r="AX492" s="27" t="str">
        <f ca="1">IFERROR(__xludf.DUMMYFUNCTION("""COMPUTED_VALUE"""),"Não tenho")</f>
        <v>Não tenho</v>
      </c>
      <c r="AY492" s="27"/>
      <c r="AZ492" s="27" t="str">
        <f ca="1">IFERROR(__xludf.DUMMYFUNCTION("""COMPUTED_VALUE"""),"M")</f>
        <v>M</v>
      </c>
      <c r="BA492" s="27"/>
      <c r="BB492" s="27"/>
      <c r="BC492" s="27" t="str">
        <f ca="1">IFERROR(__xludf.DUMMYFUNCTION("""COMPUTED_VALUE"""),"Sim")</f>
        <v>Sim</v>
      </c>
      <c r="BD492" s="27" t="str">
        <f ca="1">IFERROR(__xludf.DUMMYFUNCTION("""COMPUTED_VALUE"""),"Mãe da Duda e da Nanda, filha do senhor Izaias e da dona Iramir, empreendedora social, fundadora Instituto Izaias Luzia, sofreu racismo e bulying na infância, passou por 02 Anos de depressão profunda, TOC e 02 tentativas de suicídio decorrentes de um casa"&amp;"mento abusivo. Foi em frente a um espelho que decidiu que sua vida seria para motivar e incentivar pessoas.")</f>
        <v>Mãe da Duda e da Nanda, filha do senhor Izaias e da dona Iramir, empreendedora social, fundadora Instituto Izaias Luzia, sofreu racismo e bulying na infância, passou por 02 Anos de depressão profunda, TOC e 02 tentativas de suicídio decorrentes de um casamento abusivo. Foi em frente a um espelho que decidiu que sua vida seria para motivar e incentivar pessoas.</v>
      </c>
      <c r="BE492" s="27"/>
      <c r="BF492" s="27"/>
      <c r="BG492" s="27" t="str">
        <f ca="1">IFERROR(__xludf.DUMMYFUNCTION("""COMPUTED_VALUE"""),"Ensino Médio - Completo")</f>
        <v>Ensino Médio - Completo</v>
      </c>
      <c r="BH492" s="27"/>
      <c r="BI492" s="27"/>
      <c r="BJ492" s="27"/>
      <c r="BK492" s="27" t="str">
        <f ca="1">IFERROR(__xludf.DUMMYFUNCTION("""COMPUTED_VALUE"""),"Rua Serra do Mar")</f>
        <v>Rua Serra do Mar</v>
      </c>
      <c r="BL492" s="27">
        <f ca="1">IFERROR(__xludf.DUMMYFUNCTION("""COMPUTED_VALUE"""),398)</f>
        <v>398</v>
      </c>
      <c r="BM492" s="27" t="str">
        <f ca="1">IFERROR(__xludf.DUMMYFUNCTION("""COMPUTED_VALUE"""),"Apto 64")</f>
        <v>Apto 64</v>
      </c>
      <c r="BN492" s="27" t="str">
        <f ca="1">IFERROR(__xludf.DUMMYFUNCTION("""COMPUTED_VALUE"""),"São Paulo")</f>
        <v>São Paulo</v>
      </c>
      <c r="BO492" s="27" t="str">
        <f ca="1">IFERROR(__xludf.DUMMYFUNCTION("""COMPUTED_VALUE"""),"08410-160")</f>
        <v>08410-160</v>
      </c>
      <c r="BP492" s="27" t="str">
        <f ca="1">IFERROR(__xludf.DUMMYFUNCTION("""COMPUTED_VALUE"""),"SP")</f>
        <v>SP</v>
      </c>
      <c r="BQ492" s="27" t="str">
        <f ca="1">IFERROR(__xludf.DUMMYFUNCTION("""COMPUTED_VALUE"""),"Entre 1 até 3 salários mínimos")</f>
        <v>Entre 1 até 3 salários mínimos</v>
      </c>
      <c r="BR492" s="27" t="str">
        <f ca="1">IFERROR(__xludf.DUMMYFUNCTION("""COMPUTED_VALUE"""),"MEI")</f>
        <v>MEI</v>
      </c>
      <c r="BS492" s="27" t="str">
        <f ca="1">IFERROR(__xludf.DUMMYFUNCTION("""COMPUTED_VALUE"""),"Aluguel")</f>
        <v>Aluguel</v>
      </c>
      <c r="BT492" s="27">
        <f ca="1">IFERROR(__xludf.DUMMYFUNCTION("""COMPUTED_VALUE"""),3)</f>
        <v>3</v>
      </c>
      <c r="BU492" s="27"/>
      <c r="BV492" s="27"/>
      <c r="BW492" s="27"/>
      <c r="BX492" s="21" t="str">
        <f ca="1">IFERROR(__xludf.DUMMYFUNCTION("""COMPUTED_VALUE"""),"https://instagram.com/luzia_dani?utm_medium=copy_link")</f>
        <v>https://instagram.com/luzia_dani?utm_medium=copy_link</v>
      </c>
      <c r="BY492" s="21" t="str">
        <f ca="1">IFERROR(__xludf.DUMMYFUNCTION("""COMPUTED_VALUE"""),"https://drive.google.com/open?id=1VXnl6c2rksCP0gUrLtLx5IKgIylW5Psa")</f>
        <v>https://drive.google.com/open?id=1VXnl6c2rksCP0gUrLtLx5IKgIylW5Psa</v>
      </c>
    </row>
    <row r="493" spans="1:77" ht="12.5" x14ac:dyDescent="0.25">
      <c r="A493" s="21" t="str">
        <f ca="1">IFERROR(__xludf.DUMMYFUNCTION("""COMPUTED_VALUE"""),"0014P00003YSp8iQAD")</f>
        <v>0014P00003YSp8iQAD</v>
      </c>
      <c r="B493" s="27" t="str">
        <f ca="1">IFERROR(__xludf.DUMMYFUNCTION("""COMPUTED_VALUE"""),"Fase Inicial")</f>
        <v>Fase Inicial</v>
      </c>
      <c r="C493" s="27" t="str">
        <f ca="1">IFERROR(__xludf.DUMMYFUNCTION("""COMPUTED_VALUE"""),"Fellow")</f>
        <v>Fellow</v>
      </c>
      <c r="D493" s="27" t="str">
        <f ca="1">IFERROR(__xludf.DUMMYFUNCTION("""COMPUTED_VALUE"""),"Ativo")</f>
        <v>Ativo</v>
      </c>
      <c r="E493" s="27" t="str">
        <f ca="1">IFERROR(__xludf.DUMMYFUNCTION("""COMPUTED_VALUE"""),"Organização de Desenvolvimento do Potencial Humano")</f>
        <v>Organização de Desenvolvimento do Potencial Humano</v>
      </c>
      <c r="F493" s="27" t="str">
        <f ca="1">IFERROR(__xludf.DUMMYFUNCTION("""COMPUTED_VALUE"""),"Kauanna")</f>
        <v>Kauanna</v>
      </c>
      <c r="G493" s="27"/>
      <c r="H493" s="27" t="str">
        <f ca="1">IFERROR(__xludf.DUMMYFUNCTION("""COMPUTED_VALUE"""),"13.814.000/0001-77")</f>
        <v>13.814.000/0001-77</v>
      </c>
      <c r="I493" s="27" t="str">
        <f ca="1">IFERROR(__xludf.DUMMYFUNCTION("""COMPUTED_VALUE"""),"José Antonio Ferreira")</f>
        <v>José Antonio Ferreira</v>
      </c>
      <c r="J493" s="27" t="str">
        <f ca="1">IFERROR(__xludf.DUMMYFUNCTION("""COMPUTED_VALUE"""),"administrativo@odph.org.br")</f>
        <v>administrativo@odph.org.br</v>
      </c>
      <c r="K493" s="27" t="str">
        <f ca="1">IFERROR(__xludf.DUMMYFUNCTION("""COMPUTED_VALUE"""),"(41)99793-4159")</f>
        <v>(41)99793-4159</v>
      </c>
      <c r="L493" s="27" t="str">
        <f ca="1">IFERROR(__xludf.DUMMYFUNCTION("""COMPUTED_VALUE"""),"PR")</f>
        <v>PR</v>
      </c>
      <c r="M493" s="27" t="str">
        <f ca="1">IFERROR(__xludf.DUMMYFUNCTION("""COMPUTED_VALUE"""),"Rua Manoel Martins de Abreu")</f>
        <v>Rua Manoel Martins de Abreu</v>
      </c>
      <c r="N493" s="27" t="str">
        <f ca="1">IFERROR(__xludf.DUMMYFUNCTION("""COMPUTED_VALUE"""),"Prado Velho - Vila Torres")</f>
        <v>Prado Velho - Vila Torres</v>
      </c>
      <c r="O493" s="27">
        <f ca="1">IFERROR(__xludf.DUMMYFUNCTION("""COMPUTED_VALUE"""),405)</f>
        <v>405</v>
      </c>
      <c r="P493" s="27" t="str">
        <f ca="1">IFERROR(__xludf.DUMMYFUNCTION("""COMPUTED_VALUE"""),"Curitiba")</f>
        <v>Curitiba</v>
      </c>
      <c r="Q493" s="27"/>
      <c r="R493" s="27" t="str">
        <f ca="1">IFERROR(__xludf.DUMMYFUNCTION("""COMPUTED_VALUE"""),"80215-430")</f>
        <v>80215-430</v>
      </c>
      <c r="S493" s="27"/>
      <c r="T493" s="27" t="str">
        <f ca="1">IFERROR(__xludf.DUMMYFUNCTION("""COMPUTED_VALUE"""),"Educação; Assistência Social; Cultura; Defesa de Direitos; Desenvolvimento comunitário")</f>
        <v>Educação; Assistência Social; Cultura; Defesa de Direitos; Desenvolvimento comunitário</v>
      </c>
      <c r="U493" s="27" t="str">
        <f ca="1">IFERROR(__xludf.DUMMYFUNCTION("""COMPUTED_VALUE"""),"Crianças (6 a 12 anos); Adolescentes (12 aos 18 anos)")</f>
        <v>Crianças (6 a 12 anos); Adolescentes (12 aos 18 anos)</v>
      </c>
      <c r="V493" s="27" t="str">
        <f ca="1">IFERROR(__xludf.DUMMYFUNCTION("""COMPUTED_VALUE"""),"Moradores de Favelas")</f>
        <v>Moradores de Favelas</v>
      </c>
      <c r="W493" s="27">
        <f ca="1">IFERROR(__xludf.DUMMYFUNCTION("""COMPUTED_VALUE"""),1)</f>
        <v>1</v>
      </c>
      <c r="X493" s="27" t="str">
        <f ca="1">IFERROR(__xludf.DUMMYFUNCTION("""COMPUTED_VALUE"""),"A comunidade Vila Torres assim como inúmeras outras regiões sofre com os graves problemas sociais como a violência a criminalidade evasão escolar o desemprego e a desigualdade prejudicando o crescimento econômico e social. Os moradores da região em sua gr"&amp;"ande maioria tem seu sustento por meio da reciclagem trabalhando em cooperativas de lixo e como coletores nas ruas (carrinheiros). E por falta de políticas públicas acessíveis e eficazes tem seus direitos violados diariamente pela falta de saneamento bási"&amp;"co saúde educação de qualidade e infraestrutura.")</f>
        <v>A comunidade Vila Torres assim como inúmeras outras regiões sofre com os graves problemas sociais como a violência a criminalidade evasão escolar o desemprego e a desigualdade prejudicando o crescimento econômico e social. Os moradores da região em sua grande maioria tem seu sustento por meio da reciclagem trabalhando em cooperativas de lixo e como coletores nas ruas (carrinheiros). E por falta de políticas públicas acessíveis e eficazes tem seus direitos violados diariamente pela falta de saneamento básico saúde educação de qualidade e infraestrutura.</v>
      </c>
      <c r="Y493" s="27"/>
      <c r="Z493" s="27">
        <f ca="1">IFERROR(__xludf.DUMMYFUNCTION("""COMPUTED_VALUE"""),130)</f>
        <v>130</v>
      </c>
      <c r="AA493" s="29">
        <f ca="1">IFERROR(__xludf.DUMMYFUNCTION("""COMPUTED_VALUE"""),39856)</f>
        <v>39856</v>
      </c>
      <c r="AB493" s="27" t="str">
        <f ca="1">IFERROR(__xludf.DUMMYFUNCTION("""COMPUTED_VALUE"""),"Sim")</f>
        <v>Sim</v>
      </c>
      <c r="AC493" s="27">
        <f ca="1">IFERROR(__xludf.DUMMYFUNCTION("""COMPUTED_VALUE"""),5)</f>
        <v>5</v>
      </c>
      <c r="AD493" s="27">
        <f ca="1">IFERROR(__xludf.DUMMYFUNCTION("""COMPUTED_VALUE"""),3)</f>
        <v>3</v>
      </c>
      <c r="AE493" s="27">
        <f ca="1">IFERROR(__xludf.DUMMYFUNCTION("""COMPUTED_VALUE"""),20)</f>
        <v>20</v>
      </c>
      <c r="AF493" s="27">
        <f ca="1">IFERROR(__xludf.DUMMYFUNCTION("""COMPUTED_VALUE"""),5)</f>
        <v>5</v>
      </c>
      <c r="AG493" s="27">
        <f ca="1">IFERROR(__xludf.DUMMYFUNCTION("""COMPUTED_VALUE"""),8)</f>
        <v>8</v>
      </c>
      <c r="AH493" s="27" t="str">
        <f ca="1">IFERROR(__xludf.DUMMYFUNCTION("""COMPUTED_VALUE"""),"Eventos/Ações para captação; Plataforma doação online - Pessoa Física; Parceria iniciativa privada; Doações")</f>
        <v>Eventos/Ações para captação; Plataforma doação online - Pessoa Física; Parceria iniciativa privada; Doações</v>
      </c>
      <c r="AI493" s="27" t="str">
        <f ca="1">IFERROR(__xludf.DUMMYFUNCTION("""COMPUTED_VALUE"""),"70% Pessoas físicas; 20% Pessoas Jurídicas, 10% outras fontes (variadas)")</f>
        <v>70% Pessoas físicas; 20% Pessoas Jurídicas, 10% outras fontes (variadas)</v>
      </c>
      <c r="AJ493" s="27"/>
      <c r="AK493" s="27"/>
      <c r="AL493" s="21" t="str">
        <f ca="1">IFERROR(__xludf.DUMMYFUNCTION("""COMPUTED_VALUE"""),"0034P000045kxjJ")</f>
        <v>0034P000045kxjJ</v>
      </c>
      <c r="AM493" s="27" t="str">
        <f ca="1">IFERROR(__xludf.DUMMYFUNCTION("""COMPUTED_VALUE"""),"Batista Ferreira Toppa")</f>
        <v>Batista Ferreira Toppa</v>
      </c>
      <c r="AN493" s="27" t="str">
        <f ca="1">IFERROR(__xludf.DUMMYFUNCTION("""COMPUTED_VALUE"""),"Ativo")</f>
        <v>Ativo</v>
      </c>
      <c r="AO493" s="30">
        <f ca="1">IFERROR(__xludf.DUMMYFUNCTION("""COMPUTED_VALUE"""),44551)</f>
        <v>44551</v>
      </c>
      <c r="AP493" s="27">
        <f ca="1">IFERROR(__xludf.DUMMYFUNCTION("""COMPUTED_VALUE"""),9)</f>
        <v>9</v>
      </c>
      <c r="AQ493" s="27" t="str">
        <f ca="1">IFERROR(__xludf.DUMMYFUNCTION("""COMPUTED_VALUE"""),"Segundo Semestre 2021")</f>
        <v>Segundo Semestre 2021</v>
      </c>
      <c r="AR493" s="27" t="str">
        <f ca="1">IFERROR(__xludf.DUMMYFUNCTION("""COMPUTED_VALUE"""),"kauanna@odph.org.br")</f>
        <v>kauanna@odph.org.br</v>
      </c>
      <c r="AS493" s="27" t="str">
        <f ca="1">IFERROR(__xludf.DUMMYFUNCTION("""COMPUTED_VALUE"""),"(41)99793-4159")</f>
        <v>(41)99793-4159</v>
      </c>
      <c r="AT493" s="29">
        <f ca="1">IFERROR(__xludf.DUMMYFUNCTION("""COMPUTED_VALUE"""),33462)</f>
        <v>33462</v>
      </c>
      <c r="AU493" s="27">
        <f ca="1">IFERROR(__xludf.DUMMYFUNCTION("""COMPUTED_VALUE"""),31)</f>
        <v>31</v>
      </c>
      <c r="AV493" s="27">
        <f ca="1">IFERROR(__xludf.DUMMYFUNCTION("""COMPUTED_VALUE"""),7294833982)</f>
        <v>7294833982</v>
      </c>
      <c r="AW493" s="27">
        <f ca="1">IFERROR(__xludf.DUMMYFUNCTION("""COMPUTED_VALUE"""),99387904)</f>
        <v>99387904</v>
      </c>
      <c r="AX493" s="27"/>
      <c r="AY493" s="27"/>
      <c r="AZ493" s="27" t="str">
        <f ca="1">IFERROR(__xludf.DUMMYFUNCTION("""COMPUTED_VALUE"""),"P")</f>
        <v>P</v>
      </c>
      <c r="BA493" s="27" t="str">
        <f ca="1">IFERROR(__xludf.DUMMYFUNCTION("""COMPUTED_VALUE"""),"Branca")</f>
        <v>Branca</v>
      </c>
      <c r="BB493" s="27" t="str">
        <f ca="1">IFERROR(__xludf.DUMMYFUNCTION("""COMPUTED_VALUE"""),"Mulher, cisgênero")</f>
        <v>Mulher, cisgênero</v>
      </c>
      <c r="BC493" s="27" t="str">
        <f ca="1">IFERROR(__xludf.DUMMYFUNCTION("""COMPUTED_VALUE"""),"Sim")</f>
        <v>Sim</v>
      </c>
      <c r="BD493" s="27" t="str">
        <f ca="1">IFERROR(__xludf.DUMMYFUNCTION("""COMPUTED_VALUE"""),"Kauanna, 30 anos, formada em Jornalismo e com pós em Políticas Públicas e Direitos Socais. Aos 16 anos fundei Organização de Desenvolvimento do Potencial Humano, na comunidade Vila Torres em Curitiba – PR. Instituição social que tem como propósito promove"&amp;"r o desenvolvimento humano por meio da educação para pessoas em situação de vulnerabilidade e exclusão social.  Busco compartilhar a importância da Educação para a transformação social em nossa sociedade, promovendo a equidade e igualdade.")</f>
        <v>Kauanna, 30 anos, formada em Jornalismo e com pós em Políticas Públicas e Direitos Socais. Aos 16 anos fundei Organização de Desenvolvimento do Potencial Humano, na comunidade Vila Torres em Curitiba – PR. Instituição social que tem como propósito promover o desenvolvimento humano por meio da educação para pessoas em situação de vulnerabilidade e exclusão social.  Busco compartilhar a importância da Educação para a transformação social em nossa sociedade, promovendo a equidade e igualdade.</v>
      </c>
      <c r="BE493" s="27"/>
      <c r="BF493" s="27" t="str">
        <f ca="1">IFERROR(__xludf.DUMMYFUNCTION("""COMPUTED_VALUE"""),"Heterossexual")</f>
        <v>Heterossexual</v>
      </c>
      <c r="BG493" s="27" t="str">
        <f ca="1">IFERROR(__xludf.DUMMYFUNCTION("""COMPUTED_VALUE"""),"Ensino Superior - Completo")</f>
        <v>Ensino Superior - Completo</v>
      </c>
      <c r="BH493" s="27" t="str">
        <f ca="1">IFERROR(__xludf.DUMMYFUNCTION("""COMPUTED_VALUE"""),"Público")</f>
        <v>Público</v>
      </c>
      <c r="BI493" s="27" t="str">
        <f ca="1">IFERROR(__xludf.DUMMYFUNCTION("""COMPUTED_VALUE"""),"Pós-Graduação")</f>
        <v>Pós-Graduação</v>
      </c>
      <c r="BJ493" s="27" t="str">
        <f ca="1">IFERROR(__xludf.DUMMYFUNCTION("""COMPUTED_VALUE"""),"Privado")</f>
        <v>Privado</v>
      </c>
      <c r="BK493" s="27" t="str">
        <f ca="1">IFERROR(__xludf.DUMMYFUNCTION("""COMPUTED_VALUE"""),"Rua Luiz Tramontin")</f>
        <v>Rua Luiz Tramontin</v>
      </c>
      <c r="BL493" s="27">
        <f ca="1">IFERROR(__xludf.DUMMYFUNCTION("""COMPUTED_VALUE"""),1977)</f>
        <v>1977</v>
      </c>
      <c r="BM493" s="27" t="str">
        <f ca="1">IFERROR(__xludf.DUMMYFUNCTION("""COMPUTED_VALUE"""),"AP 34 UN 01")</f>
        <v>AP 34 UN 01</v>
      </c>
      <c r="BN493" s="27" t="str">
        <f ca="1">IFERROR(__xludf.DUMMYFUNCTION("""COMPUTED_VALUE"""),"Curitiba")</f>
        <v>Curitiba</v>
      </c>
      <c r="BO493" s="27" t="str">
        <f ca="1">IFERROR(__xludf.DUMMYFUNCTION("""COMPUTED_VALUE"""),"81230-161")</f>
        <v>81230-161</v>
      </c>
      <c r="BP493" s="27" t="str">
        <f ca="1">IFERROR(__xludf.DUMMYFUNCTION("""COMPUTED_VALUE"""),"PR")</f>
        <v>PR</v>
      </c>
      <c r="BQ493" s="27" t="str">
        <f ca="1">IFERROR(__xludf.DUMMYFUNCTION("""COMPUTED_VALUE"""),"De 3 até 5 salários mínimos")</f>
        <v>De 3 até 5 salários mínimos</v>
      </c>
      <c r="BR493" s="27" t="str">
        <f ca="1">IFERROR(__xludf.DUMMYFUNCTION("""COMPUTED_VALUE"""),"CLT")</f>
        <v>CLT</v>
      </c>
      <c r="BS493" s="27" t="str">
        <f ca="1">IFERROR(__xludf.DUMMYFUNCTION("""COMPUTED_VALUE"""),"Casa própria")</f>
        <v>Casa própria</v>
      </c>
      <c r="BT493" s="27">
        <f ca="1">IFERROR(__xludf.DUMMYFUNCTION("""COMPUTED_VALUE"""),1)</f>
        <v>1</v>
      </c>
      <c r="BU493" s="27" t="str">
        <f ca="1">IFERROR(__xludf.DUMMYFUNCTION("""COMPUTED_VALUE"""),"Não tem")</f>
        <v>Não tem</v>
      </c>
      <c r="BV493" s="27"/>
      <c r="BW493" s="21" t="str">
        <f ca="1">IFERROR(__xludf.DUMMYFUNCTION("""COMPUTED_VALUE"""),"https://www.linkedin.com/in/kauannatoppa/")</f>
        <v>https://www.linkedin.com/in/kauannatoppa/</v>
      </c>
      <c r="BX493" s="21" t="str">
        <f ca="1">IFERROR(__xludf.DUMMYFUNCTION("""COMPUTED_VALUE"""),"https://instagram.com/kauannatoppa?utm_medium=copy_link")</f>
        <v>https://instagram.com/kauannatoppa?utm_medium=copy_link</v>
      </c>
      <c r="BY493" s="21" t="str">
        <f ca="1">IFERROR(__xludf.DUMMYFUNCTION("""COMPUTED_VALUE"""),"https://drive.google.com/open?id=1CxRMOUQnqZx3X_S3u08gR9_a5CBPTNHw")</f>
        <v>https://drive.google.com/open?id=1CxRMOUQnqZx3X_S3u08gR9_a5CBPTNHw</v>
      </c>
    </row>
    <row r="494" spans="1:77" ht="12.5" x14ac:dyDescent="0.25">
      <c r="A494" s="21" t="str">
        <f ca="1">IFERROR(__xludf.DUMMYFUNCTION("""COMPUTED_VALUE"""),"0014P00003SGWQ3QAP")</f>
        <v>0014P00003SGWQ3QAP</v>
      </c>
      <c r="B494" s="27" t="str">
        <f ca="1">IFERROR(__xludf.DUMMYFUNCTION("""COMPUTED_VALUE"""),"Fase Inicial")</f>
        <v>Fase Inicial</v>
      </c>
      <c r="C494" s="27" t="str">
        <f ca="1">IFERROR(__xludf.DUMMYFUNCTION("""COMPUTED_VALUE"""),"Fellow")</f>
        <v>Fellow</v>
      </c>
      <c r="D494" s="27" t="str">
        <f ca="1">IFERROR(__xludf.DUMMYFUNCTION("""COMPUTED_VALUE"""),"Ativo")</f>
        <v>Ativo</v>
      </c>
      <c r="E494" s="27" t="str">
        <f ca="1">IFERROR(__xludf.DUMMYFUNCTION("""COMPUTED_VALUE"""),"ORGANIZAÇÃO LIBERTARIOS DO CAPÃO REDONDO")</f>
        <v>ORGANIZAÇÃO LIBERTARIOS DO CAPÃO REDONDO</v>
      </c>
      <c r="F494" s="27" t="str">
        <f ca="1">IFERROR(__xludf.DUMMYFUNCTION("""COMPUTED_VALUE"""),"Rafael")</f>
        <v>Rafael</v>
      </c>
      <c r="G494" s="27" t="str">
        <f ca="1">IFERROR(__xludf.DUMMYFUNCTION("""COMPUTED_VALUE"""),"LIBERTARIOS")</f>
        <v>LIBERTARIOS</v>
      </c>
      <c r="H494" s="27" t="str">
        <f ca="1">IFERROR(__xludf.DUMMYFUNCTION("""COMPUTED_VALUE"""),"04.255.458/0001-42")</f>
        <v>04.255.458/0001-42</v>
      </c>
      <c r="I494" s="27" t="str">
        <f ca="1">IFERROR(__xludf.DUMMYFUNCTION("""COMPUTED_VALUE"""),"Edisoneide Fortunato Gomes Pereira")</f>
        <v>Edisoneide Fortunato Gomes Pereira</v>
      </c>
      <c r="J494" s="27" t="str">
        <f ca="1">IFERROR(__xludf.DUMMYFUNCTION("""COMPUTED_VALUE"""),"contato@libertariosdocapao.org.br")</f>
        <v>contato@libertariosdocapao.org.br</v>
      </c>
      <c r="K494" s="27" t="str">
        <f ca="1">IFERROR(__xludf.DUMMYFUNCTION("""COMPUTED_VALUE"""),"55 (11)97711-9607")</f>
        <v>55 (11)97711-9607</v>
      </c>
      <c r="L494" s="27" t="str">
        <f ca="1">IFERROR(__xludf.DUMMYFUNCTION("""COMPUTED_VALUE"""),"SP")</f>
        <v>SP</v>
      </c>
      <c r="M494" s="27" t="str">
        <f ca="1">IFERROR(__xludf.DUMMYFUNCTION("""COMPUTED_VALUE"""),"Rua Alcaide")</f>
        <v>Rua Alcaide</v>
      </c>
      <c r="N494" s="27" t="str">
        <f ca="1">IFERROR(__xludf.DUMMYFUNCTION("""COMPUTED_VALUE"""),"JD. SÃO BENTO NOVO")</f>
        <v>JD. SÃO BENTO NOVO</v>
      </c>
      <c r="O494" s="27" t="str">
        <f ca="1">IFERROR(__xludf.DUMMYFUNCTION("""COMPUTED_VALUE"""),"(11)97711-9607")</f>
        <v>(11)97711-9607</v>
      </c>
      <c r="P494" s="27" t="str">
        <f ca="1">IFERROR(__xludf.DUMMYFUNCTION("""COMPUTED_VALUE"""),"São Paulo")</f>
        <v>São Paulo</v>
      </c>
      <c r="Q494" s="27"/>
      <c r="R494" s="27" t="str">
        <f ca="1">IFERROR(__xludf.DUMMYFUNCTION("""COMPUTED_VALUE"""),"05882-330")</f>
        <v>05882-330</v>
      </c>
      <c r="S494" s="27"/>
      <c r="T494" s="27" t="str">
        <f ca="1">IFERROR(__xludf.DUMMYFUNCTION("""COMPUTED_VALUE"""),"Educação; Assistência Social; Cultura; Qualificação Profissional")</f>
        <v>Educação; Assistência Social; Cultura; Qualificação Profissional</v>
      </c>
      <c r="U494" s="27" t="str">
        <f ca="1">IFERROR(__xludf.DUMMYFUNCTION("""COMPUTED_VALUE"""),"Bebês (0 a 1 ano e 6 meses); Crianças bem pequenas (1 ano e 7 meses até 3 anos e 11 meses); Adolescentes (12 aos 18 anos); Jovens (18 aos 24 anos); Adultos; Idosos (60 anos ou mais)")</f>
        <v>Bebês (0 a 1 ano e 6 meses); Crianças bem pequenas (1 ano e 7 meses até 3 anos e 11 meses); Adolescentes (12 aos 18 anos); Jovens (18 aos 24 anos); Adultos; Idosos (60 anos ou mais)</v>
      </c>
      <c r="V494" s="27" t="str">
        <f ca="1">IFERROR(__xludf.DUMMYFUNCTION("""COMPUTED_VALUE"""),"Moradores de Favelas; Afrodescendentes; Dependentes Químicos; Egressos sistema carcerário")</f>
        <v>Moradores de Favelas; Afrodescendentes; Dependentes Químicos; Egressos sistema carcerário</v>
      </c>
      <c r="W494" s="27">
        <f ca="1">IFERROR(__xludf.DUMMYFUNCTION("""COMPUTED_VALUE"""),3)</f>
        <v>3</v>
      </c>
      <c r="X494" s="27"/>
      <c r="Y494" s="27">
        <f ca="1">IFERROR(__xludf.DUMMYFUNCTION("""COMPUTED_VALUE"""),1400)</f>
        <v>1400</v>
      </c>
      <c r="Z494" s="27">
        <f ca="1">IFERROR(__xludf.DUMMYFUNCTION("""COMPUTED_VALUE"""),3000)</f>
        <v>3000</v>
      </c>
      <c r="AA494" s="29">
        <f ca="1">IFERROR(__xludf.DUMMYFUNCTION("""COMPUTED_VALUE"""),36568)</f>
        <v>36568</v>
      </c>
      <c r="AB494" s="27" t="str">
        <f ca="1">IFERROR(__xludf.DUMMYFUNCTION("""COMPUTED_VALUE"""),"Sim")</f>
        <v>Sim</v>
      </c>
      <c r="AC494" s="27">
        <f ca="1">IFERROR(__xludf.DUMMYFUNCTION("""COMPUTED_VALUE"""),34)</f>
        <v>34</v>
      </c>
      <c r="AD494" s="27">
        <f ca="1">IFERROR(__xludf.DUMMYFUNCTION("""COMPUTED_VALUE"""),29)</f>
        <v>29</v>
      </c>
      <c r="AE494" s="27">
        <f ca="1">IFERROR(__xludf.DUMMYFUNCTION("""COMPUTED_VALUE"""),5)</f>
        <v>5</v>
      </c>
      <c r="AF494" s="27">
        <f ca="1">IFERROR(__xludf.DUMMYFUNCTION("""COMPUTED_VALUE"""),4)</f>
        <v>4</v>
      </c>
      <c r="AG494" s="27">
        <f ca="1">IFERROR(__xludf.DUMMYFUNCTION("""COMPUTED_VALUE"""),4)</f>
        <v>4</v>
      </c>
      <c r="AH494" s="27" t="str">
        <f ca="1">IFERROR(__xludf.DUMMYFUNCTION("""COMPUTED_VALUE"""),"Negócio Social; Convênio Público; Eventos/Ações para captação; Plataforma doação online - Pessoa Física")</f>
        <v>Negócio Social; Convênio Público; Eventos/Ações para captação; Plataforma doação online - Pessoa Física</v>
      </c>
      <c r="AI494" s="27" t="str">
        <f ca="1">IFERROR(__xludf.DUMMYFUNCTION("""COMPUTED_VALUE"""),"40% convênio público, 30% negócio social, 15% plataforma de doação")</f>
        <v>40% convênio público, 30% negócio social, 15% plataforma de doação</v>
      </c>
      <c r="AJ494" s="27" t="str">
        <f ca="1">IFERROR(__xludf.DUMMYFUNCTION("""COMPUTED_VALUE"""),"Não")</f>
        <v>Não</v>
      </c>
      <c r="AK494" s="27" t="str">
        <f ca="1">IFERROR(__xludf.DUMMYFUNCTION("""COMPUTED_VALUE"""),"Não")</f>
        <v>Não</v>
      </c>
      <c r="AL494" s="21" t="str">
        <f ca="1">IFERROR(__xludf.DUMMYFUNCTION("""COMPUTED_VALUE"""),"0034P000043fPDo")</f>
        <v>0034P000043fPDo</v>
      </c>
      <c r="AM494" s="27" t="str">
        <f ca="1">IFERROR(__xludf.DUMMYFUNCTION("""COMPUTED_VALUE"""),"Gomes Pereira")</f>
        <v>Gomes Pereira</v>
      </c>
      <c r="AN494" s="27" t="str">
        <f ca="1">IFERROR(__xludf.DUMMYFUNCTION("""COMPUTED_VALUE"""),"Ativo")</f>
        <v>Ativo</v>
      </c>
      <c r="AO494" s="29">
        <f ca="1">IFERROR(__xludf.DUMMYFUNCTION("""COMPUTED_VALUE"""),44432)</f>
        <v>44432</v>
      </c>
      <c r="AP494" s="27">
        <f ca="1">IFERROR(__xludf.DUMMYFUNCTION("""COMPUTED_VALUE"""),13)</f>
        <v>13</v>
      </c>
      <c r="AQ494" s="27" t="str">
        <f ca="1">IFERROR(__xludf.DUMMYFUNCTION("""COMPUTED_VALUE"""),"Primeiro Semestre 2021")</f>
        <v>Primeiro Semestre 2021</v>
      </c>
      <c r="AR494" s="27" t="str">
        <f ca="1">IFERROR(__xludf.DUMMYFUNCTION("""COMPUTED_VALUE"""),"rafael@libertariosdocapao.org.br")</f>
        <v>rafael@libertariosdocapao.org.br</v>
      </c>
      <c r="AS494" s="27" t="str">
        <f ca="1">IFERROR(__xludf.DUMMYFUNCTION("""COMPUTED_VALUE"""),"(11)97711-9607")</f>
        <v>(11)97711-9607</v>
      </c>
      <c r="AT494" s="30">
        <f ca="1">IFERROR(__xludf.DUMMYFUNCTION("""COMPUTED_VALUE"""),29171)</f>
        <v>29171</v>
      </c>
      <c r="AU494" s="27">
        <f ca="1">IFERROR(__xludf.DUMMYFUNCTION("""COMPUTED_VALUE"""),43)</f>
        <v>43</v>
      </c>
      <c r="AV494" s="27">
        <f ca="1">IFERROR(__xludf.DUMMYFUNCTION("""COMPUTED_VALUE"""),29000712831)</f>
        <v>29000712831</v>
      </c>
      <c r="AW494" s="27">
        <f ca="1">IFERROR(__xludf.DUMMYFUNCTION("""COMPUTED_VALUE"""),367279198)</f>
        <v>367279198</v>
      </c>
      <c r="AX494" s="27"/>
      <c r="AY494" s="27"/>
      <c r="AZ494" s="27" t="str">
        <f ca="1">IFERROR(__xludf.DUMMYFUNCTION("""COMPUTED_VALUE"""),"GG")</f>
        <v>GG</v>
      </c>
      <c r="BA494" s="27" t="str">
        <f ca="1">IFERROR(__xludf.DUMMYFUNCTION("""COMPUTED_VALUE"""),"Parda")</f>
        <v>Parda</v>
      </c>
      <c r="BB494" s="27"/>
      <c r="BC494" s="27" t="str">
        <f ca="1">IFERROR(__xludf.DUMMYFUNCTION("""COMPUTED_VALUE"""),"Sim")</f>
        <v>Sim</v>
      </c>
      <c r="BD494" s="27" t="str">
        <f ca="1">IFERROR(__xludf.DUMMYFUNCTION("""COMPUTED_VALUE"""),"Ele se chama Rafael. Nasceu em 1979 no hospital público Piratininga, no Capão Redondo, São Paulo. Morou quatro anos na Bahia e, ao voltar para o bairro de origem com 15 anos de idade, o lugar mais distante para onde viajou foi Santos, litoral paulista. Tr"&amp;"abalha como vigia, é casado e tem dois filhos.
Na década de 1990, Rafael e alguns amigos montaram o grupo de rap Libertários. 
E logo em seguida montaram a Organização Libertarios do Capão Redondo.")</f>
        <v>Ele se chama Rafael. Nasceu em 1979 no hospital público Piratininga, no Capão Redondo, São Paulo. Morou quatro anos na Bahia e, ao voltar para o bairro de origem com 15 anos de idade, o lugar mais distante para onde viajou foi Santos, litoral paulista. Trabalha como vigia, é casado e tem dois filhos.
Na década de 1990, Rafael e alguns amigos montaram o grupo de rap Libertários. 
E logo em seguida montaram a Organização Libertarios do Capão Redondo.</v>
      </c>
      <c r="BE494" s="27" t="str">
        <f ca="1">IFERROR(__xludf.DUMMYFUNCTION("""COMPUTED_VALUE"""),"Feminino")</f>
        <v>Feminino</v>
      </c>
      <c r="BF494" s="27" t="str">
        <f ca="1">IFERROR(__xludf.DUMMYFUNCTION("""COMPUTED_VALUE"""),"Heterossexual")</f>
        <v>Heterossexual</v>
      </c>
      <c r="BG494" s="27" t="str">
        <f ca="1">IFERROR(__xludf.DUMMYFUNCTION("""COMPUTED_VALUE"""),"Ensino Médio - Completo")</f>
        <v>Ensino Médio - Completo</v>
      </c>
      <c r="BH494" s="27"/>
      <c r="BI494" s="27"/>
      <c r="BJ494" s="27"/>
      <c r="BK494" s="27" t="str">
        <f ca="1">IFERROR(__xludf.DUMMYFUNCTION("""COMPUTED_VALUE"""),"Aviadora Anésia Pinheiro Machado")</f>
        <v>Aviadora Anésia Pinheiro Machado</v>
      </c>
      <c r="BL494" s="27">
        <f ca="1">IFERROR(__xludf.DUMMYFUNCTION("""COMPUTED_VALUE"""),45)</f>
        <v>45</v>
      </c>
      <c r="BM494" s="27" t="str">
        <f ca="1">IFERROR(__xludf.DUMMYFUNCTION("""COMPUTED_VALUE"""),"AP 207 Bloco A")</f>
        <v>AP 207 Bloco A</v>
      </c>
      <c r="BN494" s="27" t="str">
        <f ca="1">IFERROR(__xludf.DUMMYFUNCTION("""COMPUTED_VALUE"""),"São Paulo")</f>
        <v>São Paulo</v>
      </c>
      <c r="BO494" s="27" t="str">
        <f ca="1">IFERROR(__xludf.DUMMYFUNCTION("""COMPUTED_VALUE"""),"05886-610")</f>
        <v>05886-610</v>
      </c>
      <c r="BP494" s="27" t="str">
        <f ca="1">IFERROR(__xludf.DUMMYFUNCTION("""COMPUTED_VALUE"""),"SP")</f>
        <v>SP</v>
      </c>
      <c r="BQ494" s="27" t="str">
        <f ca="1">IFERROR(__xludf.DUMMYFUNCTION("""COMPUTED_VALUE"""),"Entre 1 até 3 salários mínimos")</f>
        <v>Entre 1 até 3 salários mínimos</v>
      </c>
      <c r="BR494" s="27" t="str">
        <f ca="1">IFERROR(__xludf.DUMMYFUNCTION("""COMPUTED_VALUE"""),"Desempregado")</f>
        <v>Desempregado</v>
      </c>
      <c r="BS494" s="27" t="str">
        <f ca="1">IFERROR(__xludf.DUMMYFUNCTION("""COMPUTED_VALUE"""),"Aluguel")</f>
        <v>Aluguel</v>
      </c>
      <c r="BT494" s="27">
        <f ca="1">IFERROR(__xludf.DUMMYFUNCTION("""COMPUTED_VALUE"""),4)</f>
        <v>4</v>
      </c>
      <c r="BU494" s="27"/>
      <c r="BV494" s="27"/>
      <c r="BW494" s="21" t="str">
        <f ca="1">IFERROR(__xludf.DUMMYFUNCTION("""COMPUTED_VALUE"""),"https://www.linkedin.com/in/ong-libertarios-do-cap%C3%A3o-redondo-0a58b157")</f>
        <v>https://www.linkedin.com/in/ong-libertarios-do-cap%C3%A3o-redondo-0a58b157</v>
      </c>
      <c r="BX494" s="21" t="str">
        <f ca="1">IFERROR(__xludf.DUMMYFUNCTION("""COMPUTED_VALUE"""),"https://www.instagram.com/invites/contact/?i=g7usp6zbyvhn&amp;utm_content=z7gkh3")</f>
        <v>https://www.instagram.com/invites/contact/?i=g7usp6zbyvhn&amp;utm_content=z7gkh3</v>
      </c>
      <c r="BY494" s="21" t="str">
        <f ca="1">IFERROR(__xludf.DUMMYFUNCTION("""COMPUTED_VALUE"""),"https://drive.google.com/open?id=1KorlG8qX409Y2t7dYvW9r34Z4AD0Roxp")</f>
        <v>https://drive.google.com/open?id=1KorlG8qX409Y2t7dYvW9r34Z4AD0Roxp</v>
      </c>
    </row>
    <row r="495" spans="1:77" ht="12.5" x14ac:dyDescent="0.25">
      <c r="A495" s="21" t="str">
        <f ca="1">IFERROR(__xludf.DUMMYFUNCTION("""COMPUTED_VALUE"""),"0014P00003AN2FoQAL")</f>
        <v>0014P00003AN2FoQAL</v>
      </c>
      <c r="B495" s="27" t="str">
        <f ca="1">IFERROR(__xludf.DUMMYFUNCTION("""COMPUTED_VALUE"""),"Fase Inicial")</f>
        <v>Fase Inicial</v>
      </c>
      <c r="C495" s="27" t="str">
        <f ca="1">IFERROR(__xludf.DUMMYFUNCTION("""COMPUTED_VALUE"""),"Fellow")</f>
        <v>Fellow</v>
      </c>
      <c r="D495" s="27" t="str">
        <f ca="1">IFERROR(__xludf.DUMMYFUNCTION("""COMPUTED_VALUE"""),"Ativo")</f>
        <v>Ativo</v>
      </c>
      <c r="E495" s="27" t="str">
        <f ca="1">IFERROR(__xludf.DUMMYFUNCTION("""COMPUTED_VALUE"""),"Organização Novos Herdeiros Humanísticos")</f>
        <v>Organização Novos Herdeiros Humanísticos</v>
      </c>
      <c r="F495" s="27" t="str">
        <f ca="1">IFERROR(__xludf.DUMMYFUNCTION("""COMPUTED_VALUE"""),"Marcelo")</f>
        <v>Marcelo</v>
      </c>
      <c r="G495" s="27" t="str">
        <f ca="1">IFERROR(__xludf.DUMMYFUNCTION("""COMPUTED_VALUE"""),"NOVOS HERDEIROS HUMANÍSTICOS")</f>
        <v>NOVOS HERDEIROS HUMANÍSTICOS</v>
      </c>
      <c r="H495" s="27" t="str">
        <f ca="1">IFERROR(__xludf.DUMMYFUNCTION("""COMPUTED_VALUE"""),"05.809.335/0001-79")</f>
        <v>05.809.335/0001-79</v>
      </c>
      <c r="I495" s="27"/>
      <c r="J495" s="27" t="str">
        <f ca="1">IFERROR(__xludf.DUMMYFUNCTION("""COMPUTED_VALUE"""),"marcelo@novosherdeiros.com.br")</f>
        <v>marcelo@novosherdeiros.com.br</v>
      </c>
      <c r="K495" s="27" t="str">
        <f ca="1">IFERROR(__xludf.DUMMYFUNCTION("""COMPUTED_VALUE"""),"(11)97495-8498")</f>
        <v>(11)97495-8498</v>
      </c>
      <c r="L495" s="27" t="str">
        <f ca="1">IFERROR(__xludf.DUMMYFUNCTION("""COMPUTED_VALUE"""),"SP")</f>
        <v>SP</v>
      </c>
      <c r="M495" s="27" t="str">
        <f ca="1">IFERROR(__xludf.DUMMYFUNCTION("""COMPUTED_VALUE"""),"MARIO GRAZINI")</f>
        <v>MARIO GRAZINI</v>
      </c>
      <c r="N495" s="27"/>
      <c r="O495" s="27" t="str">
        <f ca="1">IFERROR(__xludf.DUMMYFUNCTION("""COMPUTED_VALUE"""),"(11)97495-8498")</f>
        <v>(11)97495-8498</v>
      </c>
      <c r="P495" s="27" t="str">
        <f ca="1">IFERROR(__xludf.DUMMYFUNCTION("""COMPUTED_VALUE"""),"São Paulo")</f>
        <v>São Paulo</v>
      </c>
      <c r="Q495" s="27">
        <f ca="1">IFERROR(__xludf.DUMMYFUNCTION("""COMPUTED_VALUE"""),100)</f>
        <v>100</v>
      </c>
      <c r="R495" s="27" t="str">
        <f ca="1">IFERROR(__xludf.DUMMYFUNCTION("""COMPUTED_VALUE"""),"04153-150")</f>
        <v>04153-150</v>
      </c>
      <c r="S495" s="27" t="str">
        <f ca="1">IFERROR(__xludf.DUMMYFUNCTION("""COMPUTED_VALUE"""),"Praça Largo da Santa Angela - Vila Moraes - Sao Paulo SP
Praça Ceslestino Vidal - Rua Celestino Vidal s/n - Jardim Climax - São Paulo SP")</f>
        <v>Praça Largo da Santa Angela - Vila Moraes - Sao Paulo SP
Praça Ceslestino Vidal - Rua Celestino Vidal s/n - Jardim Climax - São Paulo SP</v>
      </c>
      <c r="T495" s="27" t="str">
        <f ca="1">IFERROR(__xludf.DUMMYFUNCTION("""COMPUTED_VALUE"""),"Esporte; Educação; Cultura")</f>
        <v>Esporte; Educação; Cultura</v>
      </c>
      <c r="U495" s="27" t="str">
        <f ca="1">IFERROR(__xludf.DUMMYFUNCTION("""COMPUTED_VALUE"""),"Crianças (6 a 12 anos); Adolescentes (12 aos 18 anos); Jovens (18 aos 24 anos); Adultos; Idosos (60 anos ou mais)")</f>
        <v>Crianças (6 a 12 anos); Adolescentes (12 aos 18 anos); Jovens (18 aos 24 anos); Adultos; Idosos (60 anos ou mais)</v>
      </c>
      <c r="V495" s="27" t="str">
        <f ca="1">IFERROR(__xludf.DUMMYFUNCTION("""COMPUTED_VALUE"""),"Moradores de Favelas")</f>
        <v>Moradores de Favelas</v>
      </c>
      <c r="W495" s="27">
        <f ca="1">IFERROR(__xludf.DUMMYFUNCTION("""COMPUTED_VALUE"""),5)</f>
        <v>5</v>
      </c>
      <c r="X495" s="27" t="str">
        <f ca="1">IFERROR(__xludf.DUMMYFUNCTION("""COMPUTED_VALUE"""),"Na comunidade da Agua Funda temos um grande numero de familias vulneráveis mas não temos casas de madeira são Conjunto de Becos e Casas ( Cinga Pura )")</f>
        <v>Na comunidade da Agua Funda temos um grande numero de familias vulneráveis mas não temos casas de madeira são Conjunto de Becos e Casas ( Cinga Pura )</v>
      </c>
      <c r="Y495" s="27"/>
      <c r="Z495" s="27"/>
      <c r="AA495" s="30">
        <f ca="1">IFERROR(__xludf.DUMMYFUNCTION("""COMPUTED_VALUE"""),37207)</f>
        <v>37207</v>
      </c>
      <c r="AB495" s="27" t="str">
        <f ca="1">IFERROR(__xludf.DUMMYFUNCTION("""COMPUTED_VALUE"""),"Sim")</f>
        <v>Sim</v>
      </c>
      <c r="AC495" s="27">
        <f ca="1">IFERROR(__xludf.DUMMYFUNCTION("""COMPUTED_VALUE"""),5)</f>
        <v>5</v>
      </c>
      <c r="AD495" s="27">
        <f ca="1">IFERROR(__xludf.DUMMYFUNCTION("""COMPUTED_VALUE"""),0)</f>
        <v>0</v>
      </c>
      <c r="AE495" s="27">
        <f ca="1">IFERROR(__xludf.DUMMYFUNCTION("""COMPUTED_VALUE"""),12)</f>
        <v>12</v>
      </c>
      <c r="AF495" s="27">
        <f ca="1">IFERROR(__xludf.DUMMYFUNCTION("""COMPUTED_VALUE"""),16)</f>
        <v>16</v>
      </c>
      <c r="AG495" s="27">
        <f ca="1">IFERROR(__xludf.DUMMYFUNCTION("""COMPUTED_VALUE"""),2)</f>
        <v>2</v>
      </c>
      <c r="AH495" s="27" t="str">
        <f ca="1">IFERROR(__xludf.DUMMYFUNCTION("""COMPUTED_VALUE"""),"Eventos/Ações para captação; Doações")</f>
        <v>Eventos/Ações para captação; Doações</v>
      </c>
      <c r="AI495" s="27" t="str">
        <f ca="1">IFERROR(__xludf.DUMMYFUNCTION("""COMPUTED_VALUE"""),"Doação Online 20%  - Doação de voluntários e parceiros 70%  - Eventos 10%")</f>
        <v>Doação Online 20%  - Doação de voluntários e parceiros 70%  - Eventos 10%</v>
      </c>
      <c r="AJ495" s="27" t="str">
        <f ca="1">IFERROR(__xludf.DUMMYFUNCTION("""COMPUTED_VALUE"""),"Sim")</f>
        <v>Sim</v>
      </c>
      <c r="AK495" s="27" t="str">
        <f ca="1">IFERROR(__xludf.DUMMYFUNCTION("""COMPUTED_VALUE"""),"Não")</f>
        <v>Não</v>
      </c>
      <c r="AL495" s="21" t="str">
        <f ca="1">IFERROR(__xludf.DUMMYFUNCTION("""COMPUTED_VALUE"""),"0034P00003maBVF")</f>
        <v>0034P00003maBVF</v>
      </c>
      <c r="AM495" s="27" t="str">
        <f ca="1">IFERROR(__xludf.DUMMYFUNCTION("""COMPUTED_VALUE"""),"Dias")</f>
        <v>Dias</v>
      </c>
      <c r="AN495" s="27" t="str">
        <f ca="1">IFERROR(__xludf.DUMMYFUNCTION("""COMPUTED_VALUE"""),"Ativo")</f>
        <v>Ativo</v>
      </c>
      <c r="AO495" s="29">
        <f ca="1">IFERROR(__xludf.DUMMYFUNCTION("""COMPUTED_VALUE"""),44441)</f>
        <v>44441</v>
      </c>
      <c r="AP495" s="27">
        <f ca="1">IFERROR(__xludf.DUMMYFUNCTION("""COMPUTED_VALUE"""),12)</f>
        <v>12</v>
      </c>
      <c r="AQ495" s="27" t="str">
        <f ca="1">IFERROR(__xludf.DUMMYFUNCTION("""COMPUTED_VALUE"""),"Segundo Semestre 2020")</f>
        <v>Segundo Semestre 2020</v>
      </c>
      <c r="AR495" s="27" t="str">
        <f ca="1">IFERROR(__xludf.DUMMYFUNCTION("""COMPUTED_VALUE"""),"marcelodiasdaong@gmail.com")</f>
        <v>marcelodiasdaong@gmail.com</v>
      </c>
      <c r="AS495" s="27" t="str">
        <f ca="1">IFERROR(__xludf.DUMMYFUNCTION("""COMPUTED_VALUE"""),"(11)97495-8498")</f>
        <v>(11)97495-8498</v>
      </c>
      <c r="AT495" s="29">
        <f ca="1">IFERROR(__xludf.DUMMYFUNCTION("""COMPUTED_VALUE"""),28885)</f>
        <v>28885</v>
      </c>
      <c r="AU495" s="27">
        <f ca="1">IFERROR(__xludf.DUMMYFUNCTION("""COMPUTED_VALUE"""),43)</f>
        <v>43</v>
      </c>
      <c r="AV495" s="27">
        <f ca="1">IFERROR(__xludf.DUMMYFUNCTION("""COMPUTED_VALUE"""),28358592841)</f>
        <v>28358592841</v>
      </c>
      <c r="AW495" s="27">
        <f ca="1">IFERROR(__xludf.DUMMYFUNCTION("""COMPUTED_VALUE"""),275487970)</f>
        <v>275487970</v>
      </c>
      <c r="AX495" s="27" t="str">
        <f ca="1">IFERROR(__xludf.DUMMYFUNCTION("""COMPUTED_VALUE"""),"Gestão Publica")</f>
        <v>Gestão Publica</v>
      </c>
      <c r="AY495" s="27"/>
      <c r="AZ495" s="27" t="str">
        <f ca="1">IFERROR(__xludf.DUMMYFUNCTION("""COMPUTED_VALUE"""),"G")</f>
        <v>G</v>
      </c>
      <c r="BA495" s="27"/>
      <c r="BB495" s="27"/>
      <c r="BC495" s="27" t="str">
        <f ca="1">IFERROR(__xludf.DUMMYFUNCTION("""COMPUTED_VALUE"""),"Sim")</f>
        <v>Sim</v>
      </c>
      <c r="BD495" s="27" t="str">
        <f ca="1">IFERROR(__xludf.DUMMYFUNCTION("""COMPUTED_VALUE"""),"Marcelo Dias 42 anos, jovem negro ativista, educador e 
fundador da ONG Novos Herdeiros Humanísticos. É 
morador da Vila Brasilina, zona sul de São Paulo Ipiranga. 
Marcelo teve uma infância difícil e solitária, impedido de 
conviver com seu pai presidiár"&amp;"io e sua mãe empregada 
doméstica que dormia na casa da patroa. Participou de um Projeto Social 
onde conheceu seu treinador, figura paterna.
 Em 1998, fundou a ONG Novos Herdeiros Humanísticos, 
que desde então já atendeu mais de 900 familias")</f>
        <v>Marcelo Dias 42 anos, jovem negro ativista, educador e 
fundador da ONG Novos Herdeiros Humanísticos. É 
morador da Vila Brasilina, zona sul de São Paulo Ipiranga. 
Marcelo teve uma infância difícil e solitária, impedido de 
conviver com seu pai presidiário e sua mãe empregada 
doméstica que dormia na casa da patroa. Participou de um Projeto Social 
onde conheceu seu treinador, figura paterna.
 Em 1998, fundou a ONG Novos Herdeiros Humanísticos, 
que desde então já atendeu mais de 900 familias</v>
      </c>
      <c r="BE495" s="27"/>
      <c r="BF495" s="27"/>
      <c r="BG495" s="27" t="str">
        <f ca="1">IFERROR(__xludf.DUMMYFUNCTION("""COMPUTED_VALUE"""),"Ensino Superior - Incompleto")</f>
        <v>Ensino Superior - Incompleto</v>
      </c>
      <c r="BH495" s="27"/>
      <c r="BI495" s="27" t="str">
        <f ca="1">IFERROR(__xludf.DUMMYFUNCTION("""COMPUTED_VALUE"""),"Graduação")</f>
        <v>Graduação</v>
      </c>
      <c r="BJ495" s="27" t="str">
        <f ca="1">IFERROR(__xludf.DUMMYFUNCTION("""COMPUTED_VALUE"""),"Privado")</f>
        <v>Privado</v>
      </c>
      <c r="BK495" s="27" t="str">
        <f ca="1">IFERROR(__xludf.DUMMYFUNCTION("""COMPUTED_VALUE"""),"IRANI")</f>
        <v>IRANI</v>
      </c>
      <c r="BL495" s="27">
        <f ca="1">IFERROR(__xludf.DUMMYFUNCTION("""COMPUTED_VALUE"""),44)</f>
        <v>44</v>
      </c>
      <c r="BM495" s="27"/>
      <c r="BN495" s="27" t="str">
        <f ca="1">IFERROR(__xludf.DUMMYFUNCTION("""COMPUTED_VALUE"""),"SAO PAULO")</f>
        <v>SAO PAULO</v>
      </c>
      <c r="BO495" s="27" t="str">
        <f ca="1">IFERROR(__xludf.DUMMYFUNCTION("""COMPUTED_VALUE"""),"04161-090")</f>
        <v>04161-090</v>
      </c>
      <c r="BP495" s="27" t="str">
        <f ca="1">IFERROR(__xludf.DUMMYFUNCTION("""COMPUTED_VALUE"""),"SP")</f>
        <v>SP</v>
      </c>
      <c r="BQ495" s="27" t="str">
        <f ca="1">IFERROR(__xludf.DUMMYFUNCTION("""COMPUTED_VALUE"""),"Entre 1 até 3 salários mínimos")</f>
        <v>Entre 1 até 3 salários mínimos</v>
      </c>
      <c r="BR495" s="27" t="str">
        <f ca="1">IFERROR(__xludf.DUMMYFUNCTION("""COMPUTED_VALUE"""),"MEI")</f>
        <v>MEI</v>
      </c>
      <c r="BS495" s="27" t="str">
        <f ca="1">IFERROR(__xludf.DUMMYFUNCTION("""COMPUTED_VALUE"""),"Casa própria")</f>
        <v>Casa própria</v>
      </c>
      <c r="BT495" s="27">
        <f ca="1">IFERROR(__xludf.DUMMYFUNCTION("""COMPUTED_VALUE"""),5)</f>
        <v>5</v>
      </c>
      <c r="BU495" s="27"/>
      <c r="BV495" s="27"/>
      <c r="BW495" s="27" t="str">
        <f ca="1">IFERROR(__xludf.DUMMYFUNCTION("""COMPUTED_VALUE"""),"@marcelodiasdaong")</f>
        <v>@marcelodiasdaong</v>
      </c>
      <c r="BX495" s="27" t="str">
        <f ca="1">IFERROR(__xludf.DUMMYFUNCTION("""COMPUTED_VALUE"""),"@marcelodiasdaong")</f>
        <v>@marcelodiasdaong</v>
      </c>
      <c r="BY495" s="21" t="str">
        <f ca="1">IFERROR(__xludf.DUMMYFUNCTION("""COMPUTED_VALUE"""),"https://drive.google.com/open?id=11jM0D2-eDqegvOr3aUAzIJCtI5f2t2zq")</f>
        <v>https://drive.google.com/open?id=11jM0D2-eDqegvOr3aUAzIJCtI5f2t2zq</v>
      </c>
    </row>
    <row r="496" spans="1:77" ht="12.5" x14ac:dyDescent="0.25">
      <c r="A496" s="21" t="str">
        <f ca="1">IFERROR(__xludf.DUMMYFUNCTION("""COMPUTED_VALUE"""),"0014P00003YSp8lQAD")</f>
        <v>0014P00003YSp8lQAD</v>
      </c>
      <c r="B496" s="27" t="str">
        <f ca="1">IFERROR(__xludf.DUMMYFUNCTION("""COMPUTED_VALUE"""),"Fase Inicial")</f>
        <v>Fase Inicial</v>
      </c>
      <c r="C496" s="27" t="str">
        <f ca="1">IFERROR(__xludf.DUMMYFUNCTION("""COMPUTED_VALUE"""),"Fellow")</f>
        <v>Fellow</v>
      </c>
      <c r="D496" s="27" t="str">
        <f ca="1">IFERROR(__xludf.DUMMYFUNCTION("""COMPUTED_VALUE"""),"Ativo")</f>
        <v>Ativo</v>
      </c>
      <c r="E496" s="27" t="str">
        <f ca="1">IFERROR(__xludf.DUMMYFUNCTION("""COMPUTED_VALUE"""),"ORGANIZACAO SOCIAL IDENTIDADE PERIFERICA")</f>
        <v>ORGANIZACAO SOCIAL IDENTIDADE PERIFERICA</v>
      </c>
      <c r="F496" s="27" t="str">
        <f ca="1">IFERROR(__xludf.DUMMYFUNCTION("""COMPUTED_VALUE"""),"Wellington")</f>
        <v>Wellington</v>
      </c>
      <c r="G496" s="27" t="str">
        <f ca="1">IFERROR(__xludf.DUMMYFUNCTION("""COMPUTED_VALUE"""),"Identidade Periférica")</f>
        <v>Identidade Periférica</v>
      </c>
      <c r="H496" s="27" t="str">
        <f ca="1">IFERROR(__xludf.DUMMYFUNCTION("""COMPUTED_VALUE"""),"28.735.847/0001-33")</f>
        <v>28.735.847/0001-33</v>
      </c>
      <c r="I496" s="27" t="str">
        <f ca="1">IFERROR(__xludf.DUMMYFUNCTION("""COMPUTED_VALUE"""),"WELLINGTON SOUSA MATOS")</f>
        <v>WELLINGTON SOUSA MATOS</v>
      </c>
      <c r="J496" s="27" t="str">
        <f ca="1">IFERROR(__xludf.DUMMYFUNCTION("""COMPUTED_VALUE"""),"wellsmatos@gmail.com")</f>
        <v>wellsmatos@gmail.com</v>
      </c>
      <c r="K496" s="27" t="str">
        <f ca="1">IFERROR(__xludf.DUMMYFUNCTION("""COMPUTED_VALUE"""),"(11)97258-2598")</f>
        <v>(11)97258-2598</v>
      </c>
      <c r="L496" s="27" t="str">
        <f ca="1">IFERROR(__xludf.DUMMYFUNCTION("""COMPUTED_VALUE"""),"SP")</f>
        <v>SP</v>
      </c>
      <c r="M496" s="27" t="str">
        <f ca="1">IFERROR(__xludf.DUMMYFUNCTION("""COMPUTED_VALUE"""),"Sara Kubitscheck 165B")</f>
        <v>Sara Kubitscheck 165B</v>
      </c>
      <c r="N496" s="27" t="str">
        <f ca="1">IFERROR(__xludf.DUMMYFUNCTION("""COMPUTED_VALUE"""),"B")</f>
        <v>B</v>
      </c>
      <c r="O496" s="27">
        <f ca="1">IFERROR(__xludf.DUMMYFUNCTION("""COMPUTED_VALUE"""),165)</f>
        <v>165</v>
      </c>
      <c r="P496" s="27" t="str">
        <f ca="1">IFERROR(__xludf.DUMMYFUNCTION("""COMPUTED_VALUE"""),"São Paulo")</f>
        <v>São Paulo</v>
      </c>
      <c r="Q496" s="27"/>
      <c r="R496" s="27" t="str">
        <f ca="1">IFERROR(__xludf.DUMMYFUNCTION("""COMPUTED_VALUE"""),"08474-000")</f>
        <v>08474-000</v>
      </c>
      <c r="S496" s="27"/>
      <c r="T496" s="27" t="str">
        <f ca="1">IFERROR(__xludf.DUMMYFUNCTION("""COMPUTED_VALUE"""),"Assistência Social; Cultura; Empreendedorismo; Desenvolvimento comunitário")</f>
        <v>Assistência Social; Cultura; Empreendedorismo; Desenvolvimento comunitário</v>
      </c>
      <c r="U496" s="27" t="str">
        <f ca="1">IFERROR(__xludf.DUMMYFUNCTION("""COMPUTED_VALUE"""),"Crianças (6 a 12 anos); Adolescentes (12 aos 18 anos); Jovens (18 aos 24 anos); Adultos")</f>
        <v>Crianças (6 a 12 anos); Adolescentes (12 aos 18 anos); Jovens (18 aos 24 anos); Adultos</v>
      </c>
      <c r="V496" s="27" t="str">
        <f ca="1">IFERROR(__xludf.DUMMYFUNCTION("""COMPUTED_VALUE"""),"População LGBTQ+")</f>
        <v>População LGBTQ+</v>
      </c>
      <c r="W496" s="27">
        <f ca="1">IFERROR(__xludf.DUMMYFUNCTION("""COMPUTED_VALUE"""),5)</f>
        <v>5</v>
      </c>
      <c r="X496" s="27" t="str">
        <f ca="1">IFERROR(__xludf.DUMMYFUNCTION("""COMPUTED_VALUE"""),"Além das comunidades estamos de braços abertos para qualquer morador do entorno que queira estar nas oficinas independente de mora em favela  pois no nosso bairro tem muito conjunto habitacional onde há pessoas carentes de educação e lazer")</f>
        <v>Além das comunidades estamos de braços abertos para qualquer morador do entorno que queira estar nas oficinas independente de mora em favela  pois no nosso bairro tem muito conjunto habitacional onde há pessoas carentes de educação e lazer</v>
      </c>
      <c r="Y496" s="27"/>
      <c r="Z496" s="27">
        <f ca="1">IFERROR(__xludf.DUMMYFUNCTION("""COMPUTED_VALUE"""),500)</f>
        <v>500</v>
      </c>
      <c r="AA496" s="29">
        <f ca="1">IFERROR(__xludf.DUMMYFUNCTION("""COMPUTED_VALUE"""),42748)</f>
        <v>42748</v>
      </c>
      <c r="AB496" s="27" t="str">
        <f ca="1">IFERROR(__xludf.DUMMYFUNCTION("""COMPUTED_VALUE"""),"Sim")</f>
        <v>Sim</v>
      </c>
      <c r="AC496" s="27">
        <f ca="1">IFERROR(__xludf.DUMMYFUNCTION("""COMPUTED_VALUE"""),0)</f>
        <v>0</v>
      </c>
      <c r="AD496" s="27">
        <f ca="1">IFERROR(__xludf.DUMMYFUNCTION("""COMPUTED_VALUE"""),0)</f>
        <v>0</v>
      </c>
      <c r="AE496" s="27">
        <f ca="1">IFERROR(__xludf.DUMMYFUNCTION("""COMPUTED_VALUE"""),15)</f>
        <v>15</v>
      </c>
      <c r="AF496" s="27">
        <f ca="1">IFERROR(__xludf.DUMMYFUNCTION("""COMPUTED_VALUE"""),10)</f>
        <v>10</v>
      </c>
      <c r="AG496" s="27">
        <f ca="1">IFERROR(__xludf.DUMMYFUNCTION("""COMPUTED_VALUE"""),2)</f>
        <v>2</v>
      </c>
      <c r="AH496" s="27" t="str">
        <f ca="1">IFERROR(__xludf.DUMMYFUNCTION("""COMPUTED_VALUE"""),"Editais")</f>
        <v>Editais</v>
      </c>
      <c r="AI496" s="27">
        <f ca="1">IFERROR(__xludf.DUMMYFUNCTION("""COMPUTED_VALUE"""),0)</f>
        <v>0</v>
      </c>
      <c r="AJ496" s="27"/>
      <c r="AK496" s="27"/>
      <c r="AL496" s="21" t="str">
        <f ca="1">IFERROR(__xludf.DUMMYFUNCTION("""COMPUTED_VALUE"""),"0034P000045kxjN")</f>
        <v>0034P000045kxjN</v>
      </c>
      <c r="AM496" s="27" t="str">
        <f ca="1">IFERROR(__xludf.DUMMYFUNCTION("""COMPUTED_VALUE"""),"Sousa Matos")</f>
        <v>Sousa Matos</v>
      </c>
      <c r="AN496" s="27" t="str">
        <f ca="1">IFERROR(__xludf.DUMMYFUNCTION("""COMPUTED_VALUE"""),"Ativo")</f>
        <v>Ativo</v>
      </c>
      <c r="AO496" s="30">
        <f ca="1">IFERROR(__xludf.DUMMYFUNCTION("""COMPUTED_VALUE"""),44551)</f>
        <v>44551</v>
      </c>
      <c r="AP496" s="27">
        <f ca="1">IFERROR(__xludf.DUMMYFUNCTION("""COMPUTED_VALUE"""),9)</f>
        <v>9</v>
      </c>
      <c r="AQ496" s="27" t="str">
        <f ca="1">IFERROR(__xludf.DUMMYFUNCTION("""COMPUTED_VALUE"""),"Segundo Semestre 2021")</f>
        <v>Segundo Semestre 2021</v>
      </c>
      <c r="AR496" s="27" t="str">
        <f ca="1">IFERROR(__xludf.DUMMYFUNCTION("""COMPUTED_VALUE"""),"wellsmatos@gmail.com")</f>
        <v>wellsmatos@gmail.com</v>
      </c>
      <c r="AS496" s="27" t="str">
        <f ca="1">IFERROR(__xludf.DUMMYFUNCTION("""COMPUTED_VALUE"""),"(11)97258-2598")</f>
        <v>(11)97258-2598</v>
      </c>
      <c r="AT496" s="29">
        <f ca="1">IFERROR(__xludf.DUMMYFUNCTION("""COMPUTED_VALUE"""),31429)</f>
        <v>31429</v>
      </c>
      <c r="AU496" s="27">
        <f ca="1">IFERROR(__xludf.DUMMYFUNCTION("""COMPUTED_VALUE"""),36)</f>
        <v>36</v>
      </c>
      <c r="AV496" s="27">
        <f ca="1">IFERROR(__xludf.DUMMYFUNCTION("""COMPUTED_VALUE"""),32647583854)</f>
        <v>32647583854</v>
      </c>
      <c r="AW496" s="27">
        <f ca="1">IFERROR(__xludf.DUMMYFUNCTION("""COMPUTED_VALUE"""),22444959)</f>
        <v>22444959</v>
      </c>
      <c r="AX496" s="27"/>
      <c r="AY496" s="27"/>
      <c r="AZ496" s="27" t="str">
        <f ca="1">IFERROR(__xludf.DUMMYFUNCTION("""COMPUTED_VALUE"""),"M")</f>
        <v>M</v>
      </c>
      <c r="BA496" s="27" t="str">
        <f ca="1">IFERROR(__xludf.DUMMYFUNCTION("""COMPUTED_VALUE"""),"Parda")</f>
        <v>Parda</v>
      </c>
      <c r="BB496" s="27" t="str">
        <f ca="1">IFERROR(__xludf.DUMMYFUNCTION("""COMPUTED_VALUE"""),"Homem, cisgênero")</f>
        <v>Homem, cisgênero</v>
      </c>
      <c r="BC496" s="27" t="str">
        <f ca="1">IFERROR(__xludf.DUMMYFUNCTION("""COMPUTED_VALUE"""),"Não")</f>
        <v>Não</v>
      </c>
      <c r="BD496" s="27" t="str">
        <f ca="1">IFERROR(__xludf.DUMMYFUNCTION("""COMPUTED_VALUE"""),"36 anos, casado com a Carolina e pai do Ryan (uma fofura de 7 anos) moro no extremo leste de São Paulo em Cidade Tiradentes, sou graduado em ciência da computação e desde 2007 trabalho  montadora, atuo desde inicio de 2020 na Organização Social Identidade"&amp;" Periférica, lugar que cheguei como voluntário e depois de um ano intenso de engajamento na parte de segurança alimentar devido a pandemia do COVID19")</f>
        <v>36 anos, casado com a Carolina e pai do Ryan (uma fofura de 7 anos) moro no extremo leste de São Paulo em Cidade Tiradentes, sou graduado em ciência da computação e desde 2007 trabalho  montadora, atuo desde inicio de 2020 na Organização Social Identidade Periférica, lugar que cheguei como voluntário e depois de um ano intenso de engajamento na parte de segurança alimentar devido a pandemia do COVID19</v>
      </c>
      <c r="BE496" s="27"/>
      <c r="BF496" s="27" t="str">
        <f ca="1">IFERROR(__xludf.DUMMYFUNCTION("""COMPUTED_VALUE"""),"Heterossexual")</f>
        <v>Heterossexual</v>
      </c>
      <c r="BG496" s="27" t="str">
        <f ca="1">IFERROR(__xludf.DUMMYFUNCTION("""COMPUTED_VALUE"""),"Ensino Superior - Completo")</f>
        <v>Ensino Superior - Completo</v>
      </c>
      <c r="BH496" s="27" t="str">
        <f ca="1">IFERROR(__xludf.DUMMYFUNCTION("""COMPUTED_VALUE"""),"Público")</f>
        <v>Público</v>
      </c>
      <c r="BI496" s="27" t="str">
        <f ca="1">IFERROR(__xludf.DUMMYFUNCTION("""COMPUTED_VALUE"""),"Graduação")</f>
        <v>Graduação</v>
      </c>
      <c r="BJ496" s="27" t="str">
        <f ca="1">IFERROR(__xludf.DUMMYFUNCTION("""COMPUTED_VALUE"""),"Privado")</f>
        <v>Privado</v>
      </c>
      <c r="BK496" s="27" t="str">
        <f ca="1">IFERROR(__xludf.DUMMYFUNCTION("""COMPUTED_VALUE"""),"Barão Antônio de Benfica")</f>
        <v>Barão Antônio de Benfica</v>
      </c>
      <c r="BL496" s="27">
        <f ca="1">IFERROR(__xludf.DUMMYFUNCTION("""COMPUTED_VALUE"""),31)</f>
        <v>31</v>
      </c>
      <c r="BM496" s="27" t="str">
        <f ca="1">IFERROR(__xludf.DUMMYFUNCTION("""COMPUTED_VALUE"""),"Bloco A ap22")</f>
        <v>Bloco A ap22</v>
      </c>
      <c r="BN496" s="27" t="str">
        <f ca="1">IFERROR(__xludf.DUMMYFUNCTION("""COMPUTED_VALUE"""),"São Paulo")</f>
        <v>São Paulo</v>
      </c>
      <c r="BO496" s="27" t="str">
        <f ca="1">IFERROR(__xludf.DUMMYFUNCTION("""COMPUTED_VALUE"""),"08472-724")</f>
        <v>08472-724</v>
      </c>
      <c r="BP496" s="27" t="str">
        <f ca="1">IFERROR(__xludf.DUMMYFUNCTION("""COMPUTED_VALUE"""),"SP")</f>
        <v>SP</v>
      </c>
      <c r="BQ496" s="27" t="str">
        <f ca="1">IFERROR(__xludf.DUMMYFUNCTION("""COMPUTED_VALUE"""),"De 3 até 5 salários mínimos")</f>
        <v>De 3 até 5 salários mínimos</v>
      </c>
      <c r="BR496" s="27" t="str">
        <f ca="1">IFERROR(__xludf.DUMMYFUNCTION("""COMPUTED_VALUE"""),"CLT")</f>
        <v>CLT</v>
      </c>
      <c r="BS496" s="27" t="str">
        <f ca="1">IFERROR(__xludf.DUMMYFUNCTION("""COMPUTED_VALUE"""),"Casa cedida")</f>
        <v>Casa cedida</v>
      </c>
      <c r="BT496" s="27">
        <f ca="1">IFERROR(__xludf.DUMMYFUNCTION("""COMPUTED_VALUE"""),3)</f>
        <v>3</v>
      </c>
      <c r="BU496" s="27" t="str">
        <f ca="1">IFERROR(__xludf.DUMMYFUNCTION("""COMPUTED_VALUE"""),"Não tem")</f>
        <v>Não tem</v>
      </c>
      <c r="BV496" s="27"/>
      <c r="BW496" s="21" t="str">
        <f ca="1">IFERROR(__xludf.DUMMYFUNCTION("""COMPUTED_VALUE"""),"https://www.linkedin.com/in/wellingtonsmatos/")</f>
        <v>https://www.linkedin.com/in/wellingtonsmatos/</v>
      </c>
      <c r="BX496" s="21" t="str">
        <f ca="1">IFERROR(__xludf.DUMMYFUNCTION("""COMPUTED_VALUE"""),"https://www.instagram.com/wellsmatos/")</f>
        <v>https://www.instagram.com/wellsmatos/</v>
      </c>
      <c r="BY496" s="21" t="str">
        <f ca="1">IFERROR(__xludf.DUMMYFUNCTION("""COMPUTED_VALUE"""),"https://drive.google.com/open?id=1HmDukN8uFLVRocaTw_PAt9TnTZF2xu2M")</f>
        <v>https://drive.google.com/open?id=1HmDukN8uFLVRocaTw_PAt9TnTZF2xu2M</v>
      </c>
    </row>
    <row r="497" spans="1:77" ht="12.5" x14ac:dyDescent="0.25">
      <c r="A497" s="21" t="str">
        <f ca="1">IFERROR(__xludf.DUMMYFUNCTION("""COMPUTED_VALUE"""),"0014X00002VKCsQQAX")</f>
        <v>0014X00002VKCsQQAX</v>
      </c>
      <c r="B497" s="27" t="str">
        <f ca="1">IFERROR(__xludf.DUMMYFUNCTION("""COMPUTED_VALUE"""),"Fase Inicial")</f>
        <v>Fase Inicial</v>
      </c>
      <c r="C497" s="27" t="str">
        <f ca="1">IFERROR(__xludf.DUMMYFUNCTION("""COMPUTED_VALUE"""),"Fellow")</f>
        <v>Fellow</v>
      </c>
      <c r="D497" s="27" t="str">
        <f ca="1">IFERROR(__xludf.DUMMYFUNCTION("""COMPUTED_VALUE"""),"Ativo")</f>
        <v>Ativo</v>
      </c>
      <c r="E497" s="27" t="str">
        <f ca="1">IFERROR(__xludf.DUMMYFUNCTION("""COMPUTED_VALUE"""),"OSC CRESCE COMUNIDADE")</f>
        <v>OSC CRESCE COMUNIDADE</v>
      </c>
      <c r="F497" s="27" t="str">
        <f ca="1">IFERROR(__xludf.DUMMYFUNCTION("""COMPUTED_VALUE"""),"ClÃ¡udia")</f>
        <v>ClÃ¡udia</v>
      </c>
      <c r="G497" s="27" t="str">
        <f ca="1">IFERROR(__xludf.DUMMYFUNCTION("""COMPUTED_VALUE"""),"CRESCE COMUNIDADE")</f>
        <v>CRESCE COMUNIDADE</v>
      </c>
      <c r="H497" s="27" t="str">
        <f ca="1">IFERROR(__xludf.DUMMYFUNCTION("""COMPUTED_VALUE"""),"42350558/0001-47")</f>
        <v>42350558/0001-47</v>
      </c>
      <c r="I497" s="27" t="str">
        <f ca="1">IFERROR(__xludf.DUMMYFUNCTION("""COMPUTED_VALUE"""),"Geraldo Luís Alves de Oliveira e Cláudia Alves de Oliveira")</f>
        <v>Geraldo Luís Alves de Oliveira e Cláudia Alves de Oliveira</v>
      </c>
      <c r="J497" s="27" t="str">
        <f ca="1">IFERROR(__xludf.DUMMYFUNCTION("""COMPUTED_VALUE"""),"osccrescecomunidade@gmail.com")</f>
        <v>osccrescecomunidade@gmail.com</v>
      </c>
      <c r="K497" s="27"/>
      <c r="L497" s="27" t="str">
        <f ca="1">IFERROR(__xludf.DUMMYFUNCTION("""COMPUTED_VALUE"""),"RJ")</f>
        <v>RJ</v>
      </c>
      <c r="M497" s="27" t="str">
        <f ca="1">IFERROR(__xludf.DUMMYFUNCTION("""COMPUTED_VALUE"""),"Rua Roberto Silva")</f>
        <v>Rua Roberto Silva</v>
      </c>
      <c r="N497" s="27" t="str">
        <f ca="1">IFERROR(__xludf.DUMMYFUNCTION("""COMPUTED_VALUE"""),"Ramos")</f>
        <v>Ramos</v>
      </c>
      <c r="O497" s="27">
        <f ca="1">IFERROR(__xludf.DUMMYFUNCTION("""COMPUTED_VALUE"""),726)</f>
        <v>726</v>
      </c>
      <c r="P497" s="27" t="str">
        <f ca="1">IFERROR(__xludf.DUMMYFUNCTION("""COMPUTED_VALUE"""),"Rio de Janeiro")</f>
        <v>Rio de Janeiro</v>
      </c>
      <c r="Q497" s="27"/>
      <c r="R497" s="27" t="str">
        <f ca="1">IFERROR(__xludf.DUMMYFUNCTION("""COMPUTED_VALUE"""),"21060-230")</f>
        <v>21060-230</v>
      </c>
      <c r="S497" s="27"/>
      <c r="T497" s="27"/>
      <c r="U497" s="27"/>
      <c r="V497" s="27"/>
      <c r="W497" s="27">
        <f ca="1">IFERROR(__xludf.DUMMYFUNCTION("""COMPUTED_VALUE"""),10)</f>
        <v>10</v>
      </c>
      <c r="X497" s="27"/>
      <c r="Y497" s="27"/>
      <c r="Z497" s="27">
        <f ca="1">IFERROR(__xludf.DUMMYFUNCTION("""COMPUTED_VALUE"""),200)</f>
        <v>200</v>
      </c>
      <c r="AA497" s="29">
        <f ca="1">IFERROR(__xludf.DUMMYFUNCTION("""COMPUTED_VALUE"""),44363)</f>
        <v>44363</v>
      </c>
      <c r="AB497" s="27" t="str">
        <f ca="1">IFERROR(__xludf.DUMMYFUNCTION("""COMPUTED_VALUE"""),"Sim")</f>
        <v>Sim</v>
      </c>
      <c r="AC497" s="27">
        <f ca="1">IFERROR(__xludf.DUMMYFUNCTION("""COMPUTED_VALUE"""),0)</f>
        <v>0</v>
      </c>
      <c r="AD497" s="27"/>
      <c r="AE497" s="27">
        <f ca="1">IFERROR(__xludf.DUMMYFUNCTION("""COMPUTED_VALUE"""),28)</f>
        <v>28</v>
      </c>
      <c r="AF497" s="27"/>
      <c r="AG497" s="27">
        <f ca="1">IFERROR(__xludf.DUMMYFUNCTION("""COMPUTED_VALUE"""),2)</f>
        <v>2</v>
      </c>
      <c r="AH497" s="27"/>
      <c r="AI497" s="27"/>
      <c r="AJ497" s="27"/>
      <c r="AK497" s="27"/>
      <c r="AL497" s="21" t="str">
        <f ca="1">IFERROR(__xludf.DUMMYFUNCTION("""COMPUTED_VALUE"""),"0034X0000380O57")</f>
        <v>0034X0000380O57</v>
      </c>
      <c r="AM497" s="27" t="str">
        <f ca="1">IFERROR(__xludf.DUMMYFUNCTION("""COMPUTED_VALUE"""),"Alves de oliveira")</f>
        <v>Alves de oliveira</v>
      </c>
      <c r="AN497" s="27" t="str">
        <f ca="1">IFERROR(__xludf.DUMMYFUNCTION("""COMPUTED_VALUE"""),"Ativo")</f>
        <v>Ativo</v>
      </c>
      <c r="AO497" s="29">
        <f ca="1">IFERROR(__xludf.DUMMYFUNCTION("""COMPUTED_VALUE"""),44763)</f>
        <v>44763</v>
      </c>
      <c r="AP497" s="27">
        <f ca="1">IFERROR(__xludf.DUMMYFUNCTION("""COMPUTED_VALUE"""),2)</f>
        <v>2</v>
      </c>
      <c r="AQ497" s="27" t="str">
        <f ca="1">IFERROR(__xludf.DUMMYFUNCTION("""COMPUTED_VALUE"""),"Primeiro Semestre 2022")</f>
        <v>Primeiro Semestre 2022</v>
      </c>
      <c r="AR497" s="27" t="str">
        <f ca="1">IFERROR(__xludf.DUMMYFUNCTION("""COMPUTED_VALUE"""),"claudiacrescecomunidade@gmail.com")</f>
        <v>claudiacrescecomunidade@gmail.com</v>
      </c>
      <c r="AS497" s="27">
        <f ca="1">IFERROR(__xludf.DUMMYFUNCTION("""COMPUTED_VALUE"""),21964530437)</f>
        <v>21964530437</v>
      </c>
      <c r="AT497" s="29">
        <f ca="1">IFERROR(__xludf.DUMMYFUNCTION("""COMPUTED_VALUE"""),29042)</f>
        <v>29042</v>
      </c>
      <c r="AU497" s="27">
        <f ca="1">IFERROR(__xludf.DUMMYFUNCTION("""COMPUTED_VALUE"""),43)</f>
        <v>43</v>
      </c>
      <c r="AV497" s="27">
        <f ca="1">IFERROR(__xludf.DUMMYFUNCTION("""COMPUTED_VALUE"""),8157984742)</f>
        <v>8157984742</v>
      </c>
      <c r="AW497" s="27">
        <f ca="1">IFERROR(__xludf.DUMMYFUNCTION("""COMPUTED_VALUE"""),115264566)</f>
        <v>115264566</v>
      </c>
      <c r="AX497" s="27"/>
      <c r="AY497" s="27"/>
      <c r="AZ497" s="27" t="str">
        <f ca="1">IFERROR(__xludf.DUMMYFUNCTION("""COMPUTED_VALUE"""),"G")</f>
        <v>G</v>
      </c>
      <c r="BA497" s="27" t="str">
        <f ca="1">IFERROR(__xludf.DUMMYFUNCTION("""COMPUTED_VALUE"""),"Parda")</f>
        <v>Parda</v>
      </c>
      <c r="BB497" s="27"/>
      <c r="BC497" s="27"/>
      <c r="BD497" s="27" t="str">
        <f ca="1">IFERROR(__xludf.DUMMYFUNCTION("""COMPUTED_VALUE"""),"Tenho 42 anos* até os meus 21 anos vivi em comunidades e nesta pequena e longa trajetória sempre vivenciei e participei de trabalhos sociais e os menos favorecidos * aprendi desde adolescente a amar o social e fazer o bem ao próximo.")</f>
        <v>Tenho 42 anos* até os meus 21 anos vivi em comunidades e nesta pequena e longa trajetória sempre vivenciei e participei de trabalhos sociais e os menos favorecidos * aprendi desde adolescente a amar o social e fazer o bem ao próximo.</v>
      </c>
      <c r="BE497" s="27" t="str">
        <f ca="1">IFERROR(__xludf.DUMMYFUNCTION("""COMPUTED_VALUE"""),"Feminino")</f>
        <v>Feminino</v>
      </c>
      <c r="BF497" s="27" t="str">
        <f ca="1">IFERROR(__xludf.DUMMYFUNCTION("""COMPUTED_VALUE"""),"Heterossexual")</f>
        <v>Heterossexual</v>
      </c>
      <c r="BG497" s="27"/>
      <c r="BH497" s="27" t="str">
        <f ca="1">IFERROR(__xludf.DUMMYFUNCTION("""COMPUTED_VALUE"""),"Privado")</f>
        <v>Privado</v>
      </c>
      <c r="BI497" s="27"/>
      <c r="BJ497" s="27"/>
      <c r="BK497" s="27" t="str">
        <f ca="1">IFERROR(__xludf.DUMMYFUNCTION("""COMPUTED_VALUE"""),"Avenida Jaime Poggi")</f>
        <v>Avenida Jaime Poggi</v>
      </c>
      <c r="BL497" s="27">
        <f ca="1">IFERROR(__xludf.DUMMYFUNCTION("""COMPUTED_VALUE"""),99)</f>
        <v>99</v>
      </c>
      <c r="BM497" s="27"/>
      <c r="BN497" s="27"/>
      <c r="BO497" s="27">
        <f ca="1">IFERROR(__xludf.DUMMYFUNCTION("""COMPUTED_VALUE"""),227775130)</f>
        <v>227775130</v>
      </c>
      <c r="BP497" s="27" t="str">
        <f ca="1">IFERROR(__xludf.DUMMYFUNCTION("""COMPUTED_VALUE"""),"RJ")</f>
        <v>RJ</v>
      </c>
      <c r="BQ497" s="27" t="str">
        <f ca="1">IFERROR(__xludf.DUMMYFUNCTION("""COMPUTED_VALUE"""),"Entre 1 até 3 salários mínimos")</f>
        <v>Entre 1 até 3 salários mínimos</v>
      </c>
      <c r="BR497" s="27" t="str">
        <f ca="1">IFERROR(__xludf.DUMMYFUNCTION("""COMPUTED_VALUE"""),"Trabalho informal")</f>
        <v>Trabalho informal</v>
      </c>
      <c r="BS497" s="27" t="str">
        <f ca="1">IFERROR(__xludf.DUMMYFUNCTION("""COMPUTED_VALUE"""),"Casa própria")</f>
        <v>Casa própria</v>
      </c>
      <c r="BT497" s="27">
        <f ca="1">IFERROR(__xludf.DUMMYFUNCTION("""COMPUTED_VALUE"""),1)</f>
        <v>1</v>
      </c>
      <c r="BU497" s="27" t="str">
        <f ca="1">IFERROR(__xludf.DUMMYFUNCTION("""COMPUTED_VALUE"""),"Não tem")</f>
        <v>Não tem</v>
      </c>
      <c r="BV497" s="27" t="str">
        <f ca="1">IFERROR(__xludf.DUMMYFUNCTION("""COMPUTED_VALUE"""),"Não")</f>
        <v>Não</v>
      </c>
      <c r="BW497" s="27"/>
      <c r="BX497" s="21" t="str">
        <f ca="1">IFERROR(__xludf.DUMMYFUNCTION("""COMPUTED_VALUE"""),"https://www.instagram.com/claudia__alves79/tv/CYSYB6XjYeg/?utm_medium=copy_link")</f>
        <v>https://www.instagram.com/claudia__alves79/tv/CYSYB6XjYeg/?utm_medium=copy_link</v>
      </c>
      <c r="BY497" s="27"/>
    </row>
    <row r="498" spans="1:77" ht="12.5" hidden="1" x14ac:dyDescent="0.25">
      <c r="A498" s="21" t="str">
        <f ca="1">IFERROR(__xludf.DUMMYFUNCTION("""COMPUTED_VALUE"""),"0014X00002VKCoxQAH")</f>
        <v>0014X00002VKCoxQAH</v>
      </c>
      <c r="B498" s="27" t="str">
        <f ca="1">IFERROR(__xludf.DUMMYFUNCTION("""COMPUTED_VALUE"""),"Fase Inicial")</f>
        <v>Fase Inicial</v>
      </c>
      <c r="C498" s="27" t="str">
        <f ca="1">IFERROR(__xludf.DUMMYFUNCTION("""COMPUTED_VALUE"""),"Fellow")</f>
        <v>Fellow</v>
      </c>
      <c r="D498" s="27" t="str">
        <f ca="1">IFERROR(__xludf.DUMMYFUNCTION("""COMPUTED_VALUE"""),"Ativo")</f>
        <v>Ativo</v>
      </c>
      <c r="E498" s="27" t="str">
        <f ca="1">IFERROR(__xludf.DUMMYFUNCTION("""COMPUTED_VALUE"""),"Oscip Jovem Sertão")</f>
        <v>Oscip Jovem Sertão</v>
      </c>
      <c r="F498" s="27" t="str">
        <f ca="1">IFERROR(__xludf.DUMMYFUNCTION("""COMPUTED_VALUE"""),"Aluisio")</f>
        <v>Aluisio</v>
      </c>
      <c r="G498" s="27" t="str">
        <f ca="1">IFERROR(__xludf.DUMMYFUNCTION("""COMPUTED_VALUE"""),"JOVEM SERTÃO")</f>
        <v>JOVEM SERTÃO</v>
      </c>
      <c r="H498" s="27" t="str">
        <f ca="1">IFERROR(__xludf.DUMMYFUNCTION("""COMPUTED_VALUE"""),"07.780.830/0001-28")</f>
        <v>07.780.830/0001-28</v>
      </c>
      <c r="I498" s="27" t="str">
        <f ca="1">IFERROR(__xludf.DUMMYFUNCTION("""COMPUTED_VALUE"""),"Aluisio Ferreira Gomes")</f>
        <v>Aluisio Ferreira Gomes</v>
      </c>
      <c r="J498" s="27" t="str">
        <f ca="1">IFERROR(__xludf.DUMMYFUNCTION("""COMPUTED_VALUE"""),"oscipjovem@gmail.com")</f>
        <v>oscipjovem@gmail.com</v>
      </c>
      <c r="K498" s="27">
        <f ca="1">IFERROR(__xludf.DUMMYFUNCTION("""COMPUTED_VALUE"""),8738610620)</f>
        <v>8738610620</v>
      </c>
      <c r="L498" s="27" t="str">
        <f ca="1">IFERROR(__xludf.DUMMYFUNCTION("""COMPUTED_VALUE"""),"PE")</f>
        <v>PE</v>
      </c>
      <c r="M498" s="27" t="str">
        <f ca="1">IFERROR(__xludf.DUMMYFUNCTION("""COMPUTED_VALUE"""),"Rua do Cajueiro")</f>
        <v>Rua do Cajueiro</v>
      </c>
      <c r="N498" s="27" t="str">
        <f ca="1">IFERROR(__xludf.DUMMYFUNCTION("""COMPUTED_VALUE"""),"Centro")</f>
        <v>Centro</v>
      </c>
      <c r="O498" s="27">
        <f ca="1">IFERROR(__xludf.DUMMYFUNCTION("""COMPUTED_VALUE"""),53)</f>
        <v>53</v>
      </c>
      <c r="P498" s="27" t="str">
        <f ca="1">IFERROR(__xludf.DUMMYFUNCTION("""COMPUTED_VALUE"""),"Petrolina")</f>
        <v>Petrolina</v>
      </c>
      <c r="Q498" s="27" t="str">
        <f ca="1">IFERROR(__xludf.DUMMYFUNCTION("""COMPUTED_VALUE"""),"Casa")</f>
        <v>Casa</v>
      </c>
      <c r="R498" s="27" t="str">
        <f ca="1">IFERROR(__xludf.DUMMYFUNCTION("""COMPUTED_VALUE"""),"56304-420")</f>
        <v>56304-420</v>
      </c>
      <c r="S498" s="27"/>
      <c r="T498" s="27"/>
      <c r="U498" s="27"/>
      <c r="V498" s="27"/>
      <c r="W498" s="27">
        <f ca="1">IFERROR(__xludf.DUMMYFUNCTION("""COMPUTED_VALUE"""),2)</f>
        <v>2</v>
      </c>
      <c r="X498" s="27" t="str">
        <f ca="1">IFERROR(__xludf.DUMMYFUNCTION("""COMPUTED_VALUE"""),"Mulheres trabalhadores rurais* famílias sem renda e jovens e adultos  sem formação profissional")</f>
        <v>Mulheres trabalhadores rurais* famílias sem renda e jovens e adultos  sem formação profissional</v>
      </c>
      <c r="Y498" s="27"/>
      <c r="Z498" s="27">
        <f ca="1">IFERROR(__xludf.DUMMYFUNCTION("""COMPUTED_VALUE"""),1)</f>
        <v>1</v>
      </c>
      <c r="AA498" s="29">
        <f ca="1">IFERROR(__xludf.DUMMYFUNCTION("""COMPUTED_VALUE"""),38481)</f>
        <v>38481</v>
      </c>
      <c r="AB498" s="27" t="str">
        <f ca="1">IFERROR(__xludf.DUMMYFUNCTION("""COMPUTED_VALUE"""),"Sim")</f>
        <v>Sim</v>
      </c>
      <c r="AC498" s="27">
        <f ca="1">IFERROR(__xludf.DUMMYFUNCTION("""COMPUTED_VALUE"""),6)</f>
        <v>6</v>
      </c>
      <c r="AD498" s="27"/>
      <c r="AE498" s="27">
        <f ca="1">IFERROR(__xludf.DUMMYFUNCTION("""COMPUTED_VALUE"""),30)</f>
        <v>30</v>
      </c>
      <c r="AF498" s="27"/>
      <c r="AG498" s="27">
        <f ca="1">IFERROR(__xludf.DUMMYFUNCTION("""COMPUTED_VALUE"""),3)</f>
        <v>3</v>
      </c>
      <c r="AH498" s="27"/>
      <c r="AI498" s="27" t="str">
        <f ca="1">IFERROR(__xludf.DUMMYFUNCTION("""COMPUTED_VALUE"""),"50%* 10% e 40%")</f>
        <v>50%* 10% e 40%</v>
      </c>
      <c r="AJ498" s="27" t="str">
        <f ca="1">IFERROR(__xludf.DUMMYFUNCTION("""COMPUTED_VALUE"""),"Não")</f>
        <v>Não</v>
      </c>
      <c r="AK498" s="27"/>
      <c r="AL498" s="21" t="str">
        <f ca="1">IFERROR(__xludf.DUMMYFUNCTION("""COMPUTED_VALUE"""),"0034X0000380O0x")</f>
        <v>0034X0000380O0x</v>
      </c>
      <c r="AM498" s="27" t="str">
        <f ca="1">IFERROR(__xludf.DUMMYFUNCTION("""COMPUTED_VALUE"""),"Ferreira gomes")</f>
        <v>Ferreira gomes</v>
      </c>
      <c r="AN498" s="27" t="str">
        <f ca="1">IFERROR(__xludf.DUMMYFUNCTION("""COMPUTED_VALUE"""),"Ativo")</f>
        <v>Ativo</v>
      </c>
      <c r="AO498" s="29">
        <f ca="1">IFERROR(__xludf.DUMMYFUNCTION("""COMPUTED_VALUE"""),44763)</f>
        <v>44763</v>
      </c>
      <c r="AP498" s="27">
        <f ca="1">IFERROR(__xludf.DUMMYFUNCTION("""COMPUTED_VALUE"""),2)</f>
        <v>2</v>
      </c>
      <c r="AQ498" s="27" t="str">
        <f ca="1">IFERROR(__xludf.DUMMYFUNCTION("""COMPUTED_VALUE"""),"Primeiro Semestre 2022")</f>
        <v>Primeiro Semestre 2022</v>
      </c>
      <c r="AR498" s="27" t="str">
        <f ca="1">IFERROR(__xludf.DUMMYFUNCTION("""COMPUTED_VALUE"""),"aluisiogomes.aluisio@gmail.com")</f>
        <v>aluisiogomes.aluisio@gmail.com</v>
      </c>
      <c r="AS498" s="27" t="str">
        <f ca="1">IFERROR(__xludf.DUMMYFUNCTION("""COMPUTED_VALUE"""),"(87)98806-0620")</f>
        <v>(87)98806-0620</v>
      </c>
      <c r="AT498" s="30">
        <f ca="1">IFERROR(__xludf.DUMMYFUNCTION("""COMPUTED_VALUE"""),20802)</f>
        <v>20802</v>
      </c>
      <c r="AU498" s="27">
        <f ca="1">IFERROR(__xludf.DUMMYFUNCTION("""COMPUTED_VALUE"""),66)</f>
        <v>66</v>
      </c>
      <c r="AV498" s="27">
        <f ca="1">IFERROR(__xludf.DUMMYFUNCTION("""COMPUTED_VALUE"""),10536167400)</f>
        <v>10536167400</v>
      </c>
      <c r="AW498" s="27">
        <f ca="1">IFERROR(__xludf.DUMMYFUNCTION("""COMPUTED_VALUE"""),1590101)</f>
        <v>1590101</v>
      </c>
      <c r="AX498" s="27"/>
      <c r="AY498" s="27" t="str">
        <f ca="1">IFERROR(__xludf.DUMMYFUNCTION("""COMPUTED_VALUE"""),"Presidente")</f>
        <v>Presidente</v>
      </c>
      <c r="AZ498" s="27" t="str">
        <f ca="1">IFERROR(__xludf.DUMMYFUNCTION("""COMPUTED_VALUE"""),"G2")</f>
        <v>G2</v>
      </c>
      <c r="BA498" s="27" t="str">
        <f ca="1">IFERROR(__xludf.DUMMYFUNCTION("""COMPUTED_VALUE"""),"Parda")</f>
        <v>Parda</v>
      </c>
      <c r="BB498" s="27"/>
      <c r="BC498" s="27"/>
      <c r="BD498" s="27" t="str">
        <f ca="1">IFERROR(__xludf.DUMMYFUNCTION("""COMPUTED_VALUE"""),"Professor Dr. em Educação pela Uncuyo - Universidad Nacional de Cuyo, Mendoza, Argentina.
Presidente na empresa Oscip Jovem Sertão
Sócio Proprietário na empresa Eldorado Outdoor
Professor na empresa Facape - Faculdade de Ciências Aplicadas e Sociais de"&amp;" Petrolina
Trabalhou como Diretor de Gestão Ambiental e Sustentabilidade na Prefeitura de Petrolina na empresa Prefeitura de Petrolina
Trabalhou como Secretário de Governo e Comunicação na empresa Prefeitura Municipal de Petrolina")</f>
        <v>Professor Dr. em Educação pela Uncuyo - Universidad Nacional de Cuyo, Mendoza, Argentina.
Presidente na empresa Oscip Jovem Sertão
Sócio Proprietário na empresa Eldorado Outdoor
Professor na empresa Facape - Faculdade de Ciências Aplicadas e Sociais de Petrolina
Trabalhou como Diretor de Gestão Ambiental e Sustentabilidade na Prefeitura de Petrolina na empresa Prefeitura de Petrolina
Trabalhou como Secretário de Governo e Comunicação na empresa Prefeitura Municipal de Petrolina</v>
      </c>
      <c r="BE498" s="27" t="str">
        <f ca="1">IFERROR(__xludf.DUMMYFUNCTION("""COMPUTED_VALUE"""),"Outro(s)")</f>
        <v>Outro(s)</v>
      </c>
      <c r="BF498" s="27" t="str">
        <f ca="1">IFERROR(__xludf.DUMMYFUNCTION("""COMPUTED_VALUE"""),"Heterossexual")</f>
        <v>Heterossexual</v>
      </c>
      <c r="BG498" s="27" t="str">
        <f ca="1">IFERROR(__xludf.DUMMYFUNCTION("""COMPUTED_VALUE"""),"Ensino Superior - Completo")</f>
        <v>Ensino Superior - Completo</v>
      </c>
      <c r="BH498" s="27" t="str">
        <f ca="1">IFERROR(__xludf.DUMMYFUNCTION("""COMPUTED_VALUE"""),"Público")</f>
        <v>Público</v>
      </c>
      <c r="BI498" s="27" t="str">
        <f ca="1">IFERROR(__xludf.DUMMYFUNCTION("""COMPUTED_VALUE"""),"Pós-Doutorado")</f>
        <v>Pós-Doutorado</v>
      </c>
      <c r="BJ498" s="27"/>
      <c r="BK498" s="27" t="str">
        <f ca="1">IFERROR(__xludf.DUMMYFUNCTION("""COMPUTED_VALUE"""),"Do Cajueiro")</f>
        <v>Do Cajueiro</v>
      </c>
      <c r="BL498" s="27">
        <f ca="1">IFERROR(__xludf.DUMMYFUNCTION("""COMPUTED_VALUE"""),53)</f>
        <v>53</v>
      </c>
      <c r="BM498" s="27"/>
      <c r="BN498" s="27" t="str">
        <f ca="1">IFERROR(__xludf.DUMMYFUNCTION("""COMPUTED_VALUE"""),"Petrolina")</f>
        <v>Petrolina</v>
      </c>
      <c r="BO498" s="27" t="str">
        <f ca="1">IFERROR(__xludf.DUMMYFUNCTION("""COMPUTED_VALUE"""),"56304-420")</f>
        <v>56304-420</v>
      </c>
      <c r="BP498" s="27" t="str">
        <f ca="1">IFERROR(__xludf.DUMMYFUNCTION("""COMPUTED_VALUE"""),"PE")</f>
        <v>PE</v>
      </c>
      <c r="BQ498" s="27" t="str">
        <f ca="1">IFERROR(__xludf.DUMMYFUNCTION("""COMPUTED_VALUE"""),"Acima de 5 salários mínimos")</f>
        <v>Acima de 5 salários mínimos</v>
      </c>
      <c r="BR498" s="27" t="str">
        <f ca="1">IFERROR(__xludf.DUMMYFUNCTION("""COMPUTED_VALUE"""),"Funcionário Público")</f>
        <v>Funcionário Público</v>
      </c>
      <c r="BS498" s="27" t="str">
        <f ca="1">IFERROR(__xludf.DUMMYFUNCTION("""COMPUTED_VALUE"""),"Casa própria")</f>
        <v>Casa própria</v>
      </c>
      <c r="BT498" s="27">
        <f ca="1">IFERROR(__xludf.DUMMYFUNCTION("""COMPUTED_VALUE"""),2)</f>
        <v>2</v>
      </c>
      <c r="BU498" s="27" t="str">
        <f ca="1">IFERROR(__xludf.DUMMYFUNCTION("""COMPUTED_VALUE"""),"Não tem")</f>
        <v>Não tem</v>
      </c>
      <c r="BV498" s="27" t="str">
        <f ca="1">IFERROR(__xludf.DUMMYFUNCTION("""COMPUTED_VALUE"""),"Não")</f>
        <v>Não</v>
      </c>
      <c r="BW498" s="27" t="str">
        <f ca="1">IFERROR(__xludf.DUMMYFUNCTION("""COMPUTED_VALUE"""),"@aluisiogomes")</f>
        <v>@aluisiogomes</v>
      </c>
      <c r="BX498" s="27" t="str">
        <f ca="1">IFERROR(__xludf.DUMMYFUNCTION("""COMPUTED_VALUE"""),"@aluisiogomes")</f>
        <v>@aluisiogomes</v>
      </c>
      <c r="BY498" s="21" t="str">
        <f ca="1">IFERROR(__xludf.DUMMYFUNCTION("""COMPUTED_VALUE"""),"https://drive.google.com/open?id=1IC_xNtVEGCvac2r8WTFQEp236RM3NI4I")</f>
        <v>https://drive.google.com/open?id=1IC_xNtVEGCvac2r8WTFQEp236RM3NI4I</v>
      </c>
    </row>
    <row r="499" spans="1:77" ht="12.5" x14ac:dyDescent="0.25">
      <c r="A499" s="21" t="str">
        <f ca="1">IFERROR(__xludf.DUMMYFUNCTION("""COMPUTED_VALUE"""),"0014P00003YSp7fQAD")</f>
        <v>0014P00003YSp7fQAD</v>
      </c>
      <c r="B499" s="27" t="str">
        <f ca="1">IFERROR(__xludf.DUMMYFUNCTION("""COMPUTED_VALUE"""),"Fase Inicial")</f>
        <v>Fase Inicial</v>
      </c>
      <c r="C499" s="27" t="str">
        <f ca="1">IFERROR(__xludf.DUMMYFUNCTION("""COMPUTED_VALUE"""),"Fellow")</f>
        <v>Fellow</v>
      </c>
      <c r="D499" s="27" t="str">
        <f ca="1">IFERROR(__xludf.DUMMYFUNCTION("""COMPUTED_VALUE"""),"Ativo")</f>
        <v>Ativo</v>
      </c>
      <c r="E499" s="27" t="str">
        <f ca="1">IFERROR(__xludf.DUMMYFUNCTION("""COMPUTED_VALUE"""),"OSC PONTO SOCIAL")</f>
        <v>OSC PONTO SOCIAL</v>
      </c>
      <c r="F499" s="27" t="str">
        <f ca="1">IFERROR(__xludf.DUMMYFUNCTION("""COMPUTED_VALUE"""),"Rita")</f>
        <v>Rita</v>
      </c>
      <c r="G499" s="27"/>
      <c r="H499" s="27"/>
      <c r="I499" s="27" t="str">
        <f ca="1">IFERROR(__xludf.DUMMYFUNCTION("""COMPUTED_VALUE"""),"Márcio Lima")</f>
        <v>Márcio Lima</v>
      </c>
      <c r="J499" s="27" t="str">
        <f ca="1">IFERROR(__xludf.DUMMYFUNCTION("""COMPUTED_VALUE"""),"2013ritasacramento@gmail.com")</f>
        <v>2013ritasacramento@gmail.com</v>
      </c>
      <c r="K499" s="27" t="str">
        <f ca="1">IFERROR(__xludf.DUMMYFUNCTION("""COMPUTED_VALUE"""),"(71)98737-6880")</f>
        <v>(71)98737-6880</v>
      </c>
      <c r="L499" s="27" t="str">
        <f ca="1">IFERROR(__xludf.DUMMYFUNCTION("""COMPUTED_VALUE"""),"BA")</f>
        <v>BA</v>
      </c>
      <c r="M499" s="27" t="str">
        <f ca="1">IFERROR(__xludf.DUMMYFUNCTION("""COMPUTED_VALUE"""),"Rua do Curuzu")</f>
        <v>Rua do Curuzu</v>
      </c>
      <c r="N499" s="27" t="str">
        <f ca="1">IFERROR(__xludf.DUMMYFUNCTION("""COMPUTED_VALUE"""),"São Caetano")</f>
        <v>São Caetano</v>
      </c>
      <c r="O499" s="27">
        <f ca="1">IFERROR(__xludf.DUMMYFUNCTION("""COMPUTED_VALUE"""),31)</f>
        <v>31</v>
      </c>
      <c r="P499" s="27" t="str">
        <f ca="1">IFERROR(__xludf.DUMMYFUNCTION("""COMPUTED_VALUE"""),"Salvador")</f>
        <v>Salvador</v>
      </c>
      <c r="Q499" s="27"/>
      <c r="R499" s="27" t="str">
        <f ca="1">IFERROR(__xludf.DUMMYFUNCTION("""COMPUTED_VALUE"""),"40366-110")</f>
        <v>40366-110</v>
      </c>
      <c r="S499" s="27"/>
      <c r="T499" s="27" t="str">
        <f ca="1">IFERROR(__xludf.DUMMYFUNCTION("""COMPUTED_VALUE"""),"Educação; Empregabilidade; Assistência Social; Cultura; Qualificação Profissional; Empreendedorismo; Empoderamento Feminino; Negócios Sociais; Apoio à gestão de organizações de Terceiro Setor; Defesa de Direitos; Comunicação; Desenvolvimento comunitário")</f>
        <v>Educação; Empregabilidade; Assistência Social; Cultura; Qualificação Profissional; Empreendedorismo; Empoderamento Feminino; Negócios Sociais; Apoio à gestão de organizações de Terceiro Setor; Defesa de Direitos; Comunicação; Desenvolvimento comunitário</v>
      </c>
      <c r="U499" s="27" t="str">
        <f ca="1">IFERROR(__xludf.DUMMYFUNCTION("""COMPUTED_VALUE"""),"Jovens (18 aos 24 anos); Adultos; Idosos (60 anos ou mais)")</f>
        <v>Jovens (18 aos 24 anos); Adultos; Idosos (60 anos ou mais)</v>
      </c>
      <c r="V499" s="27" t="str">
        <f ca="1">IFERROR(__xludf.DUMMYFUNCTION("""COMPUTED_VALUE"""),"Moradores de Favelas; Povos Indígenas; Quilombola; Afrodescendentes; Pessoas com Deficiência; Ribeirinhos; Comunidade rural")</f>
        <v>Moradores de Favelas; Povos Indígenas; Quilombola; Afrodescendentes; Pessoas com Deficiência; Ribeirinhos; Comunidade rural</v>
      </c>
      <c r="W499" s="27">
        <f ca="1">IFERROR(__xludf.DUMMYFUNCTION("""COMPUTED_VALUE"""),10)</f>
        <v>10</v>
      </c>
      <c r="X499" s="27"/>
      <c r="Y499" s="27"/>
      <c r="Z499" s="27">
        <f ca="1">IFERROR(__xludf.DUMMYFUNCTION("""COMPUTED_VALUE"""),5000)</f>
        <v>5000</v>
      </c>
      <c r="AA499" s="29">
        <f ca="1">IFERROR(__xludf.DUMMYFUNCTION("""COMPUTED_VALUE"""),44220)</f>
        <v>44220</v>
      </c>
      <c r="AB499" s="27" t="str">
        <f ca="1">IFERROR(__xludf.DUMMYFUNCTION("""COMPUTED_VALUE"""),"Não")</f>
        <v>Não</v>
      </c>
      <c r="AC499" s="27">
        <f ca="1">IFERROR(__xludf.DUMMYFUNCTION("""COMPUTED_VALUE"""),0)</f>
        <v>0</v>
      </c>
      <c r="AD499" s="27">
        <f ca="1">IFERROR(__xludf.DUMMYFUNCTION("""COMPUTED_VALUE"""),0)</f>
        <v>0</v>
      </c>
      <c r="AE499" s="27">
        <f ca="1">IFERROR(__xludf.DUMMYFUNCTION("""COMPUTED_VALUE"""),30)</f>
        <v>30</v>
      </c>
      <c r="AF499" s="27">
        <f ca="1">IFERROR(__xludf.DUMMYFUNCTION("""COMPUTED_VALUE"""),25)</f>
        <v>25</v>
      </c>
      <c r="AG499" s="27">
        <f ca="1">IFERROR(__xludf.DUMMYFUNCTION("""COMPUTED_VALUE"""),2)</f>
        <v>2</v>
      </c>
      <c r="AH499" s="27" t="str">
        <f ca="1">IFERROR(__xludf.DUMMYFUNCTION("""COMPUTED_VALUE"""),"Doações")</f>
        <v>Doações</v>
      </c>
      <c r="AI499" s="27" t="str">
        <f ca="1">IFERROR(__xludf.DUMMYFUNCTION("""COMPUTED_VALUE"""),"Não")</f>
        <v>Não</v>
      </c>
      <c r="AJ499" s="27"/>
      <c r="AK499" s="27"/>
      <c r="AL499" s="21" t="str">
        <f ca="1">IFERROR(__xludf.DUMMYFUNCTION("""COMPUTED_VALUE"""),"0034P000045kxiG")</f>
        <v>0034P000045kxiG</v>
      </c>
      <c r="AM499" s="27" t="str">
        <f ca="1">IFERROR(__xludf.DUMMYFUNCTION("""COMPUTED_VALUE"""),"De Cássia Ferreira Do Sacramento")</f>
        <v>De Cássia Ferreira Do Sacramento</v>
      </c>
      <c r="AN499" s="27" t="str">
        <f ca="1">IFERROR(__xludf.DUMMYFUNCTION("""COMPUTED_VALUE"""),"Ativo")</f>
        <v>Ativo</v>
      </c>
      <c r="AO499" s="30">
        <f ca="1">IFERROR(__xludf.DUMMYFUNCTION("""COMPUTED_VALUE"""),44551)</f>
        <v>44551</v>
      </c>
      <c r="AP499" s="27">
        <f ca="1">IFERROR(__xludf.DUMMYFUNCTION("""COMPUTED_VALUE"""),9)</f>
        <v>9</v>
      </c>
      <c r="AQ499" s="27" t="str">
        <f ca="1">IFERROR(__xludf.DUMMYFUNCTION("""COMPUTED_VALUE"""),"Segundo Semestre 2021")</f>
        <v>Segundo Semestre 2021</v>
      </c>
      <c r="AR499" s="27" t="str">
        <f ca="1">IFERROR(__xludf.DUMMYFUNCTION("""COMPUTED_VALUE"""),"2013ritasacramento@gmail.com")</f>
        <v>2013ritasacramento@gmail.com</v>
      </c>
      <c r="AS499" s="27" t="str">
        <f ca="1">IFERROR(__xludf.DUMMYFUNCTION("""COMPUTED_VALUE"""),"(71)99227-6880")</f>
        <v>(71)99227-6880</v>
      </c>
      <c r="AT499" s="29">
        <f ca="1">IFERROR(__xludf.DUMMYFUNCTION("""COMPUTED_VALUE"""),29644)</f>
        <v>29644</v>
      </c>
      <c r="AU499" s="27">
        <f ca="1">IFERROR(__xludf.DUMMYFUNCTION("""COMPUTED_VALUE"""),41)</f>
        <v>41</v>
      </c>
      <c r="AV499" s="27">
        <f ca="1">IFERROR(__xludf.DUMMYFUNCTION("""COMPUTED_VALUE"""),79233619591)</f>
        <v>79233619591</v>
      </c>
      <c r="AW499" s="27">
        <f ca="1">IFERROR(__xludf.DUMMYFUNCTION("""COMPUTED_VALUE"""),664123317)</f>
        <v>664123317</v>
      </c>
      <c r="AX499" s="27"/>
      <c r="AY499" s="27"/>
      <c r="AZ499" s="27" t="str">
        <f ca="1">IFERROR(__xludf.DUMMYFUNCTION("""COMPUTED_VALUE"""),"G1")</f>
        <v>G1</v>
      </c>
      <c r="BA499" s="27" t="str">
        <f ca="1">IFERROR(__xludf.DUMMYFUNCTION("""COMPUTED_VALUE"""),"Preta")</f>
        <v>Preta</v>
      </c>
      <c r="BB499" s="27" t="str">
        <f ca="1">IFERROR(__xludf.DUMMYFUNCTION("""COMPUTED_VALUE"""),"Mulher, cisgênero")</f>
        <v>Mulher, cisgênero</v>
      </c>
      <c r="BC499" s="27" t="str">
        <f ca="1">IFERROR(__xludf.DUMMYFUNCTION("""COMPUTED_VALUE"""),"Sim")</f>
        <v>Sim</v>
      </c>
      <c r="BD499" s="27" t="str">
        <f ca="1">IFERROR(__xludf.DUMMYFUNCTION("""COMPUTED_VALUE"""),"Rita Sacramento, Gestora Social que atua a partir do coletivo na OSC Ponto Social, contribuindo nas ações que possibilitem as mulheres negras das periferias obterem informações qualificadas, conhecimentos e técnicas para oportunidades, de trabalho e geraç"&amp;"ão renda. Assim busco valorizar as práticas inovadoras, comunitárias e coletivas.
Nessa atuação temos resultados de intervir através dos eixos automia e liberdade e a valorização da identidade territorial .")</f>
        <v>Rita Sacramento, Gestora Social que atua a partir do coletivo na OSC Ponto Social, contribuindo nas ações que possibilitem as mulheres negras das periferias obterem informações qualificadas, conhecimentos e técnicas para oportunidades, de trabalho e geração renda. Assim busco valorizar as práticas inovadoras, comunitárias e coletivas.
Nessa atuação temos resultados de intervir através dos eixos automia e liberdade e a valorização da identidade territorial .</v>
      </c>
      <c r="BE499" s="27"/>
      <c r="BF499" s="27" t="str">
        <f ca="1">IFERROR(__xludf.DUMMYFUNCTION("""COMPUTED_VALUE"""),"Heterossexual")</f>
        <v>Heterossexual</v>
      </c>
      <c r="BG499" s="27" t="str">
        <f ca="1">IFERROR(__xludf.DUMMYFUNCTION("""COMPUTED_VALUE"""),"Ensino Superior - Completo")</f>
        <v>Ensino Superior - Completo</v>
      </c>
      <c r="BH499" s="27" t="str">
        <f ca="1">IFERROR(__xludf.DUMMYFUNCTION("""COMPUTED_VALUE"""),"Público")</f>
        <v>Público</v>
      </c>
      <c r="BI499" s="27" t="str">
        <f ca="1">IFERROR(__xludf.DUMMYFUNCTION("""COMPUTED_VALUE"""),"Graduação")</f>
        <v>Graduação</v>
      </c>
      <c r="BJ499" s="27" t="str">
        <f ca="1">IFERROR(__xludf.DUMMYFUNCTION("""COMPUTED_VALUE"""),"Privado")</f>
        <v>Privado</v>
      </c>
      <c r="BK499" s="27" t="str">
        <f ca="1">IFERROR(__xludf.DUMMYFUNCTION("""COMPUTED_VALUE"""),"Rua do Curuzu")</f>
        <v>Rua do Curuzu</v>
      </c>
      <c r="BL499" s="27">
        <f ca="1">IFERROR(__xludf.DUMMYFUNCTION("""COMPUTED_VALUE"""),225)</f>
        <v>225</v>
      </c>
      <c r="BM499" s="27"/>
      <c r="BN499" s="27" t="str">
        <f ca="1">IFERROR(__xludf.DUMMYFUNCTION("""COMPUTED_VALUE"""),"Salvador")</f>
        <v>Salvador</v>
      </c>
      <c r="BO499" s="27" t="str">
        <f ca="1">IFERROR(__xludf.DUMMYFUNCTION("""COMPUTED_VALUE"""),"40366-110")</f>
        <v>40366-110</v>
      </c>
      <c r="BP499" s="27" t="str">
        <f ca="1">IFERROR(__xludf.DUMMYFUNCTION("""COMPUTED_VALUE"""),"BA")</f>
        <v>BA</v>
      </c>
      <c r="BQ499" s="27" t="str">
        <f ca="1">IFERROR(__xludf.DUMMYFUNCTION("""COMPUTED_VALUE"""),"Entre 1 até 3 salários mínimos")</f>
        <v>Entre 1 até 3 salários mínimos</v>
      </c>
      <c r="BR499" s="27" t="str">
        <f ca="1">IFERROR(__xludf.DUMMYFUNCTION("""COMPUTED_VALUE"""),"Desempregado")</f>
        <v>Desempregado</v>
      </c>
      <c r="BS499" s="27" t="str">
        <f ca="1">IFERROR(__xludf.DUMMYFUNCTION("""COMPUTED_VALUE"""),"Casa própria")</f>
        <v>Casa própria</v>
      </c>
      <c r="BT499" s="27">
        <f ca="1">IFERROR(__xludf.DUMMYFUNCTION("""COMPUTED_VALUE"""),5)</f>
        <v>5</v>
      </c>
      <c r="BU499" s="27" t="str">
        <f ca="1">IFERROR(__xludf.DUMMYFUNCTION("""COMPUTED_VALUE"""),"Não tem")</f>
        <v>Não tem</v>
      </c>
      <c r="BV499" s="27"/>
      <c r="BW499" s="27"/>
      <c r="BX499" s="27" t="str">
        <f ca="1">IFERROR(__xludf.DUMMYFUNCTION("""COMPUTED_VALUE"""),"@maesempreendedorasdafavela")</f>
        <v>@maesempreendedorasdafavela</v>
      </c>
      <c r="BY499" s="21" t="str">
        <f ca="1">IFERROR(__xludf.DUMMYFUNCTION("""COMPUTED_VALUE"""),"https://drive.google.com/open?id=1474di_mZjxJXashfmEj3vgYAsZq5yuvO")</f>
        <v>https://drive.google.com/open?id=1474di_mZjxJXashfmEj3vgYAsZq5yuvO</v>
      </c>
    </row>
    <row r="500" spans="1:77" ht="12.5" x14ac:dyDescent="0.25">
      <c r="A500" s="21" t="str">
        <f ca="1">IFERROR(__xludf.DUMMYFUNCTION("""COMPUTED_VALUE"""),"0014X00002PUOdWQAX")</f>
        <v>0014X00002PUOdWQAX</v>
      </c>
      <c r="B500" s="27" t="str">
        <f ca="1">IFERROR(__xludf.DUMMYFUNCTION("""COMPUTED_VALUE"""),"Fase Inicial")</f>
        <v>Fase Inicial</v>
      </c>
      <c r="C500" s="27" t="str">
        <f ca="1">IFERROR(__xludf.DUMMYFUNCTION("""COMPUTED_VALUE"""),"Fellow")</f>
        <v>Fellow</v>
      </c>
      <c r="D500" s="27" t="str">
        <f ca="1">IFERROR(__xludf.DUMMYFUNCTION("""COMPUTED_VALUE"""),"Ativo")</f>
        <v>Ativo</v>
      </c>
      <c r="E500" s="27" t="str">
        <f ca="1">IFERROR(__xludf.DUMMYFUNCTION("""COMPUTED_VALUE"""),"PALAVRAS ENCANTADAS")</f>
        <v>PALAVRAS ENCANTADAS</v>
      </c>
      <c r="F500" s="27" t="str">
        <f ca="1">IFERROR(__xludf.DUMMYFUNCTION("""COMPUTED_VALUE"""),"Pedro Augusto")</f>
        <v>Pedro Augusto</v>
      </c>
      <c r="G500" s="27" t="str">
        <f ca="1">IFERROR(__xludf.DUMMYFUNCTION("""COMPUTED_VALUE"""),"PALAVRAS ENCANTADAS")</f>
        <v>PALAVRAS ENCANTADAS</v>
      </c>
      <c r="H500" s="27" t="str">
        <f ca="1">IFERROR(__xludf.DUMMYFUNCTION("""COMPUTED_VALUE"""),"26.406.261/0001-08")</f>
        <v>26.406.261/0001-08</v>
      </c>
      <c r="I500" s="27" t="str">
        <f ca="1">IFERROR(__xludf.DUMMYFUNCTION("""COMPUTED_VALUE"""),"Francisco de Assis Balbino Sobrinho")</f>
        <v>Francisco de Assis Balbino Sobrinho</v>
      </c>
      <c r="J500" s="27"/>
      <c r="K500" s="27" t="str">
        <f ca="1">IFERROR(__xludf.DUMMYFUNCTION("""COMPUTED_VALUE"""),"(32)8800-7547")</f>
        <v>(32)8800-7547</v>
      </c>
      <c r="L500" s="27" t="str">
        <f ca="1">IFERROR(__xludf.DUMMYFUNCTION("""COMPUTED_VALUE"""),"MG")</f>
        <v>MG</v>
      </c>
      <c r="M500" s="27" t="str">
        <f ca="1">IFERROR(__xludf.DUMMYFUNCTION("""COMPUTED_VALUE"""),"Cecília Breves")</f>
        <v>Cecília Breves</v>
      </c>
      <c r="N500" s="27" t="str">
        <f ca="1">IFERROR(__xludf.DUMMYFUNCTION("""COMPUTED_VALUE"""),"Morro Nossa Senhora da Conceição")</f>
        <v>Morro Nossa Senhora da Conceição</v>
      </c>
      <c r="O500" s="27" t="str">
        <f ca="1">IFERROR(__xludf.DUMMYFUNCTION("""COMPUTED_VALUE"""),"(32)98887-9662")</f>
        <v>(32)98887-9662</v>
      </c>
      <c r="P500" s="27" t="str">
        <f ca="1">IFERROR(__xludf.DUMMYFUNCTION("""COMPUTED_VALUE"""),"Além Paraíba")</f>
        <v>Além Paraíba</v>
      </c>
      <c r="Q500" s="27"/>
      <c r="R500" s="27" t="str">
        <f ca="1">IFERROR(__xludf.DUMMYFUNCTION("""COMPUTED_VALUE"""),"36660-000")</f>
        <v>36660-000</v>
      </c>
      <c r="S500" s="27"/>
      <c r="T500" s="27" t="str">
        <f ca="1">IFERROR(__xludf.DUMMYFUNCTION("""COMPUTED_VALUE"""),"Educação; Assistência Social; Cultura")</f>
        <v>Educação; Assistência Social; Cultura</v>
      </c>
      <c r="U500"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500" s="27" t="str">
        <f ca="1">IFERROR(__xludf.DUMMYFUNCTION("""COMPUTED_VALUE"""),"Moradores de Favelas")</f>
        <v>Moradores de Favelas</v>
      </c>
      <c r="W500" s="27">
        <f ca="1">IFERROR(__xludf.DUMMYFUNCTION("""COMPUTED_VALUE"""),5)</f>
        <v>5</v>
      </c>
      <c r="X500" s="27" t="str">
        <f ca="1">IFERROR(__xludf.DUMMYFUNCTION("""COMPUTED_VALUE"""),"População de baixa renda, pessoas em situações de vulnerabilidade social. Crianças e jovens com potencial incrível para aprender")</f>
        <v>População de baixa renda, pessoas em situações de vulnerabilidade social. Crianças e jovens com potencial incrível para aprender</v>
      </c>
      <c r="Y500" s="27"/>
      <c r="Z500" s="27">
        <f ca="1">IFERROR(__xludf.DUMMYFUNCTION("""COMPUTED_VALUE"""),400)</f>
        <v>400</v>
      </c>
      <c r="AA500" s="27"/>
      <c r="AB500" s="27" t="str">
        <f ca="1">IFERROR(__xludf.DUMMYFUNCTION("""COMPUTED_VALUE"""),"Sim")</f>
        <v>Sim</v>
      </c>
      <c r="AC500" s="27">
        <f ca="1">IFERROR(__xludf.DUMMYFUNCTION("""COMPUTED_VALUE"""),10)</f>
        <v>10</v>
      </c>
      <c r="AD500" s="27">
        <f ca="1">IFERROR(__xludf.DUMMYFUNCTION("""COMPUTED_VALUE"""),5)</f>
        <v>5</v>
      </c>
      <c r="AE500" s="27">
        <f ca="1">IFERROR(__xludf.DUMMYFUNCTION("""COMPUTED_VALUE"""),15)</f>
        <v>15</v>
      </c>
      <c r="AF500" s="27">
        <f ca="1">IFERROR(__xludf.DUMMYFUNCTION("""COMPUTED_VALUE"""),3)</f>
        <v>3</v>
      </c>
      <c r="AG500" s="27">
        <f ca="1">IFERROR(__xludf.DUMMYFUNCTION("""COMPUTED_VALUE"""),0)</f>
        <v>0</v>
      </c>
      <c r="AH500" s="27" t="str">
        <f ca="1">IFERROR(__xludf.DUMMYFUNCTION("""COMPUTED_VALUE"""),"Eventos/Ações para captação")</f>
        <v>Eventos/Ações para captação</v>
      </c>
      <c r="AI500" s="31">
        <f ca="1">IFERROR(__xludf.DUMMYFUNCTION("""COMPUTED_VALUE"""),1)</f>
        <v>1</v>
      </c>
      <c r="AJ500" s="27" t="str">
        <f ca="1">IFERROR(__xludf.DUMMYFUNCTION("""COMPUTED_VALUE"""),"Vamos iniciar esse ano")</f>
        <v>Vamos iniciar esse ano</v>
      </c>
      <c r="AK500" s="27" t="str">
        <f ca="1">IFERROR(__xludf.DUMMYFUNCTION("""COMPUTED_VALUE"""),"Não")</f>
        <v>Não</v>
      </c>
      <c r="AL500" s="21" t="str">
        <f ca="1">IFERROR(__xludf.DUMMYFUNCTION("""COMPUTED_VALUE"""),"0034X000032HsKK")</f>
        <v>0034X000032HsKK</v>
      </c>
      <c r="AM500" s="27" t="str">
        <f ca="1">IFERROR(__xludf.DUMMYFUNCTION("""COMPUTED_VALUE"""),"Costa")</f>
        <v>Costa</v>
      </c>
      <c r="AN500" s="27" t="str">
        <f ca="1">IFERROR(__xludf.DUMMYFUNCTION("""COMPUTED_VALUE"""),"Ativo")</f>
        <v>Ativo</v>
      </c>
      <c r="AO500" s="30">
        <f ca="1">IFERROR(__xludf.DUMMYFUNCTION("""COMPUTED_VALUE"""),44487)</f>
        <v>44487</v>
      </c>
      <c r="AP500" s="27">
        <f ca="1">IFERROR(__xludf.DUMMYFUNCTION("""COMPUTED_VALUE"""),11)</f>
        <v>11</v>
      </c>
      <c r="AQ500" s="27" t="str">
        <f ca="1">IFERROR(__xludf.DUMMYFUNCTION("""COMPUTED_VALUE"""),"Primeiro Semestre 2021")</f>
        <v>Primeiro Semestre 2021</v>
      </c>
      <c r="AR500" s="27" t="str">
        <f ca="1">IFERROR(__xludf.DUMMYFUNCTION("""COMPUTED_VALUE"""),"pedroarochacosta@gmail.com")</f>
        <v>pedroarochacosta@gmail.com</v>
      </c>
      <c r="AS500" s="27"/>
      <c r="AT500" s="29">
        <f ca="1">IFERROR(__xludf.DUMMYFUNCTION("""COMPUTED_VALUE"""),25018)</f>
        <v>25018</v>
      </c>
      <c r="AU500" s="27">
        <f ca="1">IFERROR(__xludf.DUMMYFUNCTION("""COMPUTED_VALUE"""),54)</f>
        <v>54</v>
      </c>
      <c r="AV500" s="27">
        <f ca="1">IFERROR(__xludf.DUMMYFUNCTION("""COMPUTED_VALUE"""),68794878668)</f>
        <v>68794878668</v>
      </c>
      <c r="AW500" s="27">
        <f ca="1">IFERROR(__xludf.DUMMYFUNCTION("""COMPUTED_VALUE"""),4473565)</f>
        <v>4473565</v>
      </c>
      <c r="AX500" s="27" t="str">
        <f ca="1">IFERROR(__xludf.DUMMYFUNCTION("""COMPUTED_VALUE"""),"Educador Musical")</f>
        <v>Educador Musical</v>
      </c>
      <c r="AY500" s="27"/>
      <c r="AZ500" s="27"/>
      <c r="BA500" s="27"/>
      <c r="BB500" s="27"/>
      <c r="BC500" s="27" t="str">
        <f ca="1">IFERROR(__xludf.DUMMYFUNCTION("""COMPUTED_VALUE"""),"Não")</f>
        <v>Não</v>
      </c>
      <c r="BD500" s="27"/>
      <c r="BE500" s="27" t="str">
        <f ca="1">IFERROR(__xludf.DUMMYFUNCTION("""COMPUTED_VALUE"""),"Masculino")</f>
        <v>Masculino</v>
      </c>
      <c r="BF500" s="27"/>
      <c r="BG500" s="27" t="str">
        <f ca="1">IFERROR(__xludf.DUMMYFUNCTION("""COMPUTED_VALUE"""),"Ensino Superior - Incompleto")</f>
        <v>Ensino Superior - Incompleto</v>
      </c>
      <c r="BH500" s="27" t="str">
        <f ca="1">IFERROR(__xludf.DUMMYFUNCTION("""COMPUTED_VALUE"""),"Público")</f>
        <v>Público</v>
      </c>
      <c r="BI500" s="27" t="str">
        <f ca="1">IFERROR(__xludf.DUMMYFUNCTION("""COMPUTED_VALUE"""),"Graduação")</f>
        <v>Graduação</v>
      </c>
      <c r="BJ500" s="27" t="str">
        <f ca="1">IFERROR(__xludf.DUMMYFUNCTION("""COMPUTED_VALUE"""),"Privado")</f>
        <v>Privado</v>
      </c>
      <c r="BK500" s="27" t="str">
        <f ca="1">IFERROR(__xludf.DUMMYFUNCTION("""COMPUTED_VALUE"""),"Rua José Neto, 1")</f>
        <v>Rua José Neto, 1</v>
      </c>
      <c r="BL500" s="27">
        <f ca="1">IFERROR(__xludf.DUMMYFUNCTION("""COMPUTED_VALUE"""),1)</f>
        <v>1</v>
      </c>
      <c r="BM500" s="27"/>
      <c r="BN500" s="27" t="str">
        <f ca="1">IFERROR(__xludf.DUMMYFUNCTION("""COMPUTED_VALUE"""),"Além Paraíba")</f>
        <v>Além Paraíba</v>
      </c>
      <c r="BO500" s="27" t="str">
        <f ca="1">IFERROR(__xludf.DUMMYFUNCTION("""COMPUTED_VALUE"""),"36660-000")</f>
        <v>36660-000</v>
      </c>
      <c r="BP500" s="27" t="str">
        <f ca="1">IFERROR(__xludf.DUMMYFUNCTION("""COMPUTED_VALUE"""),"MG")</f>
        <v>MG</v>
      </c>
      <c r="BQ500" s="27" t="str">
        <f ca="1">IFERROR(__xludf.DUMMYFUNCTION("""COMPUTED_VALUE"""),"Entre 1 até 3 salários mínimos")</f>
        <v>Entre 1 até 3 salários mínimos</v>
      </c>
      <c r="BR500" s="27" t="str">
        <f ca="1">IFERROR(__xludf.DUMMYFUNCTION("""COMPUTED_VALUE"""),"Desempregado")</f>
        <v>Desempregado</v>
      </c>
      <c r="BS500" s="27" t="str">
        <f ca="1">IFERROR(__xludf.DUMMYFUNCTION("""COMPUTED_VALUE"""),"Casa cedida")</f>
        <v>Casa cedida</v>
      </c>
      <c r="BT500" s="27">
        <f ca="1">IFERROR(__xludf.DUMMYFUNCTION("""COMPUTED_VALUE"""),3)</f>
        <v>3</v>
      </c>
      <c r="BU500" s="27"/>
      <c r="BV500" s="27"/>
      <c r="BW500" s="21" t="str">
        <f ca="1">IFERROR(__xludf.DUMMYFUNCTION("""COMPUTED_VALUE"""),"www.linkedin.com/in/pedroarocha")</f>
        <v>www.linkedin.com/in/pedroarocha</v>
      </c>
      <c r="BX500" s="21" t="str">
        <f ca="1">IFERROR(__xludf.DUMMYFUNCTION("""COMPUTED_VALUE"""),"instagram.com/pedrorochacosta")</f>
        <v>instagram.com/pedrorochacosta</v>
      </c>
      <c r="BY500" s="27"/>
    </row>
    <row r="501" spans="1:77" ht="12.5" x14ac:dyDescent="0.25">
      <c r="A501" s="21" t="str">
        <f ca="1">IFERROR(__xludf.DUMMYFUNCTION("""COMPUTED_VALUE"""),"0014P00003YSp9BQAT")</f>
        <v>0014P00003YSp9BQAT</v>
      </c>
      <c r="B501" s="27" t="str">
        <f ca="1">IFERROR(__xludf.DUMMYFUNCTION("""COMPUTED_VALUE"""),"Fase Inicial")</f>
        <v>Fase Inicial</v>
      </c>
      <c r="C501" s="27" t="str">
        <f ca="1">IFERROR(__xludf.DUMMYFUNCTION("""COMPUTED_VALUE"""),"Fellow")</f>
        <v>Fellow</v>
      </c>
      <c r="D501" s="27" t="str">
        <f ca="1">IFERROR(__xludf.DUMMYFUNCTION("""COMPUTED_VALUE"""),"Ativo")</f>
        <v>Ativo</v>
      </c>
      <c r="E501" s="27" t="str">
        <f ca="1">IFERROR(__xludf.DUMMYFUNCTION("""COMPUTED_VALUE"""),"Patronato Juvenil Garcense")</f>
        <v>Patronato Juvenil Garcense</v>
      </c>
      <c r="F501" s="27" t="str">
        <f ca="1">IFERROR(__xludf.DUMMYFUNCTION("""COMPUTED_VALUE"""),"Eliane")</f>
        <v>Eliane</v>
      </c>
      <c r="G501" s="27"/>
      <c r="H501" s="27">
        <f ca="1">IFERROR(__xludf.DUMMYFUNCTION("""COMPUTED_VALUE"""),48211924000163)</f>
        <v>48211924000163</v>
      </c>
      <c r="I501" s="27" t="str">
        <f ca="1">IFERROR(__xludf.DUMMYFUNCTION("""COMPUTED_VALUE"""),"Ricardo Alexandre Valsechi Conessa")</f>
        <v>Ricardo Alexandre Valsechi Conessa</v>
      </c>
      <c r="J501" s="27" t="str">
        <f ca="1">IFERROR(__xludf.DUMMYFUNCTION("""COMPUTED_VALUE"""),"patronatojuvenil@gmail.com")</f>
        <v>patronatojuvenil@gmail.com</v>
      </c>
      <c r="K501" s="27" t="str">
        <f ca="1">IFERROR(__xludf.DUMMYFUNCTION("""COMPUTED_VALUE"""),"(14)98168-9087")</f>
        <v>(14)98168-9087</v>
      </c>
      <c r="L501" s="27" t="str">
        <f ca="1">IFERROR(__xludf.DUMMYFUNCTION("""COMPUTED_VALUE"""),"SP")</f>
        <v>SP</v>
      </c>
      <c r="M501" s="27" t="str">
        <f ca="1">IFERROR(__xludf.DUMMYFUNCTION("""COMPUTED_VALUE"""),"Gabriela")</f>
        <v>Gabriela</v>
      </c>
      <c r="N501" s="27" t="str">
        <f ca="1">IFERROR(__xludf.DUMMYFUNCTION("""COMPUTED_VALUE"""),"Araceli")</f>
        <v>Araceli</v>
      </c>
      <c r="O501" s="27">
        <f ca="1">IFERROR(__xludf.DUMMYFUNCTION("""COMPUTED_VALUE"""),1394)</f>
        <v>1394</v>
      </c>
      <c r="P501" s="27" t="str">
        <f ca="1">IFERROR(__xludf.DUMMYFUNCTION("""COMPUTED_VALUE"""),"Garça")</f>
        <v>Garça</v>
      </c>
      <c r="Q501" s="27"/>
      <c r="R501" s="27" t="str">
        <f ca="1">IFERROR(__xludf.DUMMYFUNCTION("""COMPUTED_VALUE"""),"17404-400")</f>
        <v>17404-400</v>
      </c>
      <c r="S501" s="27"/>
      <c r="T501" s="27"/>
      <c r="U501" s="27"/>
      <c r="V501" s="27"/>
      <c r="W501" s="27">
        <f ca="1">IFERROR(__xludf.DUMMYFUNCTION("""COMPUTED_VALUE"""),120)</f>
        <v>120</v>
      </c>
      <c r="X501" s="27" t="str">
        <f ca="1">IFERROR(__xludf.DUMMYFUNCTION("""COMPUTED_VALUE"""),"Trabalhamos com o contra turno escolar uma Instituição que trabalha com crianças e adolescentes .")</f>
        <v>Trabalhamos com o contra turno escolar uma Instituição que trabalha com crianças e adolescentes .</v>
      </c>
      <c r="Y501" s="27"/>
      <c r="Z501" s="27">
        <f ca="1">IFERROR(__xludf.DUMMYFUNCTION("""COMPUTED_VALUE"""),118)</f>
        <v>118</v>
      </c>
      <c r="AA501" s="29">
        <f ca="1">IFERROR(__xludf.DUMMYFUNCTION("""COMPUTED_VALUE"""),20505)</f>
        <v>20505</v>
      </c>
      <c r="AB501" s="27" t="str">
        <f ca="1">IFERROR(__xludf.DUMMYFUNCTION("""COMPUTED_VALUE"""),"Sim")</f>
        <v>Sim</v>
      </c>
      <c r="AC501" s="27">
        <f ca="1">IFERROR(__xludf.DUMMYFUNCTION("""COMPUTED_VALUE"""),24)</f>
        <v>24</v>
      </c>
      <c r="AD501" s="27"/>
      <c r="AE501" s="27">
        <f ca="1">IFERROR(__xludf.DUMMYFUNCTION("""COMPUTED_VALUE"""),3)</f>
        <v>3</v>
      </c>
      <c r="AF501" s="27"/>
      <c r="AG501" s="27">
        <f ca="1">IFERROR(__xludf.DUMMYFUNCTION("""COMPUTED_VALUE"""),4)</f>
        <v>4</v>
      </c>
      <c r="AH501" s="27"/>
      <c r="AI501" s="27"/>
      <c r="AJ501" s="27"/>
      <c r="AK501" s="27"/>
      <c r="AL501" s="21" t="str">
        <f ca="1">IFERROR(__xludf.DUMMYFUNCTION("""COMPUTED_VALUE"""),"0034P000045kxjn")</f>
        <v>0034P000045kxjn</v>
      </c>
      <c r="AM501" s="27" t="str">
        <f ca="1">IFERROR(__xludf.DUMMYFUNCTION("""COMPUTED_VALUE"""),"Eliane Aparecida de Oliveira Moretti de Souza")</f>
        <v>Eliane Aparecida de Oliveira Moretti de Souza</v>
      </c>
      <c r="AN501" s="27" t="str">
        <f ca="1">IFERROR(__xludf.DUMMYFUNCTION("""COMPUTED_VALUE"""),"Ativo")</f>
        <v>Ativo</v>
      </c>
      <c r="AO501" s="30">
        <f ca="1">IFERROR(__xludf.DUMMYFUNCTION("""COMPUTED_VALUE"""),44551)</f>
        <v>44551</v>
      </c>
      <c r="AP501" s="27">
        <f ca="1">IFERROR(__xludf.DUMMYFUNCTION("""COMPUTED_VALUE"""),9)</f>
        <v>9</v>
      </c>
      <c r="AQ501" s="27" t="str">
        <f ca="1">IFERROR(__xludf.DUMMYFUNCTION("""COMPUTED_VALUE"""),"Segundo Semestre 2021")</f>
        <v>Segundo Semestre 2021</v>
      </c>
      <c r="AR501" s="27" t="str">
        <f ca="1">IFERROR(__xludf.DUMMYFUNCTION("""COMPUTED_VALUE"""),"elianamoretti688@gmail.com")</f>
        <v>elianamoretti688@gmail.com</v>
      </c>
      <c r="AS501" s="27" t="str">
        <f ca="1">IFERROR(__xludf.DUMMYFUNCTION("""COMPUTED_VALUE"""),"(14)98178-9087")</f>
        <v>(14)98178-9087</v>
      </c>
      <c r="AT501" s="29">
        <f ca="1">IFERROR(__xludf.DUMMYFUNCTION("""COMPUTED_VALUE"""),26802)</f>
        <v>26802</v>
      </c>
      <c r="AU501" s="27">
        <f ca="1">IFERROR(__xludf.DUMMYFUNCTION("""COMPUTED_VALUE"""),49)</f>
        <v>49</v>
      </c>
      <c r="AV501" s="27">
        <f ca="1">IFERROR(__xludf.DUMMYFUNCTION("""COMPUTED_VALUE"""),17056168876)</f>
        <v>17056168876</v>
      </c>
      <c r="AW501" s="27">
        <f ca="1">IFERROR(__xludf.DUMMYFUNCTION("""COMPUTED_VALUE"""),242794294)</f>
        <v>242794294</v>
      </c>
      <c r="AX501" s="27"/>
      <c r="AY501" s="27"/>
      <c r="AZ501" s="27" t="str">
        <f ca="1">IFERROR(__xludf.DUMMYFUNCTION("""COMPUTED_VALUE"""),"G")</f>
        <v>G</v>
      </c>
      <c r="BA501" s="27" t="str">
        <f ca="1">IFERROR(__xludf.DUMMYFUNCTION("""COMPUTED_VALUE"""),"Parda")</f>
        <v>Parda</v>
      </c>
      <c r="BB501" s="27" t="str">
        <f ca="1">IFERROR(__xludf.DUMMYFUNCTION("""COMPUTED_VALUE"""),"Mulher, cisgênero")</f>
        <v>Mulher, cisgênero</v>
      </c>
      <c r="BC501" s="27" t="str">
        <f ca="1">IFERROR(__xludf.DUMMYFUNCTION("""COMPUTED_VALUE"""),"Não")</f>
        <v>Não</v>
      </c>
      <c r="BD501" s="27" t="str">
        <f ca="1">IFERROR(__xludf.DUMMYFUNCTION("""COMPUTED_VALUE"""),"Eu trabalho de Assistente Social em dois lugares 
No Patronato Juvenil Garcense e no Hospital André Luis. Amo o meu trabalho e estou aprendendo a cada dia.")</f>
        <v>Eu trabalho de Assistente Social em dois lugares 
No Patronato Juvenil Garcense e no Hospital André Luis. Amo o meu trabalho e estou aprendendo a cada dia.</v>
      </c>
      <c r="BE501" s="27"/>
      <c r="BF501" s="27" t="str">
        <f ca="1">IFERROR(__xludf.DUMMYFUNCTION("""COMPUTED_VALUE"""),"Heterossexual")</f>
        <v>Heterossexual</v>
      </c>
      <c r="BG501" s="27" t="str">
        <f ca="1">IFERROR(__xludf.DUMMYFUNCTION("""COMPUTED_VALUE"""),"Ensino Superior - Completo")</f>
        <v>Ensino Superior - Completo</v>
      </c>
      <c r="BH501" s="27" t="str">
        <f ca="1">IFERROR(__xludf.DUMMYFUNCTION("""COMPUTED_VALUE"""),"Público")</f>
        <v>Público</v>
      </c>
      <c r="BI501" s="27" t="str">
        <f ca="1">IFERROR(__xludf.DUMMYFUNCTION("""COMPUTED_VALUE"""),"Graduação")</f>
        <v>Graduação</v>
      </c>
      <c r="BJ501" s="27" t="str">
        <f ca="1">IFERROR(__xludf.DUMMYFUNCTION("""COMPUTED_VALUE"""),"Privado")</f>
        <v>Privado</v>
      </c>
      <c r="BK501" s="27" t="str">
        <f ca="1">IFERROR(__xludf.DUMMYFUNCTION("""COMPUTED_VALUE"""),"São Carlos")</f>
        <v>São Carlos</v>
      </c>
      <c r="BL501" s="27">
        <f ca="1">IFERROR(__xludf.DUMMYFUNCTION("""COMPUTED_VALUE"""),167)</f>
        <v>167</v>
      </c>
      <c r="BM501" s="27" t="str">
        <f ca="1">IFERROR(__xludf.DUMMYFUNCTION("""COMPUTED_VALUE"""),"Casa")</f>
        <v>Casa</v>
      </c>
      <c r="BN501" s="27" t="str">
        <f ca="1">IFERROR(__xludf.DUMMYFUNCTION("""COMPUTED_VALUE"""),"Garça")</f>
        <v>Garça</v>
      </c>
      <c r="BO501" s="27" t="str">
        <f ca="1">IFERROR(__xludf.DUMMYFUNCTION("""COMPUTED_VALUE"""),"17400-108")</f>
        <v>17400-108</v>
      </c>
      <c r="BP501" s="27" t="str">
        <f ca="1">IFERROR(__xludf.DUMMYFUNCTION("""COMPUTED_VALUE"""),"SP")</f>
        <v>SP</v>
      </c>
      <c r="BQ501" s="27" t="str">
        <f ca="1">IFERROR(__xludf.DUMMYFUNCTION("""COMPUTED_VALUE"""),"De 3 até 5 salários mínimos")</f>
        <v>De 3 até 5 salários mínimos</v>
      </c>
      <c r="BR501" s="27" t="str">
        <f ca="1">IFERROR(__xludf.DUMMYFUNCTION("""COMPUTED_VALUE"""),"CLT; Funcionário Público")</f>
        <v>CLT; Funcionário Público</v>
      </c>
      <c r="BS501" s="27" t="str">
        <f ca="1">IFERROR(__xludf.DUMMYFUNCTION("""COMPUTED_VALUE"""),"Casa própria")</f>
        <v>Casa própria</v>
      </c>
      <c r="BT501" s="27">
        <f ca="1">IFERROR(__xludf.DUMMYFUNCTION("""COMPUTED_VALUE"""),5)</f>
        <v>5</v>
      </c>
      <c r="BU501" s="27" t="str">
        <f ca="1">IFERROR(__xludf.DUMMYFUNCTION("""COMPUTED_VALUE"""),"Não tem")</f>
        <v>Não tem</v>
      </c>
      <c r="BV501" s="27"/>
      <c r="BW501" s="27"/>
      <c r="BX501" s="27"/>
      <c r="BY501" s="21" t="str">
        <f ca="1">IFERROR(__xludf.DUMMYFUNCTION("""COMPUTED_VALUE"""),"https://drive.google.com/open?id=1T30YbF4PBNFeNwY5kaD87npAfuq5mKFf")</f>
        <v>https://drive.google.com/open?id=1T30YbF4PBNFeNwY5kaD87npAfuq5mKFf</v>
      </c>
    </row>
    <row r="502" spans="1:77" ht="12.5" x14ac:dyDescent="0.25">
      <c r="A502" s="21" t="str">
        <f ca="1">IFERROR(__xludf.DUMMYFUNCTION("""COMPUTED_VALUE"""),"0014X00002VKCqBQAX")</f>
        <v>0014X00002VKCqBQAX</v>
      </c>
      <c r="B502" s="27" t="str">
        <f ca="1">IFERROR(__xludf.DUMMYFUNCTION("""COMPUTED_VALUE"""),"Fase Inicial")</f>
        <v>Fase Inicial</v>
      </c>
      <c r="C502" s="27" t="str">
        <f ca="1">IFERROR(__xludf.DUMMYFUNCTION("""COMPUTED_VALUE"""),"Fellow")</f>
        <v>Fellow</v>
      </c>
      <c r="D502" s="27" t="str">
        <f ca="1">IFERROR(__xludf.DUMMYFUNCTION("""COMPUTED_VALUE"""),"Ativo")</f>
        <v>Ativo</v>
      </c>
      <c r="E502" s="27" t="str">
        <f ca="1">IFERROR(__xludf.DUMMYFUNCTION("""COMPUTED_VALUE"""),"Patronato Santana")</f>
        <v>Patronato Santana</v>
      </c>
      <c r="F502" s="27" t="str">
        <f ca="1">IFERROR(__xludf.DUMMYFUNCTION("""COMPUTED_VALUE"""),"Luan")</f>
        <v>Luan</v>
      </c>
      <c r="G502" s="27" t="str">
        <f ca="1">IFERROR(__xludf.DUMMYFUNCTION("""COMPUTED_VALUE"""),"SALÃO COMUNITÁRIO PADRE TORNATORE")</f>
        <v>SALÃO COMUNITÁRIO PADRE TORNATORE</v>
      </c>
      <c r="H502" s="27" t="str">
        <f ca="1">IFERROR(__xludf.DUMMYFUNCTION("""COMPUTED_VALUE"""),"09.483.504/0002-65")</f>
        <v>09.483.504/0002-65</v>
      </c>
      <c r="I502" s="27" t="str">
        <f ca="1">IFERROR(__xludf.DUMMYFUNCTION("""COMPUTED_VALUE"""),"ROCILENE DO SOCORRO SOUZA Barbosa")</f>
        <v>ROCILENE DO SOCORRO SOUZA Barbosa</v>
      </c>
      <c r="J502" s="27" t="str">
        <f ca="1">IFERROR(__xludf.DUMMYFUNCTION("""COMPUTED_VALUE"""),"patronato.santana@gmail.com")</f>
        <v>patronato.santana@gmail.com</v>
      </c>
      <c r="K502" s="27" t="str">
        <f ca="1">IFERROR(__xludf.DUMMYFUNCTION("""COMPUTED_VALUE"""),"(85)98618-9281")</f>
        <v>(85)98618-9281</v>
      </c>
      <c r="L502" s="27" t="str">
        <f ca="1">IFERROR(__xludf.DUMMYFUNCTION("""COMPUTED_VALUE"""),"CE")</f>
        <v>CE</v>
      </c>
      <c r="M502" s="27" t="str">
        <f ca="1">IFERROR(__xludf.DUMMYFUNCTION("""COMPUTED_VALUE"""),"Rua Felipe Fernandes Neto")</f>
        <v>Rua Felipe Fernandes Neto</v>
      </c>
      <c r="N502" s="27" t="str">
        <f ca="1">IFERROR(__xludf.DUMMYFUNCTION("""COMPUTED_VALUE"""),"Parque Leblon")</f>
        <v>Parque Leblon</v>
      </c>
      <c r="O502" s="27">
        <f ca="1">IFERROR(__xludf.DUMMYFUNCTION("""COMPUTED_VALUE"""),505)</f>
        <v>505</v>
      </c>
      <c r="P502" s="27" t="str">
        <f ca="1">IFERROR(__xludf.DUMMYFUNCTION("""COMPUTED_VALUE"""),"Caucaia")</f>
        <v>Caucaia</v>
      </c>
      <c r="Q502" s="27"/>
      <c r="R502" s="27" t="str">
        <f ca="1">IFERROR(__xludf.DUMMYFUNCTION("""COMPUTED_VALUE"""),"61631-016")</f>
        <v>61631-016</v>
      </c>
      <c r="S502" s="27" t="str">
        <f ca="1">IFERROR(__xludf.DUMMYFUNCTION("""COMPUTED_VALUE"""),"Não")</f>
        <v>Não</v>
      </c>
      <c r="T502" s="27"/>
      <c r="U502"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502" s="27" t="str">
        <f ca="1">IFERROR(__xludf.DUMMYFUNCTION("""COMPUTED_VALUE"""),"Moradores de Favelas")</f>
        <v>Moradores de Favelas</v>
      </c>
      <c r="W502" s="27">
        <f ca="1">IFERROR(__xludf.DUMMYFUNCTION("""COMPUTED_VALUE"""),1)</f>
        <v>1</v>
      </c>
      <c r="X502" s="27" t="str">
        <f ca="1">IFERROR(__xludf.DUMMYFUNCTION("""COMPUTED_VALUE"""),"Comunidade ribeirinha")</f>
        <v>Comunidade ribeirinha</v>
      </c>
      <c r="Y502" s="27"/>
      <c r="Z502" s="27">
        <f ca="1">IFERROR(__xludf.DUMMYFUNCTION("""COMPUTED_VALUE"""),345)</f>
        <v>345</v>
      </c>
      <c r="AA502" s="29">
        <f ca="1">IFERROR(__xludf.DUMMYFUNCTION("""COMPUTED_VALUE"""),41346)</f>
        <v>41346</v>
      </c>
      <c r="AB502" s="27" t="str">
        <f ca="1">IFERROR(__xludf.DUMMYFUNCTION("""COMPUTED_VALUE"""),"Não")</f>
        <v>Não</v>
      </c>
      <c r="AC502" s="27">
        <f ca="1">IFERROR(__xludf.DUMMYFUNCTION("""COMPUTED_VALUE"""),6)</f>
        <v>6</v>
      </c>
      <c r="AD502" s="27">
        <f ca="1">IFERROR(__xludf.DUMMYFUNCTION("""COMPUTED_VALUE"""),3)</f>
        <v>3</v>
      </c>
      <c r="AE502" s="27">
        <f ca="1">IFERROR(__xludf.DUMMYFUNCTION("""COMPUTED_VALUE"""),6)</f>
        <v>6</v>
      </c>
      <c r="AF502" s="27">
        <f ca="1">IFERROR(__xludf.DUMMYFUNCTION("""COMPUTED_VALUE"""),3)</f>
        <v>3</v>
      </c>
      <c r="AG502" s="27">
        <f ca="1">IFERROR(__xludf.DUMMYFUNCTION("""COMPUTED_VALUE"""),3)</f>
        <v>3</v>
      </c>
      <c r="AH502" s="27" t="str">
        <f ca="1">IFERROR(__xludf.DUMMYFUNCTION("""COMPUTED_VALUE"""),"Negócio Social, Parceria iniciativa privada, Editais")</f>
        <v>Negócio Social, Parceria iniciativa privada, Editais</v>
      </c>
      <c r="AI502" s="27">
        <f ca="1">IFERROR(__xludf.DUMMYFUNCTION("""COMPUTED_VALUE"""),0)</f>
        <v>0</v>
      </c>
      <c r="AJ502" s="27" t="str">
        <f ca="1">IFERROR(__xludf.DUMMYFUNCTION("""COMPUTED_VALUE"""),"Não")</f>
        <v>Não</v>
      </c>
      <c r="AK502" s="27"/>
      <c r="AL502" s="21" t="str">
        <f ca="1">IFERROR(__xludf.DUMMYFUNCTION("""COMPUTED_VALUE"""),"0034X0000380O3c")</f>
        <v>0034X0000380O3c</v>
      </c>
      <c r="AM502" s="27" t="str">
        <f ca="1">IFERROR(__xludf.DUMMYFUNCTION("""COMPUTED_VALUE"""),"Nycollas martins da silva")</f>
        <v>Nycollas martins da silva</v>
      </c>
      <c r="AN502" s="27" t="str">
        <f ca="1">IFERROR(__xludf.DUMMYFUNCTION("""COMPUTED_VALUE"""),"Ativo")</f>
        <v>Ativo</v>
      </c>
      <c r="AO502" s="29">
        <f ca="1">IFERROR(__xludf.DUMMYFUNCTION("""COMPUTED_VALUE"""),44763)</f>
        <v>44763</v>
      </c>
      <c r="AP502" s="27">
        <f ca="1">IFERROR(__xludf.DUMMYFUNCTION("""COMPUTED_VALUE"""),2)</f>
        <v>2</v>
      </c>
      <c r="AQ502" s="27" t="str">
        <f ca="1">IFERROR(__xludf.DUMMYFUNCTION("""COMPUTED_VALUE"""),"Primeiro Semestre 2022")</f>
        <v>Primeiro Semestre 2022</v>
      </c>
      <c r="AR502" s="27" t="str">
        <f ca="1">IFERROR(__xludf.DUMMYFUNCTION("""COMPUTED_VALUE"""),"martinsnycollassilva@gmail.com")</f>
        <v>martinsnycollassilva@gmail.com</v>
      </c>
      <c r="AS502" s="27" t="str">
        <f ca="1">IFERROR(__xludf.DUMMYFUNCTION("""COMPUTED_VALUE"""),"(85)98618-9281")</f>
        <v>(85)98618-9281</v>
      </c>
      <c r="AT502" s="29">
        <f ca="1">IFERROR(__xludf.DUMMYFUNCTION("""COMPUTED_VALUE"""),34876)</f>
        <v>34876</v>
      </c>
      <c r="AU502" s="27">
        <f ca="1">IFERROR(__xludf.DUMMYFUNCTION("""COMPUTED_VALUE"""),27)</f>
        <v>27</v>
      </c>
      <c r="AV502" s="27">
        <f ca="1">IFERROR(__xludf.DUMMYFUNCTION("""COMPUTED_VALUE"""),60748611371)</f>
        <v>60748611371</v>
      </c>
      <c r="AW502" s="27">
        <f ca="1">IFERROR(__xludf.DUMMYFUNCTION("""COMPUTED_VALUE"""),20078229230)</f>
        <v>20078229230</v>
      </c>
      <c r="AX502" s="27"/>
      <c r="AY502" s="27" t="str">
        <f ca="1">IFERROR(__xludf.DUMMYFUNCTION("""COMPUTED_VALUE"""),"Coordenador Pedagógico")</f>
        <v>Coordenador Pedagógico</v>
      </c>
      <c r="AZ502" s="27" t="str">
        <f ca="1">IFERROR(__xludf.DUMMYFUNCTION("""COMPUTED_VALUE"""),"P")</f>
        <v>P</v>
      </c>
      <c r="BA502" s="27" t="str">
        <f ca="1">IFERROR(__xludf.DUMMYFUNCTION("""COMPUTED_VALUE"""),"Parda")</f>
        <v>Parda</v>
      </c>
      <c r="BB502" s="27"/>
      <c r="BC502" s="27"/>
      <c r="BD502" s="27" t="str">
        <f ca="1">IFERROR(__xludf.DUMMYFUNCTION("""COMPUTED_VALUE"""),"Sou Luan Nycollas, moro em Fortaleza/Ce e atuo em uma ONG no Município de Caucaia. Sou pedagogo, tenho 27 anos e estou no social a 5 anos.")</f>
        <v>Sou Luan Nycollas, moro em Fortaleza/Ce e atuo em uma ONG no Município de Caucaia. Sou pedagogo, tenho 27 anos e estou no social a 5 anos.</v>
      </c>
      <c r="BE502" s="27" t="str">
        <f ca="1">IFERROR(__xludf.DUMMYFUNCTION("""COMPUTED_VALUE"""),"Homem, cisgênero")</f>
        <v>Homem, cisgênero</v>
      </c>
      <c r="BF502" s="27" t="str">
        <f ca="1">IFERROR(__xludf.DUMMYFUNCTION("""COMPUTED_VALUE"""),"Homossexual")</f>
        <v>Homossexual</v>
      </c>
      <c r="BG502" s="27" t="str">
        <f ca="1">IFERROR(__xludf.DUMMYFUNCTION("""COMPUTED_VALUE"""),"Ensino Superior - Completo")</f>
        <v>Ensino Superior - Completo</v>
      </c>
      <c r="BH502" s="27" t="str">
        <f ca="1">IFERROR(__xludf.DUMMYFUNCTION("""COMPUTED_VALUE"""),"Privado")</f>
        <v>Privado</v>
      </c>
      <c r="BI502" s="27" t="str">
        <f ca="1">IFERROR(__xludf.DUMMYFUNCTION("""COMPUTED_VALUE"""),"Graduação")</f>
        <v>Graduação</v>
      </c>
      <c r="BJ502" s="27" t="str">
        <f ca="1">IFERROR(__xludf.DUMMYFUNCTION("""COMPUTED_VALUE"""),"Privado")</f>
        <v>Privado</v>
      </c>
      <c r="BK502" s="27" t="str">
        <f ca="1">IFERROR(__xludf.DUMMYFUNCTION("""COMPUTED_VALUE"""),"Rua Felipe Fernandes Neto,")</f>
        <v>Rua Felipe Fernandes Neto,</v>
      </c>
      <c r="BL502" s="27">
        <f ca="1">IFERROR(__xludf.DUMMYFUNCTION("""COMPUTED_VALUE"""),505)</f>
        <v>505</v>
      </c>
      <c r="BM502" s="27"/>
      <c r="BN502" s="27" t="str">
        <f ca="1">IFERROR(__xludf.DUMMYFUNCTION("""COMPUTED_VALUE"""),"Fortaleza")</f>
        <v>Fortaleza</v>
      </c>
      <c r="BO502" s="27" t="str">
        <f ca="1">IFERROR(__xludf.DUMMYFUNCTION("""COMPUTED_VALUE"""),"60730-115")</f>
        <v>60730-115</v>
      </c>
      <c r="BP502" s="27" t="str">
        <f ca="1">IFERROR(__xludf.DUMMYFUNCTION("""COMPUTED_VALUE"""),"CE")</f>
        <v>CE</v>
      </c>
      <c r="BQ502" s="27" t="str">
        <f ca="1">IFERROR(__xludf.DUMMYFUNCTION("""COMPUTED_VALUE"""),"Entre 1 até 3 salários mínimos")</f>
        <v>Entre 1 até 3 salários mínimos</v>
      </c>
      <c r="BR502" s="27" t="str">
        <f ca="1">IFERROR(__xludf.DUMMYFUNCTION("""COMPUTED_VALUE"""),"Trabalho informal")</f>
        <v>Trabalho informal</v>
      </c>
      <c r="BS502" s="27" t="str">
        <f ca="1">IFERROR(__xludf.DUMMYFUNCTION("""COMPUTED_VALUE"""),"Casa própria")</f>
        <v>Casa própria</v>
      </c>
      <c r="BT502" s="27">
        <f ca="1">IFERROR(__xludf.DUMMYFUNCTION("""COMPUTED_VALUE"""),2)</f>
        <v>2</v>
      </c>
      <c r="BU502" s="27" t="str">
        <f ca="1">IFERROR(__xludf.DUMMYFUNCTION("""COMPUTED_VALUE"""),"Não tem")</f>
        <v>Não tem</v>
      </c>
      <c r="BV502" s="27" t="str">
        <f ca="1">IFERROR(__xludf.DUMMYFUNCTION("""COMPUTED_VALUE"""),"Não")</f>
        <v>Não</v>
      </c>
      <c r="BW502" s="27"/>
      <c r="BX502" s="21" t="str">
        <f ca="1">IFERROR(__xludf.DUMMYFUNCTION("""COMPUTED_VALUE"""),"https://www.instagram.com/luannykollas/")</f>
        <v>https://www.instagram.com/luannykollas/</v>
      </c>
      <c r="BY502" s="21" t="str">
        <f ca="1">IFERROR(__xludf.DUMMYFUNCTION("""COMPUTED_VALUE"""),"https://drive.google.com/open?id=1PDBdoA9VRXagikCCnelIeRIk-bZ5ilTu")</f>
        <v>https://drive.google.com/open?id=1PDBdoA9VRXagikCCnelIeRIk-bZ5ilTu</v>
      </c>
    </row>
    <row r="503" spans="1:77" ht="12.5" x14ac:dyDescent="0.25">
      <c r="A503" s="21" t="str">
        <f ca="1">IFERROR(__xludf.DUMMYFUNCTION("""COMPUTED_VALUE"""),"0014P00003AN2FtQAL")</f>
        <v>0014P00003AN2FtQAL</v>
      </c>
      <c r="B503" s="27" t="str">
        <f ca="1">IFERROR(__xludf.DUMMYFUNCTION("""COMPUTED_VALUE"""),"Fase Estruturação")</f>
        <v>Fase Estruturação</v>
      </c>
      <c r="C503" s="27" t="str">
        <f ca="1">IFERROR(__xludf.DUMMYFUNCTION("""COMPUTED_VALUE"""),"Acelerada")</f>
        <v>Acelerada</v>
      </c>
      <c r="D503" s="27" t="str">
        <f ca="1">IFERROR(__xludf.DUMMYFUNCTION("""COMPUTED_VALUE"""),"Ativo")</f>
        <v>Ativo</v>
      </c>
      <c r="E503" s="27" t="str">
        <f ca="1">IFERROR(__xludf.DUMMYFUNCTION("""COMPUTED_VALUE"""),"Pensando Bem")</f>
        <v>Pensando Bem</v>
      </c>
      <c r="F503" s="27" t="str">
        <f ca="1">IFERROR(__xludf.DUMMYFUNCTION("""COMPUTED_VALUE"""),"Rutenio")</f>
        <v>Rutenio</v>
      </c>
      <c r="G503" s="27" t="str">
        <f ca="1">IFERROR(__xludf.DUMMYFUNCTION("""COMPUTED_VALUE"""),"PENSANDO BEM")</f>
        <v>PENSANDO BEM</v>
      </c>
      <c r="H503" s="27" t="str">
        <f ca="1">IFERROR(__xludf.DUMMYFUNCTION("""COMPUTED_VALUE"""),"39.928.464/0001-06")</f>
        <v>39.928.464/0001-06</v>
      </c>
      <c r="I503" s="27" t="str">
        <f ca="1">IFERROR(__xludf.DUMMYFUNCTION("""COMPUTED_VALUE"""),"Rutênio Florencio Monte")</f>
        <v>Rutênio Florencio Monte</v>
      </c>
      <c r="J503" s="27" t="str">
        <f ca="1">IFERROR(__xludf.DUMMYFUNCTION("""COMPUTED_VALUE"""),"ruteniodesign@gmail.com")</f>
        <v>ruteniodesign@gmail.com</v>
      </c>
      <c r="K503" s="27" t="str">
        <f ca="1">IFERROR(__xludf.DUMMYFUNCTION("""COMPUTED_VALUE"""),"(85)99722-5088")</f>
        <v>(85)99722-5088</v>
      </c>
      <c r="L503" s="27" t="str">
        <f ca="1">IFERROR(__xludf.DUMMYFUNCTION("""COMPUTED_VALUE"""),"CE")</f>
        <v>CE</v>
      </c>
      <c r="M503" s="27" t="str">
        <f ca="1">IFERROR(__xludf.DUMMYFUNCTION("""COMPUTED_VALUE"""),"Rua 45 - conj. dos bancarios")</f>
        <v>Rua 45 - conj. dos bancarios</v>
      </c>
      <c r="N503" s="27"/>
      <c r="O503" s="27" t="str">
        <f ca="1">IFERROR(__xludf.DUMMYFUNCTION("""COMPUTED_VALUE"""),"(85)99722-5088")</f>
        <v>(85)99722-5088</v>
      </c>
      <c r="P503" s="27" t="str">
        <f ca="1">IFERROR(__xludf.DUMMYFUNCTION("""COMPUTED_VALUE"""),"Fortaleza")</f>
        <v>Fortaleza</v>
      </c>
      <c r="Q503" s="27" t="str">
        <f ca="1">IFERROR(__xludf.DUMMYFUNCTION("""COMPUTED_VALUE"""),"1710 - conjuntos dos bancarios - vila velha")</f>
        <v>1710 - conjuntos dos bancarios - vila velha</v>
      </c>
      <c r="R503" s="27" t="str">
        <f ca="1">IFERROR(__xludf.DUMMYFUNCTION("""COMPUTED_VALUE"""),"60345-662")</f>
        <v>60345-662</v>
      </c>
      <c r="S503" s="27" t="str">
        <f ca="1">IFERROR(__xludf.DUMMYFUNCTION("""COMPUTED_VALUE"""),"Polo esportivo e educacional 
1710 - conjuntos dos bancarios - vila velha")</f>
        <v>Polo esportivo e educacional 
1710 - conjuntos dos bancarios - vila velha</v>
      </c>
      <c r="T503" s="27" t="str">
        <f ca="1">IFERROR(__xludf.DUMMYFUNCTION("""COMPUTED_VALUE"""),"Esporte; Educação; Empregabilidade; Assistência Social; Cultura; Qualificação Profissional; Empreendedorismo; Meio ambiente; Negócios Sociais; Defesa de Direitos; Comunicação; Desenvolvimento comunitário")</f>
        <v>Esporte; Educação; Empregabilidade; Assistência Social; Cultura; Qualificação Profissional; Empreendedorismo; Meio ambiente; Negócios Sociais; Defesa de Direitos; Comunicação; Desenvolvimento comunitário</v>
      </c>
      <c r="U503"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503" s="27" t="str">
        <f ca="1">IFERROR(__xludf.DUMMYFUNCTION("""COMPUTED_VALUE"""),"Moradores de Favelas; População LGBTQ+; Afrodescendentes; Dependentes Químicos")</f>
        <v>Moradores de Favelas; População LGBTQ+; Afrodescendentes; Dependentes Químicos</v>
      </c>
      <c r="W503" s="27">
        <f ca="1">IFERROR(__xludf.DUMMYFUNCTION("""COMPUTED_VALUE"""),2)</f>
        <v>2</v>
      </c>
      <c r="X503" s="27"/>
      <c r="Y503" s="27"/>
      <c r="Z503" s="27"/>
      <c r="AA503" s="30">
        <f ca="1">IFERROR(__xludf.DUMMYFUNCTION("""COMPUTED_VALUE"""),44148)</f>
        <v>44148</v>
      </c>
      <c r="AB503" s="27" t="str">
        <f ca="1">IFERROR(__xludf.DUMMYFUNCTION("""COMPUTED_VALUE"""),"Sim")</f>
        <v>Sim</v>
      </c>
      <c r="AC503" s="27">
        <f ca="1">IFERROR(__xludf.DUMMYFUNCTION("""COMPUTED_VALUE"""),7)</f>
        <v>7</v>
      </c>
      <c r="AD503" s="27">
        <f ca="1">IFERROR(__xludf.DUMMYFUNCTION("""COMPUTED_VALUE"""),2)</f>
        <v>2</v>
      </c>
      <c r="AE503" s="27">
        <f ca="1">IFERROR(__xludf.DUMMYFUNCTION("""COMPUTED_VALUE"""),25)</f>
        <v>25</v>
      </c>
      <c r="AF503" s="27">
        <f ca="1">IFERROR(__xludf.DUMMYFUNCTION("""COMPUTED_VALUE"""),10)</f>
        <v>10</v>
      </c>
      <c r="AG503" s="27">
        <f ca="1">IFERROR(__xludf.DUMMYFUNCTION("""COMPUTED_VALUE"""),4)</f>
        <v>4</v>
      </c>
      <c r="AH503" s="27" t="str">
        <f ca="1">IFERROR(__xludf.DUMMYFUNCTION("""COMPUTED_VALUE"""),"Negócio Social; Convênio Público; Eventos/Ações para captação; Plataforma doação online - Pessoa Física; Parceria iniciativa privada; Doações")</f>
        <v>Negócio Social; Convênio Público; Eventos/Ações para captação; Plataforma doação online - Pessoa Física; Parceria iniciativa privada; Doações</v>
      </c>
      <c r="AI503" s="27" t="str">
        <f ca="1">IFERROR(__xludf.DUMMYFUNCTION("""COMPUTED_VALUE"""),"60% parceria privada, 20% eventos e ações 20% os demais")</f>
        <v>60% parceria privada, 20% eventos e ações 20% os demais</v>
      </c>
      <c r="AJ503" s="27" t="str">
        <f ca="1">IFERROR(__xludf.DUMMYFUNCTION("""COMPUTED_VALUE"""),"Não")</f>
        <v>Não</v>
      </c>
      <c r="AK503" s="27" t="str">
        <f ca="1">IFERROR(__xludf.DUMMYFUNCTION("""COMPUTED_VALUE"""),"Sim")</f>
        <v>Sim</v>
      </c>
      <c r="AL503" s="21" t="str">
        <f ca="1">IFERROR(__xludf.DUMMYFUNCTION("""COMPUTED_VALUE"""),"0034P00003maBVK")</f>
        <v>0034P00003maBVK</v>
      </c>
      <c r="AM503" s="27" t="str">
        <f ca="1">IFERROR(__xludf.DUMMYFUNCTION("""COMPUTED_VALUE"""),"Florencio Monte")</f>
        <v>Florencio Monte</v>
      </c>
      <c r="AN503" s="27" t="str">
        <f ca="1">IFERROR(__xludf.DUMMYFUNCTION("""COMPUTED_VALUE"""),"Ativo")</f>
        <v>Ativo</v>
      </c>
      <c r="AO503" s="29">
        <f ca="1">IFERROR(__xludf.DUMMYFUNCTION("""COMPUTED_VALUE"""),44285)</f>
        <v>44285</v>
      </c>
      <c r="AP503" s="27">
        <f ca="1">IFERROR(__xludf.DUMMYFUNCTION("""COMPUTED_VALUE"""),18)</f>
        <v>18</v>
      </c>
      <c r="AQ503" s="27" t="str">
        <f ca="1">IFERROR(__xludf.DUMMYFUNCTION("""COMPUTED_VALUE"""),"Segundo Semestre 2020")</f>
        <v>Segundo Semestre 2020</v>
      </c>
      <c r="AR503" s="27" t="str">
        <f ca="1">IFERROR(__xludf.DUMMYFUNCTION("""COMPUTED_VALUE"""),"rutenioce@gmail.com")</f>
        <v>rutenioce@gmail.com</v>
      </c>
      <c r="AS503" s="27" t="str">
        <f ca="1">IFERROR(__xludf.DUMMYFUNCTION("""COMPUTED_VALUE"""),"(85)99722-5088")</f>
        <v>(85)99722-5088</v>
      </c>
      <c r="AT503" s="29">
        <f ca="1">IFERROR(__xludf.DUMMYFUNCTION("""COMPUTED_VALUE"""),36392)</f>
        <v>36392</v>
      </c>
      <c r="AU503" s="27">
        <f ca="1">IFERROR(__xludf.DUMMYFUNCTION("""COMPUTED_VALUE"""),23)</f>
        <v>23</v>
      </c>
      <c r="AV503" s="27">
        <f ca="1">IFERROR(__xludf.DUMMYFUNCTION("""COMPUTED_VALUE"""),7929879348)</f>
        <v>7929879348</v>
      </c>
      <c r="AW503" s="27">
        <f ca="1">IFERROR(__xludf.DUMMYFUNCTION("""COMPUTED_VALUE"""),2008010459355)</f>
        <v>2008010459355</v>
      </c>
      <c r="AX503" s="27" t="str">
        <f ca="1">IFERROR(__xludf.DUMMYFUNCTION("""COMPUTED_VALUE"""),"não se aplica")</f>
        <v>não se aplica</v>
      </c>
      <c r="AY503" s="27"/>
      <c r="AZ503" s="27" t="str">
        <f ca="1">IFERROR(__xludf.DUMMYFUNCTION("""COMPUTED_VALUE"""),"G")</f>
        <v>G</v>
      </c>
      <c r="BA503" s="27"/>
      <c r="BB503" s="27"/>
      <c r="BC503" s="27" t="str">
        <f ca="1">IFERROR(__xludf.DUMMYFUNCTION("""COMPUTED_VALUE"""),"Sim")</f>
        <v>Sim</v>
      </c>
      <c r="BD503" s="27" t="str">
        <f ca="1">IFERROR(__xludf.DUMMYFUNCTION("""COMPUTED_VALUE"""),"Rutênio, 22 anos, casado, pai da Maria Elisa, fundador e gestor do Instituto Pensando. Nascido e criado na favela do inferninho, em Fortaleza-CE. Aos 18 anos quis mudar a realidade do local onde nasceu e com isso, iniciou o instituto que tem como objetivo"&amp;" levar a transformação de dentro para fora, também levando educação, esporte, cultura e profissionalização para seus atendidos.")</f>
        <v>Rutênio, 22 anos, casado, pai da Maria Elisa, fundador e gestor do Instituto Pensando. Nascido e criado na favela do inferninho, em Fortaleza-CE. Aos 18 anos quis mudar a realidade do local onde nasceu e com isso, iniciou o instituto que tem como objetivo levar a transformação de dentro para fora, também levando educação, esporte, cultura e profissionalização para seus atendidos.</v>
      </c>
      <c r="BE503" s="27"/>
      <c r="BF503" s="27"/>
      <c r="BG503" s="27" t="str">
        <f ca="1">IFERROR(__xludf.DUMMYFUNCTION("""COMPUTED_VALUE"""),"Ensino Médio - Completo")</f>
        <v>Ensino Médio - Completo</v>
      </c>
      <c r="BH503" s="27"/>
      <c r="BI503" s="27"/>
      <c r="BJ503" s="27"/>
      <c r="BK503" s="27" t="str">
        <f ca="1">IFERROR(__xludf.DUMMYFUNCTION("""COMPUTED_VALUE"""),"Rua Rosinha Sampaio")</f>
        <v>Rua Rosinha Sampaio</v>
      </c>
      <c r="BL503" s="27">
        <f ca="1">IFERROR(__xludf.DUMMYFUNCTION("""COMPUTED_VALUE"""),2265)</f>
        <v>2265</v>
      </c>
      <c r="BM503" s="27" t="str">
        <f ca="1">IFERROR(__xludf.DUMMYFUNCTION("""COMPUTED_VALUE"""),"A")</f>
        <v>A</v>
      </c>
      <c r="BN503" s="27" t="str">
        <f ca="1">IFERROR(__xludf.DUMMYFUNCTION("""COMPUTED_VALUE"""),"Fortaleza")</f>
        <v>Fortaleza</v>
      </c>
      <c r="BO503" s="27" t="str">
        <f ca="1">IFERROR(__xludf.DUMMYFUNCTION("""COMPUTED_VALUE"""),"60345-662")</f>
        <v>60345-662</v>
      </c>
      <c r="BP503" s="27" t="str">
        <f ca="1">IFERROR(__xludf.DUMMYFUNCTION("""COMPUTED_VALUE"""),"CE")</f>
        <v>CE</v>
      </c>
      <c r="BQ503" s="27" t="str">
        <f ca="1">IFERROR(__xludf.DUMMYFUNCTION("""COMPUTED_VALUE"""),"Entre 1 até 3 salários mínimos")</f>
        <v>Entre 1 até 3 salários mínimos</v>
      </c>
      <c r="BR503" s="27" t="str">
        <f ca="1">IFERROR(__xludf.DUMMYFUNCTION("""COMPUTED_VALUE"""),"CLT")</f>
        <v>CLT</v>
      </c>
      <c r="BS503" s="27" t="str">
        <f ca="1">IFERROR(__xludf.DUMMYFUNCTION("""COMPUTED_VALUE"""),"Casa própria")</f>
        <v>Casa própria</v>
      </c>
      <c r="BT503" s="27">
        <f ca="1">IFERROR(__xludf.DUMMYFUNCTION("""COMPUTED_VALUE"""),5)</f>
        <v>5</v>
      </c>
      <c r="BU503" s="27"/>
      <c r="BV503" s="27"/>
      <c r="BW503" s="21" t="str">
        <f ca="1">IFERROR(__xludf.DUMMYFUNCTION("""COMPUTED_VALUE"""),"https://www.linkedin.com/in/rutenio-florencio-0304431a3")</f>
        <v>https://www.linkedin.com/in/rutenio-florencio-0304431a3</v>
      </c>
      <c r="BX503" s="21" t="str">
        <f ca="1">IFERROR(__xludf.DUMMYFUNCTION("""COMPUTED_VALUE"""),"https://instagram.com/ruteniof?utm_medium=copy_link")</f>
        <v>https://instagram.com/ruteniof?utm_medium=copy_link</v>
      </c>
      <c r="BY503" s="21" t="str">
        <f ca="1">IFERROR(__xludf.DUMMYFUNCTION("""COMPUTED_VALUE"""),"https://drive.google.com/open?id=1hRSPSXM1WA4ZhHB5rg8ys_zp_D8vXBdc")</f>
        <v>https://drive.google.com/open?id=1hRSPSXM1WA4ZhHB5rg8ys_zp_D8vXBdc</v>
      </c>
    </row>
    <row r="504" spans="1:77" ht="12.5" x14ac:dyDescent="0.25">
      <c r="A504" s="21" t="str">
        <f ca="1">IFERROR(__xludf.DUMMYFUNCTION("""COMPUTED_VALUE"""),"0014P00003YSp9cQAD")</f>
        <v>0014P00003YSp9cQAD</v>
      </c>
      <c r="B504" s="27" t="str">
        <f ca="1">IFERROR(__xludf.DUMMYFUNCTION("""COMPUTED_VALUE"""),"Fase Inicial")</f>
        <v>Fase Inicial</v>
      </c>
      <c r="C504" s="27" t="str">
        <f ca="1">IFERROR(__xludf.DUMMYFUNCTION("""COMPUTED_VALUE"""),"Fellow")</f>
        <v>Fellow</v>
      </c>
      <c r="D504" s="27" t="str">
        <f ca="1">IFERROR(__xludf.DUMMYFUNCTION("""COMPUTED_VALUE"""),"Ativo")</f>
        <v>Ativo</v>
      </c>
      <c r="E504" s="27" t="str">
        <f ca="1">IFERROR(__xludf.DUMMYFUNCTION("""COMPUTED_VALUE"""),"Peralta")</f>
        <v>Peralta</v>
      </c>
      <c r="F504" s="27" t="str">
        <f ca="1">IFERROR(__xludf.DUMMYFUNCTION("""COMPUTED_VALUE"""),"José")</f>
        <v>José</v>
      </c>
      <c r="G504" s="27"/>
      <c r="H504" s="27"/>
      <c r="I504" s="27" t="str">
        <f ca="1">IFERROR(__xludf.DUMMYFUNCTION("""COMPUTED_VALUE"""),"José Danilo da Silva")</f>
        <v>José Danilo da Silva</v>
      </c>
      <c r="J504" s="27" t="str">
        <f ca="1">IFERROR(__xludf.DUMMYFUNCTION("""COMPUTED_VALUE"""),"projetoperalta@gmail.com")</f>
        <v>projetoperalta@gmail.com</v>
      </c>
      <c r="K504" s="27" t="str">
        <f ca="1">IFERROR(__xludf.DUMMYFUNCTION("""COMPUTED_VALUE"""),"(11)95113-0136")</f>
        <v>(11)95113-0136</v>
      </c>
      <c r="L504" s="27" t="str">
        <f ca="1">IFERROR(__xludf.DUMMYFUNCTION("""COMPUTED_VALUE"""),"SP")</f>
        <v>SP</v>
      </c>
      <c r="M504" s="27" t="str">
        <f ca="1">IFERROR(__xludf.DUMMYFUNCTION("""COMPUTED_VALUE"""),"Rua Francisco Vergueiro Porto")</f>
        <v>Rua Francisco Vergueiro Porto</v>
      </c>
      <c r="N504" s="27" t="str">
        <f ca="1">IFERROR(__xludf.DUMMYFUNCTION("""COMPUTED_VALUE"""),"Jardim Avenida")</f>
        <v>Jardim Avenida</v>
      </c>
      <c r="O504" s="27">
        <f ca="1">IFERROR(__xludf.DUMMYFUNCTION("""COMPUTED_VALUE"""),4)</f>
        <v>4</v>
      </c>
      <c r="P504" s="27" t="str">
        <f ca="1">IFERROR(__xludf.DUMMYFUNCTION("""COMPUTED_VALUE"""),"São Paulo")</f>
        <v>São Paulo</v>
      </c>
      <c r="Q504" s="27"/>
      <c r="R504" s="27" t="str">
        <f ca="1">IFERROR(__xludf.DUMMYFUNCTION("""COMPUTED_VALUE"""),"04744-300")</f>
        <v>04744-300</v>
      </c>
      <c r="S504" s="27"/>
      <c r="T504" s="27" t="str">
        <f ca="1">IFERROR(__xludf.DUMMYFUNCTION("""COMPUTED_VALUE"""),"Assistência Social; Cultura; Saúde; Negócios Sociais; Apoio à gestão de organizações de Terceiro Setor; Defesa de Direitos; Assistência Psicológica")</f>
        <v>Assistência Social; Cultura; Saúde; Negócios Sociais; Apoio à gestão de organizações de Terceiro Setor; Defesa de Direitos; Assistência Psicológica</v>
      </c>
      <c r="U504" s="27" t="str">
        <f ca="1">IFERROR(__xludf.DUMMYFUNCTION("""COMPUTED_VALUE"""),"Bebês (0 a 1 ano e 6 meses); Crianças bem pequenas (1 ano e 7 meses até 3 anos e 11 meses); Crianças (6 a 12 anos); Adolescentes (12 aos 18 anos); Adultos")</f>
        <v>Bebês (0 a 1 ano e 6 meses); Crianças bem pequenas (1 ano e 7 meses até 3 anos e 11 meses); Crianças (6 a 12 anos); Adolescentes (12 aos 18 anos); Adultos</v>
      </c>
      <c r="V504" s="27" t="str">
        <f ca="1">IFERROR(__xludf.DUMMYFUNCTION("""COMPUTED_VALUE"""),"Moradores de Favelas")</f>
        <v>Moradores de Favelas</v>
      </c>
      <c r="W504" s="27">
        <f ca="1">IFERROR(__xludf.DUMMYFUNCTION("""COMPUTED_VALUE"""),4)</f>
        <v>4</v>
      </c>
      <c r="X504" s="27"/>
      <c r="Y504" s="27"/>
      <c r="Z504" s="27">
        <f ca="1">IFERROR(__xludf.DUMMYFUNCTION("""COMPUTED_VALUE"""),30)</f>
        <v>30</v>
      </c>
      <c r="AA504" s="30">
        <f ca="1">IFERROR(__xludf.DUMMYFUNCTION("""COMPUTED_VALUE"""),44164)</f>
        <v>44164</v>
      </c>
      <c r="AB504" s="27" t="str">
        <f ca="1">IFERROR(__xludf.DUMMYFUNCTION("""COMPUTED_VALUE"""),"Não")</f>
        <v>Não</v>
      </c>
      <c r="AC504" s="27">
        <f ca="1">IFERROR(__xludf.DUMMYFUNCTION("""COMPUTED_VALUE"""),2)</f>
        <v>2</v>
      </c>
      <c r="AD504" s="27">
        <f ca="1">IFERROR(__xludf.DUMMYFUNCTION("""COMPUTED_VALUE"""),2)</f>
        <v>2</v>
      </c>
      <c r="AE504" s="27">
        <f ca="1">IFERROR(__xludf.DUMMYFUNCTION("""COMPUTED_VALUE"""),6)</f>
        <v>6</v>
      </c>
      <c r="AF504" s="27">
        <f ca="1">IFERROR(__xludf.DUMMYFUNCTION("""COMPUTED_VALUE"""),4)</f>
        <v>4</v>
      </c>
      <c r="AG504" s="27">
        <f ca="1">IFERROR(__xludf.DUMMYFUNCTION("""COMPUTED_VALUE"""),4)</f>
        <v>4</v>
      </c>
      <c r="AH504" s="27" t="str">
        <f ca="1">IFERROR(__xludf.DUMMYFUNCTION("""COMPUTED_VALUE"""),"Lei de Incentivo; Negócio Social; Doações; Recursos próprios")</f>
        <v>Lei de Incentivo; Negócio Social; Doações; Recursos próprios</v>
      </c>
      <c r="AI504" s="27" t="str">
        <f ca="1">IFERROR(__xludf.DUMMYFUNCTION("""COMPUTED_VALUE"""),"Lei de Incentivo 40% Negócio Social 10% Doações 10% Recursos Próprios 40%")</f>
        <v>Lei de Incentivo 40% Negócio Social 10% Doações 10% Recursos Próprios 40%</v>
      </c>
      <c r="AJ504" s="27"/>
      <c r="AK504" s="27"/>
      <c r="AL504" s="21" t="str">
        <f ca="1">IFERROR(__xludf.DUMMYFUNCTION("""COMPUTED_VALUE"""),"0034P000045kxkE")</f>
        <v>0034P000045kxkE</v>
      </c>
      <c r="AM504" s="27" t="str">
        <f ca="1">IFERROR(__xludf.DUMMYFUNCTION("""COMPUTED_VALUE"""),"Danilo Da Silva")</f>
        <v>Danilo Da Silva</v>
      </c>
      <c r="AN504" s="27" t="str">
        <f ca="1">IFERROR(__xludf.DUMMYFUNCTION("""COMPUTED_VALUE"""),"Ativo")</f>
        <v>Ativo</v>
      </c>
      <c r="AO504" s="30">
        <f ca="1">IFERROR(__xludf.DUMMYFUNCTION("""COMPUTED_VALUE"""),44551)</f>
        <v>44551</v>
      </c>
      <c r="AP504" s="27">
        <f ca="1">IFERROR(__xludf.DUMMYFUNCTION("""COMPUTED_VALUE"""),9)</f>
        <v>9</v>
      </c>
      <c r="AQ504" s="27" t="str">
        <f ca="1">IFERROR(__xludf.DUMMYFUNCTION("""COMPUTED_VALUE"""),"Segundo Semestre 2021")</f>
        <v>Segundo Semestre 2021</v>
      </c>
      <c r="AR504" s="27" t="str">
        <f ca="1">IFERROR(__xludf.DUMMYFUNCTION("""COMPUTED_VALUE"""),"ze.daniloguerra@gmail.com")</f>
        <v>ze.daniloguerra@gmail.com</v>
      </c>
      <c r="AS504" s="27" t="str">
        <f ca="1">IFERROR(__xludf.DUMMYFUNCTION("""COMPUTED_VALUE"""),"(11)95113-0136")</f>
        <v>(11)95113-0136</v>
      </c>
      <c r="AT504" s="30">
        <f ca="1">IFERROR(__xludf.DUMMYFUNCTION("""COMPUTED_VALUE"""),33937)</f>
        <v>33937</v>
      </c>
      <c r="AU504" s="27">
        <f ca="1">IFERROR(__xludf.DUMMYFUNCTION("""COMPUTED_VALUE"""),30)</f>
        <v>30</v>
      </c>
      <c r="AV504" s="27">
        <f ca="1">IFERROR(__xludf.DUMMYFUNCTION("""COMPUTED_VALUE"""),41857880889)</f>
        <v>41857880889</v>
      </c>
      <c r="AW504" s="27">
        <f ca="1">IFERROR(__xludf.DUMMYFUNCTION("""COMPUTED_VALUE"""),493687294)</f>
        <v>493687294</v>
      </c>
      <c r="AX504" s="27"/>
      <c r="AY504" s="27"/>
      <c r="AZ504" s="27" t="str">
        <f ca="1">IFERROR(__xludf.DUMMYFUNCTION("""COMPUTED_VALUE"""),"M")</f>
        <v>M</v>
      </c>
      <c r="BA504" s="27" t="str">
        <f ca="1">IFERROR(__xludf.DUMMYFUNCTION("""COMPUTED_VALUE"""),"Preta")</f>
        <v>Preta</v>
      </c>
      <c r="BB504" s="27" t="str">
        <f ca="1">IFERROR(__xludf.DUMMYFUNCTION("""COMPUTED_VALUE"""),"Não Binário")</f>
        <v>Não Binário</v>
      </c>
      <c r="BC504" s="27" t="str">
        <f ca="1">IFERROR(__xludf.DUMMYFUNCTION("""COMPUTED_VALUE"""),"Não")</f>
        <v>Não</v>
      </c>
      <c r="BD504" s="27" t="str">
        <f ca="1">IFERROR(__xludf.DUMMYFUNCTION("""COMPUTED_VALUE"""),"Zé Danilo Guerra, nascido e criado na segunda maior Favela de São Paulo, Paraisópolis. Um homem negro que versa seu trabalho entre a produção cultural e trabalhos sociais. Coordenador do Sarau de Paraisópolis e Presidente do Projeto Peralta, desenvolve aç"&amp;"ões e projetos voltados a proteção social e a valorização cultural e social da periferia.")</f>
        <v>Zé Danilo Guerra, nascido e criado na segunda maior Favela de São Paulo, Paraisópolis. Um homem negro que versa seu trabalho entre a produção cultural e trabalhos sociais. Coordenador do Sarau de Paraisópolis e Presidente do Projeto Peralta, desenvolve ações e projetos voltados a proteção social e a valorização cultural e social da periferia.</v>
      </c>
      <c r="BE504" s="27"/>
      <c r="BF504" s="27" t="str">
        <f ca="1">IFERROR(__xludf.DUMMYFUNCTION("""COMPUTED_VALUE"""),"Pansexual")</f>
        <v>Pansexual</v>
      </c>
      <c r="BG504" s="27" t="str">
        <f ca="1">IFERROR(__xludf.DUMMYFUNCTION("""COMPUTED_VALUE"""),"Ensino Superior - Incompleto")</f>
        <v>Ensino Superior - Incompleto</v>
      </c>
      <c r="BH504" s="27" t="str">
        <f ca="1">IFERROR(__xludf.DUMMYFUNCTION("""COMPUTED_VALUE"""),"Público")</f>
        <v>Público</v>
      </c>
      <c r="BI504" s="27" t="str">
        <f ca="1">IFERROR(__xludf.DUMMYFUNCTION("""COMPUTED_VALUE"""),"Graduação")</f>
        <v>Graduação</v>
      </c>
      <c r="BJ504" s="27" t="str">
        <f ca="1">IFERROR(__xludf.DUMMYFUNCTION("""COMPUTED_VALUE"""),"Privado")</f>
        <v>Privado</v>
      </c>
      <c r="BK504" s="27" t="str">
        <f ca="1">IFERROR(__xludf.DUMMYFUNCTION("""COMPUTED_VALUE"""),"Francisco Vergueiro Porto")</f>
        <v>Francisco Vergueiro Porto</v>
      </c>
      <c r="BL504" s="27">
        <f ca="1">IFERROR(__xludf.DUMMYFUNCTION("""COMPUTED_VALUE"""),277)</f>
        <v>277</v>
      </c>
      <c r="BM504" s="27" t="str">
        <f ca="1">IFERROR(__xludf.DUMMYFUNCTION("""COMPUTED_VALUE"""),"ap 06")</f>
        <v>ap 06</v>
      </c>
      <c r="BN504" s="27" t="str">
        <f ca="1">IFERROR(__xludf.DUMMYFUNCTION("""COMPUTED_VALUE"""),"São Paulo")</f>
        <v>São Paulo</v>
      </c>
      <c r="BO504" s="27" t="str">
        <f ca="1">IFERROR(__xludf.DUMMYFUNCTION("""COMPUTED_VALUE"""),"04474-300")</f>
        <v>04474-300</v>
      </c>
      <c r="BP504" s="27" t="str">
        <f ca="1">IFERROR(__xludf.DUMMYFUNCTION("""COMPUTED_VALUE"""),"SP")</f>
        <v>SP</v>
      </c>
      <c r="BQ504" s="27" t="str">
        <f ca="1">IFERROR(__xludf.DUMMYFUNCTION("""COMPUTED_VALUE"""),"Entre 1 até 3 salários mínimos")</f>
        <v>Entre 1 até 3 salários mínimos</v>
      </c>
      <c r="BR504" s="27" t="str">
        <f ca="1">IFERROR(__xludf.DUMMYFUNCTION("""COMPUTED_VALUE"""),"CLT; Trabalho informal")</f>
        <v>CLT; Trabalho informal</v>
      </c>
      <c r="BS504" s="27" t="str">
        <f ca="1">IFERROR(__xludf.DUMMYFUNCTION("""COMPUTED_VALUE"""),"Aluguel")</f>
        <v>Aluguel</v>
      </c>
      <c r="BT504" s="27">
        <f ca="1">IFERROR(__xludf.DUMMYFUNCTION("""COMPUTED_VALUE"""),2)</f>
        <v>2</v>
      </c>
      <c r="BU504" s="27" t="str">
        <f ca="1">IFERROR(__xludf.DUMMYFUNCTION("""COMPUTED_VALUE"""),"Não tem")</f>
        <v>Não tem</v>
      </c>
      <c r="BV504" s="27"/>
      <c r="BW504" s="27"/>
      <c r="BX504" s="21" t="str">
        <f ca="1">IFERROR(__xludf.DUMMYFUNCTION("""COMPUTED_VALUE"""),"https://www.instagram.com/zedanilo.guerra/")</f>
        <v>https://www.instagram.com/zedanilo.guerra/</v>
      </c>
      <c r="BY504" s="21" t="str">
        <f ca="1">IFERROR(__xludf.DUMMYFUNCTION("""COMPUTED_VALUE"""),"https://drive.google.com/open?id=1lZWPbo1hBD_MNS4-Js3URYnQZJ3bny1S")</f>
        <v>https://drive.google.com/open?id=1lZWPbo1hBD_MNS4-Js3URYnQZJ3bny1S</v>
      </c>
    </row>
    <row r="505" spans="1:77" ht="12.5" x14ac:dyDescent="0.25">
      <c r="A505" s="21" t="str">
        <f ca="1">IFERROR(__xludf.DUMMYFUNCTION("""COMPUTED_VALUE"""),"0014X00002VKCraQAH")</f>
        <v>0014X00002VKCraQAH</v>
      </c>
      <c r="B505" s="27" t="str">
        <f ca="1">IFERROR(__xludf.DUMMYFUNCTION("""COMPUTED_VALUE"""),"Fase Inicial")</f>
        <v>Fase Inicial</v>
      </c>
      <c r="C505" s="27" t="str">
        <f ca="1">IFERROR(__xludf.DUMMYFUNCTION("""COMPUTED_VALUE"""),"Fellow")</f>
        <v>Fellow</v>
      </c>
      <c r="D505" s="27" t="str">
        <f ca="1">IFERROR(__xludf.DUMMYFUNCTION("""COMPUTED_VALUE"""),"Ativo")</f>
        <v>Ativo</v>
      </c>
      <c r="E505" s="27" t="str">
        <f ca="1">IFERROR(__xludf.DUMMYFUNCTION("""COMPUTED_VALUE"""),"Pereirinha Futebol Clube")</f>
        <v>Pereirinha Futebol Clube</v>
      </c>
      <c r="F505" s="27" t="str">
        <f ca="1">IFERROR(__xludf.DUMMYFUNCTION("""COMPUTED_VALUE"""),"Elias")</f>
        <v>Elias</v>
      </c>
      <c r="G505" s="27" t="str">
        <f ca="1">IFERROR(__xludf.DUMMYFUNCTION("""COMPUTED_VALUE"""),"PEREIRINHA FUTEBOL CLUBE")</f>
        <v>PEREIRINHA FUTEBOL CLUBE</v>
      </c>
      <c r="H505" s="27" t="str">
        <f ca="1">IFERROR(__xludf.DUMMYFUNCTION("""COMPUTED_VALUE"""),"12.586.772/0001-36")</f>
        <v>12.586.772/0001-36</v>
      </c>
      <c r="I505" s="27" t="str">
        <f ca="1">IFERROR(__xludf.DUMMYFUNCTION("""COMPUTED_VALUE"""),"Elias marques de Araujo")</f>
        <v>Elias marques de Araujo</v>
      </c>
      <c r="J505" s="27" t="str">
        <f ca="1">IFERROR(__xludf.DUMMYFUNCTION("""COMPUTED_VALUE"""),"pereirinhafc@hotmail.com")</f>
        <v>pereirinhafc@hotmail.com</v>
      </c>
      <c r="K505" s="27" t="str">
        <f ca="1">IFERROR(__xludf.DUMMYFUNCTION("""COMPUTED_VALUE"""),"(81)98810-0010")</f>
        <v>(81)98810-0010</v>
      </c>
      <c r="L505" s="27" t="str">
        <f ca="1">IFERROR(__xludf.DUMMYFUNCTION("""COMPUTED_VALUE"""),"PE")</f>
        <v>PE</v>
      </c>
      <c r="M505" s="27" t="str">
        <f ca="1">IFERROR(__xludf.DUMMYFUNCTION("""COMPUTED_VALUE"""),"Rua Alto Bonito")</f>
        <v>Rua Alto Bonito</v>
      </c>
      <c r="N505" s="27" t="str">
        <f ca="1">IFERROR(__xludf.DUMMYFUNCTION("""COMPUTED_VALUE"""),"Agua Fria")</f>
        <v>Agua Fria</v>
      </c>
      <c r="O505" s="27">
        <f ca="1">IFERROR(__xludf.DUMMYFUNCTION("""COMPUTED_VALUE"""),301)</f>
        <v>301</v>
      </c>
      <c r="P505" s="27" t="str">
        <f ca="1">IFERROR(__xludf.DUMMYFUNCTION("""COMPUTED_VALUE"""),"Recife")</f>
        <v>Recife</v>
      </c>
      <c r="Q505" s="27"/>
      <c r="R505" s="27" t="str">
        <f ca="1">IFERROR(__xludf.DUMMYFUNCTION("""COMPUTED_VALUE"""),"52120-185")</f>
        <v>52120-185</v>
      </c>
      <c r="S505" s="27"/>
      <c r="T505" s="27"/>
      <c r="U505" s="27" t="str">
        <f ca="1">IFERROR(__xludf.DUMMYFUNCTION("""COMPUTED_VALUE"""),"Crianças pequenas (4 anos a 5 anos e 11 meses), Crianças (6 a 12 anos), Adolescentes (12 aos 18 anos)")</f>
        <v>Crianças pequenas (4 anos a 5 anos e 11 meses), Crianças (6 a 12 anos), Adolescentes (12 aos 18 anos)</v>
      </c>
      <c r="V505" s="27" t="str">
        <f ca="1">IFERROR(__xludf.DUMMYFUNCTION("""COMPUTED_VALUE"""),"Moradores de Favelas")</f>
        <v>Moradores de Favelas</v>
      </c>
      <c r="W505" s="27">
        <f ca="1">IFERROR(__xludf.DUMMYFUNCTION("""COMPUTED_VALUE"""),1)</f>
        <v>1</v>
      </c>
      <c r="X505" s="27" t="str">
        <f ca="1">IFERROR(__xludf.DUMMYFUNCTION("""COMPUTED_VALUE"""),"Crianças e adolescentes de ambos os sexos dos 5 aos 17 anos")</f>
        <v>Crianças e adolescentes de ambos os sexos dos 5 aos 17 anos</v>
      </c>
      <c r="Y505" s="27"/>
      <c r="Z505" s="27">
        <f ca="1">IFERROR(__xludf.DUMMYFUNCTION("""COMPUTED_VALUE"""),150)</f>
        <v>150</v>
      </c>
      <c r="AA505" s="29">
        <f ca="1">IFERROR(__xludf.DUMMYFUNCTION("""COMPUTED_VALUE"""),28549)</f>
        <v>28549</v>
      </c>
      <c r="AB505" s="27" t="str">
        <f ca="1">IFERROR(__xludf.DUMMYFUNCTION("""COMPUTED_VALUE"""),"Sim")</f>
        <v>Sim</v>
      </c>
      <c r="AC505" s="27">
        <f ca="1">IFERROR(__xludf.DUMMYFUNCTION("""COMPUTED_VALUE"""),0)</f>
        <v>0</v>
      </c>
      <c r="AD505" s="27">
        <f ca="1">IFERROR(__xludf.DUMMYFUNCTION("""COMPUTED_VALUE"""),0)</f>
        <v>0</v>
      </c>
      <c r="AE505" s="27">
        <f ca="1">IFERROR(__xludf.DUMMYFUNCTION("""COMPUTED_VALUE"""),4)</f>
        <v>4</v>
      </c>
      <c r="AF505" s="27">
        <f ca="1">IFERROR(__xludf.DUMMYFUNCTION("""COMPUTED_VALUE"""),4)</f>
        <v>4</v>
      </c>
      <c r="AG505" s="27">
        <f ca="1">IFERROR(__xludf.DUMMYFUNCTION("""COMPUTED_VALUE"""),2)</f>
        <v>2</v>
      </c>
      <c r="AH505" s="27" t="str">
        <f ca="1">IFERROR(__xludf.DUMMYFUNCTION("""COMPUTED_VALUE"""),"Doações, Recursos próprios")</f>
        <v>Doações, Recursos próprios</v>
      </c>
      <c r="AI505" s="27">
        <f ca="1">IFERROR(__xludf.DUMMYFUNCTION("""COMPUTED_VALUE"""),0)</f>
        <v>0</v>
      </c>
      <c r="AJ505" s="27" t="str">
        <f ca="1">IFERROR(__xludf.DUMMYFUNCTION("""COMPUTED_VALUE"""),"Não")</f>
        <v>Não</v>
      </c>
      <c r="AK505" s="27"/>
      <c r="AL505" s="21" t="str">
        <f ca="1">IFERROR(__xludf.DUMMYFUNCTION("""COMPUTED_VALUE"""),"0034X0000380O4N")</f>
        <v>0034X0000380O4N</v>
      </c>
      <c r="AM505" s="27" t="str">
        <f ca="1">IFERROR(__xludf.DUMMYFUNCTION("""COMPUTED_VALUE"""),"Marques de araujo")</f>
        <v>Marques de araujo</v>
      </c>
      <c r="AN505" s="27" t="str">
        <f ca="1">IFERROR(__xludf.DUMMYFUNCTION("""COMPUTED_VALUE"""),"Ativo")</f>
        <v>Ativo</v>
      </c>
      <c r="AO505" s="29">
        <f ca="1">IFERROR(__xludf.DUMMYFUNCTION("""COMPUTED_VALUE"""),44763)</f>
        <v>44763</v>
      </c>
      <c r="AP505" s="27">
        <f ca="1">IFERROR(__xludf.DUMMYFUNCTION("""COMPUTED_VALUE"""),2)</f>
        <v>2</v>
      </c>
      <c r="AQ505" s="27" t="str">
        <f ca="1">IFERROR(__xludf.DUMMYFUNCTION("""COMPUTED_VALUE"""),"Primeiro Semestre 2022")</f>
        <v>Primeiro Semestre 2022</v>
      </c>
      <c r="AR505" s="27" t="str">
        <f ca="1">IFERROR(__xludf.DUMMYFUNCTION("""COMPUTED_VALUE"""),"elias1802@gmail.com")</f>
        <v>elias1802@gmail.com</v>
      </c>
      <c r="AS505" s="27" t="str">
        <f ca="1">IFERROR(__xludf.DUMMYFUNCTION("""COMPUTED_VALUE"""),"(81)98810-0010")</f>
        <v>(81)98810-0010</v>
      </c>
      <c r="AT505" s="29">
        <f ca="1">IFERROR(__xludf.DUMMYFUNCTION("""COMPUTED_VALUE"""),25368)</f>
        <v>25368</v>
      </c>
      <c r="AU505" s="27">
        <f ca="1">IFERROR(__xludf.DUMMYFUNCTION("""COMPUTED_VALUE"""),53)</f>
        <v>53</v>
      </c>
      <c r="AV505" s="27">
        <f ca="1">IFERROR(__xludf.DUMMYFUNCTION("""COMPUTED_VALUE"""),80055800459)</f>
        <v>80055800459</v>
      </c>
      <c r="AW505" s="27">
        <f ca="1">IFERROR(__xludf.DUMMYFUNCTION("""COMPUTED_VALUE"""),3376487)</f>
        <v>3376487</v>
      </c>
      <c r="AX505" s="27"/>
      <c r="AY505" s="27" t="str">
        <f ca="1">IFERROR(__xludf.DUMMYFUNCTION("""COMPUTED_VALUE"""),"Presidente")</f>
        <v>Presidente</v>
      </c>
      <c r="AZ505" s="27" t="str">
        <f ca="1">IFERROR(__xludf.DUMMYFUNCTION("""COMPUTED_VALUE"""),"M")</f>
        <v>M</v>
      </c>
      <c r="BA505" s="27" t="str">
        <f ca="1">IFERROR(__xludf.DUMMYFUNCTION("""COMPUTED_VALUE"""),"Parda")</f>
        <v>Parda</v>
      </c>
      <c r="BB505" s="27"/>
      <c r="BC505" s="27"/>
      <c r="BD505" s="27" t="str">
        <f ca="1">IFERROR(__xludf.DUMMYFUNCTION("""COMPUTED_VALUE"""),"No Ano de 2009 o Elias presenciou a conversa de alguns garotos na frente da sua casa e entre estes garotos estava o seu filho Pedro com apenas 7 anos, foi quando ele percebeu que a comunidade que tinha nascido havia se tornado violenta e inadequada para c"&amp;"riação do seu filho, a solução inicial que achou foi realizar um jogo aos sábados para conhecer melhor os garotos da comunidade Foi assim que nasceu a escolinha do Pereirinha Futebol Clube onde a bola é a ferramenta usada para formar Cidadãos.")</f>
        <v>No Ano de 2009 o Elias presenciou a conversa de alguns garotos na frente da sua casa e entre estes garotos estava o seu filho Pedro com apenas 7 anos, foi quando ele percebeu que a comunidade que tinha nascido havia se tornado violenta e inadequada para criação do seu filho, a solução inicial que achou foi realizar um jogo aos sábados para conhecer melhor os garotos da comunidade Foi assim que nasceu a escolinha do Pereirinha Futebol Clube onde a bola é a ferramenta usada para formar Cidadãos.</v>
      </c>
      <c r="BE505" s="27" t="str">
        <f ca="1">IFERROR(__xludf.DUMMYFUNCTION("""COMPUTED_VALUE"""),"Homem, cisgênero")</f>
        <v>Homem, cisgênero</v>
      </c>
      <c r="BF505" s="27" t="str">
        <f ca="1">IFERROR(__xludf.DUMMYFUNCTION("""COMPUTED_VALUE"""),"Heterossexual")</f>
        <v>Heterossexual</v>
      </c>
      <c r="BG505" s="27" t="str">
        <f ca="1">IFERROR(__xludf.DUMMYFUNCTION("""COMPUTED_VALUE"""),"Ensino Superior - Completo")</f>
        <v>Ensino Superior - Completo</v>
      </c>
      <c r="BH505" s="27" t="str">
        <f ca="1">IFERROR(__xludf.DUMMYFUNCTION("""COMPUTED_VALUE"""),"Público")</f>
        <v>Público</v>
      </c>
      <c r="BI505" s="27" t="str">
        <f ca="1">IFERROR(__xludf.DUMMYFUNCTION("""COMPUTED_VALUE"""),"Graduação")</f>
        <v>Graduação</v>
      </c>
      <c r="BJ505" s="27" t="str">
        <f ca="1">IFERROR(__xludf.DUMMYFUNCTION("""COMPUTED_VALUE"""),"Privado")</f>
        <v>Privado</v>
      </c>
      <c r="BK505" s="27" t="str">
        <f ca="1">IFERROR(__xludf.DUMMYFUNCTION("""COMPUTED_VALUE"""),"Rua Alto Bonito")</f>
        <v>Rua Alto Bonito</v>
      </c>
      <c r="BL505" s="27">
        <f ca="1">IFERROR(__xludf.DUMMYFUNCTION("""COMPUTED_VALUE"""),120)</f>
        <v>120</v>
      </c>
      <c r="BM505" s="27"/>
      <c r="BN505" s="27" t="str">
        <f ca="1">IFERROR(__xludf.DUMMYFUNCTION("""COMPUTED_VALUE"""),"recife")</f>
        <v>recife</v>
      </c>
      <c r="BO505" s="27" t="str">
        <f ca="1">IFERROR(__xludf.DUMMYFUNCTION("""COMPUTED_VALUE"""),"52120-185")</f>
        <v>52120-185</v>
      </c>
      <c r="BP505" s="27" t="str">
        <f ca="1">IFERROR(__xludf.DUMMYFUNCTION("""COMPUTED_VALUE"""),"PE")</f>
        <v>PE</v>
      </c>
      <c r="BQ505" s="27" t="str">
        <f ca="1">IFERROR(__xludf.DUMMYFUNCTION("""COMPUTED_VALUE"""),"Entre 1 até 3 salários mínimos")</f>
        <v>Entre 1 até 3 salários mínimos</v>
      </c>
      <c r="BR505" s="27" t="str">
        <f ca="1">IFERROR(__xludf.DUMMYFUNCTION("""COMPUTED_VALUE"""),"CLT")</f>
        <v>CLT</v>
      </c>
      <c r="BS505" s="27" t="str">
        <f ca="1">IFERROR(__xludf.DUMMYFUNCTION("""COMPUTED_VALUE"""),"Casa própria")</f>
        <v>Casa própria</v>
      </c>
      <c r="BT505" s="27">
        <f ca="1">IFERROR(__xludf.DUMMYFUNCTION("""COMPUTED_VALUE"""),2)</f>
        <v>2</v>
      </c>
      <c r="BU505" s="27" t="str">
        <f ca="1">IFERROR(__xludf.DUMMYFUNCTION("""COMPUTED_VALUE"""),"Não tem")</f>
        <v>Não tem</v>
      </c>
      <c r="BV505" s="27" t="str">
        <f ca="1">IFERROR(__xludf.DUMMYFUNCTION("""COMPUTED_VALUE"""),"Não")</f>
        <v>Não</v>
      </c>
      <c r="BW505" s="27"/>
      <c r="BX505" s="27"/>
      <c r="BY505" s="21" t="str">
        <f ca="1">IFERROR(__xludf.DUMMYFUNCTION("""COMPUTED_VALUE"""),"https://drive.google.com/open?id=1USZrRkMeeWjYB7Jwk7QFhWfBKTU9icaR")</f>
        <v>https://drive.google.com/open?id=1USZrRkMeeWjYB7Jwk7QFhWfBKTU9icaR</v>
      </c>
    </row>
    <row r="506" spans="1:77" ht="12.5" x14ac:dyDescent="0.25">
      <c r="A506" s="21" t="str">
        <f ca="1">IFERROR(__xludf.DUMMYFUNCTION("""COMPUTED_VALUE"""),"0014P00003SGWQ8QAP")</f>
        <v>0014P00003SGWQ8QAP</v>
      </c>
      <c r="B506" s="27" t="str">
        <f ca="1">IFERROR(__xludf.DUMMYFUNCTION("""COMPUTED_VALUE"""),"Fase Inicial")</f>
        <v>Fase Inicial</v>
      </c>
      <c r="C506" s="27" t="str">
        <f ca="1">IFERROR(__xludf.DUMMYFUNCTION("""COMPUTED_VALUE"""),"Fellow")</f>
        <v>Fellow</v>
      </c>
      <c r="D506" s="27" t="str">
        <f ca="1">IFERROR(__xludf.DUMMYFUNCTION("""COMPUTED_VALUE"""),"Ativo")</f>
        <v>Ativo</v>
      </c>
      <c r="E506" s="27" t="str">
        <f ca="1">IFERROR(__xludf.DUMMYFUNCTION("""COMPUTED_VALUE"""),"PONTINCLUSIVA")</f>
        <v>PONTINCLUSIVA</v>
      </c>
      <c r="F506" s="27" t="str">
        <f ca="1">IFERROR(__xludf.DUMMYFUNCTION("""COMPUTED_VALUE"""),"Danilo")</f>
        <v>Danilo</v>
      </c>
      <c r="G506" s="27" t="str">
        <f ca="1">IFERROR(__xludf.DUMMYFUNCTION("""COMPUTED_VALUE"""),"PONTINCLUSIVA")</f>
        <v>PONTINCLUSIVA</v>
      </c>
      <c r="H506" s="27" t="str">
        <f ca="1">IFERROR(__xludf.DUMMYFUNCTION("""COMPUTED_VALUE"""),"00.000.000/0000-00")</f>
        <v>00.000.000/0000-00</v>
      </c>
      <c r="I506" s="27" t="str">
        <f ca="1">IFERROR(__xludf.DUMMYFUNCTION("""COMPUTED_VALUE"""),"Danilo César Trindade Pereira")</f>
        <v>Danilo César Trindade Pereira</v>
      </c>
      <c r="J506" s="27" t="str">
        <f ca="1">IFERROR(__xludf.DUMMYFUNCTION("""COMPUTED_VALUE"""),"pontinclusiva@gmail.com")</f>
        <v>pontinclusiva@gmail.com</v>
      </c>
      <c r="K506" s="27" t="str">
        <f ca="1">IFERROR(__xludf.DUMMYFUNCTION("""COMPUTED_VALUE"""),"(31)98872-9239")</f>
        <v>(31)98872-9239</v>
      </c>
      <c r="L506" s="27" t="str">
        <f ca="1">IFERROR(__xludf.DUMMYFUNCTION("""COMPUTED_VALUE"""),"MG")</f>
        <v>MG</v>
      </c>
      <c r="M506" s="27" t="str">
        <f ca="1">IFERROR(__xludf.DUMMYFUNCTION("""COMPUTED_VALUE"""),"Rua São Julião")</f>
        <v>Rua São Julião</v>
      </c>
      <c r="N506" s="27" t="str">
        <f ca="1">IFERROR(__xludf.DUMMYFUNCTION("""COMPUTED_VALUE"""),"Não possui sede ainda")</f>
        <v>Não possui sede ainda</v>
      </c>
      <c r="O506" s="27" t="str">
        <f ca="1">IFERROR(__xludf.DUMMYFUNCTION("""COMPUTED_VALUE"""),"(31)98872-9239")</f>
        <v>(31)98872-9239</v>
      </c>
      <c r="P506" s="27" t="str">
        <f ca="1">IFERROR(__xludf.DUMMYFUNCTION("""COMPUTED_VALUE"""),"BETIM")</f>
        <v>BETIM</v>
      </c>
      <c r="Q506" s="27" t="str">
        <f ca="1">IFERROR(__xludf.DUMMYFUNCTION("""COMPUTED_VALUE"""),"Não possui sede ainda")</f>
        <v>Não possui sede ainda</v>
      </c>
      <c r="R506" s="27" t="str">
        <f ca="1">IFERROR(__xludf.DUMMYFUNCTION("""COMPUTED_VALUE"""),"32655-564")</f>
        <v>32655-564</v>
      </c>
      <c r="S506" s="27"/>
      <c r="T506" s="27" t="str">
        <f ca="1">IFERROR(__xludf.DUMMYFUNCTION("""COMPUTED_VALUE"""),"Esporte; Educação; Assistência Social; Saúde; Defesa de Direitos; Desenvolvimento comunitário")</f>
        <v>Esporte; Educação; Assistência Social; Saúde; Defesa de Direitos; Desenvolvimento comunitário</v>
      </c>
      <c r="U506" s="27" t="str">
        <f ca="1">IFERROR(__xludf.DUMMYFUNCTION("""COMPUTED_VALUE"""),"Crianças (6 a 12 anos); Adolescentes (12 aos 18 anos); Jovens (18 aos 24 anos); Adultos")</f>
        <v>Crianças (6 a 12 anos); Adolescentes (12 aos 18 anos); Jovens (18 aos 24 anos); Adultos</v>
      </c>
      <c r="V506" s="27" t="str">
        <f ca="1">IFERROR(__xludf.DUMMYFUNCTION("""COMPUTED_VALUE"""),"Moradores de Favelas; Pessoas com Deficiência; Outros")</f>
        <v>Moradores de Favelas; Pessoas com Deficiência; Outros</v>
      </c>
      <c r="W506" s="27">
        <f ca="1">IFERROR(__xludf.DUMMYFUNCTION("""COMPUTED_VALUE"""),10)</f>
        <v>10</v>
      </c>
      <c r="X506" s="27"/>
      <c r="Y506" s="27">
        <f ca="1">IFERROR(__xludf.DUMMYFUNCTION("""COMPUTED_VALUE"""),10)</f>
        <v>10</v>
      </c>
      <c r="Z506" s="27">
        <f ca="1">IFERROR(__xludf.DUMMYFUNCTION("""COMPUTED_VALUE"""),500)</f>
        <v>500</v>
      </c>
      <c r="AA506" s="29">
        <f ca="1">IFERROR(__xludf.DUMMYFUNCTION("""COMPUTED_VALUE"""),44415)</f>
        <v>44415</v>
      </c>
      <c r="AB506" s="27" t="str">
        <f ca="1">IFERROR(__xludf.DUMMYFUNCTION("""COMPUTED_VALUE"""),"Não")</f>
        <v>Não</v>
      </c>
      <c r="AC506" s="27">
        <f ca="1">IFERROR(__xludf.DUMMYFUNCTION("""COMPUTED_VALUE"""),0)</f>
        <v>0</v>
      </c>
      <c r="AD506" s="27">
        <f ca="1">IFERROR(__xludf.DUMMYFUNCTION("""COMPUTED_VALUE"""),0)</f>
        <v>0</v>
      </c>
      <c r="AE506" s="27">
        <f ca="1">IFERROR(__xludf.DUMMYFUNCTION("""COMPUTED_VALUE"""),3)</f>
        <v>3</v>
      </c>
      <c r="AF506" s="27">
        <f ca="1">IFERROR(__xludf.DUMMYFUNCTION("""COMPUTED_VALUE"""),1)</f>
        <v>1</v>
      </c>
      <c r="AG506" s="27">
        <f ca="1">IFERROR(__xludf.DUMMYFUNCTION("""COMPUTED_VALUE"""),2)</f>
        <v>2</v>
      </c>
      <c r="AH506" s="27" t="str">
        <f ca="1">IFERROR(__xludf.DUMMYFUNCTION("""COMPUTED_VALUE"""),"Eventos/Ações para captação; Doações")</f>
        <v>Eventos/Ações para captação; Doações</v>
      </c>
      <c r="AI506" s="27" t="str">
        <f ca="1">IFERROR(__xludf.DUMMYFUNCTION("""COMPUTED_VALUE"""),"Não temos ainda")</f>
        <v>Não temos ainda</v>
      </c>
      <c r="AJ506" s="27" t="str">
        <f ca="1">IFERROR(__xludf.DUMMYFUNCTION("""COMPUTED_VALUE"""),"Sim")</f>
        <v>Sim</v>
      </c>
      <c r="AK506" s="27" t="str">
        <f ca="1">IFERROR(__xludf.DUMMYFUNCTION("""COMPUTED_VALUE"""),"Não")</f>
        <v>Não</v>
      </c>
      <c r="AL506" s="21" t="str">
        <f ca="1">IFERROR(__xludf.DUMMYFUNCTION("""COMPUTED_VALUE"""),"0034P000043fOo9")</f>
        <v>0034P000043fOo9</v>
      </c>
      <c r="AM506" s="27" t="str">
        <f ca="1">IFERROR(__xludf.DUMMYFUNCTION("""COMPUTED_VALUE"""),"César Trindade Pereira")</f>
        <v>César Trindade Pereira</v>
      </c>
      <c r="AN506" s="27" t="str">
        <f ca="1">IFERROR(__xludf.DUMMYFUNCTION("""COMPUTED_VALUE"""),"Ativo")</f>
        <v>Ativo</v>
      </c>
      <c r="AO506" s="29">
        <f ca="1">IFERROR(__xludf.DUMMYFUNCTION("""COMPUTED_VALUE"""),44432)</f>
        <v>44432</v>
      </c>
      <c r="AP506" s="27">
        <f ca="1">IFERROR(__xludf.DUMMYFUNCTION("""COMPUTED_VALUE"""),13)</f>
        <v>13</v>
      </c>
      <c r="AQ506" s="27" t="str">
        <f ca="1">IFERROR(__xludf.DUMMYFUNCTION("""COMPUTED_VALUE"""),"Primeiro Semestre 2021")</f>
        <v>Primeiro Semestre 2021</v>
      </c>
      <c r="AR506" s="27" t="str">
        <f ca="1">IFERROR(__xludf.DUMMYFUNCTION("""COMPUTED_VALUE"""),"professordancesar@gmail.com")</f>
        <v>professordancesar@gmail.com</v>
      </c>
      <c r="AS506" s="27" t="str">
        <f ca="1">IFERROR(__xludf.DUMMYFUNCTION("""COMPUTED_VALUE"""),"(31)98872-9239")</f>
        <v>(31)98872-9239</v>
      </c>
      <c r="AT506" s="30">
        <f ca="1">IFERROR(__xludf.DUMMYFUNCTION("""COMPUTED_VALUE"""),30314)</f>
        <v>30314</v>
      </c>
      <c r="AU506" s="27">
        <f ca="1">IFERROR(__xludf.DUMMYFUNCTION("""COMPUTED_VALUE"""),40)</f>
        <v>40</v>
      </c>
      <c r="AV506" s="27">
        <f ca="1">IFERROR(__xludf.DUMMYFUNCTION("""COMPUTED_VALUE"""),5349952684)</f>
        <v>5349952684</v>
      </c>
      <c r="AW506" s="27">
        <f ca="1">IFERROR(__xludf.DUMMYFUNCTION("""COMPUTED_VALUE"""),8092080)</f>
        <v>8092080</v>
      </c>
      <c r="AX506" s="27" t="str">
        <f ca="1">IFERROR(__xludf.DUMMYFUNCTION("""COMPUTED_VALUE"""),"Eespecialista Em Atividades Físicas E Esportivas Para Pessoas Com Deficiência")</f>
        <v>Eespecialista Em Atividades Físicas E Esportivas Para Pessoas Com Deficiência</v>
      </c>
      <c r="AY506" s="27" t="str">
        <f ca="1">IFERROR(__xludf.DUMMYFUNCTION("""COMPUTED_VALUE"""),"Servidor Público / Professor de Educação Física")</f>
        <v>Servidor Público / Professor de Educação Física</v>
      </c>
      <c r="AZ506" s="27" t="str">
        <f ca="1">IFERROR(__xludf.DUMMYFUNCTION("""COMPUTED_VALUE"""),"G")</f>
        <v>G</v>
      </c>
      <c r="BA506" s="27" t="str">
        <f ca="1">IFERROR(__xludf.DUMMYFUNCTION("""COMPUTED_VALUE"""),"Preta")</f>
        <v>Preta</v>
      </c>
      <c r="BB506" s="27"/>
      <c r="BC506" s="27" t="str">
        <f ca="1">IFERROR(__xludf.DUMMYFUNCTION("""COMPUTED_VALUE"""),"Não")</f>
        <v>Não</v>
      </c>
      <c r="BD506" s="27" t="str">
        <f ca="1">IFERROR(__xludf.DUMMYFUNCTION("""COMPUTED_VALUE"""),"Sou professor, tenho 39 anos, pai da Maria Heloísa e marido da Tatiane. Atualmente atou como profissional de Educação Física para PESSOAS com deficiência. E realizo trabalho social desde adolescente. E por isso fundei a PONTINCLUSIVA, no intuito de garant"&amp;"ir os direitos das PESSOAS com deficiência.")</f>
        <v>Sou professor, tenho 39 anos, pai da Maria Heloísa e marido da Tatiane. Atualmente atou como profissional de Educação Física para PESSOAS com deficiência. E realizo trabalho social desde adolescente. E por isso fundei a PONTINCLUSIVA, no intuito de garantir os direitos das PESSOAS com deficiência.</v>
      </c>
      <c r="BE506" s="27" t="str">
        <f ca="1">IFERROR(__xludf.DUMMYFUNCTION("""COMPUTED_VALUE"""),"Masculino")</f>
        <v>Masculino</v>
      </c>
      <c r="BF506" s="27" t="str">
        <f ca="1">IFERROR(__xludf.DUMMYFUNCTION("""COMPUTED_VALUE"""),"Heterossexual")</f>
        <v>Heterossexual</v>
      </c>
      <c r="BG506" s="27" t="str">
        <f ca="1">IFERROR(__xludf.DUMMYFUNCTION("""COMPUTED_VALUE"""),"Ensino Superior - Completo")</f>
        <v>Ensino Superior - Completo</v>
      </c>
      <c r="BH506" s="27"/>
      <c r="BI506" s="27" t="str">
        <f ca="1">IFERROR(__xludf.DUMMYFUNCTION("""COMPUTED_VALUE"""),"Pós-Graduação")</f>
        <v>Pós-Graduação</v>
      </c>
      <c r="BJ506" s="27" t="str">
        <f ca="1">IFERROR(__xludf.DUMMYFUNCTION("""COMPUTED_VALUE"""),"Privado")</f>
        <v>Privado</v>
      </c>
      <c r="BK506" s="27" t="str">
        <f ca="1">IFERROR(__xludf.DUMMYFUNCTION("""COMPUTED_VALUE"""),"Ney Werneck, 117")</f>
        <v>Ney Werneck, 117</v>
      </c>
      <c r="BL506" s="27">
        <f ca="1">IFERROR(__xludf.DUMMYFUNCTION("""COMPUTED_VALUE"""),117)</f>
        <v>117</v>
      </c>
      <c r="BM506" s="27" t="str">
        <f ca="1">IFERROR(__xludf.DUMMYFUNCTION("""COMPUTED_VALUE"""),"Casa dos Fundos")</f>
        <v>Casa dos Fundos</v>
      </c>
      <c r="BN506" s="27" t="str">
        <f ca="1">IFERROR(__xludf.DUMMYFUNCTION("""COMPUTED_VALUE"""),"BETIM")</f>
        <v>BETIM</v>
      </c>
      <c r="BO506" s="27" t="str">
        <f ca="1">IFERROR(__xludf.DUMMYFUNCTION("""COMPUTED_VALUE"""),"30810-630")</f>
        <v>30810-630</v>
      </c>
      <c r="BP506" s="27" t="str">
        <f ca="1">IFERROR(__xludf.DUMMYFUNCTION("""COMPUTED_VALUE"""),"MG")</f>
        <v>MG</v>
      </c>
      <c r="BQ506" s="27" t="str">
        <f ca="1">IFERROR(__xludf.DUMMYFUNCTION("""COMPUTED_VALUE"""),"De 3 até 5 salários mínimos")</f>
        <v>De 3 até 5 salários mínimos</v>
      </c>
      <c r="BR506" s="27" t="str">
        <f ca="1">IFERROR(__xludf.DUMMYFUNCTION("""COMPUTED_VALUE"""),"CLT; Funcionário Público; Desempregado")</f>
        <v>CLT; Funcionário Público; Desempregado</v>
      </c>
      <c r="BS506" s="27" t="str">
        <f ca="1">IFERROR(__xludf.DUMMYFUNCTION("""COMPUTED_VALUE"""),"Casa cedida")</f>
        <v>Casa cedida</v>
      </c>
      <c r="BT506" s="27">
        <f ca="1">IFERROR(__xludf.DUMMYFUNCTION("""COMPUTED_VALUE"""),4)</f>
        <v>4</v>
      </c>
      <c r="BU506" s="27"/>
      <c r="BV506" s="27"/>
      <c r="BW506" s="21" t="str">
        <f ca="1">IFERROR(__xludf.DUMMYFUNCTION("""COMPUTED_VALUE"""),"https://www.linkedin.com/in/danilo-c%C3%A9sar-trindade-pereir")</f>
        <v>https://www.linkedin.com/in/danilo-c%C3%A9sar-trindade-pereir</v>
      </c>
      <c r="BX506" s="21" t="str">
        <f ca="1">IFERROR(__xludf.DUMMYFUNCTION("""COMPUTED_VALUE"""),"https://www.instagram.com/dancesar.tp/")</f>
        <v>https://www.instagram.com/dancesar.tp/</v>
      </c>
      <c r="BY506" s="21" t="str">
        <f ca="1">IFERROR(__xludf.DUMMYFUNCTION("""COMPUTED_VALUE"""),"https://drive.google.com/open?id=1sW1HQrdD0H61CN5rMoErLj_bQC4xTJhg")</f>
        <v>https://drive.google.com/open?id=1sW1HQrdD0H61CN5rMoErLj_bQC4xTJhg</v>
      </c>
    </row>
    <row r="507" spans="1:77" ht="12.5" x14ac:dyDescent="0.25">
      <c r="A507" s="21" t="str">
        <f ca="1">IFERROR(__xludf.DUMMYFUNCTION("""COMPUTED_VALUE"""),"0014X00002VKCszQAH")</f>
        <v>0014X00002VKCszQAH</v>
      </c>
      <c r="B507" s="27" t="str">
        <f ca="1">IFERROR(__xludf.DUMMYFUNCTION("""COMPUTED_VALUE"""),"Fase Inicial")</f>
        <v>Fase Inicial</v>
      </c>
      <c r="C507" s="27" t="str">
        <f ca="1">IFERROR(__xludf.DUMMYFUNCTION("""COMPUTED_VALUE"""),"Fellow")</f>
        <v>Fellow</v>
      </c>
      <c r="D507" s="27" t="str">
        <f ca="1">IFERROR(__xludf.DUMMYFUNCTION("""COMPUTED_VALUE"""),"Ativo")</f>
        <v>Ativo</v>
      </c>
      <c r="E507" s="27" t="str">
        <f ca="1">IFERROR(__xludf.DUMMYFUNCTION("""COMPUTED_VALUE"""),"PRETAS RUAS")</f>
        <v>PRETAS RUAS</v>
      </c>
      <c r="F507" s="27" t="str">
        <f ca="1">IFERROR(__xludf.DUMMYFUNCTION("""COMPUTED_VALUE"""),"Pamella")</f>
        <v>Pamella</v>
      </c>
      <c r="G507" s="27" t="str">
        <f ca="1">IFERROR(__xludf.DUMMYFUNCTION("""COMPUTED_VALUE"""),"PRETAS RUAS")</f>
        <v>PRETAS RUAS</v>
      </c>
      <c r="H507" s="27" t="str">
        <f ca="1">IFERROR(__xludf.DUMMYFUNCTION("""COMPUTED_VALUE"""),"38.450.713/0001-20")</f>
        <v>38.450.713/0001-20</v>
      </c>
      <c r="I507" s="27" t="str">
        <f ca="1">IFERROR(__xludf.DUMMYFUNCTION("""COMPUTED_VALUE"""),"Pamella Cristina de Oliveira da Silva")</f>
        <v>Pamella Cristina de Oliveira da Silva</v>
      </c>
      <c r="J507" s="27" t="str">
        <f ca="1">IFERROR(__xludf.DUMMYFUNCTION("""COMPUTED_VALUE"""),"pretasruas@gmail.com")</f>
        <v>pretasruas@gmail.com</v>
      </c>
      <c r="K507" s="27" t="str">
        <f ca="1">IFERROR(__xludf.DUMMYFUNCTION("""COMPUTED_VALUE"""),"(21)98294-6077")</f>
        <v>(21)98294-6077</v>
      </c>
      <c r="L507" s="27" t="str">
        <f ca="1">IFERROR(__xludf.DUMMYFUNCTION("""COMPUTED_VALUE"""),"RJ")</f>
        <v>RJ</v>
      </c>
      <c r="M507" s="27" t="str">
        <f ca="1">IFERROR(__xludf.DUMMYFUNCTION("""COMPUTED_VALUE"""),"Realizamos encontros em espaços parceiros")</f>
        <v>Realizamos encontros em espaços parceiros</v>
      </c>
      <c r="N507" s="27" t="str">
        <f ca="1">IFERROR(__xludf.DUMMYFUNCTION("""COMPUTED_VALUE"""),"Ainda não temos sede")</f>
        <v>Ainda não temos sede</v>
      </c>
      <c r="O507" s="27">
        <f ca="1">IFERROR(__xludf.DUMMYFUNCTION("""COMPUTED_VALUE"""),0)</f>
        <v>0</v>
      </c>
      <c r="P507" s="27" t="str">
        <f ca="1">IFERROR(__xludf.DUMMYFUNCTION("""COMPUTED_VALUE"""),"Rio de Janeiro")</f>
        <v>Rio de Janeiro</v>
      </c>
      <c r="Q507" s="27"/>
      <c r="R507" s="27" t="str">
        <f ca="1">IFERROR(__xludf.DUMMYFUNCTION("""COMPUTED_VALUE"""),"00000-000")</f>
        <v>00000-000</v>
      </c>
      <c r="S507" s="27" t="str">
        <f ca="1">IFERROR(__xludf.DUMMYFUNCTION("""COMPUTED_VALUE"""),"Ainda não temos espaço fixo")</f>
        <v>Ainda não temos espaço fixo</v>
      </c>
      <c r="T507" s="27"/>
      <c r="U507" s="27" t="str">
        <f ca="1">IFERROR(__xludf.DUMMYFUNCTION("""COMPUTED_VALUE"""),"Jovens (18 aos 24 anos), Adultos, Idosos (60 anos ou mais)")</f>
        <v>Jovens (18 aos 24 anos), Adultos, Idosos (60 anos ou mais)</v>
      </c>
      <c r="V507" s="27" t="str">
        <f ca="1">IFERROR(__xludf.DUMMYFUNCTION("""COMPUTED_VALUE"""),"Pessoas em situação de rua, População LGBTQ+, Afrodescendentes, Egressos sistema carcerário")</f>
        <v>Pessoas em situação de rua, População LGBTQ+, Afrodescendentes, Egressos sistema carcerário</v>
      </c>
      <c r="W507" s="27">
        <f ca="1">IFERROR(__xludf.DUMMYFUNCTION("""COMPUTED_VALUE"""),4)</f>
        <v>4</v>
      </c>
      <c r="X507" s="27"/>
      <c r="Y507" s="27"/>
      <c r="Z507" s="27">
        <f ca="1">IFERROR(__xludf.DUMMYFUNCTION("""COMPUTED_VALUE"""),400)</f>
        <v>400</v>
      </c>
      <c r="AA507" s="30">
        <f ca="1">IFERROR(__xludf.DUMMYFUNCTION("""COMPUTED_VALUE"""),43790)</f>
        <v>43790</v>
      </c>
      <c r="AB507" s="27" t="str">
        <f ca="1">IFERROR(__xludf.DUMMYFUNCTION("""COMPUTED_VALUE"""),"Não")</f>
        <v>Não</v>
      </c>
      <c r="AC507" s="27">
        <f ca="1">IFERROR(__xludf.DUMMYFUNCTION("""COMPUTED_VALUE"""),0)</f>
        <v>0</v>
      </c>
      <c r="AD507" s="27">
        <f ca="1">IFERROR(__xludf.DUMMYFUNCTION("""COMPUTED_VALUE"""),3)</f>
        <v>3</v>
      </c>
      <c r="AE507" s="27">
        <f ca="1">IFERROR(__xludf.DUMMYFUNCTION("""COMPUTED_VALUE"""),12)</f>
        <v>12</v>
      </c>
      <c r="AF507" s="27">
        <f ca="1">IFERROR(__xludf.DUMMYFUNCTION("""COMPUTED_VALUE"""),5)</f>
        <v>5</v>
      </c>
      <c r="AG507" s="27">
        <f ca="1">IFERROR(__xludf.DUMMYFUNCTION("""COMPUTED_VALUE"""),6)</f>
        <v>6</v>
      </c>
      <c r="AH507" s="27" t="str">
        <f ca="1">IFERROR(__xludf.DUMMYFUNCTION("""COMPUTED_VALUE"""),"Lei de Incentivo, Eventos/Ações para captação, Plataforma doação online - Pessoa Física, Parceria iniciativa privada, Editais, Doações")</f>
        <v>Lei de Incentivo, Eventos/Ações para captação, Plataforma doação online - Pessoa Física, Parceria iniciativa privada, Editais, Doações</v>
      </c>
      <c r="AI507" s="27" t="str">
        <f ca="1">IFERROR(__xludf.DUMMYFUNCTION("""COMPUTED_VALUE"""),"20% doações 50% editais 30% recursos próprios")</f>
        <v>20% doações 50% editais 30% recursos próprios</v>
      </c>
      <c r="AJ507" s="27" t="str">
        <f ca="1">IFERROR(__xludf.DUMMYFUNCTION("""COMPUTED_VALUE"""),"Vamos iniciar esse ano")</f>
        <v>Vamos iniciar esse ano</v>
      </c>
      <c r="AK507" s="27"/>
      <c r="AL507" s="21" t="str">
        <f ca="1">IFERROR(__xludf.DUMMYFUNCTION("""COMPUTED_VALUE"""),"0034X0000380O4m")</f>
        <v>0034X0000380O4m</v>
      </c>
      <c r="AM507" s="27" t="str">
        <f ca="1">IFERROR(__xludf.DUMMYFUNCTION("""COMPUTED_VALUE"""),"Cristina de oliveira da silva")</f>
        <v>Cristina de oliveira da silva</v>
      </c>
      <c r="AN507" s="27" t="str">
        <f ca="1">IFERROR(__xludf.DUMMYFUNCTION("""COMPUTED_VALUE"""),"Ativo")</f>
        <v>Ativo</v>
      </c>
      <c r="AO507" s="27"/>
      <c r="AP507" s="27"/>
      <c r="AQ507" s="27" t="str">
        <f ca="1">IFERROR(__xludf.DUMMYFUNCTION("""COMPUTED_VALUE"""),"Primeiro Semestre 2022")</f>
        <v>Primeiro Semestre 2022</v>
      </c>
      <c r="AR507" s="27" t="str">
        <f ca="1">IFERROR(__xludf.DUMMYFUNCTION("""COMPUTED_VALUE"""),"pamellaoliveira.adv@gmail.com")</f>
        <v>pamellaoliveira.adv@gmail.com</v>
      </c>
      <c r="AS507" s="27">
        <f ca="1">IFERROR(__xludf.DUMMYFUNCTION("""COMPUTED_VALUE"""),21999855218)</f>
        <v>21999855218</v>
      </c>
      <c r="AT507" s="30">
        <f ca="1">IFERROR(__xludf.DUMMYFUNCTION("""COMPUTED_VALUE"""),34638)</f>
        <v>34638</v>
      </c>
      <c r="AU507" s="27">
        <f ca="1">IFERROR(__xludf.DUMMYFUNCTION("""COMPUTED_VALUE"""),28)</f>
        <v>28</v>
      </c>
      <c r="AV507" s="27">
        <f ca="1">IFERROR(__xludf.DUMMYFUNCTION("""COMPUTED_VALUE"""),14437038770)</f>
        <v>14437038770</v>
      </c>
      <c r="AW507" s="27">
        <f ca="1">IFERROR(__xludf.DUMMYFUNCTION("""COMPUTED_VALUE"""),202161352)</f>
        <v>202161352</v>
      </c>
      <c r="AX507" s="27"/>
      <c r="AY507" s="27"/>
      <c r="AZ507" s="27" t="str">
        <f ca="1">IFERROR(__xludf.DUMMYFUNCTION("""COMPUTED_VALUE"""),"GG")</f>
        <v>GG</v>
      </c>
      <c r="BA507" s="27" t="str">
        <f ca="1">IFERROR(__xludf.DUMMYFUNCTION("""COMPUTED_VALUE"""),"Preta")</f>
        <v>Preta</v>
      </c>
      <c r="BB507" s="27"/>
      <c r="BC507" s="27"/>
      <c r="BD507" s="27" t="str">
        <f ca="1">IFERROR(__xludf.DUMMYFUNCTION("""COMPUTED_VALUE"""),"Pamella Oliveira* ativista* advogada* empreendedora social*  fundadora do Coletivo
Pretas Ruas e integrante da Rede Nacional de Mulheres Negras contra a violência*
acredita que apenas a indignação não transforma e mobiliza redes em busca de
mudanças socia"&amp;"is significativas.")</f>
        <v>Pamella Oliveira* ativista* advogada* empreendedora social*  fundadora do Coletivo
Pretas Ruas e integrante da Rede Nacional de Mulheres Negras contra a violência*
acredita que apenas a indignação não transforma e mobiliza redes em busca de
mudanças sociais significativas.</v>
      </c>
      <c r="BE507" s="27" t="str">
        <f ca="1">IFERROR(__xludf.DUMMYFUNCTION("""COMPUTED_VALUE"""),"Feminino")</f>
        <v>Feminino</v>
      </c>
      <c r="BF507" s="27" t="str">
        <f ca="1">IFERROR(__xludf.DUMMYFUNCTION("""COMPUTED_VALUE"""),"Bissexual")</f>
        <v>Bissexual</v>
      </c>
      <c r="BG507" s="27"/>
      <c r="BH507" s="27" t="str">
        <f ca="1">IFERROR(__xludf.DUMMYFUNCTION("""COMPUTED_VALUE"""),"Privado")</f>
        <v>Privado</v>
      </c>
      <c r="BI507" s="27" t="str">
        <f ca="1">IFERROR(__xludf.DUMMYFUNCTION("""COMPUTED_VALUE"""),"Pós-Graduação")</f>
        <v>Pós-Graduação</v>
      </c>
      <c r="BJ507" s="27" t="str">
        <f ca="1">IFERROR(__xludf.DUMMYFUNCTION("""COMPUTED_VALUE"""),"Privado")</f>
        <v>Privado</v>
      </c>
      <c r="BK507" s="27" t="str">
        <f ca="1">IFERROR(__xludf.DUMMYFUNCTION("""COMPUTED_VALUE"""),"Av Mosenhor Feliz 1077")</f>
        <v>Av Mosenhor Feliz 1077</v>
      </c>
      <c r="BL507" s="27" t="str">
        <f ca="1">IFERROR(__xludf.DUMMYFUNCTION("""COMPUTED_VALUE"""),"1077 AP 102 BLOCO 9")</f>
        <v>1077 AP 102 BLOCO 9</v>
      </c>
      <c r="BM507" s="27"/>
      <c r="BN507" s="27"/>
      <c r="BO507" s="27">
        <f ca="1">IFERROR(__xludf.DUMMYFUNCTION("""COMPUTED_VALUE"""),21235270)</f>
        <v>21235270</v>
      </c>
      <c r="BP507" s="27" t="str">
        <f ca="1">IFERROR(__xludf.DUMMYFUNCTION("""COMPUTED_VALUE"""),"RJ")</f>
        <v>RJ</v>
      </c>
      <c r="BQ507" s="27" t="str">
        <f ca="1">IFERROR(__xludf.DUMMYFUNCTION("""COMPUTED_VALUE"""),"De 3 até 5 salários mínimos")</f>
        <v>De 3 até 5 salários mínimos</v>
      </c>
      <c r="BR507" s="27" t="str">
        <f ca="1">IFERROR(__xludf.DUMMYFUNCTION("""COMPUTED_VALUE"""),"CLT")</f>
        <v>CLT</v>
      </c>
      <c r="BS507" s="27" t="str">
        <f ca="1">IFERROR(__xludf.DUMMYFUNCTION("""COMPUTED_VALUE"""),"Aluguel")</f>
        <v>Aluguel</v>
      </c>
      <c r="BT507" s="27">
        <f ca="1">IFERROR(__xludf.DUMMYFUNCTION("""COMPUTED_VALUE"""),4)</f>
        <v>4</v>
      </c>
      <c r="BU507" s="27" t="str">
        <f ca="1">IFERROR(__xludf.DUMMYFUNCTION("""COMPUTED_VALUE"""),"Não tem")</f>
        <v>Não tem</v>
      </c>
      <c r="BV507" s="27" t="str">
        <f ca="1">IFERROR(__xludf.DUMMYFUNCTION("""COMPUTED_VALUE"""),"Não")</f>
        <v>Não</v>
      </c>
      <c r="BW507" s="21" t="str">
        <f ca="1">IFERROR(__xludf.DUMMYFUNCTION("""COMPUTED_VALUE"""),"https://www.linkedin.com/in/pamella-oliveira/")</f>
        <v>https://www.linkedin.com/in/pamella-oliveira/</v>
      </c>
      <c r="BX507" s="21" t="str">
        <f ca="1">IFERROR(__xludf.DUMMYFUNCTION("""COMPUTED_VALUE"""),"https://www.instagram.com/pamellaoliveira.adv/")</f>
        <v>https://www.instagram.com/pamellaoliveira.adv/</v>
      </c>
      <c r="BY507" s="21" t="str">
        <f ca="1">IFERROR(__xludf.DUMMYFUNCTION("""COMPUTED_VALUE"""),"https://drive.google.com/open?id=19KfG4n48fH3hdBSwO3tgOMVnmaMNYI6A")</f>
        <v>https://drive.google.com/open?id=19KfG4n48fH3hdBSwO3tgOMVnmaMNYI6A</v>
      </c>
    </row>
    <row r="508" spans="1:77" ht="12.5" x14ac:dyDescent="0.25">
      <c r="A508" s="21" t="str">
        <f ca="1">IFERROR(__xludf.DUMMYFUNCTION("""COMPUTED_VALUE"""),"0014P00003SGWQFQA5")</f>
        <v>0014P00003SGWQFQA5</v>
      </c>
      <c r="B508" s="27" t="str">
        <f ca="1">IFERROR(__xludf.DUMMYFUNCTION("""COMPUTED_VALUE"""),"Fase Inicial")</f>
        <v>Fase Inicial</v>
      </c>
      <c r="C508" s="27" t="str">
        <f ca="1">IFERROR(__xludf.DUMMYFUNCTION("""COMPUTED_VALUE"""),"Fellow")</f>
        <v>Fellow</v>
      </c>
      <c r="D508" s="27" t="str">
        <f ca="1">IFERROR(__xludf.DUMMYFUNCTION("""COMPUTED_VALUE"""),"Ativo")</f>
        <v>Ativo</v>
      </c>
      <c r="E508" s="27" t="str">
        <f ca="1">IFERROR(__xludf.DUMMYFUNCTION("""COMPUTED_VALUE"""),"PRISCILLA RUBIA DE SIQUEIRA 07753823612")</f>
        <v>PRISCILLA RUBIA DE SIQUEIRA 07753823612</v>
      </c>
      <c r="F508" s="27" t="str">
        <f ca="1">IFERROR(__xludf.DUMMYFUNCTION("""COMPUTED_VALUE"""),"Priscilla")</f>
        <v>Priscilla</v>
      </c>
      <c r="G508" s="27" t="str">
        <f ca="1">IFERROR(__xludf.DUMMYFUNCTION("""COMPUTED_VALUE"""),"Projeto PPL Pedreira Prado Lopes")</f>
        <v>Projeto PPL Pedreira Prado Lopes</v>
      </c>
      <c r="H508" s="27" t="str">
        <f ca="1">IFERROR(__xludf.DUMMYFUNCTION("""COMPUTED_VALUE"""),"43.858.410/0001-80")</f>
        <v>43.858.410/0001-80</v>
      </c>
      <c r="I508" s="27" t="str">
        <f ca="1">IFERROR(__xludf.DUMMYFUNCTION("""COMPUTED_VALUE"""),"Priscilla Rubia De Siqueira")</f>
        <v>Priscilla Rubia De Siqueira</v>
      </c>
      <c r="J508" s="27" t="str">
        <f ca="1">IFERROR(__xludf.DUMMYFUNCTION("""COMPUTED_VALUE"""),"popularculturabh@gmail.com")</f>
        <v>popularculturabh@gmail.com</v>
      </c>
      <c r="K508" s="27" t="str">
        <f ca="1">IFERROR(__xludf.DUMMYFUNCTION("""COMPUTED_VALUE"""),"(31)7155-0682")</f>
        <v>(31)7155-0682</v>
      </c>
      <c r="L508" s="27" t="str">
        <f ca="1">IFERROR(__xludf.DUMMYFUNCTION("""COMPUTED_VALUE"""),"MG")</f>
        <v>MG</v>
      </c>
      <c r="M508" s="27" t="str">
        <f ca="1">IFERROR(__xludf.DUMMYFUNCTION("""COMPUTED_VALUE"""),"Arariba")</f>
        <v>Arariba</v>
      </c>
      <c r="N508" s="27" t="str">
        <f ca="1">IFERROR(__xludf.DUMMYFUNCTION("""COMPUTED_VALUE"""),"São Cristóvão")</f>
        <v>São Cristóvão</v>
      </c>
      <c r="O508" s="27" t="str">
        <f ca="1">IFERROR(__xludf.DUMMYFUNCTION("""COMPUTED_VALUE"""),"(31)97112-7045")</f>
        <v>(31)97112-7045</v>
      </c>
      <c r="P508" s="27" t="str">
        <f ca="1">IFERROR(__xludf.DUMMYFUNCTION("""COMPUTED_VALUE"""),"Belo Horizonte")</f>
        <v>Belo Horizonte</v>
      </c>
      <c r="Q508" s="27" t="str">
        <f ca="1">IFERROR(__xludf.DUMMYFUNCTION("""COMPUTED_VALUE"""),"Quadra")</f>
        <v>Quadra</v>
      </c>
      <c r="R508" s="27" t="str">
        <f ca="1">IFERROR(__xludf.DUMMYFUNCTION("""COMPUTED_VALUE"""),"31110-510")</f>
        <v>31110-510</v>
      </c>
      <c r="S508" s="27" t="str">
        <f ca="1">IFERROR(__xludf.DUMMYFUNCTION("""COMPUTED_VALUE"""),"Endereço: R. Mendes de Oliveira 325 B - Santo Andre Belo Horizonte - MG 31210-610")</f>
        <v>Endereço: R. Mendes de Oliveira 325 B - Santo Andre Belo Horizonte - MG 31210-610</v>
      </c>
      <c r="T508" s="27" t="str">
        <f ca="1">IFERROR(__xludf.DUMMYFUNCTION("""COMPUTED_VALUE"""),"Esporte; Educação; Empregabilidade; Assistência Social; Cultura; Qualificação Profissional; Empreendedorismo; Saúde; Meio ambiente; Empoderamento Feminino; Negócios Sociais; Apoio à gestão de organizações de Terceiro Setor; Ciência e Tecnologia; Defesa de"&amp;" Direitos; Comunicação; Assistência Psicológica; Desenvolvimento comunitário")</f>
        <v>Esporte; Educação; Empregabilidade; Assistência Social; Cultura; Qualificação Profissional; Empreendedorismo; Saúde; Meio ambiente; Empoderamento Feminino; Negócios Sociais; Apoio à gestão de organizações de Terceiro Setor; Ciência e Tecnologia; Defesa de Direitos; Comunicação; Assistência Psicológica; Desenvolvimento comunitário</v>
      </c>
      <c r="U508"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508" s="27" t="str">
        <f ca="1">IFERROR(__xludf.DUMMYFUNCTION("""COMPUTED_VALUE"""),"Moradores de Favelas; Pessoas em situação de rua; População LGBTQ+; Afrodescendentes; Dependentes Químicos; Egressos sistema carcerário; Refugiados; Outros")</f>
        <v>Moradores de Favelas; Pessoas em situação de rua; População LGBTQ+; Afrodescendentes; Dependentes Químicos; Egressos sistema carcerário; Refugiados; Outros</v>
      </c>
      <c r="W508" s="27">
        <f ca="1">IFERROR(__xludf.DUMMYFUNCTION("""COMPUTED_VALUE"""),1)</f>
        <v>1</v>
      </c>
      <c r="X508" s="27" t="str">
        <f ca="1">IFERROR(__xludf.DUMMYFUNCTION("""COMPUTED_VALUE"""),"Mulheres temos ações e atendimentos específicos voltado pra mulheres.")</f>
        <v>Mulheres temos ações e atendimentos específicos voltado pra mulheres.</v>
      </c>
      <c r="Y508" s="27">
        <f ca="1">IFERROR(__xludf.DUMMYFUNCTION("""COMPUTED_VALUE"""),215)</f>
        <v>215</v>
      </c>
      <c r="Z508" s="27">
        <f ca="1">IFERROR(__xludf.DUMMYFUNCTION("""COMPUTED_VALUE"""),900)</f>
        <v>900</v>
      </c>
      <c r="AA508" s="29">
        <f ca="1">IFERROR(__xludf.DUMMYFUNCTION("""COMPUTED_VALUE"""),42459)</f>
        <v>42459</v>
      </c>
      <c r="AB508" s="27" t="str">
        <f ca="1">IFERROR(__xludf.DUMMYFUNCTION("""COMPUTED_VALUE"""),"Não")</f>
        <v>Não</v>
      </c>
      <c r="AC508" s="27">
        <f ca="1">IFERROR(__xludf.DUMMYFUNCTION("""COMPUTED_VALUE"""),2)</f>
        <v>2</v>
      </c>
      <c r="AD508" s="27">
        <f ca="1">IFERROR(__xludf.DUMMYFUNCTION("""COMPUTED_VALUE"""),2)</f>
        <v>2</v>
      </c>
      <c r="AE508" s="27">
        <f ca="1">IFERROR(__xludf.DUMMYFUNCTION("""COMPUTED_VALUE"""),5)</f>
        <v>5</v>
      </c>
      <c r="AF508" s="27">
        <f ca="1">IFERROR(__xludf.DUMMYFUNCTION("""COMPUTED_VALUE"""),5)</f>
        <v>5</v>
      </c>
      <c r="AG508" s="27">
        <f ca="1">IFERROR(__xludf.DUMMYFUNCTION("""COMPUTED_VALUE"""),2)</f>
        <v>2</v>
      </c>
      <c r="AH508" s="27" t="str">
        <f ca="1">IFERROR(__xludf.DUMMYFUNCTION("""COMPUTED_VALUE"""),"Parceria iniciativa privada; Outro(s); Doações")</f>
        <v>Parceria iniciativa privada; Outro(s); Doações</v>
      </c>
      <c r="AI508" s="31">
        <f ca="1">IFERROR(__xludf.DUMMYFUNCTION("""COMPUTED_VALUE"""),0)</f>
        <v>0</v>
      </c>
      <c r="AJ508" s="27" t="str">
        <f ca="1">IFERROR(__xludf.DUMMYFUNCTION("""COMPUTED_VALUE"""),"Sim")</f>
        <v>Sim</v>
      </c>
      <c r="AK508" s="27" t="str">
        <f ca="1">IFERROR(__xludf.DUMMYFUNCTION("""COMPUTED_VALUE"""),"Não")</f>
        <v>Não</v>
      </c>
      <c r="AL508" s="21" t="str">
        <f ca="1">IFERROR(__xludf.DUMMYFUNCTION("""COMPUTED_VALUE"""),"0034P000043fOoF")</f>
        <v>0034P000043fOoF</v>
      </c>
      <c r="AM508" s="27" t="str">
        <f ca="1">IFERROR(__xludf.DUMMYFUNCTION("""COMPUTED_VALUE"""),"Rubia De Siqueira")</f>
        <v>Rubia De Siqueira</v>
      </c>
      <c r="AN508" s="27" t="str">
        <f ca="1">IFERROR(__xludf.DUMMYFUNCTION("""COMPUTED_VALUE"""),"Ativo")</f>
        <v>Ativo</v>
      </c>
      <c r="AO508" s="29">
        <f ca="1">IFERROR(__xludf.DUMMYFUNCTION("""COMPUTED_VALUE"""),44432)</f>
        <v>44432</v>
      </c>
      <c r="AP508" s="27">
        <f ca="1">IFERROR(__xludf.DUMMYFUNCTION("""COMPUTED_VALUE"""),13)</f>
        <v>13</v>
      </c>
      <c r="AQ508" s="27" t="str">
        <f ca="1">IFERROR(__xludf.DUMMYFUNCTION("""COMPUTED_VALUE"""),"Primeiro Semestre 2021")</f>
        <v>Primeiro Semestre 2021</v>
      </c>
      <c r="AR508" s="27" t="str">
        <f ca="1">IFERROR(__xludf.DUMMYFUNCTION("""COMPUTED_VALUE"""),"jasmimabadamg@gmail.com")</f>
        <v>jasmimabadamg@gmail.com</v>
      </c>
      <c r="AS508" s="27" t="str">
        <f ca="1">IFERROR(__xludf.DUMMYFUNCTION("""COMPUTED_VALUE"""),"(31)97112-7045")</f>
        <v>(31)97112-7045</v>
      </c>
      <c r="AT508" s="29">
        <f ca="1">IFERROR(__xludf.DUMMYFUNCTION("""COMPUTED_VALUE"""),31623)</f>
        <v>31623</v>
      </c>
      <c r="AU508" s="27">
        <f ca="1">IFERROR(__xludf.DUMMYFUNCTION("""COMPUTED_VALUE"""),36)</f>
        <v>36</v>
      </c>
      <c r="AV508" s="27">
        <f ca="1">IFERROR(__xludf.DUMMYFUNCTION("""COMPUTED_VALUE"""),7753823612)</f>
        <v>7753823612</v>
      </c>
      <c r="AW508" s="27">
        <f ca="1">IFERROR(__xludf.DUMMYFUNCTION("""COMPUTED_VALUE"""),116085930)</f>
        <v>116085930</v>
      </c>
      <c r="AX508" s="27" t="str">
        <f ca="1">IFERROR(__xludf.DUMMYFUNCTION("""COMPUTED_VALUE"""),"Contabilidade Tributária")</f>
        <v>Contabilidade Tributária</v>
      </c>
      <c r="AY508" s="27" t="str">
        <f ca="1">IFERROR(__xludf.DUMMYFUNCTION("""COMPUTED_VALUE"""),"Prestadora de serviço revendedora da ar condicionado.")</f>
        <v>Prestadora de serviço revendedora da ar condicionado.</v>
      </c>
      <c r="AZ508" s="27"/>
      <c r="BA508" s="27" t="str">
        <f ca="1">IFERROR(__xludf.DUMMYFUNCTION("""COMPUTED_VALUE"""),"Parda")</f>
        <v>Parda</v>
      </c>
      <c r="BB508" s="27"/>
      <c r="BC508" s="27" t="str">
        <f ca="1">IFERROR(__xludf.DUMMYFUNCTION("""COMPUTED_VALUE"""),"Não")</f>
        <v>Não</v>
      </c>
      <c r="BD508" s="27"/>
      <c r="BE508" s="27" t="str">
        <f ca="1">IFERROR(__xludf.DUMMYFUNCTION("""COMPUTED_VALUE"""),"Masculino")</f>
        <v>Masculino</v>
      </c>
      <c r="BF508" s="27" t="str">
        <f ca="1">IFERROR(__xludf.DUMMYFUNCTION("""COMPUTED_VALUE"""),"Heterossexual")</f>
        <v>Heterossexual</v>
      </c>
      <c r="BG508" s="27"/>
      <c r="BH508" s="27"/>
      <c r="BI508" s="27" t="str">
        <f ca="1">IFERROR(__xludf.DUMMYFUNCTION("""COMPUTED_VALUE"""),"Graduação")</f>
        <v>Graduação</v>
      </c>
      <c r="BJ508" s="27"/>
      <c r="BK508" s="27" t="str">
        <f ca="1">IFERROR(__xludf.DUMMYFUNCTION("""COMPUTED_VALUE"""),"Rua Aderbal Rodrigues Vaz")</f>
        <v>Rua Aderbal Rodrigues Vaz</v>
      </c>
      <c r="BL508" s="27">
        <f ca="1">IFERROR(__xludf.DUMMYFUNCTION("""COMPUTED_VALUE"""),163)</f>
        <v>163</v>
      </c>
      <c r="BM508" s="27" t="str">
        <f ca="1">IFERROR(__xludf.DUMMYFUNCTION("""COMPUTED_VALUE"""),"Casa")</f>
        <v>Casa</v>
      </c>
      <c r="BN508" s="27" t="str">
        <f ca="1">IFERROR(__xludf.DUMMYFUNCTION("""COMPUTED_VALUE"""),"Belo Horizonte")</f>
        <v>Belo Horizonte</v>
      </c>
      <c r="BO508" s="27" t="str">
        <f ca="1">IFERROR(__xludf.DUMMYFUNCTION("""COMPUTED_VALUE"""),"30690-000")</f>
        <v>30690-000</v>
      </c>
      <c r="BP508" s="27" t="str">
        <f ca="1">IFERROR(__xludf.DUMMYFUNCTION("""COMPUTED_VALUE"""),"MG")</f>
        <v>MG</v>
      </c>
      <c r="BQ508" s="27" t="str">
        <f ca="1">IFERROR(__xludf.DUMMYFUNCTION("""COMPUTED_VALUE"""),"De 3 até 5 salários mínimos")</f>
        <v>De 3 até 5 salários mínimos</v>
      </c>
      <c r="BR508" s="27" t="str">
        <f ca="1">IFERROR(__xludf.DUMMYFUNCTION("""COMPUTED_VALUE"""),"CLT")</f>
        <v>CLT</v>
      </c>
      <c r="BS508" s="27" t="str">
        <f ca="1">IFERROR(__xludf.DUMMYFUNCTION("""COMPUTED_VALUE"""),"Casa própria")</f>
        <v>Casa própria</v>
      </c>
      <c r="BT508" s="27">
        <f ca="1">IFERROR(__xludf.DUMMYFUNCTION("""COMPUTED_VALUE"""),2)</f>
        <v>2</v>
      </c>
      <c r="BU508" s="27"/>
      <c r="BV508" s="27"/>
      <c r="BW508" s="21" t="str">
        <f ca="1">IFERROR(__xludf.DUMMYFUNCTION("""COMPUTED_VALUE"""),"https://www.google.com/url?sa=t&amp;source=web&amp;rct=j&amp;url=https://br.linkedin.com/in/priscilla-siqueira-841959137&amp;ved=2ahUKEwi8i6TJuqLxAhUllZUCHTnoCLgQjjgwAHoECAQQAg&amp;usg=AOvVaw3ilHL_Q4gf10IKc3aa-P_4")</f>
        <v>https://www.google.com/url?sa=t&amp;source=web&amp;rct=j&amp;url=https://br.linkedin.com/in/priscilla-siqueira-841959137&amp;ved=2ahUKEwi8i6TJuqLxAhUllZUCHTnoCLgQjjgwAHoECAQQAg&amp;usg=AOvVaw3ilHL_Q4gf10IKc3aa-P_4</v>
      </c>
      <c r="BX508" s="21" t="str">
        <f ca="1">IFERROR(__xludf.DUMMYFUNCTION("""COMPUTED_VALUE"""),"https://www.instagram.com/p/CQR0-4gF0moYnAf6RNobcLW1ZODNR1lrvNKSo80/?utm_medium=copy_link")</f>
        <v>https://www.instagram.com/p/CQR0-4gF0moYnAf6RNobcLW1ZODNR1lrvNKSo80/?utm_medium=copy_link</v>
      </c>
      <c r="BY508" s="27"/>
    </row>
    <row r="509" spans="1:77" ht="12.5" hidden="1" x14ac:dyDescent="0.25">
      <c r="A509" s="21" t="str">
        <f ca="1">IFERROR(__xludf.DUMMYFUNCTION("""COMPUTED_VALUE"""),"0014X00002VKCpxQAH")</f>
        <v>0014X00002VKCpxQAH</v>
      </c>
      <c r="B509" s="27" t="str">
        <f ca="1">IFERROR(__xludf.DUMMYFUNCTION("""COMPUTED_VALUE"""),"Fase Inicial")</f>
        <v>Fase Inicial</v>
      </c>
      <c r="C509" s="27" t="str">
        <f ca="1">IFERROR(__xludf.DUMMYFUNCTION("""COMPUTED_VALUE"""),"Fellow")</f>
        <v>Fellow</v>
      </c>
      <c r="D509" s="27" t="str">
        <f ca="1">IFERROR(__xludf.DUMMYFUNCTION("""COMPUTED_VALUE"""),"Ativo")</f>
        <v>Ativo</v>
      </c>
      <c r="E509" s="27" t="str">
        <f ca="1">IFERROR(__xludf.DUMMYFUNCTION("""COMPUTED_VALUE"""),"Pró-Ação de apoio a educação e cidadania")</f>
        <v>Pró-Ação de apoio a educação e cidadania</v>
      </c>
      <c r="F509" s="27" t="str">
        <f ca="1">IFERROR(__xludf.DUMMYFUNCTION("""COMPUTED_VALUE"""),"FRANCISCO")</f>
        <v>FRANCISCO</v>
      </c>
      <c r="G509" s="27" t="str">
        <f ca="1">IFERROR(__xludf.DUMMYFUNCTION("""COMPUTED_VALUE"""),"PROJETO PRÓ-AÇÃO")</f>
        <v>PROJETO PRÓ-AÇÃO</v>
      </c>
      <c r="H509" s="27"/>
      <c r="I509" s="27" t="str">
        <f ca="1">IFERROR(__xludf.DUMMYFUNCTION("""COMPUTED_VALUE"""),"FRANCISCO MARCELO MARTINS DE LIMA")</f>
        <v>FRANCISCO MARCELO MARTINS DE LIMA</v>
      </c>
      <c r="J509" s="27" t="str">
        <f ca="1">IFERROR(__xludf.DUMMYFUNCTION("""COMPUTED_VALUE"""),"pproacao@gmail.com")</f>
        <v>pproacao@gmail.com</v>
      </c>
      <c r="K509" s="27" t="str">
        <f ca="1">IFERROR(__xludf.DUMMYFUNCTION("""COMPUTED_VALUE"""),"(85)99661-9682")</f>
        <v>(85)99661-9682</v>
      </c>
      <c r="L509" s="27" t="str">
        <f ca="1">IFERROR(__xludf.DUMMYFUNCTION("""COMPUTED_VALUE"""),"CE")</f>
        <v>CE</v>
      </c>
      <c r="M509" s="27" t="str">
        <f ca="1">IFERROR(__xludf.DUMMYFUNCTION("""COMPUTED_VALUE"""),"Rua Doutor Fernando Augusto")</f>
        <v>Rua Doutor Fernando Augusto</v>
      </c>
      <c r="N509" s="27" t="str">
        <f ca="1">IFERROR(__xludf.DUMMYFUNCTION("""COMPUTED_VALUE"""),"Granja Lisboa")</f>
        <v>Granja Lisboa</v>
      </c>
      <c r="O509" s="27">
        <f ca="1">IFERROR(__xludf.DUMMYFUNCTION("""COMPUTED_VALUE"""),3586)</f>
        <v>3586</v>
      </c>
      <c r="P509" s="27" t="str">
        <f ca="1">IFERROR(__xludf.DUMMYFUNCTION("""COMPUTED_VALUE"""),"Fortaleza")</f>
        <v>Fortaleza</v>
      </c>
      <c r="Q509" s="27" t="str">
        <f ca="1">IFERROR(__xludf.DUMMYFUNCTION("""COMPUTED_VALUE"""),"Esquina com Rua Paulino Rocha")</f>
        <v>Esquina com Rua Paulino Rocha</v>
      </c>
      <c r="R509" s="27" t="str">
        <f ca="1">IFERROR(__xludf.DUMMYFUNCTION("""COMPUTED_VALUE"""),"60540-262")</f>
        <v>60540-262</v>
      </c>
      <c r="S509" s="27" t="str">
        <f ca="1">IFERROR(__xludf.DUMMYFUNCTION("""COMPUTED_VALUE"""),"Não")</f>
        <v>Não</v>
      </c>
      <c r="T509" s="27"/>
      <c r="U509" s="27" t="str">
        <f ca="1">IFERROR(__xludf.DUMMYFUNCTION("""COMPUTED_VALUE"""),"Crianças (6 a 12 anos), Adolescentes (12 aos 18 anos), Jovens (18 aos 24 anos), Adultos, Idosos (60 anos ou mais)")</f>
        <v>Crianças (6 a 12 anos), Adolescentes (12 aos 18 anos), Jovens (18 aos 24 anos), Adultos, Idosos (60 anos ou mais)</v>
      </c>
      <c r="V509" s="27" t="str">
        <f ca="1">IFERROR(__xludf.DUMMYFUNCTION("""COMPUTED_VALUE"""),"Moradores de Favelas, Pessoas em situação de rua, População LGBTQ+, Afrodescendentes, Dependentes Químicos, Pessoas com Deficiência, Egressos sistema carcerário, Outros")</f>
        <v>Moradores de Favelas, Pessoas em situação de rua, População LGBTQ+, Afrodescendentes, Dependentes Químicos, Pessoas com Deficiência, Egressos sistema carcerário, Outros</v>
      </c>
      <c r="W509" s="27">
        <f ca="1">IFERROR(__xludf.DUMMYFUNCTION("""COMPUTED_VALUE"""),21)</f>
        <v>21</v>
      </c>
      <c r="X509" s="27" t="str">
        <f ca="1">IFERROR(__xludf.DUMMYFUNCTION("""COMPUTED_VALUE"""),"Apoio Jurídico e previdência para famílias em situação de pobreza* ressocialização de jovens em situação de crime")</f>
        <v>Apoio Jurídico e previdência para famílias em situação de pobreza* ressocialização de jovens em situação de crime</v>
      </c>
      <c r="Y509" s="27"/>
      <c r="Z509" s="27">
        <f ca="1">IFERROR(__xludf.DUMMYFUNCTION("""COMPUTED_VALUE"""),2128)</f>
        <v>2128</v>
      </c>
      <c r="AA509" s="29">
        <f ca="1">IFERROR(__xludf.DUMMYFUNCTION("""COMPUTED_VALUE"""),41706)</f>
        <v>41706</v>
      </c>
      <c r="AB509" s="27" t="str">
        <f ca="1">IFERROR(__xludf.DUMMYFUNCTION("""COMPUTED_VALUE"""),"Sim")</f>
        <v>Sim</v>
      </c>
      <c r="AC509" s="27">
        <f ca="1">IFERROR(__xludf.DUMMYFUNCTION("""COMPUTED_VALUE"""),5)</f>
        <v>5</v>
      </c>
      <c r="AD509" s="27">
        <f ca="1">IFERROR(__xludf.DUMMYFUNCTION("""COMPUTED_VALUE"""),5)</f>
        <v>5</v>
      </c>
      <c r="AE509" s="27">
        <f ca="1">IFERROR(__xludf.DUMMYFUNCTION("""COMPUTED_VALUE"""),3)</f>
        <v>3</v>
      </c>
      <c r="AF509" s="27">
        <f ca="1">IFERROR(__xludf.DUMMYFUNCTION("""COMPUTED_VALUE"""),3)</f>
        <v>3</v>
      </c>
      <c r="AG509" s="27">
        <f ca="1">IFERROR(__xludf.DUMMYFUNCTION("""COMPUTED_VALUE"""),7)</f>
        <v>7</v>
      </c>
      <c r="AH509" s="27" t="str">
        <f ca="1">IFERROR(__xludf.DUMMYFUNCTION("""COMPUTED_VALUE"""),"Negócio Social, Eventos/Ações para captação, Plataforma doação online - Pessoa Física, Parceria iniciativa privada, Outro(s), Doações, Recursos próprios")</f>
        <v>Negócio Social, Eventos/Ações para captação, Plataforma doação online - Pessoa Física, Parceria iniciativa privada, Outro(s), Doações, Recursos próprios</v>
      </c>
      <c r="AI509" s="27" t="str">
        <f ca="1">IFERROR(__xludf.DUMMYFUNCTION("""COMPUTED_VALUE"""),"100% recurso próprio")</f>
        <v>100% recurso próprio</v>
      </c>
      <c r="AJ509" s="27" t="str">
        <f ca="1">IFERROR(__xludf.DUMMYFUNCTION("""COMPUTED_VALUE"""),"Sim")</f>
        <v>Sim</v>
      </c>
      <c r="AK509" s="27"/>
      <c r="AL509" s="21" t="str">
        <f ca="1">IFERROR(__xludf.DUMMYFUNCTION("""COMPUTED_VALUE"""),"0034X0000380O4p")</f>
        <v>0034X0000380O4p</v>
      </c>
      <c r="AM509" s="27" t="str">
        <f ca="1">IFERROR(__xludf.DUMMYFUNCTION("""COMPUTED_VALUE"""),"Marcelo martins de lima")</f>
        <v>Marcelo martins de lima</v>
      </c>
      <c r="AN509" s="27" t="str">
        <f ca="1">IFERROR(__xludf.DUMMYFUNCTION("""COMPUTED_VALUE"""),"Ativo")</f>
        <v>Ativo</v>
      </c>
      <c r="AO509" s="27"/>
      <c r="AP509" s="27"/>
      <c r="AQ509" s="27" t="str">
        <f ca="1">IFERROR(__xludf.DUMMYFUNCTION("""COMPUTED_VALUE"""),"Primeiro Semestre 2022")</f>
        <v>Primeiro Semestre 2022</v>
      </c>
      <c r="AR509" s="27" t="str">
        <f ca="1">IFERROR(__xludf.DUMMYFUNCTION("""COMPUTED_VALUE"""),"marcelo.martins100721@gmail.com")</f>
        <v>marcelo.martins100721@gmail.com</v>
      </c>
      <c r="AS509" s="27" t="str">
        <f ca="1">IFERROR(__xludf.DUMMYFUNCTION("""COMPUTED_VALUE"""),"(85)92001-5697")</f>
        <v>(85)92001-5697</v>
      </c>
      <c r="AT509" s="29">
        <f ca="1">IFERROR(__xludf.DUMMYFUNCTION("""COMPUTED_VALUE"""),32030)</f>
        <v>32030</v>
      </c>
      <c r="AU509" s="27">
        <f ca="1">IFERROR(__xludf.DUMMYFUNCTION("""COMPUTED_VALUE"""),35)</f>
        <v>35</v>
      </c>
      <c r="AV509" s="27">
        <f ca="1">IFERROR(__xludf.DUMMYFUNCTION("""COMPUTED_VALUE"""),1829562371)</f>
        <v>1829562371</v>
      </c>
      <c r="AW509" s="27">
        <f ca="1">IFERROR(__xludf.DUMMYFUNCTION("""COMPUTED_VALUE"""),2002002162544)</f>
        <v>2002002162544</v>
      </c>
      <c r="AX509" s="27"/>
      <c r="AY509" s="27" t="str">
        <f ca="1">IFERROR(__xludf.DUMMYFUNCTION("""COMPUTED_VALUE"""),"Presidente")</f>
        <v>Presidente</v>
      </c>
      <c r="AZ509" s="27" t="str">
        <f ca="1">IFERROR(__xludf.DUMMYFUNCTION("""COMPUTED_VALUE"""),"M")</f>
        <v>M</v>
      </c>
      <c r="BA509" s="27" t="str">
        <f ca="1">IFERROR(__xludf.DUMMYFUNCTION("""COMPUTED_VALUE"""),"Parda")</f>
        <v>Parda</v>
      </c>
      <c r="BB509" s="27"/>
      <c r="BC509" s="27"/>
      <c r="BD509" s="27" t="str">
        <f ca="1">IFERROR(__xludf.DUMMYFUNCTION("""COMPUTED_VALUE"""),"Francisco Marcelo Martins de Lima, solteiro pai de Luiz Ricardo  do Nascimento Martins e Maria Ester do Nascimento Martins  34 anos , nascido em Fortaleza ce no ano de 1987
Formado em tecnologia da construção deu início as ações sociais no ano de 2014 com"&amp;" o PROJETO PRÓ-AÇÃO no sistema prisional do estado do Ceará no intuito de reintegração de jovens e adultos recluso na sociedade.")</f>
        <v>Francisco Marcelo Martins de Lima, solteiro pai de Luiz Ricardo  do Nascimento Martins e Maria Ester do Nascimento Martins  34 anos , nascido em Fortaleza ce no ano de 1987
Formado em tecnologia da construção deu início as ações sociais no ano de 2014 com o PROJETO PRÓ-AÇÃO no sistema prisional do estado do Ceará no intuito de reintegração de jovens e adultos recluso na sociedade.</v>
      </c>
      <c r="BE509" s="27" t="str">
        <f ca="1">IFERROR(__xludf.DUMMYFUNCTION("""COMPUTED_VALUE"""),"Homem, cisgênero")</f>
        <v>Homem, cisgênero</v>
      </c>
      <c r="BF509" s="27" t="str">
        <f ca="1">IFERROR(__xludf.DUMMYFUNCTION("""COMPUTED_VALUE"""),"Heterossexual")</f>
        <v>Heterossexual</v>
      </c>
      <c r="BG509" s="27" t="str">
        <f ca="1">IFERROR(__xludf.DUMMYFUNCTION("""COMPUTED_VALUE"""),"Ensino Superior - Completo")</f>
        <v>Ensino Superior - Completo</v>
      </c>
      <c r="BH509" s="27" t="str">
        <f ca="1">IFERROR(__xludf.DUMMYFUNCTION("""COMPUTED_VALUE"""),"Público")</f>
        <v>Público</v>
      </c>
      <c r="BI509" s="27" t="str">
        <f ca="1">IFERROR(__xludf.DUMMYFUNCTION("""COMPUTED_VALUE"""),"Graduação")</f>
        <v>Graduação</v>
      </c>
      <c r="BJ509" s="27"/>
      <c r="BK509" s="27" t="str">
        <f ca="1">IFERROR(__xludf.DUMMYFUNCTION("""COMPUTED_VALUE"""),"Sargento Barbosa")</f>
        <v>Sargento Barbosa</v>
      </c>
      <c r="BL509" s="27">
        <f ca="1">IFERROR(__xludf.DUMMYFUNCTION("""COMPUTED_VALUE"""),1705)</f>
        <v>1705</v>
      </c>
      <c r="BM509" s="27" t="str">
        <f ca="1">IFERROR(__xludf.DUMMYFUNCTION("""COMPUTED_VALUE"""),"B")</f>
        <v>B</v>
      </c>
      <c r="BN509" s="27" t="str">
        <f ca="1">IFERROR(__xludf.DUMMYFUNCTION("""COMPUTED_VALUE"""),"Fortaleza")</f>
        <v>Fortaleza</v>
      </c>
      <c r="BO509" s="27" t="str">
        <f ca="1">IFERROR(__xludf.DUMMYFUNCTION("""COMPUTED_VALUE"""),"60540-190")</f>
        <v>60540-190</v>
      </c>
      <c r="BP509" s="27" t="str">
        <f ca="1">IFERROR(__xludf.DUMMYFUNCTION("""COMPUTED_VALUE"""),"CE")</f>
        <v>CE</v>
      </c>
      <c r="BQ509" s="27" t="str">
        <f ca="1">IFERROR(__xludf.DUMMYFUNCTION("""COMPUTED_VALUE"""),"Entre 1 até 3 salários mínimos")</f>
        <v>Entre 1 até 3 salários mínimos</v>
      </c>
      <c r="BR509" s="27" t="str">
        <f ca="1">IFERROR(__xludf.DUMMYFUNCTION("""COMPUTED_VALUE"""),"Trabalho informal")</f>
        <v>Trabalho informal</v>
      </c>
      <c r="BS509" s="27" t="str">
        <f ca="1">IFERROR(__xludf.DUMMYFUNCTION("""COMPUTED_VALUE"""),"Casa própria")</f>
        <v>Casa própria</v>
      </c>
      <c r="BT509" s="27">
        <f ca="1">IFERROR(__xludf.DUMMYFUNCTION("""COMPUTED_VALUE"""),3)</f>
        <v>3</v>
      </c>
      <c r="BU509" s="27" t="str">
        <f ca="1">IFERROR(__xludf.DUMMYFUNCTION("""COMPUTED_VALUE"""),"Não tem")</f>
        <v>Não tem</v>
      </c>
      <c r="BV509" s="27" t="str">
        <f ca="1">IFERROR(__xludf.DUMMYFUNCTION("""COMPUTED_VALUE"""),"Não")</f>
        <v>Não</v>
      </c>
      <c r="BW509" s="27"/>
      <c r="BX509" s="27" t="str">
        <f ca="1">IFERROR(__xludf.DUMMYFUNCTION("""COMPUTED_VALUE"""),"@projetoproacaobj")</f>
        <v>@projetoproacaobj</v>
      </c>
      <c r="BY509" s="21" t="str">
        <f ca="1">IFERROR(__xludf.DUMMYFUNCTION("""COMPUTED_VALUE"""),"https://drive.google.com/open?id=1QedQ5m8Kf4XOEg7-OrrB3XjYT4HKwWo4")</f>
        <v>https://drive.google.com/open?id=1QedQ5m8Kf4XOEg7-OrrB3XjYT4HKwWo4</v>
      </c>
    </row>
    <row r="510" spans="1:77" ht="12.5" x14ac:dyDescent="0.25">
      <c r="A510" s="21" t="str">
        <f ca="1">IFERROR(__xludf.DUMMYFUNCTION("""COMPUTED_VALUE"""),"0014P00003YSp9xQAD")</f>
        <v>0014P00003YSp9xQAD</v>
      </c>
      <c r="B510" s="27" t="str">
        <f ca="1">IFERROR(__xludf.DUMMYFUNCTION("""COMPUTED_VALUE"""),"Fase Inicial")</f>
        <v>Fase Inicial</v>
      </c>
      <c r="C510" s="27" t="str">
        <f ca="1">IFERROR(__xludf.DUMMYFUNCTION("""COMPUTED_VALUE"""),"Fellow")</f>
        <v>Fellow</v>
      </c>
      <c r="D510" s="27" t="str">
        <f ca="1">IFERROR(__xludf.DUMMYFUNCTION("""COMPUTED_VALUE"""),"Ativo")</f>
        <v>Ativo</v>
      </c>
      <c r="E510" s="27" t="str">
        <f ca="1">IFERROR(__xludf.DUMMYFUNCTION("""COMPUTED_VALUE"""),"Programa de Assistência as Crianças e Adolescentes")</f>
        <v>Programa de Assistência as Crianças e Adolescentes</v>
      </c>
      <c r="F510" s="27" t="str">
        <f ca="1">IFERROR(__xludf.DUMMYFUNCTION("""COMPUTED_VALUE"""),"Daniela")</f>
        <v>Daniela</v>
      </c>
      <c r="G510" s="27"/>
      <c r="H510" s="27" t="str">
        <f ca="1">IFERROR(__xludf.DUMMYFUNCTION("""COMPUTED_VALUE"""),"00.530.239/0001-73")</f>
        <v>00.530.239/0001-73</v>
      </c>
      <c r="I510" s="27" t="str">
        <f ca="1">IFERROR(__xludf.DUMMYFUNCTION("""COMPUTED_VALUE"""),"Paulo")</f>
        <v>Paulo</v>
      </c>
      <c r="J510" s="27"/>
      <c r="K510" s="27" t="str">
        <f ca="1">IFERROR(__xludf.DUMMYFUNCTION("""COMPUTED_VALUE"""),"(11)98264-0059")</f>
        <v>(11)98264-0059</v>
      </c>
      <c r="L510" s="27" t="str">
        <f ca="1">IFERROR(__xludf.DUMMYFUNCTION("""COMPUTED_VALUE"""),"SP")</f>
        <v>SP</v>
      </c>
      <c r="M510" s="27" t="str">
        <f ca="1">IFERROR(__xludf.DUMMYFUNCTION("""COMPUTED_VALUE"""),"Rua Major Rudge")</f>
        <v>Rua Major Rudge</v>
      </c>
      <c r="N510" s="27" t="str">
        <f ca="1">IFERROR(__xludf.DUMMYFUNCTION("""COMPUTED_VALUE"""),"Jardim Piratininga")</f>
        <v>Jardim Piratininga</v>
      </c>
      <c r="O510" s="27">
        <f ca="1">IFERROR(__xludf.DUMMYFUNCTION("""COMPUTED_VALUE"""),34)</f>
        <v>34</v>
      </c>
      <c r="P510" s="27" t="str">
        <f ca="1">IFERROR(__xludf.DUMMYFUNCTION("""COMPUTED_VALUE"""),"São Paulo")</f>
        <v>São Paulo</v>
      </c>
      <c r="Q510" s="27"/>
      <c r="R510" s="27" t="str">
        <f ca="1">IFERROR(__xludf.DUMMYFUNCTION("""COMPUTED_VALUE"""),"03607-010")</f>
        <v>03607-010</v>
      </c>
      <c r="S510" s="27"/>
      <c r="T510" s="27" t="str">
        <f ca="1">IFERROR(__xludf.DUMMYFUNCTION("""COMPUTED_VALUE"""),"Educação; Assistência Social; Empreendedorismo; Apoio à gestão de organizações de Terceiro Setor; Assistência Psicológica; Desenvolvimento comunitário")</f>
        <v>Educação; Assistência Social; Empreendedorismo; Apoio à gestão de organizações de Terceiro Setor; Assistência Psicológica; Desenvolvimento comunitário</v>
      </c>
      <c r="U510" s="27" t="str">
        <f ca="1">IFERROR(__xludf.DUMMYFUNCTION("""COMPUTED_VALUE"""),"Crianças pequenas (4 anos a 5 anos e 11 meses); Adultos")</f>
        <v>Crianças pequenas (4 anos a 5 anos e 11 meses); Adultos</v>
      </c>
      <c r="V510" s="27" t="str">
        <f ca="1">IFERROR(__xludf.DUMMYFUNCTION("""COMPUTED_VALUE"""),"Moradores de Favelas; Dependentes Químicos; Imigrantes; Refugiados")</f>
        <v>Moradores de Favelas; Dependentes Químicos; Imigrantes; Refugiados</v>
      </c>
      <c r="W510" s="27">
        <f ca="1">IFERROR(__xludf.DUMMYFUNCTION("""COMPUTED_VALUE"""),3)</f>
        <v>3</v>
      </c>
      <c r="X510" s="27"/>
      <c r="Y510" s="27"/>
      <c r="Z510" s="27">
        <f ca="1">IFERROR(__xludf.DUMMYFUNCTION("""COMPUTED_VALUE"""),718)</f>
        <v>718</v>
      </c>
      <c r="AA510" s="29">
        <f ca="1">IFERROR(__xludf.DUMMYFUNCTION("""COMPUTED_VALUE"""),34793)</f>
        <v>34793</v>
      </c>
      <c r="AB510" s="27" t="str">
        <f ca="1">IFERROR(__xludf.DUMMYFUNCTION("""COMPUTED_VALUE"""),"Não")</f>
        <v>Não</v>
      </c>
      <c r="AC510" s="27">
        <f ca="1">IFERROR(__xludf.DUMMYFUNCTION("""COMPUTED_VALUE"""),0)</f>
        <v>0</v>
      </c>
      <c r="AD510" s="27">
        <f ca="1">IFERROR(__xludf.DUMMYFUNCTION("""COMPUTED_VALUE"""),0)</f>
        <v>0</v>
      </c>
      <c r="AE510" s="27">
        <f ca="1">IFERROR(__xludf.DUMMYFUNCTION("""COMPUTED_VALUE"""),120)</f>
        <v>120</v>
      </c>
      <c r="AF510" s="27">
        <f ca="1">IFERROR(__xludf.DUMMYFUNCTION("""COMPUTED_VALUE"""),25)</f>
        <v>25</v>
      </c>
      <c r="AG510" s="27">
        <f ca="1">IFERROR(__xludf.DUMMYFUNCTION("""COMPUTED_VALUE"""),2)</f>
        <v>2</v>
      </c>
      <c r="AH510" s="27" t="str">
        <f ca="1">IFERROR(__xludf.DUMMYFUNCTION("""COMPUTED_VALUE"""),"Doações; Recursos próprios")</f>
        <v>Doações; Recursos próprios</v>
      </c>
      <c r="AI510" s="27">
        <f ca="1">IFERROR(__xludf.DUMMYFUNCTION("""COMPUTED_VALUE"""),0)</f>
        <v>0</v>
      </c>
      <c r="AJ510" s="27"/>
      <c r="AK510" s="27"/>
      <c r="AL510" s="21" t="str">
        <f ca="1">IFERROR(__xludf.DUMMYFUNCTION("""COMPUTED_VALUE"""),"0034P000045kxkZ")</f>
        <v>0034P000045kxkZ</v>
      </c>
      <c r="AM510" s="27" t="str">
        <f ca="1">IFERROR(__xludf.DUMMYFUNCTION("""COMPUTED_VALUE"""),"Aparecida De França Santos")</f>
        <v>Aparecida De França Santos</v>
      </c>
      <c r="AN510" s="27" t="str">
        <f ca="1">IFERROR(__xludf.DUMMYFUNCTION("""COMPUTED_VALUE"""),"Ativo")</f>
        <v>Ativo</v>
      </c>
      <c r="AO510" s="30">
        <f ca="1">IFERROR(__xludf.DUMMYFUNCTION("""COMPUTED_VALUE"""),44551)</f>
        <v>44551</v>
      </c>
      <c r="AP510" s="27">
        <f ca="1">IFERROR(__xludf.DUMMYFUNCTION("""COMPUTED_VALUE"""),9)</f>
        <v>9</v>
      </c>
      <c r="AQ510" s="27" t="str">
        <f ca="1">IFERROR(__xludf.DUMMYFUNCTION("""COMPUTED_VALUE"""),"Segundo Semestre 2021")</f>
        <v>Segundo Semestre 2021</v>
      </c>
      <c r="AR510" s="27" t="str">
        <f ca="1">IFERROR(__xludf.DUMMYFUNCTION("""COMPUTED_VALUE"""),"danielasolnascente@gmail.com")</f>
        <v>danielasolnascente@gmail.com</v>
      </c>
      <c r="AS510" s="27" t="str">
        <f ca="1">IFERROR(__xludf.DUMMYFUNCTION("""COMPUTED_VALUE"""),"(11)98264-0059")</f>
        <v>(11)98264-0059</v>
      </c>
      <c r="AT510" s="29">
        <f ca="1">IFERROR(__xludf.DUMMYFUNCTION("""COMPUTED_VALUE"""),30569)</f>
        <v>30569</v>
      </c>
      <c r="AU510" s="27">
        <f ca="1">IFERROR(__xludf.DUMMYFUNCTION("""COMPUTED_VALUE"""),39)</f>
        <v>39</v>
      </c>
      <c r="AV510" s="27">
        <f ca="1">IFERROR(__xludf.DUMMYFUNCTION("""COMPUTED_VALUE"""),30443839867)</f>
        <v>30443839867</v>
      </c>
      <c r="AW510" s="27">
        <f ca="1">IFERROR(__xludf.DUMMYFUNCTION("""COMPUTED_VALUE"""),402548164)</f>
        <v>402548164</v>
      </c>
      <c r="AX510" s="27"/>
      <c r="AY510" s="27"/>
      <c r="AZ510" s="27" t="str">
        <f ca="1">IFERROR(__xludf.DUMMYFUNCTION("""COMPUTED_VALUE"""),"P")</f>
        <v>P</v>
      </c>
      <c r="BA510" s="27" t="str">
        <f ca="1">IFERROR(__xludf.DUMMYFUNCTION("""COMPUTED_VALUE"""),"Branca")</f>
        <v>Branca</v>
      </c>
      <c r="BB510" s="27" t="str">
        <f ca="1">IFERROR(__xludf.DUMMYFUNCTION("""COMPUTED_VALUE"""),"Mulher, cisgênero")</f>
        <v>Mulher, cisgênero</v>
      </c>
      <c r="BC510" s="27" t="str">
        <f ca="1">IFERROR(__xludf.DUMMYFUNCTION("""COMPUTED_VALUE"""),"Não")</f>
        <v>Não</v>
      </c>
      <c r="BD510" s="27" t="str">
        <f ca="1">IFERROR(__xludf.DUMMYFUNCTION("""COMPUTED_VALUE"""),"Eu sou filha Nordestinos, que saíram do Piauí em busca de oportunidade na “Terra da Garoa”. Minha  mãe foi operadora de caixa e o meu pai fiscal de ônibus. Morávamos na favela do Jd. Peri, zona norte de São Paulo. Sou a penúltima de 6 irmãos, sempre fomos"&amp;" muito unidos. Infelizmente meu irmão se envolveu com tráfico de drogas , e foi jurado de morte, até que no ano de 2000 a promessa se cumpriu, perdi meu irmão e o meu pai assassinados. Hoje, o meu sonho é ajudar as pessoas.")</f>
        <v>Eu sou filha Nordestinos, que saíram do Piauí em busca de oportunidade na “Terra da Garoa”. Minha  mãe foi operadora de caixa e o meu pai fiscal de ônibus. Morávamos na favela do Jd. Peri, zona norte de São Paulo. Sou a penúltima de 6 irmãos, sempre fomos muito unidos. Infelizmente meu irmão se envolveu com tráfico de drogas , e foi jurado de morte, até que no ano de 2000 a promessa se cumpriu, perdi meu irmão e o meu pai assassinados. Hoje, o meu sonho é ajudar as pessoas.</v>
      </c>
      <c r="BE510" s="27"/>
      <c r="BF510" s="27" t="str">
        <f ca="1">IFERROR(__xludf.DUMMYFUNCTION("""COMPUTED_VALUE"""),"Heterossexual")</f>
        <v>Heterossexual</v>
      </c>
      <c r="BG510" s="27" t="str">
        <f ca="1">IFERROR(__xludf.DUMMYFUNCTION("""COMPUTED_VALUE"""),"Ensino Superior - Incompleto")</f>
        <v>Ensino Superior - Incompleto</v>
      </c>
      <c r="BH510" s="27" t="str">
        <f ca="1">IFERROR(__xludf.DUMMYFUNCTION("""COMPUTED_VALUE"""),"Público")</f>
        <v>Público</v>
      </c>
      <c r="BI510" s="27" t="str">
        <f ca="1">IFERROR(__xludf.DUMMYFUNCTION("""COMPUTED_VALUE"""),"Graduação")</f>
        <v>Graduação</v>
      </c>
      <c r="BJ510" s="27" t="str">
        <f ca="1">IFERROR(__xludf.DUMMYFUNCTION("""COMPUTED_VALUE"""),"Privado")</f>
        <v>Privado</v>
      </c>
      <c r="BK510" s="27" t="str">
        <f ca="1">IFERROR(__xludf.DUMMYFUNCTION("""COMPUTED_VALUE"""),"Soldado José Vicente de Paula")</f>
        <v>Soldado José Vicente de Paula</v>
      </c>
      <c r="BL510" s="27">
        <f ca="1">IFERROR(__xludf.DUMMYFUNCTION("""COMPUTED_VALUE"""),201)</f>
        <v>201</v>
      </c>
      <c r="BM510" s="27" t="str">
        <f ca="1">IFERROR(__xludf.DUMMYFUNCTION("""COMPUTED_VALUE"""),"Apto 112")</f>
        <v>Apto 112</v>
      </c>
      <c r="BN510" s="27" t="str">
        <f ca="1">IFERROR(__xludf.DUMMYFUNCTION("""COMPUTED_VALUE"""),"Sao Paulo")</f>
        <v>Sao Paulo</v>
      </c>
      <c r="BO510" s="27" t="str">
        <f ca="1">IFERROR(__xludf.DUMMYFUNCTION("""COMPUTED_VALUE"""),"02180-020")</f>
        <v>02180-020</v>
      </c>
      <c r="BP510" s="27" t="str">
        <f ca="1">IFERROR(__xludf.DUMMYFUNCTION("""COMPUTED_VALUE"""),"SP")</f>
        <v>SP</v>
      </c>
      <c r="BQ510" s="27" t="str">
        <f ca="1">IFERROR(__xludf.DUMMYFUNCTION("""COMPUTED_VALUE"""),"Entre 1 até 3 salários mínimos")</f>
        <v>Entre 1 até 3 salários mínimos</v>
      </c>
      <c r="BR510" s="27" t="str">
        <f ca="1">IFERROR(__xludf.DUMMYFUNCTION("""COMPUTED_VALUE"""),"MEI")</f>
        <v>MEI</v>
      </c>
      <c r="BS510" s="27" t="str">
        <f ca="1">IFERROR(__xludf.DUMMYFUNCTION("""COMPUTED_VALUE"""),"Casa própria")</f>
        <v>Casa própria</v>
      </c>
      <c r="BT510" s="27">
        <f ca="1">IFERROR(__xludf.DUMMYFUNCTION("""COMPUTED_VALUE"""),3)</f>
        <v>3</v>
      </c>
      <c r="BU510" s="27" t="str">
        <f ca="1">IFERROR(__xludf.DUMMYFUNCTION("""COMPUTED_VALUE"""),"Não tem")</f>
        <v>Não tem</v>
      </c>
      <c r="BV510" s="27"/>
      <c r="BW510" s="27"/>
      <c r="BX510" s="21" t="str">
        <f ca="1">IFERROR(__xludf.DUMMYFUNCTION("""COMPUTED_VALUE"""),"https://instagram.com/paca.ippenha?utm_medium=copy_link")</f>
        <v>https://instagram.com/paca.ippenha?utm_medium=copy_link</v>
      </c>
      <c r="BY510" s="21" t="str">
        <f ca="1">IFERROR(__xludf.DUMMYFUNCTION("""COMPUTED_VALUE"""),"https://drive.google.com/open?id=1qDnQNuubPMMRK0-BUfbjvR3EfafGSjWU")</f>
        <v>https://drive.google.com/open?id=1qDnQNuubPMMRK0-BUfbjvR3EfafGSjWU</v>
      </c>
    </row>
    <row r="511" spans="1:77" ht="12.5" x14ac:dyDescent="0.25">
      <c r="A511" s="21" t="str">
        <f ca="1">IFERROR(__xludf.DUMMYFUNCTION("""COMPUTED_VALUE"""),"0014P00003AN2G8QAL")</f>
        <v>0014P00003AN2G8QAL</v>
      </c>
      <c r="B511" s="27" t="str">
        <f ca="1">IFERROR(__xludf.DUMMYFUNCTION("""COMPUTED_VALUE"""),"Fase Inicial")</f>
        <v>Fase Inicial</v>
      </c>
      <c r="C511" s="27" t="str">
        <f ca="1">IFERROR(__xludf.DUMMYFUNCTION("""COMPUTED_VALUE"""),"Fellow")</f>
        <v>Fellow</v>
      </c>
      <c r="D511" s="27" t="str">
        <f ca="1">IFERROR(__xludf.DUMMYFUNCTION("""COMPUTED_VALUE"""),"Ativo")</f>
        <v>Ativo</v>
      </c>
      <c r="E511" s="27" t="str">
        <f ca="1">IFERROR(__xludf.DUMMYFUNCTION("""COMPUTED_VALUE"""),"Programa Social Sim! Eu Sou do Meio (SESM)")</f>
        <v>Programa Social Sim! Eu Sou do Meio (SESM)</v>
      </c>
      <c r="F511" s="27" t="str">
        <f ca="1">IFERROR(__xludf.DUMMYFUNCTION("""COMPUTED_VALUE"""),"Debora")</f>
        <v>Debora</v>
      </c>
      <c r="G511" s="27"/>
      <c r="H511" s="27" t="str">
        <f ca="1">IFERROR(__xludf.DUMMYFUNCTION("""COMPUTED_VALUE"""),"40.224.894/0001-18")</f>
        <v>40.224.894/0001-18</v>
      </c>
      <c r="I511" s="27"/>
      <c r="J511" s="27"/>
      <c r="K511" s="27" t="str">
        <f ca="1">IFERROR(__xludf.DUMMYFUNCTION("""COMPUTED_VALUE"""),"(21)99677-9604")</f>
        <v>(21)99677-9604</v>
      </c>
      <c r="L511" s="27" t="str">
        <f ca="1">IFERROR(__xludf.DUMMYFUNCTION("""COMPUTED_VALUE"""),"RJ")</f>
        <v>RJ</v>
      </c>
      <c r="M511" s="27" t="str">
        <f ca="1">IFERROR(__xludf.DUMMYFUNCTION("""COMPUTED_VALUE"""),"Rua João Fernandes Neto")</f>
        <v>Rua João Fernandes Neto</v>
      </c>
      <c r="N511" s="27"/>
      <c r="O511" s="27" t="str">
        <f ca="1">IFERROR(__xludf.DUMMYFUNCTION("""COMPUTED_VALUE"""),"(21)99677-9604")</f>
        <v>(21)99677-9604</v>
      </c>
      <c r="P511" s="27" t="str">
        <f ca="1">IFERROR(__xludf.DUMMYFUNCTION("""COMPUTED_VALUE"""),"Belford Roxo")</f>
        <v>Belford Roxo</v>
      </c>
      <c r="Q511" s="27"/>
      <c r="R511" s="27" t="str">
        <f ca="1">IFERROR(__xludf.DUMMYFUNCTION("""COMPUTED_VALUE"""),"26130-050")</f>
        <v>26130-050</v>
      </c>
      <c r="S511" s="27"/>
      <c r="T511" s="27" t="str">
        <f ca="1">IFERROR(__xludf.DUMMYFUNCTION("""COMPUTED_VALUE"""),"Esporte; Educação; Cultura; Qualificação Profissional; Empreendedorismo; Meio ambiente; Defesa de Direitos; Desenvolvimento comunitário")</f>
        <v>Esporte; Educação; Cultura; Qualificação Profissional; Empreendedorismo; Meio ambiente; Defesa de Direitos; Desenvolvimento comunitário</v>
      </c>
      <c r="U511" s="27" t="str">
        <f ca="1">IFERROR(__xludf.DUMMYFUNCTION("""COMPUTED_VALUE"""),"Crianças (6 a 12 anos); Adolescentes (12 aos 18 anos); Jovens (18 aos 24 anos); Adultos")</f>
        <v>Crianças (6 a 12 anos); Adolescentes (12 aos 18 anos); Jovens (18 aos 24 anos); Adultos</v>
      </c>
      <c r="V511" s="27" t="str">
        <f ca="1">IFERROR(__xludf.DUMMYFUNCTION("""COMPUTED_VALUE"""),"Moradores de Favelas; Pessoas em situação de rua; População LGBTQ+; Afrodescendentes")</f>
        <v>Moradores de Favelas; Pessoas em situação de rua; População LGBTQ+; Afrodescendentes</v>
      </c>
      <c r="W511" s="27">
        <f ca="1">IFERROR(__xludf.DUMMYFUNCTION("""COMPUTED_VALUE"""),10)</f>
        <v>10</v>
      </c>
      <c r="X511" s="27"/>
      <c r="Y511" s="27"/>
      <c r="Z511" s="27"/>
      <c r="AA511" s="29">
        <f ca="1">IFERROR(__xludf.DUMMYFUNCTION("""COMPUTED_VALUE"""),43413)</f>
        <v>43413</v>
      </c>
      <c r="AB511" s="27" t="str">
        <f ca="1">IFERROR(__xludf.DUMMYFUNCTION("""COMPUTED_VALUE"""),"Sim")</f>
        <v>Sim</v>
      </c>
      <c r="AC511" s="27">
        <f ca="1">IFERROR(__xludf.DUMMYFUNCTION("""COMPUTED_VALUE"""),2)</f>
        <v>2</v>
      </c>
      <c r="AD511" s="27">
        <f ca="1">IFERROR(__xludf.DUMMYFUNCTION("""COMPUTED_VALUE"""),0)</f>
        <v>0</v>
      </c>
      <c r="AE511" s="27">
        <f ca="1">IFERROR(__xludf.DUMMYFUNCTION("""COMPUTED_VALUE"""),50)</f>
        <v>50</v>
      </c>
      <c r="AF511" s="27">
        <f ca="1">IFERROR(__xludf.DUMMYFUNCTION("""COMPUTED_VALUE"""),15)</f>
        <v>15</v>
      </c>
      <c r="AG511" s="27">
        <f ca="1">IFERROR(__xludf.DUMMYFUNCTION("""COMPUTED_VALUE"""),5)</f>
        <v>5</v>
      </c>
      <c r="AH511" s="27" t="str">
        <f ca="1">IFERROR(__xludf.DUMMYFUNCTION("""COMPUTED_VALUE"""),"Eventos/Ações para captação; Parceria iniciativa privada; Editais; Doações; Recursos próprios")</f>
        <v>Eventos/Ações para captação; Parceria iniciativa privada; Editais; Doações; Recursos próprios</v>
      </c>
      <c r="AI511" s="27" t="str">
        <f ca="1">IFERROR(__xludf.DUMMYFUNCTION("""COMPUTED_VALUE"""),"30% eventos, 30% doação, 20% iniciativa privada, 10% editais, 10% recursos próprios")</f>
        <v>30% eventos, 30% doação, 20% iniciativa privada, 10% editais, 10% recursos próprios</v>
      </c>
      <c r="AJ511" s="27" t="str">
        <f ca="1">IFERROR(__xludf.DUMMYFUNCTION("""COMPUTED_VALUE"""),"Não")</f>
        <v>Não</v>
      </c>
      <c r="AK511" s="27" t="str">
        <f ca="1">IFERROR(__xludf.DUMMYFUNCTION("""COMPUTED_VALUE"""),"Sim")</f>
        <v>Sim</v>
      </c>
      <c r="AL511" s="21" t="str">
        <f ca="1">IFERROR(__xludf.DUMMYFUNCTION("""COMPUTED_VALUE"""),"0034P00003maBVc")</f>
        <v>0034P00003maBVc</v>
      </c>
      <c r="AM511" s="27" t="str">
        <f ca="1">IFERROR(__xludf.DUMMYFUNCTION("""COMPUTED_VALUE"""),"Do Espírito Santo Da Silva")</f>
        <v>Do Espírito Santo Da Silva</v>
      </c>
      <c r="AN511" s="27" t="str">
        <f ca="1">IFERROR(__xludf.DUMMYFUNCTION("""COMPUTED_VALUE"""),"Ativo")</f>
        <v>Ativo</v>
      </c>
      <c r="AO511" s="29">
        <f ca="1">IFERROR(__xludf.DUMMYFUNCTION("""COMPUTED_VALUE"""),44246)</f>
        <v>44246</v>
      </c>
      <c r="AP511" s="27">
        <f ca="1">IFERROR(__xludf.DUMMYFUNCTION("""COMPUTED_VALUE"""),19)</f>
        <v>19</v>
      </c>
      <c r="AQ511" s="27" t="str">
        <f ca="1">IFERROR(__xludf.DUMMYFUNCTION("""COMPUTED_VALUE"""),"Segundo Semestre 2020")</f>
        <v>Segundo Semestre 2020</v>
      </c>
      <c r="AR511" s="27" t="str">
        <f ca="1">IFERROR(__xludf.DUMMYFUNCTION("""COMPUTED_VALUE"""),"debora.simeusoudomeio@gmail.com")</f>
        <v>debora.simeusoudomeio@gmail.com</v>
      </c>
      <c r="AS511" s="27" t="str">
        <f ca="1">IFERROR(__xludf.DUMMYFUNCTION("""COMPUTED_VALUE"""),"(21)99677-9604")</f>
        <v>(21)99677-9604</v>
      </c>
      <c r="AT511" s="30">
        <f ca="1">IFERROR(__xludf.DUMMYFUNCTION("""COMPUTED_VALUE"""),31029)</f>
        <v>31029</v>
      </c>
      <c r="AU511" s="27">
        <f ca="1">IFERROR(__xludf.DUMMYFUNCTION("""COMPUTED_VALUE"""),38)</f>
        <v>38</v>
      </c>
      <c r="AV511" s="27">
        <f ca="1">IFERROR(__xludf.DUMMYFUNCTION("""COMPUTED_VALUE"""),10239957784)</f>
        <v>10239957784</v>
      </c>
      <c r="AW511" s="27">
        <f ca="1">IFERROR(__xludf.DUMMYFUNCTION("""COMPUTED_VALUE"""),206081564)</f>
        <v>206081564</v>
      </c>
      <c r="AX511" s="27" t="str">
        <f ca="1">IFERROR(__xludf.DUMMYFUNCTION("""COMPUTED_VALUE"""),"Serviço Social")</f>
        <v>Serviço Social</v>
      </c>
      <c r="AY511" s="27"/>
      <c r="AZ511" s="27" t="str">
        <f ca="1">IFERROR(__xludf.DUMMYFUNCTION("""COMPUTED_VALUE"""),"GG")</f>
        <v>GG</v>
      </c>
      <c r="BA511" s="27"/>
      <c r="BB511" s="27"/>
      <c r="BC511" s="27" t="str">
        <f ca="1">IFERROR(__xludf.DUMMYFUNCTION("""COMPUTED_VALUE"""),"Sim")</f>
        <v>Sim</v>
      </c>
      <c r="BD511" s="27" t="str">
        <f ca="1">IFERROR(__xludf.DUMMYFUNCTION("""COMPUTED_VALUE"""),"Mulher negra, Esposa, mãe, professora, graduanda em Serviço Social pela UFRJ, conselheira da Secretaria da Mulher e Emprego, renda e Economia Solidária, idealizadora e fundadora da ong Sim! Eu Sou do Meio em Belford Roxo, Baixada Fluminense - RJ. Uma inco"&amp;"nformada que luta contra as desigualdades e injustiças Sociais.")</f>
        <v>Mulher negra, Esposa, mãe, professora, graduanda em Serviço Social pela UFRJ, conselheira da Secretaria da Mulher e Emprego, renda e Economia Solidária, idealizadora e fundadora da ong Sim! Eu Sou do Meio em Belford Roxo, Baixada Fluminense - RJ. Uma inconformada que luta contra as desigualdades e injustiças Sociais.</v>
      </c>
      <c r="BE511" s="27"/>
      <c r="BF511" s="27"/>
      <c r="BG511" s="27" t="str">
        <f ca="1">IFERROR(__xludf.DUMMYFUNCTION("""COMPUTED_VALUE"""),"Ensino Superior - Incompleto")</f>
        <v>Ensino Superior - Incompleto</v>
      </c>
      <c r="BH511" s="27"/>
      <c r="BI511" s="27" t="str">
        <f ca="1">IFERROR(__xludf.DUMMYFUNCTION("""COMPUTED_VALUE"""),"Graduação")</f>
        <v>Graduação</v>
      </c>
      <c r="BJ511" s="27" t="str">
        <f ca="1">IFERROR(__xludf.DUMMYFUNCTION("""COMPUTED_VALUE"""),"Público")</f>
        <v>Público</v>
      </c>
      <c r="BK511" s="27" t="str">
        <f ca="1">IFERROR(__xludf.DUMMYFUNCTION("""COMPUTED_VALUE"""),"Rua Major João Pinheiro")</f>
        <v>Rua Major João Pinheiro</v>
      </c>
      <c r="BL511" s="27">
        <f ca="1">IFERROR(__xludf.DUMMYFUNCTION("""COMPUTED_VALUE"""),130)</f>
        <v>130</v>
      </c>
      <c r="BM511" s="27"/>
      <c r="BN511" s="27" t="str">
        <f ca="1">IFERROR(__xludf.DUMMYFUNCTION("""COMPUTED_VALUE"""),"Belford Roxo")</f>
        <v>Belford Roxo</v>
      </c>
      <c r="BO511" s="27" t="str">
        <f ca="1">IFERROR(__xludf.DUMMYFUNCTION("""COMPUTED_VALUE"""),"26130-670")</f>
        <v>26130-670</v>
      </c>
      <c r="BP511" s="27" t="str">
        <f ca="1">IFERROR(__xludf.DUMMYFUNCTION("""COMPUTED_VALUE"""),"RJ")</f>
        <v>RJ</v>
      </c>
      <c r="BQ511" s="27" t="str">
        <f ca="1">IFERROR(__xludf.DUMMYFUNCTION("""COMPUTED_VALUE"""),"Entre 1 até 3 salários mínimos")</f>
        <v>Entre 1 até 3 salários mínimos</v>
      </c>
      <c r="BR511" s="27" t="str">
        <f ca="1">IFERROR(__xludf.DUMMYFUNCTION("""COMPUTED_VALUE"""),"Desempregado")</f>
        <v>Desempregado</v>
      </c>
      <c r="BS511" s="27" t="str">
        <f ca="1">IFERROR(__xludf.DUMMYFUNCTION("""COMPUTED_VALUE"""),"Casa cedida")</f>
        <v>Casa cedida</v>
      </c>
      <c r="BT511" s="27">
        <f ca="1">IFERROR(__xludf.DUMMYFUNCTION("""COMPUTED_VALUE"""),3)</f>
        <v>3</v>
      </c>
      <c r="BU511" s="27"/>
      <c r="BV511" s="27"/>
      <c r="BW511" s="27"/>
      <c r="BX511" s="21" t="str">
        <f ca="1">IFERROR(__xludf.DUMMYFUNCTION("""COMPUTED_VALUE"""),"https://www.instagram.com/p/CaUwygILU-A/?utm_medium=copy_link")</f>
        <v>https://www.instagram.com/p/CaUwygILU-A/?utm_medium=copy_link</v>
      </c>
      <c r="BY511" s="21" t="str">
        <f ca="1">IFERROR(__xludf.DUMMYFUNCTION("""COMPUTED_VALUE"""),"https://drive.google.com/open?id=1eNS6tPUNEcdgPuCchr41AlQzZ7tREe4u")</f>
        <v>https://drive.google.com/open?id=1eNS6tPUNEcdgPuCchr41AlQzZ7tREe4u</v>
      </c>
    </row>
    <row r="512" spans="1:77" ht="12.5" x14ac:dyDescent="0.25">
      <c r="A512" s="21" t="str">
        <f ca="1">IFERROR(__xludf.DUMMYFUNCTION("""COMPUTED_VALUE"""),"0014P00003AN6yVQAT")</f>
        <v>0014P00003AN6yVQAT</v>
      </c>
      <c r="B512" s="27" t="str">
        <f ca="1">IFERROR(__xludf.DUMMYFUNCTION("""COMPUTED_VALUE"""),"Fase Inicial")</f>
        <v>Fase Inicial</v>
      </c>
      <c r="C512" s="27" t="str">
        <f ca="1">IFERROR(__xludf.DUMMYFUNCTION("""COMPUTED_VALUE"""),"Fellow")</f>
        <v>Fellow</v>
      </c>
      <c r="D512" s="27" t="str">
        <f ca="1">IFERROR(__xludf.DUMMYFUNCTION("""COMPUTED_VALUE"""),"Ativo")</f>
        <v>Ativo</v>
      </c>
      <c r="E512" s="27" t="str">
        <f ca="1">IFERROR(__xludf.DUMMYFUNCTION("""COMPUTED_VALUE"""),"Projeto Amor e Esperança/ Associação Construindo a Cidadania")</f>
        <v>Projeto Amor e Esperança/ Associação Construindo a Cidadania</v>
      </c>
      <c r="F512" s="27" t="str">
        <f ca="1">IFERROR(__xludf.DUMMYFUNCTION("""COMPUTED_VALUE"""),"Nadjane")</f>
        <v>Nadjane</v>
      </c>
      <c r="G512" s="27"/>
      <c r="H512" s="27" t="str">
        <f ca="1">IFERROR(__xludf.DUMMYFUNCTION("""COMPUTED_VALUE"""),"13. 733.692/0001-00")</f>
        <v>13. 733.692/0001-00</v>
      </c>
      <c r="I512" s="27"/>
      <c r="J512" s="27"/>
      <c r="K512" s="27" t="str">
        <f ca="1">IFERROR(__xludf.DUMMYFUNCTION("""COMPUTED_VALUE"""),"(81)99930-2643")</f>
        <v>(81)99930-2643</v>
      </c>
      <c r="L512" s="27" t="str">
        <f ca="1">IFERROR(__xludf.DUMMYFUNCTION("""COMPUTED_VALUE"""),"PE")</f>
        <v>PE</v>
      </c>
      <c r="M512" s="27" t="str">
        <f ca="1">IFERROR(__xludf.DUMMYFUNCTION("""COMPUTED_VALUE"""),"Rua Arapoema")</f>
        <v>Rua Arapoema</v>
      </c>
      <c r="N512" s="27" t="str">
        <f ca="1">IFERROR(__xludf.DUMMYFUNCTION("""COMPUTED_VALUE"""),"Brejo do Beberibe")</f>
        <v>Brejo do Beberibe</v>
      </c>
      <c r="O512" s="27" t="str">
        <f ca="1">IFERROR(__xludf.DUMMYFUNCTION("""COMPUTED_VALUE"""),"(81)99930-2643")</f>
        <v>(81)99930-2643</v>
      </c>
      <c r="P512" s="27" t="str">
        <f ca="1">IFERROR(__xludf.DUMMYFUNCTION("""COMPUTED_VALUE"""),"Recife")</f>
        <v>Recife</v>
      </c>
      <c r="Q512" s="27"/>
      <c r="R512" s="27" t="str">
        <f ca="1">IFERROR(__xludf.DUMMYFUNCTION("""COMPUTED_VALUE"""),"52191-190")</f>
        <v>52191-190</v>
      </c>
      <c r="S512" s="27"/>
      <c r="T512" s="27" t="str">
        <f ca="1">IFERROR(__xludf.DUMMYFUNCTION("""COMPUTED_VALUE"""),"Esporte; Educação; Empregabilidade; Assistência Social; Cultura; Qualificação Profissional; Empreendedorismo; Empoderamento Feminino; Desenvolvimento comunitário")</f>
        <v>Esporte; Educação; Empregabilidade; Assistência Social; Cultura; Qualificação Profissional; Empreendedorismo; Empoderamento Feminino; Desenvolvimento comunitário</v>
      </c>
      <c r="U512" s="27" t="str">
        <f ca="1">IFERROR(__xludf.DUMMYFUNCTION("""COMPUTED_VALUE"""),"Crianças (6 a 12 anos); Adolescentes (12 aos 18 anos); Jovens (18 aos 24 anos); Adultos; Idosos (60 anos ou mais)")</f>
        <v>Crianças (6 a 12 anos); Adolescentes (12 aos 18 anos); Jovens (18 aos 24 anos); Adultos; Idosos (60 anos ou mais)</v>
      </c>
      <c r="V512" s="27" t="str">
        <f ca="1">IFERROR(__xludf.DUMMYFUNCTION("""COMPUTED_VALUE"""),"Moradores de Favelas; Quilombola; Comunidade rural")</f>
        <v>Moradores de Favelas; Quilombola; Comunidade rural</v>
      </c>
      <c r="W512" s="27">
        <f ca="1">IFERROR(__xludf.DUMMYFUNCTION("""COMPUTED_VALUE"""),22)</f>
        <v>22</v>
      </c>
      <c r="X512" s="27" t="str">
        <f ca="1">IFERROR(__xludf.DUMMYFUNCTION("""COMPUTED_VALUE"""),"tUDO QUE FAZEMOS É COM AJUDA UNICA E EXCLUSIVA DE TRABALHO VOLUNTÁRIO E DOAÇÕES 250
'")</f>
        <v>tUDO QUE FAZEMOS É COM AJUDA UNICA E EXCLUSIVA DE TRABALHO VOLUNTÁRIO E DOAÇÕES 250
'</v>
      </c>
      <c r="Y512" s="27"/>
      <c r="Z512" s="27"/>
      <c r="AA512" s="29">
        <f ca="1">IFERROR(__xludf.DUMMYFUNCTION("""COMPUTED_VALUE"""),43360)</f>
        <v>43360</v>
      </c>
      <c r="AB512" s="27" t="str">
        <f ca="1">IFERROR(__xludf.DUMMYFUNCTION("""COMPUTED_VALUE"""),"Sim")</f>
        <v>Sim</v>
      </c>
      <c r="AC512" s="27">
        <f ca="1">IFERROR(__xludf.DUMMYFUNCTION("""COMPUTED_VALUE"""),0)</f>
        <v>0</v>
      </c>
      <c r="AD512" s="27">
        <f ca="1">IFERROR(__xludf.DUMMYFUNCTION("""COMPUTED_VALUE"""),0)</f>
        <v>0</v>
      </c>
      <c r="AE512" s="27">
        <f ca="1">IFERROR(__xludf.DUMMYFUNCTION("""COMPUTED_VALUE"""),21)</f>
        <v>21</v>
      </c>
      <c r="AF512" s="27">
        <f ca="1">IFERROR(__xludf.DUMMYFUNCTION("""COMPUTED_VALUE"""),8)</f>
        <v>8</v>
      </c>
      <c r="AG512" s="27">
        <f ca="1">IFERROR(__xludf.DUMMYFUNCTION("""COMPUTED_VALUE"""),3)</f>
        <v>3</v>
      </c>
      <c r="AH512" s="27" t="str">
        <f ca="1">IFERROR(__xludf.DUMMYFUNCTION("""COMPUTED_VALUE"""),"Eventos/Ações para captação; Doações")</f>
        <v>Eventos/Ações para captação; Doações</v>
      </c>
      <c r="AI512" s="27" t="str">
        <f ca="1">IFERROR(__xludf.DUMMYFUNCTION("""COMPUTED_VALUE"""),"Não participamos ainda, mas já apresentamos Projetos")</f>
        <v>Não participamos ainda, mas já apresentamos Projetos</v>
      </c>
      <c r="AJ512" s="27" t="str">
        <f ca="1">IFERROR(__xludf.DUMMYFUNCTION("""COMPUTED_VALUE"""),"Não")</f>
        <v>Não</v>
      </c>
      <c r="AK512" s="27" t="str">
        <f ca="1">IFERROR(__xludf.DUMMYFUNCTION("""COMPUTED_VALUE"""),"Não")</f>
        <v>Não</v>
      </c>
      <c r="AL512" s="21" t="str">
        <f ca="1">IFERROR(__xludf.DUMMYFUNCTION("""COMPUTED_VALUE"""),"0034P00003maBVv")</f>
        <v>0034P00003maBVv</v>
      </c>
      <c r="AM512" s="27" t="str">
        <f ca="1">IFERROR(__xludf.DUMMYFUNCTION("""COMPUTED_VALUE"""),"Cristina Santos Vieira")</f>
        <v>Cristina Santos Vieira</v>
      </c>
      <c r="AN512" s="27" t="str">
        <f ca="1">IFERROR(__xludf.DUMMYFUNCTION("""COMPUTED_VALUE"""),"Ativo")</f>
        <v>Ativo</v>
      </c>
      <c r="AO512" s="29">
        <f ca="1">IFERROR(__xludf.DUMMYFUNCTION("""COMPUTED_VALUE"""),44375)</f>
        <v>44375</v>
      </c>
      <c r="AP512" s="27">
        <f ca="1">IFERROR(__xludf.DUMMYFUNCTION("""COMPUTED_VALUE"""),15)</f>
        <v>15</v>
      </c>
      <c r="AQ512" s="27" t="str">
        <f ca="1">IFERROR(__xludf.DUMMYFUNCTION("""COMPUTED_VALUE"""),"Segundo Semestre 2020")</f>
        <v>Segundo Semestre 2020</v>
      </c>
      <c r="AR512" s="27" t="str">
        <f ca="1">IFERROR(__xludf.DUMMYFUNCTION("""COMPUTED_VALUE"""),"nadjanecristina@hotmail.com")</f>
        <v>nadjanecristina@hotmail.com</v>
      </c>
      <c r="AS512" s="27" t="str">
        <f ca="1">IFERROR(__xludf.DUMMYFUNCTION("""COMPUTED_VALUE"""),"(81)99930-2643")</f>
        <v>(81)99930-2643</v>
      </c>
      <c r="AT512" s="29">
        <f ca="1">IFERROR(__xludf.DUMMYFUNCTION("""COMPUTED_VALUE"""),24651)</f>
        <v>24651</v>
      </c>
      <c r="AU512" s="27">
        <f ca="1">IFERROR(__xludf.DUMMYFUNCTION("""COMPUTED_VALUE"""),55)</f>
        <v>55</v>
      </c>
      <c r="AV512" s="27">
        <f ca="1">IFERROR(__xludf.DUMMYFUNCTION("""COMPUTED_VALUE"""),1122065493)</f>
        <v>1122065493</v>
      </c>
      <c r="AW512" s="27">
        <f ca="1">IFERROR(__xludf.DUMMYFUNCTION("""COMPUTED_VALUE"""),3741158)</f>
        <v>3741158</v>
      </c>
      <c r="AX512" s="27" t="str">
        <f ca="1">IFERROR(__xludf.DUMMYFUNCTION("""COMPUTED_VALUE"""),"Serviço Social")</f>
        <v>Serviço Social</v>
      </c>
      <c r="AY512" s="27"/>
      <c r="AZ512" s="27" t="str">
        <f ca="1">IFERROR(__xludf.DUMMYFUNCTION("""COMPUTED_VALUE"""),"GG")</f>
        <v>GG</v>
      </c>
      <c r="BA512" s="27"/>
      <c r="BB512" s="27"/>
      <c r="BC512" s="27" t="str">
        <f ca="1">IFERROR(__xludf.DUMMYFUNCTION("""COMPUTED_VALUE"""),"Sim")</f>
        <v>Sim</v>
      </c>
      <c r="BD512" s="27" t="str">
        <f ca="1">IFERROR(__xludf.DUMMYFUNCTION("""COMPUTED_VALUE"""),"Sou mãe, avó, mulher e líder social de uma das ONGs em maior expansão em Recife. Estou Gestora do Projeto Amor e Esperança que já atua há 18 anos na comunidade de Nova Descoberta. Levamos o conhecimento através de projetos educacionais para Crianças, Jove"&amp;"ns e adultos e assim desenvolvemos o cidadão para que ele tenha seu lugar no mundo.")</f>
        <v>Sou mãe, avó, mulher e líder social de uma das ONGs em maior expansão em Recife. Estou Gestora do Projeto Amor e Esperança que já atua há 18 anos na comunidade de Nova Descoberta. Levamos o conhecimento através de projetos educacionais para Crianças, Jovens e adultos e assim desenvolvemos o cidadão para que ele tenha seu lugar no mundo.</v>
      </c>
      <c r="BE512" s="27"/>
      <c r="BF512" s="27"/>
      <c r="BG512" s="27" t="str">
        <f ca="1">IFERROR(__xludf.DUMMYFUNCTION("""COMPUTED_VALUE"""),"Ensino Médio - Completo")</f>
        <v>Ensino Médio - Completo</v>
      </c>
      <c r="BH512" s="27"/>
      <c r="BI512" s="27"/>
      <c r="BJ512" s="27"/>
      <c r="BK512" s="27" t="str">
        <f ca="1">IFERROR(__xludf.DUMMYFUNCTION("""COMPUTED_VALUE"""),"Arapoema")</f>
        <v>Arapoema</v>
      </c>
      <c r="BL512" s="27">
        <f ca="1">IFERROR(__xludf.DUMMYFUNCTION("""COMPUTED_VALUE"""),4636)</f>
        <v>4636</v>
      </c>
      <c r="BM512" s="27" t="str">
        <f ca="1">IFERROR(__xludf.DUMMYFUNCTION("""COMPUTED_VALUE"""),"Casa B")</f>
        <v>Casa B</v>
      </c>
      <c r="BN512" s="27" t="str">
        <f ca="1">IFERROR(__xludf.DUMMYFUNCTION("""COMPUTED_VALUE"""),"Recife")</f>
        <v>Recife</v>
      </c>
      <c r="BO512" s="27" t="str">
        <f ca="1">IFERROR(__xludf.DUMMYFUNCTION("""COMPUTED_VALUE"""),"52191-190")</f>
        <v>52191-190</v>
      </c>
      <c r="BP512" s="27" t="str">
        <f ca="1">IFERROR(__xludf.DUMMYFUNCTION("""COMPUTED_VALUE"""),"PE")</f>
        <v>PE</v>
      </c>
      <c r="BQ512" s="27" t="str">
        <f ca="1">IFERROR(__xludf.DUMMYFUNCTION("""COMPUTED_VALUE"""),"Entre 1 até 3 salários mínimos")</f>
        <v>Entre 1 até 3 salários mínimos</v>
      </c>
      <c r="BR512" s="27" t="str">
        <f ca="1">IFERROR(__xludf.DUMMYFUNCTION("""COMPUTED_VALUE"""),"Desempregado")</f>
        <v>Desempregado</v>
      </c>
      <c r="BS512" s="27" t="str">
        <f ca="1">IFERROR(__xludf.DUMMYFUNCTION("""COMPUTED_VALUE"""),"Casa cedida")</f>
        <v>Casa cedida</v>
      </c>
      <c r="BT512" s="27">
        <f ca="1">IFERROR(__xludf.DUMMYFUNCTION("""COMPUTED_VALUE"""),2)</f>
        <v>2</v>
      </c>
      <c r="BU512" s="27"/>
      <c r="BV512" s="27"/>
      <c r="BW512" s="27" t="str">
        <f ca="1">IFERROR(__xludf.DUMMYFUNCTION("""COMPUTED_VALUE"""),"Não tenho")</f>
        <v>Não tenho</v>
      </c>
      <c r="BX512" s="21" t="str">
        <f ca="1">IFERROR(__xludf.DUMMYFUNCTION("""COMPUTED_VALUE"""),"https://www.instagram.com/p/CIeDBOhBvFF/?utm_medium=copy_link")</f>
        <v>https://www.instagram.com/p/CIeDBOhBvFF/?utm_medium=copy_link</v>
      </c>
      <c r="BY512" s="21" t="str">
        <f ca="1">IFERROR(__xludf.DUMMYFUNCTION("""COMPUTED_VALUE"""),"https://drive.google.com/open?id=1IXSpphApgiOhfjqdwglDlDsHeEw5_wQ0")</f>
        <v>https://drive.google.com/open?id=1IXSpphApgiOhfjqdwglDlDsHeEw5_wQ0</v>
      </c>
    </row>
    <row r="513" spans="1:77" ht="12.5" hidden="1" x14ac:dyDescent="0.25">
      <c r="A513" s="21" t="str">
        <f ca="1">IFERROR(__xludf.DUMMYFUNCTION("""COMPUTED_VALUE"""),"0014X00002VKCqnQAH")</f>
        <v>0014X00002VKCqnQAH</v>
      </c>
      <c r="B513" s="27" t="str">
        <f ca="1">IFERROR(__xludf.DUMMYFUNCTION("""COMPUTED_VALUE"""),"Fase Inicial")</f>
        <v>Fase Inicial</v>
      </c>
      <c r="C513" s="27" t="str">
        <f ca="1">IFERROR(__xludf.DUMMYFUNCTION("""COMPUTED_VALUE"""),"Fellow")</f>
        <v>Fellow</v>
      </c>
      <c r="D513" s="27" t="str">
        <f ca="1">IFERROR(__xludf.DUMMYFUNCTION("""COMPUTED_VALUE"""),"Ativo")</f>
        <v>Ativo</v>
      </c>
      <c r="E513" s="27" t="str">
        <f ca="1">IFERROR(__xludf.DUMMYFUNCTION("""COMPUTED_VALUE"""),"Projeto Assistencial Sementes de Esperança")</f>
        <v>Projeto Assistencial Sementes de Esperança</v>
      </c>
      <c r="F513" s="27" t="str">
        <f ca="1">IFERROR(__xludf.DUMMYFUNCTION("""COMPUTED_VALUE"""),"Ivone")</f>
        <v>Ivone</v>
      </c>
      <c r="G513" s="27" t="str">
        <f ca="1">IFERROR(__xludf.DUMMYFUNCTION("""COMPUTED_VALUE"""),"PASES")</f>
        <v>PASES</v>
      </c>
      <c r="H513" s="27" t="str">
        <f ca="1">IFERROR(__xludf.DUMMYFUNCTION("""COMPUTED_VALUE"""),"12.094.241/0001-26")</f>
        <v>12.094.241/0001-26</v>
      </c>
      <c r="I513" s="27" t="str">
        <f ca="1">IFERROR(__xludf.DUMMYFUNCTION("""COMPUTED_VALUE"""),"Ivone Fernandes Gazola Aguiar")</f>
        <v>Ivone Fernandes Gazola Aguiar</v>
      </c>
      <c r="J513" s="27" t="str">
        <f ca="1">IFERROR(__xludf.DUMMYFUNCTION("""COMPUTED_VALUE"""),"ongpases@gmail.com")</f>
        <v>ongpases@gmail.com</v>
      </c>
      <c r="K513" s="27" t="str">
        <f ca="1">IFERROR(__xludf.DUMMYFUNCTION("""COMPUTED_VALUE"""),"(61)99916-1634")</f>
        <v>(61)99916-1634</v>
      </c>
      <c r="L513" s="27" t="str">
        <f ca="1">IFERROR(__xludf.DUMMYFUNCTION("""COMPUTED_VALUE"""),"DF")</f>
        <v>DF</v>
      </c>
      <c r="M513" s="27" t="str">
        <f ca="1">IFERROR(__xludf.DUMMYFUNCTION("""COMPUTED_VALUE"""),"DF 180 Cond. Quintas do Amarante Quadra:F Lote:06")</f>
        <v>DF 180 Cond. Quintas do Amarante Quadra:F Lote:06</v>
      </c>
      <c r="N513" s="27" t="str">
        <f ca="1">IFERROR(__xludf.DUMMYFUNCTION("""COMPUTED_VALUE"""),"INCRA 9")</f>
        <v>INCRA 9</v>
      </c>
      <c r="O513" s="27">
        <f ca="1">IFERROR(__xludf.DUMMYFUNCTION("""COMPUTED_VALUE"""),6)</f>
        <v>6</v>
      </c>
      <c r="P513" s="27" t="str">
        <f ca="1">IFERROR(__xludf.DUMMYFUNCTION("""COMPUTED_VALUE"""),"Ceilândia Norte")</f>
        <v>Ceilândia Norte</v>
      </c>
      <c r="Q513" s="27" t="str">
        <f ca="1">IFERROR(__xludf.DUMMYFUNCTION("""COMPUTED_VALUE"""),"área rural")</f>
        <v>área rural</v>
      </c>
      <c r="R513" s="27" t="str">
        <f ca="1">IFERROR(__xludf.DUMMYFUNCTION("""COMPUTED_VALUE"""),"72227-992")</f>
        <v>72227-992</v>
      </c>
      <c r="S513" s="27" t="str">
        <f ca="1">IFERROR(__xludf.DUMMYFUNCTION("""COMPUTED_VALUE"""),"Salão Comunitário do Bairro")</f>
        <v>Salão Comunitário do Bairro</v>
      </c>
      <c r="T513" s="27"/>
      <c r="U513"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513" s="27" t="str">
        <f ca="1">IFERROR(__xludf.DUMMYFUNCTION("""COMPUTED_VALUE"""),"Moradores de Favelas, Quilombola, Comunidade rural")</f>
        <v>Moradores de Favelas, Quilombola, Comunidade rural</v>
      </c>
      <c r="W513" s="27">
        <f ca="1">IFERROR(__xludf.DUMMYFUNCTION("""COMPUTED_VALUE"""),3)</f>
        <v>3</v>
      </c>
      <c r="X513" s="27" t="str">
        <f ca="1">IFERROR(__xludf.DUMMYFUNCTION("""COMPUTED_VALUE"""),"Áreas em extrema situação de vulnerabilidade e sem apoio governamental nas necessidades básicas. Áreas Rurais no DF e o Sol Nascente Trecho 2. Quilombo Kalunga* e Rio de Janeiro.")</f>
        <v>Áreas em extrema situação de vulnerabilidade e sem apoio governamental nas necessidades básicas. Áreas Rurais no DF e o Sol Nascente Trecho 2. Quilombo Kalunga* e Rio de Janeiro.</v>
      </c>
      <c r="Y513" s="27"/>
      <c r="Z513" s="27">
        <f ca="1">IFERROR(__xludf.DUMMYFUNCTION("""COMPUTED_VALUE"""),900)</f>
        <v>900</v>
      </c>
      <c r="AA513" s="29">
        <f ca="1">IFERROR(__xludf.DUMMYFUNCTION("""COMPUTED_VALUE"""),40257)</f>
        <v>40257</v>
      </c>
      <c r="AB513" s="27" t="str">
        <f ca="1">IFERROR(__xludf.DUMMYFUNCTION("""COMPUTED_VALUE"""),"Sim")</f>
        <v>Sim</v>
      </c>
      <c r="AC513" s="27">
        <f ca="1">IFERROR(__xludf.DUMMYFUNCTION("""COMPUTED_VALUE"""),0)</f>
        <v>0</v>
      </c>
      <c r="AD513" s="27">
        <f ca="1">IFERROR(__xludf.DUMMYFUNCTION("""COMPUTED_VALUE"""),20)</f>
        <v>20</v>
      </c>
      <c r="AE513" s="27">
        <f ca="1">IFERROR(__xludf.DUMMYFUNCTION("""COMPUTED_VALUE"""),28)</f>
        <v>28</v>
      </c>
      <c r="AF513" s="27">
        <f ca="1">IFERROR(__xludf.DUMMYFUNCTION("""COMPUTED_VALUE"""),14)</f>
        <v>14</v>
      </c>
      <c r="AG513" s="27">
        <f ca="1">IFERROR(__xludf.DUMMYFUNCTION("""COMPUTED_VALUE"""),2)</f>
        <v>2</v>
      </c>
      <c r="AH513" s="27" t="str">
        <f ca="1">IFERROR(__xludf.DUMMYFUNCTION("""COMPUTED_VALUE"""),"Outro(s), Doações")</f>
        <v>Outro(s), Doações</v>
      </c>
      <c r="AI513" s="27" t="str">
        <f ca="1">IFERROR(__xludf.DUMMYFUNCTION("""COMPUTED_VALUE"""),"90% doações e 10% bazar")</f>
        <v>90% doações e 10% bazar</v>
      </c>
      <c r="AJ513" s="27" t="str">
        <f ca="1">IFERROR(__xludf.DUMMYFUNCTION("""COMPUTED_VALUE"""),"Não")</f>
        <v>Não</v>
      </c>
      <c r="AK513" s="27"/>
      <c r="AL513" s="21" t="str">
        <f ca="1">IFERROR(__xludf.DUMMYFUNCTION("""COMPUTED_VALUE"""),"0034X0000380O0Y")</f>
        <v>0034X0000380O0Y</v>
      </c>
      <c r="AM513" s="27" t="str">
        <f ca="1">IFERROR(__xludf.DUMMYFUNCTION("""COMPUTED_VALUE"""),"Fernandes gazola aguiar")</f>
        <v>Fernandes gazola aguiar</v>
      </c>
      <c r="AN513" s="27" t="str">
        <f ca="1">IFERROR(__xludf.DUMMYFUNCTION("""COMPUTED_VALUE"""),"Ativo")</f>
        <v>Ativo</v>
      </c>
      <c r="AO513" s="29">
        <f ca="1">IFERROR(__xludf.DUMMYFUNCTION("""COMPUTED_VALUE"""),44763)</f>
        <v>44763</v>
      </c>
      <c r="AP513" s="27">
        <f ca="1">IFERROR(__xludf.DUMMYFUNCTION("""COMPUTED_VALUE"""),2)</f>
        <v>2</v>
      </c>
      <c r="AQ513" s="27" t="str">
        <f ca="1">IFERROR(__xludf.DUMMYFUNCTION("""COMPUTED_VALUE"""),"Primeiro Semestre 2022")</f>
        <v>Primeiro Semestre 2022</v>
      </c>
      <c r="AR513" s="27" t="str">
        <f ca="1">IFERROR(__xludf.DUMMYFUNCTION("""COMPUTED_VALUE"""),"ivonegazola.brasil@gmail.com")</f>
        <v>ivonegazola.brasil@gmail.com</v>
      </c>
      <c r="AS513" s="27">
        <f ca="1">IFERROR(__xludf.DUMMYFUNCTION("""COMPUTED_VALUE"""),61996681047)</f>
        <v>61996681047</v>
      </c>
      <c r="AT513" s="29">
        <f ca="1">IFERROR(__xludf.DUMMYFUNCTION("""COMPUTED_VALUE"""),27929)</f>
        <v>27929</v>
      </c>
      <c r="AU513" s="27">
        <f ca="1">IFERROR(__xludf.DUMMYFUNCTION("""COMPUTED_VALUE"""),46)</f>
        <v>46</v>
      </c>
      <c r="AV513" s="27">
        <f ca="1">IFERROR(__xludf.DUMMYFUNCTION("""COMPUTED_VALUE"""),85865460110)</f>
        <v>85865460110</v>
      </c>
      <c r="AW513" s="27" t="str">
        <f ca="1">IFERROR(__xludf.DUMMYFUNCTION("""COMPUTED_VALUE"""),"1428361 SSP/DF")</f>
        <v>1428361 SSP/DF</v>
      </c>
      <c r="AX513" s="27"/>
      <c r="AY513" s="27"/>
      <c r="AZ513" s="27" t="str">
        <f ca="1">IFERROR(__xludf.DUMMYFUNCTION("""COMPUTED_VALUE"""),"M")</f>
        <v>M</v>
      </c>
      <c r="BA513" s="27" t="str">
        <f ca="1">IFERROR(__xludf.DUMMYFUNCTION("""COMPUTED_VALUE"""),"Branca")</f>
        <v>Branca</v>
      </c>
      <c r="BB513" s="27"/>
      <c r="BC513" s="27"/>
      <c r="BD513" s="27"/>
      <c r="BE513" s="27" t="str">
        <f ca="1">IFERROR(__xludf.DUMMYFUNCTION("""COMPUTED_VALUE"""),"Feminino")</f>
        <v>Feminino</v>
      </c>
      <c r="BF513" s="27" t="str">
        <f ca="1">IFERROR(__xludf.DUMMYFUNCTION("""COMPUTED_VALUE"""),"Heterossexual")</f>
        <v>Heterossexual</v>
      </c>
      <c r="BG513" s="27"/>
      <c r="BH513" s="27" t="str">
        <f ca="1">IFERROR(__xludf.DUMMYFUNCTION("""COMPUTED_VALUE"""),"Público")</f>
        <v>Público</v>
      </c>
      <c r="BI513" s="27" t="str">
        <f ca="1">IFERROR(__xludf.DUMMYFUNCTION("""COMPUTED_VALUE"""),"Pós-Graduação")</f>
        <v>Pós-Graduação</v>
      </c>
      <c r="BJ513" s="27" t="str">
        <f ca="1">IFERROR(__xludf.DUMMYFUNCTION("""COMPUTED_VALUE"""),"Privado")</f>
        <v>Privado</v>
      </c>
      <c r="BK513" s="27" t="str">
        <f ca="1">IFERROR(__xludf.DUMMYFUNCTION("""COMPUTED_VALUE"""),"Rod.DF180 Km04 Cond. Quintas do Amarante Qd:F")</f>
        <v>Rod.DF180 Km04 Cond. Quintas do Amarante Qd:F</v>
      </c>
      <c r="BL513" s="27" t="str">
        <f ca="1">IFERROR(__xludf.DUMMYFUNCTION("""COMPUTED_VALUE"""),"Lote: 06")</f>
        <v>Lote: 06</v>
      </c>
      <c r="BM513" s="27"/>
      <c r="BN513" s="27"/>
      <c r="BO513" s="27">
        <f ca="1">IFERROR(__xludf.DUMMYFUNCTION("""COMPUTED_VALUE"""),72227992)</f>
        <v>72227992</v>
      </c>
      <c r="BP513" s="27" t="str">
        <f ca="1">IFERROR(__xludf.DUMMYFUNCTION("""COMPUTED_VALUE"""),"DF")</f>
        <v>DF</v>
      </c>
      <c r="BQ513" s="27" t="str">
        <f ca="1">IFERROR(__xludf.DUMMYFUNCTION("""COMPUTED_VALUE"""),"Entre 1 até 3 salários mínimos")</f>
        <v>Entre 1 até 3 salários mínimos</v>
      </c>
      <c r="BR513" s="27" t="str">
        <f ca="1">IFERROR(__xludf.DUMMYFUNCTION("""COMPUTED_VALUE"""),"Trabalho informal")</f>
        <v>Trabalho informal</v>
      </c>
      <c r="BS513" s="27" t="str">
        <f ca="1">IFERROR(__xludf.DUMMYFUNCTION("""COMPUTED_VALUE"""),"Casa própria")</f>
        <v>Casa própria</v>
      </c>
      <c r="BT513" s="27">
        <f ca="1">IFERROR(__xludf.DUMMYFUNCTION("""COMPUTED_VALUE"""),5)</f>
        <v>5</v>
      </c>
      <c r="BU513" s="27" t="str">
        <f ca="1">IFERROR(__xludf.DUMMYFUNCTION("""COMPUTED_VALUE"""),"Não tem")</f>
        <v>Não tem</v>
      </c>
      <c r="BV513" s="27" t="str">
        <f ca="1">IFERROR(__xludf.DUMMYFUNCTION("""COMPUTED_VALUE"""),"Sim")</f>
        <v>Sim</v>
      </c>
      <c r="BW513" s="27"/>
      <c r="BX513" s="27"/>
      <c r="BY513" s="21" t="str">
        <f ca="1">IFERROR(__xludf.DUMMYFUNCTION("""COMPUTED_VALUE"""),"https://drive.google.com/open?id=1-F6DLr7us5GRV_SVtImILAcN3s5KDwXe")</f>
        <v>https://drive.google.com/open?id=1-F6DLr7us5GRV_SVtImILAcN3s5KDwXe</v>
      </c>
    </row>
    <row r="514" spans="1:77" ht="12.5" x14ac:dyDescent="0.25">
      <c r="A514" s="21" t="str">
        <f ca="1">IFERROR(__xludf.DUMMYFUNCTION("""COMPUTED_VALUE"""),"0014X00002VKCrlQAH")</f>
        <v>0014X00002VKCrlQAH</v>
      </c>
      <c r="B514" s="27" t="str">
        <f ca="1">IFERROR(__xludf.DUMMYFUNCTION("""COMPUTED_VALUE"""),"Fase Inicial")</f>
        <v>Fase Inicial</v>
      </c>
      <c r="C514" s="27" t="str">
        <f ca="1">IFERROR(__xludf.DUMMYFUNCTION("""COMPUTED_VALUE"""),"Fellow")</f>
        <v>Fellow</v>
      </c>
      <c r="D514" s="27" t="str">
        <f ca="1">IFERROR(__xludf.DUMMYFUNCTION("""COMPUTED_VALUE"""),"Ativo")</f>
        <v>Ativo</v>
      </c>
      <c r="E514" s="27" t="str">
        <f ca="1">IFERROR(__xludf.DUMMYFUNCTION("""COMPUTED_VALUE"""),"PROJETO AURORA")</f>
        <v>PROJETO AURORA</v>
      </c>
      <c r="F514" s="27" t="str">
        <f ca="1">IFERROR(__xludf.DUMMYFUNCTION("""COMPUTED_VALUE"""),"JOAO")</f>
        <v>JOAO</v>
      </c>
      <c r="G514" s="27" t="str">
        <f ca="1">IFERROR(__xludf.DUMMYFUNCTION("""COMPUTED_VALUE"""),"PROJETO AURORA")</f>
        <v>PROJETO AURORA</v>
      </c>
      <c r="H514" s="27" t="str">
        <f ca="1">IFERROR(__xludf.DUMMYFUNCTION("""COMPUTED_VALUE"""),"40.587.839/0001-92")</f>
        <v>40.587.839/0001-92</v>
      </c>
      <c r="I514" s="27" t="str">
        <f ca="1">IFERROR(__xludf.DUMMYFUNCTION("""COMPUTED_VALUE"""),"JOAO PAULO FARIAS COSTA")</f>
        <v>JOAO PAULO FARIAS COSTA</v>
      </c>
      <c r="J514" s="27" t="str">
        <f ca="1">IFERROR(__xludf.DUMMYFUNCTION("""COMPUTED_VALUE"""),"projetoaurorarecife@gmail.com")</f>
        <v>projetoaurorarecife@gmail.com</v>
      </c>
      <c r="K514" s="27" t="str">
        <f ca="1">IFERROR(__xludf.DUMMYFUNCTION("""COMPUTED_VALUE"""),"(81)99771-0592")</f>
        <v>(81)99771-0592</v>
      </c>
      <c r="L514" s="27" t="str">
        <f ca="1">IFERROR(__xludf.DUMMYFUNCTION("""COMPUTED_VALUE"""),"PE")</f>
        <v>PE</v>
      </c>
      <c r="M514" s="27" t="str">
        <f ca="1">IFERROR(__xludf.DUMMYFUNCTION("""COMPUTED_VALUE"""),"R. Alfredo Coutinho")</f>
        <v>R. Alfredo Coutinho</v>
      </c>
      <c r="N514" s="27" t="str">
        <f ca="1">IFERROR(__xludf.DUMMYFUNCTION("""COMPUTED_VALUE"""),"Poço da Panela")</f>
        <v>Poço da Panela</v>
      </c>
      <c r="O514" s="27">
        <f ca="1">IFERROR(__xludf.DUMMYFUNCTION("""COMPUTED_VALUE"""),95)</f>
        <v>95</v>
      </c>
      <c r="P514" s="27" t="str">
        <f ca="1">IFERROR(__xludf.DUMMYFUNCTION("""COMPUTED_VALUE"""),"recife")</f>
        <v>recife</v>
      </c>
      <c r="Q514" s="27"/>
      <c r="R514" s="27" t="str">
        <f ca="1">IFERROR(__xludf.DUMMYFUNCTION("""COMPUTED_VALUE"""),"52061-130")</f>
        <v>52061-130</v>
      </c>
      <c r="S514" s="27" t="str">
        <f ca="1">IFERROR(__xludf.DUMMYFUNCTION("""COMPUTED_VALUE"""),"Trabalho, igreja")</f>
        <v>Trabalho, igreja</v>
      </c>
      <c r="T514" s="27"/>
      <c r="U514"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514" s="27" t="str">
        <f ca="1">IFERROR(__xludf.DUMMYFUNCTION("""COMPUTED_VALUE"""),"Moradores de Favelas, Pessoas em situação de rua, Outros")</f>
        <v>Moradores de Favelas, Pessoas em situação de rua, Outros</v>
      </c>
      <c r="W514" s="27">
        <f ca="1">IFERROR(__xludf.DUMMYFUNCTION("""COMPUTED_VALUE"""),1)</f>
        <v>1</v>
      </c>
      <c r="X514" s="27"/>
      <c r="Y514" s="27"/>
      <c r="Z514" s="27">
        <f ca="1">IFERROR(__xludf.DUMMYFUNCTION("""COMPUTED_VALUE"""),110)</f>
        <v>110</v>
      </c>
      <c r="AA514" s="29">
        <f ca="1">IFERROR(__xludf.DUMMYFUNCTION("""COMPUTED_VALUE"""),42381)</f>
        <v>42381</v>
      </c>
      <c r="AB514" s="27" t="str">
        <f ca="1">IFERROR(__xludf.DUMMYFUNCTION("""COMPUTED_VALUE"""),"Sim")</f>
        <v>Sim</v>
      </c>
      <c r="AC514" s="27">
        <f ca="1">IFERROR(__xludf.DUMMYFUNCTION("""COMPUTED_VALUE"""),0)</f>
        <v>0</v>
      </c>
      <c r="AD514" s="27">
        <f ca="1">IFERROR(__xludf.DUMMYFUNCTION("""COMPUTED_VALUE"""),7)</f>
        <v>7</v>
      </c>
      <c r="AE514" s="27">
        <f ca="1">IFERROR(__xludf.DUMMYFUNCTION("""COMPUTED_VALUE"""),8)</f>
        <v>8</v>
      </c>
      <c r="AF514" s="27">
        <f ca="1">IFERROR(__xludf.DUMMYFUNCTION("""COMPUTED_VALUE"""),8)</f>
        <v>8</v>
      </c>
      <c r="AG514" s="27">
        <f ca="1">IFERROR(__xludf.DUMMYFUNCTION("""COMPUTED_VALUE"""),2)</f>
        <v>2</v>
      </c>
      <c r="AH514" s="27" t="str">
        <f ca="1">IFERROR(__xludf.DUMMYFUNCTION("""COMPUTED_VALUE"""),"Doações")</f>
        <v>Doações</v>
      </c>
      <c r="AI514" s="27" t="str">
        <f ca="1">IFERROR(__xludf.DUMMYFUNCTION("""COMPUTED_VALUE"""),"90% Parceria iniciativa privada / 10% Doações")</f>
        <v>90% Parceria iniciativa privada / 10% Doações</v>
      </c>
      <c r="AJ514" s="27" t="str">
        <f ca="1">IFERROR(__xludf.DUMMYFUNCTION("""COMPUTED_VALUE"""),"Sim")</f>
        <v>Sim</v>
      </c>
      <c r="AK514" s="27"/>
      <c r="AL514" s="21" t="str">
        <f ca="1">IFERROR(__xludf.DUMMYFUNCTION("""COMPUTED_VALUE"""),"0034X0000380O3X")</f>
        <v>0034X0000380O3X</v>
      </c>
      <c r="AM514" s="27" t="str">
        <f ca="1">IFERROR(__xludf.DUMMYFUNCTION("""COMPUTED_VALUE"""),"Paulo farias costa")</f>
        <v>Paulo farias costa</v>
      </c>
      <c r="AN514" s="27" t="str">
        <f ca="1">IFERROR(__xludf.DUMMYFUNCTION("""COMPUTED_VALUE"""),"Ativo")</f>
        <v>Ativo</v>
      </c>
      <c r="AO514" s="29">
        <f ca="1">IFERROR(__xludf.DUMMYFUNCTION("""COMPUTED_VALUE"""),44763)</f>
        <v>44763</v>
      </c>
      <c r="AP514" s="27">
        <f ca="1">IFERROR(__xludf.DUMMYFUNCTION("""COMPUTED_VALUE"""),2)</f>
        <v>2</v>
      </c>
      <c r="AQ514" s="27" t="str">
        <f ca="1">IFERROR(__xludf.DUMMYFUNCTION("""COMPUTED_VALUE"""),"Primeiro Semestre 2022")</f>
        <v>Primeiro Semestre 2022</v>
      </c>
      <c r="AR514" s="27" t="str">
        <f ca="1">IFERROR(__xludf.DUMMYFUNCTION("""COMPUTED_VALUE"""),"projetoaurorarecife@gmail.com")</f>
        <v>projetoaurorarecife@gmail.com</v>
      </c>
      <c r="AS514" s="27" t="str">
        <f ca="1">IFERROR(__xludf.DUMMYFUNCTION("""COMPUTED_VALUE"""),"(81)99771-0592")</f>
        <v>(81)99771-0592</v>
      </c>
      <c r="AT514" s="29">
        <f ca="1">IFERROR(__xludf.DUMMYFUNCTION("""COMPUTED_VALUE"""),28734)</f>
        <v>28734</v>
      </c>
      <c r="AU514" s="27">
        <f ca="1">IFERROR(__xludf.DUMMYFUNCTION("""COMPUTED_VALUE"""),44)</f>
        <v>44</v>
      </c>
      <c r="AV514" s="27">
        <f ca="1">IFERROR(__xludf.DUMMYFUNCTION("""COMPUTED_VALUE"""),925351431)</f>
        <v>925351431</v>
      </c>
      <c r="AW514" s="27">
        <f ca="1">IFERROR(__xludf.DUMMYFUNCTION("""COMPUTED_VALUE"""),5382546)</f>
        <v>5382546</v>
      </c>
      <c r="AX514" s="27"/>
      <c r="AY514" s="27" t="str">
        <f ca="1">IFERROR(__xludf.DUMMYFUNCTION("""COMPUTED_VALUE"""),"PRESIDENTE/FUNDADOR")</f>
        <v>PRESIDENTE/FUNDADOR</v>
      </c>
      <c r="AZ514" s="27" t="str">
        <f ca="1">IFERROR(__xludf.DUMMYFUNCTION("""COMPUTED_VALUE"""),"GG")</f>
        <v>GG</v>
      </c>
      <c r="BA514" s="27" t="str">
        <f ca="1">IFERROR(__xludf.DUMMYFUNCTION("""COMPUTED_VALUE"""),"Branca")</f>
        <v>Branca</v>
      </c>
      <c r="BB514" s="27"/>
      <c r="BC514" s="27"/>
      <c r="BD514" s="27" t="str">
        <f ca="1">IFERROR(__xludf.DUMMYFUNCTION("""COMPUTED_VALUE"""),"Casado com Jocélia e pai de Clarinha, recifense, formado em teologia pelo Seminário Presbiteriano do Norte e em Publicidade e Marketing. Trabalha na TV Guararapes como editor de efeitos gráficos. Concluiu o segundo grau no Col. Presb. Agnes, onde se apaix"&amp;"onou pelo basketball. Admirador da criação de Deus e servo de Cristo. Maior sonho, fundar uma igreja, levar os meninos do Aurora para um intercâmbio nos Estados Unidos e colocar o Aurora na NBB.")</f>
        <v>Casado com Jocélia e pai de Clarinha, recifense, formado em teologia pelo Seminário Presbiteriano do Norte e em Publicidade e Marketing. Trabalha na TV Guararapes como editor de efeitos gráficos. Concluiu o segundo grau no Col. Presb. Agnes, onde se apaixonou pelo basketball. Admirador da criação de Deus e servo de Cristo. Maior sonho, fundar uma igreja, levar os meninos do Aurora para um intercâmbio nos Estados Unidos e colocar o Aurora na NBB.</v>
      </c>
      <c r="BE514" s="27" t="str">
        <f ca="1">IFERROR(__xludf.DUMMYFUNCTION("""COMPUTED_VALUE"""),"Homem, cisgênero")</f>
        <v>Homem, cisgênero</v>
      </c>
      <c r="BF514" s="27" t="str">
        <f ca="1">IFERROR(__xludf.DUMMYFUNCTION("""COMPUTED_VALUE"""),"Heterossexual")</f>
        <v>Heterossexual</v>
      </c>
      <c r="BG514" s="27" t="str">
        <f ca="1">IFERROR(__xludf.DUMMYFUNCTION("""COMPUTED_VALUE"""),"Ensino Superior - Completo")</f>
        <v>Ensino Superior - Completo</v>
      </c>
      <c r="BH514" s="27" t="str">
        <f ca="1">IFERROR(__xludf.DUMMYFUNCTION("""COMPUTED_VALUE"""),"Privado")</f>
        <v>Privado</v>
      </c>
      <c r="BI514" s="27" t="str">
        <f ca="1">IFERROR(__xludf.DUMMYFUNCTION("""COMPUTED_VALUE"""),"Graduação")</f>
        <v>Graduação</v>
      </c>
      <c r="BJ514" s="27" t="str">
        <f ca="1">IFERROR(__xludf.DUMMYFUNCTION("""COMPUTED_VALUE"""),"Privado")</f>
        <v>Privado</v>
      </c>
      <c r="BK514" s="27" t="str">
        <f ca="1">IFERROR(__xludf.DUMMYFUNCTION("""COMPUTED_VALUE"""),"Rua buenos aires")</f>
        <v>Rua buenos aires</v>
      </c>
      <c r="BL514" s="27">
        <f ca="1">IFERROR(__xludf.DUMMYFUNCTION("""COMPUTED_VALUE"""),98)</f>
        <v>98</v>
      </c>
      <c r="BM514" s="27" t="str">
        <f ca="1">IFERROR(__xludf.DUMMYFUNCTION("""COMPUTED_VALUE"""),"apt 801")</f>
        <v>apt 801</v>
      </c>
      <c r="BN514" s="27" t="str">
        <f ca="1">IFERROR(__xludf.DUMMYFUNCTION("""COMPUTED_VALUE"""),"recife")</f>
        <v>recife</v>
      </c>
      <c r="BO514" s="27" t="str">
        <f ca="1">IFERROR(__xludf.DUMMYFUNCTION("""COMPUTED_VALUE"""),"52020-180")</f>
        <v>52020-180</v>
      </c>
      <c r="BP514" s="27" t="str">
        <f ca="1">IFERROR(__xludf.DUMMYFUNCTION("""COMPUTED_VALUE"""),"PE")</f>
        <v>PE</v>
      </c>
      <c r="BQ514" s="27" t="str">
        <f ca="1">IFERROR(__xludf.DUMMYFUNCTION("""COMPUTED_VALUE"""),"De 3 até 5 salários mínimos")</f>
        <v>De 3 até 5 salários mínimos</v>
      </c>
      <c r="BR514" s="27" t="str">
        <f ca="1">IFERROR(__xludf.DUMMYFUNCTION("""COMPUTED_VALUE"""),"CLT")</f>
        <v>CLT</v>
      </c>
      <c r="BS514" s="27" t="str">
        <f ca="1">IFERROR(__xludf.DUMMYFUNCTION("""COMPUTED_VALUE"""),"Aluguel")</f>
        <v>Aluguel</v>
      </c>
      <c r="BT514" s="27">
        <f ca="1">IFERROR(__xludf.DUMMYFUNCTION("""COMPUTED_VALUE"""),2)</f>
        <v>2</v>
      </c>
      <c r="BU514" s="27" t="str">
        <f ca="1">IFERROR(__xludf.DUMMYFUNCTION("""COMPUTED_VALUE"""),"Não tem")</f>
        <v>Não tem</v>
      </c>
      <c r="BV514" s="27" t="str">
        <f ca="1">IFERROR(__xludf.DUMMYFUNCTION("""COMPUTED_VALUE"""),"Não")</f>
        <v>Não</v>
      </c>
      <c r="BW514" s="21" t="str">
        <f ca="1">IFERROR(__xludf.DUMMYFUNCTION("""COMPUTED_VALUE"""),"https://www.linkedin.com/in/jo%C3%A3o-paulo-farias-costa-b4a03131/")</f>
        <v>https://www.linkedin.com/in/jo%C3%A3o-paulo-farias-costa-b4a03131/</v>
      </c>
      <c r="BX514" s="21" t="str">
        <f ca="1">IFERROR(__xludf.DUMMYFUNCTION("""COMPUTED_VALUE"""),"https://instagram.com/jpbabo?igshid=YmMyMTA2M2Y=")</f>
        <v>https://instagram.com/jpbabo?igshid=YmMyMTA2M2Y=</v>
      </c>
      <c r="BY514" s="21" t="str">
        <f ca="1">IFERROR(__xludf.DUMMYFUNCTION("""COMPUTED_VALUE"""),"https://drive.google.com/open?id=1PIj4L9JH-QV0Ocsv6W6PnkE1WKRUOPW2")</f>
        <v>https://drive.google.com/open?id=1PIj4L9JH-QV0Ocsv6W6PnkE1WKRUOPW2</v>
      </c>
    </row>
    <row r="515" spans="1:77" ht="12.5" x14ac:dyDescent="0.25">
      <c r="A515" s="21" t="str">
        <f ca="1">IFERROR(__xludf.DUMMYFUNCTION("""COMPUTED_VALUE"""),"0014P00003YSp8QQAT")</f>
        <v>0014P00003YSp8QQAT</v>
      </c>
      <c r="B515" s="27" t="str">
        <f ca="1">IFERROR(__xludf.DUMMYFUNCTION("""COMPUTED_VALUE"""),"Fase Inicial")</f>
        <v>Fase Inicial</v>
      </c>
      <c r="C515" s="27" t="str">
        <f ca="1">IFERROR(__xludf.DUMMYFUNCTION("""COMPUTED_VALUE"""),"Fellow")</f>
        <v>Fellow</v>
      </c>
      <c r="D515" s="27" t="str">
        <f ca="1">IFERROR(__xludf.DUMMYFUNCTION("""COMPUTED_VALUE"""),"Ativo")</f>
        <v>Ativo</v>
      </c>
      <c r="E515" s="27" t="str">
        <f ca="1">IFERROR(__xludf.DUMMYFUNCTION("""COMPUTED_VALUE"""),"Projeto Avante")</f>
        <v>Projeto Avante</v>
      </c>
      <c r="F515" s="27" t="str">
        <f ca="1">IFERROR(__xludf.DUMMYFUNCTION("""COMPUTED_VALUE"""),"Geraldo")</f>
        <v>Geraldo</v>
      </c>
      <c r="G515" s="27"/>
      <c r="H515" s="27"/>
      <c r="I515" s="27" t="str">
        <f ca="1">IFERROR(__xludf.DUMMYFUNCTION("""COMPUTED_VALUE"""),"Geraldo Fernandes Monteiro de Souza")</f>
        <v>Geraldo Fernandes Monteiro de Souza</v>
      </c>
      <c r="J515" s="27" t="str">
        <f ca="1">IFERROR(__xludf.DUMMYFUNCTION("""COMPUTED_VALUE"""),"apadrinhamento.avante@gmail.com")</f>
        <v>apadrinhamento.avante@gmail.com</v>
      </c>
      <c r="K515" s="27" t="str">
        <f ca="1">IFERROR(__xludf.DUMMYFUNCTION("""COMPUTED_VALUE"""),"(21)99344-6273")</f>
        <v>(21)99344-6273</v>
      </c>
      <c r="L515" s="27" t="str">
        <f ca="1">IFERROR(__xludf.DUMMYFUNCTION("""COMPUTED_VALUE"""),"RJ")</f>
        <v>RJ</v>
      </c>
      <c r="M515" s="27" t="str">
        <f ca="1">IFERROR(__xludf.DUMMYFUNCTION("""COMPUTED_VALUE"""),"Avenida Rui Barbosa")</f>
        <v>Avenida Rui Barbosa</v>
      </c>
      <c r="N515" s="27" t="str">
        <f ca="1">IFERROR(__xludf.DUMMYFUNCTION("""COMPUTED_VALUE"""),"São Francisco")</f>
        <v>São Francisco</v>
      </c>
      <c r="O515" s="27">
        <f ca="1">IFERROR(__xludf.DUMMYFUNCTION("""COMPUTED_VALUE"""),679)</f>
        <v>679</v>
      </c>
      <c r="P515" s="27" t="str">
        <f ca="1">IFERROR(__xludf.DUMMYFUNCTION("""COMPUTED_VALUE"""),"Niterói")</f>
        <v>Niterói</v>
      </c>
      <c r="Q515" s="27"/>
      <c r="R515" s="27" t="str">
        <f ca="1">IFERROR(__xludf.DUMMYFUNCTION("""COMPUTED_VALUE"""),"24310-005")</f>
        <v>24310-005</v>
      </c>
      <c r="S515" s="27"/>
      <c r="T515" s="27" t="str">
        <f ca="1">IFERROR(__xludf.DUMMYFUNCTION("""COMPUTED_VALUE"""),"Esporte; Educação; Assistência Social; Cultura; Saúde; Meio ambiente; Ciência e Tecnologia; Assistência Psicológica")</f>
        <v>Esporte; Educação; Assistência Social; Cultura; Saúde; Meio ambiente; Ciência e Tecnologia; Assistência Psicológica</v>
      </c>
      <c r="U515" s="27" t="str">
        <f ca="1">IFERROR(__xludf.DUMMYFUNCTION("""COMPUTED_VALUE"""),"Crianças (6 a 12 anos)")</f>
        <v>Crianças (6 a 12 anos)</v>
      </c>
      <c r="V515" s="27" t="str">
        <f ca="1">IFERROR(__xludf.DUMMYFUNCTION("""COMPUTED_VALUE"""),"Moradores de Favelas")</f>
        <v>Moradores de Favelas</v>
      </c>
      <c r="W515" s="27">
        <f ca="1">IFERROR(__xludf.DUMMYFUNCTION("""COMPUTED_VALUE"""),3)</f>
        <v>3</v>
      </c>
      <c r="X515" s="27" t="str">
        <f ca="1">IFERROR(__xludf.DUMMYFUNCTION("""COMPUTED_VALUE"""),"Atendemos em regime de contraturno escolar 50 crianças dessas comunidades (6 a 10 anos). Todas elas estudam em colégio público.")</f>
        <v>Atendemos em regime de contraturno escolar 50 crianças dessas comunidades (6 a 10 anos). Todas elas estudam em colégio público.</v>
      </c>
      <c r="Y515" s="27"/>
      <c r="Z515" s="27">
        <f ca="1">IFERROR(__xludf.DUMMYFUNCTION("""COMPUTED_VALUE"""),200)</f>
        <v>200</v>
      </c>
      <c r="AA515" s="29">
        <f ca="1">IFERROR(__xludf.DUMMYFUNCTION("""COMPUTED_VALUE"""),42743)</f>
        <v>42743</v>
      </c>
      <c r="AB515" s="27" t="str">
        <f ca="1">IFERROR(__xludf.DUMMYFUNCTION("""COMPUTED_VALUE"""),"Não")</f>
        <v>Não</v>
      </c>
      <c r="AC515" s="27">
        <f ca="1">IFERROR(__xludf.DUMMYFUNCTION("""COMPUTED_VALUE"""),7)</f>
        <v>7</v>
      </c>
      <c r="AD515" s="27">
        <f ca="1">IFERROR(__xludf.DUMMYFUNCTION("""COMPUTED_VALUE"""),7)</f>
        <v>7</v>
      </c>
      <c r="AE515" s="27">
        <f ca="1">IFERROR(__xludf.DUMMYFUNCTION("""COMPUTED_VALUE"""),15)</f>
        <v>15</v>
      </c>
      <c r="AF515" s="27">
        <f ca="1">IFERROR(__xludf.DUMMYFUNCTION("""COMPUTED_VALUE"""),10)</f>
        <v>10</v>
      </c>
      <c r="AG515" s="27">
        <f ca="1">IFERROR(__xludf.DUMMYFUNCTION("""COMPUTED_VALUE"""),2)</f>
        <v>2</v>
      </c>
      <c r="AH515" s="27" t="str">
        <f ca="1">IFERROR(__xludf.DUMMYFUNCTION("""COMPUTED_VALUE"""),"Doações; Recursos próprios")</f>
        <v>Doações; Recursos próprios</v>
      </c>
      <c r="AI515" s="27" t="str">
        <f ca="1">IFERROR(__xludf.DUMMYFUNCTION("""COMPUTED_VALUE"""),"Doações e Apadrinhamento 100%")</f>
        <v>Doações e Apadrinhamento 100%</v>
      </c>
      <c r="AJ515" s="27"/>
      <c r="AK515" s="27"/>
      <c r="AL515" s="21" t="str">
        <f ca="1">IFERROR(__xludf.DUMMYFUNCTION("""COMPUTED_VALUE"""),"0034P000045kxj1")</f>
        <v>0034P000045kxj1</v>
      </c>
      <c r="AM515" s="27" t="str">
        <f ca="1">IFERROR(__xludf.DUMMYFUNCTION("""COMPUTED_VALUE"""),"Fernandes Monteiro De Souza")</f>
        <v>Fernandes Monteiro De Souza</v>
      </c>
      <c r="AN515" s="27" t="str">
        <f ca="1">IFERROR(__xludf.DUMMYFUNCTION("""COMPUTED_VALUE"""),"Ativo")</f>
        <v>Ativo</v>
      </c>
      <c r="AO515" s="30">
        <f ca="1">IFERROR(__xludf.DUMMYFUNCTION("""COMPUTED_VALUE"""),44551)</f>
        <v>44551</v>
      </c>
      <c r="AP515" s="27">
        <f ca="1">IFERROR(__xludf.DUMMYFUNCTION("""COMPUTED_VALUE"""),9)</f>
        <v>9</v>
      </c>
      <c r="AQ515" s="27" t="str">
        <f ca="1">IFERROR(__xludf.DUMMYFUNCTION("""COMPUTED_VALUE"""),"Segundo Semestre 2021")</f>
        <v>Segundo Semestre 2021</v>
      </c>
      <c r="AR515" s="27" t="str">
        <f ca="1">IFERROR(__xludf.DUMMYFUNCTION("""COMPUTED_VALUE"""),"gfmsouza@gmail.com")</f>
        <v>gfmsouza@gmail.com</v>
      </c>
      <c r="AS515" s="27" t="str">
        <f ca="1">IFERROR(__xludf.DUMMYFUNCTION("""COMPUTED_VALUE"""),"(21)99344-6273")</f>
        <v>(21)99344-6273</v>
      </c>
      <c r="AT515" s="29">
        <f ca="1">IFERROR(__xludf.DUMMYFUNCTION("""COMPUTED_VALUE"""),31195)</f>
        <v>31195</v>
      </c>
      <c r="AU515" s="27">
        <f ca="1">IFERROR(__xludf.DUMMYFUNCTION("""COMPUTED_VALUE"""),37)</f>
        <v>37</v>
      </c>
      <c r="AV515" s="27">
        <f ca="1">IFERROR(__xludf.DUMMYFUNCTION("""COMPUTED_VALUE"""),10815381719)</f>
        <v>10815381719</v>
      </c>
      <c r="AW515" s="27">
        <f ca="1">IFERROR(__xludf.DUMMYFUNCTION("""COMPUTED_VALUE"""),127217636)</f>
        <v>127217636</v>
      </c>
      <c r="AX515" s="27"/>
      <c r="AY515" s="27"/>
      <c r="AZ515" s="27" t="str">
        <f ca="1">IFERROR(__xludf.DUMMYFUNCTION("""COMPUTED_VALUE"""),"G")</f>
        <v>G</v>
      </c>
      <c r="BA515" s="27" t="str">
        <f ca="1">IFERROR(__xludf.DUMMYFUNCTION("""COMPUTED_VALUE"""),"Branca")</f>
        <v>Branca</v>
      </c>
      <c r="BB515" s="27" t="str">
        <f ca="1">IFERROR(__xludf.DUMMYFUNCTION("""COMPUTED_VALUE"""),"Homem, cisgênero")</f>
        <v>Homem, cisgênero</v>
      </c>
      <c r="BC515" s="27" t="str">
        <f ca="1">IFERROR(__xludf.DUMMYFUNCTION("""COMPUTED_VALUE"""),"Sim")</f>
        <v>Sim</v>
      </c>
      <c r="BD515" s="27" t="str">
        <f ca="1">IFERROR(__xludf.DUMMYFUNCTION("""COMPUTED_VALUE"""),"Gera, 36 anos, Niterói-RJ. Filho da Marcinha e do Guigui (que saudade), irmão do André e do Renato. Pai do Guigui e muito bem casado com a Bruna. A família é o que tenho de mais precioso na vida. Amo esportes, praia e estar com pessoas. Graduado em admini"&amp;"stração e pedagogia. MBA em Gestão Empresarial e Gestão Escolar. Fiz uma mudança profissional por vocação e convicção do importante papel que tenho na sociedade. Sou um empreendedor social e amo trabalhar e servir no Projeto Avante.")</f>
        <v>Gera, 36 anos, Niterói-RJ. Filho da Marcinha e do Guigui (que saudade), irmão do André e do Renato. Pai do Guigui e muito bem casado com a Bruna. A família é o que tenho de mais precioso na vida. Amo esportes, praia e estar com pessoas. Graduado em administração e pedagogia. MBA em Gestão Empresarial e Gestão Escolar. Fiz uma mudança profissional por vocação e convicção do importante papel que tenho na sociedade. Sou um empreendedor social e amo trabalhar e servir no Projeto Avante.</v>
      </c>
      <c r="BE515" s="27"/>
      <c r="BF515" s="27" t="str">
        <f ca="1">IFERROR(__xludf.DUMMYFUNCTION("""COMPUTED_VALUE"""),"Heterossexual")</f>
        <v>Heterossexual</v>
      </c>
      <c r="BG515" s="27" t="str">
        <f ca="1">IFERROR(__xludf.DUMMYFUNCTION("""COMPUTED_VALUE"""),"Ensino Superior - Completo")</f>
        <v>Ensino Superior - Completo</v>
      </c>
      <c r="BH515" s="27" t="str">
        <f ca="1">IFERROR(__xludf.DUMMYFUNCTION("""COMPUTED_VALUE"""),"Privado")</f>
        <v>Privado</v>
      </c>
      <c r="BI515" s="27" t="str">
        <f ca="1">IFERROR(__xludf.DUMMYFUNCTION("""COMPUTED_VALUE"""),"Pós-Graduação")</f>
        <v>Pós-Graduação</v>
      </c>
      <c r="BJ515" s="27" t="str">
        <f ca="1">IFERROR(__xludf.DUMMYFUNCTION("""COMPUTED_VALUE"""),"Privado")</f>
        <v>Privado</v>
      </c>
      <c r="BK515" s="27" t="str">
        <f ca="1">IFERROR(__xludf.DUMMYFUNCTION("""COMPUTED_VALUE"""),"Rua Guararapes")</f>
        <v>Rua Guararapes</v>
      </c>
      <c r="BL515" s="27">
        <f ca="1">IFERROR(__xludf.DUMMYFUNCTION("""COMPUTED_VALUE"""),50)</f>
        <v>50</v>
      </c>
      <c r="BM515" s="27"/>
      <c r="BN515" s="27" t="str">
        <f ca="1">IFERROR(__xludf.DUMMYFUNCTION("""COMPUTED_VALUE"""),"Niterói")</f>
        <v>Niterói</v>
      </c>
      <c r="BO515" s="27" t="str">
        <f ca="1">IFERROR(__xludf.DUMMYFUNCTION("""COMPUTED_VALUE"""),"24360-150")</f>
        <v>24360-150</v>
      </c>
      <c r="BP515" s="27" t="str">
        <f ca="1">IFERROR(__xludf.DUMMYFUNCTION("""COMPUTED_VALUE"""),"RJ")</f>
        <v>RJ</v>
      </c>
      <c r="BQ515" s="27" t="str">
        <f ca="1">IFERROR(__xludf.DUMMYFUNCTION("""COMPUTED_VALUE"""),"Acima de 5 salários mínimos")</f>
        <v>Acima de 5 salários mínimos</v>
      </c>
      <c r="BR515" s="27" t="str">
        <f ca="1">IFERROR(__xludf.DUMMYFUNCTION("""COMPUTED_VALUE"""),"MEI")</f>
        <v>MEI</v>
      </c>
      <c r="BS515" s="27" t="str">
        <f ca="1">IFERROR(__xludf.DUMMYFUNCTION("""COMPUTED_VALUE"""),"Casa própria")</f>
        <v>Casa própria</v>
      </c>
      <c r="BT515" s="27">
        <f ca="1">IFERROR(__xludf.DUMMYFUNCTION("""COMPUTED_VALUE"""),3)</f>
        <v>3</v>
      </c>
      <c r="BU515" s="27" t="str">
        <f ca="1">IFERROR(__xludf.DUMMYFUNCTION("""COMPUTED_VALUE"""),"Não tem")</f>
        <v>Não tem</v>
      </c>
      <c r="BV515" s="27"/>
      <c r="BW515" s="21" t="str">
        <f ca="1">IFERROR(__xludf.DUMMYFUNCTION("""COMPUTED_VALUE"""),"https://www.linkedin.com/in/geraldo-fernandes-monteiro-de-souza-7b13a4163/")</f>
        <v>https://www.linkedin.com/in/geraldo-fernandes-monteiro-de-souza-7b13a4163/</v>
      </c>
      <c r="BX515" s="21" t="str">
        <f ca="1">IFERROR(__xludf.DUMMYFUNCTION("""COMPUTED_VALUE"""),"https://www.instagram.com/gfmsouza/")</f>
        <v>https://www.instagram.com/gfmsouza/</v>
      </c>
      <c r="BY515" s="21" t="str">
        <f ca="1">IFERROR(__xludf.DUMMYFUNCTION("""COMPUTED_VALUE"""),"https://drive.google.com/open?id=16nB59OzPcYxZ1HjcyXMdk0NL2tSBXE1t")</f>
        <v>https://drive.google.com/open?id=16nB59OzPcYxZ1HjcyXMdk0NL2tSBXE1t</v>
      </c>
    </row>
    <row r="516" spans="1:77" ht="12.5" hidden="1" x14ac:dyDescent="0.25">
      <c r="A516" s="21" t="str">
        <f ca="1">IFERROR(__xludf.DUMMYFUNCTION("""COMPUTED_VALUE"""),"0014X00002VKCtTQAX")</f>
        <v>0014X00002VKCtTQAX</v>
      </c>
      <c r="B516" s="27" t="str">
        <f ca="1">IFERROR(__xludf.DUMMYFUNCTION("""COMPUTED_VALUE"""),"Fase Inicial")</f>
        <v>Fase Inicial</v>
      </c>
      <c r="C516" s="27" t="str">
        <f ca="1">IFERROR(__xludf.DUMMYFUNCTION("""COMPUTED_VALUE"""),"Fellow")</f>
        <v>Fellow</v>
      </c>
      <c r="D516" s="27" t="str">
        <f ca="1">IFERROR(__xludf.DUMMYFUNCTION("""COMPUTED_VALUE"""),"Ativo")</f>
        <v>Ativo</v>
      </c>
      <c r="E516" s="27" t="str">
        <f ca="1">IFERROR(__xludf.DUMMYFUNCTION("""COMPUTED_VALUE"""),"Projeto Bayernzinho")</f>
        <v>Projeto Bayernzinho</v>
      </c>
      <c r="F516" s="27" t="str">
        <f ca="1">IFERROR(__xludf.DUMMYFUNCTION("""COMPUTED_VALUE"""),"José")</f>
        <v>José</v>
      </c>
      <c r="G516" s="27" t="str">
        <f ca="1">IFERROR(__xludf.DUMMYFUNCTION("""COMPUTED_VALUE"""),"PROJETO BAYERNZINHO")</f>
        <v>PROJETO BAYERNZINHO</v>
      </c>
      <c r="H516" s="27" t="str">
        <f ca="1">IFERROR(__xludf.DUMMYFUNCTION("""COMPUTED_VALUE"""),"40.496.439/0001-71")</f>
        <v>40.496.439/0001-71</v>
      </c>
      <c r="I516" s="27" t="str">
        <f ca="1">IFERROR(__xludf.DUMMYFUNCTION("""COMPUTED_VALUE"""),"Julio de Arimateia Leão")</f>
        <v>Julio de Arimateia Leão</v>
      </c>
      <c r="J516" s="27" t="str">
        <f ca="1">IFERROR(__xludf.DUMMYFUNCTION("""COMPUTED_VALUE"""),"diretoria@projetobayernzinho.org")</f>
        <v>diretoria@projetobayernzinho.org</v>
      </c>
      <c r="K516" s="27" t="str">
        <f ca="1">IFERROR(__xludf.DUMMYFUNCTION("""COMPUTED_VALUE"""),"(84)99981-0363")</f>
        <v>(84)99981-0363</v>
      </c>
      <c r="L516" s="27" t="str">
        <f ca="1">IFERROR(__xludf.DUMMYFUNCTION("""COMPUTED_VALUE"""),"RN")</f>
        <v>RN</v>
      </c>
      <c r="M516" s="27" t="str">
        <f ca="1">IFERROR(__xludf.DUMMYFUNCTION("""COMPUTED_VALUE"""),"Rua Gastão Mariz")</f>
        <v>Rua Gastão Mariz</v>
      </c>
      <c r="N516" s="27" t="str">
        <f ca="1">IFERROR(__xludf.DUMMYFUNCTION("""COMPUTED_VALUE"""),"Nova Descoberta")</f>
        <v>Nova Descoberta</v>
      </c>
      <c r="O516" s="27">
        <f ca="1">IFERROR(__xludf.DUMMYFUNCTION("""COMPUTED_VALUE"""),118)</f>
        <v>118</v>
      </c>
      <c r="P516" s="27" t="str">
        <f ca="1">IFERROR(__xludf.DUMMYFUNCTION("""COMPUTED_VALUE"""),"Natal")</f>
        <v>Natal</v>
      </c>
      <c r="Q516" s="27"/>
      <c r="R516" s="27" t="str">
        <f ca="1">IFERROR(__xludf.DUMMYFUNCTION("""COMPUTED_VALUE"""),"59075-280")</f>
        <v>59075-280</v>
      </c>
      <c r="S516" s="27" t="str">
        <f ca="1">IFERROR(__xludf.DUMMYFUNCTION("""COMPUTED_VALUE"""),"Campo de futebol society alugado")</f>
        <v>Campo de futebol society alugado</v>
      </c>
      <c r="T516" s="27"/>
      <c r="U516" s="27" t="str">
        <f ca="1">IFERROR(__xludf.DUMMYFUNCTION("""COMPUTED_VALUE"""),"Crianças (6 a 12 anos), Adolescentes (12 aos 18 anos)")</f>
        <v>Crianças (6 a 12 anos), Adolescentes (12 aos 18 anos)</v>
      </c>
      <c r="V516" s="27" t="str">
        <f ca="1">IFERROR(__xludf.DUMMYFUNCTION("""COMPUTED_VALUE"""),"Moradores de Favelas, Pessoas em situação de rua")</f>
        <v>Moradores de Favelas, Pessoas em situação de rua</v>
      </c>
      <c r="W516" s="27">
        <f ca="1">IFERROR(__xludf.DUMMYFUNCTION("""COMPUTED_VALUE"""),1)</f>
        <v>1</v>
      </c>
      <c r="X516" s="27"/>
      <c r="Y516" s="27"/>
      <c r="Z516" s="27">
        <f ca="1">IFERROR(__xludf.DUMMYFUNCTION("""COMPUTED_VALUE"""),20)</f>
        <v>20</v>
      </c>
      <c r="AA516" s="29">
        <f ca="1">IFERROR(__xludf.DUMMYFUNCTION("""COMPUTED_VALUE"""),44139)</f>
        <v>44139</v>
      </c>
      <c r="AB516" s="27" t="str">
        <f ca="1">IFERROR(__xludf.DUMMYFUNCTION("""COMPUTED_VALUE"""),"Sim")</f>
        <v>Sim</v>
      </c>
      <c r="AC516" s="27">
        <f ca="1">IFERROR(__xludf.DUMMYFUNCTION("""COMPUTED_VALUE"""),0)</f>
        <v>0</v>
      </c>
      <c r="AD516" s="27">
        <f ca="1">IFERROR(__xludf.DUMMYFUNCTION("""COMPUTED_VALUE"""),8)</f>
        <v>8</v>
      </c>
      <c r="AE516" s="27">
        <f ca="1">IFERROR(__xludf.DUMMYFUNCTION("""COMPUTED_VALUE"""),8)</f>
        <v>8</v>
      </c>
      <c r="AF516" s="27">
        <f ca="1">IFERROR(__xludf.DUMMYFUNCTION("""COMPUTED_VALUE"""),8)</f>
        <v>8</v>
      </c>
      <c r="AG516" s="27">
        <f ca="1">IFERROR(__xludf.DUMMYFUNCTION("""COMPUTED_VALUE"""),2)</f>
        <v>2</v>
      </c>
      <c r="AH516" s="27" t="str">
        <f ca="1">IFERROR(__xludf.DUMMYFUNCTION("""COMPUTED_VALUE"""),"Eventos/Ações para captação, Doações")</f>
        <v>Eventos/Ações para captação, Doações</v>
      </c>
      <c r="AI516" s="27" t="str">
        <f ca="1">IFERROR(__xludf.DUMMYFUNCTION("""COMPUTED_VALUE"""),"60% Doações; 40% Eventos/ações de captação")</f>
        <v>60% Doações; 40% Eventos/ações de captação</v>
      </c>
      <c r="AJ516" s="27" t="str">
        <f ca="1">IFERROR(__xludf.DUMMYFUNCTION("""COMPUTED_VALUE"""),"Não")</f>
        <v>Não</v>
      </c>
      <c r="AK516" s="27"/>
      <c r="AL516" s="21" t="str">
        <f ca="1">IFERROR(__xludf.DUMMYFUNCTION("""COMPUTED_VALUE"""),"0034X0000380O2w")</f>
        <v>0034X0000380O2w</v>
      </c>
      <c r="AM516" s="27" t="str">
        <f ca="1">IFERROR(__xludf.DUMMYFUNCTION("""COMPUTED_VALUE"""),"Edson de moura")</f>
        <v>Edson de moura</v>
      </c>
      <c r="AN516" s="27" t="str">
        <f ca="1">IFERROR(__xludf.DUMMYFUNCTION("""COMPUTED_VALUE"""),"Ativo")</f>
        <v>Ativo</v>
      </c>
      <c r="AO516" s="29">
        <f ca="1">IFERROR(__xludf.DUMMYFUNCTION("""COMPUTED_VALUE"""),44763)</f>
        <v>44763</v>
      </c>
      <c r="AP516" s="27">
        <f ca="1">IFERROR(__xludf.DUMMYFUNCTION("""COMPUTED_VALUE"""),2)</f>
        <v>2</v>
      </c>
      <c r="AQ516" s="27" t="str">
        <f ca="1">IFERROR(__xludf.DUMMYFUNCTION("""COMPUTED_VALUE"""),"Primeiro Semestre 2022")</f>
        <v>Primeiro Semestre 2022</v>
      </c>
      <c r="AR516" s="27" t="str">
        <f ca="1">IFERROR(__xludf.DUMMYFUNCTION("""COMPUTED_VALUE"""),"projetobayernzinho@gmail.com")</f>
        <v>projetobayernzinho@gmail.com</v>
      </c>
      <c r="AS516" s="27" t="str">
        <f ca="1">IFERROR(__xludf.DUMMYFUNCTION("""COMPUTED_VALUE"""),"(84)99981-0363")</f>
        <v>(84)99981-0363</v>
      </c>
      <c r="AT516" s="29">
        <f ca="1">IFERROR(__xludf.DUMMYFUNCTION("""COMPUTED_VALUE"""),22748)</f>
        <v>22748</v>
      </c>
      <c r="AU516" s="27">
        <f ca="1">IFERROR(__xludf.DUMMYFUNCTION("""COMPUTED_VALUE"""),60)</f>
        <v>60</v>
      </c>
      <c r="AV516" s="27">
        <f ca="1">IFERROR(__xludf.DUMMYFUNCTION("""COMPUTED_VALUE"""),30120160404)</f>
        <v>30120160404</v>
      </c>
      <c r="AW516" s="27">
        <f ca="1">IFERROR(__xludf.DUMMYFUNCTION("""COMPUTED_VALUE"""),398466)</f>
        <v>398466</v>
      </c>
      <c r="AX516" s="27"/>
      <c r="AY516" s="27" t="str">
        <f ca="1">IFERROR(__xludf.DUMMYFUNCTION("""COMPUTED_VALUE"""),"Gestor de Projetos")</f>
        <v>Gestor de Projetos</v>
      </c>
      <c r="AZ516" s="27" t="str">
        <f ca="1">IFERROR(__xludf.DUMMYFUNCTION("""COMPUTED_VALUE"""),"M")</f>
        <v>M</v>
      </c>
      <c r="BA516" s="27" t="str">
        <f ca="1">IFERROR(__xludf.DUMMYFUNCTION("""COMPUTED_VALUE"""),"Parda")</f>
        <v>Parda</v>
      </c>
      <c r="BB516" s="27"/>
      <c r="BC516" s="27"/>
      <c r="BD516" s="27" t="str">
        <f ca="1">IFERROR(__xludf.DUMMYFUNCTION("""COMPUTED_VALUE"""),"Me chamo Edson Moura, possuo formação acadêmica em Meio Ambiente e complementar em Gestão Empresarial. Atuei na Petrobras como Gestor de Planejamento e Controle de Custos e Produção por mais de 30 anos. Me desliguei da empresa em 2017 e desde então atuo c"&amp;"om Consultor de Negócios.
Com essa mudança profissional, ganhei tempo para atuar como investidor social. Foi assim que cheguei ao Projeto Bayernzinho, no qual estou formalmente no cargo de secretário, mas atuo como Gestor de Projetos.")</f>
        <v>Me chamo Edson Moura, possuo formação acadêmica em Meio Ambiente e complementar em Gestão Empresarial. Atuei na Petrobras como Gestor de Planejamento e Controle de Custos e Produção por mais de 30 anos. Me desliguei da empresa em 2017 e desde então atuo com Consultor de Negócios.
Com essa mudança profissional, ganhei tempo para atuar como investidor social. Foi assim que cheguei ao Projeto Bayernzinho, no qual estou formalmente no cargo de secretário, mas atuo como Gestor de Projetos.</v>
      </c>
      <c r="BE516" s="27" t="str">
        <f ca="1">IFERROR(__xludf.DUMMYFUNCTION("""COMPUTED_VALUE"""),"Homem, cisgênero")</f>
        <v>Homem, cisgênero</v>
      </c>
      <c r="BF516" s="27" t="str">
        <f ca="1">IFERROR(__xludf.DUMMYFUNCTION("""COMPUTED_VALUE"""),"Heterossexual")</f>
        <v>Heterossexual</v>
      </c>
      <c r="BG516" s="27" t="str">
        <f ca="1">IFERROR(__xludf.DUMMYFUNCTION("""COMPUTED_VALUE"""),"Ensino Superior - Completo")</f>
        <v>Ensino Superior - Completo</v>
      </c>
      <c r="BH516" s="27" t="str">
        <f ca="1">IFERROR(__xludf.DUMMYFUNCTION("""COMPUTED_VALUE"""),"Público")</f>
        <v>Público</v>
      </c>
      <c r="BI516" s="27" t="str">
        <f ca="1">IFERROR(__xludf.DUMMYFUNCTION("""COMPUTED_VALUE"""),"Mestrado")</f>
        <v>Mestrado</v>
      </c>
      <c r="BJ516" s="27" t="str">
        <f ca="1">IFERROR(__xludf.DUMMYFUNCTION("""COMPUTED_VALUE"""),"Público")</f>
        <v>Público</v>
      </c>
      <c r="BK516" s="27" t="str">
        <f ca="1">IFERROR(__xludf.DUMMYFUNCTION("""COMPUTED_VALUE"""),"Rua do Urânio")</f>
        <v>Rua do Urânio</v>
      </c>
      <c r="BL516" s="27">
        <f ca="1">IFERROR(__xludf.DUMMYFUNCTION("""COMPUTED_VALUE"""),276)</f>
        <v>276</v>
      </c>
      <c r="BM516" s="27"/>
      <c r="BN516" s="27" t="str">
        <f ca="1">IFERROR(__xludf.DUMMYFUNCTION("""COMPUTED_VALUE"""),"Natal")</f>
        <v>Natal</v>
      </c>
      <c r="BO516" s="27" t="str">
        <f ca="1">IFERROR(__xludf.DUMMYFUNCTION("""COMPUTED_VALUE"""),"59076-390")</f>
        <v>59076-390</v>
      </c>
      <c r="BP516" s="27" t="str">
        <f ca="1">IFERROR(__xludf.DUMMYFUNCTION("""COMPUTED_VALUE"""),"RN")</f>
        <v>RN</v>
      </c>
      <c r="BQ516" s="27" t="str">
        <f ca="1">IFERROR(__xludf.DUMMYFUNCTION("""COMPUTED_VALUE"""),"De 3 até 5 salários mínimos")</f>
        <v>De 3 até 5 salários mínimos</v>
      </c>
      <c r="BR516" s="27" t="str">
        <f ca="1">IFERROR(__xludf.DUMMYFUNCTION("""COMPUTED_VALUE"""),"MEI")</f>
        <v>MEI</v>
      </c>
      <c r="BS516" s="27" t="str">
        <f ca="1">IFERROR(__xludf.DUMMYFUNCTION("""COMPUTED_VALUE"""),"Casa própria")</f>
        <v>Casa própria</v>
      </c>
      <c r="BT516" s="27">
        <f ca="1">IFERROR(__xludf.DUMMYFUNCTION("""COMPUTED_VALUE"""),3)</f>
        <v>3</v>
      </c>
      <c r="BU516" s="27" t="str">
        <f ca="1">IFERROR(__xludf.DUMMYFUNCTION("""COMPUTED_VALUE"""),"Não tem")</f>
        <v>Não tem</v>
      </c>
      <c r="BV516" s="27" t="str">
        <f ca="1">IFERROR(__xludf.DUMMYFUNCTION("""COMPUTED_VALUE"""),"Não")</f>
        <v>Não</v>
      </c>
      <c r="BW516" s="21" t="str">
        <f ca="1">IFERROR(__xludf.DUMMYFUNCTION("""COMPUTED_VALUE"""),"http://www.linkedin.com/in/jedsonmoura")</f>
        <v>http://www.linkedin.com/in/jedsonmoura</v>
      </c>
      <c r="BX516" s="21" t="str">
        <f ca="1">IFERROR(__xludf.DUMMYFUNCTION("""COMPUTED_VALUE"""),"https://www.instagram.com/bpp.cc")</f>
        <v>https://www.instagram.com/bpp.cc</v>
      </c>
      <c r="BY516" s="21" t="str">
        <f ca="1">IFERROR(__xludf.DUMMYFUNCTION("""COMPUTED_VALUE"""),"https://drive.google.com/open?id=1UdKEnQVdA5wRn22LAA9nGmXy-Xsl5aKY")</f>
        <v>https://drive.google.com/open?id=1UdKEnQVdA5wRn22LAA9nGmXy-Xsl5aKY</v>
      </c>
    </row>
    <row r="517" spans="1:77" ht="12.5" x14ac:dyDescent="0.25">
      <c r="A517" s="21" t="str">
        <f ca="1">IFERROR(__xludf.DUMMYFUNCTION("""COMPUTED_VALUE"""),"0014P00003SGWFsQAP")</f>
        <v>0014P00003SGWFsQAP</v>
      </c>
      <c r="B517" s="27" t="str">
        <f ca="1">IFERROR(__xludf.DUMMYFUNCTION("""COMPUTED_VALUE"""),"Fase Inicial")</f>
        <v>Fase Inicial</v>
      </c>
      <c r="C517" s="27" t="str">
        <f ca="1">IFERROR(__xludf.DUMMYFUNCTION("""COMPUTED_VALUE"""),"Fellow")</f>
        <v>Fellow</v>
      </c>
      <c r="D517" s="27" t="str">
        <f ca="1">IFERROR(__xludf.DUMMYFUNCTION("""COMPUTED_VALUE"""),"Ativo")</f>
        <v>Ativo</v>
      </c>
      <c r="E517" s="27" t="str">
        <f ca="1">IFERROR(__xludf.DUMMYFUNCTION("""COMPUTED_VALUE"""),"PROJETO BODYBOARD PARÁ")</f>
        <v>PROJETO BODYBOARD PARÁ</v>
      </c>
      <c r="F517" s="27" t="str">
        <f ca="1">IFERROR(__xludf.DUMMYFUNCTION("""COMPUTED_VALUE"""),"Alexandra")</f>
        <v>Alexandra</v>
      </c>
      <c r="G517" s="27" t="str">
        <f ca="1">IFERROR(__xludf.DUMMYFUNCTION("""COMPUTED_VALUE"""),"BODYBOARD PARÁ")</f>
        <v>BODYBOARD PARÁ</v>
      </c>
      <c r="H517" s="27" t="str">
        <f ca="1">IFERROR(__xludf.DUMMYFUNCTION("""COMPUTED_VALUE"""),"00.000.000/0000-00")</f>
        <v>00.000.000/0000-00</v>
      </c>
      <c r="I517" s="27" t="str">
        <f ca="1">IFERROR(__xludf.DUMMYFUNCTION("""COMPUTED_VALUE"""),"Alexandra Dos Santos Ereiro")</f>
        <v>Alexandra Dos Santos Ereiro</v>
      </c>
      <c r="J517" s="27" t="str">
        <f ca="1">IFERROR(__xludf.DUMMYFUNCTION("""COMPUTED_VALUE"""),"xandinha_pororoca@hotmail.com")</f>
        <v>xandinha_pororoca@hotmail.com</v>
      </c>
      <c r="K517" s="27" t="str">
        <f ca="1">IFERROR(__xludf.DUMMYFUNCTION("""COMPUTED_VALUE"""),"(22)98171-8299")</f>
        <v>(22)98171-8299</v>
      </c>
      <c r="L517" s="27" t="str">
        <f ca="1">IFERROR(__xludf.DUMMYFUNCTION("""COMPUTED_VALUE"""),"PA")</f>
        <v>PA</v>
      </c>
      <c r="M517" s="27" t="str">
        <f ca="1">IFERROR(__xludf.DUMMYFUNCTION("""COMPUTED_VALUE"""),"Conjunto Maguari Alameda 21número 2")</f>
        <v>Conjunto Maguari Alameda 21número 2</v>
      </c>
      <c r="N517" s="27" t="str">
        <f ca="1">IFERROR(__xludf.DUMMYFUNCTION("""COMPUTED_VALUE"""),"Coqueiro")</f>
        <v>Coqueiro</v>
      </c>
      <c r="O517" s="27" t="str">
        <f ca="1">IFERROR(__xludf.DUMMYFUNCTION("""COMPUTED_VALUE"""),"(22)98171-8299")</f>
        <v>(22)98171-8299</v>
      </c>
      <c r="P517" s="27" t="str">
        <f ca="1">IFERROR(__xludf.DUMMYFUNCTION("""COMPUTED_VALUE"""),"BELÉM")</f>
        <v>BELÉM</v>
      </c>
      <c r="Q517" s="27" t="str">
        <f ca="1">IFERROR(__xludf.DUMMYFUNCTION("""COMPUTED_VALUE"""),"Secundária")</f>
        <v>Secundária</v>
      </c>
      <c r="R517" s="27" t="str">
        <f ca="1">IFERROR(__xludf.DUMMYFUNCTION("""COMPUTED_VALUE"""),"66823-086")</f>
        <v>66823-086</v>
      </c>
      <c r="S517" s="27">
        <f ca="1">IFERROR(__xludf.DUMMYFUNCTION("""COMPUTED_VALUE"""),66823086)</f>
        <v>66823086</v>
      </c>
      <c r="T517" s="27" t="str">
        <f ca="1">IFERROR(__xludf.DUMMYFUNCTION("""COMPUTED_VALUE"""),"Esporte; Educação; Cultura; Saúde; Meio ambiente")</f>
        <v>Esporte; Educação; Cultura; Saúde; Meio ambiente</v>
      </c>
      <c r="U517" s="27" t="str">
        <f ca="1">IFERROR(__xludf.DUMMYFUNCTION("""COMPUTED_VALUE"""),"Crianças (6 a 12 anos); Adolescentes (12 aos 18 anos); Jovens (18 aos 24 anos); Adultos")</f>
        <v>Crianças (6 a 12 anos); Adolescentes (12 aos 18 anos); Jovens (18 aos 24 anos); Adultos</v>
      </c>
      <c r="V517" s="27" t="str">
        <f ca="1">IFERROR(__xludf.DUMMYFUNCTION("""COMPUTED_VALUE"""),"Moradores de Favelas; Ribeirinhos")</f>
        <v>Moradores de Favelas; Ribeirinhos</v>
      </c>
      <c r="W517" s="27">
        <f ca="1">IFERROR(__xludf.DUMMYFUNCTION("""COMPUTED_VALUE"""),5)</f>
        <v>5</v>
      </c>
      <c r="X517" s="27" t="str">
        <f ca="1">IFERROR(__xludf.DUMMYFUNCTION("""COMPUTED_VALUE"""),"Mães dos alunos")</f>
        <v>Mães dos alunos</v>
      </c>
      <c r="Y517" s="27">
        <f ca="1">IFERROR(__xludf.DUMMYFUNCTION("""COMPUTED_VALUE"""),20)</f>
        <v>20</v>
      </c>
      <c r="Z517" s="27">
        <f ca="1">IFERROR(__xludf.DUMMYFUNCTION("""COMPUTED_VALUE"""),700)</f>
        <v>700</v>
      </c>
      <c r="AA517" s="30">
        <f ca="1">IFERROR(__xludf.DUMMYFUNCTION("""COMPUTED_VALUE"""),43091)</f>
        <v>43091</v>
      </c>
      <c r="AB517" s="27" t="str">
        <f ca="1">IFERROR(__xludf.DUMMYFUNCTION("""COMPUTED_VALUE"""),"Não")</f>
        <v>Não</v>
      </c>
      <c r="AC517" s="27">
        <f ca="1">IFERROR(__xludf.DUMMYFUNCTION("""COMPUTED_VALUE"""),0)</f>
        <v>0</v>
      </c>
      <c r="AD517" s="27">
        <f ca="1">IFERROR(__xludf.DUMMYFUNCTION("""COMPUTED_VALUE"""),0)</f>
        <v>0</v>
      </c>
      <c r="AE517" s="27">
        <f ca="1">IFERROR(__xludf.DUMMYFUNCTION("""COMPUTED_VALUE"""),6)</f>
        <v>6</v>
      </c>
      <c r="AF517" s="27">
        <f ca="1">IFERROR(__xludf.DUMMYFUNCTION("""COMPUTED_VALUE"""),3)</f>
        <v>3</v>
      </c>
      <c r="AG517" s="27">
        <f ca="1">IFERROR(__xludf.DUMMYFUNCTION("""COMPUTED_VALUE"""),0)</f>
        <v>0</v>
      </c>
      <c r="AH517" s="27" t="str">
        <f ca="1">IFERROR(__xludf.DUMMYFUNCTION("""COMPUTED_VALUE"""),"Eventos/Ações para captação; Outro(s); Doações")</f>
        <v>Eventos/Ações para captação; Outro(s); Doações</v>
      </c>
      <c r="AI517" s="27">
        <f ca="1">IFERROR(__xludf.DUMMYFUNCTION("""COMPUTED_VALUE"""),1)</f>
        <v>1</v>
      </c>
      <c r="AJ517" s="27" t="str">
        <f ca="1">IFERROR(__xludf.DUMMYFUNCTION("""COMPUTED_VALUE"""),"Não")</f>
        <v>Não</v>
      </c>
      <c r="AK517" s="27" t="str">
        <f ca="1">IFERROR(__xludf.DUMMYFUNCTION("""COMPUTED_VALUE"""),"Não")</f>
        <v>Não</v>
      </c>
      <c r="AL517" s="21" t="str">
        <f ca="1">IFERROR(__xludf.DUMMYFUNCTION("""COMPUTED_VALUE"""),"0034P000043fOnS")</f>
        <v>0034P000043fOnS</v>
      </c>
      <c r="AM517" s="27" t="str">
        <f ca="1">IFERROR(__xludf.DUMMYFUNCTION("""COMPUTED_VALUE"""),"Ereiro")</f>
        <v>Ereiro</v>
      </c>
      <c r="AN517" s="27" t="str">
        <f ca="1">IFERROR(__xludf.DUMMYFUNCTION("""COMPUTED_VALUE"""),"Ativo")</f>
        <v>Ativo</v>
      </c>
      <c r="AO517" s="29">
        <f ca="1">IFERROR(__xludf.DUMMYFUNCTION("""COMPUTED_VALUE"""),44432)</f>
        <v>44432</v>
      </c>
      <c r="AP517" s="27">
        <f ca="1">IFERROR(__xludf.DUMMYFUNCTION("""COMPUTED_VALUE"""),13)</f>
        <v>13</v>
      </c>
      <c r="AQ517" s="27" t="str">
        <f ca="1">IFERROR(__xludf.DUMMYFUNCTION("""COMPUTED_VALUE"""),"Primeiro Semestre 2021")</f>
        <v>Primeiro Semestre 2021</v>
      </c>
      <c r="AR517" s="27" t="str">
        <f ca="1">IFERROR(__xludf.DUMMYFUNCTION("""COMPUTED_VALUE"""),"xandinha_pororoca@hotmail.com")</f>
        <v>xandinha_pororoca@hotmail.com</v>
      </c>
      <c r="AS517" s="27" t="str">
        <f ca="1">IFERROR(__xludf.DUMMYFUNCTION("""COMPUTED_VALUE"""),"(22)98171-8299")</f>
        <v>(22)98171-8299</v>
      </c>
      <c r="AT517" s="29">
        <f ca="1">IFERROR(__xludf.DUMMYFUNCTION("""COMPUTED_VALUE"""),29772)</f>
        <v>29772</v>
      </c>
      <c r="AU517" s="27">
        <f ca="1">IFERROR(__xludf.DUMMYFUNCTION("""COMPUTED_VALUE"""),41)</f>
        <v>41</v>
      </c>
      <c r="AV517" s="27">
        <f ca="1">IFERROR(__xludf.DUMMYFUNCTION("""COMPUTED_VALUE"""),67547060234)</f>
        <v>67547060234</v>
      </c>
      <c r="AW517" s="27">
        <f ca="1">IFERROR(__xludf.DUMMYFUNCTION("""COMPUTED_VALUE"""),3501882)</f>
        <v>3501882</v>
      </c>
      <c r="AX517" s="27" t="str">
        <f ca="1">IFERROR(__xludf.DUMMYFUNCTION("""COMPUTED_VALUE"""),"Educação Física")</f>
        <v>Educação Física</v>
      </c>
      <c r="AY517" s="27" t="str">
        <f ca="1">IFERROR(__xludf.DUMMYFUNCTION("""COMPUTED_VALUE"""),"Nao")</f>
        <v>Nao</v>
      </c>
      <c r="AZ517" s="27" t="str">
        <f ca="1">IFERROR(__xludf.DUMMYFUNCTION("""COMPUTED_VALUE"""),"PP")</f>
        <v>PP</v>
      </c>
      <c r="BA517" s="27" t="str">
        <f ca="1">IFERROR(__xludf.DUMMYFUNCTION("""COMPUTED_VALUE"""),"Preta")</f>
        <v>Preta</v>
      </c>
      <c r="BB517" s="27"/>
      <c r="BC517" s="27" t="str">
        <f ca="1">IFERROR(__xludf.DUMMYFUNCTION("""COMPUTED_VALUE"""),"Sim")</f>
        <v>Sim</v>
      </c>
      <c r="BD517" s="27" t="str">
        <f ca="1">IFERROR(__xludf.DUMMYFUNCTION("""COMPUTED_VALUE"""),"Eu me chamo Alexandra Sou atleta profissional de Bodyboard 
E CEO do projeto bodyboard Pará.")</f>
        <v>Eu me chamo Alexandra Sou atleta profissional de Bodyboard 
E CEO do projeto bodyboard Pará.</v>
      </c>
      <c r="BE517" s="27" t="str">
        <f ca="1">IFERROR(__xludf.DUMMYFUNCTION("""COMPUTED_VALUE"""),"Feminino")</f>
        <v>Feminino</v>
      </c>
      <c r="BF517" s="27" t="str">
        <f ca="1">IFERROR(__xludf.DUMMYFUNCTION("""COMPUTED_VALUE"""),"Homossexual")</f>
        <v>Homossexual</v>
      </c>
      <c r="BG517" s="27" t="str">
        <f ca="1">IFERROR(__xludf.DUMMYFUNCTION("""COMPUTED_VALUE"""),"Ensino Superior - Incompleto")</f>
        <v>Ensino Superior - Incompleto</v>
      </c>
      <c r="BH517" s="27"/>
      <c r="BI517" s="27" t="str">
        <f ca="1">IFERROR(__xludf.DUMMYFUNCTION("""COMPUTED_VALUE"""),"Graduação")</f>
        <v>Graduação</v>
      </c>
      <c r="BJ517" s="27" t="str">
        <f ca="1">IFERROR(__xludf.DUMMYFUNCTION("""COMPUTED_VALUE"""),"Público")</f>
        <v>Público</v>
      </c>
      <c r="BK517" s="27" t="str">
        <f ca="1">IFERROR(__xludf.DUMMYFUNCTION("""COMPUTED_VALUE"""),"Conjunto Maguari Alameda 21")</f>
        <v>Conjunto Maguari Alameda 21</v>
      </c>
      <c r="BL517" s="27">
        <f ca="1">IFERROR(__xludf.DUMMYFUNCTION("""COMPUTED_VALUE"""),2)</f>
        <v>2</v>
      </c>
      <c r="BM517" s="27" t="str">
        <f ca="1">IFERROR(__xludf.DUMMYFUNCTION("""COMPUTED_VALUE"""),"Secundaria")</f>
        <v>Secundaria</v>
      </c>
      <c r="BN517" s="27" t="str">
        <f ca="1">IFERROR(__xludf.DUMMYFUNCTION("""COMPUTED_VALUE"""),"BELÉM")</f>
        <v>BELÉM</v>
      </c>
      <c r="BO517" s="27" t="str">
        <f ca="1">IFERROR(__xludf.DUMMYFUNCTION("""COMPUTED_VALUE"""),"66823-086")</f>
        <v>66823-086</v>
      </c>
      <c r="BP517" s="27" t="str">
        <f ca="1">IFERROR(__xludf.DUMMYFUNCTION("""COMPUTED_VALUE"""),"PA")</f>
        <v>PA</v>
      </c>
      <c r="BQ517" s="27" t="str">
        <f ca="1">IFERROR(__xludf.DUMMYFUNCTION("""COMPUTED_VALUE"""),"Entre 1 até 3 salários mínimos")</f>
        <v>Entre 1 até 3 salários mínimos</v>
      </c>
      <c r="BR517" s="27" t="str">
        <f ca="1">IFERROR(__xludf.DUMMYFUNCTION("""COMPUTED_VALUE"""),"Trabalho informal")</f>
        <v>Trabalho informal</v>
      </c>
      <c r="BS517" s="27" t="str">
        <f ca="1">IFERROR(__xludf.DUMMYFUNCTION("""COMPUTED_VALUE"""),"Casa própria")</f>
        <v>Casa própria</v>
      </c>
      <c r="BT517" s="27">
        <f ca="1">IFERROR(__xludf.DUMMYFUNCTION("""COMPUTED_VALUE"""),5)</f>
        <v>5</v>
      </c>
      <c r="BU517" s="27"/>
      <c r="BV517" s="27"/>
      <c r="BW517" s="21" t="str">
        <f ca="1">IFERROR(__xludf.DUMMYFUNCTION("""COMPUTED_VALUE"""),"https://www.instagram.com/p/CRAg6gKs8Lz/?utm_medium=copy_link")</f>
        <v>https://www.instagram.com/p/CRAg6gKs8Lz/?utm_medium=copy_link</v>
      </c>
      <c r="BX517" s="21" t="str">
        <f ca="1">IFERROR(__xludf.DUMMYFUNCTION("""COMPUTED_VALUE"""),"https://www.instagram.com/p/Cbr6uZVLlXL/?utm_medium=copy_link")</f>
        <v>https://www.instagram.com/p/Cbr6uZVLlXL/?utm_medium=copy_link</v>
      </c>
      <c r="BY517" s="21" t="str">
        <f ca="1">IFERROR(__xludf.DUMMYFUNCTION("""COMPUTED_VALUE"""),"https://drive.google.com/open?id=1rrLLVE3wghtQpyvPEqwpzDA7JHkOGbMw")</f>
        <v>https://drive.google.com/open?id=1rrLLVE3wghtQpyvPEqwpzDA7JHkOGbMw</v>
      </c>
    </row>
    <row r="518" spans="1:77" ht="12.5" x14ac:dyDescent="0.25">
      <c r="A518" s="21" t="str">
        <f ca="1">IFERROR(__xludf.DUMMYFUNCTION("""COMPUTED_VALUE"""),"0014P00003AN2FiQAL")</f>
        <v>0014P00003AN2FiQAL</v>
      </c>
      <c r="B518" s="27" t="str">
        <f ca="1">IFERROR(__xludf.DUMMYFUNCTION("""COMPUTED_VALUE"""),"Fase Inicial")</f>
        <v>Fase Inicial</v>
      </c>
      <c r="C518" s="27" t="str">
        <f ca="1">IFERROR(__xludf.DUMMYFUNCTION("""COMPUTED_VALUE"""),"Fellow")</f>
        <v>Fellow</v>
      </c>
      <c r="D518" s="27" t="str">
        <f ca="1">IFERROR(__xludf.DUMMYFUNCTION("""COMPUTED_VALUE"""),"Ativo")</f>
        <v>Ativo</v>
      </c>
      <c r="E518" s="27" t="str">
        <f ca="1">IFERROR(__xludf.DUMMYFUNCTION("""COMPUTED_VALUE"""),"Projeto Brejal")</f>
        <v>Projeto Brejal</v>
      </c>
      <c r="F518" s="27" t="str">
        <f ca="1">IFERROR(__xludf.DUMMYFUNCTION("""COMPUTED_VALUE"""),"Salete")</f>
        <v>Salete</v>
      </c>
      <c r="G518" s="27"/>
      <c r="H518" s="27" t="str">
        <f ca="1">IFERROR(__xludf.DUMMYFUNCTION("""COMPUTED_VALUE"""),"l08.629.859/0001-76???")</f>
        <v>l08.629.859/0001-76???</v>
      </c>
      <c r="I518" s="27"/>
      <c r="J518" s="27"/>
      <c r="K518" s="27" t="str">
        <f ca="1">IFERROR(__xludf.DUMMYFUNCTION("""COMPUTED_VALUE"""),"(82)99189-9992")</f>
        <v>(82)99189-9992</v>
      </c>
      <c r="L518" s="27" t="str">
        <f ca="1">IFERROR(__xludf.DUMMYFUNCTION("""COMPUTED_VALUE"""),"AL")</f>
        <v>AL</v>
      </c>
      <c r="M518" s="27" t="str">
        <f ca="1">IFERROR(__xludf.DUMMYFUNCTION("""COMPUTED_VALUE"""),"Rua São Vicente")</f>
        <v>Rua São Vicente</v>
      </c>
      <c r="N518" s="27"/>
      <c r="O518" s="27" t="str">
        <f ca="1">IFERROR(__xludf.DUMMYFUNCTION("""COMPUTED_VALUE"""),"(82)99189-9992")</f>
        <v>(82)99189-9992</v>
      </c>
      <c r="P518" s="27" t="str">
        <f ca="1">IFERROR(__xludf.DUMMYFUNCTION("""COMPUTED_VALUE"""),"Maceió")</f>
        <v>Maceió</v>
      </c>
      <c r="Q518" s="27"/>
      <c r="R518" s="27" t="str">
        <f ca="1">IFERROR(__xludf.DUMMYFUNCTION("""COMPUTED_VALUE"""),"57017-171")</f>
        <v>57017-171</v>
      </c>
      <c r="S518" s="27"/>
      <c r="T518" s="27" t="str">
        <f ca="1">IFERROR(__xludf.DUMMYFUNCTION("""COMPUTED_VALUE"""),"Esporte; Educação; Empregabilidade; Assistência Social; Cultura; Qualificação Profissional; Empreendedorismo; Empoderamento Feminino; Desenvolvimento comunitário")</f>
        <v>Esporte; Educação; Empregabilidade; Assistência Social; Cultura; Qualificação Profissional; Empreendedorismo; Empoderamento Feminino; Desenvolvimento comunitário</v>
      </c>
      <c r="U518"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518" s="27" t="str">
        <f ca="1">IFERROR(__xludf.DUMMYFUNCTION("""COMPUTED_VALUE"""),"Moradores de Favelas")</f>
        <v>Moradores de Favelas</v>
      </c>
      <c r="W518" s="27">
        <f ca="1">IFERROR(__xludf.DUMMYFUNCTION("""COMPUTED_VALUE"""),6)</f>
        <v>6</v>
      </c>
      <c r="X518" s="27" t="str">
        <f ca="1">IFERROR(__xludf.DUMMYFUNCTION("""COMPUTED_VALUE"""),"São crianças e adolescentes  de alta vulnabilidade social  que na nossa comunidade não temos áreas de lazer que o projeto e o único espaço de convívio comunitário para todos ficamos situado perto do mercado da produção e o trabalho infantil começar desde "&amp;"cedo  e a porta aberta para os aliciamentos  de trafico de drogas  pronstituicao etc ... .")</f>
        <v>São crianças e adolescentes  de alta vulnabilidade social  que na nossa comunidade não temos áreas de lazer que o projeto e o único espaço de convívio comunitário para todos ficamos situado perto do mercado da produção e o trabalho infantil começar desde cedo  e a porta aberta para os aliciamentos  de trafico de drogas  pronstituicao etc ... .</v>
      </c>
      <c r="Y518" s="27"/>
      <c r="Z518" s="27"/>
      <c r="AA518" s="29">
        <f ca="1">IFERROR(__xludf.DUMMYFUNCTION("""COMPUTED_VALUE"""),30944)</f>
        <v>30944</v>
      </c>
      <c r="AB518" s="27" t="str">
        <f ca="1">IFERROR(__xludf.DUMMYFUNCTION("""COMPUTED_VALUE"""),"Sim")</f>
        <v>Sim</v>
      </c>
      <c r="AC518" s="27">
        <f ca="1">IFERROR(__xludf.DUMMYFUNCTION("""COMPUTED_VALUE"""),2)</f>
        <v>2</v>
      </c>
      <c r="AD518" s="27">
        <f ca="1">IFERROR(__xludf.DUMMYFUNCTION("""COMPUTED_VALUE"""),2)</f>
        <v>2</v>
      </c>
      <c r="AE518" s="27">
        <f ca="1">IFERROR(__xludf.DUMMYFUNCTION("""COMPUTED_VALUE"""),6)</f>
        <v>6</v>
      </c>
      <c r="AF518" s="27">
        <f ca="1">IFERROR(__xludf.DUMMYFUNCTION("""COMPUTED_VALUE"""),4)</f>
        <v>4</v>
      </c>
      <c r="AG518" s="27">
        <f ca="1">IFERROR(__xludf.DUMMYFUNCTION("""COMPUTED_VALUE"""),2)</f>
        <v>2</v>
      </c>
      <c r="AH518" s="27" t="str">
        <f ca="1">IFERROR(__xludf.DUMMYFUNCTION("""COMPUTED_VALUE"""),"Convênio Público; Editais")</f>
        <v>Convênio Público; Editais</v>
      </c>
      <c r="AI518" s="31">
        <f ca="1">IFERROR(__xludf.DUMMYFUNCTION("""COMPUTED_VALUE"""),0.5)</f>
        <v>0.5</v>
      </c>
      <c r="AJ518" s="27" t="str">
        <f ca="1">IFERROR(__xludf.DUMMYFUNCTION("""COMPUTED_VALUE"""),"Não")</f>
        <v>Não</v>
      </c>
      <c r="AK518" s="27" t="str">
        <f ca="1">IFERROR(__xludf.DUMMYFUNCTION("""COMPUTED_VALUE"""),"Sim")</f>
        <v>Sim</v>
      </c>
      <c r="AL518" s="21" t="str">
        <f ca="1">IFERROR(__xludf.DUMMYFUNCTION("""COMPUTED_VALUE"""),"0034P00003maBV8")</f>
        <v>0034P00003maBV8</v>
      </c>
      <c r="AM518" s="27" t="str">
        <f ca="1">IFERROR(__xludf.DUMMYFUNCTION("""COMPUTED_VALUE"""),"Alexandre Ritir")</f>
        <v>Alexandre Ritir</v>
      </c>
      <c r="AN518" s="27" t="str">
        <f ca="1">IFERROR(__xludf.DUMMYFUNCTION("""COMPUTED_VALUE"""),"Ativo")</f>
        <v>Ativo</v>
      </c>
      <c r="AO518" s="30">
        <f ca="1">IFERROR(__xludf.DUMMYFUNCTION("""COMPUTED_VALUE"""),44151)</f>
        <v>44151</v>
      </c>
      <c r="AP518" s="27">
        <f ca="1">IFERROR(__xludf.DUMMYFUNCTION("""COMPUTED_VALUE"""),22)</f>
        <v>22</v>
      </c>
      <c r="AQ518" s="27" t="str">
        <f ca="1">IFERROR(__xludf.DUMMYFUNCTION("""COMPUTED_VALUE"""),"Primeiro Semestre 2020")</f>
        <v>Primeiro Semestre 2020</v>
      </c>
      <c r="AR518" s="27" t="str">
        <f ca="1">IFERROR(__xludf.DUMMYFUNCTION("""COMPUTED_VALUE"""),"ritiralexandre@gmail.com")</f>
        <v>ritiralexandre@gmail.com</v>
      </c>
      <c r="AS518" s="27" t="str">
        <f ca="1">IFERROR(__xludf.DUMMYFUNCTION("""COMPUTED_VALUE"""),"(82)99189-9992")</f>
        <v>(82)99189-9992</v>
      </c>
      <c r="AT518" s="30">
        <f ca="1">IFERROR(__xludf.DUMMYFUNCTION("""COMPUTED_VALUE"""),30601)</f>
        <v>30601</v>
      </c>
      <c r="AU518" s="27">
        <f ca="1">IFERROR(__xludf.DUMMYFUNCTION("""COMPUTED_VALUE"""),39)</f>
        <v>39</v>
      </c>
      <c r="AV518" s="27">
        <f ca="1">IFERROR(__xludf.DUMMYFUNCTION("""COMPUTED_VALUE"""),4814680481)</f>
        <v>4814680481</v>
      </c>
      <c r="AW518" s="27">
        <f ca="1">IFERROR(__xludf.DUMMYFUNCTION("""COMPUTED_VALUE"""),98001093615)</f>
        <v>98001093615</v>
      </c>
      <c r="AX518" s="27" t="str">
        <f ca="1">IFERROR(__xludf.DUMMYFUNCTION("""COMPUTED_VALUE"""),"RH - MEDIADORA DE CONFLITOS")</f>
        <v>RH - MEDIADORA DE CONFLITOS</v>
      </c>
      <c r="AY518" s="27"/>
      <c r="AZ518" s="27" t="str">
        <f ca="1">IFERROR(__xludf.DUMMYFUNCTION("""COMPUTED_VALUE"""),"M")</f>
        <v>M</v>
      </c>
      <c r="BA518" s="27"/>
      <c r="BB518" s="27"/>
      <c r="BC518" s="27" t="str">
        <f ca="1">IFERROR(__xludf.DUMMYFUNCTION("""COMPUTED_VALUE"""),"Sim")</f>
        <v>Sim</v>
      </c>
      <c r="BD518" s="27" t="str">
        <f ca="1">IFERROR(__xludf.DUMMYFUNCTION("""COMPUTED_VALUE"""),"Meu nome é Salete, tenho 38 anos, fui mãe aos 16 anos, comecei a namorar aos 13 anos, e estamos juntos até hoje, tenho 3 filhos, Michael de 22 anos, Mickael 18, mickaely 14. Aos 10 anos minha mãe fugiu de casa com 4 filhos, só com a roupa do corpo, vítima"&amp;" de violência doméstica, fomos morar na casa da irmã dela, uma casa de 3 por 6 metros, éramos 10, comecei vender feijão nós semáforos e mercados para comprar comida, hoje está a frente do Projeto Brejal é a construção do meu propósito de vida.")</f>
        <v>Meu nome é Salete, tenho 38 anos, fui mãe aos 16 anos, comecei a namorar aos 13 anos, e estamos juntos até hoje, tenho 3 filhos, Michael de 22 anos, Mickael 18, mickaely 14. Aos 10 anos minha mãe fugiu de casa com 4 filhos, só com a roupa do corpo, vítima de violência doméstica, fomos morar na casa da irmã dela, uma casa de 3 por 6 metros, éramos 10, comecei vender feijão nós semáforos e mercados para comprar comida, hoje está a frente do Projeto Brejal é a construção do meu propósito de vida.</v>
      </c>
      <c r="BE518" s="27"/>
      <c r="BF518" s="27"/>
      <c r="BG518" s="27" t="str">
        <f ca="1">IFERROR(__xludf.DUMMYFUNCTION("""COMPUTED_VALUE"""),"Ensino Superior - Incompleto")</f>
        <v>Ensino Superior - Incompleto</v>
      </c>
      <c r="BH518" s="27"/>
      <c r="BI518" s="27" t="str">
        <f ca="1">IFERROR(__xludf.DUMMYFUNCTION("""COMPUTED_VALUE"""),"Graduação")</f>
        <v>Graduação</v>
      </c>
      <c r="BJ518" s="27" t="str">
        <f ca="1">IFERROR(__xludf.DUMMYFUNCTION("""COMPUTED_VALUE"""),"Privado")</f>
        <v>Privado</v>
      </c>
      <c r="BK518" s="27" t="str">
        <f ca="1">IFERROR(__xludf.DUMMYFUNCTION("""COMPUTED_VALUE"""),"Rua Democrito Gracindo")</f>
        <v>Rua Democrito Gracindo</v>
      </c>
      <c r="BL518" s="27">
        <f ca="1">IFERROR(__xludf.DUMMYFUNCTION("""COMPUTED_VALUE"""),386)</f>
        <v>386</v>
      </c>
      <c r="BM518" s="27"/>
      <c r="BN518" s="27" t="str">
        <f ca="1">IFERROR(__xludf.DUMMYFUNCTION("""COMPUTED_VALUE"""),"Maceió")</f>
        <v>Maceió</v>
      </c>
      <c r="BO518" s="27" t="str">
        <f ca="1">IFERROR(__xludf.DUMMYFUNCTION("""COMPUTED_VALUE"""),"57014-750")</f>
        <v>57014-750</v>
      </c>
      <c r="BP518" s="27" t="str">
        <f ca="1">IFERROR(__xludf.DUMMYFUNCTION("""COMPUTED_VALUE"""),"AL")</f>
        <v>AL</v>
      </c>
      <c r="BQ518" s="27" t="str">
        <f ca="1">IFERROR(__xludf.DUMMYFUNCTION("""COMPUTED_VALUE"""),"Entre 1 até 3 salários mínimos")</f>
        <v>Entre 1 até 3 salários mínimos</v>
      </c>
      <c r="BR518" s="27" t="str">
        <f ca="1">IFERROR(__xludf.DUMMYFUNCTION("""COMPUTED_VALUE"""),"MEI; Trabalho informal")</f>
        <v>MEI; Trabalho informal</v>
      </c>
      <c r="BS518" s="27" t="str">
        <f ca="1">IFERROR(__xludf.DUMMYFUNCTION("""COMPUTED_VALUE"""),"Casa própria")</f>
        <v>Casa própria</v>
      </c>
      <c r="BT518" s="27">
        <f ca="1">IFERROR(__xludf.DUMMYFUNCTION("""COMPUTED_VALUE"""),4)</f>
        <v>4</v>
      </c>
      <c r="BU518" s="27"/>
      <c r="BV518" s="27"/>
      <c r="BW518" s="27"/>
      <c r="BX518" s="27" t="str">
        <f ca="1">IFERROR(__xludf.DUMMYFUNCTION("""COMPUTED_VALUE"""),"Estou no Instagram como saletealexandreritir. Instale o aplicativo para seguir minhas fotos e vídeos. https://www.instagram.com/invites/contact/?i=j7j4dcw1bd6b&amp;utm_content=5gind41")</f>
        <v>Estou no Instagram como saletealexandreritir. Instale o aplicativo para seguir minhas fotos e vídeos. https://www.instagram.com/invites/contact/?i=j7j4dcw1bd6b&amp;utm_content=5gind41</v>
      </c>
      <c r="BY518" s="21" t="str">
        <f ca="1">IFERROR(__xludf.DUMMYFUNCTION("""COMPUTED_VALUE"""),"https://drive.google.com/open?id=1AMRHtPSw4gVAuQfpb6HPdKx_XHrGK0hJ")</f>
        <v>https://drive.google.com/open?id=1AMRHtPSw4gVAuQfpb6HPdKx_XHrGK0hJ</v>
      </c>
    </row>
    <row r="519" spans="1:77" ht="12.5" x14ac:dyDescent="0.25">
      <c r="A519" s="21" t="str">
        <f ca="1">IFERROR(__xludf.DUMMYFUNCTION("""COMPUTED_VALUE"""),"0014X00002VKCuSQAX")</f>
        <v>0014X00002VKCuSQAX</v>
      </c>
      <c r="B519" s="27" t="str">
        <f ca="1">IFERROR(__xludf.DUMMYFUNCTION("""COMPUTED_VALUE"""),"Fase Inicial")</f>
        <v>Fase Inicial</v>
      </c>
      <c r="C519" s="27" t="str">
        <f ca="1">IFERROR(__xludf.DUMMYFUNCTION("""COMPUTED_VALUE"""),"Fellow")</f>
        <v>Fellow</v>
      </c>
      <c r="D519" s="27" t="str">
        <f ca="1">IFERROR(__xludf.DUMMYFUNCTION("""COMPUTED_VALUE"""),"Ativo")</f>
        <v>Ativo</v>
      </c>
      <c r="E519" s="27" t="str">
        <f ca="1">IFERROR(__xludf.DUMMYFUNCTION("""COMPUTED_VALUE"""),"Projeto Brigada Solidária")</f>
        <v>Projeto Brigada Solidária</v>
      </c>
      <c r="F519" s="27" t="str">
        <f ca="1">IFERROR(__xludf.DUMMYFUNCTION("""COMPUTED_VALUE"""),"Bruno")</f>
        <v>Bruno</v>
      </c>
      <c r="G519" s="27" t="str">
        <f ca="1">IFERROR(__xludf.DUMMYFUNCTION("""COMPUTED_VALUE"""),"BRIGADA SOLIDÁRIA")</f>
        <v>BRIGADA SOLIDÁRIA</v>
      </c>
      <c r="H519" s="27"/>
      <c r="I519" s="27" t="str">
        <f ca="1">IFERROR(__xludf.DUMMYFUNCTION("""COMPUTED_VALUE"""),"Bruno Marcondes Anastacio")</f>
        <v>Bruno Marcondes Anastacio</v>
      </c>
      <c r="J519" s="27" t="str">
        <f ca="1">IFERROR(__xludf.DUMMYFUNCTION("""COMPUTED_VALUE"""),"projetobrigadasolidaria@gmail.com")</f>
        <v>projetobrigadasolidaria@gmail.com</v>
      </c>
      <c r="K519" s="27" t="str">
        <f ca="1">IFERROR(__xludf.DUMMYFUNCTION("""COMPUTED_VALUE"""),"(11)94768-5585")</f>
        <v>(11)94768-5585</v>
      </c>
      <c r="L519" s="27" t="str">
        <f ca="1">IFERROR(__xludf.DUMMYFUNCTION("""COMPUTED_VALUE"""),"SP")</f>
        <v>SP</v>
      </c>
      <c r="M519" s="27" t="str">
        <f ca="1">IFERROR(__xludf.DUMMYFUNCTION("""COMPUTED_VALUE"""),"João da Silva de Moraes")</f>
        <v>João da Silva de Moraes</v>
      </c>
      <c r="N519" s="27" t="str">
        <f ca="1">IFERROR(__xludf.DUMMYFUNCTION("""COMPUTED_VALUE"""),"Jardim Ernestina")</f>
        <v>Jardim Ernestina</v>
      </c>
      <c r="O519" s="27">
        <f ca="1">IFERROR(__xludf.DUMMYFUNCTION("""COMPUTED_VALUE"""),248)</f>
        <v>248</v>
      </c>
      <c r="P519" s="27" t="str">
        <f ca="1">IFERROR(__xludf.DUMMYFUNCTION("""COMPUTED_VALUE"""),"São Paulo")</f>
        <v>São Paulo</v>
      </c>
      <c r="Q519" s="27" t="str">
        <f ca="1">IFERROR(__xludf.DUMMYFUNCTION("""COMPUTED_VALUE"""),"Casa")</f>
        <v>Casa</v>
      </c>
      <c r="R519" s="27" t="str">
        <f ca="1">IFERROR(__xludf.DUMMYFUNCTION("""COMPUTED_VALUE"""),"04677-050")</f>
        <v>04677-050</v>
      </c>
      <c r="S519" s="27" t="str">
        <f ca="1">IFERROR(__xludf.DUMMYFUNCTION("""COMPUTED_VALUE"""),"Nosso trabalho é itinerante")</f>
        <v>Nosso trabalho é itinerante</v>
      </c>
      <c r="T519" s="27"/>
      <c r="U519" s="27" t="str">
        <f ca="1">IFERROR(__xludf.DUMMYFUNCTION("""COMPUTED_VALUE"""),"Adolescentes (12 aos 18 anos), Jovens (18 aos 24 anos), Adultos")</f>
        <v>Adolescentes (12 aos 18 anos), Jovens (18 aos 24 anos), Adultos</v>
      </c>
      <c r="V519" s="27" t="str">
        <f ca="1">IFERROR(__xludf.DUMMYFUNCTION("""COMPUTED_VALUE"""),"Moradores de Favelas, População LGBTQ+, Afrodescendentes")</f>
        <v>Moradores de Favelas, População LGBTQ+, Afrodescendentes</v>
      </c>
      <c r="W519" s="27">
        <f ca="1">IFERROR(__xludf.DUMMYFUNCTION("""COMPUTED_VALUE"""),32)</f>
        <v>32</v>
      </c>
      <c r="X519" s="27" t="str">
        <f ca="1">IFERROR(__xludf.DUMMYFUNCTION("""COMPUTED_VALUE"""),"Busco atender especificamente pessoas com alta vulnerabilidade social.")</f>
        <v>Busco atender especificamente pessoas com alta vulnerabilidade social.</v>
      </c>
      <c r="Y519" s="27"/>
      <c r="Z519" s="27">
        <f ca="1">IFERROR(__xludf.DUMMYFUNCTION("""COMPUTED_VALUE"""),100)</f>
        <v>100</v>
      </c>
      <c r="AA519" s="30">
        <f ca="1">IFERROR(__xludf.DUMMYFUNCTION("""COMPUTED_VALUE"""),44188)</f>
        <v>44188</v>
      </c>
      <c r="AB519" s="27" t="str">
        <f ca="1">IFERROR(__xludf.DUMMYFUNCTION("""COMPUTED_VALUE"""),"Não")</f>
        <v>Não</v>
      </c>
      <c r="AC519" s="27">
        <f ca="1">IFERROR(__xludf.DUMMYFUNCTION("""COMPUTED_VALUE"""),6)</f>
        <v>6</v>
      </c>
      <c r="AD519" s="27">
        <f ca="1">IFERROR(__xludf.DUMMYFUNCTION("""COMPUTED_VALUE"""),3)</f>
        <v>3</v>
      </c>
      <c r="AE519" s="27">
        <f ca="1">IFERROR(__xludf.DUMMYFUNCTION("""COMPUTED_VALUE"""),1)</f>
        <v>1</v>
      </c>
      <c r="AF519" s="27">
        <f ca="1">IFERROR(__xludf.DUMMYFUNCTION("""COMPUTED_VALUE"""),1)</f>
        <v>1</v>
      </c>
      <c r="AG519" s="27">
        <f ca="1">IFERROR(__xludf.DUMMYFUNCTION("""COMPUTED_VALUE"""),2)</f>
        <v>2</v>
      </c>
      <c r="AH519" s="27" t="str">
        <f ca="1">IFERROR(__xludf.DUMMYFUNCTION("""COMPUTED_VALUE"""),"Editais, Doações, Recursos próprios")</f>
        <v>Editais, Doações, Recursos próprios</v>
      </c>
      <c r="AI519" s="27" t="str">
        <f ca="1">IFERROR(__xludf.DUMMYFUNCTION("""COMPUTED_VALUE"""),"60% Editais, 35% recurso próprio, 5% doações")</f>
        <v>60% Editais, 35% recurso próprio, 5% doações</v>
      </c>
      <c r="AJ519" s="27" t="str">
        <f ca="1">IFERROR(__xludf.DUMMYFUNCTION("""COMPUTED_VALUE"""),"Não")</f>
        <v>Não</v>
      </c>
      <c r="AK519" s="27"/>
      <c r="AL519" s="21" t="str">
        <f ca="1">IFERROR(__xludf.DUMMYFUNCTION("""COMPUTED_VALUE"""),"0034X0000380O2Y")</f>
        <v>0034X0000380O2Y</v>
      </c>
      <c r="AM519" s="27" t="str">
        <f ca="1">IFERROR(__xludf.DUMMYFUNCTION("""COMPUTED_VALUE"""),"Marcondes anastacio")</f>
        <v>Marcondes anastacio</v>
      </c>
      <c r="AN519" s="27" t="str">
        <f ca="1">IFERROR(__xludf.DUMMYFUNCTION("""COMPUTED_VALUE"""),"Ativo")</f>
        <v>Ativo</v>
      </c>
      <c r="AO519" s="29">
        <f ca="1">IFERROR(__xludf.DUMMYFUNCTION("""COMPUTED_VALUE"""),44763)</f>
        <v>44763</v>
      </c>
      <c r="AP519" s="27">
        <f ca="1">IFERROR(__xludf.DUMMYFUNCTION("""COMPUTED_VALUE"""),2)</f>
        <v>2</v>
      </c>
      <c r="AQ519" s="27" t="str">
        <f ca="1">IFERROR(__xludf.DUMMYFUNCTION("""COMPUTED_VALUE"""),"Primeiro Semestre 2022")</f>
        <v>Primeiro Semestre 2022</v>
      </c>
      <c r="AR519" s="27" t="str">
        <f ca="1">IFERROR(__xludf.DUMMYFUNCTION("""COMPUTED_VALUE"""),"brunomarcondesanastacio@hotmail.com")</f>
        <v>brunomarcondesanastacio@hotmail.com</v>
      </c>
      <c r="AS519" s="27" t="str">
        <f ca="1">IFERROR(__xludf.DUMMYFUNCTION("""COMPUTED_VALUE"""),"(11)94768-5585")</f>
        <v>(11)94768-5585</v>
      </c>
      <c r="AT519" s="29">
        <f ca="1">IFERROR(__xludf.DUMMYFUNCTION("""COMPUTED_VALUE"""),32056)</f>
        <v>32056</v>
      </c>
      <c r="AU519" s="27">
        <f ca="1">IFERROR(__xludf.DUMMYFUNCTION("""COMPUTED_VALUE"""),35)</f>
        <v>35</v>
      </c>
      <c r="AV519" s="27">
        <f ca="1">IFERROR(__xludf.DUMMYFUNCTION("""COMPUTED_VALUE"""),23053196816)</f>
        <v>23053196816</v>
      </c>
      <c r="AW519" s="27">
        <f ca="1">IFERROR(__xludf.DUMMYFUNCTION("""COMPUTED_VALUE"""),300968000)</f>
        <v>300968000</v>
      </c>
      <c r="AX519" s="27"/>
      <c r="AY519" s="27" t="str">
        <f ca="1">IFERROR(__xludf.DUMMYFUNCTION("""COMPUTED_VALUE"""),"Presidente")</f>
        <v>Presidente</v>
      </c>
      <c r="AZ519" s="27" t="str">
        <f ca="1">IFERROR(__xludf.DUMMYFUNCTION("""COMPUTED_VALUE"""),"G")</f>
        <v>G</v>
      </c>
      <c r="BA519" s="27" t="str">
        <f ca="1">IFERROR(__xludf.DUMMYFUNCTION("""COMPUTED_VALUE"""),"Preta")</f>
        <v>Preta</v>
      </c>
      <c r="BB519" s="27"/>
      <c r="BC519" s="27"/>
      <c r="BD519" s="27" t="str">
        <f ca="1">IFERROR(__xludf.DUMMYFUNCTION("""COMPUTED_VALUE"""),"34 anos, engenheiro ambiental e sanitarista e formando em Direito, além de Educador Social e Ambiental, Técnico em Segurança no Trabalho e Bombeiro Civil, BRUNO MARCONDES ANASTACIO, cria do Jardim Conceiçãozinha, Guarujá, tem como missão levar convicção p"&amp;"ara SALVAR VIDAS, principalmente aos jovens das favelas, que assim como ele podem ir além, alterando assim o destino das Comunidades do Brasil, e renovando a esperança de quem hoje só consegue pensar em como alcançar o pão de cada dia.")</f>
        <v>34 anos, engenheiro ambiental e sanitarista e formando em Direito, além de Educador Social e Ambiental, Técnico em Segurança no Trabalho e Bombeiro Civil, BRUNO MARCONDES ANASTACIO, cria do Jardim Conceiçãozinha, Guarujá, tem como missão levar convicção para SALVAR VIDAS, principalmente aos jovens das favelas, que assim como ele podem ir além, alterando assim o destino das Comunidades do Brasil, e renovando a esperança de quem hoje só consegue pensar em como alcançar o pão de cada dia.</v>
      </c>
      <c r="BE519" s="27" t="str">
        <f ca="1">IFERROR(__xludf.DUMMYFUNCTION("""COMPUTED_VALUE"""),"Homem, cisgênero")</f>
        <v>Homem, cisgênero</v>
      </c>
      <c r="BF519" s="27" t="str">
        <f ca="1">IFERROR(__xludf.DUMMYFUNCTION("""COMPUTED_VALUE"""),"Heterossexual")</f>
        <v>Heterossexual</v>
      </c>
      <c r="BG519" s="27" t="str">
        <f ca="1">IFERROR(__xludf.DUMMYFUNCTION("""COMPUTED_VALUE"""),"Ensino Superior - Completo")</f>
        <v>Ensino Superior - Completo</v>
      </c>
      <c r="BH519" s="27" t="str">
        <f ca="1">IFERROR(__xludf.DUMMYFUNCTION("""COMPUTED_VALUE"""),"Público")</f>
        <v>Público</v>
      </c>
      <c r="BI519" s="27" t="str">
        <f ca="1">IFERROR(__xludf.DUMMYFUNCTION("""COMPUTED_VALUE"""),"Graduação")</f>
        <v>Graduação</v>
      </c>
      <c r="BJ519" s="27" t="str">
        <f ca="1">IFERROR(__xludf.DUMMYFUNCTION("""COMPUTED_VALUE"""),"Privado")</f>
        <v>Privado</v>
      </c>
      <c r="BK519" s="27" t="str">
        <f ca="1">IFERROR(__xludf.DUMMYFUNCTION("""COMPUTED_VALUE"""),"João da Silva de Moraes")</f>
        <v>João da Silva de Moraes</v>
      </c>
      <c r="BL519" s="27">
        <f ca="1">IFERROR(__xludf.DUMMYFUNCTION("""COMPUTED_VALUE"""),248)</f>
        <v>248</v>
      </c>
      <c r="BM519" s="27" t="str">
        <f ca="1">IFERROR(__xludf.DUMMYFUNCTION("""COMPUTED_VALUE"""),"Casa")</f>
        <v>Casa</v>
      </c>
      <c r="BN519" s="27" t="str">
        <f ca="1">IFERROR(__xludf.DUMMYFUNCTION("""COMPUTED_VALUE"""),"São Paulo")</f>
        <v>São Paulo</v>
      </c>
      <c r="BO519" s="27" t="str">
        <f ca="1">IFERROR(__xludf.DUMMYFUNCTION("""COMPUTED_VALUE"""),"04677-050")</f>
        <v>04677-050</v>
      </c>
      <c r="BP519" s="27" t="str">
        <f ca="1">IFERROR(__xludf.DUMMYFUNCTION("""COMPUTED_VALUE"""),"SP")</f>
        <v>SP</v>
      </c>
      <c r="BQ519" s="27" t="str">
        <f ca="1">IFERROR(__xludf.DUMMYFUNCTION("""COMPUTED_VALUE"""),"De 3 até 5 salários mínimos")</f>
        <v>De 3 até 5 salários mínimos</v>
      </c>
      <c r="BR519" s="27" t="str">
        <f ca="1">IFERROR(__xludf.DUMMYFUNCTION("""COMPUTED_VALUE"""),"CLT, Funcionário Público")</f>
        <v>CLT, Funcionário Público</v>
      </c>
      <c r="BS519" s="27" t="str">
        <f ca="1">IFERROR(__xludf.DUMMYFUNCTION("""COMPUTED_VALUE"""),"Aluguel")</f>
        <v>Aluguel</v>
      </c>
      <c r="BT519" s="27">
        <f ca="1">IFERROR(__xludf.DUMMYFUNCTION("""COMPUTED_VALUE"""),4)</f>
        <v>4</v>
      </c>
      <c r="BU519" s="27" t="str">
        <f ca="1">IFERROR(__xludf.DUMMYFUNCTION("""COMPUTED_VALUE"""),"Não tem")</f>
        <v>Não tem</v>
      </c>
      <c r="BV519" s="27" t="str">
        <f ca="1">IFERROR(__xludf.DUMMYFUNCTION("""COMPUTED_VALUE"""),"Não")</f>
        <v>Não</v>
      </c>
      <c r="BW519" s="21" t="str">
        <f ca="1">IFERROR(__xludf.DUMMYFUNCTION("""COMPUTED_VALUE"""),"https://br.linkedin.com/in/bruno-marcondes-anastacio-6b3b3b95")</f>
        <v>https://br.linkedin.com/in/bruno-marcondes-anastacio-6b3b3b95</v>
      </c>
      <c r="BX519" s="21" t="str">
        <f ca="1">IFERROR(__xludf.DUMMYFUNCTION("""COMPUTED_VALUE"""),"instagram.com/bruno_m_anastacio")</f>
        <v>instagram.com/bruno_m_anastacio</v>
      </c>
      <c r="BY519" s="21" t="str">
        <f ca="1">IFERROR(__xludf.DUMMYFUNCTION("""COMPUTED_VALUE"""),"https://drive.google.com/open?id=17C3K54sNOr8rbZBZSHiYk5RwCcEAD5eV")</f>
        <v>https://drive.google.com/open?id=17C3K54sNOr8rbZBZSHiYk5RwCcEAD5eV</v>
      </c>
    </row>
    <row r="520" spans="1:77" ht="12.5" x14ac:dyDescent="0.25">
      <c r="A520" s="21" t="str">
        <f ca="1">IFERROR(__xludf.DUMMYFUNCTION("""COMPUTED_VALUE"""),"0014P00003YSp7OQAT")</f>
        <v>0014P00003YSp7OQAT</v>
      </c>
      <c r="B520" s="27" t="str">
        <f ca="1">IFERROR(__xludf.DUMMYFUNCTION("""COMPUTED_VALUE"""),"Fase Inicial")</f>
        <v>Fase Inicial</v>
      </c>
      <c r="C520" s="27" t="str">
        <f ca="1">IFERROR(__xludf.DUMMYFUNCTION("""COMPUTED_VALUE"""),"Fellow")</f>
        <v>Fellow</v>
      </c>
      <c r="D520" s="27" t="str">
        <f ca="1">IFERROR(__xludf.DUMMYFUNCTION("""COMPUTED_VALUE"""),"Ativo")</f>
        <v>Ativo</v>
      </c>
      <c r="E520" s="27" t="str">
        <f ca="1">IFERROR(__xludf.DUMMYFUNCTION("""COMPUTED_VALUE"""),"Projeto CABE +1")</f>
        <v>Projeto CABE +1</v>
      </c>
      <c r="F520" s="27" t="str">
        <f ca="1">IFERROR(__xludf.DUMMYFUNCTION("""COMPUTED_VALUE"""),"Alcinesio")</f>
        <v>Alcinesio</v>
      </c>
      <c r="G520" s="27"/>
      <c r="H520" s="27"/>
      <c r="I520" s="27" t="str">
        <f ca="1">IFERROR(__xludf.DUMMYFUNCTION("""COMPUTED_VALUE"""),"Alcinesio José de Santana Filho")</f>
        <v>Alcinesio José de Santana Filho</v>
      </c>
      <c r="J520" s="27" t="str">
        <f ca="1">IFERROR(__xludf.DUMMYFUNCTION("""COMPUTED_VALUE"""),"projetocabemaisum@gmail.com")</f>
        <v>projetocabemaisum@gmail.com</v>
      </c>
      <c r="K520" s="27" t="str">
        <f ca="1">IFERROR(__xludf.DUMMYFUNCTION("""COMPUTED_VALUE"""),"(81)98483-5599")</f>
        <v>(81)98483-5599</v>
      </c>
      <c r="L520" s="27" t="str">
        <f ca="1">IFERROR(__xludf.DUMMYFUNCTION("""COMPUTED_VALUE"""),"PE")</f>
        <v>PE</v>
      </c>
      <c r="M520" s="27" t="str">
        <f ca="1">IFERROR(__xludf.DUMMYFUNCTION("""COMPUTED_VALUE"""),"Rua In aldo Bartolomeu de Carvalho")</f>
        <v>Rua In aldo Bartolomeu de Carvalho</v>
      </c>
      <c r="N520" s="27" t="str">
        <f ca="1">IFERROR(__xludf.DUMMYFUNCTION("""COMPUTED_VALUE"""),"Várzea")</f>
        <v>Várzea</v>
      </c>
      <c r="O520" s="27">
        <f ca="1">IFERROR(__xludf.DUMMYFUNCTION("""COMPUTED_VALUE"""),25)</f>
        <v>25</v>
      </c>
      <c r="P520" s="27" t="str">
        <f ca="1">IFERROR(__xludf.DUMMYFUNCTION("""COMPUTED_VALUE"""),"RECIFE")</f>
        <v>RECIFE</v>
      </c>
      <c r="Q520" s="27" t="str">
        <f ca="1">IFERROR(__xludf.DUMMYFUNCTION("""COMPUTED_VALUE"""),"UR-7 Várzea")</f>
        <v>UR-7 Várzea</v>
      </c>
      <c r="R520" s="27" t="str">
        <f ca="1">IFERROR(__xludf.DUMMYFUNCTION("""COMPUTED_VALUE"""),"50970-360")</f>
        <v>50970-360</v>
      </c>
      <c r="S520" s="27"/>
      <c r="T520" s="27" t="str">
        <f ca="1">IFERROR(__xludf.DUMMYFUNCTION("""COMPUTED_VALUE"""),"Educação; Empregabilidade; Assistência Social; Qualificação Profissional; Empreendedorismo; Meio ambiente; Empoderamento Feminino; Negócios Sociais; Comunicação; Desenvolvimento comunitário")</f>
        <v>Educação; Empregabilidade; Assistência Social; Qualificação Profissional; Empreendedorismo; Meio ambiente; Empoderamento Feminino; Negócios Sociais; Comunicação; Desenvolvimento comunitário</v>
      </c>
      <c r="U520"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520" s="27" t="str">
        <f ca="1">IFERROR(__xludf.DUMMYFUNCTION("""COMPUTED_VALUE"""),"Moradores de Favelas; Pessoas em situação de rua; Outros")</f>
        <v>Moradores de Favelas; Pessoas em situação de rua; Outros</v>
      </c>
      <c r="W520" s="27">
        <f ca="1">IFERROR(__xludf.DUMMYFUNCTION("""COMPUTED_VALUE"""),7)</f>
        <v>7</v>
      </c>
      <c r="X520" s="27" t="str">
        <f ca="1">IFERROR(__xludf.DUMMYFUNCTION("""COMPUTED_VALUE"""),"Atendemos a comunidade de modo geral de acordo com parcerias ou datas significativas. Abrangendo nosso público da criança ao idoso.")</f>
        <v>Atendemos a comunidade de modo geral de acordo com parcerias ou datas significativas. Abrangendo nosso público da criança ao idoso.</v>
      </c>
      <c r="Y520" s="27"/>
      <c r="Z520" s="27">
        <f ca="1">IFERROR(__xludf.DUMMYFUNCTION("""COMPUTED_VALUE"""),300)</f>
        <v>300</v>
      </c>
      <c r="AA520" s="29">
        <f ca="1">IFERROR(__xludf.DUMMYFUNCTION("""COMPUTED_VALUE"""),44457)</f>
        <v>44457</v>
      </c>
      <c r="AB520" s="27" t="str">
        <f ca="1">IFERROR(__xludf.DUMMYFUNCTION("""COMPUTED_VALUE"""),"Não")</f>
        <v>Não</v>
      </c>
      <c r="AC520" s="27">
        <f ca="1">IFERROR(__xludf.DUMMYFUNCTION("""COMPUTED_VALUE"""),5)</f>
        <v>5</v>
      </c>
      <c r="AD520" s="27">
        <f ca="1">IFERROR(__xludf.DUMMYFUNCTION("""COMPUTED_VALUE"""),10)</f>
        <v>10</v>
      </c>
      <c r="AE520" s="27">
        <f ca="1">IFERROR(__xludf.DUMMYFUNCTION("""COMPUTED_VALUE"""),20)</f>
        <v>20</v>
      </c>
      <c r="AF520" s="27">
        <f ca="1">IFERROR(__xludf.DUMMYFUNCTION("""COMPUTED_VALUE"""),8)</f>
        <v>8</v>
      </c>
      <c r="AG520" s="27">
        <f ca="1">IFERROR(__xludf.DUMMYFUNCTION("""COMPUTED_VALUE"""),3)</f>
        <v>3</v>
      </c>
      <c r="AH520" s="27" t="str">
        <f ca="1">IFERROR(__xludf.DUMMYFUNCTION("""COMPUTED_VALUE"""),"Negócio Social; Eventos/Ações para captação; Editais; Doações")</f>
        <v>Negócio Social; Eventos/Ações para captação; Editais; Doações</v>
      </c>
      <c r="AI520" s="27" t="str">
        <f ca="1">IFERROR(__xludf.DUMMYFUNCTION("""COMPUTED_VALUE"""),"45 % Negócio Social;  35% Eventos captações; 20% Doações")</f>
        <v>45 % Negócio Social;  35% Eventos captações; 20% Doações</v>
      </c>
      <c r="AJ520" s="27"/>
      <c r="AK520" s="27"/>
      <c r="AL520" s="21" t="str">
        <f ca="1">IFERROR(__xludf.DUMMYFUNCTION("""COMPUTED_VALUE"""),"0034P000045kxhz")</f>
        <v>0034P000045kxhz</v>
      </c>
      <c r="AM520" s="27" t="str">
        <f ca="1">IFERROR(__xludf.DUMMYFUNCTION("""COMPUTED_VALUE"""),"José De Santana Filho")</f>
        <v>José De Santana Filho</v>
      </c>
      <c r="AN520" s="27" t="str">
        <f ca="1">IFERROR(__xludf.DUMMYFUNCTION("""COMPUTED_VALUE"""),"Ativo")</f>
        <v>Ativo</v>
      </c>
      <c r="AO520" s="30">
        <f ca="1">IFERROR(__xludf.DUMMYFUNCTION("""COMPUTED_VALUE"""),44551)</f>
        <v>44551</v>
      </c>
      <c r="AP520" s="27">
        <f ca="1">IFERROR(__xludf.DUMMYFUNCTION("""COMPUTED_VALUE"""),9)</f>
        <v>9</v>
      </c>
      <c r="AQ520" s="27" t="str">
        <f ca="1">IFERROR(__xludf.DUMMYFUNCTION("""COMPUTED_VALUE"""),"Segundo Semestre 2021")</f>
        <v>Segundo Semestre 2021</v>
      </c>
      <c r="AR520" s="27" t="str">
        <f ca="1">IFERROR(__xludf.DUMMYFUNCTION("""COMPUTED_VALUE"""),"alcinesiofilho@gmail.com")</f>
        <v>alcinesiofilho@gmail.com</v>
      </c>
      <c r="AS520" s="27" t="str">
        <f ca="1">IFERROR(__xludf.DUMMYFUNCTION("""COMPUTED_VALUE"""),"(81)98483-5599")</f>
        <v>(81)98483-5599</v>
      </c>
      <c r="AT520" s="29">
        <f ca="1">IFERROR(__xludf.DUMMYFUNCTION("""COMPUTED_VALUE"""),31569)</f>
        <v>31569</v>
      </c>
      <c r="AU520" s="27">
        <f ca="1">IFERROR(__xludf.DUMMYFUNCTION("""COMPUTED_VALUE"""),36)</f>
        <v>36</v>
      </c>
      <c r="AV520" s="27">
        <f ca="1">IFERROR(__xludf.DUMMYFUNCTION("""COMPUTED_VALUE"""),5179717477)</f>
        <v>5179717477</v>
      </c>
      <c r="AW520" s="27" t="str">
        <f ca="1">IFERROR(__xludf.DUMMYFUNCTION("""COMPUTED_VALUE"""),"70579530-0")</f>
        <v>70579530-0</v>
      </c>
      <c r="AX520" s="27"/>
      <c r="AY520" s="27"/>
      <c r="AZ520" s="27" t="str">
        <f ca="1">IFERROR(__xludf.DUMMYFUNCTION("""COMPUTED_VALUE"""),"GG")</f>
        <v>GG</v>
      </c>
      <c r="BA520" s="27" t="str">
        <f ca="1">IFERROR(__xludf.DUMMYFUNCTION("""COMPUTED_VALUE"""),"Parda")</f>
        <v>Parda</v>
      </c>
      <c r="BB520" s="27" t="str">
        <f ca="1">IFERROR(__xludf.DUMMYFUNCTION("""COMPUTED_VALUE"""),"Homem, cisgênero")</f>
        <v>Homem, cisgênero</v>
      </c>
      <c r="BC520" s="27" t="str">
        <f ca="1">IFERROR(__xludf.DUMMYFUNCTION("""COMPUTED_VALUE"""),"Sim")</f>
        <v>Sim</v>
      </c>
      <c r="BD520" s="27" t="str">
        <f ca="1">IFERROR(__xludf.DUMMYFUNCTION("""COMPUTED_VALUE"""),"Olá, sou o Alcinésio Santana, apaixonado por  filmes, viagens e livros, formado em Publicidade e Propaganda, Pós Graduado em Marketing, Design Gráfico, fotografia. Mas só encontrei o meu lugar no mundo ao trabalhar com o  empreendedorismo social.")</f>
        <v>Olá, sou o Alcinésio Santana, apaixonado por  filmes, viagens e livros, formado em Publicidade e Propaganda, Pós Graduado em Marketing, Design Gráfico, fotografia. Mas só encontrei o meu lugar no mundo ao trabalhar com o  empreendedorismo social.</v>
      </c>
      <c r="BE520" s="27"/>
      <c r="BF520" s="27" t="str">
        <f ca="1">IFERROR(__xludf.DUMMYFUNCTION("""COMPUTED_VALUE"""),"Heterossexual")</f>
        <v>Heterossexual</v>
      </c>
      <c r="BG520" s="27" t="str">
        <f ca="1">IFERROR(__xludf.DUMMYFUNCTION("""COMPUTED_VALUE"""),"Ensino Superior - Completo")</f>
        <v>Ensino Superior - Completo</v>
      </c>
      <c r="BH520" s="27" t="str">
        <f ca="1">IFERROR(__xludf.DUMMYFUNCTION("""COMPUTED_VALUE"""),"Privado")</f>
        <v>Privado</v>
      </c>
      <c r="BI520" s="27" t="str">
        <f ca="1">IFERROR(__xludf.DUMMYFUNCTION("""COMPUTED_VALUE"""),"Pós-Graduação")</f>
        <v>Pós-Graduação</v>
      </c>
      <c r="BJ520" s="27" t="str">
        <f ca="1">IFERROR(__xludf.DUMMYFUNCTION("""COMPUTED_VALUE"""),"Privado")</f>
        <v>Privado</v>
      </c>
      <c r="BK520" s="27" t="str">
        <f ca="1">IFERROR(__xludf.DUMMYFUNCTION("""COMPUTED_VALUE"""),"Rua Umburetama")</f>
        <v>Rua Umburetama</v>
      </c>
      <c r="BL520" s="27">
        <f ca="1">IFERROR(__xludf.DUMMYFUNCTION("""COMPUTED_VALUE"""),25)</f>
        <v>25</v>
      </c>
      <c r="BM520" s="27" t="str">
        <f ca="1">IFERROR(__xludf.DUMMYFUNCTION("""COMPUTED_VALUE"""),"Casa")</f>
        <v>Casa</v>
      </c>
      <c r="BN520" s="27" t="str">
        <f ca="1">IFERROR(__xludf.DUMMYFUNCTION("""COMPUTED_VALUE"""),"RECIFE")</f>
        <v>RECIFE</v>
      </c>
      <c r="BO520" s="27" t="str">
        <f ca="1">IFERROR(__xludf.DUMMYFUNCTION("""COMPUTED_VALUE"""),"50960-050")</f>
        <v>50960-050</v>
      </c>
      <c r="BP520" s="27" t="str">
        <f ca="1">IFERROR(__xludf.DUMMYFUNCTION("""COMPUTED_VALUE"""),"PE")</f>
        <v>PE</v>
      </c>
      <c r="BQ520" s="27" t="str">
        <f ca="1">IFERROR(__xludf.DUMMYFUNCTION("""COMPUTED_VALUE"""),"Entre 1 até 3 salários mínimos")</f>
        <v>Entre 1 até 3 salários mínimos</v>
      </c>
      <c r="BR520" s="27" t="str">
        <f ca="1">IFERROR(__xludf.DUMMYFUNCTION("""COMPUTED_VALUE"""),"Desempregado")</f>
        <v>Desempregado</v>
      </c>
      <c r="BS520" s="27" t="str">
        <f ca="1">IFERROR(__xludf.DUMMYFUNCTION("""COMPUTED_VALUE"""),"Casa própria")</f>
        <v>Casa própria</v>
      </c>
      <c r="BT520" s="27">
        <f ca="1">IFERROR(__xludf.DUMMYFUNCTION("""COMPUTED_VALUE"""),1)</f>
        <v>1</v>
      </c>
      <c r="BU520" s="27" t="str">
        <f ca="1">IFERROR(__xludf.DUMMYFUNCTION("""COMPUTED_VALUE"""),"Não tem")</f>
        <v>Não tem</v>
      </c>
      <c r="BV520" s="27"/>
      <c r="BW520" s="21" t="str">
        <f ca="1">IFERROR(__xludf.DUMMYFUNCTION("""COMPUTED_VALUE"""),"https://www.linkedin.com/in/alcinesio-santana-filho-3b8711112/")</f>
        <v>https://www.linkedin.com/in/alcinesio-santana-filho-3b8711112/</v>
      </c>
      <c r="BX520" s="21" t="str">
        <f ca="1">IFERROR(__xludf.DUMMYFUNCTION("""COMPUTED_VALUE"""),"https://www.instagram.com/neo_cb1/")</f>
        <v>https://www.instagram.com/neo_cb1/</v>
      </c>
      <c r="BY520" s="21" t="str">
        <f ca="1">IFERROR(__xludf.DUMMYFUNCTION("""COMPUTED_VALUE"""),"https://drive.google.com/open?id=1GY4nANPksxjm0L13hCM1n4v_7wwub2B6")</f>
        <v>https://drive.google.com/open?id=1GY4nANPksxjm0L13hCM1n4v_7wwub2B6</v>
      </c>
    </row>
    <row r="521" spans="1:77" ht="12.5" x14ac:dyDescent="0.25">
      <c r="A521" s="21" t="str">
        <f ca="1">IFERROR(__xludf.DUMMYFUNCTION("""COMPUTED_VALUE"""),"0014X00002VKCpEQAX")</f>
        <v>0014X00002VKCpEQAX</v>
      </c>
      <c r="B521" s="27" t="str">
        <f ca="1">IFERROR(__xludf.DUMMYFUNCTION("""COMPUTED_VALUE"""),"Fase Inicial")</f>
        <v>Fase Inicial</v>
      </c>
      <c r="C521" s="27" t="str">
        <f ca="1">IFERROR(__xludf.DUMMYFUNCTION("""COMPUTED_VALUE"""),"Fellow")</f>
        <v>Fellow</v>
      </c>
      <c r="D521" s="27" t="str">
        <f ca="1">IFERROR(__xludf.DUMMYFUNCTION("""COMPUTED_VALUE"""),"Ativo")</f>
        <v>Ativo</v>
      </c>
      <c r="E521" s="27" t="str">
        <f ca="1">IFERROR(__xludf.DUMMYFUNCTION("""COMPUTED_VALUE"""),"PROJETO CRESCENDO COM CRISTO")</f>
        <v>PROJETO CRESCENDO COM CRISTO</v>
      </c>
      <c r="F521" s="27" t="str">
        <f ca="1">IFERROR(__xludf.DUMMYFUNCTION("""COMPUTED_VALUE"""),"Emilli")</f>
        <v>Emilli</v>
      </c>
      <c r="G521" s="27" t="str">
        <f ca="1">IFERROR(__xludf.DUMMYFUNCTION("""COMPUTED_VALUE"""),"PROJETO CRESCENDO COM CRISTO")</f>
        <v>PROJETO CRESCENDO COM CRISTO</v>
      </c>
      <c r="H521" s="27"/>
      <c r="I521" s="27" t="str">
        <f ca="1">IFERROR(__xludf.DUMMYFUNCTION("""COMPUTED_VALUE"""),"Maria dos prazeres Herculano da Silva")</f>
        <v>Maria dos prazeres Herculano da Silva</v>
      </c>
      <c r="J521" s="27" t="str">
        <f ca="1">IFERROR(__xludf.DUMMYFUNCTION("""COMPUTED_VALUE"""),"mariaprazeres07@gmail.com")</f>
        <v>mariaprazeres07@gmail.com</v>
      </c>
      <c r="K521" s="27" t="str">
        <f ca="1">IFERROR(__xludf.DUMMYFUNCTION("""COMPUTED_VALUE"""),"(84)98120-2686")</f>
        <v>(84)98120-2686</v>
      </c>
      <c r="L521" s="27" t="str">
        <f ca="1">IFERROR(__xludf.DUMMYFUNCTION("""COMPUTED_VALUE"""),"RN")</f>
        <v>RN</v>
      </c>
      <c r="M521" s="27" t="str">
        <f ca="1">IFERROR(__xludf.DUMMYFUNCTION("""COMPUTED_VALUE"""),"Sitio maxixi")</f>
        <v>Sitio maxixi</v>
      </c>
      <c r="N521" s="27" t="str">
        <f ca="1">IFERROR(__xludf.DUMMYFUNCTION("""COMPUTED_VALUE"""),"Maxixi")</f>
        <v>Maxixi</v>
      </c>
      <c r="O521" s="27">
        <f ca="1">IFERROR(__xludf.DUMMYFUNCTION("""COMPUTED_VALUE"""),5)</f>
        <v>5</v>
      </c>
      <c r="P521" s="27" t="str">
        <f ca="1">IFERROR(__xludf.DUMMYFUNCTION("""COMPUTED_VALUE"""),"CANGUARETAMA")</f>
        <v>CANGUARETAMA</v>
      </c>
      <c r="Q521" s="27" t="str">
        <f ca="1">IFERROR(__xludf.DUMMYFUNCTION("""COMPUTED_VALUE"""),"Casa")</f>
        <v>Casa</v>
      </c>
      <c r="R521" s="27" t="str">
        <f ca="1">IFERROR(__xludf.DUMMYFUNCTION("""COMPUTED_VALUE"""),"59190-000")</f>
        <v>59190-000</v>
      </c>
      <c r="S521" s="27" t="str">
        <f ca="1">IFERROR(__xludf.DUMMYFUNCTION("""COMPUTED_VALUE"""),"Nenhuma")</f>
        <v>Nenhuma</v>
      </c>
      <c r="T521" s="27" t="str">
        <f ca="1">IFERROR(__xludf.DUMMYFUNCTION("""COMPUTED_VALUE"""),"Esporte; Educação; Assistência Social; Cultura; Qualificação Profissional; Empreendedorismo; Saúde; Empoderamento Feminino; Negócios Sociais; Defesa de Direitos")</f>
        <v>Esporte; Educação; Assistência Social; Cultura; Qualificação Profissional; Empreendedorismo; Saúde; Empoderamento Feminino; Negócios Sociais; Defesa de Direitos</v>
      </c>
      <c r="U521" s="27" t="str">
        <f ca="1">IFERROR(__xludf.DUMMYFUNCTION("""COMPUTED_VALUE"""),"Crianças pequenas (4 anos a 5 anos e 11 meses), Jovens (18 aos 24 anos), Adultos, Idosos (60 anos ou mais)")</f>
        <v>Crianças pequenas (4 anos a 5 anos e 11 meses), Jovens (18 aos 24 anos), Adultos, Idosos (60 anos ou mais)</v>
      </c>
      <c r="V521" s="27" t="str">
        <f ca="1">IFERROR(__xludf.DUMMYFUNCTION("""COMPUTED_VALUE"""),"Moradores de Favelas, Pessoas em situação de rua, Comunidade rural")</f>
        <v>Moradores de Favelas, Pessoas em situação de rua, Comunidade rural</v>
      </c>
      <c r="W521" s="27">
        <f ca="1">IFERROR(__xludf.DUMMYFUNCTION("""COMPUTED_VALUE"""),5)</f>
        <v>5</v>
      </c>
      <c r="X521" s="27"/>
      <c r="Y521" s="27">
        <f ca="1">IFERROR(__xludf.DUMMYFUNCTION("""COMPUTED_VALUE"""),0)</f>
        <v>0</v>
      </c>
      <c r="Z521" s="27">
        <f ca="1">IFERROR(__xludf.DUMMYFUNCTION("""COMPUTED_VALUE"""),2)</f>
        <v>2</v>
      </c>
      <c r="AA521" s="29">
        <f ca="1">IFERROR(__xludf.DUMMYFUNCTION("""COMPUTED_VALUE"""),43872)</f>
        <v>43872</v>
      </c>
      <c r="AB521" s="27" t="str">
        <f ca="1">IFERROR(__xludf.DUMMYFUNCTION("""COMPUTED_VALUE"""),"Não")</f>
        <v>Não</v>
      </c>
      <c r="AC521" s="27">
        <f ca="1">IFERROR(__xludf.DUMMYFUNCTION("""COMPUTED_VALUE"""),11)</f>
        <v>11</v>
      </c>
      <c r="AD521" s="27">
        <f ca="1">IFERROR(__xludf.DUMMYFUNCTION("""COMPUTED_VALUE"""),11)</f>
        <v>11</v>
      </c>
      <c r="AE521" s="27">
        <f ca="1">IFERROR(__xludf.DUMMYFUNCTION("""COMPUTED_VALUE"""),11)</f>
        <v>11</v>
      </c>
      <c r="AF521" s="27">
        <f ca="1">IFERROR(__xludf.DUMMYFUNCTION("""COMPUTED_VALUE"""),11)</f>
        <v>11</v>
      </c>
      <c r="AG521" s="27">
        <f ca="1">IFERROR(__xludf.DUMMYFUNCTION("""COMPUTED_VALUE"""),5)</f>
        <v>5</v>
      </c>
      <c r="AH521" s="27" t="str">
        <f ca="1">IFERROR(__xludf.DUMMYFUNCTION("""COMPUTED_VALUE"""),"Editais, Outro(s), Doações, Recursos próprios")</f>
        <v>Editais, Outro(s), Doações, Recursos próprios</v>
      </c>
      <c r="AI521" s="27">
        <f ca="1">IFERROR(__xludf.DUMMYFUNCTION("""COMPUTED_VALUE"""),0)</f>
        <v>0</v>
      </c>
      <c r="AJ521" s="27" t="str">
        <f ca="1">IFERROR(__xludf.DUMMYFUNCTION("""COMPUTED_VALUE"""),"Vamos iniciar esse ano")</f>
        <v>Vamos iniciar esse ano</v>
      </c>
      <c r="AK521" s="27"/>
      <c r="AL521" s="21" t="str">
        <f ca="1">IFERROR(__xludf.DUMMYFUNCTION("""COMPUTED_VALUE"""),"0034X0000380O42")</f>
        <v>0034X0000380O42</v>
      </c>
      <c r="AM521" s="27" t="str">
        <f ca="1">IFERROR(__xludf.DUMMYFUNCTION("""COMPUTED_VALUE"""),"Maciel rastelly")</f>
        <v>Maciel rastelly</v>
      </c>
      <c r="AN521" s="27" t="str">
        <f ca="1">IFERROR(__xludf.DUMMYFUNCTION("""COMPUTED_VALUE"""),"Ativo")</f>
        <v>Ativo</v>
      </c>
      <c r="AO521" s="29">
        <f ca="1">IFERROR(__xludf.DUMMYFUNCTION("""COMPUTED_VALUE"""),44763)</f>
        <v>44763</v>
      </c>
      <c r="AP521" s="27">
        <f ca="1">IFERROR(__xludf.DUMMYFUNCTION("""COMPUTED_VALUE"""),2)</f>
        <v>2</v>
      </c>
      <c r="AQ521" s="27" t="str">
        <f ca="1">IFERROR(__xludf.DUMMYFUNCTION("""COMPUTED_VALUE"""),"Primeiro Semestre 2022")</f>
        <v>Primeiro Semestre 2022</v>
      </c>
      <c r="AR521" s="27" t="str">
        <f ca="1">IFERROR(__xludf.DUMMYFUNCTION("""COMPUTED_VALUE"""),"emillyrastelly26@gmail.com")</f>
        <v>emillyrastelly26@gmail.com</v>
      </c>
      <c r="AS521" s="27" t="str">
        <f ca="1">IFERROR(__xludf.DUMMYFUNCTION("""COMPUTED_VALUE"""),"71 98833-4868")</f>
        <v>71 98833-4868</v>
      </c>
      <c r="AT521" s="29">
        <f ca="1">IFERROR(__xludf.DUMMYFUNCTION("""COMPUTED_VALUE"""),33844)</f>
        <v>33844</v>
      </c>
      <c r="AU521" s="27">
        <f ca="1">IFERROR(__xludf.DUMMYFUNCTION("""COMPUTED_VALUE"""),30)</f>
        <v>30</v>
      </c>
      <c r="AV521" s="27">
        <f ca="1">IFERROR(__xludf.DUMMYFUNCTION("""COMPUTED_VALUE"""),5321589542)</f>
        <v>5321589542</v>
      </c>
      <c r="AW521" s="27">
        <f ca="1">IFERROR(__xludf.DUMMYFUNCTION("""COMPUTED_VALUE"""),1440628289)</f>
        <v>1440628289</v>
      </c>
      <c r="AX521" s="27"/>
      <c r="AY521" s="27"/>
      <c r="AZ521" s="27" t="str">
        <f ca="1">IFERROR(__xludf.DUMMYFUNCTION("""COMPUTED_VALUE"""),"GG")</f>
        <v>GG</v>
      </c>
      <c r="BA521" s="27" t="str">
        <f ca="1">IFERROR(__xludf.DUMMYFUNCTION("""COMPUTED_VALUE"""),"Preta")</f>
        <v>Preta</v>
      </c>
      <c r="BB521" s="27"/>
      <c r="BC521" s="27"/>
      <c r="BD521" s="27" t="str">
        <f ca="1">IFERROR(__xludf.DUMMYFUNCTION("""COMPUTED_VALUE"""),"Olá mi chamo emilli Maciel Rastelly  sou de salvador do subúrbio ferroviário Moradora do bairro de fazenda coutos 3 tenho 4 filhos 2 meninas e 2 meninos sou casada e faço trabalho social na comunidade com famílias em situação de vulnerabilidade social e f"&amp;"aço trabalho c moradores de rua também  amo o quê  faço  tudo que faço e com muita dedicação e amor")</f>
        <v>Olá mi chamo emilli Maciel Rastelly  sou de salvador do subúrbio ferroviário Moradora do bairro de fazenda coutos 3 tenho 4 filhos 2 meninas e 2 meninos sou casada e faço trabalho social na comunidade com famílias em situação de vulnerabilidade social e faço trabalho c moradores de rua também  amo o quê  faço  tudo que faço e com muita dedicação e amor</v>
      </c>
      <c r="BE521" s="27" t="str">
        <f ca="1">IFERROR(__xludf.DUMMYFUNCTION("""COMPUTED_VALUE"""),"Feminino")</f>
        <v>Feminino</v>
      </c>
      <c r="BF521" s="27" t="str">
        <f ca="1">IFERROR(__xludf.DUMMYFUNCTION("""COMPUTED_VALUE"""),"Prefiro não responder")</f>
        <v>Prefiro não responder</v>
      </c>
      <c r="BG521" s="27"/>
      <c r="BH521" s="27" t="str">
        <f ca="1">IFERROR(__xludf.DUMMYFUNCTION("""COMPUTED_VALUE"""),"Público")</f>
        <v>Público</v>
      </c>
      <c r="BI521" s="27"/>
      <c r="BJ521" s="27" t="str">
        <f ca="1">IFERROR(__xludf.DUMMYFUNCTION("""COMPUTED_VALUE"""),"Público")</f>
        <v>Público</v>
      </c>
      <c r="BK521" s="27" t="str">
        <f ca="1">IFERROR(__xludf.DUMMYFUNCTION("""COMPUTED_VALUE"""),"Rua eixo 07 quadra 14")</f>
        <v>Rua eixo 07 quadra 14</v>
      </c>
      <c r="BL521" s="27">
        <f ca="1">IFERROR(__xludf.DUMMYFUNCTION("""COMPUTED_VALUE"""),14)</f>
        <v>14</v>
      </c>
      <c r="BM521" s="27"/>
      <c r="BN521" s="27"/>
      <c r="BO521" s="27" t="str">
        <f ca="1">IFERROR(__xludf.DUMMYFUNCTION("""COMPUTED_VALUE"""),"40731-325")</f>
        <v>40731-325</v>
      </c>
      <c r="BP521" s="27" t="str">
        <f ca="1">IFERROR(__xludf.DUMMYFUNCTION("""COMPUTED_VALUE"""),"BA")</f>
        <v>BA</v>
      </c>
      <c r="BQ521" s="27" t="str">
        <f ca="1">IFERROR(__xludf.DUMMYFUNCTION("""COMPUTED_VALUE"""),"Entre 1 até 3 salários mínimos")</f>
        <v>Entre 1 até 3 salários mínimos</v>
      </c>
      <c r="BR521" s="27" t="str">
        <f ca="1">IFERROR(__xludf.DUMMYFUNCTION("""COMPUTED_VALUE"""),"Desempregado")</f>
        <v>Desempregado</v>
      </c>
      <c r="BS521" s="27" t="str">
        <f ca="1">IFERROR(__xludf.DUMMYFUNCTION("""COMPUTED_VALUE"""),"Casa própria")</f>
        <v>Casa própria</v>
      </c>
      <c r="BT521" s="27">
        <f ca="1">IFERROR(__xludf.DUMMYFUNCTION("""COMPUTED_VALUE"""),6)</f>
        <v>6</v>
      </c>
      <c r="BU521" s="27" t="str">
        <f ca="1">IFERROR(__xludf.DUMMYFUNCTION("""COMPUTED_VALUE"""),"Não tem")</f>
        <v>Não tem</v>
      </c>
      <c r="BV521" s="27" t="str">
        <f ca="1">IFERROR(__xludf.DUMMYFUNCTION("""COMPUTED_VALUE"""),"Não")</f>
        <v>Não</v>
      </c>
      <c r="BW521" s="27"/>
      <c r="BX521" s="27"/>
      <c r="BY521" s="21" t="str">
        <f ca="1">IFERROR(__xludf.DUMMYFUNCTION("""COMPUTED_VALUE"""),"https://drive.google.com/open?id=1iTJFsM1YYHY7c4XLdb21So1-0IsuYJFU")</f>
        <v>https://drive.google.com/open?id=1iTJFsM1YYHY7c4XLdb21So1-0IsuYJFU</v>
      </c>
    </row>
    <row r="522" spans="1:77" ht="12.5" x14ac:dyDescent="0.25">
      <c r="A522" s="21" t="str">
        <f ca="1">IFERROR(__xludf.DUMMYFUNCTION("""COMPUTED_VALUE"""),"0014X00002VKCpkQAH")</f>
        <v>0014X00002VKCpkQAH</v>
      </c>
      <c r="B522" s="27" t="str">
        <f ca="1">IFERROR(__xludf.DUMMYFUNCTION("""COMPUTED_VALUE"""),"Fase Inicial")</f>
        <v>Fase Inicial</v>
      </c>
      <c r="C522" s="27" t="str">
        <f ca="1">IFERROR(__xludf.DUMMYFUNCTION("""COMPUTED_VALUE"""),"Fellow")</f>
        <v>Fellow</v>
      </c>
      <c r="D522" s="27" t="str">
        <f ca="1">IFERROR(__xludf.DUMMYFUNCTION("""COMPUTED_VALUE"""),"Ativo")</f>
        <v>Ativo</v>
      </c>
      <c r="E522" s="27" t="str">
        <f ca="1">IFERROR(__xludf.DUMMYFUNCTION("""COMPUTED_VALUE"""),"PROJETO DE DESENVOLVIMENTO CULTURAL ARTE E COR")</f>
        <v>PROJETO DE DESENVOLVIMENTO CULTURAL ARTE E COR</v>
      </c>
      <c r="F522" s="27" t="str">
        <f ca="1">IFERROR(__xludf.DUMMYFUNCTION("""COMPUTED_VALUE"""),"Antonio")</f>
        <v>Antonio</v>
      </c>
      <c r="G522" s="27" t="str">
        <f ca="1">IFERROR(__xludf.DUMMYFUNCTION("""COMPUTED_VALUE"""),"PROJETO DE DESENVOLVIMENTO CULTURAL ARTE E COR")</f>
        <v>PROJETO DE DESENVOLVIMENTO CULTURAL ARTE E COR</v>
      </c>
      <c r="H522" s="27" t="str">
        <f ca="1">IFERROR(__xludf.DUMMYFUNCTION("""COMPUTED_VALUE"""),"23.716.164/0001-79")</f>
        <v>23.716.164/0001-79</v>
      </c>
      <c r="I522" s="27" t="str">
        <f ca="1">IFERROR(__xludf.DUMMYFUNCTION("""COMPUTED_VALUE"""),"Eliezio Antonio de Oliveira")</f>
        <v>Eliezio Antonio de Oliveira</v>
      </c>
      <c r="J522" s="27" t="str">
        <f ca="1">IFERROR(__xludf.DUMMYFUNCTION("""COMPUTED_VALUE"""),"projeto.cultura@hotmail.com")</f>
        <v>projeto.cultura@hotmail.com</v>
      </c>
      <c r="K522" s="27" t="str">
        <f ca="1">IFERROR(__xludf.DUMMYFUNCTION("""COMPUTED_VALUE"""),"(85)3081-8949")</f>
        <v>(85)3081-8949</v>
      </c>
      <c r="L522" s="27" t="str">
        <f ca="1">IFERROR(__xludf.DUMMYFUNCTION("""COMPUTED_VALUE"""),"CE")</f>
        <v>CE</v>
      </c>
      <c r="M522" s="27" t="str">
        <f ca="1">IFERROR(__xludf.DUMMYFUNCTION("""COMPUTED_VALUE"""),"Rua Desembargador Felismino 219")</f>
        <v>Rua Desembargador Felismino 219</v>
      </c>
      <c r="N522" s="27" t="str">
        <f ca="1">IFERROR(__xludf.DUMMYFUNCTION("""COMPUTED_VALUE"""),"Autran Nunes")</f>
        <v>Autran Nunes</v>
      </c>
      <c r="O522" s="27">
        <f ca="1">IFERROR(__xludf.DUMMYFUNCTION("""COMPUTED_VALUE"""),219)</f>
        <v>219</v>
      </c>
      <c r="P522" s="27" t="str">
        <f ca="1">IFERROR(__xludf.DUMMYFUNCTION("""COMPUTED_VALUE"""),"Fortaleza")</f>
        <v>Fortaleza</v>
      </c>
      <c r="Q522" s="27" t="str">
        <f ca="1">IFERROR(__xludf.DUMMYFUNCTION("""COMPUTED_VALUE"""),"sede")</f>
        <v>sede</v>
      </c>
      <c r="R522" s="27" t="str">
        <f ca="1">IFERROR(__xludf.DUMMYFUNCTION("""COMPUTED_VALUE"""),"60526-760")</f>
        <v>60526-760</v>
      </c>
      <c r="S522" s="27" t="str">
        <f ca="1">IFERROR(__xludf.DUMMYFUNCTION("""COMPUTED_VALUE"""),"creche comunitária")</f>
        <v>creche comunitária</v>
      </c>
      <c r="T522" s="27"/>
      <c r="U522" s="27" t="str">
        <f ca="1">IFERROR(__xludf.DUMMYFUNCTION("""COMPUTED_VALUE"""),"bebês (1 a 1ano e 6 meses), Crianças bem pequenas (1 ano e 7 meses até 3 anos e 11 meses), Crianças (6 a 12 anos), Adolescentes (12 aos 18 anos), Jovens (18 aos 24 anos), Adultos, Idosos (60 anos ou mais)")</f>
        <v>bebês (1 a 1ano e 6 meses), Crianças bem pequenas (1 ano e 7 meses até 3 anos e 11 meses), Crianças (6 a 12 anos), Adolescentes (12 aos 18 anos), Jovens (18 aos 24 anos), Adultos, Idosos (60 anos ou mais)</v>
      </c>
      <c r="V522" s="27" t="str">
        <f ca="1">IFERROR(__xludf.DUMMYFUNCTION("""COMPUTED_VALUE"""),"Moradores de Favelas, Pessoas em situação de rua, Comunidade rural")</f>
        <v>Moradores de Favelas, Pessoas em situação de rua, Comunidade rural</v>
      </c>
      <c r="W522" s="27">
        <f ca="1">IFERROR(__xludf.DUMMYFUNCTION("""COMPUTED_VALUE"""),580)</f>
        <v>580</v>
      </c>
      <c r="X522" s="27" t="str">
        <f ca="1">IFERROR(__xludf.DUMMYFUNCTION("""COMPUTED_VALUE"""),"Atendemos crianças diariamente através de creche comunitária e adolescentes com Atividades de dança*cultura e reforço escolar.")</f>
        <v>Atendemos crianças diariamente através de creche comunitária e adolescentes com Atividades de dança*cultura e reforço escolar.</v>
      </c>
      <c r="Y522" s="27"/>
      <c r="Z522" s="27">
        <f ca="1">IFERROR(__xludf.DUMMYFUNCTION("""COMPUTED_VALUE"""),150)</f>
        <v>150</v>
      </c>
      <c r="AA522" s="29">
        <f ca="1">IFERROR(__xludf.DUMMYFUNCTION("""COMPUTED_VALUE"""),33084)</f>
        <v>33084</v>
      </c>
      <c r="AB522" s="27" t="str">
        <f ca="1">IFERROR(__xludf.DUMMYFUNCTION("""COMPUTED_VALUE"""),"Sim")</f>
        <v>Sim</v>
      </c>
      <c r="AC522" s="27">
        <f ca="1">IFERROR(__xludf.DUMMYFUNCTION("""COMPUTED_VALUE"""),15)</f>
        <v>15</v>
      </c>
      <c r="AD522" s="27">
        <f ca="1">IFERROR(__xludf.DUMMYFUNCTION("""COMPUTED_VALUE"""),15)</f>
        <v>15</v>
      </c>
      <c r="AE522" s="27">
        <f ca="1">IFERROR(__xludf.DUMMYFUNCTION("""COMPUTED_VALUE"""),3)</f>
        <v>3</v>
      </c>
      <c r="AF522" s="27">
        <f ca="1">IFERROR(__xludf.DUMMYFUNCTION("""COMPUTED_VALUE"""),3)</f>
        <v>3</v>
      </c>
      <c r="AG522" s="27">
        <f ca="1">IFERROR(__xludf.DUMMYFUNCTION("""COMPUTED_VALUE"""),4)</f>
        <v>4</v>
      </c>
      <c r="AH522" s="27" t="str">
        <f ca="1">IFERROR(__xludf.DUMMYFUNCTION("""COMPUTED_VALUE"""),"Convênio Público, Plataforma doação online - Pessoa Física, Parceria iniciativa privada, Editais")</f>
        <v>Convênio Público, Plataforma doação online - Pessoa Física, Parceria iniciativa privada, Editais</v>
      </c>
      <c r="AI522" s="27">
        <f ca="1">IFERROR(__xludf.DUMMYFUNCTION("""COMPUTED_VALUE"""),20)</f>
        <v>20</v>
      </c>
      <c r="AJ522" s="27" t="str">
        <f ca="1">IFERROR(__xludf.DUMMYFUNCTION("""COMPUTED_VALUE"""),"Vamos iniciar esse ano")</f>
        <v>Vamos iniciar esse ano</v>
      </c>
      <c r="AK522" s="27"/>
      <c r="AL522" s="21" t="str">
        <f ca="1">IFERROR(__xludf.DUMMYFUNCTION("""COMPUTED_VALUE"""),"0034X0000380O5Q")</f>
        <v>0034X0000380O5Q</v>
      </c>
      <c r="AM522" s="27" t="str">
        <f ca="1">IFERROR(__xludf.DUMMYFUNCTION("""COMPUTED_VALUE"""),"Carlos benvindo de oliveira")</f>
        <v>Carlos benvindo de oliveira</v>
      </c>
      <c r="AN522" s="27" t="str">
        <f ca="1">IFERROR(__xludf.DUMMYFUNCTION("""COMPUTED_VALUE"""),"Ativo")</f>
        <v>Ativo</v>
      </c>
      <c r="AO522" s="29">
        <f ca="1">IFERROR(__xludf.DUMMYFUNCTION("""COMPUTED_VALUE"""),44763)</f>
        <v>44763</v>
      </c>
      <c r="AP522" s="27">
        <f ca="1">IFERROR(__xludf.DUMMYFUNCTION("""COMPUTED_VALUE"""),2)</f>
        <v>2</v>
      </c>
      <c r="AQ522" s="27" t="str">
        <f ca="1">IFERROR(__xludf.DUMMYFUNCTION("""COMPUTED_VALUE"""),"Primeiro Semestre 2022")</f>
        <v>Primeiro Semestre 2022</v>
      </c>
      <c r="AR522" s="27" t="str">
        <f ca="1">IFERROR(__xludf.DUMMYFUNCTION("""COMPUTED_VALUE"""),"projeto.cultura@hotmail.com")</f>
        <v>projeto.cultura@hotmail.com</v>
      </c>
      <c r="AS522" s="27" t="str">
        <f ca="1">IFERROR(__xludf.DUMMYFUNCTION("""COMPUTED_VALUE"""),"(85)98550-0780")</f>
        <v>(85)98550-0780</v>
      </c>
      <c r="AT522" s="29">
        <f ca="1">IFERROR(__xludf.DUMMYFUNCTION("""COMPUTED_VALUE"""),31810)</f>
        <v>31810</v>
      </c>
      <c r="AU522" s="27">
        <f ca="1">IFERROR(__xludf.DUMMYFUNCTION("""COMPUTED_VALUE"""),35)</f>
        <v>35</v>
      </c>
      <c r="AV522" s="27">
        <f ca="1">IFERROR(__xludf.DUMMYFUNCTION("""COMPUTED_VALUE"""),1444834320)</f>
        <v>1444834320</v>
      </c>
      <c r="AW522" s="27">
        <f ca="1">IFERROR(__xludf.DUMMYFUNCTION("""COMPUTED_VALUE"""),2002014084250)</f>
        <v>2002014084250</v>
      </c>
      <c r="AX522" s="27"/>
      <c r="AY522" s="27" t="str">
        <f ca="1">IFERROR(__xludf.DUMMYFUNCTION("""COMPUTED_VALUE"""),"Coordenador Adm")</f>
        <v>Coordenador Adm</v>
      </c>
      <c r="AZ522" s="27" t="str">
        <f ca="1">IFERROR(__xludf.DUMMYFUNCTION("""COMPUTED_VALUE"""),"M")</f>
        <v>M</v>
      </c>
      <c r="BA522" s="27" t="str">
        <f ca="1">IFERROR(__xludf.DUMMYFUNCTION("""COMPUTED_VALUE"""),"Parda")</f>
        <v>Parda</v>
      </c>
      <c r="BB522" s="27"/>
      <c r="BC522" s="27"/>
      <c r="BD522" s="27" t="str">
        <f ca="1">IFERROR(__xludf.DUMMYFUNCTION("""COMPUTED_VALUE"""),"Criada com o objetivo de proporcionar
uma assistência de qualidade na educação e incentivar e promover a cultura e suas
diversas artes com a finalidade de suprir inicialmente as necessidades das comunidades
dos bairros Autran Nunes e adjacências, reduzind"&amp;"o os índices de violência, criminalidade e
fortalecendo os laços familiares, e somente assim expandir os resultados positivos destas
ações para toda a sociedade.")</f>
        <v>Criada com o objetivo de proporcionar
uma assistência de qualidade na educação e incentivar e promover a cultura e suas
diversas artes com a finalidade de suprir inicialmente as necessidades das comunidades
dos bairros Autran Nunes e adjacências, reduzindo os índices de violência, criminalidade e
fortalecendo os laços familiares, e somente assim expandir os resultados positivos destas
ações para toda a sociedade.</v>
      </c>
      <c r="BE522" s="27" t="str">
        <f ca="1">IFERROR(__xludf.DUMMYFUNCTION("""COMPUTED_VALUE"""),"Homem, cisgênero")</f>
        <v>Homem, cisgênero</v>
      </c>
      <c r="BF522" s="27" t="str">
        <f ca="1">IFERROR(__xludf.DUMMYFUNCTION("""COMPUTED_VALUE"""),"Heterossexual")</f>
        <v>Heterossexual</v>
      </c>
      <c r="BG522" s="27" t="str">
        <f ca="1">IFERROR(__xludf.DUMMYFUNCTION("""COMPUTED_VALUE"""),"Ensino Superior - Completo")</f>
        <v>Ensino Superior - Completo</v>
      </c>
      <c r="BH522" s="27" t="str">
        <f ca="1">IFERROR(__xludf.DUMMYFUNCTION("""COMPUTED_VALUE"""),"Privado")</f>
        <v>Privado</v>
      </c>
      <c r="BI522" s="27" t="str">
        <f ca="1">IFERROR(__xludf.DUMMYFUNCTION("""COMPUTED_VALUE"""),"Graduação")</f>
        <v>Graduação</v>
      </c>
      <c r="BJ522" s="27" t="str">
        <f ca="1">IFERROR(__xludf.DUMMYFUNCTION("""COMPUTED_VALUE"""),"Privado")</f>
        <v>Privado</v>
      </c>
      <c r="BK522" s="27" t="str">
        <f ca="1">IFERROR(__xludf.DUMMYFUNCTION("""COMPUTED_VALUE"""),"rua desembargador felismino")</f>
        <v>rua desembargador felismino</v>
      </c>
      <c r="BL522" s="27">
        <f ca="1">IFERROR(__xludf.DUMMYFUNCTION("""COMPUTED_VALUE"""),219)</f>
        <v>219</v>
      </c>
      <c r="BM522" s="27"/>
      <c r="BN522" s="27" t="str">
        <f ca="1">IFERROR(__xludf.DUMMYFUNCTION("""COMPUTED_VALUE"""),"Fortaleza")</f>
        <v>Fortaleza</v>
      </c>
      <c r="BO522" s="27" t="str">
        <f ca="1">IFERROR(__xludf.DUMMYFUNCTION("""COMPUTED_VALUE"""),"60526-760")</f>
        <v>60526-760</v>
      </c>
      <c r="BP522" s="27" t="str">
        <f ca="1">IFERROR(__xludf.DUMMYFUNCTION("""COMPUTED_VALUE"""),"CE")</f>
        <v>CE</v>
      </c>
      <c r="BQ522" s="27" t="str">
        <f ca="1">IFERROR(__xludf.DUMMYFUNCTION("""COMPUTED_VALUE"""),"Entre 1 até 3 salários mínimos")</f>
        <v>Entre 1 até 3 salários mínimos</v>
      </c>
      <c r="BR522" s="27" t="str">
        <f ca="1">IFERROR(__xludf.DUMMYFUNCTION("""COMPUTED_VALUE"""),"CLT")</f>
        <v>CLT</v>
      </c>
      <c r="BS522" s="27" t="str">
        <f ca="1">IFERROR(__xludf.DUMMYFUNCTION("""COMPUTED_VALUE"""),"Aluguel")</f>
        <v>Aluguel</v>
      </c>
      <c r="BT522" s="27">
        <f ca="1">IFERROR(__xludf.DUMMYFUNCTION("""COMPUTED_VALUE"""),2)</f>
        <v>2</v>
      </c>
      <c r="BU522" s="27" t="str">
        <f ca="1">IFERROR(__xludf.DUMMYFUNCTION("""COMPUTED_VALUE"""),"Não tem")</f>
        <v>Não tem</v>
      </c>
      <c r="BV522" s="27" t="str">
        <f ca="1">IFERROR(__xludf.DUMMYFUNCTION("""COMPUTED_VALUE"""),"Não")</f>
        <v>Não</v>
      </c>
      <c r="BW522" s="27"/>
      <c r="BX522" s="27" t="str">
        <f ca="1">IFERROR(__xludf.DUMMYFUNCTION("""COMPUTED_VALUE"""),"@carlosbenvindo")</f>
        <v>@carlosbenvindo</v>
      </c>
      <c r="BY522" s="21" t="str">
        <f ca="1">IFERROR(__xludf.DUMMYFUNCTION("""COMPUTED_VALUE"""),"https://drive.google.com/open?id=1kFk9CsV0f0D4iXPyVEQ9AIL2QUa9ZcfN")</f>
        <v>https://drive.google.com/open?id=1kFk9CsV0f0D4iXPyVEQ9AIL2QUa9ZcfN</v>
      </c>
    </row>
    <row r="523" spans="1:77" ht="12.5" x14ac:dyDescent="0.25">
      <c r="A523" s="21" t="str">
        <f ca="1">IFERROR(__xludf.DUMMYFUNCTION("""COMPUTED_VALUE"""),"0014P00003YSp9vQAD")</f>
        <v>0014P00003YSp9vQAD</v>
      </c>
      <c r="B523" s="27" t="str">
        <f ca="1">IFERROR(__xludf.DUMMYFUNCTION("""COMPUTED_VALUE"""),"Fase Inicial")</f>
        <v>Fase Inicial</v>
      </c>
      <c r="C523" s="27" t="str">
        <f ca="1">IFERROR(__xludf.DUMMYFUNCTION("""COMPUTED_VALUE"""),"Fellow")</f>
        <v>Fellow</v>
      </c>
      <c r="D523" s="27" t="str">
        <f ca="1">IFERROR(__xludf.DUMMYFUNCTION("""COMPUTED_VALUE"""),"Ativo")</f>
        <v>Ativo</v>
      </c>
      <c r="E523" s="27" t="str">
        <f ca="1">IFERROR(__xludf.DUMMYFUNCTION("""COMPUTED_VALUE"""),"Projeto desafiando gigantes")</f>
        <v>Projeto desafiando gigantes</v>
      </c>
      <c r="F523" s="27" t="str">
        <f ca="1">IFERROR(__xludf.DUMMYFUNCTION("""COMPUTED_VALUE"""),"Renato")</f>
        <v>Renato</v>
      </c>
      <c r="G523" s="27"/>
      <c r="H523" s="27"/>
      <c r="I523" s="27" t="str">
        <f ca="1">IFERROR(__xludf.DUMMYFUNCTION("""COMPUTED_VALUE"""),"Kely de souza costa")</f>
        <v>Kely de souza costa</v>
      </c>
      <c r="J523" s="27" t="str">
        <f ca="1">IFERROR(__xludf.DUMMYFUNCTION("""COMPUTED_VALUE"""),"associacaodesafiandogigantes@gmail.com")</f>
        <v>associacaodesafiandogigantes@gmail.com</v>
      </c>
      <c r="K523" s="27" t="str">
        <f ca="1">IFERROR(__xludf.DUMMYFUNCTION("""COMPUTED_VALUE"""),"(11)95118-1517")</f>
        <v>(11)95118-1517</v>
      </c>
      <c r="L523" s="27" t="str">
        <f ca="1">IFERROR(__xludf.DUMMYFUNCTION("""COMPUTED_VALUE"""),"SP")</f>
        <v>SP</v>
      </c>
      <c r="M523" s="27" t="str">
        <f ca="1">IFERROR(__xludf.DUMMYFUNCTION("""COMPUTED_VALUE"""),"Rua Orlando zanfelice")</f>
        <v>Rua Orlando zanfelice</v>
      </c>
      <c r="N523" s="27" t="str">
        <f ca="1">IFERROR(__xludf.DUMMYFUNCTION("""COMPUTED_VALUE"""),"Jd.célia")</f>
        <v>Jd.célia</v>
      </c>
      <c r="O523" s="27">
        <f ca="1">IFERROR(__xludf.DUMMYFUNCTION("""COMPUTED_VALUE"""),5)</f>
        <v>5</v>
      </c>
      <c r="P523" s="27" t="str">
        <f ca="1">IFERROR(__xludf.DUMMYFUNCTION("""COMPUTED_VALUE"""),"São Paulo")</f>
        <v>São Paulo</v>
      </c>
      <c r="Q523" s="27"/>
      <c r="R523" s="27" t="str">
        <f ca="1">IFERROR(__xludf.DUMMYFUNCTION("""COMPUTED_VALUE"""),"08191-335")</f>
        <v>08191-335</v>
      </c>
      <c r="S523" s="27"/>
      <c r="T523" s="27" t="str">
        <f ca="1">IFERROR(__xludf.DUMMYFUNCTION("""COMPUTED_VALUE"""),"Esporte; Educação; Empregabilidade; Assistência Social; Cultura; Qualificação Profissional; Empreendedorismo; Apoio à gestão de organizações de Terceiro Setor; Defesa de Direitos; Desenvolvimento comunitário")</f>
        <v>Esporte; Educação; Empregabilidade; Assistência Social; Cultura; Qualificação Profissional; Empreendedorismo; Apoio à gestão de organizações de Terceiro Setor; Defesa de Direitos; Desenvolvimento comunitário</v>
      </c>
      <c r="U523"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523" s="27" t="str">
        <f ca="1">IFERROR(__xludf.DUMMYFUNCTION("""COMPUTED_VALUE"""),"Moradores de Favelas; Pessoas em situação de rua; Afrodescendentes; Dependentes Químicos; Egressos sistema carcerário; Outros")</f>
        <v>Moradores de Favelas; Pessoas em situação de rua; Afrodescendentes; Dependentes Químicos; Egressos sistema carcerário; Outros</v>
      </c>
      <c r="W523" s="27">
        <f ca="1">IFERROR(__xludf.DUMMYFUNCTION("""COMPUTED_VALUE"""),11)</f>
        <v>11</v>
      </c>
      <c r="X523" s="27"/>
      <c r="Y523" s="27"/>
      <c r="Z523" s="27">
        <f ca="1">IFERROR(__xludf.DUMMYFUNCTION("""COMPUTED_VALUE"""),3500)</f>
        <v>3500</v>
      </c>
      <c r="AA523" s="29">
        <f ca="1">IFERROR(__xludf.DUMMYFUNCTION("""COMPUTED_VALUE"""),44743)</f>
        <v>44743</v>
      </c>
      <c r="AB523" s="27" t="str">
        <f ca="1">IFERROR(__xludf.DUMMYFUNCTION("""COMPUTED_VALUE"""),"Não")</f>
        <v>Não</v>
      </c>
      <c r="AC523" s="27">
        <f ca="1">IFERROR(__xludf.DUMMYFUNCTION("""COMPUTED_VALUE"""),0)</f>
        <v>0</v>
      </c>
      <c r="AD523" s="27">
        <f ca="1">IFERROR(__xludf.DUMMYFUNCTION("""COMPUTED_VALUE"""),0)</f>
        <v>0</v>
      </c>
      <c r="AE523" s="27">
        <f ca="1">IFERROR(__xludf.DUMMYFUNCTION("""COMPUTED_VALUE"""),13)</f>
        <v>13</v>
      </c>
      <c r="AF523" s="27">
        <f ca="1">IFERROR(__xludf.DUMMYFUNCTION("""COMPUTED_VALUE"""),13)</f>
        <v>13</v>
      </c>
      <c r="AG523" s="27">
        <f ca="1">IFERROR(__xludf.DUMMYFUNCTION("""COMPUTED_VALUE"""),2)</f>
        <v>2</v>
      </c>
      <c r="AH523" s="27" t="str">
        <f ca="1">IFERROR(__xludf.DUMMYFUNCTION("""COMPUTED_VALUE"""),"Doações; Recursos próprios")</f>
        <v>Doações; Recursos próprios</v>
      </c>
      <c r="AI523" s="27">
        <f ca="1">IFERROR(__xludf.DUMMYFUNCTION("""COMPUTED_VALUE"""),0)</f>
        <v>0</v>
      </c>
      <c r="AJ523" s="27"/>
      <c r="AK523" s="27"/>
      <c r="AL523" s="21" t="str">
        <f ca="1">IFERROR(__xludf.DUMMYFUNCTION("""COMPUTED_VALUE"""),"0034P000045kxkX")</f>
        <v>0034P000045kxkX</v>
      </c>
      <c r="AM523" s="27" t="str">
        <f ca="1">IFERROR(__xludf.DUMMYFUNCTION("""COMPUTED_VALUE"""),"De Souza Costa")</f>
        <v>De Souza Costa</v>
      </c>
      <c r="AN523" s="27" t="str">
        <f ca="1">IFERROR(__xludf.DUMMYFUNCTION("""COMPUTED_VALUE"""),"Ativo")</f>
        <v>Ativo</v>
      </c>
      <c r="AO523" s="30">
        <f ca="1">IFERROR(__xludf.DUMMYFUNCTION("""COMPUTED_VALUE"""),44551)</f>
        <v>44551</v>
      </c>
      <c r="AP523" s="27">
        <f ca="1">IFERROR(__xludf.DUMMYFUNCTION("""COMPUTED_VALUE"""),9)</f>
        <v>9</v>
      </c>
      <c r="AQ523" s="27" t="str">
        <f ca="1">IFERROR(__xludf.DUMMYFUNCTION("""COMPUTED_VALUE"""),"Segundo Semestre 2021")</f>
        <v>Segundo Semestre 2021</v>
      </c>
      <c r="AR523" s="27" t="str">
        <f ca="1">IFERROR(__xludf.DUMMYFUNCTION("""COMPUTED_VALUE"""),"rs4218206@gmail.com")</f>
        <v>rs4218206@gmail.com</v>
      </c>
      <c r="AS523" s="27" t="str">
        <f ca="1">IFERROR(__xludf.DUMMYFUNCTION("""COMPUTED_VALUE"""),"(11)95118-1517")</f>
        <v>(11)95118-1517</v>
      </c>
      <c r="AT523" s="29">
        <f ca="1">IFERROR(__xludf.DUMMYFUNCTION("""COMPUTED_VALUE"""),29831)</f>
        <v>29831</v>
      </c>
      <c r="AU523" s="27">
        <f ca="1">IFERROR(__xludf.DUMMYFUNCTION("""COMPUTED_VALUE"""),41)</f>
        <v>41</v>
      </c>
      <c r="AV523" s="27">
        <f ca="1">IFERROR(__xludf.DUMMYFUNCTION("""COMPUTED_VALUE"""),31317852842)</f>
        <v>31317852842</v>
      </c>
      <c r="AW523" s="27">
        <f ca="1">IFERROR(__xludf.DUMMYFUNCTION("""COMPUTED_VALUE"""),297672587)</f>
        <v>297672587</v>
      </c>
      <c r="AX523" s="27"/>
      <c r="AY523" s="27"/>
      <c r="AZ523" s="27" t="str">
        <f ca="1">IFERROR(__xludf.DUMMYFUNCTION("""COMPUTED_VALUE"""),"M")</f>
        <v>M</v>
      </c>
      <c r="BA523" s="27" t="str">
        <f ca="1">IFERROR(__xludf.DUMMYFUNCTION("""COMPUTED_VALUE"""),"Preta")</f>
        <v>Preta</v>
      </c>
      <c r="BB523" s="27" t="str">
        <f ca="1">IFERROR(__xludf.DUMMYFUNCTION("""COMPUTED_VALUE"""),"Homem, cisgênero")</f>
        <v>Homem, cisgênero</v>
      </c>
      <c r="BC523" s="27" t="str">
        <f ca="1">IFERROR(__xludf.DUMMYFUNCTION("""COMPUTED_VALUE"""),"Não")</f>
        <v>Não</v>
      </c>
      <c r="BD523" s="27" t="str">
        <f ca="1">IFERROR(__xludf.DUMMYFUNCTION("""COMPUTED_VALUE"""),"Olá sou Renato de Souza costa nascido 09/02/1981 formado em educação física,filho de pais Baianos,fui atleta profissional de futebol durante 25 anos hoje atuo no terceiro setor tentando levar um pouco de dignidade, respeito e oportunidades a todos aqueles"&amp;" que tem sonhos e projetos.")</f>
        <v>Olá sou Renato de Souza costa nascido 09/02/1981 formado em educação física,filho de pais Baianos,fui atleta profissional de futebol durante 25 anos hoje atuo no terceiro setor tentando levar um pouco de dignidade, respeito e oportunidades a todos aqueles que tem sonhos e projetos.</v>
      </c>
      <c r="BE523" s="27"/>
      <c r="BF523" s="27" t="str">
        <f ca="1">IFERROR(__xludf.DUMMYFUNCTION("""COMPUTED_VALUE"""),"Heterossexual")</f>
        <v>Heterossexual</v>
      </c>
      <c r="BG523" s="27" t="str">
        <f ca="1">IFERROR(__xludf.DUMMYFUNCTION("""COMPUTED_VALUE"""),"Ensino Superior - Completo")</f>
        <v>Ensino Superior - Completo</v>
      </c>
      <c r="BH523" s="27" t="str">
        <f ca="1">IFERROR(__xludf.DUMMYFUNCTION("""COMPUTED_VALUE"""),"Público")</f>
        <v>Público</v>
      </c>
      <c r="BI523" s="27" t="str">
        <f ca="1">IFERROR(__xludf.DUMMYFUNCTION("""COMPUTED_VALUE"""),"Graduação")</f>
        <v>Graduação</v>
      </c>
      <c r="BJ523" s="27" t="str">
        <f ca="1">IFERROR(__xludf.DUMMYFUNCTION("""COMPUTED_VALUE"""),"Privado")</f>
        <v>Privado</v>
      </c>
      <c r="BK523" s="27" t="str">
        <f ca="1">IFERROR(__xludf.DUMMYFUNCTION("""COMPUTED_VALUE"""),"Rua orlando zanfelice")</f>
        <v>Rua orlando zanfelice</v>
      </c>
      <c r="BL523" s="27">
        <f ca="1">IFERROR(__xludf.DUMMYFUNCTION("""COMPUTED_VALUE"""),5)</f>
        <v>5</v>
      </c>
      <c r="BM523" s="27" t="str">
        <f ca="1">IFERROR(__xludf.DUMMYFUNCTION("""COMPUTED_VALUE"""),"Casa 2")</f>
        <v>Casa 2</v>
      </c>
      <c r="BN523" s="27" t="str">
        <f ca="1">IFERROR(__xludf.DUMMYFUNCTION("""COMPUTED_VALUE"""),"São Paulo")</f>
        <v>São Paulo</v>
      </c>
      <c r="BO523" s="27" t="str">
        <f ca="1">IFERROR(__xludf.DUMMYFUNCTION("""COMPUTED_VALUE"""),"08191-335")</f>
        <v>08191-335</v>
      </c>
      <c r="BP523" s="27" t="str">
        <f ca="1">IFERROR(__xludf.DUMMYFUNCTION("""COMPUTED_VALUE"""),"SP")</f>
        <v>SP</v>
      </c>
      <c r="BQ523" s="27" t="str">
        <f ca="1">IFERROR(__xludf.DUMMYFUNCTION("""COMPUTED_VALUE"""),"Entre 1 até 3 salários mínimos")</f>
        <v>Entre 1 até 3 salários mínimos</v>
      </c>
      <c r="BR523" s="27" t="str">
        <f ca="1">IFERROR(__xludf.DUMMYFUNCTION("""COMPUTED_VALUE"""),"Funcionário Público; Trabalho informal; Desempregado")</f>
        <v>Funcionário Público; Trabalho informal; Desempregado</v>
      </c>
      <c r="BS523" s="27" t="str">
        <f ca="1">IFERROR(__xludf.DUMMYFUNCTION("""COMPUTED_VALUE"""),"Casa cedida")</f>
        <v>Casa cedida</v>
      </c>
      <c r="BT523" s="27">
        <f ca="1">IFERROR(__xludf.DUMMYFUNCTION("""COMPUTED_VALUE"""),6)</f>
        <v>6</v>
      </c>
      <c r="BU523" s="27" t="str">
        <f ca="1">IFERROR(__xludf.DUMMYFUNCTION("""COMPUTED_VALUE"""),"Não tem")</f>
        <v>Não tem</v>
      </c>
      <c r="BV523" s="27"/>
      <c r="BW523" s="27"/>
      <c r="BX523" s="27" t="str">
        <f ca="1">IFERROR(__xludf.DUMMYFUNCTION("""COMPUTED_VALUE"""),"souzanego@hotmail.com")</f>
        <v>souzanego@hotmail.com</v>
      </c>
      <c r="BY523" s="21" t="str">
        <f ca="1">IFERROR(__xludf.DUMMYFUNCTION("""COMPUTED_VALUE"""),"https://drive.google.com/open?id=1xQ17y6EOk8rXGMeFp_zlon9K2-t2RZJs")</f>
        <v>https://drive.google.com/open?id=1xQ17y6EOk8rXGMeFp_zlon9K2-t2RZJs</v>
      </c>
    </row>
    <row r="524" spans="1:77" ht="12.5" x14ac:dyDescent="0.25">
      <c r="A524" s="21" t="str">
        <f ca="1">IFERROR(__xludf.DUMMYFUNCTION("""COMPUTED_VALUE"""),"0014X00002VKCq3QAH")</f>
        <v>0014X00002VKCq3QAH</v>
      </c>
      <c r="B524" s="27"/>
      <c r="C524" s="27" t="str">
        <f ca="1">IFERROR(__xludf.DUMMYFUNCTION("""COMPUTED_VALUE"""),"Fellow")</f>
        <v>Fellow</v>
      </c>
      <c r="D524" s="27" t="str">
        <f ca="1">IFERROR(__xludf.DUMMYFUNCTION("""COMPUTED_VALUE"""),"Ativo")</f>
        <v>Ativo</v>
      </c>
      <c r="E524" s="27" t="str">
        <f ca="1">IFERROR(__xludf.DUMMYFUNCTION("""COMPUTED_VALUE"""),"Projeto Educa Surf Social")</f>
        <v>Projeto Educa Surf Social</v>
      </c>
      <c r="F524" s="27" t="str">
        <f ca="1">IFERROR(__xludf.DUMMYFUNCTION("""COMPUTED_VALUE"""),"Ismael")</f>
        <v>Ismael</v>
      </c>
      <c r="G524" s="27" t="str">
        <f ca="1">IFERROR(__xludf.DUMMYFUNCTION("""COMPUTED_VALUE"""),"EDUCA SURF SOCIAL")</f>
        <v>EDUCA SURF SOCIAL</v>
      </c>
      <c r="H524" s="27"/>
      <c r="I524" s="27" t="str">
        <f ca="1">IFERROR(__xludf.DUMMYFUNCTION("""COMPUTED_VALUE"""),"Ismael da Silva Pinheiro")</f>
        <v>Ismael da Silva Pinheiro</v>
      </c>
      <c r="J524" s="27" t="str">
        <f ca="1">IFERROR(__xludf.DUMMYFUNCTION("""COMPUTED_VALUE"""),"educasurfsocial@gmail.com")</f>
        <v>educasurfsocial@gmail.com</v>
      </c>
      <c r="K524" s="27" t="str">
        <f ca="1">IFERROR(__xludf.DUMMYFUNCTION("""COMPUTED_VALUE"""),"85 985509916")</f>
        <v>85 985509916</v>
      </c>
      <c r="L524" s="27" t="str">
        <f ca="1">IFERROR(__xludf.DUMMYFUNCTION("""COMPUTED_VALUE"""),"CE")</f>
        <v>CE</v>
      </c>
      <c r="M524" s="27" t="str">
        <f ca="1">IFERROR(__xludf.DUMMYFUNCTION("""COMPUTED_VALUE"""),"Rua Alberto Monteiro")</f>
        <v>Rua Alberto Monteiro</v>
      </c>
      <c r="N524" s="27" t="str">
        <f ca="1">IFERROR(__xludf.DUMMYFUNCTION("""COMPUTED_VALUE"""),"Praia do Futuro II")</f>
        <v>Praia do Futuro II</v>
      </c>
      <c r="O524" s="27">
        <f ca="1">IFERROR(__xludf.DUMMYFUNCTION("""COMPUTED_VALUE"""),7408)</f>
        <v>7408</v>
      </c>
      <c r="P524" s="27" t="str">
        <f ca="1">IFERROR(__xludf.DUMMYFUNCTION("""COMPUTED_VALUE"""),"Fortaleza")</f>
        <v>Fortaleza</v>
      </c>
      <c r="Q524" s="27">
        <f ca="1">IFERROR(__xludf.DUMMYFUNCTION("""COMPUTED_VALUE"""),1)</f>
        <v>1</v>
      </c>
      <c r="R524" s="27" t="str">
        <f ca="1">IFERROR(__xludf.DUMMYFUNCTION("""COMPUTED_VALUE"""),"60182-560")</f>
        <v>60182-560</v>
      </c>
      <c r="S524" s="27"/>
      <c r="T524" s="27"/>
      <c r="U524" s="27"/>
      <c r="V524" s="27"/>
      <c r="W524" s="27">
        <f ca="1">IFERROR(__xludf.DUMMYFUNCTION("""COMPUTED_VALUE"""),4)</f>
        <v>4</v>
      </c>
      <c r="X524" s="27"/>
      <c r="Y524" s="27"/>
      <c r="Z524" s="27">
        <f ca="1">IFERROR(__xludf.DUMMYFUNCTION("""COMPUTED_VALUE"""),30)</f>
        <v>30</v>
      </c>
      <c r="AA524" s="29">
        <f ca="1">IFERROR(__xludf.DUMMYFUNCTION("""COMPUTED_VALUE"""),43650)</f>
        <v>43650</v>
      </c>
      <c r="AB524" s="27" t="str">
        <f ca="1">IFERROR(__xludf.DUMMYFUNCTION("""COMPUTED_VALUE"""),"Não")</f>
        <v>Não</v>
      </c>
      <c r="AC524" s="27"/>
      <c r="AD524" s="27"/>
      <c r="AE524" s="27">
        <f ca="1">IFERROR(__xludf.DUMMYFUNCTION("""COMPUTED_VALUE"""),9)</f>
        <v>9</v>
      </c>
      <c r="AF524" s="27"/>
      <c r="AG524" s="27">
        <f ca="1">IFERROR(__xludf.DUMMYFUNCTION("""COMPUTED_VALUE"""),1)</f>
        <v>1</v>
      </c>
      <c r="AH524" s="27"/>
      <c r="AI524" s="27"/>
      <c r="AJ524" s="27" t="str">
        <f ca="1">IFERROR(__xludf.DUMMYFUNCTION("""COMPUTED_VALUE"""),"Não")</f>
        <v>Não</v>
      </c>
      <c r="AK524" s="27"/>
      <c r="AL524" s="21" t="str">
        <f ca="1">IFERROR(__xludf.DUMMYFUNCTION("""COMPUTED_VALUE"""),"0034X0000380O1o")</f>
        <v>0034X0000380O1o</v>
      </c>
      <c r="AM524" s="27" t="str">
        <f ca="1">IFERROR(__xludf.DUMMYFUNCTION("""COMPUTED_VALUE"""),"Da silva pinheiro")</f>
        <v>Da silva pinheiro</v>
      </c>
      <c r="AN524" s="27" t="str">
        <f ca="1">IFERROR(__xludf.DUMMYFUNCTION("""COMPUTED_VALUE"""),"Ativo")</f>
        <v>Ativo</v>
      </c>
      <c r="AO524" s="29">
        <f ca="1">IFERROR(__xludf.DUMMYFUNCTION("""COMPUTED_VALUE"""),44763)</f>
        <v>44763</v>
      </c>
      <c r="AP524" s="27">
        <f ca="1">IFERROR(__xludf.DUMMYFUNCTION("""COMPUTED_VALUE"""),2)</f>
        <v>2</v>
      </c>
      <c r="AQ524" s="27" t="str">
        <f ca="1">IFERROR(__xludf.DUMMYFUNCTION("""COMPUTED_VALUE"""),"Primeiro Semestre 2022")</f>
        <v>Primeiro Semestre 2022</v>
      </c>
      <c r="AR524" s="27" t="str">
        <f ca="1">IFERROR(__xludf.DUMMYFUNCTION("""COMPUTED_VALUE"""),"educasurfsocial@gmail.com")</f>
        <v>educasurfsocial@gmail.com</v>
      </c>
      <c r="AS524" s="27" t="str">
        <f ca="1">IFERROR(__xludf.DUMMYFUNCTION("""COMPUTED_VALUE"""),"(85)98550-9916")</f>
        <v>(85)98550-9916</v>
      </c>
      <c r="AT524" s="29">
        <f ca="1">IFERROR(__xludf.DUMMYFUNCTION("""COMPUTED_VALUE"""),31130)</f>
        <v>31130</v>
      </c>
      <c r="AU524" s="27">
        <f ca="1">IFERROR(__xludf.DUMMYFUNCTION("""COMPUTED_VALUE"""),37)</f>
        <v>37</v>
      </c>
      <c r="AV524" s="27">
        <f ca="1">IFERROR(__xludf.DUMMYFUNCTION("""COMPUTED_VALUE"""),697864375)</f>
        <v>697864375</v>
      </c>
      <c r="AW524" s="27">
        <f ca="1">IFERROR(__xludf.DUMMYFUNCTION("""COMPUTED_VALUE"""),2001010203302)</f>
        <v>2001010203302</v>
      </c>
      <c r="AX524" s="27"/>
      <c r="AY524" s="27" t="str">
        <f ca="1">IFERROR(__xludf.DUMMYFUNCTION("""COMPUTED_VALUE"""),"Diretor\ lider")</f>
        <v>Diretor\ lider</v>
      </c>
      <c r="AZ524" s="27" t="str">
        <f ca="1">IFERROR(__xludf.DUMMYFUNCTION("""COMPUTED_VALUE"""),"M")</f>
        <v>M</v>
      </c>
      <c r="BA524" s="27" t="str">
        <f ca="1">IFERROR(__xludf.DUMMYFUNCTION("""COMPUTED_VALUE"""),"Parda")</f>
        <v>Parda</v>
      </c>
      <c r="BB524" s="27"/>
      <c r="BC524" s="27"/>
      <c r="BD524" s="27" t="str">
        <f ca="1">IFERROR(__xludf.DUMMYFUNCTION("""COMPUTED_VALUE"""),"“Meu pai abandonou nossa família, tinha problemas
com álcool e batia na minha mãe. Tive que trabalhar
para levar alimento para casa. Aos 18 anos, entrei para
o quartel, e isso me amadureceu mais como pessoa. Sai
com 19 anos, consegui meu 1º emprego, mas n"&amp;"ão me
adaptei, então fui dar aula de surf, um esporte que
pratico desde os 11 anos”.
Tenho minha família, vou oficializar meu matrimônio
com minha parceira de 14 anos, Viviane, que deste fruto
foi gerado Enzo(8) e Ester(4) anos.")</f>
        <v>“Meu pai abandonou nossa família, tinha problemas
com álcool e batia na minha mãe. Tive que trabalhar
para levar alimento para casa. Aos 18 anos, entrei para
o quartel, e isso me amadureceu mais como pessoa. Sai
com 19 anos, consegui meu 1º emprego, mas não me
adaptei, então fui dar aula de surf, um esporte que
pratico desde os 11 anos”.
Tenho minha família, vou oficializar meu matrimônio
com minha parceira de 14 anos, Viviane, que deste fruto
foi gerado Enzo(8) e Ester(4) anos.</v>
      </c>
      <c r="BE524" s="27" t="str">
        <f ca="1">IFERROR(__xludf.DUMMYFUNCTION("""COMPUTED_VALUE"""),"Homem, cisgênero")</f>
        <v>Homem, cisgênero</v>
      </c>
      <c r="BF524" s="27" t="str">
        <f ca="1">IFERROR(__xludf.DUMMYFUNCTION("""COMPUTED_VALUE"""),"Heterossexual")</f>
        <v>Heterossexual</v>
      </c>
      <c r="BG524" s="27" t="str">
        <f ca="1">IFERROR(__xludf.DUMMYFUNCTION("""COMPUTED_VALUE"""),"Ensino Médio - Completo")</f>
        <v>Ensino Médio - Completo</v>
      </c>
      <c r="BH524" s="27" t="str">
        <f ca="1">IFERROR(__xludf.DUMMYFUNCTION("""COMPUTED_VALUE"""),"Público")</f>
        <v>Público</v>
      </c>
      <c r="BI524" s="27" t="str">
        <f ca="1">IFERROR(__xludf.DUMMYFUNCTION("""COMPUTED_VALUE"""),"Graduação")</f>
        <v>Graduação</v>
      </c>
      <c r="BJ524" s="27" t="str">
        <f ca="1">IFERROR(__xludf.DUMMYFUNCTION("""COMPUTED_VALUE"""),"Público")</f>
        <v>Público</v>
      </c>
      <c r="BK524" s="27" t="str">
        <f ca="1">IFERROR(__xludf.DUMMYFUNCTION("""COMPUTED_VALUE"""),"Av. ZeZe Diogo")</f>
        <v>Av. ZeZe Diogo</v>
      </c>
      <c r="BL524" s="27">
        <f ca="1">IFERROR(__xludf.DUMMYFUNCTION("""COMPUTED_VALUE"""),7408)</f>
        <v>7408</v>
      </c>
      <c r="BM524" s="27" t="str">
        <f ca="1">IFERROR(__xludf.DUMMYFUNCTION("""COMPUTED_VALUE"""),"Proximo Arenhina Do Caça Pesça")</f>
        <v>Proximo Arenhina Do Caça Pesça</v>
      </c>
      <c r="BN524" s="27" t="str">
        <f ca="1">IFERROR(__xludf.DUMMYFUNCTION("""COMPUTED_VALUE"""),"Fortaleza")</f>
        <v>Fortaleza</v>
      </c>
      <c r="BO524" s="27" t="str">
        <f ca="1">IFERROR(__xludf.DUMMYFUNCTION("""COMPUTED_VALUE"""),"60182-560")</f>
        <v>60182-560</v>
      </c>
      <c r="BP524" s="27" t="str">
        <f ca="1">IFERROR(__xludf.DUMMYFUNCTION("""COMPUTED_VALUE"""),"CE")</f>
        <v>CE</v>
      </c>
      <c r="BQ524" s="27" t="str">
        <f ca="1">IFERROR(__xludf.DUMMYFUNCTION("""COMPUTED_VALUE"""),"Entre 1 até 3 salários mínimos")</f>
        <v>Entre 1 até 3 salários mínimos</v>
      </c>
      <c r="BR524" s="27" t="str">
        <f ca="1">IFERROR(__xludf.DUMMYFUNCTION("""COMPUTED_VALUE"""),"CLT")</f>
        <v>CLT</v>
      </c>
      <c r="BS524" s="27" t="str">
        <f ca="1">IFERROR(__xludf.DUMMYFUNCTION("""COMPUTED_VALUE"""),"Ocupação/Invasão")</f>
        <v>Ocupação/Invasão</v>
      </c>
      <c r="BT524" s="27">
        <f ca="1">IFERROR(__xludf.DUMMYFUNCTION("""COMPUTED_VALUE"""),4)</f>
        <v>4</v>
      </c>
      <c r="BU524" s="27" t="str">
        <f ca="1">IFERROR(__xludf.DUMMYFUNCTION("""COMPUTED_VALUE"""),"Não tem")</f>
        <v>Não tem</v>
      </c>
      <c r="BV524" s="27" t="str">
        <f ca="1">IFERROR(__xludf.DUMMYFUNCTION("""COMPUTED_VALUE"""),"Não")</f>
        <v>Não</v>
      </c>
      <c r="BW524" s="27"/>
      <c r="BX524" s="21" t="str">
        <f ca="1">IFERROR(__xludf.DUMMYFUNCTION("""COMPUTED_VALUE"""),"https://www.instagram.com/p/CfxNjLMp3nf/?igshid=YmMyMTA2M2Y=")</f>
        <v>https://www.instagram.com/p/CfxNjLMp3nf/?igshid=YmMyMTA2M2Y=</v>
      </c>
      <c r="BY524" s="21" t="str">
        <f ca="1">IFERROR(__xludf.DUMMYFUNCTION("""COMPUTED_VALUE"""),"https://drive.google.com/open?id=1ReQVD9HA1NyycChNCe6WAQHmMCCLRbuh")</f>
        <v>https://drive.google.com/open?id=1ReQVD9HA1NyycChNCe6WAQHmMCCLRbuh</v>
      </c>
    </row>
    <row r="525" spans="1:77" ht="12.5" x14ac:dyDescent="0.25">
      <c r="A525" s="21" t="str">
        <f ca="1">IFERROR(__xludf.DUMMYFUNCTION("""COMPUTED_VALUE"""),"0014X00002VKCpLQAX")</f>
        <v>0014X00002VKCpLQAX</v>
      </c>
      <c r="B525" s="27" t="str">
        <f ca="1">IFERROR(__xludf.DUMMYFUNCTION("""COMPUTED_VALUE"""),"Fase Inicial")</f>
        <v>Fase Inicial</v>
      </c>
      <c r="C525" s="27" t="str">
        <f ca="1">IFERROR(__xludf.DUMMYFUNCTION("""COMPUTED_VALUE"""),"Fellow")</f>
        <v>Fellow</v>
      </c>
      <c r="D525" s="27" t="str">
        <f ca="1">IFERROR(__xludf.DUMMYFUNCTION("""COMPUTED_VALUE"""),"Ativo")</f>
        <v>Ativo</v>
      </c>
      <c r="E525" s="27" t="str">
        <f ca="1">IFERROR(__xludf.DUMMYFUNCTION("""COMPUTED_VALUE"""),"Projeto Efraim")</f>
        <v>Projeto Efraim</v>
      </c>
      <c r="F525" s="27" t="str">
        <f ca="1">IFERROR(__xludf.DUMMYFUNCTION("""COMPUTED_VALUE"""),"Leidejane")</f>
        <v>Leidejane</v>
      </c>
      <c r="G525" s="27" t="str">
        <f ca="1">IFERROR(__xludf.DUMMYFUNCTION("""COMPUTED_VALUE"""),"PROJETO EFRAIM")</f>
        <v>PROJETO EFRAIM</v>
      </c>
      <c r="H525" s="27"/>
      <c r="I525" s="27" t="str">
        <f ca="1">IFERROR(__xludf.DUMMYFUNCTION("""COMPUTED_VALUE"""),"leidejane borges de oliveira")</f>
        <v>leidejane borges de oliveira</v>
      </c>
      <c r="J525" s="27" t="str">
        <f ca="1">IFERROR(__xludf.DUMMYFUNCTION("""COMPUTED_VALUE"""),"projetosocialefraim.ba@gmail.com")</f>
        <v>projetosocialefraim.ba@gmail.com</v>
      </c>
      <c r="K525" s="27" t="str">
        <f ca="1">IFERROR(__xludf.DUMMYFUNCTION("""COMPUTED_VALUE"""),"(71)98798-9974")</f>
        <v>(71)98798-9974</v>
      </c>
      <c r="L525" s="27" t="str">
        <f ca="1">IFERROR(__xludf.DUMMYFUNCTION("""COMPUTED_VALUE"""),"BA")</f>
        <v>BA</v>
      </c>
      <c r="M525" s="27" t="str">
        <f ca="1">IFERROR(__xludf.DUMMYFUNCTION("""COMPUTED_VALUE"""),"rua 15 de novembro, n 260")</f>
        <v>rua 15 de novembro, n 260</v>
      </c>
      <c r="N525" s="27" t="str">
        <f ca="1">IFERROR(__xludf.DUMMYFUNCTION("""COMPUTED_VALUE"""),"alto de coutos")</f>
        <v>alto de coutos</v>
      </c>
      <c r="O525" s="27" t="str">
        <f ca="1">IFERROR(__xludf.DUMMYFUNCTION("""COMPUTED_VALUE"""),"rua 15 de novembro")</f>
        <v>rua 15 de novembro</v>
      </c>
      <c r="P525" s="27" t="str">
        <f ca="1">IFERROR(__xludf.DUMMYFUNCTION("""COMPUTED_VALUE"""),"salvador")</f>
        <v>salvador</v>
      </c>
      <c r="Q525" s="27"/>
      <c r="R525" s="27" t="str">
        <f ca="1">IFERROR(__xludf.DUMMYFUNCTION("""COMPUTED_VALUE"""),"40760-100")</f>
        <v>40760-100</v>
      </c>
      <c r="S525" s="27"/>
      <c r="T525" s="27"/>
      <c r="U525"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525" s="27" t="str">
        <f ca="1">IFERROR(__xludf.DUMMYFUNCTION("""COMPUTED_VALUE"""),"Moradores de Favelas, Pessoas em situação de rua, Pessoas com Deficiência, Outros")</f>
        <v>Moradores de Favelas, Pessoas em situação de rua, Pessoas com Deficiência, Outros</v>
      </c>
      <c r="W525" s="27">
        <f ca="1">IFERROR(__xludf.DUMMYFUNCTION("""COMPUTED_VALUE"""),10)</f>
        <v>10</v>
      </c>
      <c r="X525" s="27"/>
      <c r="Y525" s="27"/>
      <c r="Z525" s="27">
        <f ca="1">IFERROR(__xludf.DUMMYFUNCTION("""COMPUTED_VALUE"""),130)</f>
        <v>130</v>
      </c>
      <c r="AA525" s="29">
        <f ca="1">IFERROR(__xludf.DUMMYFUNCTION("""COMPUTED_VALUE"""),42800)</f>
        <v>42800</v>
      </c>
      <c r="AB525" s="27" t="str">
        <f ca="1">IFERROR(__xludf.DUMMYFUNCTION("""COMPUTED_VALUE"""),"Sim")</f>
        <v>Sim</v>
      </c>
      <c r="AC525" s="27">
        <f ca="1">IFERROR(__xludf.DUMMYFUNCTION("""COMPUTED_VALUE"""),0)</f>
        <v>0</v>
      </c>
      <c r="AD525" s="27">
        <f ca="1">IFERROR(__xludf.DUMMYFUNCTION("""COMPUTED_VALUE"""),5)</f>
        <v>5</v>
      </c>
      <c r="AE525" s="27">
        <f ca="1">IFERROR(__xludf.DUMMYFUNCTION("""COMPUTED_VALUE"""),5)</f>
        <v>5</v>
      </c>
      <c r="AF525" s="27">
        <f ca="1">IFERROR(__xludf.DUMMYFUNCTION("""COMPUTED_VALUE"""),5)</f>
        <v>5</v>
      </c>
      <c r="AG525" s="27">
        <f ca="1">IFERROR(__xludf.DUMMYFUNCTION("""COMPUTED_VALUE"""),3)</f>
        <v>3</v>
      </c>
      <c r="AH525" s="27" t="str">
        <f ca="1">IFERROR(__xludf.DUMMYFUNCTION("""COMPUTED_VALUE"""),"Eventos/Ações para captação, Plataforma doação online - Pessoa Física, Doações")</f>
        <v>Eventos/Ações para captação, Plataforma doação online - Pessoa Física, Doações</v>
      </c>
      <c r="AI525" s="27">
        <f ca="1">IFERROR(__xludf.DUMMYFUNCTION("""COMPUTED_VALUE"""),0)</f>
        <v>0</v>
      </c>
      <c r="AJ525" s="27" t="str">
        <f ca="1">IFERROR(__xludf.DUMMYFUNCTION("""COMPUTED_VALUE"""),"Sim")</f>
        <v>Sim</v>
      </c>
      <c r="AK525" s="27"/>
      <c r="AL525" s="21" t="str">
        <f ca="1">IFERROR(__xludf.DUMMYFUNCTION("""COMPUTED_VALUE"""),"0034X0000380O5T")</f>
        <v>0034X0000380O5T</v>
      </c>
      <c r="AM525" s="27" t="str">
        <f ca="1">IFERROR(__xludf.DUMMYFUNCTION("""COMPUTED_VALUE"""),"Borges de oliveira")</f>
        <v>Borges de oliveira</v>
      </c>
      <c r="AN525" s="27" t="str">
        <f ca="1">IFERROR(__xludf.DUMMYFUNCTION("""COMPUTED_VALUE"""),"Ativo")</f>
        <v>Ativo</v>
      </c>
      <c r="AO525" s="29">
        <f ca="1">IFERROR(__xludf.DUMMYFUNCTION("""COMPUTED_VALUE"""),44763)</f>
        <v>44763</v>
      </c>
      <c r="AP525" s="27">
        <f ca="1">IFERROR(__xludf.DUMMYFUNCTION("""COMPUTED_VALUE"""),2)</f>
        <v>2</v>
      </c>
      <c r="AQ525" s="27" t="str">
        <f ca="1">IFERROR(__xludf.DUMMYFUNCTION("""COMPUTED_VALUE"""),"Primeiro Semestre 2022")</f>
        <v>Primeiro Semestre 2022</v>
      </c>
      <c r="AR525" s="27" t="str">
        <f ca="1">IFERROR(__xludf.DUMMYFUNCTION("""COMPUTED_VALUE"""),"leidejaneborges1@hotmail.com")</f>
        <v>leidejaneborges1@hotmail.com</v>
      </c>
      <c r="AS525" s="27">
        <f ca="1">IFERROR(__xludf.DUMMYFUNCTION("""COMPUTED_VALUE"""),71987174277)</f>
        <v>71987174277</v>
      </c>
      <c r="AT525" s="29">
        <f ca="1">IFERROR(__xludf.DUMMYFUNCTION("""COMPUTED_VALUE"""),33513)</f>
        <v>33513</v>
      </c>
      <c r="AU525" s="27">
        <f ca="1">IFERROR(__xludf.DUMMYFUNCTION("""COMPUTED_VALUE"""),31)</f>
        <v>31</v>
      </c>
      <c r="AV525" s="27">
        <f ca="1">IFERROR(__xludf.DUMMYFUNCTION("""COMPUTED_VALUE"""),4493815523)</f>
        <v>4493815523</v>
      </c>
      <c r="AW525" s="27">
        <f ca="1">IFERROR(__xludf.DUMMYFUNCTION("""COMPUTED_VALUE"""),1195980787)</f>
        <v>1195980787</v>
      </c>
      <c r="AX525" s="27"/>
      <c r="AY525" s="27"/>
      <c r="AZ525" s="27" t="str">
        <f ca="1">IFERROR(__xludf.DUMMYFUNCTION("""COMPUTED_VALUE"""),"GG")</f>
        <v>GG</v>
      </c>
      <c r="BA525" s="27" t="str">
        <f ca="1">IFERROR(__xludf.DUMMYFUNCTION("""COMPUTED_VALUE"""),"Branca")</f>
        <v>Branca</v>
      </c>
      <c r="BB525" s="27"/>
      <c r="BC525" s="27"/>
      <c r="BD525" s="27" t="str">
        <f ca="1">IFERROR(__xludf.DUMMYFUNCTION("""COMPUTED_VALUE"""),"Trabalho com ação social desde os 15 anos* com foco principal na criança e no adolescente* mas o trabalho tem avançado para outras áreas.
Na área do empreendedorismo feminino e ações sociais nas ruas")</f>
        <v>Trabalho com ação social desde os 15 anos* com foco principal na criança e no adolescente* mas o trabalho tem avançado para outras áreas.
Na área do empreendedorismo feminino e ações sociais nas ruas</v>
      </c>
      <c r="BE525" s="27" t="str">
        <f ca="1">IFERROR(__xludf.DUMMYFUNCTION("""COMPUTED_VALUE"""),"Feminino")</f>
        <v>Feminino</v>
      </c>
      <c r="BF525" s="27" t="str">
        <f ca="1">IFERROR(__xludf.DUMMYFUNCTION("""COMPUTED_VALUE"""),"Heterossexual")</f>
        <v>Heterossexual</v>
      </c>
      <c r="BG525" s="27"/>
      <c r="BH525" s="27" t="str">
        <f ca="1">IFERROR(__xludf.DUMMYFUNCTION("""COMPUTED_VALUE"""),"Público")</f>
        <v>Público</v>
      </c>
      <c r="BI525" s="27" t="str">
        <f ca="1">IFERROR(__xludf.DUMMYFUNCTION("""COMPUTED_VALUE"""),"Graduação")</f>
        <v>Graduação</v>
      </c>
      <c r="BJ525" s="27" t="str">
        <f ca="1">IFERROR(__xludf.DUMMYFUNCTION("""COMPUTED_VALUE"""),"Privado")</f>
        <v>Privado</v>
      </c>
      <c r="BK525" s="27" t="str">
        <f ca="1">IFERROR(__xludf.DUMMYFUNCTION("""COMPUTED_VALUE"""),"Rua Ceará")</f>
        <v>Rua Ceará</v>
      </c>
      <c r="BL525" s="27">
        <f ca="1">IFERROR(__xludf.DUMMYFUNCTION("""COMPUTED_VALUE"""),18)</f>
        <v>18</v>
      </c>
      <c r="BM525" s="27"/>
      <c r="BN525" s="27"/>
      <c r="BO525" s="27">
        <f ca="1">IFERROR(__xludf.DUMMYFUNCTION("""COMPUTED_VALUE"""),40730420)</f>
        <v>40730420</v>
      </c>
      <c r="BP525" s="27" t="str">
        <f ca="1">IFERROR(__xludf.DUMMYFUNCTION("""COMPUTED_VALUE"""),"BA")</f>
        <v>BA</v>
      </c>
      <c r="BQ525" s="27" t="str">
        <f ca="1">IFERROR(__xludf.DUMMYFUNCTION("""COMPUTED_VALUE"""),"Entre 1 até 3 salários mínimos")</f>
        <v>Entre 1 até 3 salários mínimos</v>
      </c>
      <c r="BR525" s="27" t="str">
        <f ca="1">IFERROR(__xludf.DUMMYFUNCTION("""COMPUTED_VALUE"""),"MEI")</f>
        <v>MEI</v>
      </c>
      <c r="BS525" s="27" t="str">
        <f ca="1">IFERROR(__xludf.DUMMYFUNCTION("""COMPUTED_VALUE"""),"Casa própria")</f>
        <v>Casa própria</v>
      </c>
      <c r="BT525" s="27">
        <f ca="1">IFERROR(__xludf.DUMMYFUNCTION("""COMPUTED_VALUE"""),2)</f>
        <v>2</v>
      </c>
      <c r="BU525" s="27" t="str">
        <f ca="1">IFERROR(__xludf.DUMMYFUNCTION("""COMPUTED_VALUE"""),"Não tem")</f>
        <v>Não tem</v>
      </c>
      <c r="BV525" s="27" t="str">
        <f ca="1">IFERROR(__xludf.DUMMYFUNCTION("""COMPUTED_VALUE"""),"Sim")</f>
        <v>Sim</v>
      </c>
      <c r="BW525" s="27"/>
      <c r="BX525" s="21" t="str">
        <f ca="1">IFERROR(__xludf.DUMMYFUNCTION("""COMPUTED_VALUE"""),"https://www.instagram.com/leidedeolliveira/p/CU44lIIr6U-/?utm_medium=copy_link")</f>
        <v>https://www.instagram.com/leidedeolliveira/p/CU44lIIr6U-/?utm_medium=copy_link</v>
      </c>
      <c r="BY525" s="21" t="str">
        <f ca="1">IFERROR(__xludf.DUMMYFUNCTION("""COMPUTED_VALUE"""),"https://drive.google.com/open?id=1ZSlSagerjA3xR8idm_D1VKzx9b_GjtPR")</f>
        <v>https://drive.google.com/open?id=1ZSlSagerjA3xR8idm_D1VKzx9b_GjtPR</v>
      </c>
    </row>
    <row r="526" spans="1:77" ht="12.5" x14ac:dyDescent="0.25">
      <c r="A526" s="21" t="str">
        <f ca="1">IFERROR(__xludf.DUMMYFUNCTION("""COMPUTED_VALUE"""),"0014P00003YSp8IQAT")</f>
        <v>0014P00003YSp8IQAT</v>
      </c>
      <c r="B526" s="27" t="str">
        <f ca="1">IFERROR(__xludf.DUMMYFUNCTION("""COMPUTED_VALUE"""),"Fase Inicial")</f>
        <v>Fase Inicial</v>
      </c>
      <c r="C526" s="27" t="str">
        <f ca="1">IFERROR(__xludf.DUMMYFUNCTION("""COMPUTED_VALUE"""),"Fellow")</f>
        <v>Fellow</v>
      </c>
      <c r="D526" s="27" t="str">
        <f ca="1">IFERROR(__xludf.DUMMYFUNCTION("""COMPUTED_VALUE"""),"Ativo")</f>
        <v>Ativo</v>
      </c>
      <c r="E526" s="27" t="str">
        <f ca="1">IFERROR(__xludf.DUMMYFUNCTION("""COMPUTED_VALUE"""),"PROJETO EFRAIM")</f>
        <v>PROJETO EFRAIM</v>
      </c>
      <c r="F526" s="27" t="str">
        <f ca="1">IFERROR(__xludf.DUMMYFUNCTION("""COMPUTED_VALUE"""),"Paula")</f>
        <v>Paula</v>
      </c>
      <c r="G526" s="27"/>
      <c r="H526" s="27" t="str">
        <f ca="1">IFERROR(__xludf.DUMMYFUNCTION("""COMPUTED_VALUE"""),"05.283.553/0001-12")</f>
        <v>05.283.553/0001-12</v>
      </c>
      <c r="I526" s="27" t="str">
        <f ca="1">IFERROR(__xludf.DUMMYFUNCTION("""COMPUTED_VALUE"""),"Lidia Rangel dos Santos Muller")</f>
        <v>Lidia Rangel dos Santos Muller</v>
      </c>
      <c r="J526" s="27" t="str">
        <f ca="1">IFERROR(__xludf.DUMMYFUNCTION("""COMPUTED_VALUE"""),"projetoefraim@bol.com.br")</f>
        <v>projetoefraim@bol.com.br</v>
      </c>
      <c r="K526" s="27" t="str">
        <f ca="1">IFERROR(__xludf.DUMMYFUNCTION("""COMPUTED_VALUE"""),"(21)99280-4984")</f>
        <v>(21)99280-4984</v>
      </c>
      <c r="L526" s="27" t="str">
        <f ca="1">IFERROR(__xludf.DUMMYFUNCTION("""COMPUTED_VALUE"""),"RJ")</f>
        <v>RJ</v>
      </c>
      <c r="M526" s="27" t="str">
        <f ca="1">IFERROR(__xludf.DUMMYFUNCTION("""COMPUTED_VALUE"""),"Avenida união 96 c/1")</f>
        <v>Avenida união 96 c/1</v>
      </c>
      <c r="N526" s="27" t="str">
        <f ca="1">IFERROR(__xludf.DUMMYFUNCTION("""COMPUTED_VALUE"""),"Santa Terezinha")</f>
        <v>Santa Terezinha</v>
      </c>
      <c r="O526" s="27">
        <f ca="1">IFERROR(__xludf.DUMMYFUNCTION("""COMPUTED_VALUE"""),96)</f>
        <v>96</v>
      </c>
      <c r="P526" s="27" t="str">
        <f ca="1">IFERROR(__xludf.DUMMYFUNCTION("""COMPUTED_VALUE"""),"Mesquita")</f>
        <v>Mesquita</v>
      </c>
      <c r="Q526" s="27" t="str">
        <f ca="1">IFERROR(__xludf.DUMMYFUNCTION("""COMPUTED_VALUE"""),"C 1")</f>
        <v>C 1</v>
      </c>
      <c r="R526" s="27" t="str">
        <f ca="1">IFERROR(__xludf.DUMMYFUNCTION("""COMPUTED_VALUE"""),"26554-000")</f>
        <v>26554-000</v>
      </c>
      <c r="S526" s="27"/>
      <c r="T526" s="27" t="str">
        <f ca="1">IFERROR(__xludf.DUMMYFUNCTION("""COMPUTED_VALUE"""),"Esporte; Educação; Cultura; Empoderamento Feminino; Desenvolvimento comunitário")</f>
        <v>Esporte; Educação; Cultura; Empoderamento Feminino; Desenvolvimento comunitário</v>
      </c>
      <c r="U526"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526" s="27" t="str">
        <f ca="1">IFERROR(__xludf.DUMMYFUNCTION("""COMPUTED_VALUE"""),"Dependentes Químicos")</f>
        <v>Dependentes Químicos</v>
      </c>
      <c r="W526" s="27">
        <f ca="1">IFERROR(__xludf.DUMMYFUNCTION("""COMPUTED_VALUE"""),4)</f>
        <v>4</v>
      </c>
      <c r="X526" s="27"/>
      <c r="Y526" s="27"/>
      <c r="Z526" s="27">
        <f ca="1">IFERROR(__xludf.DUMMYFUNCTION("""COMPUTED_VALUE"""),100)</f>
        <v>100</v>
      </c>
      <c r="AA526" s="29">
        <f ca="1">IFERROR(__xludf.DUMMYFUNCTION("""COMPUTED_VALUE"""),36372)</f>
        <v>36372</v>
      </c>
      <c r="AB526" s="27" t="str">
        <f ca="1">IFERROR(__xludf.DUMMYFUNCTION("""COMPUTED_VALUE"""),"Sim")</f>
        <v>Sim</v>
      </c>
      <c r="AC526" s="27">
        <f ca="1">IFERROR(__xludf.DUMMYFUNCTION("""COMPUTED_VALUE"""),0)</f>
        <v>0</v>
      </c>
      <c r="AD526" s="27">
        <f ca="1">IFERROR(__xludf.DUMMYFUNCTION("""COMPUTED_VALUE"""),0)</f>
        <v>0</v>
      </c>
      <c r="AE526" s="27">
        <f ca="1">IFERROR(__xludf.DUMMYFUNCTION("""COMPUTED_VALUE"""),8)</f>
        <v>8</v>
      </c>
      <c r="AF526" s="27">
        <f ca="1">IFERROR(__xludf.DUMMYFUNCTION("""COMPUTED_VALUE"""),0)</f>
        <v>0</v>
      </c>
      <c r="AG526" s="27">
        <f ca="1">IFERROR(__xludf.DUMMYFUNCTION("""COMPUTED_VALUE"""),2)</f>
        <v>2</v>
      </c>
      <c r="AH526" s="27" t="str">
        <f ca="1">IFERROR(__xludf.DUMMYFUNCTION("""COMPUTED_VALUE"""),"Doações; Lei Federal do Esporte")</f>
        <v>Doações; Lei Federal do Esporte</v>
      </c>
      <c r="AI526" s="27" t="str">
        <f ca="1">IFERROR(__xludf.DUMMYFUNCTION("""COMPUTED_VALUE"""),"Não")</f>
        <v>Não</v>
      </c>
      <c r="AJ526" s="27"/>
      <c r="AK526" s="27"/>
      <c r="AL526" s="21" t="str">
        <f ca="1">IFERROR(__xludf.DUMMYFUNCTION("""COMPUTED_VALUE"""),"0034P000045kxit")</f>
        <v>0034P000045kxit</v>
      </c>
      <c r="AM526" s="27" t="str">
        <f ca="1">IFERROR(__xludf.DUMMYFUNCTION("""COMPUTED_VALUE"""),"Rangel Do Nascimento")</f>
        <v>Rangel Do Nascimento</v>
      </c>
      <c r="AN526" s="27" t="str">
        <f ca="1">IFERROR(__xludf.DUMMYFUNCTION("""COMPUTED_VALUE"""),"Ativo")</f>
        <v>Ativo</v>
      </c>
      <c r="AO526" s="30">
        <f ca="1">IFERROR(__xludf.DUMMYFUNCTION("""COMPUTED_VALUE"""),44551)</f>
        <v>44551</v>
      </c>
      <c r="AP526" s="27">
        <f ca="1">IFERROR(__xludf.DUMMYFUNCTION("""COMPUTED_VALUE"""),9)</f>
        <v>9</v>
      </c>
      <c r="AQ526" s="27" t="str">
        <f ca="1">IFERROR(__xludf.DUMMYFUNCTION("""COMPUTED_VALUE"""),"Segundo Semestre 2021")</f>
        <v>Segundo Semestre 2021</v>
      </c>
      <c r="AR526" s="27" t="str">
        <f ca="1">IFERROR(__xludf.DUMMYFUNCTION("""COMPUTED_VALUE"""),"paularangel1987@gmail.com")</f>
        <v>paularangel1987@gmail.com</v>
      </c>
      <c r="AS526" s="27" t="str">
        <f ca="1">IFERROR(__xludf.DUMMYFUNCTION("""COMPUTED_VALUE"""),"(21)99280-4984")</f>
        <v>(21)99280-4984</v>
      </c>
      <c r="AT526" s="29">
        <f ca="1">IFERROR(__xludf.DUMMYFUNCTION("""COMPUTED_VALUE"""),28555)</f>
        <v>28555</v>
      </c>
      <c r="AU526" s="27">
        <f ca="1">IFERROR(__xludf.DUMMYFUNCTION("""COMPUTED_VALUE"""),44)</f>
        <v>44</v>
      </c>
      <c r="AV526" s="27">
        <f ca="1">IFERROR(__xludf.DUMMYFUNCTION("""COMPUTED_VALUE"""),8285319784)</f>
        <v>8285319784</v>
      </c>
      <c r="AW526" s="27" t="str">
        <f ca="1">IFERROR(__xludf.DUMMYFUNCTION("""COMPUTED_VALUE"""),"10966057+1")</f>
        <v>10966057+1</v>
      </c>
      <c r="AX526" s="27"/>
      <c r="AY526" s="27"/>
      <c r="AZ526" s="27" t="str">
        <f ca="1">IFERROR(__xludf.DUMMYFUNCTION("""COMPUTED_VALUE"""),"G")</f>
        <v>G</v>
      </c>
      <c r="BA526" s="27" t="str">
        <f ca="1">IFERROR(__xludf.DUMMYFUNCTION("""COMPUTED_VALUE"""),"Parda")</f>
        <v>Parda</v>
      </c>
      <c r="BB526" s="27" t="str">
        <f ca="1">IFERROR(__xludf.DUMMYFUNCTION("""COMPUTED_VALUE"""),"Mulher, cisgênero")</f>
        <v>Mulher, cisgênero</v>
      </c>
      <c r="BC526" s="27" t="str">
        <f ca="1">IFERROR(__xludf.DUMMYFUNCTION("""COMPUTED_VALUE"""),"Sim")</f>
        <v>Sim</v>
      </c>
      <c r="BD526" s="27" t="str">
        <f ca="1">IFERROR(__xludf.DUMMYFUNCTION("""COMPUTED_VALUE"""),"Sou solteira,tenho três filhos, pedagoga,morena clara, trabalho a 20 anos no projeto Efraim fazendo parte desta instituição social,o qual vem trazer uma vida e digna para comunidade que atuamos.Estou buscando me aperfeiçoar projetos e em liderança para qu"&amp;"e possa dar o meu melhor nesta imersão social.
Moro em Mesquita desde nascida,estudei em Mesquita até o segundo grau.")</f>
        <v>Sou solteira,tenho três filhos, pedagoga,morena clara, trabalho a 20 anos no projeto Efraim fazendo parte desta instituição social,o qual vem trazer uma vida e digna para comunidade que atuamos.Estou buscando me aperfeiçoar projetos e em liderança para que possa dar o meu melhor nesta imersão social.
Moro em Mesquita desde nascida,estudei em Mesquita até o segundo grau.</v>
      </c>
      <c r="BE526" s="27"/>
      <c r="BF526" s="27" t="str">
        <f ca="1">IFERROR(__xludf.DUMMYFUNCTION("""COMPUTED_VALUE"""),"Heterossexual")</f>
        <v>Heterossexual</v>
      </c>
      <c r="BG526" s="27" t="str">
        <f ca="1">IFERROR(__xludf.DUMMYFUNCTION("""COMPUTED_VALUE"""),"Ensino Superior - Completo")</f>
        <v>Ensino Superior - Completo</v>
      </c>
      <c r="BH526" s="27" t="str">
        <f ca="1">IFERROR(__xludf.DUMMYFUNCTION("""COMPUTED_VALUE"""),"Privado")</f>
        <v>Privado</v>
      </c>
      <c r="BI526" s="27" t="str">
        <f ca="1">IFERROR(__xludf.DUMMYFUNCTION("""COMPUTED_VALUE"""),"Graduação")</f>
        <v>Graduação</v>
      </c>
      <c r="BJ526" s="27" t="str">
        <f ca="1">IFERROR(__xludf.DUMMYFUNCTION("""COMPUTED_VALUE"""),"Privado")</f>
        <v>Privado</v>
      </c>
      <c r="BK526" s="27" t="str">
        <f ca="1">IFERROR(__xludf.DUMMYFUNCTION("""COMPUTED_VALUE"""),"Avenida união")</f>
        <v>Avenida união</v>
      </c>
      <c r="BL526" s="27">
        <f ca="1">IFERROR(__xludf.DUMMYFUNCTION("""COMPUTED_VALUE"""),96)</f>
        <v>96</v>
      </c>
      <c r="BM526" s="27" t="str">
        <f ca="1">IFERROR(__xludf.DUMMYFUNCTION("""COMPUTED_VALUE"""),"Apto 101")</f>
        <v>Apto 101</v>
      </c>
      <c r="BN526" s="27" t="str">
        <f ca="1">IFERROR(__xludf.DUMMYFUNCTION("""COMPUTED_VALUE"""),"Mesquita")</f>
        <v>Mesquita</v>
      </c>
      <c r="BO526" s="27" t="str">
        <f ca="1">IFERROR(__xludf.DUMMYFUNCTION("""COMPUTED_VALUE"""),"26554-000")</f>
        <v>26554-000</v>
      </c>
      <c r="BP526" s="27" t="str">
        <f ca="1">IFERROR(__xludf.DUMMYFUNCTION("""COMPUTED_VALUE"""),"RJ")</f>
        <v>RJ</v>
      </c>
      <c r="BQ526" s="27" t="str">
        <f ca="1">IFERROR(__xludf.DUMMYFUNCTION("""COMPUTED_VALUE"""),"Entre 1 até 3 salários mínimos")</f>
        <v>Entre 1 até 3 salários mínimos</v>
      </c>
      <c r="BR526" s="27" t="str">
        <f ca="1">IFERROR(__xludf.DUMMYFUNCTION("""COMPUTED_VALUE"""),"Desempregado")</f>
        <v>Desempregado</v>
      </c>
      <c r="BS526" s="27" t="str">
        <f ca="1">IFERROR(__xludf.DUMMYFUNCTION("""COMPUTED_VALUE"""),"Casa cedida")</f>
        <v>Casa cedida</v>
      </c>
      <c r="BT526" s="27">
        <f ca="1">IFERROR(__xludf.DUMMYFUNCTION("""COMPUTED_VALUE"""),3)</f>
        <v>3</v>
      </c>
      <c r="BU526" s="27" t="str">
        <f ca="1">IFERROR(__xludf.DUMMYFUNCTION("""COMPUTED_VALUE"""),"Não tem")</f>
        <v>Não tem</v>
      </c>
      <c r="BV526" s="27"/>
      <c r="BW526" s="27"/>
      <c r="BX526" s="27" t="str">
        <f ca="1">IFERROR(__xludf.DUMMYFUNCTION("""COMPUTED_VALUE"""),"Paularangel43")</f>
        <v>Paularangel43</v>
      </c>
      <c r="BY526" s="21" t="str">
        <f ca="1">IFERROR(__xludf.DUMMYFUNCTION("""COMPUTED_VALUE"""),"https://drive.google.com/open?id=14d4q5zPEwsp1mxuQ2iu1mYadHMbnDv9X")</f>
        <v>https://drive.google.com/open?id=14d4q5zPEwsp1mxuQ2iu1mYadHMbnDv9X</v>
      </c>
    </row>
    <row r="527" spans="1:77" ht="12.5" x14ac:dyDescent="0.25">
      <c r="A527" s="21" t="str">
        <f ca="1">IFERROR(__xludf.DUMMYFUNCTION("""COMPUTED_VALUE"""),"0014X00002VKCpXQAX")</f>
        <v>0014X00002VKCpXQAX</v>
      </c>
      <c r="B527" s="27" t="str">
        <f ca="1">IFERROR(__xludf.DUMMYFUNCTION("""COMPUTED_VALUE"""),"Fase Inicial")</f>
        <v>Fase Inicial</v>
      </c>
      <c r="C527" s="27" t="str">
        <f ca="1">IFERROR(__xludf.DUMMYFUNCTION("""COMPUTED_VALUE"""),"Fellow")</f>
        <v>Fellow</v>
      </c>
      <c r="D527" s="27" t="str">
        <f ca="1">IFERROR(__xludf.DUMMYFUNCTION("""COMPUTED_VALUE"""),"Ativo")</f>
        <v>Ativo</v>
      </c>
      <c r="E527" s="27" t="str">
        <f ca="1">IFERROR(__xludf.DUMMYFUNCTION("""COMPUTED_VALUE"""),"Projeto Espalhe Cestas")</f>
        <v>Projeto Espalhe Cestas</v>
      </c>
      <c r="F527" s="27" t="str">
        <f ca="1">IFERROR(__xludf.DUMMYFUNCTION("""COMPUTED_VALUE"""),"Nathalha")</f>
        <v>Nathalha</v>
      </c>
      <c r="G527" s="27" t="str">
        <f ca="1">IFERROR(__xludf.DUMMYFUNCTION("""COMPUTED_VALUE"""),"ESPALHE CESTAS")</f>
        <v>ESPALHE CESTAS</v>
      </c>
      <c r="H527" s="27"/>
      <c r="I527" s="27" t="str">
        <f ca="1">IFERROR(__xludf.DUMMYFUNCTION("""COMPUTED_VALUE"""),"Nathalha Regina Cavalcante da Silva")</f>
        <v>Nathalha Regina Cavalcante da Silva</v>
      </c>
      <c r="J527" s="27" t="str">
        <f ca="1">IFERROR(__xludf.DUMMYFUNCTION("""COMPUTED_VALUE"""),"espalhecestas@hotmail.com")</f>
        <v>espalhecestas@hotmail.com</v>
      </c>
      <c r="K527" s="27" t="str">
        <f ca="1">IFERROR(__xludf.DUMMYFUNCTION("""COMPUTED_VALUE"""),"(82)99980-2495")</f>
        <v>(82)99980-2495</v>
      </c>
      <c r="L527" s="27" t="str">
        <f ca="1">IFERROR(__xludf.DUMMYFUNCTION("""COMPUTED_VALUE"""),"AL")</f>
        <v>AL</v>
      </c>
      <c r="M527" s="27" t="str">
        <f ca="1">IFERROR(__xludf.DUMMYFUNCTION("""COMPUTED_VALUE"""),"Rua Francisca Angélica de Novaes")</f>
        <v>Rua Francisca Angélica de Novaes</v>
      </c>
      <c r="N527" s="27" t="str">
        <f ca="1">IFERROR(__xludf.DUMMYFUNCTION("""COMPUTED_VALUE"""),"Varela")</f>
        <v>Varela</v>
      </c>
      <c r="O527" s="27">
        <f ca="1">IFERROR(__xludf.DUMMYFUNCTION("""COMPUTED_VALUE"""),110)</f>
        <v>110</v>
      </c>
      <c r="P527" s="27" t="str">
        <f ca="1">IFERROR(__xludf.DUMMYFUNCTION("""COMPUTED_VALUE"""),"Boca da Mata")</f>
        <v>Boca da Mata</v>
      </c>
      <c r="Q527" s="27"/>
      <c r="R527" s="27" t="str">
        <f ca="1">IFERROR(__xludf.DUMMYFUNCTION("""COMPUTED_VALUE"""),"57680-000")</f>
        <v>57680-000</v>
      </c>
      <c r="S527" s="27"/>
      <c r="T527" s="27"/>
      <c r="U527" s="27" t="str">
        <f ca="1">IFERROR(__xludf.DUMMYFUNCTION("""COMPUTED_VALUE"""),"Crianças bem pequenas (1 ano e 7 meses até 3 anos e 11 meses), Adolescentes (12 aos 18 anos), Jovens (18 aos 24 anos), Adultos")</f>
        <v>Crianças bem pequenas (1 ano e 7 meses até 3 anos e 11 meses), Adolescentes (12 aos 18 anos), Jovens (18 aos 24 anos), Adultos</v>
      </c>
      <c r="V527" s="27" t="str">
        <f ca="1">IFERROR(__xludf.DUMMYFUNCTION("""COMPUTED_VALUE"""),"Moradores de Favelas, Pessoas em situação de rua, Comunidade rural")</f>
        <v>Moradores de Favelas, Pessoas em situação de rua, Comunidade rural</v>
      </c>
      <c r="W527" s="27">
        <f ca="1">IFERROR(__xludf.DUMMYFUNCTION("""COMPUTED_VALUE"""),200)</f>
        <v>200</v>
      </c>
      <c r="X527" s="27" t="str">
        <f ca="1">IFERROR(__xludf.DUMMYFUNCTION("""COMPUTED_VALUE"""),"Então o público ao qual atendemos em nosso município* é voltando mais para região rural* onde as pessoas mais humildes são localizadas* devido ao distanciamento do município* por isso procuramos atender essas famílias* mas atendemos também comunidades do "&amp;"nosso município.")</f>
        <v>Então o público ao qual atendemos em nosso município* é voltando mais para região rural* onde as pessoas mais humildes são localizadas* devido ao distanciamento do município* por isso procuramos atender essas famílias* mas atendemos também comunidades do nosso município.</v>
      </c>
      <c r="Y527" s="27"/>
      <c r="Z527" s="27">
        <f ca="1">IFERROR(__xludf.DUMMYFUNCTION("""COMPUTED_VALUE"""),0)</f>
        <v>0</v>
      </c>
      <c r="AA527" s="30">
        <f ca="1">IFERROR(__xludf.DUMMYFUNCTION("""COMPUTED_VALUE"""),44186)</f>
        <v>44186</v>
      </c>
      <c r="AB527" s="27" t="str">
        <f ca="1">IFERROR(__xludf.DUMMYFUNCTION("""COMPUTED_VALUE"""),"Não")</f>
        <v>Não</v>
      </c>
      <c r="AC527" s="27">
        <f ca="1">IFERROR(__xludf.DUMMYFUNCTION("""COMPUTED_VALUE"""),6)</f>
        <v>6</v>
      </c>
      <c r="AD527" s="27">
        <f ca="1">IFERROR(__xludf.DUMMYFUNCTION("""COMPUTED_VALUE"""),2)</f>
        <v>2</v>
      </c>
      <c r="AE527" s="27">
        <f ca="1">IFERROR(__xludf.DUMMYFUNCTION("""COMPUTED_VALUE"""),4)</f>
        <v>4</v>
      </c>
      <c r="AF527" s="27">
        <f ca="1">IFERROR(__xludf.DUMMYFUNCTION("""COMPUTED_VALUE"""),2)</f>
        <v>2</v>
      </c>
      <c r="AG527" s="27">
        <f ca="1">IFERROR(__xludf.DUMMYFUNCTION("""COMPUTED_VALUE"""),4)</f>
        <v>4</v>
      </c>
      <c r="AH527" s="27" t="str">
        <f ca="1">IFERROR(__xludf.DUMMYFUNCTION("""COMPUTED_VALUE"""),"Parceria iniciativa privada, Doações, Recursos próprios")</f>
        <v>Parceria iniciativa privada, Doações, Recursos próprios</v>
      </c>
      <c r="AI527" s="27" t="str">
        <f ca="1">IFERROR(__xludf.DUMMYFUNCTION("""COMPUTED_VALUE"""),"Recursos próprio 100% Doações 100% parceria privada 100%")</f>
        <v>Recursos próprio 100% Doações 100% parceria privada 100%</v>
      </c>
      <c r="AJ527" s="27" t="str">
        <f ca="1">IFERROR(__xludf.DUMMYFUNCTION("""COMPUTED_VALUE"""),"Não")</f>
        <v>Não</v>
      </c>
      <c r="AK527" s="27"/>
      <c r="AL527" s="21" t="str">
        <f ca="1">IFERROR(__xludf.DUMMYFUNCTION("""COMPUTED_VALUE"""),"0034X0000380O3w")</f>
        <v>0034X0000380O3w</v>
      </c>
      <c r="AM527" s="27" t="str">
        <f ca="1">IFERROR(__xludf.DUMMYFUNCTION("""COMPUTED_VALUE"""),"Regina cavalcante da silva")</f>
        <v>Regina cavalcante da silva</v>
      </c>
      <c r="AN527" s="27" t="str">
        <f ca="1">IFERROR(__xludf.DUMMYFUNCTION("""COMPUTED_VALUE"""),"Ativo")</f>
        <v>Ativo</v>
      </c>
      <c r="AO527" s="29">
        <f ca="1">IFERROR(__xludf.DUMMYFUNCTION("""COMPUTED_VALUE"""),44763)</f>
        <v>44763</v>
      </c>
      <c r="AP527" s="27">
        <f ca="1">IFERROR(__xludf.DUMMYFUNCTION("""COMPUTED_VALUE"""),2)</f>
        <v>2</v>
      </c>
      <c r="AQ527" s="27" t="str">
        <f ca="1">IFERROR(__xludf.DUMMYFUNCTION("""COMPUTED_VALUE"""),"Primeiro Semestre 2022")</f>
        <v>Primeiro Semestre 2022</v>
      </c>
      <c r="AR527" s="27" t="str">
        <f ca="1">IFERROR(__xludf.DUMMYFUNCTION("""COMPUTED_VALUE"""),"nathalhacavalcante10@gmail.com")</f>
        <v>nathalhacavalcante10@gmail.com</v>
      </c>
      <c r="AS527" s="27">
        <f ca="1">IFERROR(__xludf.DUMMYFUNCTION("""COMPUTED_VALUE"""),82999802495)</f>
        <v>82999802495</v>
      </c>
      <c r="AT527" s="30">
        <f ca="1">IFERROR(__xludf.DUMMYFUNCTION("""COMPUTED_VALUE"""),35782)</f>
        <v>35782</v>
      </c>
      <c r="AU527" s="27">
        <f ca="1">IFERROR(__xludf.DUMMYFUNCTION("""COMPUTED_VALUE"""),25)</f>
        <v>25</v>
      </c>
      <c r="AV527" s="27">
        <f ca="1">IFERROR(__xludf.DUMMYFUNCTION("""COMPUTED_VALUE"""),70592444414)</f>
        <v>70592444414</v>
      </c>
      <c r="AW527" s="27">
        <f ca="1">IFERROR(__xludf.DUMMYFUNCTION("""COMPUTED_VALUE"""),38641674)</f>
        <v>38641674</v>
      </c>
      <c r="AX527" s="27"/>
      <c r="AY527" s="27"/>
      <c r="AZ527" s="27" t="str">
        <f ca="1">IFERROR(__xludf.DUMMYFUNCTION("""COMPUTED_VALUE"""),"M")</f>
        <v>M</v>
      </c>
      <c r="BA527" s="27" t="str">
        <f ca="1">IFERROR(__xludf.DUMMYFUNCTION("""COMPUTED_VALUE"""),"Parda")</f>
        <v>Parda</v>
      </c>
      <c r="BB527" s="27"/>
      <c r="BC527" s="27"/>
      <c r="BD527" s="27" t="str">
        <f ca="1">IFERROR(__xludf.DUMMYFUNCTION("""COMPUTED_VALUE"""),"Olá tudo bem? Me chamo Nathalha* tenho 24 anos* moro no interior de Alagoas* Boca da Mata* sou empreendedora atuou como cabeleireira* sou estudante de Letras* na Universidade Estadual de Alagoas* e sou a criadora do projeto Espalhe Cesta* tenho orgulho de"&amp;" quem estou me tornado e pretendo realizar muitas coisas* e ajudar muitas pessoas a terem uma vida melhor!")</f>
        <v>Olá tudo bem? Me chamo Nathalha* tenho 24 anos* moro no interior de Alagoas* Boca da Mata* sou empreendedora atuou como cabeleireira* sou estudante de Letras* na Universidade Estadual de Alagoas* e sou a criadora do projeto Espalhe Cesta* tenho orgulho de quem estou me tornado e pretendo realizar muitas coisas* e ajudar muitas pessoas a terem uma vida melhor!</v>
      </c>
      <c r="BE527" s="27" t="str">
        <f ca="1">IFERROR(__xludf.DUMMYFUNCTION("""COMPUTED_VALUE"""),"Feminino")</f>
        <v>Feminino</v>
      </c>
      <c r="BF527" s="27" t="str">
        <f ca="1">IFERROR(__xludf.DUMMYFUNCTION("""COMPUTED_VALUE"""),"Heterossexual")</f>
        <v>Heterossexual</v>
      </c>
      <c r="BG527" s="27"/>
      <c r="BH527" s="27" t="str">
        <f ca="1">IFERROR(__xludf.DUMMYFUNCTION("""COMPUTED_VALUE"""),"Público")</f>
        <v>Público</v>
      </c>
      <c r="BI527" s="27" t="str">
        <f ca="1">IFERROR(__xludf.DUMMYFUNCTION("""COMPUTED_VALUE"""),"Graduação")</f>
        <v>Graduação</v>
      </c>
      <c r="BJ527" s="27" t="str">
        <f ca="1">IFERROR(__xludf.DUMMYFUNCTION("""COMPUTED_VALUE"""),"Público")</f>
        <v>Público</v>
      </c>
      <c r="BK527" s="27" t="str">
        <f ca="1">IFERROR(__xludf.DUMMYFUNCTION("""COMPUTED_VALUE"""),"Rua José leite da Silva")</f>
        <v>Rua José leite da Silva</v>
      </c>
      <c r="BL527" s="27">
        <f ca="1">IFERROR(__xludf.DUMMYFUNCTION("""COMPUTED_VALUE"""),37)</f>
        <v>37</v>
      </c>
      <c r="BM527" s="27"/>
      <c r="BN527" s="27"/>
      <c r="BO527" s="27">
        <f ca="1">IFERROR(__xludf.DUMMYFUNCTION("""COMPUTED_VALUE"""),57680000)</f>
        <v>57680000</v>
      </c>
      <c r="BP527" s="27" t="str">
        <f ca="1">IFERROR(__xludf.DUMMYFUNCTION("""COMPUTED_VALUE"""),"AL")</f>
        <v>AL</v>
      </c>
      <c r="BQ527" s="27" t="str">
        <f ca="1">IFERROR(__xludf.DUMMYFUNCTION("""COMPUTED_VALUE"""),"Entre 1 até 3 salários mínimos")</f>
        <v>Entre 1 até 3 salários mínimos</v>
      </c>
      <c r="BR527" s="27" t="str">
        <f ca="1">IFERROR(__xludf.DUMMYFUNCTION("""COMPUTED_VALUE"""),"Trabalho informal")</f>
        <v>Trabalho informal</v>
      </c>
      <c r="BS527" s="27" t="str">
        <f ca="1">IFERROR(__xludf.DUMMYFUNCTION("""COMPUTED_VALUE"""),"Casa própria")</f>
        <v>Casa própria</v>
      </c>
      <c r="BT527" s="27">
        <f ca="1">IFERROR(__xludf.DUMMYFUNCTION("""COMPUTED_VALUE"""),4)</f>
        <v>4</v>
      </c>
      <c r="BU527" s="27" t="str">
        <f ca="1">IFERROR(__xludf.DUMMYFUNCTION("""COMPUTED_VALUE"""),"Não tem")</f>
        <v>Não tem</v>
      </c>
      <c r="BV527" s="27" t="str">
        <f ca="1">IFERROR(__xludf.DUMMYFUNCTION("""COMPUTED_VALUE"""),"Não")</f>
        <v>Não</v>
      </c>
      <c r="BW527" s="27"/>
      <c r="BX527" s="21" t="str">
        <f ca="1">IFERROR(__xludf.DUMMYFUNCTION("""COMPUTED_VALUE"""),"https://www.instagram.com/invites/contact/?i=z1sxzp187jde&amp;utm_content=2o5t1df")</f>
        <v>https://www.instagram.com/invites/contact/?i=z1sxzp187jde&amp;utm_content=2o5t1df</v>
      </c>
      <c r="BY527" s="21" t="str">
        <f ca="1">IFERROR(__xludf.DUMMYFUNCTION("""COMPUTED_VALUE"""),"https://drive.google.com/open?id=1fmjbLoNoZml8MhtnTqIm3VE-kmmZM9yK")</f>
        <v>https://drive.google.com/open?id=1fmjbLoNoZml8MhtnTqIm3VE-kmmZM9yK</v>
      </c>
    </row>
    <row r="528" spans="1:77" ht="12.5" x14ac:dyDescent="0.25">
      <c r="A528" s="21" t="str">
        <f ca="1">IFERROR(__xludf.DUMMYFUNCTION("""COMPUTED_VALUE"""),"0014X00002VKCsaQAH")</f>
        <v>0014X00002VKCsaQAH</v>
      </c>
      <c r="B528" s="27" t="str">
        <f ca="1">IFERROR(__xludf.DUMMYFUNCTION("""COMPUTED_VALUE"""),"Fase Inicial")</f>
        <v>Fase Inicial</v>
      </c>
      <c r="C528" s="27" t="str">
        <f ca="1">IFERROR(__xludf.DUMMYFUNCTION("""COMPUTED_VALUE"""),"Fellow")</f>
        <v>Fellow</v>
      </c>
      <c r="D528" s="27" t="str">
        <f ca="1">IFERROR(__xludf.DUMMYFUNCTION("""COMPUTED_VALUE"""),"Ativo")</f>
        <v>Ativo</v>
      </c>
      <c r="E528" s="27" t="str">
        <f ca="1">IFERROR(__xludf.DUMMYFUNCTION("""COMPUTED_VALUE"""),"Projeto Esperança do Gogó")</f>
        <v>Projeto Esperança do Gogó</v>
      </c>
      <c r="F528" s="27" t="str">
        <f ca="1">IFERROR(__xludf.DUMMYFUNCTION("""COMPUTED_VALUE"""),"Fatima")</f>
        <v>Fatima</v>
      </c>
      <c r="G528" s="27" t="str">
        <f ca="1">IFERROR(__xludf.DUMMYFUNCTION("""COMPUTED_VALUE"""),"PROJETO ESPERANÇA DO GOGÓ")</f>
        <v>PROJETO ESPERANÇA DO GOGÓ</v>
      </c>
      <c r="H528" s="27"/>
      <c r="I528" s="27" t="str">
        <f ca="1">IFERROR(__xludf.DUMMYFUNCTION("""COMPUTED_VALUE"""),"FATIMA REGINA FORTES MAYER")</f>
        <v>FATIMA REGINA FORTES MAYER</v>
      </c>
      <c r="J528" s="27" t="str">
        <f ca="1">IFERROR(__xludf.DUMMYFUNCTION("""COMPUTED_VALUE"""),"projeto.esperanca.do.gogo@gmail.com")</f>
        <v>projeto.esperanca.do.gogo@gmail.com</v>
      </c>
      <c r="K528" s="27" t="str">
        <f ca="1">IFERROR(__xludf.DUMMYFUNCTION("""COMPUTED_VALUE"""),"(21)98536-3694")</f>
        <v>(21)98536-3694</v>
      </c>
      <c r="L528" s="27" t="str">
        <f ca="1">IFERROR(__xludf.DUMMYFUNCTION("""COMPUTED_VALUE"""),"RJ")</f>
        <v>RJ</v>
      </c>
      <c r="M528" s="27" t="str">
        <f ca="1">IFERROR(__xludf.DUMMYFUNCTION("""COMPUTED_VALUE"""),"RUA DAS CRIANÇAS")</f>
        <v>RUA DAS CRIANÇAS</v>
      </c>
      <c r="N528" s="27" t="str">
        <f ca="1">IFERROR(__xludf.DUMMYFUNCTION("""COMPUTED_VALUE"""),"BOM PASTOR")</f>
        <v>BOM PASTOR</v>
      </c>
      <c r="O528" s="27">
        <f ca="1">IFERROR(__xludf.DUMMYFUNCTION("""COMPUTED_VALUE"""),4)</f>
        <v>4</v>
      </c>
      <c r="P528" s="27" t="str">
        <f ca="1">IFERROR(__xludf.DUMMYFUNCTION("""COMPUTED_VALUE"""),"BELFORD ROXO")</f>
        <v>BELFORD ROXO</v>
      </c>
      <c r="Q528" s="27" t="str">
        <f ca="1">IFERROR(__xludf.DUMMYFUNCTION("""COMPUTED_VALUE"""),"QUADRA C")</f>
        <v>QUADRA C</v>
      </c>
      <c r="R528" s="27" t="str">
        <f ca="1">IFERROR(__xludf.DUMMYFUNCTION("""COMPUTED_VALUE"""),"26113-730")</f>
        <v>26113-730</v>
      </c>
      <c r="S528" s="27"/>
      <c r="T528" s="27"/>
      <c r="U528" s="27" t="str">
        <f ca="1">IFERROR(__xludf.DUMMYFUNCTION("""COMPUTED_VALUE"""),"bebês (1 a 1ano e 6 meses), Crianças bem pequenas (1 ano e 7 meses até 3 anos e 11 meses), Crianças pequenas (4 anos a 5 anos e 11 meses), Crianças (6 a 12 anos), Adolescentes (12 aos 18 anos)")</f>
        <v>bebês (1 a 1ano e 6 meses), Crianças bem pequenas (1 ano e 7 meses até 3 anos e 11 meses), Crianças pequenas (4 anos a 5 anos e 11 meses), Crianças (6 a 12 anos), Adolescentes (12 aos 18 anos)</v>
      </c>
      <c r="V528" s="27" t="str">
        <f ca="1">IFERROR(__xludf.DUMMYFUNCTION("""COMPUTED_VALUE"""),"Moradores de Favelas")</f>
        <v>Moradores de Favelas</v>
      </c>
      <c r="W528" s="27">
        <f ca="1">IFERROR(__xludf.DUMMYFUNCTION("""COMPUTED_VALUE"""),4)</f>
        <v>4</v>
      </c>
      <c r="X528" s="27" t="str">
        <f ca="1">IFERROR(__xludf.DUMMYFUNCTION("""COMPUTED_VALUE"""),"Nosso trabalho começou com oficina de leitura para algumas crianças da comunidade com dificuldade de leitura* mas depois passamos acompanhar as famílias também com cestas básicas* doação de roupas* palestras e outras orientações.")</f>
        <v>Nosso trabalho começou com oficina de leitura para algumas crianças da comunidade com dificuldade de leitura* mas depois passamos acompanhar as famílias também com cestas básicas* doação de roupas* palestras e outras orientações.</v>
      </c>
      <c r="Y528" s="27"/>
      <c r="Z528" s="27">
        <f ca="1">IFERROR(__xludf.DUMMYFUNCTION("""COMPUTED_VALUE"""),217)</f>
        <v>217</v>
      </c>
      <c r="AA528" s="29">
        <f ca="1">IFERROR(__xludf.DUMMYFUNCTION("""COMPUTED_VALUE"""),44702)</f>
        <v>44702</v>
      </c>
      <c r="AB528" s="27" t="str">
        <f ca="1">IFERROR(__xludf.DUMMYFUNCTION("""COMPUTED_VALUE"""),"Não")</f>
        <v>Não</v>
      </c>
      <c r="AC528" s="27">
        <f ca="1">IFERROR(__xludf.DUMMYFUNCTION("""COMPUTED_VALUE"""),0)</f>
        <v>0</v>
      </c>
      <c r="AD528" s="27">
        <f ca="1">IFERROR(__xludf.DUMMYFUNCTION("""COMPUTED_VALUE"""),25)</f>
        <v>25</v>
      </c>
      <c r="AE528" s="27">
        <f ca="1">IFERROR(__xludf.DUMMYFUNCTION("""COMPUTED_VALUE"""),16)</f>
        <v>16</v>
      </c>
      <c r="AF528" s="27">
        <f ca="1">IFERROR(__xludf.DUMMYFUNCTION("""COMPUTED_VALUE"""),6)</f>
        <v>6</v>
      </c>
      <c r="AG528" s="27">
        <f ca="1">IFERROR(__xludf.DUMMYFUNCTION("""COMPUTED_VALUE"""),2)</f>
        <v>2</v>
      </c>
      <c r="AH528" s="27" t="str">
        <f ca="1">IFERROR(__xludf.DUMMYFUNCTION("""COMPUTED_VALUE"""),"Doações, Recursos próprios")</f>
        <v>Doações, Recursos próprios</v>
      </c>
      <c r="AI528" s="27" t="str">
        <f ca="1">IFERROR(__xludf.DUMMYFUNCTION("""COMPUTED_VALUE"""),"DOAÇÕES 90% RECURSOS PRÓPRIOS10%")</f>
        <v>DOAÇÕES 90% RECURSOS PRÓPRIOS10%</v>
      </c>
      <c r="AJ528" s="27" t="str">
        <f ca="1">IFERROR(__xludf.DUMMYFUNCTION("""COMPUTED_VALUE"""),"Não")</f>
        <v>Não</v>
      </c>
      <c r="AK528" s="27"/>
      <c r="AL528" s="21" t="str">
        <f ca="1">IFERROR(__xludf.DUMMYFUNCTION("""COMPUTED_VALUE"""),"0034X0000380O1d")</f>
        <v>0034X0000380O1d</v>
      </c>
      <c r="AM528" s="27" t="str">
        <f ca="1">IFERROR(__xludf.DUMMYFUNCTION("""COMPUTED_VALUE"""),"Regina fortes mayer")</f>
        <v>Regina fortes mayer</v>
      </c>
      <c r="AN528" s="27" t="str">
        <f ca="1">IFERROR(__xludf.DUMMYFUNCTION("""COMPUTED_VALUE"""),"Ativo")</f>
        <v>Ativo</v>
      </c>
      <c r="AO528" s="29">
        <f ca="1">IFERROR(__xludf.DUMMYFUNCTION("""COMPUTED_VALUE"""),44763)</f>
        <v>44763</v>
      </c>
      <c r="AP528" s="27">
        <f ca="1">IFERROR(__xludf.DUMMYFUNCTION("""COMPUTED_VALUE"""),2)</f>
        <v>2</v>
      </c>
      <c r="AQ528" s="27" t="str">
        <f ca="1">IFERROR(__xludf.DUMMYFUNCTION("""COMPUTED_VALUE"""),"Primeiro Semestre 2022")</f>
        <v>Primeiro Semestre 2022</v>
      </c>
      <c r="AR528" s="27" t="str">
        <f ca="1">IFERROR(__xludf.DUMMYFUNCTION("""COMPUTED_VALUE"""),"projeto.esperanca.do.gogo@gmail.com")</f>
        <v>projeto.esperanca.do.gogo@gmail.com</v>
      </c>
      <c r="AS528" s="27">
        <f ca="1">IFERROR(__xludf.DUMMYFUNCTION("""COMPUTED_VALUE"""),21985363694)</f>
        <v>21985363694</v>
      </c>
      <c r="AT528" s="29">
        <f ca="1">IFERROR(__xludf.DUMMYFUNCTION("""COMPUTED_VALUE"""),26943)</f>
        <v>26943</v>
      </c>
      <c r="AU528" s="27">
        <f ca="1">IFERROR(__xludf.DUMMYFUNCTION("""COMPUTED_VALUE"""),49)</f>
        <v>49</v>
      </c>
      <c r="AV528" s="27">
        <f ca="1">IFERROR(__xludf.DUMMYFUNCTION("""COMPUTED_VALUE"""),2295485711)</f>
        <v>2295485711</v>
      </c>
      <c r="AW528" s="27" t="str">
        <f ca="1">IFERROR(__xludf.DUMMYFUNCTION("""COMPUTED_VALUE"""),"27.356.661-2")</f>
        <v>27.356.661-2</v>
      </c>
      <c r="AX528" s="27"/>
      <c r="AY528" s="27"/>
      <c r="AZ528" s="27" t="str">
        <f ca="1">IFERROR(__xludf.DUMMYFUNCTION("""COMPUTED_VALUE"""),"G")</f>
        <v>G</v>
      </c>
      <c r="BA528" s="27" t="str">
        <f ca="1">IFERROR(__xludf.DUMMYFUNCTION("""COMPUTED_VALUE"""),"Parda")</f>
        <v>Parda</v>
      </c>
      <c r="BB528" s="27"/>
      <c r="BC528" s="27"/>
      <c r="BD528" s="27" t="str">
        <f ca="1">IFERROR(__xludf.DUMMYFUNCTION("""COMPUTED_VALUE"""),"Tenho 48 anos* mãe de 03 filhos* acabei de ser avó. Fiquei viúva há 05 meses* de um casamento maravilhoso* de 26 anos. Meu esposo morreu de covid. Sou psicóloga* formada desde 2017* em uma universidade privada onde eu era bolsista. Acabei de concluir a Pó"&amp;"s em Terapia Cognitivo Comportamental. Sempre tive desejo de participar de algo que pudesse contribuir para minha comunidade* fazer algo que fizesse a diferença na vida das pessoas* algo maior. Acredito que nossa vida só tem sentindo quando fazermos senti"&amp;"do para outras pessoas* acredito que temos um propósito a cumprir nessa Terra. Juntei com outros amigos que tem o mesmo desejo e iniciamos um trabalho com as crianças de nossa comunidade. Sou apaixonada por Deus* pela vida* por minha família* por gente* p"&amp;"elas minhas crianças* enfim amo tudo que faço. Gosto de conhecer lugares novos* conhecer novas pessoas* adquirir conhecimento* amo chocolate* café.")</f>
        <v>Tenho 48 anos* mãe de 03 filhos* acabei de ser avó. Fiquei viúva há 05 meses* de um casamento maravilhoso* de 26 anos. Meu esposo morreu de covid. Sou psicóloga* formada desde 2017* em uma universidade privada onde eu era bolsista. Acabei de concluir a Pós em Terapia Cognitivo Comportamental. Sempre tive desejo de participar de algo que pudesse contribuir para minha comunidade* fazer algo que fizesse a diferença na vida das pessoas* algo maior. Acredito que nossa vida só tem sentindo quando fazermos sentido para outras pessoas* acredito que temos um propósito a cumprir nessa Terra. Juntei com outros amigos que tem o mesmo desejo e iniciamos um trabalho com as crianças de nossa comunidade. Sou apaixonada por Deus* pela vida* por minha família* por gente* pelas minhas crianças* enfim amo tudo que faço. Gosto de conhecer lugares novos* conhecer novas pessoas* adquirir conhecimento* amo chocolate* café.</v>
      </c>
      <c r="BE528" s="27" t="str">
        <f ca="1">IFERROR(__xludf.DUMMYFUNCTION("""COMPUTED_VALUE"""),"Feminino")</f>
        <v>Feminino</v>
      </c>
      <c r="BF528" s="27" t="str">
        <f ca="1">IFERROR(__xludf.DUMMYFUNCTION("""COMPUTED_VALUE"""),"Heterossexual")</f>
        <v>Heterossexual</v>
      </c>
      <c r="BG528" s="27"/>
      <c r="BH528" s="27" t="str">
        <f ca="1">IFERROR(__xludf.DUMMYFUNCTION("""COMPUTED_VALUE"""),"Público")</f>
        <v>Público</v>
      </c>
      <c r="BI528" s="27" t="str">
        <f ca="1">IFERROR(__xludf.DUMMYFUNCTION("""COMPUTED_VALUE"""),"Pós-Graduação")</f>
        <v>Pós-Graduação</v>
      </c>
      <c r="BJ528" s="27" t="str">
        <f ca="1">IFERROR(__xludf.DUMMYFUNCTION("""COMPUTED_VALUE"""),"Privado")</f>
        <v>Privado</v>
      </c>
      <c r="BK528" s="27" t="str">
        <f ca="1">IFERROR(__xludf.DUMMYFUNCTION("""COMPUTED_VALUE"""),"Rua Suassui")</f>
        <v>Rua Suassui</v>
      </c>
      <c r="BL528" s="27">
        <f ca="1">IFERROR(__xludf.DUMMYFUNCTION("""COMPUTED_VALUE"""),19)</f>
        <v>19</v>
      </c>
      <c r="BM528" s="27">
        <f ca="1">IFERROR(__xludf.DUMMYFUNCTION("""COMPUTED_VALUE"""),38)</f>
        <v>38</v>
      </c>
      <c r="BN528" s="27"/>
      <c r="BO528" s="27">
        <f ca="1">IFERROR(__xludf.DUMMYFUNCTION("""COMPUTED_VALUE"""),26110415)</f>
        <v>26110415</v>
      </c>
      <c r="BP528" s="27" t="str">
        <f ca="1">IFERROR(__xludf.DUMMYFUNCTION("""COMPUTED_VALUE"""),"RJ")</f>
        <v>RJ</v>
      </c>
      <c r="BQ528" s="27" t="str">
        <f ca="1">IFERROR(__xludf.DUMMYFUNCTION("""COMPUTED_VALUE"""),"Entre 1 até 3 salários mínimos")</f>
        <v>Entre 1 até 3 salários mínimos</v>
      </c>
      <c r="BR528" s="27" t="str">
        <f ca="1">IFERROR(__xludf.DUMMYFUNCTION("""COMPUTED_VALUE"""),"Desempregado")</f>
        <v>Desempregado</v>
      </c>
      <c r="BS528" s="27" t="str">
        <f ca="1">IFERROR(__xludf.DUMMYFUNCTION("""COMPUTED_VALUE"""),"Casa própria")</f>
        <v>Casa própria</v>
      </c>
      <c r="BT528" s="27">
        <f ca="1">IFERROR(__xludf.DUMMYFUNCTION("""COMPUTED_VALUE"""),3)</f>
        <v>3</v>
      </c>
      <c r="BU528" s="27" t="str">
        <f ca="1">IFERROR(__xludf.DUMMYFUNCTION("""COMPUTED_VALUE"""),"Não tem")</f>
        <v>Não tem</v>
      </c>
      <c r="BV528" s="27" t="str">
        <f ca="1">IFERROR(__xludf.DUMMYFUNCTION("""COMPUTED_VALUE"""),"Não")</f>
        <v>Não</v>
      </c>
      <c r="BW528" s="27"/>
      <c r="BX528" s="21" t="str">
        <f ca="1">IFERROR(__xludf.DUMMYFUNCTION("""COMPUTED_VALUE"""),"https://instagram.com/fatimafmayer?utm_medium=copy_link")</f>
        <v>https://instagram.com/fatimafmayer?utm_medium=copy_link</v>
      </c>
      <c r="BY528" s="21" t="str">
        <f ca="1">IFERROR(__xludf.DUMMYFUNCTION("""COMPUTED_VALUE"""),"https://drive.google.com/open?id=1dR3N7cqZjrExh4_o8Ni0fBp-QlO-z1fd")</f>
        <v>https://drive.google.com/open?id=1dR3N7cqZjrExh4_o8Ni0fBp-QlO-z1fd</v>
      </c>
    </row>
    <row r="529" spans="1:77" ht="12.5" x14ac:dyDescent="0.25">
      <c r="A529" s="21" t="str">
        <f ca="1">IFERROR(__xludf.DUMMYFUNCTION("""COMPUTED_VALUE"""),"0014X00002VKCrwQAH")</f>
        <v>0014X00002VKCrwQAH</v>
      </c>
      <c r="B529" s="27" t="str">
        <f ca="1">IFERROR(__xludf.DUMMYFUNCTION("""COMPUTED_VALUE"""),"Fase Inicial")</f>
        <v>Fase Inicial</v>
      </c>
      <c r="C529" s="27" t="str">
        <f ca="1">IFERROR(__xludf.DUMMYFUNCTION("""COMPUTED_VALUE"""),"Fellow")</f>
        <v>Fellow</v>
      </c>
      <c r="D529" s="27" t="str">
        <f ca="1">IFERROR(__xludf.DUMMYFUNCTION("""COMPUTED_VALUE"""),"Ativo")</f>
        <v>Ativo</v>
      </c>
      <c r="E529" s="27" t="str">
        <f ca="1">IFERROR(__xludf.DUMMYFUNCTION("""COMPUTED_VALUE"""),"PROJETO FÁBRICA")</f>
        <v>PROJETO FÁBRICA</v>
      </c>
      <c r="F529" s="27" t="str">
        <f ca="1">IFERROR(__xludf.DUMMYFUNCTION("""COMPUTED_VALUE"""),"Marcos")</f>
        <v>Marcos</v>
      </c>
      <c r="G529" s="27" t="str">
        <f ca="1">IFERROR(__xludf.DUMMYFUNCTION("""COMPUTED_VALUE"""),"PROJETO FÁBRICA")</f>
        <v>PROJETO FÁBRICA</v>
      </c>
      <c r="H529" s="27"/>
      <c r="I529" s="27" t="str">
        <f ca="1">IFERROR(__xludf.DUMMYFUNCTION("""COMPUTED_VALUE"""),"Marcos Kleyton Antunes Bezerra")</f>
        <v>Marcos Kleyton Antunes Bezerra</v>
      </c>
      <c r="J529" s="27" t="str">
        <f ca="1">IFERROR(__xludf.DUMMYFUNCTION("""COMPUTED_VALUE"""),"fabricadolazer@gmail.com")</f>
        <v>fabricadolazer@gmail.com</v>
      </c>
      <c r="K529" s="27" t="str">
        <f ca="1">IFERROR(__xludf.DUMMYFUNCTION("""COMPUTED_VALUE"""),"(81)98664-7302")</f>
        <v>(81)98664-7302</v>
      </c>
      <c r="L529" s="27" t="str">
        <f ca="1">IFERROR(__xludf.DUMMYFUNCTION("""COMPUTED_VALUE"""),"PE")</f>
        <v>PE</v>
      </c>
      <c r="M529" s="27" t="str">
        <f ca="1">IFERROR(__xludf.DUMMYFUNCTION("""COMPUTED_VALUE"""),"Rua Realeza")</f>
        <v>Rua Realeza</v>
      </c>
      <c r="N529" s="27" t="str">
        <f ca="1">IFERROR(__xludf.DUMMYFUNCTION("""COMPUTED_VALUE"""),"Bairro São José")</f>
        <v>Bairro São José</v>
      </c>
      <c r="O529" s="27">
        <f ca="1">IFERROR(__xludf.DUMMYFUNCTION("""COMPUTED_VALUE"""),0)</f>
        <v>0</v>
      </c>
      <c r="P529" s="27" t="str">
        <f ca="1">IFERROR(__xludf.DUMMYFUNCTION("""COMPUTED_VALUE"""),"Recife")</f>
        <v>Recife</v>
      </c>
      <c r="Q529" s="27" t="str">
        <f ca="1">IFERROR(__xludf.DUMMYFUNCTION("""COMPUTED_VALUE"""),"Comunidade São Geraldo")</f>
        <v>Comunidade São Geraldo</v>
      </c>
      <c r="R529" s="27" t="str">
        <f ca="1">IFERROR(__xludf.DUMMYFUNCTION("""COMPUTED_VALUE"""),"50090-690")</f>
        <v>50090-690</v>
      </c>
      <c r="S529" s="27" t="str">
        <f ca="1">IFERROR(__xludf.DUMMYFUNCTION("""COMPUTED_VALUE"""),"Quadra da praça da comunidade")</f>
        <v>Quadra da praça da comunidade</v>
      </c>
      <c r="T529" s="27"/>
      <c r="U529" s="27" t="str">
        <f ca="1">IFERROR(__xludf.DUMMYFUNCTION("""COMPUTED_VALUE"""),"Crianças (6 a 12 anos), Adolescentes (12 aos 18 anos)")</f>
        <v>Crianças (6 a 12 anos), Adolescentes (12 aos 18 anos)</v>
      </c>
      <c r="V529" s="27" t="str">
        <f ca="1">IFERROR(__xludf.DUMMYFUNCTION("""COMPUTED_VALUE"""),"Moradores de Favelas")</f>
        <v>Moradores de Favelas</v>
      </c>
      <c r="W529" s="27">
        <f ca="1">IFERROR(__xludf.DUMMYFUNCTION("""COMPUTED_VALUE"""),4)</f>
        <v>4</v>
      </c>
      <c r="X529" s="27" t="str">
        <f ca="1">IFERROR(__xludf.DUMMYFUNCTION("""COMPUTED_VALUE"""),"Não")</f>
        <v>Não</v>
      </c>
      <c r="Y529" s="27"/>
      <c r="Z529" s="27">
        <f ca="1">IFERROR(__xludf.DUMMYFUNCTION("""COMPUTED_VALUE"""),970)</f>
        <v>970</v>
      </c>
      <c r="AA529" s="29">
        <f ca="1">IFERROR(__xludf.DUMMYFUNCTION("""COMPUTED_VALUE"""),42834)</f>
        <v>42834</v>
      </c>
      <c r="AB529" s="27" t="str">
        <f ca="1">IFERROR(__xludf.DUMMYFUNCTION("""COMPUTED_VALUE"""),"Não")</f>
        <v>Não</v>
      </c>
      <c r="AC529" s="27">
        <f ca="1">IFERROR(__xludf.DUMMYFUNCTION("""COMPUTED_VALUE"""),0)</f>
        <v>0</v>
      </c>
      <c r="AD529" s="27">
        <f ca="1">IFERROR(__xludf.DUMMYFUNCTION("""COMPUTED_VALUE"""),1)</f>
        <v>1</v>
      </c>
      <c r="AE529" s="27">
        <f ca="1">IFERROR(__xludf.DUMMYFUNCTION("""COMPUTED_VALUE"""),3)</f>
        <v>3</v>
      </c>
      <c r="AF529" s="27">
        <f ca="1">IFERROR(__xludf.DUMMYFUNCTION("""COMPUTED_VALUE"""),1)</f>
        <v>1</v>
      </c>
      <c r="AG529" s="27">
        <f ca="1">IFERROR(__xludf.DUMMYFUNCTION("""COMPUTED_VALUE"""),4)</f>
        <v>4</v>
      </c>
      <c r="AH529" s="27" t="str">
        <f ca="1">IFERROR(__xludf.DUMMYFUNCTION("""COMPUTED_VALUE"""),"Editais, Outro(s), Doações, Recursos próprios")</f>
        <v>Editais, Outro(s), Doações, Recursos próprios</v>
      </c>
      <c r="AI529" s="27">
        <f ca="1">IFERROR(__xludf.DUMMYFUNCTION("""COMPUTED_VALUE"""),0)</f>
        <v>0</v>
      </c>
      <c r="AJ529" s="27" t="str">
        <f ca="1">IFERROR(__xludf.DUMMYFUNCTION("""COMPUTED_VALUE"""),"Vamos iniciar esse ano")</f>
        <v>Vamos iniciar esse ano</v>
      </c>
      <c r="AK529" s="27"/>
      <c r="AL529" s="21" t="str">
        <f ca="1">IFERROR(__xludf.DUMMYFUNCTION("""COMPUTED_VALUE"""),"0034X0000380O5V")</f>
        <v>0034X0000380O5V</v>
      </c>
      <c r="AM529" s="27" t="str">
        <f ca="1">IFERROR(__xludf.DUMMYFUNCTION("""COMPUTED_VALUE"""),"Kleyton antunes bezerra")</f>
        <v>Kleyton antunes bezerra</v>
      </c>
      <c r="AN529" s="27" t="str">
        <f ca="1">IFERROR(__xludf.DUMMYFUNCTION("""COMPUTED_VALUE"""),"Ativo")</f>
        <v>Ativo</v>
      </c>
      <c r="AO529" s="27"/>
      <c r="AP529" s="27"/>
      <c r="AQ529" s="27" t="str">
        <f ca="1">IFERROR(__xludf.DUMMYFUNCTION("""COMPUTED_VALUE"""),"Primeiro Semestre 2022")</f>
        <v>Primeiro Semestre 2022</v>
      </c>
      <c r="AR529" s="27" t="str">
        <f ca="1">IFERROR(__xludf.DUMMYFUNCTION("""COMPUTED_VALUE"""),"kleyton.turmaboa@gmail.com")</f>
        <v>kleyton.turmaboa@gmail.com</v>
      </c>
      <c r="AS529" s="27" t="str">
        <f ca="1">IFERROR(__xludf.DUMMYFUNCTION("""COMPUTED_VALUE"""),"(81)98664-7302")</f>
        <v>(81)98664-7302</v>
      </c>
      <c r="AT529" s="29">
        <f ca="1">IFERROR(__xludf.DUMMYFUNCTION("""COMPUTED_VALUE"""),36933)</f>
        <v>36933</v>
      </c>
      <c r="AU529" s="27">
        <f ca="1">IFERROR(__xludf.DUMMYFUNCTION("""COMPUTED_VALUE"""),21)</f>
        <v>21</v>
      </c>
      <c r="AV529" s="27">
        <f ca="1">IFERROR(__xludf.DUMMYFUNCTION("""COMPUTED_VALUE"""),1775993400)</f>
        <v>1775993400</v>
      </c>
      <c r="AW529" s="27">
        <f ca="1">IFERROR(__xludf.DUMMYFUNCTION("""COMPUTED_VALUE"""),10545704)</f>
        <v>10545704</v>
      </c>
      <c r="AX529" s="27"/>
      <c r="AY529" s="27" t="str">
        <f ca="1">IFERROR(__xludf.DUMMYFUNCTION("""COMPUTED_VALUE"""),"Coordenador")</f>
        <v>Coordenador</v>
      </c>
      <c r="AZ529" s="27" t="str">
        <f ca="1">IFERROR(__xludf.DUMMYFUNCTION("""COMPUTED_VALUE"""),"M")</f>
        <v>M</v>
      </c>
      <c r="BA529" s="27" t="str">
        <f ca="1">IFERROR(__xludf.DUMMYFUNCTION("""COMPUTED_VALUE"""),"Parda")</f>
        <v>Parda</v>
      </c>
      <c r="BB529" s="27"/>
      <c r="BC529" s="27"/>
      <c r="BD529" s="27" t="str">
        <f ca="1">IFERROR(__xludf.DUMMYFUNCTION("""COMPUTED_VALUE"""),"Marcos Kleyton é seu nome, nascido na periferia do Coque, área central do Recife, tio kleyton onde todos conhece, começou lá em 2015 ainda muito  jovem quando executava ações e projetos culturais e esportivos na ONG AMPAC, mais profissionalmente começou e"&amp;"m 2017 quando por amor se tornou recreador, e saiu desenvolvendo eventos lúdicos e projetos culturais e recreativos através do fábrica onde ainda é líder do projeto.")</f>
        <v>Marcos Kleyton é seu nome, nascido na periferia do Coque, área central do Recife, tio kleyton onde todos conhece, começou lá em 2015 ainda muito  jovem quando executava ações e projetos culturais e esportivos na ONG AMPAC, mais profissionalmente começou em 2017 quando por amor se tornou recreador, e saiu desenvolvendo eventos lúdicos e projetos culturais e recreativos através do fábrica onde ainda é líder do projeto.</v>
      </c>
      <c r="BE529" s="27" t="str">
        <f ca="1">IFERROR(__xludf.DUMMYFUNCTION("""COMPUTED_VALUE"""),"Homem, cisgênero")</f>
        <v>Homem, cisgênero</v>
      </c>
      <c r="BF529" s="27" t="str">
        <f ca="1">IFERROR(__xludf.DUMMYFUNCTION("""COMPUTED_VALUE"""),"Heterossexual")</f>
        <v>Heterossexual</v>
      </c>
      <c r="BG529" s="27" t="str">
        <f ca="1">IFERROR(__xludf.DUMMYFUNCTION("""COMPUTED_VALUE"""),"Ensino Médio - Completo")</f>
        <v>Ensino Médio - Completo</v>
      </c>
      <c r="BH529" s="27" t="str">
        <f ca="1">IFERROR(__xludf.DUMMYFUNCTION("""COMPUTED_VALUE"""),"Público")</f>
        <v>Público</v>
      </c>
      <c r="BI529" s="27"/>
      <c r="BJ529" s="27"/>
      <c r="BK529" s="27" t="str">
        <f ca="1">IFERROR(__xludf.DUMMYFUNCTION("""COMPUTED_VALUE"""),"Rua Realeza")</f>
        <v>Rua Realeza</v>
      </c>
      <c r="BL529" s="27">
        <f ca="1">IFERROR(__xludf.DUMMYFUNCTION("""COMPUTED_VALUE"""),0)</f>
        <v>0</v>
      </c>
      <c r="BM529" s="27" t="str">
        <f ca="1">IFERROR(__xludf.DUMMYFUNCTION("""COMPUTED_VALUE"""),"Comunidade São Geraldo")</f>
        <v>Comunidade São Geraldo</v>
      </c>
      <c r="BN529" s="27" t="str">
        <f ca="1">IFERROR(__xludf.DUMMYFUNCTION("""COMPUTED_VALUE"""),"Recife")</f>
        <v>Recife</v>
      </c>
      <c r="BO529" s="27" t="str">
        <f ca="1">IFERROR(__xludf.DUMMYFUNCTION("""COMPUTED_VALUE"""),"50090-690")</f>
        <v>50090-690</v>
      </c>
      <c r="BP529" s="27" t="str">
        <f ca="1">IFERROR(__xludf.DUMMYFUNCTION("""COMPUTED_VALUE"""),"PE")</f>
        <v>PE</v>
      </c>
      <c r="BQ529" s="27" t="str">
        <f ca="1">IFERROR(__xludf.DUMMYFUNCTION("""COMPUTED_VALUE"""),"Entre 1 até 3 salários mínimos")</f>
        <v>Entre 1 até 3 salários mínimos</v>
      </c>
      <c r="BR529" s="27" t="str">
        <f ca="1">IFERROR(__xludf.DUMMYFUNCTION("""COMPUTED_VALUE"""),"Desempregado")</f>
        <v>Desempregado</v>
      </c>
      <c r="BS529" s="27" t="str">
        <f ca="1">IFERROR(__xludf.DUMMYFUNCTION("""COMPUTED_VALUE"""),"Ocupação/Invasão")</f>
        <v>Ocupação/Invasão</v>
      </c>
      <c r="BT529" s="27">
        <f ca="1">IFERROR(__xludf.DUMMYFUNCTION("""COMPUTED_VALUE"""),2)</f>
        <v>2</v>
      </c>
      <c r="BU529" s="27" t="str">
        <f ca="1">IFERROR(__xludf.DUMMYFUNCTION("""COMPUTED_VALUE"""),"Não tem")</f>
        <v>Não tem</v>
      </c>
      <c r="BV529" s="27" t="str">
        <f ca="1">IFERROR(__xludf.DUMMYFUNCTION("""COMPUTED_VALUE"""),"Não")</f>
        <v>Não</v>
      </c>
      <c r="BW529" s="27"/>
      <c r="BX529" s="21" t="str">
        <f ca="1">IFERROR(__xludf.DUMMYFUNCTION("""COMPUTED_VALUE"""),"https://www.instagram.com/tiokleyton/")</f>
        <v>https://www.instagram.com/tiokleyton/</v>
      </c>
      <c r="BY529" s="21" t="str">
        <f ca="1">IFERROR(__xludf.DUMMYFUNCTION("""COMPUTED_VALUE"""),"https://drive.google.com/open?id=1HK4WAnu3d0NCkSPRPQsYYUcYzf-WhLSN")</f>
        <v>https://drive.google.com/open?id=1HK4WAnu3d0NCkSPRPQsYYUcYzf-WhLSN</v>
      </c>
    </row>
    <row r="530" spans="1:77" ht="12.5" x14ac:dyDescent="0.25">
      <c r="A530" s="21" t="str">
        <f ca="1">IFERROR(__xludf.DUMMYFUNCTION("""COMPUTED_VALUE"""),"0014X00002VKCrJQAX")</f>
        <v>0014X00002VKCrJQAX</v>
      </c>
      <c r="B530" s="27" t="str">
        <f ca="1">IFERROR(__xludf.DUMMYFUNCTION("""COMPUTED_VALUE"""),"Fase Inicial")</f>
        <v>Fase Inicial</v>
      </c>
      <c r="C530" s="27" t="str">
        <f ca="1">IFERROR(__xludf.DUMMYFUNCTION("""COMPUTED_VALUE"""),"Fellow")</f>
        <v>Fellow</v>
      </c>
      <c r="D530" s="27" t="str">
        <f ca="1">IFERROR(__xludf.DUMMYFUNCTION("""COMPUTED_VALUE"""),"Ativo")</f>
        <v>Ativo</v>
      </c>
      <c r="E530" s="27" t="str">
        <f ca="1">IFERROR(__xludf.DUMMYFUNCTION("""COMPUTED_VALUE"""),"Projeto Flor de Lótus")</f>
        <v>Projeto Flor de Lótus</v>
      </c>
      <c r="F530" s="27" t="str">
        <f ca="1">IFERROR(__xludf.DUMMYFUNCTION("""COMPUTED_VALUE"""),"Viviâne")</f>
        <v>Viviâne</v>
      </c>
      <c r="G530" s="27" t="str">
        <f ca="1">IFERROR(__xludf.DUMMYFUNCTION("""COMPUTED_VALUE"""),"PROJETO FLÓR DE LÓTUS")</f>
        <v>PROJETO FLÓR DE LÓTUS</v>
      </c>
      <c r="H530" s="27"/>
      <c r="I530" s="27" t="str">
        <f ca="1">IFERROR(__xludf.DUMMYFUNCTION("""COMPUTED_VALUE"""),"Viviâne de Almeida Tôrres")</f>
        <v>Viviâne de Almeida Tôrres</v>
      </c>
      <c r="J530" s="27" t="str">
        <f ca="1">IFERROR(__xludf.DUMMYFUNCTION("""COMPUTED_VALUE"""),"p.florlotus@gmail.com")</f>
        <v>p.florlotus@gmail.com</v>
      </c>
      <c r="K530" s="27" t="str">
        <f ca="1">IFERROR(__xludf.DUMMYFUNCTION("""COMPUTED_VALUE"""),"(31)99382-0887")</f>
        <v>(31)99382-0887</v>
      </c>
      <c r="L530" s="27" t="str">
        <f ca="1">IFERROR(__xludf.DUMMYFUNCTION("""COMPUTED_VALUE"""),"MG")</f>
        <v>MG</v>
      </c>
      <c r="M530" s="27" t="str">
        <f ca="1">IFERROR(__xludf.DUMMYFUNCTION("""COMPUTED_VALUE"""),"Rua Padre Antônio Maria 218")</f>
        <v>Rua Padre Antônio Maria 218</v>
      </c>
      <c r="N530" s="27" t="str">
        <f ca="1">IFERROR(__xludf.DUMMYFUNCTION("""COMPUTED_VALUE"""),"Centro")</f>
        <v>Centro</v>
      </c>
      <c r="O530" s="27">
        <f ca="1">IFERROR(__xludf.DUMMYFUNCTION("""COMPUTED_VALUE"""),218)</f>
        <v>218</v>
      </c>
      <c r="P530" s="27" t="str">
        <f ca="1">IFERROR(__xludf.DUMMYFUNCTION("""COMPUTED_VALUE"""),"Raposos")</f>
        <v>Raposos</v>
      </c>
      <c r="Q530" s="27" t="str">
        <f ca="1">IFERROR(__xludf.DUMMYFUNCTION("""COMPUTED_VALUE"""),"Casa da Fundadora")</f>
        <v>Casa da Fundadora</v>
      </c>
      <c r="R530" s="27" t="str">
        <f ca="1">IFERROR(__xludf.DUMMYFUNCTION("""COMPUTED_VALUE"""),"34400-000")</f>
        <v>34400-000</v>
      </c>
      <c r="S530" s="27" t="str">
        <f ca="1">IFERROR(__xludf.DUMMYFUNCTION("""COMPUTED_VALUE"""),"Não")</f>
        <v>Não</v>
      </c>
      <c r="T530" s="27"/>
      <c r="U530" s="27" t="str">
        <f ca="1">IFERROR(__xludf.DUMMYFUNCTION("""COMPUTED_VALUE"""),"Adultos")</f>
        <v>Adultos</v>
      </c>
      <c r="V530" s="27" t="str">
        <f ca="1">IFERROR(__xludf.DUMMYFUNCTION("""COMPUTED_VALUE"""),"Moradores de Favelas, Imigrantes, Refugiados, Outros")</f>
        <v>Moradores de Favelas, Imigrantes, Refugiados, Outros</v>
      </c>
      <c r="W530" s="27">
        <f ca="1">IFERROR(__xludf.DUMMYFUNCTION("""COMPUTED_VALUE"""),2)</f>
        <v>2</v>
      </c>
      <c r="X530" s="27" t="str">
        <f ca="1">IFERROR(__xludf.DUMMYFUNCTION("""COMPUTED_VALUE"""),"Atendemos a familia e por esse motivo não há um público específico")</f>
        <v>Atendemos a familia e por esse motivo não há um público específico</v>
      </c>
      <c r="Y530" s="27"/>
      <c r="Z530" s="27">
        <f ca="1">IFERROR(__xludf.DUMMYFUNCTION("""COMPUTED_VALUE"""),150)</f>
        <v>150</v>
      </c>
      <c r="AA530" s="29">
        <f ca="1">IFERROR(__xludf.DUMMYFUNCTION("""COMPUTED_VALUE"""),43101)</f>
        <v>43101</v>
      </c>
      <c r="AB530" s="27" t="str">
        <f ca="1">IFERROR(__xludf.DUMMYFUNCTION("""COMPUTED_VALUE"""),"Não")</f>
        <v>Não</v>
      </c>
      <c r="AC530" s="27">
        <f ca="1">IFERROR(__xludf.DUMMYFUNCTION("""COMPUTED_VALUE"""),0)</f>
        <v>0</v>
      </c>
      <c r="AD530" s="27">
        <f ca="1">IFERROR(__xludf.DUMMYFUNCTION("""COMPUTED_VALUE"""),0)</f>
        <v>0</v>
      </c>
      <c r="AE530" s="27">
        <f ca="1">IFERROR(__xludf.DUMMYFUNCTION("""COMPUTED_VALUE"""),6)</f>
        <v>6</v>
      </c>
      <c r="AF530" s="27">
        <f ca="1">IFERROR(__xludf.DUMMYFUNCTION("""COMPUTED_VALUE"""),6)</f>
        <v>6</v>
      </c>
      <c r="AG530" s="27">
        <f ca="1">IFERROR(__xludf.DUMMYFUNCTION("""COMPUTED_VALUE"""),4)</f>
        <v>4</v>
      </c>
      <c r="AH530" s="27" t="str">
        <f ca="1">IFERROR(__xludf.DUMMYFUNCTION("""COMPUTED_VALUE"""),"Eventos/Ações para captação, Parceria iniciativa privada, Doações, Recursos próprios")</f>
        <v>Eventos/Ações para captação, Parceria iniciativa privada, Doações, Recursos próprios</v>
      </c>
      <c r="AI530" s="27" t="str">
        <f ca="1">IFERROR(__xludf.DUMMYFUNCTION("""COMPUTED_VALUE"""),"25% de cada, mas varia de acordo com o mês, principalmente doações de pessoas físicas e recursos próprios, nós que investimos no projeto")</f>
        <v>25% de cada, mas varia de acordo com o mês, principalmente doações de pessoas físicas e recursos próprios, nós que investimos no projeto</v>
      </c>
      <c r="AJ530" s="27" t="str">
        <f ca="1">IFERROR(__xludf.DUMMYFUNCTION("""COMPUTED_VALUE"""),"Não")</f>
        <v>Não</v>
      </c>
      <c r="AK530" s="27"/>
      <c r="AL530" s="21" t="str">
        <f ca="1">IFERROR(__xludf.DUMMYFUNCTION("""COMPUTED_VALUE"""),"0034X0000380O19")</f>
        <v>0034X0000380O19</v>
      </c>
      <c r="AM530" s="27" t="str">
        <f ca="1">IFERROR(__xludf.DUMMYFUNCTION("""COMPUTED_VALUE"""),"De almeida torres")</f>
        <v>De almeida torres</v>
      </c>
      <c r="AN530" s="27" t="str">
        <f ca="1">IFERROR(__xludf.DUMMYFUNCTION("""COMPUTED_VALUE"""),"Ativo")</f>
        <v>Ativo</v>
      </c>
      <c r="AO530" s="29">
        <f ca="1">IFERROR(__xludf.DUMMYFUNCTION("""COMPUTED_VALUE"""),44763)</f>
        <v>44763</v>
      </c>
      <c r="AP530" s="27">
        <f ca="1">IFERROR(__xludf.DUMMYFUNCTION("""COMPUTED_VALUE"""),2)</f>
        <v>2</v>
      </c>
      <c r="AQ530" s="27" t="str">
        <f ca="1">IFERROR(__xludf.DUMMYFUNCTION("""COMPUTED_VALUE"""),"Primeiro Semestre 2022")</f>
        <v>Primeiro Semestre 2022</v>
      </c>
      <c r="AR530" s="27" t="str">
        <f ca="1">IFERROR(__xludf.DUMMYFUNCTION("""COMPUTED_VALUE"""),"viviane.almeida.torres@gmail.com")</f>
        <v>viviane.almeida.torres@gmail.com</v>
      </c>
      <c r="AS530" s="27">
        <f ca="1">IFERROR(__xludf.DUMMYFUNCTION("""COMPUTED_VALUE"""),31987047993)</f>
        <v>31987047993</v>
      </c>
      <c r="AT530" s="29">
        <f ca="1">IFERROR(__xludf.DUMMYFUNCTION("""COMPUTED_VALUE"""),31294)</f>
        <v>31294</v>
      </c>
      <c r="AU530" s="27">
        <f ca="1">IFERROR(__xludf.DUMMYFUNCTION("""COMPUTED_VALUE"""),37)</f>
        <v>37</v>
      </c>
      <c r="AV530" s="27">
        <f ca="1">IFERROR(__xludf.DUMMYFUNCTION("""COMPUTED_VALUE"""),6174839656)</f>
        <v>6174839656</v>
      </c>
      <c r="AW530" s="27" t="str">
        <f ca="1">IFERROR(__xludf.DUMMYFUNCTION("""COMPUTED_VALUE"""),"MG-13.803.914")</f>
        <v>MG-13.803.914</v>
      </c>
      <c r="AX530" s="27"/>
      <c r="AY530" s="27"/>
      <c r="AZ530" s="27" t="str">
        <f ca="1">IFERROR(__xludf.DUMMYFUNCTION("""COMPUTED_VALUE"""),"P")</f>
        <v>P</v>
      </c>
      <c r="BA530" s="27" t="str">
        <f ca="1">IFERROR(__xludf.DUMMYFUNCTION("""COMPUTED_VALUE"""),"Preta")</f>
        <v>Preta</v>
      </c>
      <c r="BB530" s="27"/>
      <c r="BC530" s="27"/>
      <c r="BD530" s="27" t="str">
        <f ca="1">IFERROR(__xludf.DUMMYFUNCTION("""COMPUTED_VALUE"""),"Me chamo Viviâne Tôrres sou Mestre em Sistemas de Informação e Gestão do Conhecimento pela FUMEC* finalizado em Agosto/2018. Sou pós-graduada em Gestão Estratégica de Pessoal pelo Senac – MG e graduada em Sistemas de Informação pela PUC – MG. Atuo na área"&amp;" de Tecnologia da Informação e sou fundadora do Projeto Flór de Lótus. Meu desejo é mais do que dar o peixe é ensinar a pescar. Tenho vontade de poder lecionar informática a comunidade que precisa de ajuda* além de proporcionar esportes* cultura* educação"&amp;". É necessário dar oportunidades para que nosso público consiga seguir em frente  empoderados e mais preparados. Nesse momento devido a escassez de recursos damos o peixe (alimentos* higiene* limpeza) porque ninguém consegue seguir com fome* mas a ideia é"&amp;" ter a sede e preparar essas pessoas porque nossa ajuda possui tempo limitado com cada familia para que outra familia seja auxiliada. Espero com a ajuda de vocês* colocar minha cidade no mapa e preparar além de bons profissionais* cidadaos de bem. Raposos"&amp;" não é só enchente* droga e pequenez. Somos uma reserva natural linda* muitas cachoeiras* temos a 1ª Matriz de Minas Gerais* temos muita gente trabalhadora* ta faltando só uma oportunidade pra voarmos.")</f>
        <v>Me chamo Viviâne Tôrres sou Mestre em Sistemas de Informação e Gestão do Conhecimento pela FUMEC* finalizado em Agosto/2018. Sou pós-graduada em Gestão Estratégica de Pessoal pelo Senac – MG e graduada em Sistemas de Informação pela PUC – MG. Atuo na área de Tecnologia da Informação e sou fundadora do Projeto Flór de Lótus. Meu desejo é mais do que dar o peixe é ensinar a pescar. Tenho vontade de poder lecionar informática a comunidade que precisa de ajuda* além de proporcionar esportes* cultura* educação. É necessário dar oportunidades para que nosso público consiga seguir em frente  empoderados e mais preparados. Nesse momento devido a escassez de recursos damos o peixe (alimentos* higiene* limpeza) porque ninguém consegue seguir com fome* mas a ideia é ter a sede e preparar essas pessoas porque nossa ajuda possui tempo limitado com cada familia para que outra familia seja auxiliada. Espero com a ajuda de vocês* colocar minha cidade no mapa e preparar além de bons profissionais* cidadaos de bem. Raposos não é só enchente* droga e pequenez. Somos uma reserva natural linda* muitas cachoeiras* temos a 1ª Matriz de Minas Gerais* temos muita gente trabalhadora* ta faltando só uma oportunidade pra voarmos.</v>
      </c>
      <c r="BE530" s="27" t="str">
        <f ca="1">IFERROR(__xludf.DUMMYFUNCTION("""COMPUTED_VALUE"""),"Feminino")</f>
        <v>Feminino</v>
      </c>
      <c r="BF530" s="27" t="str">
        <f ca="1">IFERROR(__xludf.DUMMYFUNCTION("""COMPUTED_VALUE"""),"Heterossexual")</f>
        <v>Heterossexual</v>
      </c>
      <c r="BG530" s="27"/>
      <c r="BH530" s="27" t="str">
        <f ca="1">IFERROR(__xludf.DUMMYFUNCTION("""COMPUTED_VALUE"""),"Público")</f>
        <v>Público</v>
      </c>
      <c r="BI530" s="27" t="str">
        <f ca="1">IFERROR(__xludf.DUMMYFUNCTION("""COMPUTED_VALUE"""),"Mestrado")</f>
        <v>Mestrado</v>
      </c>
      <c r="BJ530" s="27" t="str">
        <f ca="1">IFERROR(__xludf.DUMMYFUNCTION("""COMPUTED_VALUE"""),"Privado")</f>
        <v>Privado</v>
      </c>
      <c r="BK530" s="27" t="str">
        <f ca="1">IFERROR(__xludf.DUMMYFUNCTION("""COMPUTED_VALUE"""),"Rua Padre Antônio Maria - Casa")</f>
        <v>Rua Padre Antônio Maria - Casa</v>
      </c>
      <c r="BL530" s="27">
        <f ca="1">IFERROR(__xludf.DUMMYFUNCTION("""COMPUTED_VALUE"""),218)</f>
        <v>218</v>
      </c>
      <c r="BM530" s="27"/>
      <c r="BN530" s="27"/>
      <c r="BO530" s="27">
        <f ca="1">IFERROR(__xludf.DUMMYFUNCTION("""COMPUTED_VALUE"""),34400000)</f>
        <v>34400000</v>
      </c>
      <c r="BP530" s="27" t="str">
        <f ca="1">IFERROR(__xludf.DUMMYFUNCTION("""COMPUTED_VALUE"""),"MG")</f>
        <v>MG</v>
      </c>
      <c r="BQ530" s="27" t="str">
        <f ca="1">IFERROR(__xludf.DUMMYFUNCTION("""COMPUTED_VALUE"""),"De 3 até 5 salários mínimos")</f>
        <v>De 3 até 5 salários mínimos</v>
      </c>
      <c r="BR530" s="27" t="str">
        <f ca="1">IFERROR(__xludf.DUMMYFUNCTION("""COMPUTED_VALUE"""),"CLT")</f>
        <v>CLT</v>
      </c>
      <c r="BS530" s="27" t="str">
        <f ca="1">IFERROR(__xludf.DUMMYFUNCTION("""COMPUTED_VALUE"""),"Casa própria")</f>
        <v>Casa própria</v>
      </c>
      <c r="BT530" s="27">
        <f ca="1">IFERROR(__xludf.DUMMYFUNCTION("""COMPUTED_VALUE"""),3)</f>
        <v>3</v>
      </c>
      <c r="BU530" s="27" t="str">
        <f ca="1">IFERROR(__xludf.DUMMYFUNCTION("""COMPUTED_VALUE"""),"Não tem")</f>
        <v>Não tem</v>
      </c>
      <c r="BV530" s="27" t="str">
        <f ca="1">IFERROR(__xludf.DUMMYFUNCTION("""COMPUTED_VALUE"""),"Não")</f>
        <v>Não</v>
      </c>
      <c r="BW530" s="21" t="str">
        <f ca="1">IFERROR(__xludf.DUMMYFUNCTION("""COMPUTED_VALUE"""),"https://www.linkedin.com/in/viviane-de-almeida-torres-ti-projetos-processos-scrum-sistemas/")</f>
        <v>https://www.linkedin.com/in/viviane-de-almeida-torres-ti-projetos-processos-scrum-sistemas/</v>
      </c>
      <c r="BX530" s="21" t="str">
        <f ca="1">IFERROR(__xludf.DUMMYFUNCTION("""COMPUTED_VALUE"""),"https://www.instagram.com/projeto.flordelotus/")</f>
        <v>https://www.instagram.com/projeto.flordelotus/</v>
      </c>
      <c r="BY530" s="21" t="str">
        <f ca="1">IFERROR(__xludf.DUMMYFUNCTION("""COMPUTED_VALUE"""),"https://drive.google.com/open?id=1z8C82dQUQ9psS2Z7HdHrjxfTSVZUvo5_")</f>
        <v>https://drive.google.com/open?id=1z8C82dQUQ9psS2Z7HdHrjxfTSVZUvo5_</v>
      </c>
    </row>
    <row r="531" spans="1:77" ht="12.5" x14ac:dyDescent="0.25">
      <c r="A531" s="21" t="str">
        <f ca="1">IFERROR(__xludf.DUMMYFUNCTION("""COMPUTED_VALUE"""),"0014X00002VKCtmQAH")</f>
        <v>0014X00002VKCtmQAH</v>
      </c>
      <c r="B531" s="27" t="str">
        <f ca="1">IFERROR(__xludf.DUMMYFUNCTION("""COMPUTED_VALUE"""),"Fase Inicial")</f>
        <v>Fase Inicial</v>
      </c>
      <c r="C531" s="27" t="str">
        <f ca="1">IFERROR(__xludf.DUMMYFUNCTION("""COMPUTED_VALUE"""),"Fellow")</f>
        <v>Fellow</v>
      </c>
      <c r="D531" s="27" t="str">
        <f ca="1">IFERROR(__xludf.DUMMYFUNCTION("""COMPUTED_VALUE"""),"Ativo")</f>
        <v>Ativo</v>
      </c>
      <c r="E531" s="27" t="str">
        <f ca="1">IFERROR(__xludf.DUMMYFUNCTION("""COMPUTED_VALUE"""),"Projeto Fome de Quê?")</f>
        <v>Projeto Fome de Quê?</v>
      </c>
      <c r="F531" s="27" t="str">
        <f ca="1">IFERROR(__xludf.DUMMYFUNCTION("""COMPUTED_VALUE"""),"Daiane")</f>
        <v>Daiane</v>
      </c>
      <c r="G531" s="27" t="str">
        <f ca="1">IFERROR(__xludf.DUMMYFUNCTION("""COMPUTED_VALUE"""),"PROJETO FOME DE QUÊ?")</f>
        <v>PROJETO FOME DE QUÊ?</v>
      </c>
      <c r="H531" s="27"/>
      <c r="I531" s="27" t="str">
        <f ca="1">IFERROR(__xludf.DUMMYFUNCTION("""COMPUTED_VALUE"""),"Daiane Kaminski")</f>
        <v>Daiane Kaminski</v>
      </c>
      <c r="J531" s="27" t="str">
        <f ca="1">IFERROR(__xludf.DUMMYFUNCTION("""COMPUTED_VALUE"""),"dkmello13@gmail.com")</f>
        <v>dkmello13@gmail.com</v>
      </c>
      <c r="K531" s="27" t="str">
        <f ca="1">IFERROR(__xludf.DUMMYFUNCTION("""COMPUTED_VALUE"""),"(51)99998-1166")</f>
        <v>(51)99998-1166</v>
      </c>
      <c r="L531" s="27" t="str">
        <f ca="1">IFERROR(__xludf.DUMMYFUNCTION("""COMPUTED_VALUE"""),"RS")</f>
        <v>RS</v>
      </c>
      <c r="M531" s="27" t="str">
        <f ca="1">IFERROR(__xludf.DUMMYFUNCTION("""COMPUTED_VALUE"""),"Rua Dr Barbosa Gonçalves")</f>
        <v>Rua Dr Barbosa Gonçalves</v>
      </c>
      <c r="N531" s="27" t="str">
        <f ca="1">IFERROR(__xludf.DUMMYFUNCTION("""COMPUTED_VALUE"""),"Chácara das Pedras")</f>
        <v>Chácara das Pedras</v>
      </c>
      <c r="O531" s="27">
        <f ca="1">IFERROR(__xludf.DUMMYFUNCTION("""COMPUTED_VALUE"""),77)</f>
        <v>77</v>
      </c>
      <c r="P531" s="27" t="str">
        <f ca="1">IFERROR(__xludf.DUMMYFUNCTION("""COMPUTED_VALUE"""),"Porto Alegre")</f>
        <v>Porto Alegre</v>
      </c>
      <c r="Q531" s="27"/>
      <c r="R531" s="27" t="str">
        <f ca="1">IFERROR(__xludf.DUMMYFUNCTION("""COMPUTED_VALUE"""),"91330-320")</f>
        <v>91330-320</v>
      </c>
      <c r="S531" s="27"/>
      <c r="T531" s="27"/>
      <c r="U531" s="27" t="str">
        <f ca="1">IFERROR(__xludf.DUMMYFUNCTION("""COMPUTED_VALUE"""),"bebês (1 a 1ano e 6 meses), Crianças bem pequenas (1 ano e 7 meses até 3 anos e 11 meses), Crianças pequenas (4 anos a 5 anos e 11 meses), Crianças (6 a 12 anos), Adolescentes (12 aos 18 anos)")</f>
        <v>bebês (1 a 1ano e 6 meses), Crianças bem pequenas (1 ano e 7 meses até 3 anos e 11 meses), Crianças pequenas (4 anos a 5 anos e 11 meses), Crianças (6 a 12 anos), Adolescentes (12 aos 18 anos)</v>
      </c>
      <c r="V531" s="27" t="str">
        <f ca="1">IFERROR(__xludf.DUMMYFUNCTION("""COMPUTED_VALUE"""),"Moradores de Favelas, Pessoas em situação de rua")</f>
        <v>Moradores de Favelas, Pessoas em situação de rua</v>
      </c>
      <c r="W531" s="27">
        <f ca="1">IFERROR(__xludf.DUMMYFUNCTION("""COMPUTED_VALUE"""),4)</f>
        <v>4</v>
      </c>
      <c r="X531" s="27" t="str">
        <f ca="1">IFERROR(__xludf.DUMMYFUNCTION("""COMPUTED_VALUE"""),"Miséria extrema* famílias em sua maioria lideradas por mulheres.")</f>
        <v>Miséria extrema* famílias em sua maioria lideradas por mulheres.</v>
      </c>
      <c r="Y531" s="27"/>
      <c r="Z531" s="27">
        <f ca="1">IFERROR(__xludf.DUMMYFUNCTION("""COMPUTED_VALUE"""),500)</f>
        <v>500</v>
      </c>
      <c r="AA531" s="29">
        <f ca="1">IFERROR(__xludf.DUMMYFUNCTION("""COMPUTED_VALUE"""),44671)</f>
        <v>44671</v>
      </c>
      <c r="AB531" s="27" t="str">
        <f ca="1">IFERROR(__xludf.DUMMYFUNCTION("""COMPUTED_VALUE"""),"Não")</f>
        <v>Não</v>
      </c>
      <c r="AC531" s="27">
        <f ca="1">IFERROR(__xludf.DUMMYFUNCTION("""COMPUTED_VALUE"""),0)</f>
        <v>0</v>
      </c>
      <c r="AD531" s="27">
        <f ca="1">IFERROR(__xludf.DUMMYFUNCTION("""COMPUTED_VALUE"""),0)</f>
        <v>0</v>
      </c>
      <c r="AE531" s="27">
        <f ca="1">IFERROR(__xludf.DUMMYFUNCTION("""COMPUTED_VALUE"""),50)</f>
        <v>50</v>
      </c>
      <c r="AF531" s="27">
        <f ca="1">IFERROR(__xludf.DUMMYFUNCTION("""COMPUTED_VALUE"""),30)</f>
        <v>30</v>
      </c>
      <c r="AG531" s="27">
        <f ca="1">IFERROR(__xludf.DUMMYFUNCTION("""COMPUTED_VALUE"""),2)</f>
        <v>2</v>
      </c>
      <c r="AH531" s="27" t="str">
        <f ca="1">IFERROR(__xludf.DUMMYFUNCTION("""COMPUTED_VALUE"""),"Parceria iniciativa privada, Doações")</f>
        <v>Parceria iniciativa privada, Doações</v>
      </c>
      <c r="AI531" s="27" t="str">
        <f ca="1">IFERROR(__xludf.DUMMYFUNCTION("""COMPUTED_VALUE"""),"Doações 90%  Iniciativa Privada 10%")</f>
        <v>Doações 90%  Iniciativa Privada 10%</v>
      </c>
      <c r="AJ531" s="27" t="str">
        <f ca="1">IFERROR(__xludf.DUMMYFUNCTION("""COMPUTED_VALUE"""),"Não")</f>
        <v>Não</v>
      </c>
      <c r="AK531" s="27"/>
      <c r="AL531" s="21" t="str">
        <f ca="1">IFERROR(__xludf.DUMMYFUNCTION("""COMPUTED_VALUE"""),"0034X0000380O2P")</f>
        <v>0034X0000380O2P</v>
      </c>
      <c r="AM531" s="27" t="str">
        <f ca="1">IFERROR(__xludf.DUMMYFUNCTION("""COMPUTED_VALUE"""),"Kaminski de mello")</f>
        <v>Kaminski de mello</v>
      </c>
      <c r="AN531" s="27" t="str">
        <f ca="1">IFERROR(__xludf.DUMMYFUNCTION("""COMPUTED_VALUE"""),"Ativo")</f>
        <v>Ativo</v>
      </c>
      <c r="AO531" s="29">
        <f ca="1">IFERROR(__xludf.DUMMYFUNCTION("""COMPUTED_VALUE"""),44763)</f>
        <v>44763</v>
      </c>
      <c r="AP531" s="27">
        <f ca="1">IFERROR(__xludf.DUMMYFUNCTION("""COMPUTED_VALUE"""),2)</f>
        <v>2</v>
      </c>
      <c r="AQ531" s="27" t="str">
        <f ca="1">IFERROR(__xludf.DUMMYFUNCTION("""COMPUTED_VALUE"""),"Primeiro Semestre 2022")</f>
        <v>Primeiro Semestre 2022</v>
      </c>
      <c r="AR531" s="27" t="str">
        <f ca="1">IFERROR(__xludf.DUMMYFUNCTION("""COMPUTED_VALUE"""),"dkmello13@gmail.com")</f>
        <v>dkmello13@gmail.com</v>
      </c>
      <c r="AS531" s="27">
        <f ca="1">IFERROR(__xludf.DUMMYFUNCTION("""COMPUTED_VALUE"""),51999981166)</f>
        <v>51999981166</v>
      </c>
      <c r="AT531" s="29">
        <f ca="1">IFERROR(__xludf.DUMMYFUNCTION("""COMPUTED_VALUE"""),27785)</f>
        <v>27785</v>
      </c>
      <c r="AU531" s="27">
        <f ca="1">IFERROR(__xludf.DUMMYFUNCTION("""COMPUTED_VALUE"""),46)</f>
        <v>46</v>
      </c>
      <c r="AV531" s="27">
        <f ca="1">IFERROR(__xludf.DUMMYFUNCTION("""COMPUTED_VALUE"""),89995066068)</f>
        <v>89995066068</v>
      </c>
      <c r="AW531" s="27">
        <f ca="1">IFERROR(__xludf.DUMMYFUNCTION("""COMPUTED_VALUE"""),8061813898)</f>
        <v>8061813898</v>
      </c>
      <c r="AX531" s="27"/>
      <c r="AY531" s="27"/>
      <c r="AZ531" s="27" t="str">
        <f ca="1">IFERROR(__xludf.DUMMYFUNCTION("""COMPUTED_VALUE"""),"P")</f>
        <v>P</v>
      </c>
      <c r="BA531" s="27" t="str">
        <f ca="1">IFERROR(__xludf.DUMMYFUNCTION("""COMPUTED_VALUE"""),"Branca")</f>
        <v>Branca</v>
      </c>
      <c r="BB531" s="27"/>
      <c r="BC531" s="27"/>
      <c r="BD531" s="27" t="str">
        <f ca="1">IFERROR(__xludf.DUMMYFUNCTION("""COMPUTED_VALUE"""),"Tenho formação em Publicidade e Propaganda e Pedagogia* tenho 46 anos* três filhos e hoje me dedico integralmente ao projeto Fome de Quê? Ao longo da vida me envolvi em projetos sociais  como voluntária e sempre acreditei que poderia fazer mais. Desde o i"&amp;"nicio da pandemia passei a organizar doações de alimentos em comunidades onde já atuava* rapidamente a rede de voluntários e ajuda cresceu* as ações se intensificaram e passaram a atingir um grande número de pessoas. Assim nasceu o Fome de Quê? idealizado"&amp;" por mim e apoiado por que foi se aproximando querendo ajudar. Atuamos em comunidades de extrema carência e vulnerabilidade social e alimentar.")</f>
        <v>Tenho formação em Publicidade e Propaganda e Pedagogia* tenho 46 anos* três filhos e hoje me dedico integralmente ao projeto Fome de Quê? Ao longo da vida me envolvi em projetos sociais  como voluntária e sempre acreditei que poderia fazer mais. Desde o inicio da pandemia passei a organizar doações de alimentos em comunidades onde já atuava* rapidamente a rede de voluntários e ajuda cresceu* as ações se intensificaram e passaram a atingir um grande número de pessoas. Assim nasceu o Fome de Quê? idealizado por mim e apoiado por que foi se aproximando querendo ajudar. Atuamos em comunidades de extrema carência e vulnerabilidade social e alimentar.</v>
      </c>
      <c r="BE531" s="27" t="str">
        <f ca="1">IFERROR(__xludf.DUMMYFUNCTION("""COMPUTED_VALUE"""),"Feminino")</f>
        <v>Feminino</v>
      </c>
      <c r="BF531" s="27" t="str">
        <f ca="1">IFERROR(__xludf.DUMMYFUNCTION("""COMPUTED_VALUE"""),"Heterossexual")</f>
        <v>Heterossexual</v>
      </c>
      <c r="BG531" s="27"/>
      <c r="BH531" s="27" t="str">
        <f ca="1">IFERROR(__xludf.DUMMYFUNCTION("""COMPUTED_VALUE"""),"Privado")</f>
        <v>Privado</v>
      </c>
      <c r="BI531" s="27" t="str">
        <f ca="1">IFERROR(__xludf.DUMMYFUNCTION("""COMPUTED_VALUE"""),"Pós-Graduação")</f>
        <v>Pós-Graduação</v>
      </c>
      <c r="BJ531" s="27" t="str">
        <f ca="1">IFERROR(__xludf.DUMMYFUNCTION("""COMPUTED_VALUE"""),"Privado")</f>
        <v>Privado</v>
      </c>
      <c r="BK531" s="27" t="str">
        <f ca="1">IFERROR(__xludf.DUMMYFUNCTION("""COMPUTED_VALUE"""),"Rua Doutor Barbosa Gonçalves")</f>
        <v>Rua Doutor Barbosa Gonçalves</v>
      </c>
      <c r="BL531" s="27">
        <f ca="1">IFERROR(__xludf.DUMMYFUNCTION("""COMPUTED_VALUE"""),77)</f>
        <v>77</v>
      </c>
      <c r="BM531" s="27"/>
      <c r="BN531" s="27"/>
      <c r="BO531" s="27">
        <f ca="1">IFERROR(__xludf.DUMMYFUNCTION("""COMPUTED_VALUE"""),91330320)</f>
        <v>91330320</v>
      </c>
      <c r="BP531" s="27" t="str">
        <f ca="1">IFERROR(__xludf.DUMMYFUNCTION("""COMPUTED_VALUE"""),"RS")</f>
        <v>RS</v>
      </c>
      <c r="BQ531" s="27" t="str">
        <f ca="1">IFERROR(__xludf.DUMMYFUNCTION("""COMPUTED_VALUE"""),"Acima de 5 salários mínimos")</f>
        <v>Acima de 5 salários mínimos</v>
      </c>
      <c r="BR531" s="27" t="str">
        <f ca="1">IFERROR(__xludf.DUMMYFUNCTION("""COMPUTED_VALUE"""),"Funcionário Público")</f>
        <v>Funcionário Público</v>
      </c>
      <c r="BS531" s="27" t="str">
        <f ca="1">IFERROR(__xludf.DUMMYFUNCTION("""COMPUTED_VALUE"""),"Casa cedida")</f>
        <v>Casa cedida</v>
      </c>
      <c r="BT531" s="27">
        <f ca="1">IFERROR(__xludf.DUMMYFUNCTION("""COMPUTED_VALUE"""),5)</f>
        <v>5</v>
      </c>
      <c r="BU531" s="27" t="str">
        <f ca="1">IFERROR(__xludf.DUMMYFUNCTION("""COMPUTED_VALUE"""),"Não tem")</f>
        <v>Não tem</v>
      </c>
      <c r="BV531" s="27" t="str">
        <f ca="1">IFERROR(__xludf.DUMMYFUNCTION("""COMPUTED_VALUE"""),"Não")</f>
        <v>Não</v>
      </c>
      <c r="BW531" s="27"/>
      <c r="BX531" s="21" t="str">
        <f ca="1">IFERROR(__xludf.DUMMYFUNCTION("""COMPUTED_VALUE"""),"https://www.instagram.com/daianekm/")</f>
        <v>https://www.instagram.com/daianekm/</v>
      </c>
      <c r="BY531" s="21" t="str">
        <f ca="1">IFERROR(__xludf.DUMMYFUNCTION("""COMPUTED_VALUE"""),"https://drive.google.com/open?id=1UmbAbVLcAcQ29l7BztKsTuk7sCF5vh0P")</f>
        <v>https://drive.google.com/open?id=1UmbAbVLcAcQ29l7BztKsTuk7sCF5vh0P</v>
      </c>
    </row>
    <row r="532" spans="1:77" ht="12.5" hidden="1" x14ac:dyDescent="0.25">
      <c r="A532" s="21" t="str">
        <f ca="1">IFERROR(__xludf.DUMMYFUNCTION("""COMPUTED_VALUE"""),"0014X00002VKCpmQAH")</f>
        <v>0014X00002VKCpmQAH</v>
      </c>
      <c r="B532" s="27" t="str">
        <f ca="1">IFERROR(__xludf.DUMMYFUNCTION("""COMPUTED_VALUE"""),"Fase Inicial")</f>
        <v>Fase Inicial</v>
      </c>
      <c r="C532" s="27" t="str">
        <f ca="1">IFERROR(__xludf.DUMMYFUNCTION("""COMPUTED_VALUE"""),"Fellow")</f>
        <v>Fellow</v>
      </c>
      <c r="D532" s="27" t="str">
        <f ca="1">IFERROR(__xludf.DUMMYFUNCTION("""COMPUTED_VALUE"""),"Ativo")</f>
        <v>Ativo</v>
      </c>
      <c r="E532" s="27" t="str">
        <f ca="1">IFERROR(__xludf.DUMMYFUNCTION("""COMPUTED_VALUE"""),"Projeto força jovem")</f>
        <v>Projeto força jovem</v>
      </c>
      <c r="F532" s="27" t="str">
        <f ca="1">IFERROR(__xludf.DUMMYFUNCTION("""COMPUTED_VALUE"""),"Carleon")</f>
        <v>Carleon</v>
      </c>
      <c r="G532" s="27" t="str">
        <f ca="1">IFERROR(__xludf.DUMMYFUNCTION("""COMPUTED_VALUE"""),"FORÇA JOVEM")</f>
        <v>FORÇA JOVEM</v>
      </c>
      <c r="H532" s="27"/>
      <c r="I532" s="27" t="str">
        <f ca="1">IFERROR(__xludf.DUMMYFUNCTION("""COMPUTED_VALUE"""),"Carleon Paulo de Oliveira")</f>
        <v>Carleon Paulo de Oliveira</v>
      </c>
      <c r="J532" s="27"/>
      <c r="K532" s="27" t="str">
        <f ca="1">IFERROR(__xludf.DUMMYFUNCTION("""COMPUTED_VALUE"""),"(88)99698-2348")</f>
        <v>(88)99698-2348</v>
      </c>
      <c r="L532" s="27" t="str">
        <f ca="1">IFERROR(__xludf.DUMMYFUNCTION("""COMPUTED_VALUE"""),"CE")</f>
        <v>CE</v>
      </c>
      <c r="M532" s="27" t="str">
        <f ca="1">IFERROR(__xludf.DUMMYFUNCTION("""COMPUTED_VALUE"""),"rua darado")</f>
        <v>rua darado</v>
      </c>
      <c r="N532" s="27" t="str">
        <f ca="1">IFERROR(__xludf.DUMMYFUNCTION("""COMPUTED_VALUE"""),"bonfim km20")</f>
        <v>bonfim km20</v>
      </c>
      <c r="O532" s="27" t="str">
        <f ca="1">IFERROR(__xludf.DUMMYFUNCTION("""COMPUTED_VALUE"""),"sn")</f>
        <v>sn</v>
      </c>
      <c r="P532" s="27" t="str">
        <f ca="1">IFERROR(__xludf.DUMMYFUNCTION("""COMPUTED_VALUE"""),"senador pompeu")</f>
        <v>senador pompeu</v>
      </c>
      <c r="Q532" s="27"/>
      <c r="R532" s="27" t="str">
        <f ca="1">IFERROR(__xludf.DUMMYFUNCTION("""COMPUTED_VALUE"""),"63600-000")</f>
        <v>63600-000</v>
      </c>
      <c r="S532" s="27" t="str">
        <f ca="1">IFERROR(__xludf.DUMMYFUNCTION("""COMPUTED_VALUE"""),"escolas, quadra e campo da comunidade")</f>
        <v>escolas, quadra e campo da comunidade</v>
      </c>
      <c r="T532" s="27"/>
      <c r="U532" s="27" t="str">
        <f ca="1">IFERROR(__xludf.DUMMYFUNCTION("""COMPUTED_VALUE"""),"Crianças (6 a 12 anos), Adolescentes (12 aos 18 anos)")</f>
        <v>Crianças (6 a 12 anos), Adolescentes (12 aos 18 anos)</v>
      </c>
      <c r="V532" s="27" t="str">
        <f ca="1">IFERROR(__xludf.DUMMYFUNCTION("""COMPUTED_VALUE"""),"Moradores de Favelas, Comunidade rural")</f>
        <v>Moradores de Favelas, Comunidade rural</v>
      </c>
      <c r="W532" s="27">
        <f ca="1">IFERROR(__xludf.DUMMYFUNCTION("""COMPUTED_VALUE"""),1)</f>
        <v>1</v>
      </c>
      <c r="X532" s="27"/>
      <c r="Y532" s="27"/>
      <c r="Z532" s="27">
        <f ca="1">IFERROR(__xludf.DUMMYFUNCTION("""COMPUTED_VALUE"""),200)</f>
        <v>200</v>
      </c>
      <c r="AA532" s="29">
        <f ca="1">IFERROR(__xludf.DUMMYFUNCTION("""COMPUTED_VALUE"""),42225)</f>
        <v>42225</v>
      </c>
      <c r="AB532" s="27" t="str">
        <f ca="1">IFERROR(__xludf.DUMMYFUNCTION("""COMPUTED_VALUE"""),"Não")</f>
        <v>Não</v>
      </c>
      <c r="AC532" s="27">
        <f ca="1">IFERROR(__xludf.DUMMYFUNCTION("""COMPUTED_VALUE"""),0)</f>
        <v>0</v>
      </c>
      <c r="AD532" s="27">
        <f ca="1">IFERROR(__xludf.DUMMYFUNCTION("""COMPUTED_VALUE"""),4)</f>
        <v>4</v>
      </c>
      <c r="AE532" s="27">
        <f ca="1">IFERROR(__xludf.DUMMYFUNCTION("""COMPUTED_VALUE"""),7)</f>
        <v>7</v>
      </c>
      <c r="AF532" s="27">
        <f ca="1">IFERROR(__xludf.DUMMYFUNCTION("""COMPUTED_VALUE"""),4)</f>
        <v>4</v>
      </c>
      <c r="AG532" s="27">
        <f ca="1">IFERROR(__xludf.DUMMYFUNCTION("""COMPUTED_VALUE"""),3)</f>
        <v>3</v>
      </c>
      <c r="AH532" s="27" t="str">
        <f ca="1">IFERROR(__xludf.DUMMYFUNCTION("""COMPUTED_VALUE"""),"Eventos/Ações para captação, Doações, Recursos próprios")</f>
        <v>Eventos/Ações para captação, Doações, Recursos próprios</v>
      </c>
      <c r="AI532" s="27" t="str">
        <f ca="1">IFERROR(__xludf.DUMMYFUNCTION("""COMPUTED_VALUE"""),"50% doações 25% eventos 25%recursos própios")</f>
        <v>50% doações 25% eventos 25%recursos própios</v>
      </c>
      <c r="AJ532" s="27" t="str">
        <f ca="1">IFERROR(__xludf.DUMMYFUNCTION("""COMPUTED_VALUE"""),"Não")</f>
        <v>Não</v>
      </c>
      <c r="AK532" s="27"/>
      <c r="AL532" s="21" t="str">
        <f ca="1">IFERROR(__xludf.DUMMYFUNCTION("""COMPUTED_VALUE"""),"0034X0000380O4a")</f>
        <v>0034X0000380O4a</v>
      </c>
      <c r="AM532" s="27" t="str">
        <f ca="1">IFERROR(__xludf.DUMMYFUNCTION("""COMPUTED_VALUE"""),"Paulo de oliveira")</f>
        <v>Paulo de oliveira</v>
      </c>
      <c r="AN532" s="27" t="str">
        <f ca="1">IFERROR(__xludf.DUMMYFUNCTION("""COMPUTED_VALUE"""),"Ativo")</f>
        <v>Ativo</v>
      </c>
      <c r="AO532" s="29">
        <f ca="1">IFERROR(__xludf.DUMMYFUNCTION("""COMPUTED_VALUE"""),44763)</f>
        <v>44763</v>
      </c>
      <c r="AP532" s="27">
        <f ca="1">IFERROR(__xludf.DUMMYFUNCTION("""COMPUTED_VALUE"""),2)</f>
        <v>2</v>
      </c>
      <c r="AQ532" s="27" t="str">
        <f ca="1">IFERROR(__xludf.DUMMYFUNCTION("""COMPUTED_VALUE"""),"Primeiro Semestre 2022")</f>
        <v>Primeiro Semestre 2022</v>
      </c>
      <c r="AR532" s="27" t="str">
        <f ca="1">IFERROR(__xludf.DUMMYFUNCTION("""COMPUTED_VALUE"""),"oliveiracarleon@gmail.com")</f>
        <v>oliveiracarleon@gmail.com</v>
      </c>
      <c r="AS532" s="27" t="str">
        <f ca="1">IFERROR(__xludf.DUMMYFUNCTION("""COMPUTED_VALUE"""),"(88)99698-2348")</f>
        <v>(88)99698-2348</v>
      </c>
      <c r="AT532" s="29">
        <f ca="1">IFERROR(__xludf.DUMMYFUNCTION("""COMPUTED_VALUE"""),32364)</f>
        <v>32364</v>
      </c>
      <c r="AU532" s="27">
        <f ca="1">IFERROR(__xludf.DUMMYFUNCTION("""COMPUTED_VALUE"""),34)</f>
        <v>34</v>
      </c>
      <c r="AV532" s="27">
        <f ca="1">IFERROR(__xludf.DUMMYFUNCTION("""COMPUTED_VALUE"""),2412338361)</f>
        <v>2412338361</v>
      </c>
      <c r="AW532" s="27">
        <f ca="1">IFERROR(__xludf.DUMMYFUNCTION("""COMPUTED_VALUE"""),2006010368221)</f>
        <v>2006010368221</v>
      </c>
      <c r="AX532" s="27"/>
      <c r="AY532" s="27" t="str">
        <f ca="1">IFERROR(__xludf.DUMMYFUNCTION("""COMPUTED_VALUE"""),"presiente")</f>
        <v>presiente</v>
      </c>
      <c r="AZ532" s="27" t="str">
        <f ca="1">IFERROR(__xludf.DUMMYFUNCTION("""COMPUTED_VALUE"""),"G")</f>
        <v>G</v>
      </c>
      <c r="BA532" s="27" t="str">
        <f ca="1">IFERROR(__xludf.DUMMYFUNCTION("""COMPUTED_VALUE"""),"Preta")</f>
        <v>Preta</v>
      </c>
      <c r="BB532" s="27"/>
      <c r="BC532" s="27"/>
      <c r="BD532" s="27" t="str">
        <f ca="1">IFERROR(__xludf.DUMMYFUNCTION("""COMPUTED_VALUE"""),"morador da comunidade desde que nasci, me descobri líder social a um tempo, casado, pai de um filho, negro, vindo de uma família de agricultores. procuro através do esporte e da educação mudar a realidade da nossa comunidade e venho conseguindo.")</f>
        <v>morador da comunidade desde que nasci, me descobri líder social a um tempo, casado, pai de um filho, negro, vindo de uma família de agricultores. procuro através do esporte e da educação mudar a realidade da nossa comunidade e venho conseguindo.</v>
      </c>
      <c r="BE532" s="27" t="str">
        <f ca="1">IFERROR(__xludf.DUMMYFUNCTION("""COMPUTED_VALUE"""),"Homem, cisgênero")</f>
        <v>Homem, cisgênero</v>
      </c>
      <c r="BF532" s="27" t="str">
        <f ca="1">IFERROR(__xludf.DUMMYFUNCTION("""COMPUTED_VALUE"""),"Heterossexual")</f>
        <v>Heterossexual</v>
      </c>
      <c r="BG532" s="27" t="str">
        <f ca="1">IFERROR(__xludf.DUMMYFUNCTION("""COMPUTED_VALUE"""),"Ensino Médio - Completo")</f>
        <v>Ensino Médio - Completo</v>
      </c>
      <c r="BH532" s="27" t="str">
        <f ca="1">IFERROR(__xludf.DUMMYFUNCTION("""COMPUTED_VALUE"""),"Público")</f>
        <v>Público</v>
      </c>
      <c r="BI532" s="27"/>
      <c r="BJ532" s="27"/>
      <c r="BK532" s="27" t="str">
        <f ca="1">IFERROR(__xludf.DUMMYFUNCTION("""COMPUTED_VALUE"""),"rua da radio")</f>
        <v>rua da radio</v>
      </c>
      <c r="BL532" s="27" t="str">
        <f ca="1">IFERROR(__xludf.DUMMYFUNCTION("""COMPUTED_VALUE"""),"sn")</f>
        <v>sn</v>
      </c>
      <c r="BM532" s="27"/>
      <c r="BN532" s="27" t="str">
        <f ca="1">IFERROR(__xludf.DUMMYFUNCTION("""COMPUTED_VALUE"""),"senador pompeu")</f>
        <v>senador pompeu</v>
      </c>
      <c r="BO532" s="27" t="str">
        <f ca="1">IFERROR(__xludf.DUMMYFUNCTION("""COMPUTED_VALUE"""),"63600-000")</f>
        <v>63600-000</v>
      </c>
      <c r="BP532" s="27" t="str">
        <f ca="1">IFERROR(__xludf.DUMMYFUNCTION("""COMPUTED_VALUE"""),"CE")</f>
        <v>CE</v>
      </c>
      <c r="BQ532" s="27" t="str">
        <f ca="1">IFERROR(__xludf.DUMMYFUNCTION("""COMPUTED_VALUE"""),"Entre 1 até 3 salários mínimos")</f>
        <v>Entre 1 até 3 salários mínimos</v>
      </c>
      <c r="BR532" s="27" t="str">
        <f ca="1">IFERROR(__xludf.DUMMYFUNCTION("""COMPUTED_VALUE"""),"CLT")</f>
        <v>CLT</v>
      </c>
      <c r="BS532" s="27" t="str">
        <f ca="1">IFERROR(__xludf.DUMMYFUNCTION("""COMPUTED_VALUE"""),"Casa própria")</f>
        <v>Casa própria</v>
      </c>
      <c r="BT532" s="27">
        <f ca="1">IFERROR(__xludf.DUMMYFUNCTION("""COMPUTED_VALUE"""),3)</f>
        <v>3</v>
      </c>
      <c r="BU532" s="27" t="str">
        <f ca="1">IFERROR(__xludf.DUMMYFUNCTION("""COMPUTED_VALUE"""),"Não tem")</f>
        <v>Não tem</v>
      </c>
      <c r="BV532" s="27" t="str">
        <f ca="1">IFERROR(__xludf.DUMMYFUNCTION("""COMPUTED_VALUE"""),"Não")</f>
        <v>Não</v>
      </c>
      <c r="BW532" s="27"/>
      <c r="BX532" s="21" t="str">
        <f ca="1">IFERROR(__xludf.DUMMYFUNCTION("""COMPUTED_VALUE"""),"https://www.instagram.com/forcajovem.km20/")</f>
        <v>https://www.instagram.com/forcajovem.km20/</v>
      </c>
      <c r="BY532" s="21" t="str">
        <f ca="1">IFERROR(__xludf.DUMMYFUNCTION("""COMPUTED_VALUE"""),"https://drive.google.com/open?id=1pWsIHjF5Lgk-UdcdseUw5Ky7Xq37rghh")</f>
        <v>https://drive.google.com/open?id=1pWsIHjF5Lgk-UdcdseUw5Ky7Xq37rghh</v>
      </c>
    </row>
    <row r="533" spans="1:77" ht="12.5" x14ac:dyDescent="0.25">
      <c r="A533" s="21" t="str">
        <f ca="1">IFERROR(__xludf.DUMMYFUNCTION("""COMPUTED_VALUE"""),"0014X00002VKCsOQAX")</f>
        <v>0014X00002VKCsOQAX</v>
      </c>
      <c r="B533" s="27" t="str">
        <f ca="1">IFERROR(__xludf.DUMMYFUNCTION("""COMPUTED_VALUE"""),"Fase Inicial")</f>
        <v>Fase Inicial</v>
      </c>
      <c r="C533" s="27" t="str">
        <f ca="1">IFERROR(__xludf.DUMMYFUNCTION("""COMPUTED_VALUE"""),"Fellow")</f>
        <v>Fellow</v>
      </c>
      <c r="D533" s="27" t="str">
        <f ca="1">IFERROR(__xludf.DUMMYFUNCTION("""COMPUTED_VALUE"""),"Ativo")</f>
        <v>Ativo</v>
      </c>
      <c r="E533" s="27" t="str">
        <f ca="1">IFERROR(__xludf.DUMMYFUNCTION("""COMPUTED_VALUE"""),"PROJETO MOURÃO ELES NÃO SÃO INVISIVEIS")</f>
        <v>PROJETO MOURÃO ELES NÃO SÃO INVISIVEIS</v>
      </c>
      <c r="F533" s="27" t="str">
        <f ca="1">IFERROR(__xludf.DUMMYFUNCTION("""COMPUTED_VALUE"""),"Bianca")</f>
        <v>Bianca</v>
      </c>
      <c r="G533" s="27" t="str">
        <f ca="1">IFERROR(__xludf.DUMMYFUNCTION("""COMPUTED_VALUE"""),"PROJETO MOURÃO")</f>
        <v>PROJETO MOURÃO</v>
      </c>
      <c r="H533" s="27" t="str">
        <f ca="1">IFERROR(__xludf.DUMMYFUNCTION("""COMPUTED_VALUE"""),"45.777.279/0001-52")</f>
        <v>45.777.279/0001-52</v>
      </c>
      <c r="I533" s="27" t="str">
        <f ca="1">IFERROR(__xludf.DUMMYFUNCTION("""COMPUTED_VALUE"""),"Bianca Neto de Oliveira")</f>
        <v>Bianca Neto de Oliveira</v>
      </c>
      <c r="J533" s="27" t="str">
        <f ca="1">IFERROR(__xludf.DUMMYFUNCTION("""COMPUTED_VALUE"""),"projetomourao2026@gmail.com")</f>
        <v>projetomourao2026@gmail.com</v>
      </c>
      <c r="K533" s="27" t="str">
        <f ca="1">IFERROR(__xludf.DUMMYFUNCTION("""COMPUTED_VALUE"""),"(21)99717-5097")</f>
        <v>(21)99717-5097</v>
      </c>
      <c r="L533" s="27" t="str">
        <f ca="1">IFERROR(__xludf.DUMMYFUNCTION("""COMPUTED_VALUE"""),"RJ")</f>
        <v>RJ</v>
      </c>
      <c r="M533" s="27" t="str">
        <f ca="1">IFERROR(__xludf.DUMMYFUNCTION("""COMPUTED_VALUE"""),"Rua Aristóteles Ferreira")</f>
        <v>Rua Aristóteles Ferreira</v>
      </c>
      <c r="N533" s="27" t="str">
        <f ca="1">IFERROR(__xludf.DUMMYFUNCTION("""COMPUTED_VALUE"""),"Ramos")</f>
        <v>Ramos</v>
      </c>
      <c r="O533" s="27">
        <f ca="1">IFERROR(__xludf.DUMMYFUNCTION("""COMPUTED_VALUE"""),56)</f>
        <v>56</v>
      </c>
      <c r="P533" s="27" t="str">
        <f ca="1">IFERROR(__xludf.DUMMYFUNCTION("""COMPUTED_VALUE"""),"Rio de Janeiro")</f>
        <v>Rio de Janeiro</v>
      </c>
      <c r="Q533" s="27" t="str">
        <f ca="1">IFERROR(__xludf.DUMMYFUNCTION("""COMPUTED_VALUE"""),"loja")</f>
        <v>loja</v>
      </c>
      <c r="R533" s="27" t="str">
        <f ca="1">IFERROR(__xludf.DUMMYFUNCTION("""COMPUTED_VALUE"""),"21061-200")</f>
        <v>21061-200</v>
      </c>
      <c r="S533" s="27" t="str">
        <f ca="1">IFERROR(__xludf.DUMMYFUNCTION("""COMPUTED_VALUE"""),"ESCOLA MOURÃO FILHO / ESPAÇO DE FESTA DE UM VIZINHO")</f>
        <v>ESCOLA MOURÃO FILHO / ESPAÇO DE FESTA DE UM VIZINHO</v>
      </c>
      <c r="T533" s="27"/>
      <c r="U533" s="27" t="str">
        <f ca="1">IFERROR(__xludf.DUMMYFUNCTION("""COMPUTED_VALUE"""),"Crianças pequenas (4 anos a 5 anos e 11 meses), Crianças (6 a 12 anos), Adolescentes (12 aos 18 anos)")</f>
        <v>Crianças pequenas (4 anos a 5 anos e 11 meses), Crianças (6 a 12 anos), Adolescentes (12 aos 18 anos)</v>
      </c>
      <c r="V533" s="27" t="str">
        <f ca="1">IFERROR(__xludf.DUMMYFUNCTION("""COMPUTED_VALUE"""),"Moradores de Favelas, Pessoas com Deficiência")</f>
        <v>Moradores de Favelas, Pessoas com Deficiência</v>
      </c>
      <c r="W533" s="27">
        <f ca="1">IFERROR(__xludf.DUMMYFUNCTION("""COMPUTED_VALUE"""),1)</f>
        <v>1</v>
      </c>
      <c r="X533" s="27" t="str">
        <f ca="1">IFERROR(__xludf.DUMMYFUNCTION("""COMPUTED_VALUE"""),"DOAÇÃO DE COMIDA PARA MORADORES DE RUA")</f>
        <v>DOAÇÃO DE COMIDA PARA MORADORES DE RUA</v>
      </c>
      <c r="Y533" s="27"/>
      <c r="Z533" s="27">
        <f ca="1">IFERROR(__xludf.DUMMYFUNCTION("""COMPUTED_VALUE"""),10)</f>
        <v>10</v>
      </c>
      <c r="AA533" s="29">
        <f ca="1">IFERROR(__xludf.DUMMYFUNCTION("""COMPUTED_VALUE"""),44641)</f>
        <v>44641</v>
      </c>
      <c r="AB533" s="27" t="str">
        <f ca="1">IFERROR(__xludf.DUMMYFUNCTION("""COMPUTED_VALUE"""),"Não")</f>
        <v>Não</v>
      </c>
      <c r="AC533" s="27">
        <f ca="1">IFERROR(__xludf.DUMMYFUNCTION("""COMPUTED_VALUE"""),0)</f>
        <v>0</v>
      </c>
      <c r="AD533" s="27">
        <f ca="1">IFERROR(__xludf.DUMMYFUNCTION("""COMPUTED_VALUE"""),5)</f>
        <v>5</v>
      </c>
      <c r="AE533" s="27">
        <f ca="1">IFERROR(__xludf.DUMMYFUNCTION("""COMPUTED_VALUE"""),12)</f>
        <v>12</v>
      </c>
      <c r="AF533" s="27">
        <f ca="1">IFERROR(__xludf.DUMMYFUNCTION("""COMPUTED_VALUE"""),5)</f>
        <v>5</v>
      </c>
      <c r="AG533" s="27">
        <f ca="1">IFERROR(__xludf.DUMMYFUNCTION("""COMPUTED_VALUE"""),3)</f>
        <v>3</v>
      </c>
      <c r="AH533" s="27" t="str">
        <f ca="1">IFERROR(__xludf.DUMMYFUNCTION("""COMPUTED_VALUE"""),"Eventos/Ações para captação, Doações, Recursos próprios")</f>
        <v>Eventos/Ações para captação, Doações, Recursos próprios</v>
      </c>
      <c r="AI533" s="27" t="str">
        <f ca="1">IFERROR(__xludf.DUMMYFUNCTION("""COMPUTED_VALUE"""),"50% recurso próprio, 25% doações, 25% eventos e ações para capitar recusos")</f>
        <v>50% recurso próprio, 25% doações, 25% eventos e ações para capitar recusos</v>
      </c>
      <c r="AJ533" s="27" t="str">
        <f ca="1">IFERROR(__xludf.DUMMYFUNCTION("""COMPUTED_VALUE"""),"Não")</f>
        <v>Não</v>
      </c>
      <c r="AK533" s="27"/>
      <c r="AL533" s="21" t="str">
        <f ca="1">IFERROR(__xludf.DUMMYFUNCTION("""COMPUTED_VALUE"""),"0034X0000380O56")</f>
        <v>0034X0000380O56</v>
      </c>
      <c r="AM533" s="27" t="str">
        <f ca="1">IFERROR(__xludf.DUMMYFUNCTION("""COMPUTED_VALUE"""),"Neto de oliveira")</f>
        <v>Neto de oliveira</v>
      </c>
      <c r="AN533" s="27" t="str">
        <f ca="1">IFERROR(__xludf.DUMMYFUNCTION("""COMPUTED_VALUE"""),"Ativo")</f>
        <v>Ativo</v>
      </c>
      <c r="AO533" s="29">
        <f ca="1">IFERROR(__xludf.DUMMYFUNCTION("""COMPUTED_VALUE"""),44763)</f>
        <v>44763</v>
      </c>
      <c r="AP533" s="27">
        <f ca="1">IFERROR(__xludf.DUMMYFUNCTION("""COMPUTED_VALUE"""),2)</f>
        <v>2</v>
      </c>
      <c r="AQ533" s="27" t="str">
        <f ca="1">IFERROR(__xludf.DUMMYFUNCTION("""COMPUTED_VALUE"""),"Primeiro Semestre 2022")</f>
        <v>Primeiro Semestre 2022</v>
      </c>
      <c r="AR533" s="27" t="str">
        <f ca="1">IFERROR(__xludf.DUMMYFUNCTION("""COMPUTED_VALUE"""),"netodeoliveirab@gmail.com")</f>
        <v>netodeoliveirab@gmail.com</v>
      </c>
      <c r="AS533" s="27">
        <f ca="1">IFERROR(__xludf.DUMMYFUNCTION("""COMPUTED_VALUE"""),21997175097)</f>
        <v>21997175097</v>
      </c>
      <c r="AT533" s="29">
        <f ca="1">IFERROR(__xludf.DUMMYFUNCTION("""COMPUTED_VALUE"""),30201)</f>
        <v>30201</v>
      </c>
      <c r="AU533" s="27">
        <f ca="1">IFERROR(__xludf.DUMMYFUNCTION("""COMPUTED_VALUE"""),40)</f>
        <v>40</v>
      </c>
      <c r="AV533" s="27">
        <f ca="1">IFERROR(__xludf.DUMMYFUNCTION("""COMPUTED_VALUE"""),9106429742)</f>
        <v>9106429742</v>
      </c>
      <c r="AW533" s="27">
        <f ca="1">IFERROR(__xludf.DUMMYFUNCTION("""COMPUTED_VALUE"""),120422209)</f>
        <v>120422209</v>
      </c>
      <c r="AX533" s="27"/>
      <c r="AY533" s="27"/>
      <c r="AZ533" s="27" t="str">
        <f ca="1">IFERROR(__xludf.DUMMYFUNCTION("""COMPUTED_VALUE"""),"G")</f>
        <v>G</v>
      </c>
      <c r="BA533" s="27" t="str">
        <f ca="1">IFERROR(__xludf.DUMMYFUNCTION("""COMPUTED_VALUE"""),"Parda")</f>
        <v>Parda</v>
      </c>
      <c r="BB533" s="27"/>
      <c r="BC533" s="27"/>
      <c r="BD533" s="27" t="str">
        <f ca="1">IFERROR(__xludf.DUMMYFUNCTION("""COMPUTED_VALUE"""),"ME CHAMO BIANCA* SOU CASADA* MÃE DE DOIS FILHOS* TENHO 39 ANOS* SOU MORADORA DO COMPLEXO DO ALEMÃO RJ. DESDE MUITO CEDO ME DEDICO A AÇÕES SOCIAIS* E AGORA ESTOU REALIZANDO ESSE SONHO DE TER A MINHA ONG E PODER FAZER AJUDAR MAIS PESSOAS.")</f>
        <v>ME CHAMO BIANCA* SOU CASADA* MÃE DE DOIS FILHOS* TENHO 39 ANOS* SOU MORADORA DO COMPLEXO DO ALEMÃO RJ. DESDE MUITO CEDO ME DEDICO A AÇÕES SOCIAIS* E AGORA ESTOU REALIZANDO ESSE SONHO DE TER A MINHA ONG E PODER FAZER AJUDAR MAIS PESSOAS.</v>
      </c>
      <c r="BE533" s="27" t="str">
        <f ca="1">IFERROR(__xludf.DUMMYFUNCTION("""COMPUTED_VALUE"""),"Feminino")</f>
        <v>Feminino</v>
      </c>
      <c r="BF533" s="27" t="str">
        <f ca="1">IFERROR(__xludf.DUMMYFUNCTION("""COMPUTED_VALUE"""),"Heterossexual")</f>
        <v>Heterossexual</v>
      </c>
      <c r="BG533" s="27"/>
      <c r="BH533" s="27" t="str">
        <f ca="1">IFERROR(__xludf.DUMMYFUNCTION("""COMPUTED_VALUE"""),"Público")</f>
        <v>Público</v>
      </c>
      <c r="BI533" s="27"/>
      <c r="BJ533" s="27"/>
      <c r="BK533" s="27" t="str">
        <f ca="1">IFERROR(__xludf.DUMMYFUNCTION("""COMPUTED_VALUE"""),"RUA ARISTÓTELES FERREIRA")</f>
        <v>RUA ARISTÓTELES FERREIRA</v>
      </c>
      <c r="BL533" s="27">
        <f ca="1">IFERROR(__xludf.DUMMYFUNCTION("""COMPUTED_VALUE"""),58)</f>
        <v>58</v>
      </c>
      <c r="BM533" s="27"/>
      <c r="BN533" s="27"/>
      <c r="BO533" s="27">
        <f ca="1">IFERROR(__xludf.DUMMYFUNCTION("""COMPUTED_VALUE"""),21061200)</f>
        <v>21061200</v>
      </c>
      <c r="BP533" s="27" t="str">
        <f ca="1">IFERROR(__xludf.DUMMYFUNCTION("""COMPUTED_VALUE"""),"RJ")</f>
        <v>RJ</v>
      </c>
      <c r="BQ533" s="27" t="str">
        <f ca="1">IFERROR(__xludf.DUMMYFUNCTION("""COMPUTED_VALUE"""),"Entre 1 até 3 salários mínimos")</f>
        <v>Entre 1 até 3 salários mínimos</v>
      </c>
      <c r="BR533" s="27" t="str">
        <f ca="1">IFERROR(__xludf.DUMMYFUNCTION("""COMPUTED_VALUE"""),"Desempregado")</f>
        <v>Desempregado</v>
      </c>
      <c r="BS533" s="27" t="str">
        <f ca="1">IFERROR(__xludf.DUMMYFUNCTION("""COMPUTED_VALUE"""),"Aluguel")</f>
        <v>Aluguel</v>
      </c>
      <c r="BT533" s="27">
        <f ca="1">IFERROR(__xludf.DUMMYFUNCTION("""COMPUTED_VALUE"""),3)</f>
        <v>3</v>
      </c>
      <c r="BU533" s="27" t="str">
        <f ca="1">IFERROR(__xludf.DUMMYFUNCTION("""COMPUTED_VALUE"""),"Não tem")</f>
        <v>Não tem</v>
      </c>
      <c r="BV533" s="27" t="str">
        <f ca="1">IFERROR(__xludf.DUMMYFUNCTION("""COMPUTED_VALUE"""),"Não")</f>
        <v>Não</v>
      </c>
      <c r="BW533" s="27"/>
      <c r="BX533" s="27" t="str">
        <f ca="1">IFERROR(__xludf.DUMMYFUNCTION("""COMPUTED_VALUE"""),"@PROJETO.MOURAO")</f>
        <v>@PROJETO.MOURAO</v>
      </c>
      <c r="BY533" s="21" t="str">
        <f ca="1">IFERROR(__xludf.DUMMYFUNCTION("""COMPUTED_VALUE"""),"https://drive.google.com/open?id=1wn8v-vZMokyrYiVJLlfLldHgoQCSju4i")</f>
        <v>https://drive.google.com/open?id=1wn8v-vZMokyrYiVJLlfLldHgoQCSju4i</v>
      </c>
    </row>
    <row r="534" spans="1:77" ht="12.5" x14ac:dyDescent="0.25">
      <c r="A534" s="21" t="str">
        <f ca="1">IFERROR(__xludf.DUMMYFUNCTION("""COMPUTED_VALUE"""),"0014P00003YSp8SQAT")</f>
        <v>0014P00003YSp8SQAT</v>
      </c>
      <c r="B534" s="27" t="str">
        <f ca="1">IFERROR(__xludf.DUMMYFUNCTION("""COMPUTED_VALUE"""),"Fase Inicial")</f>
        <v>Fase Inicial</v>
      </c>
      <c r="C534" s="27" t="str">
        <f ca="1">IFERROR(__xludf.DUMMYFUNCTION("""COMPUTED_VALUE"""),"Fellow")</f>
        <v>Fellow</v>
      </c>
      <c r="D534" s="27" t="str">
        <f ca="1">IFERROR(__xludf.DUMMYFUNCTION("""COMPUTED_VALUE"""),"Ativo")</f>
        <v>Ativo</v>
      </c>
      <c r="E534" s="27" t="str">
        <f ca="1">IFERROR(__xludf.DUMMYFUNCTION("""COMPUTED_VALUE"""),"PROJETO NOVA HISTÓRIA/REDE DE MULHERES GIRASSOL")</f>
        <v>PROJETO NOVA HISTÓRIA/REDE DE MULHERES GIRASSOL</v>
      </c>
      <c r="F534" s="27" t="str">
        <f ca="1">IFERROR(__xludf.DUMMYFUNCTION("""COMPUTED_VALUE"""),"Erica")</f>
        <v>Erica</v>
      </c>
      <c r="G534" s="27"/>
      <c r="H534" s="27"/>
      <c r="I534" s="27" t="str">
        <f ca="1">IFERROR(__xludf.DUMMYFUNCTION("""COMPUTED_VALUE"""),"FABIO FERREIRA DA SILVA")</f>
        <v>FABIO FERREIRA DA SILVA</v>
      </c>
      <c r="J534" s="27" t="str">
        <f ca="1">IFERROR(__xludf.DUMMYFUNCTION("""COMPUTED_VALUE"""),"ericaleferreira@gmail.com")</f>
        <v>ericaleferreira@gmail.com</v>
      </c>
      <c r="K534" s="27" t="str">
        <f ca="1">IFERROR(__xludf.DUMMYFUNCTION("""COMPUTED_VALUE"""),"(21)97691-9562")</f>
        <v>(21)97691-9562</v>
      </c>
      <c r="L534" s="27" t="str">
        <f ca="1">IFERROR(__xludf.DUMMYFUNCTION("""COMPUTED_VALUE"""),"RJ")</f>
        <v>RJ</v>
      </c>
      <c r="M534" s="27" t="str">
        <f ca="1">IFERROR(__xludf.DUMMYFUNCTION("""COMPUTED_VALUE"""),"Rua Espírito Santo, 65")</f>
        <v>Rua Espírito Santo, 65</v>
      </c>
      <c r="N534" s="27" t="str">
        <f ca="1">IFERROR(__xludf.DUMMYFUNCTION("""COMPUTED_VALUE"""),"Jardim Ana Clara")</f>
        <v>Jardim Ana Clara</v>
      </c>
      <c r="O534" s="27">
        <f ca="1">IFERROR(__xludf.DUMMYFUNCTION("""COMPUTED_VALUE"""),65)</f>
        <v>65</v>
      </c>
      <c r="P534" s="27" t="str">
        <f ca="1">IFERROR(__xludf.DUMMYFUNCTION("""COMPUTED_VALUE"""),"Duque de Caxias")</f>
        <v>Duque de Caxias</v>
      </c>
      <c r="Q534" s="27"/>
      <c r="R534" s="27" t="str">
        <f ca="1">IFERROR(__xludf.DUMMYFUNCTION("""COMPUTED_VALUE"""),"25222-100")</f>
        <v>25222-100</v>
      </c>
      <c r="S534" s="27"/>
      <c r="T534" s="27" t="str">
        <f ca="1">IFERROR(__xludf.DUMMYFUNCTION("""COMPUTED_VALUE"""),"Esporte; Educação; Empregabilidade; Cultura; Empreendedorismo; Empoderamento Feminino; Negócios Sociais; Desenvolvimento comunitário")</f>
        <v>Esporte; Educação; Empregabilidade; Cultura; Empreendedorismo; Empoderamento Feminino; Negócios Sociais; Desenvolvimento comunitário</v>
      </c>
      <c r="U534" s="27" t="str">
        <f ca="1">IFERROR(__xludf.DUMMYFUNCTION("""COMPUTED_VALUE"""),"Crianças (6 a 12 anos); Adolescentes (12 aos 18 anos); Jovens (18 aos 24 anos); Adultos; Idosos (60 anos ou mais)")</f>
        <v>Crianças (6 a 12 anos); Adolescentes (12 aos 18 anos); Jovens (18 aos 24 anos); Adultos; Idosos (60 anos ou mais)</v>
      </c>
      <c r="V534" s="27" t="str">
        <f ca="1">IFERROR(__xludf.DUMMYFUNCTION("""COMPUTED_VALUE"""),"Moradores de Favelas")</f>
        <v>Moradores de Favelas</v>
      </c>
      <c r="W534" s="27">
        <f ca="1">IFERROR(__xludf.DUMMYFUNCTION("""COMPUTED_VALUE"""),6)</f>
        <v>6</v>
      </c>
      <c r="X534" s="27"/>
      <c r="Y534" s="27"/>
      <c r="Z534" s="27">
        <f ca="1">IFERROR(__xludf.DUMMYFUNCTION("""COMPUTED_VALUE"""),700)</f>
        <v>700</v>
      </c>
      <c r="AA534" s="30">
        <f ca="1">IFERROR(__xludf.DUMMYFUNCTION("""COMPUTED_VALUE"""),43022)</f>
        <v>43022</v>
      </c>
      <c r="AB534" s="27" t="str">
        <f ca="1">IFERROR(__xludf.DUMMYFUNCTION("""COMPUTED_VALUE"""),"Não")</f>
        <v>Não</v>
      </c>
      <c r="AC534" s="27">
        <f ca="1">IFERROR(__xludf.DUMMYFUNCTION("""COMPUTED_VALUE"""),0)</f>
        <v>0</v>
      </c>
      <c r="AD534" s="27">
        <f ca="1">IFERROR(__xludf.DUMMYFUNCTION("""COMPUTED_VALUE"""),0)</f>
        <v>0</v>
      </c>
      <c r="AE534" s="27">
        <f ca="1">IFERROR(__xludf.DUMMYFUNCTION("""COMPUTED_VALUE"""),4)</f>
        <v>4</v>
      </c>
      <c r="AF534" s="27">
        <f ca="1">IFERROR(__xludf.DUMMYFUNCTION("""COMPUTED_VALUE"""),2)</f>
        <v>2</v>
      </c>
      <c r="AG534" s="27">
        <f ca="1">IFERROR(__xludf.DUMMYFUNCTION("""COMPUTED_VALUE"""),2)</f>
        <v>2</v>
      </c>
      <c r="AH534" s="27" t="str">
        <f ca="1">IFERROR(__xludf.DUMMYFUNCTION("""COMPUTED_VALUE"""),"Eventos/Ações para captação; Parceria iniciativa privada; Doações; Recursos próprios")</f>
        <v>Eventos/Ações para captação; Parceria iniciativa privada; Doações; Recursos próprios</v>
      </c>
      <c r="AI534" s="31">
        <f ca="1">IFERROR(__xludf.DUMMYFUNCTION("""COMPUTED_VALUE"""),0.25)</f>
        <v>0.25</v>
      </c>
      <c r="AJ534" s="27"/>
      <c r="AK534" s="27"/>
      <c r="AL534" s="21" t="str">
        <f ca="1">IFERROR(__xludf.DUMMYFUNCTION("""COMPUTED_VALUE"""),"0034P000045kxj3")</f>
        <v>0034P000045kxj3</v>
      </c>
      <c r="AM534" s="27" t="str">
        <f ca="1">IFERROR(__xludf.DUMMYFUNCTION("""COMPUTED_VALUE"""),"Da Encarnação Ferreira Da Silva")</f>
        <v>Da Encarnação Ferreira Da Silva</v>
      </c>
      <c r="AN534" s="27" t="str">
        <f ca="1">IFERROR(__xludf.DUMMYFUNCTION("""COMPUTED_VALUE"""),"Ativo")</f>
        <v>Ativo</v>
      </c>
      <c r="AO534" s="30">
        <f ca="1">IFERROR(__xludf.DUMMYFUNCTION("""COMPUTED_VALUE"""),44551)</f>
        <v>44551</v>
      </c>
      <c r="AP534" s="27">
        <f ca="1">IFERROR(__xludf.DUMMYFUNCTION("""COMPUTED_VALUE"""),9)</f>
        <v>9</v>
      </c>
      <c r="AQ534" s="27" t="str">
        <f ca="1">IFERROR(__xludf.DUMMYFUNCTION("""COMPUTED_VALUE"""),"Segundo Semestre 2021")</f>
        <v>Segundo Semestre 2021</v>
      </c>
      <c r="AR534" s="27" t="str">
        <f ca="1">IFERROR(__xludf.DUMMYFUNCTION("""COMPUTED_VALUE"""),"ericaleferreira@gmail.com")</f>
        <v>ericaleferreira@gmail.com</v>
      </c>
      <c r="AS534" s="27" t="str">
        <f ca="1">IFERROR(__xludf.DUMMYFUNCTION("""COMPUTED_VALUE"""),"(21)97691-9562")</f>
        <v>(21)97691-9562</v>
      </c>
      <c r="AT534" s="29">
        <f ca="1">IFERROR(__xludf.DUMMYFUNCTION("""COMPUTED_VALUE"""),28565)</f>
        <v>28565</v>
      </c>
      <c r="AU534" s="27">
        <f ca="1">IFERROR(__xludf.DUMMYFUNCTION("""COMPUTED_VALUE"""),44)</f>
        <v>44</v>
      </c>
      <c r="AV534" s="27">
        <f ca="1">IFERROR(__xludf.DUMMYFUNCTION("""COMPUTED_VALUE"""),5213875742)</f>
        <v>5213875742</v>
      </c>
      <c r="AW534" s="27">
        <f ca="1">IFERROR(__xludf.DUMMYFUNCTION("""COMPUTED_VALUE"""),120917455)</f>
        <v>120917455</v>
      </c>
      <c r="AX534" s="27"/>
      <c r="AY534" s="27"/>
      <c r="AZ534" s="27" t="str">
        <f ca="1">IFERROR(__xludf.DUMMYFUNCTION("""COMPUTED_VALUE"""),"GG")</f>
        <v>GG</v>
      </c>
      <c r="BA534" s="27" t="str">
        <f ca="1">IFERROR(__xludf.DUMMYFUNCTION("""COMPUTED_VALUE"""),"Preta")</f>
        <v>Preta</v>
      </c>
      <c r="BB534" s="27" t="str">
        <f ca="1">IFERROR(__xludf.DUMMYFUNCTION("""COMPUTED_VALUE"""),"Mulher, cisgênero")</f>
        <v>Mulher, cisgênero</v>
      </c>
      <c r="BC534" s="27" t="str">
        <f ca="1">IFERROR(__xludf.DUMMYFUNCTION("""COMPUTED_VALUE"""),"Sim")</f>
        <v>Sim</v>
      </c>
      <c r="BD534" s="27" t="str">
        <f ca="1">IFERROR(__xludf.DUMMYFUNCTION("""COMPUTED_VALUE"""),"Me chamo Érica Encarnação, tenho 43 anos,casada com Fábioj,mãe de 4 filhos,preta,moradora da Baixada Fluminense,na favela do Jardim Ana Clara.Estou á 4 anos no Projeto Nova História, junto com meu esposo,e á 3 anos a frente da Rede de Mulheres Girassol.,o"&amp;"nde temos assistido as crianças e mulheres do nosso território.")</f>
        <v>Me chamo Érica Encarnação, tenho 43 anos,casada com Fábioj,mãe de 4 filhos,preta,moradora da Baixada Fluminense,na favela do Jardim Ana Clara.Estou á 4 anos no Projeto Nova História, junto com meu esposo,e á 3 anos a frente da Rede de Mulheres Girassol.,onde temos assistido as crianças e mulheres do nosso território.</v>
      </c>
      <c r="BE534" s="27"/>
      <c r="BF534" s="27" t="str">
        <f ca="1">IFERROR(__xludf.DUMMYFUNCTION("""COMPUTED_VALUE"""),"Heterossexual")</f>
        <v>Heterossexual</v>
      </c>
      <c r="BG534" s="27" t="str">
        <f ca="1">IFERROR(__xludf.DUMMYFUNCTION("""COMPUTED_VALUE"""),"Ensino Fundamento - Completo")</f>
        <v>Ensino Fundamento - Completo</v>
      </c>
      <c r="BH534" s="27" t="str">
        <f ca="1">IFERROR(__xludf.DUMMYFUNCTION("""COMPUTED_VALUE"""),"Pública")</f>
        <v>Pública</v>
      </c>
      <c r="BI534" s="27"/>
      <c r="BJ534" s="27"/>
      <c r="BK534" s="27" t="str">
        <f ca="1">IFERROR(__xludf.DUMMYFUNCTION("""COMPUTED_VALUE"""),"Espírito Santo")</f>
        <v>Espírito Santo</v>
      </c>
      <c r="BL534" s="27">
        <f ca="1">IFERROR(__xludf.DUMMYFUNCTION("""COMPUTED_VALUE"""),65)</f>
        <v>65</v>
      </c>
      <c r="BM534" s="27"/>
      <c r="BN534" s="27" t="str">
        <f ca="1">IFERROR(__xludf.DUMMYFUNCTION("""COMPUTED_VALUE"""),"Duque de Caxias")</f>
        <v>Duque de Caxias</v>
      </c>
      <c r="BO534" s="27" t="str">
        <f ca="1">IFERROR(__xludf.DUMMYFUNCTION("""COMPUTED_VALUE"""),"25221-100")</f>
        <v>25221-100</v>
      </c>
      <c r="BP534" s="27" t="str">
        <f ca="1">IFERROR(__xludf.DUMMYFUNCTION("""COMPUTED_VALUE"""),"RJ")</f>
        <v>RJ</v>
      </c>
      <c r="BQ534" s="27" t="str">
        <f ca="1">IFERROR(__xludf.DUMMYFUNCTION("""COMPUTED_VALUE"""),"Entre 1 até 3 salários mínimos")</f>
        <v>Entre 1 até 3 salários mínimos</v>
      </c>
      <c r="BR534" s="27" t="str">
        <f ca="1">IFERROR(__xludf.DUMMYFUNCTION("""COMPUTED_VALUE"""),"Desempregado")</f>
        <v>Desempregado</v>
      </c>
      <c r="BS534" s="27" t="str">
        <f ca="1">IFERROR(__xludf.DUMMYFUNCTION("""COMPUTED_VALUE"""),"Casa própria")</f>
        <v>Casa própria</v>
      </c>
      <c r="BT534" s="27">
        <f ca="1">IFERROR(__xludf.DUMMYFUNCTION("""COMPUTED_VALUE"""),6)</f>
        <v>6</v>
      </c>
      <c r="BU534" s="27" t="str">
        <f ca="1">IFERROR(__xludf.DUMMYFUNCTION("""COMPUTED_VALUE"""),"Não tem")</f>
        <v>Não tem</v>
      </c>
      <c r="BV534" s="27"/>
      <c r="BW534" s="27"/>
      <c r="BX534" s="27"/>
      <c r="BY534" s="21" t="str">
        <f ca="1">IFERROR(__xludf.DUMMYFUNCTION("""COMPUTED_VALUE"""),"https://drive.google.com/open?id=122zLIQeEN1TpSNcW7kQt6mDg03mTynTL")</f>
        <v>https://drive.google.com/open?id=122zLIQeEN1TpSNcW7kQt6mDg03mTynTL</v>
      </c>
    </row>
    <row r="535" spans="1:77" ht="12.5" x14ac:dyDescent="0.25">
      <c r="A535" s="21" t="str">
        <f ca="1">IFERROR(__xludf.DUMMYFUNCTION("""COMPUTED_VALUE"""),"0014P00003AN2GBQA1")</f>
        <v>0014P00003AN2GBQA1</v>
      </c>
      <c r="B535" s="27" t="str">
        <f ca="1">IFERROR(__xludf.DUMMYFUNCTION("""COMPUTED_VALUE"""),"Fase Estruturação")</f>
        <v>Fase Estruturação</v>
      </c>
      <c r="C535" s="27" t="str">
        <f ca="1">IFERROR(__xludf.DUMMYFUNCTION("""COMPUTED_VALUE"""),"Fellow")</f>
        <v>Fellow</v>
      </c>
      <c r="D535" s="27" t="str">
        <f ca="1">IFERROR(__xludf.DUMMYFUNCTION("""COMPUTED_VALUE"""),"Ativo")</f>
        <v>Ativo</v>
      </c>
      <c r="E535" s="27" t="str">
        <f ca="1">IFERROR(__xludf.DUMMYFUNCTION("""COMPUTED_VALUE"""),"Projeto Ondas")</f>
        <v>Projeto Ondas</v>
      </c>
      <c r="F535" s="27" t="str">
        <f ca="1">IFERROR(__xludf.DUMMYFUNCTION("""COMPUTED_VALUE"""),"Jocélio")</f>
        <v>Jocélio</v>
      </c>
      <c r="G535" s="27"/>
      <c r="H535" s="27" t="str">
        <f ca="1">IFERROR(__xludf.DUMMYFUNCTION("""COMPUTED_VALUE"""),"08.996.310/0001-10")</f>
        <v>08.996.310/0001-10</v>
      </c>
      <c r="I535" s="27"/>
      <c r="J535" s="27"/>
      <c r="K535" s="27" t="str">
        <f ca="1">IFERROR(__xludf.DUMMYFUNCTION("""COMPUTED_VALUE"""),"(13)98831-7598")</f>
        <v>(13)98831-7598</v>
      </c>
      <c r="L535" s="27" t="str">
        <f ca="1">IFERROR(__xludf.DUMMYFUNCTION("""COMPUTED_VALUE"""),"SP")</f>
        <v>SP</v>
      </c>
      <c r="M535" s="27" t="str">
        <f ca="1">IFERROR(__xludf.DUMMYFUNCTION("""COMPUTED_VALUE"""),"Av. Almirante Tamandaré, 87")</f>
        <v>Av. Almirante Tamandaré, 87</v>
      </c>
      <c r="N535" s="27"/>
      <c r="O535" s="27" t="str">
        <f ca="1">IFERROR(__xludf.DUMMYFUNCTION("""COMPUTED_VALUE"""),"(13)9883-17598")</f>
        <v>(13)9883-17598</v>
      </c>
      <c r="P535" s="27" t="str">
        <f ca="1">IFERROR(__xludf.DUMMYFUNCTION("""COMPUTED_VALUE"""),"Guarujá")</f>
        <v>Guarujá</v>
      </c>
      <c r="Q535" s="27"/>
      <c r="R535" s="27" t="str">
        <f ca="1">IFERROR(__xludf.DUMMYFUNCTION("""COMPUTED_VALUE"""),"11440-470")</f>
        <v>11440-470</v>
      </c>
      <c r="S535" s="27" t="str">
        <f ca="1">IFERROR(__xludf.DUMMYFUNCTION("""COMPUTED_VALUE"""),"Não aplicável")</f>
        <v>Não aplicável</v>
      </c>
      <c r="T535" s="27" t="str">
        <f ca="1">IFERROR(__xludf.DUMMYFUNCTION("""COMPUTED_VALUE"""),"Esporte; Educação; Assistência Social")</f>
        <v>Esporte; Educação; Assistência Social</v>
      </c>
      <c r="U535" s="27" t="str">
        <f ca="1">IFERROR(__xludf.DUMMYFUNCTION("""COMPUTED_VALUE"""),"Crianças (6 a 12 anos)")</f>
        <v>Crianças (6 a 12 anos)</v>
      </c>
      <c r="V535" s="27" t="str">
        <f ca="1">IFERROR(__xludf.DUMMYFUNCTION("""COMPUTED_VALUE"""),"Moradores de Favelas")</f>
        <v>Moradores de Favelas</v>
      </c>
      <c r="W535" s="27">
        <f ca="1">IFERROR(__xludf.DUMMYFUNCTION("""COMPUTED_VALUE"""),5)</f>
        <v>5</v>
      </c>
      <c r="X535" s="27" t="str">
        <f ca="1">IFERROR(__xludf.DUMMYFUNCTION("""COMPUTED_VALUE"""),"Crianças e adolescentes e suas famílias em situação de vulnerabilidade social")</f>
        <v>Crianças e adolescentes e suas famílias em situação de vulnerabilidade social</v>
      </c>
      <c r="Y535" s="27"/>
      <c r="Z535" s="27"/>
      <c r="AA535" s="29">
        <f ca="1">IFERROR(__xludf.DUMMYFUNCTION("""COMPUTED_VALUE"""),39271)</f>
        <v>39271</v>
      </c>
      <c r="AB535" s="27" t="str">
        <f ca="1">IFERROR(__xludf.DUMMYFUNCTION("""COMPUTED_VALUE"""),"Sim")</f>
        <v>Sim</v>
      </c>
      <c r="AC535" s="27">
        <f ca="1">IFERROR(__xludf.DUMMYFUNCTION("""COMPUTED_VALUE"""),20)</f>
        <v>20</v>
      </c>
      <c r="AD535" s="27">
        <f ca="1">IFERROR(__xludf.DUMMYFUNCTION("""COMPUTED_VALUE"""),15)</f>
        <v>15</v>
      </c>
      <c r="AE535" s="27">
        <f ca="1">IFERROR(__xludf.DUMMYFUNCTION("""COMPUTED_VALUE"""),6)</f>
        <v>6</v>
      </c>
      <c r="AF535" s="27">
        <f ca="1">IFERROR(__xludf.DUMMYFUNCTION("""COMPUTED_VALUE"""),4)</f>
        <v>4</v>
      </c>
      <c r="AG535" s="27">
        <f ca="1">IFERROR(__xludf.DUMMYFUNCTION("""COMPUTED_VALUE"""),5)</f>
        <v>5</v>
      </c>
      <c r="AH535" s="27" t="str">
        <f ca="1">IFERROR(__xludf.DUMMYFUNCTION("""COMPUTED_VALUE"""),"Lei de Incentivo; Convênio Público; Eventos/Ações para captação; Plataforma doação online - Pessoa Física; Editais; Doações; Lei Federal do Esporte; Recursos próprios")</f>
        <v>Lei de Incentivo; Convênio Público; Eventos/Ações para captação; Plataforma doação online - Pessoa Física; Editais; Doações; Lei Federal do Esporte; Recursos próprios</v>
      </c>
      <c r="AI535" s="27" t="str">
        <f ca="1">IFERROR(__xludf.DUMMYFUNCTION("""COMPUTED_VALUE"""),"nao se aplica")</f>
        <v>nao se aplica</v>
      </c>
      <c r="AJ535" s="27" t="str">
        <f ca="1">IFERROR(__xludf.DUMMYFUNCTION("""COMPUTED_VALUE"""),"Sim")</f>
        <v>Sim</v>
      </c>
      <c r="AK535" s="27" t="str">
        <f ca="1">IFERROR(__xludf.DUMMYFUNCTION("""COMPUTED_VALUE"""),"Não")</f>
        <v>Não</v>
      </c>
      <c r="AL535" s="21" t="str">
        <f ca="1">IFERROR(__xludf.DUMMYFUNCTION("""COMPUTED_VALUE"""),"0034P00003maBVf")</f>
        <v>0034P00003maBVf</v>
      </c>
      <c r="AM535" s="27" t="str">
        <f ca="1">IFERROR(__xludf.DUMMYFUNCTION("""COMPUTED_VALUE"""),"De Jesus")</f>
        <v>De Jesus</v>
      </c>
      <c r="AN535" s="27" t="str">
        <f ca="1">IFERROR(__xludf.DUMMYFUNCTION("""COMPUTED_VALUE"""),"Ativo")</f>
        <v>Ativo</v>
      </c>
      <c r="AO535" s="29">
        <f ca="1">IFERROR(__xludf.DUMMYFUNCTION("""COMPUTED_VALUE"""),44306)</f>
        <v>44306</v>
      </c>
      <c r="AP535" s="27">
        <f ca="1">IFERROR(__xludf.DUMMYFUNCTION("""COMPUTED_VALUE"""),17)</f>
        <v>17</v>
      </c>
      <c r="AQ535" s="27" t="str">
        <f ca="1">IFERROR(__xludf.DUMMYFUNCTION("""COMPUTED_VALUE"""),"Segundo Semestre 2020")</f>
        <v>Segundo Semestre 2020</v>
      </c>
      <c r="AR535" s="27" t="str">
        <f ca="1">IFERROR(__xludf.DUMMYFUNCTION("""COMPUTED_VALUE"""),"jojo@projetoondas.org.br")</f>
        <v>jojo@projetoondas.org.br</v>
      </c>
      <c r="AS535" s="27" t="str">
        <f ca="1">IFERROR(__xludf.DUMMYFUNCTION("""COMPUTED_VALUE"""),"(13)9883-17598")</f>
        <v>(13)9883-17598</v>
      </c>
      <c r="AT535" s="29">
        <f ca="1">IFERROR(__xludf.DUMMYFUNCTION("""COMPUTED_VALUE"""),21400)</f>
        <v>21400</v>
      </c>
      <c r="AU535" s="27">
        <f ca="1">IFERROR(__xludf.DUMMYFUNCTION("""COMPUTED_VALUE"""),64)</f>
        <v>64</v>
      </c>
      <c r="AV535" s="27">
        <f ca="1">IFERROR(__xludf.DUMMYFUNCTION("""COMPUTED_VALUE"""),45719466572)</f>
        <v>45719466572</v>
      </c>
      <c r="AW535" s="27" t="str">
        <f ca="1">IFERROR(__xludf.DUMMYFUNCTION("""COMPUTED_VALUE"""),"50105087-5")</f>
        <v>50105087-5</v>
      </c>
      <c r="AX535" s="27" t="str">
        <f ca="1">IFERROR(__xludf.DUMMYFUNCTION("""COMPUTED_VALUE"""),"Gestão Ambiental - Pós graduada em Gestão Integrada (Qualidade - Meio Ambiente - Responsabilidade Social - Saúde e Segurança do Trabalho) - Pós em Transdiciplinaridade Holística de Base - Especialista em Educação Social e Psicologia Transpessoal - Pós em")</f>
        <v>Gestão Ambiental - Pós graduada em Gestão Integrada (Qualidade - Meio Ambiente - Responsabilidade Social - Saúde e Segurança do Trabalho) - Pós em Transdiciplinaridade Holística de Base - Especialista em Educação Social e Psicologia Transpessoal - Pós em</v>
      </c>
      <c r="AY535" s="27" t="str">
        <f ca="1">IFERROR(__xludf.DUMMYFUNCTION("""COMPUTED_VALUE"""),"Artemis Consultoria - Consultora - Projetos socioambientais")</f>
        <v>Artemis Consultoria - Consultora - Projetos socioambientais</v>
      </c>
      <c r="AZ535" s="27" t="str">
        <f ca="1">IFERROR(__xludf.DUMMYFUNCTION("""COMPUTED_VALUE"""),"GG")</f>
        <v>GG</v>
      </c>
      <c r="BA535" s="27"/>
      <c r="BB535" s="27"/>
      <c r="BC535" s="27" t="str">
        <f ca="1">IFERROR(__xludf.DUMMYFUNCTION("""COMPUTED_VALUE"""),"Sim")</f>
        <v>Sim</v>
      </c>
      <c r="BD535" s="27" t="str">
        <f ca="1">IFERROR(__xludf.DUMMYFUNCTION("""COMPUTED_VALUE"""),"Jocelio de Jesus, conhecido como Jojo de Olivença, Baiano de Ipiaú, foi morar no litoral sul de Ilhéus ainda de colo com sua mãe e irmão em busca de uma melhora de vida. aos 11 anos teve seu primeiro contato com o surf com prancha emprestada. conquistou s"&amp;"eu primeiro titulo nacional em 1988 e em 1989 veio morar em Guarujá SP. em 1992 conquistou seu segundo título nacional e entre 93 e 98 participou do circuito mundial de surf (WSL)")</f>
        <v>Jocelio de Jesus, conhecido como Jojo de Olivença, Baiano de Ipiaú, foi morar no litoral sul de Ilhéus ainda de colo com sua mãe e irmão em busca de uma melhora de vida. aos 11 anos teve seu primeiro contato com o surf com prancha emprestada. conquistou seu primeiro titulo nacional em 1988 e em 1989 veio morar em Guarujá SP. em 1992 conquistou seu segundo título nacional e entre 93 e 98 participou do circuito mundial de surf (WSL)</v>
      </c>
      <c r="BE535" s="27"/>
      <c r="BF535" s="27"/>
      <c r="BG535" s="27" t="str">
        <f ca="1">IFERROR(__xludf.DUMMYFUNCTION("""COMPUTED_VALUE"""),"Ensino Fundamental - Incompleto")</f>
        <v>Ensino Fundamental - Incompleto</v>
      </c>
      <c r="BH535" s="27"/>
      <c r="BI535" s="27"/>
      <c r="BJ535" s="27"/>
      <c r="BK535" s="27" t="str">
        <f ca="1">IFERROR(__xludf.DUMMYFUNCTION("""COMPUTED_VALUE"""),"José Alves de Oliveira")</f>
        <v>José Alves de Oliveira</v>
      </c>
      <c r="BL535" s="27">
        <f ca="1">IFERROR(__xludf.DUMMYFUNCTION("""COMPUTED_VALUE"""),633)</f>
        <v>633</v>
      </c>
      <c r="BM535" s="27"/>
      <c r="BN535" s="27" t="str">
        <f ca="1">IFERROR(__xludf.DUMMYFUNCTION("""COMPUTED_VALUE"""),"Guarujá")</f>
        <v>Guarujá</v>
      </c>
      <c r="BO535" s="27" t="str">
        <f ca="1">IFERROR(__xludf.DUMMYFUNCTION("""COMPUTED_VALUE"""),"11420-445")</f>
        <v>11420-445</v>
      </c>
      <c r="BP535" s="27" t="str">
        <f ca="1">IFERROR(__xludf.DUMMYFUNCTION("""COMPUTED_VALUE"""),"SP")</f>
        <v>SP</v>
      </c>
      <c r="BQ535" s="27" t="str">
        <f ca="1">IFERROR(__xludf.DUMMYFUNCTION("""COMPUTED_VALUE"""),"De 3 até 5 salários mínimos")</f>
        <v>De 3 até 5 salários mínimos</v>
      </c>
      <c r="BR535" s="27" t="str">
        <f ca="1">IFERROR(__xludf.DUMMYFUNCTION("""COMPUTED_VALUE"""),"CLT")</f>
        <v>CLT</v>
      </c>
      <c r="BS535" s="27" t="str">
        <f ca="1">IFERROR(__xludf.DUMMYFUNCTION("""COMPUTED_VALUE"""),"Casa própria")</f>
        <v>Casa própria</v>
      </c>
      <c r="BT535" s="27">
        <f ca="1">IFERROR(__xludf.DUMMYFUNCTION("""COMPUTED_VALUE"""),3)</f>
        <v>3</v>
      </c>
      <c r="BU535" s="27"/>
      <c r="BV535" s="27"/>
      <c r="BW535" s="27"/>
      <c r="BX535" s="27" t="str">
        <f ca="1">IFERROR(__xludf.DUMMYFUNCTION("""COMPUTED_VALUE"""),"@jojodeolivenca67")</f>
        <v>@jojodeolivenca67</v>
      </c>
      <c r="BY535" s="21" t="str">
        <f ca="1">IFERROR(__xludf.DUMMYFUNCTION("""COMPUTED_VALUE"""),"https://drive.google.com/open?id=1ayBZhrzuq5Zs4dq8iitt6RlqmoscT9YK")</f>
        <v>https://drive.google.com/open?id=1ayBZhrzuq5Zs4dq8iitt6RlqmoscT9YK</v>
      </c>
    </row>
    <row r="536" spans="1:77" ht="12.5" x14ac:dyDescent="0.25">
      <c r="A536" s="21" t="str">
        <f ca="1">IFERROR(__xludf.DUMMYFUNCTION("""COMPUTED_VALUE"""),"0014P00003YSp94QAD")</f>
        <v>0014P00003YSp94QAD</v>
      </c>
      <c r="B536" s="27" t="str">
        <f ca="1">IFERROR(__xludf.DUMMYFUNCTION("""COMPUTED_VALUE"""),"Fase Inicial")</f>
        <v>Fase Inicial</v>
      </c>
      <c r="C536" s="27" t="str">
        <f ca="1">IFERROR(__xludf.DUMMYFUNCTION("""COMPUTED_VALUE"""),"Fellow")</f>
        <v>Fellow</v>
      </c>
      <c r="D536" s="27" t="str">
        <f ca="1">IFERROR(__xludf.DUMMYFUNCTION("""COMPUTED_VALUE"""),"Ativo")</f>
        <v>Ativo</v>
      </c>
      <c r="E536" s="27" t="str">
        <f ca="1">IFERROR(__xludf.DUMMYFUNCTION("""COMPUTED_VALUE"""),"Projeto Pela Rua Pelo Reino")</f>
        <v>Projeto Pela Rua Pelo Reino</v>
      </c>
      <c r="F536" s="27" t="str">
        <f ca="1">IFERROR(__xludf.DUMMYFUNCTION("""COMPUTED_VALUE"""),"Douglas")</f>
        <v>Douglas</v>
      </c>
      <c r="G536" s="27"/>
      <c r="H536" s="27" t="str">
        <f ca="1">IFERROR(__xludf.DUMMYFUNCTION("""COMPUTED_VALUE"""),"36.348.216/0001-90")</f>
        <v>36.348.216/0001-90</v>
      </c>
      <c r="I536" s="27" t="str">
        <f ca="1">IFERROR(__xludf.DUMMYFUNCTION("""COMPUTED_VALUE"""),"Maria Madalena Teixeira Neves Pereira")</f>
        <v>Maria Madalena Teixeira Neves Pereira</v>
      </c>
      <c r="J536" s="27" t="str">
        <f ca="1">IFERROR(__xludf.DUMMYFUNCTION("""COMPUTED_VALUE"""),"p.r.v.pelaruapeloreino@gmail.com")</f>
        <v>p.r.v.pelaruapeloreino@gmail.com</v>
      </c>
      <c r="K536" s="27" t="str">
        <f ca="1">IFERROR(__xludf.DUMMYFUNCTION("""COMPUTED_VALUE"""),"(11)95283-4372")</f>
        <v>(11)95283-4372</v>
      </c>
      <c r="L536" s="27" t="str">
        <f ca="1">IFERROR(__xludf.DUMMYFUNCTION("""COMPUTED_VALUE"""),"SP")</f>
        <v>SP</v>
      </c>
      <c r="M536" s="27" t="str">
        <f ca="1">IFERROR(__xludf.DUMMYFUNCTION("""COMPUTED_VALUE"""),"Estrada de Furnas 262")</f>
        <v>Estrada de Furnas 262</v>
      </c>
      <c r="N536" s="27" t="str">
        <f ca="1">IFERROR(__xludf.DUMMYFUNCTION("""COMPUTED_VALUE"""),"Jaçana")</f>
        <v>Jaçana</v>
      </c>
      <c r="O536" s="27">
        <f ca="1">IFERROR(__xludf.DUMMYFUNCTION("""COMPUTED_VALUE"""),74)</f>
        <v>74</v>
      </c>
      <c r="P536" s="27" t="str">
        <f ca="1">IFERROR(__xludf.DUMMYFUNCTION("""COMPUTED_VALUE"""),"São Paulo")</f>
        <v>São Paulo</v>
      </c>
      <c r="Q536" s="27"/>
      <c r="R536" s="27" t="str">
        <f ca="1">IFERROR(__xludf.DUMMYFUNCTION("""COMPUTED_VALUE"""),"02324-140")</f>
        <v>02324-140</v>
      </c>
      <c r="S536" s="27"/>
      <c r="T536" s="27" t="str">
        <f ca="1">IFERROR(__xludf.DUMMYFUNCTION("""COMPUTED_VALUE"""),"Esporte; Educação; Empregabilidade; Assistência Social; Cultura; Qualificação Profissional; Empreendedorismo; Saúde")</f>
        <v>Esporte; Educação; Empregabilidade; Assistência Social; Cultura; Qualificação Profissional; Empreendedorismo; Saúde</v>
      </c>
      <c r="U536" s="27" t="str">
        <f ca="1">IFERROR(__xludf.DUMMYFUNCTION("""COMPUTED_VALUE"""),"Bebês (0 a 1 ano e 6 meses); Crianças bem pequenas (1 ano e 7 meses até 3 anos e 11 meses); Crianças pequenas (4 anos a 5 anos e 11 meses); Crianças (6 a 12 anos); Adolescentes (12 aos 18 anos); Jovens (18 aos 24 anos); Adultos")</f>
        <v>Bebês (0 a 1 ano e 6 meses); Crianças bem pequenas (1 ano e 7 meses até 3 anos e 11 meses); Crianças pequenas (4 anos a 5 anos e 11 meses); Crianças (6 a 12 anos); Adolescentes (12 aos 18 anos); Jovens (18 aos 24 anos); Adultos</v>
      </c>
      <c r="V536" s="27" t="str">
        <f ca="1">IFERROR(__xludf.DUMMYFUNCTION("""COMPUTED_VALUE"""),"Moradores de Favelas; Pessoas em situação de rua; Dependentes Químicos; Outros")</f>
        <v>Moradores de Favelas; Pessoas em situação de rua; Dependentes Químicos; Outros</v>
      </c>
      <c r="W536" s="27">
        <f ca="1">IFERROR(__xludf.DUMMYFUNCTION("""COMPUTED_VALUE"""),3)</f>
        <v>3</v>
      </c>
      <c r="X536" s="27" t="str">
        <f ca="1">IFERROR(__xludf.DUMMYFUNCTION("""COMPUTED_VALUE"""),"pessoas com Problemas com vicio em álcool e  drogas")</f>
        <v>pessoas com Problemas com vicio em álcool e  drogas</v>
      </c>
      <c r="Y536" s="27"/>
      <c r="Z536" s="27">
        <f ca="1">IFERROR(__xludf.DUMMYFUNCTION("""COMPUTED_VALUE"""),500)</f>
        <v>500</v>
      </c>
      <c r="AA536" s="29">
        <f ca="1">IFERROR(__xludf.DUMMYFUNCTION("""COMPUTED_VALUE"""),43554)</f>
        <v>43554</v>
      </c>
      <c r="AB536" s="27" t="str">
        <f ca="1">IFERROR(__xludf.DUMMYFUNCTION("""COMPUTED_VALUE"""),"Sim")</f>
        <v>Sim</v>
      </c>
      <c r="AC536" s="27">
        <f ca="1">IFERROR(__xludf.DUMMYFUNCTION("""COMPUTED_VALUE"""),0)</f>
        <v>0</v>
      </c>
      <c r="AD536" s="27">
        <f ca="1">IFERROR(__xludf.DUMMYFUNCTION("""COMPUTED_VALUE"""),0)</f>
        <v>0</v>
      </c>
      <c r="AE536" s="27">
        <f ca="1">IFERROR(__xludf.DUMMYFUNCTION("""COMPUTED_VALUE"""),15)</f>
        <v>15</v>
      </c>
      <c r="AF536" s="27">
        <f ca="1">IFERROR(__xludf.DUMMYFUNCTION("""COMPUTED_VALUE"""),5)</f>
        <v>5</v>
      </c>
      <c r="AG536" s="27">
        <f ca="1">IFERROR(__xludf.DUMMYFUNCTION("""COMPUTED_VALUE"""),2)</f>
        <v>2</v>
      </c>
      <c r="AH536" s="27" t="str">
        <f ca="1">IFERROR(__xludf.DUMMYFUNCTION("""COMPUTED_VALUE"""),"Plataforma doação online - Pessoa Física; Doações; Recursos próprios")</f>
        <v>Plataforma doação online - Pessoa Física; Doações; Recursos próprios</v>
      </c>
      <c r="AI536" s="27">
        <f ca="1">IFERROR(__xludf.DUMMYFUNCTION("""COMPUTED_VALUE"""),0)</f>
        <v>0</v>
      </c>
      <c r="AJ536" s="27"/>
      <c r="AK536" s="27"/>
      <c r="AL536" s="21" t="str">
        <f ca="1">IFERROR(__xludf.DUMMYFUNCTION("""COMPUTED_VALUE"""),"0034P000045kxjg")</f>
        <v>0034P000045kxjg</v>
      </c>
      <c r="AM536" s="27" t="str">
        <f ca="1">IFERROR(__xludf.DUMMYFUNCTION("""COMPUTED_VALUE"""),"Neves Galdino Pereira")</f>
        <v>Neves Galdino Pereira</v>
      </c>
      <c r="AN536" s="27" t="str">
        <f ca="1">IFERROR(__xludf.DUMMYFUNCTION("""COMPUTED_VALUE"""),"Ativo")</f>
        <v>Ativo</v>
      </c>
      <c r="AO536" s="30">
        <f ca="1">IFERROR(__xludf.DUMMYFUNCTION("""COMPUTED_VALUE"""),44551)</f>
        <v>44551</v>
      </c>
      <c r="AP536" s="27">
        <f ca="1">IFERROR(__xludf.DUMMYFUNCTION("""COMPUTED_VALUE"""),9)</f>
        <v>9</v>
      </c>
      <c r="AQ536" s="27" t="str">
        <f ca="1">IFERROR(__xludf.DUMMYFUNCTION("""COMPUTED_VALUE"""),"Segundo Semestre 2021")</f>
        <v>Segundo Semestre 2021</v>
      </c>
      <c r="AR536" s="27" t="str">
        <f ca="1">IFERROR(__xludf.DUMMYFUNCTION("""COMPUTED_VALUE"""),"p.r.v.pelaruapeloreino@gmail.com")</f>
        <v>p.r.v.pelaruapeloreino@gmail.com</v>
      </c>
      <c r="AS536" s="27" t="str">
        <f ca="1">IFERROR(__xludf.DUMMYFUNCTION("""COMPUTED_VALUE"""),"(11)95283-4372")</f>
        <v>(11)95283-4372</v>
      </c>
      <c r="AT536" s="29">
        <f ca="1">IFERROR(__xludf.DUMMYFUNCTION("""COMPUTED_VALUE"""),29119)</f>
        <v>29119</v>
      </c>
      <c r="AU536" s="27">
        <f ca="1">IFERROR(__xludf.DUMMYFUNCTION("""COMPUTED_VALUE"""),43)</f>
        <v>43</v>
      </c>
      <c r="AV536" s="27">
        <f ca="1">IFERROR(__xludf.DUMMYFUNCTION("""COMPUTED_VALUE"""),26865466896)</f>
        <v>26865466896</v>
      </c>
      <c r="AW536" s="27">
        <f ca="1">IFERROR(__xludf.DUMMYFUNCTION("""COMPUTED_VALUE"""),292065437)</f>
        <v>292065437</v>
      </c>
      <c r="AX536" s="27"/>
      <c r="AY536" s="27"/>
      <c r="AZ536" s="27" t="str">
        <f ca="1">IFERROR(__xludf.DUMMYFUNCTION("""COMPUTED_VALUE"""),"GG")</f>
        <v>GG</v>
      </c>
      <c r="BA536" s="27" t="str">
        <f ca="1">IFERROR(__xludf.DUMMYFUNCTION("""COMPUTED_VALUE"""),"Parda")</f>
        <v>Parda</v>
      </c>
      <c r="BB536" s="27" t="str">
        <f ca="1">IFERROR(__xludf.DUMMYFUNCTION("""COMPUTED_VALUE"""),"Homem, cisgênero")</f>
        <v>Homem, cisgênero</v>
      </c>
      <c r="BC536" s="27" t="str">
        <f ca="1">IFERROR(__xludf.DUMMYFUNCTION("""COMPUTED_VALUE"""),"Não")</f>
        <v>Não</v>
      </c>
      <c r="BD536" s="27" t="str">
        <f ca="1">IFERROR(__xludf.DUMMYFUNCTION("""COMPUTED_VALUE"""),"Casado, 42 anos, pai da Isabelle e da Rafaella , Tecnico Eletricista , vencedor do vicio das drogas ha 11anos. Hoje secretario e presidente do Projeto Pela Rua Pelo Reino onde procura trabalhar a base as nossas crianças, desenvolvendo oportunidades para q"&amp;"ue elas possam ter um destino, e não chegar onde eu estive um dia.")</f>
        <v>Casado, 42 anos, pai da Isabelle e da Rafaella , Tecnico Eletricista , vencedor do vicio das drogas ha 11anos. Hoje secretario e presidente do Projeto Pela Rua Pelo Reino onde procura trabalhar a base as nossas crianças, desenvolvendo oportunidades para que elas possam ter um destino, e não chegar onde eu estive um dia.</v>
      </c>
      <c r="BE536" s="27"/>
      <c r="BF536" s="27" t="str">
        <f ca="1">IFERROR(__xludf.DUMMYFUNCTION("""COMPUTED_VALUE"""),"Heterossexual")</f>
        <v>Heterossexual</v>
      </c>
      <c r="BG536" s="27" t="str">
        <f ca="1">IFERROR(__xludf.DUMMYFUNCTION("""COMPUTED_VALUE"""),"Ensino Superior - Incompleto")</f>
        <v>Ensino Superior - Incompleto</v>
      </c>
      <c r="BH536" s="27" t="str">
        <f ca="1">IFERROR(__xludf.DUMMYFUNCTION("""COMPUTED_VALUE"""),"Público")</f>
        <v>Público</v>
      </c>
      <c r="BI536" s="27"/>
      <c r="BJ536" s="27" t="str">
        <f ca="1">IFERROR(__xludf.DUMMYFUNCTION("""COMPUTED_VALUE"""),"Privado")</f>
        <v>Privado</v>
      </c>
      <c r="BK536" s="27" t="str">
        <f ca="1">IFERROR(__xludf.DUMMYFUNCTION("""COMPUTED_VALUE"""),"Rua Mario Pernambuco")</f>
        <v>Rua Mario Pernambuco</v>
      </c>
      <c r="BL536" s="27">
        <f ca="1">IFERROR(__xludf.DUMMYFUNCTION("""COMPUTED_VALUE"""),626)</f>
        <v>626</v>
      </c>
      <c r="BM536" s="27" t="str">
        <f ca="1">IFERROR(__xludf.DUMMYFUNCTION("""COMPUTED_VALUE"""),"apt 02 bloc 02")</f>
        <v>apt 02 bloc 02</v>
      </c>
      <c r="BN536" s="27" t="str">
        <f ca="1">IFERROR(__xludf.DUMMYFUNCTION("""COMPUTED_VALUE"""),"São Paulo")</f>
        <v>São Paulo</v>
      </c>
      <c r="BO536" s="27" t="str">
        <f ca="1">IFERROR(__xludf.DUMMYFUNCTION("""COMPUTED_VALUE"""),"02314-001")</f>
        <v>02314-001</v>
      </c>
      <c r="BP536" s="27" t="str">
        <f ca="1">IFERROR(__xludf.DUMMYFUNCTION("""COMPUTED_VALUE"""),"SP")</f>
        <v>SP</v>
      </c>
      <c r="BQ536" s="27" t="str">
        <f ca="1">IFERROR(__xludf.DUMMYFUNCTION("""COMPUTED_VALUE"""),"Entre 1 até 3 salários mínimos")</f>
        <v>Entre 1 até 3 salários mínimos</v>
      </c>
      <c r="BR536" s="27" t="str">
        <f ca="1">IFERROR(__xludf.DUMMYFUNCTION("""COMPUTED_VALUE"""),"CLT")</f>
        <v>CLT</v>
      </c>
      <c r="BS536" s="27" t="str">
        <f ca="1">IFERROR(__xludf.DUMMYFUNCTION("""COMPUTED_VALUE"""),"Aluguel")</f>
        <v>Aluguel</v>
      </c>
      <c r="BT536" s="27">
        <f ca="1">IFERROR(__xludf.DUMMYFUNCTION("""COMPUTED_VALUE"""),4)</f>
        <v>4</v>
      </c>
      <c r="BU536" s="27" t="str">
        <f ca="1">IFERROR(__xludf.DUMMYFUNCTION("""COMPUTED_VALUE"""),"Não tem")</f>
        <v>Não tem</v>
      </c>
      <c r="BV536" s="27"/>
      <c r="BW536" s="27"/>
      <c r="BX536" s="21" t="str">
        <f ca="1">IFERROR(__xludf.DUMMYFUNCTION("""COMPUTED_VALUE"""),"https://www.instagram.com/prdouglas_galdino/")</f>
        <v>https://www.instagram.com/prdouglas_galdino/</v>
      </c>
      <c r="BY536" s="21" t="str">
        <f ca="1">IFERROR(__xludf.DUMMYFUNCTION("""COMPUTED_VALUE"""),"https://drive.google.com/open?id=1eFigh2xLItmVcciIouJGq0Jd_ywTEubS")</f>
        <v>https://drive.google.com/open?id=1eFigh2xLItmVcciIouJGq0Jd_ywTEubS</v>
      </c>
    </row>
    <row r="537" spans="1:77" ht="12.5" x14ac:dyDescent="0.25">
      <c r="A537" s="21" t="str">
        <f ca="1">IFERROR(__xludf.DUMMYFUNCTION("""COMPUTED_VALUE"""),"0014P00003YSp7VQAT")</f>
        <v>0014P00003YSp7VQAT</v>
      </c>
      <c r="B537" s="27" t="str">
        <f ca="1">IFERROR(__xludf.DUMMYFUNCTION("""COMPUTED_VALUE"""),"Fase Inicial")</f>
        <v>Fase Inicial</v>
      </c>
      <c r="C537" s="27" t="str">
        <f ca="1">IFERROR(__xludf.DUMMYFUNCTION("""COMPUTED_VALUE"""),"Fellow")</f>
        <v>Fellow</v>
      </c>
      <c r="D537" s="27" t="str">
        <f ca="1">IFERROR(__xludf.DUMMYFUNCTION("""COMPUTED_VALUE"""),"Ativo")</f>
        <v>Ativo</v>
      </c>
      <c r="E537" s="27" t="str">
        <f ca="1">IFERROR(__xludf.DUMMYFUNCTION("""COMPUTED_VALUE"""),"Projeto quero ajudar")</f>
        <v>Projeto quero ajudar</v>
      </c>
      <c r="F537" s="27" t="str">
        <f ca="1">IFERROR(__xludf.DUMMYFUNCTION("""COMPUTED_VALUE"""),"Antônio")</f>
        <v>Antônio</v>
      </c>
      <c r="G537" s="27"/>
      <c r="H537" s="27"/>
      <c r="I537" s="27" t="str">
        <f ca="1">IFERROR(__xludf.DUMMYFUNCTION("""COMPUTED_VALUE"""),"Antônio Carlos Oliveira de sousa")</f>
        <v>Antônio Carlos Oliveira de sousa</v>
      </c>
      <c r="J537" s="27" t="str">
        <f ca="1">IFERROR(__xludf.DUMMYFUNCTION("""COMPUTED_VALUE"""),"projetoqueroajudara@gmail.com")</f>
        <v>projetoqueroajudara@gmail.com</v>
      </c>
      <c r="K537" s="27" t="str">
        <f ca="1">IFERROR(__xludf.DUMMYFUNCTION("""COMPUTED_VALUE"""),"(85)99248-1737")</f>
        <v>(85)99248-1737</v>
      </c>
      <c r="L537" s="27" t="str">
        <f ca="1">IFERROR(__xludf.DUMMYFUNCTION("""COMPUTED_VALUE"""),"CE")</f>
        <v>CE</v>
      </c>
      <c r="M537" s="27" t="str">
        <f ca="1">IFERROR(__xludf.DUMMYFUNCTION("""COMPUTED_VALUE"""),"Rua Alves de Lima 375")</f>
        <v>Rua Alves de Lima 375</v>
      </c>
      <c r="N537" s="27" t="str">
        <f ca="1">IFERROR(__xludf.DUMMYFUNCTION("""COMPUTED_VALUE"""),"Cristo Redentor")</f>
        <v>Cristo Redentor</v>
      </c>
      <c r="O537" s="27">
        <f ca="1">IFERROR(__xludf.DUMMYFUNCTION("""COMPUTED_VALUE"""),375)</f>
        <v>375</v>
      </c>
      <c r="P537" s="27" t="str">
        <f ca="1">IFERROR(__xludf.DUMMYFUNCTION("""COMPUTED_VALUE"""),"Fortaleza")</f>
        <v>Fortaleza</v>
      </c>
      <c r="Q537" s="27"/>
      <c r="R537" s="27" t="str">
        <f ca="1">IFERROR(__xludf.DUMMYFUNCTION("""COMPUTED_VALUE"""),"60337-350")</f>
        <v>60337-350</v>
      </c>
      <c r="S537" s="27"/>
      <c r="T537" s="27" t="str">
        <f ca="1">IFERROR(__xludf.DUMMYFUNCTION("""COMPUTED_VALUE"""),"Educação; Assistência Social; Empreendedorismo; Saúde")</f>
        <v>Educação; Assistência Social; Empreendedorismo; Saúde</v>
      </c>
      <c r="U537" s="27" t="str">
        <f ca="1">IFERROR(__xludf.DUMMYFUNCTION("""COMPUTED_VALUE"""),"Crianças (6 a 12 anos); Adolescentes (12 aos 18 anos); Jovens (18 aos 24 anos); Adultos; Idosos (60 anos ou mais)")</f>
        <v>Crianças (6 a 12 anos); Adolescentes (12 aos 18 anos); Jovens (18 aos 24 anos); Adultos; Idosos (60 anos ou mais)</v>
      </c>
      <c r="V537" s="27" t="str">
        <f ca="1">IFERROR(__xludf.DUMMYFUNCTION("""COMPUTED_VALUE"""),"Moradores de Favelas")</f>
        <v>Moradores de Favelas</v>
      </c>
      <c r="W537" s="27">
        <f ca="1">IFERROR(__xludf.DUMMYFUNCTION("""COMPUTED_VALUE"""),2)</f>
        <v>2</v>
      </c>
      <c r="X537" s="27"/>
      <c r="Y537" s="27"/>
      <c r="Z537" s="27">
        <f ca="1">IFERROR(__xludf.DUMMYFUNCTION("""COMPUTED_VALUE"""),100)</f>
        <v>100</v>
      </c>
      <c r="AA537" s="30">
        <f ca="1">IFERROR(__xludf.DUMMYFUNCTION("""COMPUTED_VALUE"""),41983)</f>
        <v>41983</v>
      </c>
      <c r="AB537" s="27" t="str">
        <f ca="1">IFERROR(__xludf.DUMMYFUNCTION("""COMPUTED_VALUE"""),"Não")</f>
        <v>Não</v>
      </c>
      <c r="AC537" s="27">
        <f ca="1">IFERROR(__xludf.DUMMYFUNCTION("""COMPUTED_VALUE"""),0)</f>
        <v>0</v>
      </c>
      <c r="AD537" s="27">
        <f ca="1">IFERROR(__xludf.DUMMYFUNCTION("""COMPUTED_VALUE"""),0)</f>
        <v>0</v>
      </c>
      <c r="AE537" s="27">
        <f ca="1">IFERROR(__xludf.DUMMYFUNCTION("""COMPUTED_VALUE"""),3)</f>
        <v>3</v>
      </c>
      <c r="AF537" s="27">
        <f ca="1">IFERROR(__xludf.DUMMYFUNCTION("""COMPUTED_VALUE"""),1)</f>
        <v>1</v>
      </c>
      <c r="AG537" s="27">
        <f ca="1">IFERROR(__xludf.DUMMYFUNCTION("""COMPUTED_VALUE"""),2)</f>
        <v>2</v>
      </c>
      <c r="AH537" s="27" t="str">
        <f ca="1">IFERROR(__xludf.DUMMYFUNCTION("""COMPUTED_VALUE"""),"Doações")</f>
        <v>Doações</v>
      </c>
      <c r="AI537" s="27" t="str">
        <f ca="1">IFERROR(__xludf.DUMMYFUNCTION("""COMPUTED_VALUE"""),"Não")</f>
        <v>Não</v>
      </c>
      <c r="AJ537" s="27"/>
      <c r="AK537" s="27"/>
      <c r="AL537" s="21" t="str">
        <f ca="1">IFERROR(__xludf.DUMMYFUNCTION("""COMPUTED_VALUE"""),"0034P000045kxi6")</f>
        <v>0034P000045kxi6</v>
      </c>
      <c r="AM537" s="27" t="str">
        <f ca="1">IFERROR(__xludf.DUMMYFUNCTION("""COMPUTED_VALUE"""),"Carlos Oliveira De Sousa")</f>
        <v>Carlos Oliveira De Sousa</v>
      </c>
      <c r="AN537" s="27" t="str">
        <f ca="1">IFERROR(__xludf.DUMMYFUNCTION("""COMPUTED_VALUE"""),"Ativo")</f>
        <v>Ativo</v>
      </c>
      <c r="AO537" s="30">
        <f ca="1">IFERROR(__xludf.DUMMYFUNCTION("""COMPUTED_VALUE"""),44551)</f>
        <v>44551</v>
      </c>
      <c r="AP537" s="27">
        <f ca="1">IFERROR(__xludf.DUMMYFUNCTION("""COMPUTED_VALUE"""),9)</f>
        <v>9</v>
      </c>
      <c r="AQ537" s="27" t="str">
        <f ca="1">IFERROR(__xludf.DUMMYFUNCTION("""COMPUTED_VALUE"""),"Segundo Semestre 2021")</f>
        <v>Segundo Semestre 2021</v>
      </c>
      <c r="AR537" s="27" t="str">
        <f ca="1">IFERROR(__xludf.DUMMYFUNCTION("""COMPUTED_VALUE"""),"oliveiracarlosantonio133@gmail.com")</f>
        <v>oliveiracarlosantonio133@gmail.com</v>
      </c>
      <c r="AS537" s="27" t="str">
        <f ca="1">IFERROR(__xludf.DUMMYFUNCTION("""COMPUTED_VALUE"""),"(85)91555624")</f>
        <v>(85)91555624</v>
      </c>
      <c r="AT537" s="29">
        <f ca="1">IFERROR(__xludf.DUMMYFUNCTION("""COMPUTED_VALUE"""),29717)</f>
        <v>29717</v>
      </c>
      <c r="AU537" s="27">
        <f ca="1">IFERROR(__xludf.DUMMYFUNCTION("""COMPUTED_VALUE"""),41)</f>
        <v>41</v>
      </c>
      <c r="AV537" s="27">
        <f ca="1">IFERROR(__xludf.DUMMYFUNCTION("""COMPUTED_VALUE"""),62173332368)</f>
        <v>62173332368</v>
      </c>
      <c r="AW537" s="27">
        <f ca="1">IFERROR(__xludf.DUMMYFUNCTION("""COMPUTED_VALUE"""),96028002509)</f>
        <v>96028002509</v>
      </c>
      <c r="AX537" s="27"/>
      <c r="AY537" s="27"/>
      <c r="AZ537" s="27" t="str">
        <f ca="1">IFERROR(__xludf.DUMMYFUNCTION("""COMPUTED_VALUE"""),"M")</f>
        <v>M</v>
      </c>
      <c r="BA537" s="27" t="str">
        <f ca="1">IFERROR(__xludf.DUMMYFUNCTION("""COMPUTED_VALUE"""),"Preta")</f>
        <v>Preta</v>
      </c>
      <c r="BB537" s="27" t="str">
        <f ca="1">IFERROR(__xludf.DUMMYFUNCTION("""COMPUTED_VALUE"""),"Homem, cisgênero")</f>
        <v>Homem, cisgênero</v>
      </c>
      <c r="BC537" s="27" t="str">
        <f ca="1">IFERROR(__xludf.DUMMYFUNCTION("""COMPUTED_VALUE"""),"Não")</f>
        <v>Não</v>
      </c>
      <c r="BD537" s="27" t="str">
        <f ca="1">IFERROR(__xludf.DUMMYFUNCTION("""COMPUTED_VALUE"""),"Meu nome e Antônio Carlos casado com suziane tenho três filhos Arthur, María Laura e Adriel moro no conjunto esperança , tenho meu  projeto dês de 2014 nosso primeira ação foi nosso quero brincar hoje nosso projeto beneficia 85 famílias")</f>
        <v>Meu nome e Antônio Carlos casado com suziane tenho três filhos Arthur, María Laura e Adriel moro no conjunto esperança , tenho meu  projeto dês de 2014 nosso primeira ação foi nosso quero brincar hoje nosso projeto beneficia 85 famílias</v>
      </c>
      <c r="BE537" s="27"/>
      <c r="BF537" s="27" t="str">
        <f ca="1">IFERROR(__xludf.DUMMYFUNCTION("""COMPUTED_VALUE"""),"Heterossexual")</f>
        <v>Heterossexual</v>
      </c>
      <c r="BG537" s="27" t="str">
        <f ca="1">IFERROR(__xludf.DUMMYFUNCTION("""COMPUTED_VALUE"""),"Ensino Médio - Completo")</f>
        <v>Ensino Médio - Completo</v>
      </c>
      <c r="BH537" s="27" t="str">
        <f ca="1">IFERROR(__xludf.DUMMYFUNCTION("""COMPUTED_VALUE"""),"Pública")</f>
        <v>Pública</v>
      </c>
      <c r="BI537" s="27"/>
      <c r="BJ537" s="27"/>
      <c r="BK537" s="27" t="str">
        <f ca="1">IFERROR(__xludf.DUMMYFUNCTION("""COMPUTED_VALUE"""),"Rua 109")</f>
        <v>Rua 109</v>
      </c>
      <c r="BL537" s="27">
        <f ca="1">IFERROR(__xludf.DUMMYFUNCTION("""COMPUTED_VALUE"""),81)</f>
        <v>81</v>
      </c>
      <c r="BM537" s="27" t="str">
        <f ca="1">IFERROR(__xludf.DUMMYFUNCTION("""COMPUTED_VALUE"""),"Altos")</f>
        <v>Altos</v>
      </c>
      <c r="BN537" s="27" t="str">
        <f ca="1">IFERROR(__xludf.DUMMYFUNCTION("""COMPUTED_VALUE"""),"Fortaleza")</f>
        <v>Fortaleza</v>
      </c>
      <c r="BO537" s="27" t="str">
        <f ca="1">IFERROR(__xludf.DUMMYFUNCTION("""COMPUTED_VALUE"""),"60763-580")</f>
        <v>60763-580</v>
      </c>
      <c r="BP537" s="27" t="str">
        <f ca="1">IFERROR(__xludf.DUMMYFUNCTION("""COMPUTED_VALUE"""),"CE")</f>
        <v>CE</v>
      </c>
      <c r="BQ537" s="27" t="str">
        <f ca="1">IFERROR(__xludf.DUMMYFUNCTION("""COMPUTED_VALUE"""),"Entre 1 até 3 salários mínimos")</f>
        <v>Entre 1 até 3 salários mínimos</v>
      </c>
      <c r="BR537" s="27" t="str">
        <f ca="1">IFERROR(__xludf.DUMMYFUNCTION("""COMPUTED_VALUE"""),"CLT")</f>
        <v>CLT</v>
      </c>
      <c r="BS537" s="27" t="str">
        <f ca="1">IFERROR(__xludf.DUMMYFUNCTION("""COMPUTED_VALUE"""),"Casa própria")</f>
        <v>Casa própria</v>
      </c>
      <c r="BT537" s="27">
        <f ca="1">IFERROR(__xludf.DUMMYFUNCTION("""COMPUTED_VALUE"""),4)</f>
        <v>4</v>
      </c>
      <c r="BU537" s="27" t="str">
        <f ca="1">IFERROR(__xludf.DUMMYFUNCTION("""COMPUTED_VALUE"""),"Não tem")</f>
        <v>Não tem</v>
      </c>
      <c r="BV537" s="27"/>
      <c r="BW537" s="27"/>
      <c r="BX537" s="27" t="str">
        <f ca="1">IFERROR(__xludf.DUMMYFUNCTION("""COMPUTED_VALUE"""),"@projetoqueroajudar")</f>
        <v>@projetoqueroajudar</v>
      </c>
      <c r="BY537" s="21" t="str">
        <f ca="1">IFERROR(__xludf.DUMMYFUNCTION("""COMPUTED_VALUE"""),"https://drive.google.com/open?id=1q48-yS8uezvraaagbt8CYDO5WX6i6IjP")</f>
        <v>https://drive.google.com/open?id=1q48-yS8uezvraaagbt8CYDO5WX6i6IjP</v>
      </c>
    </row>
    <row r="538" spans="1:77" ht="12.5" x14ac:dyDescent="0.25">
      <c r="A538" s="21" t="str">
        <f ca="1">IFERROR(__xludf.DUMMYFUNCTION("""COMPUTED_VALUE"""),"0014X00002VKCv7QAH")</f>
        <v>0014X00002VKCv7QAH</v>
      </c>
      <c r="B538" s="27" t="str">
        <f ca="1">IFERROR(__xludf.DUMMYFUNCTION("""COMPUTED_VALUE"""),"Fase Inicial")</f>
        <v>Fase Inicial</v>
      </c>
      <c r="C538" s="27" t="str">
        <f ca="1">IFERROR(__xludf.DUMMYFUNCTION("""COMPUTED_VALUE"""),"Fellow")</f>
        <v>Fellow</v>
      </c>
      <c r="D538" s="27" t="str">
        <f ca="1">IFERROR(__xludf.DUMMYFUNCTION("""COMPUTED_VALUE"""),"Ativo")</f>
        <v>Ativo</v>
      </c>
      <c r="E538" s="27" t="str">
        <f ca="1">IFERROR(__xludf.DUMMYFUNCTION("""COMPUTED_VALUE"""),"Projeto Resgate uma vida")</f>
        <v>Projeto Resgate uma vida</v>
      </c>
      <c r="F538" s="27" t="str">
        <f ca="1">IFERROR(__xludf.DUMMYFUNCTION("""COMPUTED_VALUE"""),"Roseli")</f>
        <v>Roseli</v>
      </c>
      <c r="G538" s="27" t="str">
        <f ca="1">IFERROR(__xludf.DUMMYFUNCTION("""COMPUTED_VALUE"""),"RESGATE UMA VIDA")</f>
        <v>RESGATE UMA VIDA</v>
      </c>
      <c r="H538" s="27"/>
      <c r="I538" s="27" t="str">
        <f ca="1">IFERROR(__xludf.DUMMYFUNCTION("""COMPUTED_VALUE"""),"Roseli Pinheiro de lima")</f>
        <v>Roseli Pinheiro de lima</v>
      </c>
      <c r="J538" s="27" t="str">
        <f ca="1">IFERROR(__xludf.DUMMYFUNCTION("""COMPUTED_VALUE"""),"projetoresgate.v@gmail.com")</f>
        <v>projetoresgate.v@gmail.com</v>
      </c>
      <c r="K538" s="27" t="str">
        <f ca="1">IFERROR(__xludf.DUMMYFUNCTION("""COMPUTED_VALUE"""),"(11)2511-1472")</f>
        <v>(11)2511-1472</v>
      </c>
      <c r="L538" s="27" t="str">
        <f ca="1">IFERROR(__xludf.DUMMYFUNCTION("""COMPUTED_VALUE"""),"SP")</f>
        <v>SP</v>
      </c>
      <c r="M538" s="27" t="str">
        <f ca="1">IFERROR(__xludf.DUMMYFUNCTION("""COMPUTED_VALUE"""),"Rua Luis Antônio Pareira , 149")</f>
        <v>Rua Luis Antônio Pareira , 149</v>
      </c>
      <c r="N538" s="27" t="str">
        <f ca="1">IFERROR(__xludf.DUMMYFUNCTION("""COMPUTED_VALUE"""),"Vila nova Curuça")</f>
        <v>Vila nova Curuça</v>
      </c>
      <c r="O538" s="27">
        <f ca="1">IFERROR(__xludf.DUMMYFUNCTION("""COMPUTED_VALUE"""),149)</f>
        <v>149</v>
      </c>
      <c r="P538" s="27" t="str">
        <f ca="1">IFERROR(__xludf.DUMMYFUNCTION("""COMPUTED_VALUE"""),"São Paulo")</f>
        <v>São Paulo</v>
      </c>
      <c r="Q538" s="27" t="str">
        <f ca="1">IFERROR(__xludf.DUMMYFUNCTION("""COMPUTED_VALUE"""),"Sobrado")</f>
        <v>Sobrado</v>
      </c>
      <c r="R538" s="27" t="str">
        <f ca="1">IFERROR(__xludf.DUMMYFUNCTION("""COMPUTED_VALUE"""),"08031-210")</f>
        <v>08031-210</v>
      </c>
      <c r="S538" s="27"/>
      <c r="T538" s="27"/>
      <c r="U538" s="27" t="str">
        <f ca="1">IFERROR(__xludf.DUMMYFUNCTION("""COMPUTED_VALUE"""),"bebês (1 a 1ano e 6 meses), Crianças bem pequenas (1 ano e 7 meses até 3 anos e 11 meses), Crianças pequenas (4 anos a 5 anos e 11 meses), Crianças (6 a 12 anos), Adultos, Idosos (60 anos ou mais)")</f>
        <v>bebês (1 a 1ano e 6 meses), Crianças bem pequenas (1 ano e 7 meses até 3 anos e 11 meses), Crianças pequenas (4 anos a 5 anos e 11 meses), Crianças (6 a 12 anos), Adultos, Idosos (60 anos ou mais)</v>
      </c>
      <c r="V538" s="27" t="str">
        <f ca="1">IFERROR(__xludf.DUMMYFUNCTION("""COMPUTED_VALUE"""),"Moradores de Favelas, Pessoas em situação de rua, Dependentes Químicos, Comunidade rural")</f>
        <v>Moradores de Favelas, Pessoas em situação de rua, Dependentes Químicos, Comunidade rural</v>
      </c>
      <c r="W538" s="27">
        <f ca="1">IFERROR(__xludf.DUMMYFUNCTION("""COMPUTED_VALUE"""),3)</f>
        <v>3</v>
      </c>
      <c r="X538" s="27"/>
      <c r="Y538" s="27"/>
      <c r="Z538" s="27">
        <f ca="1">IFERROR(__xludf.DUMMYFUNCTION("""COMPUTED_VALUE"""),500)</f>
        <v>500</v>
      </c>
      <c r="AA538" s="29">
        <f ca="1">IFERROR(__xludf.DUMMYFUNCTION("""COMPUTED_VALUE"""),43132)</f>
        <v>43132</v>
      </c>
      <c r="AB538" s="27" t="str">
        <f ca="1">IFERROR(__xludf.DUMMYFUNCTION("""COMPUTED_VALUE"""),"Não")</f>
        <v>Não</v>
      </c>
      <c r="AC538" s="27">
        <f ca="1">IFERROR(__xludf.DUMMYFUNCTION("""COMPUTED_VALUE"""),0)</f>
        <v>0</v>
      </c>
      <c r="AD538" s="27">
        <f ca="1">IFERROR(__xludf.DUMMYFUNCTION("""COMPUTED_VALUE"""),3)</f>
        <v>3</v>
      </c>
      <c r="AE538" s="27">
        <f ca="1">IFERROR(__xludf.DUMMYFUNCTION("""COMPUTED_VALUE"""),6)</f>
        <v>6</v>
      </c>
      <c r="AF538" s="27">
        <f ca="1">IFERROR(__xludf.DUMMYFUNCTION("""COMPUTED_VALUE"""),3)</f>
        <v>3</v>
      </c>
      <c r="AG538" s="27">
        <f ca="1">IFERROR(__xludf.DUMMYFUNCTION("""COMPUTED_VALUE"""),3)</f>
        <v>3</v>
      </c>
      <c r="AH538" s="27" t="str">
        <f ca="1">IFERROR(__xludf.DUMMYFUNCTION("""COMPUTED_VALUE"""),"Eventos/Ações para captação, Plataforma doação online - Pessoa Física, Recursos próprios")</f>
        <v>Eventos/Ações para captação, Plataforma doação online - Pessoa Física, Recursos próprios</v>
      </c>
      <c r="AI538" s="27" t="str">
        <f ca="1">IFERROR(__xludf.DUMMYFUNCTION("""COMPUTED_VALUE"""),"0.25")</f>
        <v>0.25</v>
      </c>
      <c r="AJ538" s="27" t="str">
        <f ca="1">IFERROR(__xludf.DUMMYFUNCTION("""COMPUTED_VALUE"""),"Não")</f>
        <v>Não</v>
      </c>
      <c r="AK538" s="27"/>
      <c r="AL538" s="21" t="str">
        <f ca="1">IFERROR(__xludf.DUMMYFUNCTION("""COMPUTED_VALUE"""),"0034X0000380O6e")</f>
        <v>0034X0000380O6e</v>
      </c>
      <c r="AM538" s="27" t="str">
        <f ca="1">IFERROR(__xludf.DUMMYFUNCTION("""COMPUTED_VALUE"""),"Pinheiro de lima")</f>
        <v>Pinheiro de lima</v>
      </c>
      <c r="AN538" s="27" t="str">
        <f ca="1">IFERROR(__xludf.DUMMYFUNCTION("""COMPUTED_VALUE"""),"Ativo")</f>
        <v>Ativo</v>
      </c>
      <c r="AO538" s="29">
        <f ca="1">IFERROR(__xludf.DUMMYFUNCTION("""COMPUTED_VALUE"""),44763)</f>
        <v>44763</v>
      </c>
      <c r="AP538" s="27">
        <f ca="1">IFERROR(__xludf.DUMMYFUNCTION("""COMPUTED_VALUE"""),2)</f>
        <v>2</v>
      </c>
      <c r="AQ538" s="27" t="str">
        <f ca="1">IFERROR(__xludf.DUMMYFUNCTION("""COMPUTED_VALUE"""),"Primeiro Semestre 2022")</f>
        <v>Primeiro Semestre 2022</v>
      </c>
      <c r="AR538" s="27" t="str">
        <f ca="1">IFERROR(__xludf.DUMMYFUNCTION("""COMPUTED_VALUE"""),"roseli.pinheiro0421@gmail.com")</f>
        <v>roseli.pinheiro0421@gmail.com</v>
      </c>
      <c r="AS538" s="27">
        <f ca="1">IFERROR(__xludf.DUMMYFUNCTION("""COMPUTED_VALUE"""),11959373321)</f>
        <v>11959373321</v>
      </c>
      <c r="AT538" s="30">
        <f ca="1">IFERROR(__xludf.DUMMYFUNCTION("""COMPUTED_VALUE"""),23738)</f>
        <v>23738</v>
      </c>
      <c r="AU538" s="27">
        <f ca="1">IFERROR(__xludf.DUMMYFUNCTION("""COMPUTED_VALUE"""),58)</f>
        <v>58</v>
      </c>
      <c r="AV538" s="27">
        <f ca="1">IFERROR(__xludf.DUMMYFUNCTION("""COMPUTED_VALUE"""),11096318806)</f>
        <v>11096318806</v>
      </c>
      <c r="AW538" s="27">
        <f ca="1">IFERROR(__xludf.DUMMYFUNCTION("""COMPUTED_VALUE"""),139803543)</f>
        <v>139803543</v>
      </c>
      <c r="AX538" s="27"/>
      <c r="AY538" s="27"/>
      <c r="AZ538" s="27" t="str">
        <f ca="1">IFERROR(__xludf.DUMMYFUNCTION("""COMPUTED_VALUE"""),"GG")</f>
        <v>GG</v>
      </c>
      <c r="BA538" s="27" t="str">
        <f ca="1">IFERROR(__xludf.DUMMYFUNCTION("""COMPUTED_VALUE"""),"Branca")</f>
        <v>Branca</v>
      </c>
      <c r="BB538" s="27"/>
      <c r="BC538" s="27"/>
      <c r="BD538" s="27" t="str">
        <f ca="1">IFERROR(__xludf.DUMMYFUNCTION("""COMPUTED_VALUE"""),"Sou extrovertida* dedicada às ações sociais que faço")</f>
        <v>Sou extrovertida* dedicada às ações sociais que faço</v>
      </c>
      <c r="BE538" s="27" t="str">
        <f ca="1">IFERROR(__xludf.DUMMYFUNCTION("""COMPUTED_VALUE"""),"Feminino")</f>
        <v>Feminino</v>
      </c>
      <c r="BF538" s="27" t="str">
        <f ca="1">IFERROR(__xludf.DUMMYFUNCTION("""COMPUTED_VALUE"""),"Heterossexual")</f>
        <v>Heterossexual</v>
      </c>
      <c r="BG538" s="27"/>
      <c r="BH538" s="27" t="str">
        <f ca="1">IFERROR(__xludf.DUMMYFUNCTION("""COMPUTED_VALUE"""),"Público")</f>
        <v>Público</v>
      </c>
      <c r="BI538" s="27"/>
      <c r="BJ538" s="27"/>
      <c r="BK538" s="27" t="str">
        <f ca="1">IFERROR(__xludf.DUMMYFUNCTION("""COMPUTED_VALUE"""),"Rua Luís Antônio Pereira")</f>
        <v>Rua Luís Antônio Pereira</v>
      </c>
      <c r="BL538" s="27">
        <f ca="1">IFERROR(__xludf.DUMMYFUNCTION("""COMPUTED_VALUE"""),149)</f>
        <v>149</v>
      </c>
      <c r="BM538" s="27"/>
      <c r="BN538" s="27"/>
      <c r="BO538" s="27">
        <f ca="1">IFERROR(__xludf.DUMMYFUNCTION("""COMPUTED_VALUE"""),8031210)</f>
        <v>8031210</v>
      </c>
      <c r="BP538" s="27" t="str">
        <f ca="1">IFERROR(__xludf.DUMMYFUNCTION("""COMPUTED_VALUE"""),"SP")</f>
        <v>SP</v>
      </c>
      <c r="BQ538" s="27" t="str">
        <f ca="1">IFERROR(__xludf.DUMMYFUNCTION("""COMPUTED_VALUE"""),"Entre 1 até 3 salários mínimos")</f>
        <v>Entre 1 até 3 salários mínimos</v>
      </c>
      <c r="BR538" s="27" t="str">
        <f ca="1">IFERROR(__xludf.DUMMYFUNCTION("""COMPUTED_VALUE"""),"Desempregado")</f>
        <v>Desempregado</v>
      </c>
      <c r="BS538" s="27" t="str">
        <f ca="1">IFERROR(__xludf.DUMMYFUNCTION("""COMPUTED_VALUE"""),"Aluguel")</f>
        <v>Aluguel</v>
      </c>
      <c r="BT538" s="27">
        <f ca="1">IFERROR(__xludf.DUMMYFUNCTION("""COMPUTED_VALUE"""),2)</f>
        <v>2</v>
      </c>
      <c r="BU538" s="27" t="str">
        <f ca="1">IFERROR(__xludf.DUMMYFUNCTION("""COMPUTED_VALUE"""),"Ansiedade")</f>
        <v>Ansiedade</v>
      </c>
      <c r="BV538" s="27" t="str">
        <f ca="1">IFERROR(__xludf.DUMMYFUNCTION("""COMPUTED_VALUE"""),"Sim")</f>
        <v>Sim</v>
      </c>
      <c r="BW538" s="27"/>
      <c r="BX538" s="27" t="str">
        <f ca="1">IFERROR(__xludf.DUMMYFUNCTION("""COMPUTED_VALUE"""),"rosel.pinheiro")</f>
        <v>rosel.pinheiro</v>
      </c>
      <c r="BY538" s="21" t="str">
        <f ca="1">IFERROR(__xludf.DUMMYFUNCTION("""COMPUTED_VALUE"""),"https://drive.google.com/open?id=1tbkTpU_ZLQO61kdGA9EGBAUC9Yts0Sb-")</f>
        <v>https://drive.google.com/open?id=1tbkTpU_ZLQO61kdGA9EGBAUC9Yts0Sb-</v>
      </c>
    </row>
    <row r="539" spans="1:77" ht="12.5" x14ac:dyDescent="0.25">
      <c r="A539" s="21" t="str">
        <f ca="1">IFERROR(__xludf.DUMMYFUNCTION("""COMPUTED_VALUE"""),"0014X00002VKCuYQAX")</f>
        <v>0014X00002VKCuYQAX</v>
      </c>
      <c r="B539" s="27" t="str">
        <f ca="1">IFERROR(__xludf.DUMMYFUNCTION("""COMPUTED_VALUE"""),"Fase Inicial")</f>
        <v>Fase Inicial</v>
      </c>
      <c r="C539" s="27" t="str">
        <f ca="1">IFERROR(__xludf.DUMMYFUNCTION("""COMPUTED_VALUE"""),"Fellow")</f>
        <v>Fellow</v>
      </c>
      <c r="D539" s="27" t="str">
        <f ca="1">IFERROR(__xludf.DUMMYFUNCTION("""COMPUTED_VALUE"""),"Ativo")</f>
        <v>Ativo</v>
      </c>
      <c r="E539" s="27" t="str">
        <f ca="1">IFERROR(__xludf.DUMMYFUNCTION("""COMPUTED_VALUE"""),"projeto saude nos bairros")</f>
        <v>projeto saude nos bairros</v>
      </c>
      <c r="F539" s="27" t="str">
        <f ca="1">IFERROR(__xludf.DUMMYFUNCTION("""COMPUTED_VALUE"""),"Charles")</f>
        <v>Charles</v>
      </c>
      <c r="G539" s="27" t="str">
        <f ca="1">IFERROR(__xludf.DUMMYFUNCTION("""COMPUTED_VALUE"""),"SAÚDE NOS BAIRROS")</f>
        <v>SAÚDE NOS BAIRROS</v>
      </c>
      <c r="H539" s="27" t="str">
        <f ca="1">IFERROR(__xludf.DUMMYFUNCTION("""COMPUTED_VALUE"""),"45.445.119/0001-06")</f>
        <v>45.445.119/0001-06</v>
      </c>
      <c r="I539" s="27" t="str">
        <f ca="1">IFERROR(__xludf.DUMMYFUNCTION("""COMPUTED_VALUE"""),"José Ribamar Gomes da Silvia")</f>
        <v>José Ribamar Gomes da Silvia</v>
      </c>
      <c r="J539" s="27" t="str">
        <f ca="1">IFERROR(__xludf.DUMMYFUNCTION("""COMPUTED_VALUE"""),"saudenosbairros2021@gmail.com")</f>
        <v>saudenosbairros2021@gmail.com</v>
      </c>
      <c r="K539" s="27" t="str">
        <f ca="1">IFERROR(__xludf.DUMMYFUNCTION("""COMPUTED_VALUE"""),"(11)94153-6543")</f>
        <v>(11)94153-6543</v>
      </c>
      <c r="L539" s="27" t="str">
        <f ca="1">IFERROR(__xludf.DUMMYFUNCTION("""COMPUTED_VALUE"""),"SP")</f>
        <v>SP</v>
      </c>
      <c r="M539" s="27" t="str">
        <f ca="1">IFERROR(__xludf.DUMMYFUNCTION("""COMPUTED_VALUE"""),"Rua dos pinheiros")</f>
        <v>Rua dos pinheiros</v>
      </c>
      <c r="N539" s="27" t="str">
        <f ca="1">IFERROR(__xludf.DUMMYFUNCTION("""COMPUTED_VALUE"""),"Itaim paulista")</f>
        <v>Itaim paulista</v>
      </c>
      <c r="O539" s="27">
        <f ca="1">IFERROR(__xludf.DUMMYFUNCTION("""COMPUTED_VALUE"""),27)</f>
        <v>27</v>
      </c>
      <c r="P539" s="27" t="str">
        <f ca="1">IFERROR(__xludf.DUMMYFUNCTION("""COMPUTED_VALUE"""),"São Paulo")</f>
        <v>São Paulo</v>
      </c>
      <c r="Q539" s="27"/>
      <c r="R539" s="27" t="str">
        <f ca="1">IFERROR(__xludf.DUMMYFUNCTION("""COMPUTED_VALUE"""),"08142-640")</f>
        <v>08142-640</v>
      </c>
      <c r="S539" s="27" t="str">
        <f ca="1">IFERROR(__xludf.DUMMYFUNCTION("""COMPUTED_VALUE"""),"Polo atendimento médico Ferraz")</f>
        <v>Polo atendimento médico Ferraz</v>
      </c>
      <c r="T539" s="27"/>
      <c r="U539"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539" s="27" t="str">
        <f ca="1">IFERROR(__xludf.DUMMYFUNCTION("""COMPUTED_VALUE"""),"Moradores de Favelas, Pessoas em situação de rua, População LGBTQ+")</f>
        <v>Moradores de Favelas, Pessoas em situação de rua, População LGBTQ+</v>
      </c>
      <c r="W539" s="27">
        <f ca="1">IFERROR(__xludf.DUMMYFUNCTION("""COMPUTED_VALUE"""),10)</f>
        <v>10</v>
      </c>
      <c r="X539" s="27" t="str">
        <f ca="1">IFERROR(__xludf.DUMMYFUNCTION("""COMPUTED_VALUE"""),"Pessoal alta vulnerabilidades portador de HIV e profissional do sexo")</f>
        <v>Pessoal alta vulnerabilidades portador de HIV e profissional do sexo</v>
      </c>
      <c r="Y539" s="27"/>
      <c r="Z539" s="27">
        <f ca="1">IFERROR(__xludf.DUMMYFUNCTION("""COMPUTED_VALUE"""),1000)</f>
        <v>1000</v>
      </c>
      <c r="AA539" s="29">
        <f ca="1">IFERROR(__xludf.DUMMYFUNCTION("""COMPUTED_VALUE"""),44593)</f>
        <v>44593</v>
      </c>
      <c r="AB539" s="27" t="str">
        <f ca="1">IFERROR(__xludf.DUMMYFUNCTION("""COMPUTED_VALUE"""),"Não")</f>
        <v>Não</v>
      </c>
      <c r="AC539" s="27">
        <f ca="1">IFERROR(__xludf.DUMMYFUNCTION("""COMPUTED_VALUE"""),0)</f>
        <v>0</v>
      </c>
      <c r="AD539" s="27">
        <f ca="1">IFERROR(__xludf.DUMMYFUNCTION("""COMPUTED_VALUE"""),5)</f>
        <v>5</v>
      </c>
      <c r="AE539" s="27">
        <f ca="1">IFERROR(__xludf.DUMMYFUNCTION("""COMPUTED_VALUE"""),10)</f>
        <v>10</v>
      </c>
      <c r="AF539" s="27">
        <f ca="1">IFERROR(__xludf.DUMMYFUNCTION("""COMPUTED_VALUE"""),5)</f>
        <v>5</v>
      </c>
      <c r="AG539" s="27">
        <f ca="1">IFERROR(__xludf.DUMMYFUNCTION("""COMPUTED_VALUE"""),4)</f>
        <v>4</v>
      </c>
      <c r="AH539" s="27" t="str">
        <f ca="1">IFERROR(__xludf.DUMMYFUNCTION("""COMPUTED_VALUE"""),"Negócio Social, Eventos/Ações para captação, Doações, Recursos próprios")</f>
        <v>Negócio Social, Eventos/Ações para captação, Doações, Recursos próprios</v>
      </c>
      <c r="AI539" s="27">
        <f ca="1">IFERROR(__xludf.DUMMYFUNCTION("""COMPUTED_VALUE"""),0)</f>
        <v>0</v>
      </c>
      <c r="AJ539" s="27" t="str">
        <f ca="1">IFERROR(__xludf.DUMMYFUNCTION("""COMPUTED_VALUE"""),"Não")</f>
        <v>Não</v>
      </c>
      <c r="AK539" s="27"/>
      <c r="AL539" s="21" t="str">
        <f ca="1">IFERROR(__xludf.DUMMYFUNCTION("""COMPUTED_VALUE"""),"0034X0000380O5M")</f>
        <v>0034X0000380O5M</v>
      </c>
      <c r="AM539" s="27" t="str">
        <f ca="1">IFERROR(__xludf.DUMMYFUNCTION("""COMPUTED_VALUE"""),"Bispo do nascimento")</f>
        <v>Bispo do nascimento</v>
      </c>
      <c r="AN539" s="27" t="str">
        <f ca="1">IFERROR(__xludf.DUMMYFUNCTION("""COMPUTED_VALUE"""),"Ativo")</f>
        <v>Ativo</v>
      </c>
      <c r="AO539" s="27"/>
      <c r="AP539" s="27"/>
      <c r="AQ539" s="27" t="str">
        <f ca="1">IFERROR(__xludf.DUMMYFUNCTION("""COMPUTED_VALUE"""),"Primeiro Semestre 2022")</f>
        <v>Primeiro Semestre 2022</v>
      </c>
      <c r="AR539" s="27" t="str">
        <f ca="1">IFERROR(__xludf.DUMMYFUNCTION("""COMPUTED_VALUE"""),"charlesbispo1@hotmail.com")</f>
        <v>charlesbispo1@hotmail.com</v>
      </c>
      <c r="AS539" s="27" t="str">
        <f ca="1">IFERROR(__xludf.DUMMYFUNCTION("""COMPUTED_VALUE"""),"(11)98289-7783")</f>
        <v>(11)98289-7783</v>
      </c>
      <c r="AT539" s="29">
        <f ca="1">IFERROR(__xludf.DUMMYFUNCTION("""COMPUTED_VALUE"""),30467)</f>
        <v>30467</v>
      </c>
      <c r="AU539" s="27">
        <f ca="1">IFERROR(__xludf.DUMMYFUNCTION("""COMPUTED_VALUE"""),39)</f>
        <v>39</v>
      </c>
      <c r="AV539" s="27">
        <f ca="1">IFERROR(__xludf.DUMMYFUNCTION("""COMPUTED_VALUE"""),32684741875)</f>
        <v>32684741875</v>
      </c>
      <c r="AW539" s="27">
        <f ca="1">IFERROR(__xludf.DUMMYFUNCTION("""COMPUTED_VALUE"""),293476044)</f>
        <v>293476044</v>
      </c>
      <c r="AX539" s="27"/>
      <c r="AY539" s="27" t="str">
        <f ca="1">IFERROR(__xludf.DUMMYFUNCTION("""COMPUTED_VALUE"""),"Vice presente / coordenador de enfermagem")</f>
        <v>Vice presente / coordenador de enfermagem</v>
      </c>
      <c r="AZ539" s="27" t="str">
        <f ca="1">IFERROR(__xludf.DUMMYFUNCTION("""COMPUTED_VALUE"""),"G")</f>
        <v>G</v>
      </c>
      <c r="BA539" s="27" t="str">
        <f ca="1">IFERROR(__xludf.DUMMYFUNCTION("""COMPUTED_VALUE"""),"Branca")</f>
        <v>Branca</v>
      </c>
      <c r="BB539" s="27"/>
      <c r="BC539" s="27"/>
      <c r="BD539" s="27" t="str">
        <f ca="1">IFERROR(__xludf.DUMMYFUNCTION("""COMPUTED_VALUE"""),"Me Chamo charles sou pai do Vítor atualmente sou um líder social , formando em enfermagem, sempre vi a necessidade das pessoas em buscar de uma saúde humanizada sem discriminação, hoje atuo como voluntário em média 2000 mil famílias na área da saúde e aco"&amp;"lhimento , adoro viajar e praticar esporte")</f>
        <v>Me Chamo charles sou pai do Vítor atualmente sou um líder social , formando em enfermagem, sempre vi a necessidade das pessoas em buscar de uma saúde humanizada sem discriminação, hoje atuo como voluntário em média 2000 mil famílias na área da saúde e acolhimento , adoro viajar e praticar esporte</v>
      </c>
      <c r="BE539" s="27" t="str">
        <f ca="1">IFERROR(__xludf.DUMMYFUNCTION("""COMPUTED_VALUE"""),"Homem, cisgênero")</f>
        <v>Homem, cisgênero</v>
      </c>
      <c r="BF539" s="27" t="str">
        <f ca="1">IFERROR(__xludf.DUMMYFUNCTION("""COMPUTED_VALUE"""),"Bissexual")</f>
        <v>Bissexual</v>
      </c>
      <c r="BG539" s="27" t="str">
        <f ca="1">IFERROR(__xludf.DUMMYFUNCTION("""COMPUTED_VALUE"""),"Ensino Superior - Completo")</f>
        <v>Ensino Superior - Completo</v>
      </c>
      <c r="BH539" s="27" t="str">
        <f ca="1">IFERROR(__xludf.DUMMYFUNCTION("""COMPUTED_VALUE"""),"Público")</f>
        <v>Público</v>
      </c>
      <c r="BI539" s="27" t="str">
        <f ca="1">IFERROR(__xludf.DUMMYFUNCTION("""COMPUTED_VALUE"""),"Graduação")</f>
        <v>Graduação</v>
      </c>
      <c r="BJ539" s="27" t="str">
        <f ca="1">IFERROR(__xludf.DUMMYFUNCTION("""COMPUTED_VALUE"""),"Privado")</f>
        <v>Privado</v>
      </c>
      <c r="BK539" s="27" t="str">
        <f ca="1">IFERROR(__xludf.DUMMYFUNCTION("""COMPUTED_VALUE"""),"Rua Manoel Rodrigues Santiago")</f>
        <v>Rua Manoel Rodrigues Santiago</v>
      </c>
      <c r="BL539" s="27">
        <f ca="1">IFERROR(__xludf.DUMMYFUNCTION("""COMPUTED_VALUE"""),510)</f>
        <v>510</v>
      </c>
      <c r="BM539" s="27" t="str">
        <f ca="1">IFERROR(__xludf.DUMMYFUNCTION("""COMPUTED_VALUE"""),"Apt 31c")</f>
        <v>Apt 31c</v>
      </c>
      <c r="BN539" s="27" t="str">
        <f ca="1">IFERROR(__xludf.DUMMYFUNCTION("""COMPUTED_VALUE"""),"São Paulo")</f>
        <v>São Paulo</v>
      </c>
      <c r="BO539" s="27" t="str">
        <f ca="1">IFERROR(__xludf.DUMMYFUNCTION("""COMPUTED_VALUE"""),"08142-235")</f>
        <v>08142-235</v>
      </c>
      <c r="BP539" s="27" t="str">
        <f ca="1">IFERROR(__xludf.DUMMYFUNCTION("""COMPUTED_VALUE"""),"SP")</f>
        <v>SP</v>
      </c>
      <c r="BQ539" s="27" t="str">
        <f ca="1">IFERROR(__xludf.DUMMYFUNCTION("""COMPUTED_VALUE"""),"Entre 1 até 3 salários mínimos")</f>
        <v>Entre 1 até 3 salários mínimos</v>
      </c>
      <c r="BR539" s="27" t="str">
        <f ca="1">IFERROR(__xludf.DUMMYFUNCTION("""COMPUTED_VALUE"""),"Trabalho informal")</f>
        <v>Trabalho informal</v>
      </c>
      <c r="BS539" s="27" t="str">
        <f ca="1">IFERROR(__xludf.DUMMYFUNCTION("""COMPUTED_VALUE"""),"Casa própria")</f>
        <v>Casa própria</v>
      </c>
      <c r="BT539" s="27">
        <f ca="1">IFERROR(__xludf.DUMMYFUNCTION("""COMPUTED_VALUE"""),4)</f>
        <v>4</v>
      </c>
      <c r="BU539" s="27" t="str">
        <f ca="1">IFERROR(__xludf.DUMMYFUNCTION("""COMPUTED_VALUE"""),"Outros")</f>
        <v>Outros</v>
      </c>
      <c r="BV539" s="27" t="str">
        <f ca="1">IFERROR(__xludf.DUMMYFUNCTION("""COMPUTED_VALUE"""),"Não")</f>
        <v>Não</v>
      </c>
      <c r="BW539" s="27"/>
      <c r="BX539" s="21" t="str">
        <f ca="1">IFERROR(__xludf.DUMMYFUNCTION("""COMPUTED_VALUE"""),"https://instagram.com/instituto_saude_nos_bairros_?igshid=YmMyMTA2M2Y=")</f>
        <v>https://instagram.com/instituto_saude_nos_bairros_?igshid=YmMyMTA2M2Y=</v>
      </c>
      <c r="BY539" s="21" t="str">
        <f ca="1">IFERROR(__xludf.DUMMYFUNCTION("""COMPUTED_VALUE"""),"https://drive.google.com/open?id=1u-I8OnQXW6BalOyc67YpoV6NrG5fDXQ_")</f>
        <v>https://drive.google.com/open?id=1u-I8OnQXW6BalOyc67YpoV6NrG5fDXQ_</v>
      </c>
    </row>
    <row r="540" spans="1:77" ht="12.5" x14ac:dyDescent="0.25">
      <c r="A540" s="21" t="str">
        <f ca="1">IFERROR(__xludf.DUMMYFUNCTION("""COMPUTED_VALUE"""),"0014P00003SGWPMQA5")</f>
        <v>0014P00003SGWPMQA5</v>
      </c>
      <c r="B540" s="27" t="str">
        <f ca="1">IFERROR(__xludf.DUMMYFUNCTION("""COMPUTED_VALUE"""),"Fase Inicial")</f>
        <v>Fase Inicial</v>
      </c>
      <c r="C540" s="27" t="str">
        <f ca="1">IFERROR(__xludf.DUMMYFUNCTION("""COMPUTED_VALUE"""),"Fellow")</f>
        <v>Fellow</v>
      </c>
      <c r="D540" s="27" t="str">
        <f ca="1">IFERROR(__xludf.DUMMYFUNCTION("""COMPUTED_VALUE"""),"Ativo")</f>
        <v>Ativo</v>
      </c>
      <c r="E540" s="27" t="str">
        <f ca="1">IFERROR(__xludf.DUMMYFUNCTION("""COMPUTED_VALUE"""),"PROJETO SEMEAR")</f>
        <v>PROJETO SEMEAR</v>
      </c>
      <c r="F540" s="27" t="str">
        <f ca="1">IFERROR(__xludf.DUMMYFUNCTION("""COMPUTED_VALUE"""),"André")</f>
        <v>André</v>
      </c>
      <c r="G540" s="27" t="str">
        <f ca="1">IFERROR(__xludf.DUMMYFUNCTION("""COMPUTED_VALUE"""),"SEMEAR")</f>
        <v>SEMEAR</v>
      </c>
      <c r="H540" s="27" t="str">
        <f ca="1">IFERROR(__xludf.DUMMYFUNCTION("""COMPUTED_VALUE"""),"39.629.971/0001-30")</f>
        <v>39.629.971/0001-30</v>
      </c>
      <c r="I540" s="27" t="str">
        <f ca="1">IFERROR(__xludf.DUMMYFUNCTION("""COMPUTED_VALUE"""),"André Luiz De Macedo Silva")</f>
        <v>André Luiz De Macedo Silva</v>
      </c>
      <c r="J540" s="27" t="str">
        <f ca="1">IFERROR(__xludf.DUMMYFUNCTION("""COMPUTED_VALUE"""),"projetosemearbh2018@gmail.com")</f>
        <v>projetosemearbh2018@gmail.com</v>
      </c>
      <c r="K540" s="27" t="str">
        <f ca="1">IFERROR(__xludf.DUMMYFUNCTION("""COMPUTED_VALUE"""),"(31)98769-0898")</f>
        <v>(31)98769-0898</v>
      </c>
      <c r="L540" s="27" t="str">
        <f ca="1">IFERROR(__xludf.DUMMYFUNCTION("""COMPUTED_VALUE"""),"MG")</f>
        <v>MG</v>
      </c>
      <c r="M540" s="27" t="str">
        <f ca="1">IFERROR(__xludf.DUMMYFUNCTION("""COMPUTED_VALUE"""),"Rua Reis de Abreu")</f>
        <v>Rua Reis de Abreu</v>
      </c>
      <c r="N540" s="27" t="str">
        <f ca="1">IFERROR(__xludf.DUMMYFUNCTION("""COMPUTED_VALUE"""),"Vila Sumaré")</f>
        <v>Vila Sumaré</v>
      </c>
      <c r="O540" s="27" t="str">
        <f ca="1">IFERROR(__xludf.DUMMYFUNCTION("""COMPUTED_VALUE"""),"(31)98769-0898")</f>
        <v>(31)98769-0898</v>
      </c>
      <c r="P540" s="27" t="str">
        <f ca="1">IFERROR(__xludf.DUMMYFUNCTION("""COMPUTED_VALUE"""),"Belo Horizonte")</f>
        <v>Belo Horizonte</v>
      </c>
      <c r="Q540" s="27" t="str">
        <f ca="1">IFERROR(__xludf.DUMMYFUNCTION("""COMPUTED_VALUE"""),"Dubeux Leão")</f>
        <v>Dubeux Leão</v>
      </c>
      <c r="R540" s="27" t="str">
        <f ca="1">IFERROR(__xludf.DUMMYFUNCTION("""COMPUTED_VALUE"""),"31250-080")</f>
        <v>31250-080</v>
      </c>
      <c r="S540" s="27" t="str">
        <f ca="1">IFERROR(__xludf.DUMMYFUNCTION("""COMPUTED_VALUE"""),"Rua Reis de Abreu 79 Aparecida Vila Sumaré Belo Horizonte - MG 31250-080")</f>
        <v>Rua Reis de Abreu 79 Aparecida Vila Sumaré Belo Horizonte - MG 31250-080</v>
      </c>
      <c r="T540" s="27" t="str">
        <f ca="1">IFERROR(__xludf.DUMMYFUNCTION("""COMPUTED_VALUE"""),"Esporte; Educação; Empregabilidade")</f>
        <v>Esporte; Educação; Empregabilidade</v>
      </c>
      <c r="U540"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540" s="27" t="str">
        <f ca="1">IFERROR(__xludf.DUMMYFUNCTION("""COMPUTED_VALUE"""),"Moradores de Favelas")</f>
        <v>Moradores de Favelas</v>
      </c>
      <c r="W540" s="27">
        <f ca="1">IFERROR(__xludf.DUMMYFUNCTION("""COMPUTED_VALUE"""),1)</f>
        <v>1</v>
      </c>
      <c r="X540" s="27"/>
      <c r="Y540" s="27">
        <f ca="1">IFERROR(__xludf.DUMMYFUNCTION("""COMPUTED_VALUE"""),150)</f>
        <v>150</v>
      </c>
      <c r="Z540" s="27">
        <f ca="1">IFERROR(__xludf.DUMMYFUNCTION("""COMPUTED_VALUE"""),2200)</f>
        <v>2200</v>
      </c>
      <c r="AA540" s="30">
        <f ca="1">IFERROR(__xludf.DUMMYFUNCTION("""COMPUTED_VALUE"""),43419)</f>
        <v>43419</v>
      </c>
      <c r="AB540" s="27" t="str">
        <f ca="1">IFERROR(__xludf.DUMMYFUNCTION("""COMPUTED_VALUE"""),"Não")</f>
        <v>Não</v>
      </c>
      <c r="AC540" s="27">
        <f ca="1">IFERROR(__xludf.DUMMYFUNCTION("""COMPUTED_VALUE"""),0)</f>
        <v>0</v>
      </c>
      <c r="AD540" s="27">
        <f ca="1">IFERROR(__xludf.DUMMYFUNCTION("""COMPUTED_VALUE"""),0)</f>
        <v>0</v>
      </c>
      <c r="AE540" s="27">
        <f ca="1">IFERROR(__xludf.DUMMYFUNCTION("""COMPUTED_VALUE"""),4)</f>
        <v>4</v>
      </c>
      <c r="AF540" s="27">
        <f ca="1">IFERROR(__xludf.DUMMYFUNCTION("""COMPUTED_VALUE"""),4)</f>
        <v>4</v>
      </c>
      <c r="AG540" s="27">
        <f ca="1">IFERROR(__xludf.DUMMYFUNCTION("""COMPUTED_VALUE"""),4)</f>
        <v>4</v>
      </c>
      <c r="AH540" s="27" t="str">
        <f ca="1">IFERROR(__xludf.DUMMYFUNCTION("""COMPUTED_VALUE"""),"Doações")</f>
        <v>Doações</v>
      </c>
      <c r="AI540" s="27">
        <f ca="1">IFERROR(__xludf.DUMMYFUNCTION("""COMPUTED_VALUE"""),0)</f>
        <v>0</v>
      </c>
      <c r="AJ540" s="27" t="str">
        <f ca="1">IFERROR(__xludf.DUMMYFUNCTION("""COMPUTED_VALUE"""),"Não")</f>
        <v>Não</v>
      </c>
      <c r="AK540" s="27" t="str">
        <f ca="1">IFERROR(__xludf.DUMMYFUNCTION("""COMPUTED_VALUE"""),"Não")</f>
        <v>Não</v>
      </c>
      <c r="AL540" s="21" t="str">
        <f ca="1">IFERROR(__xludf.DUMMYFUNCTION("""COMPUTED_VALUE"""),"0034P000043fOnU")</f>
        <v>0034P000043fOnU</v>
      </c>
      <c r="AM540" s="27" t="str">
        <f ca="1">IFERROR(__xludf.DUMMYFUNCTION("""COMPUTED_VALUE"""),"Luiz De Macedo Silva")</f>
        <v>Luiz De Macedo Silva</v>
      </c>
      <c r="AN540" s="27" t="str">
        <f ca="1">IFERROR(__xludf.DUMMYFUNCTION("""COMPUTED_VALUE"""),"Ativo")</f>
        <v>Ativo</v>
      </c>
      <c r="AO540" s="29">
        <f ca="1">IFERROR(__xludf.DUMMYFUNCTION("""COMPUTED_VALUE"""),44432)</f>
        <v>44432</v>
      </c>
      <c r="AP540" s="27">
        <f ca="1">IFERROR(__xludf.DUMMYFUNCTION("""COMPUTED_VALUE"""),13)</f>
        <v>13</v>
      </c>
      <c r="AQ540" s="27" t="str">
        <f ca="1">IFERROR(__xludf.DUMMYFUNCTION("""COMPUTED_VALUE"""),"Primeiro Semestre 2021")</f>
        <v>Primeiro Semestre 2021</v>
      </c>
      <c r="AR540" s="27" t="str">
        <f ca="1">IFERROR(__xludf.DUMMYFUNCTION("""COMPUTED_VALUE"""),"pastorandre2009@hotmail.com")</f>
        <v>pastorandre2009@hotmail.com</v>
      </c>
      <c r="AS540" s="27" t="str">
        <f ca="1">IFERROR(__xludf.DUMMYFUNCTION("""COMPUTED_VALUE"""),"(31)98769-0898")</f>
        <v>(31)98769-0898</v>
      </c>
      <c r="AT540" s="29">
        <f ca="1">IFERROR(__xludf.DUMMYFUNCTION("""COMPUTED_VALUE"""),27178)</f>
        <v>27178</v>
      </c>
      <c r="AU540" s="27">
        <f ca="1">IFERROR(__xludf.DUMMYFUNCTION("""COMPUTED_VALUE"""),48)</f>
        <v>48</v>
      </c>
      <c r="AV540" s="27">
        <f ca="1">IFERROR(__xludf.DUMMYFUNCTION("""COMPUTED_VALUE"""),3055790618)</f>
        <v>3055790618</v>
      </c>
      <c r="AW540" s="27">
        <f ca="1">IFERROR(__xludf.DUMMYFUNCTION("""COMPUTED_VALUE"""),7051290)</f>
        <v>7051290</v>
      </c>
      <c r="AX540" s="27"/>
      <c r="AY540" s="27"/>
      <c r="AZ540" s="27" t="str">
        <f ca="1">IFERROR(__xludf.DUMMYFUNCTION("""COMPUTED_VALUE"""),"G")</f>
        <v>G</v>
      </c>
      <c r="BA540" s="27" t="str">
        <f ca="1">IFERROR(__xludf.DUMMYFUNCTION("""COMPUTED_VALUE"""),"Parda")</f>
        <v>Parda</v>
      </c>
      <c r="BB540" s="27"/>
      <c r="BC540" s="27" t="str">
        <f ca="1">IFERROR(__xludf.DUMMYFUNCTION("""COMPUTED_VALUE"""),"Sim")</f>
        <v>Sim</v>
      </c>
      <c r="BD540" s="27" t="str">
        <f ca="1">IFERROR(__xludf.DUMMYFUNCTION("""COMPUTED_VALUE"""),"O Projeto Semear nasceu em 2017 e é presidido por André Luiz de Macedo Silva. Nós temos como objetivo ajudar as famílias da Vila Sumaré a não passarem necessidade básica e trazer um futuro melhor para as crianças através de cursos e parcerias firmadas com"&amp;" empresas da nossa cidade.")</f>
        <v>O Projeto Semear nasceu em 2017 e é presidido por André Luiz de Macedo Silva. Nós temos como objetivo ajudar as famílias da Vila Sumaré a não passarem necessidade básica e trazer um futuro melhor para as crianças através de cursos e parcerias firmadas com empresas da nossa cidade.</v>
      </c>
      <c r="BE540" s="27" t="str">
        <f ca="1">IFERROR(__xludf.DUMMYFUNCTION("""COMPUTED_VALUE"""),"Masculino")</f>
        <v>Masculino</v>
      </c>
      <c r="BF540" s="27" t="str">
        <f ca="1">IFERROR(__xludf.DUMMYFUNCTION("""COMPUTED_VALUE"""),"Heterossexual")</f>
        <v>Heterossexual</v>
      </c>
      <c r="BG540" s="27" t="str">
        <f ca="1">IFERROR(__xludf.DUMMYFUNCTION("""COMPUTED_VALUE"""),"Ensino Médio - Incompleto")</f>
        <v>Ensino Médio - Incompleto</v>
      </c>
      <c r="BH540" s="27"/>
      <c r="BI540" s="27"/>
      <c r="BJ540" s="27"/>
      <c r="BK540" s="27" t="str">
        <f ca="1">IFERROR(__xludf.DUMMYFUNCTION("""COMPUTED_VALUE"""),"Rua Reis de Abreu")</f>
        <v>Rua Reis de Abreu</v>
      </c>
      <c r="BL540" s="27">
        <f ca="1">IFERROR(__xludf.DUMMYFUNCTION("""COMPUTED_VALUE"""),79)</f>
        <v>79</v>
      </c>
      <c r="BM540" s="27" t="str">
        <f ca="1">IFERROR(__xludf.DUMMYFUNCTION("""COMPUTED_VALUE"""),"Casa")</f>
        <v>Casa</v>
      </c>
      <c r="BN540" s="27" t="str">
        <f ca="1">IFERROR(__xludf.DUMMYFUNCTION("""COMPUTED_VALUE"""),"Belo Horizonte")</f>
        <v>Belo Horizonte</v>
      </c>
      <c r="BO540" s="27" t="str">
        <f ca="1">IFERROR(__xludf.DUMMYFUNCTION("""COMPUTED_VALUE"""),"31250-080")</f>
        <v>31250-080</v>
      </c>
      <c r="BP540" s="27" t="str">
        <f ca="1">IFERROR(__xludf.DUMMYFUNCTION("""COMPUTED_VALUE"""),"MG")</f>
        <v>MG</v>
      </c>
      <c r="BQ540" s="27" t="str">
        <f ca="1">IFERROR(__xludf.DUMMYFUNCTION("""COMPUTED_VALUE"""),"De 3 até 5 salários mínimos")</f>
        <v>De 3 até 5 salários mínimos</v>
      </c>
      <c r="BR540" s="27" t="str">
        <f ca="1">IFERROR(__xludf.DUMMYFUNCTION("""COMPUTED_VALUE"""),"CLT")</f>
        <v>CLT</v>
      </c>
      <c r="BS540" s="27" t="str">
        <f ca="1">IFERROR(__xludf.DUMMYFUNCTION("""COMPUTED_VALUE"""),"Aluguel")</f>
        <v>Aluguel</v>
      </c>
      <c r="BT540" s="27">
        <f ca="1">IFERROR(__xludf.DUMMYFUNCTION("""COMPUTED_VALUE"""),5)</f>
        <v>5</v>
      </c>
      <c r="BU540" s="27"/>
      <c r="BV540" s="27"/>
      <c r="BW540" s="27" t="str">
        <f ca="1">IFERROR(__xludf.DUMMYFUNCTION("""COMPUTED_VALUE"""),"https://www.linkedin.com/in/andré-luiz-de-macedo-silva-627262219")</f>
        <v>https://www.linkedin.com/in/andré-luiz-de-macedo-silva-627262219</v>
      </c>
      <c r="BX540" s="21" t="str">
        <f ca="1">IFERROR(__xludf.DUMMYFUNCTION("""COMPUTED_VALUE"""),"https://instagram.com/andreluizmacedosilva?igshid=YmMyMTA2M2Y=")</f>
        <v>https://instagram.com/andreluizmacedosilva?igshid=YmMyMTA2M2Y=</v>
      </c>
      <c r="BY540" s="21" t="str">
        <f ca="1">IFERROR(__xludf.DUMMYFUNCTION("""COMPUTED_VALUE"""),"https://drive.google.com/open?id=1JH9Zl3ocEMYpkI4w4mW-W6R1yIm9nBzS")</f>
        <v>https://drive.google.com/open?id=1JH9Zl3ocEMYpkI4w4mW-W6R1yIm9nBzS</v>
      </c>
    </row>
    <row r="541" spans="1:77" ht="12.5" x14ac:dyDescent="0.25">
      <c r="A541" s="21" t="str">
        <f ca="1">IFERROR(__xludf.DUMMYFUNCTION("""COMPUTED_VALUE"""),"0014X00002VKCtKQAX")</f>
        <v>0014X00002VKCtKQAX</v>
      </c>
      <c r="B541" s="27" t="str">
        <f ca="1">IFERROR(__xludf.DUMMYFUNCTION("""COMPUTED_VALUE"""),"Fase Inicial")</f>
        <v>Fase Inicial</v>
      </c>
      <c r="C541" s="27" t="str">
        <f ca="1">IFERROR(__xludf.DUMMYFUNCTION("""COMPUTED_VALUE"""),"Fellow")</f>
        <v>Fellow</v>
      </c>
      <c r="D541" s="27" t="str">
        <f ca="1">IFERROR(__xludf.DUMMYFUNCTION("""COMPUTED_VALUE"""),"Ativo")</f>
        <v>Ativo</v>
      </c>
      <c r="E541" s="27" t="str">
        <f ca="1">IFERROR(__xludf.DUMMYFUNCTION("""COMPUTED_VALUE"""),"projeto sementes da fé")</f>
        <v>projeto sementes da fé</v>
      </c>
      <c r="F541" s="27" t="str">
        <f ca="1">IFERROR(__xludf.DUMMYFUNCTION("""COMPUTED_VALUE"""),"Édila")</f>
        <v>Édila</v>
      </c>
      <c r="G541" s="27" t="str">
        <f ca="1">IFERROR(__xludf.DUMMYFUNCTION("""COMPUTED_VALUE"""),"SEMENTES DA FÉ")</f>
        <v>SEMENTES DA FÉ</v>
      </c>
      <c r="H541" s="27"/>
      <c r="I541" s="27" t="str">
        <f ca="1">IFERROR(__xludf.DUMMYFUNCTION("""COMPUTED_VALUE"""),"Édila dias")</f>
        <v>Édila dias</v>
      </c>
      <c r="J541" s="27" t="str">
        <f ca="1">IFERROR(__xludf.DUMMYFUNCTION("""COMPUTED_VALUE"""),"edila.regina890@gmail.com")</f>
        <v>edila.regina890@gmail.com</v>
      </c>
      <c r="K541" s="27" t="str">
        <f ca="1">IFERROR(__xludf.DUMMYFUNCTION("""COMPUTED_VALUE"""),"(84)98795-8834")</f>
        <v>(84)98795-8834</v>
      </c>
      <c r="L541" s="27" t="str">
        <f ca="1">IFERROR(__xludf.DUMMYFUNCTION("""COMPUTED_VALUE"""),"RN")</f>
        <v>RN</v>
      </c>
      <c r="M541" s="27" t="str">
        <f ca="1">IFERROR(__xludf.DUMMYFUNCTION("""COMPUTED_VALUE"""),"Santa Helena")</f>
        <v>Santa Helena</v>
      </c>
      <c r="N541" s="27" t="str">
        <f ca="1">IFERROR(__xludf.DUMMYFUNCTION("""COMPUTED_VALUE"""),"Novo Horizonte")</f>
        <v>Novo Horizonte</v>
      </c>
      <c r="O541" s="27">
        <f ca="1">IFERROR(__xludf.DUMMYFUNCTION("""COMPUTED_VALUE"""),26)</f>
        <v>26</v>
      </c>
      <c r="P541" s="27" t="str">
        <f ca="1">IFERROR(__xludf.DUMMYFUNCTION("""COMPUTED_VALUE"""),"Natal")</f>
        <v>Natal</v>
      </c>
      <c r="Q541" s="27" t="str">
        <f ca="1">IFERROR(__xludf.DUMMYFUNCTION("""COMPUTED_VALUE"""),"enfrente  a cantina do Necal")</f>
        <v>enfrente  a cantina do Necal</v>
      </c>
      <c r="R541" s="27" t="str">
        <f ca="1">IFERROR(__xludf.DUMMYFUNCTION("""COMPUTED_VALUE"""),"59050-130")</f>
        <v>59050-130</v>
      </c>
      <c r="S541" s="27" t="str">
        <f ca="1">IFERROR(__xludf.DUMMYFUNCTION("""COMPUTED_VALUE"""),"não")</f>
        <v>não</v>
      </c>
      <c r="T541" s="27"/>
      <c r="U541" s="27" t="str">
        <f ca="1">IFERROR(__xludf.DUMMYFUNCTION("""COMPUTED_VALUE"""),"Crianças pequenas (4 anos a 5 anos e 11 meses), Crianças (6 a 12 anos), Adolescentes (12 aos 18 anos)")</f>
        <v>Crianças pequenas (4 anos a 5 anos e 11 meses), Crianças (6 a 12 anos), Adolescentes (12 aos 18 anos)</v>
      </c>
      <c r="V541" s="27" t="str">
        <f ca="1">IFERROR(__xludf.DUMMYFUNCTION("""COMPUTED_VALUE"""),"Moradores de Favelas, Pessoas em situação de rua")</f>
        <v>Moradores de Favelas, Pessoas em situação de rua</v>
      </c>
      <c r="W541" s="27">
        <f ca="1">IFERROR(__xludf.DUMMYFUNCTION("""COMPUTED_VALUE"""),1)</f>
        <v>1</v>
      </c>
      <c r="X541" s="27" t="str">
        <f ca="1">IFERROR(__xludf.DUMMYFUNCTION("""COMPUTED_VALUE"""),"além de atendemos essas duas comunidades  com esporte *lazer e cultura e com assistência social*  também   fazemos a entrega do sopão aos moradores de ruas de  outras comunidades carentes")</f>
        <v>além de atendemos essas duas comunidades  com esporte *lazer e cultura e com assistência social*  também   fazemos a entrega do sopão aos moradores de ruas de  outras comunidades carentes</v>
      </c>
      <c r="Y541" s="27"/>
      <c r="Z541" s="27">
        <f ca="1">IFERROR(__xludf.DUMMYFUNCTION("""COMPUTED_VALUE"""),90)</f>
        <v>90</v>
      </c>
      <c r="AA541" s="30">
        <f ca="1">IFERROR(__xludf.DUMMYFUNCTION("""COMPUTED_VALUE"""),41985)</f>
        <v>41985</v>
      </c>
      <c r="AB541" s="27" t="str">
        <f ca="1">IFERROR(__xludf.DUMMYFUNCTION("""COMPUTED_VALUE"""),"Não")</f>
        <v>Não</v>
      </c>
      <c r="AC541" s="27">
        <f ca="1">IFERROR(__xludf.DUMMYFUNCTION("""COMPUTED_VALUE"""),8)</f>
        <v>8</v>
      </c>
      <c r="AD541" s="27">
        <f ca="1">IFERROR(__xludf.DUMMYFUNCTION("""COMPUTED_VALUE"""),2)</f>
        <v>2</v>
      </c>
      <c r="AE541" s="27">
        <f ca="1">IFERROR(__xludf.DUMMYFUNCTION("""COMPUTED_VALUE"""),4)</f>
        <v>4</v>
      </c>
      <c r="AF541" s="27">
        <f ca="1">IFERROR(__xludf.DUMMYFUNCTION("""COMPUTED_VALUE"""),2)</f>
        <v>2</v>
      </c>
      <c r="AG541" s="27">
        <f ca="1">IFERROR(__xludf.DUMMYFUNCTION("""COMPUTED_VALUE"""),2)</f>
        <v>2</v>
      </c>
      <c r="AH541" s="27" t="str">
        <f ca="1">IFERROR(__xludf.DUMMYFUNCTION("""COMPUTED_VALUE"""),"Outro(s), Doações")</f>
        <v>Outro(s), Doações</v>
      </c>
      <c r="AI541" s="27" t="str">
        <f ca="1">IFERROR(__xludf.DUMMYFUNCTION("""COMPUTED_VALUE"""),"90% doações e 10% outros")</f>
        <v>90% doações e 10% outros</v>
      </c>
      <c r="AJ541" s="27" t="str">
        <f ca="1">IFERROR(__xludf.DUMMYFUNCTION("""COMPUTED_VALUE"""),"Não")</f>
        <v>Não</v>
      </c>
      <c r="AK541" s="27"/>
      <c r="AL541" s="21" t="str">
        <f ca="1">IFERROR(__xludf.DUMMYFUNCTION("""COMPUTED_VALUE"""),"0034X0000380O2r")</f>
        <v>0034X0000380O2r</v>
      </c>
      <c r="AM541" s="27" t="str">
        <f ca="1">IFERROR(__xludf.DUMMYFUNCTION("""COMPUTED_VALUE"""),"Dias")</f>
        <v>Dias</v>
      </c>
      <c r="AN541" s="27" t="str">
        <f ca="1">IFERROR(__xludf.DUMMYFUNCTION("""COMPUTED_VALUE"""),"Ativo")</f>
        <v>Ativo</v>
      </c>
      <c r="AO541" s="29">
        <f ca="1">IFERROR(__xludf.DUMMYFUNCTION("""COMPUTED_VALUE"""),44763)</f>
        <v>44763</v>
      </c>
      <c r="AP541" s="27">
        <f ca="1">IFERROR(__xludf.DUMMYFUNCTION("""COMPUTED_VALUE"""),2)</f>
        <v>2</v>
      </c>
      <c r="AQ541" s="27" t="str">
        <f ca="1">IFERROR(__xludf.DUMMYFUNCTION("""COMPUTED_VALUE"""),"Primeiro Semestre 2022")</f>
        <v>Primeiro Semestre 2022</v>
      </c>
      <c r="AR541" s="27" t="str">
        <f ca="1">IFERROR(__xludf.DUMMYFUNCTION("""COMPUTED_VALUE"""),"edila.regina890@gmail.com")</f>
        <v>edila.regina890@gmail.com</v>
      </c>
      <c r="AS541" s="27">
        <f ca="1">IFERROR(__xludf.DUMMYFUNCTION("""COMPUTED_VALUE"""),84987958834)</f>
        <v>84987958834</v>
      </c>
      <c r="AT541" s="29">
        <f ca="1">IFERROR(__xludf.DUMMYFUNCTION("""COMPUTED_VALUE"""),27524)</f>
        <v>27524</v>
      </c>
      <c r="AU541" s="27">
        <f ca="1">IFERROR(__xludf.DUMMYFUNCTION("""COMPUTED_VALUE"""),47)</f>
        <v>47</v>
      </c>
      <c r="AV541" s="27">
        <f ca="1">IFERROR(__xludf.DUMMYFUNCTION("""COMPUTED_VALUE"""),91571529420)</f>
        <v>91571529420</v>
      </c>
      <c r="AW541" s="27">
        <f ca="1">IFERROR(__xludf.DUMMYFUNCTION("""COMPUTED_VALUE"""),1520326)</f>
        <v>1520326</v>
      </c>
      <c r="AX541" s="27"/>
      <c r="AY541" s="27"/>
      <c r="AZ541" s="27" t="str">
        <f ca="1">IFERROR(__xludf.DUMMYFUNCTION("""COMPUTED_VALUE"""),"M")</f>
        <v>M</v>
      </c>
      <c r="BA541" s="27" t="str">
        <f ca="1">IFERROR(__xludf.DUMMYFUNCTION("""COMPUTED_VALUE"""),"Parda")</f>
        <v>Parda</v>
      </c>
      <c r="BB541" s="27"/>
      <c r="BC541" s="27"/>
      <c r="BD541" s="27" t="str">
        <f ca="1">IFERROR(__xludf.DUMMYFUNCTION("""COMPUTED_VALUE"""),"Me chamo Édila dias tenho 46 anos* em 2020 me formei em pedagogia estagiei 2 anos nas escolas. atualmente estou trabalhando em um abrigo onde acolhe crianças e adolescentes onde seus direitos foram violados e também participo do projeto sementes da fé a o"&amp;"ito anos na comunidade onde nasce e me criei trazendo para as crianças e adolescentes esporte lazer e cultura. Sou  apaixonada por esses trabalhos sociais nas comunidades carentes e gosto de trocar ideias e experiência com os demais colegas sou muito feli"&amp;"z e realizada pelo que eu faço.")</f>
        <v>Me chamo Édila dias tenho 46 anos* em 2020 me formei em pedagogia estagiei 2 anos nas escolas. atualmente estou trabalhando em um abrigo onde acolhe crianças e adolescentes onde seus direitos foram violados e também participo do projeto sementes da fé a oito anos na comunidade onde nasce e me criei trazendo para as crianças e adolescentes esporte lazer e cultura. Sou  apaixonada por esses trabalhos sociais nas comunidades carentes e gosto de trocar ideias e experiência com os demais colegas sou muito feliz e realizada pelo que eu faço.</v>
      </c>
      <c r="BE541" s="27" t="str">
        <f ca="1">IFERROR(__xludf.DUMMYFUNCTION("""COMPUTED_VALUE"""),"Feminino")</f>
        <v>Feminino</v>
      </c>
      <c r="BF541" s="27" t="str">
        <f ca="1">IFERROR(__xludf.DUMMYFUNCTION("""COMPUTED_VALUE"""),"Heterossexual")</f>
        <v>Heterossexual</v>
      </c>
      <c r="BG541" s="27"/>
      <c r="BH541" s="27" t="str">
        <f ca="1">IFERROR(__xludf.DUMMYFUNCTION("""COMPUTED_VALUE"""),"Público")</f>
        <v>Público</v>
      </c>
      <c r="BI541" s="27" t="str">
        <f ca="1">IFERROR(__xludf.DUMMYFUNCTION("""COMPUTED_VALUE"""),"Graduação")</f>
        <v>Graduação</v>
      </c>
      <c r="BJ541" s="27" t="str">
        <f ca="1">IFERROR(__xludf.DUMMYFUNCTION("""COMPUTED_VALUE"""),"Privado")</f>
        <v>Privado</v>
      </c>
      <c r="BK541" s="27" t="str">
        <f ca="1">IFERROR(__xludf.DUMMYFUNCTION("""COMPUTED_VALUE"""),"rua santa helena")</f>
        <v>rua santa helena</v>
      </c>
      <c r="BL541" s="27">
        <f ca="1">IFERROR(__xludf.DUMMYFUNCTION("""COMPUTED_VALUE"""),26)</f>
        <v>26</v>
      </c>
      <c r="BM541" s="27"/>
      <c r="BN541" s="27"/>
      <c r="BO541" s="27">
        <f ca="1">IFERROR(__xludf.DUMMYFUNCTION("""COMPUTED_VALUE"""),59050130)</f>
        <v>59050130</v>
      </c>
      <c r="BP541" s="27" t="str">
        <f ca="1">IFERROR(__xludf.DUMMYFUNCTION("""COMPUTED_VALUE"""),"RN")</f>
        <v>RN</v>
      </c>
      <c r="BQ541" s="27" t="str">
        <f ca="1">IFERROR(__xludf.DUMMYFUNCTION("""COMPUTED_VALUE"""),"Entre 1 até 3 salários mínimos")</f>
        <v>Entre 1 até 3 salários mínimos</v>
      </c>
      <c r="BR541" s="27" t="str">
        <f ca="1">IFERROR(__xludf.DUMMYFUNCTION("""COMPUTED_VALUE"""),"Funcionário Público")</f>
        <v>Funcionário Público</v>
      </c>
      <c r="BS541" s="27" t="str">
        <f ca="1">IFERROR(__xludf.DUMMYFUNCTION("""COMPUTED_VALUE"""),"Casa própria")</f>
        <v>Casa própria</v>
      </c>
      <c r="BT541" s="27">
        <f ca="1">IFERROR(__xludf.DUMMYFUNCTION("""COMPUTED_VALUE"""),3)</f>
        <v>3</v>
      </c>
      <c r="BU541" s="27" t="str">
        <f ca="1">IFERROR(__xludf.DUMMYFUNCTION("""COMPUTED_VALUE"""),"Não tem")</f>
        <v>Não tem</v>
      </c>
      <c r="BV541" s="27" t="str">
        <f ca="1">IFERROR(__xludf.DUMMYFUNCTION("""COMPUTED_VALUE"""),"Não")</f>
        <v>Não</v>
      </c>
      <c r="BW541" s="27"/>
      <c r="BX541" s="27"/>
      <c r="BY541" s="21" t="str">
        <f ca="1">IFERROR(__xludf.DUMMYFUNCTION("""COMPUTED_VALUE"""),"https://drive.google.com/open?id=1rA2UKjTdRNMrvqo-UNcCFGemWBEHXEHS")</f>
        <v>https://drive.google.com/open?id=1rA2UKjTdRNMrvqo-UNcCFGemWBEHXEHS</v>
      </c>
    </row>
    <row r="542" spans="1:77" ht="12.5" x14ac:dyDescent="0.25">
      <c r="A542" s="21" t="str">
        <f ca="1">IFERROR(__xludf.DUMMYFUNCTION("""COMPUTED_VALUE"""),"0014X00002VKCsBQAX")</f>
        <v>0014X00002VKCsBQAX</v>
      </c>
      <c r="B542" s="27" t="str">
        <f ca="1">IFERROR(__xludf.DUMMYFUNCTION("""COMPUTED_VALUE"""),"Fase Inicial")</f>
        <v>Fase Inicial</v>
      </c>
      <c r="C542" s="27" t="str">
        <f ca="1">IFERROR(__xludf.DUMMYFUNCTION("""COMPUTED_VALUE"""),"Fellow")</f>
        <v>Fellow</v>
      </c>
      <c r="D542" s="27" t="str">
        <f ca="1">IFERROR(__xludf.DUMMYFUNCTION("""COMPUTED_VALUE"""),"Ativo")</f>
        <v>Ativo</v>
      </c>
      <c r="E542" s="27" t="str">
        <f ca="1">IFERROR(__xludf.DUMMYFUNCTION("""COMPUTED_VALUE"""),"Projeto Sitio Cipó")</f>
        <v>Projeto Sitio Cipó</v>
      </c>
      <c r="F542" s="27" t="str">
        <f ca="1">IFERROR(__xludf.DUMMYFUNCTION("""COMPUTED_VALUE"""),"Sayonara")</f>
        <v>Sayonara</v>
      </c>
      <c r="G542" s="27" t="str">
        <f ca="1">IFERROR(__xludf.DUMMYFUNCTION("""COMPUTED_VALUE"""),"INSTITUTO SEMEAR")</f>
        <v>INSTITUTO SEMEAR</v>
      </c>
      <c r="H542" s="27"/>
      <c r="I542" s="27" t="str">
        <f ca="1">IFERROR(__xludf.DUMMYFUNCTION("""COMPUTED_VALUE"""),"Danilo dos santos Nascimento moura")</f>
        <v>Danilo dos santos Nascimento moura</v>
      </c>
      <c r="J542" s="27" t="str">
        <f ca="1">IFERROR(__xludf.DUMMYFUNCTION("""COMPUTED_VALUE"""),"projetositiocipo@mail.com")</f>
        <v>projetositiocipo@mail.com</v>
      </c>
      <c r="K542" s="27" t="str">
        <f ca="1">IFERROR(__xludf.DUMMYFUNCTION("""COMPUTED_VALUE"""),"(81)99211-1002")</f>
        <v>(81)99211-1002</v>
      </c>
      <c r="L542" s="27" t="str">
        <f ca="1">IFERROR(__xludf.DUMMYFUNCTION("""COMPUTED_VALUE"""),"PE")</f>
        <v>PE</v>
      </c>
      <c r="M542" s="27" t="str">
        <f ca="1">IFERROR(__xludf.DUMMYFUNCTION("""COMPUTED_VALUE"""),"tv cipo, 57")</f>
        <v>tv cipo, 57</v>
      </c>
      <c r="N542" s="27" t="str">
        <f ca="1">IFERROR(__xludf.DUMMYFUNCTION("""COMPUTED_VALUE"""),"vila cipó")</f>
        <v>vila cipó</v>
      </c>
      <c r="O542" s="27">
        <f ca="1">IFERROR(__xludf.DUMMYFUNCTION("""COMPUTED_VALUE"""),57)</f>
        <v>57</v>
      </c>
      <c r="P542" s="27" t="str">
        <f ca="1">IFERROR(__xludf.DUMMYFUNCTION("""COMPUTED_VALUE"""),"Caruaru")</f>
        <v>Caruaru</v>
      </c>
      <c r="Q542" s="27"/>
      <c r="R542" s="27" t="str">
        <f ca="1">IFERROR(__xludf.DUMMYFUNCTION("""COMPUTED_VALUE"""),"55002-190")</f>
        <v>55002-190</v>
      </c>
      <c r="S542" s="27" t="str">
        <f ca="1">IFERROR(__xludf.DUMMYFUNCTION("""COMPUTED_VALUE"""),"Ações dia das crianças, dia das mães  e acampamento de encerramento.")</f>
        <v>Ações dia das crianças, dia das mães  e acampamento de encerramento.</v>
      </c>
      <c r="T542" s="27"/>
      <c r="U542" s="27" t="str">
        <f ca="1">IFERROR(__xludf.DUMMYFUNCTION("""COMPUTED_VALUE"""),"Crianças (6 a 12 anos), Adolescentes (12 aos 18 anos)")</f>
        <v>Crianças (6 a 12 anos), Adolescentes (12 aos 18 anos)</v>
      </c>
      <c r="V542" s="27" t="str">
        <f ca="1">IFERROR(__xludf.DUMMYFUNCTION("""COMPUTED_VALUE"""),"Moradores de Favelas, Pessoas em situação de rua")</f>
        <v>Moradores de Favelas, Pessoas em situação de rua</v>
      </c>
      <c r="W542" s="27">
        <f ca="1">IFERROR(__xludf.DUMMYFUNCTION("""COMPUTED_VALUE"""),3)</f>
        <v>3</v>
      </c>
      <c r="X542" s="27" t="str">
        <f ca="1">IFERROR(__xludf.DUMMYFUNCTION("""COMPUTED_VALUE"""),"Atendemos não só as crianças na comunidade mas* sua família tbm.")</f>
        <v>Atendemos não só as crianças na comunidade mas* sua família tbm.</v>
      </c>
      <c r="Y542" s="27"/>
      <c r="Z542" s="27">
        <f ca="1">IFERROR(__xludf.DUMMYFUNCTION("""COMPUTED_VALUE"""),100)</f>
        <v>100</v>
      </c>
      <c r="AA542" s="29">
        <f ca="1">IFERROR(__xludf.DUMMYFUNCTION("""COMPUTED_VALUE"""),40563)</f>
        <v>40563</v>
      </c>
      <c r="AB542" s="27" t="str">
        <f ca="1">IFERROR(__xludf.DUMMYFUNCTION("""COMPUTED_VALUE"""),"Não")</f>
        <v>Não</v>
      </c>
      <c r="AC542" s="27">
        <f ca="1">IFERROR(__xludf.DUMMYFUNCTION("""COMPUTED_VALUE"""),1)</f>
        <v>1</v>
      </c>
      <c r="AD542" s="27">
        <f ca="1">IFERROR(__xludf.DUMMYFUNCTION("""COMPUTED_VALUE"""),10)</f>
        <v>10</v>
      </c>
      <c r="AE542" s="27">
        <f ca="1">IFERROR(__xludf.DUMMYFUNCTION("""COMPUTED_VALUE"""),16)</f>
        <v>16</v>
      </c>
      <c r="AF542" s="27">
        <f ca="1">IFERROR(__xludf.DUMMYFUNCTION("""COMPUTED_VALUE"""),12)</f>
        <v>12</v>
      </c>
      <c r="AG542" s="27">
        <f ca="1">IFERROR(__xludf.DUMMYFUNCTION("""COMPUTED_VALUE"""),3)</f>
        <v>3</v>
      </c>
      <c r="AH542" s="27" t="str">
        <f ca="1">IFERROR(__xludf.DUMMYFUNCTION("""COMPUTED_VALUE"""),"Negócio Social, Eventos/Ações para captação, Doações")</f>
        <v>Negócio Social, Eventos/Ações para captação, Doações</v>
      </c>
      <c r="AI542" s="27" t="str">
        <f ca="1">IFERROR(__xludf.DUMMYFUNCTION("""COMPUTED_VALUE"""),"estamos no aguardo do CNPJ para participar")</f>
        <v>estamos no aguardo do CNPJ para participar</v>
      </c>
      <c r="AJ542" s="27" t="str">
        <f ca="1">IFERROR(__xludf.DUMMYFUNCTION("""COMPUTED_VALUE"""),"Sim")</f>
        <v>Sim</v>
      </c>
      <c r="AK542" s="27"/>
      <c r="AL542" s="21" t="str">
        <f ca="1">IFERROR(__xludf.DUMMYFUNCTION("""COMPUTED_VALUE"""),"0034X0000380O44")</f>
        <v>0034X0000380O44</v>
      </c>
      <c r="AM542" s="27" t="str">
        <f ca="1">IFERROR(__xludf.DUMMYFUNCTION("""COMPUTED_VALUE"""),"Galdino barbosa")</f>
        <v>Galdino barbosa</v>
      </c>
      <c r="AN542" s="27" t="str">
        <f ca="1">IFERROR(__xludf.DUMMYFUNCTION("""COMPUTED_VALUE"""),"Ativo")</f>
        <v>Ativo</v>
      </c>
      <c r="AO542" s="29">
        <f ca="1">IFERROR(__xludf.DUMMYFUNCTION("""COMPUTED_VALUE"""),44763)</f>
        <v>44763</v>
      </c>
      <c r="AP542" s="27">
        <f ca="1">IFERROR(__xludf.DUMMYFUNCTION("""COMPUTED_VALUE"""),2)</f>
        <v>2</v>
      </c>
      <c r="AQ542" s="27" t="str">
        <f ca="1">IFERROR(__xludf.DUMMYFUNCTION("""COMPUTED_VALUE"""),"Primeiro Semestre 2022")</f>
        <v>Primeiro Semestre 2022</v>
      </c>
      <c r="AR542" s="27" t="str">
        <f ca="1">IFERROR(__xludf.DUMMYFUNCTION("""COMPUTED_VALUE"""),"sara.sayonara@gmail.com")</f>
        <v>sara.sayonara@gmail.com</v>
      </c>
      <c r="AS542" s="27">
        <f ca="1">IFERROR(__xludf.DUMMYFUNCTION("""COMPUTED_VALUE"""),81999246841)</f>
        <v>81999246841</v>
      </c>
      <c r="AT542" s="29">
        <f ca="1">IFERROR(__xludf.DUMMYFUNCTION("""COMPUTED_VALUE"""),32690)</f>
        <v>32690</v>
      </c>
      <c r="AU542" s="27">
        <f ca="1">IFERROR(__xludf.DUMMYFUNCTION("""COMPUTED_VALUE"""),33)</f>
        <v>33</v>
      </c>
      <c r="AV542" s="27">
        <f ca="1">IFERROR(__xludf.DUMMYFUNCTION("""COMPUTED_VALUE"""),7722094481)</f>
        <v>7722094481</v>
      </c>
      <c r="AW542" s="27">
        <f ca="1">IFERROR(__xludf.DUMMYFUNCTION("""COMPUTED_VALUE"""),7848529)</f>
        <v>7848529</v>
      </c>
      <c r="AX542" s="27"/>
      <c r="AY542" s="27"/>
      <c r="AZ542" s="27" t="str">
        <f ca="1">IFERROR(__xludf.DUMMYFUNCTION("""COMPUTED_VALUE"""),"GG")</f>
        <v>GG</v>
      </c>
      <c r="BA542" s="27" t="str">
        <f ca="1">IFERROR(__xludf.DUMMYFUNCTION("""COMPUTED_VALUE"""),"Branca")</f>
        <v>Branca</v>
      </c>
      <c r="BB542" s="27"/>
      <c r="BC542" s="27"/>
      <c r="BD542" s="27" t="str">
        <f ca="1">IFERROR(__xludf.DUMMYFUNCTION("""COMPUTED_VALUE"""),"Sayonara* 33 anos* cursando gestão das organizações do terceiro setor. inicie a carreira como voluntária do projeto sítio cipó*  e depois de 4 anos* sou líder do instituto semear!
Atualmente sou responsável pelo instituto semear e projeto sítio cipó.
Meu "&amp;"sonho é ver a favela transformada através da educação e do empreendedorismo!
Amo servir as pessoas!")</f>
        <v>Sayonara* 33 anos* cursando gestão das organizações do terceiro setor. inicie a carreira como voluntária do projeto sítio cipó*  e depois de 4 anos* sou líder do instituto semear!
Atualmente sou responsável pelo instituto semear e projeto sítio cipó.
Meu sonho é ver a favela transformada através da educação e do empreendedorismo!
Amo servir as pessoas!</v>
      </c>
      <c r="BE542" s="27" t="str">
        <f ca="1">IFERROR(__xludf.DUMMYFUNCTION("""COMPUTED_VALUE"""),"Feminino")</f>
        <v>Feminino</v>
      </c>
      <c r="BF542" s="27" t="str">
        <f ca="1">IFERROR(__xludf.DUMMYFUNCTION("""COMPUTED_VALUE"""),"Heterossexual")</f>
        <v>Heterossexual</v>
      </c>
      <c r="BG542" s="27"/>
      <c r="BH542" s="27" t="str">
        <f ca="1">IFERROR(__xludf.DUMMYFUNCTION("""COMPUTED_VALUE"""),"Público")</f>
        <v>Público</v>
      </c>
      <c r="BI542" s="27" t="str">
        <f ca="1">IFERROR(__xludf.DUMMYFUNCTION("""COMPUTED_VALUE"""),"Graduação")</f>
        <v>Graduação</v>
      </c>
      <c r="BJ542" s="27" t="str">
        <f ca="1">IFERROR(__xludf.DUMMYFUNCTION("""COMPUTED_VALUE"""),"Privado")</f>
        <v>Privado</v>
      </c>
      <c r="BK542" s="27" t="str">
        <f ca="1">IFERROR(__xludf.DUMMYFUNCTION("""COMPUTED_VALUE"""),"Cod. Crisântemo")</f>
        <v>Cod. Crisântemo</v>
      </c>
      <c r="BL542" s="27" t="str">
        <f ca="1">IFERROR(__xludf.DUMMYFUNCTION("""COMPUTED_VALUE"""),"Quadra 37 bloco 37 AP 05")</f>
        <v>Quadra 37 bloco 37 AP 05</v>
      </c>
      <c r="BM542" s="27"/>
      <c r="BN542" s="27"/>
      <c r="BO542" s="27">
        <f ca="1">IFERROR(__xludf.DUMMYFUNCTION("""COMPUTED_VALUE"""),55000550)</f>
        <v>55000550</v>
      </c>
      <c r="BP542" s="27" t="str">
        <f ca="1">IFERROR(__xludf.DUMMYFUNCTION("""COMPUTED_VALUE"""),"PE")</f>
        <v>PE</v>
      </c>
      <c r="BQ542" s="27" t="str">
        <f ca="1">IFERROR(__xludf.DUMMYFUNCTION("""COMPUTED_VALUE"""),"Entre 1 até 3 salários mínimos")</f>
        <v>Entre 1 até 3 salários mínimos</v>
      </c>
      <c r="BR542" s="27" t="str">
        <f ca="1">IFERROR(__xludf.DUMMYFUNCTION("""COMPUTED_VALUE"""),"Funcionário Público")</f>
        <v>Funcionário Público</v>
      </c>
      <c r="BS542" s="27" t="str">
        <f ca="1">IFERROR(__xludf.DUMMYFUNCTION("""COMPUTED_VALUE"""),"Casa própria")</f>
        <v>Casa própria</v>
      </c>
      <c r="BT542" s="27">
        <f ca="1">IFERROR(__xludf.DUMMYFUNCTION("""COMPUTED_VALUE"""),0)</f>
        <v>0</v>
      </c>
      <c r="BU542" s="27" t="str">
        <f ca="1">IFERROR(__xludf.DUMMYFUNCTION("""COMPUTED_VALUE"""),"Não tem")</f>
        <v>Não tem</v>
      </c>
      <c r="BV542" s="27" t="str">
        <f ca="1">IFERROR(__xludf.DUMMYFUNCTION("""COMPUTED_VALUE"""),"Não")</f>
        <v>Não</v>
      </c>
      <c r="BW542" s="27"/>
      <c r="BX542" s="21" t="str">
        <f ca="1">IFERROR(__xludf.DUMMYFUNCTION("""COMPUTED_VALUE"""),"https://instagram.com/saragaldinobarbosa?utm_medium=copy_link")</f>
        <v>https://instagram.com/saragaldinobarbosa?utm_medium=copy_link</v>
      </c>
      <c r="BY542" s="21" t="str">
        <f ca="1">IFERROR(__xludf.DUMMYFUNCTION("""COMPUTED_VALUE"""),"https://drive.google.com/open?id=1Okes5Z737NEI0aUfQY8kQSunP_s0hF6C")</f>
        <v>https://drive.google.com/open?id=1Okes5Z737NEI0aUfQY8kQSunP_s0hF6C</v>
      </c>
    </row>
    <row r="543" spans="1:77" ht="12.5" x14ac:dyDescent="0.25">
      <c r="A543" s="21" t="str">
        <f ca="1">IFERROR(__xludf.DUMMYFUNCTION("""COMPUTED_VALUE"""),"0014X00002VKCtMQAX")</f>
        <v>0014X00002VKCtMQAX</v>
      </c>
      <c r="B543" s="27" t="str">
        <f ca="1">IFERROR(__xludf.DUMMYFUNCTION("""COMPUTED_VALUE"""),"Fase Inicial")</f>
        <v>Fase Inicial</v>
      </c>
      <c r="C543" s="27" t="str">
        <f ca="1">IFERROR(__xludf.DUMMYFUNCTION("""COMPUTED_VALUE"""),"Fellow")</f>
        <v>Fellow</v>
      </c>
      <c r="D543" s="27" t="str">
        <f ca="1">IFERROR(__xludf.DUMMYFUNCTION("""COMPUTED_VALUE"""),"Ativo")</f>
        <v>Ativo</v>
      </c>
      <c r="E543" s="27" t="str">
        <f ca="1">IFERROR(__xludf.DUMMYFUNCTION("""COMPUTED_VALUE"""),"Projeto social")</f>
        <v>Projeto social</v>
      </c>
      <c r="F543" s="27" t="str">
        <f ca="1">IFERROR(__xludf.DUMMYFUNCTION("""COMPUTED_VALUE"""),"Flávio")</f>
        <v>Flávio</v>
      </c>
      <c r="G543" s="27" t="str">
        <f ca="1">IFERROR(__xludf.DUMMYFUNCTION("""COMPUTED_VALUE"""),"PROJETO CONSTRUINDO UM FUTURO EM DEUS")</f>
        <v>PROJETO CONSTRUINDO UM FUTURO EM DEUS</v>
      </c>
      <c r="H543" s="27"/>
      <c r="I543" s="27" t="str">
        <f ca="1">IFERROR(__xludf.DUMMYFUNCTION("""COMPUTED_VALUE"""),"Francisca luzia dos Santos Gomes")</f>
        <v>Francisca luzia dos Santos Gomes</v>
      </c>
      <c r="J543" s="27" t="str">
        <f ca="1">IFERROR(__xludf.DUMMYFUNCTION("""COMPUTED_VALUE"""),"aoproximoprojetoamor@gmail.com")</f>
        <v>aoproximoprojetoamor@gmail.com</v>
      </c>
      <c r="K543" s="27" t="str">
        <f ca="1">IFERROR(__xludf.DUMMYFUNCTION("""COMPUTED_VALUE"""),"(85)98628-6557")</f>
        <v>(85)98628-6557</v>
      </c>
      <c r="L543" s="27" t="str">
        <f ca="1">IFERROR(__xludf.DUMMYFUNCTION("""COMPUTED_VALUE"""),"CE")</f>
        <v>CE</v>
      </c>
      <c r="M543" s="27" t="str">
        <f ca="1">IFERROR(__xludf.DUMMYFUNCTION("""COMPUTED_VALUE"""),"Rua 03")</f>
        <v>Rua 03</v>
      </c>
      <c r="N543" s="27" t="str">
        <f ca="1">IFERROR(__xludf.DUMMYFUNCTION("""COMPUTED_VALUE"""),"Barroso")</f>
        <v>Barroso</v>
      </c>
      <c r="O543" s="27">
        <f ca="1">IFERROR(__xludf.DUMMYFUNCTION("""COMPUTED_VALUE"""),118)</f>
        <v>118</v>
      </c>
      <c r="P543" s="27" t="str">
        <f ca="1">IFERROR(__xludf.DUMMYFUNCTION("""COMPUTED_VALUE"""),"Fortaleza")</f>
        <v>Fortaleza</v>
      </c>
      <c r="Q543" s="27" t="str">
        <f ca="1">IFERROR(__xludf.DUMMYFUNCTION("""COMPUTED_VALUE"""),"Conjunto João Paulo ll")</f>
        <v>Conjunto João Paulo ll</v>
      </c>
      <c r="R543" s="27" t="str">
        <f ca="1">IFERROR(__xludf.DUMMYFUNCTION("""COMPUTED_VALUE"""),"60863-840")</f>
        <v>60863-840</v>
      </c>
      <c r="S543" s="27" t="str">
        <f ca="1">IFERROR(__xludf.DUMMYFUNCTION("""COMPUTED_VALUE"""),"Barrios / Santa Rita / margarida rocha/ e ao ar livre")</f>
        <v>Barrios / Santa Rita / margarida rocha/ e ao ar livre</v>
      </c>
      <c r="T543" s="27"/>
      <c r="U543" s="27" t="str">
        <f ca="1">IFERROR(__xludf.DUMMYFUNCTION("""COMPUTED_VALUE"""),"bebês (1 a 1ano e 6 meses), Crianças bem pequenas (1 ano e 7 meses até 3 anos e 11 meses), Crianças pequenas (4 anos a 5 anos e 11 meses), Crianças (6 a 12 anos), Jovens (18 aos 24 anos), Adultos, Idosos (60 anos ou mais)")</f>
        <v>bebês (1 a 1ano e 6 meses), Crianças bem pequenas (1 ano e 7 meses até 3 anos e 11 meses), Crianças pequenas (4 anos a 5 anos e 11 meses), Crianças (6 a 12 anos), Jovens (18 aos 24 anos), Adultos, Idosos (60 anos ou mais)</v>
      </c>
      <c r="V543" s="27" t="str">
        <f ca="1">IFERROR(__xludf.DUMMYFUNCTION("""COMPUTED_VALUE"""),"Moradores de Favelas, Pessoas em situação de rua, Pessoas com Deficiência, Outros")</f>
        <v>Moradores de Favelas, Pessoas em situação de rua, Pessoas com Deficiência, Outros</v>
      </c>
      <c r="W543" s="27">
        <f ca="1">IFERROR(__xludf.DUMMYFUNCTION("""COMPUTED_VALUE"""),3)</f>
        <v>3</v>
      </c>
      <c r="X543" s="27"/>
      <c r="Y543" s="27"/>
      <c r="Z543" s="27">
        <f ca="1">IFERROR(__xludf.DUMMYFUNCTION("""COMPUTED_VALUE"""),150)</f>
        <v>150</v>
      </c>
      <c r="AA543" s="30">
        <f ca="1">IFERROR(__xludf.DUMMYFUNCTION("""COMPUTED_VALUE"""),43750)</f>
        <v>43750</v>
      </c>
      <c r="AB543" s="27" t="str">
        <f ca="1">IFERROR(__xludf.DUMMYFUNCTION("""COMPUTED_VALUE"""),"Não")</f>
        <v>Não</v>
      </c>
      <c r="AC543" s="27">
        <f ca="1">IFERROR(__xludf.DUMMYFUNCTION("""COMPUTED_VALUE"""),5)</f>
        <v>5</v>
      </c>
      <c r="AD543" s="27">
        <f ca="1">IFERROR(__xludf.DUMMYFUNCTION("""COMPUTED_VALUE"""),3)</f>
        <v>3</v>
      </c>
      <c r="AE543" s="27">
        <f ca="1">IFERROR(__xludf.DUMMYFUNCTION("""COMPUTED_VALUE"""),5)</f>
        <v>5</v>
      </c>
      <c r="AF543" s="27">
        <f ca="1">IFERROR(__xludf.DUMMYFUNCTION("""COMPUTED_VALUE"""),3)</f>
        <v>3</v>
      </c>
      <c r="AG543" s="27">
        <f ca="1">IFERROR(__xludf.DUMMYFUNCTION("""COMPUTED_VALUE"""),2)</f>
        <v>2</v>
      </c>
      <c r="AH543" s="27" t="str">
        <f ca="1">IFERROR(__xludf.DUMMYFUNCTION("""COMPUTED_VALUE"""),"Plataforma doação online - Pessoa Física, Outro(s), Doações, Recursos próprios")</f>
        <v>Plataforma doação online - Pessoa Física, Outro(s), Doações, Recursos próprios</v>
      </c>
      <c r="AI543" s="27">
        <f ca="1">IFERROR(__xludf.DUMMYFUNCTION("""COMPUTED_VALUE"""),0)</f>
        <v>0</v>
      </c>
      <c r="AJ543" s="27" t="str">
        <f ca="1">IFERROR(__xludf.DUMMYFUNCTION("""COMPUTED_VALUE"""),"Vamos iniciar esse ano")</f>
        <v>Vamos iniciar esse ano</v>
      </c>
      <c r="AK543" s="27"/>
      <c r="AL543" s="21" t="str">
        <f ca="1">IFERROR(__xludf.DUMMYFUNCTION("""COMPUTED_VALUE"""),"0034X0000380O6i")</f>
        <v>0034X0000380O6i</v>
      </c>
      <c r="AM543" s="27" t="str">
        <f ca="1">IFERROR(__xludf.DUMMYFUNCTION("""COMPUTED_VALUE"""),"Batista da silva")</f>
        <v>Batista da silva</v>
      </c>
      <c r="AN543" s="27" t="str">
        <f ca="1">IFERROR(__xludf.DUMMYFUNCTION("""COMPUTED_VALUE"""),"Ativo")</f>
        <v>Ativo</v>
      </c>
      <c r="AO543" s="29">
        <f ca="1">IFERROR(__xludf.DUMMYFUNCTION("""COMPUTED_VALUE"""),44763)</f>
        <v>44763</v>
      </c>
      <c r="AP543" s="27">
        <f ca="1">IFERROR(__xludf.DUMMYFUNCTION("""COMPUTED_VALUE"""),2)</f>
        <v>2</v>
      </c>
      <c r="AQ543" s="27" t="str">
        <f ca="1">IFERROR(__xludf.DUMMYFUNCTION("""COMPUTED_VALUE"""),"Primeiro Semestre 2022")</f>
        <v>Primeiro Semestre 2022</v>
      </c>
      <c r="AR543" s="27" t="str">
        <f ca="1">IFERROR(__xludf.DUMMYFUNCTION("""COMPUTED_VALUE"""),"pregoeiroflavio@gmail.com")</f>
        <v>pregoeiroflavio@gmail.com</v>
      </c>
      <c r="AS543" s="27" t="str">
        <f ca="1">IFERROR(__xludf.DUMMYFUNCTION("""COMPUTED_VALUE"""),"(84)99443-6470")</f>
        <v>(84)99443-6470</v>
      </c>
      <c r="AT543" s="29">
        <f ca="1">IFERROR(__xludf.DUMMYFUNCTION("""COMPUTED_VALUE"""),31249)</f>
        <v>31249</v>
      </c>
      <c r="AU543" s="27">
        <f ca="1">IFERROR(__xludf.DUMMYFUNCTION("""COMPUTED_VALUE"""),37)</f>
        <v>37</v>
      </c>
      <c r="AV543" s="27">
        <f ca="1">IFERROR(__xludf.DUMMYFUNCTION("""COMPUTED_VALUE"""),4617468404)</f>
        <v>4617468404</v>
      </c>
      <c r="AW543" s="27">
        <f ca="1">IFERROR(__xludf.DUMMYFUNCTION("""COMPUTED_VALUE"""),2493423)</f>
        <v>2493423</v>
      </c>
      <c r="AX543" s="27"/>
      <c r="AY543" s="27" t="str">
        <f ca="1">IFERROR(__xludf.DUMMYFUNCTION("""COMPUTED_VALUE"""),"Presidente")</f>
        <v>Presidente</v>
      </c>
      <c r="AZ543" s="27" t="str">
        <f ca="1">IFERROR(__xludf.DUMMYFUNCTION("""COMPUTED_VALUE"""),"G")</f>
        <v>G</v>
      </c>
      <c r="BA543" s="27" t="str">
        <f ca="1">IFERROR(__xludf.DUMMYFUNCTION("""COMPUTED_VALUE"""),"Amarela")</f>
        <v>Amarela</v>
      </c>
      <c r="BB543" s="27"/>
      <c r="BC543" s="27"/>
      <c r="BD543" s="27" t="str">
        <f ca="1">IFERROR(__xludf.DUMMYFUNCTION("""COMPUTED_VALUE"""),"Sucesso e uma questão de decisão")</f>
        <v>Sucesso e uma questão de decisão</v>
      </c>
      <c r="BE543" s="27" t="str">
        <f ca="1">IFERROR(__xludf.DUMMYFUNCTION("""COMPUTED_VALUE"""),"Homem, cisgênero")</f>
        <v>Homem, cisgênero</v>
      </c>
      <c r="BF543" s="27" t="str">
        <f ca="1">IFERROR(__xludf.DUMMYFUNCTION("""COMPUTED_VALUE"""),"Heterossexual")</f>
        <v>Heterossexual</v>
      </c>
      <c r="BG543" s="27" t="str">
        <f ca="1">IFERROR(__xludf.DUMMYFUNCTION("""COMPUTED_VALUE"""),"Ensino Médio - Completo")</f>
        <v>Ensino Médio - Completo</v>
      </c>
      <c r="BH543" s="27" t="str">
        <f ca="1">IFERROR(__xludf.DUMMYFUNCTION("""COMPUTED_VALUE"""),"Público")</f>
        <v>Público</v>
      </c>
      <c r="BI543" s="27"/>
      <c r="BJ543" s="27"/>
      <c r="BK543" s="27" t="str">
        <f ca="1">IFERROR(__xludf.DUMMYFUNCTION("""COMPUTED_VALUE"""),"Maria das dores")</f>
        <v>Maria das dores</v>
      </c>
      <c r="BL543" s="27" t="str">
        <f ca="1">IFERROR(__xludf.DUMMYFUNCTION("""COMPUTED_VALUE"""),"936/44")</f>
        <v>936/44</v>
      </c>
      <c r="BM543" s="27" t="str">
        <f ca="1">IFERROR(__xludf.DUMMYFUNCTION("""COMPUTED_VALUE"""),"Apte")</f>
        <v>Apte</v>
      </c>
      <c r="BN543" s="27" t="str">
        <f ca="1">IFERROR(__xludf.DUMMYFUNCTION("""COMPUTED_VALUE"""),"Ceará mirim")</f>
        <v>Ceará mirim</v>
      </c>
      <c r="BO543" s="27" t="str">
        <f ca="1">IFERROR(__xludf.DUMMYFUNCTION("""COMPUTED_VALUE"""),"59570-000")</f>
        <v>59570-000</v>
      </c>
      <c r="BP543" s="27" t="str">
        <f ca="1">IFERROR(__xludf.DUMMYFUNCTION("""COMPUTED_VALUE"""),"RN")</f>
        <v>RN</v>
      </c>
      <c r="BQ543" s="27" t="str">
        <f ca="1">IFERROR(__xludf.DUMMYFUNCTION("""COMPUTED_VALUE"""),"Entre 1 até 3 salários mínimos")</f>
        <v>Entre 1 até 3 salários mínimos</v>
      </c>
      <c r="BR543" s="27" t="str">
        <f ca="1">IFERROR(__xludf.DUMMYFUNCTION("""COMPUTED_VALUE"""),"Funcionário Público, Desempregado")</f>
        <v>Funcionário Público, Desempregado</v>
      </c>
      <c r="BS543" s="27" t="str">
        <f ca="1">IFERROR(__xludf.DUMMYFUNCTION("""COMPUTED_VALUE"""),"Casa própria")</f>
        <v>Casa própria</v>
      </c>
      <c r="BT543" s="27">
        <f ca="1">IFERROR(__xludf.DUMMYFUNCTION("""COMPUTED_VALUE"""),5)</f>
        <v>5</v>
      </c>
      <c r="BU543" s="27" t="str">
        <f ca="1">IFERROR(__xludf.DUMMYFUNCTION("""COMPUTED_VALUE"""),"Não tem")</f>
        <v>Não tem</v>
      </c>
      <c r="BV543" s="27" t="str">
        <f ca="1">IFERROR(__xludf.DUMMYFUNCTION("""COMPUTED_VALUE"""),"Não")</f>
        <v>Não</v>
      </c>
      <c r="BW543" s="27"/>
      <c r="BX543" s="27" t="str">
        <f ca="1">IFERROR(__xludf.DUMMYFUNCTION("""COMPUTED_VALUE"""),"Fláviobatista42")</f>
        <v>Fláviobatista42</v>
      </c>
      <c r="BY543" s="21" t="str">
        <f ca="1">IFERROR(__xludf.DUMMYFUNCTION("""COMPUTED_VALUE"""),"https://drive.google.com/open?id=1CbNVEgi7SQumdVpdqjzYyGyvd0j6BerL")</f>
        <v>https://drive.google.com/open?id=1CbNVEgi7SQumdVpdqjzYyGyvd0j6BerL</v>
      </c>
    </row>
    <row r="544" spans="1:77" ht="12.5" x14ac:dyDescent="0.25">
      <c r="A544" s="21" t="str">
        <f ca="1">IFERROR(__xludf.DUMMYFUNCTION("""COMPUTED_VALUE"""),"0014X00002VKCp3QAH")</f>
        <v>0014X00002VKCp3QAH</v>
      </c>
      <c r="B544" s="27" t="str">
        <f ca="1">IFERROR(__xludf.DUMMYFUNCTION("""COMPUTED_VALUE"""),"Fase Inicial")</f>
        <v>Fase Inicial</v>
      </c>
      <c r="C544" s="27" t="str">
        <f ca="1">IFERROR(__xludf.DUMMYFUNCTION("""COMPUTED_VALUE"""),"Fellow")</f>
        <v>Fellow</v>
      </c>
      <c r="D544" s="27" t="str">
        <f ca="1">IFERROR(__xludf.DUMMYFUNCTION("""COMPUTED_VALUE"""),"Ativo")</f>
        <v>Ativo</v>
      </c>
      <c r="E544" s="27" t="str">
        <f ca="1">IFERROR(__xludf.DUMMYFUNCTION("""COMPUTED_VALUE"""),"Projeto Social e Cultural Regaty")</f>
        <v>Projeto Social e Cultural Regaty</v>
      </c>
      <c r="F544" s="27" t="str">
        <f ca="1">IFERROR(__xludf.DUMMYFUNCTION("""COMPUTED_VALUE"""),"Claudimar")</f>
        <v>Claudimar</v>
      </c>
      <c r="G544" s="27" t="str">
        <f ca="1">IFERROR(__xludf.DUMMYFUNCTION("""COMPUTED_VALUE"""),"PROJETO RESGATY")</f>
        <v>PROJETO RESGATY</v>
      </c>
      <c r="H544" s="27" t="str">
        <f ca="1">IFERROR(__xludf.DUMMYFUNCTION("""COMPUTED_VALUE"""),"31.687.501/0001-11")</f>
        <v>31.687.501/0001-11</v>
      </c>
      <c r="I544" s="27" t="str">
        <f ca="1">IFERROR(__xludf.DUMMYFUNCTION("""COMPUTED_VALUE"""),"Claudimar dos santos Dantas")</f>
        <v>Claudimar dos santos Dantas</v>
      </c>
      <c r="J544" s="27" t="str">
        <f ca="1">IFERROR(__xludf.DUMMYFUNCTION("""COMPUTED_VALUE"""),"resgaty123@gmail.com")</f>
        <v>resgaty123@gmail.com</v>
      </c>
      <c r="K544" s="27" t="str">
        <f ca="1">IFERROR(__xludf.DUMMYFUNCTION("""COMPUTED_VALUE"""),"(71)99254-0521")</f>
        <v>(71)99254-0521</v>
      </c>
      <c r="L544" s="27" t="str">
        <f ca="1">IFERROR(__xludf.DUMMYFUNCTION("""COMPUTED_VALUE"""),"BA")</f>
        <v>BA</v>
      </c>
      <c r="M544" s="27" t="str">
        <f ca="1">IFERROR(__xludf.DUMMYFUNCTION("""COMPUTED_VALUE"""),"Rua Rio madeira 19 É")</f>
        <v>Rua Rio madeira 19 É</v>
      </c>
      <c r="N544" s="27" t="str">
        <f ca="1">IFERROR(__xludf.DUMMYFUNCTION("""COMPUTED_VALUE"""),"Itacaranha")</f>
        <v>Itacaranha</v>
      </c>
      <c r="O544" s="27" t="str">
        <f ca="1">IFERROR(__xludf.DUMMYFUNCTION("""COMPUTED_VALUE"""),"20 E")</f>
        <v>20 E</v>
      </c>
      <c r="P544" s="27" t="str">
        <f ca="1">IFERROR(__xludf.DUMMYFUNCTION("""COMPUTED_VALUE"""),"Salvador")</f>
        <v>Salvador</v>
      </c>
      <c r="Q544" s="27" t="str">
        <f ca="1">IFERROR(__xludf.DUMMYFUNCTION("""COMPUTED_VALUE"""),"Loja")</f>
        <v>Loja</v>
      </c>
      <c r="R544" s="27" t="str">
        <f ca="1">IFERROR(__xludf.DUMMYFUNCTION("""COMPUTED_VALUE"""),"40713-315")</f>
        <v>40713-315</v>
      </c>
      <c r="S544" s="27"/>
      <c r="T544" s="27"/>
      <c r="U544"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544" s="27" t="str">
        <f ca="1">IFERROR(__xludf.DUMMYFUNCTION("""COMPUTED_VALUE"""),"Moradores de Favelas, Pessoas em situação de rua, População LGBTQ+, Afrodescendentes, Dependentes Químicos, Pessoas com Deficiência")</f>
        <v>Moradores de Favelas, Pessoas em situação de rua, População LGBTQ+, Afrodescendentes, Dependentes Químicos, Pessoas com Deficiência</v>
      </c>
      <c r="W544" s="27">
        <f ca="1">IFERROR(__xludf.DUMMYFUNCTION("""COMPUTED_VALUE"""),7)</f>
        <v>7</v>
      </c>
      <c r="X544" s="27"/>
      <c r="Y544" s="27"/>
      <c r="Z544" s="27">
        <f ca="1">IFERROR(__xludf.DUMMYFUNCTION("""COMPUTED_VALUE"""),1000)</f>
        <v>1000</v>
      </c>
      <c r="AA544" s="29">
        <f ca="1">IFERROR(__xludf.DUMMYFUNCTION("""COMPUTED_VALUE"""),43230)</f>
        <v>43230</v>
      </c>
      <c r="AB544" s="27" t="str">
        <f ca="1">IFERROR(__xludf.DUMMYFUNCTION("""COMPUTED_VALUE"""),"Sim")</f>
        <v>Sim</v>
      </c>
      <c r="AC544" s="27">
        <f ca="1">IFERROR(__xludf.DUMMYFUNCTION("""COMPUTED_VALUE"""),0)</f>
        <v>0</v>
      </c>
      <c r="AD544" s="27">
        <f ca="1">IFERROR(__xludf.DUMMYFUNCTION("""COMPUTED_VALUE"""),4)</f>
        <v>4</v>
      </c>
      <c r="AE544" s="27">
        <f ca="1">IFERROR(__xludf.DUMMYFUNCTION("""COMPUTED_VALUE"""),10)</f>
        <v>10</v>
      </c>
      <c r="AF544" s="27">
        <f ca="1">IFERROR(__xludf.DUMMYFUNCTION("""COMPUTED_VALUE"""),7)</f>
        <v>7</v>
      </c>
      <c r="AG544" s="27">
        <f ca="1">IFERROR(__xludf.DUMMYFUNCTION("""COMPUTED_VALUE"""),3)</f>
        <v>3</v>
      </c>
      <c r="AH544" s="27" t="str">
        <f ca="1">IFERROR(__xludf.DUMMYFUNCTION("""COMPUTED_VALUE"""),"Editais, Doações, Recursos próprios")</f>
        <v>Editais, Doações, Recursos próprios</v>
      </c>
      <c r="AI544" s="27" t="str">
        <f ca="1">IFERROR(__xludf.DUMMYFUNCTION("""COMPUTED_VALUE"""),"30 recursos próprios, 50 doaçães e 20 editais")</f>
        <v>30 recursos próprios, 50 doaçães e 20 editais</v>
      </c>
      <c r="AJ544" s="27" t="str">
        <f ca="1">IFERROR(__xludf.DUMMYFUNCTION("""COMPUTED_VALUE"""),"Sim")</f>
        <v>Sim</v>
      </c>
      <c r="AK544" s="27"/>
      <c r="AL544" s="21" t="str">
        <f ca="1">IFERROR(__xludf.DUMMYFUNCTION("""COMPUTED_VALUE"""),"0034X0000380O6l")</f>
        <v>0034X0000380O6l</v>
      </c>
      <c r="AM544" s="27" t="str">
        <f ca="1">IFERROR(__xludf.DUMMYFUNCTION("""COMPUTED_VALUE"""),"Dos santos dantas")</f>
        <v>Dos santos dantas</v>
      </c>
      <c r="AN544" s="27" t="str">
        <f ca="1">IFERROR(__xludf.DUMMYFUNCTION("""COMPUTED_VALUE"""),"Ativo")</f>
        <v>Ativo</v>
      </c>
      <c r="AO544" s="29">
        <f ca="1">IFERROR(__xludf.DUMMYFUNCTION("""COMPUTED_VALUE"""),44763)</f>
        <v>44763</v>
      </c>
      <c r="AP544" s="27">
        <f ca="1">IFERROR(__xludf.DUMMYFUNCTION("""COMPUTED_VALUE"""),2)</f>
        <v>2</v>
      </c>
      <c r="AQ544" s="27" t="str">
        <f ca="1">IFERROR(__xludf.DUMMYFUNCTION("""COMPUTED_VALUE"""),"Primeiro Semestre 2022")</f>
        <v>Primeiro Semestre 2022</v>
      </c>
      <c r="AR544" s="27" t="str">
        <f ca="1">IFERROR(__xludf.DUMMYFUNCTION("""COMPUTED_VALUE"""),"resgaty123@gmail.com")</f>
        <v>resgaty123@gmail.com</v>
      </c>
      <c r="AS544" s="27" t="str">
        <f ca="1">IFERROR(__xludf.DUMMYFUNCTION("""COMPUTED_VALUE"""),"(71)99254-0521")</f>
        <v>(71)99254-0521</v>
      </c>
      <c r="AT544" s="30">
        <f ca="1">IFERROR(__xludf.DUMMYFUNCTION("""COMPUTED_VALUE"""),30614)</f>
        <v>30614</v>
      </c>
      <c r="AU544" s="27">
        <f ca="1">IFERROR(__xludf.DUMMYFUNCTION("""COMPUTED_VALUE"""),39)</f>
        <v>39</v>
      </c>
      <c r="AV544" s="27">
        <f ca="1">IFERROR(__xludf.DUMMYFUNCTION("""COMPUTED_VALUE"""),1436073596)</f>
        <v>1436073596</v>
      </c>
      <c r="AW544" s="27">
        <f ca="1">IFERROR(__xludf.DUMMYFUNCTION("""COMPUTED_VALUE"""),878570810)</f>
        <v>878570810</v>
      </c>
      <c r="AX544" s="27"/>
      <c r="AY544" s="27" t="str">
        <f ca="1">IFERROR(__xludf.DUMMYFUNCTION("""COMPUTED_VALUE"""),"Presidente")</f>
        <v>Presidente</v>
      </c>
      <c r="AZ544" s="27" t="str">
        <f ca="1">IFERROR(__xludf.DUMMYFUNCTION("""COMPUTED_VALUE"""),"G")</f>
        <v>G</v>
      </c>
      <c r="BA544" s="27" t="str">
        <f ca="1">IFERROR(__xludf.DUMMYFUNCTION("""COMPUTED_VALUE"""),"Preta")</f>
        <v>Preta</v>
      </c>
      <c r="BB544" s="27"/>
      <c r="BC544" s="27"/>
      <c r="BD544" s="27" t="str">
        <f ca="1">IFERROR(__xludf.DUMMYFUNCTION("""COMPUTED_VALUE"""),"Sou um líder proatividade, comunicativo e determinado, minha luta é conta a pobreza e a desigualdade.")</f>
        <v>Sou um líder proatividade, comunicativo e determinado, minha luta é conta a pobreza e a desigualdade.</v>
      </c>
      <c r="BE544" s="27" t="str">
        <f ca="1">IFERROR(__xludf.DUMMYFUNCTION("""COMPUTED_VALUE"""),"Homem, cisgênero")</f>
        <v>Homem, cisgênero</v>
      </c>
      <c r="BF544" s="27" t="str">
        <f ca="1">IFERROR(__xludf.DUMMYFUNCTION("""COMPUTED_VALUE"""),"Heterossexual")</f>
        <v>Heterossexual</v>
      </c>
      <c r="BG544" s="27" t="str">
        <f ca="1">IFERROR(__xludf.DUMMYFUNCTION("""COMPUTED_VALUE"""),"Ensino Médio - Completo")</f>
        <v>Ensino Médio - Completo</v>
      </c>
      <c r="BH544" s="27" t="str">
        <f ca="1">IFERROR(__xludf.DUMMYFUNCTION("""COMPUTED_VALUE"""),"Público")</f>
        <v>Público</v>
      </c>
      <c r="BI544" s="27"/>
      <c r="BJ544" s="27"/>
      <c r="BK544" s="27" t="str">
        <f ca="1">IFERROR(__xludf.DUMMYFUNCTION("""COMPUTED_VALUE"""),"Rua Rio madeira")</f>
        <v>Rua Rio madeira</v>
      </c>
      <c r="BL544" s="27" t="str">
        <f ca="1">IFERROR(__xludf.DUMMYFUNCTION("""COMPUTED_VALUE"""),"20 E")</f>
        <v>20 E</v>
      </c>
      <c r="BM544" s="27" t="str">
        <f ca="1">IFERROR(__xludf.DUMMYFUNCTION("""COMPUTED_VALUE"""),"Casa")</f>
        <v>Casa</v>
      </c>
      <c r="BN544" s="27" t="str">
        <f ca="1">IFERROR(__xludf.DUMMYFUNCTION("""COMPUTED_VALUE"""),"Salvador")</f>
        <v>Salvador</v>
      </c>
      <c r="BO544" s="27" t="str">
        <f ca="1">IFERROR(__xludf.DUMMYFUNCTION("""COMPUTED_VALUE"""),"40713-315")</f>
        <v>40713-315</v>
      </c>
      <c r="BP544" s="27" t="str">
        <f ca="1">IFERROR(__xludf.DUMMYFUNCTION("""COMPUTED_VALUE"""),"BA")</f>
        <v>BA</v>
      </c>
      <c r="BQ544" s="27" t="str">
        <f ca="1">IFERROR(__xludf.DUMMYFUNCTION("""COMPUTED_VALUE"""),"Entre 1 até 3 salários mínimos")</f>
        <v>Entre 1 até 3 salários mínimos</v>
      </c>
      <c r="BR544" s="27" t="str">
        <f ca="1">IFERROR(__xludf.DUMMYFUNCTION("""COMPUTED_VALUE"""),"Desempregado")</f>
        <v>Desempregado</v>
      </c>
      <c r="BS544" s="27" t="str">
        <f ca="1">IFERROR(__xludf.DUMMYFUNCTION("""COMPUTED_VALUE"""),"Casa própria")</f>
        <v>Casa própria</v>
      </c>
      <c r="BT544" s="27">
        <f ca="1">IFERROR(__xludf.DUMMYFUNCTION("""COMPUTED_VALUE"""),5)</f>
        <v>5</v>
      </c>
      <c r="BU544" s="27" t="str">
        <f ca="1">IFERROR(__xludf.DUMMYFUNCTION("""COMPUTED_VALUE"""),"Não tem")</f>
        <v>Não tem</v>
      </c>
      <c r="BV544" s="27" t="str">
        <f ca="1">IFERROR(__xludf.DUMMYFUNCTION("""COMPUTED_VALUE"""),"Não")</f>
        <v>Não</v>
      </c>
      <c r="BW544" s="27"/>
      <c r="BX544" s="21" t="str">
        <f ca="1">IFERROR(__xludf.DUMMYFUNCTION("""COMPUTED_VALUE"""),"https://www.instagram.com/reel/Cf-Y_jvAZlP/?igshid=YmMyMTA2M2Y=")</f>
        <v>https://www.instagram.com/reel/Cf-Y_jvAZlP/?igshid=YmMyMTA2M2Y=</v>
      </c>
      <c r="BY544" s="21" t="str">
        <f ca="1">IFERROR(__xludf.DUMMYFUNCTION("""COMPUTED_VALUE"""),"https://drive.google.com/open?id=1SH_DbYSC2GiQnWhbzfCh39xmTAEfzKcJ")</f>
        <v>https://drive.google.com/open?id=1SH_DbYSC2GiQnWhbzfCh39xmTAEfzKcJ</v>
      </c>
    </row>
    <row r="545" spans="1:77" ht="12.5" x14ac:dyDescent="0.25">
      <c r="A545" s="21" t="str">
        <f ca="1">IFERROR(__xludf.DUMMYFUNCTION("""COMPUTED_VALUE"""),"0014X00002VKCsjQAH")</f>
        <v>0014X00002VKCsjQAH</v>
      </c>
      <c r="B545" s="27" t="str">
        <f ca="1">IFERROR(__xludf.DUMMYFUNCTION("""COMPUTED_VALUE"""),"Fase Inicial")</f>
        <v>Fase Inicial</v>
      </c>
      <c r="C545" s="27" t="str">
        <f ca="1">IFERROR(__xludf.DUMMYFUNCTION("""COMPUTED_VALUE"""),"Fellow")</f>
        <v>Fellow</v>
      </c>
      <c r="D545" s="27" t="str">
        <f ca="1">IFERROR(__xludf.DUMMYFUNCTION("""COMPUTED_VALUE"""),"Ativo")</f>
        <v>Ativo</v>
      </c>
      <c r="E545" s="27" t="str">
        <f ca="1">IFERROR(__xludf.DUMMYFUNCTION("""COMPUTED_VALUE"""),"Projeto Social Entrando na Linha")</f>
        <v>Projeto Social Entrando na Linha</v>
      </c>
      <c r="F545" s="27" t="str">
        <f ca="1">IFERROR(__xludf.DUMMYFUNCTION("""COMPUTED_VALUE"""),"Juberlan")</f>
        <v>Juberlan</v>
      </c>
      <c r="G545" s="27" t="str">
        <f ca="1">IFERROR(__xludf.DUMMYFUNCTION("""COMPUTED_VALUE"""),"PROJETO SOCIAL ENTRANDO NA LINHA")</f>
        <v>PROJETO SOCIAL ENTRANDO NA LINHA</v>
      </c>
      <c r="H545" s="27" t="str">
        <f ca="1">IFERROR(__xludf.DUMMYFUNCTION("""COMPUTED_VALUE"""),"41.776.385/0001-60")</f>
        <v>41.776.385/0001-60</v>
      </c>
      <c r="I545" s="27" t="str">
        <f ca="1">IFERROR(__xludf.DUMMYFUNCTION("""COMPUTED_VALUE"""),"Juberlan Henrique da Silva Costa de Oliveira")</f>
        <v>Juberlan Henrique da Silva Costa de Oliveira</v>
      </c>
      <c r="J545" s="27" t="str">
        <f ca="1">IFERROR(__xludf.DUMMYFUNCTION("""COMPUTED_VALUE"""),"projetoentrandonalinha@gmail.com")</f>
        <v>projetoentrandonalinha@gmail.com</v>
      </c>
      <c r="K545" s="27" t="str">
        <f ca="1">IFERROR(__xludf.DUMMYFUNCTION("""COMPUTED_VALUE"""),"(21)98017-6667")</f>
        <v>(21)98017-6667</v>
      </c>
      <c r="L545" s="27" t="str">
        <f ca="1">IFERROR(__xludf.DUMMYFUNCTION("""COMPUTED_VALUE"""),"RJ")</f>
        <v>RJ</v>
      </c>
      <c r="M545" s="27" t="str">
        <f ca="1">IFERROR(__xludf.DUMMYFUNCTION("""COMPUTED_VALUE"""),"Praça Osvaldo Xavier")</f>
        <v>Praça Osvaldo Xavier</v>
      </c>
      <c r="N545" s="27" t="str">
        <f ca="1">IFERROR(__xludf.DUMMYFUNCTION("""COMPUTED_VALUE"""),"Rio do Ouro")</f>
        <v>Rio do Ouro</v>
      </c>
      <c r="O545" s="27" t="str">
        <f ca="1">IFERROR(__xludf.DUMMYFUNCTION("""COMPUTED_VALUE"""),"SN")</f>
        <v>SN</v>
      </c>
      <c r="P545" s="27" t="str">
        <f ca="1">IFERROR(__xludf.DUMMYFUNCTION("""COMPUTED_VALUE"""),"São Gonçalo")</f>
        <v>São Gonçalo</v>
      </c>
      <c r="Q545" s="27">
        <f ca="1">IFERROR(__xludf.DUMMYFUNCTION("""COMPUTED_VALUE"""),1)</f>
        <v>1</v>
      </c>
      <c r="R545" s="27" t="str">
        <f ca="1">IFERROR(__xludf.DUMMYFUNCTION("""COMPUTED_VALUE"""),"24753-680")</f>
        <v>24753-680</v>
      </c>
      <c r="S545" s="27"/>
      <c r="T545" s="27"/>
      <c r="U545" s="27" t="str">
        <f ca="1">IFERROR(__xludf.DUMMYFUNCTION("""COMPUTED_VALUE"""),"Crianças pequenas (4 anos a 5 anos e 11 meses), Crianças (6 a 12 anos), Adolescentes (12 aos 18 anos)")</f>
        <v>Crianças pequenas (4 anos a 5 anos e 11 meses), Crianças (6 a 12 anos), Adolescentes (12 aos 18 anos)</v>
      </c>
      <c r="V545" s="27" t="str">
        <f ca="1">IFERROR(__xludf.DUMMYFUNCTION("""COMPUTED_VALUE"""),"Moradores de Favelas")</f>
        <v>Moradores de Favelas</v>
      </c>
      <c r="W545" s="27">
        <f ca="1">IFERROR(__xludf.DUMMYFUNCTION("""COMPUTED_VALUE"""),1)</f>
        <v>1</v>
      </c>
      <c r="X545" s="27" t="str">
        <f ca="1">IFERROR(__xludf.DUMMYFUNCTION("""COMPUTED_VALUE"""),"As 3 favelas citadas acima ficam localizadas no Complexo de favelas da Linha em São Gonçalo")</f>
        <v>As 3 favelas citadas acima ficam localizadas no Complexo de favelas da Linha em São Gonçalo</v>
      </c>
      <c r="Y545" s="27"/>
      <c r="Z545" s="27">
        <f ca="1">IFERROR(__xludf.DUMMYFUNCTION("""COMPUTED_VALUE"""),100)</f>
        <v>100</v>
      </c>
      <c r="AA545" s="29">
        <f ca="1">IFERROR(__xludf.DUMMYFUNCTION("""COMPUTED_VALUE"""),43870)</f>
        <v>43870</v>
      </c>
      <c r="AB545" s="27" t="str">
        <f ca="1">IFERROR(__xludf.DUMMYFUNCTION("""COMPUTED_VALUE"""),"Sim")</f>
        <v>Sim</v>
      </c>
      <c r="AC545" s="27">
        <f ca="1">IFERROR(__xludf.DUMMYFUNCTION("""COMPUTED_VALUE"""),0)</f>
        <v>0</v>
      </c>
      <c r="AD545" s="27">
        <f ca="1">IFERROR(__xludf.DUMMYFUNCTION("""COMPUTED_VALUE"""),0)</f>
        <v>0</v>
      </c>
      <c r="AE545" s="27">
        <f ca="1">IFERROR(__xludf.DUMMYFUNCTION("""COMPUTED_VALUE"""),16)</f>
        <v>16</v>
      </c>
      <c r="AF545" s="27">
        <f ca="1">IFERROR(__xludf.DUMMYFUNCTION("""COMPUTED_VALUE"""),9)</f>
        <v>9</v>
      </c>
      <c r="AG545" s="27">
        <f ca="1">IFERROR(__xludf.DUMMYFUNCTION("""COMPUTED_VALUE"""),4)</f>
        <v>4</v>
      </c>
      <c r="AH545" s="27" t="str">
        <f ca="1">IFERROR(__xludf.DUMMYFUNCTION("""COMPUTED_VALUE"""),"Plataforma doação online - Pessoa Física, Parceria iniciativa privada, Editais, Doações")</f>
        <v>Plataforma doação online - Pessoa Física, Parceria iniciativa privada, Editais, Doações</v>
      </c>
      <c r="AI545" s="27" t="str">
        <f ca="1">IFERROR(__xludf.DUMMYFUNCTION("""COMPUTED_VALUE"""),"(iniciativa privada 25%) (editais 40%) (doações 30%) (plataforma doação online 5%)")</f>
        <v>(iniciativa privada 25%) (editais 40%) (doações 30%) (plataforma doação online 5%)</v>
      </c>
      <c r="AJ545" s="27" t="str">
        <f ca="1">IFERROR(__xludf.DUMMYFUNCTION("""COMPUTED_VALUE"""),"Vamos iniciar esse ano")</f>
        <v>Vamos iniciar esse ano</v>
      </c>
      <c r="AK545" s="27"/>
      <c r="AL545" s="21" t="str">
        <f ca="1">IFERROR(__xludf.DUMMYFUNCTION("""COMPUTED_VALUE"""),"0034X0000380O0z")</f>
        <v>0034X0000380O0z</v>
      </c>
      <c r="AM545" s="27" t="str">
        <f ca="1">IFERROR(__xludf.DUMMYFUNCTION("""COMPUTED_VALUE"""),"Henrique da silva costa de oliveira")</f>
        <v>Henrique da silva costa de oliveira</v>
      </c>
      <c r="AN545" s="27" t="str">
        <f ca="1">IFERROR(__xludf.DUMMYFUNCTION("""COMPUTED_VALUE"""),"Ativo")</f>
        <v>Ativo</v>
      </c>
      <c r="AO545" s="27"/>
      <c r="AP545" s="27"/>
      <c r="AQ545" s="27" t="str">
        <f ca="1">IFERROR(__xludf.DUMMYFUNCTION("""COMPUTED_VALUE"""),"Primeiro Semestre 2022")</f>
        <v>Primeiro Semestre 2022</v>
      </c>
      <c r="AR545" s="27" t="str">
        <f ca="1">IFERROR(__xludf.DUMMYFUNCTION("""COMPUTED_VALUE"""),"juberoliveira47@gmail.com")</f>
        <v>juberoliveira47@gmail.com</v>
      </c>
      <c r="AS545" s="27" t="str">
        <f ca="1">IFERROR(__xludf.DUMMYFUNCTION("""COMPUTED_VALUE"""),"(21)98017-6667")</f>
        <v>(21)98017-6667</v>
      </c>
      <c r="AT545" s="29">
        <f ca="1">IFERROR(__xludf.DUMMYFUNCTION("""COMPUTED_VALUE"""),31827)</f>
        <v>31827</v>
      </c>
      <c r="AU545" s="27">
        <f ca="1">IFERROR(__xludf.DUMMYFUNCTION("""COMPUTED_VALUE"""),35)</f>
        <v>35</v>
      </c>
      <c r="AV545" s="27">
        <f ca="1">IFERROR(__xludf.DUMMYFUNCTION("""COMPUTED_VALUE"""),11898292744)</f>
        <v>11898292744</v>
      </c>
      <c r="AW545" s="27">
        <f ca="1">IFERROR(__xludf.DUMMYFUNCTION("""COMPUTED_VALUE"""),213928567)</f>
        <v>213928567</v>
      </c>
      <c r="AX545" s="27"/>
      <c r="AY545" s="27" t="str">
        <f ca="1">IFERROR(__xludf.DUMMYFUNCTION("""COMPUTED_VALUE"""),"Presidente")</f>
        <v>Presidente</v>
      </c>
      <c r="AZ545" s="27" t="str">
        <f ca="1">IFERROR(__xludf.DUMMYFUNCTION("""COMPUTED_VALUE"""),"GG")</f>
        <v>GG</v>
      </c>
      <c r="BA545" s="27" t="str">
        <f ca="1">IFERROR(__xludf.DUMMYFUNCTION("""COMPUTED_VALUE"""),"Parda")</f>
        <v>Parda</v>
      </c>
      <c r="BB545" s="27"/>
      <c r="BC545" s="27"/>
      <c r="BD545" s="27" t="str">
        <f ca="1">IFERROR(__xludf.DUMMYFUNCTION("""COMPUTED_VALUE"""),"Me chamo Juber Oliveira, sou presidente-fundador do Projeto Social Entrando na Linha.
Nascido e criado no Complexo de Favelas da Linha, aos 7anos de idade conheci o teatro na escola e aos 12 anos de idade ganhei uma bolsa de 100% em um curso de teatro. Po"&amp;"steriormente ingressei na Cia de teatro profissional em que o professor atuava como diretor, onde permaneci por 6 anos. Isso foi um divisor de águas em minha vida, foi onde descobri que existia um mundo fora da favela. 
Por isso fundei o ProSEL")</f>
        <v>Me chamo Juber Oliveira, sou presidente-fundador do Projeto Social Entrando na Linha.
Nascido e criado no Complexo de Favelas da Linha, aos 7anos de idade conheci o teatro na escola e aos 12 anos de idade ganhei uma bolsa de 100% em um curso de teatro. Posteriormente ingressei na Cia de teatro profissional em que o professor atuava como diretor, onde permaneci por 6 anos. Isso foi um divisor de águas em minha vida, foi onde descobri que existia um mundo fora da favela. 
Por isso fundei o ProSEL</v>
      </c>
      <c r="BE545" s="27" t="str">
        <f ca="1">IFERROR(__xludf.DUMMYFUNCTION("""COMPUTED_VALUE"""),"Homem, cisgênero")</f>
        <v>Homem, cisgênero</v>
      </c>
      <c r="BF545" s="27" t="str">
        <f ca="1">IFERROR(__xludf.DUMMYFUNCTION("""COMPUTED_VALUE"""),"Heterossexual")</f>
        <v>Heterossexual</v>
      </c>
      <c r="BG545" s="27" t="str">
        <f ca="1">IFERROR(__xludf.DUMMYFUNCTION("""COMPUTED_VALUE"""),"Ensino Superior - Incompleto")</f>
        <v>Ensino Superior - Incompleto</v>
      </c>
      <c r="BH545" s="27" t="str">
        <f ca="1">IFERROR(__xludf.DUMMYFUNCTION("""COMPUTED_VALUE"""),"Público")</f>
        <v>Público</v>
      </c>
      <c r="BI545" s="27" t="str">
        <f ca="1">IFERROR(__xludf.DUMMYFUNCTION("""COMPUTED_VALUE"""),"Graduação")</f>
        <v>Graduação</v>
      </c>
      <c r="BJ545" s="27"/>
      <c r="BK545" s="27" t="str">
        <f ca="1">IFERROR(__xludf.DUMMYFUNCTION("""COMPUTED_VALUE"""),"José Gomes Amado")</f>
        <v>José Gomes Amado</v>
      </c>
      <c r="BL545" s="27">
        <f ca="1">IFERROR(__xludf.DUMMYFUNCTION("""COMPUTED_VALUE"""),160)</f>
        <v>160</v>
      </c>
      <c r="BM545" s="27" t="str">
        <f ca="1">IFERROR(__xludf.DUMMYFUNCTION("""COMPUTED_VALUE"""),"Bloco 3 Apartamento 502")</f>
        <v>Bloco 3 Apartamento 502</v>
      </c>
      <c r="BN545" s="27" t="str">
        <f ca="1">IFERROR(__xludf.DUMMYFUNCTION("""COMPUTED_VALUE"""),"São Gonçalo")</f>
        <v>São Gonçalo</v>
      </c>
      <c r="BO545" s="27" t="str">
        <f ca="1">IFERROR(__xludf.DUMMYFUNCTION("""COMPUTED_VALUE"""),"24755-023")</f>
        <v>24755-023</v>
      </c>
      <c r="BP545" s="27" t="str">
        <f ca="1">IFERROR(__xludf.DUMMYFUNCTION("""COMPUTED_VALUE"""),"RJ")</f>
        <v>RJ</v>
      </c>
      <c r="BQ545" s="27" t="str">
        <f ca="1">IFERROR(__xludf.DUMMYFUNCTION("""COMPUTED_VALUE"""),"Entre 1 até 3 salários mínimos")</f>
        <v>Entre 1 até 3 salários mínimos</v>
      </c>
      <c r="BR545" s="27" t="str">
        <f ca="1">IFERROR(__xludf.DUMMYFUNCTION("""COMPUTED_VALUE"""),"CLT")</f>
        <v>CLT</v>
      </c>
      <c r="BS545" s="27" t="str">
        <f ca="1">IFERROR(__xludf.DUMMYFUNCTION("""COMPUTED_VALUE"""),"Casa cedida")</f>
        <v>Casa cedida</v>
      </c>
      <c r="BT545" s="27">
        <f ca="1">IFERROR(__xludf.DUMMYFUNCTION("""COMPUTED_VALUE"""),2)</f>
        <v>2</v>
      </c>
      <c r="BU545" s="27" t="str">
        <f ca="1">IFERROR(__xludf.DUMMYFUNCTION("""COMPUTED_VALUE"""),"Não tem")</f>
        <v>Não tem</v>
      </c>
      <c r="BV545" s="27" t="str">
        <f ca="1">IFERROR(__xludf.DUMMYFUNCTION("""COMPUTED_VALUE"""),"Não")</f>
        <v>Não</v>
      </c>
      <c r="BW545" s="27"/>
      <c r="BX545" s="21" t="str">
        <f ca="1">IFERROR(__xludf.DUMMYFUNCTION("""COMPUTED_VALUE"""),"https://instagram.com/juber_prosel?igshid=YmMyMTA2M2Y=")</f>
        <v>https://instagram.com/juber_prosel?igshid=YmMyMTA2M2Y=</v>
      </c>
      <c r="BY545" s="21" t="str">
        <f ca="1">IFERROR(__xludf.DUMMYFUNCTION("""COMPUTED_VALUE"""),"https://drive.google.com/open?id=1NFLh8c8ByQouWcetNaNyKR2uinpdv-xv")</f>
        <v>https://drive.google.com/open?id=1NFLh8c8ByQouWcetNaNyKR2uinpdv-xv</v>
      </c>
    </row>
    <row r="546" spans="1:77" ht="12.5" x14ac:dyDescent="0.25">
      <c r="A546" s="21" t="str">
        <f ca="1">IFERROR(__xludf.DUMMYFUNCTION("""COMPUTED_VALUE"""),"0014X00002VKCpMQAX")</f>
        <v>0014X00002VKCpMQAX</v>
      </c>
      <c r="B546" s="27" t="str">
        <f ca="1">IFERROR(__xludf.DUMMYFUNCTION("""COMPUTED_VALUE"""),"Fase Inicial")</f>
        <v>Fase Inicial</v>
      </c>
      <c r="C546" s="27" t="str">
        <f ca="1">IFERROR(__xludf.DUMMYFUNCTION("""COMPUTED_VALUE"""),"Fellow")</f>
        <v>Fellow</v>
      </c>
      <c r="D546" s="27" t="str">
        <f ca="1">IFERROR(__xludf.DUMMYFUNCTION("""COMPUTED_VALUE"""),"Ativo")</f>
        <v>Ativo</v>
      </c>
      <c r="E546" s="27" t="str">
        <f ca="1">IFERROR(__xludf.DUMMYFUNCTION("""COMPUTED_VALUE"""),"Projeto social fazer o bem faz bem a vida")</f>
        <v>Projeto social fazer o bem faz bem a vida</v>
      </c>
      <c r="F546" s="27" t="str">
        <f ca="1">IFERROR(__xludf.DUMMYFUNCTION("""COMPUTED_VALUE"""),"Leidiane")</f>
        <v>Leidiane</v>
      </c>
      <c r="G546" s="27" t="str">
        <f ca="1">IFERROR(__xludf.DUMMYFUNCTION("""COMPUTED_VALUE"""),"PROBEMSALVADOR")</f>
        <v>PROBEMSALVADOR</v>
      </c>
      <c r="H546" s="27"/>
      <c r="I546" s="27" t="str">
        <f ca="1">IFERROR(__xludf.DUMMYFUNCTION("""COMPUTED_VALUE"""),"Leidiane dos santos santos")</f>
        <v>Leidiane dos santos santos</v>
      </c>
      <c r="J546" s="27"/>
      <c r="K546" s="27">
        <f ca="1">IFERROR(__xludf.DUMMYFUNCTION("""COMPUTED_VALUE"""),71982440849)</f>
        <v>71982440849</v>
      </c>
      <c r="L546" s="27" t="str">
        <f ca="1">IFERROR(__xludf.DUMMYFUNCTION("""COMPUTED_VALUE"""),"BA")</f>
        <v>BA</v>
      </c>
      <c r="M546" s="27" t="str">
        <f ca="1">IFERROR(__xludf.DUMMYFUNCTION("""COMPUTED_VALUE"""),"Vila Correia")</f>
        <v>Vila Correia</v>
      </c>
      <c r="N546" s="27" t="str">
        <f ca="1">IFERROR(__xludf.DUMMYFUNCTION("""COMPUTED_VALUE"""),"Campinas de Pirajá")</f>
        <v>Campinas de Pirajá</v>
      </c>
      <c r="O546" s="27">
        <f ca="1">IFERROR(__xludf.DUMMYFUNCTION("""COMPUTED_VALUE"""),34)</f>
        <v>34</v>
      </c>
      <c r="P546" s="27" t="str">
        <f ca="1">IFERROR(__xludf.DUMMYFUNCTION("""COMPUTED_VALUE"""),"Salvador")</f>
        <v>Salvador</v>
      </c>
      <c r="Q546" s="27" t="str">
        <f ca="1">IFERROR(__xludf.DUMMYFUNCTION("""COMPUTED_VALUE"""),"Fn1")</f>
        <v>Fn1</v>
      </c>
      <c r="R546" s="27" t="str">
        <f ca="1">IFERROR(__xludf.DUMMYFUNCTION("""COMPUTED_VALUE"""),"41270-380")</f>
        <v>41270-380</v>
      </c>
      <c r="S546" s="27"/>
      <c r="T546" s="27"/>
      <c r="U546" s="27"/>
      <c r="V546" s="27"/>
      <c r="W546" s="27">
        <f ca="1">IFERROR(__xludf.DUMMYFUNCTION("""COMPUTED_VALUE"""),4)</f>
        <v>4</v>
      </c>
      <c r="X546" s="27" t="str">
        <f ca="1">IFERROR(__xludf.DUMMYFUNCTION("""COMPUTED_VALUE"""),"São ações em comunidades carentes . E tem os alunos fixos do ProbemSalvador .")</f>
        <v>São ações em comunidades carentes . E tem os alunos fixos do ProbemSalvador .</v>
      </c>
      <c r="Y546" s="27"/>
      <c r="Z546" s="27">
        <f ca="1">IFERROR(__xludf.DUMMYFUNCTION("""COMPUTED_VALUE"""),190)</f>
        <v>190</v>
      </c>
      <c r="AA546" s="29">
        <f ca="1">IFERROR(__xludf.DUMMYFUNCTION("""COMPUTED_VALUE"""),42899)</f>
        <v>42899</v>
      </c>
      <c r="AB546" s="27" t="str">
        <f ca="1">IFERROR(__xludf.DUMMYFUNCTION("""COMPUTED_VALUE"""),"Não")</f>
        <v>Não</v>
      </c>
      <c r="AC546" s="27">
        <f ca="1">IFERROR(__xludf.DUMMYFUNCTION("""COMPUTED_VALUE"""),0)</f>
        <v>0</v>
      </c>
      <c r="AD546" s="27"/>
      <c r="AE546" s="27">
        <f ca="1">IFERROR(__xludf.DUMMYFUNCTION("""COMPUTED_VALUE"""),11)</f>
        <v>11</v>
      </c>
      <c r="AF546" s="27"/>
      <c r="AG546" s="27">
        <f ca="1">IFERROR(__xludf.DUMMYFUNCTION("""COMPUTED_VALUE"""),2)</f>
        <v>2</v>
      </c>
      <c r="AH546" s="27"/>
      <c r="AI546" s="27"/>
      <c r="AJ546" s="27"/>
      <c r="AK546" s="27"/>
      <c r="AL546" s="21" t="str">
        <f ca="1">IFERROR(__xludf.DUMMYFUNCTION("""COMPUTED_VALUE"""),"0034X0000380O2E")</f>
        <v>0034X0000380O2E</v>
      </c>
      <c r="AM546" s="27" t="str">
        <f ca="1">IFERROR(__xludf.DUMMYFUNCTION("""COMPUTED_VALUE"""),"Dos santos santos")</f>
        <v>Dos santos santos</v>
      </c>
      <c r="AN546" s="27" t="str">
        <f ca="1">IFERROR(__xludf.DUMMYFUNCTION("""COMPUTED_VALUE"""),"Ativo")</f>
        <v>Ativo</v>
      </c>
      <c r="AO546" s="29">
        <f ca="1">IFERROR(__xludf.DUMMYFUNCTION("""COMPUTED_VALUE"""),44763)</f>
        <v>44763</v>
      </c>
      <c r="AP546" s="27">
        <f ca="1">IFERROR(__xludf.DUMMYFUNCTION("""COMPUTED_VALUE"""),2)</f>
        <v>2</v>
      </c>
      <c r="AQ546" s="27" t="str">
        <f ca="1">IFERROR(__xludf.DUMMYFUNCTION("""COMPUTED_VALUE"""),"Primeiro Semestre 2022")</f>
        <v>Primeiro Semestre 2022</v>
      </c>
      <c r="AR546" s="27" t="str">
        <f ca="1">IFERROR(__xludf.DUMMYFUNCTION("""COMPUTED_VALUE"""),"santosleid@gmail.com")</f>
        <v>santosleid@gmail.com</v>
      </c>
      <c r="AS546" s="27">
        <f ca="1">IFERROR(__xludf.DUMMYFUNCTION("""COMPUTED_VALUE"""),71972440849)</f>
        <v>71972440849</v>
      </c>
      <c r="AT546" s="29">
        <f ca="1">IFERROR(__xludf.DUMMYFUNCTION("""COMPUTED_VALUE"""),29971)</f>
        <v>29971</v>
      </c>
      <c r="AU546" s="27">
        <f ca="1">IFERROR(__xludf.DUMMYFUNCTION("""COMPUTED_VALUE"""),40)</f>
        <v>40</v>
      </c>
      <c r="AV546" s="27">
        <f ca="1">IFERROR(__xludf.DUMMYFUNCTION("""COMPUTED_VALUE"""),1990996507)</f>
        <v>1990996507</v>
      </c>
      <c r="AW546" s="27">
        <f ca="1">IFERROR(__xludf.DUMMYFUNCTION("""COMPUTED_VALUE"""),795695365)</f>
        <v>795695365</v>
      </c>
      <c r="AX546" s="27"/>
      <c r="AY546" s="27"/>
      <c r="AZ546" s="27" t="str">
        <f ca="1">IFERROR(__xludf.DUMMYFUNCTION("""COMPUTED_VALUE"""),"G2")</f>
        <v>G2</v>
      </c>
      <c r="BA546" s="27" t="str">
        <f ca="1">IFERROR(__xludf.DUMMYFUNCTION("""COMPUTED_VALUE"""),"Preta")</f>
        <v>Preta</v>
      </c>
      <c r="BB546" s="27"/>
      <c r="BC546" s="27"/>
      <c r="BD546" s="27" t="str">
        <f ca="1">IFERROR(__xludf.DUMMYFUNCTION("""COMPUTED_VALUE"""),"Comecei a fazer trabalhos por minha comunidade desde os 16 anos . Depois foi para a faculdade mas infelizmente não pude concluir . Em 2017  fundei o ProbemSalvador que é um espaço que cuida de crianças e adolescentes através da educação . Temos aula de in"&amp;"glês e espanhol * distribuição de cesta básica para as crianças e livros . Nos preocupamos muito com o futuro e sabemos que só através da educação teremos uma mudança verdadeira .Estamos com planos de colocar no ProbemSalvador um curso pré-vestibular * já"&amp;" temos alguns professores interessados em fazer parte desta corrente do bem . A luta não é fácil mas nos sentimos feliz em fazer a diferença na vida de uma criança e de sua família .")</f>
        <v>Comecei a fazer trabalhos por minha comunidade desde os 16 anos . Depois foi para a faculdade mas infelizmente não pude concluir . Em 2017  fundei o ProbemSalvador que é um espaço que cuida de crianças e adolescentes através da educação . Temos aula de inglês e espanhol * distribuição de cesta básica para as crianças e livros . Nos preocupamos muito com o futuro e sabemos que só através da educação teremos uma mudança verdadeira .Estamos com planos de colocar no ProbemSalvador um curso pré-vestibular * já temos alguns professores interessados em fazer parte desta corrente do bem . A luta não é fácil mas nos sentimos feliz em fazer a diferença na vida de uma criança e de sua família .</v>
      </c>
      <c r="BE546" s="27" t="str">
        <f ca="1">IFERROR(__xludf.DUMMYFUNCTION("""COMPUTED_VALUE"""),"Feminino")</f>
        <v>Feminino</v>
      </c>
      <c r="BF546" s="27" t="str">
        <f ca="1">IFERROR(__xludf.DUMMYFUNCTION("""COMPUTED_VALUE"""),"Heterossexual")</f>
        <v>Heterossexual</v>
      </c>
      <c r="BG546" s="27"/>
      <c r="BH546" s="27" t="str">
        <f ca="1">IFERROR(__xludf.DUMMYFUNCTION("""COMPUTED_VALUE"""),"Público")</f>
        <v>Público</v>
      </c>
      <c r="BI546" s="27" t="str">
        <f ca="1">IFERROR(__xludf.DUMMYFUNCTION("""COMPUTED_VALUE"""),"Graduação")</f>
        <v>Graduação</v>
      </c>
      <c r="BJ546" s="27" t="str">
        <f ca="1">IFERROR(__xludf.DUMMYFUNCTION("""COMPUTED_VALUE"""),"Privado")</f>
        <v>Privado</v>
      </c>
      <c r="BK546" s="27" t="str">
        <f ca="1">IFERROR(__xludf.DUMMYFUNCTION("""COMPUTED_VALUE"""),"Rua Joel Lopes")</f>
        <v>Rua Joel Lopes</v>
      </c>
      <c r="BL546" s="27">
        <f ca="1">IFERROR(__xludf.DUMMYFUNCTION("""COMPUTED_VALUE"""),182)</f>
        <v>182</v>
      </c>
      <c r="BM546" s="27"/>
      <c r="BN546" s="27"/>
      <c r="BO546" s="27">
        <f ca="1">IFERROR(__xludf.DUMMYFUNCTION("""COMPUTED_VALUE"""),41280630)</f>
        <v>41280630</v>
      </c>
      <c r="BP546" s="27" t="str">
        <f ca="1">IFERROR(__xludf.DUMMYFUNCTION("""COMPUTED_VALUE"""),"BA")</f>
        <v>BA</v>
      </c>
      <c r="BQ546" s="27" t="str">
        <f ca="1">IFERROR(__xludf.DUMMYFUNCTION("""COMPUTED_VALUE"""),"Entre 1 até 3 salários mínimos")</f>
        <v>Entre 1 até 3 salários mínimos</v>
      </c>
      <c r="BR546" s="27" t="str">
        <f ca="1">IFERROR(__xludf.DUMMYFUNCTION("""COMPUTED_VALUE"""),"Trabalho informal")</f>
        <v>Trabalho informal</v>
      </c>
      <c r="BS546" s="27" t="str">
        <f ca="1">IFERROR(__xludf.DUMMYFUNCTION("""COMPUTED_VALUE"""),"Aluguel")</f>
        <v>Aluguel</v>
      </c>
      <c r="BT546" s="27">
        <f ca="1">IFERROR(__xludf.DUMMYFUNCTION("""COMPUTED_VALUE"""),1)</f>
        <v>1</v>
      </c>
      <c r="BU546" s="27" t="str">
        <f ca="1">IFERROR(__xludf.DUMMYFUNCTION("""COMPUTED_VALUE"""),"Não tem")</f>
        <v>Não tem</v>
      </c>
      <c r="BV546" s="27" t="str">
        <f ca="1">IFERROR(__xludf.DUMMYFUNCTION("""COMPUTED_VALUE"""),"Não")</f>
        <v>Não</v>
      </c>
      <c r="BW546" s="27"/>
      <c r="BX546" s="27"/>
      <c r="BY546" s="27"/>
    </row>
    <row r="547" spans="1:77" ht="12.5" x14ac:dyDescent="0.25">
      <c r="A547" s="21" t="str">
        <f ca="1">IFERROR(__xludf.DUMMYFUNCTION("""COMPUTED_VALUE"""),"0014P00003YSp7ZQAT")</f>
        <v>0014P00003YSp7ZQAT</v>
      </c>
      <c r="B547" s="27" t="str">
        <f ca="1">IFERROR(__xludf.DUMMYFUNCTION("""COMPUTED_VALUE"""),"Fase Inicial")</f>
        <v>Fase Inicial</v>
      </c>
      <c r="C547" s="27" t="str">
        <f ca="1">IFERROR(__xludf.DUMMYFUNCTION("""COMPUTED_VALUE"""),"Fellow")</f>
        <v>Fellow</v>
      </c>
      <c r="D547" s="27" t="str">
        <f ca="1">IFERROR(__xludf.DUMMYFUNCTION("""COMPUTED_VALUE"""),"Ativo")</f>
        <v>Ativo</v>
      </c>
      <c r="E547" s="27" t="str">
        <f ca="1">IFERROR(__xludf.DUMMYFUNCTION("""COMPUTED_VALUE"""),"Projeto Social Patrulha do Bem")</f>
        <v>Projeto Social Patrulha do Bem</v>
      </c>
      <c r="F547" s="27" t="str">
        <f ca="1">IFERROR(__xludf.DUMMYFUNCTION("""COMPUTED_VALUE"""),"Fabiane")</f>
        <v>Fabiane</v>
      </c>
      <c r="G547" s="27"/>
      <c r="H547" s="27" t="str">
        <f ca="1">IFERROR(__xludf.DUMMYFUNCTION("""COMPUTED_VALUE"""),"42.321.388/0001-72")</f>
        <v>42.321.388/0001-72</v>
      </c>
      <c r="I547" s="27" t="str">
        <f ca="1">IFERROR(__xludf.DUMMYFUNCTION("""COMPUTED_VALUE"""),"Fabiane Fernandes Mota")</f>
        <v>Fabiane Fernandes Mota</v>
      </c>
      <c r="J547" s="27" t="str">
        <f ca="1">IFERROR(__xludf.DUMMYFUNCTION("""COMPUTED_VALUE"""),"patrulhadobem01@gmail.com")</f>
        <v>patrulhadobem01@gmail.com</v>
      </c>
      <c r="K547" s="27" t="str">
        <f ca="1">IFERROR(__xludf.DUMMYFUNCTION("""COMPUTED_VALUE"""),"(71)99410-8842")</f>
        <v>(71)99410-8842</v>
      </c>
      <c r="L547" s="27" t="str">
        <f ca="1">IFERROR(__xludf.DUMMYFUNCTION("""COMPUTED_VALUE"""),"BA")</f>
        <v>BA</v>
      </c>
      <c r="M547" s="27" t="str">
        <f ca="1">IFERROR(__xludf.DUMMYFUNCTION("""COMPUTED_VALUE"""),"Rua José Inácio do Amaral, 24")</f>
        <v>Rua José Inácio do Amaral, 24</v>
      </c>
      <c r="N547" s="27" t="str">
        <f ca="1">IFERROR(__xludf.DUMMYFUNCTION("""COMPUTED_VALUE"""),"Nordeste")</f>
        <v>Nordeste</v>
      </c>
      <c r="O547" s="27">
        <f ca="1">IFERROR(__xludf.DUMMYFUNCTION("""COMPUTED_VALUE"""),24)</f>
        <v>24</v>
      </c>
      <c r="P547" s="27" t="str">
        <f ca="1">IFERROR(__xludf.DUMMYFUNCTION("""COMPUTED_VALUE"""),"Salvador")</f>
        <v>Salvador</v>
      </c>
      <c r="Q547" s="27"/>
      <c r="R547" s="27" t="str">
        <f ca="1">IFERROR(__xludf.DUMMYFUNCTION("""COMPUTED_VALUE"""),"41.905-370")</f>
        <v>41.905-370</v>
      </c>
      <c r="S547" s="27"/>
      <c r="T547" s="27" t="str">
        <f ca="1">IFERROR(__xludf.DUMMYFUNCTION("""COMPUTED_VALUE"""),"Esporte; Educação; Empregabilidade; Assistência Social; Cultura; Qualificação Profissional; Empreendedorismo; Saúde; Empoderamento Feminino; Negócios Sociais; Desenvolvimento comunitário; Outro(s)")</f>
        <v>Esporte; Educação; Empregabilidade; Assistência Social; Cultura; Qualificação Profissional; Empreendedorismo; Saúde; Empoderamento Feminino; Negócios Sociais; Desenvolvimento comunitário; Outro(s)</v>
      </c>
      <c r="U547"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547" s="27" t="str">
        <f ca="1">IFERROR(__xludf.DUMMYFUNCTION("""COMPUTED_VALUE"""),"Moradores de Favelas; Pessoas em situação de rua; Povos Indígenas; Quilombola; Afrodescendentes; Dependentes Químicos; Pessoas com Deficiência; Ribeirinhos; Comunidade rural; Outros")</f>
        <v>Moradores de Favelas; Pessoas em situação de rua; Povos Indígenas; Quilombola; Afrodescendentes; Dependentes Químicos; Pessoas com Deficiência; Ribeirinhos; Comunidade rural; Outros</v>
      </c>
      <c r="W547" s="27">
        <f ca="1">IFERROR(__xludf.DUMMYFUNCTION("""COMPUTED_VALUE"""),10)</f>
        <v>10</v>
      </c>
      <c r="X547" s="27" t="str">
        <f ca="1">IFERROR(__xludf.DUMMYFUNCTION("""COMPUTED_VALUE"""),"Pessoas em situação de rua")</f>
        <v>Pessoas em situação de rua</v>
      </c>
      <c r="Y547" s="27"/>
      <c r="Z547" s="27">
        <f ca="1">IFERROR(__xludf.DUMMYFUNCTION("""COMPUTED_VALUE"""),5000)</f>
        <v>5000</v>
      </c>
      <c r="AA547" s="30">
        <f ca="1">IFERROR(__xludf.DUMMYFUNCTION("""COMPUTED_VALUE"""),44179)</f>
        <v>44179</v>
      </c>
      <c r="AB547" s="27" t="str">
        <f ca="1">IFERROR(__xludf.DUMMYFUNCTION("""COMPUTED_VALUE"""),"Sim")</f>
        <v>Sim</v>
      </c>
      <c r="AC547" s="27">
        <f ca="1">IFERROR(__xludf.DUMMYFUNCTION("""COMPUTED_VALUE"""),0)</f>
        <v>0</v>
      </c>
      <c r="AD547" s="27">
        <f ca="1">IFERROR(__xludf.DUMMYFUNCTION("""COMPUTED_VALUE"""),0)</f>
        <v>0</v>
      </c>
      <c r="AE547" s="27">
        <f ca="1">IFERROR(__xludf.DUMMYFUNCTION("""COMPUTED_VALUE"""),14)</f>
        <v>14</v>
      </c>
      <c r="AF547" s="27">
        <f ca="1">IFERROR(__xludf.DUMMYFUNCTION("""COMPUTED_VALUE"""),14)</f>
        <v>14</v>
      </c>
      <c r="AG547" s="27">
        <f ca="1">IFERROR(__xludf.DUMMYFUNCTION("""COMPUTED_VALUE"""),2)</f>
        <v>2</v>
      </c>
      <c r="AH547" s="27" t="str">
        <f ca="1">IFERROR(__xludf.DUMMYFUNCTION("""COMPUTED_VALUE"""),"Parceria iniciativa privada; Doações")</f>
        <v>Parceria iniciativa privada; Doações</v>
      </c>
      <c r="AI547" s="31">
        <f ca="1">IFERROR(__xludf.DUMMYFUNCTION("""COMPUTED_VALUE"""),0)</f>
        <v>0</v>
      </c>
      <c r="AJ547" s="27"/>
      <c r="AK547" s="27"/>
      <c r="AL547" s="21" t="str">
        <f ca="1">IFERROR(__xludf.DUMMYFUNCTION("""COMPUTED_VALUE"""),"0034P000045kxiA")</f>
        <v>0034P000045kxiA</v>
      </c>
      <c r="AM547" s="27" t="str">
        <f ca="1">IFERROR(__xludf.DUMMYFUNCTION("""COMPUTED_VALUE"""),"Fernandes Mota")</f>
        <v>Fernandes Mota</v>
      </c>
      <c r="AN547" s="27" t="str">
        <f ca="1">IFERROR(__xludf.DUMMYFUNCTION("""COMPUTED_VALUE"""),"Ativo")</f>
        <v>Ativo</v>
      </c>
      <c r="AO547" s="30">
        <f ca="1">IFERROR(__xludf.DUMMYFUNCTION("""COMPUTED_VALUE"""),44551)</f>
        <v>44551</v>
      </c>
      <c r="AP547" s="27">
        <f ca="1">IFERROR(__xludf.DUMMYFUNCTION("""COMPUTED_VALUE"""),9)</f>
        <v>9</v>
      </c>
      <c r="AQ547" s="27" t="str">
        <f ca="1">IFERROR(__xludf.DUMMYFUNCTION("""COMPUTED_VALUE"""),"Segundo Semestre 2021")</f>
        <v>Segundo Semestre 2021</v>
      </c>
      <c r="AR547" s="27" t="str">
        <f ca="1">IFERROR(__xludf.DUMMYFUNCTION("""COMPUTED_VALUE"""),"fabykauan@hotmail.com")</f>
        <v>fabykauan@hotmail.com</v>
      </c>
      <c r="AS547" s="27" t="str">
        <f ca="1">IFERROR(__xludf.DUMMYFUNCTION("""COMPUTED_VALUE"""),"(71)98763-9432")</f>
        <v>(71)98763-9432</v>
      </c>
      <c r="AT547" s="29">
        <f ca="1">IFERROR(__xludf.DUMMYFUNCTION("""COMPUTED_VALUE"""),30755)</f>
        <v>30755</v>
      </c>
      <c r="AU547" s="27">
        <f ca="1">IFERROR(__xludf.DUMMYFUNCTION("""COMPUTED_VALUE"""),38)</f>
        <v>38</v>
      </c>
      <c r="AV547" s="27">
        <f ca="1">IFERROR(__xludf.DUMMYFUNCTION("""COMPUTED_VALUE"""),1084555565)</f>
        <v>1084555565</v>
      </c>
      <c r="AW547" s="27">
        <f ca="1">IFERROR(__xludf.DUMMYFUNCTION("""COMPUTED_VALUE"""),1112784063)</f>
        <v>1112784063</v>
      </c>
      <c r="AX547" s="27"/>
      <c r="AY547" s="27"/>
      <c r="AZ547" s="27" t="str">
        <f ca="1">IFERROR(__xludf.DUMMYFUNCTION("""COMPUTED_VALUE"""),"M")</f>
        <v>M</v>
      </c>
      <c r="BA547" s="27" t="str">
        <f ca="1">IFERROR(__xludf.DUMMYFUNCTION("""COMPUTED_VALUE"""),"Preta")</f>
        <v>Preta</v>
      </c>
      <c r="BB547" s="27" t="str">
        <f ca="1">IFERROR(__xludf.DUMMYFUNCTION("""COMPUTED_VALUE"""),"Mulher, cisgênero")</f>
        <v>Mulher, cisgênero</v>
      </c>
      <c r="BC547" s="27" t="str">
        <f ca="1">IFERROR(__xludf.DUMMYFUNCTION("""COMPUTED_VALUE"""),"Sim")</f>
        <v>Sim</v>
      </c>
      <c r="BD547" s="27" t="str">
        <f ca="1">IFERROR(__xludf.DUMMYFUNCTION("""COMPUTED_VALUE"""),"Se você não viver pra servir, você não servi pra viver.")</f>
        <v>Se você não viver pra servir, você não servi pra viver.</v>
      </c>
      <c r="BE547" s="27"/>
      <c r="BF547" s="27" t="str">
        <f ca="1">IFERROR(__xludf.DUMMYFUNCTION("""COMPUTED_VALUE"""),"Heterossexual")</f>
        <v>Heterossexual</v>
      </c>
      <c r="BG547" s="27" t="str">
        <f ca="1">IFERROR(__xludf.DUMMYFUNCTION("""COMPUTED_VALUE"""),"Ensino Superior - Incompleto")</f>
        <v>Ensino Superior - Incompleto</v>
      </c>
      <c r="BH547" s="27" t="str">
        <f ca="1">IFERROR(__xludf.DUMMYFUNCTION("""COMPUTED_VALUE"""),"Público")</f>
        <v>Público</v>
      </c>
      <c r="BI547" s="27" t="str">
        <f ca="1">IFERROR(__xludf.DUMMYFUNCTION("""COMPUTED_VALUE"""),"Graduação")</f>
        <v>Graduação</v>
      </c>
      <c r="BJ547" s="27" t="str">
        <f ca="1">IFERROR(__xludf.DUMMYFUNCTION("""COMPUTED_VALUE"""),"Privado")</f>
        <v>Privado</v>
      </c>
      <c r="BK547" s="27" t="str">
        <f ca="1">IFERROR(__xludf.DUMMYFUNCTION("""COMPUTED_VALUE"""),"Rua José Inácio do Amaral N24e")</f>
        <v>Rua José Inácio do Amaral N24e</v>
      </c>
      <c r="BL547" s="27">
        <f ca="1">IFERROR(__xludf.DUMMYFUNCTION("""COMPUTED_VALUE"""),24)</f>
        <v>24</v>
      </c>
      <c r="BM547" s="27" t="str">
        <f ca="1">IFERROR(__xludf.DUMMYFUNCTION("""COMPUTED_VALUE"""),"E")</f>
        <v>E</v>
      </c>
      <c r="BN547" s="27" t="str">
        <f ca="1">IFERROR(__xludf.DUMMYFUNCTION("""COMPUTED_VALUE"""),"Salvador")</f>
        <v>Salvador</v>
      </c>
      <c r="BO547" s="27" t="str">
        <f ca="1">IFERROR(__xludf.DUMMYFUNCTION("""COMPUTED_VALUE"""),"41905-370")</f>
        <v>41905-370</v>
      </c>
      <c r="BP547" s="27" t="str">
        <f ca="1">IFERROR(__xludf.DUMMYFUNCTION("""COMPUTED_VALUE"""),"BA")</f>
        <v>BA</v>
      </c>
      <c r="BQ547" s="27" t="str">
        <f ca="1">IFERROR(__xludf.DUMMYFUNCTION("""COMPUTED_VALUE"""),"Entre 1 até 3 salários mínimos")</f>
        <v>Entre 1 até 3 salários mínimos</v>
      </c>
      <c r="BR547" s="27" t="str">
        <f ca="1">IFERROR(__xludf.DUMMYFUNCTION("""COMPUTED_VALUE"""),"Desempregado")</f>
        <v>Desempregado</v>
      </c>
      <c r="BS547" s="27" t="str">
        <f ca="1">IFERROR(__xludf.DUMMYFUNCTION("""COMPUTED_VALUE"""),"Casa cedida")</f>
        <v>Casa cedida</v>
      </c>
      <c r="BT547" s="27">
        <f ca="1">IFERROR(__xludf.DUMMYFUNCTION("""COMPUTED_VALUE"""),1)</f>
        <v>1</v>
      </c>
      <c r="BU547" s="27" t="str">
        <f ca="1">IFERROR(__xludf.DUMMYFUNCTION("""COMPUTED_VALUE"""),"Não tem")</f>
        <v>Não tem</v>
      </c>
      <c r="BV547" s="27"/>
      <c r="BW547" s="27" t="str">
        <f ca="1">IFERROR(__xludf.DUMMYFUNCTION("""COMPUTED_VALUE"""),"Não tenho")</f>
        <v>Não tenho</v>
      </c>
      <c r="BX547" s="27" t="str">
        <f ca="1">IFERROR(__xludf.DUMMYFUNCTION("""COMPUTED_VALUE"""),"@patrulhadobem1")</f>
        <v>@patrulhadobem1</v>
      </c>
      <c r="BY547" s="21" t="str">
        <f ca="1">IFERROR(__xludf.DUMMYFUNCTION("""COMPUTED_VALUE"""),"https://drive.google.com/open?id=11JTgCWa_kDUdF00hQ-Gj0EpC6bco3ilX")</f>
        <v>https://drive.google.com/open?id=11JTgCWa_kDUdF00hQ-Gj0EpC6bco3ilX</v>
      </c>
    </row>
    <row r="548" spans="1:77" ht="12.5" x14ac:dyDescent="0.25">
      <c r="A548" s="21" t="str">
        <f ca="1">IFERROR(__xludf.DUMMYFUNCTION("""COMPUTED_VALUE"""),"0014X00002VKCt3QAH")</f>
        <v>0014X00002VKCt3QAH</v>
      </c>
      <c r="B548" s="27" t="str">
        <f ca="1">IFERROR(__xludf.DUMMYFUNCTION("""COMPUTED_VALUE"""),"Fase Inicial")</f>
        <v>Fase Inicial</v>
      </c>
      <c r="C548" s="27" t="str">
        <f ca="1">IFERROR(__xludf.DUMMYFUNCTION("""COMPUTED_VALUE"""),"Fellow")</f>
        <v>Fellow</v>
      </c>
      <c r="D548" s="27" t="str">
        <f ca="1">IFERROR(__xludf.DUMMYFUNCTION("""COMPUTED_VALUE"""),"Ativo")</f>
        <v>Ativo</v>
      </c>
      <c r="E548" s="27" t="str">
        <f ca="1">IFERROR(__xludf.DUMMYFUNCTION("""COMPUTED_VALUE"""),"Projeto Social Sim! eu sou de Santa Tereza")</f>
        <v>Projeto Social Sim! eu sou de Santa Tereza</v>
      </c>
      <c r="F548" s="27" t="str">
        <f ca="1">IFERROR(__xludf.DUMMYFUNCTION("""COMPUTED_VALUE"""),"Renata")</f>
        <v>Renata</v>
      </c>
      <c r="G548" s="27" t="str">
        <f ca="1">IFERROR(__xludf.DUMMYFUNCTION("""COMPUTED_VALUE"""),"SEST")</f>
        <v>SEST</v>
      </c>
      <c r="H548" s="27"/>
      <c r="I548" s="27" t="str">
        <f ca="1">IFERROR(__xludf.DUMMYFUNCTION("""COMPUTED_VALUE"""),"Renata Elidi Fagundes dos Santos de Carvalho")</f>
        <v>Renata Elidi Fagundes dos Santos de Carvalho</v>
      </c>
      <c r="J548" s="27" t="str">
        <f ca="1">IFERROR(__xludf.DUMMYFUNCTION("""COMPUTED_VALUE"""),"projetosocialsest@gmail.com")</f>
        <v>projetosocialsest@gmail.com</v>
      </c>
      <c r="K548" s="27" t="str">
        <f ca="1">IFERROR(__xludf.DUMMYFUNCTION("""COMPUTED_VALUE"""),"(21)97237-8410")</f>
        <v>(21)97237-8410</v>
      </c>
      <c r="L548" s="27" t="str">
        <f ca="1">IFERROR(__xludf.DUMMYFUNCTION("""COMPUTED_VALUE"""),"RJ")</f>
        <v>RJ</v>
      </c>
      <c r="M548" s="27" t="str">
        <f ca="1">IFERROR(__xludf.DUMMYFUNCTION("""COMPUTED_VALUE"""),"Estrada Belford Roxo")</f>
        <v>Estrada Belford Roxo</v>
      </c>
      <c r="N548" s="27" t="str">
        <f ca="1">IFERROR(__xludf.DUMMYFUNCTION("""COMPUTED_VALUE"""),"Santa Tereza")</f>
        <v>Santa Tereza</v>
      </c>
      <c r="O548" s="27">
        <f ca="1">IFERROR(__xludf.DUMMYFUNCTION("""COMPUTED_VALUE"""),2900)</f>
        <v>2900</v>
      </c>
      <c r="P548" s="27" t="str">
        <f ca="1">IFERROR(__xludf.DUMMYFUNCTION("""COMPUTED_VALUE"""),"Belford Roxo")</f>
        <v>Belford Roxo</v>
      </c>
      <c r="Q548" s="27" t="str">
        <f ca="1">IFERROR(__xludf.DUMMYFUNCTION("""COMPUTED_VALUE"""),"Bloco 15 Sp102")</f>
        <v>Bloco 15 Sp102</v>
      </c>
      <c r="R548" s="27" t="str">
        <f ca="1">IFERROR(__xludf.DUMMYFUNCTION("""COMPUTED_VALUE"""),"26195-010")</f>
        <v>26195-010</v>
      </c>
      <c r="S548" s="27"/>
      <c r="T548" s="27"/>
      <c r="U548" s="27" t="str">
        <f ca="1">IFERROR(__xludf.DUMMYFUNCTION("""COMPUTED_VALUE"""),"Crianças (6 a 12 anos), Jovens (18 aos 24 anos), Adultos")</f>
        <v>Crianças (6 a 12 anos), Jovens (18 aos 24 anos), Adultos</v>
      </c>
      <c r="V548" s="27" t="str">
        <f ca="1">IFERROR(__xludf.DUMMYFUNCTION("""COMPUTED_VALUE"""),"Moradores de Favelas, Pessoas em situação de rua")</f>
        <v>Moradores de Favelas, Pessoas em situação de rua</v>
      </c>
      <c r="W548" s="27">
        <f ca="1">IFERROR(__xludf.DUMMYFUNCTION("""COMPUTED_VALUE"""),3)</f>
        <v>3</v>
      </c>
      <c r="X548" s="27"/>
      <c r="Y548" s="27"/>
      <c r="Z548" s="27">
        <f ca="1">IFERROR(__xludf.DUMMYFUNCTION("""COMPUTED_VALUE"""),100)</f>
        <v>100</v>
      </c>
      <c r="AA548" s="29">
        <f ca="1">IFERROR(__xludf.DUMMYFUNCTION("""COMPUTED_VALUE"""),44206)</f>
        <v>44206</v>
      </c>
      <c r="AB548" s="27" t="str">
        <f ca="1">IFERROR(__xludf.DUMMYFUNCTION("""COMPUTED_VALUE"""),"Não")</f>
        <v>Não</v>
      </c>
      <c r="AC548" s="27">
        <f ca="1">IFERROR(__xludf.DUMMYFUNCTION("""COMPUTED_VALUE"""),0)</f>
        <v>0</v>
      </c>
      <c r="AD548" s="27">
        <f ca="1">IFERROR(__xludf.DUMMYFUNCTION("""COMPUTED_VALUE"""),0)</f>
        <v>0</v>
      </c>
      <c r="AE548" s="27">
        <f ca="1">IFERROR(__xludf.DUMMYFUNCTION("""COMPUTED_VALUE"""),5)</f>
        <v>5</v>
      </c>
      <c r="AF548" s="27">
        <f ca="1">IFERROR(__xludf.DUMMYFUNCTION("""COMPUTED_VALUE"""),5)</f>
        <v>5</v>
      </c>
      <c r="AG548" s="27">
        <f ca="1">IFERROR(__xludf.DUMMYFUNCTION("""COMPUTED_VALUE"""),2)</f>
        <v>2</v>
      </c>
      <c r="AH548" s="27" t="str">
        <f ca="1">IFERROR(__xludf.DUMMYFUNCTION("""COMPUTED_VALUE"""),"Doações, Recursos próprios")</f>
        <v>Doações, Recursos próprios</v>
      </c>
      <c r="AI548" s="27" t="str">
        <f ca="1">IFERROR(__xludf.DUMMYFUNCTION("""COMPUTED_VALUE"""),"50% Doações 50% Recursos Próprios")</f>
        <v>50% Doações 50% Recursos Próprios</v>
      </c>
      <c r="AJ548" s="27" t="str">
        <f ca="1">IFERROR(__xludf.DUMMYFUNCTION("""COMPUTED_VALUE"""),"Vamos iniciar esse ano")</f>
        <v>Vamos iniciar esse ano</v>
      </c>
      <c r="AK548" s="27"/>
      <c r="AL548" s="21" t="str">
        <f ca="1">IFERROR(__xludf.DUMMYFUNCTION("""COMPUTED_VALUE"""),"0034X0000380O5y")</f>
        <v>0034X0000380O5y</v>
      </c>
      <c r="AM548" s="27" t="str">
        <f ca="1">IFERROR(__xludf.DUMMYFUNCTION("""COMPUTED_VALUE"""),"Elidi fagundes dos santos de carvalho")</f>
        <v>Elidi fagundes dos santos de carvalho</v>
      </c>
      <c r="AN548" s="27" t="str">
        <f ca="1">IFERROR(__xludf.DUMMYFUNCTION("""COMPUTED_VALUE"""),"Ativo")</f>
        <v>Ativo</v>
      </c>
      <c r="AO548" s="27"/>
      <c r="AP548" s="27"/>
      <c r="AQ548" s="27" t="str">
        <f ca="1">IFERROR(__xludf.DUMMYFUNCTION("""COMPUTED_VALUE"""),"Primeiro Semestre 2022")</f>
        <v>Primeiro Semestre 2022</v>
      </c>
      <c r="AR548" s="27" t="str">
        <f ca="1">IFERROR(__xludf.DUMMYFUNCTION("""COMPUTED_VALUE"""),"elidifagundes36@gmail.com")</f>
        <v>elidifagundes36@gmail.com</v>
      </c>
      <c r="AS548" s="27">
        <f ca="1">IFERROR(__xludf.DUMMYFUNCTION("""COMPUTED_VALUE"""),21969649943)</f>
        <v>21969649943</v>
      </c>
      <c r="AT548" s="29">
        <f ca="1">IFERROR(__xludf.DUMMYFUNCTION("""COMPUTED_VALUE"""),27546)</f>
        <v>27546</v>
      </c>
      <c r="AU548" s="27">
        <f ca="1">IFERROR(__xludf.DUMMYFUNCTION("""COMPUTED_VALUE"""),47)</f>
        <v>47</v>
      </c>
      <c r="AV548" s="27">
        <f ca="1">IFERROR(__xludf.DUMMYFUNCTION("""COMPUTED_VALUE"""),4433119784)</f>
        <v>4433119784</v>
      </c>
      <c r="AW548" s="27">
        <f ca="1">IFERROR(__xludf.DUMMYFUNCTION("""COMPUTED_VALUE"""),106214752)</f>
        <v>106214752</v>
      </c>
      <c r="AX548" s="27"/>
      <c r="AY548" s="27"/>
      <c r="AZ548" s="27" t="str">
        <f ca="1">IFERROR(__xludf.DUMMYFUNCTION("""COMPUTED_VALUE"""),"M")</f>
        <v>M</v>
      </c>
      <c r="BA548" s="27" t="str">
        <f ca="1">IFERROR(__xludf.DUMMYFUNCTION("""COMPUTED_VALUE"""),"Preta")</f>
        <v>Preta</v>
      </c>
      <c r="BB548" s="27"/>
      <c r="BC548" s="27"/>
      <c r="BD548" s="27" t="str">
        <f ca="1">IFERROR(__xludf.DUMMYFUNCTION("""COMPUTED_VALUE"""),"Mulher negra* casada* 03 filhos e três netos moradora de Comunidade que resolveu fazer a diferença em um território totalmente desacreditado por todos.")</f>
        <v>Mulher negra* casada* 03 filhos e três netos moradora de Comunidade que resolveu fazer a diferença em um território totalmente desacreditado por todos.</v>
      </c>
      <c r="BE548" s="27" t="str">
        <f ca="1">IFERROR(__xludf.DUMMYFUNCTION("""COMPUTED_VALUE"""),"Feminino")</f>
        <v>Feminino</v>
      </c>
      <c r="BF548" s="27" t="str">
        <f ca="1">IFERROR(__xludf.DUMMYFUNCTION("""COMPUTED_VALUE"""),"Heterossexual")</f>
        <v>Heterossexual</v>
      </c>
      <c r="BG548" s="27"/>
      <c r="BH548" s="27" t="str">
        <f ca="1">IFERROR(__xludf.DUMMYFUNCTION("""COMPUTED_VALUE"""),"Público")</f>
        <v>Público</v>
      </c>
      <c r="BI548" s="27"/>
      <c r="BJ548" s="27"/>
      <c r="BK548" s="27" t="str">
        <f ca="1">IFERROR(__xludf.DUMMYFUNCTION("""COMPUTED_VALUE"""),"Estrada Belford Roxo")</f>
        <v>Estrada Belford Roxo</v>
      </c>
      <c r="BL548" s="27">
        <f ca="1">IFERROR(__xludf.DUMMYFUNCTION("""COMPUTED_VALUE"""),2900)</f>
        <v>2900</v>
      </c>
      <c r="BM548" s="27"/>
      <c r="BN548" s="27"/>
      <c r="BO548" s="27">
        <f ca="1">IFERROR(__xludf.DUMMYFUNCTION("""COMPUTED_VALUE"""),26195010)</f>
        <v>26195010</v>
      </c>
      <c r="BP548" s="27" t="str">
        <f ca="1">IFERROR(__xludf.DUMMYFUNCTION("""COMPUTED_VALUE"""),"RJ")</f>
        <v>RJ</v>
      </c>
      <c r="BQ548" s="27" t="str">
        <f ca="1">IFERROR(__xludf.DUMMYFUNCTION("""COMPUTED_VALUE"""),"Entre 1 até 3 salários mínimos")</f>
        <v>Entre 1 até 3 salários mínimos</v>
      </c>
      <c r="BR548" s="27" t="str">
        <f ca="1">IFERROR(__xludf.DUMMYFUNCTION("""COMPUTED_VALUE"""),"CLT")</f>
        <v>CLT</v>
      </c>
      <c r="BS548" s="27" t="str">
        <f ca="1">IFERROR(__xludf.DUMMYFUNCTION("""COMPUTED_VALUE"""),"Casa própria")</f>
        <v>Casa própria</v>
      </c>
      <c r="BT548" s="27">
        <f ca="1">IFERROR(__xludf.DUMMYFUNCTION("""COMPUTED_VALUE"""),3)</f>
        <v>3</v>
      </c>
      <c r="BU548" s="27" t="str">
        <f ca="1">IFERROR(__xludf.DUMMYFUNCTION("""COMPUTED_VALUE"""),"Não tem")</f>
        <v>Não tem</v>
      </c>
      <c r="BV548" s="27" t="str">
        <f ca="1">IFERROR(__xludf.DUMMYFUNCTION("""COMPUTED_VALUE"""),"Sim")</f>
        <v>Sim</v>
      </c>
      <c r="BW548" s="27"/>
      <c r="BX548" s="27"/>
      <c r="BY548" s="21" t="str">
        <f ca="1">IFERROR(__xludf.DUMMYFUNCTION("""COMPUTED_VALUE"""),"https://drive.google.com/open?id=1IMThmpvK_CfgAsn-Bz__CxzBUVCFks4J")</f>
        <v>https://drive.google.com/open?id=1IMThmpvK_CfgAsn-Bz__CxzBUVCFks4J</v>
      </c>
    </row>
    <row r="549" spans="1:77" ht="12.5" hidden="1" x14ac:dyDescent="0.25">
      <c r="A549" s="21" t="str">
        <f ca="1">IFERROR(__xludf.DUMMYFUNCTION("""COMPUTED_VALUE"""),"0014X00002VKCrxQAH")</f>
        <v>0014X00002VKCrxQAH</v>
      </c>
      <c r="B549" s="27" t="str">
        <f ca="1">IFERROR(__xludf.DUMMYFUNCTION("""COMPUTED_VALUE"""),"Fase Inicial")</f>
        <v>Fase Inicial</v>
      </c>
      <c r="C549" s="27" t="str">
        <f ca="1">IFERROR(__xludf.DUMMYFUNCTION("""COMPUTED_VALUE"""),"Fellow")</f>
        <v>Fellow</v>
      </c>
      <c r="D549" s="27" t="str">
        <f ca="1">IFERROR(__xludf.DUMMYFUNCTION("""COMPUTED_VALUE"""),"Ativo")</f>
        <v>Ativo</v>
      </c>
      <c r="E549" s="27" t="str">
        <f ca="1">IFERROR(__xludf.DUMMYFUNCTION("""COMPUTED_VALUE"""),"Projeto Solidários")</f>
        <v>Projeto Solidários</v>
      </c>
      <c r="F549" s="27" t="str">
        <f ca="1">IFERROR(__xludf.DUMMYFUNCTION("""COMPUTED_VALUE"""),"Margarida")</f>
        <v>Margarida</v>
      </c>
      <c r="G549" s="27" t="str">
        <f ca="1">IFERROR(__xludf.DUMMYFUNCTION("""COMPUTED_VALUE"""),"PROJETO SOLIDÁRIOS")</f>
        <v>PROJETO SOLIDÁRIOS</v>
      </c>
      <c r="H549" s="27"/>
      <c r="I549" s="27" t="str">
        <f ca="1">IFERROR(__xludf.DUMMYFUNCTION("""COMPUTED_VALUE"""),"Edson Francisco da Silva")</f>
        <v>Edson Francisco da Silva</v>
      </c>
      <c r="J549" s="27" t="str">
        <f ca="1">IFERROR(__xludf.DUMMYFUNCTION("""COMPUTED_VALUE"""),"projetosolidarios.adm@gmail.com")</f>
        <v>projetosolidarios.adm@gmail.com</v>
      </c>
      <c r="K549" s="27" t="str">
        <f ca="1">IFERROR(__xludf.DUMMYFUNCTION("""COMPUTED_VALUE"""),"(81)99426-6265")</f>
        <v>(81)99426-6265</v>
      </c>
      <c r="L549" s="27" t="str">
        <f ca="1">IFERROR(__xludf.DUMMYFUNCTION("""COMPUTED_VALUE"""),"PE")</f>
        <v>PE</v>
      </c>
      <c r="M549" s="27" t="str">
        <f ca="1">IFERROR(__xludf.DUMMYFUNCTION("""COMPUTED_VALUE"""),"Rua treze")</f>
        <v>Rua treze</v>
      </c>
      <c r="N549" s="27" t="str">
        <f ca="1">IFERROR(__xludf.DUMMYFUNCTION("""COMPUTED_VALUE"""),"Porque capibaribe")</f>
        <v>Porque capibaribe</v>
      </c>
      <c r="O549" s="27">
        <f ca="1">IFERROR(__xludf.DUMMYFUNCTION("""COMPUTED_VALUE"""),95)</f>
        <v>95</v>
      </c>
      <c r="P549" s="27" t="str">
        <f ca="1">IFERROR(__xludf.DUMMYFUNCTION("""COMPUTED_VALUE"""),"São Lourenço da mata")</f>
        <v>São Lourenço da mata</v>
      </c>
      <c r="Q549" s="27"/>
      <c r="R549" s="27" t="str">
        <f ca="1">IFERROR(__xludf.DUMMYFUNCTION("""COMPUTED_VALUE"""),"54720-055")</f>
        <v>54720-055</v>
      </c>
      <c r="S549" s="27" t="str">
        <f ca="1">IFERROR(__xludf.DUMMYFUNCTION("""COMPUTED_VALUE"""),"Usamos espaços de apoio")</f>
        <v>Usamos espaços de apoio</v>
      </c>
      <c r="T549" s="27"/>
      <c r="U549"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549" s="27" t="str">
        <f ca="1">IFERROR(__xludf.DUMMYFUNCTION("""COMPUTED_VALUE"""),"Moradores de Favelas")</f>
        <v>Moradores de Favelas</v>
      </c>
      <c r="W549" s="27">
        <f ca="1">IFERROR(__xludf.DUMMYFUNCTION("""COMPUTED_VALUE"""),30)</f>
        <v>30</v>
      </c>
      <c r="X549" s="27"/>
      <c r="Y549" s="27"/>
      <c r="Z549" s="27">
        <f ca="1">IFERROR(__xludf.DUMMYFUNCTION("""COMPUTED_VALUE"""),300)</f>
        <v>300</v>
      </c>
      <c r="AA549" s="29">
        <f ca="1">IFERROR(__xludf.DUMMYFUNCTION("""COMPUTED_VALUE"""),40013)</f>
        <v>40013</v>
      </c>
      <c r="AB549" s="27" t="str">
        <f ca="1">IFERROR(__xludf.DUMMYFUNCTION("""COMPUTED_VALUE"""),"Não")</f>
        <v>Não</v>
      </c>
      <c r="AC549" s="27">
        <f ca="1">IFERROR(__xludf.DUMMYFUNCTION("""COMPUTED_VALUE"""),0)</f>
        <v>0</v>
      </c>
      <c r="AD549" s="27">
        <f ca="1">IFERROR(__xludf.DUMMYFUNCTION("""COMPUTED_VALUE"""),10)</f>
        <v>10</v>
      </c>
      <c r="AE549" s="27">
        <f ca="1">IFERROR(__xludf.DUMMYFUNCTION("""COMPUTED_VALUE"""),15)</f>
        <v>15</v>
      </c>
      <c r="AF549" s="27">
        <f ca="1">IFERROR(__xludf.DUMMYFUNCTION("""COMPUTED_VALUE"""),10)</f>
        <v>10</v>
      </c>
      <c r="AG549" s="27">
        <f ca="1">IFERROR(__xludf.DUMMYFUNCTION("""COMPUTED_VALUE"""),3)</f>
        <v>3</v>
      </c>
      <c r="AH549" s="27" t="str">
        <f ca="1">IFERROR(__xludf.DUMMYFUNCTION("""COMPUTED_VALUE"""),"Eventos/Ações para captação, Plataforma doação online - Pessoa Física, Outro(s), Recursos próprios")</f>
        <v>Eventos/Ações para captação, Plataforma doação online - Pessoa Física, Outro(s), Recursos próprios</v>
      </c>
      <c r="AI549" s="27" t="str">
        <f ca="1">IFERROR(__xludf.DUMMYFUNCTION("""COMPUTED_VALUE"""),"50% doação PF, 30% recursos próprios 20% eventos")</f>
        <v>50% doação PF, 30% recursos próprios 20% eventos</v>
      </c>
      <c r="AJ549" s="27" t="str">
        <f ca="1">IFERROR(__xludf.DUMMYFUNCTION("""COMPUTED_VALUE"""),"Não")</f>
        <v>Não</v>
      </c>
      <c r="AK549" s="27"/>
      <c r="AL549" s="21" t="str">
        <f ca="1">IFERROR(__xludf.DUMMYFUNCTION("""COMPUTED_VALUE"""),"0034X0000380O6V")</f>
        <v>0034X0000380O6V</v>
      </c>
      <c r="AM549" s="27" t="str">
        <f ca="1">IFERROR(__xludf.DUMMYFUNCTION("""COMPUTED_VALUE"""),"Maria de oliveira neta")</f>
        <v>Maria de oliveira neta</v>
      </c>
      <c r="AN549" s="27" t="str">
        <f ca="1">IFERROR(__xludf.DUMMYFUNCTION("""COMPUTED_VALUE"""),"Ativo")</f>
        <v>Ativo</v>
      </c>
      <c r="AO549" s="29">
        <f ca="1">IFERROR(__xludf.DUMMYFUNCTION("""COMPUTED_VALUE"""),44763)</f>
        <v>44763</v>
      </c>
      <c r="AP549" s="27">
        <f ca="1">IFERROR(__xludf.DUMMYFUNCTION("""COMPUTED_VALUE"""),2)</f>
        <v>2</v>
      </c>
      <c r="AQ549" s="27" t="str">
        <f ca="1">IFERROR(__xludf.DUMMYFUNCTION("""COMPUTED_VALUE"""),"Primeiro Semestre 2022")</f>
        <v>Primeiro Semestre 2022</v>
      </c>
      <c r="AR549" s="27" t="str">
        <f ca="1">IFERROR(__xludf.DUMMYFUNCTION("""COMPUTED_VALUE"""),"margaridaoliveira14@hotmail.com")</f>
        <v>margaridaoliveira14@hotmail.com</v>
      </c>
      <c r="AS549" s="27">
        <f ca="1">IFERROR(__xludf.DUMMYFUNCTION("""COMPUTED_VALUE"""),81994266265)</f>
        <v>81994266265</v>
      </c>
      <c r="AT549" s="29">
        <f ca="1">IFERROR(__xludf.DUMMYFUNCTION("""COMPUTED_VALUE"""),32688)</f>
        <v>32688</v>
      </c>
      <c r="AU549" s="27">
        <f ca="1">IFERROR(__xludf.DUMMYFUNCTION("""COMPUTED_VALUE"""),33)</f>
        <v>33</v>
      </c>
      <c r="AV549" s="27">
        <f ca="1">IFERROR(__xludf.DUMMYFUNCTION("""COMPUTED_VALUE"""),9358002476)</f>
        <v>9358002476</v>
      </c>
      <c r="AW549" s="27">
        <f ca="1">IFERROR(__xludf.DUMMYFUNCTION("""COMPUTED_VALUE"""),8411527)</f>
        <v>8411527</v>
      </c>
      <c r="AX549" s="27"/>
      <c r="AY549" s="27"/>
      <c r="AZ549" s="27" t="str">
        <f ca="1">IFERROR(__xludf.DUMMYFUNCTION("""COMPUTED_VALUE"""),"M")</f>
        <v>M</v>
      </c>
      <c r="BA549" s="27" t="str">
        <f ca="1">IFERROR(__xludf.DUMMYFUNCTION("""COMPUTED_VALUE"""),"Preta")</f>
        <v>Preta</v>
      </c>
      <c r="BB549" s="27"/>
      <c r="BC549" s="27"/>
      <c r="BD549" s="27" t="str">
        <f ca="1">IFERROR(__xludf.DUMMYFUNCTION("""COMPUTED_VALUE"""),"Amante do voluntariado* sonhadora e determinada em transformar sofrimento em alegria.")</f>
        <v>Amante do voluntariado* sonhadora e determinada em transformar sofrimento em alegria.</v>
      </c>
      <c r="BE549" s="27" t="str">
        <f ca="1">IFERROR(__xludf.DUMMYFUNCTION("""COMPUTED_VALUE"""),"Feminino")</f>
        <v>Feminino</v>
      </c>
      <c r="BF549" s="27" t="str">
        <f ca="1">IFERROR(__xludf.DUMMYFUNCTION("""COMPUTED_VALUE"""),"Heterossexual")</f>
        <v>Heterossexual</v>
      </c>
      <c r="BG549" s="27"/>
      <c r="BH549" s="27" t="str">
        <f ca="1">IFERROR(__xludf.DUMMYFUNCTION("""COMPUTED_VALUE"""),"Público")</f>
        <v>Público</v>
      </c>
      <c r="BI549" s="27" t="str">
        <f ca="1">IFERROR(__xludf.DUMMYFUNCTION("""COMPUTED_VALUE"""),"Graduação")</f>
        <v>Graduação</v>
      </c>
      <c r="BJ549" s="27" t="str">
        <f ca="1">IFERROR(__xludf.DUMMYFUNCTION("""COMPUTED_VALUE"""),"Privado")</f>
        <v>Privado</v>
      </c>
      <c r="BK549" s="27" t="str">
        <f ca="1">IFERROR(__xludf.DUMMYFUNCTION("""COMPUTED_VALUE"""),"Rua treze N 95")</f>
        <v>Rua treze N 95</v>
      </c>
      <c r="BL549" s="27">
        <f ca="1">IFERROR(__xludf.DUMMYFUNCTION("""COMPUTED_VALUE"""),95)</f>
        <v>95</v>
      </c>
      <c r="BM549" s="27"/>
      <c r="BN549" s="27"/>
      <c r="BO549" s="27">
        <f ca="1">IFERROR(__xludf.DUMMYFUNCTION("""COMPUTED_VALUE"""),50720055)</f>
        <v>50720055</v>
      </c>
      <c r="BP549" s="27" t="str">
        <f ca="1">IFERROR(__xludf.DUMMYFUNCTION("""COMPUTED_VALUE"""),"PE")</f>
        <v>PE</v>
      </c>
      <c r="BQ549" s="27" t="str">
        <f ca="1">IFERROR(__xludf.DUMMYFUNCTION("""COMPUTED_VALUE"""),"Entre 1 até 3 salários mínimos")</f>
        <v>Entre 1 até 3 salários mínimos</v>
      </c>
      <c r="BR549" s="27" t="str">
        <f ca="1">IFERROR(__xludf.DUMMYFUNCTION("""COMPUTED_VALUE"""),"Funcionário Público")</f>
        <v>Funcionário Público</v>
      </c>
      <c r="BS549" s="27" t="str">
        <f ca="1">IFERROR(__xludf.DUMMYFUNCTION("""COMPUTED_VALUE"""),"Casa própria")</f>
        <v>Casa própria</v>
      </c>
      <c r="BT549" s="27">
        <f ca="1">IFERROR(__xludf.DUMMYFUNCTION("""COMPUTED_VALUE"""),4)</f>
        <v>4</v>
      </c>
      <c r="BU549" s="27" t="str">
        <f ca="1">IFERROR(__xludf.DUMMYFUNCTION("""COMPUTED_VALUE"""),"Não tem")</f>
        <v>Não tem</v>
      </c>
      <c r="BV549" s="27" t="str">
        <f ca="1">IFERROR(__xludf.DUMMYFUNCTION("""COMPUTED_VALUE"""),"Não")</f>
        <v>Não</v>
      </c>
      <c r="BW549" s="27"/>
      <c r="BX549" s="21" t="str">
        <f ca="1">IFERROR(__xludf.DUMMYFUNCTION("""COMPUTED_VALUE"""),"https://www.instagram.com/p/CXqoLJDrCx0/?utm_medium=copy_link")</f>
        <v>https://www.instagram.com/p/CXqoLJDrCx0/?utm_medium=copy_link</v>
      </c>
      <c r="BY549" s="21" t="str">
        <f ca="1">IFERROR(__xludf.DUMMYFUNCTION("""COMPUTED_VALUE"""),"https://drive.google.com/open?id=1KEUn6oZtH8yxhlP16X35B-giDuWwzjg5")</f>
        <v>https://drive.google.com/open?id=1KEUn6oZtH8yxhlP16X35B-giDuWwzjg5</v>
      </c>
    </row>
    <row r="550" spans="1:77" ht="12.5" x14ac:dyDescent="0.25">
      <c r="A550" s="21" t="str">
        <f ca="1">IFERROR(__xludf.DUMMYFUNCTION("""COMPUTED_VALUE"""),"0014X00002OEuamQAD")</f>
        <v>0014X00002OEuamQAD</v>
      </c>
      <c r="B550" s="27" t="str">
        <f ca="1">IFERROR(__xludf.DUMMYFUNCTION("""COMPUTED_VALUE"""),"Fase Inicial")</f>
        <v>Fase Inicial</v>
      </c>
      <c r="C550" s="27" t="str">
        <f ca="1">IFERROR(__xludf.DUMMYFUNCTION("""COMPUTED_VALUE"""),"Fellow")</f>
        <v>Fellow</v>
      </c>
      <c r="D550" s="27" t="str">
        <f ca="1">IFERROR(__xludf.DUMMYFUNCTION("""COMPUTED_VALUE"""),"Ativo")</f>
        <v>Ativo</v>
      </c>
      <c r="E550" s="27" t="str">
        <f ca="1">IFERROR(__xludf.DUMMYFUNCTION("""COMPUTED_VALUE"""),"Projeto Tamo Junto")</f>
        <v>Projeto Tamo Junto</v>
      </c>
      <c r="F550" s="27" t="str">
        <f ca="1">IFERROR(__xludf.DUMMYFUNCTION("""COMPUTED_VALUE"""),"Lana")</f>
        <v>Lana</v>
      </c>
      <c r="G550" s="27"/>
      <c r="H550" s="27"/>
      <c r="I550" s="27" t="str">
        <f ca="1">IFERROR(__xludf.DUMMYFUNCTION("""COMPUTED_VALUE"""),"Lana Thaís de Abreu")</f>
        <v>Lana Thaís de Abreu</v>
      </c>
      <c r="J550" s="27"/>
      <c r="K550" s="27" t="str">
        <f ca="1">IFERROR(__xludf.DUMMYFUNCTION("""COMPUTED_VALUE"""),"(98)98659-9059")</f>
        <v>(98)98659-9059</v>
      </c>
      <c r="L550" s="27" t="str">
        <f ca="1">IFERROR(__xludf.DUMMYFUNCTION("""COMPUTED_VALUE"""),"MA")</f>
        <v>MA</v>
      </c>
      <c r="M550" s="27">
        <f ca="1">IFERROR(__xludf.DUMMYFUNCTION("""COMPUTED_VALUE"""),110)</f>
        <v>110</v>
      </c>
      <c r="N550" s="27"/>
      <c r="O550" s="27"/>
      <c r="P550" s="27" t="str">
        <f ca="1">IFERROR(__xludf.DUMMYFUNCTION("""COMPUTED_VALUE"""),"Paço do Lumiar")</f>
        <v>Paço do Lumiar</v>
      </c>
      <c r="Q550" s="27"/>
      <c r="R550" s="27" t="str">
        <f ca="1">IFERROR(__xludf.DUMMYFUNCTION("""COMPUTED_VALUE"""),"65135-000")</f>
        <v>65135-000</v>
      </c>
      <c r="S550" s="27"/>
      <c r="T550" s="27" t="str">
        <f ca="1">IFERROR(__xludf.DUMMYFUNCTION("""COMPUTED_VALUE"""),"Assistência Social; Meio ambiente; Desenvolvimento comunitário")</f>
        <v>Assistência Social; Meio ambiente; Desenvolvimento comunitário</v>
      </c>
      <c r="U550" s="27" t="str">
        <f ca="1">IFERROR(__xludf.DUMMYFUNCTION("""COMPUTED_VALUE"""),"Crianças pequenas (4 anos a 5 anos e 11 meses); Adultos")</f>
        <v>Crianças pequenas (4 anos a 5 anos e 11 meses); Adultos</v>
      </c>
      <c r="V550" s="27" t="str">
        <f ca="1">IFERROR(__xludf.DUMMYFUNCTION("""COMPUTED_VALUE"""),"Moradores de Favelas; Pessoas em situação de rua; Comunidade rural")</f>
        <v>Moradores de Favelas; Pessoas em situação de rua; Comunidade rural</v>
      </c>
      <c r="W550" s="27">
        <f ca="1">IFERROR(__xludf.DUMMYFUNCTION("""COMPUTED_VALUE"""),5)</f>
        <v>5</v>
      </c>
      <c r="X550" s="27"/>
      <c r="Y550" s="27"/>
      <c r="Z550" s="27">
        <f ca="1">IFERROR(__xludf.DUMMYFUNCTION("""COMPUTED_VALUE"""),200)</f>
        <v>200</v>
      </c>
      <c r="AA550" s="29">
        <f ca="1">IFERROR(__xludf.DUMMYFUNCTION("""COMPUTED_VALUE"""),34397)</f>
        <v>34397</v>
      </c>
      <c r="AB550" s="27" t="str">
        <f ca="1">IFERROR(__xludf.DUMMYFUNCTION("""COMPUTED_VALUE"""),"Não")</f>
        <v>Não</v>
      </c>
      <c r="AC550" s="27">
        <f ca="1">IFERROR(__xludf.DUMMYFUNCTION("""COMPUTED_VALUE"""),0)</f>
        <v>0</v>
      </c>
      <c r="AD550" s="27">
        <f ca="1">IFERROR(__xludf.DUMMYFUNCTION("""COMPUTED_VALUE"""),0)</f>
        <v>0</v>
      </c>
      <c r="AE550" s="27">
        <f ca="1">IFERROR(__xludf.DUMMYFUNCTION("""COMPUTED_VALUE"""),34)</f>
        <v>34</v>
      </c>
      <c r="AF550" s="27">
        <f ca="1">IFERROR(__xludf.DUMMYFUNCTION("""COMPUTED_VALUE"""),34)</f>
        <v>34</v>
      </c>
      <c r="AG550" s="27">
        <f ca="1">IFERROR(__xludf.DUMMYFUNCTION("""COMPUTED_VALUE"""),4)</f>
        <v>4</v>
      </c>
      <c r="AH550" s="27" t="str">
        <f ca="1">IFERROR(__xludf.DUMMYFUNCTION("""COMPUTED_VALUE"""),"Eventos/Ações para captação; Plataforma doação online - Pessoa Física; Doações; Recursos próprios")</f>
        <v>Eventos/Ações para captação; Plataforma doação online - Pessoa Física; Doações; Recursos próprios</v>
      </c>
      <c r="AI550" s="27" t="str">
        <f ca="1">IFERROR(__xludf.DUMMYFUNCTION("""COMPUTED_VALUE"""),"25% Ações de Captação 50% Doação Online e Doação 25% recursos próprios.")</f>
        <v>25% Ações de Captação 50% Doação Online e Doação 25% recursos próprios.</v>
      </c>
      <c r="AJ550" s="27"/>
      <c r="AK550" s="27"/>
      <c r="AL550" s="21" t="str">
        <f ca="1">IFERROR(__xludf.DUMMYFUNCTION("""COMPUTED_VALUE"""),"0034X0000315PQv")</f>
        <v>0034X0000315PQv</v>
      </c>
      <c r="AM550" s="27" t="str">
        <f ca="1">IFERROR(__xludf.DUMMYFUNCTION("""COMPUTED_VALUE"""),"Thaís De Abreu")</f>
        <v>Thaís De Abreu</v>
      </c>
      <c r="AN550" s="27" t="str">
        <f ca="1">IFERROR(__xludf.DUMMYFUNCTION("""COMPUTED_VALUE"""),"Ativo")</f>
        <v>Ativo</v>
      </c>
      <c r="AO550" s="30">
        <f ca="1">IFERROR(__xludf.DUMMYFUNCTION("""COMPUTED_VALUE"""),44551)</f>
        <v>44551</v>
      </c>
      <c r="AP550" s="27">
        <f ca="1">IFERROR(__xludf.DUMMYFUNCTION("""COMPUTED_VALUE"""),9)</f>
        <v>9</v>
      </c>
      <c r="AQ550" s="27" t="str">
        <f ca="1">IFERROR(__xludf.DUMMYFUNCTION("""COMPUTED_VALUE"""),"Segundo Semestre 2021")</f>
        <v>Segundo Semestre 2021</v>
      </c>
      <c r="AR550" s="27" t="str">
        <f ca="1">IFERROR(__xludf.DUMMYFUNCTION("""COMPUTED_VALUE"""),"lanaabreu.94@gmail.com")</f>
        <v>lanaabreu.94@gmail.com</v>
      </c>
      <c r="AS550" s="27" t="str">
        <f ca="1">IFERROR(__xludf.DUMMYFUNCTION("""COMPUTED_VALUE"""),"(98)98418-4743")</f>
        <v>(98)98418-4743</v>
      </c>
      <c r="AT550" s="29">
        <f ca="1">IFERROR(__xludf.DUMMYFUNCTION("""COMPUTED_VALUE"""),34397)</f>
        <v>34397</v>
      </c>
      <c r="AU550" s="27">
        <f ca="1">IFERROR(__xludf.DUMMYFUNCTION("""COMPUTED_VALUE"""),28)</f>
        <v>28</v>
      </c>
      <c r="AV550" s="27">
        <f ca="1">IFERROR(__xludf.DUMMYFUNCTION("""COMPUTED_VALUE"""),60837476356)</f>
        <v>60837476356</v>
      </c>
      <c r="AW550" s="27">
        <f ca="1">IFERROR(__xludf.DUMMYFUNCTION("""COMPUTED_VALUE"""),364408820088)</f>
        <v>364408820088</v>
      </c>
      <c r="AX550" s="27"/>
      <c r="AY550" s="27"/>
      <c r="AZ550" s="27" t="str">
        <f ca="1">IFERROR(__xludf.DUMMYFUNCTION("""COMPUTED_VALUE"""),"M")</f>
        <v>M</v>
      </c>
      <c r="BA550" s="27" t="str">
        <f ca="1">IFERROR(__xludf.DUMMYFUNCTION("""COMPUTED_VALUE"""),"Branca")</f>
        <v>Branca</v>
      </c>
      <c r="BB550" s="27" t="str">
        <f ca="1">IFERROR(__xludf.DUMMYFUNCTION("""COMPUTED_VALUE"""),"Mulher, cisgênero")</f>
        <v>Mulher, cisgênero</v>
      </c>
      <c r="BC550" s="27" t="str">
        <f ca="1">IFERROR(__xludf.DUMMYFUNCTION("""COMPUTED_VALUE"""),"Não")</f>
        <v>Não</v>
      </c>
      <c r="BD550" s="27" t="str">
        <f ca="1">IFERROR(__xludf.DUMMYFUNCTION("""COMPUTED_VALUE"""),"Meu nome é Lana Abreu, tenho 28 anos, mãe solo de 2, sou tutora, vivo em São Luís do Maranhão. Tive uma infância difícil, com muitas faltas aos 15 anos encontrei no voluntariado a cura pra minha dor, que acabou se tornando minha missão de vida. Criei o Ta"&amp;"mojunto em 2019 e desde então tenho levado essa árdua e doce missão de levar o alimento pra quem tem fome e dar voz a quem precisa.")</f>
        <v>Meu nome é Lana Abreu, tenho 28 anos, mãe solo de 2, sou tutora, vivo em São Luís do Maranhão. Tive uma infância difícil, com muitas faltas aos 15 anos encontrei no voluntariado a cura pra minha dor, que acabou se tornando minha missão de vida. Criei o Tamojunto em 2019 e desde então tenho levado essa árdua e doce missão de levar o alimento pra quem tem fome e dar voz a quem precisa.</v>
      </c>
      <c r="BE550" s="27"/>
      <c r="BF550" s="27" t="str">
        <f ca="1">IFERROR(__xludf.DUMMYFUNCTION("""COMPUTED_VALUE"""),"Heterossexual")</f>
        <v>Heterossexual</v>
      </c>
      <c r="BG550" s="27" t="str">
        <f ca="1">IFERROR(__xludf.DUMMYFUNCTION("""COMPUTED_VALUE"""),"Ensino Médio - Completo")</f>
        <v>Ensino Médio - Completo</v>
      </c>
      <c r="BH550" s="27" t="str">
        <f ca="1">IFERROR(__xludf.DUMMYFUNCTION("""COMPUTED_VALUE"""),"Pública")</f>
        <v>Pública</v>
      </c>
      <c r="BI550" s="27"/>
      <c r="BJ550" s="27"/>
      <c r="BK550" s="27">
        <f ca="1">IFERROR(__xludf.DUMMYFUNCTION("""COMPUTED_VALUE"""),110)</f>
        <v>110</v>
      </c>
      <c r="BL550" s="27">
        <f ca="1">IFERROR(__xludf.DUMMYFUNCTION("""COMPUTED_VALUE"""),10)</f>
        <v>10</v>
      </c>
      <c r="BM550" s="27" t="str">
        <f ca="1">IFERROR(__xludf.DUMMYFUNCTION("""COMPUTED_VALUE"""),"Quadra 72")</f>
        <v>Quadra 72</v>
      </c>
      <c r="BN550" s="27" t="str">
        <f ca="1">IFERROR(__xludf.DUMMYFUNCTION("""COMPUTED_VALUE"""),"Paço do Lumiar")</f>
        <v>Paço do Lumiar</v>
      </c>
      <c r="BO550" s="27" t="str">
        <f ca="1">IFERROR(__xludf.DUMMYFUNCTION("""COMPUTED_VALUE"""),"65135-000")</f>
        <v>65135-000</v>
      </c>
      <c r="BP550" s="27" t="str">
        <f ca="1">IFERROR(__xludf.DUMMYFUNCTION("""COMPUTED_VALUE"""),"MA")</f>
        <v>MA</v>
      </c>
      <c r="BQ550" s="27" t="str">
        <f ca="1">IFERROR(__xludf.DUMMYFUNCTION("""COMPUTED_VALUE"""),"Entre 1 até 3 salários mínimos")</f>
        <v>Entre 1 até 3 salários mínimos</v>
      </c>
      <c r="BR550" s="27" t="str">
        <f ca="1">IFERROR(__xludf.DUMMYFUNCTION("""COMPUTED_VALUE"""),"Funcionário Público; Desempregado")</f>
        <v>Funcionário Público; Desempregado</v>
      </c>
      <c r="BS550" s="27" t="str">
        <f ca="1">IFERROR(__xludf.DUMMYFUNCTION("""COMPUTED_VALUE"""),"Aluguel")</f>
        <v>Aluguel</v>
      </c>
      <c r="BT550" s="27">
        <f ca="1">IFERROR(__xludf.DUMMYFUNCTION("""COMPUTED_VALUE"""),6)</f>
        <v>6</v>
      </c>
      <c r="BU550" s="27"/>
      <c r="BV550" s="27"/>
      <c r="BW550" s="27"/>
      <c r="BX550" s="21" t="str">
        <f ca="1">IFERROR(__xludf.DUMMYFUNCTION("""COMPUTED_VALUE"""),"https://instagram.com/lanadotamojunto?igshid=YmMyMTA2M2Y=")</f>
        <v>https://instagram.com/lanadotamojunto?igshid=YmMyMTA2M2Y=</v>
      </c>
      <c r="BY550" s="21" t="str">
        <f ca="1">IFERROR(__xludf.DUMMYFUNCTION("""COMPUTED_VALUE"""),"https://drive.google.com/open?id=1SjejuQXUy6iWdTxyxt_fD3QRe8uxbYPz")</f>
        <v>https://drive.google.com/open?id=1SjejuQXUy6iWdTxyxt_fD3QRe8uxbYPz</v>
      </c>
    </row>
    <row r="551" spans="1:77" ht="12.5" x14ac:dyDescent="0.25">
      <c r="A551" s="21" t="str">
        <f ca="1">IFERROR(__xludf.DUMMYFUNCTION("""COMPUTED_VALUE"""),"0014X00002VKCs0QAH")</f>
        <v>0014X00002VKCs0QAH</v>
      </c>
      <c r="B551" s="27" t="str">
        <f ca="1">IFERROR(__xludf.DUMMYFUNCTION("""COMPUTED_VALUE"""),"Fase Inicial")</f>
        <v>Fase Inicial</v>
      </c>
      <c r="C551" s="27" t="str">
        <f ca="1">IFERROR(__xludf.DUMMYFUNCTION("""COMPUTED_VALUE"""),"Fellow")</f>
        <v>Fellow</v>
      </c>
      <c r="D551" s="27" t="str">
        <f ca="1">IFERROR(__xludf.DUMMYFUNCTION("""COMPUTED_VALUE"""),"Ativo")</f>
        <v>Ativo</v>
      </c>
      <c r="E551" s="27" t="str">
        <f ca="1">IFERROR(__xludf.DUMMYFUNCTION("""COMPUTED_VALUE"""),"Projeto Ternura")</f>
        <v>Projeto Ternura</v>
      </c>
      <c r="F551" s="27" t="str">
        <f ca="1">IFERROR(__xludf.DUMMYFUNCTION("""COMPUTED_VALUE"""),"OZEIAS")</f>
        <v>OZEIAS</v>
      </c>
      <c r="G551" s="27" t="str">
        <f ca="1">IFERROR(__xludf.DUMMYFUNCTION("""COMPUTED_VALUE"""),"PROTEJO TERNURA")</f>
        <v>PROTEJO TERNURA</v>
      </c>
      <c r="H551" s="27"/>
      <c r="I551" s="27" t="str">
        <f ca="1">IFERROR(__xludf.DUMMYFUNCTION("""COMPUTED_VALUE"""),"Ozéias Paulo da Silva")</f>
        <v>Ozéias Paulo da Silva</v>
      </c>
      <c r="J551" s="27" t="str">
        <f ca="1">IFERROR(__xludf.DUMMYFUNCTION("""COMPUTED_VALUE"""),"projeto.ternura.contato@gmail.com")</f>
        <v>projeto.ternura.contato@gmail.com</v>
      </c>
      <c r="K551" s="27" t="str">
        <f ca="1">IFERROR(__xludf.DUMMYFUNCTION("""COMPUTED_VALUE"""),"(81)98731-1525")</f>
        <v>(81)98731-1525</v>
      </c>
      <c r="L551" s="27" t="str">
        <f ca="1">IFERROR(__xludf.DUMMYFUNCTION("""COMPUTED_VALUE"""),"PE")</f>
        <v>PE</v>
      </c>
      <c r="M551" s="27" t="str">
        <f ca="1">IFERROR(__xludf.DUMMYFUNCTION("""COMPUTED_VALUE"""),"Rua Independência")</f>
        <v>Rua Independência</v>
      </c>
      <c r="N551" s="27" t="str">
        <f ca="1">IFERROR(__xludf.DUMMYFUNCTION("""COMPUTED_VALUE"""),"Brejo da Guabiraba")</f>
        <v>Brejo da Guabiraba</v>
      </c>
      <c r="O551" s="27" t="str">
        <f ca="1">IFERROR(__xludf.DUMMYFUNCTION("""COMPUTED_VALUE"""),"155-A")</f>
        <v>155-A</v>
      </c>
      <c r="P551" s="27" t="str">
        <f ca="1">IFERROR(__xludf.DUMMYFUNCTION("""COMPUTED_VALUE"""),"Recife")</f>
        <v>Recife</v>
      </c>
      <c r="Q551" s="27" t="str">
        <f ca="1">IFERROR(__xludf.DUMMYFUNCTION("""COMPUTED_VALUE"""),"1º Andar")</f>
        <v>1º Andar</v>
      </c>
      <c r="R551" s="27" t="str">
        <f ca="1">IFERROR(__xludf.DUMMYFUNCTION("""COMPUTED_VALUE"""),"52191-730")</f>
        <v>52191-730</v>
      </c>
      <c r="S551" s="27"/>
      <c r="T551" s="27"/>
      <c r="U551" s="27" t="str">
        <f ca="1">IFERROR(__xludf.DUMMYFUNCTION("""COMPUTED_VALUE"""),"Crianças (6 a 12 anos), Adolescentes (12 aos 18 anos), Jovens (18 aos 24 anos)")</f>
        <v>Crianças (6 a 12 anos), Adolescentes (12 aos 18 anos), Jovens (18 aos 24 anos)</v>
      </c>
      <c r="V551" s="27" t="str">
        <f ca="1">IFERROR(__xludf.DUMMYFUNCTION("""COMPUTED_VALUE"""),"Moradores de Favelas, Outros")</f>
        <v>Moradores de Favelas, Outros</v>
      </c>
      <c r="W551" s="27">
        <f ca="1">IFERROR(__xludf.DUMMYFUNCTION("""COMPUTED_VALUE"""),2)</f>
        <v>2</v>
      </c>
      <c r="X551" s="27"/>
      <c r="Y551" s="27"/>
      <c r="Z551" s="27">
        <f ca="1">IFERROR(__xludf.DUMMYFUNCTION("""COMPUTED_VALUE"""),1200)</f>
        <v>1200</v>
      </c>
      <c r="AA551" s="29">
        <f ca="1">IFERROR(__xludf.DUMMYFUNCTION("""COMPUTED_VALUE"""),43862)</f>
        <v>43862</v>
      </c>
      <c r="AB551" s="27" t="str">
        <f ca="1">IFERROR(__xludf.DUMMYFUNCTION("""COMPUTED_VALUE"""),"Não")</f>
        <v>Não</v>
      </c>
      <c r="AC551" s="27">
        <f ca="1">IFERROR(__xludf.DUMMYFUNCTION("""COMPUTED_VALUE"""),0)</f>
        <v>0</v>
      </c>
      <c r="AD551" s="27">
        <f ca="1">IFERROR(__xludf.DUMMYFUNCTION("""COMPUTED_VALUE"""),2)</f>
        <v>2</v>
      </c>
      <c r="AE551" s="27">
        <f ca="1">IFERROR(__xludf.DUMMYFUNCTION("""COMPUTED_VALUE"""),15)</f>
        <v>15</v>
      </c>
      <c r="AF551" s="27">
        <f ca="1">IFERROR(__xludf.DUMMYFUNCTION("""COMPUTED_VALUE"""),2)</f>
        <v>2</v>
      </c>
      <c r="AG551" s="27">
        <f ca="1">IFERROR(__xludf.DUMMYFUNCTION("""COMPUTED_VALUE"""),2)</f>
        <v>2</v>
      </c>
      <c r="AH551" s="27" t="str">
        <f ca="1">IFERROR(__xludf.DUMMYFUNCTION("""COMPUTED_VALUE"""),"Parceria iniciativa privada, Doações")</f>
        <v>Parceria iniciativa privada, Doações</v>
      </c>
      <c r="AI551" s="27">
        <f ca="1">IFERROR(__xludf.DUMMYFUNCTION("""COMPUTED_VALUE"""),0)</f>
        <v>0</v>
      </c>
      <c r="AJ551" s="27" t="str">
        <f ca="1">IFERROR(__xludf.DUMMYFUNCTION("""COMPUTED_VALUE"""),"Vamos iniciar esse ano")</f>
        <v>Vamos iniciar esse ano</v>
      </c>
      <c r="AK551" s="27"/>
      <c r="AL551" s="21" t="str">
        <f ca="1">IFERROR(__xludf.DUMMYFUNCTION("""COMPUTED_VALUE"""),"0034X0000380O6c")</f>
        <v>0034X0000380O6c</v>
      </c>
      <c r="AM551" s="27" t="str">
        <f ca="1">IFERROR(__xludf.DUMMYFUNCTION("""COMPUTED_VALUE"""),"Paulo da silva")</f>
        <v>Paulo da silva</v>
      </c>
      <c r="AN551" s="27" t="str">
        <f ca="1">IFERROR(__xludf.DUMMYFUNCTION("""COMPUTED_VALUE"""),"Ativo")</f>
        <v>Ativo</v>
      </c>
      <c r="AO551" s="29">
        <f ca="1">IFERROR(__xludf.DUMMYFUNCTION("""COMPUTED_VALUE"""),44763)</f>
        <v>44763</v>
      </c>
      <c r="AP551" s="27">
        <f ca="1">IFERROR(__xludf.DUMMYFUNCTION("""COMPUTED_VALUE"""),2)</f>
        <v>2</v>
      </c>
      <c r="AQ551" s="27" t="str">
        <f ca="1">IFERROR(__xludf.DUMMYFUNCTION("""COMPUTED_VALUE"""),"Primeiro Semestre 2022")</f>
        <v>Primeiro Semestre 2022</v>
      </c>
      <c r="AR551" s="27" t="str">
        <f ca="1">IFERROR(__xludf.DUMMYFUNCTION("""COMPUTED_VALUE"""),"ozeiaskf@gmail.com")</f>
        <v>ozeiaskf@gmail.com</v>
      </c>
      <c r="AS551" s="27" t="str">
        <f ca="1">IFERROR(__xludf.DUMMYFUNCTION("""COMPUTED_VALUE"""),"(81)98731-1525")</f>
        <v>(81)98731-1525</v>
      </c>
      <c r="AT551" s="29">
        <f ca="1">IFERROR(__xludf.DUMMYFUNCTION("""COMPUTED_VALUE"""),30847)</f>
        <v>30847</v>
      </c>
      <c r="AU551" s="27">
        <f ca="1">IFERROR(__xludf.DUMMYFUNCTION("""COMPUTED_VALUE"""),38)</f>
        <v>38</v>
      </c>
      <c r="AV551" s="27">
        <f ca="1">IFERROR(__xludf.DUMMYFUNCTION("""COMPUTED_VALUE"""),4275533429)</f>
        <v>4275533429</v>
      </c>
      <c r="AW551" s="27">
        <f ca="1">IFERROR(__xludf.DUMMYFUNCTION("""COMPUTED_VALUE"""),5894634)</f>
        <v>5894634</v>
      </c>
      <c r="AX551" s="27"/>
      <c r="AY551" s="27" t="str">
        <f ca="1">IFERROR(__xludf.DUMMYFUNCTION("""COMPUTED_VALUE"""),"CEO")</f>
        <v>CEO</v>
      </c>
      <c r="AZ551" s="27" t="str">
        <f ca="1">IFERROR(__xludf.DUMMYFUNCTION("""COMPUTED_VALUE"""),"M")</f>
        <v>M</v>
      </c>
      <c r="BA551" s="27" t="str">
        <f ca="1">IFERROR(__xludf.DUMMYFUNCTION("""COMPUTED_VALUE"""),"Branca")</f>
        <v>Branca</v>
      </c>
      <c r="BB551" s="27"/>
      <c r="BC551" s="27"/>
      <c r="BD551" s="27" t="str">
        <f ca="1">IFERROR(__xludf.DUMMYFUNCTION("""COMPUTED_VALUE"""),"Me chamo Ozéias Paulo, tenho 38 anos, moro em Recife/PE. Iniciei como empreendedor
social desde os meus 14 anos de idade, formado em Gestão de Recursos Humanos, e Serviço Social, desenvolvei atividades com adolescentes e medidas socioeducativas (regime fe"&amp;"chado) depois fui selecionando para ser Conselheiro Tutelar,  hoje tenho como inspiração, ver a felicidade dentro das pessoas.")</f>
        <v>Me chamo Ozéias Paulo, tenho 38 anos, moro em Recife/PE. Iniciei como empreendedor
social desde os meus 14 anos de idade, formado em Gestão de Recursos Humanos, e Serviço Social, desenvolvei atividades com adolescentes e medidas socioeducativas (regime fechado) depois fui selecionando para ser Conselheiro Tutelar,  hoje tenho como inspiração, ver a felicidade dentro das pessoas.</v>
      </c>
      <c r="BE551" s="27" t="str">
        <f ca="1">IFERROR(__xludf.DUMMYFUNCTION("""COMPUTED_VALUE"""),"Homem, cisgênero")</f>
        <v>Homem, cisgênero</v>
      </c>
      <c r="BF551" s="27" t="str">
        <f ca="1">IFERROR(__xludf.DUMMYFUNCTION("""COMPUTED_VALUE"""),"Heterossexual")</f>
        <v>Heterossexual</v>
      </c>
      <c r="BG551" s="27" t="str">
        <f ca="1">IFERROR(__xludf.DUMMYFUNCTION("""COMPUTED_VALUE"""),"Ensino Superior - Completo")</f>
        <v>Ensino Superior - Completo</v>
      </c>
      <c r="BH551" s="27" t="str">
        <f ca="1">IFERROR(__xludf.DUMMYFUNCTION("""COMPUTED_VALUE"""),"Público")</f>
        <v>Público</v>
      </c>
      <c r="BI551" s="27" t="str">
        <f ca="1">IFERROR(__xludf.DUMMYFUNCTION("""COMPUTED_VALUE"""),"Pós-Graduação")</f>
        <v>Pós-Graduação</v>
      </c>
      <c r="BJ551" s="27" t="str">
        <f ca="1">IFERROR(__xludf.DUMMYFUNCTION("""COMPUTED_VALUE"""),"Privado")</f>
        <v>Privado</v>
      </c>
      <c r="BK551" s="27" t="str">
        <f ca="1">IFERROR(__xludf.DUMMYFUNCTION("""COMPUTED_VALUE"""),"Rua Carlos Vanildo Pires")</f>
        <v>Rua Carlos Vanildo Pires</v>
      </c>
      <c r="BL551" s="27">
        <f ca="1">IFERROR(__xludf.DUMMYFUNCTION("""COMPUTED_VALUE"""),20)</f>
        <v>20</v>
      </c>
      <c r="BM551" s="27"/>
      <c r="BN551" s="27" t="str">
        <f ca="1">IFERROR(__xludf.DUMMYFUNCTION("""COMPUTED_VALUE"""),"Recife")</f>
        <v>Recife</v>
      </c>
      <c r="BO551" s="27" t="str">
        <f ca="1">IFERROR(__xludf.DUMMYFUNCTION("""COMPUTED_VALUE"""),"52390-020")</f>
        <v>52390-020</v>
      </c>
      <c r="BP551" s="27" t="str">
        <f ca="1">IFERROR(__xludf.DUMMYFUNCTION("""COMPUTED_VALUE"""),"PE")</f>
        <v>PE</v>
      </c>
      <c r="BQ551" s="27" t="str">
        <f ca="1">IFERROR(__xludf.DUMMYFUNCTION("""COMPUTED_VALUE"""),"De 3 até 5 salários mínimos")</f>
        <v>De 3 até 5 salários mínimos</v>
      </c>
      <c r="BR551" s="27" t="str">
        <f ca="1">IFERROR(__xludf.DUMMYFUNCTION("""COMPUTED_VALUE"""),"CLT, Trabalho informal")</f>
        <v>CLT, Trabalho informal</v>
      </c>
      <c r="BS551" s="27" t="str">
        <f ca="1">IFERROR(__xludf.DUMMYFUNCTION("""COMPUTED_VALUE"""),"Casa própria")</f>
        <v>Casa própria</v>
      </c>
      <c r="BT551" s="27">
        <f ca="1">IFERROR(__xludf.DUMMYFUNCTION("""COMPUTED_VALUE"""),4)</f>
        <v>4</v>
      </c>
      <c r="BU551" s="27" t="str">
        <f ca="1">IFERROR(__xludf.DUMMYFUNCTION("""COMPUTED_VALUE"""),"Não tem")</f>
        <v>Não tem</v>
      </c>
      <c r="BV551" s="27" t="str">
        <f ca="1">IFERROR(__xludf.DUMMYFUNCTION("""COMPUTED_VALUE"""),"Não")</f>
        <v>Não</v>
      </c>
      <c r="BW551" s="27"/>
      <c r="BX551" s="27" t="str">
        <f ca="1">IFERROR(__xludf.DUMMYFUNCTION("""COMPUTED_VALUE"""),"@ozeias.paulo")</f>
        <v>@ozeias.paulo</v>
      </c>
      <c r="BY551" s="21" t="str">
        <f ca="1">IFERROR(__xludf.DUMMYFUNCTION("""COMPUTED_VALUE"""),"https://drive.google.com/open?id=14lAcDOp8D9ZBiB2_Ko9Y99pH9wKQte0r")</f>
        <v>https://drive.google.com/open?id=14lAcDOp8D9ZBiB2_Ko9Y99pH9wKQte0r</v>
      </c>
    </row>
    <row r="552" spans="1:77" ht="12.5" x14ac:dyDescent="0.25">
      <c r="A552" s="21" t="str">
        <f ca="1">IFERROR(__xludf.DUMMYFUNCTION("""COMPUTED_VALUE"""),"0014P00003AN2FdQAL")</f>
        <v>0014P00003AN2FdQAL</v>
      </c>
      <c r="B552" s="27" t="str">
        <f ca="1">IFERROR(__xludf.DUMMYFUNCTION("""COMPUTED_VALUE"""),"Fase Inicial")</f>
        <v>Fase Inicial</v>
      </c>
      <c r="C552" s="27" t="str">
        <f ca="1">IFERROR(__xludf.DUMMYFUNCTION("""COMPUTED_VALUE"""),"Fellow")</f>
        <v>Fellow</v>
      </c>
      <c r="D552" s="27" t="str">
        <f ca="1">IFERROR(__xludf.DUMMYFUNCTION("""COMPUTED_VALUE"""),"Ativo")</f>
        <v>Ativo</v>
      </c>
      <c r="E552" s="27" t="str">
        <f ca="1">IFERROR(__xludf.DUMMYFUNCTION("""COMPUTED_VALUE"""),"PROJETO TIJOLINHO")</f>
        <v>PROJETO TIJOLINHO</v>
      </c>
      <c r="F552" s="27" t="str">
        <f ca="1">IFERROR(__xludf.DUMMYFUNCTION("""COMPUTED_VALUE"""),"Jeferson")</f>
        <v>Jeferson</v>
      </c>
      <c r="G552" s="27" t="str">
        <f ca="1">IFERROR(__xludf.DUMMYFUNCTION("""COMPUTED_VALUE"""),"TIJOLINHO")</f>
        <v>TIJOLINHO</v>
      </c>
      <c r="H552" s="27" t="str">
        <f ca="1">IFERROR(__xludf.DUMMYFUNCTION("""COMPUTED_VALUE"""),"00.000.000/0000-00")</f>
        <v>00.000.000/0000-00</v>
      </c>
      <c r="I552" s="27" t="str">
        <f ca="1">IFERROR(__xludf.DUMMYFUNCTION("""COMPUTED_VALUE"""),"Jeferson Costa Silva")</f>
        <v>Jeferson Costa Silva</v>
      </c>
      <c r="J552" s="27" t="str">
        <f ca="1">IFERROR(__xludf.DUMMYFUNCTION("""COMPUTED_VALUE"""),"projetoespacotijolinho@gmail.com")</f>
        <v>projetoespacotijolinho@gmail.com</v>
      </c>
      <c r="K552" s="27" t="str">
        <f ca="1">IFERROR(__xludf.DUMMYFUNCTION("""COMPUTED_VALUE"""),"(00)0000-0000")</f>
        <v>(00)0000-0000</v>
      </c>
      <c r="L552" s="27" t="str">
        <f ca="1">IFERROR(__xludf.DUMMYFUNCTION("""COMPUTED_VALUE"""),"RJ")</f>
        <v>RJ</v>
      </c>
      <c r="M552" s="27" t="str">
        <f ca="1">IFERROR(__xludf.DUMMYFUNCTION("""COMPUTED_VALUE"""),"Rua carlos lacerda")</f>
        <v>Rua carlos lacerda</v>
      </c>
      <c r="N552" s="27" t="str">
        <f ca="1">IFERROR(__xludf.DUMMYFUNCTION("""COMPUTED_VALUE"""),"Maré")</f>
        <v>Maré</v>
      </c>
      <c r="O552" s="27" t="str">
        <f ca="1">IFERROR(__xludf.DUMMYFUNCTION("""COMPUTED_VALUE"""),"(21)97573-1481")</f>
        <v>(21)97573-1481</v>
      </c>
      <c r="P552" s="27" t="str">
        <f ca="1">IFERROR(__xludf.DUMMYFUNCTION("""COMPUTED_VALUE"""),"Rio de Janeiro")</f>
        <v>Rio de Janeiro</v>
      </c>
      <c r="Q552" s="27"/>
      <c r="R552" s="27" t="str">
        <f ca="1">IFERROR(__xludf.DUMMYFUNCTION("""COMPUTED_VALUE"""),"21044-690")</f>
        <v>21044-690</v>
      </c>
      <c r="S552" s="27" t="str">
        <f ca="1">IFERROR(__xludf.DUMMYFUNCTION("""COMPUTED_VALUE"""),"Vila Olímpica Complexo do Alemão")</f>
        <v>Vila Olímpica Complexo do Alemão</v>
      </c>
      <c r="T552" s="27" t="str">
        <f ca="1">IFERROR(__xludf.DUMMYFUNCTION("""COMPUTED_VALUE"""),"Esporte; Educação; Assistência Social; Empreendedorismo; Saúde; Desenvolvimento comunitário")</f>
        <v>Esporte; Educação; Assistência Social; Empreendedorismo; Saúde; Desenvolvimento comunitário</v>
      </c>
      <c r="U552" s="27" t="str">
        <f ca="1">IFERROR(__xludf.DUMMYFUNCTION("""COMPUTED_VALUE"""),"Crianças pequenas (4 anos a 5 anos e 11 meses); Crianças (6 a 12 anos); Adolescentes (12 aos 18 anos); Jovens (18 aos 24 anos); Adultos")</f>
        <v>Crianças pequenas (4 anos a 5 anos e 11 meses); Crianças (6 a 12 anos); Adolescentes (12 aos 18 anos); Jovens (18 aos 24 anos); Adultos</v>
      </c>
      <c r="V552" s="27" t="str">
        <f ca="1">IFERROR(__xludf.DUMMYFUNCTION("""COMPUTED_VALUE"""),"Moradores de Favelas; Pessoas em situação de rua; População LGBTQ+; Afrodescendentes; Dependentes Químicos; Pessoas com Deficiência; Egressos sistema carcerário; Imigrantes")</f>
        <v>Moradores de Favelas; Pessoas em situação de rua; População LGBTQ+; Afrodescendentes; Dependentes Químicos; Pessoas com Deficiência; Egressos sistema carcerário; Imigrantes</v>
      </c>
      <c r="W552" s="27">
        <f ca="1">IFERROR(__xludf.DUMMYFUNCTION("""COMPUTED_VALUE"""),0)</f>
        <v>0</v>
      </c>
      <c r="X552" s="27" t="str">
        <f ca="1">IFERROR(__xludf.DUMMYFUNCTION("""COMPUTED_VALUE"""),"Atendemos o público de forma online com as aulas pelo aplicativo Zoom e Google Meets e de forma presencial na comunidade do Complexo do Alemão.")</f>
        <v>Atendemos o público de forma online com as aulas pelo aplicativo Zoom e Google Meets e de forma presencial na comunidade do Complexo do Alemão.</v>
      </c>
      <c r="Y552" s="27">
        <f ca="1">IFERROR(__xludf.DUMMYFUNCTION("""COMPUTED_VALUE"""),300)</f>
        <v>300</v>
      </c>
      <c r="Z552" s="27">
        <f ca="1">IFERROR(__xludf.DUMMYFUNCTION("""COMPUTED_VALUE"""),2000)</f>
        <v>2000</v>
      </c>
      <c r="AA552" s="29">
        <f ca="1">IFERROR(__xludf.DUMMYFUNCTION("""COMPUTED_VALUE"""),42473)</f>
        <v>42473</v>
      </c>
      <c r="AB552" s="27" t="str">
        <f ca="1">IFERROR(__xludf.DUMMYFUNCTION("""COMPUTED_VALUE"""),"Não")</f>
        <v>Não</v>
      </c>
      <c r="AC552" s="27">
        <f ca="1">IFERROR(__xludf.DUMMYFUNCTION("""COMPUTED_VALUE"""),0)</f>
        <v>0</v>
      </c>
      <c r="AD552" s="27">
        <f ca="1">IFERROR(__xludf.DUMMYFUNCTION("""COMPUTED_VALUE"""),0)</f>
        <v>0</v>
      </c>
      <c r="AE552" s="27">
        <f ca="1">IFERROR(__xludf.DUMMYFUNCTION("""COMPUTED_VALUE"""),15)</f>
        <v>15</v>
      </c>
      <c r="AF552" s="27">
        <f ca="1">IFERROR(__xludf.DUMMYFUNCTION("""COMPUTED_VALUE"""),10)</f>
        <v>10</v>
      </c>
      <c r="AG552" s="27">
        <f ca="1">IFERROR(__xludf.DUMMYFUNCTION("""COMPUTED_VALUE"""),0)</f>
        <v>0</v>
      </c>
      <c r="AH552" s="27" t="str">
        <f ca="1">IFERROR(__xludf.DUMMYFUNCTION("""COMPUTED_VALUE"""),"Recursos próprios")</f>
        <v>Recursos próprios</v>
      </c>
      <c r="AI552" s="27" t="str">
        <f ca="1">IFERROR(__xludf.DUMMYFUNCTION("""COMPUTED_VALUE"""),"100% favela")</f>
        <v>100% favela</v>
      </c>
      <c r="AJ552" s="27" t="str">
        <f ca="1">IFERROR(__xludf.DUMMYFUNCTION("""COMPUTED_VALUE"""),"Não")</f>
        <v>Não</v>
      </c>
      <c r="AK552" s="27" t="str">
        <f ca="1">IFERROR(__xludf.DUMMYFUNCTION("""COMPUTED_VALUE"""),"Não")</f>
        <v>Não</v>
      </c>
      <c r="AL552" s="21" t="str">
        <f ca="1">IFERROR(__xludf.DUMMYFUNCTION("""COMPUTED_VALUE"""),"0034P00003maBV3")</f>
        <v>0034P00003maBV3</v>
      </c>
      <c r="AM552" s="27" t="str">
        <f ca="1">IFERROR(__xludf.DUMMYFUNCTION("""COMPUTED_VALUE"""),"Costa Silva")</f>
        <v>Costa Silva</v>
      </c>
      <c r="AN552" s="27" t="str">
        <f ca="1">IFERROR(__xludf.DUMMYFUNCTION("""COMPUTED_VALUE"""),"Ativo")</f>
        <v>Ativo</v>
      </c>
      <c r="AO552" s="29">
        <f ca="1">IFERROR(__xludf.DUMMYFUNCTION("""COMPUTED_VALUE"""),44375)</f>
        <v>44375</v>
      </c>
      <c r="AP552" s="27">
        <f ca="1">IFERROR(__xludf.DUMMYFUNCTION("""COMPUTED_VALUE"""),15)</f>
        <v>15</v>
      </c>
      <c r="AQ552" s="27" t="str">
        <f ca="1">IFERROR(__xludf.DUMMYFUNCTION("""COMPUTED_VALUE"""),"Primeiro Semestre 2021")</f>
        <v>Primeiro Semestre 2021</v>
      </c>
      <c r="AR552" s="27" t="str">
        <f ca="1">IFERROR(__xludf.DUMMYFUNCTION("""COMPUTED_VALUE"""),"shaoliiin.52@gmail.com")</f>
        <v>shaoliiin.52@gmail.com</v>
      </c>
      <c r="AS552" s="27" t="str">
        <f ca="1">IFERROR(__xludf.DUMMYFUNCTION("""COMPUTED_VALUE"""),"(21)97573-1481")</f>
        <v>(21)97573-1481</v>
      </c>
      <c r="AT552" s="29">
        <f ca="1">IFERROR(__xludf.DUMMYFUNCTION("""COMPUTED_VALUE"""),34339)</f>
        <v>34339</v>
      </c>
      <c r="AU552" s="27">
        <f ca="1">IFERROR(__xludf.DUMMYFUNCTION("""COMPUTED_VALUE"""),28)</f>
        <v>28</v>
      </c>
      <c r="AV552" s="27">
        <f ca="1">IFERROR(__xludf.DUMMYFUNCTION("""COMPUTED_VALUE"""),13607868727)</f>
        <v>13607868727</v>
      </c>
      <c r="AW552" s="27">
        <f ca="1">IFERROR(__xludf.DUMMYFUNCTION("""COMPUTED_VALUE"""),214921991)</f>
        <v>214921991</v>
      </c>
      <c r="AX552" s="27" t="str">
        <f ca="1">IFERROR(__xludf.DUMMYFUNCTION("""COMPUTED_VALUE"""),"Ed Física")</f>
        <v>Ed Física</v>
      </c>
      <c r="AY552" s="27" t="str">
        <f ca="1">IFERROR(__xludf.DUMMYFUNCTION("""COMPUTED_VALUE"""),"Produção Cultural")</f>
        <v>Produção Cultural</v>
      </c>
      <c r="AZ552" s="27" t="str">
        <f ca="1">IFERROR(__xludf.DUMMYFUNCTION("""COMPUTED_VALUE"""),"XG")</f>
        <v>XG</v>
      </c>
      <c r="BA552" s="27"/>
      <c r="BB552" s="27"/>
      <c r="BC552" s="27" t="str">
        <f ca="1">IFERROR(__xludf.DUMMYFUNCTION("""COMPUTED_VALUE"""),"Não")</f>
        <v>Não</v>
      </c>
      <c r="BD552" s="27" t="str">
        <f ca="1">IFERROR(__xludf.DUMMYFUNCTION("""COMPUTED_VALUE"""),"Meu nome é Jeferson costa conhecido como shaolin meu senhor e salvar o máximo de vidas aqui no complexo da maré")</f>
        <v>Meu nome é Jeferson costa conhecido como shaolin meu senhor e salvar o máximo de vidas aqui no complexo da maré</v>
      </c>
      <c r="BE552" s="27"/>
      <c r="BF552" s="27"/>
      <c r="BG552" s="27" t="str">
        <f ca="1">IFERROR(__xludf.DUMMYFUNCTION("""COMPUTED_VALUE"""),"Ensino Superior - Incompleto")</f>
        <v>Ensino Superior - Incompleto</v>
      </c>
      <c r="BH552" s="27"/>
      <c r="BI552" s="27" t="str">
        <f ca="1">IFERROR(__xludf.DUMMYFUNCTION("""COMPUTED_VALUE"""),"Graduação")</f>
        <v>Graduação</v>
      </c>
      <c r="BJ552" s="27" t="str">
        <f ca="1">IFERROR(__xludf.DUMMYFUNCTION("""COMPUTED_VALUE"""),"Privado")</f>
        <v>Privado</v>
      </c>
      <c r="BK552" s="27" t="str">
        <f ca="1">IFERROR(__xludf.DUMMYFUNCTION("""COMPUTED_VALUE"""),"Rua Juscelino Caetano")</f>
        <v>Rua Juscelino Caetano</v>
      </c>
      <c r="BL552" s="27">
        <f ca="1">IFERROR(__xludf.DUMMYFUNCTION("""COMPUTED_VALUE"""),57)</f>
        <v>57</v>
      </c>
      <c r="BM552" s="27" t="str">
        <f ca="1">IFERROR(__xludf.DUMMYFUNCTION("""COMPUTED_VALUE"""),"Nova Holanda")</f>
        <v>Nova Holanda</v>
      </c>
      <c r="BN552" s="27" t="str">
        <f ca="1">IFERROR(__xludf.DUMMYFUNCTION("""COMPUTED_VALUE"""),"Rio de Janeiro")</f>
        <v>Rio de Janeiro</v>
      </c>
      <c r="BO552" s="27" t="str">
        <f ca="1">IFERROR(__xludf.DUMMYFUNCTION("""COMPUTED_VALUE"""),"21044-700")</f>
        <v>21044-700</v>
      </c>
      <c r="BP552" s="27" t="str">
        <f ca="1">IFERROR(__xludf.DUMMYFUNCTION("""COMPUTED_VALUE"""),"RJ")</f>
        <v>RJ</v>
      </c>
      <c r="BQ552" s="27" t="str">
        <f ca="1">IFERROR(__xludf.DUMMYFUNCTION("""COMPUTED_VALUE"""),"Entre 1 até 3 salários mínimos")</f>
        <v>Entre 1 até 3 salários mínimos</v>
      </c>
      <c r="BR552" s="27" t="str">
        <f ca="1">IFERROR(__xludf.DUMMYFUNCTION("""COMPUTED_VALUE"""),"CLT")</f>
        <v>CLT</v>
      </c>
      <c r="BS552" s="27" t="str">
        <f ca="1">IFERROR(__xludf.DUMMYFUNCTION("""COMPUTED_VALUE"""),"Aluguel")</f>
        <v>Aluguel</v>
      </c>
      <c r="BT552" s="27">
        <f ca="1">IFERROR(__xludf.DUMMYFUNCTION("""COMPUTED_VALUE"""),4)</f>
        <v>4</v>
      </c>
      <c r="BU552" s="27"/>
      <c r="BV552" s="27"/>
      <c r="BW552" s="21" t="str">
        <f ca="1">IFERROR(__xludf.DUMMYFUNCTION("""COMPUTED_VALUE"""),"https://www.instagram.com/shaolinbjj/")</f>
        <v>https://www.instagram.com/shaolinbjj/</v>
      </c>
      <c r="BX552" s="21" t="str">
        <f ca="1">IFERROR(__xludf.DUMMYFUNCTION("""COMPUTED_VALUE"""),"https://instagram.com/shaolinbjj?r=nametag")</f>
        <v>https://instagram.com/shaolinbjj?r=nametag</v>
      </c>
      <c r="BY552" s="21" t="str">
        <f ca="1">IFERROR(__xludf.DUMMYFUNCTION("""COMPUTED_VALUE"""),"https://drive.google.com/open?id=1nDYm1I-lZAJn9X0O6BanBlGUOH2Es6LQ")</f>
        <v>https://drive.google.com/open?id=1nDYm1I-lZAJn9X0O6BanBlGUOH2Es6LQ</v>
      </c>
    </row>
    <row r="553" spans="1:77" ht="12.5" x14ac:dyDescent="0.25">
      <c r="A553" s="21" t="str">
        <f ca="1">IFERROR(__xludf.DUMMYFUNCTION("""COMPUTED_VALUE"""),"0014X00002VKCuqQAH")</f>
        <v>0014X00002VKCuqQAH</v>
      </c>
      <c r="B553" s="27" t="str">
        <f ca="1">IFERROR(__xludf.DUMMYFUNCTION("""COMPUTED_VALUE"""),"Fase Inicial")</f>
        <v>Fase Inicial</v>
      </c>
      <c r="C553" s="27" t="str">
        <f ca="1">IFERROR(__xludf.DUMMYFUNCTION("""COMPUTED_VALUE"""),"Fellow")</f>
        <v>Fellow</v>
      </c>
      <c r="D553" s="27" t="str">
        <f ca="1">IFERROR(__xludf.DUMMYFUNCTION("""COMPUTED_VALUE"""),"Ativo")</f>
        <v>Ativo</v>
      </c>
      <c r="E553" s="27" t="str">
        <f ca="1">IFERROR(__xludf.DUMMYFUNCTION("""COMPUTED_VALUE"""),"PROJETO TRANSFORMAÇÃO")</f>
        <v>PROJETO TRANSFORMAÇÃO</v>
      </c>
      <c r="F553" s="27" t="str">
        <f ca="1">IFERROR(__xludf.DUMMYFUNCTION("""COMPUTED_VALUE"""),"Lucimara")</f>
        <v>Lucimara</v>
      </c>
      <c r="G553" s="27" t="str">
        <f ca="1">IFERROR(__xludf.DUMMYFUNCTION("""COMPUTED_VALUE"""),"PROJETO TRANSFORMAÇÃO")</f>
        <v>PROJETO TRANSFORMAÇÃO</v>
      </c>
      <c r="H553" s="27"/>
      <c r="I553" s="27" t="str">
        <f ca="1">IFERROR(__xludf.DUMMYFUNCTION("""COMPUTED_VALUE"""),"Lucimara Ribeiro Costa")</f>
        <v>Lucimara Ribeiro Costa</v>
      </c>
      <c r="J553" s="27" t="str">
        <f ca="1">IFERROR(__xludf.DUMMYFUNCTION("""COMPUTED_VALUE"""),"lucimararibeirocosta@gmail.com")</f>
        <v>lucimararibeirocosta@gmail.com</v>
      </c>
      <c r="K553" s="27" t="str">
        <f ca="1">IFERROR(__xludf.DUMMYFUNCTION("""COMPUTED_VALUE"""),"(11)99419-3558")</f>
        <v>(11)99419-3558</v>
      </c>
      <c r="L553" s="27" t="str">
        <f ca="1">IFERROR(__xludf.DUMMYFUNCTION("""COMPUTED_VALUE"""),"SP")</f>
        <v>SP</v>
      </c>
      <c r="M553" s="27" t="str">
        <f ca="1">IFERROR(__xludf.DUMMYFUNCTION("""COMPUTED_VALUE"""),"Rua Avinhado")</f>
        <v>Rua Avinhado</v>
      </c>
      <c r="N553" s="27" t="str">
        <f ca="1">IFERROR(__xludf.DUMMYFUNCTION("""COMPUTED_VALUE"""),"Vila Nova Curuçá")</f>
        <v>Vila Nova Curuçá</v>
      </c>
      <c r="O553" s="27">
        <f ca="1">IFERROR(__xludf.DUMMYFUNCTION("""COMPUTED_VALUE"""),213)</f>
        <v>213</v>
      </c>
      <c r="P553" s="27" t="str">
        <f ca="1">IFERROR(__xludf.DUMMYFUNCTION("""COMPUTED_VALUE"""),"São Paulo")</f>
        <v>São Paulo</v>
      </c>
      <c r="Q553" s="27" t="str">
        <f ca="1">IFERROR(__xludf.DUMMYFUNCTION("""COMPUTED_VALUE"""),"Casa A")</f>
        <v>Casa A</v>
      </c>
      <c r="R553" s="27" t="str">
        <f ca="1">IFERROR(__xludf.DUMMYFUNCTION("""COMPUTED_VALUE"""),"08032-320")</f>
        <v>08032-320</v>
      </c>
      <c r="S553" s="27" t="str">
        <f ca="1">IFERROR(__xludf.DUMMYFUNCTION("""COMPUTED_VALUE"""),"Praça da comunidade")</f>
        <v>Praça da comunidade</v>
      </c>
      <c r="T553" s="27"/>
      <c r="U553" s="27" t="str">
        <f ca="1">IFERROR(__xludf.DUMMYFUNCTION("""COMPUTED_VALUE"""),"Crianças (6 a 12 anos), Adolescentes (12 aos 18 anos), Jovens (18 aos 24 anos)")</f>
        <v>Crianças (6 a 12 anos), Adolescentes (12 aos 18 anos), Jovens (18 aos 24 anos)</v>
      </c>
      <c r="V553" s="27" t="str">
        <f ca="1">IFERROR(__xludf.DUMMYFUNCTION("""COMPUTED_VALUE"""),"Moradores de Favelas, Afrodescendentes")</f>
        <v>Moradores de Favelas, Afrodescendentes</v>
      </c>
      <c r="W553" s="27">
        <f ca="1">IFERROR(__xludf.DUMMYFUNCTION("""COMPUTED_VALUE"""),2)</f>
        <v>2</v>
      </c>
      <c r="X553" s="27"/>
      <c r="Y553" s="27"/>
      <c r="Z553" s="27">
        <f ca="1">IFERROR(__xludf.DUMMYFUNCTION("""COMPUTED_VALUE"""),50)</f>
        <v>50</v>
      </c>
      <c r="AA553" s="29">
        <f ca="1">IFERROR(__xludf.DUMMYFUNCTION("""COMPUTED_VALUE"""),44348)</f>
        <v>44348</v>
      </c>
      <c r="AB553" s="27" t="str">
        <f ca="1">IFERROR(__xludf.DUMMYFUNCTION("""COMPUTED_VALUE"""),"Não")</f>
        <v>Não</v>
      </c>
      <c r="AC553" s="27">
        <f ca="1">IFERROR(__xludf.DUMMYFUNCTION("""COMPUTED_VALUE"""),0)</f>
        <v>0</v>
      </c>
      <c r="AD553" s="27">
        <f ca="1">IFERROR(__xludf.DUMMYFUNCTION("""COMPUTED_VALUE"""),2)</f>
        <v>2</v>
      </c>
      <c r="AE553" s="27">
        <f ca="1">IFERROR(__xludf.DUMMYFUNCTION("""COMPUTED_VALUE"""),5)</f>
        <v>5</v>
      </c>
      <c r="AF553" s="27">
        <f ca="1">IFERROR(__xludf.DUMMYFUNCTION("""COMPUTED_VALUE"""),2)</f>
        <v>2</v>
      </c>
      <c r="AG553" s="27">
        <f ca="1">IFERROR(__xludf.DUMMYFUNCTION("""COMPUTED_VALUE"""),2)</f>
        <v>2</v>
      </c>
      <c r="AH553" s="27" t="str">
        <f ca="1">IFERROR(__xludf.DUMMYFUNCTION("""COMPUTED_VALUE"""),"Doações, Recursos próprios")</f>
        <v>Doações, Recursos próprios</v>
      </c>
      <c r="AI553" s="27" t="str">
        <f ca="1">IFERROR(__xludf.DUMMYFUNCTION("""COMPUTED_VALUE"""),"50% doações 50% recursos próprios")</f>
        <v>50% doações 50% recursos próprios</v>
      </c>
      <c r="AJ553" s="27" t="str">
        <f ca="1">IFERROR(__xludf.DUMMYFUNCTION("""COMPUTED_VALUE"""),"Vamos iniciar esse ano")</f>
        <v>Vamos iniciar esse ano</v>
      </c>
      <c r="AK553" s="27"/>
      <c r="AL553" s="21" t="str">
        <f ca="1">IFERROR(__xludf.DUMMYFUNCTION("""COMPUTED_VALUE"""),"0034X0000380O4J")</f>
        <v>0034X0000380O4J</v>
      </c>
      <c r="AM553" s="27" t="str">
        <f ca="1">IFERROR(__xludf.DUMMYFUNCTION("""COMPUTED_VALUE"""),"Ribeiro costa")</f>
        <v>Ribeiro costa</v>
      </c>
      <c r="AN553" s="27" t="str">
        <f ca="1">IFERROR(__xludf.DUMMYFUNCTION("""COMPUTED_VALUE"""),"Ativo")</f>
        <v>Ativo</v>
      </c>
      <c r="AO553" s="29">
        <f ca="1">IFERROR(__xludf.DUMMYFUNCTION("""COMPUTED_VALUE"""),44763)</f>
        <v>44763</v>
      </c>
      <c r="AP553" s="27">
        <f ca="1">IFERROR(__xludf.DUMMYFUNCTION("""COMPUTED_VALUE"""),2)</f>
        <v>2</v>
      </c>
      <c r="AQ553" s="27" t="str">
        <f ca="1">IFERROR(__xludf.DUMMYFUNCTION("""COMPUTED_VALUE"""),"Primeiro Semestre 2022")</f>
        <v>Primeiro Semestre 2022</v>
      </c>
      <c r="AR553" s="27" t="str">
        <f ca="1">IFERROR(__xludf.DUMMYFUNCTION("""COMPUTED_VALUE"""),"lucimararibeirocosta@gmail.com")</f>
        <v>lucimararibeirocosta@gmail.com</v>
      </c>
      <c r="AS553" s="27" t="str">
        <f ca="1">IFERROR(__xludf.DUMMYFUNCTION("""COMPUTED_VALUE"""),"+55 11 99419-3558")</f>
        <v>+55 11 99419-3558</v>
      </c>
      <c r="AT553" s="29">
        <f ca="1">IFERROR(__xludf.DUMMYFUNCTION("""COMPUTED_VALUE"""),25637)</f>
        <v>25637</v>
      </c>
      <c r="AU553" s="27">
        <f ca="1">IFERROR(__xludf.DUMMYFUNCTION("""COMPUTED_VALUE"""),52)</f>
        <v>52</v>
      </c>
      <c r="AV553" s="27">
        <f ca="1">IFERROR(__xludf.DUMMYFUNCTION("""COMPUTED_VALUE"""),13639865898)</f>
        <v>13639865898</v>
      </c>
      <c r="AW553" s="27">
        <f ca="1">IFERROR(__xludf.DUMMYFUNCTION("""COMPUTED_VALUE"""),227879879)</f>
        <v>227879879</v>
      </c>
      <c r="AX553" s="27"/>
      <c r="AY553" s="27"/>
      <c r="AZ553" s="27" t="str">
        <f ca="1">IFERROR(__xludf.DUMMYFUNCTION("""COMPUTED_VALUE"""),"GG")</f>
        <v>GG</v>
      </c>
      <c r="BA553" s="27" t="str">
        <f ca="1">IFERROR(__xludf.DUMMYFUNCTION("""COMPUTED_VALUE"""),"Preta")</f>
        <v>Preta</v>
      </c>
      <c r="BB553" s="27"/>
      <c r="BC553" s="27"/>
      <c r="BD553" s="27" t="str">
        <f ca="1">IFERROR(__xludf.DUMMYFUNCTION("""COMPUTED_VALUE"""),"Lucimara Ribeiro Costa é uma ex cabeleireira da região da zona leste de São Paulo que ao enxergar a realidade da desigualdade do bairro em que mora e marginalização de crianças e adolescentes* resolveu estudar serviço social para criar seu projeto de assi"&amp;"stência social para crianças e adolescentes em vulnerabilidade social.")</f>
        <v>Lucimara Ribeiro Costa é uma ex cabeleireira da região da zona leste de São Paulo que ao enxergar a realidade da desigualdade do bairro em que mora e marginalização de crianças e adolescentes* resolveu estudar serviço social para criar seu projeto de assistência social para crianças e adolescentes em vulnerabilidade social.</v>
      </c>
      <c r="BE553" s="27" t="str">
        <f ca="1">IFERROR(__xludf.DUMMYFUNCTION("""COMPUTED_VALUE"""),"Feminino")</f>
        <v>Feminino</v>
      </c>
      <c r="BF553" s="27" t="str">
        <f ca="1">IFERROR(__xludf.DUMMYFUNCTION("""COMPUTED_VALUE"""),"Heterossexual")</f>
        <v>Heterossexual</v>
      </c>
      <c r="BG553" s="27"/>
      <c r="BH553" s="27" t="str">
        <f ca="1">IFERROR(__xludf.DUMMYFUNCTION("""COMPUTED_VALUE"""),"Público")</f>
        <v>Público</v>
      </c>
      <c r="BI553" s="27" t="str">
        <f ca="1">IFERROR(__xludf.DUMMYFUNCTION("""COMPUTED_VALUE"""),"Graduação")</f>
        <v>Graduação</v>
      </c>
      <c r="BJ553" s="27" t="str">
        <f ca="1">IFERROR(__xludf.DUMMYFUNCTION("""COMPUTED_VALUE"""),"Privado")</f>
        <v>Privado</v>
      </c>
      <c r="BK553" s="27" t="str">
        <f ca="1">IFERROR(__xludf.DUMMYFUNCTION("""COMPUTED_VALUE"""),"Rua Avinhado")</f>
        <v>Rua Avinhado</v>
      </c>
      <c r="BL553" s="27">
        <f ca="1">IFERROR(__xludf.DUMMYFUNCTION("""COMPUTED_VALUE"""),20)</f>
        <v>20</v>
      </c>
      <c r="BM553" s="27"/>
      <c r="BN553" s="27"/>
      <c r="BO553" s="27">
        <f ca="1">IFERROR(__xludf.DUMMYFUNCTION("""COMPUTED_VALUE"""),8032320)</f>
        <v>8032320</v>
      </c>
      <c r="BP553" s="27" t="str">
        <f ca="1">IFERROR(__xludf.DUMMYFUNCTION("""COMPUTED_VALUE"""),"SP")</f>
        <v>SP</v>
      </c>
      <c r="BQ553" s="27" t="str">
        <f ca="1">IFERROR(__xludf.DUMMYFUNCTION("""COMPUTED_VALUE"""),"Entre 1 até 3 salários mínimos")</f>
        <v>Entre 1 até 3 salários mínimos</v>
      </c>
      <c r="BR553" s="27" t="str">
        <f ca="1">IFERROR(__xludf.DUMMYFUNCTION("""COMPUTED_VALUE"""),"CLT")</f>
        <v>CLT</v>
      </c>
      <c r="BS553" s="27" t="str">
        <f ca="1">IFERROR(__xludf.DUMMYFUNCTION("""COMPUTED_VALUE"""),"Aluguel")</f>
        <v>Aluguel</v>
      </c>
      <c r="BT553" s="27">
        <f ca="1">IFERROR(__xludf.DUMMYFUNCTION("""COMPUTED_VALUE"""),1)</f>
        <v>1</v>
      </c>
      <c r="BU553" s="27" t="str">
        <f ca="1">IFERROR(__xludf.DUMMYFUNCTION("""COMPUTED_VALUE"""),"Não tem")</f>
        <v>Não tem</v>
      </c>
      <c r="BV553" s="27" t="str">
        <f ca="1">IFERROR(__xludf.DUMMYFUNCTION("""COMPUTED_VALUE"""),"Não")</f>
        <v>Não</v>
      </c>
      <c r="BW553" s="21" t="str">
        <f ca="1">IFERROR(__xludf.DUMMYFUNCTION("""COMPUTED_VALUE"""),"https://www.linkedin.com/in/lucimara-ribeiro-costa-894061200")</f>
        <v>https://www.linkedin.com/in/lucimara-ribeiro-costa-894061200</v>
      </c>
      <c r="BX553" s="21" t="str">
        <f ca="1">IFERROR(__xludf.DUMMYFUNCTION("""COMPUTED_VALUE"""),"https://instagram.com/projeto_transformacak?utm_medium=copy_link")</f>
        <v>https://instagram.com/projeto_transformacak?utm_medium=copy_link</v>
      </c>
      <c r="BY553" s="21" t="str">
        <f ca="1">IFERROR(__xludf.DUMMYFUNCTION("""COMPUTED_VALUE"""),"https://drive.google.com/open?id=1gMFPQrmwb9ahrLWTTKtHIenL053AdSIs")</f>
        <v>https://drive.google.com/open?id=1gMFPQrmwb9ahrLWTTKtHIenL053AdSIs</v>
      </c>
    </row>
    <row r="554" spans="1:77" ht="12.5" x14ac:dyDescent="0.25">
      <c r="A554" s="21" t="str">
        <f ca="1">IFERROR(__xludf.DUMMYFUNCTION("""COMPUTED_VALUE"""),"0014X00002VKCsMQAX")</f>
        <v>0014X00002VKCsMQAX</v>
      </c>
      <c r="B554" s="27" t="str">
        <f ca="1">IFERROR(__xludf.DUMMYFUNCTION("""COMPUTED_VALUE"""),"Fase Inicial")</f>
        <v>Fase Inicial</v>
      </c>
      <c r="C554" s="27" t="str">
        <f ca="1">IFERROR(__xludf.DUMMYFUNCTION("""COMPUTED_VALUE"""),"Fellow")</f>
        <v>Fellow</v>
      </c>
      <c r="D554" s="27" t="str">
        <f ca="1">IFERROR(__xludf.DUMMYFUNCTION("""COMPUTED_VALUE"""),"Ativo")</f>
        <v>Ativo</v>
      </c>
      <c r="E554" s="27" t="str">
        <f ca="1">IFERROR(__xludf.DUMMYFUNCTION("""COMPUTED_VALUE"""),"Projeto união parque")</f>
        <v>Projeto união parque</v>
      </c>
      <c r="F554" s="27" t="str">
        <f ca="1">IFERROR(__xludf.DUMMYFUNCTION("""COMPUTED_VALUE"""),"Anderson")</f>
        <v>Anderson</v>
      </c>
      <c r="G554" s="27" t="str">
        <f ca="1">IFERROR(__xludf.DUMMYFUNCTION("""COMPUTED_VALUE"""),"UNIÃO PARQUE FC")</f>
        <v>UNIÃO PARQUE FC</v>
      </c>
      <c r="H554" s="27"/>
      <c r="I554" s="27" t="str">
        <f ca="1">IFERROR(__xludf.DUMMYFUNCTION("""COMPUTED_VALUE"""),"Anderson da Conceição dos Santos")</f>
        <v>Anderson da Conceição dos Santos</v>
      </c>
      <c r="J554" s="27" t="str">
        <f ca="1">IFERROR(__xludf.DUMMYFUNCTION("""COMPUTED_VALUE"""),"uniaoparquep@gmail.com")</f>
        <v>uniaoparquep@gmail.com</v>
      </c>
      <c r="K554" s="27" t="str">
        <f ca="1">IFERROR(__xludf.DUMMYFUNCTION("""COMPUTED_VALUE"""),"(21)98221-9778")</f>
        <v>(21)98221-9778</v>
      </c>
      <c r="L554" s="27" t="str">
        <f ca="1">IFERROR(__xludf.DUMMYFUNCTION("""COMPUTED_VALUE"""),"RJ")</f>
        <v>RJ</v>
      </c>
      <c r="M554" s="27" t="str">
        <f ca="1">IFERROR(__xludf.DUMMYFUNCTION("""COMPUTED_VALUE"""),"Rua Jacinto")</f>
        <v>Rua Jacinto</v>
      </c>
      <c r="N554" s="27" t="str">
        <f ca="1">IFERROR(__xludf.DUMMYFUNCTION("""COMPUTED_VALUE"""),"Parque primavera")</f>
        <v>Parque primavera</v>
      </c>
      <c r="O554" s="27">
        <f ca="1">IFERROR(__xludf.DUMMYFUNCTION("""COMPUTED_VALUE"""),111)</f>
        <v>111</v>
      </c>
      <c r="P554" s="27" t="str">
        <f ca="1">IFERROR(__xludf.DUMMYFUNCTION("""COMPUTED_VALUE"""),"Itaguaí")</f>
        <v>Itaguaí</v>
      </c>
      <c r="Q554" s="27" t="str">
        <f ca="1">IFERROR(__xludf.DUMMYFUNCTION("""COMPUTED_VALUE"""),"Parque primavera")</f>
        <v>Parque primavera</v>
      </c>
      <c r="R554" s="27" t="str">
        <f ca="1">IFERROR(__xludf.DUMMYFUNCTION("""COMPUTED_VALUE"""),"23835-003")</f>
        <v>23835-003</v>
      </c>
      <c r="S554" s="27" t="str">
        <f ca="1">IFERROR(__xludf.DUMMYFUNCTION("""COMPUTED_VALUE"""),"Campo de Futebol")</f>
        <v>Campo de Futebol</v>
      </c>
      <c r="T554" s="27"/>
      <c r="U554" s="27" t="str">
        <f ca="1">IFERROR(__xludf.DUMMYFUNCTION("""COMPUTED_VALUE"""),"Crianças (6 a 12 anos), Adolescentes (12 aos 18 anos)")</f>
        <v>Crianças (6 a 12 anos), Adolescentes (12 aos 18 anos)</v>
      </c>
      <c r="V554" s="27" t="str">
        <f ca="1">IFERROR(__xludf.DUMMYFUNCTION("""COMPUTED_VALUE"""),"Moradores de Favelas, Pessoas em situação de rua")</f>
        <v>Moradores de Favelas, Pessoas em situação de rua</v>
      </c>
      <c r="W554" s="27">
        <f ca="1">IFERROR(__xludf.DUMMYFUNCTION("""COMPUTED_VALUE"""),2)</f>
        <v>2</v>
      </c>
      <c r="X554" s="27"/>
      <c r="Y554" s="27"/>
      <c r="Z554" s="27">
        <f ca="1">IFERROR(__xludf.DUMMYFUNCTION("""COMPUTED_VALUE"""),0)</f>
        <v>0</v>
      </c>
      <c r="AA554" s="30">
        <f ca="1">IFERROR(__xludf.DUMMYFUNCTION("""COMPUTED_VALUE"""),42289)</f>
        <v>42289</v>
      </c>
      <c r="AB554" s="27" t="str">
        <f ca="1">IFERROR(__xludf.DUMMYFUNCTION("""COMPUTED_VALUE"""),"Não")</f>
        <v>Não</v>
      </c>
      <c r="AC554" s="27">
        <f ca="1">IFERROR(__xludf.DUMMYFUNCTION("""COMPUTED_VALUE"""),10)</f>
        <v>10</v>
      </c>
      <c r="AD554" s="27">
        <f ca="1">IFERROR(__xludf.DUMMYFUNCTION("""COMPUTED_VALUE"""),10)</f>
        <v>10</v>
      </c>
      <c r="AE554" s="27">
        <f ca="1">IFERROR(__xludf.DUMMYFUNCTION("""COMPUTED_VALUE"""),10)</f>
        <v>10</v>
      </c>
      <c r="AF554" s="27">
        <f ca="1">IFERROR(__xludf.DUMMYFUNCTION("""COMPUTED_VALUE"""),10)</f>
        <v>10</v>
      </c>
      <c r="AG554" s="27">
        <f ca="1">IFERROR(__xludf.DUMMYFUNCTION("""COMPUTED_VALUE"""),2)</f>
        <v>2</v>
      </c>
      <c r="AH554" s="27" t="str">
        <f ca="1">IFERROR(__xludf.DUMMYFUNCTION("""COMPUTED_VALUE"""),"Outro(s), Recursos próprios")</f>
        <v>Outro(s), Recursos próprios</v>
      </c>
      <c r="AI554" s="27" t="str">
        <f ca="1">IFERROR(__xludf.DUMMYFUNCTION("""COMPUTED_VALUE"""),"Recursos próprios 80% , rifa 20%")</f>
        <v>Recursos próprios 80% , rifa 20%</v>
      </c>
      <c r="AJ554" s="27" t="str">
        <f ca="1">IFERROR(__xludf.DUMMYFUNCTION("""COMPUTED_VALUE"""),"Vamos iniciar esse ano")</f>
        <v>Vamos iniciar esse ano</v>
      </c>
      <c r="AK554" s="27"/>
      <c r="AL554" s="21" t="str">
        <f ca="1">IFERROR(__xludf.DUMMYFUNCTION("""COMPUTED_VALUE"""),"0034X0000380O4z")</f>
        <v>0034X0000380O4z</v>
      </c>
      <c r="AM554" s="27" t="str">
        <f ca="1">IFERROR(__xludf.DUMMYFUNCTION("""COMPUTED_VALUE"""),"Da conceição dos santos")</f>
        <v>Da conceição dos santos</v>
      </c>
      <c r="AN554" s="27" t="str">
        <f ca="1">IFERROR(__xludf.DUMMYFUNCTION("""COMPUTED_VALUE"""),"Ativo")</f>
        <v>Ativo</v>
      </c>
      <c r="AO554" s="29">
        <f ca="1">IFERROR(__xludf.DUMMYFUNCTION("""COMPUTED_VALUE"""),44763)</f>
        <v>44763</v>
      </c>
      <c r="AP554" s="27">
        <f ca="1">IFERROR(__xludf.DUMMYFUNCTION("""COMPUTED_VALUE"""),2)</f>
        <v>2</v>
      </c>
      <c r="AQ554" s="27" t="str">
        <f ca="1">IFERROR(__xludf.DUMMYFUNCTION("""COMPUTED_VALUE"""),"Primeiro Semestre 2022")</f>
        <v>Primeiro Semestre 2022</v>
      </c>
      <c r="AR554" s="27" t="str">
        <f ca="1">IFERROR(__xludf.DUMMYFUNCTION("""COMPUTED_VALUE"""),"andersonsantosagp@gmail.com")</f>
        <v>andersonsantosagp@gmail.com</v>
      </c>
      <c r="AS554" s="27" t="str">
        <f ca="1">IFERROR(__xludf.DUMMYFUNCTION("""COMPUTED_VALUE"""),"(21)98221-9778")</f>
        <v>(21)98221-9778</v>
      </c>
      <c r="AT554" s="29">
        <f ca="1">IFERROR(__xludf.DUMMYFUNCTION("""COMPUTED_VALUE"""),33842)</f>
        <v>33842</v>
      </c>
      <c r="AU554" s="27">
        <f ca="1">IFERROR(__xludf.DUMMYFUNCTION("""COMPUTED_VALUE"""),30)</f>
        <v>30</v>
      </c>
      <c r="AV554" s="27">
        <f ca="1">IFERROR(__xludf.DUMMYFUNCTION("""COMPUTED_VALUE"""),14702035703)</f>
        <v>14702035703</v>
      </c>
      <c r="AW554" s="27" t="str">
        <f ca="1">IFERROR(__xludf.DUMMYFUNCTION("""COMPUTED_VALUE"""),"27309721-2")</f>
        <v>27309721-2</v>
      </c>
      <c r="AX554" s="27"/>
      <c r="AY554" s="27" t="str">
        <f ca="1">IFERROR(__xludf.DUMMYFUNCTION("""COMPUTED_VALUE"""),"Presidente")</f>
        <v>Presidente</v>
      </c>
      <c r="AZ554" s="27" t="str">
        <f ca="1">IFERROR(__xludf.DUMMYFUNCTION("""COMPUTED_VALUE"""),"G")</f>
        <v>G</v>
      </c>
      <c r="BA554" s="27" t="str">
        <f ca="1">IFERROR(__xludf.DUMMYFUNCTION("""COMPUTED_VALUE"""),"Preta")</f>
        <v>Preta</v>
      </c>
      <c r="BB554" s="27"/>
      <c r="BC554" s="27"/>
      <c r="BD554" s="27" t="str">
        <f ca="1">IFERROR(__xludf.DUMMYFUNCTION("""COMPUTED_VALUE"""),"Sou Anderson Santos natural do Rio de Janeiro, fundador do Projeto Uniao  Parque, aonde cuidamos de crianças jovens e adolescentes, em vulnerabilidade social nosso maior objetivo é mostra para esses jovens e crianças que tem como sim viver uma vida longe "&amp;"da violência e das drogas através da nossa oficina de futebol já encaminhamos 5 jogadores nossos para fazer avaliação no time do Fluminense e Nova Iguaçu nós acreditamos que o esporte ele tem poder de transformar vidas.")</f>
        <v>Sou Anderson Santos natural do Rio de Janeiro, fundador do Projeto Uniao  Parque, aonde cuidamos de crianças jovens e adolescentes, em vulnerabilidade social nosso maior objetivo é mostra para esses jovens e crianças que tem como sim viver uma vida longe da violência e das drogas através da nossa oficina de futebol já encaminhamos 5 jogadores nossos para fazer avaliação no time do Fluminense e Nova Iguaçu nós acreditamos que o esporte ele tem poder de transformar vidas.</v>
      </c>
      <c r="BE554" s="27" t="str">
        <f ca="1">IFERROR(__xludf.DUMMYFUNCTION("""COMPUTED_VALUE"""),"Homem, transgênero")</f>
        <v>Homem, transgênero</v>
      </c>
      <c r="BF554" s="27" t="str">
        <f ca="1">IFERROR(__xludf.DUMMYFUNCTION("""COMPUTED_VALUE"""),"Heterossexual")</f>
        <v>Heterossexual</v>
      </c>
      <c r="BG554" s="27" t="str">
        <f ca="1">IFERROR(__xludf.DUMMYFUNCTION("""COMPUTED_VALUE"""),"Ensino Médio - Completo")</f>
        <v>Ensino Médio - Completo</v>
      </c>
      <c r="BH554" s="27" t="str">
        <f ca="1">IFERROR(__xludf.DUMMYFUNCTION("""COMPUTED_VALUE"""),"Público")</f>
        <v>Público</v>
      </c>
      <c r="BI554" s="27"/>
      <c r="BJ554" s="27"/>
      <c r="BK554" s="27" t="str">
        <f ca="1">IFERROR(__xludf.DUMMYFUNCTION("""COMPUTED_VALUE"""),"Rua do cravo 125 parque primavera")</f>
        <v>Rua do cravo 125 parque primavera</v>
      </c>
      <c r="BL554" s="27">
        <f ca="1">IFERROR(__xludf.DUMMYFUNCTION("""COMPUTED_VALUE"""),125)</f>
        <v>125</v>
      </c>
      <c r="BM554" s="27" t="str">
        <f ca="1">IFERROR(__xludf.DUMMYFUNCTION("""COMPUTED_VALUE"""),"Parque primavera")</f>
        <v>Parque primavera</v>
      </c>
      <c r="BN554" s="27" t="str">
        <f ca="1">IFERROR(__xludf.DUMMYFUNCTION("""COMPUTED_VALUE"""),"Itaguaí")</f>
        <v>Itaguaí</v>
      </c>
      <c r="BO554" s="27" t="str">
        <f ca="1">IFERROR(__xludf.DUMMYFUNCTION("""COMPUTED_VALUE"""),"23830-100")</f>
        <v>23830-100</v>
      </c>
      <c r="BP554" s="27" t="str">
        <f ca="1">IFERROR(__xludf.DUMMYFUNCTION("""COMPUTED_VALUE"""),"RJ")</f>
        <v>RJ</v>
      </c>
      <c r="BQ554" s="27" t="str">
        <f ca="1">IFERROR(__xludf.DUMMYFUNCTION("""COMPUTED_VALUE"""),"Entre 1 até 3 salários mínimos")</f>
        <v>Entre 1 até 3 salários mínimos</v>
      </c>
      <c r="BR554" s="27" t="str">
        <f ca="1">IFERROR(__xludf.DUMMYFUNCTION("""COMPUTED_VALUE"""),"Desempregado")</f>
        <v>Desempregado</v>
      </c>
      <c r="BS554" s="27" t="str">
        <f ca="1">IFERROR(__xludf.DUMMYFUNCTION("""COMPUTED_VALUE"""),"Casa própria")</f>
        <v>Casa própria</v>
      </c>
      <c r="BT554" s="27">
        <f ca="1">IFERROR(__xludf.DUMMYFUNCTION("""COMPUTED_VALUE"""),5)</f>
        <v>5</v>
      </c>
      <c r="BU554" s="27" t="str">
        <f ca="1">IFERROR(__xludf.DUMMYFUNCTION("""COMPUTED_VALUE"""),"Não tem")</f>
        <v>Não tem</v>
      </c>
      <c r="BV554" s="27" t="str">
        <f ca="1">IFERROR(__xludf.DUMMYFUNCTION("""COMPUTED_VALUE"""),"Não")</f>
        <v>Não</v>
      </c>
      <c r="BW554" s="21" t="str">
        <f ca="1">IFERROR(__xludf.DUMMYFUNCTION("""COMPUTED_VALUE"""),"https://www.instagram.com/p/Cc_megbpDFD/?igshid=YmMyMTA2M2Y=")</f>
        <v>https://www.instagram.com/p/Cc_megbpDFD/?igshid=YmMyMTA2M2Y=</v>
      </c>
      <c r="BX554" s="21" t="str">
        <f ca="1">IFERROR(__xludf.DUMMYFUNCTION("""COMPUTED_VALUE"""),"https://www.instagram.com/p/Cc_megbpDFD/?igshid=YmMyMTA2M2Y=")</f>
        <v>https://www.instagram.com/p/Cc_megbpDFD/?igshid=YmMyMTA2M2Y=</v>
      </c>
      <c r="BY554" s="21" t="str">
        <f ca="1">IFERROR(__xludf.DUMMYFUNCTION("""COMPUTED_VALUE"""),"https://drive.google.com/open?id=1U1OgFxNH0exPq5yQWYiyhZyzSjn1AG92")</f>
        <v>https://drive.google.com/open?id=1U1OgFxNH0exPq5yQWYiyhZyzSjn1AG92</v>
      </c>
    </row>
    <row r="555" spans="1:77" ht="12.5" hidden="1" x14ac:dyDescent="0.25">
      <c r="A555" s="21" t="str">
        <f ca="1">IFERROR(__xludf.DUMMYFUNCTION("""COMPUTED_VALUE"""),"0014X00002VKCroQAH")</f>
        <v>0014X00002VKCroQAH</v>
      </c>
      <c r="B555" s="27" t="str">
        <f ca="1">IFERROR(__xludf.DUMMYFUNCTION("""COMPUTED_VALUE"""),"Fase Inicial")</f>
        <v>Fase Inicial</v>
      </c>
      <c r="C555" s="27" t="str">
        <f ca="1">IFERROR(__xludf.DUMMYFUNCTION("""COMPUTED_VALUE"""),"Fellow")</f>
        <v>Fellow</v>
      </c>
      <c r="D555" s="27" t="str">
        <f ca="1">IFERROR(__xludf.DUMMYFUNCTION("""COMPUTED_VALUE"""),"Ativo")</f>
        <v>Ativo</v>
      </c>
      <c r="E555" s="27" t="str">
        <f ca="1">IFERROR(__xludf.DUMMYFUNCTION("""COMPUTED_VALUE"""),"PROJETO VIDA EMANUEL")</f>
        <v>PROJETO VIDA EMANUEL</v>
      </c>
      <c r="F555" s="27" t="str">
        <f ca="1">IFERROR(__xludf.DUMMYFUNCTION("""COMPUTED_VALUE"""),"JOSÉ")</f>
        <v>JOSÉ</v>
      </c>
      <c r="G555" s="27" t="str">
        <f ca="1">IFERROR(__xludf.DUMMYFUNCTION("""COMPUTED_VALUE"""),"PVE")</f>
        <v>PVE</v>
      </c>
      <c r="H555" s="27"/>
      <c r="I555" s="27" t="str">
        <f ca="1">IFERROR(__xludf.DUMMYFUNCTION("""COMPUTED_VALUE"""),"José Deybson Machado Soares Júnior")</f>
        <v>José Deybson Machado Soares Júnior</v>
      </c>
      <c r="J555" s="27" t="str">
        <f ca="1">IFERROR(__xludf.DUMMYFUNCTION("""COMPUTED_VALUE"""),"projetovidaemanuel@gmail.com")</f>
        <v>projetovidaemanuel@gmail.com</v>
      </c>
      <c r="K555" s="27" t="str">
        <f ca="1">IFERROR(__xludf.DUMMYFUNCTION("""COMPUTED_VALUE"""),"(81)99302-6749")</f>
        <v>(81)99302-6749</v>
      </c>
      <c r="L555" s="27" t="str">
        <f ca="1">IFERROR(__xludf.DUMMYFUNCTION("""COMPUTED_VALUE"""),"PE")</f>
        <v>PE</v>
      </c>
      <c r="M555" s="27" t="str">
        <f ca="1">IFERROR(__xludf.DUMMYFUNCTION("""COMPUTED_VALUE"""),"Rua Rosário do Oeste")</f>
        <v>Rua Rosário do Oeste</v>
      </c>
      <c r="N555" s="27" t="str">
        <f ca="1">IFERROR(__xludf.DUMMYFUNCTION("""COMPUTED_VALUE"""),"Ibura")</f>
        <v>Ibura</v>
      </c>
      <c r="O555" s="27">
        <f ca="1">IFERROR(__xludf.DUMMYFUNCTION("""COMPUTED_VALUE"""),409)</f>
        <v>409</v>
      </c>
      <c r="P555" s="27" t="str">
        <f ca="1">IFERROR(__xludf.DUMMYFUNCTION("""COMPUTED_VALUE"""),"Recife")</f>
        <v>Recife</v>
      </c>
      <c r="Q555" s="27" t="str">
        <f ca="1">IFERROR(__xludf.DUMMYFUNCTION("""COMPUTED_VALUE"""),"Prédio da Igreja Batista Emanuel do Ibura")</f>
        <v>Prédio da Igreja Batista Emanuel do Ibura</v>
      </c>
      <c r="R555" s="27" t="str">
        <f ca="1">IFERROR(__xludf.DUMMYFUNCTION("""COMPUTED_VALUE"""),"51240-725")</f>
        <v>51240-725</v>
      </c>
      <c r="S555" s="27"/>
      <c r="T555" s="27"/>
      <c r="U555"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555" s="27" t="str">
        <f ca="1">IFERROR(__xludf.DUMMYFUNCTION("""COMPUTED_VALUE"""),"Outros")</f>
        <v>Outros</v>
      </c>
      <c r="W555" s="27">
        <f ca="1">IFERROR(__xludf.DUMMYFUNCTION("""COMPUTED_VALUE"""),2)</f>
        <v>2</v>
      </c>
      <c r="X555" s="27" t="str">
        <f ca="1">IFERROR(__xludf.DUMMYFUNCTION("""COMPUTED_VALUE"""),"A ONG está localizada na divisa entre os bairros do Ibura e do Jordão. Com isso nós atendemos a população dessas duas grandes comunidades.")</f>
        <v>A ONG está localizada na divisa entre os bairros do Ibura e do Jordão. Com isso nós atendemos a população dessas duas grandes comunidades.</v>
      </c>
      <c r="Y555" s="27"/>
      <c r="Z555" s="27">
        <f ca="1">IFERROR(__xludf.DUMMYFUNCTION("""COMPUTED_VALUE"""),150)</f>
        <v>150</v>
      </c>
      <c r="AA555" s="29">
        <f ca="1">IFERROR(__xludf.DUMMYFUNCTION("""COMPUTED_VALUE"""),43535)</f>
        <v>43535</v>
      </c>
      <c r="AB555" s="27" t="str">
        <f ca="1">IFERROR(__xludf.DUMMYFUNCTION("""COMPUTED_VALUE"""),"Não")</f>
        <v>Não</v>
      </c>
      <c r="AC555" s="27">
        <f ca="1">IFERROR(__xludf.DUMMYFUNCTION("""COMPUTED_VALUE"""),0)</f>
        <v>0</v>
      </c>
      <c r="AD555" s="27">
        <f ca="1">IFERROR(__xludf.DUMMYFUNCTION("""COMPUTED_VALUE"""),20)</f>
        <v>20</v>
      </c>
      <c r="AE555" s="27">
        <f ca="1">IFERROR(__xludf.DUMMYFUNCTION("""COMPUTED_VALUE"""),15)</f>
        <v>15</v>
      </c>
      <c r="AF555" s="27">
        <f ca="1">IFERROR(__xludf.DUMMYFUNCTION("""COMPUTED_VALUE"""),15)</f>
        <v>15</v>
      </c>
      <c r="AG555" s="27">
        <f ca="1">IFERROR(__xludf.DUMMYFUNCTION("""COMPUTED_VALUE"""),3)</f>
        <v>3</v>
      </c>
      <c r="AH555" s="27" t="str">
        <f ca="1">IFERROR(__xludf.DUMMYFUNCTION("""COMPUTED_VALUE"""),"Eventos/Ações para captação, Doações, Recursos próprios")</f>
        <v>Eventos/Ações para captação, Doações, Recursos próprios</v>
      </c>
      <c r="AI555" s="27">
        <f ca="1">IFERROR(__xludf.DUMMYFUNCTION("""COMPUTED_VALUE"""),0)</f>
        <v>0</v>
      </c>
      <c r="AJ555" s="27" t="str">
        <f ca="1">IFERROR(__xludf.DUMMYFUNCTION("""COMPUTED_VALUE"""),"Não")</f>
        <v>Não</v>
      </c>
      <c r="AK555" s="27"/>
      <c r="AL555" s="21" t="str">
        <f ca="1">IFERROR(__xludf.DUMMYFUNCTION("""COMPUTED_VALUE"""),"0034X0000380O1O")</f>
        <v>0034X0000380O1O</v>
      </c>
      <c r="AM555" s="27" t="str">
        <f ca="1">IFERROR(__xludf.DUMMYFUNCTION("""COMPUTED_VALUE"""),"Deybson machado soares junior")</f>
        <v>Deybson machado soares junior</v>
      </c>
      <c r="AN555" s="27" t="str">
        <f ca="1">IFERROR(__xludf.DUMMYFUNCTION("""COMPUTED_VALUE"""),"Ativo")</f>
        <v>Ativo</v>
      </c>
      <c r="AO555" s="29">
        <f ca="1">IFERROR(__xludf.DUMMYFUNCTION("""COMPUTED_VALUE"""),44763)</f>
        <v>44763</v>
      </c>
      <c r="AP555" s="27">
        <f ca="1">IFERROR(__xludf.DUMMYFUNCTION("""COMPUTED_VALUE"""),2)</f>
        <v>2</v>
      </c>
      <c r="AQ555" s="27" t="str">
        <f ca="1">IFERROR(__xludf.DUMMYFUNCTION("""COMPUTED_VALUE"""),"Primeiro Semestre 2022")</f>
        <v>Primeiro Semestre 2022</v>
      </c>
      <c r="AR555" s="27" t="str">
        <f ca="1">IFERROR(__xludf.DUMMYFUNCTION("""COMPUTED_VALUE"""),"deybsonjunior@gmail.com")</f>
        <v>deybsonjunior@gmail.com</v>
      </c>
      <c r="AS555" s="27" t="str">
        <f ca="1">IFERROR(__xludf.DUMMYFUNCTION("""COMPUTED_VALUE"""),"(81)99129-0849")</f>
        <v>(81)99129-0849</v>
      </c>
      <c r="AT555" s="29">
        <f ca="1">IFERROR(__xludf.DUMMYFUNCTION("""COMPUTED_VALUE"""),34358)</f>
        <v>34358</v>
      </c>
      <c r="AU555" s="27">
        <f ca="1">IFERROR(__xludf.DUMMYFUNCTION("""COMPUTED_VALUE"""),28)</f>
        <v>28</v>
      </c>
      <c r="AV555" s="27">
        <f ca="1">IFERROR(__xludf.DUMMYFUNCTION("""COMPUTED_VALUE"""),9798874455)</f>
        <v>9798874455</v>
      </c>
      <c r="AW555" s="27">
        <f ca="1">IFERROR(__xludf.DUMMYFUNCTION("""COMPUTED_VALUE"""),8292634)</f>
        <v>8292634</v>
      </c>
      <c r="AX555" s="27"/>
      <c r="AY555" s="27" t="str">
        <f ca="1">IFERROR(__xludf.DUMMYFUNCTION("""COMPUTED_VALUE"""),"Diretor Executivo")</f>
        <v>Diretor Executivo</v>
      </c>
      <c r="AZ555" s="27" t="str">
        <f ca="1">IFERROR(__xludf.DUMMYFUNCTION("""COMPUTED_VALUE"""),"M")</f>
        <v>M</v>
      </c>
      <c r="BA555" s="27" t="str">
        <f ca="1">IFERROR(__xludf.DUMMYFUNCTION("""COMPUTED_VALUE"""),"Parda")</f>
        <v>Parda</v>
      </c>
      <c r="BB555" s="27"/>
      <c r="BC555" s="27"/>
      <c r="BD555" s="27" t="str">
        <f ca="1">IFERROR(__xludf.DUMMYFUNCTION("""COMPUTED_VALUE"""),"Casado, Pai de MIguel e Matheus.
Aluno do Cristo, amante da vida e auxiliar da sociedade.")</f>
        <v>Casado, Pai de MIguel e Matheus.
Aluno do Cristo, amante da vida e auxiliar da sociedade.</v>
      </c>
      <c r="BE555" s="27" t="str">
        <f ca="1">IFERROR(__xludf.DUMMYFUNCTION("""COMPUTED_VALUE"""),"Homem, cisgênero")</f>
        <v>Homem, cisgênero</v>
      </c>
      <c r="BF555" s="27" t="str">
        <f ca="1">IFERROR(__xludf.DUMMYFUNCTION("""COMPUTED_VALUE"""),"Heterossexual")</f>
        <v>Heterossexual</v>
      </c>
      <c r="BG555" s="27" t="str">
        <f ca="1">IFERROR(__xludf.DUMMYFUNCTION("""COMPUTED_VALUE"""),"Ensino Superior - Completo")</f>
        <v>Ensino Superior - Completo</v>
      </c>
      <c r="BH555" s="27" t="str">
        <f ca="1">IFERROR(__xludf.DUMMYFUNCTION("""COMPUTED_VALUE"""),"Público")</f>
        <v>Público</v>
      </c>
      <c r="BI555" s="27" t="str">
        <f ca="1">IFERROR(__xludf.DUMMYFUNCTION("""COMPUTED_VALUE"""),"Graduação")</f>
        <v>Graduação</v>
      </c>
      <c r="BJ555" s="27" t="str">
        <f ca="1">IFERROR(__xludf.DUMMYFUNCTION("""COMPUTED_VALUE"""),"Privado")</f>
        <v>Privado</v>
      </c>
      <c r="BK555" s="27" t="str">
        <f ca="1">IFERROR(__xludf.DUMMYFUNCTION("""COMPUTED_VALUE"""),"Rua Major Silva Castro")</f>
        <v>Rua Major Silva Castro</v>
      </c>
      <c r="BL555" s="27">
        <f ca="1">IFERROR(__xludf.DUMMYFUNCTION("""COMPUTED_VALUE"""),260)</f>
        <v>260</v>
      </c>
      <c r="BM555" s="27" t="str">
        <f ca="1">IFERROR(__xludf.DUMMYFUNCTION("""COMPUTED_VALUE"""),"casa")</f>
        <v>casa</v>
      </c>
      <c r="BN555" s="27" t="str">
        <f ca="1">IFERROR(__xludf.DUMMYFUNCTION("""COMPUTED_VALUE"""),"Recife")</f>
        <v>Recife</v>
      </c>
      <c r="BO555" s="27" t="str">
        <f ca="1">IFERROR(__xludf.DUMMYFUNCTION("""COMPUTED_VALUE"""),"51240-795")</f>
        <v>51240-795</v>
      </c>
      <c r="BP555" s="27" t="str">
        <f ca="1">IFERROR(__xludf.DUMMYFUNCTION("""COMPUTED_VALUE"""),"PE")</f>
        <v>PE</v>
      </c>
      <c r="BQ555" s="27" t="str">
        <f ca="1">IFERROR(__xludf.DUMMYFUNCTION("""COMPUTED_VALUE"""),"Entre 1 até 3 salários mínimos")</f>
        <v>Entre 1 até 3 salários mínimos</v>
      </c>
      <c r="BR555" s="27" t="str">
        <f ca="1">IFERROR(__xludf.DUMMYFUNCTION("""COMPUTED_VALUE"""),"CLT")</f>
        <v>CLT</v>
      </c>
      <c r="BS555" s="27" t="str">
        <f ca="1">IFERROR(__xludf.DUMMYFUNCTION("""COMPUTED_VALUE"""),"Casa própria")</f>
        <v>Casa própria</v>
      </c>
      <c r="BT555" s="27">
        <f ca="1">IFERROR(__xludf.DUMMYFUNCTION("""COMPUTED_VALUE"""),4)</f>
        <v>4</v>
      </c>
      <c r="BU555" s="27" t="str">
        <f ca="1">IFERROR(__xludf.DUMMYFUNCTION("""COMPUTED_VALUE"""),"Não tem")</f>
        <v>Não tem</v>
      </c>
      <c r="BV555" s="27" t="str">
        <f ca="1">IFERROR(__xludf.DUMMYFUNCTION("""COMPUTED_VALUE"""),"Não")</f>
        <v>Não</v>
      </c>
      <c r="BW555" s="21" t="str">
        <f ca="1">IFERROR(__xludf.DUMMYFUNCTION("""COMPUTED_VALUE"""),"https://www.linkedin.com/in/deybsonjunior/")</f>
        <v>https://www.linkedin.com/in/deybsonjunior/</v>
      </c>
      <c r="BX555" s="21" t="str">
        <f ca="1">IFERROR(__xludf.DUMMYFUNCTION("""COMPUTED_VALUE"""),"https://www.instagram.com/deybsonjunior/")</f>
        <v>https://www.instagram.com/deybsonjunior/</v>
      </c>
      <c r="BY555" s="21" t="str">
        <f ca="1">IFERROR(__xludf.DUMMYFUNCTION("""COMPUTED_VALUE"""),"https://drive.google.com/open?id=1Fz8WvRtR07h88gWr3LF_Lu_sqX8hMejS")</f>
        <v>https://drive.google.com/open?id=1Fz8WvRtR07h88gWr3LF_Lu_sqX8hMejS</v>
      </c>
    </row>
    <row r="556" spans="1:77" ht="12.5" x14ac:dyDescent="0.25">
      <c r="A556" s="21" t="str">
        <f ca="1">IFERROR(__xludf.DUMMYFUNCTION("""COMPUTED_VALUE"""),"0014X00002PUOY7QAP")</f>
        <v>0014X00002PUOY7QAP</v>
      </c>
      <c r="B556" s="27" t="str">
        <f ca="1">IFERROR(__xludf.DUMMYFUNCTION("""COMPUTED_VALUE"""),"Fase Estruturação")</f>
        <v>Fase Estruturação</v>
      </c>
      <c r="C556" s="27" t="str">
        <f ca="1">IFERROR(__xludf.DUMMYFUNCTION("""COMPUTED_VALUE"""),"Fellow")</f>
        <v>Fellow</v>
      </c>
      <c r="D556" s="27" t="str">
        <f ca="1">IFERROR(__xludf.DUMMYFUNCTION("""COMPUTED_VALUE"""),"Ativo")</f>
        <v>Ativo</v>
      </c>
      <c r="E556" s="27" t="str">
        <f ca="1">IFERROR(__xludf.DUMMYFUNCTION("""COMPUTED_VALUE"""),"Projeto Vidançar")</f>
        <v>Projeto Vidançar</v>
      </c>
      <c r="F556" s="27" t="str">
        <f ca="1">IFERROR(__xludf.DUMMYFUNCTION("""COMPUTED_VALUE"""),"Ellen")</f>
        <v>Ellen</v>
      </c>
      <c r="G556" s="27" t="str">
        <f ca="1">IFERROR(__xludf.DUMMYFUNCTION("""COMPUTED_VALUE"""),"Vidançar")</f>
        <v>Vidançar</v>
      </c>
      <c r="H556" s="27" t="str">
        <f ca="1">IFERROR(__xludf.DUMMYFUNCTION("""COMPUTED_VALUE"""),"27.579.482/0001-32")</f>
        <v>27.579.482/0001-32</v>
      </c>
      <c r="I556" s="27"/>
      <c r="J556" s="27"/>
      <c r="K556" s="27" t="str">
        <f ca="1">IFERROR(__xludf.DUMMYFUNCTION("""COMPUTED_VALUE"""),"(21)98739-4551")</f>
        <v>(21)98739-4551</v>
      </c>
      <c r="L556" s="27" t="str">
        <f ca="1">IFERROR(__xludf.DUMMYFUNCTION("""COMPUTED_VALUE"""),"RJ")</f>
        <v>RJ</v>
      </c>
      <c r="M556" s="27" t="str">
        <f ca="1">IFERROR(__xludf.DUMMYFUNCTION("""COMPUTED_VALUE"""),"Avenida Itaoca")</f>
        <v>Avenida Itaoca</v>
      </c>
      <c r="N556" s="27" t="str">
        <f ca="1">IFERROR(__xludf.DUMMYFUNCTION("""COMPUTED_VALUE"""),"Complexo do Alemão")</f>
        <v>Complexo do Alemão</v>
      </c>
      <c r="O556" s="27" t="str">
        <f ca="1">IFERROR(__xludf.DUMMYFUNCTION("""COMPUTED_VALUE"""),"(21)98739-4551")</f>
        <v>(21)98739-4551</v>
      </c>
      <c r="P556" s="27" t="str">
        <f ca="1">IFERROR(__xludf.DUMMYFUNCTION("""COMPUTED_VALUE"""),"Rio de Janeiro")</f>
        <v>Rio de Janeiro</v>
      </c>
      <c r="Q556" s="27"/>
      <c r="R556" s="27" t="str">
        <f ca="1">IFERROR(__xludf.DUMMYFUNCTION("""COMPUTED_VALUE"""),"21061-771")</f>
        <v>21061-771</v>
      </c>
      <c r="S556" s="27"/>
      <c r="T556" s="27" t="str">
        <f ca="1">IFERROR(__xludf.DUMMYFUNCTION("""COMPUTED_VALUE"""),"Educação; Assistência Social; Cultura; Qualificação Profissional; Empreendedorismo; Meio ambiente; Empoderamento Feminino; Negócios Sociais; Ciência e Tecnologia; Defesa de Direitos; Assistência Psicológica; Desenvolvimento comunitário")</f>
        <v>Educação; Assistência Social; Cultura; Qualificação Profissional; Empreendedorismo; Meio ambiente; Empoderamento Feminino; Negócios Sociais; Ciência e Tecnologia; Defesa de Direitos; Assistência Psicológica; Desenvolvimento comunitário</v>
      </c>
      <c r="U556"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556" s="27" t="str">
        <f ca="1">IFERROR(__xludf.DUMMYFUNCTION("""COMPUTED_VALUE"""),"Moradores de Favelas; População LGBTQ+; Afrodescendentes; Pessoas com Deficiência; Imigrantes")</f>
        <v>Moradores de Favelas; População LGBTQ+; Afrodescendentes; Pessoas com Deficiência; Imigrantes</v>
      </c>
      <c r="W556" s="27">
        <f ca="1">IFERROR(__xludf.DUMMYFUNCTION("""COMPUTED_VALUE"""),20)</f>
        <v>20</v>
      </c>
      <c r="X556" s="27" t="str">
        <f ca="1">IFERROR(__xludf.DUMMYFUNCTION("""COMPUTED_VALUE"""),"Atendemos o público de forma online com as aulas pelo aplicativo Zoom e Google Meets, e de forma presencial na comunidade do Complexo do Alemão.")</f>
        <v>Atendemos o público de forma online com as aulas pelo aplicativo Zoom e Google Meets, e de forma presencial na comunidade do Complexo do Alemão.</v>
      </c>
      <c r="Y556" s="27"/>
      <c r="Z556" s="27"/>
      <c r="AA556" s="27"/>
      <c r="AB556" s="27"/>
      <c r="AC556" s="27">
        <f ca="1">IFERROR(__xludf.DUMMYFUNCTION("""COMPUTED_VALUE"""),28)</f>
        <v>28</v>
      </c>
      <c r="AD556" s="27">
        <f ca="1">IFERROR(__xludf.DUMMYFUNCTION("""COMPUTED_VALUE"""),5)</f>
        <v>5</v>
      </c>
      <c r="AE556" s="27">
        <f ca="1">IFERROR(__xludf.DUMMYFUNCTION("""COMPUTED_VALUE"""),15)</f>
        <v>15</v>
      </c>
      <c r="AF556" s="27">
        <f ca="1">IFERROR(__xludf.DUMMYFUNCTION("""COMPUTED_VALUE"""),7)</f>
        <v>7</v>
      </c>
      <c r="AG556" s="27">
        <f ca="1">IFERROR(__xludf.DUMMYFUNCTION("""COMPUTED_VALUE"""),3)</f>
        <v>3</v>
      </c>
      <c r="AH556" s="27" t="str">
        <f ca="1">IFERROR(__xludf.DUMMYFUNCTION("""COMPUTED_VALUE"""),"Lei de Incentivo; Parceria iniciativa privada; Editais; Lei Estadual da Cultura")</f>
        <v>Lei de Incentivo; Parceria iniciativa privada; Editais; Lei Estadual da Cultura</v>
      </c>
      <c r="AI556" s="27" t="str">
        <f ca="1">IFERROR(__xludf.DUMMYFUNCTION("""COMPUTED_VALUE"""),"80% Lei de incentivo a cultura do Estado, 10% Edital de fomento direto Inovaí, 10% doações")</f>
        <v>80% Lei de incentivo a cultura do Estado, 10% Edital de fomento direto Inovaí, 10% doações</v>
      </c>
      <c r="AJ556" s="27" t="str">
        <f ca="1">IFERROR(__xludf.DUMMYFUNCTION("""COMPUTED_VALUE"""),"Vamos iniciar esse ano")</f>
        <v>Vamos iniciar esse ano</v>
      </c>
      <c r="AK556" s="27" t="str">
        <f ca="1">IFERROR(__xludf.DUMMYFUNCTION("""COMPUTED_VALUE"""),"Sim")</f>
        <v>Sim</v>
      </c>
      <c r="AL556" s="21" t="str">
        <f ca="1">IFERROR(__xludf.DUMMYFUNCTION("""COMPUTED_VALUE"""),"0034X000032Hs7K")</f>
        <v>0034X000032Hs7K</v>
      </c>
      <c r="AM556" s="27" t="str">
        <f ca="1">IFERROR(__xludf.DUMMYFUNCTION("""COMPUTED_VALUE"""),"Regina Da Costa Serra")</f>
        <v>Regina Da Costa Serra</v>
      </c>
      <c r="AN556" s="27" t="str">
        <f ca="1">IFERROR(__xludf.DUMMYFUNCTION("""COMPUTED_VALUE"""),"Ativo")</f>
        <v>Ativo</v>
      </c>
      <c r="AO556" s="30">
        <f ca="1">IFERROR(__xludf.DUMMYFUNCTION("""COMPUTED_VALUE"""),44487)</f>
        <v>44487</v>
      </c>
      <c r="AP556" s="27">
        <f ca="1">IFERROR(__xludf.DUMMYFUNCTION("""COMPUTED_VALUE"""),11)</f>
        <v>11</v>
      </c>
      <c r="AQ556" s="27" t="str">
        <f ca="1">IFERROR(__xludf.DUMMYFUNCTION("""COMPUTED_VALUE"""),"Segundo Semestre 2020")</f>
        <v>Segundo Semestre 2020</v>
      </c>
      <c r="AR556" s="27" t="str">
        <f ca="1">IFERROR(__xludf.DUMMYFUNCTION("""COMPUTED_VALUE"""),"ellenserra@gmail.com")</f>
        <v>ellenserra@gmail.com</v>
      </c>
      <c r="AS556" s="27" t="str">
        <f ca="1">IFERROR(__xludf.DUMMYFUNCTION("""COMPUTED_VALUE"""),"(21)98739-4551")</f>
        <v>(21)98739-4551</v>
      </c>
      <c r="AT556" s="29">
        <f ca="1">IFERROR(__xludf.DUMMYFUNCTION("""COMPUTED_VALUE"""),28030)</f>
        <v>28030</v>
      </c>
      <c r="AU556" s="27">
        <f ca="1">IFERROR(__xludf.DUMMYFUNCTION("""COMPUTED_VALUE"""),46)</f>
        <v>46</v>
      </c>
      <c r="AV556" s="27">
        <f ca="1">IFERROR(__xludf.DUMMYFUNCTION("""COMPUTED_VALUE"""),8036727722)</f>
        <v>8036727722</v>
      </c>
      <c r="AW556" s="27" t="str">
        <f ca="1">IFERROR(__xludf.DUMMYFUNCTION("""COMPUTED_VALUE"""),"113436497")</f>
        <v>113436497</v>
      </c>
      <c r="AX556" s="27" t="str">
        <f ca="1">IFERROR(__xludf.DUMMYFUNCTION("""COMPUTED_VALUE"""),"Produção Cultural")</f>
        <v>Produção Cultural</v>
      </c>
      <c r="AY556" s="27"/>
      <c r="AZ556" s="27" t="str">
        <f ca="1">IFERROR(__xludf.DUMMYFUNCTION("""COMPUTED_VALUE"""),"P")</f>
        <v>P</v>
      </c>
      <c r="BA556" s="27"/>
      <c r="BB556" s="27"/>
      <c r="BC556" s="27" t="str">
        <f ca="1">IFERROR(__xludf.DUMMYFUNCTION("""COMPUTED_VALUE"""),"Não")</f>
        <v>Não</v>
      </c>
      <c r="BD556" s="27" t="str">
        <f ca="1">IFERROR(__xludf.DUMMYFUNCTION("""COMPUTED_VALUE"""),"Fui vítima de pedofilia dos 5 aos 12 anos, engravidei aos 16 anos, fui mãe aos 17. Me separei aos 23 anos, após uma tentativa de feminicídio. Consegui estudar e me formar numa universidade pública, apesar de todas as adversidades.
Aos 27 anos casei com o "&amp;"amor da minha vida e meus três filhos são meu melhor case de sucesso, eles me fizeram compartilhar o desejo de transformação pela arte e educação, criando o Vidançar em 2010, tendo mais de 1.500 filhos do coração.")</f>
        <v>Fui vítima de pedofilia dos 5 aos 12 anos, engravidei aos 16 anos, fui mãe aos 17. Me separei aos 23 anos, após uma tentativa de feminicídio. Consegui estudar e me formar numa universidade pública, apesar de todas as adversidades.
Aos 27 anos casei com o amor da minha vida e meus três filhos são meu melhor case de sucesso, eles me fizeram compartilhar o desejo de transformação pela arte e educação, criando o Vidançar em 2010, tendo mais de 1.500 filhos do coração.</v>
      </c>
      <c r="BE556" s="27" t="str">
        <f ca="1">IFERROR(__xludf.DUMMYFUNCTION("""COMPUTED_VALUE"""),"Feminino")</f>
        <v>Feminino</v>
      </c>
      <c r="BF556" s="27"/>
      <c r="BG556" s="27" t="str">
        <f ca="1">IFERROR(__xludf.DUMMYFUNCTION("""COMPUTED_VALUE"""),"Ensino Superior - Completo")</f>
        <v>Ensino Superior - Completo</v>
      </c>
      <c r="BH556" s="27" t="str">
        <f ca="1">IFERROR(__xludf.DUMMYFUNCTION("""COMPUTED_VALUE"""),"Público")</f>
        <v>Público</v>
      </c>
      <c r="BI556" s="27" t="str">
        <f ca="1">IFERROR(__xludf.DUMMYFUNCTION("""COMPUTED_VALUE"""),"Graduação")</f>
        <v>Graduação</v>
      </c>
      <c r="BJ556" s="27" t="str">
        <f ca="1">IFERROR(__xludf.DUMMYFUNCTION("""COMPUTED_VALUE"""),"Público")</f>
        <v>Público</v>
      </c>
      <c r="BK556" s="27" t="str">
        <f ca="1">IFERROR(__xludf.DUMMYFUNCTION("""COMPUTED_VALUE"""),"Astreia")</f>
        <v>Astreia</v>
      </c>
      <c r="BL556" s="27">
        <f ca="1">IFERROR(__xludf.DUMMYFUNCTION("""COMPUTED_VALUE"""),91)</f>
        <v>91</v>
      </c>
      <c r="BM556" s="27">
        <f ca="1">IFERROR(__xludf.DUMMYFUNCTION("""COMPUTED_VALUE"""),101)</f>
        <v>101</v>
      </c>
      <c r="BN556" s="27" t="str">
        <f ca="1">IFERROR(__xludf.DUMMYFUNCTION("""COMPUTED_VALUE"""),"Rio de Janeiro")</f>
        <v>Rio de Janeiro</v>
      </c>
      <c r="BO556" s="27" t="str">
        <f ca="1">IFERROR(__xludf.DUMMYFUNCTION("""COMPUTED_VALUE"""),"21050-700")</f>
        <v>21050-700</v>
      </c>
      <c r="BP556" s="27" t="str">
        <f ca="1">IFERROR(__xludf.DUMMYFUNCTION("""COMPUTED_VALUE"""),"RJ")</f>
        <v>RJ</v>
      </c>
      <c r="BQ556" s="27" t="str">
        <f ca="1">IFERROR(__xludf.DUMMYFUNCTION("""COMPUTED_VALUE"""),"De 3 até 5 salários mínimos")</f>
        <v>De 3 até 5 salários mínimos</v>
      </c>
      <c r="BR556" s="27" t="str">
        <f ca="1">IFERROR(__xludf.DUMMYFUNCTION("""COMPUTED_VALUE"""),"MEI")</f>
        <v>MEI</v>
      </c>
      <c r="BS556" s="27" t="str">
        <f ca="1">IFERROR(__xludf.DUMMYFUNCTION("""COMPUTED_VALUE"""),"Casa própria")</f>
        <v>Casa própria</v>
      </c>
      <c r="BT556" s="27">
        <f ca="1">IFERROR(__xludf.DUMMYFUNCTION("""COMPUTED_VALUE"""),5)</f>
        <v>5</v>
      </c>
      <c r="BU556" s="27"/>
      <c r="BV556" s="27" t="str">
        <f ca="1">IFERROR(__xludf.DUMMYFUNCTION("""COMPUTED_VALUE"""),"Aveia")</f>
        <v>Aveia</v>
      </c>
      <c r="BW556" s="27"/>
      <c r="BX556" s="27" t="str">
        <f ca="1">IFERROR(__xludf.DUMMYFUNCTION("""COMPUTED_VALUE"""),"@ellen_vidancar")</f>
        <v>@ellen_vidancar</v>
      </c>
      <c r="BY556" s="21" t="str">
        <f ca="1">IFERROR(__xludf.DUMMYFUNCTION("""COMPUTED_VALUE"""),"https://drive.google.com/open?id=1C3W8E_PlOzSUICGDKY70cjR9fMrFEiqx")</f>
        <v>https://drive.google.com/open?id=1C3W8E_PlOzSUICGDKY70cjR9fMrFEiqx</v>
      </c>
    </row>
    <row r="557" spans="1:77" ht="12.5" x14ac:dyDescent="0.25">
      <c r="A557" s="21" t="str">
        <f ca="1">IFERROR(__xludf.DUMMYFUNCTION("""COMPUTED_VALUE"""),"0014P00003ERavoQAD")</f>
        <v>0014P00003ERavoQAD</v>
      </c>
      <c r="B557" s="27" t="str">
        <f ca="1">IFERROR(__xludf.DUMMYFUNCTION("""COMPUTED_VALUE"""),"Fase Estruturação")</f>
        <v>Fase Estruturação</v>
      </c>
      <c r="C557" s="27" t="str">
        <f ca="1">IFERROR(__xludf.DUMMYFUNCTION("""COMPUTED_VALUE"""),"Acelerada")</f>
        <v>Acelerada</v>
      </c>
      <c r="D557" s="27" t="str">
        <f ca="1">IFERROR(__xludf.DUMMYFUNCTION("""COMPUTED_VALUE"""),"Ativo")</f>
        <v>Ativo</v>
      </c>
      <c r="E557" s="27" t="str">
        <f ca="1">IFERROR(__xludf.DUMMYFUNCTION("""COMPUTED_VALUE"""),"Projeto Viela")</f>
        <v>Projeto Viela</v>
      </c>
      <c r="F557" s="27" t="str">
        <f ca="1">IFERROR(__xludf.DUMMYFUNCTION("""COMPUTED_VALUE"""),"Anderson")</f>
        <v>Anderson</v>
      </c>
      <c r="G557" s="27" t="str">
        <f ca="1">IFERROR(__xludf.DUMMYFUNCTION("""COMPUTED_VALUE"""),"PROJETO VIELA")</f>
        <v>PROJETO VIELA</v>
      </c>
      <c r="H557" s="27" t="str">
        <f ca="1">IFERROR(__xludf.DUMMYFUNCTION("""COMPUTED_VALUE"""),"27.956.250/0001-56")</f>
        <v>27.956.250/0001-56</v>
      </c>
      <c r="I557" s="27"/>
      <c r="J557" s="27" t="str">
        <f ca="1">IFERROR(__xludf.DUMMYFUNCTION("""COMPUTED_VALUE"""),"projeto.viela@gmail.com")</f>
        <v>projeto.viela@gmail.com</v>
      </c>
      <c r="K557" s="27" t="str">
        <f ca="1">IFERROR(__xludf.DUMMYFUNCTION("""COMPUTED_VALUE"""),"(11)98358-7946")</f>
        <v>(11)98358-7946</v>
      </c>
      <c r="L557" s="27" t="str">
        <f ca="1">IFERROR(__xludf.DUMMYFUNCTION("""COMPUTED_VALUE"""),"SP")</f>
        <v>SP</v>
      </c>
      <c r="M557" s="27" t="str">
        <f ca="1">IFERROR(__xludf.DUMMYFUNCTION("""COMPUTED_VALUE"""),"travessa rio doce")</f>
        <v>travessa rio doce</v>
      </c>
      <c r="N557" s="27"/>
      <c r="O557" s="27" t="str">
        <f ca="1">IFERROR(__xludf.DUMMYFUNCTION("""COMPUTED_VALUE"""),"(11)98358-7946")</f>
        <v>(11)98358-7946</v>
      </c>
      <c r="P557" s="27" t="str">
        <f ca="1">IFERROR(__xludf.DUMMYFUNCTION("""COMPUTED_VALUE"""),"São Paulo")</f>
        <v>São Paulo</v>
      </c>
      <c r="Q557" s="27"/>
      <c r="R557" s="27" t="str">
        <f ca="1">IFERROR(__xludf.DUMMYFUNCTION("""COMPUTED_VALUE"""),"05818-340")</f>
        <v>05818-340</v>
      </c>
      <c r="S557" s="27" t="str">
        <f ca="1">IFERROR(__xludf.DUMMYFUNCTION("""COMPUTED_VALUE"""),"Rua Felipe de Veras, sem numero. Observação: acontece em uma escola ( Vianello Gregório).")</f>
        <v>Rua Felipe de Veras, sem numero. Observação: acontece em uma escola ( Vianello Gregório).</v>
      </c>
      <c r="T557" s="27" t="str">
        <f ca="1">IFERROR(__xludf.DUMMYFUNCTION("""COMPUTED_VALUE"""),"Esporte; Educação; Cultura; Qualificação Profissional; Negócios Sociais")</f>
        <v>Esporte; Educação; Cultura; Qualificação Profissional; Negócios Sociais</v>
      </c>
      <c r="U557" s="27" t="str">
        <f ca="1">IFERROR(__xludf.DUMMYFUNCTION("""COMPUTED_VALUE"""),"Crianças pequenas (4 anos a 5 anos e 11 meses); Crianças (6 a 12 anos); Adolescentes (12 aos 18 anos); Jovens (18 aos 24 anos)")</f>
        <v>Crianças pequenas (4 anos a 5 anos e 11 meses); Crianças (6 a 12 anos); Adolescentes (12 aos 18 anos); Jovens (18 aos 24 anos)</v>
      </c>
      <c r="V557" s="27" t="str">
        <f ca="1">IFERROR(__xludf.DUMMYFUNCTION("""COMPUTED_VALUE"""),"Moradores de Favelas")</f>
        <v>Moradores de Favelas</v>
      </c>
      <c r="W557" s="27">
        <f ca="1">IFERROR(__xludf.DUMMYFUNCTION("""COMPUTED_VALUE"""),4)</f>
        <v>4</v>
      </c>
      <c r="X557" s="27" t="str">
        <f ca="1">IFERROR(__xludf.DUMMYFUNCTION("""COMPUTED_VALUE"""),"Atualmente estamos fazendo em outras comunidade, com os lideres locais.")</f>
        <v>Atualmente estamos fazendo em outras comunidade, com os lideres locais.</v>
      </c>
      <c r="Y557" s="27"/>
      <c r="Z557" s="27"/>
      <c r="AA557" s="29">
        <f ca="1">IFERROR(__xludf.DUMMYFUNCTION("""COMPUTED_VALUE"""),40021)</f>
        <v>40021</v>
      </c>
      <c r="AB557" s="27" t="str">
        <f ca="1">IFERROR(__xludf.DUMMYFUNCTION("""COMPUTED_VALUE"""),"Sim")</f>
        <v>Sim</v>
      </c>
      <c r="AC557" s="27">
        <f ca="1">IFERROR(__xludf.DUMMYFUNCTION("""COMPUTED_VALUE"""),5)</f>
        <v>5</v>
      </c>
      <c r="AD557" s="27">
        <f ca="1">IFERROR(__xludf.DUMMYFUNCTION("""COMPUTED_VALUE"""),2)</f>
        <v>2</v>
      </c>
      <c r="AE557" s="27">
        <f ca="1">IFERROR(__xludf.DUMMYFUNCTION("""COMPUTED_VALUE"""),12)</f>
        <v>12</v>
      </c>
      <c r="AF557" s="27">
        <f ca="1">IFERROR(__xludf.DUMMYFUNCTION("""COMPUTED_VALUE"""),17)</f>
        <v>17</v>
      </c>
      <c r="AG557" s="27">
        <f ca="1">IFERROR(__xludf.DUMMYFUNCTION("""COMPUTED_VALUE"""),4)</f>
        <v>4</v>
      </c>
      <c r="AH557" s="27" t="str">
        <f ca="1">IFERROR(__xludf.DUMMYFUNCTION("""COMPUTED_VALUE"""),"Plataforma doação online - Pessoa Física; Parceria iniciativa privada")</f>
        <v>Plataforma doação online - Pessoa Física; Parceria iniciativa privada</v>
      </c>
      <c r="AI557" s="27" t="str">
        <f ca="1">IFERROR(__xludf.DUMMYFUNCTION("""COMPUTED_VALUE"""),"não temos")</f>
        <v>não temos</v>
      </c>
      <c r="AJ557" s="27" t="str">
        <f ca="1">IFERROR(__xludf.DUMMYFUNCTION("""COMPUTED_VALUE"""),"Não")</f>
        <v>Não</v>
      </c>
      <c r="AK557" s="27" t="str">
        <f ca="1">IFERROR(__xludf.DUMMYFUNCTION("""COMPUTED_VALUE"""),"Não")</f>
        <v>Não</v>
      </c>
      <c r="AL557" s="21" t="str">
        <f ca="1">IFERROR(__xludf.DUMMYFUNCTION("""COMPUTED_VALUE"""),"0034P00003tZGGo")</f>
        <v>0034P00003tZGGo</v>
      </c>
      <c r="AM557" s="27" t="str">
        <f ca="1">IFERROR(__xludf.DUMMYFUNCTION("""COMPUTED_VALUE"""),"Agostinho")</f>
        <v>Agostinho</v>
      </c>
      <c r="AN557" s="27" t="str">
        <f ca="1">IFERROR(__xludf.DUMMYFUNCTION("""COMPUTED_VALUE"""),"Ativo")</f>
        <v>Ativo</v>
      </c>
      <c r="AO557" s="29">
        <f ca="1">IFERROR(__xludf.DUMMYFUNCTION("""COMPUTED_VALUE"""),44253)</f>
        <v>44253</v>
      </c>
      <c r="AP557" s="27">
        <f ca="1">IFERROR(__xludf.DUMMYFUNCTION("""COMPUTED_VALUE"""),19)</f>
        <v>19</v>
      </c>
      <c r="AQ557" s="27" t="str">
        <f ca="1">IFERROR(__xludf.DUMMYFUNCTION("""COMPUTED_VALUE"""),"Segundo Semestre 2020")</f>
        <v>Segundo Semestre 2020</v>
      </c>
      <c r="AR557" s="27" t="str">
        <f ca="1">IFERROR(__xludf.DUMMYFUNCTION("""COMPUTED_VALUE"""),"projeto.viela@gmail.com")</f>
        <v>projeto.viela@gmail.com</v>
      </c>
      <c r="AS557" s="27" t="str">
        <f ca="1">IFERROR(__xludf.DUMMYFUNCTION("""COMPUTED_VALUE"""),"(11)98358-7946")</f>
        <v>(11)98358-7946</v>
      </c>
      <c r="AT557" s="29">
        <f ca="1">IFERROR(__xludf.DUMMYFUNCTION("""COMPUTED_VALUE"""),29859)</f>
        <v>29859</v>
      </c>
      <c r="AU557" s="27">
        <f ca="1">IFERROR(__xludf.DUMMYFUNCTION("""COMPUTED_VALUE"""),41)</f>
        <v>41</v>
      </c>
      <c r="AV557" s="27">
        <f ca="1">IFERROR(__xludf.DUMMYFUNCTION("""COMPUTED_VALUE"""),22081401843)</f>
        <v>22081401843</v>
      </c>
      <c r="AW557" s="27">
        <f ca="1">IFERROR(__xludf.DUMMYFUNCTION("""COMPUTED_VALUE"""),34866090)</f>
        <v>34866090</v>
      </c>
      <c r="AX557" s="27" t="str">
        <f ca="1">IFERROR(__xludf.DUMMYFUNCTION("""COMPUTED_VALUE"""),"Educação Física")</f>
        <v>Educação Física</v>
      </c>
      <c r="AY557" s="27"/>
      <c r="AZ557" s="27" t="str">
        <f ca="1">IFERROR(__xludf.DUMMYFUNCTION("""COMPUTED_VALUE"""),"G1")</f>
        <v>G1</v>
      </c>
      <c r="BA557" s="27"/>
      <c r="BB557" s="27"/>
      <c r="BC557" s="27" t="str">
        <f ca="1">IFERROR(__xludf.DUMMYFUNCTION("""COMPUTED_VALUE"""),"Sim")</f>
        <v>Sim</v>
      </c>
      <c r="BD557" s="27" t="str">
        <f ca="1">IFERROR(__xludf.DUMMYFUNCTION("""COMPUTED_VALUE"""),"Anderson, mais conhecido como Buiu, casado com Elisa, pai da Helena e morador da comunidade do Jardim Ibirapuera. Desde cedo escolheu correr atrás dos seus sonhos e é isso que o move. É empreendedor na Viela Veste e Presidente/Fundador do Projeto Viela.")</f>
        <v>Anderson, mais conhecido como Buiu, casado com Elisa, pai da Helena e morador da comunidade do Jardim Ibirapuera. Desde cedo escolheu correr atrás dos seus sonhos e é isso que o move. É empreendedor na Viela Veste e Presidente/Fundador do Projeto Viela.</v>
      </c>
      <c r="BE557" s="27"/>
      <c r="BF557" s="27"/>
      <c r="BG557" s="27" t="str">
        <f ca="1">IFERROR(__xludf.DUMMYFUNCTION("""COMPUTED_VALUE"""),"Ensino Superior - Incompleto")</f>
        <v>Ensino Superior - Incompleto</v>
      </c>
      <c r="BH557" s="27"/>
      <c r="BI557" s="27" t="str">
        <f ca="1">IFERROR(__xludf.DUMMYFUNCTION("""COMPUTED_VALUE"""),"Graduação")</f>
        <v>Graduação</v>
      </c>
      <c r="BJ557" s="27" t="str">
        <f ca="1">IFERROR(__xludf.DUMMYFUNCTION("""COMPUTED_VALUE"""),"Privado")</f>
        <v>Privado</v>
      </c>
      <c r="BK557" s="27" t="str">
        <f ca="1">IFERROR(__xludf.DUMMYFUNCTION("""COMPUTED_VALUE"""),"Rua Macedônio Fernandes.")</f>
        <v>Rua Macedônio Fernandes.</v>
      </c>
      <c r="BL557" s="27">
        <f ca="1">IFERROR(__xludf.DUMMYFUNCTION("""COMPUTED_VALUE"""),266)</f>
        <v>266</v>
      </c>
      <c r="BM557" s="27" t="str">
        <f ca="1">IFERROR(__xludf.DUMMYFUNCTION("""COMPUTED_VALUE"""),"casa 2")</f>
        <v>casa 2</v>
      </c>
      <c r="BN557" s="27" t="str">
        <f ca="1">IFERROR(__xludf.DUMMYFUNCTION("""COMPUTED_VALUE"""),"São Paulo")</f>
        <v>São Paulo</v>
      </c>
      <c r="BO557" s="27" t="str">
        <f ca="1">IFERROR(__xludf.DUMMYFUNCTION("""COMPUTED_VALUE"""),"05818-340")</f>
        <v>05818-340</v>
      </c>
      <c r="BP557" s="27" t="str">
        <f ca="1">IFERROR(__xludf.DUMMYFUNCTION("""COMPUTED_VALUE"""),"SP")</f>
        <v>SP</v>
      </c>
      <c r="BQ557" s="27" t="str">
        <f ca="1">IFERROR(__xludf.DUMMYFUNCTION("""COMPUTED_VALUE"""),"Entre 1 até 3 salários mínimos")</f>
        <v>Entre 1 até 3 salários mínimos</v>
      </c>
      <c r="BR557" s="27" t="str">
        <f ca="1">IFERROR(__xludf.DUMMYFUNCTION("""COMPUTED_VALUE"""),"MEI")</f>
        <v>MEI</v>
      </c>
      <c r="BS557" s="27" t="str">
        <f ca="1">IFERROR(__xludf.DUMMYFUNCTION("""COMPUTED_VALUE"""),"Casa própria")</f>
        <v>Casa própria</v>
      </c>
      <c r="BT557" s="27">
        <f ca="1">IFERROR(__xludf.DUMMYFUNCTION("""COMPUTED_VALUE"""),3)</f>
        <v>3</v>
      </c>
      <c r="BU557" s="27"/>
      <c r="BV557" s="27"/>
      <c r="BW557" s="21" t="str">
        <f ca="1">IFERROR(__xludf.DUMMYFUNCTION("""COMPUTED_VALUE"""),"https://www.linkedin.com/feed")</f>
        <v>https://www.linkedin.com/feed</v>
      </c>
      <c r="BX557" s="21" t="str">
        <f ca="1">IFERROR(__xludf.DUMMYFUNCTION("""COMPUTED_VALUE"""),"https://www.instagram.com/")</f>
        <v>https://www.instagram.com/</v>
      </c>
      <c r="BY557" s="21" t="str">
        <f ca="1">IFERROR(__xludf.DUMMYFUNCTION("""COMPUTED_VALUE"""),"https://drive.google.com/open?id=1NRjzM0YzW6TXzUa1JGnOpRDWj5AvAFYO")</f>
        <v>https://drive.google.com/open?id=1NRjzM0YzW6TXzUa1JGnOpRDWj5AvAFYO</v>
      </c>
    </row>
    <row r="558" spans="1:77" ht="12.5" x14ac:dyDescent="0.25">
      <c r="A558" s="21" t="str">
        <f ca="1">IFERROR(__xludf.DUMMYFUNCTION("""COMPUTED_VALUE"""),"0014X00002VKCqOQAX")</f>
        <v>0014X00002VKCqOQAX</v>
      </c>
      <c r="B558" s="27" t="str">
        <f ca="1">IFERROR(__xludf.DUMMYFUNCTION("""COMPUTED_VALUE"""),"Fase Inicial")</f>
        <v>Fase Inicial</v>
      </c>
      <c r="C558" s="27" t="str">
        <f ca="1">IFERROR(__xludf.DUMMYFUNCTION("""COMPUTED_VALUE"""),"Fellow")</f>
        <v>Fellow</v>
      </c>
      <c r="D558" s="27" t="str">
        <f ca="1">IFERROR(__xludf.DUMMYFUNCTION("""COMPUTED_VALUE"""),"Ativo")</f>
        <v>Ativo</v>
      </c>
      <c r="E558" s="27" t="str">
        <f ca="1">IFERROR(__xludf.DUMMYFUNCTION("""COMPUTED_VALUE"""),"QUEIRA O BEM")</f>
        <v>QUEIRA O BEM</v>
      </c>
      <c r="F558" s="27" t="str">
        <f ca="1">IFERROR(__xludf.DUMMYFUNCTION("""COMPUTED_VALUE"""),"Paula")</f>
        <v>Paula</v>
      </c>
      <c r="G558" s="27" t="str">
        <f ca="1">IFERROR(__xludf.DUMMYFUNCTION("""COMPUTED_VALUE"""),"QUEIRA O BEM")</f>
        <v>QUEIRA O BEM</v>
      </c>
      <c r="H558" s="27"/>
      <c r="I558" s="27" t="str">
        <f ca="1">IFERROR(__xludf.DUMMYFUNCTION("""COMPUTED_VALUE"""),"Paula Roberta Nunes de Oliveira")</f>
        <v>Paula Roberta Nunes de Oliveira</v>
      </c>
      <c r="J558" s="27" t="str">
        <f ca="1">IFERROR(__xludf.DUMMYFUNCTION("""COMPUTED_VALUE"""),"aqueiraobem@gmail.com")</f>
        <v>aqueiraobem@gmail.com</v>
      </c>
      <c r="K558" s="27" t="str">
        <f ca="1">IFERROR(__xludf.DUMMYFUNCTION("""COMPUTED_VALUE"""),"(85)98530-8649")</f>
        <v>(85)98530-8649</v>
      </c>
      <c r="L558" s="27" t="str">
        <f ca="1">IFERROR(__xludf.DUMMYFUNCTION("""COMPUTED_VALUE"""),"CE")</f>
        <v>CE</v>
      </c>
      <c r="M558" s="27" t="str">
        <f ca="1">IFERROR(__xludf.DUMMYFUNCTION("""COMPUTED_VALUE"""),"Rua João XXIII")</f>
        <v>Rua João XXIII</v>
      </c>
      <c r="N558" s="27" t="str">
        <f ca="1">IFERROR(__xludf.DUMMYFUNCTION("""COMPUTED_VALUE"""),"Granja Portugal")</f>
        <v>Granja Portugal</v>
      </c>
      <c r="O558" s="27">
        <f ca="1">IFERROR(__xludf.DUMMYFUNCTION("""COMPUTED_VALUE"""),557)</f>
        <v>557</v>
      </c>
      <c r="P558" s="27" t="str">
        <f ca="1">IFERROR(__xludf.DUMMYFUNCTION("""COMPUTED_VALUE"""),"Fortaleza")</f>
        <v>Fortaleza</v>
      </c>
      <c r="Q558" s="27" t="str">
        <f ca="1">IFERROR(__xludf.DUMMYFUNCTION("""COMPUTED_VALUE"""),"Casa")</f>
        <v>Casa</v>
      </c>
      <c r="R558" s="27" t="str">
        <f ca="1">IFERROR(__xludf.DUMMYFUNCTION("""COMPUTED_VALUE"""),"60540-655")</f>
        <v>60540-655</v>
      </c>
      <c r="S558" s="27" t="str">
        <f ca="1">IFERROR(__xludf.DUMMYFUNCTION("""COMPUTED_VALUE"""),"Sim")</f>
        <v>Sim</v>
      </c>
      <c r="T558" s="27"/>
      <c r="U558" s="27" t="str">
        <f ca="1">IFERROR(__xludf.DUMMYFUNCTION("""COMPUTED_VALUE"""),"Crianças pequenas (4 anos a 5 anos e 11 meses), Crianças (6 a 12 anos), Adolescentes (12 aos 18 anos)")</f>
        <v>Crianças pequenas (4 anos a 5 anos e 11 meses), Crianças (6 a 12 anos), Adolescentes (12 aos 18 anos)</v>
      </c>
      <c r="V558" s="27" t="str">
        <f ca="1">IFERROR(__xludf.DUMMYFUNCTION("""COMPUTED_VALUE"""),"Moradores de Favelas")</f>
        <v>Moradores de Favelas</v>
      </c>
      <c r="W558" s="27">
        <f ca="1">IFERROR(__xludf.DUMMYFUNCTION("""COMPUTED_VALUE"""),5)</f>
        <v>5</v>
      </c>
      <c r="X558" s="27"/>
      <c r="Y558" s="27"/>
      <c r="Z558" s="27">
        <f ca="1">IFERROR(__xludf.DUMMYFUNCTION("""COMPUTED_VALUE"""),40)</f>
        <v>40</v>
      </c>
      <c r="AA558" s="29">
        <f ca="1">IFERROR(__xludf.DUMMYFUNCTION("""COMPUTED_VALUE"""),43544)</f>
        <v>43544</v>
      </c>
      <c r="AB558" s="27" t="str">
        <f ca="1">IFERROR(__xludf.DUMMYFUNCTION("""COMPUTED_VALUE"""),"Não")</f>
        <v>Não</v>
      </c>
      <c r="AC558" s="27">
        <f ca="1">IFERROR(__xludf.DUMMYFUNCTION("""COMPUTED_VALUE"""),2)</f>
        <v>2</v>
      </c>
      <c r="AD558" s="27">
        <f ca="1">IFERROR(__xludf.DUMMYFUNCTION("""COMPUTED_VALUE"""),2)</f>
        <v>2</v>
      </c>
      <c r="AE558" s="27">
        <f ca="1">IFERROR(__xludf.DUMMYFUNCTION("""COMPUTED_VALUE"""),2)</f>
        <v>2</v>
      </c>
      <c r="AF558" s="27">
        <f ca="1">IFERROR(__xludf.DUMMYFUNCTION("""COMPUTED_VALUE"""),2)</f>
        <v>2</v>
      </c>
      <c r="AG558" s="27">
        <f ca="1">IFERROR(__xludf.DUMMYFUNCTION("""COMPUTED_VALUE"""),2)</f>
        <v>2</v>
      </c>
      <c r="AH558" s="27" t="str">
        <f ca="1">IFERROR(__xludf.DUMMYFUNCTION("""COMPUTED_VALUE"""),"Eventos/Ações para captação, Plataforma doação online - Pessoa Física, Doações")</f>
        <v>Eventos/Ações para captação, Plataforma doação online - Pessoa Física, Doações</v>
      </c>
      <c r="AI558" s="27">
        <f ca="1">IFERROR(__xludf.DUMMYFUNCTION("""COMPUTED_VALUE"""),2)</f>
        <v>2</v>
      </c>
      <c r="AJ558" s="27" t="str">
        <f ca="1">IFERROR(__xludf.DUMMYFUNCTION("""COMPUTED_VALUE"""),"Vamos iniciar esse ano")</f>
        <v>Vamos iniciar esse ano</v>
      </c>
      <c r="AK558" s="27"/>
      <c r="AL558" s="21" t="str">
        <f ca="1">IFERROR(__xludf.DUMMYFUNCTION("""COMPUTED_VALUE"""),"0034X0000380O6X")</f>
        <v>0034X0000380O6X</v>
      </c>
      <c r="AM558" s="27" t="str">
        <f ca="1">IFERROR(__xludf.DUMMYFUNCTION("""COMPUTED_VALUE"""),"Roberta nunes de oliveira")</f>
        <v>Roberta nunes de oliveira</v>
      </c>
      <c r="AN558" s="27" t="str">
        <f ca="1">IFERROR(__xludf.DUMMYFUNCTION("""COMPUTED_VALUE"""),"Ativo")</f>
        <v>Ativo</v>
      </c>
      <c r="AO558" s="29">
        <f ca="1">IFERROR(__xludf.DUMMYFUNCTION("""COMPUTED_VALUE"""),44763)</f>
        <v>44763</v>
      </c>
      <c r="AP558" s="27">
        <f ca="1">IFERROR(__xludf.DUMMYFUNCTION("""COMPUTED_VALUE"""),2)</f>
        <v>2</v>
      </c>
      <c r="AQ558" s="27" t="str">
        <f ca="1">IFERROR(__xludf.DUMMYFUNCTION("""COMPUTED_VALUE"""),"Primeiro Semestre 2022")</f>
        <v>Primeiro Semestre 2022</v>
      </c>
      <c r="AR558" s="27" t="str">
        <f ca="1">IFERROR(__xludf.DUMMYFUNCTION("""COMPUTED_VALUE"""),"aqueiraobem@gmail.com")</f>
        <v>aqueiraobem@gmail.com</v>
      </c>
      <c r="AS558" s="27">
        <f ca="1">IFERROR(__xludf.DUMMYFUNCTION("""COMPUTED_VALUE"""),85985308649)</f>
        <v>85985308649</v>
      </c>
      <c r="AT558" s="29">
        <f ca="1">IFERROR(__xludf.DUMMYFUNCTION("""COMPUTED_VALUE"""),31083)</f>
        <v>31083</v>
      </c>
      <c r="AU558" s="27">
        <f ca="1">IFERROR(__xludf.DUMMYFUNCTION("""COMPUTED_VALUE"""),37)</f>
        <v>37</v>
      </c>
      <c r="AV558" s="27">
        <f ca="1">IFERROR(__xludf.DUMMYFUNCTION("""COMPUTED_VALUE"""),458999326)</f>
        <v>458999326</v>
      </c>
      <c r="AW558" s="27">
        <f ca="1">IFERROR(__xludf.DUMMYFUNCTION("""COMPUTED_VALUE"""),98030007390)</f>
        <v>98030007390</v>
      </c>
      <c r="AX558" s="27"/>
      <c r="AY558" s="27"/>
      <c r="AZ558" s="27" t="str">
        <f ca="1">IFERROR(__xludf.DUMMYFUNCTION("""COMPUTED_VALUE"""),"G")</f>
        <v>G</v>
      </c>
      <c r="BA558" s="27" t="str">
        <f ca="1">IFERROR(__xludf.DUMMYFUNCTION("""COMPUTED_VALUE"""),"Preta")</f>
        <v>Preta</v>
      </c>
      <c r="BB558" s="27"/>
      <c r="BC558" s="27"/>
      <c r="BD558" s="27" t="str">
        <f ca="1">IFERROR(__xludf.DUMMYFUNCTION("""COMPUTED_VALUE"""),"GESTORA DA ASSOCIAÇÃO* LÍDER COMUNITÁRIA CARISMÁTICA  E EMPREENDEDORA.")</f>
        <v>GESTORA DA ASSOCIAÇÃO* LÍDER COMUNITÁRIA CARISMÁTICA  E EMPREENDEDORA.</v>
      </c>
      <c r="BE558" s="27" t="str">
        <f ca="1">IFERROR(__xludf.DUMMYFUNCTION("""COMPUTED_VALUE"""),"Feminino")</f>
        <v>Feminino</v>
      </c>
      <c r="BF558" s="27" t="str">
        <f ca="1">IFERROR(__xludf.DUMMYFUNCTION("""COMPUTED_VALUE"""),"Heterossexual")</f>
        <v>Heterossexual</v>
      </c>
      <c r="BG558" s="27"/>
      <c r="BH558" s="27" t="str">
        <f ca="1">IFERROR(__xludf.DUMMYFUNCTION("""COMPUTED_VALUE"""),"Público")</f>
        <v>Público</v>
      </c>
      <c r="BI558" s="27"/>
      <c r="BJ558" s="27"/>
      <c r="BK558" s="27" t="str">
        <f ca="1">IFERROR(__xludf.DUMMYFUNCTION("""COMPUTED_VALUE"""),"rua joao XXIII")</f>
        <v>rua joao XXIII</v>
      </c>
      <c r="BL558" s="27">
        <f ca="1">IFERROR(__xludf.DUMMYFUNCTION("""COMPUTED_VALUE"""),557)</f>
        <v>557</v>
      </c>
      <c r="BM558" s="27"/>
      <c r="BN558" s="27"/>
      <c r="BO558" s="27" t="str">
        <f ca="1">IFERROR(__xludf.DUMMYFUNCTION("""COMPUTED_VALUE"""),"61661-180")</f>
        <v>61661-180</v>
      </c>
      <c r="BP558" s="27" t="str">
        <f ca="1">IFERROR(__xludf.DUMMYFUNCTION("""COMPUTED_VALUE"""),"CE")</f>
        <v>CE</v>
      </c>
      <c r="BQ558" s="27" t="str">
        <f ca="1">IFERROR(__xludf.DUMMYFUNCTION("""COMPUTED_VALUE"""),"Entre 1 até 3 salários mínimos")</f>
        <v>Entre 1 até 3 salários mínimos</v>
      </c>
      <c r="BR558" s="27" t="str">
        <f ca="1">IFERROR(__xludf.DUMMYFUNCTION("""COMPUTED_VALUE"""),"Funcionário Público")</f>
        <v>Funcionário Público</v>
      </c>
      <c r="BS558" s="27" t="str">
        <f ca="1">IFERROR(__xludf.DUMMYFUNCTION("""COMPUTED_VALUE"""),"Casa própria")</f>
        <v>Casa própria</v>
      </c>
      <c r="BT558" s="27">
        <f ca="1">IFERROR(__xludf.DUMMYFUNCTION("""COMPUTED_VALUE"""),4)</f>
        <v>4</v>
      </c>
      <c r="BU558" s="27" t="str">
        <f ca="1">IFERROR(__xludf.DUMMYFUNCTION("""COMPUTED_VALUE"""),"Não tem")</f>
        <v>Não tem</v>
      </c>
      <c r="BV558" s="27" t="str">
        <f ca="1">IFERROR(__xludf.DUMMYFUNCTION("""COMPUTED_VALUE"""),"Não")</f>
        <v>Não</v>
      </c>
      <c r="BW558" s="27"/>
      <c r="BX558" s="27"/>
      <c r="BY558" s="21" t="str">
        <f ca="1">IFERROR(__xludf.DUMMYFUNCTION("""COMPUTED_VALUE"""),"https://drive.google.com/open?id=10WaMBrY78SDtzY-BE0YNAB_tXY_R2-c1")</f>
        <v>https://drive.google.com/open?id=10WaMBrY78SDtzY-BE0YNAB_tXY_R2-c1</v>
      </c>
    </row>
    <row r="559" spans="1:77" ht="12.5" x14ac:dyDescent="0.25">
      <c r="A559" s="21" t="str">
        <f ca="1">IFERROR(__xludf.DUMMYFUNCTION("""COMPUTED_VALUE"""),"0014X00002VKCrDQAX")</f>
        <v>0014X00002VKCrDQAX</v>
      </c>
      <c r="B559" s="27" t="str">
        <f ca="1">IFERROR(__xludf.DUMMYFUNCTION("""COMPUTED_VALUE"""),"Fase Inicial")</f>
        <v>Fase Inicial</v>
      </c>
      <c r="C559" s="27" t="str">
        <f ca="1">IFERROR(__xludf.DUMMYFUNCTION("""COMPUTED_VALUE"""),"Fellow")</f>
        <v>Fellow</v>
      </c>
      <c r="D559" s="27" t="str">
        <f ca="1">IFERROR(__xludf.DUMMYFUNCTION("""COMPUTED_VALUE"""),"Ativo")</f>
        <v>Ativo</v>
      </c>
      <c r="E559" s="27" t="str">
        <f ca="1">IFERROR(__xludf.DUMMYFUNCTION("""COMPUTED_VALUE"""),"QUERUBINS CRIANÇAS VIVAS E SEM DROGAS")</f>
        <v>QUERUBINS CRIANÇAS VIVAS E SEM DROGAS</v>
      </c>
      <c r="F559" s="27" t="str">
        <f ca="1">IFERROR(__xludf.DUMMYFUNCTION("""COMPUTED_VALUE"""),"RONALDO")</f>
        <v>RONALDO</v>
      </c>
      <c r="G559" s="27" t="str">
        <f ca="1">IFERROR(__xludf.DUMMYFUNCTION("""COMPUTED_VALUE"""),"PROJETO QUERUBINS")</f>
        <v>PROJETO QUERUBINS</v>
      </c>
      <c r="H559" s="27"/>
      <c r="I559" s="27" t="str">
        <f ca="1">IFERROR(__xludf.DUMMYFUNCTION("""COMPUTED_VALUE"""),"Ronaldo luiz de oliveira")</f>
        <v>Ronaldo luiz de oliveira</v>
      </c>
      <c r="J559" s="27"/>
      <c r="K559" s="27"/>
      <c r="L559" s="27" t="str">
        <f ca="1">IFERROR(__xludf.DUMMYFUNCTION("""COMPUTED_VALUE"""),"MG")</f>
        <v>MG</v>
      </c>
      <c r="M559" s="27" t="str">
        <f ca="1">IFERROR(__xludf.DUMMYFUNCTION("""COMPUTED_VALUE"""),"Avenida Presidente Antônio Carlos")</f>
        <v>Avenida Presidente Antônio Carlos</v>
      </c>
      <c r="N559" s="27" t="str">
        <f ca="1">IFERROR(__xludf.DUMMYFUNCTION("""COMPUTED_VALUE"""),"Nova Cachoeirinha")</f>
        <v>Nova Cachoeirinha</v>
      </c>
      <c r="O559" s="27">
        <f ca="1">IFERROR(__xludf.DUMMYFUNCTION("""COMPUTED_VALUE"""),3151)</f>
        <v>3151</v>
      </c>
      <c r="P559" s="27" t="str">
        <f ca="1">IFERROR(__xludf.DUMMYFUNCTION("""COMPUTED_VALUE"""),"Belo Horizonte")</f>
        <v>Belo Horizonte</v>
      </c>
      <c r="Q559" s="27"/>
      <c r="R559" s="27" t="str">
        <f ca="1">IFERROR(__xludf.DUMMYFUNCTION("""COMPUTED_VALUE"""),"31250-535")</f>
        <v>31250-535</v>
      </c>
      <c r="S559" s="27"/>
      <c r="T559" s="27"/>
      <c r="U559" s="27"/>
      <c r="V559" s="27"/>
      <c r="W559" s="27">
        <f ca="1">IFERROR(__xludf.DUMMYFUNCTION("""COMPUTED_VALUE"""),5)</f>
        <v>5</v>
      </c>
      <c r="X559" s="27" t="str">
        <f ca="1">IFERROR(__xludf.DUMMYFUNCTION("""COMPUTED_VALUE"""),"sao crianças e adolecentes de areias de riscos com difildades de adapitaçao onde trabalhos com formaçao de careter e responsabilidade social")</f>
        <v>sao crianças e adolecentes de areias de riscos com difildades de adapitaçao onde trabalhos com formaçao de careter e responsabilidade social</v>
      </c>
      <c r="Y559" s="27"/>
      <c r="Z559" s="27">
        <f ca="1">IFERROR(__xludf.DUMMYFUNCTION("""COMPUTED_VALUE"""),300)</f>
        <v>300</v>
      </c>
      <c r="AA559" s="29">
        <f ca="1">IFERROR(__xludf.DUMMYFUNCTION("""COMPUTED_VALUE"""),40852)</f>
        <v>40852</v>
      </c>
      <c r="AB559" s="27" t="str">
        <f ca="1">IFERROR(__xludf.DUMMYFUNCTION("""COMPUTED_VALUE"""),"Não")</f>
        <v>Não</v>
      </c>
      <c r="AC559" s="27">
        <f ca="1">IFERROR(__xludf.DUMMYFUNCTION("""COMPUTED_VALUE"""),2)</f>
        <v>2</v>
      </c>
      <c r="AD559" s="27"/>
      <c r="AE559" s="27">
        <f ca="1">IFERROR(__xludf.DUMMYFUNCTION("""COMPUTED_VALUE"""),5)</f>
        <v>5</v>
      </c>
      <c r="AF559" s="27"/>
      <c r="AG559" s="27">
        <f ca="1">IFERROR(__xludf.DUMMYFUNCTION("""COMPUTED_VALUE"""),2)</f>
        <v>2</v>
      </c>
      <c r="AH559" s="27"/>
      <c r="AI559" s="27"/>
      <c r="AJ559" s="27" t="str">
        <f ca="1">IFERROR(__xludf.DUMMYFUNCTION("""COMPUTED_VALUE"""),"Não")</f>
        <v>Não</v>
      </c>
      <c r="AK559" s="27"/>
      <c r="AL559" s="21" t="str">
        <f ca="1">IFERROR(__xludf.DUMMYFUNCTION("""COMPUTED_VALUE"""),"0034X0000380O5C")</f>
        <v>0034X0000380O5C</v>
      </c>
      <c r="AM559" s="27" t="str">
        <f ca="1">IFERROR(__xludf.DUMMYFUNCTION("""COMPUTED_VALUE"""),"Luiz de oliveira")</f>
        <v>Luiz de oliveira</v>
      </c>
      <c r="AN559" s="27" t="str">
        <f ca="1">IFERROR(__xludf.DUMMYFUNCTION("""COMPUTED_VALUE"""),"Ativo")</f>
        <v>Ativo</v>
      </c>
      <c r="AO559" s="29">
        <f ca="1">IFERROR(__xludf.DUMMYFUNCTION("""COMPUTED_VALUE"""),44763)</f>
        <v>44763</v>
      </c>
      <c r="AP559" s="27">
        <f ca="1">IFERROR(__xludf.DUMMYFUNCTION("""COMPUTED_VALUE"""),2)</f>
        <v>2</v>
      </c>
      <c r="AQ559" s="27" t="str">
        <f ca="1">IFERROR(__xludf.DUMMYFUNCTION("""COMPUTED_VALUE"""),"Primeiro Semestre 2022")</f>
        <v>Primeiro Semestre 2022</v>
      </c>
      <c r="AR559" s="27" t="str">
        <f ca="1">IFERROR(__xludf.DUMMYFUNCTION("""COMPUTED_VALUE"""),"jeovajiredeliveryadm@gmail.com")</f>
        <v>jeovajiredeliveryadm@gmail.com</v>
      </c>
      <c r="AS559" s="27" t="str">
        <f ca="1">IFERROR(__xludf.DUMMYFUNCTION("""COMPUTED_VALUE"""),"(31)98266-4571")</f>
        <v>(31)98266-4571</v>
      </c>
      <c r="AT559" s="29">
        <f ca="1">IFERROR(__xludf.DUMMYFUNCTION("""COMPUTED_VALUE"""),25365)</f>
        <v>25365</v>
      </c>
      <c r="AU559" s="27">
        <f ca="1">IFERROR(__xludf.DUMMYFUNCTION("""COMPUTED_VALUE"""),53)</f>
        <v>53</v>
      </c>
      <c r="AV559" s="27">
        <f ca="1">IFERROR(__xludf.DUMMYFUNCTION("""COMPUTED_VALUE"""),75878186691)</f>
        <v>75878186691</v>
      </c>
      <c r="AW559" s="27" t="str">
        <f ca="1">IFERROR(__xludf.DUMMYFUNCTION("""COMPUTED_VALUE"""),"M 4 139716")</f>
        <v>M 4 139716</v>
      </c>
      <c r="AX559" s="27"/>
      <c r="AY559" s="27" t="str">
        <f ca="1">IFERROR(__xludf.DUMMYFUNCTION("""COMPUTED_VALUE"""),"presidente")</f>
        <v>presidente</v>
      </c>
      <c r="AZ559" s="27" t="str">
        <f ca="1">IFERROR(__xludf.DUMMYFUNCTION("""COMPUTED_VALUE"""),"GG")</f>
        <v>GG</v>
      </c>
      <c r="BA559" s="27" t="str">
        <f ca="1">IFERROR(__xludf.DUMMYFUNCTION("""COMPUTED_VALUE"""),"Preta")</f>
        <v>Preta</v>
      </c>
      <c r="BB559" s="27"/>
      <c r="BC559" s="27"/>
      <c r="BD559" s="27" t="str">
        <f ca="1">IFERROR(__xludf.DUMMYFUNCTION("""COMPUTED_VALUE"""),"Casado com Denise rodrigues farais de oliveira, pai de lucas rodrigues de oliveira, yuri icaro rodrigues de oliveira, Matheus felipe rodrigues de oliveira e Marcos  Gustavo rodrigues de oliveiras sou avo de Emanuell e julia sou motofrete e Pastor do minis"&amp;"terio casa de oraçao para todas as nacoes hoje sou lider  sicial pela gerando falcoes")</f>
        <v>Casado com Denise rodrigues farais de oliveira, pai de lucas rodrigues de oliveira, yuri icaro rodrigues de oliveira, Matheus felipe rodrigues de oliveira e Marcos  Gustavo rodrigues de oliveiras sou avo de Emanuell e julia sou motofrete e Pastor do ministerio casa de oraçao para todas as nacoes hoje sou lider  sicial pela gerando falcoes</v>
      </c>
      <c r="BE559" s="27" t="str">
        <f ca="1">IFERROR(__xludf.DUMMYFUNCTION("""COMPUTED_VALUE"""),"Homem, cisgênero")</f>
        <v>Homem, cisgênero</v>
      </c>
      <c r="BF559" s="27" t="str">
        <f ca="1">IFERROR(__xludf.DUMMYFUNCTION("""COMPUTED_VALUE"""),"Heterossexual")</f>
        <v>Heterossexual</v>
      </c>
      <c r="BG559" s="27" t="str">
        <f ca="1">IFERROR(__xludf.DUMMYFUNCTION("""COMPUTED_VALUE"""),"Ensino Médio - Completo")</f>
        <v>Ensino Médio - Completo</v>
      </c>
      <c r="BH559" s="27" t="str">
        <f ca="1">IFERROR(__xludf.DUMMYFUNCTION("""COMPUTED_VALUE"""),"Público")</f>
        <v>Público</v>
      </c>
      <c r="BI559" s="27"/>
      <c r="BJ559" s="27" t="str">
        <f ca="1">IFERROR(__xludf.DUMMYFUNCTION("""COMPUTED_VALUE"""),"Público")</f>
        <v>Público</v>
      </c>
      <c r="BK559" s="27" t="str">
        <f ca="1">IFERROR(__xludf.DUMMYFUNCTION("""COMPUTED_VALUE"""),"cerilo gaspar de araujo")</f>
        <v>cerilo gaspar de araujo</v>
      </c>
      <c r="BL559" s="27">
        <f ca="1">IFERROR(__xludf.DUMMYFUNCTION("""COMPUTED_VALUE"""),338)</f>
        <v>338</v>
      </c>
      <c r="BM559" s="27"/>
      <c r="BN559" s="27" t="str">
        <f ca="1">IFERROR(__xludf.DUMMYFUNCTION("""COMPUTED_VALUE"""),"Belo horizonte")</f>
        <v>Belo horizonte</v>
      </c>
      <c r="BO559" s="27" t="str">
        <f ca="1">IFERROR(__xludf.DUMMYFUNCTION("""COMPUTED_VALUE"""),"31250-130")</f>
        <v>31250-130</v>
      </c>
      <c r="BP559" s="27" t="str">
        <f ca="1">IFERROR(__xludf.DUMMYFUNCTION("""COMPUTED_VALUE"""),"MG")</f>
        <v>MG</v>
      </c>
      <c r="BQ559" s="27" t="str">
        <f ca="1">IFERROR(__xludf.DUMMYFUNCTION("""COMPUTED_VALUE"""),"Entre 1 até 3 salários mínimos")</f>
        <v>Entre 1 até 3 salários mínimos</v>
      </c>
      <c r="BR559" s="27" t="str">
        <f ca="1">IFERROR(__xludf.DUMMYFUNCTION("""COMPUTED_VALUE"""),"MEI")</f>
        <v>MEI</v>
      </c>
      <c r="BS559" s="27" t="str">
        <f ca="1">IFERROR(__xludf.DUMMYFUNCTION("""COMPUTED_VALUE"""),"Aluguel")</f>
        <v>Aluguel</v>
      </c>
      <c r="BT559" s="27">
        <f ca="1">IFERROR(__xludf.DUMMYFUNCTION("""COMPUTED_VALUE"""),3)</f>
        <v>3</v>
      </c>
      <c r="BU559" s="27" t="str">
        <f ca="1">IFERROR(__xludf.DUMMYFUNCTION("""COMPUTED_VALUE"""),"Não tem")</f>
        <v>Não tem</v>
      </c>
      <c r="BV559" s="27" t="str">
        <f ca="1">IFERROR(__xludf.DUMMYFUNCTION("""COMPUTED_VALUE"""),"Não")</f>
        <v>Não</v>
      </c>
      <c r="BW559" s="27"/>
      <c r="BX559" s="27" t="str">
        <f ca="1">IFERROR(__xludf.DUMMYFUNCTION("""COMPUTED_VALUE"""),"Ronaldoluizdeoliveiraoliveira")</f>
        <v>Ronaldoluizdeoliveiraoliveira</v>
      </c>
      <c r="BY559" s="21" t="str">
        <f ca="1">IFERROR(__xludf.DUMMYFUNCTION("""COMPUTED_VALUE"""),"https://drive.google.com/open?id=1sHEUX33s7RrZ0N0VAqDK0qgtfp3hLqEi")</f>
        <v>https://drive.google.com/open?id=1sHEUX33s7RrZ0N0VAqDK0qgtfp3hLqEi</v>
      </c>
    </row>
    <row r="560" spans="1:77" ht="12.5" x14ac:dyDescent="0.25">
      <c r="A560" s="21" t="str">
        <f ca="1">IFERROR(__xludf.DUMMYFUNCTION("""COMPUTED_VALUE"""),"0014X00002OEuauQAD")</f>
        <v>0014X00002OEuauQAD</v>
      </c>
      <c r="B560" s="27" t="str">
        <f ca="1">IFERROR(__xludf.DUMMYFUNCTION("""COMPUTED_VALUE"""),"Fase Inicial")</f>
        <v>Fase Inicial</v>
      </c>
      <c r="C560" s="27" t="str">
        <f ca="1">IFERROR(__xludf.DUMMYFUNCTION("""COMPUTED_VALUE"""),"Fellow")</f>
        <v>Fellow</v>
      </c>
      <c r="D560" s="27" t="str">
        <f ca="1">IFERROR(__xludf.DUMMYFUNCTION("""COMPUTED_VALUE"""),"Ativo")</f>
        <v>Ativo</v>
      </c>
      <c r="E560" s="27" t="str">
        <f ca="1">IFERROR(__xludf.DUMMYFUNCTION("""COMPUTED_VALUE"""),"Reciclando Vidas")</f>
        <v>Reciclando Vidas</v>
      </c>
      <c r="F560" s="27" t="str">
        <f ca="1">IFERROR(__xludf.DUMMYFUNCTION("""COMPUTED_VALUE"""),"Rodrigo")</f>
        <v>Rodrigo</v>
      </c>
      <c r="G560" s="27"/>
      <c r="H560" s="27"/>
      <c r="I560" s="27" t="str">
        <f ca="1">IFERROR(__xludf.DUMMYFUNCTION("""COMPUTED_VALUE"""),"Rodrigo dos Santos Ramos")</f>
        <v>Rodrigo dos Santos Ramos</v>
      </c>
      <c r="J560" s="27" t="str">
        <f ca="1">IFERROR(__xludf.DUMMYFUNCTION("""COMPUTED_VALUE"""),"reciclandovidasrodrigosabiah@gmail.com")</f>
        <v>reciclandovidasrodrigosabiah@gmail.com</v>
      </c>
      <c r="K560" s="27" t="str">
        <f ca="1">IFERROR(__xludf.DUMMYFUNCTION("""COMPUTED_VALUE"""),"(51)99257-8487")</f>
        <v>(51)99257-8487</v>
      </c>
      <c r="L560" s="27" t="str">
        <f ca="1">IFERROR(__xludf.DUMMYFUNCTION("""COMPUTED_VALUE"""),"RS")</f>
        <v>RS</v>
      </c>
      <c r="M560" s="27" t="str">
        <f ca="1">IFERROR(__xludf.DUMMYFUNCTION("""COMPUTED_VALUE"""),"Rua Lima e Silva")</f>
        <v>Rua Lima e Silva</v>
      </c>
      <c r="N560" s="27" t="str">
        <f ca="1">IFERROR(__xludf.DUMMYFUNCTION("""COMPUTED_VALUE"""),"Cidade Baixa")</f>
        <v>Cidade Baixa</v>
      </c>
      <c r="O560" s="27">
        <f ca="1">IFERROR(__xludf.DUMMYFUNCTION("""COMPUTED_VALUE"""),529)</f>
        <v>529</v>
      </c>
      <c r="P560" s="27" t="str">
        <f ca="1">IFERROR(__xludf.DUMMYFUNCTION("""COMPUTED_VALUE"""),"Porto Alegre")</f>
        <v>Porto Alegre</v>
      </c>
      <c r="Q560" s="27" t="str">
        <f ca="1">IFERROR(__xludf.DUMMYFUNCTION("""COMPUTED_VALUE"""),"Apto 16")</f>
        <v>Apto 16</v>
      </c>
      <c r="R560" s="27" t="str">
        <f ca="1">IFERROR(__xludf.DUMMYFUNCTION("""COMPUTED_VALUE"""),"90050-101")</f>
        <v>90050-101</v>
      </c>
      <c r="S560" s="27"/>
      <c r="T560" s="27" t="str">
        <f ca="1">IFERROR(__xludf.DUMMYFUNCTION("""COMPUTED_VALUE"""),"Educação; Empregabilidade; Assistência Social; Cultura; Qualificação Profissional; Empreendedorismo; Empoderamento Feminino; Negócios Sociais; Comunicação")</f>
        <v>Educação; Empregabilidade; Assistência Social; Cultura; Qualificação Profissional; Empreendedorismo; Empoderamento Feminino; Negócios Sociais; Comunicação</v>
      </c>
      <c r="U560" s="27" t="str">
        <f ca="1">IFERROR(__xludf.DUMMYFUNCTION("""COMPUTED_VALUE"""),"Jovens (18 aos 24 anos); Adultos")</f>
        <v>Jovens (18 aos 24 anos); Adultos</v>
      </c>
      <c r="V560" s="27" t="str">
        <f ca="1">IFERROR(__xludf.DUMMYFUNCTION("""COMPUTED_VALUE"""),"Moradores de Favelas; Egressos sistema carcerário")</f>
        <v>Moradores de Favelas; Egressos sistema carcerário</v>
      </c>
      <c r="W560" s="27">
        <f ca="1">IFERROR(__xludf.DUMMYFUNCTION("""COMPUTED_VALUE"""),3)</f>
        <v>3</v>
      </c>
      <c r="X560" s="27"/>
      <c r="Y560" s="27"/>
      <c r="Z560" s="27"/>
      <c r="AA560" s="29">
        <f ca="1">IFERROR(__xludf.DUMMYFUNCTION("""COMPUTED_VALUE"""),44533)</f>
        <v>44533</v>
      </c>
      <c r="AB560" s="27" t="str">
        <f ca="1">IFERROR(__xludf.DUMMYFUNCTION("""COMPUTED_VALUE"""),"Não")</f>
        <v>Não</v>
      </c>
      <c r="AC560" s="27">
        <f ca="1">IFERROR(__xludf.DUMMYFUNCTION("""COMPUTED_VALUE"""),2)</f>
        <v>2</v>
      </c>
      <c r="AD560" s="27">
        <f ca="1">IFERROR(__xludf.DUMMYFUNCTION("""COMPUTED_VALUE"""),0)</f>
        <v>0</v>
      </c>
      <c r="AE560" s="27">
        <f ca="1">IFERROR(__xludf.DUMMYFUNCTION("""COMPUTED_VALUE"""),5)</f>
        <v>5</v>
      </c>
      <c r="AF560" s="27">
        <f ca="1">IFERROR(__xludf.DUMMYFUNCTION("""COMPUTED_VALUE"""),0)</f>
        <v>0</v>
      </c>
      <c r="AG560" s="27">
        <f ca="1">IFERROR(__xludf.DUMMYFUNCTION("""COMPUTED_VALUE"""),2)</f>
        <v>2</v>
      </c>
      <c r="AH560" s="27" t="str">
        <f ca="1">IFERROR(__xludf.DUMMYFUNCTION("""COMPUTED_VALUE"""),"Plataforma doação online - Pessoa Física; Parceria iniciativa privada; Editais; Doações; Recursos próprios")</f>
        <v>Plataforma doação online - Pessoa Física; Parceria iniciativa privada; Editais; Doações; Recursos próprios</v>
      </c>
      <c r="AI560" s="27" t="str">
        <f ca="1">IFERROR(__xludf.DUMMYFUNCTION("""COMPUTED_VALUE"""),"100% recursos proprios")</f>
        <v>100% recursos proprios</v>
      </c>
      <c r="AJ560" s="27"/>
      <c r="AK560" s="27"/>
      <c r="AL560" s="21" t="str">
        <f ca="1">IFERROR(__xludf.DUMMYFUNCTION("""COMPUTED_VALUE"""),"0034X0000315PR3")</f>
        <v>0034X0000315PR3</v>
      </c>
      <c r="AM560" s="27" t="str">
        <f ca="1">IFERROR(__xludf.DUMMYFUNCTION("""COMPUTED_VALUE"""),"Dos Santos Ramos")</f>
        <v>Dos Santos Ramos</v>
      </c>
      <c r="AN560" s="27" t="str">
        <f ca="1">IFERROR(__xludf.DUMMYFUNCTION("""COMPUTED_VALUE"""),"Ativo")</f>
        <v>Ativo</v>
      </c>
      <c r="AO560" s="30">
        <f ca="1">IFERROR(__xludf.DUMMYFUNCTION("""COMPUTED_VALUE"""),44551)</f>
        <v>44551</v>
      </c>
      <c r="AP560" s="27">
        <f ca="1">IFERROR(__xludf.DUMMYFUNCTION("""COMPUTED_VALUE"""),9)</f>
        <v>9</v>
      </c>
      <c r="AQ560" s="27" t="str">
        <f ca="1">IFERROR(__xludf.DUMMYFUNCTION("""COMPUTED_VALUE"""),"Segundo Semestre 2021")</f>
        <v>Segundo Semestre 2021</v>
      </c>
      <c r="AR560" s="27" t="str">
        <f ca="1">IFERROR(__xludf.DUMMYFUNCTION("""COMPUTED_VALUE"""),"antoniosabiah@gmail.com")</f>
        <v>antoniosabiah@gmail.com</v>
      </c>
      <c r="AS560" s="27" t="str">
        <f ca="1">IFERROR(__xludf.DUMMYFUNCTION("""COMPUTED_VALUE"""),"(51)99257-8487")</f>
        <v>(51)99257-8487</v>
      </c>
      <c r="AT560" s="29">
        <f ca="1">IFERROR(__xludf.DUMMYFUNCTION("""COMPUTED_VALUE"""),30548)</f>
        <v>30548</v>
      </c>
      <c r="AU560" s="27">
        <f ca="1">IFERROR(__xludf.DUMMYFUNCTION("""COMPUTED_VALUE"""),39)</f>
        <v>39</v>
      </c>
      <c r="AV560" s="27">
        <f ca="1">IFERROR(__xludf.DUMMYFUNCTION("""COMPUTED_VALUE"""),82080402072)</f>
        <v>82080402072</v>
      </c>
      <c r="AW560" s="27">
        <f ca="1">IFERROR(__xludf.DUMMYFUNCTION("""COMPUTED_VALUE"""),1083540128)</f>
        <v>1083540128</v>
      </c>
      <c r="AX560" s="27"/>
      <c r="AY560" s="27"/>
      <c r="AZ560" s="27" t="str">
        <f ca="1">IFERROR(__xludf.DUMMYFUNCTION("""COMPUTED_VALUE"""),"G")</f>
        <v>G</v>
      </c>
      <c r="BA560" s="27" t="str">
        <f ca="1">IFERROR(__xludf.DUMMYFUNCTION("""COMPUTED_VALUE"""),"Preta")</f>
        <v>Preta</v>
      </c>
      <c r="BB560" s="27" t="str">
        <f ca="1">IFERROR(__xludf.DUMMYFUNCTION("""COMPUTED_VALUE"""),"Homem, cisgênero")</f>
        <v>Homem, cisgênero</v>
      </c>
      <c r="BC560" s="27" t="str">
        <f ca="1">IFERROR(__xludf.DUMMYFUNCTION("""COMPUTED_VALUE"""),"Não")</f>
        <v>Não</v>
      </c>
      <c r="BD560" s="27" t="str">
        <f ca="1">IFERROR(__xludf.DUMMYFUNCTION("""COMPUTED_VALUE"""),"Sou egresso do sistema prisional, educador social que atua dentro de comunidades, presídios e centros da Juventude. Meu trabalho é focado e direcionado para jovens e egressos.")</f>
        <v>Sou egresso do sistema prisional, educador social que atua dentro de comunidades, presídios e centros da Juventude. Meu trabalho é focado e direcionado para jovens e egressos.</v>
      </c>
      <c r="BE560" s="27"/>
      <c r="BF560" s="27" t="str">
        <f ca="1">IFERROR(__xludf.DUMMYFUNCTION("""COMPUTED_VALUE"""),"Heterossexual")</f>
        <v>Heterossexual</v>
      </c>
      <c r="BG560" s="27" t="str">
        <f ca="1">IFERROR(__xludf.DUMMYFUNCTION("""COMPUTED_VALUE"""),"Ensino Superior - Incompleto")</f>
        <v>Ensino Superior - Incompleto</v>
      </c>
      <c r="BH560" s="27"/>
      <c r="BI560" s="27" t="str">
        <f ca="1">IFERROR(__xludf.DUMMYFUNCTION("""COMPUTED_VALUE"""),"Graduação")</f>
        <v>Graduação</v>
      </c>
      <c r="BJ560" s="27" t="str">
        <f ca="1">IFERROR(__xludf.DUMMYFUNCTION("""COMPUTED_VALUE"""),"Privado")</f>
        <v>Privado</v>
      </c>
      <c r="BK560" s="27" t="str">
        <f ca="1">IFERROR(__xludf.DUMMYFUNCTION("""COMPUTED_VALUE"""),"Rua lima e silva")</f>
        <v>Rua lima e silva</v>
      </c>
      <c r="BL560" s="27">
        <f ca="1">IFERROR(__xludf.DUMMYFUNCTION("""COMPUTED_VALUE"""),529)</f>
        <v>529</v>
      </c>
      <c r="BM560" s="27" t="str">
        <f ca="1">IFERROR(__xludf.DUMMYFUNCTION("""COMPUTED_VALUE"""),"Ap 16")</f>
        <v>Ap 16</v>
      </c>
      <c r="BN560" s="27" t="str">
        <f ca="1">IFERROR(__xludf.DUMMYFUNCTION("""COMPUTED_VALUE"""),"Porto Alegre")</f>
        <v>Porto Alegre</v>
      </c>
      <c r="BO560" s="27" t="str">
        <f ca="1">IFERROR(__xludf.DUMMYFUNCTION("""COMPUTED_VALUE"""),"90050-101")</f>
        <v>90050-101</v>
      </c>
      <c r="BP560" s="27" t="str">
        <f ca="1">IFERROR(__xludf.DUMMYFUNCTION("""COMPUTED_VALUE"""),"RS")</f>
        <v>RS</v>
      </c>
      <c r="BQ560" s="27" t="str">
        <f ca="1">IFERROR(__xludf.DUMMYFUNCTION("""COMPUTED_VALUE"""),"Entre 1 até 3 salários mínimos")</f>
        <v>Entre 1 até 3 salários mínimos</v>
      </c>
      <c r="BR560" s="27" t="str">
        <f ca="1">IFERROR(__xludf.DUMMYFUNCTION("""COMPUTED_VALUE"""),"CLT")</f>
        <v>CLT</v>
      </c>
      <c r="BS560" s="27" t="str">
        <f ca="1">IFERROR(__xludf.DUMMYFUNCTION("""COMPUTED_VALUE"""),"Aluguel")</f>
        <v>Aluguel</v>
      </c>
      <c r="BT560" s="27">
        <f ca="1">IFERROR(__xludf.DUMMYFUNCTION("""COMPUTED_VALUE"""),3)</f>
        <v>3</v>
      </c>
      <c r="BU560" s="27"/>
      <c r="BV560" s="27"/>
      <c r="BW560" s="21" t="str">
        <f ca="1">IFERROR(__xludf.DUMMYFUNCTION("""COMPUTED_VALUE"""),"https://www.linkedin.com/jobs/application-settings")</f>
        <v>https://www.linkedin.com/jobs/application-settings</v>
      </c>
      <c r="BX560" s="21" t="str">
        <f ca="1">IFERROR(__xludf.DUMMYFUNCTION("""COMPUTED_VALUE"""),"https://instagram.com/rodrigosabiah?utm_medium=copy_link")</f>
        <v>https://instagram.com/rodrigosabiah?utm_medium=copy_link</v>
      </c>
      <c r="BY560" s="21" t="str">
        <f ca="1">IFERROR(__xludf.DUMMYFUNCTION("""COMPUTED_VALUE"""),"https://drive.google.com/open?id=1XwqRLzMU5KuZEEO1K9Dw_yqU0V6QN0xO")</f>
        <v>https://drive.google.com/open?id=1XwqRLzMU5KuZEEO1K9Dw_yqU0V6QN0xO</v>
      </c>
    </row>
    <row r="561" spans="1:77" ht="12.5" x14ac:dyDescent="0.25">
      <c r="A561" s="21" t="str">
        <f ca="1">IFERROR(__xludf.DUMMYFUNCTION("""COMPUTED_VALUE"""),"0014X00002VKCsLQAX")</f>
        <v>0014X00002VKCsLQAX</v>
      </c>
      <c r="B561" s="27" t="str">
        <f ca="1">IFERROR(__xludf.DUMMYFUNCTION("""COMPUTED_VALUE"""),"Fase Inicial")</f>
        <v>Fase Inicial</v>
      </c>
      <c r="C561" s="27" t="str">
        <f ca="1">IFERROR(__xludf.DUMMYFUNCTION("""COMPUTED_VALUE"""),"Fellow")</f>
        <v>Fellow</v>
      </c>
      <c r="D561" s="27" t="str">
        <f ca="1">IFERROR(__xludf.DUMMYFUNCTION("""COMPUTED_VALUE"""),"Ativo")</f>
        <v>Ativo</v>
      </c>
      <c r="E561" s="27" t="str">
        <f ca="1">IFERROR(__xludf.DUMMYFUNCTION("""COMPUTED_VALUE"""),"Rede Ablan")</f>
        <v>Rede Ablan</v>
      </c>
      <c r="F561" s="27" t="str">
        <f ca="1">IFERROR(__xludf.DUMMYFUNCTION("""COMPUTED_VALUE"""),"Ana")</f>
        <v>Ana</v>
      </c>
      <c r="G561" s="27" t="str">
        <f ca="1">IFERROR(__xludf.DUMMYFUNCTION("""COMPUTED_VALUE"""),"REDE ABLAN")</f>
        <v>REDE ABLAN</v>
      </c>
      <c r="H561" s="27"/>
      <c r="I561" s="27" t="str">
        <f ca="1">IFERROR(__xludf.DUMMYFUNCTION("""COMPUTED_VALUE"""),"Ana Carolina dos Santos Nascimento")</f>
        <v>Ana Carolina dos Santos Nascimento</v>
      </c>
      <c r="J561" s="27" t="str">
        <f ca="1">IFERROR(__xludf.DUMMYFUNCTION("""COMPUTED_VALUE"""),"redeablan@gmail.com")</f>
        <v>redeablan@gmail.com</v>
      </c>
      <c r="K561" s="27" t="str">
        <f ca="1">IFERROR(__xludf.DUMMYFUNCTION("""COMPUTED_VALUE"""),"(24)99933-6353")</f>
        <v>(24)99933-6353</v>
      </c>
      <c r="L561" s="27" t="str">
        <f ca="1">IFERROR(__xludf.DUMMYFUNCTION("""COMPUTED_VALUE"""),"RJ")</f>
        <v>RJ</v>
      </c>
      <c r="M561" s="27" t="str">
        <f ca="1">IFERROR(__xludf.DUMMYFUNCTION("""COMPUTED_VALUE"""),"Rua Alfem Ferreira de Oliveira 256")</f>
        <v>Rua Alfem Ferreira de Oliveira 256</v>
      </c>
      <c r="N561" s="27" t="str">
        <f ca="1">IFERROR(__xludf.DUMMYFUNCTION("""COMPUTED_VALUE"""),"São Benedito")</f>
        <v>São Benedito</v>
      </c>
      <c r="O561" s="27">
        <f ca="1">IFERROR(__xludf.DUMMYFUNCTION("""COMPUTED_VALUE"""),256)</f>
        <v>256</v>
      </c>
      <c r="P561" s="27" t="str">
        <f ca="1">IFERROR(__xludf.DUMMYFUNCTION("""COMPUTED_VALUE"""),"Quatis")</f>
        <v>Quatis</v>
      </c>
      <c r="Q561" s="27"/>
      <c r="R561" s="27" t="str">
        <f ca="1">IFERROR(__xludf.DUMMYFUNCTION("""COMPUTED_VALUE"""),"27430-068")</f>
        <v>27430-068</v>
      </c>
      <c r="S561" s="27" t="str">
        <f ca="1">IFERROR(__xludf.DUMMYFUNCTION("""COMPUTED_VALUE"""),"Estação Cultural")</f>
        <v>Estação Cultural</v>
      </c>
      <c r="T561" s="27"/>
      <c r="U561" s="27" t="str">
        <f ca="1">IFERROR(__xludf.DUMMYFUNCTION("""COMPUTED_VALUE"""),"bebês (1 a 1ano e 6 meses), Crianças bem pequenas (1 ano e 7 meses até 3 anos e 11 meses), Crianças pequenas (4 anos a 5 anos e 11 meses), Crianças (6 a 12 anos), Adolescentes (12 aos 18 anos), Jovens (18 aos 24 anos), Adultos")</f>
        <v>bebês (1 a 1ano e 6 meses), Crianças bem pequenas (1 ano e 7 meses até 3 anos e 11 meses), Crianças pequenas (4 anos a 5 anos e 11 meses), Crianças (6 a 12 anos), Adolescentes (12 aos 18 anos), Jovens (18 aos 24 anos), Adultos</v>
      </c>
      <c r="V561" s="27" t="str">
        <f ca="1">IFERROR(__xludf.DUMMYFUNCTION("""COMPUTED_VALUE"""),"Moradores de Favelas, População LGBTQ+, Quilombola, Afrodescendentes, Pessoas com Deficiência, Comunidade rural")</f>
        <v>Moradores de Favelas, População LGBTQ+, Quilombola, Afrodescendentes, Pessoas com Deficiência, Comunidade rural</v>
      </c>
      <c r="W561" s="27">
        <f ca="1">IFERROR(__xludf.DUMMYFUNCTION("""COMPUTED_VALUE"""),6)</f>
        <v>6</v>
      </c>
      <c r="X561" s="27" t="str">
        <f ca="1">IFERROR(__xludf.DUMMYFUNCTION("""COMPUTED_VALUE"""),"São crianças* adolescentes* jovens* adultos e idosos com Deficiência.")</f>
        <v>São crianças* adolescentes* jovens* adultos e idosos com Deficiência.</v>
      </c>
      <c r="Y561" s="27"/>
      <c r="Z561" s="27">
        <f ca="1">IFERROR(__xludf.DUMMYFUNCTION("""COMPUTED_VALUE"""),200)</f>
        <v>200</v>
      </c>
      <c r="AA561" s="30">
        <f ca="1">IFERROR(__xludf.DUMMYFUNCTION("""COMPUTED_VALUE"""),43758)</f>
        <v>43758</v>
      </c>
      <c r="AB561" s="27" t="str">
        <f ca="1">IFERROR(__xludf.DUMMYFUNCTION("""COMPUTED_VALUE"""),"Não")</f>
        <v>Não</v>
      </c>
      <c r="AC561" s="27">
        <f ca="1">IFERROR(__xludf.DUMMYFUNCTION("""COMPUTED_VALUE"""),0)</f>
        <v>0</v>
      </c>
      <c r="AD561" s="27">
        <f ca="1">IFERROR(__xludf.DUMMYFUNCTION("""COMPUTED_VALUE"""),8)</f>
        <v>8</v>
      </c>
      <c r="AE561" s="27">
        <f ca="1">IFERROR(__xludf.DUMMYFUNCTION("""COMPUTED_VALUE"""),8)</f>
        <v>8</v>
      </c>
      <c r="AF561" s="27">
        <f ca="1">IFERROR(__xludf.DUMMYFUNCTION("""COMPUTED_VALUE"""),8)</f>
        <v>8</v>
      </c>
      <c r="AG561" s="27">
        <f ca="1">IFERROR(__xludf.DUMMYFUNCTION("""COMPUTED_VALUE"""),3)</f>
        <v>3</v>
      </c>
      <c r="AH561" s="27" t="str">
        <f ca="1">IFERROR(__xludf.DUMMYFUNCTION("""COMPUTED_VALUE"""),"Eventos/Ações para captação, Doações, Recursos próprios")</f>
        <v>Eventos/Ações para captação, Doações, Recursos próprios</v>
      </c>
      <c r="AI561" s="27">
        <f ca="1">IFERROR(__xludf.DUMMYFUNCTION("""COMPUTED_VALUE"""),0)</f>
        <v>0</v>
      </c>
      <c r="AJ561" s="27" t="str">
        <f ca="1">IFERROR(__xludf.DUMMYFUNCTION("""COMPUTED_VALUE"""),"Não")</f>
        <v>Não</v>
      </c>
      <c r="AK561" s="27"/>
      <c r="AL561" s="21" t="str">
        <f ca="1">IFERROR(__xludf.DUMMYFUNCTION("""COMPUTED_VALUE"""),"0034X0000380O2p")</f>
        <v>0034X0000380O2p</v>
      </c>
      <c r="AM561" s="27" t="str">
        <f ca="1">IFERROR(__xludf.DUMMYFUNCTION("""COMPUTED_VALUE"""),"Carolina dos santos nascimento")</f>
        <v>Carolina dos santos nascimento</v>
      </c>
      <c r="AN561" s="27" t="str">
        <f ca="1">IFERROR(__xludf.DUMMYFUNCTION("""COMPUTED_VALUE"""),"Ativo")</f>
        <v>Ativo</v>
      </c>
      <c r="AO561" s="29">
        <f ca="1">IFERROR(__xludf.DUMMYFUNCTION("""COMPUTED_VALUE"""),44763)</f>
        <v>44763</v>
      </c>
      <c r="AP561" s="27">
        <f ca="1">IFERROR(__xludf.DUMMYFUNCTION("""COMPUTED_VALUE"""),2)</f>
        <v>2</v>
      </c>
      <c r="AQ561" s="27" t="str">
        <f ca="1">IFERROR(__xludf.DUMMYFUNCTION("""COMPUTED_VALUE"""),"Primeiro Semestre 2022")</f>
        <v>Primeiro Semestre 2022</v>
      </c>
      <c r="AR561" s="27" t="str">
        <f ca="1">IFERROR(__xludf.DUMMYFUNCTION("""COMPUTED_VALUE"""),"meher.dangt@gmail.com")</f>
        <v>meher.dangt@gmail.com</v>
      </c>
      <c r="AS561" s="27">
        <f ca="1">IFERROR(__xludf.DUMMYFUNCTION("""COMPUTED_VALUE"""),24999336353)</f>
        <v>24999336353</v>
      </c>
      <c r="AT561" s="29">
        <f ca="1">IFERROR(__xludf.DUMMYFUNCTION("""COMPUTED_VALUE"""),32244)</f>
        <v>32244</v>
      </c>
      <c r="AU561" s="27">
        <f ca="1">IFERROR(__xludf.DUMMYFUNCTION("""COMPUTED_VALUE"""),34)</f>
        <v>34</v>
      </c>
      <c r="AV561" s="27">
        <f ca="1">IFERROR(__xludf.DUMMYFUNCTION("""COMPUTED_VALUE"""),14103108762)</f>
        <v>14103108762</v>
      </c>
      <c r="AW561" s="27" t="str">
        <f ca="1">IFERROR(__xludf.DUMMYFUNCTION("""COMPUTED_VALUE"""),"26.444.213-8")</f>
        <v>26.444.213-8</v>
      </c>
      <c r="AX561" s="27"/>
      <c r="AY561" s="27"/>
      <c r="AZ561" s="27" t="str">
        <f ca="1">IFERROR(__xludf.DUMMYFUNCTION("""COMPUTED_VALUE"""),"G2")</f>
        <v>G2</v>
      </c>
      <c r="BA561" s="27" t="str">
        <f ca="1">IFERROR(__xludf.DUMMYFUNCTION("""COMPUTED_VALUE"""),"Preta")</f>
        <v>Preta</v>
      </c>
      <c r="BB561" s="27"/>
      <c r="BC561" s="27"/>
      <c r="BD561" s="27" t="str">
        <f ca="1">IFERROR(__xludf.DUMMYFUNCTION("""COMPUTED_VALUE"""),"Coordenadora de projetos
Técnico em Hotelaria* Hotel Escola Bela Vista
Estudante de Relações Internacionais* na universidade Estácio de Sá
Fundadora e Diretora Geral da Rede Ablan
Coordenadora Financeira na Articulação Brasileira de Lésbicas -ABL
Conselhe"&amp;"ira fiscal no Grupo Mulheres Felipa de Sousa
Diretora financeira no Instituto Brasileiro de Lésbicas
Conselheira Municipal dos Direitos da Pessoa com Deficiência CMDPD de Quatis
Membra do Fórum Permanente de Educação - FPE de Quatis
Membra do Fórum ONG/AI"&amp;"DS do Estado do Rio de Janeiro.")</f>
        <v>Coordenadora de projetos
Técnico em Hotelaria* Hotel Escola Bela Vista
Estudante de Relações Internacionais* na universidade Estácio de Sá
Fundadora e Diretora Geral da Rede Ablan
Coordenadora Financeira na Articulação Brasileira de Lésbicas -ABL
Conselheira fiscal no Grupo Mulheres Felipa de Sousa
Diretora financeira no Instituto Brasileiro de Lésbicas
Conselheira Municipal dos Direitos da Pessoa com Deficiência CMDPD de Quatis
Membra do Fórum Permanente de Educação - FPE de Quatis
Membra do Fórum ONG/AIDS do Estado do Rio de Janeiro.</v>
      </c>
      <c r="BE561" s="27" t="str">
        <f ca="1">IFERROR(__xludf.DUMMYFUNCTION("""COMPUTED_VALUE"""),"Feminino")</f>
        <v>Feminino</v>
      </c>
      <c r="BF561" s="27" t="str">
        <f ca="1">IFERROR(__xludf.DUMMYFUNCTION("""COMPUTED_VALUE"""),"Prefiro não responder")</f>
        <v>Prefiro não responder</v>
      </c>
      <c r="BG561" s="27"/>
      <c r="BH561" s="27" t="str">
        <f ca="1">IFERROR(__xludf.DUMMYFUNCTION("""COMPUTED_VALUE"""),"Público")</f>
        <v>Público</v>
      </c>
      <c r="BI561" s="27"/>
      <c r="BJ561" s="27"/>
      <c r="BK561" s="27" t="str">
        <f ca="1">IFERROR(__xludf.DUMMYFUNCTION("""COMPUTED_VALUE"""),"Rua Dr. Afonso de Freitas Lustosa")</f>
        <v>Rua Dr. Afonso de Freitas Lustosa</v>
      </c>
      <c r="BL561" s="27">
        <f ca="1">IFERROR(__xludf.DUMMYFUNCTION("""COMPUTED_VALUE"""),175)</f>
        <v>175</v>
      </c>
      <c r="BM561" s="27"/>
      <c r="BN561" s="27"/>
      <c r="BO561" s="27" t="str">
        <f ca="1">IFERROR(__xludf.DUMMYFUNCTION("""COMPUTED_VALUE"""),"27430-040")</f>
        <v>27430-040</v>
      </c>
      <c r="BP561" s="27" t="str">
        <f ca="1">IFERROR(__xludf.DUMMYFUNCTION("""COMPUTED_VALUE"""),"RJ")</f>
        <v>RJ</v>
      </c>
      <c r="BQ561" s="27" t="str">
        <f ca="1">IFERROR(__xludf.DUMMYFUNCTION("""COMPUTED_VALUE"""),"Entre 1 até 3 salários mínimos")</f>
        <v>Entre 1 até 3 salários mínimos</v>
      </c>
      <c r="BR561" s="27" t="str">
        <f ca="1">IFERROR(__xludf.DUMMYFUNCTION("""COMPUTED_VALUE"""),"Trabalho informal")</f>
        <v>Trabalho informal</v>
      </c>
      <c r="BS561" s="27" t="str">
        <f ca="1">IFERROR(__xludf.DUMMYFUNCTION("""COMPUTED_VALUE"""),"Aluguel")</f>
        <v>Aluguel</v>
      </c>
      <c r="BT561" s="27">
        <f ca="1">IFERROR(__xludf.DUMMYFUNCTION("""COMPUTED_VALUE"""),0)</f>
        <v>0</v>
      </c>
      <c r="BU561" s="27" t="str">
        <f ca="1">IFERROR(__xludf.DUMMYFUNCTION("""COMPUTED_VALUE"""),"Outros")</f>
        <v>Outros</v>
      </c>
      <c r="BV561" s="27" t="str">
        <f ca="1">IFERROR(__xludf.DUMMYFUNCTION("""COMPUTED_VALUE"""),"Não")</f>
        <v>Não</v>
      </c>
      <c r="BW561" s="27"/>
      <c r="BX561" s="27"/>
      <c r="BY561" s="21" t="str">
        <f ca="1">IFERROR(__xludf.DUMMYFUNCTION("""COMPUTED_VALUE"""),"https://drive.google.com/open?id=1TSSX-7tp0nUxmMCLNn0vUPpyGAgpKm0Q")</f>
        <v>https://drive.google.com/open?id=1TSSX-7tp0nUxmMCLNn0vUPpyGAgpKm0Q</v>
      </c>
    </row>
    <row r="562" spans="1:77" ht="12.5" x14ac:dyDescent="0.25">
      <c r="A562" s="21" t="str">
        <f ca="1">IFERROR(__xludf.DUMMYFUNCTION("""COMPUTED_VALUE"""),"0014X00002VKCt0QAH")</f>
        <v>0014X00002VKCt0QAH</v>
      </c>
      <c r="B562" s="27" t="str">
        <f ca="1">IFERROR(__xludf.DUMMYFUNCTION("""COMPUTED_VALUE"""),"Fase Inicial")</f>
        <v>Fase Inicial</v>
      </c>
      <c r="C562" s="27" t="str">
        <f ca="1">IFERROR(__xludf.DUMMYFUNCTION("""COMPUTED_VALUE"""),"Fellow")</f>
        <v>Fellow</v>
      </c>
      <c r="D562" s="27" t="str">
        <f ca="1">IFERROR(__xludf.DUMMYFUNCTION("""COMPUTED_VALUE"""),"Ativo")</f>
        <v>Ativo</v>
      </c>
      <c r="E562" s="27" t="str">
        <f ca="1">IFERROR(__xludf.DUMMYFUNCTION("""COMPUTED_VALUE"""),"Rede Postinho de Saúde Organização de saúde preventiva multidisciplinar social")</f>
        <v>Rede Postinho de Saúde Organização de saúde preventiva multidisciplinar social</v>
      </c>
      <c r="F562" s="27" t="str">
        <f ca="1">IFERROR(__xludf.DUMMYFUNCTION("""COMPUTED_VALUE"""),"Paula")</f>
        <v>Paula</v>
      </c>
      <c r="G562" s="27" t="str">
        <f ca="1">IFERROR(__xludf.DUMMYFUNCTION("""COMPUTED_VALUE"""),"REDE POSTINHO DE SAÚDE")</f>
        <v>REDE POSTINHO DE SAÚDE</v>
      </c>
      <c r="H562" s="27" t="str">
        <f ca="1">IFERROR(__xludf.DUMMYFUNCTION("""COMPUTED_VALUE"""),"13.506.080/0001-01")</f>
        <v>13.506.080/0001-01</v>
      </c>
      <c r="I562" s="27" t="str">
        <f ca="1">IFERROR(__xludf.DUMMYFUNCTION("""COMPUTED_VALUE"""),"Julia Rangel")</f>
        <v>Julia Rangel</v>
      </c>
      <c r="J562" s="27" t="str">
        <f ca="1">IFERROR(__xludf.DUMMYFUNCTION("""COMPUTED_VALUE"""),"redepostinhosaude@gmail.com")</f>
        <v>redepostinhosaude@gmail.com</v>
      </c>
      <c r="K562" s="27" t="str">
        <f ca="1">IFERROR(__xludf.DUMMYFUNCTION("""COMPUTED_VALUE"""),"(21)97477-7667")</f>
        <v>(21)97477-7667</v>
      </c>
      <c r="L562" s="27" t="str">
        <f ca="1">IFERROR(__xludf.DUMMYFUNCTION("""COMPUTED_VALUE"""),"RJ")</f>
        <v>RJ</v>
      </c>
      <c r="M562" s="27" t="str">
        <f ca="1">IFERROR(__xludf.DUMMYFUNCTION("""COMPUTED_VALUE"""),"Estrada do Cantagalo")</f>
        <v>Estrada do Cantagalo</v>
      </c>
      <c r="N562" s="27" t="str">
        <f ca="1">IFERROR(__xludf.DUMMYFUNCTION("""COMPUTED_VALUE"""),"Copacabana")</f>
        <v>Copacabana</v>
      </c>
      <c r="O562" s="27">
        <f ca="1">IFERROR(__xludf.DUMMYFUNCTION("""COMPUTED_VALUE"""),78)</f>
        <v>78</v>
      </c>
      <c r="P562" s="27" t="str">
        <f ca="1">IFERROR(__xludf.DUMMYFUNCTION("""COMPUTED_VALUE"""),"Rio de Janeiro")</f>
        <v>Rio de Janeiro</v>
      </c>
      <c r="Q562" s="27"/>
      <c r="R562" s="27" t="str">
        <f ca="1">IFERROR(__xludf.DUMMYFUNCTION("""COMPUTED_VALUE"""),"22071-060")</f>
        <v>22071-060</v>
      </c>
      <c r="S562" s="27" t="str">
        <f ca="1">IFERROR(__xludf.DUMMYFUNCTION("""COMPUTED_VALUE"""),"Não")</f>
        <v>Não</v>
      </c>
      <c r="T562" s="27"/>
      <c r="U562" s="27" t="str">
        <f ca="1">IFERROR(__xludf.DUMMYFUNCTION("""COMPUTED_VALUE"""),"Adolescentes (12 aos 18 anos), Jovens (18 aos 24 anos), Adultos, Idosos (60 anos ou mais)")</f>
        <v>Adolescentes (12 aos 18 anos), Jovens (18 aos 24 anos), Adultos, Idosos (60 anos ou mais)</v>
      </c>
      <c r="V562" s="27" t="str">
        <f ca="1">IFERROR(__xludf.DUMMYFUNCTION("""COMPUTED_VALUE"""),"Moradores de Favelas, Outros")</f>
        <v>Moradores de Favelas, Outros</v>
      </c>
      <c r="W562" s="27">
        <f ca="1">IFERROR(__xludf.DUMMYFUNCTION("""COMPUTED_VALUE"""),3)</f>
        <v>3</v>
      </c>
      <c r="X562" s="27" t="str">
        <f ca="1">IFERROR(__xludf.DUMMYFUNCTION("""COMPUTED_VALUE"""),"Atendemos mulheres acima de 13 anos")</f>
        <v>Atendemos mulheres acima de 13 anos</v>
      </c>
      <c r="Y562" s="27"/>
      <c r="Z562" s="27">
        <f ca="1">IFERROR(__xludf.DUMMYFUNCTION("""COMPUTED_VALUE"""),200)</f>
        <v>200</v>
      </c>
      <c r="AA562" s="29">
        <f ca="1">IFERROR(__xludf.DUMMYFUNCTION("""COMPUTED_VALUE"""),40289)</f>
        <v>40289</v>
      </c>
      <c r="AB562" s="27" t="str">
        <f ca="1">IFERROR(__xludf.DUMMYFUNCTION("""COMPUTED_VALUE"""),"Sim")</f>
        <v>Sim</v>
      </c>
      <c r="AC562" s="27">
        <f ca="1">IFERROR(__xludf.DUMMYFUNCTION("""COMPUTED_VALUE"""),0)</f>
        <v>0</v>
      </c>
      <c r="AD562" s="27">
        <f ca="1">IFERROR(__xludf.DUMMYFUNCTION("""COMPUTED_VALUE"""),30)</f>
        <v>30</v>
      </c>
      <c r="AE562" s="27">
        <f ca="1">IFERROR(__xludf.DUMMYFUNCTION("""COMPUTED_VALUE"""),40)</f>
        <v>40</v>
      </c>
      <c r="AF562" s="27">
        <f ca="1">IFERROR(__xludf.DUMMYFUNCTION("""COMPUTED_VALUE"""),30)</f>
        <v>30</v>
      </c>
      <c r="AG562" s="27">
        <f ca="1">IFERROR(__xludf.DUMMYFUNCTION("""COMPUTED_VALUE"""),4)</f>
        <v>4</v>
      </c>
      <c r="AH562" s="27" t="str">
        <f ca="1">IFERROR(__xludf.DUMMYFUNCTION("""COMPUTED_VALUE"""),"Eventos/Ações para captação, Parceria iniciativa privada, Editais, Doações")</f>
        <v>Eventos/Ações para captação, Parceria iniciativa privada, Editais, Doações</v>
      </c>
      <c r="AI562" s="27" t="str">
        <f ca="1">IFERROR(__xludf.DUMMYFUNCTION("""COMPUTED_VALUE"""),"2021 100% doação")</f>
        <v>2021 100% doação</v>
      </c>
      <c r="AJ562" s="27" t="str">
        <f ca="1">IFERROR(__xludf.DUMMYFUNCTION("""COMPUTED_VALUE"""),"Não")</f>
        <v>Não</v>
      </c>
      <c r="AK562" s="27"/>
      <c r="AL562" s="21" t="str">
        <f ca="1">IFERROR(__xludf.DUMMYFUNCTION("""COMPUTED_VALUE"""),"0034X0000380O2I")</f>
        <v>0034X0000380O2I</v>
      </c>
      <c r="AM562" s="27" t="str">
        <f ca="1">IFERROR(__xludf.DUMMYFUNCTION("""COMPUTED_VALUE"""),"Graciette de mesquita")</f>
        <v>Graciette de mesquita</v>
      </c>
      <c r="AN562" s="27" t="str">
        <f ca="1">IFERROR(__xludf.DUMMYFUNCTION("""COMPUTED_VALUE"""),"Ativo")</f>
        <v>Ativo</v>
      </c>
      <c r="AO562" s="29">
        <f ca="1">IFERROR(__xludf.DUMMYFUNCTION("""COMPUTED_VALUE"""),44763)</f>
        <v>44763</v>
      </c>
      <c r="AP562" s="27">
        <f ca="1">IFERROR(__xludf.DUMMYFUNCTION("""COMPUTED_VALUE"""),2)</f>
        <v>2</v>
      </c>
      <c r="AQ562" s="27" t="str">
        <f ca="1">IFERROR(__xludf.DUMMYFUNCTION("""COMPUTED_VALUE"""),"Primeiro Semestre 2022")</f>
        <v>Primeiro Semestre 2022</v>
      </c>
      <c r="AR562" s="27" t="str">
        <f ca="1">IFERROR(__xludf.DUMMYFUNCTION("""COMPUTED_VALUE"""),"paulagmesquita@yahoo.com.br")</f>
        <v>paulagmesquita@yahoo.com.br</v>
      </c>
      <c r="AS562" s="27">
        <f ca="1">IFERROR(__xludf.DUMMYFUNCTION("""COMPUTED_VALUE"""),21987240003)</f>
        <v>21987240003</v>
      </c>
      <c r="AT562" s="30">
        <f ca="1">IFERROR(__xludf.DUMMYFUNCTION("""COMPUTED_VALUE"""),30633)</f>
        <v>30633</v>
      </c>
      <c r="AU562" s="27">
        <f ca="1">IFERROR(__xludf.DUMMYFUNCTION("""COMPUTED_VALUE"""),39)</f>
        <v>39</v>
      </c>
      <c r="AV562" s="27">
        <f ca="1">IFERROR(__xludf.DUMMYFUNCTION("""COMPUTED_VALUE"""),9921331736)</f>
        <v>9921331736</v>
      </c>
      <c r="AW562" s="27" t="str">
        <f ca="1">IFERROR(__xludf.DUMMYFUNCTION("""COMPUTED_VALUE"""),"20.523.231-7")</f>
        <v>20.523.231-7</v>
      </c>
      <c r="AX562" s="27"/>
      <c r="AY562" s="27"/>
      <c r="AZ562" s="27" t="str">
        <f ca="1">IFERROR(__xludf.DUMMYFUNCTION("""COMPUTED_VALUE"""),"GG")</f>
        <v>GG</v>
      </c>
      <c r="BA562" s="27" t="str">
        <f ca="1">IFERROR(__xludf.DUMMYFUNCTION("""COMPUTED_VALUE"""),"Parda")</f>
        <v>Parda</v>
      </c>
      <c r="BB562" s="27"/>
      <c r="BC562" s="27"/>
      <c r="BD562" s="27" t="str">
        <f ca="1">IFERROR(__xludf.DUMMYFUNCTION("""COMPUTED_VALUE"""),"Meu nome é Paula tenho 38 anos*sou nascida e criada no Pavãozinho*comunidade que fica em Copacabana*meus pais são do Ceará e moram aqui a mais de 40 anos.Venho de uma família humilde*morei em barraco de madeira e tive 2 irmãos que entraram no tráfico*um c"&amp;"onseguiu sair o outro não.
Sempre fui muito curiosa e interessada em novas experiências*estudei a vida toda em escola pública mas sempre absorvi o máximo que me foi apresentado.
Sou casada a 16 anos tenho uma filha de 7 anos e trabalho na Rede Postinho de"&amp;" Saúde a 4 anos.A Rede Postinho é uma ONG de saude para mulher*no começo da pandemia começamos a entregar cestas básicas para comunidade e mantemos esse trabalho até hoje.")</f>
        <v>Meu nome é Paula tenho 38 anos*sou nascida e criada no Pavãozinho*comunidade que fica em Copacabana*meus pais são do Ceará e moram aqui a mais de 40 anos.Venho de uma família humilde*morei em barraco de madeira e tive 2 irmãos que entraram no tráfico*um conseguiu sair o outro não.
Sempre fui muito curiosa e interessada em novas experiências*estudei a vida toda em escola pública mas sempre absorvi o máximo que me foi apresentado.
Sou casada a 16 anos tenho uma filha de 7 anos e trabalho na Rede Postinho de Saúde a 4 anos.A Rede Postinho é uma ONG de saude para mulher*no começo da pandemia começamos a entregar cestas básicas para comunidade e mantemos esse trabalho até hoje.</v>
      </c>
      <c r="BE562" s="27" t="str">
        <f ca="1">IFERROR(__xludf.DUMMYFUNCTION("""COMPUTED_VALUE"""),"Feminino")</f>
        <v>Feminino</v>
      </c>
      <c r="BF562" s="27" t="str">
        <f ca="1">IFERROR(__xludf.DUMMYFUNCTION("""COMPUTED_VALUE"""),"Heterossexual")</f>
        <v>Heterossexual</v>
      </c>
      <c r="BG562" s="27"/>
      <c r="BH562" s="27" t="str">
        <f ca="1">IFERROR(__xludf.DUMMYFUNCTION("""COMPUTED_VALUE"""),"Público")</f>
        <v>Público</v>
      </c>
      <c r="BI562" s="27"/>
      <c r="BJ562" s="27"/>
      <c r="BK562" s="27" t="str">
        <f ca="1">IFERROR(__xludf.DUMMYFUNCTION("""COMPUTED_VALUE"""),"Rua Saint Roman")</f>
        <v>Rua Saint Roman</v>
      </c>
      <c r="BL562" s="27">
        <f ca="1">IFERROR(__xludf.DUMMYFUNCTION("""COMPUTED_VALUE"""),76)</f>
        <v>76</v>
      </c>
      <c r="BM562" s="27"/>
      <c r="BN562" s="27"/>
      <c r="BO562" s="27" t="str">
        <f ca="1">IFERROR(__xludf.DUMMYFUNCTION("""COMPUTED_VALUE"""),"22.071-060")</f>
        <v>22.071-060</v>
      </c>
      <c r="BP562" s="27" t="str">
        <f ca="1">IFERROR(__xludf.DUMMYFUNCTION("""COMPUTED_VALUE"""),"RJ")</f>
        <v>RJ</v>
      </c>
      <c r="BQ562" s="27" t="str">
        <f ca="1">IFERROR(__xludf.DUMMYFUNCTION("""COMPUTED_VALUE"""),"Entre 1 até 3 salários mínimos")</f>
        <v>Entre 1 até 3 salários mínimos</v>
      </c>
      <c r="BR562" s="27" t="str">
        <f ca="1">IFERROR(__xludf.DUMMYFUNCTION("""COMPUTED_VALUE"""),"CLT")</f>
        <v>CLT</v>
      </c>
      <c r="BS562" s="27" t="str">
        <f ca="1">IFERROR(__xludf.DUMMYFUNCTION("""COMPUTED_VALUE"""),"Casa própria")</f>
        <v>Casa própria</v>
      </c>
      <c r="BT562" s="27">
        <f ca="1">IFERROR(__xludf.DUMMYFUNCTION("""COMPUTED_VALUE"""),1)</f>
        <v>1</v>
      </c>
      <c r="BU562" s="27" t="str">
        <f ca="1">IFERROR(__xludf.DUMMYFUNCTION("""COMPUTED_VALUE"""),"Não tem")</f>
        <v>Não tem</v>
      </c>
      <c r="BV562" s="27" t="str">
        <f ca="1">IFERROR(__xludf.DUMMYFUNCTION("""COMPUTED_VALUE"""),"Não")</f>
        <v>Não</v>
      </c>
      <c r="BW562" s="21" t="str">
        <f ca="1">IFERROR(__xludf.DUMMYFUNCTION("""COMPUTED_VALUE"""),"https://www.linkedin.com/mwlite/in/paula-mesquita-590468127")</f>
        <v>https://www.linkedin.com/mwlite/in/paula-mesquita-590468127</v>
      </c>
      <c r="BX562" s="21" t="str">
        <f ca="1">IFERROR(__xludf.DUMMYFUNCTION("""COMPUTED_VALUE"""),"https://www.instagram.com/paulagm13")</f>
        <v>https://www.instagram.com/paulagm13</v>
      </c>
      <c r="BY562" s="21" t="str">
        <f ca="1">IFERROR(__xludf.DUMMYFUNCTION("""COMPUTED_VALUE"""),"https://drive.google.com/open?id=1UrFqjGgwUVLe0NZwcn7bk43ZrG9UCae5")</f>
        <v>https://drive.google.com/open?id=1UrFqjGgwUVLe0NZwcn7bk43ZrG9UCae5</v>
      </c>
    </row>
    <row r="563" spans="1:77" ht="12.5" x14ac:dyDescent="0.25">
      <c r="A563" s="21" t="str">
        <f ca="1">IFERROR(__xludf.DUMMYFUNCTION("""COMPUTED_VALUE"""),"0014X00002VKCrQQAX")</f>
        <v>0014X00002VKCrQQAX</v>
      </c>
      <c r="B563" s="27" t="str">
        <f ca="1">IFERROR(__xludf.DUMMYFUNCTION("""COMPUTED_VALUE"""),"Fase Inicial")</f>
        <v>Fase Inicial</v>
      </c>
      <c r="C563" s="27" t="str">
        <f ca="1">IFERROR(__xludf.DUMMYFUNCTION("""COMPUTED_VALUE"""),"Fellow")</f>
        <v>Fellow</v>
      </c>
      <c r="D563" s="27" t="str">
        <f ca="1">IFERROR(__xludf.DUMMYFUNCTION("""COMPUTED_VALUE"""),"Ativo")</f>
        <v>Ativo</v>
      </c>
      <c r="E563" s="27" t="str">
        <f ca="1">IFERROR(__xludf.DUMMYFUNCTION("""COMPUTED_VALUE"""),"Reintegra Recife")</f>
        <v>Reintegra Recife</v>
      </c>
      <c r="F563" s="27" t="str">
        <f ca="1">IFERROR(__xludf.DUMMYFUNCTION("""COMPUTED_VALUE"""),"CARLOS")</f>
        <v>CARLOS</v>
      </c>
      <c r="G563" s="27" t="str">
        <f ca="1">IFERROR(__xludf.DUMMYFUNCTION("""COMPUTED_VALUE"""),"REINTEGRA RECIFE")</f>
        <v>REINTEGRA RECIFE</v>
      </c>
      <c r="H563" s="27"/>
      <c r="I563" s="27" t="str">
        <f ca="1">IFERROR(__xludf.DUMMYFUNCTION("""COMPUTED_VALUE"""),"Gustavo do Vale")</f>
        <v>Gustavo do Vale</v>
      </c>
      <c r="J563" s="27" t="str">
        <f ca="1">IFERROR(__xludf.DUMMYFUNCTION("""COMPUTED_VALUE"""),"reintegra.rec@gmail.com")</f>
        <v>reintegra.rec@gmail.com</v>
      </c>
      <c r="K563" s="27" t="str">
        <f ca="1">IFERROR(__xludf.DUMMYFUNCTION("""COMPUTED_VALUE"""),"(81)99999-0632")</f>
        <v>(81)99999-0632</v>
      </c>
      <c r="L563" s="27" t="str">
        <f ca="1">IFERROR(__xludf.DUMMYFUNCTION("""COMPUTED_VALUE"""),"PE")</f>
        <v>PE</v>
      </c>
      <c r="M563" s="27" t="str">
        <f ca="1">IFERROR(__xludf.DUMMYFUNCTION("""COMPUTED_VALUE"""),"Maria carolina")</f>
        <v>Maria carolina</v>
      </c>
      <c r="N563" s="27">
        <f ca="1">IFERROR(__xludf.DUMMYFUNCTION("""COMPUTED_VALUE"""),816)</f>
        <v>816</v>
      </c>
      <c r="O563" s="27">
        <f ca="1">IFERROR(__xludf.DUMMYFUNCTION("""COMPUTED_VALUE"""),816)</f>
        <v>816</v>
      </c>
      <c r="P563" s="27" t="str">
        <f ca="1">IFERROR(__xludf.DUMMYFUNCTION("""COMPUTED_VALUE"""),"Recife")</f>
        <v>Recife</v>
      </c>
      <c r="Q563" s="27">
        <f ca="1">IFERROR(__xludf.DUMMYFUNCTION("""COMPUTED_VALUE"""),1202)</f>
        <v>1202</v>
      </c>
      <c r="R563" s="27" t="str">
        <f ca="1">IFERROR(__xludf.DUMMYFUNCTION("""COMPUTED_VALUE"""),"51020-220")</f>
        <v>51020-220</v>
      </c>
      <c r="S563" s="27" t="str">
        <f ca="1">IFERROR(__xludf.DUMMYFUNCTION("""COMPUTED_VALUE"""),"Nas Ruas da cidade")</f>
        <v>Nas Ruas da cidade</v>
      </c>
      <c r="T563" s="27" t="str">
        <f ca="1">IFERROR(__xludf.DUMMYFUNCTION("""COMPUTED_VALUE"""),"Qualificação Profissional")</f>
        <v>Qualificação Profissional</v>
      </c>
      <c r="U563" s="27" t="str">
        <f ca="1">IFERROR(__xludf.DUMMYFUNCTION("""COMPUTED_VALUE"""),"Adultos")</f>
        <v>Adultos</v>
      </c>
      <c r="V563" s="27" t="str">
        <f ca="1">IFERROR(__xludf.DUMMYFUNCTION("""COMPUTED_VALUE"""),"Pessoas em situação de rua")</f>
        <v>Pessoas em situação de rua</v>
      </c>
      <c r="W563" s="27">
        <f ca="1">IFERROR(__xludf.DUMMYFUNCTION("""COMPUTED_VALUE"""),300)</f>
        <v>300</v>
      </c>
      <c r="X563" s="27"/>
      <c r="Y563" s="27"/>
      <c r="Z563" s="27">
        <f ca="1">IFERROR(__xludf.DUMMYFUNCTION("""COMPUTED_VALUE"""),8)</f>
        <v>8</v>
      </c>
      <c r="AA563" s="29">
        <f ca="1">IFERROR(__xludf.DUMMYFUNCTION("""COMPUTED_VALUE"""),44043)</f>
        <v>44043</v>
      </c>
      <c r="AB563" s="27" t="str">
        <f ca="1">IFERROR(__xludf.DUMMYFUNCTION("""COMPUTED_VALUE"""),"Não")</f>
        <v>Não</v>
      </c>
      <c r="AC563" s="27">
        <f ca="1">IFERROR(__xludf.DUMMYFUNCTION("""COMPUTED_VALUE"""),0)</f>
        <v>0</v>
      </c>
      <c r="AD563" s="27">
        <f ca="1">IFERROR(__xludf.DUMMYFUNCTION("""COMPUTED_VALUE"""),0)</f>
        <v>0</v>
      </c>
      <c r="AE563" s="27">
        <f ca="1">IFERROR(__xludf.DUMMYFUNCTION("""COMPUTED_VALUE"""),30)</f>
        <v>30</v>
      </c>
      <c r="AF563" s="27">
        <f ca="1">IFERROR(__xludf.DUMMYFUNCTION("""COMPUTED_VALUE"""),30)</f>
        <v>30</v>
      </c>
      <c r="AG563" s="27">
        <f ca="1">IFERROR(__xludf.DUMMYFUNCTION("""COMPUTED_VALUE"""),2)</f>
        <v>2</v>
      </c>
      <c r="AH563" s="27" t="str">
        <f ca="1">IFERROR(__xludf.DUMMYFUNCTION("""COMPUTED_VALUE"""),"Doações")</f>
        <v>Doações</v>
      </c>
      <c r="AI563" s="27">
        <f ca="1">IFERROR(__xludf.DUMMYFUNCTION("""COMPUTED_VALUE"""),2)</f>
        <v>2</v>
      </c>
      <c r="AJ563" s="27" t="str">
        <f ca="1">IFERROR(__xludf.DUMMYFUNCTION("""COMPUTED_VALUE"""),"Não")</f>
        <v>Não</v>
      </c>
      <c r="AK563" s="27"/>
      <c r="AL563" s="21" t="str">
        <f ca="1">IFERROR(__xludf.DUMMYFUNCTION("""COMPUTED_VALUE"""),"0034X0000380O4d")</f>
        <v>0034X0000380O4d</v>
      </c>
      <c r="AM563" s="27" t="str">
        <f ca="1">IFERROR(__xludf.DUMMYFUNCTION("""COMPUTED_VALUE"""),"Gustavo do vale santos")</f>
        <v>Gustavo do vale santos</v>
      </c>
      <c r="AN563" s="27" t="str">
        <f ca="1">IFERROR(__xludf.DUMMYFUNCTION("""COMPUTED_VALUE"""),"Ativo")</f>
        <v>Ativo</v>
      </c>
      <c r="AO563" s="29">
        <f ca="1">IFERROR(__xludf.DUMMYFUNCTION("""COMPUTED_VALUE"""),44763)</f>
        <v>44763</v>
      </c>
      <c r="AP563" s="27">
        <f ca="1">IFERROR(__xludf.DUMMYFUNCTION("""COMPUTED_VALUE"""),2)</f>
        <v>2</v>
      </c>
      <c r="AQ563" s="27" t="str">
        <f ca="1">IFERROR(__xludf.DUMMYFUNCTION("""COMPUTED_VALUE"""),"Primeiro Semestre 2022")</f>
        <v>Primeiro Semestre 2022</v>
      </c>
      <c r="AR563" s="27" t="str">
        <f ca="1">IFERROR(__xludf.DUMMYFUNCTION("""COMPUTED_VALUE"""),"do.vale@yahoo.com.br")</f>
        <v>do.vale@yahoo.com.br</v>
      </c>
      <c r="AS563" s="27" t="str">
        <f ca="1">IFERROR(__xludf.DUMMYFUNCTION("""COMPUTED_VALUE"""),"(81)99999-0632")</f>
        <v>(81)99999-0632</v>
      </c>
      <c r="AT563" s="29">
        <f ca="1">IFERROR(__xludf.DUMMYFUNCTION("""COMPUTED_VALUE"""),31022)</f>
        <v>31022</v>
      </c>
      <c r="AU563" s="27">
        <f ca="1">IFERROR(__xludf.DUMMYFUNCTION("""COMPUTED_VALUE"""),38)</f>
        <v>38</v>
      </c>
      <c r="AV563" s="27">
        <f ca="1">IFERROR(__xludf.DUMMYFUNCTION("""COMPUTED_VALUE"""),5286779425)</f>
        <v>5286779425</v>
      </c>
      <c r="AW563" s="27">
        <f ca="1">IFERROR(__xludf.DUMMYFUNCTION("""COMPUTED_VALUE"""),6366352)</f>
        <v>6366352</v>
      </c>
      <c r="AX563" s="27"/>
      <c r="AY563" s="27" t="str">
        <f ca="1">IFERROR(__xludf.DUMMYFUNCTION("""COMPUTED_VALUE"""),"Fundador")</f>
        <v>Fundador</v>
      </c>
      <c r="AZ563" s="27" t="str">
        <f ca="1">IFERROR(__xludf.DUMMYFUNCTION("""COMPUTED_VALUE"""),"G")</f>
        <v>G</v>
      </c>
      <c r="BA563" s="27" t="str">
        <f ca="1">IFERROR(__xludf.DUMMYFUNCTION("""COMPUTED_VALUE"""),"Branca")</f>
        <v>Branca</v>
      </c>
      <c r="BB563" s="27"/>
      <c r="BC563" s="27"/>
      <c r="BD563" s="27" t="str">
        <f ca="1">IFERROR(__xludf.DUMMYFUNCTION("""COMPUTED_VALUE"""),"Gustavo do Vale, 37 anos, administrador de empresas e fundador do Reintegra.")</f>
        <v>Gustavo do Vale, 37 anos, administrador de empresas e fundador do Reintegra.</v>
      </c>
      <c r="BE563" s="27" t="str">
        <f ca="1">IFERROR(__xludf.DUMMYFUNCTION("""COMPUTED_VALUE"""),"Homem, cisgênero")</f>
        <v>Homem, cisgênero</v>
      </c>
      <c r="BF563" s="27" t="str">
        <f ca="1">IFERROR(__xludf.DUMMYFUNCTION("""COMPUTED_VALUE"""),"Heterossexual")</f>
        <v>Heterossexual</v>
      </c>
      <c r="BG563" s="27" t="str">
        <f ca="1">IFERROR(__xludf.DUMMYFUNCTION("""COMPUTED_VALUE"""),"Ensino Superior - Completo")</f>
        <v>Ensino Superior - Completo</v>
      </c>
      <c r="BH563" s="27" t="str">
        <f ca="1">IFERROR(__xludf.DUMMYFUNCTION("""COMPUTED_VALUE"""),"Privado")</f>
        <v>Privado</v>
      </c>
      <c r="BI563" s="27" t="str">
        <f ca="1">IFERROR(__xludf.DUMMYFUNCTION("""COMPUTED_VALUE"""),"Pós-Graduação")</f>
        <v>Pós-Graduação</v>
      </c>
      <c r="BJ563" s="27" t="str">
        <f ca="1">IFERROR(__xludf.DUMMYFUNCTION("""COMPUTED_VALUE"""),"Privado")</f>
        <v>Privado</v>
      </c>
      <c r="BK563" s="27" t="str">
        <f ca="1">IFERROR(__xludf.DUMMYFUNCTION("""COMPUTED_VALUE"""),"Maria Carolina")</f>
        <v>Maria Carolina</v>
      </c>
      <c r="BL563" s="27">
        <f ca="1">IFERROR(__xludf.DUMMYFUNCTION("""COMPUTED_VALUE"""),816)</f>
        <v>816</v>
      </c>
      <c r="BM563" s="27">
        <f ca="1">IFERROR(__xludf.DUMMYFUNCTION("""COMPUTED_VALUE"""),1202)</f>
        <v>1202</v>
      </c>
      <c r="BN563" s="27" t="str">
        <f ca="1">IFERROR(__xludf.DUMMYFUNCTION("""COMPUTED_VALUE"""),"Recife")</f>
        <v>Recife</v>
      </c>
      <c r="BO563" s="27" t="str">
        <f ca="1">IFERROR(__xludf.DUMMYFUNCTION("""COMPUTED_VALUE"""),"51020-220")</f>
        <v>51020-220</v>
      </c>
      <c r="BP563" s="27" t="str">
        <f ca="1">IFERROR(__xludf.DUMMYFUNCTION("""COMPUTED_VALUE"""),"PE")</f>
        <v>PE</v>
      </c>
      <c r="BQ563" s="27" t="str">
        <f ca="1">IFERROR(__xludf.DUMMYFUNCTION("""COMPUTED_VALUE"""),"Acima de 5 salários mínimos")</f>
        <v>Acima de 5 salários mínimos</v>
      </c>
      <c r="BR563" s="27" t="str">
        <f ca="1">IFERROR(__xludf.DUMMYFUNCTION("""COMPUTED_VALUE"""),"CLT")</f>
        <v>CLT</v>
      </c>
      <c r="BS563" s="27" t="str">
        <f ca="1">IFERROR(__xludf.DUMMYFUNCTION("""COMPUTED_VALUE"""),"Aluguel")</f>
        <v>Aluguel</v>
      </c>
      <c r="BT563" s="27">
        <f ca="1">IFERROR(__xludf.DUMMYFUNCTION("""COMPUTED_VALUE"""),1)</f>
        <v>1</v>
      </c>
      <c r="BU563" s="27" t="str">
        <f ca="1">IFERROR(__xludf.DUMMYFUNCTION("""COMPUTED_VALUE"""),"Não tem")</f>
        <v>Não tem</v>
      </c>
      <c r="BV563" s="27" t="str">
        <f ca="1">IFERROR(__xludf.DUMMYFUNCTION("""COMPUTED_VALUE"""),"Não")</f>
        <v>Não</v>
      </c>
      <c r="BW563" s="21" t="str">
        <f ca="1">IFERROR(__xludf.DUMMYFUNCTION("""COMPUTED_VALUE"""),"https://www.linkedin.com/in/gustavo-do-vale-68460148")</f>
        <v>https://www.linkedin.com/in/gustavo-do-vale-68460148</v>
      </c>
      <c r="BX563" s="21" t="str">
        <f ca="1">IFERROR(__xludf.DUMMYFUNCTION("""COMPUTED_VALUE"""),"https://instagram.com/dovalinhoguga?igshid=YmMyMTA2M2Y=")</f>
        <v>https://instagram.com/dovalinhoguga?igshid=YmMyMTA2M2Y=</v>
      </c>
      <c r="BY563" s="21" t="str">
        <f ca="1">IFERROR(__xludf.DUMMYFUNCTION("""COMPUTED_VALUE"""),"https://drive.google.com/open?id=18QyWMyBso5nKdaxJbjilalMMEEzZOq5C")</f>
        <v>https://drive.google.com/open?id=18QyWMyBso5nKdaxJbjilalMMEEzZOq5C</v>
      </c>
    </row>
    <row r="564" spans="1:77" ht="12.5" x14ac:dyDescent="0.25">
      <c r="A564" s="21" t="str">
        <f ca="1">IFERROR(__xludf.DUMMYFUNCTION("""COMPUTED_VALUE"""),"0014P00003SGWQHQA5")</f>
        <v>0014P00003SGWQHQA5</v>
      </c>
      <c r="B564" s="27" t="str">
        <f ca="1">IFERROR(__xludf.DUMMYFUNCTION("""COMPUTED_VALUE"""),"Fase Inicial")</f>
        <v>Fase Inicial</v>
      </c>
      <c r="C564" s="27" t="str">
        <f ca="1">IFERROR(__xludf.DUMMYFUNCTION("""COMPUTED_VALUE"""),"Fellow")</f>
        <v>Fellow</v>
      </c>
      <c r="D564" s="27" t="str">
        <f ca="1">IFERROR(__xludf.DUMMYFUNCTION("""COMPUTED_VALUE"""),"Ativo")</f>
        <v>Ativo</v>
      </c>
      <c r="E564" s="27" t="str">
        <f ca="1">IFERROR(__xludf.DUMMYFUNCTION("""COMPUTED_VALUE"""),"RESILIENTE SLUM")</f>
        <v>RESILIENTE SLUM</v>
      </c>
      <c r="F564" s="27" t="str">
        <f ca="1">IFERROR(__xludf.DUMMYFUNCTION("""COMPUTED_VALUE"""),"Fabio")</f>
        <v>Fabio</v>
      </c>
      <c r="G564" s="27" t="str">
        <f ca="1">IFERROR(__xludf.DUMMYFUNCTION("""COMPUTED_VALUE"""),"SLUM")</f>
        <v>SLUM</v>
      </c>
      <c r="H564" s="27" t="str">
        <f ca="1">IFERROR(__xludf.DUMMYFUNCTION("""COMPUTED_VALUE"""),"34.680.777/0001-57")</f>
        <v>34.680.777/0001-57</v>
      </c>
      <c r="I564" s="27" t="str">
        <f ca="1">IFERROR(__xludf.DUMMYFUNCTION("""COMPUTED_VALUE"""),"Fabio Anacleto")</f>
        <v>Fabio Anacleto</v>
      </c>
      <c r="J564" s="27" t="str">
        <f ca="1">IFERROR(__xludf.DUMMYFUNCTION("""COMPUTED_VALUE"""),"fabioanacleto1990@gmail.com")</f>
        <v>fabioanacleto1990@gmail.com</v>
      </c>
      <c r="K564" s="27" t="str">
        <f ca="1">IFERROR(__xludf.DUMMYFUNCTION("""COMPUTED_VALUE"""),"(31)98657-5234")</f>
        <v>(31)98657-5234</v>
      </c>
      <c r="L564" s="27" t="str">
        <f ca="1">IFERROR(__xludf.DUMMYFUNCTION("""COMPUTED_VALUE"""),"MG")</f>
        <v>MG</v>
      </c>
      <c r="M564" s="27" t="str">
        <f ca="1">IFERROR(__xludf.DUMMYFUNCTION("""COMPUTED_VALUE"""),"Rua Nicolina de Lima")</f>
        <v>Rua Nicolina de Lima</v>
      </c>
      <c r="N564" s="27" t="str">
        <f ca="1">IFERROR(__xludf.DUMMYFUNCTION("""COMPUTED_VALUE"""),"Havai")</f>
        <v>Havai</v>
      </c>
      <c r="O564" s="27" t="str">
        <f ca="1">IFERROR(__xludf.DUMMYFUNCTION("""COMPUTED_VALUE"""),"(31)98657-5234")</f>
        <v>(31)98657-5234</v>
      </c>
      <c r="P564" s="27" t="str">
        <f ca="1">IFERROR(__xludf.DUMMYFUNCTION("""COMPUTED_VALUE"""),"Belo Horizonte")</f>
        <v>Belo Horizonte</v>
      </c>
      <c r="Q564" s="27"/>
      <c r="R564" s="27" t="str">
        <f ca="1">IFERROR(__xludf.DUMMYFUNCTION("""COMPUTED_VALUE"""),"30490-290")</f>
        <v>30490-290</v>
      </c>
      <c r="S564" s="27"/>
      <c r="T564" s="27" t="str">
        <f ca="1">IFERROR(__xludf.DUMMYFUNCTION("""COMPUTED_VALUE"""),"Esporte; Educação; Empregabilidade; Assistência Social; Qualificação Profissional; Empreendedorismo; Empoderamento Feminino; Comunicação; Desenvolvimento comunitário")</f>
        <v>Esporte; Educação; Empregabilidade; Assistência Social; Qualificação Profissional; Empreendedorismo; Empoderamento Feminino; Comunicação; Desenvolvimento comunitário</v>
      </c>
      <c r="U564" s="27" t="str">
        <f ca="1">IFERROR(__xludf.DUMMYFUNCTION("""COMPUTED_VALUE"""),"Adolescentes (12 aos 18 anos); Jovens (18 aos 24 anos)")</f>
        <v>Adolescentes (12 aos 18 anos); Jovens (18 aos 24 anos)</v>
      </c>
      <c r="V564" s="27" t="str">
        <f ca="1">IFERROR(__xludf.DUMMYFUNCTION("""COMPUTED_VALUE"""),"Moradores de Favelas; Afrodescendentes; Egressos sistema carcerário")</f>
        <v>Moradores de Favelas; Afrodescendentes; Egressos sistema carcerário</v>
      </c>
      <c r="W564" s="27">
        <f ca="1">IFERROR(__xludf.DUMMYFUNCTION("""COMPUTED_VALUE"""),1)</f>
        <v>1</v>
      </c>
      <c r="X564" s="27"/>
      <c r="Y564" s="27">
        <f ca="1">IFERROR(__xludf.DUMMYFUNCTION("""COMPUTED_VALUE"""),144)</f>
        <v>144</v>
      </c>
      <c r="Z564" s="27">
        <f ca="1">IFERROR(__xludf.DUMMYFUNCTION("""COMPUTED_VALUE"""),360)</f>
        <v>360</v>
      </c>
      <c r="AA564" s="30">
        <f ca="1">IFERROR(__xludf.DUMMYFUNCTION("""COMPUTED_VALUE"""),43416)</f>
        <v>43416</v>
      </c>
      <c r="AB564" s="27" t="str">
        <f ca="1">IFERROR(__xludf.DUMMYFUNCTION("""COMPUTED_VALUE"""),"Não")</f>
        <v>Não</v>
      </c>
      <c r="AC564" s="27">
        <f ca="1">IFERROR(__xludf.DUMMYFUNCTION("""COMPUTED_VALUE"""),0)</f>
        <v>0</v>
      </c>
      <c r="AD564" s="27">
        <f ca="1">IFERROR(__xludf.DUMMYFUNCTION("""COMPUTED_VALUE"""),0)</f>
        <v>0</v>
      </c>
      <c r="AE564" s="27">
        <f ca="1">IFERROR(__xludf.DUMMYFUNCTION("""COMPUTED_VALUE"""),15)</f>
        <v>15</v>
      </c>
      <c r="AF564" s="27">
        <f ca="1">IFERROR(__xludf.DUMMYFUNCTION("""COMPUTED_VALUE"""),15)</f>
        <v>15</v>
      </c>
      <c r="AG564" s="27">
        <f ca="1">IFERROR(__xludf.DUMMYFUNCTION("""COMPUTED_VALUE"""),0)</f>
        <v>0</v>
      </c>
      <c r="AH564" s="27" t="str">
        <f ca="1">IFERROR(__xludf.DUMMYFUNCTION("""COMPUTED_VALUE"""),"Eventos/Ações para captação; Outro(s); Doações; Recursos próprios")</f>
        <v>Eventos/Ações para captação; Outro(s); Doações; Recursos próprios</v>
      </c>
      <c r="AI564" s="27" t="str">
        <f ca="1">IFERROR(__xludf.DUMMYFUNCTION("""COMPUTED_VALUE"""),"20% eventos 80% Rede de amigos que doam")</f>
        <v>20% eventos 80% Rede de amigos que doam</v>
      </c>
      <c r="AJ564" s="27" t="str">
        <f ca="1">IFERROR(__xludf.DUMMYFUNCTION("""COMPUTED_VALUE"""),"Não")</f>
        <v>Não</v>
      </c>
      <c r="AK564" s="27" t="str">
        <f ca="1">IFERROR(__xludf.DUMMYFUNCTION("""COMPUTED_VALUE"""),"Não")</f>
        <v>Não</v>
      </c>
      <c r="AL564" s="21" t="str">
        <f ca="1">IFERROR(__xludf.DUMMYFUNCTION("""COMPUTED_VALUE"""),"0034P000043fOoH")</f>
        <v>0034P000043fOoH</v>
      </c>
      <c r="AM564" s="27" t="str">
        <f ca="1">IFERROR(__xludf.DUMMYFUNCTION("""COMPUTED_VALUE"""),"Anacleto")</f>
        <v>Anacleto</v>
      </c>
      <c r="AN564" s="27" t="str">
        <f ca="1">IFERROR(__xludf.DUMMYFUNCTION("""COMPUTED_VALUE"""),"Ativo")</f>
        <v>Ativo</v>
      </c>
      <c r="AO564" s="29">
        <f ca="1">IFERROR(__xludf.DUMMYFUNCTION("""COMPUTED_VALUE"""),44432)</f>
        <v>44432</v>
      </c>
      <c r="AP564" s="27">
        <f ca="1">IFERROR(__xludf.DUMMYFUNCTION("""COMPUTED_VALUE"""),13)</f>
        <v>13</v>
      </c>
      <c r="AQ564" s="27" t="str">
        <f ca="1">IFERROR(__xludf.DUMMYFUNCTION("""COMPUTED_VALUE"""),"Primeiro Semestre 2021")</f>
        <v>Primeiro Semestre 2021</v>
      </c>
      <c r="AR564" s="27" t="str">
        <f ca="1">IFERROR(__xludf.DUMMYFUNCTION("""COMPUTED_VALUE"""),"fabioanacleto1990@gmail.com")</f>
        <v>fabioanacleto1990@gmail.com</v>
      </c>
      <c r="AS564" s="27" t="str">
        <f ca="1">IFERROR(__xludf.DUMMYFUNCTION("""COMPUTED_VALUE"""),"(31)98657-5234")</f>
        <v>(31)98657-5234</v>
      </c>
      <c r="AT564" s="29">
        <f ca="1">IFERROR(__xludf.DUMMYFUNCTION("""COMPUTED_VALUE"""),33085)</f>
        <v>33085</v>
      </c>
      <c r="AU564" s="27">
        <f ca="1">IFERROR(__xludf.DUMMYFUNCTION("""COMPUTED_VALUE"""),32)</f>
        <v>32</v>
      </c>
      <c r="AV564" s="27">
        <f ca="1">IFERROR(__xludf.DUMMYFUNCTION("""COMPUTED_VALUE"""),10058194673)</f>
        <v>10058194673</v>
      </c>
      <c r="AW564" s="27">
        <f ca="1">IFERROR(__xludf.DUMMYFUNCTION("""COMPUTED_VALUE"""),16627411)</f>
        <v>16627411</v>
      </c>
      <c r="AX564" s="27" t="str">
        <f ca="1">IFERROR(__xludf.DUMMYFUNCTION("""COMPUTED_VALUE"""),"Serviço Social")</f>
        <v>Serviço Social</v>
      </c>
      <c r="AY564" s="27"/>
      <c r="AZ564" s="27" t="str">
        <f ca="1">IFERROR(__xludf.DUMMYFUNCTION("""COMPUTED_VALUE"""),"M")</f>
        <v>M</v>
      </c>
      <c r="BA564" s="27" t="str">
        <f ca="1">IFERROR(__xludf.DUMMYFUNCTION("""COMPUTED_VALUE"""),"Parda")</f>
        <v>Parda</v>
      </c>
      <c r="BB564" s="27"/>
      <c r="BC564" s="27" t="str">
        <f ca="1">IFERROR(__xludf.DUMMYFUNCTION("""COMPUTED_VALUE"""),"Sim")</f>
        <v>Sim</v>
      </c>
      <c r="BD564" s="27" t="str">
        <f ca="1">IFERROR(__xludf.DUMMYFUNCTION("""COMPUTED_VALUE"""),"Meu nome é Fabio Anacleto, sou morador da Vila Ventosa, região oeste de Belo Horizonte - MG e amo atuar no social.
No decorrer dos anos, surgirão situações que exigiram que eu agisse com equilíbrio, empatia, determinação, força e muita resiliência.  
Não "&amp;"é fácil ser um jovem negro no Brasil mas acredito que é possível viver uma vida diferente daquela que a sociedade vê para um jovem periférico. 
Eu escolhi ser a diferença e quero que outros jovens sejam essa diferença também.")</f>
        <v>Meu nome é Fabio Anacleto, sou morador da Vila Ventosa, região oeste de Belo Horizonte - MG e amo atuar no social.
No decorrer dos anos, surgirão situações que exigiram que eu agisse com equilíbrio, empatia, determinação, força e muita resiliência.  
Não é fácil ser um jovem negro no Brasil mas acredito que é possível viver uma vida diferente daquela que a sociedade vê para um jovem periférico. 
Eu escolhi ser a diferença e quero que outros jovens sejam essa diferença também.</v>
      </c>
      <c r="BE564" s="27" t="str">
        <f ca="1">IFERROR(__xludf.DUMMYFUNCTION("""COMPUTED_VALUE"""),"Feminino")</f>
        <v>Feminino</v>
      </c>
      <c r="BF564" s="27" t="str">
        <f ca="1">IFERROR(__xludf.DUMMYFUNCTION("""COMPUTED_VALUE"""),"Heterossexual")</f>
        <v>Heterossexual</v>
      </c>
      <c r="BG564" s="27" t="str">
        <f ca="1">IFERROR(__xludf.DUMMYFUNCTION("""COMPUTED_VALUE"""),"Ensino Superior - Incompleto")</f>
        <v>Ensino Superior - Incompleto</v>
      </c>
      <c r="BH564" s="27"/>
      <c r="BI564" s="27" t="str">
        <f ca="1">IFERROR(__xludf.DUMMYFUNCTION("""COMPUTED_VALUE"""),"Graduação")</f>
        <v>Graduação</v>
      </c>
      <c r="BJ564" s="27" t="str">
        <f ca="1">IFERROR(__xludf.DUMMYFUNCTION("""COMPUTED_VALUE"""),"Privado")</f>
        <v>Privado</v>
      </c>
      <c r="BK564" s="27" t="str">
        <f ca="1">IFERROR(__xludf.DUMMYFUNCTION("""COMPUTED_VALUE"""),"Rua do Campo Beco da Pituca")</f>
        <v>Rua do Campo Beco da Pituca</v>
      </c>
      <c r="BL564" s="27">
        <f ca="1">IFERROR(__xludf.DUMMYFUNCTION("""COMPUTED_VALUE"""),77)</f>
        <v>77</v>
      </c>
      <c r="BM564" s="27" t="str">
        <f ca="1">IFERROR(__xludf.DUMMYFUNCTION("""COMPUTED_VALUE"""),"Casa")</f>
        <v>Casa</v>
      </c>
      <c r="BN564" s="27" t="str">
        <f ca="1">IFERROR(__xludf.DUMMYFUNCTION("""COMPUTED_VALUE"""),"Belo Horizonte")</f>
        <v>Belo Horizonte</v>
      </c>
      <c r="BO564" s="27" t="str">
        <f ca="1">IFERROR(__xludf.DUMMYFUNCTION("""COMPUTED_VALUE"""),"30421-657")</f>
        <v>30421-657</v>
      </c>
      <c r="BP564" s="27" t="str">
        <f ca="1">IFERROR(__xludf.DUMMYFUNCTION("""COMPUTED_VALUE"""),"MG")</f>
        <v>MG</v>
      </c>
      <c r="BQ564" s="27" t="str">
        <f ca="1">IFERROR(__xludf.DUMMYFUNCTION("""COMPUTED_VALUE"""),"Entre 1 até 3 salários mínimos")</f>
        <v>Entre 1 até 3 salários mínimos</v>
      </c>
      <c r="BR564" s="27" t="str">
        <f ca="1">IFERROR(__xludf.DUMMYFUNCTION("""COMPUTED_VALUE"""),"CLT")</f>
        <v>CLT</v>
      </c>
      <c r="BS564" s="27" t="str">
        <f ca="1">IFERROR(__xludf.DUMMYFUNCTION("""COMPUTED_VALUE"""),"Casa própria")</f>
        <v>Casa própria</v>
      </c>
      <c r="BT564" s="27">
        <f ca="1">IFERROR(__xludf.DUMMYFUNCTION("""COMPUTED_VALUE"""),6)</f>
        <v>6</v>
      </c>
      <c r="BU564" s="27"/>
      <c r="BV564" s="27"/>
      <c r="BW564" s="21" t="str">
        <f ca="1">IFERROR(__xludf.DUMMYFUNCTION("""COMPUTED_VALUE"""),"https://www.linkedin.com/feed/?trk=homepage-basic_google-one-tap-submit")</f>
        <v>https://www.linkedin.com/feed/?trk=homepage-basic_google-one-tap-submit</v>
      </c>
      <c r="BX564" s="21" t="str">
        <f ca="1">IFERROR(__xludf.DUMMYFUNCTION("""COMPUTED_VALUE"""),"https://instagram.com/fabiioanacleto?utm_medium=copy_link")</f>
        <v>https://instagram.com/fabiioanacleto?utm_medium=copy_link</v>
      </c>
      <c r="BY564" s="21" t="str">
        <f ca="1">IFERROR(__xludf.DUMMYFUNCTION("""COMPUTED_VALUE"""),"https://drive.google.com/open?id=18CsNI9jKYWszx6L-o82lHWzOq_VepQ_D")</f>
        <v>https://drive.google.com/open?id=18CsNI9jKYWszx6L-o82lHWzOq_VepQ_D</v>
      </c>
    </row>
    <row r="565" spans="1:77" ht="12.5" x14ac:dyDescent="0.25">
      <c r="A565" s="21" t="str">
        <f ca="1">IFERROR(__xludf.DUMMYFUNCTION("""COMPUTED_VALUE"""),"0014X00002VKCu7QAH")</f>
        <v>0014X00002VKCu7QAH</v>
      </c>
      <c r="B565" s="27" t="str">
        <f ca="1">IFERROR(__xludf.DUMMYFUNCTION("""COMPUTED_VALUE"""),"Fase Inicial")</f>
        <v>Fase Inicial</v>
      </c>
      <c r="C565" s="27" t="str">
        <f ca="1">IFERROR(__xludf.DUMMYFUNCTION("""COMPUTED_VALUE"""),"Fellow")</f>
        <v>Fellow</v>
      </c>
      <c r="D565" s="27" t="str">
        <f ca="1">IFERROR(__xludf.DUMMYFUNCTION("""COMPUTED_VALUE"""),"Ativo")</f>
        <v>Ativo</v>
      </c>
      <c r="E565" s="27" t="str">
        <f ca="1">IFERROR(__xludf.DUMMYFUNCTION("""COMPUTED_VALUE"""),"Return Projects")</f>
        <v>Return Projects</v>
      </c>
      <c r="F565" s="27" t="str">
        <f ca="1">IFERROR(__xludf.DUMMYFUNCTION("""COMPUTED_VALUE"""),"Matheus")</f>
        <v>Matheus</v>
      </c>
      <c r="G565" s="27" t="str">
        <f ca="1">IFERROR(__xludf.DUMMYFUNCTION("""COMPUTED_VALUE"""),"RETURN PROJECTS")</f>
        <v>RETURN PROJECTS</v>
      </c>
      <c r="H565" s="27" t="str">
        <f ca="1">IFERROR(__xludf.DUMMYFUNCTION("""COMPUTED_VALUE"""),"22.191.544/0001-10")</f>
        <v>22.191.544/0001-10</v>
      </c>
      <c r="I565" s="27" t="str">
        <f ca="1">IFERROR(__xludf.DUMMYFUNCTION("""COMPUTED_VALUE"""),"Cassio Tramontini")</f>
        <v>Cassio Tramontini</v>
      </c>
      <c r="J565" s="27" t="str">
        <f ca="1">IFERROR(__xludf.DUMMYFUNCTION("""COMPUTED_VALUE"""),"contato@returnprojects.com")</f>
        <v>contato@returnprojects.com</v>
      </c>
      <c r="K565" s="27" t="str">
        <f ca="1">IFERROR(__xludf.DUMMYFUNCTION("""COMPUTED_VALUE"""),"(51)98191-6748")</f>
        <v>(51)98191-6748</v>
      </c>
      <c r="L565" s="27" t="str">
        <f ca="1">IFERROR(__xludf.DUMMYFUNCTION("""COMPUTED_VALUE"""),"SC")</f>
        <v>SC</v>
      </c>
      <c r="M565" s="27" t="str">
        <f ca="1">IFERROR(__xludf.DUMMYFUNCTION("""COMPUTED_VALUE"""),"Rodovia Dr. Antônio Luiz Moura Gonzaga")</f>
        <v>Rodovia Dr. Antônio Luiz Moura Gonzaga</v>
      </c>
      <c r="N565" s="27" t="str">
        <f ca="1">IFERROR(__xludf.DUMMYFUNCTION("""COMPUTED_VALUE"""),"Rio Tavares")</f>
        <v>Rio Tavares</v>
      </c>
      <c r="O565" s="27">
        <f ca="1">IFERROR(__xludf.DUMMYFUNCTION("""COMPUTED_VALUE"""),3070)</f>
        <v>3070</v>
      </c>
      <c r="P565" s="27" t="str">
        <f ca="1">IFERROR(__xludf.DUMMYFUNCTION("""COMPUTED_VALUE"""),"Florianópolis")</f>
        <v>Florianópolis</v>
      </c>
      <c r="Q565" s="27" t="str">
        <f ca="1">IFERROR(__xludf.DUMMYFUNCTION("""COMPUTED_VALUE"""),"Coworking da Ilha")</f>
        <v>Coworking da Ilha</v>
      </c>
      <c r="R565" s="27" t="str">
        <f ca="1">IFERROR(__xludf.DUMMYFUNCTION("""COMPUTED_VALUE"""),"88048-301")</f>
        <v>88048-301</v>
      </c>
      <c r="S565" s="27"/>
      <c r="T565" s="27"/>
      <c r="U565" s="27" t="str">
        <f ca="1">IFERROR(__xludf.DUMMYFUNCTION("""COMPUTED_VALUE"""),"Crianças (6 a 12 anos), Adolescentes (12 aos 18 anos), Jovens (18 aos 24 anos)")</f>
        <v>Crianças (6 a 12 anos), Adolescentes (12 aos 18 anos), Jovens (18 aos 24 anos)</v>
      </c>
      <c r="V565" s="27" t="str">
        <f ca="1">IFERROR(__xludf.DUMMYFUNCTION("""COMPUTED_VALUE"""),"Moradores de Favelas, Comunidade rural")</f>
        <v>Moradores de Favelas, Comunidade rural</v>
      </c>
      <c r="W565" s="27">
        <f ca="1">IFERROR(__xludf.DUMMYFUNCTION("""COMPUTED_VALUE"""),7)</f>
        <v>7</v>
      </c>
      <c r="X565" s="27" t="str">
        <f ca="1">IFERROR(__xludf.DUMMYFUNCTION("""COMPUTED_VALUE"""),"Buscamos levar acesso a jovens e criança mas nossos projetos acabam levando acesso a toda comunidade* como pais* funcionarios…")</f>
        <v>Buscamos levar acesso a jovens e criança mas nossos projetos acabam levando acesso a toda comunidade* como pais* funcionarios…</v>
      </c>
      <c r="Y565" s="27"/>
      <c r="Z565" s="27">
        <f ca="1">IFERROR(__xludf.DUMMYFUNCTION("""COMPUTED_VALUE"""),850)</f>
        <v>850</v>
      </c>
      <c r="AA565" s="29">
        <f ca="1">IFERROR(__xludf.DUMMYFUNCTION("""COMPUTED_VALUE"""),42370)</f>
        <v>42370</v>
      </c>
      <c r="AB565" s="27" t="str">
        <f ca="1">IFERROR(__xludf.DUMMYFUNCTION("""COMPUTED_VALUE"""),"Sim")</f>
        <v>Sim</v>
      </c>
      <c r="AC565" s="27">
        <f ca="1">IFERROR(__xludf.DUMMYFUNCTION("""COMPUTED_VALUE"""),4)</f>
        <v>4</v>
      </c>
      <c r="AD565" s="27">
        <f ca="1">IFERROR(__xludf.DUMMYFUNCTION("""COMPUTED_VALUE"""),0)</f>
        <v>0</v>
      </c>
      <c r="AE565" s="27">
        <f ca="1">IFERROR(__xludf.DUMMYFUNCTION("""COMPUTED_VALUE"""),0)</f>
        <v>0</v>
      </c>
      <c r="AF565" s="27">
        <f ca="1">IFERROR(__xludf.DUMMYFUNCTION("""COMPUTED_VALUE"""),0)</f>
        <v>0</v>
      </c>
      <c r="AG565" s="27">
        <f ca="1">IFERROR(__xludf.DUMMYFUNCTION("""COMPUTED_VALUE"""),5)</f>
        <v>5</v>
      </c>
      <c r="AH565" s="27" t="str">
        <f ca="1">IFERROR(__xludf.DUMMYFUNCTION("""COMPUTED_VALUE"""),"Lei de Incentivo, Negócio Social, Parceria iniciativa privada, Editais, Lei Estadual da Cultura, Lei Federal do Esporte")</f>
        <v>Lei de Incentivo, Negócio Social, Parceria iniciativa privada, Editais, Lei Estadual da Cultura, Lei Federal do Esporte</v>
      </c>
      <c r="AI565" s="27" t="str">
        <f ca="1">IFERROR(__xludf.DUMMYFUNCTION("""COMPUTED_VALUE"""),"40% lei municipal da cultura 40% lei federal do esporte 20% negócio social")</f>
        <v>40% lei municipal da cultura 40% lei federal do esporte 20% negócio social</v>
      </c>
      <c r="AJ565" s="27" t="str">
        <f ca="1">IFERROR(__xludf.DUMMYFUNCTION("""COMPUTED_VALUE"""),"Não")</f>
        <v>Não</v>
      </c>
      <c r="AK565" s="27"/>
      <c r="AL565" s="21" t="str">
        <f ca="1">IFERROR(__xludf.DUMMYFUNCTION("""COMPUTED_VALUE"""),"0034X0000380O4D")</f>
        <v>0034X0000380O4D</v>
      </c>
      <c r="AM565" s="27" t="str">
        <f ca="1">IFERROR(__xludf.DUMMYFUNCTION("""COMPUTED_VALUE"""),"Daudt wunsch")</f>
        <v>Daudt wunsch</v>
      </c>
      <c r="AN565" s="27" t="str">
        <f ca="1">IFERROR(__xludf.DUMMYFUNCTION("""COMPUTED_VALUE"""),"Ativo")</f>
        <v>Ativo</v>
      </c>
      <c r="AO565" s="27"/>
      <c r="AP565" s="27"/>
      <c r="AQ565" s="27" t="str">
        <f ca="1">IFERROR(__xludf.DUMMYFUNCTION("""COMPUTED_VALUE"""),"Primeiro Semestre 2022")</f>
        <v>Primeiro Semestre 2022</v>
      </c>
      <c r="AR565" s="27" t="str">
        <f ca="1">IFERROR(__xludf.DUMMYFUNCTION("""COMPUTED_VALUE"""),"matheus@returnprojects.com")</f>
        <v>matheus@returnprojects.com</v>
      </c>
      <c r="AS565" s="27" t="str">
        <f ca="1">IFERROR(__xludf.DUMMYFUNCTION("""COMPUTED_VALUE"""),"(51)98191-6748")</f>
        <v>(51)98191-6748</v>
      </c>
      <c r="AT565" s="29">
        <f ca="1">IFERROR(__xludf.DUMMYFUNCTION("""COMPUTED_VALUE"""),33499)</f>
        <v>33499</v>
      </c>
      <c r="AU565" s="27">
        <f ca="1">IFERROR(__xludf.DUMMYFUNCTION("""COMPUTED_VALUE"""),31)</f>
        <v>31</v>
      </c>
      <c r="AV565" s="27">
        <f ca="1">IFERROR(__xludf.DUMMYFUNCTION("""COMPUTED_VALUE"""),694294055)</f>
        <v>694294055</v>
      </c>
      <c r="AW565" s="27">
        <f ca="1">IFERROR(__xludf.DUMMYFUNCTION("""COMPUTED_VALUE"""),1078201082)</f>
        <v>1078201082</v>
      </c>
      <c r="AX565" s="27"/>
      <c r="AY565" s="27" t="str">
        <f ca="1">IFERROR(__xludf.DUMMYFUNCTION("""COMPUTED_VALUE"""),"Líder de projetos")</f>
        <v>Líder de projetos</v>
      </c>
      <c r="AZ565" s="27" t="str">
        <f ca="1">IFERROR(__xludf.DUMMYFUNCTION("""COMPUTED_VALUE"""),"GG")</f>
        <v>GG</v>
      </c>
      <c r="BA565" s="27" t="str">
        <f ca="1">IFERROR(__xludf.DUMMYFUNCTION("""COMPUTED_VALUE"""),"Branca")</f>
        <v>Branca</v>
      </c>
      <c r="BB565" s="27"/>
      <c r="BC565" s="27"/>
      <c r="BD565" s="27" t="str">
        <f ca="1">IFERROR(__xludf.DUMMYFUNCTION("""COMPUTED_VALUE"""),"Sou um apaixonado por conexões, entre pessoas, negócios e todas conexões que possam gerar transformações. Sou um curioso de mim mesmo e das coisas que acontecem fora de mim. Acredito muito no poder do acesso. Penso que poder gerar acesso é uma das maiores"&amp;" bençãos que foi me dado. Então dedico meu tempo atualmente buscando soluções para gerar acesso para crianças e jovens em situação de vulnerabilidade.")</f>
        <v>Sou um apaixonado por conexões, entre pessoas, negócios e todas conexões que possam gerar transformações. Sou um curioso de mim mesmo e das coisas que acontecem fora de mim. Acredito muito no poder do acesso. Penso que poder gerar acesso é uma das maiores bençãos que foi me dado. Então dedico meu tempo atualmente buscando soluções para gerar acesso para crianças e jovens em situação de vulnerabilidade.</v>
      </c>
      <c r="BE565" s="27" t="str">
        <f ca="1">IFERROR(__xludf.DUMMYFUNCTION("""COMPUTED_VALUE"""),"Homem, cisgênero")</f>
        <v>Homem, cisgênero</v>
      </c>
      <c r="BF565" s="27" t="str">
        <f ca="1">IFERROR(__xludf.DUMMYFUNCTION("""COMPUTED_VALUE"""),"Heterossexual")</f>
        <v>Heterossexual</v>
      </c>
      <c r="BG565" s="27" t="str">
        <f ca="1">IFERROR(__xludf.DUMMYFUNCTION("""COMPUTED_VALUE"""),"Ensino Superior - Completo")</f>
        <v>Ensino Superior - Completo</v>
      </c>
      <c r="BH565" s="27" t="str">
        <f ca="1">IFERROR(__xludf.DUMMYFUNCTION("""COMPUTED_VALUE"""),"Privado")</f>
        <v>Privado</v>
      </c>
      <c r="BI565" s="27" t="str">
        <f ca="1">IFERROR(__xludf.DUMMYFUNCTION("""COMPUTED_VALUE"""),"Pós-Graduação")</f>
        <v>Pós-Graduação</v>
      </c>
      <c r="BJ565" s="27" t="str">
        <f ca="1">IFERROR(__xludf.DUMMYFUNCTION("""COMPUTED_VALUE"""),"Privado")</f>
        <v>Privado</v>
      </c>
      <c r="BK565" s="27" t="str">
        <f ca="1">IFERROR(__xludf.DUMMYFUNCTION("""COMPUTED_VALUE"""),"Rod Dr Luiz Antonio Moura Gonzaga")</f>
        <v>Rod Dr Luiz Antonio Moura Gonzaga</v>
      </c>
      <c r="BL565" s="27">
        <f ca="1">IFERROR(__xludf.DUMMYFUNCTION("""COMPUTED_VALUE"""),2764)</f>
        <v>2764</v>
      </c>
      <c r="BM565" s="27" t="str">
        <f ca="1">IFERROR(__xludf.DUMMYFUNCTION("""COMPUTED_VALUE"""),"Casa 108")</f>
        <v>Casa 108</v>
      </c>
      <c r="BN565" s="27" t="str">
        <f ca="1">IFERROR(__xludf.DUMMYFUNCTION("""COMPUTED_VALUE"""),"Florianópolis")</f>
        <v>Florianópolis</v>
      </c>
      <c r="BO565" s="27" t="str">
        <f ca="1">IFERROR(__xludf.DUMMYFUNCTION("""COMPUTED_VALUE"""),"88048-301")</f>
        <v>88048-301</v>
      </c>
      <c r="BP565" s="27" t="str">
        <f ca="1">IFERROR(__xludf.DUMMYFUNCTION("""COMPUTED_VALUE"""),"SC")</f>
        <v>SC</v>
      </c>
      <c r="BQ565" s="27" t="str">
        <f ca="1">IFERROR(__xludf.DUMMYFUNCTION("""COMPUTED_VALUE"""),"Entre 1 até 3 salários mínimos")</f>
        <v>Entre 1 até 3 salários mínimos</v>
      </c>
      <c r="BR565" s="27" t="str">
        <f ca="1">IFERROR(__xludf.DUMMYFUNCTION("""COMPUTED_VALUE"""),"MEI")</f>
        <v>MEI</v>
      </c>
      <c r="BS565" s="27" t="str">
        <f ca="1">IFERROR(__xludf.DUMMYFUNCTION("""COMPUTED_VALUE"""),"Aluguel")</f>
        <v>Aluguel</v>
      </c>
      <c r="BT565" s="27">
        <f ca="1">IFERROR(__xludf.DUMMYFUNCTION("""COMPUTED_VALUE"""),0)</f>
        <v>0</v>
      </c>
      <c r="BU565" s="27" t="str">
        <f ca="1">IFERROR(__xludf.DUMMYFUNCTION("""COMPUTED_VALUE"""),"Não tem")</f>
        <v>Não tem</v>
      </c>
      <c r="BV565" s="27" t="str">
        <f ca="1">IFERROR(__xludf.DUMMYFUNCTION("""COMPUTED_VALUE"""),"Não")</f>
        <v>Não</v>
      </c>
      <c r="BW565" s="21" t="str">
        <f ca="1">IFERROR(__xludf.DUMMYFUNCTION("""COMPUTED_VALUE"""),"https://www.linkedin.com/in/matheus-daudt-14114349/")</f>
        <v>https://www.linkedin.com/in/matheus-daudt-14114349/</v>
      </c>
      <c r="BX565" s="21" t="str">
        <f ca="1">IFERROR(__xludf.DUMMYFUNCTION("""COMPUTED_VALUE"""),"instagram.com/daudtm")</f>
        <v>instagram.com/daudtm</v>
      </c>
      <c r="BY565" s="21" t="str">
        <f ca="1">IFERROR(__xludf.DUMMYFUNCTION("""COMPUTED_VALUE"""),"https://drive.google.com/open?id=1P8Eb0yUwwwtorf5hczvcG748-RM3B7Zl")</f>
        <v>https://drive.google.com/open?id=1P8Eb0yUwwwtorf5hczvcG748-RM3B7Zl</v>
      </c>
    </row>
    <row r="566" spans="1:77" ht="12.5" x14ac:dyDescent="0.25">
      <c r="A566" s="21" t="str">
        <f ca="1">IFERROR(__xludf.DUMMYFUNCTION("""COMPUTED_VALUE"""),"0014P00003YSp8bQAD")</f>
        <v>0014P00003YSp8bQAD</v>
      </c>
      <c r="B566" s="27" t="str">
        <f ca="1">IFERROR(__xludf.DUMMYFUNCTION("""COMPUTED_VALUE"""),"Fase Inicial")</f>
        <v>Fase Inicial</v>
      </c>
      <c r="C566" s="27" t="str">
        <f ca="1">IFERROR(__xludf.DUMMYFUNCTION("""COMPUTED_VALUE"""),"Fellow")</f>
        <v>Fellow</v>
      </c>
      <c r="D566" s="27" t="str">
        <f ca="1">IFERROR(__xludf.DUMMYFUNCTION("""COMPUTED_VALUE"""),"Ativo")</f>
        <v>Ativo</v>
      </c>
      <c r="E566" s="27" t="str">
        <f ca="1">IFERROR(__xludf.DUMMYFUNCTION("""COMPUTED_VALUE"""),"RONGO-RJ - Associação Região de Oficina Nacional de Grafite Organizado do Rio de Janeiro")</f>
        <v>RONGO-RJ - Associação Região de Oficina Nacional de Grafite Organizado do Rio de Janeiro</v>
      </c>
      <c r="F566" s="27" t="str">
        <f ca="1">IFERROR(__xludf.DUMMYFUNCTION("""COMPUTED_VALUE"""),"Carlos")</f>
        <v>Carlos</v>
      </c>
      <c r="G566" s="27"/>
      <c r="H566" s="27">
        <f ca="1">IFERROR(__xludf.DUMMYFUNCTION("""COMPUTED_VALUE"""),15145301000180)</f>
        <v>15145301000180</v>
      </c>
      <c r="I566" s="27" t="str">
        <f ca="1">IFERROR(__xludf.DUMMYFUNCTION("""COMPUTED_VALUE"""),"Carlos André do Nascimento")</f>
        <v>Carlos André do Nascimento</v>
      </c>
      <c r="J566" s="27" t="str">
        <f ca="1">IFERROR(__xludf.DUMMYFUNCTION("""COMPUTED_VALUE"""),"rongo.rj@hotmail.com")</f>
        <v>rongo.rj@hotmail.com</v>
      </c>
      <c r="K566" s="27">
        <f ca="1">IFERROR(__xludf.DUMMYFUNCTION("""COMPUTED_VALUE"""),2138351044)</f>
        <v>2138351044</v>
      </c>
      <c r="L566" s="27" t="str">
        <f ca="1">IFERROR(__xludf.DUMMYFUNCTION("""COMPUTED_VALUE"""),"RJ")</f>
        <v>RJ</v>
      </c>
      <c r="M566" s="27" t="str">
        <f ca="1">IFERROR(__xludf.DUMMYFUNCTION("""COMPUTED_VALUE"""),"Av. Pastor Martins Luther King Junior")</f>
        <v>Av. Pastor Martins Luther King Junior</v>
      </c>
      <c r="N566" s="27" t="str">
        <f ca="1">IFERROR(__xludf.DUMMYFUNCTION("""COMPUTED_VALUE"""),"Pavuna")</f>
        <v>Pavuna</v>
      </c>
      <c r="O566" s="27">
        <f ca="1">IFERROR(__xludf.DUMMYFUNCTION("""COMPUTED_VALUE"""),12528)</f>
        <v>12528</v>
      </c>
      <c r="P566" s="27" t="str">
        <f ca="1">IFERROR(__xludf.DUMMYFUNCTION("""COMPUTED_VALUE"""),"Rio de Janeiro")</f>
        <v>Rio de Janeiro</v>
      </c>
      <c r="Q566" s="27" t="str">
        <f ca="1">IFERROR(__xludf.DUMMYFUNCTION("""COMPUTED_VALUE"""),"Conjunto Rubens Paiva")</f>
        <v>Conjunto Rubens Paiva</v>
      </c>
      <c r="R566" s="27">
        <f ca="1">IFERROR(__xludf.DUMMYFUNCTION("""COMPUTED_VALUE"""),21520002)</f>
        <v>21520002</v>
      </c>
      <c r="S566" s="27"/>
      <c r="T566" s="27"/>
      <c r="U566" s="27"/>
      <c r="V566" s="27"/>
      <c r="W566" s="27">
        <f ca="1">IFERROR(__xludf.DUMMYFUNCTION("""COMPUTED_VALUE"""),20)</f>
        <v>20</v>
      </c>
      <c r="X566" s="27"/>
      <c r="Y566" s="27"/>
      <c r="Z566" s="27">
        <f ca="1">IFERROR(__xludf.DUMMYFUNCTION("""COMPUTED_VALUE"""),5000000)</f>
        <v>5000000</v>
      </c>
      <c r="AA566" s="30">
        <f ca="1">IFERROR(__xludf.DUMMYFUNCTION("""COMPUTED_VALUE"""),40858)</f>
        <v>40858</v>
      </c>
      <c r="AB566" s="27" t="str">
        <f ca="1">IFERROR(__xludf.DUMMYFUNCTION("""COMPUTED_VALUE"""),"Sim")</f>
        <v>Sim</v>
      </c>
      <c r="AC566" s="27">
        <f ca="1">IFERROR(__xludf.DUMMYFUNCTION("""COMPUTED_VALUE"""),4)</f>
        <v>4</v>
      </c>
      <c r="AD566" s="27"/>
      <c r="AE566" s="27">
        <f ca="1">IFERROR(__xludf.DUMMYFUNCTION("""COMPUTED_VALUE"""),25)</f>
        <v>25</v>
      </c>
      <c r="AF566" s="27"/>
      <c r="AG566" s="27">
        <f ca="1">IFERROR(__xludf.DUMMYFUNCTION("""COMPUTED_VALUE"""),2)</f>
        <v>2</v>
      </c>
      <c r="AH566" s="27"/>
      <c r="AI566" s="27"/>
      <c r="AJ566" s="27"/>
      <c r="AK566" s="27"/>
      <c r="AL566" s="21" t="str">
        <f ca="1">IFERROR(__xludf.DUMMYFUNCTION("""COMPUTED_VALUE"""),"0034P000045kxjC")</f>
        <v>0034P000045kxjC</v>
      </c>
      <c r="AM566" s="27" t="str">
        <f ca="1">IFERROR(__xludf.DUMMYFUNCTION("""COMPUTED_VALUE"""),"André Do Nascimento")</f>
        <v>André Do Nascimento</v>
      </c>
      <c r="AN566" s="27" t="str">
        <f ca="1">IFERROR(__xludf.DUMMYFUNCTION("""COMPUTED_VALUE"""),"Ativo")</f>
        <v>Ativo</v>
      </c>
      <c r="AO566" s="30">
        <f ca="1">IFERROR(__xludf.DUMMYFUNCTION("""COMPUTED_VALUE"""),44551)</f>
        <v>44551</v>
      </c>
      <c r="AP566" s="27">
        <f ca="1">IFERROR(__xludf.DUMMYFUNCTION("""COMPUTED_VALUE"""),9)</f>
        <v>9</v>
      </c>
      <c r="AQ566" s="27" t="str">
        <f ca="1">IFERROR(__xludf.DUMMYFUNCTION("""COMPUTED_VALUE"""),"Segundo Semestre 2021")</f>
        <v>Segundo Semestre 2021</v>
      </c>
      <c r="AR566" s="27" t="str">
        <f ca="1">IFERROR(__xludf.DUMMYFUNCTION("""COMPUTED_VALUE"""),"rongo.rj@hotmail.com")</f>
        <v>rongo.rj@hotmail.com</v>
      </c>
      <c r="AS566" s="27">
        <f ca="1">IFERROR(__xludf.DUMMYFUNCTION("""COMPUTED_VALUE"""),21964972053)</f>
        <v>21964972053</v>
      </c>
      <c r="AT566" s="29">
        <f ca="1">IFERROR(__xludf.DUMMYFUNCTION("""COMPUTED_VALUE"""),29235)</f>
        <v>29235</v>
      </c>
      <c r="AU566" s="27">
        <f ca="1">IFERROR(__xludf.DUMMYFUNCTION("""COMPUTED_VALUE"""),42)</f>
        <v>42</v>
      </c>
      <c r="AV566" s="27">
        <f ca="1">IFERROR(__xludf.DUMMYFUNCTION("""COMPUTED_VALUE"""),8723479744)</f>
        <v>8723479744</v>
      </c>
      <c r="AW566" s="27">
        <f ca="1">IFERROR(__xludf.DUMMYFUNCTION("""COMPUTED_VALUE"""),119313740)</f>
        <v>119313740</v>
      </c>
      <c r="AX566" s="27"/>
      <c r="AY566" s="27"/>
      <c r="AZ566" s="27" t="str">
        <f ca="1">IFERROR(__xludf.DUMMYFUNCTION("""COMPUTED_VALUE"""),"M")</f>
        <v>M</v>
      </c>
      <c r="BA566" s="27" t="str">
        <f ca="1">IFERROR(__xludf.DUMMYFUNCTION("""COMPUTED_VALUE"""),"Parda")</f>
        <v>Parda</v>
      </c>
      <c r="BB566" s="27"/>
      <c r="BC566" s="27" t="str">
        <f ca="1">IFERROR(__xludf.DUMMYFUNCTION("""COMPUTED_VALUE"""),"Sim")</f>
        <v>Sim</v>
      </c>
      <c r="BD566" s="27" t="str">
        <f ca="1">IFERROR(__xludf.DUMMYFUNCTION("""COMPUTED_VALUE"""),"Artista Urbano;; iniciou na arte Underground (Pichação) no final da década de 80 deixando-a de lado no inicio de 2000;; buscando o lado Mainstream como  Escultor e Grafiteiro;; usa tecnicas de ""Graffiti Sustentabilism"" com idealizações próprias e origin"&amp;"ais se tornou Conselheiro de Cultura Urbana no RJ no periodo de 2016/2018 criador do 1°Museu do Graffiti do Mundo;; criou  tambem a Biblioteca de Arte Urbana Baú do Gentileza (José Datrino) pra registrar a história dos artistas de rua e suas vertentes com"&amp;"o Funk e Hip Hop e trajetória da arte Urbana desde as artes rupestres;; pichações e graffiti no livro de autoria própria (dicionário) chamado  de CHARPILOGIA o estudo e as decifrações da lógica das pichações e graffiti os dizeres Indiziveis;; criando as e"&amp;"xpressões científicas CHARPIARTE e CHARPIGRAFIA;; para estudos específicos do (CHARPI) forma de se expressar da rua;; fundou tambem o Institution Rongo-RJ (Association of National Organized Graffiti Workshop Region) no Rio de Janeiro;")</f>
        <v>Artista Urbano;; iniciou na arte Underground (Pichação) no final da década de 80 deixando-a de lado no inicio de 2000;; buscando o lado Mainstream como  Escultor e Grafiteiro;; usa tecnicas de "Graffiti Sustentabilism" com idealizações próprias e originais se tornou Conselheiro de Cultura Urbana no RJ no periodo de 2016/2018 criador do 1°Museu do Graffiti do Mundo;; criou  tambem a Biblioteca de Arte Urbana Baú do Gentileza (José Datrino) pra registrar a história dos artistas de rua e suas vertentes como Funk e Hip Hop e trajetória da arte Urbana desde as artes rupestres;; pichações e graffiti no livro de autoria própria (dicionário) chamado  de CHARPILOGIA o estudo e as decifrações da lógica das pichações e graffiti os dizeres Indiziveis;; criando as expressões científicas CHARPIARTE e CHARPIGRAFIA;; para estudos específicos do (CHARPI) forma de se expressar da rua;; fundou tambem o Institution Rongo-RJ (Association of National Organized Graffiti Workshop Region) no Rio de Janeiro;</v>
      </c>
      <c r="BE566" s="27"/>
      <c r="BF566" s="27"/>
      <c r="BG566" s="27" t="str">
        <f ca="1">IFERROR(__xludf.DUMMYFUNCTION("""COMPUTED_VALUE"""),"Ensino Médio - Incompleto")</f>
        <v>Ensino Médio - Incompleto</v>
      </c>
      <c r="BH566" s="27" t="str">
        <f ca="1">IFERROR(__xludf.DUMMYFUNCTION("""COMPUTED_VALUE"""),"Público")</f>
        <v>Público</v>
      </c>
      <c r="BI566" s="27"/>
      <c r="BJ566" s="27"/>
      <c r="BK566" s="27" t="str">
        <f ca="1">IFERROR(__xludf.DUMMYFUNCTION("""COMPUTED_VALUE"""),"Rua palas")</f>
        <v>Rua palas</v>
      </c>
      <c r="BL566" s="27">
        <f ca="1">IFERROR(__xludf.DUMMYFUNCTION("""COMPUTED_VALUE"""),52)</f>
        <v>52</v>
      </c>
      <c r="BM566" s="27" t="str">
        <f ca="1">IFERROR(__xludf.DUMMYFUNCTION("""COMPUTED_VALUE"""),"LOTE 4 CASA 1")</f>
        <v>LOTE 4 CASA 1</v>
      </c>
      <c r="BN566" s="27" t="str">
        <f ca="1">IFERROR(__xludf.DUMMYFUNCTION("""COMPUTED_VALUE"""),"Rio de Janeiro")</f>
        <v>Rio de Janeiro</v>
      </c>
      <c r="BO566" s="27">
        <f ca="1">IFERROR(__xludf.DUMMYFUNCTION("""COMPUTED_VALUE"""),21520360)</f>
        <v>21520360</v>
      </c>
      <c r="BP566" s="27" t="str">
        <f ca="1">IFERROR(__xludf.DUMMYFUNCTION("""COMPUTED_VALUE"""),"RJ")</f>
        <v>RJ</v>
      </c>
      <c r="BQ566" s="27"/>
      <c r="BR566" s="27"/>
      <c r="BS566" s="27"/>
      <c r="BT566" s="27"/>
      <c r="BU566" s="27" t="str">
        <f ca="1">IFERROR(__xludf.DUMMYFUNCTION("""COMPUTED_VALUE"""),"Não tem")</f>
        <v>Não tem</v>
      </c>
      <c r="BV566" s="27"/>
      <c r="BW566" s="27"/>
      <c r="BX566" s="21" t="str">
        <f ca="1">IFERROR(__xludf.DUMMYFUNCTION("""COMPUTED_VALUE"""),"https://instagram.com/andrerongo?utm_medium=copy_link")</f>
        <v>https://instagram.com/andrerongo?utm_medium=copy_link</v>
      </c>
      <c r="BY566" s="21" t="str">
        <f ca="1">IFERROR(__xludf.DUMMYFUNCTION("""COMPUTED_VALUE"""),"https://drive.google.com/open?id=1VYbojSupCHwEjukFnAKTdCasdniOeQTt")</f>
        <v>https://drive.google.com/open?id=1VYbojSupCHwEjukFnAKTdCasdniOeQTt</v>
      </c>
    </row>
    <row r="567" spans="1:77" ht="12.5" x14ac:dyDescent="0.25">
      <c r="A567" s="21" t="str">
        <f ca="1">IFERROR(__xludf.DUMMYFUNCTION("""COMPUTED_VALUE"""),"0014P00003AN2G0QAL")</f>
        <v>0014P00003AN2G0QAL</v>
      </c>
      <c r="B567" s="27" t="str">
        <f ca="1">IFERROR(__xludf.DUMMYFUNCTION("""COMPUTED_VALUE"""),"Fase Estruturação")</f>
        <v>Fase Estruturação</v>
      </c>
      <c r="C567" s="27" t="str">
        <f ca="1">IFERROR(__xludf.DUMMYFUNCTION("""COMPUTED_VALUE"""),"Acelerada")</f>
        <v>Acelerada</v>
      </c>
      <c r="D567" s="27" t="str">
        <f ca="1">IFERROR(__xludf.DUMMYFUNCTION("""COMPUTED_VALUE"""),"Ativo")</f>
        <v>Ativo</v>
      </c>
      <c r="E567" s="27" t="str">
        <f ca="1">IFERROR(__xludf.DUMMYFUNCTION("""COMPUTED_VALUE"""),"Santa Cruz Ponta da Serra")</f>
        <v>Santa Cruz Ponta da Serra</v>
      </c>
      <c r="F567" s="27" t="str">
        <f ca="1">IFERROR(__xludf.DUMMYFUNCTION("""COMPUTED_VALUE"""),"Maria")</f>
        <v>Maria</v>
      </c>
      <c r="G567" s="27" t="str">
        <f ca="1">IFERROR(__xludf.DUMMYFUNCTION("""COMPUTED_VALUE"""),"SANTA CRUZ PONTA DA SERRA")</f>
        <v>SANTA CRUZ PONTA DA SERRA</v>
      </c>
      <c r="H567" s="27" t="str">
        <f ca="1">IFERROR(__xludf.DUMMYFUNCTION("""COMPUTED_VALUE"""),"41.087.928/0001-32")</f>
        <v>41.087.928/0001-32</v>
      </c>
      <c r="I567" s="27"/>
      <c r="J567" s="27" t="str">
        <f ca="1">IFERROR(__xludf.DUMMYFUNCTION("""COMPUTED_VALUE"""),"patriciaoliveira@institutosantacruzpontadaserra.org")</f>
        <v>patriciaoliveira@institutosantacruzpontadaserra.org</v>
      </c>
      <c r="K567" s="27" t="str">
        <f ca="1">IFERROR(__xludf.DUMMYFUNCTION("""COMPUTED_VALUE"""),"(75)9990-1263")</f>
        <v>(75)9990-1263</v>
      </c>
      <c r="L567" s="27" t="str">
        <f ca="1">IFERROR(__xludf.DUMMYFUNCTION("""COMPUTED_VALUE"""),"BA")</f>
        <v>BA</v>
      </c>
      <c r="M567" s="27" t="str">
        <f ca="1">IFERROR(__xludf.DUMMYFUNCTION("""COMPUTED_VALUE"""),"Assentamento Caimã Ponta da Serra")</f>
        <v>Assentamento Caimã Ponta da Serra</v>
      </c>
      <c r="N567" s="27"/>
      <c r="O567" s="27" t="str">
        <f ca="1">IFERROR(__xludf.DUMMYFUNCTION("""COMPUTED_VALUE"""),"(79)99689-2013")</f>
        <v>(79)99689-2013</v>
      </c>
      <c r="P567" s="27" t="str">
        <f ca="1">IFERROR(__xludf.DUMMYFUNCTION("""COMPUTED_VALUE"""),"Adustina")</f>
        <v>Adustina</v>
      </c>
      <c r="Q567" s="27"/>
      <c r="R567" s="27" t="str">
        <f ca="1">IFERROR(__xludf.DUMMYFUNCTION("""COMPUTED_VALUE"""),"48435-000")</f>
        <v>48435-000</v>
      </c>
      <c r="S567" s="27"/>
      <c r="T567" s="27" t="str">
        <f ca="1">IFERROR(__xludf.DUMMYFUNCTION("""COMPUTED_VALUE"""),"Educação; Assistência Social; Cultura; Qualificação Profissional; Empreendedorismo; Empoderamento Feminino; Negócios Sociais; Desenvolvimento comunitário")</f>
        <v>Educação; Assistência Social; Cultura; Qualificação Profissional; Empreendedorismo; Empoderamento Feminino; Negócios Sociais; Desenvolvimento comunitário</v>
      </c>
      <c r="U567" s="27" t="str">
        <f ca="1">IFERROR(__xludf.DUMMYFUNCTION("""COMPUTED_VALUE"""),"Crianças (6 a 12 anos); Adolescentes (12 aos 18 anos); Jovens (18 aos 24 anos); Adultos; Idosos (60 anos ou mais)")</f>
        <v>Crianças (6 a 12 anos); Adolescentes (12 aos 18 anos); Jovens (18 aos 24 anos); Adultos; Idosos (60 anos ou mais)</v>
      </c>
      <c r="V567" s="27" t="str">
        <f ca="1">IFERROR(__xludf.DUMMYFUNCTION("""COMPUTED_VALUE"""),"Comunidade rural")</f>
        <v>Comunidade rural</v>
      </c>
      <c r="W567" s="27">
        <f ca="1">IFERROR(__xludf.DUMMYFUNCTION("""COMPUTED_VALUE"""),7)</f>
        <v>7</v>
      </c>
      <c r="X567" s="27"/>
      <c r="Y567" s="27"/>
      <c r="Z567" s="27"/>
      <c r="AA567" s="29">
        <f ca="1">IFERROR(__xludf.DUMMYFUNCTION("""COMPUTED_VALUE"""),44111)</f>
        <v>44111</v>
      </c>
      <c r="AB567" s="27" t="str">
        <f ca="1">IFERROR(__xludf.DUMMYFUNCTION("""COMPUTED_VALUE"""),"Sim")</f>
        <v>Sim</v>
      </c>
      <c r="AC567" s="27">
        <f ca="1">IFERROR(__xludf.DUMMYFUNCTION("""COMPUTED_VALUE"""),7)</f>
        <v>7</v>
      </c>
      <c r="AD567" s="27">
        <f ca="1">IFERROR(__xludf.DUMMYFUNCTION("""COMPUTED_VALUE"""),0)</f>
        <v>0</v>
      </c>
      <c r="AE567" s="27">
        <f ca="1">IFERROR(__xludf.DUMMYFUNCTION("""COMPUTED_VALUE"""),10)</f>
        <v>10</v>
      </c>
      <c r="AF567" s="27">
        <f ca="1">IFERROR(__xludf.DUMMYFUNCTION("""COMPUTED_VALUE"""),4)</f>
        <v>4</v>
      </c>
      <c r="AG567" s="27">
        <f ca="1">IFERROR(__xludf.DUMMYFUNCTION("""COMPUTED_VALUE"""),3)</f>
        <v>3</v>
      </c>
      <c r="AH567" s="27" t="str">
        <f ca="1">IFERROR(__xludf.DUMMYFUNCTION("""COMPUTED_VALUE"""),"Negócio Social; Eventos/Ações para captação; Editais; Doações")</f>
        <v>Negócio Social; Eventos/Ações para captação; Editais; Doações</v>
      </c>
      <c r="AI567" s="31">
        <f ca="1">IFERROR(__xludf.DUMMYFUNCTION("""COMPUTED_VALUE"""),0.4)</f>
        <v>0.4</v>
      </c>
      <c r="AJ567" s="27" t="str">
        <f ca="1">IFERROR(__xludf.DUMMYFUNCTION("""COMPUTED_VALUE"""),"Não")</f>
        <v>Não</v>
      </c>
      <c r="AK567" s="27" t="str">
        <f ca="1">IFERROR(__xludf.DUMMYFUNCTION("""COMPUTED_VALUE"""),"Não")</f>
        <v>Não</v>
      </c>
      <c r="AL567" s="21" t="str">
        <f ca="1">IFERROR(__xludf.DUMMYFUNCTION("""COMPUTED_VALUE"""),"0034P00003maBVT")</f>
        <v>0034P00003maBVT</v>
      </c>
      <c r="AM567" s="27" t="str">
        <f ca="1">IFERROR(__xludf.DUMMYFUNCTION("""COMPUTED_VALUE"""),"Patricia Santana Oliveira")</f>
        <v>Patricia Santana Oliveira</v>
      </c>
      <c r="AN567" s="27" t="str">
        <f ca="1">IFERROR(__xludf.DUMMYFUNCTION("""COMPUTED_VALUE"""),"Ativo")</f>
        <v>Ativo</v>
      </c>
      <c r="AO567" s="29">
        <f ca="1">IFERROR(__xludf.DUMMYFUNCTION("""COMPUTED_VALUE"""),44312)</f>
        <v>44312</v>
      </c>
      <c r="AP567" s="27">
        <f ca="1">IFERROR(__xludf.DUMMYFUNCTION("""COMPUTED_VALUE"""),17)</f>
        <v>17</v>
      </c>
      <c r="AQ567" s="27" t="str">
        <f ca="1">IFERROR(__xludf.DUMMYFUNCTION("""COMPUTED_VALUE"""),"Segundo Semestre 2020")</f>
        <v>Segundo Semestre 2020</v>
      </c>
      <c r="AR567" s="27" t="str">
        <f ca="1">IFERROR(__xludf.DUMMYFUNCTION("""COMPUTED_VALUE"""),"patriciaoliveira@institutosantacruzpontadaserra.org")</f>
        <v>patriciaoliveira@institutosantacruzpontadaserra.org</v>
      </c>
      <c r="AS567" s="27" t="str">
        <f ca="1">IFERROR(__xludf.DUMMYFUNCTION("""COMPUTED_VALUE"""),"(79)99689-2013")</f>
        <v>(79)99689-2013</v>
      </c>
      <c r="AT567" s="29">
        <f ca="1">IFERROR(__xludf.DUMMYFUNCTION("""COMPUTED_VALUE"""),34006)</f>
        <v>34006</v>
      </c>
      <c r="AU567" s="27">
        <f ca="1">IFERROR(__xludf.DUMMYFUNCTION("""COMPUTED_VALUE"""),29)</f>
        <v>29</v>
      </c>
      <c r="AV567" s="27">
        <f ca="1">IFERROR(__xludf.DUMMYFUNCTION("""COMPUTED_VALUE"""),5150424552)</f>
        <v>5150424552</v>
      </c>
      <c r="AW567" s="27">
        <f ca="1">IFERROR(__xludf.DUMMYFUNCTION("""COMPUTED_VALUE"""),1587222213)</f>
        <v>1587222213</v>
      </c>
      <c r="AX567" s="27" t="str">
        <f ca="1">IFERROR(__xludf.DUMMYFUNCTION("""COMPUTED_VALUE"""),"ADMINISTRAÇÃO")</f>
        <v>ADMINISTRAÇÃO</v>
      </c>
      <c r="AY567" s="27"/>
      <c r="AZ567" s="27" t="str">
        <f ca="1">IFERROR(__xludf.DUMMYFUNCTION("""COMPUTED_VALUE"""),"M")</f>
        <v>M</v>
      </c>
      <c r="BA567" s="27"/>
      <c r="BB567" s="27"/>
      <c r="BC567" s="27" t="str">
        <f ca="1">IFERROR(__xludf.DUMMYFUNCTION("""COMPUTED_VALUE"""),"Sim")</f>
        <v>Sim</v>
      </c>
      <c r="BD567" s="27" t="str">
        <f ca="1">IFERROR(__xludf.DUMMYFUNCTION("""COMPUTED_VALUE"""),"Patrícia Oliveira, 29 anos, Empreendedora Social, Graduanda em Marketing Digital, mora no Assentamento Caima  Município de Adustina Bahia, desde os 9 anos já tinha o perfil de liderança na comunidade assumindo papeis de responsabilidade, com toda trajetór"&amp;"ia e dificuldade no semiárido, colocou-se como propósito em sua vida tornar mais digna a vida dos sertanejos com educação de qualidade, tecnologia, cultura e economia sustentável.")</f>
        <v>Patrícia Oliveira, 29 anos, Empreendedora Social, Graduanda em Marketing Digital, mora no Assentamento Caima  Município de Adustina Bahia, desde os 9 anos já tinha o perfil de liderança na comunidade assumindo papeis de responsabilidade, com toda trajetória e dificuldade no semiárido, colocou-se como propósito em sua vida tornar mais digna a vida dos sertanejos com educação de qualidade, tecnologia, cultura e economia sustentável.</v>
      </c>
      <c r="BE567" s="27"/>
      <c r="BF567" s="27"/>
      <c r="BG567" s="27" t="str">
        <f ca="1">IFERROR(__xludf.DUMMYFUNCTION("""COMPUTED_VALUE"""),"Ensino Superior - Incompleto")</f>
        <v>Ensino Superior - Incompleto</v>
      </c>
      <c r="BH567" s="27"/>
      <c r="BI567" s="27" t="str">
        <f ca="1">IFERROR(__xludf.DUMMYFUNCTION("""COMPUTED_VALUE"""),"Graduação")</f>
        <v>Graduação</v>
      </c>
      <c r="BJ567" s="27" t="str">
        <f ca="1">IFERROR(__xludf.DUMMYFUNCTION("""COMPUTED_VALUE"""),"Privado")</f>
        <v>Privado</v>
      </c>
      <c r="BK567" s="27" t="str">
        <f ca="1">IFERROR(__xludf.DUMMYFUNCTION("""COMPUTED_VALUE"""),"Assentamento Caimã Ponta da Serra")</f>
        <v>Assentamento Caimã Ponta da Serra</v>
      </c>
      <c r="BL567" s="27">
        <f ca="1">IFERROR(__xludf.DUMMYFUNCTION("""COMPUTED_VALUE"""),0)</f>
        <v>0</v>
      </c>
      <c r="BM567" s="27"/>
      <c r="BN567" s="27" t="str">
        <f ca="1">IFERROR(__xludf.DUMMYFUNCTION("""COMPUTED_VALUE"""),"Adustina")</f>
        <v>Adustina</v>
      </c>
      <c r="BO567" s="27" t="str">
        <f ca="1">IFERROR(__xludf.DUMMYFUNCTION("""COMPUTED_VALUE"""),"48435-000")</f>
        <v>48435-000</v>
      </c>
      <c r="BP567" s="27" t="str">
        <f ca="1">IFERROR(__xludf.DUMMYFUNCTION("""COMPUTED_VALUE"""),"BA")</f>
        <v>BA</v>
      </c>
      <c r="BQ567" s="27" t="str">
        <f ca="1">IFERROR(__xludf.DUMMYFUNCTION("""COMPUTED_VALUE"""),"Entre 1 até 3 salários mínimos")</f>
        <v>Entre 1 até 3 salários mínimos</v>
      </c>
      <c r="BR567" s="27" t="str">
        <f ca="1">IFERROR(__xludf.DUMMYFUNCTION("""COMPUTED_VALUE"""),"Trabalho informal")</f>
        <v>Trabalho informal</v>
      </c>
      <c r="BS567" s="27" t="str">
        <f ca="1">IFERROR(__xludf.DUMMYFUNCTION("""COMPUTED_VALUE"""),"Casa própria")</f>
        <v>Casa própria</v>
      </c>
      <c r="BT567" s="27">
        <f ca="1">IFERROR(__xludf.DUMMYFUNCTION("""COMPUTED_VALUE"""),4)</f>
        <v>4</v>
      </c>
      <c r="BU567" s="27"/>
      <c r="BV567" s="27"/>
      <c r="BW567" s="21" t="str">
        <f ca="1">IFERROR(__xludf.DUMMYFUNCTION("""COMPUTED_VALUE"""),"https://www.linkedin.com/in/maria-patr%C3%ADcia-b3219913b/")</f>
        <v>https://www.linkedin.com/in/maria-patr%C3%ADcia-b3219913b/</v>
      </c>
      <c r="BX567" s="21" t="str">
        <f ca="1">IFERROR(__xludf.DUMMYFUNCTION("""COMPUTED_VALUE"""),"https://www.instagram.com/patriciaoliveirasc/")</f>
        <v>https://www.instagram.com/patriciaoliveirasc/</v>
      </c>
      <c r="BY567" s="21" t="str">
        <f ca="1">IFERROR(__xludf.DUMMYFUNCTION("""COMPUTED_VALUE"""),"https://drive.google.com/open?id=1g0owkhywxZp81VbSXi3F8J5_z5kZIHYc")</f>
        <v>https://drive.google.com/open?id=1g0owkhywxZp81VbSXi3F8J5_z5kZIHYc</v>
      </c>
    </row>
    <row r="568" spans="1:77" ht="12.5" x14ac:dyDescent="0.25">
      <c r="A568" s="21" t="str">
        <f ca="1">IFERROR(__xludf.DUMMYFUNCTION("""COMPUTED_VALUE"""),"0014X00002VKCuDQAX")</f>
        <v>0014X00002VKCuDQAX</v>
      </c>
      <c r="B568" s="27" t="str">
        <f ca="1">IFERROR(__xludf.DUMMYFUNCTION("""COMPUTED_VALUE"""),"Fase Inicial")</f>
        <v>Fase Inicial</v>
      </c>
      <c r="C568" s="27" t="str">
        <f ca="1">IFERROR(__xludf.DUMMYFUNCTION("""COMPUTED_VALUE"""),"Fellow")</f>
        <v>Fellow</v>
      </c>
      <c r="D568" s="27" t="str">
        <f ca="1">IFERROR(__xludf.DUMMYFUNCTION("""COMPUTED_VALUE"""),"Ativo")</f>
        <v>Ativo</v>
      </c>
      <c r="E568" s="27" t="str">
        <f ca="1">IFERROR(__xludf.DUMMYFUNCTION("""COMPUTED_VALUE"""),"Sebastião Edemyr E. Leite-ME")</f>
        <v>Sebastião Edemyr E. Leite-ME</v>
      </c>
      <c r="F568" s="27" t="str">
        <f ca="1">IFERROR(__xludf.DUMMYFUNCTION("""COMPUTED_VALUE"""),"Sebastiao")</f>
        <v>Sebastiao</v>
      </c>
      <c r="G568" s="27" t="str">
        <f ca="1">IFERROR(__xludf.DUMMYFUNCTION("""COMPUTED_VALUE"""),"EVENTOS JARDIM")</f>
        <v>EVENTOS JARDIM</v>
      </c>
      <c r="H568" s="27" t="str">
        <f ca="1">IFERROR(__xludf.DUMMYFUNCTION("""COMPUTED_VALUE"""),"08.604.106/0001-06")</f>
        <v>08.604.106/0001-06</v>
      </c>
      <c r="I568" s="27" t="str">
        <f ca="1">IFERROR(__xludf.DUMMYFUNCTION("""COMPUTED_VALUE"""),"Sebastião Edemyr Echague Leite")</f>
        <v>Sebastião Edemyr Echague Leite</v>
      </c>
      <c r="J568" s="27" t="str">
        <f ca="1">IFERROR(__xludf.DUMMYFUNCTION("""COMPUTED_VALUE"""),"j1jardimms@outlook.com")</f>
        <v>j1jardimms@outlook.com</v>
      </c>
      <c r="K568" s="27" t="str">
        <f ca="1">IFERROR(__xludf.DUMMYFUNCTION("""COMPUTED_VALUE"""),"(67)98182-5887")</f>
        <v>(67)98182-5887</v>
      </c>
      <c r="L568" s="27" t="str">
        <f ca="1">IFERROR(__xludf.DUMMYFUNCTION("""COMPUTED_VALUE"""),"MS")</f>
        <v>MS</v>
      </c>
      <c r="M568" s="27" t="str">
        <f ca="1">IFERROR(__xludf.DUMMYFUNCTION("""COMPUTED_VALUE"""),"Rua Pe Manoel da Nobrega")</f>
        <v>Rua Pe Manoel da Nobrega</v>
      </c>
      <c r="N568" s="27" t="str">
        <f ca="1">IFERROR(__xludf.DUMMYFUNCTION("""COMPUTED_VALUE"""),"Residencial São Paulo")</f>
        <v>Residencial São Paulo</v>
      </c>
      <c r="O568" s="27">
        <f ca="1">IFERROR(__xludf.DUMMYFUNCTION("""COMPUTED_VALUE"""),1139)</f>
        <v>1139</v>
      </c>
      <c r="P568" s="27" t="str">
        <f ca="1">IFERROR(__xludf.DUMMYFUNCTION("""COMPUTED_VALUE"""),"Jardim")</f>
        <v>Jardim</v>
      </c>
      <c r="Q568" s="27" t="str">
        <f ca="1">IFERROR(__xludf.DUMMYFUNCTION("""COMPUTED_VALUE"""),"Esquina com rua Guanabara")</f>
        <v>Esquina com rua Guanabara</v>
      </c>
      <c r="R568" s="27" t="str">
        <f ca="1">IFERROR(__xludf.DUMMYFUNCTION("""COMPUTED_VALUE"""),"79240-000")</f>
        <v>79240-000</v>
      </c>
      <c r="S568" s="27"/>
      <c r="T568" s="27"/>
      <c r="U568" s="27" t="str">
        <f ca="1">IFERROR(__xludf.DUMMYFUNCTION("""COMPUTED_VALUE"""),"Adolescentes (12 aos 18 anos), Jovens (18 aos 24 anos)")</f>
        <v>Adolescentes (12 aos 18 anos), Jovens (18 aos 24 anos)</v>
      </c>
      <c r="V568" s="27" t="str">
        <f ca="1">IFERROR(__xludf.DUMMYFUNCTION("""COMPUTED_VALUE"""),"Outros")</f>
        <v>Outros</v>
      </c>
      <c r="W568" s="27">
        <f ca="1">IFERROR(__xludf.DUMMYFUNCTION("""COMPUTED_VALUE"""),0)</f>
        <v>0</v>
      </c>
      <c r="X568" s="27"/>
      <c r="Y568" s="27"/>
      <c r="Z568" s="27">
        <f ca="1">IFERROR(__xludf.DUMMYFUNCTION("""COMPUTED_VALUE"""),0)</f>
        <v>0</v>
      </c>
      <c r="AA568" s="29">
        <f ca="1">IFERROR(__xludf.DUMMYFUNCTION("""COMPUTED_VALUE"""),44708)</f>
        <v>44708</v>
      </c>
      <c r="AB568" s="27" t="str">
        <f ca="1">IFERROR(__xludf.DUMMYFUNCTION("""COMPUTED_VALUE"""),"Não")</f>
        <v>Não</v>
      </c>
      <c r="AC568" s="27">
        <f ca="1">IFERROR(__xludf.DUMMYFUNCTION("""COMPUTED_VALUE"""),0)</f>
        <v>0</v>
      </c>
      <c r="AD568" s="27">
        <f ca="1">IFERROR(__xludf.DUMMYFUNCTION("""COMPUTED_VALUE"""),0)</f>
        <v>0</v>
      </c>
      <c r="AE568" s="27">
        <f ca="1">IFERROR(__xludf.DUMMYFUNCTION("""COMPUTED_VALUE"""),0)</f>
        <v>0</v>
      </c>
      <c r="AF568" s="27">
        <f ca="1">IFERROR(__xludf.DUMMYFUNCTION("""COMPUTED_VALUE"""),0)</f>
        <v>0</v>
      </c>
      <c r="AG568" s="27">
        <f ca="1">IFERROR(__xludf.DUMMYFUNCTION("""COMPUTED_VALUE"""),2)</f>
        <v>2</v>
      </c>
      <c r="AH568" s="27" t="str">
        <f ca="1">IFERROR(__xludf.DUMMYFUNCTION("""COMPUTED_VALUE"""),"Recursos próprios")</f>
        <v>Recursos próprios</v>
      </c>
      <c r="AI568" s="27" t="str">
        <f ca="1">IFERROR(__xludf.DUMMYFUNCTION("""COMPUTED_VALUE"""),"100% recursos próprios")</f>
        <v>100% recursos próprios</v>
      </c>
      <c r="AJ568" s="27" t="str">
        <f ca="1">IFERROR(__xludf.DUMMYFUNCTION("""COMPUTED_VALUE"""),"Não")</f>
        <v>Não</v>
      </c>
      <c r="AK568" s="27"/>
      <c r="AL568" s="21" t="str">
        <f ca="1">IFERROR(__xludf.DUMMYFUNCTION("""COMPUTED_VALUE"""),"0034X0000380O6a")</f>
        <v>0034X0000380O6a</v>
      </c>
      <c r="AM568" s="27" t="str">
        <f ca="1">IFERROR(__xludf.DUMMYFUNCTION("""COMPUTED_VALUE"""),"Edemyr echague leite")</f>
        <v>Edemyr echague leite</v>
      </c>
      <c r="AN568" s="27" t="str">
        <f ca="1">IFERROR(__xludf.DUMMYFUNCTION("""COMPUTED_VALUE"""),"Ativo")</f>
        <v>Ativo</v>
      </c>
      <c r="AO568" s="29">
        <f ca="1">IFERROR(__xludf.DUMMYFUNCTION("""COMPUTED_VALUE"""),44763)</f>
        <v>44763</v>
      </c>
      <c r="AP568" s="27">
        <f ca="1">IFERROR(__xludf.DUMMYFUNCTION("""COMPUTED_VALUE"""),2)</f>
        <v>2</v>
      </c>
      <c r="AQ568" s="27" t="str">
        <f ca="1">IFERROR(__xludf.DUMMYFUNCTION("""COMPUTED_VALUE"""),"Primeiro Semestre 2022")</f>
        <v>Primeiro Semestre 2022</v>
      </c>
      <c r="AR568" s="27" t="str">
        <f ca="1">IFERROR(__xludf.DUMMYFUNCTION("""COMPUTED_VALUE"""),"j1jardimms@gmail.com")</f>
        <v>j1jardimms@gmail.com</v>
      </c>
      <c r="AS568" s="27" t="str">
        <f ca="1">IFERROR(__xludf.DUMMYFUNCTION("""COMPUTED_VALUE"""),"(67)98182-5887")</f>
        <v>(67)98182-5887</v>
      </c>
      <c r="AT568" s="29">
        <f ca="1">IFERROR(__xludf.DUMMYFUNCTION("""COMPUTED_VALUE"""),28510)</f>
        <v>28510</v>
      </c>
      <c r="AU568" s="27">
        <f ca="1">IFERROR(__xludf.DUMMYFUNCTION("""COMPUTED_VALUE"""),44)</f>
        <v>44</v>
      </c>
      <c r="AV568" s="27">
        <f ca="1">IFERROR(__xludf.DUMMYFUNCTION("""COMPUTED_VALUE"""),83833951168)</f>
        <v>83833951168</v>
      </c>
      <c r="AW568" s="27">
        <f ca="1">IFERROR(__xludf.DUMMYFUNCTION("""COMPUTED_VALUE"""),500519717)</f>
        <v>500519717</v>
      </c>
      <c r="AX568" s="27"/>
      <c r="AY568" s="27" t="str">
        <f ca="1">IFERROR(__xludf.DUMMYFUNCTION("""COMPUTED_VALUE"""),"Presidente fundador")</f>
        <v>Presidente fundador</v>
      </c>
      <c r="AZ568" s="27" t="str">
        <f ca="1">IFERROR(__xludf.DUMMYFUNCTION("""COMPUTED_VALUE"""),"G")</f>
        <v>G</v>
      </c>
      <c r="BA568" s="27" t="str">
        <f ca="1">IFERROR(__xludf.DUMMYFUNCTION("""COMPUTED_VALUE"""),"Parda")</f>
        <v>Parda</v>
      </c>
      <c r="BB568" s="27"/>
      <c r="BC568" s="27"/>
      <c r="BD568" s="27" t="str">
        <f ca="1">IFERROR(__xludf.DUMMYFUNCTION("""COMPUTED_VALUE"""),"Moro em Jardim, cidade turística no interior do Mato Grosso do Sul.
Morei em São Paulo entre 1998 e 2006. Ex presidiário, ex morador de rua, ex favelado, hj moro em minha cidade onde tenho o empreendimento Eventos Jardim desde 2006 quando voltei de SP, ju"&amp;"nto com meu braço social, o E.C. Arara Negra que agora com minha formação entra para a rede e pretendemos ser a equipe oficial dos projetos da Gerando Falcões.
Queremos contribuir com o processo de erradicerradicação das favelas de nosso país.")</f>
        <v>Moro em Jardim, cidade turística no interior do Mato Grosso do Sul.
Morei em São Paulo entre 1998 e 2006. Ex presidiário, ex morador de rua, ex favelado, hj moro em minha cidade onde tenho o empreendimento Eventos Jardim desde 2006 quando voltei de SP, junto com meu braço social, o E.C. Arara Negra que agora com minha formação entra para a rede e pretendemos ser a equipe oficial dos projetos da Gerando Falcões.
Queremos contribuir com o processo de erradicerradicação das favelas de nosso país.</v>
      </c>
      <c r="BE568" s="27" t="str">
        <f ca="1">IFERROR(__xludf.DUMMYFUNCTION("""COMPUTED_VALUE"""),"Outro(s)")</f>
        <v>Outro(s)</v>
      </c>
      <c r="BF568" s="27" t="str">
        <f ca="1">IFERROR(__xludf.DUMMYFUNCTION("""COMPUTED_VALUE"""),"Homossexual")</f>
        <v>Homossexual</v>
      </c>
      <c r="BG568" s="27" t="str">
        <f ca="1">IFERROR(__xludf.DUMMYFUNCTION("""COMPUTED_VALUE"""),"Ensino Médio - Incompleto")</f>
        <v>Ensino Médio - Incompleto</v>
      </c>
      <c r="BH568" s="27" t="str">
        <f ca="1">IFERROR(__xludf.DUMMYFUNCTION("""COMPUTED_VALUE"""),"Público")</f>
        <v>Público</v>
      </c>
      <c r="BI568" s="27"/>
      <c r="BJ568" s="27"/>
      <c r="BK568" s="27" t="str">
        <f ca="1">IFERROR(__xludf.DUMMYFUNCTION("""COMPUTED_VALUE"""),"Rua Pe Manoel da Nobrega")</f>
        <v>Rua Pe Manoel da Nobrega</v>
      </c>
      <c r="BL568" s="27">
        <f ca="1">IFERROR(__xludf.DUMMYFUNCTION("""COMPUTED_VALUE"""),1139)</f>
        <v>1139</v>
      </c>
      <c r="BM568" s="27" t="str">
        <f ca="1">IFERROR(__xludf.DUMMYFUNCTION("""COMPUTED_VALUE"""),"Esquina com rua Guanabara")</f>
        <v>Esquina com rua Guanabara</v>
      </c>
      <c r="BN568" s="27" t="str">
        <f ca="1">IFERROR(__xludf.DUMMYFUNCTION("""COMPUTED_VALUE"""),"Jardim")</f>
        <v>Jardim</v>
      </c>
      <c r="BO568" s="27" t="str">
        <f ca="1">IFERROR(__xludf.DUMMYFUNCTION("""COMPUTED_VALUE"""),"79240-000")</f>
        <v>79240-000</v>
      </c>
      <c r="BP568" s="27" t="str">
        <f ca="1">IFERROR(__xludf.DUMMYFUNCTION("""COMPUTED_VALUE"""),"MS")</f>
        <v>MS</v>
      </c>
      <c r="BQ568" s="27" t="str">
        <f ca="1">IFERROR(__xludf.DUMMYFUNCTION("""COMPUTED_VALUE"""),"Entre 1 até 3 salários mínimos")</f>
        <v>Entre 1 até 3 salários mínimos</v>
      </c>
      <c r="BR568" s="27" t="str">
        <f ca="1">IFERROR(__xludf.DUMMYFUNCTION("""COMPUTED_VALUE"""),"Trabalho informal")</f>
        <v>Trabalho informal</v>
      </c>
      <c r="BS568" s="27" t="str">
        <f ca="1">IFERROR(__xludf.DUMMYFUNCTION("""COMPUTED_VALUE"""),"Aluguel")</f>
        <v>Aluguel</v>
      </c>
      <c r="BT568" s="27">
        <f ca="1">IFERROR(__xludf.DUMMYFUNCTION("""COMPUTED_VALUE"""),1)</f>
        <v>1</v>
      </c>
      <c r="BU568" s="27" t="str">
        <f ca="1">IFERROR(__xludf.DUMMYFUNCTION("""COMPUTED_VALUE"""),"Não tem")</f>
        <v>Não tem</v>
      </c>
      <c r="BV568" s="27" t="str">
        <f ca="1">IFERROR(__xludf.DUMMYFUNCTION("""COMPUTED_VALUE"""),"Não")</f>
        <v>Não</v>
      </c>
      <c r="BW568" s="27"/>
      <c r="BX568" s="27"/>
      <c r="BY568" s="21" t="str">
        <f ca="1">IFERROR(__xludf.DUMMYFUNCTION("""COMPUTED_VALUE"""),"https://drive.google.com/open?id=1AsKibMXjxCA_tuWYLgYgYw67P31MJzwk")</f>
        <v>https://drive.google.com/open?id=1AsKibMXjxCA_tuWYLgYgYw67P31MJzwk</v>
      </c>
    </row>
    <row r="569" spans="1:77" ht="12.5" x14ac:dyDescent="0.25">
      <c r="A569" s="21" t="str">
        <f ca="1">IFERROR(__xludf.DUMMYFUNCTION("""COMPUTED_VALUE"""),"0014X00002VKCsvQAH")</f>
        <v>0014X00002VKCsvQAH</v>
      </c>
      <c r="B569" s="27" t="str">
        <f ca="1">IFERROR(__xludf.DUMMYFUNCTION("""COMPUTED_VALUE"""),"Fase Inicial")</f>
        <v>Fase Inicial</v>
      </c>
      <c r="C569" s="27" t="str">
        <f ca="1">IFERROR(__xludf.DUMMYFUNCTION("""COMPUTED_VALUE"""),"Fellow")</f>
        <v>Fellow</v>
      </c>
      <c r="D569" s="27" t="str">
        <f ca="1">IFERROR(__xludf.DUMMYFUNCTION("""COMPUTED_VALUE"""),"Ativo")</f>
        <v>Ativo</v>
      </c>
      <c r="E569" s="27" t="str">
        <f ca="1">IFERROR(__xludf.DUMMYFUNCTION("""COMPUTED_VALUE"""),"Semente Profissional")</f>
        <v>Semente Profissional</v>
      </c>
      <c r="F569" s="27" t="str">
        <f ca="1">IFERROR(__xludf.DUMMYFUNCTION("""COMPUTED_VALUE"""),"Michel")</f>
        <v>Michel</v>
      </c>
      <c r="G569" s="27" t="str">
        <f ca="1">IFERROR(__xludf.DUMMYFUNCTION("""COMPUTED_VALUE"""),"SEMENTE PROFISSIONAL")</f>
        <v>SEMENTE PROFISSIONAL</v>
      </c>
      <c r="H569" s="27"/>
      <c r="I569" s="27" t="str">
        <f ca="1">IFERROR(__xludf.DUMMYFUNCTION("""COMPUTED_VALUE"""),"Michel Anselmo do Carmo")</f>
        <v>Michel Anselmo do Carmo</v>
      </c>
      <c r="J569" s="27" t="str">
        <f ca="1">IFERROR(__xludf.DUMMYFUNCTION("""COMPUTED_VALUE"""),"michelmac@hotmail.com")</f>
        <v>michelmac@hotmail.com</v>
      </c>
      <c r="K569" s="27" t="str">
        <f ca="1">IFERROR(__xludf.DUMMYFUNCTION("""COMPUTED_VALUE"""),"(21)96405-1050")</f>
        <v>(21)96405-1050</v>
      </c>
      <c r="L569" s="27" t="str">
        <f ca="1">IFERROR(__xludf.DUMMYFUNCTION("""COMPUTED_VALUE"""),"RJ")</f>
        <v>RJ</v>
      </c>
      <c r="M569" s="27" t="str">
        <f ca="1">IFERROR(__xludf.DUMMYFUNCTION("""COMPUTED_VALUE"""),"Av. Embaixador Abelardo Bueno")</f>
        <v>Av. Embaixador Abelardo Bueno</v>
      </c>
      <c r="N569" s="27" t="str">
        <f ca="1">IFERROR(__xludf.DUMMYFUNCTION("""COMPUTED_VALUE"""),"Barra da Tijuca")</f>
        <v>Barra da Tijuca</v>
      </c>
      <c r="O569" s="27">
        <f ca="1">IFERROR(__xludf.DUMMYFUNCTION("""COMPUTED_VALUE"""),1111)</f>
        <v>1111</v>
      </c>
      <c r="P569" s="27" t="str">
        <f ca="1">IFERROR(__xludf.DUMMYFUNCTION("""COMPUTED_VALUE"""),"Rio de Janeiro")</f>
        <v>Rio de Janeiro</v>
      </c>
      <c r="Q569" s="27" t="str">
        <f ca="1">IFERROR(__xludf.DUMMYFUNCTION("""COMPUTED_VALUE"""),"sala 126 office 2")</f>
        <v>sala 126 office 2</v>
      </c>
      <c r="R569" s="27" t="str">
        <f ca="1">IFERROR(__xludf.DUMMYFUNCTION("""COMPUTED_VALUE"""),"22775-039")</f>
        <v>22775-039</v>
      </c>
      <c r="S569" s="27" t="str">
        <f ca="1">IFERROR(__xludf.DUMMYFUNCTION("""COMPUTED_VALUE"""),"Atendimento em escolas públicas")</f>
        <v>Atendimento em escolas públicas</v>
      </c>
      <c r="T569" s="27"/>
      <c r="U569" s="27" t="str">
        <f ca="1">IFERROR(__xludf.DUMMYFUNCTION("""COMPUTED_VALUE"""),"Adolescentes (12 aos 18 anos), Jovens (18 aos 24 anos)")</f>
        <v>Adolescentes (12 aos 18 anos), Jovens (18 aos 24 anos)</v>
      </c>
      <c r="V569" s="27" t="str">
        <f ca="1">IFERROR(__xludf.DUMMYFUNCTION("""COMPUTED_VALUE"""),"Outros")</f>
        <v>Outros</v>
      </c>
      <c r="W569" s="27">
        <f ca="1">IFERROR(__xludf.DUMMYFUNCTION("""COMPUTED_VALUE"""),0)</f>
        <v>0</v>
      </c>
      <c r="X569" s="27"/>
      <c r="Y569" s="27"/>
      <c r="Z569" s="27">
        <f ca="1">IFERROR(__xludf.DUMMYFUNCTION("""COMPUTED_VALUE"""),0)</f>
        <v>0</v>
      </c>
      <c r="AA569" s="29">
        <f ca="1">IFERROR(__xludf.DUMMYFUNCTION("""COMPUTED_VALUE"""),42552)</f>
        <v>42552</v>
      </c>
      <c r="AB569" s="27" t="str">
        <f ca="1">IFERROR(__xludf.DUMMYFUNCTION("""COMPUTED_VALUE"""),"Não")</f>
        <v>Não</v>
      </c>
      <c r="AC569" s="27">
        <f ca="1">IFERROR(__xludf.DUMMYFUNCTION("""COMPUTED_VALUE"""),4)</f>
        <v>4</v>
      </c>
      <c r="AD569" s="27">
        <f ca="1">IFERROR(__xludf.DUMMYFUNCTION("""COMPUTED_VALUE"""),0)</f>
        <v>0</v>
      </c>
      <c r="AE569" s="27">
        <f ca="1">IFERROR(__xludf.DUMMYFUNCTION("""COMPUTED_VALUE"""),4)</f>
        <v>4</v>
      </c>
      <c r="AF569" s="27">
        <f ca="1">IFERROR(__xludf.DUMMYFUNCTION("""COMPUTED_VALUE"""),0)</f>
        <v>0</v>
      </c>
      <c r="AG569" s="27">
        <f ca="1">IFERROR(__xludf.DUMMYFUNCTION("""COMPUTED_VALUE"""),2)</f>
        <v>2</v>
      </c>
      <c r="AH569" s="27" t="str">
        <f ca="1">IFERROR(__xludf.DUMMYFUNCTION("""COMPUTED_VALUE"""),"Doações, Recursos próprios")</f>
        <v>Doações, Recursos próprios</v>
      </c>
      <c r="AI569" s="27">
        <f ca="1">IFERROR(__xludf.DUMMYFUNCTION("""COMPUTED_VALUE"""),0)</f>
        <v>0</v>
      </c>
      <c r="AJ569" s="27" t="str">
        <f ca="1">IFERROR(__xludf.DUMMYFUNCTION("""COMPUTED_VALUE"""),"Não")</f>
        <v>Não</v>
      </c>
      <c r="AK569" s="27"/>
      <c r="AL569" s="21" t="str">
        <f ca="1">IFERROR(__xludf.DUMMYFUNCTION("""COMPUTED_VALUE"""),"0034X0000380O0j")</f>
        <v>0034X0000380O0j</v>
      </c>
      <c r="AM569" s="27" t="str">
        <f ca="1">IFERROR(__xludf.DUMMYFUNCTION("""COMPUTED_VALUE"""),"Anselmo do carmo")</f>
        <v>Anselmo do carmo</v>
      </c>
      <c r="AN569" s="27" t="str">
        <f ca="1">IFERROR(__xludf.DUMMYFUNCTION("""COMPUTED_VALUE"""),"Ativo")</f>
        <v>Ativo</v>
      </c>
      <c r="AO569" s="29">
        <f ca="1">IFERROR(__xludf.DUMMYFUNCTION("""COMPUTED_VALUE"""),44763)</f>
        <v>44763</v>
      </c>
      <c r="AP569" s="27">
        <f ca="1">IFERROR(__xludf.DUMMYFUNCTION("""COMPUTED_VALUE"""),2)</f>
        <v>2</v>
      </c>
      <c r="AQ569" s="27" t="str">
        <f ca="1">IFERROR(__xludf.DUMMYFUNCTION("""COMPUTED_VALUE"""),"Primeiro Semestre 2022")</f>
        <v>Primeiro Semestre 2022</v>
      </c>
      <c r="AR569" s="27" t="str">
        <f ca="1">IFERROR(__xludf.DUMMYFUNCTION("""COMPUTED_VALUE"""),"michelmac@hotmail.com")</f>
        <v>michelmac@hotmail.com</v>
      </c>
      <c r="AS569" s="27" t="str">
        <f ca="1">IFERROR(__xludf.DUMMYFUNCTION("""COMPUTED_VALUE"""),"(21)96405-1050")</f>
        <v>(21)96405-1050</v>
      </c>
      <c r="AT569" s="29">
        <f ca="1">IFERROR(__xludf.DUMMYFUNCTION("""COMPUTED_VALUE"""),30510)</f>
        <v>30510</v>
      </c>
      <c r="AU569" s="27">
        <f ca="1">IFERROR(__xludf.DUMMYFUNCTION("""COMPUTED_VALUE"""),39)</f>
        <v>39</v>
      </c>
      <c r="AV569" s="27">
        <f ca="1">IFERROR(__xludf.DUMMYFUNCTION("""COMPUTED_VALUE"""),9418545748)</f>
        <v>9418545748</v>
      </c>
      <c r="AW569" s="27">
        <f ca="1">IFERROR(__xludf.DUMMYFUNCTION("""COMPUTED_VALUE"""),129090056)</f>
        <v>129090056</v>
      </c>
      <c r="AX569" s="27"/>
      <c r="AY569" s="27" t="str">
        <f ca="1">IFERROR(__xludf.DUMMYFUNCTION("""COMPUTED_VALUE"""),"Diretor Fundador")</f>
        <v>Diretor Fundador</v>
      </c>
      <c r="AZ569" s="27" t="str">
        <f ca="1">IFERROR(__xludf.DUMMYFUNCTION("""COMPUTED_VALUE"""),"GG")</f>
        <v>GG</v>
      </c>
      <c r="BA569" s="27" t="str">
        <f ca="1">IFERROR(__xludf.DUMMYFUNCTION("""COMPUTED_VALUE"""),"Parda")</f>
        <v>Parda</v>
      </c>
      <c r="BB569" s="27"/>
      <c r="BC569" s="27"/>
      <c r="BD569" s="27" t="str">
        <f ca="1">IFERROR(__xludf.DUMMYFUNCTION("""COMPUTED_VALUE"""),"Olá, eu sou o Michel Anselmo, tenho 39 anos, sou pai da princesa Isabella, esposo da rainha Thaís e apaixonado por ações sociais. 
Acredito no ser humano e atuo para construir um país melhor, mais justo e com igualdades de oportunidades.
Sou fundador do I"&amp;"nstituto Semente Profissional e estou super feliz com a possibilidade de fazer parte da rede Gerando Falcões... ""Sozinhos vamos rápido, juntos vamos mais longe""")</f>
        <v>Olá, eu sou o Michel Anselmo, tenho 39 anos, sou pai da princesa Isabella, esposo da rainha Thaís e apaixonado por ações sociais. 
Acredito no ser humano e atuo para construir um país melhor, mais justo e com igualdades de oportunidades.
Sou fundador do Instituto Semente Profissional e estou super feliz com a possibilidade de fazer parte da rede Gerando Falcões... "Sozinhos vamos rápido, juntos vamos mais longe"</v>
      </c>
      <c r="BE569" s="27" t="str">
        <f ca="1">IFERROR(__xludf.DUMMYFUNCTION("""COMPUTED_VALUE"""),"Homem, cisgênero")</f>
        <v>Homem, cisgênero</v>
      </c>
      <c r="BF569" s="27" t="str">
        <f ca="1">IFERROR(__xludf.DUMMYFUNCTION("""COMPUTED_VALUE"""),"Heterossexual")</f>
        <v>Heterossexual</v>
      </c>
      <c r="BG569" s="27" t="str">
        <f ca="1">IFERROR(__xludf.DUMMYFUNCTION("""COMPUTED_VALUE"""),"Ensino Superior - Completo")</f>
        <v>Ensino Superior - Completo</v>
      </c>
      <c r="BH569" s="27" t="str">
        <f ca="1">IFERROR(__xludf.DUMMYFUNCTION("""COMPUTED_VALUE"""),"Público")</f>
        <v>Público</v>
      </c>
      <c r="BI569" s="27" t="str">
        <f ca="1">IFERROR(__xludf.DUMMYFUNCTION("""COMPUTED_VALUE"""),"Pós-Graduação")</f>
        <v>Pós-Graduação</v>
      </c>
      <c r="BJ569" s="27" t="str">
        <f ca="1">IFERROR(__xludf.DUMMYFUNCTION("""COMPUTED_VALUE"""),"Privado")</f>
        <v>Privado</v>
      </c>
      <c r="BK569" s="27" t="str">
        <f ca="1">IFERROR(__xludf.DUMMYFUNCTION("""COMPUTED_VALUE"""),"Av Embaixador Abelardo Bueno")</f>
        <v>Av Embaixador Abelardo Bueno</v>
      </c>
      <c r="BL569" s="27">
        <f ca="1">IFERROR(__xludf.DUMMYFUNCTION("""COMPUTED_VALUE"""),1111)</f>
        <v>1111</v>
      </c>
      <c r="BM569" s="27" t="str">
        <f ca="1">IFERROR(__xludf.DUMMYFUNCTION("""COMPUTED_VALUE"""),"sl 126 office 2")</f>
        <v>sl 126 office 2</v>
      </c>
      <c r="BN569" s="27" t="str">
        <f ca="1">IFERROR(__xludf.DUMMYFUNCTION("""COMPUTED_VALUE"""),"Rio de Janeiro")</f>
        <v>Rio de Janeiro</v>
      </c>
      <c r="BO569" s="27" t="str">
        <f ca="1">IFERROR(__xludf.DUMMYFUNCTION("""COMPUTED_VALUE"""),"22775-039")</f>
        <v>22775-039</v>
      </c>
      <c r="BP569" s="27" t="str">
        <f ca="1">IFERROR(__xludf.DUMMYFUNCTION("""COMPUTED_VALUE"""),"RJ")</f>
        <v>RJ</v>
      </c>
      <c r="BQ569" s="27" t="str">
        <f ca="1">IFERROR(__xludf.DUMMYFUNCTION("""COMPUTED_VALUE"""),"Acima de 5 salários mínimos")</f>
        <v>Acima de 5 salários mínimos</v>
      </c>
      <c r="BR569" s="27" t="str">
        <f ca="1">IFERROR(__xludf.DUMMYFUNCTION("""COMPUTED_VALUE"""),"Desempregado")</f>
        <v>Desempregado</v>
      </c>
      <c r="BS569" s="27" t="str">
        <f ca="1">IFERROR(__xludf.DUMMYFUNCTION("""COMPUTED_VALUE"""),"Aluguel")</f>
        <v>Aluguel</v>
      </c>
      <c r="BT569" s="27">
        <f ca="1">IFERROR(__xludf.DUMMYFUNCTION("""COMPUTED_VALUE"""),3)</f>
        <v>3</v>
      </c>
      <c r="BU569" s="27" t="str">
        <f ca="1">IFERROR(__xludf.DUMMYFUNCTION("""COMPUTED_VALUE"""),"Não tem")</f>
        <v>Não tem</v>
      </c>
      <c r="BV569" s="27" t="str">
        <f ca="1">IFERROR(__xludf.DUMMYFUNCTION("""COMPUTED_VALUE"""),"Não")</f>
        <v>Não</v>
      </c>
      <c r="BW569" s="21" t="str">
        <f ca="1">IFERROR(__xludf.DUMMYFUNCTION("""COMPUTED_VALUE"""),"https://www.linkedin.com/in/michel-a-carmo-931b249a/")</f>
        <v>https://www.linkedin.com/in/michel-a-carmo-931b249a/</v>
      </c>
      <c r="BX569" s="27" t="str">
        <f ca="1">IFERROR(__xludf.DUMMYFUNCTION("""COMPUTED_VALUE"""),"@michelmac1")</f>
        <v>@michelmac1</v>
      </c>
      <c r="BY569" s="21" t="str">
        <f ca="1">IFERROR(__xludf.DUMMYFUNCTION("""COMPUTED_VALUE"""),"https://drive.google.com/open?id=1Hw-oE0dFFEbDF7PnqvfrBWXxrVeGjGFH")</f>
        <v>https://drive.google.com/open?id=1Hw-oE0dFFEbDF7PnqvfrBWXxrVeGjGFH</v>
      </c>
    </row>
    <row r="570" spans="1:77" ht="12.5" x14ac:dyDescent="0.25">
      <c r="A570" s="21" t="str">
        <f ca="1">IFERROR(__xludf.DUMMYFUNCTION("""COMPUTED_VALUE"""),"0014P00003YSp8eQAD")</f>
        <v>0014P00003YSp8eQAD</v>
      </c>
      <c r="B570" s="27" t="str">
        <f ca="1">IFERROR(__xludf.DUMMYFUNCTION("""COMPUTED_VALUE"""),"Fase Inicial")</f>
        <v>Fase Inicial</v>
      </c>
      <c r="C570" s="27" t="str">
        <f ca="1">IFERROR(__xludf.DUMMYFUNCTION("""COMPUTED_VALUE"""),"Fellow")</f>
        <v>Fellow</v>
      </c>
      <c r="D570" s="27" t="str">
        <f ca="1">IFERROR(__xludf.DUMMYFUNCTION("""COMPUTED_VALUE"""),"Ativo")</f>
        <v>Ativo</v>
      </c>
      <c r="E570" s="27" t="str">
        <f ca="1">IFERROR(__xludf.DUMMYFUNCTION("""COMPUTED_VALUE"""),"Sempre Criança")</f>
        <v>Sempre Criança</v>
      </c>
      <c r="F570" s="27" t="str">
        <f ca="1">IFERROR(__xludf.DUMMYFUNCTION("""COMPUTED_VALUE"""),"Gabriela")</f>
        <v>Gabriela</v>
      </c>
      <c r="G570" s="27"/>
      <c r="H570" s="27" t="str">
        <f ca="1">IFERROR(__xludf.DUMMYFUNCTION("""COMPUTED_VALUE"""),"12.629.489/0001-44")</f>
        <v>12.629.489/0001-44</v>
      </c>
      <c r="I570" s="27" t="str">
        <f ca="1">IFERROR(__xludf.DUMMYFUNCTION("""COMPUTED_VALUE"""),"Gabriela Veras de Moraes")</f>
        <v>Gabriela Veras de Moraes</v>
      </c>
      <c r="J570" s="27" t="str">
        <f ca="1">IFERROR(__xludf.DUMMYFUNCTION("""COMPUTED_VALUE"""),"contato@semprecrianca.org")</f>
        <v>contato@semprecrianca.org</v>
      </c>
      <c r="K570" s="27" t="str">
        <f ca="1">IFERROR(__xludf.DUMMYFUNCTION("""COMPUTED_VALUE"""),"21 99934-9462")</f>
        <v>21 99934-9462</v>
      </c>
      <c r="L570" s="27" t="str">
        <f ca="1">IFERROR(__xludf.DUMMYFUNCTION("""COMPUTED_VALUE"""),"RJ")</f>
        <v>RJ</v>
      </c>
      <c r="M570" s="27" t="str">
        <f ca="1">IFERROR(__xludf.DUMMYFUNCTION("""COMPUTED_VALUE"""),"Rua Trinta e Cinco S/N")</f>
        <v>Rua Trinta e Cinco S/N</v>
      </c>
      <c r="N570" s="27" t="str">
        <f ca="1">IFERROR(__xludf.DUMMYFUNCTION("""COMPUTED_VALUE"""),"Itaipu")</f>
        <v>Itaipu</v>
      </c>
      <c r="O570" s="27">
        <f ca="1">IFERROR(__xludf.DUMMYFUNCTION("""COMPUTED_VALUE"""),0)</f>
        <v>0</v>
      </c>
      <c r="P570" s="27" t="str">
        <f ca="1">IFERROR(__xludf.DUMMYFUNCTION("""COMPUTED_VALUE"""),"Niterói")</f>
        <v>Niterói</v>
      </c>
      <c r="Q570" s="27" t="str">
        <f ca="1">IFERROR(__xludf.DUMMYFUNCTION("""COMPUTED_VALUE"""),"lote 6 quadra 71")</f>
        <v>lote 6 quadra 71</v>
      </c>
      <c r="R570" s="27" t="str">
        <f ca="1">IFERROR(__xludf.DUMMYFUNCTION("""COMPUTED_VALUE"""),"24342-330")</f>
        <v>24342-330</v>
      </c>
      <c r="S570" s="27"/>
      <c r="T570" s="27" t="str">
        <f ca="1">IFERROR(__xludf.DUMMYFUNCTION("""COMPUTED_VALUE"""),"Esporte; Educação; Assistência Social; Cultura; Saúde; Negócios Sociais; Apoio à gestão de organizações de Terceiro Setor; Desenvolvimento comunitário")</f>
        <v>Esporte; Educação; Assistência Social; Cultura; Saúde; Negócios Sociais; Apoio à gestão de organizações de Terceiro Setor; Desenvolvimento comunitário</v>
      </c>
      <c r="U570" s="27" t="str">
        <f ca="1">IFERROR(__xludf.DUMMYFUNCTION("""COMPUTED_VALUE"""),"Bebês (0 a 1 ano e 6 meses); Crianças bem pequenas (1 ano e 7 meses até 3 anos e 11 meses); Crianças pequenas (4 anos a 5 anos e 11 meses); Crianças (6 a 12 anos); Adolescentes (12 aos 18 anos); Jovens (18 aos 24 anos)")</f>
        <v>Bebês (0 a 1 ano e 6 meses); Crianças bem pequenas (1 ano e 7 meses até 3 anos e 11 meses); Crianças pequenas (4 anos a 5 anos e 11 meses); Crianças (6 a 12 anos); Adolescentes (12 aos 18 anos); Jovens (18 aos 24 anos)</v>
      </c>
      <c r="V570" s="27" t="str">
        <f ca="1">IFERROR(__xludf.DUMMYFUNCTION("""COMPUTED_VALUE"""),"Moradores de Favelas; Outros")</f>
        <v>Moradores de Favelas; Outros</v>
      </c>
      <c r="W570" s="27">
        <f ca="1">IFERROR(__xludf.DUMMYFUNCTION("""COMPUTED_VALUE"""),10)</f>
        <v>10</v>
      </c>
      <c r="X570" s="27" t="str">
        <f ca="1">IFERROR(__xludf.DUMMYFUNCTION("""COMPUTED_VALUE"""),"Somos uma instituição sem vínculo religioso político ou partidário e que possui uma sede administrativa. Atuamos diretamente com outras organizações e iniciativas comunitárias em especial com um dos territórios da Cidade o Morro do Estado em parceria com "&amp;"a Casa Reviver.")</f>
        <v>Somos uma instituição sem vínculo religioso político ou partidário e que possui uma sede administrativa. Atuamos diretamente com outras organizações e iniciativas comunitárias em especial com um dos territórios da Cidade o Morro do Estado em parceria com a Casa Reviver.</v>
      </c>
      <c r="Y570" s="27"/>
      <c r="Z570" s="27">
        <f ca="1">IFERROR(__xludf.DUMMYFUNCTION("""COMPUTED_VALUE"""),500)</f>
        <v>500</v>
      </c>
      <c r="AA570" s="29">
        <f ca="1">IFERROR(__xludf.DUMMYFUNCTION("""COMPUTED_VALUE"""),40460)</f>
        <v>40460</v>
      </c>
      <c r="AB570" s="27" t="str">
        <f ca="1">IFERROR(__xludf.DUMMYFUNCTION("""COMPUTED_VALUE"""),"Sim")</f>
        <v>Sim</v>
      </c>
      <c r="AC570" s="27">
        <f ca="1">IFERROR(__xludf.DUMMYFUNCTION("""COMPUTED_VALUE"""),0)</f>
        <v>0</v>
      </c>
      <c r="AD570" s="27">
        <f ca="1">IFERROR(__xludf.DUMMYFUNCTION("""COMPUTED_VALUE"""),0)</f>
        <v>0</v>
      </c>
      <c r="AE570" s="27">
        <f ca="1">IFERROR(__xludf.DUMMYFUNCTION("""COMPUTED_VALUE"""),88)</f>
        <v>88</v>
      </c>
      <c r="AF570" s="27">
        <f ca="1">IFERROR(__xludf.DUMMYFUNCTION("""COMPUTED_VALUE"""),70)</f>
        <v>70</v>
      </c>
      <c r="AG570" s="27">
        <f ca="1">IFERROR(__xludf.DUMMYFUNCTION("""COMPUTED_VALUE"""),3)</f>
        <v>3</v>
      </c>
      <c r="AH570" s="27" t="str">
        <f ca="1">IFERROR(__xludf.DUMMYFUNCTION("""COMPUTED_VALUE"""),"Negócio Social; Eventos/Ações para captação; Plataforma doação online - Pessoa Física; Parceria iniciativa privada; Editais; Doações")</f>
        <v>Negócio Social; Eventos/Ações para captação; Plataforma doação online - Pessoa Física; Parceria iniciativa privada; Editais; Doações</v>
      </c>
      <c r="AI570" s="27" t="str">
        <f ca="1">IFERROR(__xludf.DUMMYFUNCTION("""COMPUTED_VALUE"""),"não")</f>
        <v>não</v>
      </c>
      <c r="AJ570" s="27"/>
      <c r="AK570" s="27"/>
      <c r="AL570" s="21" t="str">
        <f ca="1">IFERROR(__xludf.DUMMYFUNCTION("""COMPUTED_VALUE"""),"0034P000045kxjF")</f>
        <v>0034P000045kxjF</v>
      </c>
      <c r="AM570" s="27" t="str">
        <f ca="1">IFERROR(__xludf.DUMMYFUNCTION("""COMPUTED_VALUE"""),"Veras De Moraes")</f>
        <v>Veras De Moraes</v>
      </c>
      <c r="AN570" s="27" t="str">
        <f ca="1">IFERROR(__xludf.DUMMYFUNCTION("""COMPUTED_VALUE"""),"Ativo")</f>
        <v>Ativo</v>
      </c>
      <c r="AO570" s="30">
        <f ca="1">IFERROR(__xludf.DUMMYFUNCTION("""COMPUTED_VALUE"""),44551)</f>
        <v>44551</v>
      </c>
      <c r="AP570" s="27">
        <f ca="1">IFERROR(__xludf.DUMMYFUNCTION("""COMPUTED_VALUE"""),9)</f>
        <v>9</v>
      </c>
      <c r="AQ570" s="27" t="str">
        <f ca="1">IFERROR(__xludf.DUMMYFUNCTION("""COMPUTED_VALUE"""),"Segundo Semestre 2021")</f>
        <v>Segundo Semestre 2021</v>
      </c>
      <c r="AR570" s="27" t="str">
        <f ca="1">IFERROR(__xludf.DUMMYFUNCTION("""COMPUTED_VALUE"""),"gabriela@semprecrianca.org")</f>
        <v>gabriela@semprecrianca.org</v>
      </c>
      <c r="AS570" s="27" t="str">
        <f ca="1">IFERROR(__xludf.DUMMYFUNCTION("""COMPUTED_VALUE"""),"(21)99934-9462")</f>
        <v>(21)99934-9462</v>
      </c>
      <c r="AT570" s="29">
        <f ca="1">IFERROR(__xludf.DUMMYFUNCTION("""COMPUTED_VALUE"""),32222)</f>
        <v>32222</v>
      </c>
      <c r="AU570" s="27">
        <f ca="1">IFERROR(__xludf.DUMMYFUNCTION("""COMPUTED_VALUE"""),34)</f>
        <v>34</v>
      </c>
      <c r="AV570" s="27">
        <f ca="1">IFERROR(__xludf.DUMMYFUNCTION("""COMPUTED_VALUE"""),12412726701)</f>
        <v>12412726701</v>
      </c>
      <c r="AW570" s="27">
        <f ca="1">IFERROR(__xludf.DUMMYFUNCTION("""COMPUTED_VALUE"""),212729610)</f>
        <v>212729610</v>
      </c>
      <c r="AX570" s="27"/>
      <c r="AY570" s="27"/>
      <c r="AZ570" s="27" t="str">
        <f ca="1">IFERROR(__xludf.DUMMYFUNCTION("""COMPUTED_VALUE"""),"G")</f>
        <v>G</v>
      </c>
      <c r="BA570" s="27" t="str">
        <f ca="1">IFERROR(__xludf.DUMMYFUNCTION("""COMPUTED_VALUE"""),"Branca")</f>
        <v>Branca</v>
      </c>
      <c r="BB570" s="27" t="str">
        <f ca="1">IFERROR(__xludf.DUMMYFUNCTION("""COMPUTED_VALUE"""),"Mulher, cisgênero")</f>
        <v>Mulher, cisgênero</v>
      </c>
      <c r="BC570" s="27" t="str">
        <f ca="1">IFERROR(__xludf.DUMMYFUNCTION("""COMPUTED_VALUE"""),"Não")</f>
        <v>Não</v>
      </c>
      <c r="BD570" s="27" t="str">
        <f ca="1">IFERROR(__xludf.DUMMYFUNCTION("""COMPUTED_VALUE"""),"Tenho formação  em Biomedicina tendo atuado na área acadêmica desde a graduação, sempre com ênfase em Microbiologia e Saúde Pública. 
No entanto, desde agosto 2007 vivencio diariamente o voluntariado em prol da transformação social pelo Sempre Criança, so"&amp;"bretudo na divulgação do voluntariado e da cultura da doação entre voluntários e empresas, além do apoio à cultura, esporte e educação.")</f>
        <v>Tenho formação  em Biomedicina tendo atuado na área acadêmica desde a graduação, sempre com ênfase em Microbiologia e Saúde Pública. 
No entanto, desde agosto 2007 vivencio diariamente o voluntariado em prol da transformação social pelo Sempre Criança, sobretudo na divulgação do voluntariado e da cultura da doação entre voluntários e empresas, além do apoio à cultura, esporte e educação.</v>
      </c>
      <c r="BE570" s="27"/>
      <c r="BF570" s="27" t="str">
        <f ca="1">IFERROR(__xludf.DUMMYFUNCTION("""COMPUTED_VALUE"""),"Heterossexual")</f>
        <v>Heterossexual</v>
      </c>
      <c r="BG570" s="27" t="str">
        <f ca="1">IFERROR(__xludf.DUMMYFUNCTION("""COMPUTED_VALUE"""),"Ensino Superior - Completo")</f>
        <v>Ensino Superior - Completo</v>
      </c>
      <c r="BH570" s="27" t="str">
        <f ca="1">IFERROR(__xludf.DUMMYFUNCTION("""COMPUTED_VALUE"""),"Privado")</f>
        <v>Privado</v>
      </c>
      <c r="BI570" s="27" t="str">
        <f ca="1">IFERROR(__xludf.DUMMYFUNCTION("""COMPUTED_VALUE"""),"Mestrado")</f>
        <v>Mestrado</v>
      </c>
      <c r="BJ570" s="27" t="str">
        <f ca="1">IFERROR(__xludf.DUMMYFUNCTION("""COMPUTED_VALUE"""),"Público")</f>
        <v>Público</v>
      </c>
      <c r="BK570" s="27" t="str">
        <f ca="1">IFERROR(__xludf.DUMMYFUNCTION("""COMPUTED_VALUE"""),"Geraldo Martins")</f>
        <v>Geraldo Martins</v>
      </c>
      <c r="BL570" s="27">
        <f ca="1">IFERROR(__xludf.DUMMYFUNCTION("""COMPUTED_VALUE"""),241)</f>
        <v>241</v>
      </c>
      <c r="BM570" s="27">
        <f ca="1">IFERROR(__xludf.DUMMYFUNCTION("""COMPUTED_VALUE"""),202)</f>
        <v>202</v>
      </c>
      <c r="BN570" s="27" t="str">
        <f ca="1">IFERROR(__xludf.DUMMYFUNCTION("""COMPUTED_VALUE"""),"Niterói")</f>
        <v>Niterói</v>
      </c>
      <c r="BO570" s="27" t="str">
        <f ca="1">IFERROR(__xludf.DUMMYFUNCTION("""COMPUTED_VALUE"""),"24220-380")</f>
        <v>24220-380</v>
      </c>
      <c r="BP570" s="27" t="str">
        <f ca="1">IFERROR(__xludf.DUMMYFUNCTION("""COMPUTED_VALUE"""),"RJ")</f>
        <v>RJ</v>
      </c>
      <c r="BQ570" s="27" t="str">
        <f ca="1">IFERROR(__xludf.DUMMYFUNCTION("""COMPUTED_VALUE"""),"Entre 1 até 3 salários mínimos")</f>
        <v>Entre 1 até 3 salários mínimos</v>
      </c>
      <c r="BR570" s="27" t="str">
        <f ca="1">IFERROR(__xludf.DUMMYFUNCTION("""COMPUTED_VALUE"""),"CLT")</f>
        <v>CLT</v>
      </c>
      <c r="BS570" s="27" t="str">
        <f ca="1">IFERROR(__xludf.DUMMYFUNCTION("""COMPUTED_VALUE"""),"Aluguel")</f>
        <v>Aluguel</v>
      </c>
      <c r="BT570" s="27">
        <f ca="1">IFERROR(__xludf.DUMMYFUNCTION("""COMPUTED_VALUE"""),3)</f>
        <v>3</v>
      </c>
      <c r="BU570" s="27" t="str">
        <f ca="1">IFERROR(__xludf.DUMMYFUNCTION("""COMPUTED_VALUE"""),"Não tem")</f>
        <v>Não tem</v>
      </c>
      <c r="BV570" s="27"/>
      <c r="BW570" s="21" t="str">
        <f ca="1">IFERROR(__xludf.DUMMYFUNCTION("""COMPUTED_VALUE"""),"https://www.linkedin.com/in/gabriela-veras-3b2879108/")</f>
        <v>https://www.linkedin.com/in/gabriela-veras-3b2879108/</v>
      </c>
      <c r="BX570" s="21" t="str">
        <f ca="1">IFERROR(__xludf.DUMMYFUNCTION("""COMPUTED_VALUE"""),"https://www.instagram.com/gabiiveras/")</f>
        <v>https://www.instagram.com/gabiiveras/</v>
      </c>
      <c r="BY570" s="21" t="str">
        <f ca="1">IFERROR(__xludf.DUMMYFUNCTION("""COMPUTED_VALUE"""),"https://drive.google.com/open?id=1JX1j7zdYz78QRqW-MRqw8f307d1MX0BT")</f>
        <v>https://drive.google.com/open?id=1JX1j7zdYz78QRqW-MRqw8f307d1MX0BT</v>
      </c>
    </row>
    <row r="571" spans="1:77" ht="12.5" x14ac:dyDescent="0.25">
      <c r="A571" s="21" t="str">
        <f ca="1">IFERROR(__xludf.DUMMYFUNCTION("""COMPUTED_VALUE"""),"0014P00003YSp9kQAD")</f>
        <v>0014P00003YSp9kQAD</v>
      </c>
      <c r="B571" s="27" t="str">
        <f ca="1">IFERROR(__xludf.DUMMYFUNCTION("""COMPUTED_VALUE"""),"Fase Inicial")</f>
        <v>Fase Inicial</v>
      </c>
      <c r="C571" s="27" t="str">
        <f ca="1">IFERROR(__xludf.DUMMYFUNCTION("""COMPUTED_VALUE"""),"Fellow")</f>
        <v>Fellow</v>
      </c>
      <c r="D571" s="27" t="str">
        <f ca="1">IFERROR(__xludf.DUMMYFUNCTION("""COMPUTED_VALUE"""),"Ativo")</f>
        <v>Ativo</v>
      </c>
      <c r="E571" s="27" t="str">
        <f ca="1">IFERROR(__xludf.DUMMYFUNCTION("""COMPUTED_VALUE"""),"Sociedade beneficiente Israelita Brasileira Talmud Thora")</f>
        <v>Sociedade beneficiente Israelita Brasileira Talmud Thora</v>
      </c>
      <c r="F571" s="27" t="str">
        <f ca="1">IFERROR(__xludf.DUMMYFUNCTION("""COMPUTED_VALUE"""),"Leila")</f>
        <v>Leila</v>
      </c>
      <c r="G571" s="27" t="str">
        <f ca="1">IFERROR(__xludf.DUMMYFUNCTION("""COMPUTED_VALUE"""),"Cerzindo")</f>
        <v>Cerzindo</v>
      </c>
      <c r="H571" s="27" t="str">
        <f ca="1">IFERROR(__xludf.DUMMYFUNCTION("""COMPUTED_VALUE"""),"62.108.188/0001-43")</f>
        <v>62.108.188/0001-43</v>
      </c>
      <c r="I571" s="27" t="str">
        <f ca="1">IFERROR(__xludf.DUMMYFUNCTION("""COMPUTED_VALUE"""),"Geazlieb Begun")</f>
        <v>Geazlieb Begun</v>
      </c>
      <c r="J571" s="27" t="str">
        <f ca="1">IFERROR(__xludf.DUMMYFUNCTION("""COMPUTED_VALUE"""),"leila@cerzindo.org.br")</f>
        <v>leila@cerzindo.org.br</v>
      </c>
      <c r="K571" s="27" t="str">
        <f ca="1">IFERROR(__xludf.DUMMYFUNCTION("""COMPUTED_VALUE"""),"(11)96552-5786")</f>
        <v>(11)96552-5786</v>
      </c>
      <c r="L571" s="27" t="str">
        <f ca="1">IFERROR(__xludf.DUMMYFUNCTION("""COMPUTED_VALUE"""),"SP")</f>
        <v>SP</v>
      </c>
      <c r="M571" s="27" t="str">
        <f ca="1">IFERROR(__xludf.DUMMYFUNCTION("""COMPUTED_VALUE"""),"Talmud Torá")</f>
        <v>Talmud Torá</v>
      </c>
      <c r="N571" s="27" t="str">
        <f ca="1">IFERROR(__xludf.DUMMYFUNCTION("""COMPUTED_VALUE"""),"Bom Retiro")</f>
        <v>Bom Retiro</v>
      </c>
      <c r="O571" s="27">
        <f ca="1">IFERROR(__xludf.DUMMYFUNCTION("""COMPUTED_VALUE"""),296)</f>
        <v>296</v>
      </c>
      <c r="P571" s="27" t="str">
        <f ca="1">IFERROR(__xludf.DUMMYFUNCTION("""COMPUTED_VALUE"""),"São Paulo")</f>
        <v>São Paulo</v>
      </c>
      <c r="Q571" s="27"/>
      <c r="R571" s="27" t="str">
        <f ca="1">IFERROR(__xludf.DUMMYFUNCTION("""COMPUTED_VALUE"""),"01126-020")</f>
        <v>01126-020</v>
      </c>
      <c r="S571" s="27"/>
      <c r="T571" s="27" t="str">
        <f ca="1">IFERROR(__xludf.DUMMYFUNCTION("""COMPUTED_VALUE"""),"Educação; Empregabilidade; Assistência Social; Qualificação Profissional; Empreendedorismo; Meio ambiente; Empoderamento Feminino; Negócios Sociais; Defesa de Direitos; Assistência Psicológica")</f>
        <v>Educação; Empregabilidade; Assistência Social; Qualificação Profissional; Empreendedorismo; Meio ambiente; Empoderamento Feminino; Negócios Sociais; Defesa de Direitos; Assistência Psicológica</v>
      </c>
      <c r="U571" s="27" t="str">
        <f ca="1">IFERROR(__xludf.DUMMYFUNCTION("""COMPUTED_VALUE"""),"Adolescentes (12 aos 18 anos); Jovens (18 aos 24 anos); Adultos; Idosos (60 anos ou mais)")</f>
        <v>Adolescentes (12 aos 18 anos); Jovens (18 aos 24 anos); Adultos; Idosos (60 anos ou mais)</v>
      </c>
      <c r="V571" s="27" t="str">
        <f ca="1">IFERROR(__xludf.DUMMYFUNCTION("""COMPUTED_VALUE"""),"Imigrantes; Refugiados")</f>
        <v>Imigrantes; Refugiados</v>
      </c>
      <c r="W571" s="27">
        <f ca="1">IFERROR(__xludf.DUMMYFUNCTION("""COMPUTED_VALUE"""),20)</f>
        <v>20</v>
      </c>
      <c r="X571" s="27" t="str">
        <f ca="1">IFERROR(__xludf.DUMMYFUNCTION("""COMPUTED_VALUE"""),"Refugiados e imigrantes")</f>
        <v>Refugiados e imigrantes</v>
      </c>
      <c r="Y571" s="27"/>
      <c r="Z571" s="27">
        <f ca="1">IFERROR(__xludf.DUMMYFUNCTION("""COMPUTED_VALUE"""),500)</f>
        <v>500</v>
      </c>
      <c r="AA571" s="29">
        <f ca="1">IFERROR(__xludf.DUMMYFUNCTION("""COMPUTED_VALUE"""),26077)</f>
        <v>26077</v>
      </c>
      <c r="AB571" s="27" t="str">
        <f ca="1">IFERROR(__xludf.DUMMYFUNCTION("""COMPUTED_VALUE"""),"Sim")</f>
        <v>Sim</v>
      </c>
      <c r="AC571" s="27">
        <f ca="1">IFERROR(__xludf.DUMMYFUNCTION("""COMPUTED_VALUE"""),8)</f>
        <v>8</v>
      </c>
      <c r="AD571" s="27">
        <f ca="1">IFERROR(__xludf.DUMMYFUNCTION("""COMPUTED_VALUE"""),3)</f>
        <v>3</v>
      </c>
      <c r="AE571" s="27">
        <f ca="1">IFERROR(__xludf.DUMMYFUNCTION("""COMPUTED_VALUE"""),4)</f>
        <v>4</v>
      </c>
      <c r="AF571" s="27">
        <f ca="1">IFERROR(__xludf.DUMMYFUNCTION("""COMPUTED_VALUE"""),3)</f>
        <v>3</v>
      </c>
      <c r="AG571" s="27">
        <f ca="1">IFERROR(__xludf.DUMMYFUNCTION("""COMPUTED_VALUE"""),3)</f>
        <v>3</v>
      </c>
      <c r="AH571" s="27" t="str">
        <f ca="1">IFERROR(__xludf.DUMMYFUNCTION("""COMPUTED_VALUE"""),"Lei de Incentivo; Negócio Social; Doações")</f>
        <v>Lei de Incentivo; Negócio Social; Doações</v>
      </c>
      <c r="AI571" s="27" t="str">
        <f ca="1">IFERROR(__xludf.DUMMYFUNCTION("""COMPUTED_VALUE"""),"70% CONDECA 30% bazar social")</f>
        <v>70% CONDECA 30% bazar social</v>
      </c>
      <c r="AJ571" s="27"/>
      <c r="AK571" s="27"/>
      <c r="AL571" s="21" t="str">
        <f ca="1">IFERROR(__xludf.DUMMYFUNCTION("""COMPUTED_VALUE"""),"0034P000045kxkM")</f>
        <v>0034P000045kxkM</v>
      </c>
      <c r="AM571" s="27" t="str">
        <f ca="1">IFERROR(__xludf.DUMMYFUNCTION("""COMPUTED_VALUE"""),"Stungis")</f>
        <v>Stungis</v>
      </c>
      <c r="AN571" s="27" t="str">
        <f ca="1">IFERROR(__xludf.DUMMYFUNCTION("""COMPUTED_VALUE"""),"Ativo")</f>
        <v>Ativo</v>
      </c>
      <c r="AO571" s="30">
        <f ca="1">IFERROR(__xludf.DUMMYFUNCTION("""COMPUTED_VALUE"""),44551)</f>
        <v>44551</v>
      </c>
      <c r="AP571" s="27">
        <f ca="1">IFERROR(__xludf.DUMMYFUNCTION("""COMPUTED_VALUE"""),9)</f>
        <v>9</v>
      </c>
      <c r="AQ571" s="27" t="str">
        <f ca="1">IFERROR(__xludf.DUMMYFUNCTION("""COMPUTED_VALUE"""),"Segundo Semestre 2021")</f>
        <v>Segundo Semestre 2021</v>
      </c>
      <c r="AR571" s="27" t="str">
        <f ca="1">IFERROR(__xludf.DUMMYFUNCTION("""COMPUTED_VALUE"""),"leilastungis@gmail.com")</f>
        <v>leilastungis@gmail.com</v>
      </c>
      <c r="AS571" s="27" t="str">
        <f ca="1">IFERROR(__xludf.DUMMYFUNCTION("""COMPUTED_VALUE"""),"(11)96552-5786")</f>
        <v>(11)96552-5786</v>
      </c>
      <c r="AT571" s="29">
        <f ca="1">IFERROR(__xludf.DUMMYFUNCTION("""COMPUTED_VALUE"""),29400)</f>
        <v>29400</v>
      </c>
      <c r="AU571" s="27">
        <f ca="1">IFERROR(__xludf.DUMMYFUNCTION("""COMPUTED_VALUE"""),42)</f>
        <v>42</v>
      </c>
      <c r="AV571" s="27">
        <f ca="1">IFERROR(__xludf.DUMMYFUNCTION("""COMPUTED_VALUE"""),28820144816)</f>
        <v>28820144816</v>
      </c>
      <c r="AW571" s="27">
        <f ca="1">IFERROR(__xludf.DUMMYFUNCTION("""COMPUTED_VALUE"""),305288623)</f>
        <v>305288623</v>
      </c>
      <c r="AX571" s="27"/>
      <c r="AY571" s="27"/>
      <c r="AZ571" s="27" t="str">
        <f ca="1">IFERROR(__xludf.DUMMYFUNCTION("""COMPUTED_VALUE"""),"P")</f>
        <v>P</v>
      </c>
      <c r="BA571" s="27" t="str">
        <f ca="1">IFERROR(__xludf.DUMMYFUNCTION("""COMPUTED_VALUE"""),"Branca")</f>
        <v>Branca</v>
      </c>
      <c r="BB571" s="27" t="str">
        <f ca="1">IFERROR(__xludf.DUMMYFUNCTION("""COMPUTED_VALUE"""),"Mulher, cisgênero")</f>
        <v>Mulher, cisgênero</v>
      </c>
      <c r="BC571" s="27" t="str">
        <f ca="1">IFERROR(__xludf.DUMMYFUNCTION("""COMPUTED_VALUE"""),"Sim")</f>
        <v>Sim</v>
      </c>
      <c r="BD571" s="27" t="str">
        <f ca="1">IFERROR(__xludf.DUMMYFUNCTION("""COMPUTED_VALUE"""),"Atuo no terceiro setor desde 2007, hoje como Coordenadora de projetos de apoio e formação para refugiados e imigrantes na cidade de São Paulo. Tenho experiência em projetos para disseminação de conhecimentos sobre prevenção à ISTs, Hepatites Virais e HIV/"&amp;"Aids e direitos de pessoas vivendo com HIV/Aids. Integrei a equipe do Centro de Referência e Defesa da Diversidade como Técnica Especializada, a organização Ação Fome Zero como Analista de Comunicação e a Fundação Dorina Nowill para Cegos.")</f>
        <v>Atuo no terceiro setor desde 2007, hoje como Coordenadora de projetos de apoio e formação para refugiados e imigrantes na cidade de São Paulo. Tenho experiência em projetos para disseminação de conhecimentos sobre prevenção à ISTs, Hepatites Virais e HIV/Aids e direitos de pessoas vivendo com HIV/Aids. Integrei a equipe do Centro de Referência e Defesa da Diversidade como Técnica Especializada, a organização Ação Fome Zero como Analista de Comunicação e a Fundação Dorina Nowill para Cegos.</v>
      </c>
      <c r="BE571" s="27"/>
      <c r="BF571" s="27" t="str">
        <f ca="1">IFERROR(__xludf.DUMMYFUNCTION("""COMPUTED_VALUE"""),"Heterossexual")</f>
        <v>Heterossexual</v>
      </c>
      <c r="BG571" s="27" t="str">
        <f ca="1">IFERROR(__xludf.DUMMYFUNCTION("""COMPUTED_VALUE"""),"Ensino Superior - Completo")</f>
        <v>Ensino Superior - Completo</v>
      </c>
      <c r="BH571" s="27" t="str">
        <f ca="1">IFERROR(__xludf.DUMMYFUNCTION("""COMPUTED_VALUE"""),"Público")</f>
        <v>Público</v>
      </c>
      <c r="BI571" s="27" t="str">
        <f ca="1">IFERROR(__xludf.DUMMYFUNCTION("""COMPUTED_VALUE"""),"Pós-Graduação")</f>
        <v>Pós-Graduação</v>
      </c>
      <c r="BJ571" s="27" t="str">
        <f ca="1">IFERROR(__xludf.DUMMYFUNCTION("""COMPUTED_VALUE"""),"Privado")</f>
        <v>Privado</v>
      </c>
      <c r="BK571" s="27" t="str">
        <f ca="1">IFERROR(__xludf.DUMMYFUNCTION("""COMPUTED_VALUE"""),"Avenida Barro Branco")</f>
        <v>Avenida Barro Branco</v>
      </c>
      <c r="BL571" s="27">
        <f ca="1">IFERROR(__xludf.DUMMYFUNCTION("""COMPUTED_VALUE"""),627)</f>
        <v>627</v>
      </c>
      <c r="BM571" s="27"/>
      <c r="BN571" s="27" t="str">
        <f ca="1">IFERROR(__xludf.DUMMYFUNCTION("""COMPUTED_VALUE"""),"São Paulo")</f>
        <v>São Paulo</v>
      </c>
      <c r="BO571" s="27" t="str">
        <f ca="1">IFERROR(__xludf.DUMMYFUNCTION("""COMPUTED_VALUE"""),"04324-090")</f>
        <v>04324-090</v>
      </c>
      <c r="BP571" s="27" t="str">
        <f ca="1">IFERROR(__xludf.DUMMYFUNCTION("""COMPUTED_VALUE"""),"SP")</f>
        <v>SP</v>
      </c>
      <c r="BQ571" s="27" t="str">
        <f ca="1">IFERROR(__xludf.DUMMYFUNCTION("""COMPUTED_VALUE"""),"De 3 até 5 salários mínimos")</f>
        <v>De 3 até 5 salários mínimos</v>
      </c>
      <c r="BR571" s="27" t="str">
        <f ca="1">IFERROR(__xludf.DUMMYFUNCTION("""COMPUTED_VALUE"""),"CLT")</f>
        <v>CLT</v>
      </c>
      <c r="BS571" s="27" t="str">
        <f ca="1">IFERROR(__xludf.DUMMYFUNCTION("""COMPUTED_VALUE"""),"Aluguel")</f>
        <v>Aluguel</v>
      </c>
      <c r="BT571" s="27">
        <f ca="1">IFERROR(__xludf.DUMMYFUNCTION("""COMPUTED_VALUE"""),3)</f>
        <v>3</v>
      </c>
      <c r="BU571" s="27" t="str">
        <f ca="1">IFERROR(__xludf.DUMMYFUNCTION("""COMPUTED_VALUE"""),"Não tem")</f>
        <v>Não tem</v>
      </c>
      <c r="BV571" s="27"/>
      <c r="BW571" s="21" t="str">
        <f ca="1">IFERROR(__xludf.DUMMYFUNCTION("""COMPUTED_VALUE"""),"https://www.linkedin.com/in/leila-stungis/")</f>
        <v>https://www.linkedin.com/in/leila-stungis/</v>
      </c>
      <c r="BX571" s="27" t="str">
        <f ca="1">IFERROR(__xludf.DUMMYFUNCTION("""COMPUTED_VALUE"""),"@leilastungis")</f>
        <v>@leilastungis</v>
      </c>
      <c r="BY571" s="21" t="str">
        <f ca="1">IFERROR(__xludf.DUMMYFUNCTION("""COMPUTED_VALUE"""),"https://drive.google.com/open?id=1aJMhjSJo7bimfXEZeE06v_OkJuecINRE")</f>
        <v>https://drive.google.com/open?id=1aJMhjSJo7bimfXEZeE06v_OkJuecINRE</v>
      </c>
    </row>
    <row r="572" spans="1:77" ht="12.5" x14ac:dyDescent="0.25">
      <c r="A572" s="21" t="str">
        <f ca="1">IFERROR(__xludf.DUMMYFUNCTION("""COMPUTED_VALUE"""),"0014P00003AN2FhQAL")</f>
        <v>0014P00003AN2FhQAL</v>
      </c>
      <c r="B572" s="27" t="str">
        <f ca="1">IFERROR(__xludf.DUMMYFUNCTION("""COMPUTED_VALUE"""),"Fase Inicial")</f>
        <v>Fase Inicial</v>
      </c>
      <c r="C572" s="27" t="str">
        <f ca="1">IFERROR(__xludf.DUMMYFUNCTION("""COMPUTED_VALUE"""),"Fellow")</f>
        <v>Fellow</v>
      </c>
      <c r="D572" s="27" t="str">
        <f ca="1">IFERROR(__xludf.DUMMYFUNCTION("""COMPUTED_VALUE"""),"Ativo")</f>
        <v>Ativo</v>
      </c>
      <c r="E572" s="27" t="str">
        <f ca="1">IFERROR(__xludf.DUMMYFUNCTION("""COMPUTED_VALUE"""),"Sociedade Cultural Projeto Luar")</f>
        <v>Sociedade Cultural Projeto Luar</v>
      </c>
      <c r="F572" s="27" t="str">
        <f ca="1">IFERROR(__xludf.DUMMYFUNCTION("""COMPUTED_VALUE"""),"Walderson")</f>
        <v>Walderson</v>
      </c>
      <c r="G572" s="27"/>
      <c r="H572" s="27" t="str">
        <f ca="1">IFERROR(__xludf.DUMMYFUNCTION("""COMPUTED_VALUE"""),"03.395.393/0001-78")</f>
        <v>03.395.393/0001-78</v>
      </c>
      <c r="I572" s="27"/>
      <c r="J572" s="27"/>
      <c r="K572" s="27"/>
      <c r="L572" s="27" t="str">
        <f ca="1">IFERROR(__xludf.DUMMYFUNCTION("""COMPUTED_VALUE"""),"PB")</f>
        <v>PB</v>
      </c>
      <c r="M572" s="27" t="str">
        <f ca="1">IFERROR(__xludf.DUMMYFUNCTION("""COMPUTED_VALUE"""),"lalaal")</f>
        <v>lalaal</v>
      </c>
      <c r="N572" s="27"/>
      <c r="O572" s="27" t="str">
        <f ca="1">IFERROR(__xludf.DUMMYFUNCTION("""COMPUTED_VALUE"""),"(21)97163-4897")</f>
        <v>(21)97163-4897</v>
      </c>
      <c r="P572" s="27" t="str">
        <f ca="1">IFERROR(__xludf.DUMMYFUNCTION("""COMPUTED_VALUE"""),"oiahui")</f>
        <v>oiahui</v>
      </c>
      <c r="Q572" s="27"/>
      <c r="R572" s="27" t="str">
        <f ca="1">IFERROR(__xludf.DUMMYFUNCTION("""COMPUTED_VALUE"""),"22010-010")</f>
        <v>22010-010</v>
      </c>
      <c r="S572" s="27" t="str">
        <f ca="1">IFERROR(__xludf.DUMMYFUNCTION("""COMPUTED_VALUE"""),"Atendemos a comunidade de Ana Clara no espaço da Creche Comunitária Santa Clara - Rua Senador Acher s/n - Jardim Balneário Ana Clara")</f>
        <v>Atendemos a comunidade de Ana Clara no espaço da Creche Comunitária Santa Clara - Rua Senador Acher s/n - Jardim Balneário Ana Clara</v>
      </c>
      <c r="T572" s="27" t="str">
        <f ca="1">IFERROR(__xludf.DUMMYFUNCTION("""COMPUTED_VALUE"""),"Educação")</f>
        <v>Educação</v>
      </c>
      <c r="U572" s="27" t="str">
        <f ca="1">IFERROR(__xludf.DUMMYFUNCTION("""COMPUTED_VALUE"""),"Idosos (60 anos ou mais)")</f>
        <v>Idosos (60 anos ou mais)</v>
      </c>
      <c r="V572" s="27" t="str">
        <f ca="1">IFERROR(__xludf.DUMMYFUNCTION("""COMPUTED_VALUE"""),"Pessoas com Deficiência")</f>
        <v>Pessoas com Deficiência</v>
      </c>
      <c r="W572" s="27">
        <f ca="1">IFERROR(__xludf.DUMMYFUNCTION("""COMPUTED_VALUE"""),3)</f>
        <v>3</v>
      </c>
      <c r="X572" s="27"/>
      <c r="Y572" s="27"/>
      <c r="Z572" s="27"/>
      <c r="AA572" s="29">
        <f ca="1">IFERROR(__xludf.DUMMYFUNCTION("""COMPUTED_VALUE"""),36001)</f>
        <v>36001</v>
      </c>
      <c r="AB572" s="27" t="str">
        <f ca="1">IFERROR(__xludf.DUMMYFUNCTION("""COMPUTED_VALUE"""),"Sim")</f>
        <v>Sim</v>
      </c>
      <c r="AC572" s="27">
        <f ca="1">IFERROR(__xludf.DUMMYFUNCTION("""COMPUTED_VALUE"""),3)</f>
        <v>3</v>
      </c>
      <c r="AD572" s="27">
        <f ca="1">IFERROR(__xludf.DUMMYFUNCTION("""COMPUTED_VALUE"""),3)</f>
        <v>3</v>
      </c>
      <c r="AE572" s="27">
        <f ca="1">IFERROR(__xludf.DUMMYFUNCTION("""COMPUTED_VALUE"""),3)</f>
        <v>3</v>
      </c>
      <c r="AF572" s="27">
        <f ca="1">IFERROR(__xludf.DUMMYFUNCTION("""COMPUTED_VALUE"""),3)</f>
        <v>3</v>
      </c>
      <c r="AG572" s="27">
        <f ca="1">IFERROR(__xludf.DUMMYFUNCTION("""COMPUTED_VALUE"""),3)</f>
        <v>3</v>
      </c>
      <c r="AH572" s="27" t="str">
        <f ca="1">IFERROR(__xludf.DUMMYFUNCTION("""COMPUTED_VALUE"""),"Negócio Social")</f>
        <v>Negócio Social</v>
      </c>
      <c r="AI572" s="27">
        <f ca="1">IFERROR(__xludf.DUMMYFUNCTION("""COMPUTED_VALUE"""),3)</f>
        <v>3</v>
      </c>
      <c r="AJ572" s="27" t="str">
        <f ca="1">IFERROR(__xludf.DUMMYFUNCTION("""COMPUTED_VALUE"""),"Não")</f>
        <v>Não</v>
      </c>
      <c r="AK572" s="27" t="str">
        <f ca="1">IFERROR(__xludf.DUMMYFUNCTION("""COMPUTED_VALUE"""),"Não")</f>
        <v>Não</v>
      </c>
      <c r="AL572" s="21" t="str">
        <f ca="1">IFERROR(__xludf.DUMMYFUNCTION("""COMPUTED_VALUE"""),"0034P00003maBV7")</f>
        <v>0034P00003maBV7</v>
      </c>
      <c r="AM572" s="27" t="str">
        <f ca="1">IFERROR(__xludf.DUMMYFUNCTION("""COMPUTED_VALUE"""),"Baptista Bonifácio")</f>
        <v>Baptista Bonifácio</v>
      </c>
      <c r="AN572" s="27" t="str">
        <f ca="1">IFERROR(__xludf.DUMMYFUNCTION("""COMPUTED_VALUE"""),"Ativo")</f>
        <v>Ativo</v>
      </c>
      <c r="AO572" s="29">
        <f ca="1">IFERROR(__xludf.DUMMYFUNCTION("""COMPUTED_VALUE"""),44375)</f>
        <v>44375</v>
      </c>
      <c r="AP572" s="27">
        <f ca="1">IFERROR(__xludf.DUMMYFUNCTION("""COMPUTED_VALUE"""),15)</f>
        <v>15</v>
      </c>
      <c r="AQ572" s="27" t="str">
        <f ca="1">IFERROR(__xludf.DUMMYFUNCTION("""COMPUTED_VALUE"""),"Segundo Semestre 2020")</f>
        <v>Segundo Semestre 2020</v>
      </c>
      <c r="AR572" s="27" t="str">
        <f ca="1">IFERROR(__xludf.DUMMYFUNCTION("""COMPUTED_VALUE"""),"coordenacaoluar@gmail.com")</f>
        <v>coordenacaoluar@gmail.com</v>
      </c>
      <c r="AS572" s="27">
        <f ca="1">IFERROR(__xludf.DUMMYFUNCTION("""COMPUTED_VALUE"""),21982769202)</f>
        <v>21982769202</v>
      </c>
      <c r="AT572" s="29">
        <f ca="1">IFERROR(__xludf.DUMMYFUNCTION("""COMPUTED_VALUE"""),27277)</f>
        <v>27277</v>
      </c>
      <c r="AU572" s="27">
        <f ca="1">IFERROR(__xludf.DUMMYFUNCTION("""COMPUTED_VALUE"""),48)</f>
        <v>48</v>
      </c>
      <c r="AV572" s="27">
        <f ca="1">IFERROR(__xludf.DUMMYFUNCTION("""COMPUTED_VALUE"""),7245794782)</f>
        <v>7245794782</v>
      </c>
      <c r="AW572" s="27">
        <f ca="1">IFERROR(__xludf.DUMMYFUNCTION("""COMPUTED_VALUE"""),93497659)</f>
        <v>93497659</v>
      </c>
      <c r="AX572" s="27" t="str">
        <f ca="1">IFERROR(__xludf.DUMMYFUNCTION("""COMPUTED_VALUE"""),"Artes Cênicas - Ator")</f>
        <v>Artes Cênicas - Ator</v>
      </c>
      <c r="AY572" s="27" t="str">
        <f ca="1">IFERROR(__xludf.DUMMYFUNCTION("""COMPUTED_VALUE"""),"Trabalho como Animador cultural em uma escola em regime de CLT com carga horaria de 10 horas semanais.  Na ONG cumpro 38 horas i")</f>
        <v>Trabalho como Animador cultural em uma escola em regime de CLT com carga horaria de 10 horas semanais.  Na ONG cumpro 38 horas i</v>
      </c>
      <c r="AZ572" s="27"/>
      <c r="BA572" s="27"/>
      <c r="BB572" s="27"/>
      <c r="BC572" s="27" t="str">
        <f ca="1">IFERROR(__xludf.DUMMYFUNCTION("""COMPUTED_VALUE"""),"Não")</f>
        <v>Não</v>
      </c>
      <c r="BD572" s="27"/>
      <c r="BE572" s="27"/>
      <c r="BF572" s="27"/>
      <c r="BG572" s="27"/>
      <c r="BH572" s="27"/>
      <c r="BI572" s="27"/>
      <c r="BJ572" s="27"/>
      <c r="BK572" s="27" t="str">
        <f ca="1">IFERROR(__xludf.DUMMYFUNCTION("""COMPUTED_VALUE"""),"Alameda Francisco de Miranda")</f>
        <v>Alameda Francisco de Miranda</v>
      </c>
      <c r="BL572" s="27">
        <f ca="1">IFERROR(__xludf.DUMMYFUNCTION("""COMPUTED_VALUE"""),11)</f>
        <v>11</v>
      </c>
      <c r="BM572" s="27"/>
      <c r="BN572" s="27" t="str">
        <f ca="1">IFERROR(__xludf.DUMMYFUNCTION("""COMPUTED_VALUE"""),"Duque de Caixa")</f>
        <v>Duque de Caixa</v>
      </c>
      <c r="BO572" s="27" t="str">
        <f ca="1">IFERROR(__xludf.DUMMYFUNCTION("""COMPUTED_VALUE"""),"57014-750")</f>
        <v>57014-750</v>
      </c>
      <c r="BP572" s="27" t="str">
        <f ca="1">IFERROR(__xludf.DUMMYFUNCTION("""COMPUTED_VALUE"""),"RJ")</f>
        <v>RJ</v>
      </c>
      <c r="BQ572" s="27"/>
      <c r="BR572" s="27"/>
      <c r="BS572" s="27"/>
      <c r="BT572" s="27"/>
      <c r="BU572" s="27"/>
      <c r="BV572" s="27"/>
      <c r="BW572" s="27"/>
      <c r="BX572" s="27"/>
      <c r="BY572" s="27"/>
    </row>
    <row r="573" spans="1:77" ht="12.5" x14ac:dyDescent="0.25">
      <c r="A573" s="21" t="str">
        <f ca="1">IFERROR(__xludf.DUMMYFUNCTION("""COMPUTED_VALUE"""),"0014P00003AN2GOQA1")</f>
        <v>0014P00003AN2GOQA1</v>
      </c>
      <c r="B573" s="27" t="str">
        <f ca="1">IFERROR(__xludf.DUMMYFUNCTION("""COMPUTED_VALUE"""),"Fase Estruturação")</f>
        <v>Fase Estruturação</v>
      </c>
      <c r="C573" s="27" t="str">
        <f ca="1">IFERROR(__xludf.DUMMYFUNCTION("""COMPUTED_VALUE"""),"Acelerada")</f>
        <v>Acelerada</v>
      </c>
      <c r="D573" s="27" t="str">
        <f ca="1">IFERROR(__xludf.DUMMYFUNCTION("""COMPUTED_VALUE"""),"Ativo")</f>
        <v>Ativo</v>
      </c>
      <c r="E573" s="27" t="str">
        <f ca="1">IFERROR(__xludf.DUMMYFUNCTION("""COMPUTED_VALUE"""),"Sociedade Espírita Trabalho e Esperança")</f>
        <v>Sociedade Espírita Trabalho e Esperança</v>
      </c>
      <c r="F573" s="27" t="str">
        <f ca="1">IFERROR(__xludf.DUMMYFUNCTION("""COMPUTED_VALUE"""),"Rafael")</f>
        <v>Rafael</v>
      </c>
      <c r="G573" s="27" t="str">
        <f ca="1">IFERROR(__xludf.DUMMYFUNCTION("""COMPUTED_VALUE"""),"SETE")</f>
        <v>SETE</v>
      </c>
      <c r="H573" s="27" t="str">
        <f ca="1">IFERROR(__xludf.DUMMYFUNCTION("""COMPUTED_VALUE"""),"02.846.496/0001-44")</f>
        <v>02.846.496/0001-44</v>
      </c>
      <c r="I573" s="27"/>
      <c r="J573" s="27" t="str">
        <f ca="1">IFERROR(__xludf.DUMMYFUNCTION("""COMPUTED_VALUE"""),"rafaelmarcelinooliveira@gmail.com")</f>
        <v>rafaelmarcelinooliveira@gmail.com</v>
      </c>
      <c r="K573" s="27" t="str">
        <f ca="1">IFERROR(__xludf.DUMMYFUNCTION("""COMPUTED_VALUE"""),"(62)98564-7849")</f>
        <v>(62)98564-7849</v>
      </c>
      <c r="L573" s="27" t="str">
        <f ca="1">IFERROR(__xludf.DUMMYFUNCTION("""COMPUTED_VALUE"""),"GO")</f>
        <v>GO</v>
      </c>
      <c r="M573" s="27" t="str">
        <f ca="1">IFERROR(__xludf.DUMMYFUNCTION("""COMPUTED_VALUE"""),"São Vicente esq. com Av. José Barbosa Reis")</f>
        <v>São Vicente esq. com Av. José Barbosa Reis</v>
      </c>
      <c r="N573" s="27" t="str">
        <f ca="1">IFERROR(__xludf.DUMMYFUNCTION("""COMPUTED_VALUE"""),"Setor Madre Germana II")</f>
        <v>Setor Madre Germana II</v>
      </c>
      <c r="O573" s="27" t="str">
        <f ca="1">IFERROR(__xludf.DUMMYFUNCTION("""COMPUTED_VALUE"""),"(62)98564-7849")</f>
        <v>(62)98564-7849</v>
      </c>
      <c r="P573" s="27" t="str">
        <f ca="1">IFERROR(__xludf.DUMMYFUNCTION("""COMPUTED_VALUE"""),"Goiânia")</f>
        <v>Goiânia</v>
      </c>
      <c r="Q573" s="27"/>
      <c r="R573" s="27" t="str">
        <f ca="1">IFERROR(__xludf.DUMMYFUNCTION("""COMPUTED_VALUE"""),"74354-838")</f>
        <v>74354-838</v>
      </c>
      <c r="S573" s="27"/>
      <c r="T573" s="27" t="str">
        <f ca="1">IFERROR(__xludf.DUMMYFUNCTION("""COMPUTED_VALUE"""),"Esporte; Educação; Assistência Social; Qualificação Profissional; Meio ambiente; Defesa de Direitos")</f>
        <v>Esporte; Educação; Assistência Social; Qualificação Profissional; Meio ambiente; Defesa de Direitos</v>
      </c>
      <c r="U573" s="27" t="str">
        <f ca="1">IFERROR(__xludf.DUMMYFUNCTION("""COMPUTED_VALUE"""),"Crianças (6 a 12 anos); Adolescentes (12 aos 18 anos); Jovens (18 aos 24 anos); Adultos; Idosos (60 anos ou mais)")</f>
        <v>Crianças (6 a 12 anos); Adolescentes (12 aos 18 anos); Jovens (18 aos 24 anos); Adultos; Idosos (60 anos ou mais)</v>
      </c>
      <c r="V573" s="27" t="str">
        <f ca="1">IFERROR(__xludf.DUMMYFUNCTION("""COMPUTED_VALUE"""),"Outros")</f>
        <v>Outros</v>
      </c>
      <c r="W573" s="27">
        <f ca="1">IFERROR(__xludf.DUMMYFUNCTION("""COMPUTED_VALUE"""),13)</f>
        <v>13</v>
      </c>
      <c r="X573" s="27"/>
      <c r="Y573" s="27"/>
      <c r="Z573" s="27"/>
      <c r="AA573" s="29">
        <f ca="1">IFERROR(__xludf.DUMMYFUNCTION("""COMPUTED_VALUE"""),34559)</f>
        <v>34559</v>
      </c>
      <c r="AB573" s="27" t="str">
        <f ca="1">IFERROR(__xludf.DUMMYFUNCTION("""COMPUTED_VALUE"""),"Sim")</f>
        <v>Sim</v>
      </c>
      <c r="AC573" s="27">
        <f ca="1">IFERROR(__xludf.DUMMYFUNCTION("""COMPUTED_VALUE"""),10)</f>
        <v>10</v>
      </c>
      <c r="AD573" s="27">
        <f ca="1">IFERROR(__xludf.DUMMYFUNCTION("""COMPUTED_VALUE"""),6)</f>
        <v>6</v>
      </c>
      <c r="AE573" s="27">
        <f ca="1">IFERROR(__xludf.DUMMYFUNCTION("""COMPUTED_VALUE"""),4)</f>
        <v>4</v>
      </c>
      <c r="AF573" s="27">
        <f ca="1">IFERROR(__xludf.DUMMYFUNCTION("""COMPUTED_VALUE"""),10)</f>
        <v>10</v>
      </c>
      <c r="AG573" s="27">
        <f ca="1">IFERROR(__xludf.DUMMYFUNCTION("""COMPUTED_VALUE"""),3)</f>
        <v>3</v>
      </c>
      <c r="AH573" s="27" t="str">
        <f ca="1">IFERROR(__xludf.DUMMYFUNCTION("""COMPUTED_VALUE"""),"Negócio Social; Convênio Público; Plataforma doação online - Pessoa Física; Parceria iniciativa privada; Editais; FIA")</f>
        <v>Negócio Social; Convênio Público; Plataforma doação online - Pessoa Física; Parceria iniciativa privada; Editais; FIA</v>
      </c>
      <c r="AI573" s="27" t="str">
        <f ca="1">IFERROR(__xludf.DUMMYFUNCTION("""COMPUTED_VALUE"""),"Não sabemos precisar esperando o DRE da Contabilidade.")</f>
        <v>Não sabemos precisar esperando o DRE da Contabilidade.</v>
      </c>
      <c r="AJ573" s="27" t="str">
        <f ca="1">IFERROR(__xludf.DUMMYFUNCTION("""COMPUTED_VALUE"""),"Não")</f>
        <v>Não</v>
      </c>
      <c r="AK573" s="27" t="str">
        <f ca="1">IFERROR(__xludf.DUMMYFUNCTION("""COMPUTED_VALUE"""),"Sim")</f>
        <v>Sim</v>
      </c>
      <c r="AL573" s="21" t="str">
        <f ca="1">IFERROR(__xludf.DUMMYFUNCTION("""COMPUTED_VALUE"""),"0034P00003maBVt")</f>
        <v>0034P00003maBVt</v>
      </c>
      <c r="AM573" s="27" t="str">
        <f ca="1">IFERROR(__xludf.DUMMYFUNCTION("""COMPUTED_VALUE"""),"Marcelino De Oliveira")</f>
        <v>Marcelino De Oliveira</v>
      </c>
      <c r="AN573" s="27" t="str">
        <f ca="1">IFERROR(__xludf.DUMMYFUNCTION("""COMPUTED_VALUE"""),"Ativo")</f>
        <v>Ativo</v>
      </c>
      <c r="AO573" s="29">
        <f ca="1">IFERROR(__xludf.DUMMYFUNCTION("""COMPUTED_VALUE"""),44474)</f>
        <v>44474</v>
      </c>
      <c r="AP573" s="27">
        <f ca="1">IFERROR(__xludf.DUMMYFUNCTION("""COMPUTED_VALUE"""),11)</f>
        <v>11</v>
      </c>
      <c r="AQ573" s="27" t="str">
        <f ca="1">IFERROR(__xludf.DUMMYFUNCTION("""COMPUTED_VALUE"""),"Segundo Semestre 2020")</f>
        <v>Segundo Semestre 2020</v>
      </c>
      <c r="AR573" s="27" t="str">
        <f ca="1">IFERROR(__xludf.DUMMYFUNCTION("""COMPUTED_VALUE"""),"coordenador@sete.org.br")</f>
        <v>coordenador@sete.org.br</v>
      </c>
      <c r="AS573" s="27" t="str">
        <f ca="1">IFERROR(__xludf.DUMMYFUNCTION("""COMPUTED_VALUE"""),"(62)98564-7849")</f>
        <v>(62)98564-7849</v>
      </c>
      <c r="AT573" s="29">
        <f ca="1">IFERROR(__xludf.DUMMYFUNCTION("""COMPUTED_VALUE"""),31957)</f>
        <v>31957</v>
      </c>
      <c r="AU573" s="27">
        <f ca="1">IFERROR(__xludf.DUMMYFUNCTION("""COMPUTED_VALUE"""),35)</f>
        <v>35</v>
      </c>
      <c r="AV573" s="27">
        <f ca="1">IFERROR(__xludf.DUMMYFUNCTION("""COMPUTED_VALUE"""),1425111106)</f>
        <v>1425111106</v>
      </c>
      <c r="AW573" s="27">
        <f ca="1">IFERROR(__xludf.DUMMYFUNCTION("""COMPUTED_VALUE"""),4859623)</f>
        <v>4859623</v>
      </c>
      <c r="AX573" s="27" t="str">
        <f ca="1">IFERROR(__xludf.DUMMYFUNCTION("""COMPUTED_VALUE"""),"Graduado em Musicoterapia pela Universidade Federal de Goiás e Especialista em Administração de Empresas pela Fundação Getúlio Vargas")</f>
        <v>Graduado em Musicoterapia pela Universidade Federal de Goiás e Especialista em Administração de Empresas pela Fundação Getúlio Vargas</v>
      </c>
      <c r="AY573" s="27"/>
      <c r="AZ573" s="27" t="str">
        <f ca="1">IFERROR(__xludf.DUMMYFUNCTION("""COMPUTED_VALUE"""),"G")</f>
        <v>G</v>
      </c>
      <c r="BA573" s="27"/>
      <c r="BB573" s="27"/>
      <c r="BC573" s="27" t="str">
        <f ca="1">IFERROR(__xludf.DUMMYFUNCTION("""COMPUTED_VALUE"""),"Sim")</f>
        <v>Sim</v>
      </c>
      <c r="BD573" s="27" t="str">
        <f ca="1">IFERROR(__xludf.DUMMYFUNCTION("""COMPUTED_VALUE"""),"Um cara determinado, resiliente e norteado pelo justo. Não uma justiça igualitária, mas uma justiça pautada na equidade! 
“Devemos tratar igualmente os iguais e desigualmente os desiguais na medida de sua desigualdade” Aristóteles.")</f>
        <v>Um cara determinado, resiliente e norteado pelo justo. Não uma justiça igualitária, mas uma justiça pautada na equidade! 
“Devemos tratar igualmente os iguais e desigualmente os desiguais na medida de sua desigualdade” Aristóteles.</v>
      </c>
      <c r="BE573" s="27"/>
      <c r="BF573" s="27"/>
      <c r="BG573" s="27" t="str">
        <f ca="1">IFERROR(__xludf.DUMMYFUNCTION("""COMPUTED_VALUE"""),"Ensino Superior - Completo")</f>
        <v>Ensino Superior - Completo</v>
      </c>
      <c r="BH573" s="27"/>
      <c r="BI573" s="27" t="str">
        <f ca="1">IFERROR(__xludf.DUMMYFUNCTION("""COMPUTED_VALUE"""),"Pós-Graduação")</f>
        <v>Pós-Graduação</v>
      </c>
      <c r="BJ573" s="27" t="str">
        <f ca="1">IFERROR(__xludf.DUMMYFUNCTION("""COMPUTED_VALUE"""),"Público")</f>
        <v>Público</v>
      </c>
      <c r="BK573" s="27" t="str">
        <f ca="1">IFERROR(__xludf.DUMMYFUNCTION("""COMPUTED_VALUE"""),"Da Charita")</f>
        <v>Da Charita</v>
      </c>
      <c r="BL573" s="27">
        <f ca="1">IFERROR(__xludf.DUMMYFUNCTION("""COMPUTED_VALUE"""),0)</f>
        <v>0</v>
      </c>
      <c r="BM573" s="27" t="str">
        <f ca="1">IFERROR(__xludf.DUMMYFUNCTION("""COMPUTED_VALUE"""),"Residencial New Liberty, Aptº 702 Jequitibá")</f>
        <v>Residencial New Liberty, Aptº 702 Jequitibá</v>
      </c>
      <c r="BN573" s="27" t="str">
        <f ca="1">IFERROR(__xludf.DUMMYFUNCTION("""COMPUTED_VALUE"""),"Goiânia")</f>
        <v>Goiânia</v>
      </c>
      <c r="BO573" s="27" t="str">
        <f ca="1">IFERROR(__xludf.DUMMYFUNCTION("""COMPUTED_VALUE"""),"74843-390")</f>
        <v>74843-390</v>
      </c>
      <c r="BP573" s="27" t="str">
        <f ca="1">IFERROR(__xludf.DUMMYFUNCTION("""COMPUTED_VALUE"""),"GO")</f>
        <v>GO</v>
      </c>
      <c r="BQ573" s="27" t="str">
        <f ca="1">IFERROR(__xludf.DUMMYFUNCTION("""COMPUTED_VALUE"""),"Acima de 5 salários mínimos")</f>
        <v>Acima de 5 salários mínimos</v>
      </c>
      <c r="BR573" s="27" t="str">
        <f ca="1">IFERROR(__xludf.DUMMYFUNCTION("""COMPUTED_VALUE"""),"CLT; MEI")</f>
        <v>CLT; MEI</v>
      </c>
      <c r="BS573" s="27" t="str">
        <f ca="1">IFERROR(__xludf.DUMMYFUNCTION("""COMPUTED_VALUE"""),"Casa própria")</f>
        <v>Casa própria</v>
      </c>
      <c r="BT573" s="27">
        <f ca="1">IFERROR(__xludf.DUMMYFUNCTION("""COMPUTED_VALUE"""),3)</f>
        <v>3</v>
      </c>
      <c r="BU573" s="27"/>
      <c r="BV573" s="27"/>
      <c r="BW573" s="21" t="str">
        <f ca="1">IFERROR(__xludf.DUMMYFUNCTION("""COMPUTED_VALUE"""),"https://www.linkedin.com/in/rafaelmarcelinooliver/")</f>
        <v>https://www.linkedin.com/in/rafaelmarcelinooliver/</v>
      </c>
      <c r="BX573" s="21" t="str">
        <f ca="1">IFERROR(__xludf.DUMMYFUNCTION("""COMPUTED_VALUE"""),"https://www.instagram.com/rafaelmarcelinooliveira/")</f>
        <v>https://www.instagram.com/rafaelmarcelinooliveira/</v>
      </c>
      <c r="BY573" s="21" t="str">
        <f ca="1">IFERROR(__xludf.DUMMYFUNCTION("""COMPUTED_VALUE"""),"https://drive.google.com/open?id=1LzwquS-Xehn6P_m5tLz5z6dJgq6SBz4-")</f>
        <v>https://drive.google.com/open?id=1LzwquS-Xehn6P_m5tLz5z6dJgq6SBz4-</v>
      </c>
    </row>
    <row r="574" spans="1:77" ht="12.5" x14ac:dyDescent="0.25">
      <c r="A574" s="21" t="str">
        <f ca="1">IFERROR(__xludf.DUMMYFUNCTION("""COMPUTED_VALUE"""),"0014X00002VKCu5QAH")</f>
        <v>0014X00002VKCu5QAH</v>
      </c>
      <c r="B574" s="27" t="str">
        <f ca="1">IFERROR(__xludf.DUMMYFUNCTION("""COMPUTED_VALUE"""),"Fase Inicial")</f>
        <v>Fase Inicial</v>
      </c>
      <c r="C574" s="27" t="str">
        <f ca="1">IFERROR(__xludf.DUMMYFUNCTION("""COMPUTED_VALUE"""),"Fellow")</f>
        <v>Fellow</v>
      </c>
      <c r="D574" s="27" t="str">
        <f ca="1">IFERROR(__xludf.DUMMYFUNCTION("""COMPUTED_VALUE"""),"Ativo")</f>
        <v>Ativo</v>
      </c>
      <c r="E574" s="27" t="str">
        <f ca="1">IFERROR(__xludf.DUMMYFUNCTION("""COMPUTED_VALUE"""),"Sociedade União da Vila dos Eucaliptos - SUVE")</f>
        <v>Sociedade União da Vila dos Eucaliptos - SUVE</v>
      </c>
      <c r="F574" s="27" t="str">
        <f ca="1">IFERROR(__xludf.DUMMYFUNCTION("""COMPUTED_VALUE"""),"Mario")</f>
        <v>Mario</v>
      </c>
      <c r="G574" s="27" t="str">
        <f ca="1">IFERROR(__xludf.DUMMYFUNCTION("""COMPUTED_VALUE"""),"ONG SUVE")</f>
        <v>ONG SUVE</v>
      </c>
      <c r="H574" s="27" t="str">
        <f ca="1">IFERROR(__xludf.DUMMYFUNCTION("""COMPUTED_VALUE"""),"93.711.398/0001-55")</f>
        <v>93.711.398/0001-55</v>
      </c>
      <c r="I574" s="27" t="str">
        <f ca="1">IFERROR(__xludf.DUMMYFUNCTION("""COMPUTED_VALUE"""),"Ilson Renato Gomes Marques")</f>
        <v>Ilson Renato Gomes Marques</v>
      </c>
      <c r="J574" s="27" t="str">
        <f ca="1">IFERROR(__xludf.DUMMYFUNCTION("""COMPUTED_VALUE"""),"ong.suve@yahoo.com.br")</f>
        <v>ong.suve@yahoo.com.br</v>
      </c>
      <c r="K574" s="27" t="str">
        <f ca="1">IFERROR(__xludf.DUMMYFUNCTION("""COMPUTED_VALUE"""),"(51)3387-7354")</f>
        <v>(51)3387-7354</v>
      </c>
      <c r="L574" s="27" t="str">
        <f ca="1">IFERROR(__xludf.DUMMYFUNCTION("""COMPUTED_VALUE"""),"RS")</f>
        <v>RS</v>
      </c>
      <c r="M574" s="27" t="str">
        <f ca="1">IFERROR(__xludf.DUMMYFUNCTION("""COMPUTED_VALUE"""),"Rua Millo Raffin")</f>
        <v>Rua Millo Raffin</v>
      </c>
      <c r="N574" s="27" t="str">
        <f ca="1">IFERROR(__xludf.DUMMYFUNCTION("""COMPUTED_VALUE"""),"Mario Quintana")</f>
        <v>Mario Quintana</v>
      </c>
      <c r="O574" s="27">
        <f ca="1">IFERROR(__xludf.DUMMYFUNCTION("""COMPUTED_VALUE"""),79)</f>
        <v>79</v>
      </c>
      <c r="P574" s="27" t="str">
        <f ca="1">IFERROR(__xludf.DUMMYFUNCTION("""COMPUTED_VALUE"""),"Porto Alegre")</f>
        <v>Porto Alegre</v>
      </c>
      <c r="Q574" s="27" t="str">
        <f ca="1">IFERROR(__xludf.DUMMYFUNCTION("""COMPUTED_VALUE"""),"Casa")</f>
        <v>Casa</v>
      </c>
      <c r="R574" s="27" t="str">
        <f ca="1">IFERROR(__xludf.DUMMYFUNCTION("""COMPUTED_VALUE"""),"91240-475")</f>
        <v>91240-475</v>
      </c>
      <c r="S574" s="27" t="str">
        <f ca="1">IFERROR(__xludf.DUMMYFUNCTION("""COMPUTED_VALUE"""),"Escola Espaço do Saber educação infantil
Parque Chico Mendes preservação ambiental")</f>
        <v>Escola Espaço do Saber educação infantil
Parque Chico Mendes preservação ambiental</v>
      </c>
      <c r="T574" s="27"/>
      <c r="U574"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574" s="27" t="str">
        <f ca="1">IFERROR(__xludf.DUMMYFUNCTION("""COMPUTED_VALUE"""),"Moradores de Favelas, População LGBTQ+, Quilombola, Afrodescendentes, Egressos sistema carcerário")</f>
        <v>Moradores de Favelas, População LGBTQ+, Quilombola, Afrodescendentes, Egressos sistema carcerário</v>
      </c>
      <c r="W574" s="27">
        <f ca="1">IFERROR(__xludf.DUMMYFUNCTION("""COMPUTED_VALUE"""),4)</f>
        <v>4</v>
      </c>
      <c r="X574" s="27" t="str">
        <f ca="1">IFERROR(__xludf.DUMMYFUNCTION("""COMPUTED_VALUE"""),"Atendemos diretamente 07 favelas* das 33 que compões nosso complexo. Realizando programa* projetos e ações com crianças* adolescentes* jovens e idosos.")</f>
        <v>Atendemos diretamente 07 favelas* das 33 que compões nosso complexo. Realizando programa* projetos e ações com crianças* adolescentes* jovens e idosos.</v>
      </c>
      <c r="Y574" s="27"/>
      <c r="Z574" s="27">
        <f ca="1">IFERROR(__xludf.DUMMYFUNCTION("""COMPUTED_VALUE"""),380)</f>
        <v>380</v>
      </c>
      <c r="AA574" s="29">
        <f ca="1">IFERROR(__xludf.DUMMYFUNCTION("""COMPUTED_VALUE"""),33141)</f>
        <v>33141</v>
      </c>
      <c r="AB574" s="27" t="str">
        <f ca="1">IFERROR(__xludf.DUMMYFUNCTION("""COMPUTED_VALUE"""),"Sim")</f>
        <v>Sim</v>
      </c>
      <c r="AC574" s="27">
        <f ca="1">IFERROR(__xludf.DUMMYFUNCTION("""COMPUTED_VALUE"""),17)</f>
        <v>17</v>
      </c>
      <c r="AD574" s="27">
        <f ca="1">IFERROR(__xludf.DUMMYFUNCTION("""COMPUTED_VALUE"""),14)</f>
        <v>14</v>
      </c>
      <c r="AE574" s="27">
        <f ca="1">IFERROR(__xludf.DUMMYFUNCTION("""COMPUTED_VALUE"""),11)</f>
        <v>11</v>
      </c>
      <c r="AF574" s="27">
        <f ca="1">IFERROR(__xludf.DUMMYFUNCTION("""COMPUTED_VALUE"""),9)</f>
        <v>9</v>
      </c>
      <c r="AG574" s="27">
        <f ca="1">IFERROR(__xludf.DUMMYFUNCTION("""COMPUTED_VALUE"""),4)</f>
        <v>4</v>
      </c>
      <c r="AH574" s="27" t="str">
        <f ca="1">IFERROR(__xludf.DUMMYFUNCTION("""COMPUTED_VALUE"""),"Convênio Público, Eventos/Ações para captação, Editais, Recursos próprios")</f>
        <v>Convênio Público, Eventos/Ações para captação, Editais, Recursos próprios</v>
      </c>
      <c r="AI574" s="27" t="str">
        <f ca="1">IFERROR(__xludf.DUMMYFUNCTION("""COMPUTED_VALUE"""),"Convênio público 50% recurso próprio 10% Editais 40%")</f>
        <v>Convênio público 50% recurso próprio 10% Editais 40%</v>
      </c>
      <c r="AJ574" s="27" t="str">
        <f ca="1">IFERROR(__xludf.DUMMYFUNCTION("""COMPUTED_VALUE"""),"Sim")</f>
        <v>Sim</v>
      </c>
      <c r="AK574" s="27"/>
      <c r="AL574" s="21" t="str">
        <f ca="1">IFERROR(__xludf.DUMMYFUNCTION("""COMPUTED_VALUE"""),"0034X0000380O4B")</f>
        <v>0034X0000380O4B</v>
      </c>
      <c r="AM574" s="27" t="str">
        <f ca="1">IFERROR(__xludf.DUMMYFUNCTION("""COMPUTED_VALUE"""),"Renato lima marques")</f>
        <v>Renato lima marques</v>
      </c>
      <c r="AN574" s="27" t="str">
        <f ca="1">IFERROR(__xludf.DUMMYFUNCTION("""COMPUTED_VALUE"""),"Ativo")</f>
        <v>Ativo</v>
      </c>
      <c r="AO574" s="29">
        <f ca="1">IFERROR(__xludf.DUMMYFUNCTION("""COMPUTED_VALUE"""),44763)</f>
        <v>44763</v>
      </c>
      <c r="AP574" s="27">
        <f ca="1">IFERROR(__xludf.DUMMYFUNCTION("""COMPUTED_VALUE"""),2)</f>
        <v>2</v>
      </c>
      <c r="AQ574" s="27" t="str">
        <f ca="1">IFERROR(__xludf.DUMMYFUNCTION("""COMPUTED_VALUE"""),"Primeiro Semestre 2022")</f>
        <v>Primeiro Semestre 2022</v>
      </c>
      <c r="AR574" s="27" t="str">
        <f ca="1">IFERROR(__xludf.DUMMYFUNCTION("""COMPUTED_VALUE"""),"mariorlm3@gmail.com")</f>
        <v>mariorlm3@gmail.com</v>
      </c>
      <c r="AS574" s="27" t="str">
        <f ca="1">IFERROR(__xludf.DUMMYFUNCTION("""COMPUTED_VALUE"""),"(51)99603-7709")</f>
        <v>(51)99603-7709</v>
      </c>
      <c r="AT574" s="29">
        <f ca="1">IFERROR(__xludf.DUMMYFUNCTION("""COMPUTED_VALUE"""),33329)</f>
        <v>33329</v>
      </c>
      <c r="AU574" s="27">
        <f ca="1">IFERROR(__xludf.DUMMYFUNCTION("""COMPUTED_VALUE"""),31)</f>
        <v>31</v>
      </c>
      <c r="AV574" s="27">
        <f ca="1">IFERROR(__xludf.DUMMYFUNCTION("""COMPUTED_VALUE"""),2978968060)</f>
        <v>2978968060</v>
      </c>
      <c r="AW574" s="27">
        <f ca="1">IFERROR(__xludf.DUMMYFUNCTION("""COMPUTED_VALUE"""),1104773881)</f>
        <v>1104773881</v>
      </c>
      <c r="AX574" s="27"/>
      <c r="AY574" s="27" t="str">
        <f ca="1">IFERROR(__xludf.DUMMYFUNCTION("""COMPUTED_VALUE"""),"Diretor de Núcleos")</f>
        <v>Diretor de Núcleos</v>
      </c>
      <c r="AZ574" s="27" t="str">
        <f ca="1">IFERROR(__xludf.DUMMYFUNCTION("""COMPUTED_VALUE"""),"GG")</f>
        <v>GG</v>
      </c>
      <c r="BA574" s="27" t="str">
        <f ca="1">IFERROR(__xludf.DUMMYFUNCTION("""COMPUTED_VALUE"""),"Preta")</f>
        <v>Preta</v>
      </c>
      <c r="BB574" s="27"/>
      <c r="BC574" s="27"/>
      <c r="BD574" s="27" t="str">
        <f ca="1">IFERROR(__xludf.DUMMYFUNCTION("""COMPUTED_VALUE"""),"Mario Marques, 31 anos, disco-jóquei, produtor cultural, graduado em Arquivologia na (UFRGS), Graduado em Analise e desenvolvimento de sistemas (FADERGS). Técnico em Sonorização e iluminação profissional, Participante da Feira de tecnologias e soluções pa"&amp;"ra eventos e mostras culturais e artísticas 2013 em Paris na França, Pesquisador de novas Tecnologias e formas na produção de eventos e mostras culturais, e Pesquisa a Informação de Arquivos Históricos dos Quilombos Urbanos de Porto Alegre.")</f>
        <v>Mario Marques, 31 anos, disco-jóquei, produtor cultural, graduado em Arquivologia na (UFRGS), Graduado em Analise e desenvolvimento de sistemas (FADERGS). Técnico em Sonorização e iluminação profissional, Participante da Feira de tecnologias e soluções para eventos e mostras culturais e artísticas 2013 em Paris na França, Pesquisador de novas Tecnologias e formas na produção de eventos e mostras culturais, e Pesquisa a Informação de Arquivos Históricos dos Quilombos Urbanos de Porto Alegre.</v>
      </c>
      <c r="BE574" s="27" t="str">
        <f ca="1">IFERROR(__xludf.DUMMYFUNCTION("""COMPUTED_VALUE"""),"Homem, cisgênero")</f>
        <v>Homem, cisgênero</v>
      </c>
      <c r="BF574" s="27" t="str">
        <f ca="1">IFERROR(__xludf.DUMMYFUNCTION("""COMPUTED_VALUE"""),"Heterossexual")</f>
        <v>Heterossexual</v>
      </c>
      <c r="BG574" s="27" t="str">
        <f ca="1">IFERROR(__xludf.DUMMYFUNCTION("""COMPUTED_VALUE"""),"Ensino Superior - Completo")</f>
        <v>Ensino Superior - Completo</v>
      </c>
      <c r="BH574" s="27" t="str">
        <f ca="1">IFERROR(__xludf.DUMMYFUNCTION("""COMPUTED_VALUE"""),"Público")</f>
        <v>Público</v>
      </c>
      <c r="BI574" s="27" t="str">
        <f ca="1">IFERROR(__xludf.DUMMYFUNCTION("""COMPUTED_VALUE"""),"Mestrado")</f>
        <v>Mestrado</v>
      </c>
      <c r="BJ574" s="27" t="str">
        <f ca="1">IFERROR(__xludf.DUMMYFUNCTION("""COMPUTED_VALUE"""),"Público")</f>
        <v>Público</v>
      </c>
      <c r="BK574" s="27" t="str">
        <f ca="1">IFERROR(__xludf.DUMMYFUNCTION("""COMPUTED_VALUE"""),"Millo Raffin")</f>
        <v>Millo Raffin</v>
      </c>
      <c r="BL574" s="27">
        <f ca="1">IFERROR(__xludf.DUMMYFUNCTION("""COMPUTED_VALUE"""),71)</f>
        <v>71</v>
      </c>
      <c r="BM574" s="27" t="str">
        <f ca="1">IFERROR(__xludf.DUMMYFUNCTION("""COMPUTED_VALUE"""),"Casa")</f>
        <v>Casa</v>
      </c>
      <c r="BN574" s="27" t="str">
        <f ca="1">IFERROR(__xludf.DUMMYFUNCTION("""COMPUTED_VALUE"""),"Porto Alegre")</f>
        <v>Porto Alegre</v>
      </c>
      <c r="BO574" s="27" t="str">
        <f ca="1">IFERROR(__xludf.DUMMYFUNCTION("""COMPUTED_VALUE"""),"91240-475")</f>
        <v>91240-475</v>
      </c>
      <c r="BP574" s="27" t="str">
        <f ca="1">IFERROR(__xludf.DUMMYFUNCTION("""COMPUTED_VALUE"""),"RS")</f>
        <v>RS</v>
      </c>
      <c r="BQ574" s="27" t="str">
        <f ca="1">IFERROR(__xludf.DUMMYFUNCTION("""COMPUTED_VALUE"""),"Entre 1 até 3 salários mínimos")</f>
        <v>Entre 1 até 3 salários mínimos</v>
      </c>
      <c r="BR574" s="27" t="str">
        <f ca="1">IFERROR(__xludf.DUMMYFUNCTION("""COMPUTED_VALUE"""),"Desempregado")</f>
        <v>Desempregado</v>
      </c>
      <c r="BS574" s="27" t="str">
        <f ca="1">IFERROR(__xludf.DUMMYFUNCTION("""COMPUTED_VALUE"""),"Casa própria")</f>
        <v>Casa própria</v>
      </c>
      <c r="BT574" s="27">
        <f ca="1">IFERROR(__xludf.DUMMYFUNCTION("""COMPUTED_VALUE"""),2)</f>
        <v>2</v>
      </c>
      <c r="BU574" s="27" t="str">
        <f ca="1">IFERROR(__xludf.DUMMYFUNCTION("""COMPUTED_VALUE"""),"Não tem")</f>
        <v>Não tem</v>
      </c>
      <c r="BV574" s="27" t="str">
        <f ca="1">IFERROR(__xludf.DUMMYFUNCTION("""COMPUTED_VALUE"""),"Não")</f>
        <v>Não</v>
      </c>
      <c r="BW574" s="27" t="str">
        <f ca="1">IFERROR(__xludf.DUMMYFUNCTION("""COMPUTED_VALUE"""),"@mariorlmm")</f>
        <v>@mariorlmm</v>
      </c>
      <c r="BX574" s="21" t="str">
        <f ca="1">IFERROR(__xludf.DUMMYFUNCTION("""COMPUTED_VALUE"""),"https://www.instagram.com/djmariorlmm/")</f>
        <v>https://www.instagram.com/djmariorlmm/</v>
      </c>
      <c r="BY574" s="21" t="str">
        <f ca="1">IFERROR(__xludf.DUMMYFUNCTION("""COMPUTED_VALUE"""),"https://drive.google.com/open?id=1GHU33DyiihLAtmGODHY45pZUeJkomseN")</f>
        <v>https://drive.google.com/open?id=1GHU33DyiihLAtmGODHY45pZUeJkomseN</v>
      </c>
    </row>
    <row r="575" spans="1:77" ht="12.5" x14ac:dyDescent="0.25">
      <c r="A575" s="21" t="str">
        <f ca="1">IFERROR(__xludf.DUMMYFUNCTION("""COMPUTED_VALUE"""),"0014X00002VKCrIQAX")</f>
        <v>0014X00002VKCrIQAX</v>
      </c>
      <c r="B575" s="27" t="str">
        <f ca="1">IFERROR(__xludf.DUMMYFUNCTION("""COMPUTED_VALUE"""),"Fase Inicial")</f>
        <v>Fase Inicial</v>
      </c>
      <c r="C575" s="27" t="str">
        <f ca="1">IFERROR(__xludf.DUMMYFUNCTION("""COMPUTED_VALUE"""),"Fellow")</f>
        <v>Fellow</v>
      </c>
      <c r="D575" s="27" t="str">
        <f ca="1">IFERROR(__xludf.DUMMYFUNCTION("""COMPUTED_VALUE"""),"Ativo")</f>
        <v>Ativo</v>
      </c>
      <c r="E575" s="27" t="str">
        <f ca="1">IFERROR(__xludf.DUMMYFUNCTION("""COMPUTED_VALUE"""),"Software e Processos LTDA")</f>
        <v>Software e Processos LTDA</v>
      </c>
      <c r="F575" s="27" t="str">
        <f ca="1">IFERROR(__xludf.DUMMYFUNCTION("""COMPUTED_VALUE"""),"Victor")</f>
        <v>Victor</v>
      </c>
      <c r="G575" s="27" t="str">
        <f ca="1">IFERROR(__xludf.DUMMYFUNCTION("""COMPUTED_VALUE"""),"INSTITUTO PIRENEUS")</f>
        <v>INSTITUTO PIRENEUS</v>
      </c>
      <c r="H575" s="27" t="str">
        <f ca="1">IFERROR(__xludf.DUMMYFUNCTION("""COMPUTED_VALUE"""),"22.966.561/0001-82")</f>
        <v>22.966.561/0001-82</v>
      </c>
      <c r="I575" s="27" t="str">
        <f ca="1">IFERROR(__xludf.DUMMYFUNCTION("""COMPUTED_VALUE"""),"Victor Lima Queiroz")</f>
        <v>Victor Lima Queiroz</v>
      </c>
      <c r="J575" s="27"/>
      <c r="K575" s="27" t="str">
        <f ca="1">IFERROR(__xludf.DUMMYFUNCTION("""COMPUTED_VALUE"""),"(62)98129-7995")</f>
        <v>(62)98129-7995</v>
      </c>
      <c r="L575" s="27" t="str">
        <f ca="1">IFERROR(__xludf.DUMMYFUNCTION("""COMPUTED_VALUE"""),"GO")</f>
        <v>GO</v>
      </c>
      <c r="M575" s="27" t="str">
        <f ca="1">IFERROR(__xludf.DUMMYFUNCTION("""COMPUTED_VALUE"""),"Av. Raposo Tavares")</f>
        <v>Av. Raposo Tavares</v>
      </c>
      <c r="N575" s="27" t="str">
        <f ca="1">IFERROR(__xludf.DUMMYFUNCTION("""COMPUTED_VALUE"""),"Capuava")</f>
        <v>Capuava</v>
      </c>
      <c r="O575" s="27">
        <f ca="1">IFERROR(__xludf.DUMMYFUNCTION("""COMPUTED_VALUE"""),330)</f>
        <v>330</v>
      </c>
      <c r="P575" s="27" t="str">
        <f ca="1">IFERROR(__xludf.DUMMYFUNCTION("""COMPUTED_VALUE"""),"Goiânia")</f>
        <v>Goiânia</v>
      </c>
      <c r="Q575" s="27" t="str">
        <f ca="1">IFERROR(__xludf.DUMMYFUNCTION("""COMPUTED_VALUE"""),"Cond. Village Campinas, casa 185")</f>
        <v>Cond. Village Campinas, casa 185</v>
      </c>
      <c r="R575" s="27" t="str">
        <f ca="1">IFERROR(__xludf.DUMMYFUNCTION("""COMPUTED_VALUE"""),"74450-210")</f>
        <v>74450-210</v>
      </c>
      <c r="S575" s="27"/>
      <c r="T575" s="27"/>
      <c r="U575" s="27" t="str">
        <f ca="1">IFERROR(__xludf.DUMMYFUNCTION("""COMPUTED_VALUE"""),"Adolescentes (12 aos 18 anos), Jovens (18 aos 24 anos), Adultos, Idosos (60 anos ou mais)")</f>
        <v>Adolescentes (12 aos 18 anos), Jovens (18 aos 24 anos), Adultos, Idosos (60 anos ou mais)</v>
      </c>
      <c r="V575" s="27" t="str">
        <f ca="1">IFERROR(__xludf.DUMMYFUNCTION("""COMPUTED_VALUE"""),"Outros")</f>
        <v>Outros</v>
      </c>
      <c r="W575" s="27">
        <f ca="1">IFERROR(__xludf.DUMMYFUNCTION("""COMPUTED_VALUE"""),0)</f>
        <v>0</v>
      </c>
      <c r="X575" s="27" t="str">
        <f ca="1">IFERROR(__xludf.DUMMYFUNCTION("""COMPUTED_VALUE"""),"Qualquer estudante de qualquer classe social")</f>
        <v>Qualquer estudante de qualquer classe social</v>
      </c>
      <c r="Y575" s="27"/>
      <c r="Z575" s="27">
        <f ca="1">IFERROR(__xludf.DUMMYFUNCTION("""COMPUTED_VALUE"""),0)</f>
        <v>0</v>
      </c>
      <c r="AA575" s="29">
        <f ca="1">IFERROR(__xludf.DUMMYFUNCTION("""COMPUTED_VALUE"""),42552)</f>
        <v>42552</v>
      </c>
      <c r="AB575" s="27" t="str">
        <f ca="1">IFERROR(__xludf.DUMMYFUNCTION("""COMPUTED_VALUE"""),"Não")</f>
        <v>Não</v>
      </c>
      <c r="AC575" s="27">
        <f ca="1">IFERROR(__xludf.DUMMYFUNCTION("""COMPUTED_VALUE"""),0)</f>
        <v>0</v>
      </c>
      <c r="AD575" s="27">
        <f ca="1">IFERROR(__xludf.DUMMYFUNCTION("""COMPUTED_VALUE"""),2)</f>
        <v>2</v>
      </c>
      <c r="AE575" s="27">
        <f ca="1">IFERROR(__xludf.DUMMYFUNCTION("""COMPUTED_VALUE"""),2)</f>
        <v>2</v>
      </c>
      <c r="AF575" s="27">
        <f ca="1">IFERROR(__xludf.DUMMYFUNCTION("""COMPUTED_VALUE"""),2)</f>
        <v>2</v>
      </c>
      <c r="AG575" s="27">
        <f ca="1">IFERROR(__xludf.DUMMYFUNCTION("""COMPUTED_VALUE"""),2)</f>
        <v>2</v>
      </c>
      <c r="AH575" s="27" t="str">
        <f ca="1">IFERROR(__xludf.DUMMYFUNCTION("""COMPUTED_VALUE"""),"Recursos próprios")</f>
        <v>Recursos próprios</v>
      </c>
      <c r="AI575" s="27" t="str">
        <f ca="1">IFERROR(__xludf.DUMMYFUNCTION("""COMPUTED_VALUE"""),"100% recursos proprios")</f>
        <v>100% recursos proprios</v>
      </c>
      <c r="AJ575" s="27" t="str">
        <f ca="1">IFERROR(__xludf.DUMMYFUNCTION("""COMPUTED_VALUE"""),"Vamos iniciar esse ano")</f>
        <v>Vamos iniciar esse ano</v>
      </c>
      <c r="AK575" s="27"/>
      <c r="AL575" s="21" t="str">
        <f ca="1">IFERROR(__xludf.DUMMYFUNCTION("""COMPUTED_VALUE"""),"0034X0000380O38")</f>
        <v>0034X0000380O38</v>
      </c>
      <c r="AM575" s="27" t="str">
        <f ca="1">IFERROR(__xludf.DUMMYFUNCTION("""COMPUTED_VALUE"""),"Lima queiroz")</f>
        <v>Lima queiroz</v>
      </c>
      <c r="AN575" s="27" t="str">
        <f ca="1">IFERROR(__xludf.DUMMYFUNCTION("""COMPUTED_VALUE"""),"Ativo")</f>
        <v>Ativo</v>
      </c>
      <c r="AO575" s="29">
        <f ca="1">IFERROR(__xludf.DUMMYFUNCTION("""COMPUTED_VALUE"""),44763)</f>
        <v>44763</v>
      </c>
      <c r="AP575" s="27">
        <f ca="1">IFERROR(__xludf.DUMMYFUNCTION("""COMPUTED_VALUE"""),2)</f>
        <v>2</v>
      </c>
      <c r="AQ575" s="27" t="str">
        <f ca="1">IFERROR(__xludf.DUMMYFUNCTION("""COMPUTED_VALUE"""),"Primeiro Semestre 2022")</f>
        <v>Primeiro Semestre 2022</v>
      </c>
      <c r="AR575" s="27" t="str">
        <f ca="1">IFERROR(__xludf.DUMMYFUNCTION("""COMPUTED_VALUE"""),"victorlqueiroz@gmail.com")</f>
        <v>victorlqueiroz@gmail.com</v>
      </c>
      <c r="AS575" s="27" t="str">
        <f ca="1">IFERROR(__xludf.DUMMYFUNCTION("""COMPUTED_VALUE"""),"(62)98129-7995")</f>
        <v>(62)98129-7995</v>
      </c>
      <c r="AT575" s="29">
        <f ca="1">IFERROR(__xludf.DUMMYFUNCTION("""COMPUTED_VALUE"""),30659)</f>
        <v>30659</v>
      </c>
      <c r="AU575" s="27">
        <f ca="1">IFERROR(__xludf.DUMMYFUNCTION("""COMPUTED_VALUE"""),39)</f>
        <v>39</v>
      </c>
      <c r="AV575" s="27">
        <f ca="1">IFERROR(__xludf.DUMMYFUNCTION("""COMPUTED_VALUE"""),99315874153)</f>
        <v>99315874153</v>
      </c>
      <c r="AW575" s="27">
        <f ca="1">IFERROR(__xludf.DUMMYFUNCTION("""COMPUTED_VALUE"""),4132971)</f>
        <v>4132971</v>
      </c>
      <c r="AX575" s="27"/>
      <c r="AY575" s="27" t="str">
        <f ca="1">IFERROR(__xludf.DUMMYFUNCTION("""COMPUTED_VALUE"""),"Founder/Diretor")</f>
        <v>Founder/Diretor</v>
      </c>
      <c r="AZ575" s="27" t="str">
        <f ca="1">IFERROR(__xludf.DUMMYFUNCTION("""COMPUTED_VALUE"""),"G")</f>
        <v>G</v>
      </c>
      <c r="BA575" s="27" t="str">
        <f ca="1">IFERROR(__xludf.DUMMYFUNCTION("""COMPUTED_VALUE"""),"Parda")</f>
        <v>Parda</v>
      </c>
      <c r="BB575" s="27"/>
      <c r="BC575" s="27"/>
      <c r="BD575" s="27" t="str">
        <f ca="1">IFERROR(__xludf.DUMMYFUNCTION("""COMPUTED_VALUE"""),"Profissional na área de TI
Iniciei estudos da aplicação de Tecnologia na Educação em 2007.
Realizo trabalho voluntário desde 1998.")</f>
        <v>Profissional na área de TI
Iniciei estudos da aplicação de Tecnologia na Educação em 2007.
Realizo trabalho voluntário desde 1998.</v>
      </c>
      <c r="BE575" s="27" t="str">
        <f ca="1">IFERROR(__xludf.DUMMYFUNCTION("""COMPUTED_VALUE"""),"Homem, cisgênero")</f>
        <v>Homem, cisgênero</v>
      </c>
      <c r="BF575" s="27" t="str">
        <f ca="1">IFERROR(__xludf.DUMMYFUNCTION("""COMPUTED_VALUE"""),"Heterossexual")</f>
        <v>Heterossexual</v>
      </c>
      <c r="BG575" s="27" t="str">
        <f ca="1">IFERROR(__xludf.DUMMYFUNCTION("""COMPUTED_VALUE"""),"Ensino Superior - Completo")</f>
        <v>Ensino Superior - Completo</v>
      </c>
      <c r="BH575" s="27" t="str">
        <f ca="1">IFERROR(__xludf.DUMMYFUNCTION("""COMPUTED_VALUE"""),"Público")</f>
        <v>Público</v>
      </c>
      <c r="BI575" s="27" t="str">
        <f ca="1">IFERROR(__xludf.DUMMYFUNCTION("""COMPUTED_VALUE"""),"Pós-Graduação")</f>
        <v>Pós-Graduação</v>
      </c>
      <c r="BJ575" s="27" t="str">
        <f ca="1">IFERROR(__xludf.DUMMYFUNCTION("""COMPUTED_VALUE"""),"Privado")</f>
        <v>Privado</v>
      </c>
      <c r="BK575" s="27" t="str">
        <f ca="1">IFERROR(__xludf.DUMMYFUNCTION("""COMPUTED_VALUE"""),"Av. Raposo Tavares")</f>
        <v>Av. Raposo Tavares</v>
      </c>
      <c r="BL575" s="27">
        <f ca="1">IFERROR(__xludf.DUMMYFUNCTION("""COMPUTED_VALUE"""),330)</f>
        <v>330</v>
      </c>
      <c r="BM575" s="27" t="str">
        <f ca="1">IFERROR(__xludf.DUMMYFUNCTION("""COMPUTED_VALUE"""),"Cond. Village Campinas, casa 185")</f>
        <v>Cond. Village Campinas, casa 185</v>
      </c>
      <c r="BN575" s="27" t="str">
        <f ca="1">IFERROR(__xludf.DUMMYFUNCTION("""COMPUTED_VALUE"""),"Goiânia")</f>
        <v>Goiânia</v>
      </c>
      <c r="BO575" s="27" t="str">
        <f ca="1">IFERROR(__xludf.DUMMYFUNCTION("""COMPUTED_VALUE"""),"74450-210")</f>
        <v>74450-210</v>
      </c>
      <c r="BP575" s="27" t="str">
        <f ca="1">IFERROR(__xludf.DUMMYFUNCTION("""COMPUTED_VALUE"""),"GO")</f>
        <v>GO</v>
      </c>
      <c r="BQ575" s="27" t="str">
        <f ca="1">IFERROR(__xludf.DUMMYFUNCTION("""COMPUTED_VALUE"""),"Acima de 5 salários mínimos")</f>
        <v>Acima de 5 salários mínimos</v>
      </c>
      <c r="BR575" s="27" t="str">
        <f ca="1">IFERROR(__xludf.DUMMYFUNCTION("""COMPUTED_VALUE"""),"CLT")</f>
        <v>CLT</v>
      </c>
      <c r="BS575" s="27" t="str">
        <f ca="1">IFERROR(__xludf.DUMMYFUNCTION("""COMPUTED_VALUE"""),"Casa própria")</f>
        <v>Casa própria</v>
      </c>
      <c r="BT575" s="27">
        <f ca="1">IFERROR(__xludf.DUMMYFUNCTION("""COMPUTED_VALUE"""),5)</f>
        <v>5</v>
      </c>
      <c r="BU575" s="27" t="str">
        <f ca="1">IFERROR(__xludf.DUMMYFUNCTION("""COMPUTED_VALUE"""),"Não tem")</f>
        <v>Não tem</v>
      </c>
      <c r="BV575" s="27" t="str">
        <f ca="1">IFERROR(__xludf.DUMMYFUNCTION("""COMPUTED_VALUE"""),"Não")</f>
        <v>Não</v>
      </c>
      <c r="BW575" s="21" t="str">
        <f ca="1">IFERROR(__xludf.DUMMYFUNCTION("""COMPUTED_VALUE"""),"https://www.linkedin.com/in/victorlqueiroz/")</f>
        <v>https://www.linkedin.com/in/victorlqueiroz/</v>
      </c>
      <c r="BX575" s="27" t="str">
        <f ca="1">IFERROR(__xludf.DUMMYFUNCTION("""COMPUTED_VALUE"""),"@victorlqueiroz")</f>
        <v>@victorlqueiroz</v>
      </c>
      <c r="BY575" s="21" t="str">
        <f ca="1">IFERROR(__xludf.DUMMYFUNCTION("""COMPUTED_VALUE"""),"https://drive.google.com/open?id=1V8Xk-XFQQ_K1xFlehXrJrg28hVTsJnLL")</f>
        <v>https://drive.google.com/open?id=1V8Xk-XFQQ_K1xFlehXrJrg28hVTsJnLL</v>
      </c>
    </row>
    <row r="576" spans="1:77" ht="12.5" x14ac:dyDescent="0.25">
      <c r="A576" s="21" t="str">
        <f ca="1">IFERROR(__xludf.DUMMYFUNCTION("""COMPUTED_VALUE"""),"0014X00002VKCrkQAH")</f>
        <v>0014X00002VKCrkQAH</v>
      </c>
      <c r="B576" s="27" t="str">
        <f ca="1">IFERROR(__xludf.DUMMYFUNCTION("""COMPUTED_VALUE"""),"Fase Inicial")</f>
        <v>Fase Inicial</v>
      </c>
      <c r="C576" s="27" t="str">
        <f ca="1">IFERROR(__xludf.DUMMYFUNCTION("""COMPUTED_VALUE"""),"Fellow")</f>
        <v>Fellow</v>
      </c>
      <c r="D576" s="27" t="str">
        <f ca="1">IFERROR(__xludf.DUMMYFUNCTION("""COMPUTED_VALUE"""),"Ativo")</f>
        <v>Ativo</v>
      </c>
      <c r="E576" s="27" t="str">
        <f ca="1">IFERROR(__xludf.DUMMYFUNCTION("""COMPUTED_VALUE"""),"Somos Todos Muribeca - STM")</f>
        <v>Somos Todos Muribeca - STM</v>
      </c>
      <c r="F576" s="27" t="str">
        <f ca="1">IFERROR(__xludf.DUMMYFUNCTION("""COMPUTED_VALUE"""),"João")</f>
        <v>João</v>
      </c>
      <c r="G576" s="27" t="str">
        <f ca="1">IFERROR(__xludf.DUMMYFUNCTION("""COMPUTED_VALUE"""),"SOMOS TODOS MURIBECA")</f>
        <v>SOMOS TODOS MURIBECA</v>
      </c>
      <c r="H576" s="27" t="str">
        <f ca="1">IFERROR(__xludf.DUMMYFUNCTION("""COMPUTED_VALUE"""),"37.483.637/0001-96")</f>
        <v>37.483.637/0001-96</v>
      </c>
      <c r="I576" s="27" t="str">
        <f ca="1">IFERROR(__xludf.DUMMYFUNCTION("""COMPUTED_VALUE"""),"João Marcelo Mendes Trindade")</f>
        <v>João Marcelo Mendes Trindade</v>
      </c>
      <c r="J576" s="27" t="str">
        <f ca="1">IFERROR(__xludf.DUMMYFUNCTION("""COMPUTED_VALUE"""),"equipe@somostodosmuribeca.com.br")</f>
        <v>equipe@somostodosmuribeca.com.br</v>
      </c>
      <c r="K576" s="27" t="str">
        <f ca="1">IFERROR(__xludf.DUMMYFUNCTION("""COMPUTED_VALUE"""),"(81)9871-57550")</f>
        <v>(81)9871-57550</v>
      </c>
      <c r="L576" s="27" t="str">
        <f ca="1">IFERROR(__xludf.DUMMYFUNCTION("""COMPUTED_VALUE"""),"PE")</f>
        <v>PE</v>
      </c>
      <c r="M576" s="27" t="str">
        <f ca="1">IFERROR(__xludf.DUMMYFUNCTION("""COMPUTED_VALUE"""),"Rua Doutor Armando Tavares")</f>
        <v>Rua Doutor Armando Tavares</v>
      </c>
      <c r="N576" s="27" t="str">
        <f ca="1">IFERROR(__xludf.DUMMYFUNCTION("""COMPUTED_VALUE"""),"Conjunto Muribeca")</f>
        <v>Conjunto Muribeca</v>
      </c>
      <c r="O576" s="27">
        <f ca="1">IFERROR(__xludf.DUMMYFUNCTION("""COMPUTED_VALUE"""),134)</f>
        <v>134</v>
      </c>
      <c r="P576" s="27" t="str">
        <f ca="1">IFERROR(__xludf.DUMMYFUNCTION("""COMPUTED_VALUE"""),"JABOATAO dos Guararapes")</f>
        <v>JABOATAO dos Guararapes</v>
      </c>
      <c r="Q576" s="27" t="str">
        <f ca="1">IFERROR(__xludf.DUMMYFUNCTION("""COMPUTED_VALUE"""),"Casa")</f>
        <v>Casa</v>
      </c>
      <c r="R576" s="27" t="str">
        <f ca="1">IFERROR(__xludf.DUMMYFUNCTION("""COMPUTED_VALUE"""),"54350-230")</f>
        <v>54350-230</v>
      </c>
      <c r="S576" s="27" t="str">
        <f ca="1">IFERROR(__xludf.DUMMYFUNCTION("""COMPUTED_VALUE"""),"Sim")</f>
        <v>Sim</v>
      </c>
      <c r="T576" s="27"/>
      <c r="U576" s="27" t="str">
        <f ca="1">IFERROR(__xludf.DUMMYFUNCTION("""COMPUTED_VALUE"""),"Crianças (6 a 12 anos), Adolescentes (12 aos 18 anos), Jovens (18 aos 24 anos), Adultos, Idosos (60 anos ou mais)")</f>
        <v>Crianças (6 a 12 anos), Adolescentes (12 aos 18 anos), Jovens (18 aos 24 anos), Adultos, Idosos (60 anos ou mais)</v>
      </c>
      <c r="V576" s="27" t="str">
        <f ca="1">IFERROR(__xludf.DUMMYFUNCTION("""COMPUTED_VALUE"""),"Moradores de Favelas, População LGBTQ+, Quilombola, Afrodescendentes, Outros")</f>
        <v>Moradores de Favelas, População LGBTQ+, Quilombola, Afrodescendentes, Outros</v>
      </c>
      <c r="W576" s="27">
        <f ca="1">IFERROR(__xludf.DUMMYFUNCTION("""COMPUTED_VALUE"""),5)</f>
        <v>5</v>
      </c>
      <c r="X576" s="27"/>
      <c r="Y576" s="27"/>
      <c r="Z576" s="27">
        <f ca="1">IFERROR(__xludf.DUMMYFUNCTION("""COMPUTED_VALUE"""),1000)</f>
        <v>1000</v>
      </c>
      <c r="AA576" s="29">
        <f ca="1">IFERROR(__xludf.DUMMYFUNCTION("""COMPUTED_VALUE"""),43657)</f>
        <v>43657</v>
      </c>
      <c r="AB576" s="27" t="str">
        <f ca="1">IFERROR(__xludf.DUMMYFUNCTION("""COMPUTED_VALUE"""),"Sim")</f>
        <v>Sim</v>
      </c>
      <c r="AC576" s="27">
        <f ca="1">IFERROR(__xludf.DUMMYFUNCTION("""COMPUTED_VALUE"""),10)</f>
        <v>10</v>
      </c>
      <c r="AD576" s="27">
        <f ca="1">IFERROR(__xludf.DUMMYFUNCTION("""COMPUTED_VALUE"""),10)</f>
        <v>10</v>
      </c>
      <c r="AE576" s="27">
        <f ca="1">IFERROR(__xludf.DUMMYFUNCTION("""COMPUTED_VALUE"""),30)</f>
        <v>30</v>
      </c>
      <c r="AF576" s="27">
        <f ca="1">IFERROR(__xludf.DUMMYFUNCTION("""COMPUTED_VALUE"""),10)</f>
        <v>10</v>
      </c>
      <c r="AG576" s="27">
        <f ca="1">IFERROR(__xludf.DUMMYFUNCTION("""COMPUTED_VALUE"""),4)</f>
        <v>4</v>
      </c>
      <c r="AH576" s="27" t="str">
        <f ca="1">IFERROR(__xludf.DUMMYFUNCTION("""COMPUTED_VALUE"""),"Plataforma doação online - Pessoa Física, Editais, Doações, Recursos próprios")</f>
        <v>Plataforma doação online - Pessoa Física, Editais, Doações, Recursos próprios</v>
      </c>
      <c r="AI576" s="27" t="str">
        <f ca="1">IFERROR(__xludf.DUMMYFUNCTION("""COMPUTED_VALUE"""),"70% editais 10% doações 20% recursos próprios")</f>
        <v>70% editais 10% doações 20% recursos próprios</v>
      </c>
      <c r="AJ576" s="27" t="str">
        <f ca="1">IFERROR(__xludf.DUMMYFUNCTION("""COMPUTED_VALUE"""),"Não")</f>
        <v>Não</v>
      </c>
      <c r="AK576" s="27"/>
      <c r="AL576" s="21" t="str">
        <f ca="1">IFERROR(__xludf.DUMMYFUNCTION("""COMPUTED_VALUE"""),"0034X0000380O49")</f>
        <v>0034X0000380O49</v>
      </c>
      <c r="AM576" s="27" t="str">
        <f ca="1">IFERROR(__xludf.DUMMYFUNCTION("""COMPUTED_VALUE"""),"Marcelo mendes trindade")</f>
        <v>Marcelo mendes trindade</v>
      </c>
      <c r="AN576" s="27" t="str">
        <f ca="1">IFERROR(__xludf.DUMMYFUNCTION("""COMPUTED_VALUE"""),"Ativo")</f>
        <v>Ativo</v>
      </c>
      <c r="AO576" s="29">
        <f ca="1">IFERROR(__xludf.DUMMYFUNCTION("""COMPUTED_VALUE"""),44763)</f>
        <v>44763</v>
      </c>
      <c r="AP576" s="27">
        <f ca="1">IFERROR(__xludf.DUMMYFUNCTION("""COMPUTED_VALUE"""),2)</f>
        <v>2</v>
      </c>
      <c r="AQ576" s="27" t="str">
        <f ca="1">IFERROR(__xludf.DUMMYFUNCTION("""COMPUTED_VALUE"""),"Primeiro Semestre 2022")</f>
        <v>Primeiro Semestre 2022</v>
      </c>
      <c r="AR576" s="27" t="str">
        <f ca="1">IFERROR(__xludf.DUMMYFUNCTION("""COMPUTED_VALUE"""),"marcelo@jmdinformatica.com.br")</f>
        <v>marcelo@jmdinformatica.com.br</v>
      </c>
      <c r="AS576" s="27" t="str">
        <f ca="1">IFERROR(__xludf.DUMMYFUNCTION("""COMPUTED_VALUE"""),"(81)99157-5238")</f>
        <v>(81)99157-5238</v>
      </c>
      <c r="AT576" s="29">
        <f ca="1">IFERROR(__xludf.DUMMYFUNCTION("""COMPUTED_VALUE"""),29364)</f>
        <v>29364</v>
      </c>
      <c r="AU576" s="27">
        <f ca="1">IFERROR(__xludf.DUMMYFUNCTION("""COMPUTED_VALUE"""),42)</f>
        <v>42</v>
      </c>
      <c r="AV576" s="27">
        <f ca="1">IFERROR(__xludf.DUMMYFUNCTION("""COMPUTED_VALUE"""),3174173477)</f>
        <v>3174173477</v>
      </c>
      <c r="AW576" s="27">
        <f ca="1">IFERROR(__xludf.DUMMYFUNCTION("""COMPUTED_VALUE"""),5299626)</f>
        <v>5299626</v>
      </c>
      <c r="AX576" s="27"/>
      <c r="AY576" s="27" t="str">
        <f ca="1">IFERROR(__xludf.DUMMYFUNCTION("""COMPUTED_VALUE"""),"Diretor Executivo")</f>
        <v>Diretor Executivo</v>
      </c>
      <c r="AZ576" s="27" t="str">
        <f ca="1">IFERROR(__xludf.DUMMYFUNCTION("""COMPUTED_VALUE"""),"G")</f>
        <v>G</v>
      </c>
      <c r="BA576" s="27" t="str">
        <f ca="1">IFERROR(__xludf.DUMMYFUNCTION("""COMPUTED_VALUE"""),"Preta")</f>
        <v>Preta</v>
      </c>
      <c r="BB576" s="27"/>
      <c r="BC576" s="27"/>
      <c r="BD576" s="27" t="str">
        <f ca="1">IFERROR(__xludf.DUMMYFUNCTION("""COMPUTED_VALUE"""),"Sou Ativista Social, comunicador popular e Tecnólogo em Rede de Computadores")</f>
        <v>Sou Ativista Social, comunicador popular e Tecnólogo em Rede de Computadores</v>
      </c>
      <c r="BE576" s="27" t="str">
        <f ca="1">IFERROR(__xludf.DUMMYFUNCTION("""COMPUTED_VALUE"""),"Homem, cisgênero")</f>
        <v>Homem, cisgênero</v>
      </c>
      <c r="BF576" s="27" t="str">
        <f ca="1">IFERROR(__xludf.DUMMYFUNCTION("""COMPUTED_VALUE"""),"Heterossexual")</f>
        <v>Heterossexual</v>
      </c>
      <c r="BG576" s="27" t="str">
        <f ca="1">IFERROR(__xludf.DUMMYFUNCTION("""COMPUTED_VALUE"""),"Ensino Superior - Completo")</f>
        <v>Ensino Superior - Completo</v>
      </c>
      <c r="BH576" s="27" t="str">
        <f ca="1">IFERROR(__xludf.DUMMYFUNCTION("""COMPUTED_VALUE"""),"Público")</f>
        <v>Público</v>
      </c>
      <c r="BI576" s="27" t="str">
        <f ca="1">IFERROR(__xludf.DUMMYFUNCTION("""COMPUTED_VALUE"""),"Graduação")</f>
        <v>Graduação</v>
      </c>
      <c r="BJ576" s="27" t="str">
        <f ca="1">IFERROR(__xludf.DUMMYFUNCTION("""COMPUTED_VALUE"""),"Privado")</f>
        <v>Privado</v>
      </c>
      <c r="BK576" s="27" t="str">
        <f ca="1">IFERROR(__xludf.DUMMYFUNCTION("""COMPUTED_VALUE"""),"Doutor Armando Tavares")</f>
        <v>Doutor Armando Tavares</v>
      </c>
      <c r="BL576" s="27">
        <f ca="1">IFERROR(__xludf.DUMMYFUNCTION("""COMPUTED_VALUE"""),139)</f>
        <v>139</v>
      </c>
      <c r="BM576" s="27" t="str">
        <f ca="1">IFERROR(__xludf.DUMMYFUNCTION("""COMPUTED_VALUE"""),"Casa")</f>
        <v>Casa</v>
      </c>
      <c r="BN576" s="27" t="str">
        <f ca="1">IFERROR(__xludf.DUMMYFUNCTION("""COMPUTED_VALUE"""),"Jaboatão dos Guararapes")</f>
        <v>Jaboatão dos Guararapes</v>
      </c>
      <c r="BO576" s="27" t="str">
        <f ca="1">IFERROR(__xludf.DUMMYFUNCTION("""COMPUTED_VALUE"""),"54350-230")</f>
        <v>54350-230</v>
      </c>
      <c r="BP576" s="27" t="str">
        <f ca="1">IFERROR(__xludf.DUMMYFUNCTION("""COMPUTED_VALUE"""),"PE")</f>
        <v>PE</v>
      </c>
      <c r="BQ576" s="27" t="str">
        <f ca="1">IFERROR(__xludf.DUMMYFUNCTION("""COMPUTED_VALUE"""),"Entre 1 até 3 salários mínimos")</f>
        <v>Entre 1 até 3 salários mínimos</v>
      </c>
      <c r="BR576" s="27" t="str">
        <f ca="1">IFERROR(__xludf.DUMMYFUNCTION("""COMPUTED_VALUE"""),"MEI")</f>
        <v>MEI</v>
      </c>
      <c r="BS576" s="27" t="str">
        <f ca="1">IFERROR(__xludf.DUMMYFUNCTION("""COMPUTED_VALUE"""),"Casa própria")</f>
        <v>Casa própria</v>
      </c>
      <c r="BT576" s="27">
        <f ca="1">IFERROR(__xludf.DUMMYFUNCTION("""COMPUTED_VALUE"""),2)</f>
        <v>2</v>
      </c>
      <c r="BU576" s="27" t="str">
        <f ca="1">IFERROR(__xludf.DUMMYFUNCTION("""COMPUTED_VALUE"""),"Não tem")</f>
        <v>Não tem</v>
      </c>
      <c r="BV576" s="27" t="str">
        <f ca="1">IFERROR(__xludf.DUMMYFUNCTION("""COMPUTED_VALUE"""),"Não")</f>
        <v>Não</v>
      </c>
      <c r="BW576" s="21" t="str">
        <f ca="1">IFERROR(__xludf.DUMMYFUNCTION("""COMPUTED_VALUE"""),"https://www.instagram.com/marcelotrindadestm/")</f>
        <v>https://www.instagram.com/marcelotrindadestm/</v>
      </c>
      <c r="BX576" s="21" t="str">
        <f ca="1">IFERROR(__xludf.DUMMYFUNCTION("""COMPUTED_VALUE"""),"https://www.instagram.com/marcelotrindadestm/")</f>
        <v>https://www.instagram.com/marcelotrindadestm/</v>
      </c>
      <c r="BY576" s="21" t="str">
        <f ca="1">IFERROR(__xludf.DUMMYFUNCTION("""COMPUTED_VALUE"""),"https://drive.google.com/open?id=1_0mlwdMXkW5YSV6cRGSh2d8G4969gwQp")</f>
        <v>https://drive.google.com/open?id=1_0mlwdMXkW5YSV6cRGSh2d8G4969gwQp</v>
      </c>
    </row>
    <row r="577" spans="1:77" ht="12.5" x14ac:dyDescent="0.25">
      <c r="A577" s="21" t="str">
        <f ca="1">IFERROR(__xludf.DUMMYFUNCTION("""COMPUTED_VALUE"""),"0014X00002VKCpbQAH")</f>
        <v>0014X00002VKCpbQAH</v>
      </c>
      <c r="B577" s="27" t="str">
        <f ca="1">IFERROR(__xludf.DUMMYFUNCTION("""COMPUTED_VALUE"""),"Fase Inicial")</f>
        <v>Fase Inicial</v>
      </c>
      <c r="C577" s="27" t="str">
        <f ca="1">IFERROR(__xludf.DUMMYFUNCTION("""COMPUTED_VALUE"""),"Fellow")</f>
        <v>Fellow</v>
      </c>
      <c r="D577" s="27" t="str">
        <f ca="1">IFERROR(__xludf.DUMMYFUNCTION("""COMPUTED_VALUE"""),"Ativo")</f>
        <v>Ativo</v>
      </c>
      <c r="E577" s="27" t="str">
        <f ca="1">IFERROR(__xludf.DUMMYFUNCTION("""COMPUTED_VALUE"""),"SOMOS TUAS MAOS")</f>
        <v>SOMOS TUAS MAOS</v>
      </c>
      <c r="F577" s="27" t="str">
        <f ca="1">IFERROR(__xludf.DUMMYFUNCTION("""COMPUTED_VALUE"""),"Rosangela")</f>
        <v>Rosangela</v>
      </c>
      <c r="G577" s="27" t="str">
        <f ca="1">IFERROR(__xludf.DUMMYFUNCTION("""COMPUTED_VALUE"""),"SOMOS TUAS MAOS")</f>
        <v>SOMOS TUAS MAOS</v>
      </c>
      <c r="H577" s="27"/>
      <c r="I577" s="27" t="str">
        <f ca="1">IFERROR(__xludf.DUMMYFUNCTION("""COMPUTED_VALUE"""),"Rosângela Amancia de Santana")</f>
        <v>Rosângela Amancia de Santana</v>
      </c>
      <c r="J577" s="27"/>
      <c r="K577" s="27" t="str">
        <f ca="1">IFERROR(__xludf.DUMMYFUNCTION("""COMPUTED_VALUE"""),"(75)99804-7834")</f>
        <v>(75)99804-7834</v>
      </c>
      <c r="L577" s="27" t="str">
        <f ca="1">IFERROR(__xludf.DUMMYFUNCTION("""COMPUTED_VALUE"""),"BA")</f>
        <v>BA</v>
      </c>
      <c r="M577" s="27" t="str">
        <f ca="1">IFERROR(__xludf.DUMMYFUNCTION("""COMPUTED_VALUE"""),"Rua da torre")</f>
        <v>Rua da torre</v>
      </c>
      <c r="N577" s="27" t="str">
        <f ca="1">IFERROR(__xludf.DUMMYFUNCTION("""COMPUTED_VALUE"""),"Centro")</f>
        <v>Centro</v>
      </c>
      <c r="O577" s="27">
        <f ca="1">IFERROR(__xludf.DUMMYFUNCTION("""COMPUTED_VALUE"""),0)</f>
        <v>0</v>
      </c>
      <c r="P577" s="27" t="str">
        <f ca="1">IFERROR(__xludf.DUMMYFUNCTION("""COMPUTED_VALUE"""),"Paripiranga")</f>
        <v>Paripiranga</v>
      </c>
      <c r="Q577" s="27"/>
      <c r="R577" s="27" t="str">
        <f ca="1">IFERROR(__xludf.DUMMYFUNCTION("""COMPUTED_VALUE"""),"48430-000")</f>
        <v>48430-000</v>
      </c>
      <c r="S577" s="27"/>
      <c r="T577" s="27"/>
      <c r="U577" s="27" t="str">
        <f ca="1">IFERROR(__xludf.DUMMYFUNCTION("""COMPUTED_VALUE"""),"Crianças (6 a 12 anos), Adolescentes (12 aos 18 anos), Jovens (18 aos 24 anos), Adultos, Idosos (60 anos ou mais)")</f>
        <v>Crianças (6 a 12 anos), Adolescentes (12 aos 18 anos), Jovens (18 aos 24 anos), Adultos, Idosos (60 anos ou mais)</v>
      </c>
      <c r="V577" s="27" t="str">
        <f ca="1">IFERROR(__xludf.DUMMYFUNCTION("""COMPUTED_VALUE"""),"Moradores de Favelas, Comunidade rural, Outros")</f>
        <v>Moradores de Favelas, Comunidade rural, Outros</v>
      </c>
      <c r="W577" s="27">
        <f ca="1">IFERROR(__xludf.DUMMYFUNCTION("""COMPUTED_VALUE"""),0)</f>
        <v>0</v>
      </c>
      <c r="X577" s="27" t="str">
        <f ca="1">IFERROR(__xludf.DUMMYFUNCTION("""COMPUTED_VALUE"""),"Os atendimentos variam muito* pois cada pedido de ajuda q chega até nós* é um apelo e buscamos fazer o nosso possível para dar apoio no q necessita")</f>
        <v>Os atendimentos variam muito* pois cada pedido de ajuda q chega até nós* é um apelo e buscamos fazer o nosso possível para dar apoio no q necessita</v>
      </c>
      <c r="Y577" s="27"/>
      <c r="Z577" s="27">
        <f ca="1">IFERROR(__xludf.DUMMYFUNCTION("""COMPUTED_VALUE"""),3)</f>
        <v>3</v>
      </c>
      <c r="AA577" s="29">
        <f ca="1">IFERROR(__xludf.DUMMYFUNCTION("""COMPUTED_VALUE"""),44691)</f>
        <v>44691</v>
      </c>
      <c r="AB577" s="27" t="str">
        <f ca="1">IFERROR(__xludf.DUMMYFUNCTION("""COMPUTED_VALUE"""),"Não")</f>
        <v>Não</v>
      </c>
      <c r="AC577" s="27">
        <f ca="1">IFERROR(__xludf.DUMMYFUNCTION("""COMPUTED_VALUE"""),20)</f>
        <v>20</v>
      </c>
      <c r="AD577" s="27">
        <f ca="1">IFERROR(__xludf.DUMMYFUNCTION("""COMPUTED_VALUE"""),7)</f>
        <v>7</v>
      </c>
      <c r="AE577" s="27">
        <f ca="1">IFERROR(__xludf.DUMMYFUNCTION("""COMPUTED_VALUE"""),10)</f>
        <v>10</v>
      </c>
      <c r="AF577" s="27">
        <f ca="1">IFERROR(__xludf.DUMMYFUNCTION("""COMPUTED_VALUE"""),5)</f>
        <v>5</v>
      </c>
      <c r="AG577" s="27">
        <f ca="1">IFERROR(__xludf.DUMMYFUNCTION("""COMPUTED_VALUE"""),2)</f>
        <v>2</v>
      </c>
      <c r="AH577" s="27" t="str">
        <f ca="1">IFERROR(__xludf.DUMMYFUNCTION("""COMPUTED_VALUE"""),"Outro(s), Doações")</f>
        <v>Outro(s), Doações</v>
      </c>
      <c r="AI577" s="27" t="str">
        <f ca="1">IFERROR(__xludf.DUMMYFUNCTION("""COMPUTED_VALUE"""),"60% doações")</f>
        <v>60% doações</v>
      </c>
      <c r="AJ577" s="27" t="str">
        <f ca="1">IFERROR(__xludf.DUMMYFUNCTION("""COMPUTED_VALUE"""),"Vamos iniciar esse ano")</f>
        <v>Vamos iniciar esse ano</v>
      </c>
      <c r="AK577" s="27"/>
      <c r="AL577" s="21" t="str">
        <f ca="1">IFERROR(__xludf.DUMMYFUNCTION("""COMPUTED_VALUE"""),"0034X0000380O4Q")</f>
        <v>0034X0000380O4Q</v>
      </c>
      <c r="AM577" s="27" t="str">
        <f ca="1">IFERROR(__xludf.DUMMYFUNCTION("""COMPUTED_VALUE"""),"A santana")</f>
        <v>A santana</v>
      </c>
      <c r="AN577" s="27" t="str">
        <f ca="1">IFERROR(__xludf.DUMMYFUNCTION("""COMPUTED_VALUE"""),"Ativo")</f>
        <v>Ativo</v>
      </c>
      <c r="AO577" s="29">
        <f ca="1">IFERROR(__xludf.DUMMYFUNCTION("""COMPUTED_VALUE"""),44763)</f>
        <v>44763</v>
      </c>
      <c r="AP577" s="27">
        <f ca="1">IFERROR(__xludf.DUMMYFUNCTION("""COMPUTED_VALUE"""),2)</f>
        <v>2</v>
      </c>
      <c r="AQ577" s="27" t="str">
        <f ca="1">IFERROR(__xludf.DUMMYFUNCTION("""COMPUTED_VALUE"""),"Primeiro Semestre 2022")</f>
        <v>Primeiro Semestre 2022</v>
      </c>
      <c r="AR577" s="27" t="str">
        <f ca="1">IFERROR(__xludf.DUMMYFUNCTION("""COMPUTED_VALUE"""),"rosangelaamancia@gmail.com")</f>
        <v>rosangelaamancia@gmail.com</v>
      </c>
      <c r="AS577" s="27" t="str">
        <f ca="1">IFERROR(__xludf.DUMMYFUNCTION("""COMPUTED_VALUE"""),"(75)99804-7834")</f>
        <v>(75)99804-7834</v>
      </c>
      <c r="AT577" s="29">
        <f ca="1">IFERROR(__xludf.DUMMYFUNCTION("""COMPUTED_VALUE"""),29819)</f>
        <v>29819</v>
      </c>
      <c r="AU577" s="27">
        <f ca="1">IFERROR(__xludf.DUMMYFUNCTION("""COMPUTED_VALUE"""),41)</f>
        <v>41</v>
      </c>
      <c r="AV577" s="27">
        <f ca="1">IFERROR(__xludf.DUMMYFUNCTION("""COMPUTED_VALUE"""),1926917596)</f>
        <v>1926917596</v>
      </c>
      <c r="AW577" s="27" t="str">
        <f ca="1">IFERROR(__xludf.DUMMYFUNCTION("""COMPUTED_VALUE"""),"13588080 74")</f>
        <v>13588080 74</v>
      </c>
      <c r="AX577" s="27"/>
      <c r="AY577" s="27"/>
      <c r="AZ577" s="27" t="str">
        <f ca="1">IFERROR(__xludf.DUMMYFUNCTION("""COMPUTED_VALUE"""),"P")</f>
        <v>P</v>
      </c>
      <c r="BA577" s="27" t="str">
        <f ca="1">IFERROR(__xludf.DUMMYFUNCTION("""COMPUTED_VALUE"""),"Parda")</f>
        <v>Parda</v>
      </c>
      <c r="BB577" s="27"/>
      <c r="BC577" s="27"/>
      <c r="BD577" s="27" t="str">
        <f ca="1">IFERROR(__xludf.DUMMYFUNCTION("""COMPUTED_VALUE"""),"Sou casada a 16 anos* mãe de 2 filhos* a menina com 14 anos e um menino de 2 anos* trabalho a 7 anos* e me dedico a 3 e meio a área social* lançando campanha* arrecadando doações* cadastrando pessoas e distribuindo os resultados* sonho em trabalhar integr"&amp;"almente nos serviços sociais e assim aumentar os resultados.")</f>
        <v>Sou casada a 16 anos* mãe de 2 filhos* a menina com 14 anos e um menino de 2 anos* trabalho a 7 anos* e me dedico a 3 e meio a área social* lançando campanha* arrecadando doações* cadastrando pessoas e distribuindo os resultados* sonho em trabalhar integralmente nos serviços sociais e assim aumentar os resultados.</v>
      </c>
      <c r="BE577" s="27" t="str">
        <f ca="1">IFERROR(__xludf.DUMMYFUNCTION("""COMPUTED_VALUE"""),"Feminino")</f>
        <v>Feminino</v>
      </c>
      <c r="BF577" s="27" t="str">
        <f ca="1">IFERROR(__xludf.DUMMYFUNCTION("""COMPUTED_VALUE"""),"Heterossexual")</f>
        <v>Heterossexual</v>
      </c>
      <c r="BG577" s="27"/>
      <c r="BH577" s="27" t="str">
        <f ca="1">IFERROR(__xludf.DUMMYFUNCTION("""COMPUTED_VALUE"""),"Público")</f>
        <v>Público</v>
      </c>
      <c r="BI577" s="27"/>
      <c r="BJ577" s="27"/>
      <c r="BK577" s="27" t="str">
        <f ca="1">IFERROR(__xludf.DUMMYFUNCTION("""COMPUTED_VALUE"""),"Rua da torre")</f>
        <v>Rua da torre</v>
      </c>
      <c r="BL577" s="27" t="str">
        <f ca="1">IFERROR(__xludf.DUMMYFUNCTION("""COMPUTED_VALUE"""),"Sem número")</f>
        <v>Sem número</v>
      </c>
      <c r="BM577" s="27"/>
      <c r="BN577" s="27"/>
      <c r="BO577" s="27" t="str">
        <f ca="1">IFERROR(__xludf.DUMMYFUNCTION("""COMPUTED_VALUE"""),"48430-000")</f>
        <v>48430-000</v>
      </c>
      <c r="BP577" s="27" t="str">
        <f ca="1">IFERROR(__xludf.DUMMYFUNCTION("""COMPUTED_VALUE"""),"BA")</f>
        <v>BA</v>
      </c>
      <c r="BQ577" s="27" t="str">
        <f ca="1">IFERROR(__xludf.DUMMYFUNCTION("""COMPUTED_VALUE"""),"Entre 1 até 3 salários mínimos")</f>
        <v>Entre 1 até 3 salários mínimos</v>
      </c>
      <c r="BR577" s="27" t="str">
        <f ca="1">IFERROR(__xludf.DUMMYFUNCTION("""COMPUTED_VALUE"""),"Trabalho informal")</f>
        <v>Trabalho informal</v>
      </c>
      <c r="BS577" s="27" t="str">
        <f ca="1">IFERROR(__xludf.DUMMYFUNCTION("""COMPUTED_VALUE"""),"Casa própria")</f>
        <v>Casa própria</v>
      </c>
      <c r="BT577" s="27">
        <f ca="1">IFERROR(__xludf.DUMMYFUNCTION("""COMPUTED_VALUE"""),4)</f>
        <v>4</v>
      </c>
      <c r="BU577" s="27" t="str">
        <f ca="1">IFERROR(__xludf.DUMMYFUNCTION("""COMPUTED_VALUE"""),"Não tem")</f>
        <v>Não tem</v>
      </c>
      <c r="BV577" s="27" t="str">
        <f ca="1">IFERROR(__xludf.DUMMYFUNCTION("""COMPUTED_VALUE"""),"Não")</f>
        <v>Não</v>
      </c>
      <c r="BW577" s="27"/>
      <c r="BX577" s="27"/>
      <c r="BY577" s="21" t="str">
        <f ca="1">IFERROR(__xludf.DUMMYFUNCTION("""COMPUTED_VALUE"""),"https://drive.google.com/open?id=1k6pus-pX8QhiqKifKij2u9gT5Ev_wDZC")</f>
        <v>https://drive.google.com/open?id=1k6pus-pX8QhiqKifKij2u9gT5Ev_wDZC</v>
      </c>
    </row>
    <row r="578" spans="1:77" ht="12.5" x14ac:dyDescent="0.25">
      <c r="A578" s="21" t="str">
        <f ca="1">IFERROR(__xludf.DUMMYFUNCTION("""COMPUTED_VALUE"""),"0014X00002VKCtxQAH")</f>
        <v>0014X00002VKCtxQAH</v>
      </c>
      <c r="B578" s="27" t="str">
        <f ca="1">IFERROR(__xludf.DUMMYFUNCTION("""COMPUTED_VALUE"""),"Fase Inicial")</f>
        <v>Fase Inicial</v>
      </c>
      <c r="C578" s="27" t="str">
        <f ca="1">IFERROR(__xludf.DUMMYFUNCTION("""COMPUTED_VALUE"""),"Fellow")</f>
        <v>Fellow</v>
      </c>
      <c r="D578" s="27" t="str">
        <f ca="1">IFERROR(__xludf.DUMMYFUNCTION("""COMPUTED_VALUE"""),"Ativo")</f>
        <v>Ativo</v>
      </c>
      <c r="E578" s="27" t="str">
        <f ca="1">IFERROR(__xludf.DUMMYFUNCTION("""COMPUTED_VALUE"""),"Tech Girls")</f>
        <v>Tech Girls</v>
      </c>
      <c r="F578" s="27" t="str">
        <f ca="1">IFERROR(__xludf.DUMMYFUNCTION("""COMPUTED_VALUE"""),"Gisele")</f>
        <v>Gisele</v>
      </c>
      <c r="G578" s="27" t="str">
        <f ca="1">IFERROR(__xludf.DUMMYFUNCTION("""COMPUTED_VALUE"""),"TECH GIRLS")</f>
        <v>TECH GIRLS</v>
      </c>
      <c r="H578" s="27" t="str">
        <f ca="1">IFERROR(__xludf.DUMMYFUNCTION("""COMPUTED_VALUE"""),"45.988.443/0001-70")</f>
        <v>45.988.443/0001-70</v>
      </c>
      <c r="I578" s="27" t="str">
        <f ca="1">IFERROR(__xludf.DUMMYFUNCTION("""COMPUTED_VALUE"""),"Gisele Silveira Lasserre")</f>
        <v>Gisele Silveira Lasserre</v>
      </c>
      <c r="J578" s="27" t="str">
        <f ca="1">IFERROR(__xludf.DUMMYFUNCTION("""COMPUTED_VALUE"""),"gisele@techgirls.com.br")</f>
        <v>gisele@techgirls.com.br</v>
      </c>
      <c r="K578" s="27" t="str">
        <f ca="1">IFERROR(__xludf.DUMMYFUNCTION("""COMPUTED_VALUE"""),"(41)98706-1379")</f>
        <v>(41)98706-1379</v>
      </c>
      <c r="L578" s="27" t="str">
        <f ca="1">IFERROR(__xludf.DUMMYFUNCTION("""COMPUTED_VALUE"""),"PR")</f>
        <v>PR</v>
      </c>
      <c r="M578" s="27" t="str">
        <f ca="1">IFERROR(__xludf.DUMMYFUNCTION("""COMPUTED_VALUE"""),"Rua Mal Deodoro")</f>
        <v>Rua Mal Deodoro</v>
      </c>
      <c r="N578" s="27" t="str">
        <f ca="1">IFERROR(__xludf.DUMMYFUNCTION("""COMPUTED_VALUE"""),"Centro")</f>
        <v>Centro</v>
      </c>
      <c r="O578" s="27">
        <f ca="1">IFERROR(__xludf.DUMMYFUNCTION("""COMPUTED_VALUE"""),630)</f>
        <v>630</v>
      </c>
      <c r="P578" s="27" t="str">
        <f ca="1">IFERROR(__xludf.DUMMYFUNCTION("""COMPUTED_VALUE"""),"Curitiba")</f>
        <v>Curitiba</v>
      </c>
      <c r="Q578" s="27" t="str">
        <f ca="1">IFERROR(__xludf.DUMMYFUNCTION("""COMPUTED_VALUE"""),"cj 101")</f>
        <v>cj 101</v>
      </c>
      <c r="R578" s="27" t="str">
        <f ca="1">IFERROR(__xludf.DUMMYFUNCTION("""COMPUTED_VALUE"""),"80010-010")</f>
        <v>80010-010</v>
      </c>
      <c r="S578" s="27" t="str">
        <f ca="1">IFERROR(__xludf.DUMMYFUNCTION("""COMPUTED_VALUE"""),"Outra URL nossa é www.ecotech.org.br  Sim, associações de Bairros e Centros comunitários em SP (capital) e Região Metropolitana de Curitiba")</f>
        <v>Outra URL nossa é www.ecotech.org.br  Sim, associações de Bairros e Centros comunitários em SP (capital) e Região Metropolitana de Curitiba</v>
      </c>
      <c r="T578" s="27"/>
      <c r="U578" s="27" t="str">
        <f ca="1">IFERROR(__xludf.DUMMYFUNCTION("""COMPUTED_VALUE"""),"Adolescentes (12 aos 18 anos), Jovens (18 aos 24 anos), Adultos")</f>
        <v>Adolescentes (12 aos 18 anos), Jovens (18 aos 24 anos), Adultos</v>
      </c>
      <c r="V578" s="27" t="str">
        <f ca="1">IFERROR(__xludf.DUMMYFUNCTION("""COMPUTED_VALUE"""),"Moradores de Favelas, População LGBTQ+, Afrodescendentes, Egressos sistema carcerário, Imigrantes, Refugiados, Ribeirinhos, Outros")</f>
        <v>Moradores de Favelas, População LGBTQ+, Afrodescendentes, Egressos sistema carcerário, Imigrantes, Refugiados, Ribeirinhos, Outros</v>
      </c>
      <c r="W578" s="27">
        <f ca="1">IFERROR(__xludf.DUMMYFUNCTION("""COMPUTED_VALUE"""),15)</f>
        <v>15</v>
      </c>
      <c r="X578" s="27" t="str">
        <f ca="1">IFERROR(__xludf.DUMMYFUNCTION("""COMPUTED_VALUE"""),"os cursos são realizados em associações de bairros e centros comunitários")</f>
        <v>os cursos são realizados em associações de bairros e centros comunitários</v>
      </c>
      <c r="Y578" s="27"/>
      <c r="Z578" s="27">
        <f ca="1">IFERROR(__xludf.DUMMYFUNCTION("""COMPUTED_VALUE"""),550)</f>
        <v>550</v>
      </c>
      <c r="AA578" s="29">
        <f ca="1">IFERROR(__xludf.DUMMYFUNCTION("""COMPUTED_VALUE"""),42979)</f>
        <v>42979</v>
      </c>
      <c r="AB578" s="27" t="str">
        <f ca="1">IFERROR(__xludf.DUMMYFUNCTION("""COMPUTED_VALUE"""),"Não")</f>
        <v>Não</v>
      </c>
      <c r="AC578" s="27">
        <f ca="1">IFERROR(__xludf.DUMMYFUNCTION("""COMPUTED_VALUE"""),10)</f>
        <v>10</v>
      </c>
      <c r="AD578" s="27">
        <f ca="1">IFERROR(__xludf.DUMMYFUNCTION("""COMPUTED_VALUE"""),1)</f>
        <v>1</v>
      </c>
      <c r="AE578" s="27">
        <f ca="1">IFERROR(__xludf.DUMMYFUNCTION("""COMPUTED_VALUE"""),8)</f>
        <v>8</v>
      </c>
      <c r="AF578" s="27">
        <f ca="1">IFERROR(__xludf.DUMMYFUNCTION("""COMPUTED_VALUE"""),0)</f>
        <v>0</v>
      </c>
      <c r="AG578" s="27">
        <f ca="1">IFERROR(__xludf.DUMMYFUNCTION("""COMPUTED_VALUE"""),3)</f>
        <v>3</v>
      </c>
      <c r="AH578" s="27" t="str">
        <f ca="1">IFERROR(__xludf.DUMMYFUNCTION("""COMPUTED_VALUE"""),"Negócio Social, Eventos/Ações para captação, Parceria iniciativa privada, Recursos próprios")</f>
        <v>Negócio Social, Eventos/Ações para captação, Parceria iniciativa privada, Recursos próprios</v>
      </c>
      <c r="AI578" s="27" t="str">
        <f ca="1">IFERROR(__xludf.DUMMYFUNCTION("""COMPUTED_VALUE"""),"0 pois foram patrocíniospontuais")</f>
        <v>0 pois foram patrocíniospontuais</v>
      </c>
      <c r="AJ578" s="27" t="str">
        <f ca="1">IFERROR(__xludf.DUMMYFUNCTION("""COMPUTED_VALUE"""),"Vamos iniciar esse ano")</f>
        <v>Vamos iniciar esse ano</v>
      </c>
      <c r="AK578" s="27"/>
      <c r="AL578" s="21" t="str">
        <f ca="1">IFERROR(__xludf.DUMMYFUNCTION("""COMPUTED_VALUE"""),"0034X0000380O2D")</f>
        <v>0034X0000380O2D</v>
      </c>
      <c r="AM578" s="27" t="str">
        <f ca="1">IFERROR(__xludf.DUMMYFUNCTION("""COMPUTED_VALUE"""),"Silveira lasserre")</f>
        <v>Silveira lasserre</v>
      </c>
      <c r="AN578" s="27" t="str">
        <f ca="1">IFERROR(__xludf.DUMMYFUNCTION("""COMPUTED_VALUE"""),"Ativo")</f>
        <v>Ativo</v>
      </c>
      <c r="AO578" s="29">
        <f ca="1">IFERROR(__xludf.DUMMYFUNCTION("""COMPUTED_VALUE"""),44763)</f>
        <v>44763</v>
      </c>
      <c r="AP578" s="27">
        <f ca="1">IFERROR(__xludf.DUMMYFUNCTION("""COMPUTED_VALUE"""),2)</f>
        <v>2</v>
      </c>
      <c r="AQ578" s="27" t="str">
        <f ca="1">IFERROR(__xludf.DUMMYFUNCTION("""COMPUTED_VALUE"""),"Primeiro Semestre 2022")</f>
        <v>Primeiro Semestre 2022</v>
      </c>
      <c r="AR578" s="27" t="str">
        <f ca="1">IFERROR(__xludf.DUMMYFUNCTION("""COMPUTED_VALUE"""),"techgirlsbr@gmail.com")</f>
        <v>techgirlsbr@gmail.com</v>
      </c>
      <c r="AS578" s="27">
        <f ca="1">IFERROR(__xludf.DUMMYFUNCTION("""COMPUTED_VALUE"""),41987061379)</f>
        <v>41987061379</v>
      </c>
      <c r="AT578" s="29">
        <f ca="1">IFERROR(__xludf.DUMMYFUNCTION("""COMPUTED_VALUE"""),28351)</f>
        <v>28351</v>
      </c>
      <c r="AU578" s="27">
        <f ca="1">IFERROR(__xludf.DUMMYFUNCTION("""COMPUTED_VALUE"""),45)</f>
        <v>45</v>
      </c>
      <c r="AV578" s="27">
        <f ca="1">IFERROR(__xludf.DUMMYFUNCTION("""COMPUTED_VALUE"""),2076960988)</f>
        <v>2076960988</v>
      </c>
      <c r="AW578" s="27">
        <f ca="1">IFERROR(__xludf.DUMMYFUNCTION("""COMPUTED_VALUE"""),509433182)</f>
        <v>509433182</v>
      </c>
      <c r="AX578" s="27"/>
      <c r="AY578" s="27"/>
      <c r="AZ578" s="27" t="str">
        <f ca="1">IFERROR(__xludf.DUMMYFUNCTION("""COMPUTED_VALUE"""),"P")</f>
        <v>P</v>
      </c>
      <c r="BA578" s="27" t="str">
        <f ca="1">IFERROR(__xludf.DUMMYFUNCTION("""COMPUTED_VALUE"""),"Branca")</f>
        <v>Branca</v>
      </c>
      <c r="BB578" s="27"/>
      <c r="BC578" s="27"/>
      <c r="BD578" s="27" t="str">
        <f ca="1">IFERROR(__xludf.DUMMYFUNCTION("""COMPUTED_VALUE"""),"A desenvolvedora de software e educadora digital Gisele Lasserre obteve o 1o lugar do Prêmio Empreendedora Curitibana 2021* na categoria Empresa de Impacto Socioambiental* connedida pela Prefeitura Municipal de Curitiba. 
Nascida em Curitiba- PR* tem 44 a"&amp;"nos* construiu carreira corporativa por 17 anos em São Paulo e no Canadá.  Fundou em 2017* o negócio de impacto socioambiental Tech Girls* momento em que concluiu sua segunda graduação e quando fez a migração para a área de TI* já na sua crise de meia ida"&amp;"de ( 40 anos). Graduada em Tecnologia da Informação-Management (SENAC-SP) e Comunicação (PUC-PR)* além de especialização em Administração (FGV-SP CEAG) e Marketing ( FAE-Business School).")</f>
        <v>A desenvolvedora de software e educadora digital Gisele Lasserre obteve o 1o lugar do Prêmio Empreendedora Curitibana 2021* na categoria Empresa de Impacto Socioambiental* connedida pela Prefeitura Municipal de Curitiba. 
Nascida em Curitiba- PR* tem 44 anos* construiu carreira corporativa por 17 anos em São Paulo e no Canadá.  Fundou em 2017* o negócio de impacto socioambiental Tech Girls* momento em que concluiu sua segunda graduação e quando fez a migração para a área de TI* já na sua crise de meia idade ( 40 anos). Graduada em Tecnologia da Informação-Management (SENAC-SP) e Comunicação (PUC-PR)* além de especialização em Administração (FGV-SP CEAG) e Marketing ( FAE-Business School).</v>
      </c>
      <c r="BE578" s="27" t="str">
        <f ca="1">IFERROR(__xludf.DUMMYFUNCTION("""COMPUTED_VALUE"""),"Feminino")</f>
        <v>Feminino</v>
      </c>
      <c r="BF578" s="27" t="str">
        <f ca="1">IFERROR(__xludf.DUMMYFUNCTION("""COMPUTED_VALUE"""),"Heterossexual")</f>
        <v>Heterossexual</v>
      </c>
      <c r="BG578" s="27"/>
      <c r="BH578" s="27" t="str">
        <f ca="1">IFERROR(__xludf.DUMMYFUNCTION("""COMPUTED_VALUE"""),"Privado")</f>
        <v>Privado</v>
      </c>
      <c r="BI578" s="27" t="str">
        <f ca="1">IFERROR(__xludf.DUMMYFUNCTION("""COMPUTED_VALUE"""),"Pós-Graduação")</f>
        <v>Pós-Graduação</v>
      </c>
      <c r="BJ578" s="27" t="str">
        <f ca="1">IFERROR(__xludf.DUMMYFUNCTION("""COMPUTED_VALUE"""),"Privado")</f>
        <v>Privado</v>
      </c>
      <c r="BK578" s="27" t="str">
        <f ca="1">IFERROR(__xludf.DUMMYFUNCTION("""COMPUTED_VALUE"""),"R Sete e Abril")</f>
        <v>R Sete e Abril</v>
      </c>
      <c r="BL578" s="27">
        <f ca="1">IFERROR(__xludf.DUMMYFUNCTION("""COMPUTED_VALUE"""),191)</f>
        <v>191</v>
      </c>
      <c r="BM578" s="27">
        <f ca="1">IFERROR(__xludf.DUMMYFUNCTION("""COMPUTED_VALUE"""),501)</f>
        <v>501</v>
      </c>
      <c r="BN578" s="27"/>
      <c r="BO578" s="27">
        <f ca="1">IFERROR(__xludf.DUMMYFUNCTION("""COMPUTED_VALUE"""),80045105)</f>
        <v>80045105</v>
      </c>
      <c r="BP578" s="27" t="str">
        <f ca="1">IFERROR(__xludf.DUMMYFUNCTION("""COMPUTED_VALUE"""),"PR")</f>
        <v>PR</v>
      </c>
      <c r="BQ578" s="27" t="str">
        <f ca="1">IFERROR(__xludf.DUMMYFUNCTION("""COMPUTED_VALUE"""),"Entre 1 até 3 salários mínimos")</f>
        <v>Entre 1 até 3 salários mínimos</v>
      </c>
      <c r="BR578" s="27" t="str">
        <f ca="1">IFERROR(__xludf.DUMMYFUNCTION("""COMPUTED_VALUE"""),"CLT")</f>
        <v>CLT</v>
      </c>
      <c r="BS578" s="27" t="str">
        <f ca="1">IFERROR(__xludf.DUMMYFUNCTION("""COMPUTED_VALUE"""),"Outros")</f>
        <v>Outros</v>
      </c>
      <c r="BT578" s="27">
        <f ca="1">IFERROR(__xludf.DUMMYFUNCTION("""COMPUTED_VALUE"""),2)</f>
        <v>2</v>
      </c>
      <c r="BU578" s="27" t="str">
        <f ca="1">IFERROR(__xludf.DUMMYFUNCTION("""COMPUTED_VALUE"""),"Não tem")</f>
        <v>Não tem</v>
      </c>
      <c r="BV578" s="27" t="str">
        <f ca="1">IFERROR(__xludf.DUMMYFUNCTION("""COMPUTED_VALUE"""),"Não")</f>
        <v>Não</v>
      </c>
      <c r="BW578" s="21" t="str">
        <f ca="1">IFERROR(__xludf.DUMMYFUNCTION("""COMPUTED_VALUE"""),"https://www.linkedin.com/in/gisele.lasserre")</f>
        <v>https://www.linkedin.com/in/gisele.lasserre</v>
      </c>
      <c r="BX578" s="21" t="str">
        <f ca="1">IFERROR(__xludf.DUMMYFUNCTION("""COMPUTED_VALUE"""),"https://www.instagram.com/giselelasserre/")</f>
        <v>https://www.instagram.com/giselelasserre/</v>
      </c>
      <c r="BY578" s="21" t="str">
        <f ca="1">IFERROR(__xludf.DUMMYFUNCTION("""COMPUTED_VALUE"""),"https://drive.google.com/open?id=1Sg-gNg0LwNeZE7F82Gh1sjoPo3FtSsBq")</f>
        <v>https://drive.google.com/open?id=1Sg-gNg0LwNeZE7F82Gh1sjoPo3FtSsBq</v>
      </c>
    </row>
    <row r="579" spans="1:77" ht="12.5" x14ac:dyDescent="0.25">
      <c r="A579" s="21" t="str">
        <f ca="1">IFERROR(__xludf.DUMMYFUNCTION("""COMPUTED_VALUE"""),"0014P00003YSp82QAD")</f>
        <v>0014P00003YSp82QAD</v>
      </c>
      <c r="B579" s="27" t="str">
        <f ca="1">IFERROR(__xludf.DUMMYFUNCTION("""COMPUTED_VALUE"""),"Fase Inicial")</f>
        <v>Fase Inicial</v>
      </c>
      <c r="C579" s="27" t="str">
        <f ca="1">IFERROR(__xludf.DUMMYFUNCTION("""COMPUTED_VALUE"""),"Fellow")</f>
        <v>Fellow</v>
      </c>
      <c r="D579" s="27" t="str">
        <f ca="1">IFERROR(__xludf.DUMMYFUNCTION("""COMPUTED_VALUE"""),"Ativo")</f>
        <v>Ativo</v>
      </c>
      <c r="E579" s="27" t="str">
        <f ca="1">IFERROR(__xludf.DUMMYFUNCTION("""COMPUTED_VALUE"""),"Tererê Kids Project")</f>
        <v>Tererê Kids Project</v>
      </c>
      <c r="F579" s="27" t="str">
        <f ca="1">IFERROR(__xludf.DUMMYFUNCTION("""COMPUTED_VALUE"""),"Leandro")</f>
        <v>Leandro</v>
      </c>
      <c r="G579" s="27"/>
      <c r="H579" s="27" t="str">
        <f ca="1">IFERROR(__xludf.DUMMYFUNCTION("""COMPUTED_VALUE"""),"44.625.908/0001-66")</f>
        <v>44.625.908/0001-66</v>
      </c>
      <c r="I579" s="27" t="str">
        <f ca="1">IFERROR(__xludf.DUMMYFUNCTION("""COMPUTED_VALUE"""),"Fabrício da Silva Tavares da Conceição")</f>
        <v>Fabrício da Silva Tavares da Conceição</v>
      </c>
      <c r="J579" s="27" t="str">
        <f ca="1">IFERROR(__xludf.DUMMYFUNCTION("""COMPUTED_VALUE"""),"tererekidsproject@gmail.com")</f>
        <v>tererekidsproject@gmail.com</v>
      </c>
      <c r="K579" s="27" t="str">
        <f ca="1">IFERROR(__xludf.DUMMYFUNCTION("""COMPUTED_VALUE"""),"(21)96411-1782")</f>
        <v>(21)96411-1782</v>
      </c>
      <c r="L579" s="27" t="str">
        <f ca="1">IFERROR(__xludf.DUMMYFUNCTION("""COMPUTED_VALUE"""),"RJ")</f>
        <v>RJ</v>
      </c>
      <c r="M579" s="27" t="str">
        <f ca="1">IFERROR(__xludf.DUMMYFUNCTION("""COMPUTED_VALUE"""),"Alberto de Campos 12")</f>
        <v>Alberto de Campos 12</v>
      </c>
      <c r="N579" s="27" t="str">
        <f ca="1">IFERROR(__xludf.DUMMYFUNCTION("""COMPUTED_VALUE"""),"Ipanema")</f>
        <v>Ipanema</v>
      </c>
      <c r="O579" s="27">
        <f ca="1">IFERROR(__xludf.DUMMYFUNCTION("""COMPUTED_VALUE"""),12)</f>
        <v>12</v>
      </c>
      <c r="P579" s="27" t="str">
        <f ca="1">IFERROR(__xludf.DUMMYFUNCTION("""COMPUTED_VALUE"""),"Rio de Janeiro")</f>
        <v>Rio de Janeiro</v>
      </c>
      <c r="Q579" s="27" t="str">
        <f ca="1">IFERROR(__xludf.DUMMYFUNCTION("""COMPUTED_VALUE"""),"Academia Fernando Tererê")</f>
        <v>Academia Fernando Tererê</v>
      </c>
      <c r="R579" s="27" t="str">
        <f ca="1">IFERROR(__xludf.DUMMYFUNCTION("""COMPUTED_VALUE"""),"22411-030")</f>
        <v>22411-030</v>
      </c>
      <c r="S579" s="27"/>
      <c r="T579" s="27" t="str">
        <f ca="1">IFERROR(__xludf.DUMMYFUNCTION("""COMPUTED_VALUE"""),"Esporte; Educação; Assistência Social; Cultura")</f>
        <v>Esporte; Educação; Assistência Social; Cultura</v>
      </c>
      <c r="U579" s="27" t="str">
        <f ca="1">IFERROR(__xludf.DUMMYFUNCTION("""COMPUTED_VALUE"""),"Crianças pequenas (4 anos a 5 anos e 11 meses); Crianças (6 a 12 anos); Adolescentes (12 aos 18 anos)")</f>
        <v>Crianças pequenas (4 anos a 5 anos e 11 meses); Crianças (6 a 12 anos); Adolescentes (12 aos 18 anos)</v>
      </c>
      <c r="V579" s="27" t="str">
        <f ca="1">IFERROR(__xludf.DUMMYFUNCTION("""COMPUTED_VALUE"""),"Moradores de Favelas")</f>
        <v>Moradores de Favelas</v>
      </c>
      <c r="W579" s="27">
        <f ca="1">IFERROR(__xludf.DUMMYFUNCTION("""COMPUTED_VALUE"""),7)</f>
        <v>7</v>
      </c>
      <c r="X579" s="27"/>
      <c r="Y579" s="27"/>
      <c r="Z579" s="27">
        <f ca="1">IFERROR(__xludf.DUMMYFUNCTION("""COMPUTED_VALUE"""),400)</f>
        <v>400</v>
      </c>
      <c r="AA579" s="30">
        <f ca="1">IFERROR(__xludf.DUMMYFUNCTION("""COMPUTED_VALUE"""),44547)</f>
        <v>44547</v>
      </c>
      <c r="AB579" s="27" t="str">
        <f ca="1">IFERROR(__xludf.DUMMYFUNCTION("""COMPUTED_VALUE"""),"Não")</f>
        <v>Não</v>
      </c>
      <c r="AC579" s="27">
        <f ca="1">IFERROR(__xludf.DUMMYFUNCTION("""COMPUTED_VALUE"""),9)</f>
        <v>9</v>
      </c>
      <c r="AD579" s="27">
        <f ca="1">IFERROR(__xludf.DUMMYFUNCTION("""COMPUTED_VALUE"""),9)</f>
        <v>9</v>
      </c>
      <c r="AE579" s="27">
        <f ca="1">IFERROR(__xludf.DUMMYFUNCTION("""COMPUTED_VALUE"""),9)</f>
        <v>9</v>
      </c>
      <c r="AF579" s="27">
        <f ca="1">IFERROR(__xludf.DUMMYFUNCTION("""COMPUTED_VALUE"""),9)</f>
        <v>9</v>
      </c>
      <c r="AG579" s="27">
        <f ca="1">IFERROR(__xludf.DUMMYFUNCTION("""COMPUTED_VALUE"""),4)</f>
        <v>4</v>
      </c>
      <c r="AH579" s="27" t="str">
        <f ca="1">IFERROR(__xludf.DUMMYFUNCTION("""COMPUTED_VALUE"""),"Eventos/Ações para captação; Plataforma doação online - Pessoa Física; Doações; Recursos próprios")</f>
        <v>Eventos/Ações para captação; Plataforma doação online - Pessoa Física; Doações; Recursos próprios</v>
      </c>
      <c r="AI579" s="27" t="str">
        <f ca="1">IFERROR(__xludf.DUMMYFUNCTION("""COMPUTED_VALUE"""),"70% doações/10%recursos próprios/10%eventos/10%plataforma on line")</f>
        <v>70% doações/10%recursos próprios/10%eventos/10%plataforma on line</v>
      </c>
      <c r="AJ579" s="27"/>
      <c r="AK579" s="27"/>
      <c r="AL579" s="21" t="str">
        <f ca="1">IFERROR(__xludf.DUMMYFUNCTION("""COMPUTED_VALUE"""),"0034P000045kxid")</f>
        <v>0034P000045kxid</v>
      </c>
      <c r="AM579" s="27" t="str">
        <f ca="1">IFERROR(__xludf.DUMMYFUNCTION("""COMPUTED_VALUE"""),"Soares Tomaz")</f>
        <v>Soares Tomaz</v>
      </c>
      <c r="AN579" s="27" t="str">
        <f ca="1">IFERROR(__xludf.DUMMYFUNCTION("""COMPUTED_VALUE"""),"Ativo")</f>
        <v>Ativo</v>
      </c>
      <c r="AO579" s="30">
        <f ca="1">IFERROR(__xludf.DUMMYFUNCTION("""COMPUTED_VALUE"""),44551)</f>
        <v>44551</v>
      </c>
      <c r="AP579" s="27">
        <f ca="1">IFERROR(__xludf.DUMMYFUNCTION("""COMPUTED_VALUE"""),9)</f>
        <v>9</v>
      </c>
      <c r="AQ579" s="27" t="str">
        <f ca="1">IFERROR(__xludf.DUMMYFUNCTION("""COMPUTED_VALUE"""),"Segundo Semestre 2021")</f>
        <v>Segundo Semestre 2021</v>
      </c>
      <c r="AR579" s="27" t="str">
        <f ca="1">IFERROR(__xludf.DUMMYFUNCTION("""COMPUTED_VALUE"""),"ls.tomazg@gmail.com")</f>
        <v>ls.tomazg@gmail.com</v>
      </c>
      <c r="AS579" s="27" t="str">
        <f ca="1">IFERROR(__xludf.DUMMYFUNCTION("""COMPUTED_VALUE"""),"(21)96411-1782")</f>
        <v>(21)96411-1782</v>
      </c>
      <c r="AT579" s="29">
        <f ca="1">IFERROR(__xludf.DUMMYFUNCTION("""COMPUTED_VALUE"""),28935)</f>
        <v>28935</v>
      </c>
      <c r="AU579" s="27">
        <f ca="1">IFERROR(__xludf.DUMMYFUNCTION("""COMPUTED_VALUE"""),43)</f>
        <v>43</v>
      </c>
      <c r="AV579" s="27">
        <f ca="1">IFERROR(__xludf.DUMMYFUNCTION("""COMPUTED_VALUE"""),6862216724)</f>
        <v>6862216724</v>
      </c>
      <c r="AW579" s="27" t="str">
        <f ca="1">IFERROR(__xludf.DUMMYFUNCTION("""COMPUTED_VALUE"""),"10188500-2")</f>
        <v>10188500-2</v>
      </c>
      <c r="AX579" s="27"/>
      <c r="AY579" s="27"/>
      <c r="AZ579" s="27" t="str">
        <f ca="1">IFERROR(__xludf.DUMMYFUNCTION("""COMPUTED_VALUE"""),"G")</f>
        <v>G</v>
      </c>
      <c r="BA579" s="27" t="str">
        <f ca="1">IFERROR(__xludf.DUMMYFUNCTION("""COMPUTED_VALUE"""),"Parda")</f>
        <v>Parda</v>
      </c>
      <c r="BB579" s="27" t="str">
        <f ca="1">IFERROR(__xludf.DUMMYFUNCTION("""COMPUTED_VALUE"""),"Homem, cisgênero")</f>
        <v>Homem, cisgênero</v>
      </c>
      <c r="BC579" s="27" t="str">
        <f ca="1">IFERROR(__xludf.DUMMYFUNCTION("""COMPUTED_VALUE"""),"Não")</f>
        <v>Não</v>
      </c>
      <c r="BD579" s="27" t="str">
        <f ca="1">IFERROR(__xludf.DUMMYFUNCTION("""COMPUTED_VALUE"""),"Amo esportes, praia, viajar e resenhar com os amigos.  A família é o que tenho de mais valioso!
Gestor Tererê Kids Project 
Coordenador Centro de Referência da Juventude na Comunidade do Cantagalo RJ - Gov RJ")</f>
        <v>Amo esportes, praia, viajar e resenhar com os amigos.  A família é o que tenho de mais valioso!
Gestor Tererê Kids Project 
Coordenador Centro de Referência da Juventude na Comunidade do Cantagalo RJ - Gov RJ</v>
      </c>
      <c r="BE579" s="27"/>
      <c r="BF579" s="27" t="str">
        <f ca="1">IFERROR(__xludf.DUMMYFUNCTION("""COMPUTED_VALUE"""),"Heterossexual")</f>
        <v>Heterossexual</v>
      </c>
      <c r="BG579" s="27" t="str">
        <f ca="1">IFERROR(__xludf.DUMMYFUNCTION("""COMPUTED_VALUE"""),"Ensino Superior - Completo")</f>
        <v>Ensino Superior - Completo</v>
      </c>
      <c r="BH579" s="27" t="str">
        <f ca="1">IFERROR(__xludf.DUMMYFUNCTION("""COMPUTED_VALUE"""),"Privado")</f>
        <v>Privado</v>
      </c>
      <c r="BI579" s="27" t="str">
        <f ca="1">IFERROR(__xludf.DUMMYFUNCTION("""COMPUTED_VALUE"""),"Graduação")</f>
        <v>Graduação</v>
      </c>
      <c r="BJ579" s="27" t="str">
        <f ca="1">IFERROR(__xludf.DUMMYFUNCTION("""COMPUTED_VALUE"""),"Privado")</f>
        <v>Privado</v>
      </c>
      <c r="BK579" s="27" t="str">
        <f ca="1">IFERROR(__xludf.DUMMYFUNCTION("""COMPUTED_VALUE"""),"Saint Roman")</f>
        <v>Saint Roman</v>
      </c>
      <c r="BL579" s="27">
        <f ca="1">IFERROR(__xludf.DUMMYFUNCTION("""COMPUTED_VALUE"""),89)</f>
        <v>89</v>
      </c>
      <c r="BM579" s="27" t="str">
        <f ca="1">IFERROR(__xludf.DUMMYFUNCTION("""COMPUTED_VALUE"""),"201 C")</f>
        <v>201 C</v>
      </c>
      <c r="BN579" s="27" t="str">
        <f ca="1">IFERROR(__xludf.DUMMYFUNCTION("""COMPUTED_VALUE"""),"Rio de Janeiro")</f>
        <v>Rio de Janeiro</v>
      </c>
      <c r="BO579" s="27" t="str">
        <f ca="1">IFERROR(__xludf.DUMMYFUNCTION("""COMPUTED_VALUE"""),"22071-060")</f>
        <v>22071-060</v>
      </c>
      <c r="BP579" s="27" t="str">
        <f ca="1">IFERROR(__xludf.DUMMYFUNCTION("""COMPUTED_VALUE"""),"RJ")</f>
        <v>RJ</v>
      </c>
      <c r="BQ579" s="27" t="str">
        <f ca="1">IFERROR(__xludf.DUMMYFUNCTION("""COMPUTED_VALUE"""),"De 3 até 5 salários mínimos")</f>
        <v>De 3 até 5 salários mínimos</v>
      </c>
      <c r="BR579" s="27" t="str">
        <f ca="1">IFERROR(__xludf.DUMMYFUNCTION("""COMPUTED_VALUE"""),"MEI; Funcionário Público")</f>
        <v>MEI; Funcionário Público</v>
      </c>
      <c r="BS579" s="27" t="str">
        <f ca="1">IFERROR(__xludf.DUMMYFUNCTION("""COMPUTED_VALUE"""),"Casa própria")</f>
        <v>Casa própria</v>
      </c>
      <c r="BT579" s="27">
        <f ca="1">IFERROR(__xludf.DUMMYFUNCTION("""COMPUTED_VALUE"""),3)</f>
        <v>3</v>
      </c>
      <c r="BU579" s="27" t="str">
        <f ca="1">IFERROR(__xludf.DUMMYFUNCTION("""COMPUTED_VALUE"""),"Não tem")</f>
        <v>Não tem</v>
      </c>
      <c r="BV579" s="27"/>
      <c r="BW579" s="21" t="str">
        <f ca="1">IFERROR(__xludf.DUMMYFUNCTION("""COMPUTED_VALUE"""),"https://www.linkedin.com/in/leandro-soares-358215113")</f>
        <v>https://www.linkedin.com/in/leandro-soares-358215113</v>
      </c>
      <c r="BX579" s="21" t="str">
        <f ca="1">IFERROR(__xludf.DUMMYFUNCTION("""COMPUTED_VALUE"""),"https://instagram.com/leandrosoaresfla?utm_medium=copy_link")</f>
        <v>https://instagram.com/leandrosoaresfla?utm_medium=copy_link</v>
      </c>
      <c r="BY579" s="21" t="str">
        <f ca="1">IFERROR(__xludf.DUMMYFUNCTION("""COMPUTED_VALUE"""),"https://drive.google.com/open?id=1GdhM8E50ilAGy_4jRE98zBEdFQKR8qZ2")</f>
        <v>https://drive.google.com/open?id=1GdhM8E50ilAGy_4jRE98zBEdFQKR8qZ2</v>
      </c>
    </row>
    <row r="580" spans="1:77" ht="12.5" x14ac:dyDescent="0.25">
      <c r="A580" s="21" t="str">
        <f ca="1">IFERROR(__xludf.DUMMYFUNCTION("""COMPUTED_VALUE"""),"0014X00002VKCuEQAX")</f>
        <v>0014X00002VKCuEQAX</v>
      </c>
      <c r="B580" s="27" t="str">
        <f ca="1">IFERROR(__xludf.DUMMYFUNCTION("""COMPUTED_VALUE"""),"Fase Inicial")</f>
        <v>Fase Inicial</v>
      </c>
      <c r="C580" s="27" t="str">
        <f ca="1">IFERROR(__xludf.DUMMYFUNCTION("""COMPUTED_VALUE"""),"Fellow")</f>
        <v>Fellow</v>
      </c>
      <c r="D580" s="27" t="str">
        <f ca="1">IFERROR(__xludf.DUMMYFUNCTION("""COMPUTED_VALUE"""),"Ativo")</f>
        <v>Ativo</v>
      </c>
      <c r="E580" s="27" t="str">
        <f ca="1">IFERROR(__xludf.DUMMYFUNCTION("""COMPUTED_VALUE"""),"Terezinha Osmari Bagatini")</f>
        <v>Terezinha Osmari Bagatini</v>
      </c>
      <c r="F580" s="27" t="str">
        <f ca="1">IFERROR(__xludf.DUMMYFUNCTION("""COMPUTED_VALUE"""),"Terezinha")</f>
        <v>Terezinha</v>
      </c>
      <c r="G580" s="27" t="str">
        <f ca="1">IFERROR(__xludf.DUMMYFUNCTION("""COMPUTED_VALUE"""),"EDITORA MAIS QUE PALAVRAS")</f>
        <v>EDITORA MAIS QUE PALAVRAS</v>
      </c>
      <c r="H580" s="27" t="str">
        <f ca="1">IFERROR(__xludf.DUMMYFUNCTION("""COMPUTED_VALUE"""),"14.318.583/0001-08")</f>
        <v>14.318.583/0001-08</v>
      </c>
      <c r="I580" s="27" t="str">
        <f ca="1">IFERROR(__xludf.DUMMYFUNCTION("""COMPUTED_VALUE"""),"Terezinha Osmari Bagatini")</f>
        <v>Terezinha Osmari Bagatini</v>
      </c>
      <c r="J580" s="27" t="str">
        <f ca="1">IFERROR(__xludf.DUMMYFUNCTION("""COMPUTED_VALUE"""),"maisquepalavrascultura@gmail.com")</f>
        <v>maisquepalavrascultura@gmail.com</v>
      </c>
      <c r="K580" s="27" t="str">
        <f ca="1">IFERROR(__xludf.DUMMYFUNCTION("""COMPUTED_VALUE"""),"(49)99818-6137")</f>
        <v>(49)99818-6137</v>
      </c>
      <c r="L580" s="27" t="str">
        <f ca="1">IFERROR(__xludf.DUMMYFUNCTION("""COMPUTED_VALUE"""),"SC")</f>
        <v>SC</v>
      </c>
      <c r="M580" s="27" t="str">
        <f ca="1">IFERROR(__xludf.DUMMYFUNCTION("""COMPUTED_VALUE"""),"Rua Florianópolis")</f>
        <v>Rua Florianópolis</v>
      </c>
      <c r="N580" s="27" t="str">
        <f ca="1">IFERROR(__xludf.DUMMYFUNCTION("""COMPUTED_VALUE"""),"São Luiz")</f>
        <v>São Luiz</v>
      </c>
      <c r="O580" s="27">
        <f ca="1">IFERROR(__xludf.DUMMYFUNCTION("""COMPUTED_VALUE"""),1916)</f>
        <v>1916</v>
      </c>
      <c r="P580" s="27" t="str">
        <f ca="1">IFERROR(__xludf.DUMMYFUNCTION("""COMPUTED_VALUE"""),"São Miguel do Oeste")</f>
        <v>São Miguel do Oeste</v>
      </c>
      <c r="Q580" s="27" t="str">
        <f ca="1">IFERROR(__xludf.DUMMYFUNCTION("""COMPUTED_VALUE"""),"Casa")</f>
        <v>Casa</v>
      </c>
      <c r="R580" s="27" t="str">
        <f ca="1">IFERROR(__xludf.DUMMYFUNCTION("""COMPUTED_VALUE"""),"89900-000")</f>
        <v>89900-000</v>
      </c>
      <c r="S580" s="27" t="str">
        <f ca="1">IFERROR(__xludf.DUMMYFUNCTION("""COMPUTED_VALUE"""),"Espaços com ações continuadas: APAE e escola do meu bairro (o mais carente da cidade) e outros bairros da redondeza, assim como outras duas escolas públicas de bairros periféricos da minha terra natal, São José do Cedro;  a Associação Embelezando a Melhor"&amp;" Idade de Santa Rosa/RS e iniciando parceria com Ongs da Rede GF do Brasil afora.")</f>
        <v>Espaços com ações continuadas: APAE e escola do meu bairro (o mais carente da cidade) e outros bairros da redondeza, assim como outras duas escolas públicas de bairros periféricos da minha terra natal, São José do Cedro;  a Associação Embelezando a Melhor Idade de Santa Rosa/RS e iniciando parceria com Ongs da Rede GF do Brasil afora.</v>
      </c>
      <c r="T580" s="27"/>
      <c r="U580" s="27" t="str">
        <f ca="1">IFERROR(__xludf.DUMMYFUNCTION("""COMPUTED_VALUE"""),"Crianças bem pequenas (1 ano e 7 meses até 3 anos e 11 meses), Crianças pequenas (4 anos a 5 anos e 11 meses), Crianças (6 a 12 anos), Adolescentes (12 aos 18 anos)")</f>
        <v>Crianças bem pequenas (1 ano e 7 meses até 3 anos e 11 meses), Crianças pequenas (4 anos a 5 anos e 11 meses), Crianças (6 a 12 anos), Adolescentes (12 aos 18 anos)</v>
      </c>
      <c r="V580" s="27" t="str">
        <f ca="1">IFERROR(__xludf.DUMMYFUNCTION("""COMPUTED_VALUE"""),"Moradores de Favelas, Pessoas em situação de rua, Pessoas com Deficiência, Imigrantes, Comunidade rural, Outros")</f>
        <v>Moradores de Favelas, Pessoas em situação de rua, Pessoas com Deficiência, Imigrantes, Comunidade rural, Outros</v>
      </c>
      <c r="W580" s="27">
        <f ca="1">IFERROR(__xludf.DUMMYFUNCTION("""COMPUTED_VALUE"""),4)</f>
        <v>4</v>
      </c>
      <c r="X580" s="27" t="str">
        <f ca="1">IFERROR(__xludf.DUMMYFUNCTION("""COMPUTED_VALUE"""),"As comunidades citadas são as que atendemos de forma contínua e com o apoio permanente de agentes e organizações sociais locais parceiras. Outrossim* atendemos inúmeras outras comunidades de forma um tanto quanto pontual. 
Ps: as respostas que seguem se r"&amp;"efere tão somente à Santa Rosa* considerando que o projeto ""Literacia familiar: lei e cante pra mim"" vai atingir números de beneficiários bem mais elevados.")</f>
        <v>As comunidades citadas são as que atendemos de forma contínua e com o apoio permanente de agentes e organizações sociais locais parceiras. Outrossim* atendemos inúmeras outras comunidades de forma um tanto quanto pontual. 
Ps: as respostas que seguem se refere tão somente à Santa Rosa* considerando que o projeto "Literacia familiar: lei e cante pra mim" vai atingir números de beneficiários bem mais elevados.</v>
      </c>
      <c r="Y580" s="27"/>
      <c r="Z580" s="27">
        <f ca="1">IFERROR(__xludf.DUMMYFUNCTION("""COMPUTED_VALUE"""),450)</f>
        <v>450</v>
      </c>
      <c r="AA580" s="29">
        <f ca="1">IFERROR(__xludf.DUMMYFUNCTION("""COMPUTED_VALUE"""),40806)</f>
        <v>40806</v>
      </c>
      <c r="AB580" s="27" t="str">
        <f ca="1">IFERROR(__xludf.DUMMYFUNCTION("""COMPUTED_VALUE"""),"Sim")</f>
        <v>Sim</v>
      </c>
      <c r="AC580" s="27">
        <f ca="1">IFERROR(__xludf.DUMMYFUNCTION("""COMPUTED_VALUE"""),5)</f>
        <v>5</v>
      </c>
      <c r="AD580" s="27">
        <f ca="1">IFERROR(__xludf.DUMMYFUNCTION("""COMPUTED_VALUE"""),6)</f>
        <v>6</v>
      </c>
      <c r="AE580" s="27">
        <f ca="1">IFERROR(__xludf.DUMMYFUNCTION("""COMPUTED_VALUE"""),11)</f>
        <v>11</v>
      </c>
      <c r="AF580" s="27">
        <f ca="1">IFERROR(__xludf.DUMMYFUNCTION("""COMPUTED_VALUE"""),6)</f>
        <v>6</v>
      </c>
      <c r="AG580" s="27">
        <f ca="1">IFERROR(__xludf.DUMMYFUNCTION("""COMPUTED_VALUE"""),2)</f>
        <v>2</v>
      </c>
      <c r="AH580" s="27" t="str">
        <f ca="1">IFERROR(__xludf.DUMMYFUNCTION("""COMPUTED_VALUE"""),"Parceria iniciativa privada, Lei Rouanet, Recursos próprios")</f>
        <v>Parceria iniciativa privada, Lei Rouanet, Recursos próprios</v>
      </c>
      <c r="AI580" s="27">
        <f ca="1">IFERROR(__xludf.DUMMYFUNCTION("""COMPUTED_VALUE"""),0)</f>
        <v>0</v>
      </c>
      <c r="AJ580" s="27" t="str">
        <f ca="1">IFERROR(__xludf.DUMMYFUNCTION("""COMPUTED_VALUE"""),"Não")</f>
        <v>Não</v>
      </c>
      <c r="AK580" s="27"/>
      <c r="AL580" s="21" t="str">
        <f ca="1">IFERROR(__xludf.DUMMYFUNCTION("""COMPUTED_VALUE"""),"0034X0000380O14")</f>
        <v>0034X0000380O14</v>
      </c>
      <c r="AM580" s="27" t="str">
        <f ca="1">IFERROR(__xludf.DUMMYFUNCTION("""COMPUTED_VALUE"""),"Osmari bagatini")</f>
        <v>Osmari bagatini</v>
      </c>
      <c r="AN580" s="27" t="str">
        <f ca="1">IFERROR(__xludf.DUMMYFUNCTION("""COMPUTED_VALUE"""),"Ativo")</f>
        <v>Ativo</v>
      </c>
      <c r="AO580" s="27"/>
      <c r="AP580" s="27"/>
      <c r="AQ580" s="27" t="str">
        <f ca="1">IFERROR(__xludf.DUMMYFUNCTION("""COMPUTED_VALUE"""),"Primeiro Semestre 2022")</f>
        <v>Primeiro Semestre 2022</v>
      </c>
      <c r="AR580" s="27" t="str">
        <f ca="1">IFERROR(__xludf.DUMMYFUNCTION("""COMPUTED_VALUE"""),"culturaextremooeste@outlook.com")</f>
        <v>culturaextremooeste@outlook.com</v>
      </c>
      <c r="AS580" s="27">
        <f ca="1">IFERROR(__xludf.DUMMYFUNCTION("""COMPUTED_VALUE"""),4998186137)</f>
        <v>4998186137</v>
      </c>
      <c r="AT580" s="29">
        <f ca="1">IFERROR(__xludf.DUMMYFUNCTION("""COMPUTED_VALUE"""),23918)</f>
        <v>23918</v>
      </c>
      <c r="AU580" s="27">
        <f ca="1">IFERROR(__xludf.DUMMYFUNCTION("""COMPUTED_VALUE"""),57)</f>
        <v>57</v>
      </c>
      <c r="AV580" s="27">
        <f ca="1">IFERROR(__xludf.DUMMYFUNCTION("""COMPUTED_VALUE"""),82484538987)</f>
        <v>82484538987</v>
      </c>
      <c r="AW580" s="27">
        <f ca="1">IFERROR(__xludf.DUMMYFUNCTION("""COMPUTED_VALUE"""),1851939)</f>
        <v>1851939</v>
      </c>
      <c r="AX580" s="27"/>
      <c r="AY580" s="27"/>
      <c r="AZ580" s="27" t="str">
        <f ca="1">IFERROR(__xludf.DUMMYFUNCTION("""COMPUTED_VALUE"""),"M")</f>
        <v>M</v>
      </c>
      <c r="BA580" s="27" t="str">
        <f ca="1">IFERROR(__xludf.DUMMYFUNCTION("""COMPUTED_VALUE"""),"Branca")</f>
        <v>Branca</v>
      </c>
      <c r="BB580" s="27"/>
      <c r="BC580" s="27"/>
      <c r="BD580" s="27" t="str">
        <f ca="1">IFERROR(__xludf.DUMMYFUNCTION("""COMPUTED_VALUE"""),"Sou editora* escritora e produtora cultural. Profissional da educação desde os meus 18 anos de idade* com mais de 10 anos de atuação na sala de aula* quando* com muito zelo* fui professora de crianças e adolescentes em escolas da Educação Básica (Infantil"&amp;" e Anos Iniciais)* situadas em bairros e comunidades interioranas. Segui atuando na educação como diretora de escolas e coordenadora pedagógica e* naquela oportunidade* desempenhei a função de “formadora” de professores* tendo como referência básica os Pr"&amp;"ogramas de Alfabetização do MEC. Ocasião em que alcancei o Prêmio Além das Letras* pelo Instituto Avisa Lá/SP.
Como autora* escrevi mais de 30 histórias para crianças e adolescentes* mas apenas 09 delas até o momento foram publicadas. Desde 2011* dedico m"&amp;"eu tempo à editora MQP* publicando novos e talentosos escritores e vinculando boa parte dessa literatura em projetos socioculturais* 09 aprovados na Lei de Incentivo à Cultura* porém nem todos foram executados por falta de captação de recursos. No ramo da"&amp;" literatura* sou certificada pela Mcsill Story/Londres.
Uma de minhas linhas de atuação sempre foi as parcerias de trabalho! 
Para mais detalhes* segue meu depoimento feito anos atrás à Gerando Falcões: https://www.youtube.com/watch?v=JMRfs9KvBWg&amp;t=65s")</f>
        <v>Sou editora* escritora e produtora cultural. Profissional da educação desde os meus 18 anos de idade* com mais de 10 anos de atuação na sala de aula* quando* com muito zelo* fui professora de crianças e adolescentes em escolas da Educação Básica (Infantil e Anos Iniciais)* situadas em bairros e comunidades interioranas. Segui atuando na educação como diretora de escolas e coordenadora pedagógica e* naquela oportunidade* desempenhei a função de “formadora” de professores* tendo como referência básica os Programas de Alfabetização do MEC. Ocasião em que alcancei o Prêmio Além das Letras* pelo Instituto Avisa Lá/SP.
Como autora* escrevi mais de 30 histórias para crianças e adolescentes* mas apenas 09 delas até o momento foram publicadas. Desde 2011* dedico meu tempo à editora MQP* publicando novos e talentosos escritores e vinculando boa parte dessa literatura em projetos socioculturais* 09 aprovados na Lei de Incentivo à Cultura* porém nem todos foram executados por falta de captação de recursos. No ramo da literatura* sou certificada pela Mcsill Story/Londres.
Uma de minhas linhas de atuação sempre foi as parcerias de trabalho! 
Para mais detalhes* segue meu depoimento feito anos atrás à Gerando Falcões: https://www.youtube.com/watch?v=JMRfs9KvBWg&amp;t=65s</v>
      </c>
      <c r="BE580" s="27" t="str">
        <f ca="1">IFERROR(__xludf.DUMMYFUNCTION("""COMPUTED_VALUE"""),"Feminino")</f>
        <v>Feminino</v>
      </c>
      <c r="BF580" s="27" t="str">
        <f ca="1">IFERROR(__xludf.DUMMYFUNCTION("""COMPUTED_VALUE"""),"Heterossexual")</f>
        <v>Heterossexual</v>
      </c>
      <c r="BG580" s="27"/>
      <c r="BH580" s="27" t="str">
        <f ca="1">IFERROR(__xludf.DUMMYFUNCTION("""COMPUTED_VALUE"""),"Público")</f>
        <v>Público</v>
      </c>
      <c r="BI580" s="27" t="str">
        <f ca="1">IFERROR(__xludf.DUMMYFUNCTION("""COMPUTED_VALUE"""),"Pós-Graduação")</f>
        <v>Pós-Graduação</v>
      </c>
      <c r="BJ580" s="27" t="str">
        <f ca="1">IFERROR(__xludf.DUMMYFUNCTION("""COMPUTED_VALUE"""),"Privado")</f>
        <v>Privado</v>
      </c>
      <c r="BK580" s="27" t="str">
        <f ca="1">IFERROR(__xludf.DUMMYFUNCTION("""COMPUTED_VALUE"""),"Rua Florianópolis")</f>
        <v>Rua Florianópolis</v>
      </c>
      <c r="BL580" s="27">
        <f ca="1">IFERROR(__xludf.DUMMYFUNCTION("""COMPUTED_VALUE"""),1916)</f>
        <v>1916</v>
      </c>
      <c r="BM580" s="27"/>
      <c r="BN580" s="27"/>
      <c r="BO580" s="27" t="str">
        <f ca="1">IFERROR(__xludf.DUMMYFUNCTION("""COMPUTED_VALUE"""),"89900-000")</f>
        <v>89900-000</v>
      </c>
      <c r="BP580" s="27" t="str">
        <f ca="1">IFERROR(__xludf.DUMMYFUNCTION("""COMPUTED_VALUE"""),"SC")</f>
        <v>SC</v>
      </c>
      <c r="BQ580" s="27" t="str">
        <f ca="1">IFERROR(__xludf.DUMMYFUNCTION("""COMPUTED_VALUE"""),"Entre 1 até 3 salários mínimos")</f>
        <v>Entre 1 até 3 salários mínimos</v>
      </c>
      <c r="BR580" s="27" t="str">
        <f ca="1">IFERROR(__xludf.DUMMYFUNCTION("""COMPUTED_VALUE"""),"MEI")</f>
        <v>MEI</v>
      </c>
      <c r="BS580" s="27" t="str">
        <f ca="1">IFERROR(__xludf.DUMMYFUNCTION("""COMPUTED_VALUE"""),"Casa própria")</f>
        <v>Casa própria</v>
      </c>
      <c r="BT580" s="27">
        <f ca="1">IFERROR(__xludf.DUMMYFUNCTION("""COMPUTED_VALUE"""),2)</f>
        <v>2</v>
      </c>
      <c r="BU580" s="27" t="str">
        <f ca="1">IFERROR(__xludf.DUMMYFUNCTION("""COMPUTED_VALUE"""),"Não tem")</f>
        <v>Não tem</v>
      </c>
      <c r="BV580" s="27" t="str">
        <f ca="1">IFERROR(__xludf.DUMMYFUNCTION("""COMPUTED_VALUE"""),"Não")</f>
        <v>Não</v>
      </c>
      <c r="BW580" s="21" t="str">
        <f ca="1">IFERROR(__xludf.DUMMYFUNCTION("""COMPUTED_VALUE"""),"https://www.linkedin.com/in/editora-mais-que-palavras-52a72822/")</f>
        <v>https://www.linkedin.com/in/editora-mais-que-palavras-52a72822/</v>
      </c>
      <c r="BX580" s="21" t="str">
        <f ca="1">IFERROR(__xludf.DUMMYFUNCTION("""COMPUTED_VALUE"""),"https://www.instagram.com/maisquepalavraseditora/?hl=pt-br")</f>
        <v>https://www.instagram.com/maisquepalavraseditora/?hl=pt-br</v>
      </c>
      <c r="BY580" s="21" t="str">
        <f ca="1">IFERROR(__xludf.DUMMYFUNCTION("""COMPUTED_VALUE"""),"https://drive.google.com/open?id=1kdfLQFyUYD6ax3RZ8-MXrV-Dazke5ahb")</f>
        <v>https://drive.google.com/open?id=1kdfLQFyUYD6ax3RZ8-MXrV-Dazke5ahb</v>
      </c>
    </row>
    <row r="581" spans="1:77" ht="12.5" x14ac:dyDescent="0.25">
      <c r="A581" s="21" t="str">
        <f ca="1">IFERROR(__xludf.DUMMYFUNCTION("""COMPUTED_VALUE"""),"0014X00002VKCqmQAH")</f>
        <v>0014X00002VKCqmQAH</v>
      </c>
      <c r="B581" s="27" t="str">
        <f ca="1">IFERROR(__xludf.DUMMYFUNCTION("""COMPUTED_VALUE"""),"Fase Inicial")</f>
        <v>Fase Inicial</v>
      </c>
      <c r="C581" s="27" t="str">
        <f ca="1">IFERROR(__xludf.DUMMYFUNCTION("""COMPUTED_VALUE"""),"Fellow")</f>
        <v>Fellow</v>
      </c>
      <c r="D581" s="27" t="str">
        <f ca="1">IFERROR(__xludf.DUMMYFUNCTION("""COMPUTED_VALUE"""),"Ativo")</f>
        <v>Ativo</v>
      </c>
      <c r="E581" s="27" t="str">
        <f ca="1">IFERROR(__xludf.DUMMYFUNCTION("""COMPUTED_VALUE"""),"Terno Moçambique Estrela Guia")</f>
        <v>Terno Moçambique Estrela Guia</v>
      </c>
      <c r="F581" s="27" t="str">
        <f ca="1">IFERROR(__xludf.DUMMYFUNCTION("""COMPUTED_VALUE"""),"Iara")</f>
        <v>Iara</v>
      </c>
      <c r="G581" s="27" t="str">
        <f ca="1">IFERROR(__xludf.DUMMYFUNCTION("""COMPUTED_VALUE"""),"TERNO MOÇAMBIQUE ESTRELA GUIA")</f>
        <v>TERNO MOÇAMBIQUE ESTRELA GUIA</v>
      </c>
      <c r="H581" s="27" t="str">
        <f ca="1">IFERROR(__xludf.DUMMYFUNCTION("""COMPUTED_VALUE"""),"06.207.190/0001-07")</f>
        <v>06.207.190/0001-07</v>
      </c>
      <c r="I581" s="27" t="str">
        <f ca="1">IFERROR(__xludf.DUMMYFUNCTION("""COMPUTED_VALUE"""),"Elenion Euripedes Campos")</f>
        <v>Elenion Euripedes Campos</v>
      </c>
      <c r="J581" s="27" t="str">
        <f ca="1">IFERROR(__xludf.DUMMYFUNCTION("""COMPUTED_VALUE"""),"femininal@hotmail.com")</f>
        <v>femininal@hotmail.com</v>
      </c>
      <c r="K581" s="27" t="str">
        <f ca="1">IFERROR(__xludf.DUMMYFUNCTION("""COMPUTED_VALUE"""),"(34)98811-3435")</f>
        <v>(34)98811-3435</v>
      </c>
      <c r="L581" s="27" t="str">
        <f ca="1">IFERROR(__xludf.DUMMYFUNCTION("""COMPUTED_VALUE"""),"MG")</f>
        <v>MG</v>
      </c>
      <c r="M581" s="27" t="str">
        <f ca="1">IFERROR(__xludf.DUMMYFUNCTION("""COMPUTED_VALUE"""),"Rua Do Dolar")</f>
        <v>Rua Do Dolar</v>
      </c>
      <c r="N581" s="27" t="str">
        <f ca="1">IFERROR(__xludf.DUMMYFUNCTION("""COMPUTED_VALUE"""),"São Jorge")</f>
        <v>São Jorge</v>
      </c>
      <c r="O581" s="27">
        <f ca="1">IFERROR(__xludf.DUMMYFUNCTION("""COMPUTED_VALUE"""),290)</f>
        <v>290</v>
      </c>
      <c r="P581" s="27" t="str">
        <f ca="1">IFERROR(__xludf.DUMMYFUNCTION("""COMPUTED_VALUE"""),"Uberlândia")</f>
        <v>Uberlândia</v>
      </c>
      <c r="Q581" s="27"/>
      <c r="R581" s="27" t="str">
        <f ca="1">IFERROR(__xludf.DUMMYFUNCTION("""COMPUTED_VALUE"""),"38410-168")</f>
        <v>38410-168</v>
      </c>
      <c r="S581" s="27" t="str">
        <f ca="1">IFERROR(__xludf.DUMMYFUNCTION("""COMPUTED_VALUE"""),"Assentamentos")</f>
        <v>Assentamentos</v>
      </c>
      <c r="T581" s="27"/>
      <c r="U581" s="27" t="str">
        <f ca="1">IFERROR(__xludf.DUMMYFUNCTION("""COMPUTED_VALUE"""),"Crianças (6 a 12 anos), Adolescentes (12 aos 18 anos), Jovens (18 aos 24 anos), Adultos, Idosos (60 anos ou mais)")</f>
        <v>Crianças (6 a 12 anos), Adolescentes (12 aos 18 anos), Jovens (18 aos 24 anos), Adultos, Idosos (60 anos ou mais)</v>
      </c>
      <c r="V581" s="27" t="str">
        <f ca="1">IFERROR(__xludf.DUMMYFUNCTION("""COMPUTED_VALUE"""),"Pessoas em situação de rua, População LGBTQ+, Afrodescendentes, Pessoas com Deficiência, Refugiados, Outros")</f>
        <v>Pessoas em situação de rua, População LGBTQ+, Afrodescendentes, Pessoas com Deficiência, Refugiados, Outros</v>
      </c>
      <c r="W581" s="27">
        <f ca="1">IFERROR(__xludf.DUMMYFUNCTION("""COMPUTED_VALUE"""),30)</f>
        <v>30</v>
      </c>
      <c r="X581" s="27" t="str">
        <f ca="1">IFERROR(__xludf.DUMMYFUNCTION("""COMPUTED_VALUE"""),"Somos uma comunidade periferica da cidade de Uberlândia* região sul da cidade.")</f>
        <v>Somos uma comunidade periferica da cidade de Uberlândia* região sul da cidade.</v>
      </c>
      <c r="Y581" s="27"/>
      <c r="Z581" s="27">
        <f ca="1">IFERROR(__xludf.DUMMYFUNCTION("""COMPUTED_VALUE"""),250)</f>
        <v>250</v>
      </c>
      <c r="AA581" s="29">
        <f ca="1">IFERROR(__xludf.DUMMYFUNCTION("""COMPUTED_VALUE"""),37995)</f>
        <v>37995</v>
      </c>
      <c r="AB581" s="27" t="str">
        <f ca="1">IFERROR(__xludf.DUMMYFUNCTION("""COMPUTED_VALUE"""),"Sim")</f>
        <v>Sim</v>
      </c>
      <c r="AC581" s="27">
        <f ca="1">IFERROR(__xludf.DUMMYFUNCTION("""COMPUTED_VALUE"""),5)</f>
        <v>5</v>
      </c>
      <c r="AD581" s="27">
        <f ca="1">IFERROR(__xludf.DUMMYFUNCTION("""COMPUTED_VALUE"""),5)</f>
        <v>5</v>
      </c>
      <c r="AE581" s="27">
        <f ca="1">IFERROR(__xludf.DUMMYFUNCTION("""COMPUTED_VALUE"""),5)</f>
        <v>5</v>
      </c>
      <c r="AF581" s="27">
        <f ca="1">IFERROR(__xludf.DUMMYFUNCTION("""COMPUTED_VALUE"""),5)</f>
        <v>5</v>
      </c>
      <c r="AG581" s="27">
        <f ca="1">IFERROR(__xludf.DUMMYFUNCTION("""COMPUTED_VALUE"""),4)</f>
        <v>4</v>
      </c>
      <c r="AH581" s="27" t="str">
        <f ca="1">IFERROR(__xludf.DUMMYFUNCTION("""COMPUTED_VALUE"""),"Eventos/Ações para captação, Editais, Doações, Recursos próprios")</f>
        <v>Eventos/Ações para captação, Editais, Doações, Recursos próprios</v>
      </c>
      <c r="AI581" s="27" t="str">
        <f ca="1">IFERROR(__xludf.DUMMYFUNCTION("""COMPUTED_VALUE"""),"25% Lei Municipal de cultura")</f>
        <v>25% Lei Municipal de cultura</v>
      </c>
      <c r="AJ581" s="27" t="str">
        <f ca="1">IFERROR(__xludf.DUMMYFUNCTION("""COMPUTED_VALUE"""),"Sim")</f>
        <v>Sim</v>
      </c>
      <c r="AK581" s="27"/>
      <c r="AL581" s="21" t="str">
        <f ca="1">IFERROR(__xludf.DUMMYFUNCTION("""COMPUTED_VALUE"""),"0034X0000380O1P")</f>
        <v>0034X0000380O1P</v>
      </c>
      <c r="AM581" s="27" t="str">
        <f ca="1">IFERROR(__xludf.DUMMYFUNCTION("""COMPUTED_VALUE"""),"Aparecida ferreira")</f>
        <v>Aparecida ferreira</v>
      </c>
      <c r="AN581" s="27" t="str">
        <f ca="1">IFERROR(__xludf.DUMMYFUNCTION("""COMPUTED_VALUE"""),"Ativo")</f>
        <v>Ativo</v>
      </c>
      <c r="AO581" s="29">
        <f ca="1">IFERROR(__xludf.DUMMYFUNCTION("""COMPUTED_VALUE"""),44763)</f>
        <v>44763</v>
      </c>
      <c r="AP581" s="27">
        <f ca="1">IFERROR(__xludf.DUMMYFUNCTION("""COMPUTED_VALUE"""),2)</f>
        <v>2</v>
      </c>
      <c r="AQ581" s="27" t="str">
        <f ca="1">IFERROR(__xludf.DUMMYFUNCTION("""COMPUTED_VALUE"""),"Primeiro Semestre 2022")</f>
        <v>Primeiro Semestre 2022</v>
      </c>
      <c r="AR581" s="27" t="str">
        <f ca="1">IFERROR(__xludf.DUMMYFUNCTION("""COMPUTED_VALUE"""),"iaraaparecidaferreiraferreira@gmail.com")</f>
        <v>iaraaparecidaferreiraferreira@gmail.com</v>
      </c>
      <c r="AS581" s="27">
        <f ca="1">IFERROR(__xludf.DUMMYFUNCTION("""COMPUTED_VALUE"""),34992141063)</f>
        <v>34992141063</v>
      </c>
      <c r="AT581" s="29">
        <f ca="1">IFERROR(__xludf.DUMMYFUNCTION("""COMPUTED_VALUE"""),25587)</f>
        <v>25587</v>
      </c>
      <c r="AU581" s="27">
        <f ca="1">IFERROR(__xludf.DUMMYFUNCTION("""COMPUTED_VALUE"""),52)</f>
        <v>52</v>
      </c>
      <c r="AV581" s="27">
        <f ca="1">IFERROR(__xludf.DUMMYFUNCTION("""COMPUTED_VALUE"""),3520053608)</f>
        <v>3520053608</v>
      </c>
      <c r="AW581" s="27" t="str">
        <f ca="1">IFERROR(__xludf.DUMMYFUNCTION("""COMPUTED_VALUE"""),"MG 5-309570")</f>
        <v>MG 5-309570</v>
      </c>
      <c r="AX581" s="27"/>
      <c r="AY581" s="27"/>
      <c r="AZ581" s="27" t="str">
        <f ca="1">IFERROR(__xludf.DUMMYFUNCTION("""COMPUTED_VALUE"""),"G")</f>
        <v>G</v>
      </c>
      <c r="BA581" s="27" t="str">
        <f ca="1">IFERROR(__xludf.DUMMYFUNCTION("""COMPUTED_VALUE"""),"Preta")</f>
        <v>Preta</v>
      </c>
      <c r="BB581" s="27"/>
      <c r="BC581" s="27"/>
      <c r="BD581" s="27" t="str">
        <f ca="1">IFERROR(__xludf.DUMMYFUNCTION("""COMPUTED_VALUE"""),"Iara Aparecida Ferreira é de Uberlândia* casada 35 anos com Malaquias-Preto* mãe de 3 filhos e avó de 7 netos* Com formação acadêmica em Serviço Social. Entre dezenas de cursos* destacam-se: Formação em políticas públicas* formação em gestão cultural* int"&amp;"ercâmbio cultural do carnaval do Rio de Janeiro* III conferência Internacional do centro de estudos das culturas e línguas africanas e da Diáspora Negra* vários certificados de trabalhos comunitários* participação em seminários como: 5ª bienal de Arte Ciê"&amp;"ncia e Cultura da UNE RJ. Encontro no Itamaraty de intercâmbio cultural internacional
Fundadora e coordenadora do terno de congado “Moçambique Estrela Guia” (2002)* Em 2004* recebeu um dos maiores prêmios da cultura: “O Prêmio Grande Otelo de cultura* po"&amp;"r serviços sócio-cultural e educativo através da congada* incentivando a cultura e qualificando jovens e adultos para o mercado de trabalho* através da dança* teatro* música* artesanato e conhecimento geral da arte e cultura afro-brasileira. Fundadora do "&amp;"projeto Pró-mirim Estrela Guia do Amanhã.")</f>
        <v>Iara Aparecida Ferreira é de Uberlândia* casada 35 anos com Malaquias-Preto* mãe de 3 filhos e avó de 7 netos* Com formação acadêmica em Serviço Social. Entre dezenas de cursos* destacam-se: Formação em políticas públicas* formação em gestão cultural* intercâmbio cultural do carnaval do Rio de Janeiro* III conferência Internacional do centro de estudos das culturas e línguas africanas e da Diáspora Negra* vários certificados de trabalhos comunitários* participação em seminários como: 5ª bienal de Arte Ciência e Cultura da UNE RJ. Encontro no Itamaraty de intercâmbio cultural internacional
Fundadora e coordenadora do terno de congado “Moçambique Estrela Guia” (2002)* Em 2004* recebeu um dos maiores prêmios da cultura: “O Prêmio Grande Otelo de cultura* por serviços sócio-cultural e educativo através da congada* incentivando a cultura e qualificando jovens e adultos para o mercado de trabalho* através da dança* teatro* música* artesanato e conhecimento geral da arte e cultura afro-brasileira. Fundadora do projeto Pró-mirim Estrela Guia do Amanhã.</v>
      </c>
      <c r="BE581" s="27" t="str">
        <f ca="1">IFERROR(__xludf.DUMMYFUNCTION("""COMPUTED_VALUE"""),"Feminino")</f>
        <v>Feminino</v>
      </c>
      <c r="BF581" s="27" t="str">
        <f ca="1">IFERROR(__xludf.DUMMYFUNCTION("""COMPUTED_VALUE"""),"Heterossexual")</f>
        <v>Heterossexual</v>
      </c>
      <c r="BG581" s="27"/>
      <c r="BH581" s="27" t="str">
        <f ca="1">IFERROR(__xludf.DUMMYFUNCTION("""COMPUTED_VALUE"""),"Privado")</f>
        <v>Privado</v>
      </c>
      <c r="BI581" s="27" t="str">
        <f ca="1">IFERROR(__xludf.DUMMYFUNCTION("""COMPUTED_VALUE"""),"Graduação")</f>
        <v>Graduação</v>
      </c>
      <c r="BJ581" s="27" t="str">
        <f ca="1">IFERROR(__xludf.DUMMYFUNCTION("""COMPUTED_VALUE"""),"Privado")</f>
        <v>Privado</v>
      </c>
      <c r="BK581" s="27" t="str">
        <f ca="1">IFERROR(__xludf.DUMMYFUNCTION("""COMPUTED_VALUE"""),"Rua América Viana")</f>
        <v>Rua América Viana</v>
      </c>
      <c r="BL581" s="27">
        <f ca="1">IFERROR(__xludf.DUMMYFUNCTION("""COMPUTED_VALUE"""),455)</f>
        <v>455</v>
      </c>
      <c r="BM581" s="27"/>
      <c r="BN581" s="27"/>
      <c r="BO581" s="27">
        <f ca="1">IFERROR(__xludf.DUMMYFUNCTION("""COMPUTED_VALUE"""),38410048)</f>
        <v>38410048</v>
      </c>
      <c r="BP581" s="27" t="str">
        <f ca="1">IFERROR(__xludf.DUMMYFUNCTION("""COMPUTED_VALUE"""),"MG")</f>
        <v>MG</v>
      </c>
      <c r="BQ581" s="27" t="str">
        <f ca="1">IFERROR(__xludf.DUMMYFUNCTION("""COMPUTED_VALUE"""),"Entre 1 até 3 salários mínimos")</f>
        <v>Entre 1 até 3 salários mínimos</v>
      </c>
      <c r="BR581" s="27" t="str">
        <f ca="1">IFERROR(__xludf.DUMMYFUNCTION("""COMPUTED_VALUE"""),"Funcionário Público")</f>
        <v>Funcionário Público</v>
      </c>
      <c r="BS581" s="27" t="str">
        <f ca="1">IFERROR(__xludf.DUMMYFUNCTION("""COMPUTED_VALUE"""),"Casa própria")</f>
        <v>Casa própria</v>
      </c>
      <c r="BT581" s="27">
        <f ca="1">IFERROR(__xludf.DUMMYFUNCTION("""COMPUTED_VALUE"""),2)</f>
        <v>2</v>
      </c>
      <c r="BU581" s="27" t="str">
        <f ca="1">IFERROR(__xludf.DUMMYFUNCTION("""COMPUTED_VALUE"""),"Não tem")</f>
        <v>Não tem</v>
      </c>
      <c r="BV581" s="27" t="str">
        <f ca="1">IFERROR(__xludf.DUMMYFUNCTION("""COMPUTED_VALUE"""),"Não")</f>
        <v>Não</v>
      </c>
      <c r="BW581" s="21" t="str">
        <f ca="1">IFERROR(__xludf.DUMMYFUNCTION("""COMPUTED_VALUE"""),"https://www.linkedin.com/in/iara-preto-57132b26/")</f>
        <v>https://www.linkedin.com/in/iara-preto-57132b26/</v>
      </c>
      <c r="BX581" s="21" t="str">
        <f ca="1">IFERROR(__xludf.DUMMYFUNCTION("""COMPUTED_VALUE"""),"https://www.facebook.com/iara.a.ferreira")</f>
        <v>https://www.facebook.com/iara.a.ferreira</v>
      </c>
      <c r="BY581" s="21" t="str">
        <f ca="1">IFERROR(__xludf.DUMMYFUNCTION("""COMPUTED_VALUE"""),"https://drive.google.com/open?id=1OTsLXl7ofPhXYPGJRA87hbhO5k-y0x0O")</f>
        <v>https://drive.google.com/open?id=1OTsLXl7ofPhXYPGJRA87hbhO5k-y0x0O</v>
      </c>
    </row>
    <row r="582" spans="1:77" ht="12.5" x14ac:dyDescent="0.25">
      <c r="A582" s="21" t="str">
        <f ca="1">IFERROR(__xludf.DUMMYFUNCTION("""COMPUTED_VALUE"""),"0014X00002VKCsDQAX")</f>
        <v>0014X00002VKCsDQAX</v>
      </c>
      <c r="B582" s="27" t="str">
        <f ca="1">IFERROR(__xludf.DUMMYFUNCTION("""COMPUTED_VALUE"""),"Fase Inicial")</f>
        <v>Fase Inicial</v>
      </c>
      <c r="C582" s="27" t="str">
        <f ca="1">IFERROR(__xludf.DUMMYFUNCTION("""COMPUTED_VALUE"""),"Fellow")</f>
        <v>Fellow</v>
      </c>
      <c r="D582" s="27" t="str">
        <f ca="1">IFERROR(__xludf.DUMMYFUNCTION("""COMPUTED_VALUE"""),"Ativo")</f>
        <v>Ativo</v>
      </c>
      <c r="E582" s="27" t="str">
        <f ca="1">IFERROR(__xludf.DUMMYFUNCTION("""COMPUTED_VALUE"""),"Thais Monique Gervásio de Moraes Wanderley")</f>
        <v>Thais Monique Gervásio de Moraes Wanderley</v>
      </c>
      <c r="F582" s="27" t="str">
        <f ca="1">IFERROR(__xludf.DUMMYFUNCTION("""COMPUTED_VALUE"""),"Thais")</f>
        <v>Thais</v>
      </c>
      <c r="G582" s="27" t="str">
        <f ca="1">IFERROR(__xludf.DUMMYFUNCTION("""COMPUTED_VALUE"""),"UMA GOTA DE ESPERANÇA")</f>
        <v>UMA GOTA DE ESPERANÇA</v>
      </c>
      <c r="H582" s="27"/>
      <c r="I582" s="27" t="str">
        <f ca="1">IFERROR(__xludf.DUMMYFUNCTION("""COMPUTED_VALUE"""),"thais monique gercasio de moraes wanderley")</f>
        <v>thais monique gercasio de moraes wanderley</v>
      </c>
      <c r="J582" s="27" t="str">
        <f ca="1">IFERROR(__xludf.DUMMYFUNCTION("""COMPUTED_VALUE"""),"umagtesperanca@gmail.com")</f>
        <v>umagtesperanca@gmail.com</v>
      </c>
      <c r="K582" s="27" t="str">
        <f ca="1">IFERROR(__xludf.DUMMYFUNCTION("""COMPUTED_VALUE"""),"(81)98558-5628")</f>
        <v>(81)98558-5628</v>
      </c>
      <c r="L582" s="27" t="str">
        <f ca="1">IFERROR(__xludf.DUMMYFUNCTION("""COMPUTED_VALUE"""),"PE")</f>
        <v>PE</v>
      </c>
      <c r="M582" s="27" t="str">
        <f ca="1">IFERROR(__xludf.DUMMYFUNCTION("""COMPUTED_VALUE"""),"rua bosque")</f>
        <v>rua bosque</v>
      </c>
      <c r="N582" s="27" t="str">
        <f ca="1">IFERROR(__xludf.DUMMYFUNCTION("""COMPUTED_VALUE"""),"Mirueira")</f>
        <v>Mirueira</v>
      </c>
      <c r="O582" s="27">
        <f ca="1">IFERROR(__xludf.DUMMYFUNCTION("""COMPUTED_VALUE"""),48)</f>
        <v>48</v>
      </c>
      <c r="P582" s="27" t="str">
        <f ca="1">IFERROR(__xludf.DUMMYFUNCTION("""COMPUTED_VALUE"""),"Paulista")</f>
        <v>Paulista</v>
      </c>
      <c r="Q582" s="27" t="str">
        <f ca="1">IFERROR(__xludf.DUMMYFUNCTION("""COMPUTED_VALUE"""),"casa")</f>
        <v>casa</v>
      </c>
      <c r="R582" s="27" t="str">
        <f ca="1">IFERROR(__xludf.DUMMYFUNCTION("""COMPUTED_VALUE"""),"53405-625")</f>
        <v>53405-625</v>
      </c>
      <c r="S582" s="27"/>
      <c r="T582" s="27"/>
      <c r="U582"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582" s="27" t="str">
        <f ca="1">IFERROR(__xludf.DUMMYFUNCTION("""COMPUTED_VALUE"""),"Moradores de Favelas, Pessoas em situação de rua, População LGBTQ+, Dependentes Químicos, Pessoas com Deficiência, Egressos sistema carcerário, Comunidade rural")</f>
        <v>Moradores de Favelas, Pessoas em situação de rua, População LGBTQ+, Dependentes Químicos, Pessoas com Deficiência, Egressos sistema carcerário, Comunidade rural</v>
      </c>
      <c r="W582" s="27">
        <f ca="1">IFERROR(__xludf.DUMMYFUNCTION("""COMPUTED_VALUE"""),12)</f>
        <v>12</v>
      </c>
      <c r="X582" s="27"/>
      <c r="Y582" s="27"/>
      <c r="Z582" s="27">
        <f ca="1">IFERROR(__xludf.DUMMYFUNCTION("""COMPUTED_VALUE"""),760)</f>
        <v>760</v>
      </c>
      <c r="AA582" s="29">
        <f ca="1">IFERROR(__xludf.DUMMYFUNCTION("""COMPUTED_VALUE"""),44339)</f>
        <v>44339</v>
      </c>
      <c r="AB582" s="27" t="str">
        <f ca="1">IFERROR(__xludf.DUMMYFUNCTION("""COMPUTED_VALUE"""),"Não")</f>
        <v>Não</v>
      </c>
      <c r="AC582" s="27">
        <f ca="1">IFERROR(__xludf.DUMMYFUNCTION("""COMPUTED_VALUE"""),0)</f>
        <v>0</v>
      </c>
      <c r="AD582" s="27">
        <f ca="1">IFERROR(__xludf.DUMMYFUNCTION("""COMPUTED_VALUE"""),4)</f>
        <v>4</v>
      </c>
      <c r="AE582" s="27">
        <f ca="1">IFERROR(__xludf.DUMMYFUNCTION("""COMPUTED_VALUE"""),7)</f>
        <v>7</v>
      </c>
      <c r="AF582" s="27">
        <f ca="1">IFERROR(__xludf.DUMMYFUNCTION("""COMPUTED_VALUE"""),5)</f>
        <v>5</v>
      </c>
      <c r="AG582" s="27">
        <f ca="1">IFERROR(__xludf.DUMMYFUNCTION("""COMPUTED_VALUE"""),2)</f>
        <v>2</v>
      </c>
      <c r="AH582" s="27" t="str">
        <f ca="1">IFERROR(__xludf.DUMMYFUNCTION("""COMPUTED_VALUE"""),"Plataforma doação online - Pessoa Física, Doações")</f>
        <v>Plataforma doação online - Pessoa Física, Doações</v>
      </c>
      <c r="AI582" s="27" t="str">
        <f ca="1">IFERROR(__xludf.DUMMYFUNCTION("""COMPUTED_VALUE"""),"75% doação")</f>
        <v>75% doação</v>
      </c>
      <c r="AJ582" s="27" t="str">
        <f ca="1">IFERROR(__xludf.DUMMYFUNCTION("""COMPUTED_VALUE"""),"Vamos iniciar esse ano")</f>
        <v>Vamos iniciar esse ano</v>
      </c>
      <c r="AK582" s="27"/>
      <c r="AL582" s="21" t="str">
        <f ca="1">IFERROR(__xludf.DUMMYFUNCTION("""COMPUTED_VALUE"""),"0034X0000380O6p")</f>
        <v>0034X0000380O6p</v>
      </c>
      <c r="AM582" s="27" t="str">
        <f ca="1">IFERROR(__xludf.DUMMYFUNCTION("""COMPUTED_VALUE"""),"Monique Gervásio de Moraes Wanderley")</f>
        <v>Monique Gervásio de Moraes Wanderley</v>
      </c>
      <c r="AN582" s="27" t="str">
        <f ca="1">IFERROR(__xludf.DUMMYFUNCTION("""COMPUTED_VALUE"""),"Ativo")</f>
        <v>Ativo</v>
      </c>
      <c r="AO582" s="29">
        <f ca="1">IFERROR(__xludf.DUMMYFUNCTION("""COMPUTED_VALUE"""),44763)</f>
        <v>44763</v>
      </c>
      <c r="AP582" s="27">
        <f ca="1">IFERROR(__xludf.DUMMYFUNCTION("""COMPUTED_VALUE"""),2)</f>
        <v>2</v>
      </c>
      <c r="AQ582" s="27" t="str">
        <f ca="1">IFERROR(__xludf.DUMMYFUNCTION("""COMPUTED_VALUE"""),"Primeiro Semestre 2022")</f>
        <v>Primeiro Semestre 2022</v>
      </c>
      <c r="AR582" s="27" t="str">
        <f ca="1">IFERROR(__xludf.DUMMYFUNCTION("""COMPUTED_VALUE"""),"thaismonik25@gmail.com")</f>
        <v>thaismonik25@gmail.com</v>
      </c>
      <c r="AS582" s="27">
        <f ca="1">IFERROR(__xludf.DUMMYFUNCTION("""COMPUTED_VALUE"""),81985585628)</f>
        <v>81985585628</v>
      </c>
      <c r="AT582" s="29">
        <f ca="1">IFERROR(__xludf.DUMMYFUNCTION("""COMPUTED_VALUE"""),33701)</f>
        <v>33701</v>
      </c>
      <c r="AU582" s="27">
        <f ca="1">IFERROR(__xludf.DUMMYFUNCTION("""COMPUTED_VALUE"""),30)</f>
        <v>30</v>
      </c>
      <c r="AV582" s="27">
        <f ca="1">IFERROR(__xludf.DUMMYFUNCTION("""COMPUTED_VALUE"""),9300591401)</f>
        <v>9300591401</v>
      </c>
      <c r="AW582" s="27">
        <f ca="1">IFERROR(__xludf.DUMMYFUNCTION("""COMPUTED_VALUE"""),8424334)</f>
        <v>8424334</v>
      </c>
      <c r="AX582" s="27"/>
      <c r="AY582" s="27"/>
      <c r="AZ582" s="27" t="str">
        <f ca="1">IFERROR(__xludf.DUMMYFUNCTION("""COMPUTED_VALUE"""),"G")</f>
        <v>G</v>
      </c>
      <c r="BA582" s="27" t="str">
        <f ca="1">IFERROR(__xludf.DUMMYFUNCTION("""COMPUTED_VALUE"""),"Amarela")</f>
        <v>Amarela</v>
      </c>
      <c r="BB582" s="27"/>
      <c r="BC582" s="27"/>
      <c r="BD582" s="27" t="str">
        <f ca="1">IFERROR(__xludf.DUMMYFUNCTION("""COMPUTED_VALUE"""),"Fazer o bem faz bem")</f>
        <v>Fazer o bem faz bem</v>
      </c>
      <c r="BE582" s="27" t="str">
        <f ca="1">IFERROR(__xludf.DUMMYFUNCTION("""COMPUTED_VALUE"""),"Feminino")</f>
        <v>Feminino</v>
      </c>
      <c r="BF582" s="27" t="str">
        <f ca="1">IFERROR(__xludf.DUMMYFUNCTION("""COMPUTED_VALUE"""),"Heterossexual")</f>
        <v>Heterossexual</v>
      </c>
      <c r="BG582" s="27"/>
      <c r="BH582" s="27" t="str">
        <f ca="1">IFERROR(__xludf.DUMMYFUNCTION("""COMPUTED_VALUE"""),"Público")</f>
        <v>Público</v>
      </c>
      <c r="BI582" s="27"/>
      <c r="BJ582" s="27"/>
      <c r="BK582" s="27" t="str">
        <f ca="1">IFERROR(__xludf.DUMMYFUNCTION("""COMPUTED_VALUE"""),"Rua bosque")</f>
        <v>Rua bosque</v>
      </c>
      <c r="BL582" s="27">
        <f ca="1">IFERROR(__xludf.DUMMYFUNCTION("""COMPUTED_VALUE"""),106)</f>
        <v>106</v>
      </c>
      <c r="BM582" s="27"/>
      <c r="BN582" s="27"/>
      <c r="BO582" s="27">
        <f ca="1">IFERROR(__xludf.DUMMYFUNCTION("""COMPUTED_VALUE"""),53405625)</f>
        <v>53405625</v>
      </c>
      <c r="BP582" s="27" t="str">
        <f ca="1">IFERROR(__xludf.DUMMYFUNCTION("""COMPUTED_VALUE"""),"PE")</f>
        <v>PE</v>
      </c>
      <c r="BQ582" s="27" t="str">
        <f ca="1">IFERROR(__xludf.DUMMYFUNCTION("""COMPUTED_VALUE"""),"Entre 1 até 3 salários mínimos")</f>
        <v>Entre 1 até 3 salários mínimos</v>
      </c>
      <c r="BR582" s="27" t="str">
        <f ca="1">IFERROR(__xludf.DUMMYFUNCTION("""COMPUTED_VALUE"""),"Desempregado")</f>
        <v>Desempregado</v>
      </c>
      <c r="BS582" s="27" t="str">
        <f ca="1">IFERROR(__xludf.DUMMYFUNCTION("""COMPUTED_VALUE"""),"Casa própria")</f>
        <v>Casa própria</v>
      </c>
      <c r="BT582" s="27">
        <f ca="1">IFERROR(__xludf.DUMMYFUNCTION("""COMPUTED_VALUE"""),6)</f>
        <v>6</v>
      </c>
      <c r="BU582" s="27" t="str">
        <f ca="1">IFERROR(__xludf.DUMMYFUNCTION("""COMPUTED_VALUE"""),"Não tem")</f>
        <v>Não tem</v>
      </c>
      <c r="BV582" s="27" t="str">
        <f ca="1">IFERROR(__xludf.DUMMYFUNCTION("""COMPUTED_VALUE"""),"Não")</f>
        <v>Não</v>
      </c>
      <c r="BW582" s="27"/>
      <c r="BX582" s="27"/>
      <c r="BY582" s="21" t="str">
        <f ca="1">IFERROR(__xludf.DUMMYFUNCTION("""COMPUTED_VALUE"""),"https://drive.google.com/open?id=1q7jxyRJ-znvLDQHFUadn5i-rMxxa-1AP")</f>
        <v>https://drive.google.com/open?id=1q7jxyRJ-znvLDQHFUadn5i-rMxxa-1AP</v>
      </c>
    </row>
    <row r="583" spans="1:77" ht="12.5" x14ac:dyDescent="0.25">
      <c r="A583" s="21" t="str">
        <f ca="1">IFERROR(__xludf.DUMMYFUNCTION("""COMPUTED_VALUE"""),"0014X00002VKCshQAH")</f>
        <v>0014X00002VKCshQAH</v>
      </c>
      <c r="B583" s="27" t="str">
        <f ca="1">IFERROR(__xludf.DUMMYFUNCTION("""COMPUTED_VALUE"""),"Fase Inicial")</f>
        <v>Fase Inicial</v>
      </c>
      <c r="C583" s="27" t="str">
        <f ca="1">IFERROR(__xludf.DUMMYFUNCTION("""COMPUTED_VALUE"""),"Fellow")</f>
        <v>Fellow</v>
      </c>
      <c r="D583" s="27" t="str">
        <f ca="1">IFERROR(__xludf.DUMMYFUNCTION("""COMPUTED_VALUE"""),"Ativo")</f>
        <v>Ativo</v>
      </c>
      <c r="E583" s="27" t="str">
        <f ca="1">IFERROR(__xludf.DUMMYFUNCTION("""COMPUTED_VALUE"""),"TOP CLUBE DE XADREZ")</f>
        <v>TOP CLUBE DE XADREZ</v>
      </c>
      <c r="F583" s="27" t="str">
        <f ca="1">IFERROR(__xludf.DUMMYFUNCTION("""COMPUTED_VALUE"""),"João")</f>
        <v>João</v>
      </c>
      <c r="G583" s="27" t="str">
        <f ca="1">IFERROR(__xludf.DUMMYFUNCTION("""COMPUTED_VALUE"""),"TOP CLUBE DE XADREZ")</f>
        <v>TOP CLUBE DE XADREZ</v>
      </c>
      <c r="H583" s="27" t="str">
        <f ca="1">IFERROR(__xludf.DUMMYFUNCTION("""COMPUTED_VALUE"""),"34.724.857/0001-76")</f>
        <v>34.724.857/0001-76</v>
      </c>
      <c r="I583" s="27" t="str">
        <f ca="1">IFERROR(__xludf.DUMMYFUNCTION("""COMPUTED_VALUE"""),"João Luiz souto de oliveira")</f>
        <v>João Luiz souto de oliveira</v>
      </c>
      <c r="J583" s="27" t="str">
        <f ca="1">IFERROR(__xludf.DUMMYFUNCTION("""COMPUTED_VALUE"""),"topclubedexadrez@gmail.com")</f>
        <v>topclubedexadrez@gmail.com</v>
      </c>
      <c r="K583" s="27" t="str">
        <f ca="1">IFERROR(__xludf.DUMMYFUNCTION("""COMPUTED_VALUE"""),"(21)98464-7493")</f>
        <v>(21)98464-7493</v>
      </c>
      <c r="L583" s="27" t="str">
        <f ca="1">IFERROR(__xludf.DUMMYFUNCTION("""COMPUTED_VALUE"""),"RJ")</f>
        <v>RJ</v>
      </c>
      <c r="M583" s="27" t="str">
        <f ca="1">IFERROR(__xludf.DUMMYFUNCTION("""COMPUTED_VALUE"""),"Rua Dr. Arino de Oliveira 85")</f>
        <v>Rua Dr. Arino de Oliveira 85</v>
      </c>
      <c r="N583" s="27" t="str">
        <f ca="1">IFERROR(__xludf.DUMMYFUNCTION("""COMPUTED_VALUE"""),"Jardim Meriti")</f>
        <v>Jardim Meriti</v>
      </c>
      <c r="O583" s="27">
        <f ca="1">IFERROR(__xludf.DUMMYFUNCTION("""COMPUTED_VALUE"""),85)</f>
        <v>85</v>
      </c>
      <c r="P583" s="27" t="str">
        <f ca="1">IFERROR(__xludf.DUMMYFUNCTION("""COMPUTED_VALUE"""),"Nova Iguaçu")</f>
        <v>Nova Iguaçu</v>
      </c>
      <c r="Q583" s="27" t="str">
        <f ca="1">IFERROR(__xludf.DUMMYFUNCTION("""COMPUTED_VALUE"""),"IGUACU BASQUETE CLUBE  DEPARTAMENTO DE XADREZ")</f>
        <v>IGUACU BASQUETE CLUBE  DEPARTAMENTO DE XADREZ</v>
      </c>
      <c r="R583" s="27" t="str">
        <f ca="1">IFERROR(__xludf.DUMMYFUNCTION("""COMPUTED_VALUE"""),"26215-330")</f>
        <v>26215-330</v>
      </c>
      <c r="S583" s="27" t="str">
        <f ca="1">IFERROR(__xludf.DUMMYFUNCTION("""COMPUTED_VALUE"""),"Pizzaria portal42delivery , instituto valorizando vidas")</f>
        <v>Pizzaria portal42delivery , instituto valorizando vidas</v>
      </c>
      <c r="T583" s="27"/>
      <c r="U583"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583" s="27" t="str">
        <f ca="1">IFERROR(__xludf.DUMMYFUNCTION("""COMPUTED_VALUE"""),"Moradores de Favelas, População LGBTQ+, Afrodescendentes, Pessoas com Deficiência, Outros")</f>
        <v>Moradores de Favelas, População LGBTQ+, Afrodescendentes, Pessoas com Deficiência, Outros</v>
      </c>
      <c r="W583" s="27">
        <f ca="1">IFERROR(__xludf.DUMMYFUNCTION("""COMPUTED_VALUE"""),120)</f>
        <v>120</v>
      </c>
      <c r="X583" s="27" t="str">
        <f ca="1">IFERROR(__xludf.DUMMYFUNCTION("""COMPUTED_VALUE"""),"atendemos muitas crianças com transtorno de Espectro Autista encaminhados por suas respectivas terapeutas.")</f>
        <v>atendemos muitas crianças com transtorno de Espectro Autista encaminhados por suas respectivas terapeutas.</v>
      </c>
      <c r="Y583" s="27"/>
      <c r="Z583" s="27">
        <f ca="1">IFERROR(__xludf.DUMMYFUNCTION("""COMPUTED_VALUE"""),20)</f>
        <v>20</v>
      </c>
      <c r="AA583" s="29">
        <f ca="1">IFERROR(__xludf.DUMMYFUNCTION("""COMPUTED_VALUE"""),43727)</f>
        <v>43727</v>
      </c>
      <c r="AB583" s="27" t="str">
        <f ca="1">IFERROR(__xludf.DUMMYFUNCTION("""COMPUTED_VALUE"""),"Não")</f>
        <v>Não</v>
      </c>
      <c r="AC583" s="27">
        <f ca="1">IFERROR(__xludf.DUMMYFUNCTION("""COMPUTED_VALUE"""),0)</f>
        <v>0</v>
      </c>
      <c r="AD583" s="27">
        <f ca="1">IFERROR(__xludf.DUMMYFUNCTION("""COMPUTED_VALUE"""),1)</f>
        <v>1</v>
      </c>
      <c r="AE583" s="27">
        <f ca="1">IFERROR(__xludf.DUMMYFUNCTION("""COMPUTED_VALUE"""),5)</f>
        <v>5</v>
      </c>
      <c r="AF583" s="27">
        <f ca="1">IFERROR(__xludf.DUMMYFUNCTION("""COMPUTED_VALUE"""),1)</f>
        <v>1</v>
      </c>
      <c r="AG583" s="27">
        <f ca="1">IFERROR(__xludf.DUMMYFUNCTION("""COMPUTED_VALUE"""),4)</f>
        <v>4</v>
      </c>
      <c r="AH583" s="27" t="str">
        <f ca="1">IFERROR(__xludf.DUMMYFUNCTION("""COMPUTED_VALUE"""),"Eventos/Ações para captação, Plataforma doação online - Pessoa Física, Doações, Recursos próprios")</f>
        <v>Eventos/Ações para captação, Plataforma doação online - Pessoa Física, Doações, Recursos próprios</v>
      </c>
      <c r="AI583" s="27" t="str">
        <f ca="1">IFERROR(__xludf.DUMMYFUNCTION("""COMPUTED_VALUE"""),"10% doações ,.10% plataformas de doação on-line, 20% eventos , 60% recursos próprios")</f>
        <v>10% doações ,.10% plataformas de doação on-line, 20% eventos , 60% recursos próprios</v>
      </c>
      <c r="AJ583" s="27" t="str">
        <f ca="1">IFERROR(__xludf.DUMMYFUNCTION("""COMPUTED_VALUE"""),"Vamos iniciar esse ano")</f>
        <v>Vamos iniciar esse ano</v>
      </c>
      <c r="AK583" s="27"/>
      <c r="AL583" s="21" t="str">
        <f ca="1">IFERROR(__xludf.DUMMYFUNCTION("""COMPUTED_VALUE"""),"0034X0000380O0f")</f>
        <v>0034X0000380O0f</v>
      </c>
      <c r="AM583" s="27" t="str">
        <f ca="1">IFERROR(__xludf.DUMMYFUNCTION("""COMPUTED_VALUE"""),"Luiz souto de oliveira")</f>
        <v>Luiz souto de oliveira</v>
      </c>
      <c r="AN583" s="27" t="str">
        <f ca="1">IFERROR(__xludf.DUMMYFUNCTION("""COMPUTED_VALUE"""),"Ativo")</f>
        <v>Ativo</v>
      </c>
      <c r="AO583" s="29">
        <f ca="1">IFERROR(__xludf.DUMMYFUNCTION("""COMPUTED_VALUE"""),44763)</f>
        <v>44763</v>
      </c>
      <c r="AP583" s="27">
        <f ca="1">IFERROR(__xludf.DUMMYFUNCTION("""COMPUTED_VALUE"""),2)</f>
        <v>2</v>
      </c>
      <c r="AQ583" s="27" t="str">
        <f ca="1">IFERROR(__xludf.DUMMYFUNCTION("""COMPUTED_VALUE"""),"Primeiro Semestre 2022")</f>
        <v>Primeiro Semestre 2022</v>
      </c>
      <c r="AR583" s="27" t="str">
        <f ca="1">IFERROR(__xludf.DUMMYFUNCTION("""COMPUTED_VALUE"""),"feinho.oliveira@gmail.com")</f>
        <v>feinho.oliveira@gmail.com</v>
      </c>
      <c r="AS583" s="27" t="str">
        <f ca="1">IFERROR(__xludf.DUMMYFUNCTION("""COMPUTED_VALUE"""),"(21)98464-7493")</f>
        <v>(21)98464-7493</v>
      </c>
      <c r="AT583" s="29">
        <f ca="1">IFERROR(__xludf.DUMMYFUNCTION("""COMPUTED_VALUE"""),29340)</f>
        <v>29340</v>
      </c>
      <c r="AU583" s="27">
        <f ca="1">IFERROR(__xludf.DUMMYFUNCTION("""COMPUTED_VALUE"""),42)</f>
        <v>42</v>
      </c>
      <c r="AV583" s="27">
        <f ca="1">IFERROR(__xludf.DUMMYFUNCTION("""COMPUTED_VALUE"""),5317513766)</f>
        <v>5317513766</v>
      </c>
      <c r="AW583" s="27">
        <f ca="1">IFERROR(__xludf.DUMMYFUNCTION("""COMPUTED_VALUE"""),110432119)</f>
        <v>110432119</v>
      </c>
      <c r="AX583" s="27"/>
      <c r="AY583" s="27" t="str">
        <f ca="1">IFERROR(__xludf.DUMMYFUNCTION("""COMPUTED_VALUE"""),"Diretor presidente")</f>
        <v>Diretor presidente</v>
      </c>
      <c r="AZ583" s="27" t="str">
        <f ca="1">IFERROR(__xludf.DUMMYFUNCTION("""COMPUTED_VALUE"""),"G")</f>
        <v>G</v>
      </c>
      <c r="BA583" s="27" t="str">
        <f ca="1">IFERROR(__xludf.DUMMYFUNCTION("""COMPUTED_VALUE"""),"Parda")</f>
        <v>Parda</v>
      </c>
      <c r="BB583" s="27"/>
      <c r="BC583" s="27"/>
      <c r="BD583" s="27" t="str">
        <f ca="1">IFERROR(__xludf.DUMMYFUNCTION("""COMPUTED_VALUE"""),"Joao Luiz Souto de oliveira , carioca ,42 anos, aprendeu o jogo de xadrez
aos 4 anos, aos 15 anos se federou e compete por até hoje representando através do
 IBC (Iguaçu Basquete Clube) Nova iguaçu na federação do estado do RJ ,
 tem registro na Confedera"&amp;"ção Brasileira de Xadrez e Federação
 internacional de Xadrez (FIDE).
 Atuei em diversos projetos e escolas lecionando xadrez desde o ano de
 2002, alguns projetos de
 xadrez aprovados pela lei de incentivo ao esporte.")</f>
        <v>Joao Luiz Souto de oliveira , carioca ,42 anos, aprendeu o jogo de xadrez
aos 4 anos, aos 15 anos se federou e compete por até hoje representando através do
 IBC (Iguaçu Basquete Clube) Nova iguaçu na federação do estado do RJ ,
 tem registro na Confederação Brasileira de Xadrez e Federação
 internacional de Xadrez (FIDE).
 Atuei em diversos projetos e escolas lecionando xadrez desde o ano de
 2002, alguns projetos de
 xadrez aprovados pela lei de incentivo ao esporte.</v>
      </c>
      <c r="BE583" s="27" t="str">
        <f ca="1">IFERROR(__xludf.DUMMYFUNCTION("""COMPUTED_VALUE"""),"Homem, cisgênero")</f>
        <v>Homem, cisgênero</v>
      </c>
      <c r="BF583" s="27" t="str">
        <f ca="1">IFERROR(__xludf.DUMMYFUNCTION("""COMPUTED_VALUE"""),"Heterossexual")</f>
        <v>Heterossexual</v>
      </c>
      <c r="BG583" s="27" t="str">
        <f ca="1">IFERROR(__xludf.DUMMYFUNCTION("""COMPUTED_VALUE"""),"Ensino Superior - Incompleto")</f>
        <v>Ensino Superior - Incompleto</v>
      </c>
      <c r="BH583" s="27" t="str">
        <f ca="1">IFERROR(__xludf.DUMMYFUNCTION("""COMPUTED_VALUE"""),"Privado")</f>
        <v>Privado</v>
      </c>
      <c r="BI583" s="27" t="str">
        <f ca="1">IFERROR(__xludf.DUMMYFUNCTION("""COMPUTED_VALUE"""),"Graduação")</f>
        <v>Graduação</v>
      </c>
      <c r="BJ583" s="27"/>
      <c r="BK583" s="27" t="str">
        <f ca="1">IFERROR(__xludf.DUMMYFUNCTION("""COMPUTED_VALUE"""),"Rua sergio Sender")</f>
        <v>Rua sergio Sender</v>
      </c>
      <c r="BL583" s="27">
        <f ca="1">IFERROR(__xludf.DUMMYFUNCTION("""COMPUTED_VALUE"""),455)</f>
        <v>455</v>
      </c>
      <c r="BM583" s="27"/>
      <c r="BN583" s="27" t="str">
        <f ca="1">IFERROR(__xludf.DUMMYFUNCTION("""COMPUTED_VALUE"""),"Nova Iguaçu")</f>
        <v>Nova Iguaçu</v>
      </c>
      <c r="BO583" s="27" t="str">
        <f ca="1">IFERROR(__xludf.DUMMYFUNCTION("""COMPUTED_VALUE"""),"26266-170")</f>
        <v>26266-170</v>
      </c>
      <c r="BP583" s="27" t="str">
        <f ca="1">IFERROR(__xludf.DUMMYFUNCTION("""COMPUTED_VALUE"""),"RJ")</f>
        <v>RJ</v>
      </c>
      <c r="BQ583" s="27" t="str">
        <f ca="1">IFERROR(__xludf.DUMMYFUNCTION("""COMPUTED_VALUE"""),"Entre 1 até 3 salários mínimos")</f>
        <v>Entre 1 até 3 salários mínimos</v>
      </c>
      <c r="BR583" s="27" t="str">
        <f ca="1">IFERROR(__xludf.DUMMYFUNCTION("""COMPUTED_VALUE"""),"MEI")</f>
        <v>MEI</v>
      </c>
      <c r="BS583" s="27" t="str">
        <f ca="1">IFERROR(__xludf.DUMMYFUNCTION("""COMPUTED_VALUE"""),"Aluguel")</f>
        <v>Aluguel</v>
      </c>
      <c r="BT583" s="27">
        <f ca="1">IFERROR(__xludf.DUMMYFUNCTION("""COMPUTED_VALUE"""),3)</f>
        <v>3</v>
      </c>
      <c r="BU583" s="27" t="str">
        <f ca="1">IFERROR(__xludf.DUMMYFUNCTION("""COMPUTED_VALUE"""),"Outros")</f>
        <v>Outros</v>
      </c>
      <c r="BV583" s="27" t="str">
        <f ca="1">IFERROR(__xludf.DUMMYFUNCTION("""COMPUTED_VALUE"""),"Não")</f>
        <v>Não</v>
      </c>
      <c r="BW583" s="21" t="str">
        <f ca="1">IFERROR(__xludf.DUMMYFUNCTION("""COMPUTED_VALUE"""),"https://www.linkedin.com/mwlite/in/joao-oliveira-68b52450")</f>
        <v>https://www.linkedin.com/mwlite/in/joao-oliveira-68b52450</v>
      </c>
      <c r="BX583" s="21" t="str">
        <f ca="1">IFERROR(__xludf.DUMMYFUNCTION("""COMPUTED_VALUE"""),"https://www.instagram.com/topclubxadrez")</f>
        <v>https://www.instagram.com/topclubxadrez</v>
      </c>
      <c r="BY583" s="21" t="str">
        <f ca="1">IFERROR(__xludf.DUMMYFUNCTION("""COMPUTED_VALUE"""),"https://drive.google.com/open?id=1IYJSAH5GQdcbBfvhdt-tGKd58I2GUtH1")</f>
        <v>https://drive.google.com/open?id=1IYJSAH5GQdcbBfvhdt-tGKd58I2GUtH1</v>
      </c>
    </row>
    <row r="584" spans="1:77" ht="12.5" x14ac:dyDescent="0.25">
      <c r="A584" s="21" t="str">
        <f ca="1">IFERROR(__xludf.DUMMYFUNCTION("""COMPUTED_VALUE"""),"0014X00002VKCpOQAX")</f>
        <v>0014X00002VKCpOQAX</v>
      </c>
      <c r="B584" s="27" t="str">
        <f ca="1">IFERROR(__xludf.DUMMYFUNCTION("""COMPUTED_VALUE"""),"Fase Inicial")</f>
        <v>Fase Inicial</v>
      </c>
      <c r="C584" s="27" t="str">
        <f ca="1">IFERROR(__xludf.DUMMYFUNCTION("""COMPUTED_VALUE"""),"Fellow")</f>
        <v>Fellow</v>
      </c>
      <c r="D584" s="27" t="str">
        <f ca="1">IFERROR(__xludf.DUMMYFUNCTION("""COMPUTED_VALUE"""),"Ativo")</f>
        <v>Ativo</v>
      </c>
      <c r="E584" s="27" t="str">
        <f ca="1">IFERROR(__xludf.DUMMYFUNCTION("""COMPUTED_VALUE"""),"Transformado vidas e mudando a sociedade! Princípios Bíblicos / Educação / Cultura / Esporte / Qualificação/ Inovação /Tecnologia /")</f>
        <v>Transformado vidas e mudando a sociedade! Princípios Bíblicos / Educação / Cultura / Esporte / Qualificação/ Inovação /Tecnologia /</v>
      </c>
      <c r="F584" s="27" t="str">
        <f ca="1">IFERROR(__xludf.DUMMYFUNCTION("""COMPUTED_VALUE"""),"Lourival")</f>
        <v>Lourival</v>
      </c>
      <c r="G584" s="27"/>
      <c r="H584" s="27"/>
      <c r="I584" s="27" t="str">
        <f ca="1">IFERROR(__xludf.DUMMYFUNCTION("""COMPUTED_VALUE"""),"Neto")</f>
        <v>Neto</v>
      </c>
      <c r="J584" s="27"/>
      <c r="K584" s="27">
        <f ca="1">IFERROR(__xludf.DUMMYFUNCTION("""COMPUTED_VALUE"""),82999575865)</f>
        <v>82999575865</v>
      </c>
      <c r="L584" s="27" t="str">
        <f ca="1">IFERROR(__xludf.DUMMYFUNCTION("""COMPUTED_VALUE"""),"AL")</f>
        <v>AL</v>
      </c>
      <c r="M584" s="27" t="str">
        <f ca="1">IFERROR(__xludf.DUMMYFUNCTION("""COMPUTED_VALUE"""),"ADELMO 1")</f>
        <v>ADELMO 1</v>
      </c>
      <c r="N584" s="27" t="str">
        <f ca="1">IFERROR(__xludf.DUMMYFUNCTION("""COMPUTED_VALUE"""),"Aldemo Pereira")</f>
        <v>Aldemo Pereira</v>
      </c>
      <c r="O584" s="27" t="str">
        <f ca="1">IFERROR(__xludf.DUMMYFUNCTION("""COMPUTED_VALUE"""),"H1")</f>
        <v>H1</v>
      </c>
      <c r="P584" s="27" t="str">
        <f ca="1">IFERROR(__xludf.DUMMYFUNCTION("""COMPUTED_VALUE"""),"Junqueiro")</f>
        <v>Junqueiro</v>
      </c>
      <c r="Q584" s="27"/>
      <c r="R584" s="27" t="str">
        <f ca="1">IFERROR(__xludf.DUMMYFUNCTION("""COMPUTED_VALUE"""),"57270-000")</f>
        <v>57270-000</v>
      </c>
      <c r="S584" s="27"/>
      <c r="T584" s="27"/>
      <c r="U584" s="27"/>
      <c r="V584" s="27"/>
      <c r="W584" s="27">
        <f ca="1">IFERROR(__xludf.DUMMYFUNCTION("""COMPUTED_VALUE"""),1)</f>
        <v>1</v>
      </c>
      <c r="X584" s="27"/>
      <c r="Y584" s="27"/>
      <c r="Z584" s="27">
        <f ca="1">IFERROR(__xludf.DUMMYFUNCTION("""COMPUTED_VALUE"""),300)</f>
        <v>300</v>
      </c>
      <c r="AA584" s="29">
        <f ca="1">IFERROR(__xludf.DUMMYFUNCTION("""COMPUTED_VALUE"""),43866)</f>
        <v>43866</v>
      </c>
      <c r="AB584" s="27" t="str">
        <f ca="1">IFERROR(__xludf.DUMMYFUNCTION("""COMPUTED_VALUE"""),"Não")</f>
        <v>Não</v>
      </c>
      <c r="AC584" s="27">
        <f ca="1">IFERROR(__xludf.DUMMYFUNCTION("""COMPUTED_VALUE"""),4)</f>
        <v>4</v>
      </c>
      <c r="AD584" s="27"/>
      <c r="AE584" s="27">
        <f ca="1">IFERROR(__xludf.DUMMYFUNCTION("""COMPUTED_VALUE"""),4)</f>
        <v>4</v>
      </c>
      <c r="AF584" s="27"/>
      <c r="AG584" s="27">
        <f ca="1">IFERROR(__xludf.DUMMYFUNCTION("""COMPUTED_VALUE"""),10)</f>
        <v>10</v>
      </c>
      <c r="AH584" s="27"/>
      <c r="AI584" s="27"/>
      <c r="AJ584" s="27" t="str">
        <f ca="1">IFERROR(__xludf.DUMMYFUNCTION("""COMPUTED_VALUE"""),"Não")</f>
        <v>Não</v>
      </c>
      <c r="AK584" s="27"/>
      <c r="AL584" s="21" t="str">
        <f ca="1">IFERROR(__xludf.DUMMYFUNCTION("""COMPUTED_VALUE"""),"0034X0000380O6S")</f>
        <v>0034X0000380O6S</v>
      </c>
      <c r="AM584" s="27" t="str">
        <f ca="1">IFERROR(__xludf.DUMMYFUNCTION("""COMPUTED_VALUE"""),"Xavier da silva neto")</f>
        <v>Xavier da silva neto</v>
      </c>
      <c r="AN584" s="27" t="str">
        <f ca="1">IFERROR(__xludf.DUMMYFUNCTION("""COMPUTED_VALUE"""),"Ativo")</f>
        <v>Ativo</v>
      </c>
      <c r="AO584" s="27"/>
      <c r="AP584" s="27"/>
      <c r="AQ584" s="27" t="str">
        <f ca="1">IFERROR(__xludf.DUMMYFUNCTION("""COMPUTED_VALUE"""),"Primeiro Semestre 2022")</f>
        <v>Primeiro Semestre 2022</v>
      </c>
      <c r="AR584" s="27" t="str">
        <f ca="1">IFERROR(__xludf.DUMMYFUNCTION("""COMPUTED_VALUE"""),"netoperegrino2@gmail.com")</f>
        <v>netoperegrino2@gmail.com</v>
      </c>
      <c r="AS584" s="27" t="str">
        <f ca="1">IFERROR(__xludf.DUMMYFUNCTION("""COMPUTED_VALUE"""),"(82)9936-11510")</f>
        <v>(82)9936-11510</v>
      </c>
      <c r="AT584" s="30">
        <f ca="1">IFERROR(__xludf.DUMMYFUNCTION("""COMPUTED_VALUE"""),36093)</f>
        <v>36093</v>
      </c>
      <c r="AU584" s="27">
        <f ca="1">IFERROR(__xludf.DUMMYFUNCTION("""COMPUTED_VALUE"""),24)</f>
        <v>24</v>
      </c>
      <c r="AV584" s="27">
        <f ca="1">IFERROR(__xludf.DUMMYFUNCTION("""COMPUTED_VALUE"""),13246039410)</f>
        <v>13246039410</v>
      </c>
      <c r="AW584" s="27">
        <f ca="1">IFERROR(__xludf.DUMMYFUNCTION("""COMPUTED_VALUE"""),40380157)</f>
        <v>40380157</v>
      </c>
      <c r="AX584" s="27"/>
      <c r="AY584" s="27" t="str">
        <f ca="1">IFERROR(__xludf.DUMMYFUNCTION("""COMPUTED_VALUE"""),"CEO")</f>
        <v>CEO</v>
      </c>
      <c r="AZ584" s="27" t="str">
        <f ca="1">IFERROR(__xludf.DUMMYFUNCTION("""COMPUTED_VALUE"""),"M")</f>
        <v>M</v>
      </c>
      <c r="BA584" s="27" t="str">
        <f ca="1">IFERROR(__xludf.DUMMYFUNCTION("""COMPUTED_VALUE"""),"Parda")</f>
        <v>Parda</v>
      </c>
      <c r="BB584" s="27"/>
      <c r="BC584" s="27"/>
      <c r="BD584" s="27" t="str">
        <f ca="1">IFERROR(__xludf.DUMMYFUNCTION("""COMPUTED_VALUE"""),"Sou o Neto o Peregrino. sou apaixonado por fazer o bem aquém mais precisar. Sou formando em desenvolvimento comunitário e Em pré-qualificação em agropecuária. E agora formado pela GF , em Empreendedorismo  Social.")</f>
        <v>Sou o Neto o Peregrino. sou apaixonado por fazer o bem aquém mais precisar. Sou formando em desenvolvimento comunitário e Em pré-qualificação em agropecuária. E agora formado pela GF , em Empreendedorismo  Social.</v>
      </c>
      <c r="BE584" s="27" t="str">
        <f ca="1">IFERROR(__xludf.DUMMYFUNCTION("""COMPUTED_VALUE"""),"Outro(s)")</f>
        <v>Outro(s)</v>
      </c>
      <c r="BF584" s="27" t="str">
        <f ca="1">IFERROR(__xludf.DUMMYFUNCTION("""COMPUTED_VALUE"""),"Heterossexual")</f>
        <v>Heterossexual</v>
      </c>
      <c r="BG584" s="27" t="str">
        <f ca="1">IFERROR(__xludf.DUMMYFUNCTION("""COMPUTED_VALUE"""),"Ensino Médio - Completo")</f>
        <v>Ensino Médio - Completo</v>
      </c>
      <c r="BH584" s="27" t="str">
        <f ca="1">IFERROR(__xludf.DUMMYFUNCTION("""COMPUTED_VALUE"""),"Público")</f>
        <v>Público</v>
      </c>
      <c r="BI584" s="27"/>
      <c r="BJ584" s="27" t="str">
        <f ca="1">IFERROR(__xludf.DUMMYFUNCTION("""COMPUTED_VALUE"""),"Público")</f>
        <v>Público</v>
      </c>
      <c r="BK584" s="27" t="str">
        <f ca="1">IFERROR(__xludf.DUMMYFUNCTION("""COMPUTED_VALUE"""),"RUA PROFRESSOR ANTÔNIO FELIX DE JESUS")</f>
        <v>RUA PROFRESSOR ANTÔNIO FELIX DE JESUS</v>
      </c>
      <c r="BL584" s="27">
        <f ca="1">IFERROR(__xludf.DUMMYFUNCTION("""COMPUTED_VALUE"""),122)</f>
        <v>122</v>
      </c>
      <c r="BM584" s="27" t="str">
        <f ca="1">IFERROR(__xludf.DUMMYFUNCTION("""COMPUTED_VALUE"""),"ABAIXO DA PREFEITURA")</f>
        <v>ABAIXO DA PREFEITURA</v>
      </c>
      <c r="BN584" s="27" t="str">
        <f ca="1">IFERROR(__xludf.DUMMYFUNCTION("""COMPUTED_VALUE"""),"JUNQUEIRO")</f>
        <v>JUNQUEIRO</v>
      </c>
      <c r="BO584" s="27" t="str">
        <f ca="1">IFERROR(__xludf.DUMMYFUNCTION("""COMPUTED_VALUE"""),"57270-000")</f>
        <v>57270-000</v>
      </c>
      <c r="BP584" s="27" t="str">
        <f ca="1">IFERROR(__xludf.DUMMYFUNCTION("""COMPUTED_VALUE"""),"AL")</f>
        <v>AL</v>
      </c>
      <c r="BQ584" s="27" t="str">
        <f ca="1">IFERROR(__xludf.DUMMYFUNCTION("""COMPUTED_VALUE"""),"Entre 1 até 3 salários mínimos")</f>
        <v>Entre 1 até 3 salários mínimos</v>
      </c>
      <c r="BR584" s="27" t="str">
        <f ca="1">IFERROR(__xludf.DUMMYFUNCTION("""COMPUTED_VALUE"""),"Desempregado")</f>
        <v>Desempregado</v>
      </c>
      <c r="BS584" s="27" t="str">
        <f ca="1">IFERROR(__xludf.DUMMYFUNCTION("""COMPUTED_VALUE"""),"Aluguel")</f>
        <v>Aluguel</v>
      </c>
      <c r="BT584" s="27">
        <f ca="1">IFERROR(__xludf.DUMMYFUNCTION("""COMPUTED_VALUE"""),4)</f>
        <v>4</v>
      </c>
      <c r="BU584" s="27" t="str">
        <f ca="1">IFERROR(__xludf.DUMMYFUNCTION("""COMPUTED_VALUE"""),"Deficiência física")</f>
        <v>Deficiência física</v>
      </c>
      <c r="BV584" s="27" t="str">
        <f ca="1">IFERROR(__xludf.DUMMYFUNCTION("""COMPUTED_VALUE"""),"Não")</f>
        <v>Não</v>
      </c>
      <c r="BW584" s="27"/>
      <c r="BX584" s="21" t="str">
        <f ca="1">IFERROR(__xludf.DUMMYFUNCTION("""COMPUTED_VALUE"""),"https://www.instagram.com/p/Cfv9MSEOpXB/?igshid=YmMyMTA2M2Y=")</f>
        <v>https://www.instagram.com/p/Cfv9MSEOpXB/?igshid=YmMyMTA2M2Y=</v>
      </c>
      <c r="BY584" s="21" t="str">
        <f ca="1">IFERROR(__xludf.DUMMYFUNCTION("""COMPUTED_VALUE"""),"https://drive.google.com/open?id=1frMUwxJfV8frfnwKM00vkv__tHOXTxwO")</f>
        <v>https://drive.google.com/open?id=1frMUwxJfV8frfnwKM00vkv__tHOXTxwO</v>
      </c>
    </row>
    <row r="585" spans="1:77" ht="12.5" x14ac:dyDescent="0.25">
      <c r="A585" s="21" t="str">
        <f ca="1">IFERROR(__xludf.DUMMYFUNCTION("""COMPUTED_VALUE"""),"0014X00002VKCs2QAH")</f>
        <v>0014X00002VKCs2QAH</v>
      </c>
      <c r="B585" s="27" t="str">
        <f ca="1">IFERROR(__xludf.DUMMYFUNCTION("""COMPUTED_VALUE"""),"Fase Inicial")</f>
        <v>Fase Inicial</v>
      </c>
      <c r="C585" s="27" t="str">
        <f ca="1">IFERROR(__xludf.DUMMYFUNCTION("""COMPUTED_VALUE"""),"Fellow")</f>
        <v>Fellow</v>
      </c>
      <c r="D585" s="27" t="str">
        <f ca="1">IFERROR(__xludf.DUMMYFUNCTION("""COMPUTED_VALUE"""),"Ativo")</f>
        <v>Ativo</v>
      </c>
      <c r="E585" s="27" t="str">
        <f ca="1">IFERROR(__xludf.DUMMYFUNCTION("""COMPUTED_VALUE"""),"Trazemos Sorrisos")</f>
        <v>Trazemos Sorrisos</v>
      </c>
      <c r="F585" s="27" t="str">
        <f ca="1">IFERROR(__xludf.DUMMYFUNCTION("""COMPUTED_VALUE"""),"Priscila")</f>
        <v>Priscila</v>
      </c>
      <c r="G585" s="27" t="str">
        <f ca="1">IFERROR(__xludf.DUMMYFUNCTION("""COMPUTED_VALUE"""),"TRAZEMOS SORRISOS")</f>
        <v>TRAZEMOS SORRISOS</v>
      </c>
      <c r="H585" s="27"/>
      <c r="I585" s="27" t="str">
        <f ca="1">IFERROR(__xludf.DUMMYFUNCTION("""COMPUTED_VALUE"""),"Priscila Dias")</f>
        <v>Priscila Dias</v>
      </c>
      <c r="J585" s="27" t="str">
        <f ca="1">IFERROR(__xludf.DUMMYFUNCTION("""COMPUTED_VALUE"""),"trazemossorrisos@gmail.com")</f>
        <v>trazemossorrisos@gmail.com</v>
      </c>
      <c r="K585" s="27" t="str">
        <f ca="1">IFERROR(__xludf.DUMMYFUNCTION("""COMPUTED_VALUE"""),"(81)99799-2877")</f>
        <v>(81)99799-2877</v>
      </c>
      <c r="L585" s="27" t="str">
        <f ca="1">IFERROR(__xludf.DUMMYFUNCTION("""COMPUTED_VALUE"""),"PE")</f>
        <v>PE</v>
      </c>
      <c r="M585" s="27" t="str">
        <f ca="1">IFERROR(__xludf.DUMMYFUNCTION("""COMPUTED_VALUE"""),"Rua Antônio Nogueira")</f>
        <v>Rua Antônio Nogueira</v>
      </c>
      <c r="N585" s="27" t="str">
        <f ca="1">IFERROR(__xludf.DUMMYFUNCTION("""COMPUTED_VALUE"""),"Várzea")</f>
        <v>Várzea</v>
      </c>
      <c r="O585" s="27">
        <f ca="1">IFERROR(__xludf.DUMMYFUNCTION("""COMPUTED_VALUE"""),85)</f>
        <v>85</v>
      </c>
      <c r="P585" s="27" t="str">
        <f ca="1">IFERROR(__xludf.DUMMYFUNCTION("""COMPUTED_VALUE"""),"Recife")</f>
        <v>Recife</v>
      </c>
      <c r="Q585" s="27" t="str">
        <f ca="1">IFERROR(__xludf.DUMMYFUNCTION("""COMPUTED_VALUE"""),"Edifício portal da Várzea")</f>
        <v>Edifício portal da Várzea</v>
      </c>
      <c r="R585" s="27" t="str">
        <f ca="1">IFERROR(__xludf.DUMMYFUNCTION("""COMPUTED_VALUE"""),"50740-290")</f>
        <v>50740-290</v>
      </c>
      <c r="S585" s="27" t="str">
        <f ca="1">IFERROR(__xludf.DUMMYFUNCTION("""COMPUTED_VALUE"""),"Comunidades dos bairros")</f>
        <v>Comunidades dos bairros</v>
      </c>
      <c r="T585" s="27"/>
      <c r="U585" s="27" t="str">
        <f ca="1">IFERROR(__xludf.DUMMYFUNCTION("""COMPUTED_VALUE"""),"Crianças pequenas (4 anos a 5 anos e 11 meses), Crianças (6 a 12 anos), Adolescentes (12 aos 18 anos), Jovens (18 aos 24 anos), Adultos, Idosos (60 anos ou mais)")</f>
        <v>Crianças pequenas (4 anos a 5 anos e 11 meses), Crianças (6 a 12 anos), Adolescentes (12 aos 18 anos), Jovens (18 aos 24 anos), Adultos, Idosos (60 anos ou mais)</v>
      </c>
      <c r="V585" s="27" t="str">
        <f ca="1">IFERROR(__xludf.DUMMYFUNCTION("""COMPUTED_VALUE"""),"Moradores de Favelas, Pessoas em situação de rua, População LGBTQ+, Pessoas com Deficiência")</f>
        <v>Moradores de Favelas, Pessoas em situação de rua, População LGBTQ+, Pessoas com Deficiência</v>
      </c>
      <c r="W585" s="27">
        <f ca="1">IFERROR(__xludf.DUMMYFUNCTION("""COMPUTED_VALUE"""),2)</f>
        <v>2</v>
      </c>
      <c r="X585" s="27"/>
      <c r="Y585" s="27"/>
      <c r="Z585" s="27">
        <f ca="1">IFERROR(__xludf.DUMMYFUNCTION("""COMPUTED_VALUE"""),250)</f>
        <v>250</v>
      </c>
      <c r="AA585" s="30">
        <f ca="1">IFERROR(__xludf.DUMMYFUNCTION("""COMPUTED_VALUE"""),44915)</f>
        <v>44915</v>
      </c>
      <c r="AB585" s="27" t="str">
        <f ca="1">IFERROR(__xludf.DUMMYFUNCTION("""COMPUTED_VALUE"""),"Não")</f>
        <v>Não</v>
      </c>
      <c r="AC585" s="27">
        <f ca="1">IFERROR(__xludf.DUMMYFUNCTION("""COMPUTED_VALUE"""),0)</f>
        <v>0</v>
      </c>
      <c r="AD585" s="27">
        <f ca="1">IFERROR(__xludf.DUMMYFUNCTION("""COMPUTED_VALUE"""),0)</f>
        <v>0</v>
      </c>
      <c r="AE585" s="27">
        <f ca="1">IFERROR(__xludf.DUMMYFUNCTION("""COMPUTED_VALUE"""),0)</f>
        <v>0</v>
      </c>
      <c r="AF585" s="27">
        <f ca="1">IFERROR(__xludf.DUMMYFUNCTION("""COMPUTED_VALUE"""),0)</f>
        <v>0</v>
      </c>
      <c r="AG585" s="27">
        <f ca="1">IFERROR(__xludf.DUMMYFUNCTION("""COMPUTED_VALUE"""),2)</f>
        <v>2</v>
      </c>
      <c r="AH585" s="27" t="str">
        <f ca="1">IFERROR(__xludf.DUMMYFUNCTION("""COMPUTED_VALUE"""),"Doações")</f>
        <v>Doações</v>
      </c>
      <c r="AI585" s="27" t="str">
        <f ca="1">IFERROR(__xludf.DUMMYFUNCTION("""COMPUTED_VALUE"""),"100% doação")</f>
        <v>100% doação</v>
      </c>
      <c r="AJ585" s="27" t="str">
        <f ca="1">IFERROR(__xludf.DUMMYFUNCTION("""COMPUTED_VALUE"""),"Não")</f>
        <v>Não</v>
      </c>
      <c r="AK585" s="27"/>
      <c r="AL585" s="21" t="str">
        <f ca="1">IFERROR(__xludf.DUMMYFUNCTION("""COMPUTED_VALUE"""),"0034X0000380O6U")</f>
        <v>0034X0000380O6U</v>
      </c>
      <c r="AM585" s="27" t="str">
        <f ca="1">IFERROR(__xludf.DUMMYFUNCTION("""COMPUTED_VALUE"""),"Renata dos santos dias vitor")</f>
        <v>Renata dos santos dias vitor</v>
      </c>
      <c r="AN585" s="27" t="str">
        <f ca="1">IFERROR(__xludf.DUMMYFUNCTION("""COMPUTED_VALUE"""),"Ativo")</f>
        <v>Ativo</v>
      </c>
      <c r="AO585" s="29">
        <f ca="1">IFERROR(__xludf.DUMMYFUNCTION("""COMPUTED_VALUE"""),44763)</f>
        <v>44763</v>
      </c>
      <c r="AP585" s="27">
        <f ca="1">IFERROR(__xludf.DUMMYFUNCTION("""COMPUTED_VALUE"""),2)</f>
        <v>2</v>
      </c>
      <c r="AQ585" s="27" t="str">
        <f ca="1">IFERROR(__xludf.DUMMYFUNCTION("""COMPUTED_VALUE"""),"Primeiro Semestre 2022")</f>
        <v>Primeiro Semestre 2022</v>
      </c>
      <c r="AR585" s="27" t="str">
        <f ca="1">IFERROR(__xludf.DUMMYFUNCTION("""COMPUTED_VALUE"""),"prisciladiasvitor@gmail.com")</f>
        <v>prisciladiasvitor@gmail.com</v>
      </c>
      <c r="AS585" s="27">
        <f ca="1">IFERROR(__xludf.DUMMYFUNCTION("""COMPUTED_VALUE"""),81997992877)</f>
        <v>81997992877</v>
      </c>
      <c r="AT585" s="29">
        <f ca="1">IFERROR(__xludf.DUMMYFUNCTION("""COMPUTED_VALUE"""),32290)</f>
        <v>32290</v>
      </c>
      <c r="AU585" s="27">
        <f ca="1">IFERROR(__xludf.DUMMYFUNCTION("""COMPUTED_VALUE"""),34)</f>
        <v>34</v>
      </c>
      <c r="AV585" s="27">
        <f ca="1">IFERROR(__xludf.DUMMYFUNCTION("""COMPUTED_VALUE"""),6688986400)</f>
        <v>6688986400</v>
      </c>
      <c r="AW585" s="27">
        <f ca="1">IFERROR(__xludf.DUMMYFUNCTION("""COMPUTED_VALUE"""),7542436)</f>
        <v>7542436</v>
      </c>
      <c r="AX585" s="27"/>
      <c r="AY585" s="27"/>
      <c r="AZ585" s="27" t="str">
        <f ca="1">IFERROR(__xludf.DUMMYFUNCTION("""COMPUTED_VALUE"""),"PP")</f>
        <v>PP</v>
      </c>
      <c r="BA585" s="27" t="str">
        <f ca="1">IFERROR(__xludf.DUMMYFUNCTION("""COMPUTED_VALUE"""),"Parda")</f>
        <v>Parda</v>
      </c>
      <c r="BB585" s="27"/>
      <c r="BC585" s="27"/>
      <c r="BD585" s="27" t="str">
        <f ca="1">IFERROR(__xludf.DUMMYFUNCTION("""COMPUTED_VALUE"""),"Gerente de projetos de impacto social na Verda e idealizadora do projeto Trazemos Sorrisos.")</f>
        <v>Gerente de projetos de impacto social na Verda e idealizadora do projeto Trazemos Sorrisos.</v>
      </c>
      <c r="BE585" s="27" t="str">
        <f ca="1">IFERROR(__xludf.DUMMYFUNCTION("""COMPUTED_VALUE"""),"Feminino")</f>
        <v>Feminino</v>
      </c>
      <c r="BF585" s="27" t="str">
        <f ca="1">IFERROR(__xludf.DUMMYFUNCTION("""COMPUTED_VALUE"""),"Heterossexual")</f>
        <v>Heterossexual</v>
      </c>
      <c r="BG585" s="27"/>
      <c r="BH585" s="27" t="str">
        <f ca="1">IFERROR(__xludf.DUMMYFUNCTION("""COMPUTED_VALUE"""),"Privado")</f>
        <v>Privado</v>
      </c>
      <c r="BI585" s="27" t="str">
        <f ca="1">IFERROR(__xludf.DUMMYFUNCTION("""COMPUTED_VALUE"""),"Pós-Graduação")</f>
        <v>Pós-Graduação</v>
      </c>
      <c r="BJ585" s="27" t="str">
        <f ca="1">IFERROR(__xludf.DUMMYFUNCTION("""COMPUTED_VALUE"""),"Privado")</f>
        <v>Privado</v>
      </c>
      <c r="BK585" s="27" t="str">
        <f ca="1">IFERROR(__xludf.DUMMYFUNCTION("""COMPUTED_VALUE"""),"Antônio Nogueira")</f>
        <v>Antônio Nogueira</v>
      </c>
      <c r="BL585" s="27">
        <f ca="1">IFERROR(__xludf.DUMMYFUNCTION("""COMPUTED_VALUE"""),85)</f>
        <v>85</v>
      </c>
      <c r="BM585" s="27">
        <f ca="1">IFERROR(__xludf.DUMMYFUNCTION("""COMPUTED_VALUE"""),704)</f>
        <v>704</v>
      </c>
      <c r="BN585" s="27"/>
      <c r="BO585" s="27" t="str">
        <f ca="1">IFERROR(__xludf.DUMMYFUNCTION("""COMPUTED_VALUE"""),"50740-290")</f>
        <v>50740-290</v>
      </c>
      <c r="BP585" s="27" t="str">
        <f ca="1">IFERROR(__xludf.DUMMYFUNCTION("""COMPUTED_VALUE"""),"PE")</f>
        <v>PE</v>
      </c>
      <c r="BQ585" s="27" t="str">
        <f ca="1">IFERROR(__xludf.DUMMYFUNCTION("""COMPUTED_VALUE"""),"De 3 até 5 salários mínimos")</f>
        <v>De 3 até 5 salários mínimos</v>
      </c>
      <c r="BR585" s="27" t="str">
        <f ca="1">IFERROR(__xludf.DUMMYFUNCTION("""COMPUTED_VALUE"""),"MEI")</f>
        <v>MEI</v>
      </c>
      <c r="BS585" s="27" t="str">
        <f ca="1">IFERROR(__xludf.DUMMYFUNCTION("""COMPUTED_VALUE"""),"Aluguel")</f>
        <v>Aluguel</v>
      </c>
      <c r="BT585" s="27">
        <f ca="1">IFERROR(__xludf.DUMMYFUNCTION("""COMPUTED_VALUE"""),2)</f>
        <v>2</v>
      </c>
      <c r="BU585" s="27" t="str">
        <f ca="1">IFERROR(__xludf.DUMMYFUNCTION("""COMPUTED_VALUE"""),"Não tem")</f>
        <v>Não tem</v>
      </c>
      <c r="BV585" s="27" t="str">
        <f ca="1">IFERROR(__xludf.DUMMYFUNCTION("""COMPUTED_VALUE"""),"Não")</f>
        <v>Não</v>
      </c>
      <c r="BW585" s="21" t="str">
        <f ca="1">IFERROR(__xludf.DUMMYFUNCTION("""COMPUTED_VALUE"""),"https://www.linkedin.com/in/priscila-dias-47560848/")</f>
        <v>https://www.linkedin.com/in/priscila-dias-47560848/</v>
      </c>
      <c r="BX585" s="21" t="str">
        <f ca="1">IFERROR(__xludf.DUMMYFUNCTION("""COMPUTED_VALUE"""),"https://instagram.com/oxepriu?utm_medium=copy_link")</f>
        <v>https://instagram.com/oxepriu?utm_medium=copy_link</v>
      </c>
      <c r="BY585" s="21" t="str">
        <f ca="1">IFERROR(__xludf.DUMMYFUNCTION("""COMPUTED_VALUE"""),"https://drive.google.com/open?id=1UJcE-m1s45fNOYMO2XmmNnYu24VyIOkE")</f>
        <v>https://drive.google.com/open?id=1UJcE-m1s45fNOYMO2XmmNnYu24VyIOkE</v>
      </c>
    </row>
    <row r="586" spans="1:77" ht="12.5" x14ac:dyDescent="0.25">
      <c r="A586" s="21" t="str">
        <f ca="1">IFERROR(__xludf.DUMMYFUNCTION("""COMPUTED_VALUE"""),"0014X00002VKCpGQAX")</f>
        <v>0014X00002VKCpGQAX</v>
      </c>
      <c r="B586" s="27"/>
      <c r="C586" s="27" t="str">
        <f ca="1">IFERROR(__xludf.DUMMYFUNCTION("""COMPUTED_VALUE"""),"Fellow")</f>
        <v>Fellow</v>
      </c>
      <c r="D586" s="27" t="str">
        <f ca="1">IFERROR(__xludf.DUMMYFUNCTION("""COMPUTED_VALUE"""),"Ativo")</f>
        <v>Ativo</v>
      </c>
      <c r="E586" s="27" t="str">
        <f ca="1">IFERROR(__xludf.DUMMYFUNCTION("""COMPUTED_VALUE"""),"Trazfavela Atividades de Intermediacao e Agenciamento de Servicos e Negocios em Geral LTDA")</f>
        <v>Trazfavela Atividades de Intermediacao e Agenciamento de Servicos e Negocios em Geral LTDA</v>
      </c>
      <c r="F586" s="27" t="str">
        <f ca="1">IFERROR(__xludf.DUMMYFUNCTION("""COMPUTED_VALUE"""),"Iago")</f>
        <v>Iago</v>
      </c>
      <c r="G586" s="27" t="str">
        <f ca="1">IFERROR(__xludf.DUMMYFUNCTION("""COMPUTED_VALUE"""),"TRAZFAVELA")</f>
        <v>TRAZFAVELA</v>
      </c>
      <c r="H586" s="27" t="str">
        <f ca="1">IFERROR(__xludf.DUMMYFUNCTION("""COMPUTED_VALUE"""),"34.877.616/0001-67")</f>
        <v>34.877.616/0001-67</v>
      </c>
      <c r="I586" s="27" t="str">
        <f ca="1">IFERROR(__xludf.DUMMYFUNCTION("""COMPUTED_VALUE"""),"Iago Silva dos Santos")</f>
        <v>Iago Silva dos Santos</v>
      </c>
      <c r="J586" s="27" t="str">
        <f ca="1">IFERROR(__xludf.DUMMYFUNCTION("""COMPUTED_VALUE"""),"contato@gmail.com")</f>
        <v>contato@gmail.com</v>
      </c>
      <c r="K586" s="27" t="str">
        <f ca="1">IFERROR(__xludf.DUMMYFUNCTION("""COMPUTED_VALUE"""),"(71) 99407-4309")</f>
        <v>(71) 99407-4309</v>
      </c>
      <c r="L586" s="27" t="str">
        <f ca="1">IFERROR(__xludf.DUMMYFUNCTION("""COMPUTED_VALUE"""),"BA")</f>
        <v>BA</v>
      </c>
      <c r="M586" s="27" t="str">
        <f ca="1">IFERROR(__xludf.DUMMYFUNCTION("""COMPUTED_VALUE"""),"Alameda Salvador")</f>
        <v>Alameda Salvador</v>
      </c>
      <c r="N586" s="27" t="str">
        <f ca="1">IFERROR(__xludf.DUMMYFUNCTION("""COMPUTED_VALUE"""),"Caminho das Árvores")</f>
        <v>Caminho das Árvores</v>
      </c>
      <c r="O586" s="27">
        <f ca="1">IFERROR(__xludf.DUMMYFUNCTION("""COMPUTED_VALUE"""),1057)</f>
        <v>1057</v>
      </c>
      <c r="P586" s="27" t="str">
        <f ca="1">IFERROR(__xludf.DUMMYFUNCTION("""COMPUTED_VALUE"""),"Salvador")</f>
        <v>Salvador</v>
      </c>
      <c r="Q586" s="27" t="str">
        <f ca="1">IFERROR(__xludf.DUMMYFUNCTION("""COMPUTED_VALUE"""),"Salvador Shopping Business Torre America Sala 911 e 912")</f>
        <v>Salvador Shopping Business Torre America Sala 911 e 912</v>
      </c>
      <c r="R586" s="27" t="str">
        <f ca="1">IFERROR(__xludf.DUMMYFUNCTION("""COMPUTED_VALUE"""),"41820-790")</f>
        <v>41820-790</v>
      </c>
      <c r="S586" s="27"/>
      <c r="T586" s="27"/>
      <c r="U586" s="27"/>
      <c r="V586" s="27"/>
      <c r="W586" s="27">
        <f ca="1">IFERROR(__xludf.DUMMYFUNCTION("""COMPUTED_VALUE"""),15)</f>
        <v>15</v>
      </c>
      <c r="X586" s="27" t="str">
        <f ca="1">IFERROR(__xludf.DUMMYFUNCTION("""COMPUTED_VALUE"""),"Atuamos com comerciantes de areas periféricas* segue o nosso mapa da area de atuação https://www.google.com/maps/d/viewer?mid=197VuPKx6qDyWm4EAlvrd1_SRRO4Rps4W&amp;usp=sharing")</f>
        <v>Atuamos com comerciantes de areas periféricas* segue o nosso mapa da area de atuação https://www.google.com/maps/d/viewer?mid=197VuPKx6qDyWm4EAlvrd1_SRRO4Rps4W&amp;usp=sharing</v>
      </c>
      <c r="Y586" s="27"/>
      <c r="Z586" s="27">
        <f ca="1">IFERROR(__xludf.DUMMYFUNCTION("""COMPUTED_VALUE"""),3800)</f>
        <v>3800</v>
      </c>
      <c r="AA586" s="30">
        <f ca="1">IFERROR(__xludf.DUMMYFUNCTION("""COMPUTED_VALUE"""),43754)</f>
        <v>43754</v>
      </c>
      <c r="AB586" s="27" t="str">
        <f ca="1">IFERROR(__xludf.DUMMYFUNCTION("""COMPUTED_VALUE"""),"Não")</f>
        <v>Não</v>
      </c>
      <c r="AC586" s="27">
        <f ca="1">IFERROR(__xludf.DUMMYFUNCTION("""COMPUTED_VALUE"""),1)</f>
        <v>1</v>
      </c>
      <c r="AD586" s="27"/>
      <c r="AE586" s="27">
        <f ca="1">IFERROR(__xludf.DUMMYFUNCTION("""COMPUTED_VALUE"""),3)</f>
        <v>3</v>
      </c>
      <c r="AF586" s="27"/>
      <c r="AG586" s="27">
        <f ca="1">IFERROR(__xludf.DUMMYFUNCTION("""COMPUTED_VALUE"""),1)</f>
        <v>1</v>
      </c>
      <c r="AH586" s="27"/>
      <c r="AI586" s="27"/>
      <c r="AJ586" s="27"/>
      <c r="AK586" s="27"/>
      <c r="AL586" s="21" t="str">
        <f ca="1">IFERROR(__xludf.DUMMYFUNCTION("""COMPUTED_VALUE"""),"0034X0000380O4G")</f>
        <v>0034X0000380O4G</v>
      </c>
      <c r="AM586" s="27" t="str">
        <f ca="1">IFERROR(__xludf.DUMMYFUNCTION("""COMPUTED_VALUE"""),"Silva dos santos")</f>
        <v>Silva dos santos</v>
      </c>
      <c r="AN586" s="27" t="str">
        <f ca="1">IFERROR(__xludf.DUMMYFUNCTION("""COMPUTED_VALUE"""),"Ativo")</f>
        <v>Ativo</v>
      </c>
      <c r="AO586" s="29">
        <f ca="1">IFERROR(__xludf.DUMMYFUNCTION("""COMPUTED_VALUE"""),44763)</f>
        <v>44763</v>
      </c>
      <c r="AP586" s="27">
        <f ca="1">IFERROR(__xludf.DUMMYFUNCTION("""COMPUTED_VALUE"""),2)</f>
        <v>2</v>
      </c>
      <c r="AQ586" s="27" t="str">
        <f ca="1">IFERROR(__xludf.DUMMYFUNCTION("""COMPUTED_VALUE"""),"Primeiro Semestre 2022")</f>
        <v>Primeiro Semestre 2022</v>
      </c>
      <c r="AR586" s="27" t="str">
        <f ca="1">IFERROR(__xludf.DUMMYFUNCTION("""COMPUTED_VALUE"""),"iagossantos@gmail.com")</f>
        <v>iagossantos@gmail.com</v>
      </c>
      <c r="AS586" s="27">
        <f ca="1">IFERROR(__xludf.DUMMYFUNCTION("""COMPUTED_VALUE"""),71993484232)</f>
        <v>71993484232</v>
      </c>
      <c r="AT586" s="29">
        <f ca="1">IFERROR(__xludf.DUMMYFUNCTION("""COMPUTED_VALUE"""),34153)</f>
        <v>34153</v>
      </c>
      <c r="AU586" s="27">
        <f ca="1">IFERROR(__xludf.DUMMYFUNCTION("""COMPUTED_VALUE"""),29)</f>
        <v>29</v>
      </c>
      <c r="AV586" s="27">
        <f ca="1">IFERROR(__xludf.DUMMYFUNCTION("""COMPUTED_VALUE"""),3977729551)</f>
        <v>3977729551</v>
      </c>
      <c r="AW586" s="27">
        <f ca="1">IFERROR(__xludf.DUMMYFUNCTION("""COMPUTED_VALUE"""),1359135430)</f>
        <v>1359135430</v>
      </c>
      <c r="AX586" s="27"/>
      <c r="AY586" s="27"/>
      <c r="AZ586" s="27" t="str">
        <f ca="1">IFERROR(__xludf.DUMMYFUNCTION("""COMPUTED_VALUE"""),"G")</f>
        <v>G</v>
      </c>
      <c r="BA586" s="27" t="str">
        <f ca="1">IFERROR(__xludf.DUMMYFUNCTION("""COMPUTED_VALUE"""),"Preta")</f>
        <v>Preta</v>
      </c>
      <c r="BB586" s="27"/>
      <c r="BC586" s="27"/>
      <c r="BD586" s="27" t="str">
        <f ca="1">IFERROR(__xludf.DUMMYFUNCTION("""COMPUTED_VALUE"""),"Sou Iago Santos* um aprendedor e empreendedor* Designer Gráfico em constante aprendizado* Especialista em Inovação Digital pela Digital Innovation One. Mentor e consultor em comunicação e negócio* idealizador e CEO do TrazFavela (@trazfavela) e Coordenado"&amp;"r de Inovação da AJE Bahia (Associação de Jovens Empreendedores da Bahia)")</f>
        <v>Sou Iago Santos* um aprendedor e empreendedor* Designer Gráfico em constante aprendizado* Especialista em Inovação Digital pela Digital Innovation One. Mentor e consultor em comunicação e negócio* idealizador e CEO do TrazFavela (@trazfavela) e Coordenador de Inovação da AJE Bahia (Associação de Jovens Empreendedores da Bahia)</v>
      </c>
      <c r="BE586" s="27" t="str">
        <f ca="1">IFERROR(__xludf.DUMMYFUNCTION("""COMPUTED_VALUE"""),"Masculino")</f>
        <v>Masculino</v>
      </c>
      <c r="BF586" s="27" t="str">
        <f ca="1">IFERROR(__xludf.DUMMYFUNCTION("""COMPUTED_VALUE"""),"Heterossexual")</f>
        <v>Heterossexual</v>
      </c>
      <c r="BG586" s="27"/>
      <c r="BH586" s="27" t="str">
        <f ca="1">IFERROR(__xludf.DUMMYFUNCTION("""COMPUTED_VALUE"""),"Privado")</f>
        <v>Privado</v>
      </c>
      <c r="BI586" s="27" t="str">
        <f ca="1">IFERROR(__xludf.DUMMYFUNCTION("""COMPUTED_VALUE"""),"Graduação")</f>
        <v>Graduação</v>
      </c>
      <c r="BJ586" s="27" t="str">
        <f ca="1">IFERROR(__xludf.DUMMYFUNCTION("""COMPUTED_VALUE"""),"Privado")</f>
        <v>Privado</v>
      </c>
      <c r="BK586" s="27" t="str">
        <f ca="1">IFERROR(__xludf.DUMMYFUNCTION("""COMPUTED_VALUE"""),"Rua Frei Paulo")</f>
        <v>Rua Frei Paulo</v>
      </c>
      <c r="BL586" s="27">
        <f ca="1">IFERROR(__xludf.DUMMYFUNCTION("""COMPUTED_VALUE"""),28)</f>
        <v>28</v>
      </c>
      <c r="BM586" s="27">
        <f ca="1">IFERROR(__xludf.DUMMYFUNCTION("""COMPUTED_VALUE"""),1)</f>
        <v>1</v>
      </c>
      <c r="BN586" s="27"/>
      <c r="BO586" s="27">
        <f ca="1">IFERROR(__xludf.DUMMYFUNCTION("""COMPUTED_VALUE"""),40390380)</f>
        <v>40390380</v>
      </c>
      <c r="BP586" s="27" t="str">
        <f ca="1">IFERROR(__xludf.DUMMYFUNCTION("""COMPUTED_VALUE"""),"BA")</f>
        <v>BA</v>
      </c>
      <c r="BQ586" s="27" t="str">
        <f ca="1">IFERROR(__xludf.DUMMYFUNCTION("""COMPUTED_VALUE"""),"Entre 1 até 3 salários mínimos")</f>
        <v>Entre 1 até 3 salários mínimos</v>
      </c>
      <c r="BR586" s="27" t="str">
        <f ca="1">IFERROR(__xludf.DUMMYFUNCTION("""COMPUTED_VALUE"""),"CLT")</f>
        <v>CLT</v>
      </c>
      <c r="BS586" s="27" t="str">
        <f ca="1">IFERROR(__xludf.DUMMYFUNCTION("""COMPUTED_VALUE"""),"Casa própria")</f>
        <v>Casa própria</v>
      </c>
      <c r="BT586" s="27">
        <f ca="1">IFERROR(__xludf.DUMMYFUNCTION("""COMPUTED_VALUE"""),2)</f>
        <v>2</v>
      </c>
      <c r="BU586" s="27" t="str">
        <f ca="1">IFERROR(__xludf.DUMMYFUNCTION("""COMPUTED_VALUE"""),"Não tem")</f>
        <v>Não tem</v>
      </c>
      <c r="BV586" s="27" t="str">
        <f ca="1">IFERROR(__xludf.DUMMYFUNCTION("""COMPUTED_VALUE"""),"Não")</f>
        <v>Não</v>
      </c>
      <c r="BW586" s="21" t="str">
        <f ca="1">IFERROR(__xludf.DUMMYFUNCTION("""COMPUTED_VALUE"""),"https://www.linkedin.com/in/iagossantos2/")</f>
        <v>https://www.linkedin.com/in/iagossantos2/</v>
      </c>
      <c r="BX586" s="21" t="str">
        <f ca="1">IFERROR(__xludf.DUMMYFUNCTION("""COMPUTED_VALUE"""),"https://www.instagram.com/iagossantos1/")</f>
        <v>https://www.instagram.com/iagossantos1/</v>
      </c>
      <c r="BY586" s="21" t="str">
        <f ca="1">IFERROR(__xludf.DUMMYFUNCTION("""COMPUTED_VALUE"""),"https://drive.google.com/open?id=1wq3GbxKYwOPTUUmJwsRsBT-FzcAZqdBz")</f>
        <v>https://drive.google.com/open?id=1wq3GbxKYwOPTUUmJwsRsBT-FzcAZqdBz</v>
      </c>
    </row>
    <row r="587" spans="1:77" ht="12.5" x14ac:dyDescent="0.25">
      <c r="A587" s="21" t="str">
        <f ca="1">IFERROR(__xludf.DUMMYFUNCTION("""COMPUTED_VALUE"""),"0014X00002VKCumQAH")</f>
        <v>0014X00002VKCumQAH</v>
      </c>
      <c r="B587" s="27"/>
      <c r="C587" s="27" t="str">
        <f ca="1">IFERROR(__xludf.DUMMYFUNCTION("""COMPUTED_VALUE"""),"Fellow")</f>
        <v>Fellow</v>
      </c>
      <c r="D587" s="27" t="str">
        <f ca="1">IFERROR(__xludf.DUMMYFUNCTION("""COMPUTED_VALUE"""),"Ativo")</f>
        <v>Ativo</v>
      </c>
      <c r="E587" s="27" t="str">
        <f ca="1">IFERROR(__xludf.DUMMYFUNCTION("""COMPUTED_VALUE"""),"TUTTI ALLEGRO - COMPANHIA DE ARTE")</f>
        <v>TUTTI ALLEGRO - COMPANHIA DE ARTE</v>
      </c>
      <c r="F587" s="27" t="str">
        <f ca="1">IFERROR(__xludf.DUMMYFUNCTION("""COMPUTED_VALUE"""),"Janderson")</f>
        <v>Janderson</v>
      </c>
      <c r="G587" s="27" t="str">
        <f ca="1">IFERROR(__xludf.DUMMYFUNCTION("""COMPUTED_VALUE"""),"TUTTI ALLEGRO")</f>
        <v>TUTTI ALLEGRO</v>
      </c>
      <c r="H587" s="27" t="str">
        <f ca="1">IFERROR(__xludf.DUMMYFUNCTION("""COMPUTED_VALUE"""),"03.215.095/0001-59")</f>
        <v>03.215.095/0001-59</v>
      </c>
      <c r="I587" s="27" t="str">
        <f ca="1">IFERROR(__xludf.DUMMYFUNCTION("""COMPUTED_VALUE"""),"Margareth Machado de Andrade")</f>
        <v>Margareth Machado de Andrade</v>
      </c>
      <c r="J587" s="27"/>
      <c r="K587" s="27"/>
      <c r="L587" s="27" t="str">
        <f ca="1">IFERROR(__xludf.DUMMYFUNCTION("""COMPUTED_VALUE"""),"SP")</f>
        <v>SP</v>
      </c>
      <c r="M587" s="27" t="str">
        <f ca="1">IFERROR(__xludf.DUMMYFUNCTION("""COMPUTED_VALUE"""),"Rua: Soldado Jose Pires Barbosa filho")</f>
        <v>Rua: Soldado Jose Pires Barbosa filho</v>
      </c>
      <c r="N587" s="27" t="str">
        <f ca="1">IFERROR(__xludf.DUMMYFUNCTION("""COMPUTED_VALUE"""),"Vila Aliança")</f>
        <v>Vila Aliança</v>
      </c>
      <c r="O587" s="27">
        <f ca="1">IFERROR(__xludf.DUMMYFUNCTION("""COMPUTED_VALUE"""),362)</f>
        <v>362</v>
      </c>
      <c r="P587" s="27" t="str">
        <f ca="1">IFERROR(__xludf.DUMMYFUNCTION("""COMPUTED_VALUE"""),"Guarulhos")</f>
        <v>Guarulhos</v>
      </c>
      <c r="Q587" s="27"/>
      <c r="R587" s="27">
        <f ca="1">IFERROR(__xludf.DUMMYFUNCTION("""COMPUTED_VALUE"""),7263040)</f>
        <v>7263040</v>
      </c>
      <c r="S587" s="27"/>
      <c r="T587" s="27"/>
      <c r="U587" s="27"/>
      <c r="V587" s="27"/>
      <c r="W587" s="27">
        <f ca="1">IFERROR(__xludf.DUMMYFUNCTION("""COMPUTED_VALUE"""),1)</f>
        <v>1</v>
      </c>
      <c r="X587" s="27" t="str">
        <f ca="1">IFERROR(__xludf.DUMMYFUNCTION("""COMPUTED_VALUE"""),"Atendemos moradores da região dos Bairro dos Pimentas")</f>
        <v>Atendemos moradores da região dos Bairro dos Pimentas</v>
      </c>
      <c r="Y587" s="27"/>
      <c r="Z587" s="27">
        <f ca="1">IFERROR(__xludf.DUMMYFUNCTION("""COMPUTED_VALUE"""),100)</f>
        <v>100</v>
      </c>
      <c r="AA587" s="29">
        <f ca="1">IFERROR(__xludf.DUMMYFUNCTION("""COMPUTED_VALUE"""),36264)</f>
        <v>36264</v>
      </c>
      <c r="AB587" s="27" t="str">
        <f ca="1">IFERROR(__xludf.DUMMYFUNCTION("""COMPUTED_VALUE"""),"Sim")</f>
        <v>Sim</v>
      </c>
      <c r="AC587" s="27"/>
      <c r="AD587" s="27"/>
      <c r="AE587" s="27">
        <f ca="1">IFERROR(__xludf.DUMMYFUNCTION("""COMPUTED_VALUE"""),2)</f>
        <v>2</v>
      </c>
      <c r="AF587" s="27"/>
      <c r="AG587" s="27">
        <f ca="1">IFERROR(__xludf.DUMMYFUNCTION("""COMPUTED_VALUE"""),1)</f>
        <v>1</v>
      </c>
      <c r="AH587" s="27"/>
      <c r="AI587" s="27"/>
      <c r="AJ587" s="27" t="str">
        <f ca="1">IFERROR(__xludf.DUMMYFUNCTION("""COMPUTED_VALUE"""),"Sim")</f>
        <v>Sim</v>
      </c>
      <c r="AK587" s="27"/>
      <c r="AL587" s="21" t="str">
        <f ca="1">IFERROR(__xludf.DUMMYFUNCTION("""COMPUTED_VALUE"""),"0034X0000380O1A")</f>
        <v>0034X0000380O1A</v>
      </c>
      <c r="AM587" s="27" t="str">
        <f ca="1">IFERROR(__xludf.DUMMYFUNCTION("""COMPUTED_VALUE"""),"Araujo rocha")</f>
        <v>Araujo rocha</v>
      </c>
      <c r="AN587" s="27" t="str">
        <f ca="1">IFERROR(__xludf.DUMMYFUNCTION("""COMPUTED_VALUE"""),"Ativo")</f>
        <v>Ativo</v>
      </c>
      <c r="AO587" s="29">
        <f ca="1">IFERROR(__xludf.DUMMYFUNCTION("""COMPUTED_VALUE"""),44763)</f>
        <v>44763</v>
      </c>
      <c r="AP587" s="27">
        <f ca="1">IFERROR(__xludf.DUMMYFUNCTION("""COMPUTED_VALUE"""),2)</f>
        <v>2</v>
      </c>
      <c r="AQ587" s="27" t="str">
        <f ca="1">IFERROR(__xludf.DUMMYFUNCTION("""COMPUTED_VALUE"""),"Primeiro Semestre 2022")</f>
        <v>Primeiro Semestre 2022</v>
      </c>
      <c r="AR587" s="27" t="str">
        <f ca="1">IFERROR(__xludf.DUMMYFUNCTION("""COMPUTED_VALUE"""),"jandersson_rocha@hotmail.com")</f>
        <v>jandersson_rocha@hotmail.com</v>
      </c>
      <c r="AS587" s="27">
        <f ca="1">IFERROR(__xludf.DUMMYFUNCTION("""COMPUTED_VALUE"""),11965952085)</f>
        <v>11965952085</v>
      </c>
      <c r="AT587" s="29">
        <f ca="1">IFERROR(__xludf.DUMMYFUNCTION("""COMPUTED_VALUE"""),33980)</f>
        <v>33980</v>
      </c>
      <c r="AU587" s="27">
        <f ca="1">IFERROR(__xludf.DUMMYFUNCTION("""COMPUTED_VALUE"""),29)</f>
        <v>29</v>
      </c>
      <c r="AV587" s="27">
        <f ca="1">IFERROR(__xludf.DUMMYFUNCTION("""COMPUTED_VALUE"""),37091701844)</f>
        <v>37091701844</v>
      </c>
      <c r="AW587" s="27" t="str">
        <f ca="1">IFERROR(__xludf.DUMMYFUNCTION("""COMPUTED_VALUE"""),"43.040.316-1")</f>
        <v>43.040.316-1</v>
      </c>
      <c r="AX587" s="27"/>
      <c r="AY587" s="27"/>
      <c r="AZ587" s="27" t="str">
        <f ca="1">IFERROR(__xludf.DUMMYFUNCTION("""COMPUTED_VALUE"""),"GG")</f>
        <v>GG</v>
      </c>
      <c r="BA587" s="27" t="str">
        <f ca="1">IFERROR(__xludf.DUMMYFUNCTION("""COMPUTED_VALUE"""),"Preta")</f>
        <v>Preta</v>
      </c>
      <c r="BB587" s="27"/>
      <c r="BC587" s="27"/>
      <c r="BD587" s="27" t="str">
        <f ca="1">IFERROR(__xludf.DUMMYFUNCTION("""COMPUTED_VALUE"""),"Aos 14 anos* morador do município de Guarulhos* ingressou na área da música
desenvolveu intensamente o aprendizado no instrumento de saxofone* onde teve
aulas com Jotagê Alves* Nailor Azevedo (Proveta)* Douglas Braga. Tocou ao lado de
grandes nomes da mús"&amp;"ica popular Brasileira na Escola do Auditório: Edson José Alves*
José Roberto Branca* Jair Rodrigues* Fabiana Cossa* Renato Brás* Laércio de Freitas*
Elsa Soares* Mônica Salmaso* gravou o samba book do Zeca Pagodinho* entres outros.
Fez parte da criação d"&amp;"o quarteto saxofonando* participou do concurso PRÉ ESTRÉIA
2012 veiculado pela TV cultural* ficando em 2° colocado na categoria música de
câmara. * fez parte dos projetos Orquestra pimentinhas* bem como da Orquestra
Brasileira do Auditório Ibirapuera. Aca"&amp;"dêmico de Direito* e Gestão de projetos
culturais. Atualmente presta serviços para uma ONG na parte jurídica de leis de
incentivos* está a frente da coordenação administrativa do projeto Orquestra
Pimentinhas* Atua com planejamento e execução dos programa"&amp;"s de interação social.
Realiza o planejamento e execução do projeto* de acordo com o plano de ação e o
cronograma. Operacionalizando eventos* bem como inscrições em lei de fomento a
cultura e editais")</f>
        <v>Aos 14 anos* morador do município de Guarulhos* ingressou na área da música
desenvolveu intensamente o aprendizado no instrumento de saxofone* onde teve
aulas com Jotagê Alves* Nailor Azevedo (Proveta)* Douglas Braga. Tocou ao lado de
grandes nomes da música popular Brasileira na Escola do Auditório: Edson José Alves*
José Roberto Branca* Jair Rodrigues* Fabiana Cossa* Renato Brás* Laércio de Freitas*
Elsa Soares* Mônica Salmaso* gravou o samba book do Zeca Pagodinho* entres outros.
Fez parte da criação do quarteto saxofonando* participou do concurso PRÉ ESTRÉIA
2012 veiculado pela TV cultural* ficando em 2° colocado na categoria música de
câmara. * fez parte dos projetos Orquestra pimentinhas* bem como da Orquestra
Brasileira do Auditório Ibirapuera. Acadêmico de Direito* e Gestão de projetos
culturais. Atualmente presta serviços para uma ONG na parte jurídica de leis de
incentivos* está a frente da coordenação administrativa do projeto Orquestra
Pimentinhas* Atua com planejamento e execução dos programas de interação social.
Realiza o planejamento e execução do projeto* de acordo com o plano de ação e o
cronograma. Operacionalizando eventos* bem como inscrições em lei de fomento a
cultura e editais</v>
      </c>
      <c r="BE587" s="27" t="str">
        <f ca="1">IFERROR(__xludf.DUMMYFUNCTION("""COMPUTED_VALUE"""),"Masculino")</f>
        <v>Masculino</v>
      </c>
      <c r="BF587" s="27" t="str">
        <f ca="1">IFERROR(__xludf.DUMMYFUNCTION("""COMPUTED_VALUE"""),"Heterossexual")</f>
        <v>Heterossexual</v>
      </c>
      <c r="BG587" s="27"/>
      <c r="BH587" s="27" t="str">
        <f ca="1">IFERROR(__xludf.DUMMYFUNCTION("""COMPUTED_VALUE"""),"Público")</f>
        <v>Público</v>
      </c>
      <c r="BI587" s="27" t="str">
        <f ca="1">IFERROR(__xludf.DUMMYFUNCTION("""COMPUTED_VALUE"""),"Graduação")</f>
        <v>Graduação</v>
      </c>
      <c r="BJ587" s="27" t="str">
        <f ca="1">IFERROR(__xludf.DUMMYFUNCTION("""COMPUTED_VALUE"""),"Privado")</f>
        <v>Privado</v>
      </c>
      <c r="BK587" s="27" t="str">
        <f ca="1">IFERROR(__xludf.DUMMYFUNCTION("""COMPUTED_VALUE"""),"Rua Feliz Deserto")</f>
        <v>Rua Feliz Deserto</v>
      </c>
      <c r="BL587" s="27">
        <f ca="1">IFERROR(__xludf.DUMMYFUNCTION("""COMPUTED_VALUE"""),47)</f>
        <v>47</v>
      </c>
      <c r="BM587" s="27"/>
      <c r="BN587" s="27"/>
      <c r="BO587" s="27">
        <f ca="1">IFERROR(__xludf.DUMMYFUNCTION("""COMPUTED_VALUE"""),7262090)</f>
        <v>7262090</v>
      </c>
      <c r="BP587" s="27" t="str">
        <f ca="1">IFERROR(__xludf.DUMMYFUNCTION("""COMPUTED_VALUE"""),"SP")</f>
        <v>SP</v>
      </c>
      <c r="BQ587" s="27" t="str">
        <f ca="1">IFERROR(__xludf.DUMMYFUNCTION("""COMPUTED_VALUE"""),"Entre 1 até 3 salários mínimos")</f>
        <v>Entre 1 até 3 salários mínimos</v>
      </c>
      <c r="BR587" s="27" t="str">
        <f ca="1">IFERROR(__xludf.DUMMYFUNCTION("""COMPUTED_VALUE"""),"CLT")</f>
        <v>CLT</v>
      </c>
      <c r="BS587" s="27" t="str">
        <f ca="1">IFERROR(__xludf.DUMMYFUNCTION("""COMPUTED_VALUE"""),"Aluguel")</f>
        <v>Aluguel</v>
      </c>
      <c r="BT587" s="27">
        <f ca="1">IFERROR(__xludf.DUMMYFUNCTION("""COMPUTED_VALUE"""),2)</f>
        <v>2</v>
      </c>
      <c r="BU587" s="27" t="str">
        <f ca="1">IFERROR(__xludf.DUMMYFUNCTION("""COMPUTED_VALUE"""),"Não tem")</f>
        <v>Não tem</v>
      </c>
      <c r="BV587" s="27" t="str">
        <f ca="1">IFERROR(__xludf.DUMMYFUNCTION("""COMPUTED_VALUE"""),"Não")</f>
        <v>Não</v>
      </c>
      <c r="BW587" s="21" t="str">
        <f ca="1">IFERROR(__xludf.DUMMYFUNCTION("""COMPUTED_VALUE"""),"https://www.linkedin.com/in/janderson-rocha-682b37196")</f>
        <v>https://www.linkedin.com/in/janderson-rocha-682b37196</v>
      </c>
      <c r="BX587" s="21" t="str">
        <f ca="1">IFERROR(__xludf.DUMMYFUNCTION("""COMPUTED_VALUE"""),"https://instagram.com/jandersson_rocha?utm_medium=copy_link")</f>
        <v>https://instagram.com/jandersson_rocha?utm_medium=copy_link</v>
      </c>
      <c r="BY587" s="27"/>
    </row>
    <row r="588" spans="1:77" ht="12.5" x14ac:dyDescent="0.25">
      <c r="A588" s="21" t="str">
        <f ca="1">IFERROR(__xludf.DUMMYFUNCTION("""COMPUTED_VALUE"""),"0014P00003YSp8qQAD")</f>
        <v>0014P00003YSp8qQAD</v>
      </c>
      <c r="B588" s="27" t="str">
        <f ca="1">IFERROR(__xludf.DUMMYFUNCTION("""COMPUTED_VALUE"""),"Fase Inicial")</f>
        <v>Fase Inicial</v>
      </c>
      <c r="C588" s="27" t="str">
        <f ca="1">IFERROR(__xludf.DUMMYFUNCTION("""COMPUTED_VALUE"""),"Fellow")</f>
        <v>Fellow</v>
      </c>
      <c r="D588" s="27" t="str">
        <f ca="1">IFERROR(__xludf.DUMMYFUNCTION("""COMPUTED_VALUE"""),"Ativo")</f>
        <v>Ativo</v>
      </c>
      <c r="E588" s="27" t="str">
        <f ca="1">IFERROR(__xludf.DUMMYFUNCTION("""COMPUTED_VALUE"""),"União marcial Mauá")</f>
        <v>União marcial Mauá</v>
      </c>
      <c r="F588" s="27" t="str">
        <f ca="1">IFERROR(__xludf.DUMMYFUNCTION("""COMPUTED_VALUE"""),"Alisson")</f>
        <v>Alisson</v>
      </c>
      <c r="G588" s="27"/>
      <c r="H588" s="27" t="str">
        <f ca="1">IFERROR(__xludf.DUMMYFUNCTION("""COMPUTED_VALUE"""),"35.506.240/0001-47")</f>
        <v>35.506.240/0001-47</v>
      </c>
      <c r="I588" s="27" t="str">
        <f ca="1">IFERROR(__xludf.DUMMYFUNCTION("""COMPUTED_VALUE"""),"Alisson baptista de souza")</f>
        <v>Alisson baptista de souza</v>
      </c>
      <c r="J588" s="27" t="str">
        <f ca="1">IFERROR(__xludf.DUMMYFUNCTION("""COMPUTED_VALUE"""),"projetosocialuniaomarcialmaua@gmail.com")</f>
        <v>projetosocialuniaomarcialmaua@gmail.com</v>
      </c>
      <c r="K588" s="27" t="str">
        <f ca="1">IFERROR(__xludf.DUMMYFUNCTION("""COMPUTED_VALUE"""),"(11)94735-8144")</f>
        <v>(11)94735-8144</v>
      </c>
      <c r="L588" s="27" t="str">
        <f ca="1">IFERROR(__xludf.DUMMYFUNCTION("""COMPUTED_VALUE"""),"SP")</f>
        <v>SP</v>
      </c>
      <c r="M588" s="27" t="str">
        <f ca="1">IFERROR(__xludf.DUMMYFUNCTION("""COMPUTED_VALUE"""),"Rua Magnolias")</f>
        <v>Rua Magnolias</v>
      </c>
      <c r="N588" s="27" t="str">
        <f ca="1">IFERROR(__xludf.DUMMYFUNCTION("""COMPUTED_VALUE"""),"Jardim primavera")</f>
        <v>Jardim primavera</v>
      </c>
      <c r="O588" s="27">
        <f ca="1">IFERROR(__xludf.DUMMYFUNCTION("""COMPUTED_VALUE"""),882)</f>
        <v>882</v>
      </c>
      <c r="P588" s="27" t="str">
        <f ca="1">IFERROR(__xludf.DUMMYFUNCTION("""COMPUTED_VALUE"""),"Maua")</f>
        <v>Maua</v>
      </c>
      <c r="Q588" s="27" t="str">
        <f ca="1">IFERROR(__xludf.DUMMYFUNCTION("""COMPUTED_VALUE"""),"Frente")</f>
        <v>Frente</v>
      </c>
      <c r="R588" s="27" t="str">
        <f ca="1">IFERROR(__xludf.DUMMYFUNCTION("""COMPUTED_VALUE"""),"09361-110")</f>
        <v>09361-110</v>
      </c>
      <c r="S588" s="27"/>
      <c r="T588" s="27" t="str">
        <f ca="1">IFERROR(__xludf.DUMMYFUNCTION("""COMPUTED_VALUE"""),"Esporte; Educação; Empregabilidade; Cultura; Qualificação Profissional; Saúde; Assistência Psicológica")</f>
        <v>Esporte; Educação; Empregabilidade; Cultura; Qualificação Profissional; Saúde; Assistência Psicológica</v>
      </c>
      <c r="U588" s="27" t="str">
        <f ca="1">IFERROR(__xludf.DUMMYFUNCTION("""COMPUTED_VALUE"""),"Crianças (6 a 12 anos); Adolescentes (12 aos 18 anos); Jovens (18 aos 24 anos); Adultos")</f>
        <v>Crianças (6 a 12 anos); Adolescentes (12 aos 18 anos); Jovens (18 aos 24 anos); Adultos</v>
      </c>
      <c r="V588" s="27" t="str">
        <f ca="1">IFERROR(__xludf.DUMMYFUNCTION("""COMPUTED_VALUE"""),"Moradores de Favelas; População LGBTQ+; Dependentes Químicos; Outros")</f>
        <v>Moradores de Favelas; População LGBTQ+; Dependentes Químicos; Outros</v>
      </c>
      <c r="W588" s="27">
        <f ca="1">IFERROR(__xludf.DUMMYFUNCTION("""COMPUTED_VALUE"""),7)</f>
        <v>7</v>
      </c>
      <c r="X588" s="27"/>
      <c r="Y588" s="27"/>
      <c r="Z588" s="27">
        <f ca="1">IFERROR(__xludf.DUMMYFUNCTION("""COMPUTED_VALUE"""),500)</f>
        <v>500</v>
      </c>
      <c r="AA588" s="30">
        <f ca="1">IFERROR(__xludf.DUMMYFUNCTION("""COMPUTED_VALUE"""),43759)</f>
        <v>43759</v>
      </c>
      <c r="AB588" s="27" t="str">
        <f ca="1">IFERROR(__xludf.DUMMYFUNCTION("""COMPUTED_VALUE"""),"Sim")</f>
        <v>Sim</v>
      </c>
      <c r="AC588" s="27">
        <f ca="1">IFERROR(__xludf.DUMMYFUNCTION("""COMPUTED_VALUE"""),0)</f>
        <v>0</v>
      </c>
      <c r="AD588" s="27">
        <f ca="1">IFERROR(__xludf.DUMMYFUNCTION("""COMPUTED_VALUE"""),6)</f>
        <v>6</v>
      </c>
      <c r="AE588" s="27">
        <f ca="1">IFERROR(__xludf.DUMMYFUNCTION("""COMPUTED_VALUE"""),6)</f>
        <v>6</v>
      </c>
      <c r="AF588" s="27">
        <f ca="1">IFERROR(__xludf.DUMMYFUNCTION("""COMPUTED_VALUE"""),6)</f>
        <v>6</v>
      </c>
      <c r="AG588" s="27">
        <f ca="1">IFERROR(__xludf.DUMMYFUNCTION("""COMPUTED_VALUE"""),2)</f>
        <v>2</v>
      </c>
      <c r="AH588" s="27" t="str">
        <f ca="1">IFERROR(__xludf.DUMMYFUNCTION("""COMPUTED_VALUE"""),"Eventos/Ações para captação; Doações; Recursos próprios")</f>
        <v>Eventos/Ações para captação; Doações; Recursos próprios</v>
      </c>
      <c r="AI588" s="31">
        <f ca="1">IFERROR(__xludf.DUMMYFUNCTION("""COMPUTED_VALUE"""),0.25)</f>
        <v>0.25</v>
      </c>
      <c r="AJ588" s="27"/>
      <c r="AK588" s="27"/>
      <c r="AL588" s="21" t="str">
        <f ca="1">IFERROR(__xludf.DUMMYFUNCTION("""COMPUTED_VALUE"""),"0034P000045kxjS")</f>
        <v>0034P000045kxjS</v>
      </c>
      <c r="AM588" s="27" t="str">
        <f ca="1">IFERROR(__xludf.DUMMYFUNCTION("""COMPUTED_VALUE"""),"Baptista De Souza")</f>
        <v>Baptista De Souza</v>
      </c>
      <c r="AN588" s="27" t="str">
        <f ca="1">IFERROR(__xludf.DUMMYFUNCTION("""COMPUTED_VALUE"""),"Ativo")</f>
        <v>Ativo</v>
      </c>
      <c r="AO588" s="30">
        <f ca="1">IFERROR(__xludf.DUMMYFUNCTION("""COMPUTED_VALUE"""),44551)</f>
        <v>44551</v>
      </c>
      <c r="AP588" s="27">
        <f ca="1">IFERROR(__xludf.DUMMYFUNCTION("""COMPUTED_VALUE"""),9)</f>
        <v>9</v>
      </c>
      <c r="AQ588" s="27" t="str">
        <f ca="1">IFERROR(__xludf.DUMMYFUNCTION("""COMPUTED_VALUE"""),"Segundo Semestre 2021")</f>
        <v>Segundo Semestre 2021</v>
      </c>
      <c r="AR588" s="27" t="str">
        <f ca="1">IFERROR(__xludf.DUMMYFUNCTION("""COMPUTED_VALUE"""),"alisson.fp.4.13@hotmail.com")</f>
        <v>alisson.fp.4.13@hotmail.com</v>
      </c>
      <c r="AS588" s="27" t="str">
        <f ca="1">IFERROR(__xludf.DUMMYFUNCTION("""COMPUTED_VALUE"""),"(11)94735-8144")</f>
        <v>(11)94735-8144</v>
      </c>
      <c r="AT588" s="29">
        <f ca="1">IFERROR(__xludf.DUMMYFUNCTION("""COMPUTED_VALUE"""),34578)</f>
        <v>34578</v>
      </c>
      <c r="AU588" s="27">
        <f ca="1">IFERROR(__xludf.DUMMYFUNCTION("""COMPUTED_VALUE"""),28)</f>
        <v>28</v>
      </c>
      <c r="AV588" s="27">
        <f ca="1">IFERROR(__xludf.DUMMYFUNCTION("""COMPUTED_VALUE"""),41371436843)</f>
        <v>41371436843</v>
      </c>
      <c r="AW588" s="27">
        <f ca="1">IFERROR(__xludf.DUMMYFUNCTION("""COMPUTED_VALUE"""),428892061)</f>
        <v>428892061</v>
      </c>
      <c r="AX588" s="27"/>
      <c r="AY588" s="27"/>
      <c r="AZ588" s="27" t="str">
        <f ca="1">IFERROR(__xludf.DUMMYFUNCTION("""COMPUTED_VALUE"""),"M")</f>
        <v>M</v>
      </c>
      <c r="BA588" s="27" t="str">
        <f ca="1">IFERROR(__xludf.DUMMYFUNCTION("""COMPUTED_VALUE"""),"Branca")</f>
        <v>Branca</v>
      </c>
      <c r="BB588" s="27" t="str">
        <f ca="1">IFERROR(__xludf.DUMMYFUNCTION("""COMPUTED_VALUE"""),"Homem, cisgênero")</f>
        <v>Homem, cisgênero</v>
      </c>
      <c r="BC588" s="27" t="str">
        <f ca="1">IFERROR(__xludf.DUMMYFUNCTION("""COMPUTED_VALUE"""),"Sim")</f>
        <v>Sim</v>
      </c>
      <c r="BD588" s="27" t="str">
        <f ca="1">IFERROR(__xludf.DUMMYFUNCTION("""COMPUTED_VALUE"""),"Sou Atleta Profissional de MMA, Fundador do Instituto União Marcial Mauá, tenho 28 anos, casado, tenho 2 filhas.")</f>
        <v>Sou Atleta Profissional de MMA, Fundador do Instituto União Marcial Mauá, tenho 28 anos, casado, tenho 2 filhas.</v>
      </c>
      <c r="BE588" s="27"/>
      <c r="BF588" s="27" t="str">
        <f ca="1">IFERROR(__xludf.DUMMYFUNCTION("""COMPUTED_VALUE"""),"Heterossexual")</f>
        <v>Heterossexual</v>
      </c>
      <c r="BG588" s="27" t="str">
        <f ca="1">IFERROR(__xludf.DUMMYFUNCTION("""COMPUTED_VALUE"""),"Ensino Médio - Completo")</f>
        <v>Ensino Médio - Completo</v>
      </c>
      <c r="BH588" s="27" t="str">
        <f ca="1">IFERROR(__xludf.DUMMYFUNCTION("""COMPUTED_VALUE"""),"Pública")</f>
        <v>Pública</v>
      </c>
      <c r="BI588" s="27"/>
      <c r="BJ588" s="27"/>
      <c r="BK588" s="27" t="str">
        <f ca="1">IFERROR(__xludf.DUMMYFUNCTION("""COMPUTED_VALUE"""),"Av do manacá")</f>
        <v>Av do manacá</v>
      </c>
      <c r="BL588" s="27">
        <f ca="1">IFERROR(__xludf.DUMMYFUNCTION("""COMPUTED_VALUE"""),882)</f>
        <v>882</v>
      </c>
      <c r="BM588" s="27" t="str">
        <f ca="1">IFERROR(__xludf.DUMMYFUNCTION("""COMPUTED_VALUE"""),"Frente")</f>
        <v>Frente</v>
      </c>
      <c r="BN588" s="27" t="str">
        <f ca="1">IFERROR(__xludf.DUMMYFUNCTION("""COMPUTED_VALUE"""),"Maua")</f>
        <v>Maua</v>
      </c>
      <c r="BO588" s="27" t="str">
        <f ca="1">IFERROR(__xludf.DUMMYFUNCTION("""COMPUTED_VALUE"""),"09361-110")</f>
        <v>09361-110</v>
      </c>
      <c r="BP588" s="27" t="str">
        <f ca="1">IFERROR(__xludf.DUMMYFUNCTION("""COMPUTED_VALUE"""),"SP")</f>
        <v>SP</v>
      </c>
      <c r="BQ588" s="27" t="str">
        <f ca="1">IFERROR(__xludf.DUMMYFUNCTION("""COMPUTED_VALUE"""),"Entre 1 até 3 salários mínimos")</f>
        <v>Entre 1 até 3 salários mínimos</v>
      </c>
      <c r="BR588" s="27" t="str">
        <f ca="1">IFERROR(__xludf.DUMMYFUNCTION("""COMPUTED_VALUE"""),"Desempregado")</f>
        <v>Desempregado</v>
      </c>
      <c r="BS588" s="27" t="str">
        <f ca="1">IFERROR(__xludf.DUMMYFUNCTION("""COMPUTED_VALUE"""),"Casa própria")</f>
        <v>Casa própria</v>
      </c>
      <c r="BT588" s="27">
        <f ca="1">IFERROR(__xludf.DUMMYFUNCTION("""COMPUTED_VALUE"""),2)</f>
        <v>2</v>
      </c>
      <c r="BU588" s="27" t="str">
        <f ca="1">IFERROR(__xludf.DUMMYFUNCTION("""COMPUTED_VALUE"""),"Não tem")</f>
        <v>Não tem</v>
      </c>
      <c r="BV588" s="27" t="str">
        <f ca="1">IFERROR(__xludf.DUMMYFUNCTION("""COMPUTED_VALUE"""),"Abacaxi, carambola e carne suina")</f>
        <v>Abacaxi, carambola e carne suina</v>
      </c>
      <c r="BW588" s="27"/>
      <c r="BX588" s="27" t="str">
        <f ca="1">IFERROR(__xludf.DUMMYFUNCTION("""COMPUTED_VALUE"""),"@thesilencemma")</f>
        <v>@thesilencemma</v>
      </c>
      <c r="BY588" s="21" t="str">
        <f ca="1">IFERROR(__xludf.DUMMYFUNCTION("""COMPUTED_VALUE"""),"https://drive.google.com/open?id=1Q0RvFzw0SyAaJcMQ1sO3EByH4MOcnRWl")</f>
        <v>https://drive.google.com/open?id=1Q0RvFzw0SyAaJcMQ1sO3EByH4MOcnRWl</v>
      </c>
    </row>
    <row r="589" spans="1:77" ht="12.5" x14ac:dyDescent="0.25">
      <c r="A589" s="21" t="str">
        <f ca="1">IFERROR(__xludf.DUMMYFUNCTION("""COMPUTED_VALUE"""),"0014X00002VKCqRQAX")</f>
        <v>0014X00002VKCqRQAX</v>
      </c>
      <c r="B589" s="27" t="str">
        <f ca="1">IFERROR(__xludf.DUMMYFUNCTION("""COMPUTED_VALUE"""),"Fase Inicial")</f>
        <v>Fase Inicial</v>
      </c>
      <c r="C589" s="27" t="str">
        <f ca="1">IFERROR(__xludf.DUMMYFUNCTION("""COMPUTED_VALUE"""),"Fellow")</f>
        <v>Fellow</v>
      </c>
      <c r="D589" s="27" t="str">
        <f ca="1">IFERROR(__xludf.DUMMYFUNCTION("""COMPUTED_VALUE"""),"Ativo")</f>
        <v>Ativo</v>
      </c>
      <c r="E589" s="27" t="str">
        <f ca="1">IFERROR(__xludf.DUMMYFUNCTION("""COMPUTED_VALUE"""),"UNIÃO POPULAR PELA VIDA")</f>
        <v>UNIÃO POPULAR PELA VIDA</v>
      </c>
      <c r="F589" s="27" t="str">
        <f ca="1">IFERROR(__xludf.DUMMYFUNCTION("""COMPUTED_VALUE"""),"RAIMUNDO")</f>
        <v>RAIMUNDO</v>
      </c>
      <c r="G589" s="27" t="str">
        <f ca="1">IFERROR(__xludf.DUMMYFUNCTION("""COMPUTED_VALUE"""),"UPPV")</f>
        <v>UPPV</v>
      </c>
      <c r="H589" s="27" t="str">
        <f ca="1">IFERROR(__xludf.DUMMYFUNCTION("""COMPUTED_VALUE"""),"12.462.859/0001-00")</f>
        <v>12.462.859/0001-00</v>
      </c>
      <c r="I589" s="27" t="str">
        <f ca="1">IFERROR(__xludf.DUMMYFUNCTION("""COMPUTED_VALUE"""),"SOCORRO ZACARIAS DOS SANTOS")</f>
        <v>SOCORRO ZACARIAS DOS SANTOS</v>
      </c>
      <c r="J589" s="27" t="str">
        <f ca="1">IFERROR(__xludf.DUMMYFUNCTION("""COMPUTED_VALUE"""),"uppvmv@gmail.com")</f>
        <v>uppvmv@gmail.com</v>
      </c>
      <c r="K589" s="27" t="str">
        <f ca="1">IFERROR(__xludf.DUMMYFUNCTION("""COMPUTED_VALUE"""),"(88)99982-3178")</f>
        <v>(88)99982-3178</v>
      </c>
      <c r="L589" s="27" t="str">
        <f ca="1">IFERROR(__xludf.DUMMYFUNCTION("""COMPUTED_VALUE"""),"CE")</f>
        <v>CE</v>
      </c>
      <c r="M589" s="27" t="str">
        <f ca="1">IFERROR(__xludf.DUMMYFUNCTION("""COMPUTED_VALUE"""),"AVENIDA JOSÉ SOBREIRA DA CRUZ")</f>
        <v>AVENIDA JOSÉ SOBREIRA DA CRUZ</v>
      </c>
      <c r="N589" s="27" t="str">
        <f ca="1">IFERROR(__xludf.DUMMYFUNCTION("""COMPUTED_VALUE"""),"MATERNIDADE")</f>
        <v>MATERNIDADE</v>
      </c>
      <c r="O589" s="27">
        <f ca="1">IFERROR(__xludf.DUMMYFUNCTION("""COMPUTED_VALUE"""),1181)</f>
        <v>1181</v>
      </c>
      <c r="P589" s="27" t="str">
        <f ca="1">IFERROR(__xludf.DUMMYFUNCTION("""COMPUTED_VALUE"""),"MISSÃO VELHA")</f>
        <v>MISSÃO VELHA</v>
      </c>
      <c r="Q589" s="27" t="str">
        <f ca="1">IFERROR(__xludf.DUMMYFUNCTION("""COMPUTED_VALUE"""),"PROJETO UPPV")</f>
        <v>PROJETO UPPV</v>
      </c>
      <c r="R589" s="27" t="str">
        <f ca="1">IFERROR(__xludf.DUMMYFUNCTION("""COMPUTED_VALUE"""),"63200-000")</f>
        <v>63200-000</v>
      </c>
      <c r="S589" s="27" t="str">
        <f ca="1">IFERROR(__xludf.DUMMYFUNCTION("""COMPUTED_VALUE"""),"Escola do Bairro ( quadra de esportes)")</f>
        <v>Escola do Bairro ( quadra de esportes)</v>
      </c>
      <c r="T589" s="27"/>
      <c r="U589" s="27" t="str">
        <f ca="1">IFERROR(__xludf.DUMMYFUNCTION("""COMPUTED_VALUE"""),"Crianças pequenas (4 anos a 5 anos e 11 meses), Crianças (6 a 12 anos), Adolescentes (12 aos 18 anos), Adultos")</f>
        <v>Crianças pequenas (4 anos a 5 anos e 11 meses), Crianças (6 a 12 anos), Adolescentes (12 aos 18 anos), Adultos</v>
      </c>
      <c r="V589" s="27" t="str">
        <f ca="1">IFERROR(__xludf.DUMMYFUNCTION("""COMPUTED_VALUE"""),"Moradores de Favelas, Afrodescendentes, Comunidade rural, Outros")</f>
        <v>Moradores de Favelas, Afrodescendentes, Comunidade rural, Outros</v>
      </c>
      <c r="W589" s="27">
        <f ca="1">IFERROR(__xludf.DUMMYFUNCTION("""COMPUTED_VALUE"""),3)</f>
        <v>3</v>
      </c>
      <c r="X589" s="27"/>
      <c r="Y589" s="27"/>
      <c r="Z589" s="27">
        <f ca="1">IFERROR(__xludf.DUMMYFUNCTION("""COMPUTED_VALUE"""),200)</f>
        <v>200</v>
      </c>
      <c r="AA589" s="29">
        <f ca="1">IFERROR(__xludf.DUMMYFUNCTION("""COMPUTED_VALUE"""),32225)</f>
        <v>32225</v>
      </c>
      <c r="AB589" s="27" t="str">
        <f ca="1">IFERROR(__xludf.DUMMYFUNCTION("""COMPUTED_VALUE"""),"Sim")</f>
        <v>Sim</v>
      </c>
      <c r="AC589" s="27">
        <f ca="1">IFERROR(__xludf.DUMMYFUNCTION("""COMPUTED_VALUE"""),0)</f>
        <v>0</v>
      </c>
      <c r="AD589" s="27">
        <f ca="1">IFERROR(__xludf.DUMMYFUNCTION("""COMPUTED_VALUE"""),1)</f>
        <v>1</v>
      </c>
      <c r="AE589" s="27">
        <f ca="1">IFERROR(__xludf.DUMMYFUNCTION("""COMPUTED_VALUE"""),12)</f>
        <v>12</v>
      </c>
      <c r="AF589" s="27">
        <f ca="1">IFERROR(__xludf.DUMMYFUNCTION("""COMPUTED_VALUE"""),12)</f>
        <v>12</v>
      </c>
      <c r="AG589" s="27">
        <f ca="1">IFERROR(__xludf.DUMMYFUNCTION("""COMPUTED_VALUE"""),2)</f>
        <v>2</v>
      </c>
      <c r="AH589" s="27" t="str">
        <f ca="1">IFERROR(__xludf.DUMMYFUNCTION("""COMPUTED_VALUE"""),"Editais, Doações")</f>
        <v>Editais, Doações</v>
      </c>
      <c r="AI589" s="27">
        <f ca="1">IFERROR(__xludf.DUMMYFUNCTION("""COMPUTED_VALUE"""),50)</f>
        <v>50</v>
      </c>
      <c r="AJ589" s="27" t="str">
        <f ca="1">IFERROR(__xludf.DUMMYFUNCTION("""COMPUTED_VALUE"""),"Não")</f>
        <v>Não</v>
      </c>
      <c r="AK589" s="27"/>
      <c r="AL589" s="21" t="str">
        <f ca="1">IFERROR(__xludf.DUMMYFUNCTION("""COMPUTED_VALUE"""),"0034X0000380O6G")</f>
        <v>0034X0000380O6G</v>
      </c>
      <c r="AM589" s="27" t="str">
        <f ca="1">IFERROR(__xludf.DUMMYFUNCTION("""COMPUTED_VALUE"""),"Inaldo alves araújo")</f>
        <v>Inaldo alves araújo</v>
      </c>
      <c r="AN589" s="27" t="str">
        <f ca="1">IFERROR(__xludf.DUMMYFUNCTION("""COMPUTED_VALUE"""),"Ativo")</f>
        <v>Ativo</v>
      </c>
      <c r="AO589" s="29">
        <f ca="1">IFERROR(__xludf.DUMMYFUNCTION("""COMPUTED_VALUE"""),44763)</f>
        <v>44763</v>
      </c>
      <c r="AP589" s="27">
        <f ca="1">IFERROR(__xludf.DUMMYFUNCTION("""COMPUTED_VALUE"""),2)</f>
        <v>2</v>
      </c>
      <c r="AQ589" s="27" t="str">
        <f ca="1">IFERROR(__xludf.DUMMYFUNCTION("""COMPUTED_VALUE"""),"Primeiro Semestre 2022")</f>
        <v>Primeiro Semestre 2022</v>
      </c>
      <c r="AR589" s="27" t="str">
        <f ca="1">IFERROR(__xludf.DUMMYFUNCTION("""COMPUTED_VALUE"""),"inaldoaraujomv@gmail.com")</f>
        <v>inaldoaraujomv@gmail.com</v>
      </c>
      <c r="AS589" s="27" t="str">
        <f ca="1">IFERROR(__xludf.DUMMYFUNCTION("""COMPUTED_VALUE"""),"(88)99982-3178")</f>
        <v>(88)99982-3178</v>
      </c>
      <c r="AT589" s="29">
        <f ca="1">IFERROR(__xludf.DUMMYFUNCTION("""COMPUTED_VALUE"""),29079)</f>
        <v>29079</v>
      </c>
      <c r="AU589" s="27">
        <f ca="1">IFERROR(__xludf.DUMMYFUNCTION("""COMPUTED_VALUE"""),43)</f>
        <v>43</v>
      </c>
      <c r="AV589" s="27">
        <f ca="1">IFERROR(__xludf.DUMMYFUNCTION("""COMPUTED_VALUE"""),81545371334)</f>
        <v>81545371334</v>
      </c>
      <c r="AW589" s="27">
        <f ca="1">IFERROR(__xludf.DUMMYFUNCTION("""COMPUTED_VALUE"""),97029078760)</f>
        <v>97029078760</v>
      </c>
      <c r="AX589" s="27"/>
      <c r="AY589" s="27" t="str">
        <f ca="1">IFERROR(__xludf.DUMMYFUNCTION("""COMPUTED_VALUE"""),"Gestor Social")</f>
        <v>Gestor Social</v>
      </c>
      <c r="AZ589" s="27" t="str">
        <f ca="1">IFERROR(__xludf.DUMMYFUNCTION("""COMPUTED_VALUE"""),"G1")</f>
        <v>G1</v>
      </c>
      <c r="BA589" s="27" t="str">
        <f ca="1">IFERROR(__xludf.DUMMYFUNCTION("""COMPUTED_VALUE"""),"Parda")</f>
        <v>Parda</v>
      </c>
      <c r="BB589" s="27"/>
      <c r="BC589" s="27"/>
      <c r="BD589" s="27" t="str">
        <f ca="1">IFERROR(__xludf.DUMMYFUNCTION("""COMPUTED_VALUE"""),"Inaldo Araújo moro em Missão Velha, interior do Estado do Ceará, Região do Cariri. Sou formado em História, Atuo numa OSC chamada União Popular Pela Vida há 20 anos, atualmente estou na Gestão Social.")</f>
        <v>Inaldo Araújo moro em Missão Velha, interior do Estado do Ceará, Região do Cariri. Sou formado em História, Atuo numa OSC chamada União Popular Pela Vida há 20 anos, atualmente estou na Gestão Social.</v>
      </c>
      <c r="BE589" s="27" t="str">
        <f ca="1">IFERROR(__xludf.DUMMYFUNCTION("""COMPUTED_VALUE"""),"Homem, cisgênero")</f>
        <v>Homem, cisgênero</v>
      </c>
      <c r="BF589" s="27" t="str">
        <f ca="1">IFERROR(__xludf.DUMMYFUNCTION("""COMPUTED_VALUE"""),"Homossexual")</f>
        <v>Homossexual</v>
      </c>
      <c r="BG589" s="27" t="str">
        <f ca="1">IFERROR(__xludf.DUMMYFUNCTION("""COMPUTED_VALUE"""),"Ensino Superior - Completo")</f>
        <v>Ensino Superior - Completo</v>
      </c>
      <c r="BH589" s="27" t="str">
        <f ca="1">IFERROR(__xludf.DUMMYFUNCTION("""COMPUTED_VALUE"""),"Público")</f>
        <v>Público</v>
      </c>
      <c r="BI589" s="27" t="str">
        <f ca="1">IFERROR(__xludf.DUMMYFUNCTION("""COMPUTED_VALUE"""),"Graduação")</f>
        <v>Graduação</v>
      </c>
      <c r="BJ589" s="27" t="str">
        <f ca="1">IFERROR(__xludf.DUMMYFUNCTION("""COMPUTED_VALUE"""),"Público")</f>
        <v>Público</v>
      </c>
      <c r="BK589" s="27" t="str">
        <f ca="1">IFERROR(__xludf.DUMMYFUNCTION("""COMPUTED_VALUE"""),"AVENIDA JOSÉ SOBREIRA DA CRUZ")</f>
        <v>AVENIDA JOSÉ SOBREIRA DA CRUZ</v>
      </c>
      <c r="BL589" s="27">
        <f ca="1">IFERROR(__xludf.DUMMYFUNCTION("""COMPUTED_VALUE"""),252)</f>
        <v>252</v>
      </c>
      <c r="BM589" s="27"/>
      <c r="BN589" s="27" t="str">
        <f ca="1">IFERROR(__xludf.DUMMYFUNCTION("""COMPUTED_VALUE"""),"MISSÃO VELHA")</f>
        <v>MISSÃO VELHA</v>
      </c>
      <c r="BO589" s="27" t="str">
        <f ca="1">IFERROR(__xludf.DUMMYFUNCTION("""COMPUTED_VALUE"""),"63200-000")</f>
        <v>63200-000</v>
      </c>
      <c r="BP589" s="27" t="str">
        <f ca="1">IFERROR(__xludf.DUMMYFUNCTION("""COMPUTED_VALUE"""),"CE")</f>
        <v>CE</v>
      </c>
      <c r="BQ589" s="27" t="str">
        <f ca="1">IFERROR(__xludf.DUMMYFUNCTION("""COMPUTED_VALUE"""),"Entre 1 até 3 salários mínimos")</f>
        <v>Entre 1 até 3 salários mínimos</v>
      </c>
      <c r="BR589" s="27" t="str">
        <f ca="1">IFERROR(__xludf.DUMMYFUNCTION("""COMPUTED_VALUE"""),"CLT")</f>
        <v>CLT</v>
      </c>
      <c r="BS589" s="27" t="str">
        <f ca="1">IFERROR(__xludf.DUMMYFUNCTION("""COMPUTED_VALUE"""),"Aluguel")</f>
        <v>Aluguel</v>
      </c>
      <c r="BT589" s="27">
        <f ca="1">IFERROR(__xludf.DUMMYFUNCTION("""COMPUTED_VALUE"""),1)</f>
        <v>1</v>
      </c>
      <c r="BU589" s="27" t="str">
        <f ca="1">IFERROR(__xludf.DUMMYFUNCTION("""COMPUTED_VALUE"""),"Não tem")</f>
        <v>Não tem</v>
      </c>
      <c r="BV589" s="27" t="str">
        <f ca="1">IFERROR(__xludf.DUMMYFUNCTION("""COMPUTED_VALUE"""),"Não")</f>
        <v>Não</v>
      </c>
      <c r="BW589" s="27" t="str">
        <f ca="1">IFERROR(__xludf.DUMMYFUNCTION("""COMPUTED_VALUE"""),"Não Possui")</f>
        <v>Não Possui</v>
      </c>
      <c r="BX589" s="21" t="str">
        <f ca="1">IFERROR(__xludf.DUMMYFUNCTION("""COMPUTED_VALUE"""),"https://www.instagram.com/ojuara_ray/")</f>
        <v>https://www.instagram.com/ojuara_ray/</v>
      </c>
      <c r="BY589" s="21" t="str">
        <f ca="1">IFERROR(__xludf.DUMMYFUNCTION("""COMPUTED_VALUE"""),"https://drive.google.com/open?id=1t8zCL03Ok-o5KYpuE57w336L1-IheByt")</f>
        <v>https://drive.google.com/open?id=1t8zCL03Ok-o5KYpuE57w336L1-IheByt</v>
      </c>
    </row>
    <row r="590" spans="1:77" ht="12.5" x14ac:dyDescent="0.25">
      <c r="A590" s="21" t="str">
        <f ca="1">IFERROR(__xludf.DUMMYFUNCTION("""COMPUTED_VALUE"""),"0014X00002VKCvCQAX")</f>
        <v>0014X00002VKCvCQAX</v>
      </c>
      <c r="B590" s="27" t="str">
        <f ca="1">IFERROR(__xludf.DUMMYFUNCTION("""COMPUTED_VALUE"""),"Fase Inicial")</f>
        <v>Fase Inicial</v>
      </c>
      <c r="C590" s="27" t="str">
        <f ca="1">IFERROR(__xludf.DUMMYFUNCTION("""COMPUTED_VALUE"""),"Fellow")</f>
        <v>Fellow</v>
      </c>
      <c r="D590" s="27" t="str">
        <f ca="1">IFERROR(__xludf.DUMMYFUNCTION("""COMPUTED_VALUE"""),"Ativo")</f>
        <v>Ativo</v>
      </c>
      <c r="E590" s="27" t="str">
        <f ca="1">IFERROR(__xludf.DUMMYFUNCTION("""COMPUTED_VALUE"""),"Unificação das Quebradas")</f>
        <v>Unificação das Quebradas</v>
      </c>
      <c r="F590" s="27" t="str">
        <f ca="1">IFERROR(__xludf.DUMMYFUNCTION("""COMPUTED_VALUE"""),"Tiago")</f>
        <v>Tiago</v>
      </c>
      <c r="G590" s="27" t="str">
        <f ca="1">IFERROR(__xludf.DUMMYFUNCTION("""COMPUTED_VALUE"""),"UNIFICAÇÃO DAS QUEBRADAS")</f>
        <v>UNIFICAÇÃO DAS QUEBRADAS</v>
      </c>
      <c r="H590" s="27" t="str">
        <f ca="1">IFERROR(__xludf.DUMMYFUNCTION("""COMPUTED_VALUE"""),"51.643.021/0001-66")</f>
        <v>51.643.021/0001-66</v>
      </c>
      <c r="I590" s="27" t="str">
        <f ca="1">IFERROR(__xludf.DUMMYFUNCTION("""COMPUTED_VALUE"""),"Tiago Pereira Rodrigues")</f>
        <v>Tiago Pereira Rodrigues</v>
      </c>
      <c r="J590" s="27" t="str">
        <f ca="1">IFERROR(__xludf.DUMMYFUNCTION("""COMPUTED_VALUE"""),"unificacaodasquebradas@gmail.com")</f>
        <v>unificacaodasquebradas@gmail.com</v>
      </c>
      <c r="K590" s="27" t="str">
        <f ca="1">IFERROR(__xludf.DUMMYFUNCTION("""COMPUTED_VALUE"""),"(13)98805-9218")</f>
        <v>(13)98805-9218</v>
      </c>
      <c r="L590" s="27" t="str">
        <f ca="1">IFERROR(__xludf.DUMMYFUNCTION("""COMPUTED_VALUE"""),"SP")</f>
        <v>SP</v>
      </c>
      <c r="M590" s="27" t="str">
        <f ca="1">IFERROR(__xludf.DUMMYFUNCTION("""COMPUTED_VALUE"""),"Rua Faixa do Óleo Duto")</f>
        <v>Rua Faixa do Óleo Duto</v>
      </c>
      <c r="N590" s="27" t="str">
        <f ca="1">IFERROR(__xludf.DUMMYFUNCTION("""COMPUTED_VALUE"""),"Pinhal do Miranda")</f>
        <v>Pinhal do Miranda</v>
      </c>
      <c r="O590" s="27">
        <f ca="1">IFERROR(__xludf.DUMMYFUNCTION("""COMPUTED_VALUE"""),174)</f>
        <v>174</v>
      </c>
      <c r="P590" s="27" t="str">
        <f ca="1">IFERROR(__xludf.DUMMYFUNCTION("""COMPUTED_VALUE"""),"Cubatão")</f>
        <v>Cubatão</v>
      </c>
      <c r="Q590" s="27" t="str">
        <f ca="1">IFERROR(__xludf.DUMMYFUNCTION("""COMPUTED_VALUE"""),"Ao lado do Parque Linear")</f>
        <v>Ao lado do Parque Linear</v>
      </c>
      <c r="R590" s="27" t="str">
        <f ca="1">IFERROR(__xludf.DUMMYFUNCTION("""COMPUTED_VALUE"""),"11543-300")</f>
        <v>11543-300</v>
      </c>
      <c r="S590" s="27" t="str">
        <f ca="1">IFERROR(__xludf.DUMMYFUNCTION("""COMPUTED_VALUE"""),"Sim,  fazemos  palestras na escola do nosso bairro , sobre  diversos  assuntos  ,ocupação de espaços  públicos  com intervenções de troca de  saberes")</f>
        <v>Sim,  fazemos  palestras na escola do nosso bairro , sobre  diversos  assuntos  ,ocupação de espaços  públicos  com intervenções de troca de  saberes</v>
      </c>
      <c r="T590" s="27"/>
      <c r="U590" s="27" t="str">
        <f ca="1">IFERROR(__xludf.DUMMYFUNCTION("""COMPUTED_VALUE"""),"Adolescentes (12 aos 18 anos)")</f>
        <v>Adolescentes (12 aos 18 anos)</v>
      </c>
      <c r="V590" s="27" t="str">
        <f ca="1">IFERROR(__xludf.DUMMYFUNCTION("""COMPUTED_VALUE"""),"Moradores de Favelas, Pessoas em situação de rua, População LGBTQ+, Povos Indígenas, Quilombola, Afrodescendentes, Dependentes Químicos, Pessoas com Deficiência, Egressos sistema carcerário, Imigrantes")</f>
        <v>Moradores de Favelas, Pessoas em situação de rua, População LGBTQ+, Povos Indígenas, Quilombola, Afrodescendentes, Dependentes Químicos, Pessoas com Deficiência, Egressos sistema carcerário, Imigrantes</v>
      </c>
      <c r="W590" s="27">
        <f ca="1">IFERROR(__xludf.DUMMYFUNCTION("""COMPUTED_VALUE"""),1)</f>
        <v>1</v>
      </c>
      <c r="X590" s="27"/>
      <c r="Y590" s="27"/>
      <c r="Z590" s="27">
        <f ca="1">IFERROR(__xludf.DUMMYFUNCTION("""COMPUTED_VALUE"""),300)</f>
        <v>300</v>
      </c>
      <c r="AA590" s="29">
        <f ca="1">IFERROR(__xludf.DUMMYFUNCTION("""COMPUTED_VALUE"""),43617)</f>
        <v>43617</v>
      </c>
      <c r="AB590" s="27" t="str">
        <f ca="1">IFERROR(__xludf.DUMMYFUNCTION("""COMPUTED_VALUE"""),"Não")</f>
        <v>Não</v>
      </c>
      <c r="AC590" s="27">
        <f ca="1">IFERROR(__xludf.DUMMYFUNCTION("""COMPUTED_VALUE"""),0)</f>
        <v>0</v>
      </c>
      <c r="AD590" s="27">
        <f ca="1">IFERROR(__xludf.DUMMYFUNCTION("""COMPUTED_VALUE"""),4)</f>
        <v>4</v>
      </c>
      <c r="AE590" s="27">
        <f ca="1">IFERROR(__xludf.DUMMYFUNCTION("""COMPUTED_VALUE"""),6)</f>
        <v>6</v>
      </c>
      <c r="AF590" s="27">
        <f ca="1">IFERROR(__xludf.DUMMYFUNCTION("""COMPUTED_VALUE"""),2)</f>
        <v>2</v>
      </c>
      <c r="AG590" s="27">
        <f ca="1">IFERROR(__xludf.DUMMYFUNCTION("""COMPUTED_VALUE"""),4)</f>
        <v>4</v>
      </c>
      <c r="AH590" s="27" t="str">
        <f ca="1">IFERROR(__xludf.DUMMYFUNCTION("""COMPUTED_VALUE"""),"Lei de Incentivo, Editais, Lei Municipal da Cultura, Recursos próprios")</f>
        <v>Lei de Incentivo, Editais, Lei Municipal da Cultura, Recursos próprios</v>
      </c>
      <c r="AI590" s="27" t="str">
        <f ca="1">IFERROR(__xludf.DUMMYFUNCTION("""COMPUTED_VALUE"""),"50 % recursos próprios  , 25% editais , 25% Leis de incentivos")</f>
        <v>50 % recursos próprios  , 25% editais , 25% Leis de incentivos</v>
      </c>
      <c r="AJ590" s="27" t="str">
        <f ca="1">IFERROR(__xludf.DUMMYFUNCTION("""COMPUTED_VALUE"""),"Vamos iniciar esse ano")</f>
        <v>Vamos iniciar esse ano</v>
      </c>
      <c r="AK590" s="27"/>
      <c r="AL590" s="21" t="str">
        <f ca="1">IFERROR(__xludf.DUMMYFUNCTION("""COMPUTED_VALUE"""),"0034X0000380O1V")</f>
        <v>0034X0000380O1V</v>
      </c>
      <c r="AM590" s="27" t="str">
        <f ca="1">IFERROR(__xludf.DUMMYFUNCTION("""COMPUTED_VALUE"""),"Pereira rodrigues")</f>
        <v>Pereira rodrigues</v>
      </c>
      <c r="AN590" s="27" t="str">
        <f ca="1">IFERROR(__xludf.DUMMYFUNCTION("""COMPUTED_VALUE"""),"Ativo")</f>
        <v>Ativo</v>
      </c>
      <c r="AO590" s="29">
        <f ca="1">IFERROR(__xludf.DUMMYFUNCTION("""COMPUTED_VALUE"""),44763)</f>
        <v>44763</v>
      </c>
      <c r="AP590" s="27">
        <f ca="1">IFERROR(__xludf.DUMMYFUNCTION("""COMPUTED_VALUE"""),2)</f>
        <v>2</v>
      </c>
      <c r="AQ590" s="27" t="str">
        <f ca="1">IFERROR(__xludf.DUMMYFUNCTION("""COMPUTED_VALUE"""),"Primeiro Semestre 2022")</f>
        <v>Primeiro Semestre 2022</v>
      </c>
      <c r="AR590" s="27" t="str">
        <f ca="1">IFERROR(__xludf.DUMMYFUNCTION("""COMPUTED_VALUE"""),"tigo.unificacaodasquebradas@gmail.com")</f>
        <v>tigo.unificacaodasquebradas@gmail.com</v>
      </c>
      <c r="AS590" s="27" t="str">
        <f ca="1">IFERROR(__xludf.DUMMYFUNCTION("""COMPUTED_VALUE"""),"(13)98805-9218")</f>
        <v>(13)98805-9218</v>
      </c>
      <c r="AT590" s="29">
        <f ca="1">IFERROR(__xludf.DUMMYFUNCTION("""COMPUTED_VALUE"""),32216)</f>
        <v>32216</v>
      </c>
      <c r="AU590" s="27">
        <f ca="1">IFERROR(__xludf.DUMMYFUNCTION("""COMPUTED_VALUE"""),34)</f>
        <v>34</v>
      </c>
      <c r="AV590" s="27">
        <f ca="1">IFERROR(__xludf.DUMMYFUNCTION("""COMPUTED_VALUE"""),36436163840)</f>
        <v>36436163840</v>
      </c>
      <c r="AW590" s="27">
        <f ca="1">IFERROR(__xludf.DUMMYFUNCTION("""COMPUTED_VALUE"""),34248882)</f>
        <v>34248882</v>
      </c>
      <c r="AX590" s="27"/>
      <c r="AY590" s="27" t="str">
        <f ca="1">IFERROR(__xludf.DUMMYFUNCTION("""COMPUTED_VALUE"""),"Ceo")</f>
        <v>Ceo</v>
      </c>
      <c r="AZ590" s="27" t="str">
        <f ca="1">IFERROR(__xludf.DUMMYFUNCTION("""COMPUTED_VALUE"""),"GG")</f>
        <v>GG</v>
      </c>
      <c r="BA590" s="27" t="str">
        <f ca="1">IFERROR(__xludf.DUMMYFUNCTION("""COMPUTED_VALUE"""),"Preta")</f>
        <v>Preta</v>
      </c>
      <c r="BB590" s="27"/>
      <c r="BC590" s="27"/>
      <c r="BD590" s="27" t="str">
        <f ca="1">IFERROR(__xludf.DUMMYFUNCTION("""COMPUTED_VALUE"""),"Tiago Pereira 
Produtor Cultural  na Quebrada , Articulador Social , Investidor Social , CEO da  Unificação das Quebradas Ong que tem  tem como  missão  dar visibilidade e impulsionar os protagonistas das periferias por intermédio de ações  culturais  des"&amp;"envolvendo ações sociais")</f>
        <v>Tiago Pereira 
Produtor Cultural  na Quebrada , Articulador Social , Investidor Social , CEO da  Unificação das Quebradas Ong que tem  tem como  missão  dar visibilidade e impulsionar os protagonistas das periferias por intermédio de ações  culturais  desenvolvendo ações sociais</v>
      </c>
      <c r="BE590" s="27" t="str">
        <f ca="1">IFERROR(__xludf.DUMMYFUNCTION("""COMPUTED_VALUE"""),"Homem, cisgênero")</f>
        <v>Homem, cisgênero</v>
      </c>
      <c r="BF590" s="27" t="str">
        <f ca="1">IFERROR(__xludf.DUMMYFUNCTION("""COMPUTED_VALUE"""),"Heterossexual")</f>
        <v>Heterossexual</v>
      </c>
      <c r="BG590" s="27" t="str">
        <f ca="1">IFERROR(__xludf.DUMMYFUNCTION("""COMPUTED_VALUE"""),"Ensino Superior - Incompleto")</f>
        <v>Ensino Superior - Incompleto</v>
      </c>
      <c r="BH590" s="27" t="str">
        <f ca="1">IFERROR(__xludf.DUMMYFUNCTION("""COMPUTED_VALUE"""),"Público")</f>
        <v>Público</v>
      </c>
      <c r="BI590" s="27" t="str">
        <f ca="1">IFERROR(__xludf.DUMMYFUNCTION("""COMPUTED_VALUE"""),"Graduação")</f>
        <v>Graduação</v>
      </c>
      <c r="BJ590" s="27"/>
      <c r="BK590" s="27" t="str">
        <f ca="1">IFERROR(__xludf.DUMMYFUNCTION("""COMPUTED_VALUE"""),"Rua Faixa do Óleo Duto")</f>
        <v>Rua Faixa do Óleo Duto</v>
      </c>
      <c r="BL590" s="27">
        <f ca="1">IFERROR(__xludf.DUMMYFUNCTION("""COMPUTED_VALUE"""),174)</f>
        <v>174</v>
      </c>
      <c r="BM590" s="27" t="str">
        <f ca="1">IFERROR(__xludf.DUMMYFUNCTION("""COMPUTED_VALUE"""),"Ao lado do Parque Linear")</f>
        <v>Ao lado do Parque Linear</v>
      </c>
      <c r="BN590" s="27" t="str">
        <f ca="1">IFERROR(__xludf.DUMMYFUNCTION("""COMPUTED_VALUE"""),"Cubatão")</f>
        <v>Cubatão</v>
      </c>
      <c r="BO590" s="27" t="str">
        <f ca="1">IFERROR(__xludf.DUMMYFUNCTION("""COMPUTED_VALUE"""),"11543-300")</f>
        <v>11543-300</v>
      </c>
      <c r="BP590" s="27" t="str">
        <f ca="1">IFERROR(__xludf.DUMMYFUNCTION("""COMPUTED_VALUE"""),"SP")</f>
        <v>SP</v>
      </c>
      <c r="BQ590" s="27" t="str">
        <f ca="1">IFERROR(__xludf.DUMMYFUNCTION("""COMPUTED_VALUE"""),"Entre 1 até 3 salários mínimos")</f>
        <v>Entre 1 até 3 salários mínimos</v>
      </c>
      <c r="BR590" s="27" t="str">
        <f ca="1">IFERROR(__xludf.DUMMYFUNCTION("""COMPUTED_VALUE"""),"Desempregado")</f>
        <v>Desempregado</v>
      </c>
      <c r="BS590" s="27" t="str">
        <f ca="1">IFERROR(__xludf.DUMMYFUNCTION("""COMPUTED_VALUE"""),"Casa própria")</f>
        <v>Casa própria</v>
      </c>
      <c r="BT590" s="27">
        <f ca="1">IFERROR(__xludf.DUMMYFUNCTION("""COMPUTED_VALUE"""),3)</f>
        <v>3</v>
      </c>
      <c r="BU590" s="27" t="str">
        <f ca="1">IFERROR(__xludf.DUMMYFUNCTION("""COMPUTED_VALUE"""),"Não tem")</f>
        <v>Não tem</v>
      </c>
      <c r="BV590" s="27" t="str">
        <f ca="1">IFERROR(__xludf.DUMMYFUNCTION("""COMPUTED_VALUE"""),"Frutos do Mar")</f>
        <v>Frutos do Mar</v>
      </c>
      <c r="BW590" s="21" t="str">
        <f ca="1">IFERROR(__xludf.DUMMYFUNCTION("""COMPUTED_VALUE"""),"https://www.linkedin.com/in/tiago-pereira-6523b7199/")</f>
        <v>https://www.linkedin.com/in/tiago-pereira-6523b7199/</v>
      </c>
      <c r="BX590" s="21" t="str">
        <f ca="1">IFERROR(__xludf.DUMMYFUNCTION("""COMPUTED_VALUE"""),"https://www.instagram.com/tigopereira/")</f>
        <v>https://www.instagram.com/tigopereira/</v>
      </c>
      <c r="BY590" s="21" t="str">
        <f ca="1">IFERROR(__xludf.DUMMYFUNCTION("""COMPUTED_VALUE"""),"https://drive.google.com/open?id=1Fz933v8wx-2nWaslhEt_XUHND3x5Y15I")</f>
        <v>https://drive.google.com/open?id=1Fz933v8wx-2nWaslhEt_XUHND3x5Y15I</v>
      </c>
    </row>
    <row r="591" spans="1:77" ht="12.5" x14ac:dyDescent="0.25">
      <c r="A591" s="21" t="str">
        <f ca="1">IFERROR(__xludf.DUMMYFUNCTION("""COMPUTED_VALUE"""),"0014X00002VKCrgQAH")</f>
        <v>0014X00002VKCrgQAH</v>
      </c>
      <c r="B591" s="27"/>
      <c r="C591" s="27" t="str">
        <f ca="1">IFERROR(__xludf.DUMMYFUNCTION("""COMPUTED_VALUE"""),"Fellow")</f>
        <v>Fellow</v>
      </c>
      <c r="D591" s="27" t="str">
        <f ca="1">IFERROR(__xludf.DUMMYFUNCTION("""COMPUTED_VALUE"""),"Ativo")</f>
        <v>Ativo</v>
      </c>
      <c r="E591" s="27" t="str">
        <f ca="1">IFERROR(__xludf.DUMMYFUNCTION("""COMPUTED_VALUE"""),"Universus Esc Art Pod Art Cultural")</f>
        <v>Universus Esc Art Pod Art Cultural</v>
      </c>
      <c r="F591" s="27" t="str">
        <f ca="1">IFERROR(__xludf.DUMMYFUNCTION("""COMPUTED_VALUE"""),"Givanildo")</f>
        <v>Givanildo</v>
      </c>
      <c r="G591" s="27" t="str">
        <f ca="1">IFERROR(__xludf.DUMMYFUNCTION("""COMPUTED_VALUE"""),"UNIVERSUS INSTITUTE")</f>
        <v>UNIVERSUS INSTITUTE</v>
      </c>
      <c r="H591" s="27">
        <f ca="1">IFERROR(__xludf.DUMMYFUNCTION("""COMPUTED_VALUE"""),2020718000175)</f>
        <v>2020718000175</v>
      </c>
      <c r="I591" s="27" t="str">
        <f ca="1">IFERROR(__xludf.DUMMYFUNCTION("""COMPUTED_VALUE"""),"Givanildo Amâncio da Silva")</f>
        <v>Givanildo Amâncio da Silva</v>
      </c>
      <c r="J591" s="27" t="str">
        <f ca="1">IFERROR(__xludf.DUMMYFUNCTION("""COMPUTED_VALUE"""),"escritoriocultural@gmail.com")</f>
        <v>escritoriocultural@gmail.com</v>
      </c>
      <c r="K591" s="27"/>
      <c r="L591" s="27" t="str">
        <f ca="1">IFERROR(__xludf.DUMMYFUNCTION("""COMPUTED_VALUE"""),"PE")</f>
        <v>PE</v>
      </c>
      <c r="M591" s="27" t="str">
        <f ca="1">IFERROR(__xludf.DUMMYFUNCTION("""COMPUTED_VALUE"""),"Rua Capitão Lima")</f>
        <v>Rua Capitão Lima</v>
      </c>
      <c r="N591" s="27" t="str">
        <f ca="1">IFERROR(__xludf.DUMMYFUNCTION("""COMPUTED_VALUE"""),"Santo Amaro")</f>
        <v>Santo Amaro</v>
      </c>
      <c r="O591" s="27">
        <f ca="1">IFERROR(__xludf.DUMMYFUNCTION("""COMPUTED_VALUE"""),190)</f>
        <v>190</v>
      </c>
      <c r="P591" s="27" t="str">
        <f ca="1">IFERROR(__xludf.DUMMYFUNCTION("""COMPUTED_VALUE"""),"Recife")</f>
        <v>Recife</v>
      </c>
      <c r="Q591" s="27"/>
      <c r="R591" s="27" t="str">
        <f ca="1">IFERROR(__xludf.DUMMYFUNCTION("""COMPUTED_VALUE"""),"50040-080")</f>
        <v>50040-080</v>
      </c>
      <c r="S591" s="27"/>
      <c r="T591" s="27"/>
      <c r="U591" s="27"/>
      <c r="V591" s="27"/>
      <c r="W591" s="27">
        <f ca="1">IFERROR(__xludf.DUMMYFUNCTION("""COMPUTED_VALUE"""),3)</f>
        <v>3</v>
      </c>
      <c r="X591" s="27"/>
      <c r="Y591" s="27"/>
      <c r="Z591" s="27">
        <f ca="1">IFERROR(__xludf.DUMMYFUNCTION("""COMPUTED_VALUE"""),4)</f>
        <v>4</v>
      </c>
      <c r="AA591" s="29">
        <f ca="1">IFERROR(__xludf.DUMMYFUNCTION("""COMPUTED_VALUE"""),35611)</f>
        <v>35611</v>
      </c>
      <c r="AB591" s="27" t="str">
        <f ca="1">IFERROR(__xludf.DUMMYFUNCTION("""COMPUTED_VALUE"""),"Sim")</f>
        <v>Sim</v>
      </c>
      <c r="AC591" s="27"/>
      <c r="AD591" s="27"/>
      <c r="AE591" s="27">
        <f ca="1">IFERROR(__xludf.DUMMYFUNCTION("""COMPUTED_VALUE"""),45)</f>
        <v>45</v>
      </c>
      <c r="AF591" s="27"/>
      <c r="AG591" s="27">
        <f ca="1">IFERROR(__xludf.DUMMYFUNCTION("""COMPUTED_VALUE"""),0)</f>
        <v>0</v>
      </c>
      <c r="AH591" s="27"/>
      <c r="AI591" s="27"/>
      <c r="AJ591" s="27" t="str">
        <f ca="1">IFERROR(__xludf.DUMMYFUNCTION("""COMPUTED_VALUE"""),"Não")</f>
        <v>Não</v>
      </c>
      <c r="AK591" s="27"/>
      <c r="AL591" s="21" t="str">
        <f ca="1">IFERROR(__xludf.DUMMYFUNCTION("""COMPUTED_VALUE"""),"0034X0000380O39")</f>
        <v>0034X0000380O39</v>
      </c>
      <c r="AM591" s="27" t="str">
        <f ca="1">IFERROR(__xludf.DUMMYFUNCTION("""COMPUTED_VALUE"""),"Amâncio da silva")</f>
        <v>Amâncio da silva</v>
      </c>
      <c r="AN591" s="27" t="str">
        <f ca="1">IFERROR(__xludf.DUMMYFUNCTION("""COMPUTED_VALUE"""),"Ativo")</f>
        <v>Ativo</v>
      </c>
      <c r="AO591" s="29">
        <f ca="1">IFERROR(__xludf.DUMMYFUNCTION("""COMPUTED_VALUE"""),44763)</f>
        <v>44763</v>
      </c>
      <c r="AP591" s="27">
        <f ca="1">IFERROR(__xludf.DUMMYFUNCTION("""COMPUTED_VALUE"""),2)</f>
        <v>2</v>
      </c>
      <c r="AQ591" s="27" t="str">
        <f ca="1">IFERROR(__xludf.DUMMYFUNCTION("""COMPUTED_VALUE"""),"Primeiro Semestre 2022")</f>
        <v>Primeiro Semestre 2022</v>
      </c>
      <c r="AR591" s="27" t="str">
        <f ca="1">IFERROR(__xludf.DUMMYFUNCTION("""COMPUTED_VALUE"""),"escritoriocultural@gmail.com")</f>
        <v>escritoriocultural@gmail.com</v>
      </c>
      <c r="AS591" s="27">
        <f ca="1">IFERROR(__xludf.DUMMYFUNCTION("""COMPUTED_VALUE"""),81985381294)</f>
        <v>81985381294</v>
      </c>
      <c r="AT591" s="29">
        <f ca="1">IFERROR(__xludf.DUMMYFUNCTION("""COMPUTED_VALUE"""),25706)</f>
        <v>25706</v>
      </c>
      <c r="AU591" s="27">
        <f ca="1">IFERROR(__xludf.DUMMYFUNCTION("""COMPUTED_VALUE"""),52)</f>
        <v>52</v>
      </c>
      <c r="AV591" s="27">
        <f ca="1">IFERROR(__xludf.DUMMYFUNCTION("""COMPUTED_VALUE"""),46453580497)</f>
        <v>46453580497</v>
      </c>
      <c r="AW591" s="27">
        <f ca="1">IFERROR(__xludf.DUMMYFUNCTION("""COMPUTED_VALUE"""),2956856)</f>
        <v>2956856</v>
      </c>
      <c r="AX591" s="27"/>
      <c r="AY591" s="27"/>
      <c r="AZ591" s="27" t="str">
        <f ca="1">IFERROR(__xludf.DUMMYFUNCTION("""COMPUTED_VALUE"""),"GG")</f>
        <v>GG</v>
      </c>
      <c r="BA591" s="27" t="str">
        <f ca="1">IFERROR(__xludf.DUMMYFUNCTION("""COMPUTED_VALUE"""),"Branca")</f>
        <v>Branca</v>
      </c>
      <c r="BB591" s="27"/>
      <c r="BC591" s="27"/>
      <c r="BD591" s="27" t="str">
        <f ca="1">IFERROR(__xludf.DUMMYFUNCTION("""COMPUTED_VALUE"""),"Mestrando em educação com ramificação no ensino da música para bebês tendo desenvolvido projeto de nascer com arte com música ao vivo no instante do parto* com música composta no ritmo (cadência/velocidade exclusiva de cada ser) do coração do bebê. Regent"&amp;"e orquestral* coral* pianista* arranjador e orquestrador liderando sonho de colocar o mundo todo para cantar no mesmo dia* na mesma hora via satélite em função da paz e tolerância* mundiais - tendo como projeto piloto o Brasil.")</f>
        <v>Mestrando em educação com ramificação no ensino da música para bebês tendo desenvolvido projeto de nascer com arte com música ao vivo no instante do parto* com música composta no ritmo (cadência/velocidade exclusiva de cada ser) do coração do bebê. Regente orquestral* coral* pianista* arranjador e orquestrador liderando sonho de colocar o mundo todo para cantar no mesmo dia* na mesma hora via satélite em função da paz e tolerância* mundiais - tendo como projeto piloto o Brasil.</v>
      </c>
      <c r="BE591" s="27" t="str">
        <f ca="1">IFERROR(__xludf.DUMMYFUNCTION("""COMPUTED_VALUE"""),"Masculino")</f>
        <v>Masculino</v>
      </c>
      <c r="BF591" s="27" t="str">
        <f ca="1">IFERROR(__xludf.DUMMYFUNCTION("""COMPUTED_VALUE"""),"Heterossexual")</f>
        <v>Heterossexual</v>
      </c>
      <c r="BG591" s="27"/>
      <c r="BH591" s="27" t="str">
        <f ca="1">IFERROR(__xludf.DUMMYFUNCTION("""COMPUTED_VALUE"""),"Público")</f>
        <v>Público</v>
      </c>
      <c r="BI591" s="27" t="str">
        <f ca="1">IFERROR(__xludf.DUMMYFUNCTION("""COMPUTED_VALUE"""),"Mestrado")</f>
        <v>Mestrado</v>
      </c>
      <c r="BJ591" s="27" t="str">
        <f ca="1">IFERROR(__xludf.DUMMYFUNCTION("""COMPUTED_VALUE"""),"Público")</f>
        <v>Público</v>
      </c>
      <c r="BK591" s="27" t="str">
        <f ca="1">IFERROR(__xludf.DUMMYFUNCTION("""COMPUTED_VALUE"""),"Rua Pastor Benoby 173 - Bomba do Hemetério Recife - PE")</f>
        <v>Rua Pastor Benoby 173 - Bomba do Hemetério Recife - PE</v>
      </c>
      <c r="BL591" s="27">
        <f ca="1">IFERROR(__xludf.DUMMYFUNCTION("""COMPUTED_VALUE"""),173)</f>
        <v>173</v>
      </c>
      <c r="BM591" s="27"/>
      <c r="BN591" s="27"/>
      <c r="BO591" s="27">
        <f ca="1">IFERROR(__xludf.DUMMYFUNCTION("""COMPUTED_VALUE"""),52211020)</f>
        <v>52211020</v>
      </c>
      <c r="BP591" s="27" t="str">
        <f ca="1">IFERROR(__xludf.DUMMYFUNCTION("""COMPUTED_VALUE"""),"PE")</f>
        <v>PE</v>
      </c>
      <c r="BQ591" s="27" t="str">
        <f ca="1">IFERROR(__xludf.DUMMYFUNCTION("""COMPUTED_VALUE"""),"Entre 1 até 3 salários mínimos")</f>
        <v>Entre 1 até 3 salários mínimos</v>
      </c>
      <c r="BR591" s="27" t="str">
        <f ca="1">IFERROR(__xludf.DUMMYFUNCTION("""COMPUTED_VALUE"""),"Desempregado")</f>
        <v>Desempregado</v>
      </c>
      <c r="BS591" s="27" t="str">
        <f ca="1">IFERROR(__xludf.DUMMYFUNCTION("""COMPUTED_VALUE"""),"Outros")</f>
        <v>Outros</v>
      </c>
      <c r="BT591" s="27">
        <f ca="1">IFERROR(__xludf.DUMMYFUNCTION("""COMPUTED_VALUE"""),2)</f>
        <v>2</v>
      </c>
      <c r="BU591" s="27" t="str">
        <f ca="1">IFERROR(__xludf.DUMMYFUNCTION("""COMPUTED_VALUE"""),"Não tem")</f>
        <v>Não tem</v>
      </c>
      <c r="BV591" s="27" t="str">
        <f ca="1">IFERROR(__xludf.DUMMYFUNCTION("""COMPUTED_VALUE"""),"Sim")</f>
        <v>Sim</v>
      </c>
      <c r="BW591" s="21" t="str">
        <f ca="1">IFERROR(__xludf.DUMMYFUNCTION("""COMPUTED_VALUE"""),"https://www.linkedin.com/in/givanildo-amancio-3778b921/")</f>
        <v>https://www.linkedin.com/in/givanildo-amancio-3778b921/</v>
      </c>
      <c r="BX591" s="21" t="str">
        <f ca="1">IFERROR(__xludf.DUMMYFUNCTION("""COMPUTED_VALUE"""),"https://www.instagram.com/tv/CW_cniLJnjj/?utm_medium=copy_link")</f>
        <v>https://www.instagram.com/tv/CW_cniLJnjj/?utm_medium=copy_link</v>
      </c>
      <c r="BY591" s="21" t="str">
        <f ca="1">IFERROR(__xludf.DUMMYFUNCTION("""COMPUTED_VALUE"""),"https://drive.google.com/open?id=1Ctz_Q0XlN3K6bknRIsvn7jhkx8_si2a6")</f>
        <v>https://drive.google.com/open?id=1Ctz_Q0XlN3K6bknRIsvn7jhkx8_si2a6</v>
      </c>
    </row>
    <row r="592" spans="1:77" ht="12.5" x14ac:dyDescent="0.25">
      <c r="A592" s="21" t="str">
        <f ca="1">IFERROR(__xludf.DUMMYFUNCTION("""COMPUTED_VALUE"""),"0014X00002VKCpIQAX")</f>
        <v>0014X00002VKCpIQAX</v>
      </c>
      <c r="B592" s="27" t="str">
        <f ca="1">IFERROR(__xludf.DUMMYFUNCTION("""COMPUTED_VALUE"""),"Fase Inicial")</f>
        <v>Fase Inicial</v>
      </c>
      <c r="C592" s="27" t="str">
        <f ca="1">IFERROR(__xludf.DUMMYFUNCTION("""COMPUTED_VALUE"""),"Fellow")</f>
        <v>Fellow</v>
      </c>
      <c r="D592" s="27" t="str">
        <f ca="1">IFERROR(__xludf.DUMMYFUNCTION("""COMPUTED_VALUE"""),"Ativo")</f>
        <v>Ativo</v>
      </c>
      <c r="E592" s="27" t="str">
        <f ca="1">IFERROR(__xludf.DUMMYFUNCTION("""COMPUTED_VALUE"""),"VELHO CHICO ATIVO")</f>
        <v>VELHO CHICO ATIVO</v>
      </c>
      <c r="F592" s="27" t="str">
        <f ca="1">IFERROR(__xludf.DUMMYFUNCTION("""COMPUTED_VALUE"""),"José")</f>
        <v>José</v>
      </c>
      <c r="G592" s="27" t="str">
        <f ca="1">IFERROR(__xludf.DUMMYFUNCTION("""COMPUTED_VALUE"""),"VELHO CHICO ATIVO")</f>
        <v>VELHO CHICO ATIVO</v>
      </c>
      <c r="H592" s="27"/>
      <c r="I592" s="27" t="str">
        <f ca="1">IFERROR(__xludf.DUMMYFUNCTION("""COMPUTED_VALUE"""),"José Ygo Batista de Almeida")</f>
        <v>José Ygo Batista de Almeida</v>
      </c>
      <c r="J592" s="27" t="str">
        <f ca="1">IFERROR(__xludf.DUMMYFUNCTION("""COMPUTED_VALUE"""),"institutomarnosertao@outlook.com")</f>
        <v>institutomarnosertao@outlook.com</v>
      </c>
      <c r="K592" s="27" t="str">
        <f ca="1">IFERROR(__xludf.DUMMYFUNCTION("""COMPUTED_VALUE"""),"(79)99946-2648")</f>
        <v>(79)99946-2648</v>
      </c>
      <c r="L592" s="27" t="str">
        <f ca="1">IFERROR(__xludf.DUMMYFUNCTION("""COMPUTED_VALUE"""),"SE")</f>
        <v>SE</v>
      </c>
      <c r="M592" s="27" t="str">
        <f ca="1">IFERROR(__xludf.DUMMYFUNCTION("""COMPUTED_VALUE"""),"Rua da Palha")</f>
        <v>Rua da Palha</v>
      </c>
      <c r="N592" s="27" t="str">
        <f ca="1">IFERROR(__xludf.DUMMYFUNCTION("""COMPUTED_VALUE"""),"Pov. Ilha do Ouro")</f>
        <v>Pov. Ilha do Ouro</v>
      </c>
      <c r="O592" s="27">
        <f ca="1">IFERROR(__xludf.DUMMYFUNCTION("""COMPUTED_VALUE"""),10)</f>
        <v>10</v>
      </c>
      <c r="P592" s="27" t="str">
        <f ca="1">IFERROR(__xludf.DUMMYFUNCTION("""COMPUTED_VALUE"""),"Porto da Folha")</f>
        <v>Porto da Folha</v>
      </c>
      <c r="Q592" s="27" t="str">
        <f ca="1">IFERROR(__xludf.DUMMYFUNCTION("""COMPUTED_VALUE"""),"Próximo ao campo de futebol")</f>
        <v>Próximo ao campo de futebol</v>
      </c>
      <c r="R592" s="27" t="str">
        <f ca="1">IFERROR(__xludf.DUMMYFUNCTION("""COMPUTED_VALUE"""),"49800-000")</f>
        <v>49800-000</v>
      </c>
      <c r="S592" s="27" t="str">
        <f ca="1">IFERROR(__xludf.DUMMYFUNCTION("""COMPUTED_VALUE"""),"Escolas, vias públicas, comunidades ribeirinhas, bairros periféricos e comunidades rurais.")</f>
        <v>Escolas, vias públicas, comunidades ribeirinhas, bairros periféricos e comunidades rurais.</v>
      </c>
      <c r="T592" s="27"/>
      <c r="U592" s="27" t="str">
        <f ca="1">IFERROR(__xludf.DUMMYFUNCTION("""COMPUTED_VALUE"""),"Crianças (6 a 12 anos), Adolescentes (12 aos 18 anos), Jovens (18 aos 24 anos), Adultos, Idosos (60 anos ou mais)")</f>
        <v>Crianças (6 a 12 anos), Adolescentes (12 aos 18 anos), Jovens (18 aos 24 anos), Adultos, Idosos (60 anos ou mais)</v>
      </c>
      <c r="V592" s="27" t="str">
        <f ca="1">IFERROR(__xludf.DUMMYFUNCTION("""COMPUTED_VALUE"""),"População LGBTQ+, Povos Indígenas, Quilombola, Dependentes Químicos, Egressos sistema carcerário, Ribeirinhos, Comunidade rural, Outros")</f>
        <v>População LGBTQ+, Povos Indígenas, Quilombola, Dependentes Químicos, Egressos sistema carcerário, Ribeirinhos, Comunidade rural, Outros</v>
      </c>
      <c r="W592" s="27">
        <f ca="1">IFERROR(__xludf.DUMMYFUNCTION("""COMPUTED_VALUE"""),15)</f>
        <v>15</v>
      </c>
      <c r="X592" s="27" t="str">
        <f ca="1">IFERROR(__xludf.DUMMYFUNCTION("""COMPUTED_VALUE"""),"Atendemos em especial as famílias carentes desde as ribeirinhas* bem como as que residem na zona urbana e no semiárido onde a sobrevivência é extremamente difícil* onde famílias chegam até dividir a água de consumo com os animais para não velos morrer. Ta"&amp;"mbém buscamos por jovens para que possam ter uma opção de vida distância das drogas que afeta toda a nossa região do alto sertão.")</f>
        <v>Atendemos em especial as famílias carentes desde as ribeirinhas* bem como as que residem na zona urbana e no semiárido onde a sobrevivência é extremamente difícil* onde famílias chegam até dividir a água de consumo com os animais para não velos morrer. Também buscamos por jovens para que possam ter uma opção de vida distância das drogas que afeta toda a nossa região do alto sertão.</v>
      </c>
      <c r="Y592" s="27"/>
      <c r="Z592" s="27">
        <f ca="1">IFERROR(__xludf.DUMMYFUNCTION("""COMPUTED_VALUE"""),300)</f>
        <v>300</v>
      </c>
      <c r="AA592" s="29">
        <f ca="1">IFERROR(__xludf.DUMMYFUNCTION("""COMPUTED_VALUE"""),42005)</f>
        <v>42005</v>
      </c>
      <c r="AB592" s="27" t="str">
        <f ca="1">IFERROR(__xludf.DUMMYFUNCTION("""COMPUTED_VALUE"""),"Não")</f>
        <v>Não</v>
      </c>
      <c r="AC592" s="27">
        <f ca="1">IFERROR(__xludf.DUMMYFUNCTION("""COMPUTED_VALUE"""),0)</f>
        <v>0</v>
      </c>
      <c r="AD592" s="27">
        <f ca="1">IFERROR(__xludf.DUMMYFUNCTION("""COMPUTED_VALUE"""),20)</f>
        <v>20</v>
      </c>
      <c r="AE592" s="27">
        <f ca="1">IFERROR(__xludf.DUMMYFUNCTION("""COMPUTED_VALUE"""),30)</f>
        <v>30</v>
      </c>
      <c r="AF592" s="27">
        <f ca="1">IFERROR(__xludf.DUMMYFUNCTION("""COMPUTED_VALUE"""),20)</f>
        <v>20</v>
      </c>
      <c r="AG592" s="27">
        <f ca="1">IFERROR(__xludf.DUMMYFUNCTION("""COMPUTED_VALUE"""),4)</f>
        <v>4</v>
      </c>
      <c r="AH592" s="27" t="str">
        <f ca="1">IFERROR(__xludf.DUMMYFUNCTION("""COMPUTED_VALUE"""),"Eventos/Ações para captação, Editais, Outro(s), Doações")</f>
        <v>Eventos/Ações para captação, Editais, Outro(s), Doações</v>
      </c>
      <c r="AI592" s="27" t="str">
        <f ca="1">IFERROR(__xludf.DUMMYFUNCTION("""COMPUTED_VALUE"""),"0.25")</f>
        <v>0.25</v>
      </c>
      <c r="AJ592" s="27" t="str">
        <f ca="1">IFERROR(__xludf.DUMMYFUNCTION("""COMPUTED_VALUE"""),"Vamos iniciar esse ano")</f>
        <v>Vamos iniciar esse ano</v>
      </c>
      <c r="AK592" s="27"/>
      <c r="AL592" s="21" t="str">
        <f ca="1">IFERROR(__xludf.DUMMYFUNCTION("""COMPUTED_VALUE"""),"0034X0000380O1z")</f>
        <v>0034X0000380O1z</v>
      </c>
      <c r="AM592" s="27" t="str">
        <f ca="1">IFERROR(__xludf.DUMMYFUNCTION("""COMPUTED_VALUE"""),"Ygo batista de almeida")</f>
        <v>Ygo batista de almeida</v>
      </c>
      <c r="AN592" s="27" t="str">
        <f ca="1">IFERROR(__xludf.DUMMYFUNCTION("""COMPUTED_VALUE"""),"Ativo")</f>
        <v>Ativo</v>
      </c>
      <c r="AO592" s="27"/>
      <c r="AP592" s="27"/>
      <c r="AQ592" s="27" t="str">
        <f ca="1">IFERROR(__xludf.DUMMYFUNCTION("""COMPUTED_VALUE"""),"Primeiro Semestre 2022")</f>
        <v>Primeiro Semestre 2022</v>
      </c>
      <c r="AR592" s="27" t="str">
        <f ca="1">IFERROR(__xludf.DUMMYFUNCTION("""COMPUTED_VALUE"""),"ygoalmeida54@gmail.com")</f>
        <v>ygoalmeida54@gmail.com</v>
      </c>
      <c r="AS592" s="27" t="str">
        <f ca="1">IFERROR(__xludf.DUMMYFUNCTION("""COMPUTED_VALUE"""),"(79)99654-8338")</f>
        <v>(79)99654-8338</v>
      </c>
      <c r="AT592" s="30">
        <f ca="1">IFERROR(__xludf.DUMMYFUNCTION("""COMPUTED_VALUE"""),33936)</f>
        <v>33936</v>
      </c>
      <c r="AU592" s="27">
        <f ca="1">IFERROR(__xludf.DUMMYFUNCTION("""COMPUTED_VALUE"""),30)</f>
        <v>30</v>
      </c>
      <c r="AV592" s="27">
        <f ca="1">IFERROR(__xludf.DUMMYFUNCTION("""COMPUTED_VALUE"""),6509546531)</f>
        <v>6509546531</v>
      </c>
      <c r="AW592" s="27">
        <f ca="1">IFERROR(__xludf.DUMMYFUNCTION("""COMPUTED_VALUE"""),21840970)</f>
        <v>21840970</v>
      </c>
      <c r="AX592" s="27"/>
      <c r="AY592" s="27" t="str">
        <f ca="1">IFERROR(__xludf.DUMMYFUNCTION("""COMPUTED_VALUE"""),"Presidente")</f>
        <v>Presidente</v>
      </c>
      <c r="AZ592" s="27" t="str">
        <f ca="1">IFERROR(__xludf.DUMMYFUNCTION("""COMPUTED_VALUE"""),"M")</f>
        <v>M</v>
      </c>
      <c r="BA592" s="27" t="str">
        <f ca="1">IFERROR(__xludf.DUMMYFUNCTION("""COMPUTED_VALUE"""),"Branca")</f>
        <v>Branca</v>
      </c>
      <c r="BB592" s="27"/>
      <c r="BC592" s="27"/>
      <c r="BD592" s="27" t="str">
        <f ca="1">IFERROR(__xludf.DUMMYFUNCTION("""COMPUTED_VALUE"""),"Olá, sou José Ygo Batista de Almeida e tenho 29 anos de idade, casado a nove anos tenho uma filha de cinco anos de idade. Sou filho de pescadores artesanais e, desde os meus vinte anos de idade que lido com ações sociais gerando impactos na vida de divers"&amp;"as famílias carentes, hoje sou empreendedor e líder social capacitado e formado pela Falcons University, a faculdade da liderança social da Gerando Falcões.")</f>
        <v>Olá, sou José Ygo Batista de Almeida e tenho 29 anos de idade, casado a nove anos tenho uma filha de cinco anos de idade. Sou filho de pescadores artesanais e, desde os meus vinte anos de idade que lido com ações sociais gerando impactos na vida de diversas famílias carentes, hoje sou empreendedor e líder social capacitado e formado pela Falcons University, a faculdade da liderança social da Gerando Falcões.</v>
      </c>
      <c r="BE592" s="27" t="str">
        <f ca="1">IFERROR(__xludf.DUMMYFUNCTION("""COMPUTED_VALUE"""),"Outro(s)")</f>
        <v>Outro(s)</v>
      </c>
      <c r="BF592" s="27" t="str">
        <f ca="1">IFERROR(__xludf.DUMMYFUNCTION("""COMPUTED_VALUE"""),"Heterossexual")</f>
        <v>Heterossexual</v>
      </c>
      <c r="BG592" s="27" t="str">
        <f ca="1">IFERROR(__xludf.DUMMYFUNCTION("""COMPUTED_VALUE"""),"Ensino Médio - Completo")</f>
        <v>Ensino Médio - Completo</v>
      </c>
      <c r="BH592" s="27" t="str">
        <f ca="1">IFERROR(__xludf.DUMMYFUNCTION("""COMPUTED_VALUE"""),"Público")</f>
        <v>Público</v>
      </c>
      <c r="BI592" s="27"/>
      <c r="BJ592" s="27"/>
      <c r="BK592" s="27" t="str">
        <f ca="1">IFERROR(__xludf.DUMMYFUNCTION("""COMPUTED_VALUE"""),"Boa Vista")</f>
        <v>Boa Vista</v>
      </c>
      <c r="BL592" s="27">
        <f ca="1">IFERROR(__xludf.DUMMYFUNCTION("""COMPUTED_VALUE"""),14)</f>
        <v>14</v>
      </c>
      <c r="BM592" s="27" t="str">
        <f ca="1">IFERROR(__xludf.DUMMYFUNCTION("""COMPUTED_VALUE"""),"Proximo ao colégio estadual")</f>
        <v>Proximo ao colégio estadual</v>
      </c>
      <c r="BN592" s="27" t="str">
        <f ca="1">IFERROR(__xludf.DUMMYFUNCTION("""COMPUTED_VALUE"""),"Porto da Folha")</f>
        <v>Porto da Folha</v>
      </c>
      <c r="BO592" s="27" t="str">
        <f ca="1">IFERROR(__xludf.DUMMYFUNCTION("""COMPUTED_VALUE"""),"49800-000")</f>
        <v>49800-000</v>
      </c>
      <c r="BP592" s="27" t="str">
        <f ca="1">IFERROR(__xludf.DUMMYFUNCTION("""COMPUTED_VALUE"""),"SE")</f>
        <v>SE</v>
      </c>
      <c r="BQ592" s="27" t="str">
        <f ca="1">IFERROR(__xludf.DUMMYFUNCTION("""COMPUTED_VALUE"""),"Entre 1 até 3 salários mínimos")</f>
        <v>Entre 1 até 3 salários mínimos</v>
      </c>
      <c r="BR592" s="27" t="str">
        <f ca="1">IFERROR(__xludf.DUMMYFUNCTION("""COMPUTED_VALUE"""),"Desempregado")</f>
        <v>Desempregado</v>
      </c>
      <c r="BS592" s="27" t="str">
        <f ca="1">IFERROR(__xludf.DUMMYFUNCTION("""COMPUTED_VALUE"""),"Aluguel")</f>
        <v>Aluguel</v>
      </c>
      <c r="BT592" s="27">
        <f ca="1">IFERROR(__xludf.DUMMYFUNCTION("""COMPUTED_VALUE"""),3)</f>
        <v>3</v>
      </c>
      <c r="BU592" s="27" t="str">
        <f ca="1">IFERROR(__xludf.DUMMYFUNCTION("""COMPUTED_VALUE"""),"Não tem")</f>
        <v>Não tem</v>
      </c>
      <c r="BV592" s="27" t="str">
        <f ca="1">IFERROR(__xludf.DUMMYFUNCTION("""COMPUTED_VALUE"""),"Não")</f>
        <v>Não</v>
      </c>
      <c r="BW592" s="27"/>
      <c r="BX592" s="21" t="str">
        <f ca="1">IFERROR(__xludf.DUMMYFUNCTION("""COMPUTED_VALUE"""),"https://instagram.com/ygo_tatiane?igshid=YmMyMTA2M2Y=")</f>
        <v>https://instagram.com/ygo_tatiane?igshid=YmMyMTA2M2Y=</v>
      </c>
      <c r="BY592" s="21" t="str">
        <f ca="1">IFERROR(__xludf.DUMMYFUNCTION("""COMPUTED_VALUE"""),"https://drive.google.com/open?id=190GV41MOKCuo7fjmlP6_7sHvupPUtGrD")</f>
        <v>https://drive.google.com/open?id=190GV41MOKCuo7fjmlP6_7sHvupPUtGrD</v>
      </c>
    </row>
    <row r="593" spans="1:77" ht="12.5" x14ac:dyDescent="0.25">
      <c r="A593" s="21" t="str">
        <f ca="1">IFERROR(__xludf.DUMMYFUNCTION("""COMPUTED_VALUE"""),"0014P00003YSpA6QAL")</f>
        <v>0014P00003YSpA6QAL</v>
      </c>
      <c r="B593" s="27" t="str">
        <f ca="1">IFERROR(__xludf.DUMMYFUNCTION("""COMPUTED_VALUE"""),"Fase Inicial")</f>
        <v>Fase Inicial</v>
      </c>
      <c r="C593" s="27" t="str">
        <f ca="1">IFERROR(__xludf.DUMMYFUNCTION("""COMPUTED_VALUE"""),"Fellow")</f>
        <v>Fellow</v>
      </c>
      <c r="D593" s="27" t="str">
        <f ca="1">IFERROR(__xludf.DUMMYFUNCTION("""COMPUTED_VALUE"""),"Ativo")</f>
        <v>Ativo</v>
      </c>
      <c r="E593" s="27" t="str">
        <f ca="1">IFERROR(__xludf.DUMMYFUNCTION("""COMPUTED_VALUE"""),"Viaduto das Artes")</f>
        <v>Viaduto das Artes</v>
      </c>
      <c r="F593" s="27" t="str">
        <f ca="1">IFERROR(__xludf.DUMMYFUNCTION("""COMPUTED_VALUE"""),"Leandro")</f>
        <v>Leandro</v>
      </c>
      <c r="G593" s="27"/>
      <c r="H593" s="27">
        <f ca="1">IFERROR(__xludf.DUMMYFUNCTION("""COMPUTED_VALUE"""),23843648000125)</f>
        <v>23843648000125</v>
      </c>
      <c r="I593" s="27" t="str">
        <f ca="1">IFERROR(__xludf.DUMMYFUNCTION("""COMPUTED_VALUE"""),"Graziele Coelho Pereira")</f>
        <v>Graziele Coelho Pereira</v>
      </c>
      <c r="J593" s="27" t="str">
        <f ca="1">IFERROR(__xludf.DUMMYFUNCTION("""COMPUTED_VALUE"""),"viadutodasartes@gmail.com")</f>
        <v>viadutodasartes@gmail.com</v>
      </c>
      <c r="K593" s="27" t="str">
        <f ca="1">IFERROR(__xludf.DUMMYFUNCTION("""COMPUTED_VALUE"""),"(31)98432-7588")</f>
        <v>(31)98432-7588</v>
      </c>
      <c r="L593" s="27" t="str">
        <f ca="1">IFERROR(__xludf.DUMMYFUNCTION("""COMPUTED_VALUE"""),"MG")</f>
        <v>MG</v>
      </c>
      <c r="M593" s="27" t="str">
        <f ca="1">IFERROR(__xludf.DUMMYFUNCTION("""COMPUTED_VALUE"""),"Avenida Olinto Meireles")</f>
        <v>Avenida Olinto Meireles</v>
      </c>
      <c r="N593" s="27" t="str">
        <f ca="1">IFERROR(__xludf.DUMMYFUNCTION("""COMPUTED_VALUE"""),"Barreiro")</f>
        <v>Barreiro</v>
      </c>
      <c r="O593" s="27">
        <f ca="1">IFERROR(__xludf.DUMMYFUNCTION("""COMPUTED_VALUE"""),45)</f>
        <v>45</v>
      </c>
      <c r="P593" s="27" t="str">
        <f ca="1">IFERROR(__xludf.DUMMYFUNCTION("""COMPUTED_VALUE"""),"Belo Horizonte")</f>
        <v>Belo Horizonte</v>
      </c>
      <c r="Q593" s="27" t="str">
        <f ca="1">IFERROR(__xludf.DUMMYFUNCTION("""COMPUTED_VALUE"""),"Baixio do Viaduto Engenheiro Andrade Pinto")</f>
        <v>Baixio do Viaduto Engenheiro Andrade Pinto</v>
      </c>
      <c r="R593" s="27">
        <f ca="1">IFERROR(__xludf.DUMMYFUNCTION("""COMPUTED_VALUE"""),30640010)</f>
        <v>30640010</v>
      </c>
      <c r="S593" s="27"/>
      <c r="T593" s="27"/>
      <c r="U593" s="27"/>
      <c r="V593" s="27"/>
      <c r="W593" s="27">
        <f ca="1">IFERROR(__xludf.DUMMYFUNCTION("""COMPUTED_VALUE"""),10)</f>
        <v>10</v>
      </c>
      <c r="X593" s="27"/>
      <c r="Y593" s="27"/>
      <c r="Z593" s="27">
        <f ca="1">IFERROR(__xludf.DUMMYFUNCTION("""COMPUTED_VALUE"""),100)</f>
        <v>100</v>
      </c>
      <c r="AA593" s="29">
        <f ca="1">IFERROR(__xludf.DUMMYFUNCTION("""COMPUTED_VALUE"""),42212)</f>
        <v>42212</v>
      </c>
      <c r="AB593" s="27" t="str">
        <f ca="1">IFERROR(__xludf.DUMMYFUNCTION("""COMPUTED_VALUE"""),"Sim")</f>
        <v>Sim</v>
      </c>
      <c r="AC593" s="27">
        <f ca="1">IFERROR(__xludf.DUMMYFUNCTION("""COMPUTED_VALUE"""),27)</f>
        <v>27</v>
      </c>
      <c r="AD593" s="27"/>
      <c r="AE593" s="27">
        <f ca="1">IFERROR(__xludf.DUMMYFUNCTION("""COMPUTED_VALUE"""),5)</f>
        <v>5</v>
      </c>
      <c r="AF593" s="27"/>
      <c r="AG593" s="27">
        <f ca="1">IFERROR(__xludf.DUMMYFUNCTION("""COMPUTED_VALUE"""),3)</f>
        <v>3</v>
      </c>
      <c r="AH593" s="27"/>
      <c r="AI593" s="27"/>
      <c r="AJ593" s="27"/>
      <c r="AK593" s="27"/>
      <c r="AL593" s="21" t="str">
        <f ca="1">IFERROR(__xludf.DUMMYFUNCTION("""COMPUTED_VALUE"""),"0034P000045kxki")</f>
        <v>0034P000045kxki</v>
      </c>
      <c r="AM593" s="27" t="str">
        <f ca="1">IFERROR(__xludf.DUMMYFUNCTION("""COMPUTED_VALUE"""),"Leandro Grabiel coelho pereira")</f>
        <v>Leandro Grabiel coelho pereira</v>
      </c>
      <c r="AN593" s="27" t="str">
        <f ca="1">IFERROR(__xludf.DUMMYFUNCTION("""COMPUTED_VALUE"""),"Ativo")</f>
        <v>Ativo</v>
      </c>
      <c r="AO593" s="30">
        <f ca="1">IFERROR(__xludf.DUMMYFUNCTION("""COMPUTED_VALUE"""),44551)</f>
        <v>44551</v>
      </c>
      <c r="AP593" s="27">
        <f ca="1">IFERROR(__xludf.DUMMYFUNCTION("""COMPUTED_VALUE"""),9)</f>
        <v>9</v>
      </c>
      <c r="AQ593" s="27" t="str">
        <f ca="1">IFERROR(__xludf.DUMMYFUNCTION("""COMPUTED_VALUE"""),"Segundo Semestre 2021")</f>
        <v>Segundo Semestre 2021</v>
      </c>
      <c r="AR593" s="27" t="str">
        <f ca="1">IFERROR(__xludf.DUMMYFUNCTION("""COMPUTED_VALUE"""),"viadutodasartes@gmail.com")</f>
        <v>viadutodasartes@gmail.com</v>
      </c>
      <c r="AS593" s="27" t="str">
        <f ca="1">IFERROR(__xludf.DUMMYFUNCTION("""COMPUTED_VALUE"""),"(31)98432-7588")</f>
        <v>(31)98432-7588</v>
      </c>
      <c r="AT593" s="29">
        <f ca="1">IFERROR(__xludf.DUMMYFUNCTION("""COMPUTED_VALUE"""),25590)</f>
        <v>25590</v>
      </c>
      <c r="AU593" s="27">
        <f ca="1">IFERROR(__xludf.DUMMYFUNCTION("""COMPUTED_VALUE"""),52)</f>
        <v>52</v>
      </c>
      <c r="AV593" s="27">
        <f ca="1">IFERROR(__xludf.DUMMYFUNCTION("""COMPUTED_VALUE"""),7850231796914)</f>
        <v>7850231796914</v>
      </c>
      <c r="AW593" s="27">
        <f ca="1">IFERROR(__xludf.DUMMYFUNCTION("""COMPUTED_VALUE"""),4108909)</f>
        <v>4108909</v>
      </c>
      <c r="AX593" s="27"/>
      <c r="AY593" s="27"/>
      <c r="AZ593" s="27" t="str">
        <f ca="1">IFERROR(__xludf.DUMMYFUNCTION("""COMPUTED_VALUE"""),"GG")</f>
        <v>GG</v>
      </c>
      <c r="BA593" s="27" t="str">
        <f ca="1">IFERROR(__xludf.DUMMYFUNCTION("""COMPUTED_VALUE"""),"Parda")</f>
        <v>Parda</v>
      </c>
      <c r="BB593" s="27" t="str">
        <f ca="1">IFERROR(__xludf.DUMMYFUNCTION("""COMPUTED_VALUE"""),"Homem, cisgênero")</f>
        <v>Homem, cisgênero</v>
      </c>
      <c r="BC593" s="27" t="str">
        <f ca="1">IFERROR(__xludf.DUMMYFUNCTION("""COMPUTED_VALUE"""),"Sim")</f>
        <v>Sim</v>
      </c>
      <c r="BD593" s="27" t="str">
        <f ca="1">IFERROR(__xludf.DUMMYFUNCTION("""COMPUTED_VALUE"""),"Leandro Gabriel nasceu em Belo Horizonte/MG , artista plástico  formado na  Escola Guignard, Idealizador do  ong. viaduto das artes.")</f>
        <v>Leandro Gabriel nasceu em Belo Horizonte/MG , artista plástico  formado na  Escola Guignard, Idealizador do  ong. viaduto das artes.</v>
      </c>
      <c r="BE593" s="27"/>
      <c r="BF593" s="27" t="str">
        <f ca="1">IFERROR(__xludf.DUMMYFUNCTION("""COMPUTED_VALUE"""),"Heterossexual")</f>
        <v>Heterossexual</v>
      </c>
      <c r="BG593" s="27" t="str">
        <f ca="1">IFERROR(__xludf.DUMMYFUNCTION("""COMPUTED_VALUE"""),"Ensino Superior - Completo")</f>
        <v>Ensino Superior - Completo</v>
      </c>
      <c r="BH593" s="27" t="str">
        <f ca="1">IFERROR(__xludf.DUMMYFUNCTION("""COMPUTED_VALUE"""),"Privado")</f>
        <v>Privado</v>
      </c>
      <c r="BI593" s="27" t="str">
        <f ca="1">IFERROR(__xludf.DUMMYFUNCTION("""COMPUTED_VALUE"""),"Pós-Graduação")</f>
        <v>Pós-Graduação</v>
      </c>
      <c r="BJ593" s="27" t="str">
        <f ca="1">IFERROR(__xludf.DUMMYFUNCTION("""COMPUTED_VALUE"""),"Público")</f>
        <v>Público</v>
      </c>
      <c r="BK593" s="27" t="str">
        <f ca="1">IFERROR(__xludf.DUMMYFUNCTION("""COMPUTED_VALUE"""),"rua lucio dos santos")</f>
        <v>rua lucio dos santos</v>
      </c>
      <c r="BL593" s="27">
        <f ca="1">IFERROR(__xludf.DUMMYFUNCTION("""COMPUTED_VALUE"""),369)</f>
        <v>369</v>
      </c>
      <c r="BM593" s="27" t="str">
        <f ca="1">IFERROR(__xludf.DUMMYFUNCTION("""COMPUTED_VALUE"""),"casa")</f>
        <v>casa</v>
      </c>
      <c r="BN593" s="27" t="str">
        <f ca="1">IFERROR(__xludf.DUMMYFUNCTION("""COMPUTED_VALUE"""),"Belo Horizonte")</f>
        <v>Belo Horizonte</v>
      </c>
      <c r="BO593" s="27" t="str">
        <f ca="1">IFERROR(__xludf.DUMMYFUNCTION("""COMPUTED_VALUE"""),"30640-150")</f>
        <v>30640-150</v>
      </c>
      <c r="BP593" s="27" t="str">
        <f ca="1">IFERROR(__xludf.DUMMYFUNCTION("""COMPUTED_VALUE"""),"MG")</f>
        <v>MG</v>
      </c>
      <c r="BQ593" s="27" t="str">
        <f ca="1">IFERROR(__xludf.DUMMYFUNCTION("""COMPUTED_VALUE"""),"Entre 1 até 3 salários mínimos")</f>
        <v>Entre 1 até 3 salários mínimos</v>
      </c>
      <c r="BR593" s="27" t="str">
        <f ca="1">IFERROR(__xludf.DUMMYFUNCTION("""COMPUTED_VALUE"""),"MEI")</f>
        <v>MEI</v>
      </c>
      <c r="BS593" s="27" t="str">
        <f ca="1">IFERROR(__xludf.DUMMYFUNCTION("""COMPUTED_VALUE"""),"Casa cedida")</f>
        <v>Casa cedida</v>
      </c>
      <c r="BT593" s="27">
        <f ca="1">IFERROR(__xludf.DUMMYFUNCTION("""COMPUTED_VALUE"""),1)</f>
        <v>1</v>
      </c>
      <c r="BU593" s="27" t="str">
        <f ca="1">IFERROR(__xludf.DUMMYFUNCTION("""COMPUTED_VALUE"""),"Não tem")</f>
        <v>Não tem</v>
      </c>
      <c r="BV593" s="27"/>
      <c r="BW593" s="27"/>
      <c r="BX593" s="21" t="str">
        <f ca="1">IFERROR(__xludf.DUMMYFUNCTION("""COMPUTED_VALUE"""),"https://www.instagram.com/leandro_gabriel_escultor/")</f>
        <v>https://www.instagram.com/leandro_gabriel_escultor/</v>
      </c>
      <c r="BY593" s="21" t="str">
        <f ca="1">IFERROR(__xludf.DUMMYFUNCTION("""COMPUTED_VALUE"""),"https://drive.google.com/open?id=1JYRVtljWjcJx8uAVYayPNz31Aw8vCF2a")</f>
        <v>https://drive.google.com/open?id=1JYRVtljWjcJx8uAVYayPNz31Aw8vCF2a</v>
      </c>
    </row>
    <row r="594" spans="1:77" ht="12.5" x14ac:dyDescent="0.25">
      <c r="A594" s="21" t="str">
        <f ca="1">IFERROR(__xludf.DUMMYFUNCTION("""COMPUTED_VALUE"""),"0014X00002OEuapQAD")</f>
        <v>0014X00002OEuapQAD</v>
      </c>
      <c r="B594" s="27" t="str">
        <f ca="1">IFERROR(__xludf.DUMMYFUNCTION("""COMPUTED_VALUE"""),"Fase Inicial")</f>
        <v>Fase Inicial</v>
      </c>
      <c r="C594" s="27" t="str">
        <f ca="1">IFERROR(__xludf.DUMMYFUNCTION("""COMPUTED_VALUE"""),"Fellow")</f>
        <v>Fellow</v>
      </c>
      <c r="D594" s="27" t="str">
        <f ca="1">IFERROR(__xludf.DUMMYFUNCTION("""COMPUTED_VALUE"""),"Afastado")</f>
        <v>Afastado</v>
      </c>
      <c r="E594" s="27" t="str">
        <f ca="1">IFERROR(__xludf.DUMMYFUNCTION("""COMPUTED_VALUE"""),"vila carioca fertil")</f>
        <v>vila carioca fertil</v>
      </c>
      <c r="F594" s="27" t="str">
        <f ca="1">IFERROR(__xludf.DUMMYFUNCTION("""COMPUTED_VALUE"""),"Edi")</f>
        <v>Edi</v>
      </c>
      <c r="G594" s="27" t="str">
        <f ca="1">IFERROR(__xludf.DUMMYFUNCTION("""COMPUTED_VALUE"""),"Coletivo Verdigal")</f>
        <v>Coletivo Verdigal</v>
      </c>
      <c r="H594" s="27"/>
      <c r="I594" s="27"/>
      <c r="J594" s="27"/>
      <c r="K594" s="27"/>
      <c r="L594" s="27" t="str">
        <f ca="1">IFERROR(__xludf.DUMMYFUNCTION("""COMPUTED_VALUE"""),"SP")</f>
        <v>SP</v>
      </c>
      <c r="M594" s="27" t="str">
        <f ca="1">IFERROR(__xludf.DUMMYFUNCTION("""COMPUTED_VALUE"""),"o mesmo do líder")</f>
        <v>o mesmo do líder</v>
      </c>
      <c r="N594" s="27"/>
      <c r="O594" s="27"/>
      <c r="P594" s="27" t="str">
        <f ca="1">IFERROR(__xludf.DUMMYFUNCTION("""COMPUTED_VALUE"""),"São Paulo")</f>
        <v>São Paulo</v>
      </c>
      <c r="Q594" s="27"/>
      <c r="R594" s="27">
        <f ca="1">IFERROR(__xludf.DUMMYFUNCTION("""COMPUTED_VALUE"""),4225080)</f>
        <v>4225080</v>
      </c>
      <c r="S594" s="27"/>
      <c r="T594" s="27"/>
      <c r="U594" s="27"/>
      <c r="V594" s="27"/>
      <c r="W594" s="27"/>
      <c r="X594" s="27"/>
      <c r="Y594" s="27"/>
      <c r="Z594" s="27"/>
      <c r="AA594" s="27"/>
      <c r="AB594" s="27"/>
      <c r="AC594" s="27"/>
      <c r="AD594" s="27"/>
      <c r="AE594" s="27"/>
      <c r="AF594" s="27"/>
      <c r="AG594" s="27"/>
      <c r="AH594" s="27"/>
      <c r="AI594" s="27"/>
      <c r="AJ594" s="27"/>
      <c r="AK594" s="27"/>
      <c r="AL594" s="21" t="str">
        <f ca="1">IFERROR(__xludf.DUMMYFUNCTION("""COMPUTED_VALUE"""),"0034X0000315PQy")</f>
        <v>0034X0000315PQy</v>
      </c>
      <c r="AM594" s="27" t="str">
        <f ca="1">IFERROR(__xludf.DUMMYFUNCTION("""COMPUTED_VALUE"""),"Souza Dos Santos")</f>
        <v>Souza Dos Santos</v>
      </c>
      <c r="AN594" s="27" t="str">
        <f ca="1">IFERROR(__xludf.DUMMYFUNCTION("""COMPUTED_VALUE"""),"Afastado")</f>
        <v>Afastado</v>
      </c>
      <c r="AO594" s="30">
        <f ca="1">IFERROR(__xludf.DUMMYFUNCTION("""COMPUTED_VALUE"""),44551)</f>
        <v>44551</v>
      </c>
      <c r="AP594" s="27">
        <f ca="1">IFERROR(__xludf.DUMMYFUNCTION("""COMPUTED_VALUE"""),9)</f>
        <v>9</v>
      </c>
      <c r="AQ594" s="27" t="str">
        <f ca="1">IFERROR(__xludf.DUMMYFUNCTION("""COMPUTED_VALUE"""),"Segundo Semestre 2021")</f>
        <v>Segundo Semestre 2021</v>
      </c>
      <c r="AR594" s="27" t="str">
        <f ca="1">IFERROR(__xludf.DUMMYFUNCTION("""COMPUTED_VALUE"""),"coletivoverdigal@gmail.com")</f>
        <v>coletivoverdigal@gmail.com</v>
      </c>
      <c r="AS594" s="27">
        <f ca="1">IFERROR(__xludf.DUMMYFUNCTION("""COMPUTED_VALUE"""),11973779502)</f>
        <v>11973779502</v>
      </c>
      <c r="AT594" s="29">
        <f ca="1">IFERROR(__xludf.DUMMYFUNCTION("""COMPUTED_VALUE"""),26972)</f>
        <v>26972</v>
      </c>
      <c r="AU594" s="27">
        <f ca="1">IFERROR(__xludf.DUMMYFUNCTION("""COMPUTED_VALUE"""),49)</f>
        <v>49</v>
      </c>
      <c r="AV594" s="27" t="str">
        <f ca="1">IFERROR(__xludf.DUMMYFUNCTION("""COMPUTED_VALUE"""),"127.677.348-09")</f>
        <v>127.677.348-09</v>
      </c>
      <c r="AW594" s="27">
        <f ca="1">IFERROR(__xludf.DUMMYFUNCTION("""COMPUTED_VALUE"""),671121029)</f>
        <v>671121029</v>
      </c>
      <c r="AX594" s="27"/>
      <c r="AY594" s="27"/>
      <c r="AZ594" s="27"/>
      <c r="BA594" s="27" t="str">
        <f ca="1">IFERROR(__xludf.DUMMYFUNCTION("""COMPUTED_VALUE"""),"Preta")</f>
        <v>Preta</v>
      </c>
      <c r="BB594" s="27"/>
      <c r="BC594" s="27"/>
      <c r="BD594" s="27"/>
      <c r="BE594" s="27"/>
      <c r="BF594" s="27"/>
      <c r="BG594" s="27" t="str">
        <f ca="1">IFERROR(__xludf.DUMMYFUNCTION("""COMPUTED_VALUE"""),"Ensino Superior - Incompleto")</f>
        <v>Ensino Superior - Incompleto</v>
      </c>
      <c r="BH594" s="27" t="str">
        <f ca="1">IFERROR(__xludf.DUMMYFUNCTION("""COMPUTED_VALUE"""),"Público")</f>
        <v>Público</v>
      </c>
      <c r="BI594" s="27"/>
      <c r="BJ594" s="27"/>
      <c r="BK594" s="27" t="str">
        <f ca="1">IFERROR(__xludf.DUMMYFUNCTION("""COMPUTED_VALUE"""),"rua brás de pina")</f>
        <v>rua brás de pina</v>
      </c>
      <c r="BL594" s="27">
        <f ca="1">IFERROR(__xludf.DUMMYFUNCTION("""COMPUTED_VALUE"""),310)</f>
        <v>310</v>
      </c>
      <c r="BM594" s="27"/>
      <c r="BN594" s="27" t="str">
        <f ca="1">IFERROR(__xludf.DUMMYFUNCTION("""COMPUTED_VALUE"""),"São  Paulo")</f>
        <v>São  Paulo</v>
      </c>
      <c r="BO594" s="27">
        <f ca="1">IFERROR(__xludf.DUMMYFUNCTION("""COMPUTED_VALUE"""),4225080)</f>
        <v>4225080</v>
      </c>
      <c r="BP594" s="27" t="str">
        <f ca="1">IFERROR(__xludf.DUMMYFUNCTION("""COMPUTED_VALUE"""),"SP")</f>
        <v>SP</v>
      </c>
      <c r="BQ594" s="27"/>
      <c r="BR594" s="27"/>
      <c r="BS594" s="27"/>
      <c r="BT594" s="27"/>
      <c r="BU594" s="27"/>
      <c r="BV594" s="27"/>
      <c r="BW594" s="27"/>
      <c r="BX594" s="27" t="str">
        <f ca="1">IFERROR(__xludf.DUMMYFUNCTION("""COMPUTED_VALUE"""),"vila carioca fertil")</f>
        <v>vila carioca fertil</v>
      </c>
      <c r="BY594" s="27"/>
    </row>
    <row r="595" spans="1:77" ht="12.5" x14ac:dyDescent="0.25">
      <c r="A595" s="21" t="str">
        <f ca="1">IFERROR(__xludf.DUMMYFUNCTION("""COMPUTED_VALUE"""),"0014P00003AN2GGQA1")</f>
        <v>0014P00003AN2GGQA1</v>
      </c>
      <c r="B595" s="27" t="str">
        <f ca="1">IFERROR(__xludf.DUMMYFUNCTION("""COMPUTED_VALUE"""),"Fase Inicial")</f>
        <v>Fase Inicial</v>
      </c>
      <c r="C595" s="27" t="str">
        <f ca="1">IFERROR(__xludf.DUMMYFUNCTION("""COMPUTED_VALUE"""),"Fellow")</f>
        <v>Fellow</v>
      </c>
      <c r="D595" s="27" t="str">
        <f ca="1">IFERROR(__xludf.DUMMYFUNCTION("""COMPUTED_VALUE"""),"Ativo")</f>
        <v>Ativo</v>
      </c>
      <c r="E595" s="27" t="str">
        <f ca="1">IFERROR(__xludf.DUMMYFUNCTION("""COMPUTED_VALUE"""),"Vila em Progresso")</f>
        <v>Vila em Progresso</v>
      </c>
      <c r="F595" s="27" t="str">
        <f ca="1">IFERROR(__xludf.DUMMYFUNCTION("""COMPUTED_VALUE"""),"Fábio")</f>
        <v>Fábio</v>
      </c>
      <c r="G595" s="27"/>
      <c r="H595" s="27" t="str">
        <f ca="1">IFERROR(__xludf.DUMMYFUNCTION("""COMPUTED_VALUE"""),"Em construção")</f>
        <v>Em construção</v>
      </c>
      <c r="I595" s="27"/>
      <c r="J595" s="27"/>
      <c r="K595" s="27" t="str">
        <f ca="1">IFERROR(__xludf.DUMMYFUNCTION("""COMPUTED_VALUE"""),"(11)94810-3247")</f>
        <v>(11)94810-3247</v>
      </c>
      <c r="L595" s="27" t="str">
        <f ca="1">IFERROR(__xludf.DUMMYFUNCTION("""COMPUTED_VALUE"""),"SP")</f>
        <v>SP</v>
      </c>
      <c r="M595" s="27" t="str">
        <f ca="1">IFERROR(__xludf.DUMMYFUNCTION("""COMPUTED_VALUE"""),"Rua Carlota Brianza")</f>
        <v>Rua Carlota Brianza</v>
      </c>
      <c r="N595" s="27" t="str">
        <f ca="1">IFERROR(__xludf.DUMMYFUNCTION("""COMPUTED_VALUE"""),"Vila Progresso")</f>
        <v>Vila Progresso</v>
      </c>
      <c r="O595" s="27" t="str">
        <f ca="1">IFERROR(__xludf.DUMMYFUNCTION("""COMPUTED_VALUE"""),"(11)94810-3247")</f>
        <v>(11)94810-3247</v>
      </c>
      <c r="P595" s="27" t="str">
        <f ca="1">IFERROR(__xludf.DUMMYFUNCTION("""COMPUTED_VALUE"""),"São Paulo")</f>
        <v>São Paulo</v>
      </c>
      <c r="Q595" s="27"/>
      <c r="R595" s="27" t="str">
        <f ca="1">IFERROR(__xludf.DUMMYFUNCTION("""COMPUTED_VALUE"""),"08245-070")</f>
        <v>08245-070</v>
      </c>
      <c r="S595" s="27"/>
      <c r="T595" s="27" t="str">
        <f ca="1">IFERROR(__xludf.DUMMYFUNCTION("""COMPUTED_VALUE"""),"Esporte; Educação; Empregabilidade; Assistência Social; Cultura; Qualificação Profissional; Empreendedorismo; Meio ambiente; Ciência e Tecnologia; Defesa de Direitos; Assistência Psicológica; Desenvolvimento comunitário")</f>
        <v>Esporte; Educação; Empregabilidade; Assistência Social; Cultura; Qualificação Profissional; Empreendedorismo; Meio ambiente; Ciência e Tecnologia; Defesa de Direitos; Assistência Psicológica; Desenvolvimento comunitário</v>
      </c>
      <c r="U595"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595" s="27" t="str">
        <f ca="1">IFERROR(__xludf.DUMMYFUNCTION("""COMPUTED_VALUE"""),"Moradores de Favelas; Egressos sistema carcerário")</f>
        <v>Moradores de Favelas; Egressos sistema carcerário</v>
      </c>
      <c r="W595" s="27">
        <f ca="1">IFERROR(__xludf.DUMMYFUNCTION("""COMPUTED_VALUE"""),5)</f>
        <v>5</v>
      </c>
      <c r="X595" s="27"/>
      <c r="Y595" s="27"/>
      <c r="Z595" s="27"/>
      <c r="AA595" s="29">
        <f ca="1">IFERROR(__xludf.DUMMYFUNCTION("""COMPUTED_VALUE"""),42426)</f>
        <v>42426</v>
      </c>
      <c r="AB595" s="27" t="str">
        <f ca="1">IFERROR(__xludf.DUMMYFUNCTION("""COMPUTED_VALUE"""),"Em processo")</f>
        <v>Em processo</v>
      </c>
      <c r="AC595" s="27">
        <f ca="1">IFERROR(__xludf.DUMMYFUNCTION("""COMPUTED_VALUE"""),5)</f>
        <v>5</v>
      </c>
      <c r="AD595" s="27">
        <f ca="1">IFERROR(__xludf.DUMMYFUNCTION("""COMPUTED_VALUE"""),10)</f>
        <v>10</v>
      </c>
      <c r="AE595" s="27">
        <f ca="1">IFERROR(__xludf.DUMMYFUNCTION("""COMPUTED_VALUE"""),5)</f>
        <v>5</v>
      </c>
      <c r="AF595" s="27">
        <f ca="1">IFERROR(__xludf.DUMMYFUNCTION("""COMPUTED_VALUE"""),10)</f>
        <v>10</v>
      </c>
      <c r="AG595" s="27">
        <f ca="1">IFERROR(__xludf.DUMMYFUNCTION("""COMPUTED_VALUE"""),1)</f>
        <v>1</v>
      </c>
      <c r="AH595" s="27" t="str">
        <f ca="1">IFERROR(__xludf.DUMMYFUNCTION("""COMPUTED_VALUE"""),"Eventos/Ações para captação; Plataforma doação online - Pessoa Física; Parceria iniciativa privada; Editais; Doações; Recursos próprios")</f>
        <v>Eventos/Ações para captação; Plataforma doação online - Pessoa Física; Parceria iniciativa privada; Editais; Doações; Recursos próprios</v>
      </c>
      <c r="AI595" s="27" t="str">
        <f ca="1">IFERROR(__xludf.DUMMYFUNCTION("""COMPUTED_VALUE"""),"100% doações online")</f>
        <v>100% doações online</v>
      </c>
      <c r="AJ595" s="27" t="str">
        <f ca="1">IFERROR(__xludf.DUMMYFUNCTION("""COMPUTED_VALUE"""),"Não")</f>
        <v>Não</v>
      </c>
      <c r="AK595" s="27" t="str">
        <f ca="1">IFERROR(__xludf.DUMMYFUNCTION("""COMPUTED_VALUE"""),"Não")</f>
        <v>Não</v>
      </c>
      <c r="AL595" s="21" t="str">
        <f ca="1">IFERROR(__xludf.DUMMYFUNCTION("""COMPUTED_VALUE"""),"0034P00003maBVk")</f>
        <v>0034P00003maBVk</v>
      </c>
      <c r="AM595" s="27" t="str">
        <f ca="1">IFERROR(__xludf.DUMMYFUNCTION("""COMPUTED_VALUE"""),"Gonçalves Da Silva")</f>
        <v>Gonçalves Da Silva</v>
      </c>
      <c r="AN595" s="27" t="str">
        <f ca="1">IFERROR(__xludf.DUMMYFUNCTION("""COMPUTED_VALUE"""),"Ativo")</f>
        <v>Ativo</v>
      </c>
      <c r="AO595" s="29">
        <f ca="1">IFERROR(__xludf.DUMMYFUNCTION("""COMPUTED_VALUE"""),44237)</f>
        <v>44237</v>
      </c>
      <c r="AP595" s="27">
        <f ca="1">IFERROR(__xludf.DUMMYFUNCTION("""COMPUTED_VALUE"""),19)</f>
        <v>19</v>
      </c>
      <c r="AQ595" s="27" t="str">
        <f ca="1">IFERROR(__xludf.DUMMYFUNCTION("""COMPUTED_VALUE"""),"Segundo Semestre 2020")</f>
        <v>Segundo Semestre 2020</v>
      </c>
      <c r="AR595" s="27" t="str">
        <f ca="1">IFERROR(__xludf.DUMMYFUNCTION("""COMPUTED_VALUE"""),"planetloboazul.2015@gmail.com")</f>
        <v>planetloboazul.2015@gmail.com</v>
      </c>
      <c r="AS595" s="27" t="str">
        <f ca="1">IFERROR(__xludf.DUMMYFUNCTION("""COMPUTED_VALUE"""),"(11)94810-3247")</f>
        <v>(11)94810-3247</v>
      </c>
      <c r="AT595" s="29">
        <f ca="1">IFERROR(__xludf.DUMMYFUNCTION("""COMPUTED_VALUE"""),30001)</f>
        <v>30001</v>
      </c>
      <c r="AU595" s="27">
        <f ca="1">IFERROR(__xludf.DUMMYFUNCTION("""COMPUTED_VALUE"""),40)</f>
        <v>40</v>
      </c>
      <c r="AV595" s="27">
        <f ca="1">IFERROR(__xludf.DUMMYFUNCTION("""COMPUTED_VALUE"""),31935694880)</f>
        <v>31935694880</v>
      </c>
      <c r="AW595" s="27">
        <f ca="1">IFERROR(__xludf.DUMMYFUNCTION("""COMPUTED_VALUE"""),329719555)</f>
        <v>329719555</v>
      </c>
      <c r="AX595" s="27" t="str">
        <f ca="1">IFERROR(__xludf.DUMMYFUNCTION("""COMPUTED_VALUE"""),"Somente  médio completo")</f>
        <v>Somente  médio completo</v>
      </c>
      <c r="AY595" s="27"/>
      <c r="AZ595" s="27" t="str">
        <f ca="1">IFERROR(__xludf.DUMMYFUNCTION("""COMPUTED_VALUE"""),"G")</f>
        <v>G</v>
      </c>
      <c r="BA595" s="27"/>
      <c r="BB595" s="27"/>
      <c r="BC595" s="27" t="str">
        <f ca="1">IFERROR(__xludf.DUMMYFUNCTION("""COMPUTED_VALUE"""),"Sim")</f>
        <v>Sim</v>
      </c>
      <c r="BD595" s="27" t="str">
        <f ca="1">IFERROR(__xludf.DUMMYFUNCTION("""COMPUTED_VALUE"""),"Sou uma pessoa alegre, e mesmo nas dificuldades, procuro sorrir. ... mas nao desisto dos meus sonhos, sou perseverante. Se Deus me deixa sonhar,então sonho sem medo ... ""As coisas que amo as deixo livre, pois se voltarem foi porque realmente as conquiste"&amp;"i e se não voltarem é porque eu nunca as possui realmente"".")</f>
        <v>Sou uma pessoa alegre, e mesmo nas dificuldades, procuro sorrir. ... mas nao desisto dos meus sonhos, sou perseverante. Se Deus me deixa sonhar,então sonho sem medo ... "As coisas que amo as deixo livre, pois se voltarem foi porque realmente as conquistei e se não voltarem é porque eu nunca as possui realmente".</v>
      </c>
      <c r="BE595" s="27"/>
      <c r="BF595" s="27"/>
      <c r="BG595" s="27" t="str">
        <f ca="1">IFERROR(__xludf.DUMMYFUNCTION("""COMPUTED_VALUE"""),"Ensino Médio - Completo")</f>
        <v>Ensino Médio - Completo</v>
      </c>
      <c r="BH595" s="27"/>
      <c r="BI595" s="27"/>
      <c r="BJ595" s="27"/>
      <c r="BK595" s="27" t="str">
        <f ca="1">IFERROR(__xludf.DUMMYFUNCTION("""COMPUTED_VALUE"""),"Rua Dr Mário Moura viela 5")</f>
        <v>Rua Dr Mário Moura viela 5</v>
      </c>
      <c r="BL595" s="27">
        <f ca="1">IFERROR(__xludf.DUMMYFUNCTION("""COMPUTED_VALUE"""),5)</f>
        <v>5</v>
      </c>
      <c r="BM595" s="27" t="str">
        <f ca="1">IFERROR(__xludf.DUMMYFUNCTION("""COMPUTED_VALUE"""),"casa 5")</f>
        <v>casa 5</v>
      </c>
      <c r="BN595" s="27" t="str">
        <f ca="1">IFERROR(__xludf.DUMMYFUNCTION("""COMPUTED_VALUE"""),"São Paulo")</f>
        <v>São Paulo</v>
      </c>
      <c r="BO595" s="27" t="str">
        <f ca="1">IFERROR(__xludf.DUMMYFUNCTION("""COMPUTED_VALUE"""),"08240-480")</f>
        <v>08240-480</v>
      </c>
      <c r="BP595" s="27" t="str">
        <f ca="1">IFERROR(__xludf.DUMMYFUNCTION("""COMPUTED_VALUE"""),"SP")</f>
        <v>SP</v>
      </c>
      <c r="BQ595" s="27" t="str">
        <f ca="1">IFERROR(__xludf.DUMMYFUNCTION("""COMPUTED_VALUE"""),"Entre 1 até 3 salários mínimos")</f>
        <v>Entre 1 até 3 salários mínimos</v>
      </c>
      <c r="BR595" s="27"/>
      <c r="BS595" s="27" t="str">
        <f ca="1">IFERROR(__xludf.DUMMYFUNCTION("""COMPUTED_VALUE"""),"Ocupação/Invasão")</f>
        <v>Ocupação/Invasão</v>
      </c>
      <c r="BT595" s="27">
        <f ca="1">IFERROR(__xludf.DUMMYFUNCTION("""COMPUTED_VALUE"""),2)</f>
        <v>2</v>
      </c>
      <c r="BU595" s="27"/>
      <c r="BV595" s="27"/>
      <c r="BW595" s="27"/>
      <c r="BX595" s="27"/>
      <c r="BY595" s="21" t="str">
        <f ca="1">IFERROR(__xludf.DUMMYFUNCTION("""COMPUTED_VALUE"""),"https://drive.google.com/open?id=1YNt-u9Yp81MTHmhUGELZbm0kIuk0xDO3")</f>
        <v>https://drive.google.com/open?id=1YNt-u9Yp81MTHmhUGELZbm0kIuk0xDO3</v>
      </c>
    </row>
    <row r="596" spans="1:77" ht="12.5" x14ac:dyDescent="0.25">
      <c r="A596" s="21" t="str">
        <f ca="1">IFERROR(__xludf.DUMMYFUNCTION("""COMPUTED_VALUE"""),"0014P00003YSp8JQAT")</f>
        <v>0014P00003YSp8JQAT</v>
      </c>
      <c r="B596" s="27" t="str">
        <f ca="1">IFERROR(__xludf.DUMMYFUNCTION("""COMPUTED_VALUE"""),"Fase Inicial")</f>
        <v>Fase Inicial</v>
      </c>
      <c r="C596" s="27" t="str">
        <f ca="1">IFERROR(__xludf.DUMMYFUNCTION("""COMPUTED_VALUE"""),"Fellow")</f>
        <v>Fellow</v>
      </c>
      <c r="D596" s="27" t="str">
        <f ca="1">IFERROR(__xludf.DUMMYFUNCTION("""COMPUTED_VALUE"""),"Ativo")</f>
        <v>Ativo</v>
      </c>
      <c r="E596" s="27" t="str">
        <f ca="1">IFERROR(__xludf.DUMMYFUNCTION("""COMPUTED_VALUE"""),"Voluntários Fazendo Criança Sorrir")</f>
        <v>Voluntários Fazendo Criança Sorrir</v>
      </c>
      <c r="F596" s="27" t="str">
        <f ca="1">IFERROR(__xludf.DUMMYFUNCTION("""COMPUTED_VALUE"""),"Ana")</f>
        <v>Ana</v>
      </c>
      <c r="G596" s="27"/>
      <c r="H596" s="27" t="str">
        <f ca="1">IFERROR(__xludf.DUMMYFUNCTION("""COMPUTED_VALUE"""),"07.194.544/0001-80")</f>
        <v>07.194.544/0001-80</v>
      </c>
      <c r="I596" s="27" t="str">
        <f ca="1">IFERROR(__xludf.DUMMYFUNCTION("""COMPUTED_VALUE"""),"Ana Paula da Cruz")</f>
        <v>Ana Paula da Cruz</v>
      </c>
      <c r="J596" s="27" t="str">
        <f ca="1">IFERROR(__xludf.DUMMYFUNCTION("""COMPUTED_VALUE"""),"ongvoluntario@yahoo.com.br")</f>
        <v>ongvoluntario@yahoo.com.br</v>
      </c>
      <c r="K596" s="27" t="str">
        <f ca="1">IFERROR(__xludf.DUMMYFUNCTION("""COMPUTED_VALUE"""),"(21)99844-3042")</f>
        <v>(21)99844-3042</v>
      </c>
      <c r="L596" s="27" t="str">
        <f ca="1">IFERROR(__xludf.DUMMYFUNCTION("""COMPUTED_VALUE"""),"RJ")</f>
        <v>RJ</v>
      </c>
      <c r="M596" s="27" t="str">
        <f ca="1">IFERROR(__xludf.DUMMYFUNCTION("""COMPUTED_VALUE"""),"Rua: Budapeste")</f>
        <v>Rua: Budapeste</v>
      </c>
      <c r="N596" s="27" t="str">
        <f ca="1">IFERROR(__xludf.DUMMYFUNCTION("""COMPUTED_VALUE"""),"Freguesia- Ilha do Governador")</f>
        <v>Freguesia- Ilha do Governador</v>
      </c>
      <c r="O596" s="27">
        <f ca="1">IFERROR(__xludf.DUMMYFUNCTION("""COMPUTED_VALUE"""),473)</f>
        <v>473</v>
      </c>
      <c r="P596" s="27" t="str">
        <f ca="1">IFERROR(__xludf.DUMMYFUNCTION("""COMPUTED_VALUE"""),"Rio de Janeiro")</f>
        <v>Rio de Janeiro</v>
      </c>
      <c r="Q596" s="27" t="str">
        <f ca="1">IFERROR(__xludf.DUMMYFUNCTION("""COMPUTED_VALUE"""),"Casa 01")</f>
        <v>Casa 01</v>
      </c>
      <c r="R596" s="27" t="str">
        <f ca="1">IFERROR(__xludf.DUMMYFUNCTION("""COMPUTED_VALUE"""),"21911-300")</f>
        <v>21911-300</v>
      </c>
      <c r="S596" s="27"/>
      <c r="T596" s="27" t="str">
        <f ca="1">IFERROR(__xludf.DUMMYFUNCTION("""COMPUTED_VALUE"""),"Esporte; Educação; Assistência Social; Cultura; Outro(s)")</f>
        <v>Esporte; Educação; Assistência Social; Cultura; Outro(s)</v>
      </c>
      <c r="U596" s="27" t="str">
        <f ca="1">IFERROR(__xludf.DUMMYFUNCTION("""COMPUTED_VALUE"""),"Bebês (0 a 1 ano e 6 meses); Crianças bem pequenas (1 ano e 7 meses até 3 anos e 11 meses); Crianças pequenas (4 anos a 5 anos e 11 meses); Crianças (6 a 12 anos); Adolescentes (12 aos 18 anos); Jovens (18 aos 24 anos); Adultos; Idosos (60 anos ou mais)")</f>
        <v>Bebês (0 a 1 ano e 6 meses); Crianças bem pequenas (1 ano e 7 meses até 3 anos e 11 meses); Crianças pequenas (4 anos a 5 anos e 11 meses); Crianças (6 a 12 anos); Adolescentes (12 aos 18 anos); Jovens (18 aos 24 anos); Adultos; Idosos (60 anos ou mais)</v>
      </c>
      <c r="V596" s="27" t="str">
        <f ca="1">IFERROR(__xludf.DUMMYFUNCTION("""COMPUTED_VALUE"""),"Moradores de Favelas; Pessoas com Deficiência")</f>
        <v>Moradores de Favelas; Pessoas com Deficiência</v>
      </c>
      <c r="W596" s="27">
        <f ca="1">IFERROR(__xludf.DUMMYFUNCTION("""COMPUTED_VALUE"""),9)</f>
        <v>9</v>
      </c>
      <c r="X596" s="27"/>
      <c r="Y596" s="27"/>
      <c r="Z596" s="27">
        <f ca="1">IFERROR(__xludf.DUMMYFUNCTION("""COMPUTED_VALUE"""),2300)</f>
        <v>2300</v>
      </c>
      <c r="AA596" s="29">
        <f ca="1">IFERROR(__xludf.DUMMYFUNCTION("""COMPUTED_VALUE"""),32254)</f>
        <v>32254</v>
      </c>
      <c r="AB596" s="27" t="str">
        <f ca="1">IFERROR(__xludf.DUMMYFUNCTION("""COMPUTED_VALUE"""),"Sim")</f>
        <v>Sim</v>
      </c>
      <c r="AC596" s="27">
        <f ca="1">IFERROR(__xludf.DUMMYFUNCTION("""COMPUTED_VALUE"""),9)</f>
        <v>9</v>
      </c>
      <c r="AD596" s="27">
        <f ca="1">IFERROR(__xludf.DUMMYFUNCTION("""COMPUTED_VALUE"""),7)</f>
        <v>7</v>
      </c>
      <c r="AE596" s="27">
        <f ca="1">IFERROR(__xludf.DUMMYFUNCTION("""COMPUTED_VALUE"""),13)</f>
        <v>13</v>
      </c>
      <c r="AF596" s="27">
        <f ca="1">IFERROR(__xludf.DUMMYFUNCTION("""COMPUTED_VALUE"""),6)</f>
        <v>6</v>
      </c>
      <c r="AG596" s="27">
        <f ca="1">IFERROR(__xludf.DUMMYFUNCTION("""COMPUTED_VALUE"""),2)</f>
        <v>2</v>
      </c>
      <c r="AH596" s="27" t="str">
        <f ca="1">IFERROR(__xludf.DUMMYFUNCTION("""COMPUTED_VALUE"""),"Eventos/Ações para captação; Outro(s); Doações; Recursos próprios")</f>
        <v>Eventos/Ações para captação; Outro(s); Doações; Recursos próprios</v>
      </c>
      <c r="AI596" s="27" t="str">
        <f ca="1">IFERROR(__xludf.DUMMYFUNCTION("""COMPUTED_VALUE"""),"Não temos")</f>
        <v>Não temos</v>
      </c>
      <c r="AJ596" s="27"/>
      <c r="AK596" s="27"/>
      <c r="AL596" s="21" t="str">
        <f ca="1">IFERROR(__xludf.DUMMYFUNCTION("""COMPUTED_VALUE"""),"0034P000045kxiu")</f>
        <v>0034P000045kxiu</v>
      </c>
      <c r="AM596" s="27" t="str">
        <f ca="1">IFERROR(__xludf.DUMMYFUNCTION("""COMPUTED_VALUE"""),"Paula Da Cruz")</f>
        <v>Paula Da Cruz</v>
      </c>
      <c r="AN596" s="27" t="str">
        <f ca="1">IFERROR(__xludf.DUMMYFUNCTION("""COMPUTED_VALUE"""),"Ativo")</f>
        <v>Ativo</v>
      </c>
      <c r="AO596" s="30">
        <f ca="1">IFERROR(__xludf.DUMMYFUNCTION("""COMPUTED_VALUE"""),44551)</f>
        <v>44551</v>
      </c>
      <c r="AP596" s="27">
        <f ca="1">IFERROR(__xludf.DUMMYFUNCTION("""COMPUTED_VALUE"""),9)</f>
        <v>9</v>
      </c>
      <c r="AQ596" s="27" t="str">
        <f ca="1">IFERROR(__xludf.DUMMYFUNCTION("""COMPUTED_VALUE"""),"Segundo Semestre 2021")</f>
        <v>Segundo Semestre 2021</v>
      </c>
      <c r="AR596" s="27" t="str">
        <f ca="1">IFERROR(__xludf.DUMMYFUNCTION("""COMPUTED_VALUE"""),"ongvoluntario@yahoo.com.br")</f>
        <v>ongvoluntario@yahoo.com.br</v>
      </c>
      <c r="AS596" s="27" t="str">
        <f ca="1">IFERROR(__xludf.DUMMYFUNCTION("""COMPUTED_VALUE"""),"(21)99844-3042")</f>
        <v>(21)99844-3042</v>
      </c>
      <c r="AT596" s="29">
        <f ca="1">IFERROR(__xludf.DUMMYFUNCTION("""COMPUTED_VALUE"""),26913)</f>
        <v>26913</v>
      </c>
      <c r="AU596" s="27">
        <f ca="1">IFERROR(__xludf.DUMMYFUNCTION("""COMPUTED_VALUE"""),49)</f>
        <v>49</v>
      </c>
      <c r="AV596" s="27">
        <f ca="1">IFERROR(__xludf.DUMMYFUNCTION("""COMPUTED_VALUE"""),3791259784)</f>
        <v>3791259784</v>
      </c>
      <c r="AW596" s="27" t="str">
        <f ca="1">IFERROR(__xludf.DUMMYFUNCTION("""COMPUTED_VALUE"""),"10040711-3")</f>
        <v>10040711-3</v>
      </c>
      <c r="AX596" s="27"/>
      <c r="AY596" s="27"/>
      <c r="AZ596" s="27" t="str">
        <f ca="1">IFERROR(__xludf.DUMMYFUNCTION("""COMPUTED_VALUE"""),"G")</f>
        <v>G</v>
      </c>
      <c r="BA596" s="27" t="str">
        <f ca="1">IFERROR(__xludf.DUMMYFUNCTION("""COMPUTED_VALUE"""),"Parda")</f>
        <v>Parda</v>
      </c>
      <c r="BB596" s="27" t="str">
        <f ca="1">IFERROR(__xludf.DUMMYFUNCTION("""COMPUTED_VALUE"""),"Mulher, cisgênero")</f>
        <v>Mulher, cisgênero</v>
      </c>
      <c r="BC596" s="27" t="str">
        <f ca="1">IFERROR(__xludf.DUMMYFUNCTION("""COMPUTED_VALUE"""),"Não")</f>
        <v>Não</v>
      </c>
      <c r="BD596" s="27" t="str">
        <f ca="1">IFERROR(__xludf.DUMMYFUNCTION("""COMPUTED_VALUE"""),"Sou uma pessoa alegre, que busca sempre ver o melhor do meu próximo que acredita no ser humano, acredito em sonhos e trabalho para realizar, acredito na solidariedade e creio que a solidariedade, união,força de vontade e muito trabalho pode-se construir u"&amp;"m mundo melhor.")</f>
        <v>Sou uma pessoa alegre, que busca sempre ver o melhor do meu próximo que acredita no ser humano, acredito em sonhos e trabalho para realizar, acredito na solidariedade e creio que a solidariedade, união,força de vontade e muito trabalho pode-se construir um mundo melhor.</v>
      </c>
      <c r="BE596" s="27"/>
      <c r="BF596" s="27" t="str">
        <f ca="1">IFERROR(__xludf.DUMMYFUNCTION("""COMPUTED_VALUE"""),"Heterossexual")</f>
        <v>Heterossexual</v>
      </c>
      <c r="BG596" s="27" t="str">
        <f ca="1">IFERROR(__xludf.DUMMYFUNCTION("""COMPUTED_VALUE"""),"Ensino Médio - Completo")</f>
        <v>Ensino Médio - Completo</v>
      </c>
      <c r="BH596" s="27" t="str">
        <f ca="1">IFERROR(__xludf.DUMMYFUNCTION("""COMPUTED_VALUE"""),"Pública")</f>
        <v>Pública</v>
      </c>
      <c r="BI596" s="27"/>
      <c r="BJ596" s="27"/>
      <c r="BK596" s="27" t="str">
        <f ca="1">IFERROR(__xludf.DUMMYFUNCTION("""COMPUTED_VALUE"""),"Rua: Budapeste")</f>
        <v>Rua: Budapeste</v>
      </c>
      <c r="BL596" s="27">
        <f ca="1">IFERROR(__xludf.DUMMYFUNCTION("""COMPUTED_VALUE"""),473)</f>
        <v>473</v>
      </c>
      <c r="BM596" s="27" t="str">
        <f ca="1">IFERROR(__xludf.DUMMYFUNCTION("""COMPUTED_VALUE"""),"casa 01")</f>
        <v>casa 01</v>
      </c>
      <c r="BN596" s="27" t="str">
        <f ca="1">IFERROR(__xludf.DUMMYFUNCTION("""COMPUTED_VALUE"""),"Rio de Janeiro")</f>
        <v>Rio de Janeiro</v>
      </c>
      <c r="BO596" s="27" t="str">
        <f ca="1">IFERROR(__xludf.DUMMYFUNCTION("""COMPUTED_VALUE"""),"21911-300")</f>
        <v>21911-300</v>
      </c>
      <c r="BP596" s="27" t="str">
        <f ca="1">IFERROR(__xludf.DUMMYFUNCTION("""COMPUTED_VALUE"""),"RJ")</f>
        <v>RJ</v>
      </c>
      <c r="BQ596" s="27" t="str">
        <f ca="1">IFERROR(__xludf.DUMMYFUNCTION("""COMPUTED_VALUE"""),"Entre 1 até 3 salários mínimos")</f>
        <v>Entre 1 até 3 salários mínimos</v>
      </c>
      <c r="BR596" s="27" t="str">
        <f ca="1">IFERROR(__xludf.DUMMYFUNCTION("""COMPUTED_VALUE"""),"CLT")</f>
        <v>CLT</v>
      </c>
      <c r="BS596" s="27" t="str">
        <f ca="1">IFERROR(__xludf.DUMMYFUNCTION("""COMPUTED_VALUE"""),"Casa própria")</f>
        <v>Casa própria</v>
      </c>
      <c r="BT596" s="27">
        <f ca="1">IFERROR(__xludf.DUMMYFUNCTION("""COMPUTED_VALUE"""),8)</f>
        <v>8</v>
      </c>
      <c r="BU596" s="27" t="str">
        <f ca="1">IFERROR(__xludf.DUMMYFUNCTION("""COMPUTED_VALUE"""),"Baixa visão")</f>
        <v>Baixa visão</v>
      </c>
      <c r="BV596" s="27"/>
      <c r="BW596" s="27"/>
      <c r="BX596" s="21" t="str">
        <f ca="1">IFERROR(__xludf.DUMMYFUNCTION("""COMPUTED_VALUE"""),"https://instagram.com/casa.sorriso.da.crianca?utm_medium=copy_link")</f>
        <v>https://instagram.com/casa.sorriso.da.crianca?utm_medium=copy_link</v>
      </c>
      <c r="BY596" s="21" t="str">
        <f ca="1">IFERROR(__xludf.DUMMYFUNCTION("""COMPUTED_VALUE"""),"https://drive.google.com/open?id=135d4VKhf6FlL7nUTQdVQxHDqQidHnQMO")</f>
        <v>https://drive.google.com/open?id=135d4VKhf6FlL7nUTQdVQxHDqQidHnQMO</v>
      </c>
    </row>
    <row r="597" spans="1:77" ht="12.5" x14ac:dyDescent="0.25">
      <c r="A597" s="21" t="str">
        <f ca="1">IFERROR(__xludf.DUMMYFUNCTION("""COMPUTED_VALUE"""),"0014P00003AN2FnQAL")</f>
        <v>0014P00003AN2FnQAL</v>
      </c>
      <c r="B597" s="27" t="str">
        <f ca="1">IFERROR(__xludf.DUMMYFUNCTION("""COMPUTED_VALUE"""),"Fase Avançada")</f>
        <v>Fase Avançada</v>
      </c>
      <c r="C597" s="27" t="str">
        <f ca="1">IFERROR(__xludf.DUMMYFUNCTION("""COMPUTED_VALUE"""),"Acelerada")</f>
        <v>Acelerada</v>
      </c>
      <c r="D597" s="27" t="str">
        <f ca="1">IFERROR(__xludf.DUMMYFUNCTION("""COMPUTED_VALUE"""),"Ativo")</f>
        <v>Ativo</v>
      </c>
      <c r="E597" s="27" t="str">
        <f ca="1">IFERROR(__xludf.DUMMYFUNCTION("""COMPUTED_VALUE"""),"Vozes das Periferias")</f>
        <v>Vozes das Periferias</v>
      </c>
      <c r="F597" s="27" t="str">
        <f ca="1">IFERROR(__xludf.DUMMYFUNCTION("""COMPUTED_VALUE"""),"Cesar")</f>
        <v>Cesar</v>
      </c>
      <c r="G597" s="27" t="str">
        <f ca="1">IFERROR(__xludf.DUMMYFUNCTION("""COMPUTED_VALUE"""),"VOZES DAS PERIFERIAS")</f>
        <v>VOZES DAS PERIFERIAS</v>
      </c>
      <c r="H597" s="27" t="str">
        <f ca="1">IFERROR(__xludf.DUMMYFUNCTION("""COMPUTED_VALUE"""),"35.896.674/0001-09")</f>
        <v>35.896.674/0001-09</v>
      </c>
      <c r="I597" s="27"/>
      <c r="J597" s="27" t="str">
        <f ca="1">IFERROR(__xludf.DUMMYFUNCTION("""COMPUTED_VALUE"""),"cesar@vozesdasperiferias.com")</f>
        <v>cesar@vozesdasperiferias.com</v>
      </c>
      <c r="K597" s="27" t="str">
        <f ca="1">IFERROR(__xludf.DUMMYFUNCTION("""COMPUTED_VALUE"""),"(11)95430-2739")</f>
        <v>(11)95430-2739</v>
      </c>
      <c r="L597" s="27" t="str">
        <f ca="1">IFERROR(__xludf.DUMMYFUNCTION("""COMPUTED_VALUE"""),"SP")</f>
        <v>SP</v>
      </c>
      <c r="M597" s="27" t="str">
        <f ca="1">IFERROR(__xludf.DUMMYFUNCTION("""COMPUTED_VALUE"""),"RUA PARAIBUNA")</f>
        <v>RUA PARAIBUNA</v>
      </c>
      <c r="N597" s="27" t="str">
        <f ca="1">IFERROR(__xludf.DUMMYFUNCTION("""COMPUTED_VALUE"""),"Vila Prudente")</f>
        <v>Vila Prudente</v>
      </c>
      <c r="O597" s="27" t="str">
        <f ca="1">IFERROR(__xludf.DUMMYFUNCTION("""COMPUTED_VALUE"""),"(11)95430-2739")</f>
        <v>(11)95430-2739</v>
      </c>
      <c r="P597" s="27" t="str">
        <f ca="1">IFERROR(__xludf.DUMMYFUNCTION("""COMPUTED_VALUE"""),"SÃO PAULO")</f>
        <v>SÃO PAULO</v>
      </c>
      <c r="Q597" s="27"/>
      <c r="R597" s="27" t="str">
        <f ca="1">IFERROR(__xludf.DUMMYFUNCTION("""COMPUTED_VALUE"""),"03151-120")</f>
        <v>03151-120</v>
      </c>
      <c r="S597" s="27"/>
      <c r="T597" s="27" t="str">
        <f ca="1">IFERROR(__xludf.DUMMYFUNCTION("""COMPUTED_VALUE"""),"Esporte; Educação; Empregabilidade; Assistência Social; Cultura; Qualificação Profissional; Empreendedorismo; Comunicação; Desenvolvimento comunitário")</f>
        <v>Esporte; Educação; Empregabilidade; Assistência Social; Cultura; Qualificação Profissional; Empreendedorismo; Comunicação; Desenvolvimento comunitário</v>
      </c>
      <c r="U597" s="27" t="str">
        <f ca="1">IFERROR(__xludf.DUMMYFUNCTION("""COMPUTED_VALUE"""),"Crianças (6 a 12 anos); Adolescentes (12 aos 18 anos); Jovens (18 aos 24 anos); Adultos")</f>
        <v>Crianças (6 a 12 anos); Adolescentes (12 aos 18 anos); Jovens (18 aos 24 anos); Adultos</v>
      </c>
      <c r="V597" s="27" t="str">
        <f ca="1">IFERROR(__xludf.DUMMYFUNCTION("""COMPUTED_VALUE"""),"Moradores de Favelas; População LGBTQ+; Afrodescendentes")</f>
        <v>Moradores de Favelas; População LGBTQ+; Afrodescendentes</v>
      </c>
      <c r="W597" s="27">
        <f ca="1">IFERROR(__xludf.DUMMYFUNCTION("""COMPUTED_VALUE"""),6)</f>
        <v>6</v>
      </c>
      <c r="X597" s="27"/>
      <c r="Y597" s="27"/>
      <c r="Z597" s="27"/>
      <c r="AA597" s="30">
        <f ca="1">IFERROR(__xludf.DUMMYFUNCTION("""COMPUTED_VALUE"""),43812)</f>
        <v>43812</v>
      </c>
      <c r="AB597" s="27" t="str">
        <f ca="1">IFERROR(__xludf.DUMMYFUNCTION("""COMPUTED_VALUE"""),"Sim")</f>
        <v>Sim</v>
      </c>
      <c r="AC597" s="27">
        <f ca="1">IFERROR(__xludf.DUMMYFUNCTION("""COMPUTED_VALUE"""),22)</f>
        <v>22</v>
      </c>
      <c r="AD597" s="27">
        <f ca="1">IFERROR(__xludf.DUMMYFUNCTION("""COMPUTED_VALUE"""),2)</f>
        <v>2</v>
      </c>
      <c r="AE597" s="27">
        <f ca="1">IFERROR(__xludf.DUMMYFUNCTION("""COMPUTED_VALUE"""),20)</f>
        <v>20</v>
      </c>
      <c r="AF597" s="27">
        <f ca="1">IFERROR(__xludf.DUMMYFUNCTION("""COMPUTED_VALUE"""),4)</f>
        <v>4</v>
      </c>
      <c r="AG597" s="27">
        <f ca="1">IFERROR(__xludf.DUMMYFUNCTION("""COMPUTED_VALUE"""),3)</f>
        <v>3</v>
      </c>
      <c r="AH597" s="27" t="str">
        <f ca="1">IFERROR(__xludf.DUMMYFUNCTION("""COMPUTED_VALUE"""),"Lei de Incentivo; Negócio Social; Plataforma doação online - Pessoa Física; Parceria iniciativa privada; Editais; Doações; Lei Federal do Esporte; Lei Rouanet")</f>
        <v>Lei de Incentivo; Negócio Social; Plataforma doação online - Pessoa Física; Parceria iniciativa privada; Editais; Doações; Lei Federal do Esporte; Lei Rouanet</v>
      </c>
      <c r="AI597" s="27" t="str">
        <f ca="1">IFERROR(__xludf.DUMMYFUNCTION("""COMPUTED_VALUE"""),"-")</f>
        <v>-</v>
      </c>
      <c r="AJ597" s="27" t="str">
        <f ca="1">IFERROR(__xludf.DUMMYFUNCTION("""COMPUTED_VALUE"""),"Sim")</f>
        <v>Sim</v>
      </c>
      <c r="AK597" s="27" t="str">
        <f ca="1">IFERROR(__xludf.DUMMYFUNCTION("""COMPUTED_VALUE"""),"Não")</f>
        <v>Não</v>
      </c>
      <c r="AL597" s="21" t="str">
        <f ca="1">IFERROR(__xludf.DUMMYFUNCTION("""COMPUTED_VALUE"""),"0034P00003maBVE")</f>
        <v>0034P00003maBVE</v>
      </c>
      <c r="AM597" s="27" t="str">
        <f ca="1">IFERROR(__xludf.DUMMYFUNCTION("""COMPUTED_VALUE"""),"Gouveia Da Silva")</f>
        <v>Gouveia Da Silva</v>
      </c>
      <c r="AN597" s="27" t="str">
        <f ca="1">IFERROR(__xludf.DUMMYFUNCTION("""COMPUTED_VALUE"""),"Ativo")</f>
        <v>Ativo</v>
      </c>
      <c r="AO597" s="29">
        <f ca="1">IFERROR(__xludf.DUMMYFUNCTION("""COMPUTED_VALUE"""),43864)</f>
        <v>43864</v>
      </c>
      <c r="AP597" s="27">
        <f ca="1">IFERROR(__xludf.DUMMYFUNCTION("""COMPUTED_VALUE"""),31)</f>
        <v>31</v>
      </c>
      <c r="AQ597" s="27" t="str">
        <f ca="1">IFERROR(__xludf.DUMMYFUNCTION("""COMPUTED_VALUE"""),"Primeiro Semestre 2019")</f>
        <v>Primeiro Semestre 2019</v>
      </c>
      <c r="AR597" s="27" t="str">
        <f ca="1">IFERROR(__xludf.DUMMYFUNCTION("""COMPUTED_VALUE"""),"cesar@vozesdasperiferias.com")</f>
        <v>cesar@vozesdasperiferias.com</v>
      </c>
      <c r="AS597" s="27" t="str">
        <f ca="1">IFERROR(__xludf.DUMMYFUNCTION("""COMPUTED_VALUE"""),"(11)95430-2739")</f>
        <v>(11)95430-2739</v>
      </c>
      <c r="AT597" s="29">
        <f ca="1">IFERROR(__xludf.DUMMYFUNCTION("""COMPUTED_VALUE"""),33239)</f>
        <v>33239</v>
      </c>
      <c r="AU597" s="27">
        <f ca="1">IFERROR(__xludf.DUMMYFUNCTION("""COMPUTED_VALUE"""),31)</f>
        <v>31</v>
      </c>
      <c r="AV597" s="27">
        <f ca="1">IFERROR(__xludf.DUMMYFUNCTION("""COMPUTED_VALUE"""),32958195805)</f>
        <v>32958195805</v>
      </c>
      <c r="AW597" s="27">
        <f ca="1">IFERROR(__xludf.DUMMYFUNCTION("""COMPUTED_VALUE"""),472189402)</f>
        <v>472189402</v>
      </c>
      <c r="AX597" s="27" t="str">
        <f ca="1">IFERROR(__xludf.DUMMYFUNCTION("""COMPUTED_VALUE"""),"Graduado em Comunicação Social- com ênfase em Jornalismo")</f>
        <v>Graduado em Comunicação Social- com ênfase em Jornalismo</v>
      </c>
      <c r="AY597" s="27"/>
      <c r="AZ597" s="27" t="str">
        <f ca="1">IFERROR(__xludf.DUMMYFUNCTION("""COMPUTED_VALUE"""),"M")</f>
        <v>M</v>
      </c>
      <c r="BA597" s="27"/>
      <c r="BB597" s="27"/>
      <c r="BC597" s="27" t="str">
        <f ca="1">IFERROR(__xludf.DUMMYFUNCTION("""COMPUTED_VALUE"""),"Sim")</f>
        <v>Sim</v>
      </c>
      <c r="BD597" s="27" t="str">
        <f ca="1">IFERROR(__xludf.DUMMYFUNCTION("""COMPUTED_VALUE"""),"Cesar Gouveia, empreendedor social e jornalista, nascido e criado na favela mais antiga de São Paulo, a Favela da Vila Prudente, viveu 29 anos na favela, e aos 21 anos criou o Vozes das Periferias, uma plataforma que atua na cultura, esporte, qualificação"&amp;" profissional, geração de renda e comunicação comunitária nas favelas da Vila Prudente e Jd. Sinhá. O Cesar Gouveia é o primeiro líder da Rede Gerando Falcões, embarcado no ecossistema de transformação das favelas em 2018.")</f>
        <v>Cesar Gouveia, empreendedor social e jornalista, nascido e criado na favela mais antiga de São Paulo, a Favela da Vila Prudente, viveu 29 anos na favela, e aos 21 anos criou o Vozes das Periferias, uma plataforma que atua na cultura, esporte, qualificação profissional, geração de renda e comunicação comunitária nas favelas da Vila Prudente e Jd. Sinhá. O Cesar Gouveia é o primeiro líder da Rede Gerando Falcões, embarcado no ecossistema de transformação das favelas em 2018.</v>
      </c>
      <c r="BE597" s="27"/>
      <c r="BF597" s="27"/>
      <c r="BG597" s="27" t="str">
        <f ca="1">IFERROR(__xludf.DUMMYFUNCTION("""COMPUTED_VALUE"""),"Ensino Superior - Completo")</f>
        <v>Ensino Superior - Completo</v>
      </c>
      <c r="BH597" s="27"/>
      <c r="BI597" s="27" t="str">
        <f ca="1">IFERROR(__xludf.DUMMYFUNCTION("""COMPUTED_VALUE"""),"Graduação")</f>
        <v>Graduação</v>
      </c>
      <c r="BJ597" s="27" t="str">
        <f ca="1">IFERROR(__xludf.DUMMYFUNCTION("""COMPUTED_VALUE"""),"Privado")</f>
        <v>Privado</v>
      </c>
      <c r="BK597" s="27" t="str">
        <f ca="1">IFERROR(__xludf.DUMMYFUNCTION("""COMPUTED_VALUE"""),"Av Casa Grande, 900 - apto 123C")</f>
        <v>Av Casa Grande, 900 - apto 123C</v>
      </c>
      <c r="BL597" s="27">
        <f ca="1">IFERROR(__xludf.DUMMYFUNCTION("""COMPUTED_VALUE"""),900)</f>
        <v>900</v>
      </c>
      <c r="BM597" s="27" t="str">
        <f ca="1">IFERROR(__xludf.DUMMYFUNCTION("""COMPUTED_VALUE"""),"Apto 123 C")</f>
        <v>Apto 123 C</v>
      </c>
      <c r="BN597" s="27" t="str">
        <f ca="1">IFERROR(__xludf.DUMMYFUNCTION("""COMPUTED_VALUE"""),"SÃO PAULO")</f>
        <v>SÃO PAULO</v>
      </c>
      <c r="BO597" s="27" t="str">
        <f ca="1">IFERROR(__xludf.DUMMYFUNCTION("""COMPUTED_VALUE"""),"03260-000")</f>
        <v>03260-000</v>
      </c>
      <c r="BP597" s="27" t="str">
        <f ca="1">IFERROR(__xludf.DUMMYFUNCTION("""COMPUTED_VALUE"""),"SP")</f>
        <v>SP</v>
      </c>
      <c r="BQ597" s="27" t="str">
        <f ca="1">IFERROR(__xludf.DUMMYFUNCTION("""COMPUTED_VALUE"""),"Entre 1 até 3 salários mínimos")</f>
        <v>Entre 1 até 3 salários mínimos</v>
      </c>
      <c r="BR597" s="27" t="str">
        <f ca="1">IFERROR(__xludf.DUMMYFUNCTION("""COMPUTED_VALUE"""),"MEI")</f>
        <v>MEI</v>
      </c>
      <c r="BS597" s="27" t="str">
        <f ca="1">IFERROR(__xludf.DUMMYFUNCTION("""COMPUTED_VALUE"""),"Aluguel")</f>
        <v>Aluguel</v>
      </c>
      <c r="BT597" s="27">
        <f ca="1">IFERROR(__xludf.DUMMYFUNCTION("""COMPUTED_VALUE"""),7)</f>
        <v>7</v>
      </c>
      <c r="BU597" s="27"/>
      <c r="BV597" s="27"/>
      <c r="BW597" s="21" t="str">
        <f ca="1">IFERROR(__xludf.DUMMYFUNCTION("""COMPUTED_VALUE"""),"https://www.linkedin.com/in/cesar-gouveia-0956535b/")</f>
        <v>https://www.linkedin.com/in/cesar-gouveia-0956535b/</v>
      </c>
      <c r="BX597" s="21" t="str">
        <f ca="1">IFERROR(__xludf.DUMMYFUNCTION("""COMPUTED_VALUE"""),"instagram.com/gouveiia")</f>
        <v>instagram.com/gouveiia</v>
      </c>
      <c r="BY597" s="21" t="str">
        <f ca="1">IFERROR(__xludf.DUMMYFUNCTION("""COMPUTED_VALUE"""),"https://drive.google.com/open?id=1eghUesdQZNwrSxd8N_x75ax79gVQ3PtQ")</f>
        <v>https://drive.google.com/open?id=1eghUesdQZNwrSxd8N_x75ax79gVQ3PtQ</v>
      </c>
    </row>
    <row r="598" spans="1:77" ht="12.5" x14ac:dyDescent="0.25">
      <c r="A598" s="21" t="str">
        <f ca="1">IFERROR(__xludf.DUMMYFUNCTION("""COMPUTED_VALUE"""),"0014P00003YSp7pQAD")</f>
        <v>0014P00003YSp7pQAD</v>
      </c>
      <c r="B598" s="27" t="str">
        <f ca="1">IFERROR(__xludf.DUMMYFUNCTION("""COMPUTED_VALUE"""),"Fase Inicial")</f>
        <v>Fase Inicial</v>
      </c>
      <c r="C598" s="27" t="str">
        <f ca="1">IFERROR(__xludf.DUMMYFUNCTION("""COMPUTED_VALUE"""),"Fellow")</f>
        <v>Fellow</v>
      </c>
      <c r="D598" s="27" t="str">
        <f ca="1">IFERROR(__xludf.DUMMYFUNCTION("""COMPUTED_VALUE"""),"Ativo")</f>
        <v>Ativo</v>
      </c>
      <c r="E598" s="27" t="str">
        <f ca="1">IFERROR(__xludf.DUMMYFUNCTION("""COMPUTED_VALUE"""),"Voz nas Comunidades")</f>
        <v>Voz nas Comunidades</v>
      </c>
      <c r="F598" s="27" t="str">
        <f ca="1">IFERROR(__xludf.DUMMYFUNCTION("""COMPUTED_VALUE"""),"Davidson")</f>
        <v>Davidson</v>
      </c>
      <c r="G598" s="27" t="str">
        <f ca="1">IFERROR(__xludf.DUMMYFUNCTION("""COMPUTED_VALUE"""),"Seguir")</f>
        <v>Seguir</v>
      </c>
      <c r="H598" s="27"/>
      <c r="I598" s="27" t="str">
        <f ca="1">IFERROR(__xludf.DUMMYFUNCTION("""COMPUTED_VALUE"""),"Davidson Moreira Carvalho Silva")</f>
        <v>Davidson Moreira Carvalho Silva</v>
      </c>
      <c r="J598" s="27" t="str">
        <f ca="1">IFERROR(__xludf.DUMMYFUNCTION("""COMPUTED_VALUE"""),"voznascomunidades@gmail.com")</f>
        <v>voznascomunidades@gmail.com</v>
      </c>
      <c r="K598" s="27" t="str">
        <f ca="1">IFERROR(__xludf.DUMMYFUNCTION("""COMPUTED_VALUE"""),"(85)98746-8262")</f>
        <v>(85)98746-8262</v>
      </c>
      <c r="L598" s="27" t="str">
        <f ca="1">IFERROR(__xludf.DUMMYFUNCTION("""COMPUTED_VALUE"""),"CE")</f>
        <v>CE</v>
      </c>
      <c r="M598" s="27" t="str">
        <f ca="1">IFERROR(__xludf.DUMMYFUNCTION("""COMPUTED_VALUE"""),"Rua professora Maria Clara")</f>
        <v>Rua professora Maria Clara</v>
      </c>
      <c r="N598" s="27" t="str">
        <f ca="1">IFERROR(__xludf.DUMMYFUNCTION("""COMPUTED_VALUE"""),"Padre Andrade")</f>
        <v>Padre Andrade</v>
      </c>
      <c r="O598" s="27">
        <f ca="1">IFERROR(__xludf.DUMMYFUNCTION("""COMPUTED_VALUE"""),10)</f>
        <v>10</v>
      </c>
      <c r="P598" s="27" t="str">
        <f ca="1">IFERROR(__xludf.DUMMYFUNCTION("""COMPUTED_VALUE"""),"Fortaleza")</f>
        <v>Fortaleza</v>
      </c>
      <c r="Q598" s="27"/>
      <c r="R598" s="27" t="str">
        <f ca="1">IFERROR(__xludf.DUMMYFUNCTION("""COMPUTED_VALUE"""),"60341-542")</f>
        <v>60341-542</v>
      </c>
      <c r="S598" s="27"/>
      <c r="T598" s="27" t="str">
        <f ca="1">IFERROR(__xludf.DUMMYFUNCTION("""COMPUTED_VALUE"""),"Esporte; Educação; Assistência Social; Cultura; Defesa de Direitos; Comunicação")</f>
        <v>Esporte; Educação; Assistência Social; Cultura; Defesa de Direitos; Comunicação</v>
      </c>
      <c r="U598" s="27" t="str">
        <f ca="1">IFERROR(__xludf.DUMMYFUNCTION("""COMPUTED_VALUE"""),"Crianças (6 a 12 anos); Adolescentes (12 aos 18 anos)")</f>
        <v>Crianças (6 a 12 anos); Adolescentes (12 aos 18 anos)</v>
      </c>
      <c r="V598" s="27" t="str">
        <f ca="1">IFERROR(__xludf.DUMMYFUNCTION("""COMPUTED_VALUE"""),"Moradores de Favelas")</f>
        <v>Moradores de Favelas</v>
      </c>
      <c r="W598" s="27">
        <f ca="1">IFERROR(__xludf.DUMMYFUNCTION("""COMPUTED_VALUE"""),2)</f>
        <v>2</v>
      </c>
      <c r="X598" s="27"/>
      <c r="Y598" s="27"/>
      <c r="Z598" s="27">
        <f ca="1">IFERROR(__xludf.DUMMYFUNCTION("""COMPUTED_VALUE"""),150)</f>
        <v>150</v>
      </c>
      <c r="AA598" s="29">
        <f ca="1">IFERROR(__xludf.DUMMYFUNCTION("""COMPUTED_VALUE"""),44073)</f>
        <v>44073</v>
      </c>
      <c r="AB598" s="27" t="str">
        <f ca="1">IFERROR(__xludf.DUMMYFUNCTION("""COMPUTED_VALUE"""),"Não")</f>
        <v>Não</v>
      </c>
      <c r="AC598" s="27">
        <f ca="1">IFERROR(__xludf.DUMMYFUNCTION("""COMPUTED_VALUE"""),0)</f>
        <v>0</v>
      </c>
      <c r="AD598" s="27">
        <f ca="1">IFERROR(__xludf.DUMMYFUNCTION("""COMPUTED_VALUE"""),0)</f>
        <v>0</v>
      </c>
      <c r="AE598" s="27">
        <f ca="1">IFERROR(__xludf.DUMMYFUNCTION("""COMPUTED_VALUE"""),15)</f>
        <v>15</v>
      </c>
      <c r="AF598" s="27">
        <f ca="1">IFERROR(__xludf.DUMMYFUNCTION("""COMPUTED_VALUE"""),5)</f>
        <v>5</v>
      </c>
      <c r="AG598" s="27">
        <f ca="1">IFERROR(__xludf.DUMMYFUNCTION("""COMPUTED_VALUE"""),3)</f>
        <v>3</v>
      </c>
      <c r="AH598" s="27" t="str">
        <f ca="1">IFERROR(__xludf.DUMMYFUNCTION("""COMPUTED_VALUE"""),"Eventos/Ações para captação; Plataforma doação online - Pessoa Física; Parceria iniciativa privada; Doações")</f>
        <v>Eventos/Ações para captação; Plataforma doação online - Pessoa Física; Parceria iniciativa privada; Doações</v>
      </c>
      <c r="AI598" s="27" t="str">
        <f ca="1">IFERROR(__xludf.DUMMYFUNCTION("""COMPUTED_VALUE"""),"não")</f>
        <v>não</v>
      </c>
      <c r="AJ598" s="27"/>
      <c r="AK598" s="27"/>
      <c r="AL598" s="21" t="str">
        <f ca="1">IFERROR(__xludf.DUMMYFUNCTION("""COMPUTED_VALUE"""),"0034P000045kxiQ")</f>
        <v>0034P000045kxiQ</v>
      </c>
      <c r="AM598" s="27" t="str">
        <f ca="1">IFERROR(__xludf.DUMMYFUNCTION("""COMPUTED_VALUE"""),"Moreira Carvalho Silva")</f>
        <v>Moreira Carvalho Silva</v>
      </c>
      <c r="AN598" s="27" t="str">
        <f ca="1">IFERROR(__xludf.DUMMYFUNCTION("""COMPUTED_VALUE"""),"Ativo")</f>
        <v>Ativo</v>
      </c>
      <c r="AO598" s="30">
        <f ca="1">IFERROR(__xludf.DUMMYFUNCTION("""COMPUTED_VALUE"""),44551)</f>
        <v>44551</v>
      </c>
      <c r="AP598" s="27">
        <f ca="1">IFERROR(__xludf.DUMMYFUNCTION("""COMPUTED_VALUE"""),9)</f>
        <v>9</v>
      </c>
      <c r="AQ598" s="27" t="str">
        <f ca="1">IFERROR(__xludf.DUMMYFUNCTION("""COMPUTED_VALUE"""),"Segundo Semestre 2021")</f>
        <v>Segundo Semestre 2021</v>
      </c>
      <c r="AR598" s="27" t="str">
        <f ca="1">IFERROR(__xludf.DUMMYFUNCTION("""COMPUTED_VALUE"""),"davidsoncarvalhocbjr@gmail.com")</f>
        <v>davidsoncarvalhocbjr@gmail.com</v>
      </c>
      <c r="AS598" s="27" t="str">
        <f ca="1">IFERROR(__xludf.DUMMYFUNCTION("""COMPUTED_VALUE"""),"(85)98746-8262")</f>
        <v>(85)98746-8262</v>
      </c>
      <c r="AT598" s="29">
        <f ca="1">IFERROR(__xludf.DUMMYFUNCTION("""COMPUTED_VALUE"""),36215)</f>
        <v>36215</v>
      </c>
      <c r="AU598" s="27">
        <f ca="1">IFERROR(__xludf.DUMMYFUNCTION("""COMPUTED_VALUE"""),23)</f>
        <v>23</v>
      </c>
      <c r="AV598" s="27">
        <f ca="1">IFERROR(__xludf.DUMMYFUNCTION("""COMPUTED_VALUE"""),7360521351)</f>
        <v>7360521351</v>
      </c>
      <c r="AW598" s="27">
        <f ca="1">IFERROR(__xludf.DUMMYFUNCTION("""COMPUTED_VALUE"""),20140008908)</f>
        <v>20140008908</v>
      </c>
      <c r="AX598" s="27"/>
      <c r="AY598" s="27"/>
      <c r="AZ598" s="27" t="str">
        <f ca="1">IFERROR(__xludf.DUMMYFUNCTION("""COMPUTED_VALUE"""),"P")</f>
        <v>P</v>
      </c>
      <c r="BA598" s="27" t="str">
        <f ca="1">IFERROR(__xludf.DUMMYFUNCTION("""COMPUTED_VALUE"""),"Branca")</f>
        <v>Branca</v>
      </c>
      <c r="BB598" s="27" t="str">
        <f ca="1">IFERROR(__xludf.DUMMYFUNCTION("""COMPUTED_VALUE"""),"Homem, cisgênero")</f>
        <v>Homem, cisgênero</v>
      </c>
      <c r="BC598" s="27" t="str">
        <f ca="1">IFERROR(__xludf.DUMMYFUNCTION("""COMPUTED_VALUE"""),"Não")</f>
        <v>Não</v>
      </c>
      <c r="BD598" s="27" t="str">
        <f ca="1">IFERROR(__xludf.DUMMYFUNCTION("""COMPUTED_VALUE"""),"Trabalho democratizando a educação, cultura, esporte e a comunicação nas favelas, com o objetivo de acabar com todo tipo de pobreza existente.")</f>
        <v>Trabalho democratizando a educação, cultura, esporte e a comunicação nas favelas, com o objetivo de acabar com todo tipo de pobreza existente.</v>
      </c>
      <c r="BE598" s="27"/>
      <c r="BF598" s="27" t="str">
        <f ca="1">IFERROR(__xludf.DUMMYFUNCTION("""COMPUTED_VALUE"""),"Heterossexual")</f>
        <v>Heterossexual</v>
      </c>
      <c r="BG598" s="27" t="str">
        <f ca="1">IFERROR(__xludf.DUMMYFUNCTION("""COMPUTED_VALUE"""),"Ensino Médio - Completo")</f>
        <v>Ensino Médio - Completo</v>
      </c>
      <c r="BH598" s="27" t="str">
        <f ca="1">IFERROR(__xludf.DUMMYFUNCTION("""COMPUTED_VALUE"""),"Pública")</f>
        <v>Pública</v>
      </c>
      <c r="BI598" s="27"/>
      <c r="BJ598" s="27"/>
      <c r="BK598" s="27" t="str">
        <f ca="1">IFERROR(__xludf.DUMMYFUNCTION("""COMPUTED_VALUE"""),"Alberto Ferreira")</f>
        <v>Alberto Ferreira</v>
      </c>
      <c r="BL598" s="27">
        <f ca="1">IFERROR(__xludf.DUMMYFUNCTION("""COMPUTED_VALUE"""),1090)</f>
        <v>1090</v>
      </c>
      <c r="BM598" s="27" t="str">
        <f ca="1">IFERROR(__xludf.DUMMYFUNCTION("""COMPUTED_VALUE"""),"Casa 6 altos")</f>
        <v>Casa 6 altos</v>
      </c>
      <c r="BN598" s="27" t="str">
        <f ca="1">IFERROR(__xludf.DUMMYFUNCTION("""COMPUTED_VALUE"""),"Fortaleza")</f>
        <v>Fortaleza</v>
      </c>
      <c r="BO598" s="27" t="str">
        <f ca="1">IFERROR(__xludf.DUMMYFUNCTION("""COMPUTED_VALUE"""),"60341-140")</f>
        <v>60341-140</v>
      </c>
      <c r="BP598" s="27" t="str">
        <f ca="1">IFERROR(__xludf.DUMMYFUNCTION("""COMPUTED_VALUE"""),"CE")</f>
        <v>CE</v>
      </c>
      <c r="BQ598" s="27" t="str">
        <f ca="1">IFERROR(__xludf.DUMMYFUNCTION("""COMPUTED_VALUE"""),"Entre 1 até 3 salários mínimos")</f>
        <v>Entre 1 até 3 salários mínimos</v>
      </c>
      <c r="BR598" s="27" t="str">
        <f ca="1">IFERROR(__xludf.DUMMYFUNCTION("""COMPUTED_VALUE"""),"MEI; Trabalho informal")</f>
        <v>MEI; Trabalho informal</v>
      </c>
      <c r="BS598" s="27" t="str">
        <f ca="1">IFERROR(__xludf.DUMMYFUNCTION("""COMPUTED_VALUE"""),"Aluguel")</f>
        <v>Aluguel</v>
      </c>
      <c r="BT598" s="27">
        <f ca="1">IFERROR(__xludf.DUMMYFUNCTION("""COMPUTED_VALUE"""),5)</f>
        <v>5</v>
      </c>
      <c r="BU598" s="27" t="str">
        <f ca="1">IFERROR(__xludf.DUMMYFUNCTION("""COMPUTED_VALUE"""),"Não tem")</f>
        <v>Não tem</v>
      </c>
      <c r="BV598" s="27"/>
      <c r="BW598" s="21" t="str">
        <f ca="1">IFERROR(__xludf.DUMMYFUNCTION("""COMPUTED_VALUE"""),"https://www.linkedin.com/in/davidson-carvalho-429214236/")</f>
        <v>https://www.linkedin.com/in/davidson-carvalho-429214236/</v>
      </c>
      <c r="BX598" s="21" t="str">
        <f ca="1">IFERROR(__xludf.DUMMYFUNCTION("""COMPUTED_VALUE"""),"https://instagram.com/davidsoncrvlho?utm_medium=copy_link")</f>
        <v>https://instagram.com/davidsoncrvlho?utm_medium=copy_link</v>
      </c>
      <c r="BY598" s="21" t="str">
        <f ca="1">IFERROR(__xludf.DUMMYFUNCTION("""COMPUTED_VALUE"""),"https://drive.google.com/open?id=1A1I10djPHRKN57w2nAJXsreZUlIrHIZN")</f>
        <v>https://drive.google.com/open?id=1A1I10djPHRKN57w2nAJXsreZUlIrHIZN</v>
      </c>
    </row>
    <row r="599" spans="1:77" ht="12.5" x14ac:dyDescent="0.25">
      <c r="A599" s="21" t="str">
        <f ca="1">IFERROR(__xludf.DUMMYFUNCTION("""COMPUTED_VALUE"""),"0014X00002VKCuRQAX")</f>
        <v>0014X00002VKCuRQAX</v>
      </c>
      <c r="B599" s="27" t="str">
        <f ca="1">IFERROR(__xludf.DUMMYFUNCTION("""COMPUTED_VALUE"""),"Fase Inicial")</f>
        <v>Fase Inicial</v>
      </c>
      <c r="C599" s="27" t="str">
        <f ca="1">IFERROR(__xludf.DUMMYFUNCTION("""COMPUTED_VALUE"""),"Fellow")</f>
        <v>Fellow</v>
      </c>
      <c r="D599" s="27" t="str">
        <f ca="1">IFERROR(__xludf.DUMMYFUNCTION("""COMPUTED_VALUE"""),"Ativo")</f>
        <v>Ativo</v>
      </c>
      <c r="E599" s="27" t="str">
        <f ca="1">IFERROR(__xludf.DUMMYFUNCTION("""COMPUTED_VALUE"""),"WATER IS LIFE BRASIL")</f>
        <v>WATER IS LIFE BRASIL</v>
      </c>
      <c r="F599" s="27" t="str">
        <f ca="1">IFERROR(__xludf.DUMMYFUNCTION("""COMPUTED_VALUE"""),"Baruc")</f>
        <v>Baruc</v>
      </c>
      <c r="G599" s="27" t="str">
        <f ca="1">IFERROR(__xludf.DUMMYFUNCTION("""COMPUTED_VALUE"""),"WATER IS LIFE BRASIL")</f>
        <v>WATER IS LIFE BRASIL</v>
      </c>
      <c r="H599" s="27" t="str">
        <f ca="1">IFERROR(__xludf.DUMMYFUNCTION("""COMPUTED_VALUE"""),"41.451.658/0001-05")</f>
        <v>41.451.658/0001-05</v>
      </c>
      <c r="I599" s="27" t="str">
        <f ca="1">IFERROR(__xludf.DUMMYFUNCTION("""COMPUTED_VALUE"""),"Baruc Vendito Batista")</f>
        <v>Baruc Vendito Batista</v>
      </c>
      <c r="J599" s="27" t="str">
        <f ca="1">IFERROR(__xludf.DUMMYFUNCTION("""COMPUTED_VALUE"""),"baruc@waterislife.com")</f>
        <v>baruc@waterislife.com</v>
      </c>
      <c r="K599" s="27" t="str">
        <f ca="1">IFERROR(__xludf.DUMMYFUNCTION("""COMPUTED_VALUE"""),"(19)99760-0468")</f>
        <v>(19)99760-0468</v>
      </c>
      <c r="L599" s="27" t="str">
        <f ca="1">IFERROR(__xludf.DUMMYFUNCTION("""COMPUTED_VALUE"""),"SP")</f>
        <v>SP</v>
      </c>
      <c r="M599" s="27" t="str">
        <f ca="1">IFERROR(__xludf.DUMMYFUNCTION("""COMPUTED_VALUE"""),"Rua da Mooca 3156")</f>
        <v>Rua da Mooca 3156</v>
      </c>
      <c r="N599" s="27" t="str">
        <f ca="1">IFERROR(__xludf.DUMMYFUNCTION("""COMPUTED_VALUE"""),"Mooca")</f>
        <v>Mooca</v>
      </c>
      <c r="O599" s="27" t="str">
        <f ca="1">IFERROR(__xludf.DUMMYFUNCTION("""COMPUTED_VALUE"""),"41.451.658/0001-05")</f>
        <v>41.451.658/0001-05</v>
      </c>
      <c r="P599" s="27" t="str">
        <f ca="1">IFERROR(__xludf.DUMMYFUNCTION("""COMPUTED_VALUE"""),"São Paulo")</f>
        <v>São Paulo</v>
      </c>
      <c r="Q599" s="27" t="str">
        <f ca="1">IFERROR(__xludf.DUMMYFUNCTION("""COMPUTED_VALUE"""),"Escritorio")</f>
        <v>Escritorio</v>
      </c>
      <c r="R599" s="27" t="str">
        <f ca="1">IFERROR(__xludf.DUMMYFUNCTION("""COMPUTED_VALUE"""),"03165-000")</f>
        <v>03165-000</v>
      </c>
      <c r="S599" s="27" t="str">
        <f ca="1">IFERROR(__xludf.DUMMYFUNCTION("""COMPUTED_VALUE"""),"Diretamente com as comunidades (Sertão Nordestino e Amazonia)")</f>
        <v>Diretamente com as comunidades (Sertão Nordestino e Amazonia)</v>
      </c>
      <c r="T599" s="27"/>
      <c r="U599" s="27" t="str">
        <f ca="1">IFERROR(__xludf.DUMMYFUNCTION("""COMPUTED_VALUE"""),"bebês (1 a 1ano e 6 meses), Crianças bem pequenas (1 ano e 7 meses até 3 anos e 11 meses), Crianças pequenas (4 anos a 5 anos e 11 meses), Crianças (6 a 12 anos), Adolescentes (12 aos 18 anos), Jovens (18 aos 24 anos), Adultos, Idosos (60 anos ou mais)")</f>
        <v>bebês (1 a 1ano e 6 meses), Crianças bem pequenas (1 ano e 7 meses até 3 anos e 11 meses), Crianças pequenas (4 anos a 5 anos e 11 meses), Crianças (6 a 12 anos), Adolescentes (12 aos 18 anos), Jovens (18 aos 24 anos), Adultos, Idosos (60 anos ou mais)</v>
      </c>
      <c r="V599" s="27" t="str">
        <f ca="1">IFERROR(__xludf.DUMMYFUNCTION("""COMPUTED_VALUE"""),"Moradores de Favelas, Pessoas em situação de rua, População LGBTQ+, Povos Indígenas, Quilombola, Afrodescendentes, Dependentes Químicos, Pessoas com Deficiência, Egressos sistema carcerário, Imigrantes, Refugiados, Ribeirinhos, Comunidade rural, Outros")</f>
        <v>Moradores de Favelas, Pessoas em situação de rua, População LGBTQ+, Povos Indígenas, Quilombola, Afrodescendentes, Dependentes Químicos, Pessoas com Deficiência, Egressos sistema carcerário, Imigrantes, Refugiados, Ribeirinhos, Comunidade rural, Outros</v>
      </c>
      <c r="W599" s="27">
        <f ca="1">IFERROR(__xludf.DUMMYFUNCTION("""COMPUTED_VALUE"""),3)</f>
        <v>3</v>
      </c>
      <c r="X599" s="27" t="str">
        <f ca="1">IFERROR(__xludf.DUMMYFUNCTION("""COMPUTED_VALUE"""),"O acesso a Agua potavel é um direito de todos e todas. desde uma crainça ate os idosos.")</f>
        <v>O acesso a Agua potavel é um direito de todos e todas. desde uma crainça ate os idosos.</v>
      </c>
      <c r="Y599" s="27"/>
      <c r="Z599" s="27">
        <f ca="1">IFERROR(__xludf.DUMMYFUNCTION("""COMPUTED_VALUE"""),10000)</f>
        <v>10000</v>
      </c>
      <c r="AA599" s="29">
        <f ca="1">IFERROR(__xludf.DUMMYFUNCTION("""COMPUTED_VALUE"""),43864)</f>
        <v>43864</v>
      </c>
      <c r="AB599" s="27" t="str">
        <f ca="1">IFERROR(__xludf.DUMMYFUNCTION("""COMPUTED_VALUE"""),"Sim")</f>
        <v>Sim</v>
      </c>
      <c r="AC599" s="27">
        <f ca="1">IFERROR(__xludf.DUMMYFUNCTION("""COMPUTED_VALUE"""),3)</f>
        <v>3</v>
      </c>
      <c r="AD599" s="27">
        <f ca="1">IFERROR(__xludf.DUMMYFUNCTION("""COMPUTED_VALUE"""),5)</f>
        <v>5</v>
      </c>
      <c r="AE599" s="27">
        <f ca="1">IFERROR(__xludf.DUMMYFUNCTION("""COMPUTED_VALUE"""),10)</f>
        <v>10</v>
      </c>
      <c r="AF599" s="27">
        <f ca="1">IFERROR(__xludf.DUMMYFUNCTION("""COMPUTED_VALUE"""),5)</f>
        <v>5</v>
      </c>
      <c r="AG599" s="27">
        <f ca="1">IFERROR(__xludf.DUMMYFUNCTION("""COMPUTED_VALUE"""),6)</f>
        <v>6</v>
      </c>
      <c r="AH599" s="27" t="str">
        <f ca="1">IFERROR(__xludf.DUMMYFUNCTION("""COMPUTED_VALUE"""),"Eventos/Ações para captação, Plataforma doação online - Pessoa Física, Parceria iniciativa privada, Editais, Outro(s), Doações")</f>
        <v>Eventos/Ações para captação, Plataforma doação online - Pessoa Física, Parceria iniciativa privada, Editais, Outro(s), Doações</v>
      </c>
      <c r="AI599" s="27" t="str">
        <f ca="1">IFERROR(__xludf.DUMMYFUNCTION("""COMPUTED_VALUE"""),"0.1")</f>
        <v>0.1</v>
      </c>
      <c r="AJ599" s="27" t="str">
        <f ca="1">IFERROR(__xludf.DUMMYFUNCTION("""COMPUTED_VALUE"""),"Não")</f>
        <v>Não</v>
      </c>
      <c r="AK599" s="27"/>
      <c r="AL599" s="21" t="str">
        <f ca="1">IFERROR(__xludf.DUMMYFUNCTION("""COMPUTED_VALUE"""),"0034X0000380O4n")</f>
        <v>0034X0000380O4n</v>
      </c>
      <c r="AM599" s="27" t="str">
        <f ca="1">IFERROR(__xludf.DUMMYFUNCTION("""COMPUTED_VALUE"""),"Vendito batista")</f>
        <v>Vendito batista</v>
      </c>
      <c r="AN599" s="27" t="str">
        <f ca="1">IFERROR(__xludf.DUMMYFUNCTION("""COMPUTED_VALUE"""),"Ativo")</f>
        <v>Ativo</v>
      </c>
      <c r="AO599" s="29">
        <f ca="1">IFERROR(__xludf.DUMMYFUNCTION("""COMPUTED_VALUE"""),44763)</f>
        <v>44763</v>
      </c>
      <c r="AP599" s="27">
        <f ca="1">IFERROR(__xludf.DUMMYFUNCTION("""COMPUTED_VALUE"""),2)</f>
        <v>2</v>
      </c>
      <c r="AQ599" s="27" t="str">
        <f ca="1">IFERROR(__xludf.DUMMYFUNCTION("""COMPUTED_VALUE"""),"Primeiro Semestre 2022")</f>
        <v>Primeiro Semestre 2022</v>
      </c>
      <c r="AR599" s="27" t="str">
        <f ca="1">IFERROR(__xludf.DUMMYFUNCTION("""COMPUTED_VALUE"""),"baruc@waterislife.com")</f>
        <v>baruc@waterislife.com</v>
      </c>
      <c r="AS599" s="27" t="str">
        <f ca="1">IFERROR(__xludf.DUMMYFUNCTION("""COMPUTED_VALUE"""),"(19)99760-0468")</f>
        <v>(19)99760-0468</v>
      </c>
      <c r="AT599" s="30">
        <f ca="1">IFERROR(__xludf.DUMMYFUNCTION("""COMPUTED_VALUE"""),29571)</f>
        <v>29571</v>
      </c>
      <c r="AU599" s="27">
        <f ca="1">IFERROR(__xludf.DUMMYFUNCTION("""COMPUTED_VALUE"""),42)</f>
        <v>42</v>
      </c>
      <c r="AV599" s="27">
        <f ca="1">IFERROR(__xludf.DUMMYFUNCTION("""COMPUTED_VALUE"""),28607351869)</f>
        <v>28607351869</v>
      </c>
      <c r="AW599" s="27" t="str">
        <f ca="1">IFERROR(__xludf.DUMMYFUNCTION("""COMPUTED_VALUE"""),"32035616-4")</f>
        <v>32035616-4</v>
      </c>
      <c r="AX599" s="27"/>
      <c r="AY599" s="27" t="str">
        <f ca="1">IFERROR(__xludf.DUMMYFUNCTION("""COMPUTED_VALUE"""),"Diretor")</f>
        <v>Diretor</v>
      </c>
      <c r="AZ599" s="27" t="str">
        <f ca="1">IFERROR(__xludf.DUMMYFUNCTION("""COMPUTED_VALUE"""),"M")</f>
        <v>M</v>
      </c>
      <c r="BA599" s="27" t="str">
        <f ca="1">IFERROR(__xludf.DUMMYFUNCTION("""COMPUTED_VALUE"""),"Branca")</f>
        <v>Branca</v>
      </c>
      <c r="BB599" s="27"/>
      <c r="BC599" s="27"/>
      <c r="BD599" s="27" t="str">
        <f ca="1">IFERROR(__xludf.DUMMYFUNCTION("""COMPUTED_VALUE"""),"South America director WATERisLIFE.com 
Founder and CEO WATERisLIFE Brasil
“Think Big, Start small, Act now”
The only reason I'm here, alive, is to Help People and Build a Better World together.
-Help People and Save Lives 
-Impact Communities 
-Sustaina"&amp;"ble World
-Protect our Planet 
-Be Compliance
-Be Resilience 
-Be Grateful 
-Spread Love
-The Power of WATER
""Together We Can Chang It""")</f>
        <v>South America director WATERisLIFE.com 
Founder and CEO WATERisLIFE Brasil
“Think Big, Start small, Act now”
The only reason I'm here, alive, is to Help People and Build a Better World together.
-Help People and Save Lives 
-Impact Communities 
-Sustainable World
-Protect our Planet 
-Be Compliance
-Be Resilience 
-Be Grateful 
-Spread Love
-The Power of WATER
"Together We Can Chang It"</v>
      </c>
      <c r="BE599" s="27" t="str">
        <f ca="1">IFERROR(__xludf.DUMMYFUNCTION("""COMPUTED_VALUE"""),"Homem, cisgênero")</f>
        <v>Homem, cisgênero</v>
      </c>
      <c r="BF599" s="27" t="str">
        <f ca="1">IFERROR(__xludf.DUMMYFUNCTION("""COMPUTED_VALUE"""),"Heterossexual")</f>
        <v>Heterossexual</v>
      </c>
      <c r="BG599" s="27" t="str">
        <f ca="1">IFERROR(__xludf.DUMMYFUNCTION("""COMPUTED_VALUE"""),"Ensino Médio - Completo")</f>
        <v>Ensino Médio - Completo</v>
      </c>
      <c r="BH599" s="27" t="str">
        <f ca="1">IFERROR(__xludf.DUMMYFUNCTION("""COMPUTED_VALUE"""),"Público")</f>
        <v>Público</v>
      </c>
      <c r="BI599" s="27"/>
      <c r="BJ599" s="27"/>
      <c r="BK599" s="27" t="str">
        <f ca="1">IFERROR(__xludf.DUMMYFUNCTION("""COMPUTED_VALUE"""),"Benedito Alegre")</f>
        <v>Benedito Alegre</v>
      </c>
      <c r="BL599" s="27">
        <f ca="1">IFERROR(__xludf.DUMMYFUNCTION("""COMPUTED_VALUE"""),169)</f>
        <v>169</v>
      </c>
      <c r="BM599" s="27" t="str">
        <f ca="1">IFERROR(__xludf.DUMMYFUNCTION("""COMPUTED_VALUE"""),"casa")</f>
        <v>casa</v>
      </c>
      <c r="BN599" s="27" t="str">
        <f ca="1">IFERROR(__xludf.DUMMYFUNCTION("""COMPUTED_VALUE"""),"Estiva-Gerbi")</f>
        <v>Estiva-Gerbi</v>
      </c>
      <c r="BO599" s="27" t="str">
        <f ca="1">IFERROR(__xludf.DUMMYFUNCTION("""COMPUTED_VALUE"""),"13857-000")</f>
        <v>13857-000</v>
      </c>
      <c r="BP599" s="27" t="str">
        <f ca="1">IFERROR(__xludf.DUMMYFUNCTION("""COMPUTED_VALUE"""),"SP")</f>
        <v>SP</v>
      </c>
      <c r="BQ599" s="27" t="str">
        <f ca="1">IFERROR(__xludf.DUMMYFUNCTION("""COMPUTED_VALUE"""),"Entre 1 até 3 salários mínimos")</f>
        <v>Entre 1 até 3 salários mínimos</v>
      </c>
      <c r="BR599" s="27" t="str">
        <f ca="1">IFERROR(__xludf.DUMMYFUNCTION("""COMPUTED_VALUE"""),"MEI")</f>
        <v>MEI</v>
      </c>
      <c r="BS599" s="27" t="str">
        <f ca="1">IFERROR(__xludf.DUMMYFUNCTION("""COMPUTED_VALUE"""),"Casa própria")</f>
        <v>Casa própria</v>
      </c>
      <c r="BT599" s="27">
        <f ca="1">IFERROR(__xludf.DUMMYFUNCTION("""COMPUTED_VALUE"""),1)</f>
        <v>1</v>
      </c>
      <c r="BU599" s="27" t="str">
        <f ca="1">IFERROR(__xludf.DUMMYFUNCTION("""COMPUTED_VALUE"""),"Não tem")</f>
        <v>Não tem</v>
      </c>
      <c r="BV599" s="27" t="str">
        <f ca="1">IFERROR(__xludf.DUMMYFUNCTION("""COMPUTED_VALUE"""),"Não")</f>
        <v>Não</v>
      </c>
      <c r="BW599" s="21" t="str">
        <f ca="1">IFERROR(__xludf.DUMMYFUNCTION("""COMPUTED_VALUE"""),"https://br.linkedin.com/in/barucvendito")</f>
        <v>https://br.linkedin.com/in/barucvendito</v>
      </c>
      <c r="BX599" s="21" t="str">
        <f ca="1">IFERROR(__xludf.DUMMYFUNCTION("""COMPUTED_VALUE"""),"https://www.instagram.com/barucvenditto/")</f>
        <v>https://www.instagram.com/barucvenditto/</v>
      </c>
      <c r="BY599" s="21" t="str">
        <f ca="1">IFERROR(__xludf.DUMMYFUNCTION("""COMPUTED_VALUE"""),"https://drive.google.com/open?id=1htHs3ZkgTiiJ8Kt8SPEcQq17UfTJhsKX")</f>
        <v>https://drive.google.com/open?id=1htHs3ZkgTiiJ8Kt8SPEcQq17UfTJhsKX</v>
      </c>
    </row>
    <row r="600" spans="1:77" ht="12.5" x14ac:dyDescent="0.25">
      <c r="A600" s="21" t="str">
        <f ca="1">IFERROR(__xludf.DUMMYFUNCTION("""COMPUTED_VALUE"""),"0014X00002VKCrpQAH")</f>
        <v>0014X00002VKCrpQAH</v>
      </c>
      <c r="B600" s="27" t="str">
        <f ca="1">IFERROR(__xludf.DUMMYFUNCTION("""COMPUTED_VALUE"""),"Fase Inicial")</f>
        <v>Fase Inicial</v>
      </c>
      <c r="C600" s="27" t="str">
        <f ca="1">IFERROR(__xludf.DUMMYFUNCTION("""COMPUTED_VALUE"""),"Fellow")</f>
        <v>Fellow</v>
      </c>
      <c r="D600" s="27" t="str">
        <f ca="1">IFERROR(__xludf.DUMMYFUNCTION("""COMPUTED_VALUE"""),"Ativo")</f>
        <v>Ativo</v>
      </c>
      <c r="E600" s="27" t="str">
        <f ca="1">IFERROR(__xludf.DUMMYFUNCTION("""COMPUTED_VALUE"""),"ZhaLuArt Instituto")</f>
        <v>ZhaLuArt Instituto</v>
      </c>
      <c r="F600" s="27" t="str">
        <f ca="1">IFERROR(__xludf.DUMMYFUNCTION("""COMPUTED_VALUE"""),"Josias")</f>
        <v>Josias</v>
      </c>
      <c r="G600" s="27" t="str">
        <f ca="1">IFERROR(__xludf.DUMMYFUNCTION("""COMPUTED_VALUE"""),"ZHALUART INSTITUTO")</f>
        <v>ZHALUART INSTITUTO</v>
      </c>
      <c r="H600" s="27"/>
      <c r="I600" s="27" t="str">
        <f ca="1">IFERROR(__xludf.DUMMYFUNCTION("""COMPUTED_VALUE"""),"Josias Adolfo da Silva Netto")</f>
        <v>Josias Adolfo da Silva Netto</v>
      </c>
      <c r="J600" s="27" t="str">
        <f ca="1">IFERROR(__xludf.DUMMYFUNCTION("""COMPUTED_VALUE"""),"zhaluartinstituto@gmail.com")</f>
        <v>zhaluartinstituto@gmail.com</v>
      </c>
      <c r="K600" s="27" t="str">
        <f ca="1">IFERROR(__xludf.DUMMYFUNCTION("""COMPUTED_VALUE"""),"(81)98207-0795")</f>
        <v>(81)98207-0795</v>
      </c>
      <c r="L600" s="27" t="str">
        <f ca="1">IFERROR(__xludf.DUMMYFUNCTION("""COMPUTED_VALUE"""),"PE")</f>
        <v>PE</v>
      </c>
      <c r="M600" s="27" t="str">
        <f ca="1">IFERROR(__xludf.DUMMYFUNCTION("""COMPUTED_VALUE"""),"Rua Santo Aleixo 481")</f>
        <v>Rua Santo Aleixo 481</v>
      </c>
      <c r="N600" s="27" t="str">
        <f ca="1">IFERROR(__xludf.DUMMYFUNCTION("""COMPUTED_VALUE"""),"Santo Aleixo")</f>
        <v>Santo Aleixo</v>
      </c>
      <c r="O600" s="27">
        <f ca="1">IFERROR(__xludf.DUMMYFUNCTION("""COMPUTED_VALUE"""),481)</f>
        <v>481</v>
      </c>
      <c r="P600" s="27" t="str">
        <f ca="1">IFERROR(__xludf.DUMMYFUNCTION("""COMPUTED_VALUE"""),"Jaboatão dos Guararapes")</f>
        <v>Jaboatão dos Guararapes</v>
      </c>
      <c r="Q600" s="27" t="str">
        <f ca="1">IFERROR(__xludf.DUMMYFUNCTION("""COMPUTED_VALUE"""),"casa")</f>
        <v>casa</v>
      </c>
      <c r="R600" s="27" t="str">
        <f ca="1">IFERROR(__xludf.DUMMYFUNCTION("""COMPUTED_VALUE"""),"54120-040")</f>
        <v>54120-040</v>
      </c>
      <c r="S600" s="27" t="str">
        <f ca="1">IFERROR(__xludf.DUMMYFUNCTION("""COMPUTED_VALUE"""),"Sim")</f>
        <v>Sim</v>
      </c>
      <c r="T600" s="27"/>
      <c r="U600" s="27" t="str">
        <f ca="1">IFERROR(__xludf.DUMMYFUNCTION("""COMPUTED_VALUE"""),"Crianças bem pequenas (1 ano e 7 meses até 3 anos e 11 meses), Crianças pequenas (4 anos a 5 anos e 11 meses), Crianças (6 a 12 anos), Adolescentes (12 aos 18 anos), Jovens (18 aos 24 anos), Adultos, Idosos (60 anos ou mais)")</f>
        <v>Crianças bem pequenas (1 ano e 7 meses até 3 anos e 11 meses), Crianças pequenas (4 anos a 5 anos e 11 meses), Crianças (6 a 12 anos), Adolescentes (12 aos 18 anos), Jovens (18 aos 24 anos), Adultos, Idosos (60 anos ou mais)</v>
      </c>
      <c r="V600" s="27" t="str">
        <f ca="1">IFERROR(__xludf.DUMMYFUNCTION("""COMPUTED_VALUE"""),"Moradores de Favelas, Pessoas em situação de rua, Pessoas com Deficiência, Comunidade rural, Outros")</f>
        <v>Moradores de Favelas, Pessoas em situação de rua, Pessoas com Deficiência, Comunidade rural, Outros</v>
      </c>
      <c r="W600" s="27">
        <f ca="1">IFERROR(__xludf.DUMMYFUNCTION("""COMPUTED_VALUE"""),4)</f>
        <v>4</v>
      </c>
      <c r="X600" s="27"/>
      <c r="Y600" s="27"/>
      <c r="Z600" s="27">
        <f ca="1">IFERROR(__xludf.DUMMYFUNCTION("""COMPUTED_VALUE"""),200)</f>
        <v>200</v>
      </c>
      <c r="AA600" s="29">
        <f ca="1">IFERROR(__xludf.DUMMYFUNCTION("""COMPUTED_VALUE"""),44466)</f>
        <v>44466</v>
      </c>
      <c r="AB600" s="27" t="str">
        <f ca="1">IFERROR(__xludf.DUMMYFUNCTION("""COMPUTED_VALUE"""),"Não")</f>
        <v>Não</v>
      </c>
      <c r="AC600" s="27">
        <f ca="1">IFERROR(__xludf.DUMMYFUNCTION("""COMPUTED_VALUE"""),0)</f>
        <v>0</v>
      </c>
      <c r="AD600" s="27">
        <f ca="1">IFERROR(__xludf.DUMMYFUNCTION("""COMPUTED_VALUE"""),6)</f>
        <v>6</v>
      </c>
      <c r="AE600" s="27">
        <f ca="1">IFERROR(__xludf.DUMMYFUNCTION("""COMPUTED_VALUE"""),8)</f>
        <v>8</v>
      </c>
      <c r="AF600" s="27">
        <f ca="1">IFERROR(__xludf.DUMMYFUNCTION("""COMPUTED_VALUE"""),5)</f>
        <v>5</v>
      </c>
      <c r="AG600" s="27">
        <f ca="1">IFERROR(__xludf.DUMMYFUNCTION("""COMPUTED_VALUE"""),4)</f>
        <v>4</v>
      </c>
      <c r="AH600" s="27" t="str">
        <f ca="1">IFERROR(__xludf.DUMMYFUNCTION("""COMPUTED_VALUE"""),"Eventos/Ações para captação, Plataforma doação online - Pessoa Física, Doações, Recursos próprios")</f>
        <v>Eventos/Ações para captação, Plataforma doação online - Pessoa Física, Doações, Recursos próprios</v>
      </c>
      <c r="AI600" s="27" t="str">
        <f ca="1">IFERROR(__xludf.DUMMYFUNCTION("""COMPUTED_VALUE"""),"Doação 60% / Recurso próprio 20% / Doação Online 10% / Ações para captação 10%")</f>
        <v>Doação 60% / Recurso próprio 20% / Doação Online 10% / Ações para captação 10%</v>
      </c>
      <c r="AJ600" s="27"/>
      <c r="AK600" s="27"/>
      <c r="AL600" s="21" t="str">
        <f ca="1">IFERROR(__xludf.DUMMYFUNCTION("""COMPUTED_VALUE"""),"0034X0000380O1v")</f>
        <v>0034X0000380O1v</v>
      </c>
      <c r="AM600" s="27" t="str">
        <f ca="1">IFERROR(__xludf.DUMMYFUNCTION("""COMPUTED_VALUE"""),"Adolfo da silva netto")</f>
        <v>Adolfo da silva netto</v>
      </c>
      <c r="AN600" s="27" t="str">
        <f ca="1">IFERROR(__xludf.DUMMYFUNCTION("""COMPUTED_VALUE"""),"Ativo")</f>
        <v>Ativo</v>
      </c>
      <c r="AO600" s="27"/>
      <c r="AP600" s="27"/>
      <c r="AQ600" s="27" t="str">
        <f ca="1">IFERROR(__xludf.DUMMYFUNCTION("""COMPUTED_VALUE"""),"Primeiro Semestre 2022")</f>
        <v>Primeiro Semestre 2022</v>
      </c>
      <c r="AR600" s="27" t="str">
        <f ca="1">IFERROR(__xludf.DUMMYFUNCTION("""COMPUTED_VALUE"""),"josiasadolfojr@hotmail.com")</f>
        <v>josiasadolfojr@hotmail.com</v>
      </c>
      <c r="AS600" s="27" t="str">
        <f ca="1">IFERROR(__xludf.DUMMYFUNCTION("""COMPUTED_VALUE"""),"(81)99557-2541")</f>
        <v>(81)99557-2541</v>
      </c>
      <c r="AT600" s="29">
        <f ca="1">IFERROR(__xludf.DUMMYFUNCTION("""COMPUTED_VALUE"""),29865)</f>
        <v>29865</v>
      </c>
      <c r="AU600" s="27">
        <f ca="1">IFERROR(__xludf.DUMMYFUNCTION("""COMPUTED_VALUE"""),41)</f>
        <v>41</v>
      </c>
      <c r="AV600" s="27">
        <f ca="1">IFERROR(__xludf.DUMMYFUNCTION("""COMPUTED_VALUE"""),4863393431)</f>
        <v>4863393431</v>
      </c>
      <c r="AW600" s="27">
        <f ca="1">IFERROR(__xludf.DUMMYFUNCTION("""COMPUTED_VALUE"""),6388209)</f>
        <v>6388209</v>
      </c>
      <c r="AX600" s="27"/>
      <c r="AY600" s="27" t="str">
        <f ca="1">IFERROR(__xludf.DUMMYFUNCTION("""COMPUTED_VALUE"""),"Presidente e Fundador")</f>
        <v>Presidente e Fundador</v>
      </c>
      <c r="AZ600" s="27" t="str">
        <f ca="1">IFERROR(__xludf.DUMMYFUNCTION("""COMPUTED_VALUE"""),"G2")</f>
        <v>G2</v>
      </c>
      <c r="BA600" s="27" t="str">
        <f ca="1">IFERROR(__xludf.DUMMYFUNCTION("""COMPUTED_VALUE"""),"Parda")</f>
        <v>Parda</v>
      </c>
      <c r="BB600" s="27"/>
      <c r="BC600" s="27"/>
      <c r="BD600" s="27" t="str">
        <f ca="1">IFERROR(__xludf.DUMMYFUNCTION("""COMPUTED_VALUE"""),"Josias Adolfo da Silva Netto, natural de Recife/PE,  Pai de três filhos, casado com Elaine Graziela Alves de Barros, é bacharelando em Música – Trompete, na Universidade Federal de Pernambuco e Licenciado em Música na Claretiano Centro Universitário.Inici"&amp;"ou seus estudos musicais em 1999, na Igreja Assembleia de Deus em Jaboatão dos Guararapes. Ingressou na Escola Municipal João Pernambuco e posteriormente no Conservatório Pernambucano de Música.")</f>
        <v>Josias Adolfo da Silva Netto, natural de Recife/PE,  Pai de três filhos, casado com Elaine Graziela Alves de Barros, é bacharelando em Música – Trompete, na Universidade Federal de Pernambuco e Licenciado em Música na Claretiano Centro Universitário.Iniciou seus estudos musicais em 1999, na Igreja Assembleia de Deus em Jaboatão dos Guararapes. Ingressou na Escola Municipal João Pernambuco e posteriormente no Conservatório Pernambucano de Música.</v>
      </c>
      <c r="BE600" s="27" t="str">
        <f ca="1">IFERROR(__xludf.DUMMYFUNCTION("""COMPUTED_VALUE"""),"Homem, cisgênero")</f>
        <v>Homem, cisgênero</v>
      </c>
      <c r="BF600" s="27" t="str">
        <f ca="1">IFERROR(__xludf.DUMMYFUNCTION("""COMPUTED_VALUE"""),"Heterossexual")</f>
        <v>Heterossexual</v>
      </c>
      <c r="BG600" s="27" t="str">
        <f ca="1">IFERROR(__xludf.DUMMYFUNCTION("""COMPUTED_VALUE"""),"Ensino Superior - Completo")</f>
        <v>Ensino Superior - Completo</v>
      </c>
      <c r="BH600" s="27" t="str">
        <f ca="1">IFERROR(__xludf.DUMMYFUNCTION("""COMPUTED_VALUE"""),"Público")</f>
        <v>Público</v>
      </c>
      <c r="BI600" s="27" t="str">
        <f ca="1">IFERROR(__xludf.DUMMYFUNCTION("""COMPUTED_VALUE"""),"Graduação")</f>
        <v>Graduação</v>
      </c>
      <c r="BJ600" s="27" t="str">
        <f ca="1">IFERROR(__xludf.DUMMYFUNCTION("""COMPUTED_VALUE"""),"Público")</f>
        <v>Público</v>
      </c>
      <c r="BK600" s="27" t="str">
        <f ca="1">IFERROR(__xludf.DUMMYFUNCTION("""COMPUTED_VALUE"""),"Rua Santo Aleixo")</f>
        <v>Rua Santo Aleixo</v>
      </c>
      <c r="BL600" s="27">
        <f ca="1">IFERROR(__xludf.DUMMYFUNCTION("""COMPUTED_VALUE"""),481)</f>
        <v>481</v>
      </c>
      <c r="BM600" s="27" t="str">
        <f ca="1">IFERROR(__xludf.DUMMYFUNCTION("""COMPUTED_VALUE"""),"CASA")</f>
        <v>CASA</v>
      </c>
      <c r="BN600" s="27" t="str">
        <f ca="1">IFERROR(__xludf.DUMMYFUNCTION("""COMPUTED_VALUE"""),"Jaboatão dos Guararapes")</f>
        <v>Jaboatão dos Guararapes</v>
      </c>
      <c r="BO600" s="27" t="str">
        <f ca="1">IFERROR(__xludf.DUMMYFUNCTION("""COMPUTED_VALUE"""),"54120-040")</f>
        <v>54120-040</v>
      </c>
      <c r="BP600" s="27" t="str">
        <f ca="1">IFERROR(__xludf.DUMMYFUNCTION("""COMPUTED_VALUE"""),"PE")</f>
        <v>PE</v>
      </c>
      <c r="BQ600" s="27" t="str">
        <f ca="1">IFERROR(__xludf.DUMMYFUNCTION("""COMPUTED_VALUE"""),"Entre 1 até 3 salários mínimos")</f>
        <v>Entre 1 até 3 salários mínimos</v>
      </c>
      <c r="BR600" s="27" t="str">
        <f ca="1">IFERROR(__xludf.DUMMYFUNCTION("""COMPUTED_VALUE"""),"MEI, Trabalho informal, Desempregado")</f>
        <v>MEI, Trabalho informal, Desempregado</v>
      </c>
      <c r="BS600" s="27" t="str">
        <f ca="1">IFERROR(__xludf.DUMMYFUNCTION("""COMPUTED_VALUE"""),"Casa própria")</f>
        <v>Casa própria</v>
      </c>
      <c r="BT600" s="27">
        <f ca="1">IFERROR(__xludf.DUMMYFUNCTION("""COMPUTED_VALUE"""),5)</f>
        <v>5</v>
      </c>
      <c r="BU600" s="27" t="str">
        <f ca="1">IFERROR(__xludf.DUMMYFUNCTION("""COMPUTED_VALUE"""),"Não tem")</f>
        <v>Não tem</v>
      </c>
      <c r="BV600" s="27" t="str">
        <f ca="1">IFERROR(__xludf.DUMMYFUNCTION("""COMPUTED_VALUE"""),"Não")</f>
        <v>Não</v>
      </c>
      <c r="BW600" s="27"/>
      <c r="BX600" s="21" t="str">
        <f ca="1">IFERROR(__xludf.DUMMYFUNCTION("""COMPUTED_VALUE"""),"https://www.instagram.com/josias_adolfo/")</f>
        <v>https://www.instagram.com/josias_adolfo/</v>
      </c>
      <c r="BY600" s="21" t="str">
        <f ca="1">IFERROR(__xludf.DUMMYFUNCTION("""COMPUTED_VALUE"""),"https://drive.google.com/open?id=1bcT4BaMgaUr8CwtxDUxlHp9o6ZRHUsaG")</f>
        <v>https://drive.google.com/open?id=1bcT4BaMgaUr8CwtxDUxlHp9o6ZRHUsaG</v>
      </c>
    </row>
    <row r="601" spans="1:77" ht="12.5" hidden="1" x14ac:dyDescent="0.2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row>
    <row r="602" spans="1:77" ht="12.5" hidden="1" x14ac:dyDescent="0.2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row>
    <row r="603" spans="1:77" ht="12.5" hidden="1" x14ac:dyDescent="0.2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row>
    <row r="604" spans="1:77" ht="12.5" hidden="1" x14ac:dyDescent="0.2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row>
    <row r="605" spans="1:77" ht="12.5" hidden="1" x14ac:dyDescent="0.2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row>
    <row r="606" spans="1:77" ht="12.5" hidden="1" x14ac:dyDescent="0.2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row>
    <row r="607" spans="1:77" ht="12.5" hidden="1" x14ac:dyDescent="0.2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row>
    <row r="608" spans="1:77" ht="12.5" hidden="1" x14ac:dyDescent="0.2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row>
    <row r="609" spans="1:77" ht="12.5" hidden="1" x14ac:dyDescent="0.2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row>
    <row r="610" spans="1:77" ht="12.5" hidden="1" x14ac:dyDescent="0.2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row>
    <row r="611" spans="1:77" ht="12.5" hidden="1" x14ac:dyDescent="0.2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row>
    <row r="612" spans="1:77" ht="12.5" hidden="1" x14ac:dyDescent="0.2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row>
    <row r="613" spans="1:77" ht="12.5" hidden="1" x14ac:dyDescent="0.2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row>
    <row r="614" spans="1:77" ht="12.5" hidden="1" x14ac:dyDescent="0.2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row>
    <row r="615" spans="1:77" ht="12.5" hidden="1" x14ac:dyDescent="0.2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row>
    <row r="616" spans="1:77" ht="12.5" hidden="1" x14ac:dyDescent="0.2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row>
    <row r="617" spans="1:77" ht="12.5" hidden="1" x14ac:dyDescent="0.2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row>
    <row r="618" spans="1:77" ht="12.5" hidden="1" x14ac:dyDescent="0.2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row>
    <row r="619" spans="1:77" ht="12.5" hidden="1" x14ac:dyDescent="0.2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row>
    <row r="620" spans="1:77" ht="12.5" hidden="1" x14ac:dyDescent="0.2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row>
    <row r="621" spans="1:77" ht="12.5" hidden="1" x14ac:dyDescent="0.2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row>
    <row r="622" spans="1:77" ht="12.5" hidden="1" x14ac:dyDescent="0.2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row>
    <row r="623" spans="1:77" ht="12.5" hidden="1" x14ac:dyDescent="0.2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row>
    <row r="624" spans="1:77" ht="12.5" hidden="1" x14ac:dyDescent="0.2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row>
    <row r="625" spans="1:77" ht="12.5" hidden="1" x14ac:dyDescent="0.2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row>
    <row r="626" spans="1:77" ht="12.5" hidden="1" x14ac:dyDescent="0.2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row>
    <row r="627" spans="1:77" ht="12.5" hidden="1" x14ac:dyDescent="0.2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row>
    <row r="628" spans="1:77" ht="12.5" hidden="1" x14ac:dyDescent="0.2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row>
    <row r="629" spans="1:77" ht="12.5" hidden="1" x14ac:dyDescent="0.2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row>
    <row r="630" spans="1:77" ht="12.5" hidden="1" x14ac:dyDescent="0.2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row>
    <row r="631" spans="1:77" ht="12.5" hidden="1" x14ac:dyDescent="0.2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row>
    <row r="632" spans="1:77" ht="12.5" hidden="1" x14ac:dyDescent="0.2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row>
    <row r="633" spans="1:77" ht="12.5" hidden="1" x14ac:dyDescent="0.2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row>
    <row r="634" spans="1:77" ht="12.5" hidden="1" x14ac:dyDescent="0.2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row>
    <row r="635" spans="1:77" ht="12.5" hidden="1" x14ac:dyDescent="0.2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row>
    <row r="636" spans="1:77" ht="12.5" hidden="1" x14ac:dyDescent="0.2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row>
    <row r="637" spans="1:77" ht="12.5" hidden="1" x14ac:dyDescent="0.2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row>
    <row r="638" spans="1:77" ht="12.5" hidden="1" x14ac:dyDescent="0.2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row>
    <row r="639" spans="1:77" ht="12.5" hidden="1" x14ac:dyDescent="0.2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row>
    <row r="640" spans="1:77" ht="12.5" hidden="1" x14ac:dyDescent="0.2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row>
    <row r="641" spans="1:77" ht="12.5" hidden="1" x14ac:dyDescent="0.2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row>
    <row r="642" spans="1:77" ht="12.5" hidden="1" x14ac:dyDescent="0.2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row>
    <row r="643" spans="1:77" ht="12.5" hidden="1" x14ac:dyDescent="0.2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row>
    <row r="644" spans="1:77" ht="12.5" hidden="1" x14ac:dyDescent="0.2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row>
    <row r="645" spans="1:77" ht="12.5" hidden="1" x14ac:dyDescent="0.2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row>
    <row r="646" spans="1:77" ht="12.5" hidden="1" x14ac:dyDescent="0.2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row>
    <row r="647" spans="1:77" ht="12.5" hidden="1" x14ac:dyDescent="0.2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c r="BY647" s="27"/>
    </row>
    <row r="648" spans="1:77" ht="12.5" hidden="1" x14ac:dyDescent="0.2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row>
    <row r="649" spans="1:77" ht="12.5" hidden="1" x14ac:dyDescent="0.2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c r="BY649" s="27"/>
    </row>
    <row r="650" spans="1:77" ht="12.5" hidden="1" x14ac:dyDescent="0.2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c r="BY650" s="27"/>
    </row>
    <row r="651" spans="1:77" ht="12.5" hidden="1" x14ac:dyDescent="0.2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row>
    <row r="652" spans="1:77" ht="12.5" hidden="1" x14ac:dyDescent="0.2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c r="BY652" s="27"/>
    </row>
    <row r="653" spans="1:77" ht="12.5" hidden="1" x14ac:dyDescent="0.2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c r="BY653" s="27"/>
    </row>
    <row r="654" spans="1:77" ht="12.5" hidden="1" x14ac:dyDescent="0.2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c r="BY654" s="27"/>
    </row>
    <row r="655" spans="1:77" ht="12.5" hidden="1" x14ac:dyDescent="0.2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c r="BY655" s="27"/>
    </row>
    <row r="656" spans="1:77" ht="12.5" hidden="1" x14ac:dyDescent="0.2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c r="BY656" s="27"/>
    </row>
    <row r="657" spans="1:77" ht="12.5" hidden="1" x14ac:dyDescent="0.2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c r="BY657" s="27"/>
    </row>
    <row r="658" spans="1:77" ht="12.5" hidden="1" x14ac:dyDescent="0.2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c r="BY658" s="27"/>
    </row>
    <row r="659" spans="1:77" ht="12.5" hidden="1" x14ac:dyDescent="0.2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c r="BY659" s="27"/>
    </row>
    <row r="660" spans="1:77" ht="12.5" hidden="1" x14ac:dyDescent="0.2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c r="BY660" s="27"/>
    </row>
    <row r="661" spans="1:77" ht="12.5" hidden="1" x14ac:dyDescent="0.2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c r="BY661" s="27"/>
    </row>
    <row r="662" spans="1:77" ht="12.5" hidden="1" x14ac:dyDescent="0.2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row>
    <row r="663" spans="1:77" ht="12.5" hidden="1" x14ac:dyDescent="0.2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c r="BY663" s="27"/>
    </row>
    <row r="664" spans="1:77" ht="12.5" hidden="1" x14ac:dyDescent="0.2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c r="BY664" s="27"/>
    </row>
    <row r="665" spans="1:77" ht="12.5" hidden="1" x14ac:dyDescent="0.2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c r="BY665" s="27"/>
    </row>
    <row r="666" spans="1:77" ht="12.5" hidden="1" x14ac:dyDescent="0.2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c r="BY666" s="27"/>
    </row>
    <row r="667" spans="1:77" ht="12.5" hidden="1" x14ac:dyDescent="0.2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c r="BY667" s="27"/>
    </row>
    <row r="668" spans="1:77" ht="12.5" hidden="1" x14ac:dyDescent="0.2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c r="BY668" s="27"/>
    </row>
    <row r="669" spans="1:77" ht="12.5" hidden="1" x14ac:dyDescent="0.2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c r="BY669" s="27"/>
    </row>
    <row r="670" spans="1:77" ht="12.5" hidden="1" x14ac:dyDescent="0.2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row>
    <row r="671" spans="1:77" ht="12.5" hidden="1" x14ac:dyDescent="0.2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c r="BY671" s="27"/>
    </row>
    <row r="672" spans="1:77" ht="12.5" hidden="1" x14ac:dyDescent="0.2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row>
    <row r="673" spans="1:77" ht="12.5" hidden="1" x14ac:dyDescent="0.2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c r="BY673" s="27"/>
    </row>
    <row r="674" spans="1:77" ht="12.5" hidden="1" x14ac:dyDescent="0.2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c r="BY674" s="27"/>
    </row>
    <row r="675" spans="1:77" ht="12.5" hidden="1" x14ac:dyDescent="0.2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c r="BY675" s="27"/>
    </row>
    <row r="676" spans="1:77" ht="12.5" hidden="1" x14ac:dyDescent="0.2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c r="BY676" s="27"/>
    </row>
    <row r="677" spans="1:77" ht="12.5" hidden="1" x14ac:dyDescent="0.2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c r="BY677" s="27"/>
    </row>
    <row r="678" spans="1:77" ht="12.5" hidden="1" x14ac:dyDescent="0.2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row>
    <row r="679" spans="1:77" ht="12.5" hidden="1" x14ac:dyDescent="0.2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c r="BY679" s="27"/>
    </row>
    <row r="680" spans="1:77" ht="12.5" hidden="1" x14ac:dyDescent="0.2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c r="BY680" s="27"/>
    </row>
    <row r="681" spans="1:77" ht="12.5" hidden="1" x14ac:dyDescent="0.2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c r="BY681" s="27"/>
    </row>
    <row r="682" spans="1:77" ht="12.5" hidden="1" x14ac:dyDescent="0.2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c r="BY682" s="27"/>
    </row>
    <row r="683" spans="1:77" ht="12.5" hidden="1" x14ac:dyDescent="0.2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c r="BY683" s="27"/>
    </row>
    <row r="684" spans="1:77" ht="12.5" hidden="1" x14ac:dyDescent="0.2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c r="BY684" s="27"/>
    </row>
    <row r="685" spans="1:77" ht="12.5" hidden="1" x14ac:dyDescent="0.2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c r="BY685" s="27"/>
    </row>
    <row r="686" spans="1:77" ht="12.5" hidden="1" x14ac:dyDescent="0.2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row>
    <row r="687" spans="1:77" ht="12.5" hidden="1" x14ac:dyDescent="0.2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c r="BY687" s="27"/>
    </row>
    <row r="688" spans="1:77" ht="12.5" hidden="1" x14ac:dyDescent="0.2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c r="BY688" s="27"/>
    </row>
    <row r="689" spans="1:77" ht="12.5" hidden="1" x14ac:dyDescent="0.2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c r="BY689" s="27"/>
    </row>
    <row r="690" spans="1:77" ht="12.5" hidden="1" x14ac:dyDescent="0.2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c r="BY690" s="27"/>
    </row>
    <row r="691" spans="1:77" ht="12.5" hidden="1" x14ac:dyDescent="0.2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c r="BY691" s="27"/>
    </row>
    <row r="692" spans="1:77" ht="12.5" hidden="1" x14ac:dyDescent="0.2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c r="BY692" s="27"/>
    </row>
    <row r="693" spans="1:77" ht="12.5" hidden="1" x14ac:dyDescent="0.2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c r="BY693" s="27"/>
    </row>
    <row r="694" spans="1:77" ht="12.5" hidden="1" x14ac:dyDescent="0.2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row>
    <row r="695" spans="1:77" ht="12.5" hidden="1" x14ac:dyDescent="0.2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c r="BY695" s="27"/>
    </row>
    <row r="696" spans="1:77" ht="12.5" hidden="1" x14ac:dyDescent="0.2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c r="BY696" s="27"/>
    </row>
    <row r="697" spans="1:77" ht="12.5" hidden="1" x14ac:dyDescent="0.2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row>
    <row r="698" spans="1:77" ht="12.5" hidden="1" x14ac:dyDescent="0.2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c r="BY698" s="27"/>
    </row>
    <row r="699" spans="1:77" ht="12.5" hidden="1" x14ac:dyDescent="0.2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row>
    <row r="700" spans="1:77" ht="12.5" hidden="1" x14ac:dyDescent="0.2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c r="BY700" s="27"/>
    </row>
    <row r="701" spans="1:77" ht="12.5" hidden="1" x14ac:dyDescent="0.2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c r="BY701" s="27"/>
    </row>
    <row r="702" spans="1:77" ht="12.5" hidden="1" x14ac:dyDescent="0.2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row>
    <row r="703" spans="1:77" ht="12.5" hidden="1" x14ac:dyDescent="0.2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c r="BY703" s="27"/>
    </row>
    <row r="704" spans="1:77" ht="12.5" hidden="1" x14ac:dyDescent="0.2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c r="BY704" s="27"/>
    </row>
    <row r="705" spans="1:77" ht="12.5" hidden="1" x14ac:dyDescent="0.2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c r="BY705" s="27"/>
    </row>
    <row r="706" spans="1:77" ht="12.5" hidden="1" x14ac:dyDescent="0.2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c r="BY706" s="27"/>
    </row>
    <row r="707" spans="1:77" ht="12.5" hidden="1" x14ac:dyDescent="0.2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c r="BY707" s="27"/>
    </row>
    <row r="708" spans="1:77" ht="12.5" hidden="1" x14ac:dyDescent="0.2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c r="BY708" s="27"/>
    </row>
    <row r="709" spans="1:77" ht="12.5" hidden="1" x14ac:dyDescent="0.2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c r="BY709" s="27"/>
    </row>
    <row r="710" spans="1:77" ht="12.5" hidden="1" x14ac:dyDescent="0.2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c r="BY710" s="27"/>
    </row>
    <row r="711" spans="1:77" ht="12.5" hidden="1" x14ac:dyDescent="0.2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c r="BY711" s="27"/>
    </row>
    <row r="712" spans="1:77" ht="12.5" hidden="1" x14ac:dyDescent="0.2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c r="BY712" s="27"/>
    </row>
    <row r="713" spans="1:77" ht="12.5" hidden="1" x14ac:dyDescent="0.2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c r="BY713" s="27"/>
    </row>
    <row r="714" spans="1:77" ht="12.5" hidden="1" x14ac:dyDescent="0.2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c r="BY714" s="27"/>
    </row>
    <row r="715" spans="1:77" ht="12.5" hidden="1" x14ac:dyDescent="0.2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c r="BY715" s="27"/>
    </row>
    <row r="716" spans="1:77" ht="12.5" hidden="1" x14ac:dyDescent="0.2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c r="BY716" s="27"/>
    </row>
    <row r="717" spans="1:77" ht="12.5" hidden="1" x14ac:dyDescent="0.2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c r="BY717" s="27"/>
    </row>
    <row r="718" spans="1:77" ht="12.5" hidden="1" x14ac:dyDescent="0.2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c r="BY718" s="27"/>
    </row>
    <row r="719" spans="1:77" ht="12.5" hidden="1" x14ac:dyDescent="0.2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c r="BY719" s="27"/>
    </row>
    <row r="720" spans="1:77" ht="12.5" hidden="1" x14ac:dyDescent="0.2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c r="BY720" s="27"/>
    </row>
    <row r="721" spans="1:77" ht="12.5" hidden="1" x14ac:dyDescent="0.2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c r="BY721" s="27"/>
    </row>
    <row r="722" spans="1:77" ht="12.5" hidden="1" x14ac:dyDescent="0.2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c r="BY722" s="27"/>
    </row>
    <row r="723" spans="1:77" ht="12.5" hidden="1" x14ac:dyDescent="0.2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c r="BY723" s="27"/>
    </row>
    <row r="724" spans="1:77" ht="12.5" hidden="1" x14ac:dyDescent="0.2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c r="BY724" s="27"/>
    </row>
    <row r="725" spans="1:77" ht="12.5" hidden="1" x14ac:dyDescent="0.2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c r="BY725" s="27"/>
    </row>
    <row r="726" spans="1:77" ht="12.5" hidden="1" x14ac:dyDescent="0.2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c r="BY726" s="27"/>
    </row>
    <row r="727" spans="1:77" ht="12.5" hidden="1" x14ac:dyDescent="0.2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c r="BY727" s="27"/>
    </row>
    <row r="728" spans="1:77" ht="12.5" hidden="1" x14ac:dyDescent="0.2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c r="BY728" s="27"/>
    </row>
    <row r="729" spans="1:77" ht="12.5" hidden="1" x14ac:dyDescent="0.2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c r="BY729" s="27"/>
    </row>
    <row r="730" spans="1:77" ht="12.5" hidden="1" x14ac:dyDescent="0.2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c r="BY730" s="27"/>
    </row>
    <row r="731" spans="1:77" ht="12.5" hidden="1" x14ac:dyDescent="0.2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c r="BY731" s="27"/>
    </row>
    <row r="732" spans="1:77" ht="12.5" hidden="1" x14ac:dyDescent="0.2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c r="BY732" s="27"/>
    </row>
    <row r="733" spans="1:77" ht="12.5" hidden="1" x14ac:dyDescent="0.2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c r="BY733" s="27"/>
    </row>
    <row r="734" spans="1:77" ht="12.5" hidden="1" x14ac:dyDescent="0.2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c r="BY734" s="27"/>
    </row>
    <row r="735" spans="1:77" ht="12.5" hidden="1" x14ac:dyDescent="0.2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c r="BY735" s="27"/>
    </row>
    <row r="736" spans="1:77" ht="12.5" hidden="1" x14ac:dyDescent="0.2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c r="BY736" s="27"/>
    </row>
    <row r="737" spans="1:77" ht="12.5" hidden="1" x14ac:dyDescent="0.2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c r="BY737" s="27"/>
    </row>
    <row r="738" spans="1:77" ht="12.5" hidden="1" x14ac:dyDescent="0.2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c r="BY738" s="27"/>
    </row>
    <row r="739" spans="1:77" ht="12.5" hidden="1" x14ac:dyDescent="0.2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c r="BY739" s="27"/>
    </row>
    <row r="740" spans="1:77" ht="12.5" hidden="1" x14ac:dyDescent="0.2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c r="BY740" s="27"/>
    </row>
    <row r="741" spans="1:77" ht="12.5" hidden="1" x14ac:dyDescent="0.2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c r="BY741" s="27"/>
    </row>
    <row r="742" spans="1:77" ht="12.5" hidden="1" x14ac:dyDescent="0.2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c r="BY742" s="27"/>
    </row>
    <row r="743" spans="1:77" ht="12.5" hidden="1" x14ac:dyDescent="0.2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c r="BY743" s="27"/>
    </row>
    <row r="744" spans="1:77" ht="12.5" hidden="1" x14ac:dyDescent="0.2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c r="BY744" s="27"/>
    </row>
    <row r="745" spans="1:77" ht="12.5" hidden="1" x14ac:dyDescent="0.2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c r="BY745" s="27"/>
    </row>
    <row r="746" spans="1:77" ht="12.5" hidden="1" x14ac:dyDescent="0.2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c r="BY746" s="27"/>
    </row>
    <row r="747" spans="1:77" ht="12.5" hidden="1" x14ac:dyDescent="0.2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c r="BY747" s="27"/>
    </row>
    <row r="748" spans="1:77" ht="12.5" hidden="1" x14ac:dyDescent="0.2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c r="BY748" s="27"/>
    </row>
    <row r="749" spans="1:77" ht="12.5" hidden="1" x14ac:dyDescent="0.2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c r="BY749" s="27"/>
    </row>
    <row r="750" spans="1:77" ht="12.5" hidden="1" x14ac:dyDescent="0.2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c r="BY750" s="27"/>
    </row>
    <row r="751" spans="1:77" ht="12.5" hidden="1" x14ac:dyDescent="0.2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c r="BY751" s="27"/>
    </row>
    <row r="752" spans="1:77" ht="12.5" hidden="1" x14ac:dyDescent="0.2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c r="BY752" s="27"/>
    </row>
    <row r="753" spans="1:77" ht="12.5" hidden="1" x14ac:dyDescent="0.2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c r="BY753" s="27"/>
    </row>
    <row r="754" spans="1:77" ht="12.5" hidden="1" x14ac:dyDescent="0.2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c r="BY754" s="27"/>
    </row>
    <row r="755" spans="1:77" ht="12.5" hidden="1" x14ac:dyDescent="0.2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c r="BY755" s="27"/>
    </row>
    <row r="756" spans="1:77" ht="12.5" hidden="1" x14ac:dyDescent="0.2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c r="BY756" s="27"/>
    </row>
    <row r="757" spans="1:77" ht="12.5" hidden="1" x14ac:dyDescent="0.2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c r="BY757" s="27"/>
    </row>
    <row r="758" spans="1:77" ht="12.5" hidden="1" x14ac:dyDescent="0.2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c r="BY758" s="27"/>
    </row>
    <row r="759" spans="1:77" ht="12.5" hidden="1" x14ac:dyDescent="0.2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c r="BY759" s="27"/>
    </row>
    <row r="760" spans="1:77" ht="12.5" hidden="1" x14ac:dyDescent="0.2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c r="BY760" s="27"/>
    </row>
    <row r="761" spans="1:77" ht="12.5" hidden="1" x14ac:dyDescent="0.2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c r="BY761" s="27"/>
    </row>
    <row r="762" spans="1:77" ht="12.5" hidden="1" x14ac:dyDescent="0.2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c r="BY762" s="27"/>
    </row>
    <row r="763" spans="1:77" ht="12.5" hidden="1" x14ac:dyDescent="0.2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c r="BY763" s="27"/>
    </row>
    <row r="764" spans="1:77" ht="12.5" hidden="1" x14ac:dyDescent="0.2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c r="BY764" s="27"/>
    </row>
    <row r="765" spans="1:77" ht="12.5" hidden="1" x14ac:dyDescent="0.2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c r="BY765" s="27"/>
    </row>
    <row r="766" spans="1:77" ht="12.5" hidden="1" x14ac:dyDescent="0.2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row>
    <row r="767" spans="1:77" ht="12.5" hidden="1" x14ac:dyDescent="0.2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row>
    <row r="768" spans="1:77" ht="12.5" hidden="1" x14ac:dyDescent="0.2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row>
    <row r="769" spans="1:77" ht="12.5" hidden="1" x14ac:dyDescent="0.2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row>
    <row r="770" spans="1:77" ht="12.5" hidden="1" x14ac:dyDescent="0.2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row>
    <row r="771" spans="1:77" ht="12.5" hidden="1" x14ac:dyDescent="0.2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row>
    <row r="772" spans="1:77" ht="12.5" hidden="1" x14ac:dyDescent="0.2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row>
    <row r="773" spans="1:77" ht="12.5" hidden="1" x14ac:dyDescent="0.2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row>
    <row r="774" spans="1:77" ht="12.5" hidden="1" x14ac:dyDescent="0.2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row>
    <row r="775" spans="1:77" ht="12.5" hidden="1" x14ac:dyDescent="0.2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row>
    <row r="776" spans="1:77" ht="12.5" hidden="1" x14ac:dyDescent="0.2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row>
    <row r="777" spans="1:77" ht="12.5" hidden="1" x14ac:dyDescent="0.2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row>
    <row r="778" spans="1:77" ht="12.5" hidden="1" x14ac:dyDescent="0.2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row>
    <row r="779" spans="1:77" ht="12.5" hidden="1" x14ac:dyDescent="0.2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row>
    <row r="780" spans="1:77" ht="12.5" hidden="1" x14ac:dyDescent="0.2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row>
    <row r="781" spans="1:77" ht="12.5" hidden="1" x14ac:dyDescent="0.2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row>
    <row r="782" spans="1:77" ht="12.5" hidden="1" x14ac:dyDescent="0.2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row>
    <row r="783" spans="1:77" ht="12.5" hidden="1" x14ac:dyDescent="0.2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row>
    <row r="784" spans="1:77" ht="12.5" hidden="1" x14ac:dyDescent="0.2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row>
    <row r="785" spans="1:77" ht="12.5" hidden="1" x14ac:dyDescent="0.2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row>
    <row r="786" spans="1:77" ht="12.5" hidden="1" x14ac:dyDescent="0.2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row>
    <row r="787" spans="1:77" ht="12.5" hidden="1" x14ac:dyDescent="0.2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row>
    <row r="788" spans="1:77" ht="12.5" hidden="1" x14ac:dyDescent="0.2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row>
    <row r="789" spans="1:77" ht="12.5" hidden="1" x14ac:dyDescent="0.2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row>
    <row r="790" spans="1:77" ht="12.5" hidden="1" x14ac:dyDescent="0.2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row>
    <row r="791" spans="1:77" ht="12.5" hidden="1" x14ac:dyDescent="0.2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row>
    <row r="792" spans="1:77" ht="12.5" hidden="1" x14ac:dyDescent="0.2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row>
    <row r="793" spans="1:77" ht="12.5" hidden="1" x14ac:dyDescent="0.2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row>
    <row r="794" spans="1:77" ht="12.5" hidden="1" x14ac:dyDescent="0.2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row>
    <row r="795" spans="1:77" ht="12.5" hidden="1" x14ac:dyDescent="0.2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row>
    <row r="796" spans="1:77" ht="12.5" hidden="1" x14ac:dyDescent="0.2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row>
    <row r="797" spans="1:77" ht="12.5" hidden="1" x14ac:dyDescent="0.2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row>
    <row r="798" spans="1:77" ht="12.5" hidden="1" x14ac:dyDescent="0.2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row>
    <row r="799" spans="1:77" ht="12.5" hidden="1" x14ac:dyDescent="0.2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row>
    <row r="800" spans="1:77" ht="12.5" hidden="1" x14ac:dyDescent="0.2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row>
    <row r="801" spans="1:77" ht="12.5" hidden="1" x14ac:dyDescent="0.2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row>
    <row r="802" spans="1:77" ht="12.5" hidden="1" x14ac:dyDescent="0.2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row>
    <row r="803" spans="1:77" ht="12.5" hidden="1" x14ac:dyDescent="0.2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row>
    <row r="804" spans="1:77" ht="12.5" hidden="1" x14ac:dyDescent="0.2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row>
    <row r="805" spans="1:77" ht="12.5" hidden="1" x14ac:dyDescent="0.2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row>
    <row r="806" spans="1:77" ht="12.5" hidden="1" x14ac:dyDescent="0.2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c r="BY806" s="27"/>
    </row>
    <row r="807" spans="1:77" ht="12.5" hidden="1" x14ac:dyDescent="0.2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c r="BY807" s="27"/>
    </row>
    <row r="808" spans="1:77" ht="12.5" hidden="1" x14ac:dyDescent="0.2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c r="BY808" s="27"/>
    </row>
    <row r="809" spans="1:77" ht="12.5" hidden="1" x14ac:dyDescent="0.2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c r="BY809" s="27"/>
    </row>
    <row r="810" spans="1:77" ht="12.5" hidden="1" x14ac:dyDescent="0.2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c r="BY810" s="27"/>
    </row>
    <row r="811" spans="1:77" ht="12.5" hidden="1" x14ac:dyDescent="0.2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c r="BY811" s="27"/>
    </row>
    <row r="812" spans="1:77" ht="12.5" hidden="1" x14ac:dyDescent="0.2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c r="BY812" s="27"/>
    </row>
    <row r="813" spans="1:77" ht="12.5" hidden="1" x14ac:dyDescent="0.2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c r="BY813" s="27"/>
    </row>
    <row r="814" spans="1:77" ht="12.5" hidden="1" x14ac:dyDescent="0.2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c r="BY814" s="27"/>
    </row>
    <row r="815" spans="1:77" ht="12.5" hidden="1" x14ac:dyDescent="0.2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c r="BY815" s="27"/>
    </row>
    <row r="816" spans="1:77" ht="12.5" hidden="1" x14ac:dyDescent="0.2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c r="BY816" s="27"/>
    </row>
    <row r="817" spans="1:77" ht="12.5" hidden="1" x14ac:dyDescent="0.2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c r="BY817" s="27"/>
    </row>
    <row r="818" spans="1:77" ht="12.5" hidden="1" x14ac:dyDescent="0.2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c r="BY818" s="27"/>
    </row>
    <row r="819" spans="1:77" ht="12.5" hidden="1" x14ac:dyDescent="0.2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c r="BY819" s="27"/>
    </row>
    <row r="820" spans="1:77" ht="12.5" hidden="1" x14ac:dyDescent="0.2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c r="BY820" s="27"/>
    </row>
    <row r="821" spans="1:77" ht="12.5" hidden="1" x14ac:dyDescent="0.2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c r="BY821" s="27"/>
    </row>
    <row r="822" spans="1:77" ht="12.5" hidden="1" x14ac:dyDescent="0.2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c r="BY822" s="27"/>
    </row>
    <row r="823" spans="1:77" ht="12.5" hidden="1" x14ac:dyDescent="0.2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c r="BY823" s="27"/>
    </row>
    <row r="824" spans="1:77" ht="12.5" hidden="1" x14ac:dyDescent="0.2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c r="BY824" s="27"/>
    </row>
    <row r="825" spans="1:77" ht="12.5" hidden="1" x14ac:dyDescent="0.2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c r="BY825" s="27"/>
    </row>
    <row r="826" spans="1:77" ht="12.5" hidden="1" x14ac:dyDescent="0.2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c r="BY826" s="27"/>
    </row>
    <row r="827" spans="1:77" ht="12.5" hidden="1" x14ac:dyDescent="0.2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c r="BY827" s="27"/>
    </row>
    <row r="828" spans="1:77" ht="12.5" hidden="1" x14ac:dyDescent="0.2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c r="BY828" s="27"/>
    </row>
    <row r="829" spans="1:77" ht="12.5" hidden="1" x14ac:dyDescent="0.2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c r="BY829" s="27"/>
    </row>
    <row r="830" spans="1:77" ht="12.5" hidden="1" x14ac:dyDescent="0.2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c r="BY830" s="27"/>
    </row>
    <row r="831" spans="1:77" ht="12.5" hidden="1" x14ac:dyDescent="0.2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c r="BY831" s="27"/>
    </row>
    <row r="832" spans="1:77" ht="12.5" hidden="1" x14ac:dyDescent="0.2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c r="BY832" s="27"/>
    </row>
    <row r="833" spans="1:77" ht="12.5" hidden="1" x14ac:dyDescent="0.2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c r="BY833" s="27"/>
    </row>
    <row r="834" spans="1:77" ht="12.5" hidden="1" x14ac:dyDescent="0.2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c r="BY834" s="27"/>
    </row>
    <row r="835" spans="1:77" ht="12.5" hidden="1" x14ac:dyDescent="0.2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c r="BY835" s="27"/>
    </row>
    <row r="836" spans="1:77" ht="12.5" hidden="1" x14ac:dyDescent="0.2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c r="BY836" s="27"/>
    </row>
    <row r="837" spans="1:77" ht="12.5" hidden="1" x14ac:dyDescent="0.2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c r="BY837" s="27"/>
    </row>
    <row r="838" spans="1:77" ht="12.5" hidden="1" x14ac:dyDescent="0.2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row>
    <row r="839" spans="1:77" ht="12.5" hidden="1" x14ac:dyDescent="0.2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c r="BY839" s="27"/>
    </row>
    <row r="840" spans="1:77" ht="12.5" hidden="1" x14ac:dyDescent="0.2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c r="BY840" s="27"/>
    </row>
    <row r="841" spans="1:77" ht="12.5" hidden="1" x14ac:dyDescent="0.2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c r="BY841" s="27"/>
    </row>
    <row r="842" spans="1:77" ht="12.5" hidden="1" x14ac:dyDescent="0.2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c r="BY842" s="27"/>
    </row>
    <row r="843" spans="1:77" ht="12.5" hidden="1" x14ac:dyDescent="0.2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c r="BY843" s="27"/>
    </row>
    <row r="844" spans="1:77" ht="12.5" hidden="1" x14ac:dyDescent="0.2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c r="BY844" s="27"/>
    </row>
    <row r="845" spans="1:77" ht="12.5" hidden="1" x14ac:dyDescent="0.2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c r="BY845" s="27"/>
    </row>
    <row r="846" spans="1:77" ht="12.5" hidden="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c r="BY846" s="27"/>
    </row>
    <row r="847" spans="1:77" ht="12.5" hidden="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c r="BY847" s="27"/>
    </row>
    <row r="848" spans="1:77" ht="12.5" hidden="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c r="BY848" s="27"/>
    </row>
    <row r="849" spans="1:77" ht="12.5" hidden="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c r="BY849" s="27"/>
    </row>
    <row r="850" spans="1:77" ht="12.5" hidden="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c r="BY850" s="27"/>
    </row>
    <row r="851" spans="1:77" ht="12.5" hidden="1" x14ac:dyDescent="0.2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row>
    <row r="852" spans="1:77" ht="12.5" hidden="1" x14ac:dyDescent="0.2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c r="BY852" s="27"/>
    </row>
    <row r="853" spans="1:77" ht="12.5" hidden="1" x14ac:dyDescent="0.2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c r="BY853" s="27"/>
    </row>
    <row r="854" spans="1:77" ht="12.5" hidden="1" x14ac:dyDescent="0.2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c r="BY854" s="27"/>
    </row>
    <row r="855" spans="1:77" ht="12.5" hidden="1" x14ac:dyDescent="0.2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c r="BY855" s="27"/>
    </row>
    <row r="856" spans="1:77" ht="12.5" hidden="1" x14ac:dyDescent="0.2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c r="BY856" s="27"/>
    </row>
    <row r="857" spans="1:77" ht="12.5" hidden="1" x14ac:dyDescent="0.2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c r="BY857" s="27"/>
    </row>
    <row r="858" spans="1:77" ht="12.5" hidden="1" x14ac:dyDescent="0.2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c r="BY858" s="27"/>
    </row>
    <row r="859" spans="1:77" ht="12.5" hidden="1" x14ac:dyDescent="0.2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c r="BY859" s="27"/>
    </row>
    <row r="860" spans="1:77" ht="12.5" hidden="1" x14ac:dyDescent="0.2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c r="BY860" s="27"/>
    </row>
    <row r="861" spans="1:77" ht="12.5" hidden="1" x14ac:dyDescent="0.2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c r="BY861" s="27"/>
    </row>
    <row r="862" spans="1:77" ht="12.5" hidden="1" x14ac:dyDescent="0.2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c r="BY862" s="27"/>
    </row>
    <row r="863" spans="1:77" ht="12.5" hidden="1" x14ac:dyDescent="0.2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c r="BY863" s="27"/>
    </row>
    <row r="864" spans="1:77" ht="12.5" hidden="1" x14ac:dyDescent="0.2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c r="BY864" s="27"/>
    </row>
    <row r="865" spans="1:77" ht="12.5" hidden="1" x14ac:dyDescent="0.2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row>
    <row r="866" spans="1:77" ht="12.5" hidden="1" x14ac:dyDescent="0.2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c r="BY866" s="27"/>
    </row>
    <row r="867" spans="1:77" ht="12.5" hidden="1" x14ac:dyDescent="0.2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c r="BY867" s="27"/>
    </row>
    <row r="868" spans="1:77" ht="12.5" hidden="1" x14ac:dyDescent="0.2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c r="BY868" s="27"/>
    </row>
    <row r="869" spans="1:77" ht="12.5" hidden="1" x14ac:dyDescent="0.2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c r="BY869" s="27"/>
    </row>
    <row r="870" spans="1:77" ht="12.5" hidden="1" x14ac:dyDescent="0.2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c r="BY870" s="27"/>
    </row>
    <row r="871" spans="1:77" ht="12.5" hidden="1" x14ac:dyDescent="0.2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c r="BY871" s="27"/>
    </row>
    <row r="872" spans="1:77" ht="12.5" hidden="1" x14ac:dyDescent="0.2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c r="BY872" s="27"/>
    </row>
    <row r="873" spans="1:77" ht="12.5" hidden="1" x14ac:dyDescent="0.2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c r="BY873" s="27"/>
    </row>
    <row r="874" spans="1:77" ht="12.5" hidden="1" x14ac:dyDescent="0.2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c r="BY874" s="27"/>
    </row>
    <row r="875" spans="1:77" ht="12.5" hidden="1" x14ac:dyDescent="0.2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c r="BY875" s="27"/>
    </row>
    <row r="876" spans="1:77" ht="12.5" hidden="1" x14ac:dyDescent="0.2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c r="BY876" s="27"/>
    </row>
    <row r="877" spans="1:77" ht="12.5" hidden="1" x14ac:dyDescent="0.2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c r="BY877" s="27"/>
    </row>
    <row r="878" spans="1:77" ht="12.5" hidden="1" x14ac:dyDescent="0.2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c r="BY878" s="27"/>
    </row>
    <row r="879" spans="1:77" ht="12.5" hidden="1" x14ac:dyDescent="0.2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c r="BY879" s="27"/>
    </row>
    <row r="880" spans="1:77" ht="12.5" hidden="1" x14ac:dyDescent="0.2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c r="BY880" s="27"/>
    </row>
    <row r="881" spans="1:77" ht="12.5" hidden="1" x14ac:dyDescent="0.2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c r="BY881" s="27"/>
    </row>
    <row r="882" spans="1:77" ht="12.5" hidden="1" x14ac:dyDescent="0.2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c r="BY882" s="27"/>
    </row>
    <row r="883" spans="1:77" ht="12.5" hidden="1" x14ac:dyDescent="0.2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c r="BY883" s="27"/>
    </row>
    <row r="884" spans="1:77" ht="12.5" hidden="1" x14ac:dyDescent="0.2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c r="BY884" s="27"/>
    </row>
    <row r="885" spans="1:77" ht="12.5" hidden="1" x14ac:dyDescent="0.2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c r="BY885" s="27"/>
    </row>
    <row r="886" spans="1:77" ht="12.5" hidden="1" x14ac:dyDescent="0.2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c r="BY886" s="27"/>
    </row>
    <row r="887" spans="1:77" ht="12.5" hidden="1" x14ac:dyDescent="0.2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c r="BY887" s="27"/>
    </row>
    <row r="888" spans="1:77" ht="12.5" hidden="1" x14ac:dyDescent="0.2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c r="BY888" s="27"/>
    </row>
    <row r="889" spans="1:77" ht="12.5" hidden="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c r="BY889" s="27"/>
    </row>
    <row r="890" spans="1:77" ht="12.5" hidden="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c r="BY890" s="27"/>
    </row>
    <row r="891" spans="1:77" ht="12.5" hidden="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c r="BY891" s="27"/>
    </row>
    <row r="892" spans="1:77" ht="12.5" hidden="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c r="BY892" s="27"/>
    </row>
    <row r="893" spans="1:77" ht="12.5" hidden="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c r="BY893" s="27"/>
    </row>
    <row r="894" spans="1:77" ht="12.5" hidden="1" x14ac:dyDescent="0.2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c r="BY894" s="27"/>
    </row>
    <row r="895" spans="1:77" ht="12.5" hidden="1" x14ac:dyDescent="0.2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c r="BY895" s="27"/>
    </row>
    <row r="896" spans="1:77" ht="12.5" hidden="1" x14ac:dyDescent="0.2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c r="BY896" s="27"/>
    </row>
    <row r="897" spans="1:77" ht="12.5" hidden="1" x14ac:dyDescent="0.2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c r="BY897" s="27"/>
    </row>
    <row r="898" spans="1:77" ht="12.5" hidden="1" x14ac:dyDescent="0.2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c r="BY898" s="27"/>
    </row>
    <row r="899" spans="1:77" ht="12.5" hidden="1" x14ac:dyDescent="0.2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c r="BY899" s="27"/>
    </row>
    <row r="900" spans="1:77" ht="12.5" hidden="1" x14ac:dyDescent="0.2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c r="BY900" s="27"/>
    </row>
    <row r="901" spans="1:77" ht="12.5" hidden="1" x14ac:dyDescent="0.2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c r="BY901" s="27"/>
    </row>
    <row r="902" spans="1:77" ht="12.5" hidden="1" x14ac:dyDescent="0.2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c r="BY902" s="27"/>
    </row>
    <row r="903" spans="1:77" ht="12.5" hidden="1" x14ac:dyDescent="0.2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c r="BY903" s="27"/>
    </row>
    <row r="904" spans="1:77" ht="12.5" hidden="1" x14ac:dyDescent="0.2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c r="BY904" s="27"/>
    </row>
    <row r="905" spans="1:77" ht="12.5" hidden="1" x14ac:dyDescent="0.2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c r="BY905" s="27"/>
    </row>
    <row r="906" spans="1:77" ht="12.5" hidden="1" x14ac:dyDescent="0.2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row>
    <row r="907" spans="1:77" ht="12.5" hidden="1" x14ac:dyDescent="0.2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c r="BY907" s="27"/>
    </row>
    <row r="908" spans="1:77" ht="12.5" hidden="1" x14ac:dyDescent="0.2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c r="BY908" s="27"/>
    </row>
    <row r="909" spans="1:77" ht="12.5" hidden="1" x14ac:dyDescent="0.2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c r="BY909" s="27"/>
    </row>
    <row r="910" spans="1:77" ht="12.5" hidden="1" x14ac:dyDescent="0.2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c r="BY910" s="27"/>
    </row>
    <row r="911" spans="1:77" ht="12.5" hidden="1" x14ac:dyDescent="0.2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c r="BY911" s="27"/>
    </row>
    <row r="912" spans="1:77" ht="12.5" hidden="1" x14ac:dyDescent="0.2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c r="BY912" s="27"/>
    </row>
    <row r="913" spans="1:77" ht="12.5" hidden="1" x14ac:dyDescent="0.2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c r="BY913" s="27"/>
    </row>
    <row r="914" spans="1:77" ht="12.5" hidden="1" x14ac:dyDescent="0.2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c r="BY914" s="27"/>
    </row>
    <row r="915" spans="1:77" ht="12.5" hidden="1" x14ac:dyDescent="0.2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c r="BY915" s="27"/>
    </row>
    <row r="916" spans="1:77" ht="12.5" hidden="1" x14ac:dyDescent="0.2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c r="BY916" s="27"/>
    </row>
    <row r="917" spans="1:77" ht="12.5" hidden="1" x14ac:dyDescent="0.2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c r="BY917" s="27"/>
    </row>
    <row r="918" spans="1:77" ht="12.5" hidden="1" x14ac:dyDescent="0.2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c r="BY918" s="27"/>
    </row>
    <row r="919" spans="1:77" ht="12.5" hidden="1" x14ac:dyDescent="0.2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c r="BY919" s="27"/>
    </row>
    <row r="920" spans="1:77" ht="12.5" hidden="1" x14ac:dyDescent="0.2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c r="BY920" s="27"/>
    </row>
    <row r="921" spans="1:77" ht="12.5" hidden="1" x14ac:dyDescent="0.2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c r="BY921" s="27"/>
    </row>
    <row r="922" spans="1:77" ht="12.5" hidden="1" x14ac:dyDescent="0.2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c r="BY922" s="27"/>
    </row>
    <row r="923" spans="1:77" ht="12.5" hidden="1" x14ac:dyDescent="0.2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c r="BY923" s="27"/>
    </row>
    <row r="924" spans="1:77" ht="12.5" hidden="1" x14ac:dyDescent="0.2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c r="BY924" s="27"/>
    </row>
    <row r="925" spans="1:77" ht="12.5" hidden="1" x14ac:dyDescent="0.2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c r="BY925" s="27"/>
    </row>
    <row r="926" spans="1:77" ht="12.5" hidden="1" x14ac:dyDescent="0.2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c r="BY926" s="27"/>
    </row>
    <row r="927" spans="1:77" ht="12.5" hidden="1" x14ac:dyDescent="0.2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row>
    <row r="928" spans="1:77" ht="12.5" hidden="1" x14ac:dyDescent="0.2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row>
    <row r="929" spans="1:77" ht="12.5" hidden="1" x14ac:dyDescent="0.2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row>
    <row r="930" spans="1:77" ht="12.5" hidden="1" x14ac:dyDescent="0.2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row>
    <row r="931" spans="1:77" ht="12.5" hidden="1" x14ac:dyDescent="0.2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row>
    <row r="932" spans="1:77" ht="12.5" hidden="1" x14ac:dyDescent="0.2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row>
    <row r="933" spans="1:77" ht="12.5" hidden="1" x14ac:dyDescent="0.2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row>
    <row r="934" spans="1:77" ht="12.5" hidden="1" x14ac:dyDescent="0.2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row>
    <row r="935" spans="1:77" ht="12.5" hidden="1" x14ac:dyDescent="0.2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row>
    <row r="936" spans="1:77" ht="12.5" hidden="1" x14ac:dyDescent="0.2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row>
    <row r="937" spans="1:77" ht="12.5" hidden="1" x14ac:dyDescent="0.2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row>
    <row r="938" spans="1:77" ht="12.5" hidden="1" x14ac:dyDescent="0.2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row>
    <row r="939" spans="1:77" ht="12.5" hidden="1" x14ac:dyDescent="0.2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row>
    <row r="940" spans="1:77" ht="12.5" hidden="1" x14ac:dyDescent="0.2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row>
    <row r="941" spans="1:77" ht="12.5" hidden="1" x14ac:dyDescent="0.2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row>
    <row r="942" spans="1:77" ht="12.5" hidden="1" x14ac:dyDescent="0.2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row>
    <row r="943" spans="1:77" ht="12.5" hidden="1" x14ac:dyDescent="0.2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row>
    <row r="944" spans="1:77" ht="12.5" hidden="1" x14ac:dyDescent="0.2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row>
    <row r="945" spans="1:77" ht="12.5" hidden="1" x14ac:dyDescent="0.2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row>
    <row r="946" spans="1:77" ht="12.5" hidden="1" x14ac:dyDescent="0.2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row>
    <row r="947" spans="1:77" ht="12.5" hidden="1" x14ac:dyDescent="0.2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row>
    <row r="948" spans="1:77" ht="12.5" hidden="1" x14ac:dyDescent="0.2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row>
    <row r="949" spans="1:77" ht="12.5" hidden="1" x14ac:dyDescent="0.2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row>
    <row r="950" spans="1:77" ht="12.5" hidden="1" x14ac:dyDescent="0.2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row>
    <row r="951" spans="1:77" ht="12.5" hidden="1" x14ac:dyDescent="0.2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row>
    <row r="952" spans="1:77" ht="12.5" hidden="1" x14ac:dyDescent="0.2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row>
    <row r="953" spans="1:77" ht="12.5" hidden="1" x14ac:dyDescent="0.2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row>
    <row r="954" spans="1:77" ht="12.5" hidden="1" x14ac:dyDescent="0.2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row>
    <row r="955" spans="1:77" ht="12.5" hidden="1" x14ac:dyDescent="0.2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row>
    <row r="956" spans="1:77" ht="12.5" hidden="1" x14ac:dyDescent="0.2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row>
    <row r="957" spans="1:77" ht="12.5" hidden="1" x14ac:dyDescent="0.2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row>
    <row r="958" spans="1:77" ht="12.5" hidden="1" x14ac:dyDescent="0.2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row>
    <row r="959" spans="1:77" ht="12.5" hidden="1" x14ac:dyDescent="0.2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row>
    <row r="960" spans="1:77" ht="12.5" hidden="1" x14ac:dyDescent="0.2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row>
    <row r="961" spans="1:77" ht="12.5" hidden="1" x14ac:dyDescent="0.2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row>
    <row r="962" spans="1:77" ht="12.5" hidden="1" x14ac:dyDescent="0.2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row>
    <row r="963" spans="1:77" ht="12.5" hidden="1" x14ac:dyDescent="0.2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row>
    <row r="964" spans="1:77" ht="12.5" hidden="1" x14ac:dyDescent="0.2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row>
    <row r="965" spans="1:77" ht="12.5" hidden="1" x14ac:dyDescent="0.2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row>
    <row r="966" spans="1:77" ht="12.5" hidden="1" x14ac:dyDescent="0.2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row>
    <row r="967" spans="1:77" ht="12.5" hidden="1" x14ac:dyDescent="0.2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c r="BY967" s="27"/>
    </row>
    <row r="968" spans="1:77" ht="12.5" hidden="1" x14ac:dyDescent="0.2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c r="BY968" s="27"/>
    </row>
    <row r="969" spans="1:77" ht="12.5" hidden="1" x14ac:dyDescent="0.2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c r="BY969" s="27"/>
    </row>
    <row r="970" spans="1:77" ht="12.5" hidden="1" x14ac:dyDescent="0.2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c r="BY970" s="27"/>
    </row>
    <row r="971" spans="1:77" ht="12.5" hidden="1" x14ac:dyDescent="0.2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c r="BY971" s="27"/>
    </row>
    <row r="972" spans="1:77" ht="12.5" hidden="1" x14ac:dyDescent="0.2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c r="BY972" s="27"/>
    </row>
    <row r="973" spans="1:77" ht="12.5" hidden="1" x14ac:dyDescent="0.2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c r="BY973" s="27"/>
    </row>
    <row r="974" spans="1:77" ht="12.5" hidden="1" x14ac:dyDescent="0.2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row>
    <row r="975" spans="1:77" ht="12.5" hidden="1" x14ac:dyDescent="0.2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c r="BY975" s="27"/>
    </row>
    <row r="976" spans="1:77" ht="12.5" hidden="1" x14ac:dyDescent="0.2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c r="BY976" s="27"/>
    </row>
    <row r="977" spans="1:77" ht="12.5" hidden="1" x14ac:dyDescent="0.2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c r="BY977" s="27"/>
    </row>
    <row r="978" spans="1:77" ht="12.5" hidden="1" x14ac:dyDescent="0.2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c r="BY978" s="27"/>
    </row>
    <row r="979" spans="1:77" ht="12.5" hidden="1" x14ac:dyDescent="0.2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c r="BY979" s="27"/>
    </row>
    <row r="980" spans="1:77" ht="12.5" hidden="1" x14ac:dyDescent="0.2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c r="BY980" s="27"/>
    </row>
    <row r="981" spans="1:77" ht="12.5" hidden="1" x14ac:dyDescent="0.2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c r="BY981" s="27"/>
    </row>
    <row r="982" spans="1:77" ht="12.5" hidden="1" x14ac:dyDescent="0.2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c r="BY982" s="27"/>
    </row>
    <row r="983" spans="1:77" ht="12.5" hidden="1" x14ac:dyDescent="0.2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c r="BY983" s="27"/>
    </row>
    <row r="984" spans="1:77" ht="12.5" hidden="1" x14ac:dyDescent="0.2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c r="BY984" s="27"/>
    </row>
    <row r="985" spans="1:77" ht="12.5" hidden="1" x14ac:dyDescent="0.2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c r="BY985" s="27"/>
    </row>
    <row r="986" spans="1:77" ht="12.5" hidden="1" x14ac:dyDescent="0.2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c r="BY986" s="27"/>
    </row>
    <row r="987" spans="1:77" ht="12.5" hidden="1" x14ac:dyDescent="0.25">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c r="BY987" s="27"/>
    </row>
    <row r="988" spans="1:77" ht="12.5" hidden="1" x14ac:dyDescent="0.25">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c r="BY988" s="27"/>
    </row>
    <row r="989" spans="1:77" ht="12.5" hidden="1" x14ac:dyDescent="0.25">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c r="BY989" s="27"/>
    </row>
    <row r="990" spans="1:77" ht="12.5" hidden="1" x14ac:dyDescent="0.25">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c r="BY990" s="27"/>
    </row>
    <row r="991" spans="1:77" ht="12.5" hidden="1" x14ac:dyDescent="0.25">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c r="BY991" s="27"/>
    </row>
    <row r="992" spans="1:77" ht="12.5" hidden="1" x14ac:dyDescent="0.25">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c r="BY992" s="27"/>
    </row>
    <row r="993" spans="1:77" ht="12.5" hidden="1" x14ac:dyDescent="0.25">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c r="BY993" s="27"/>
    </row>
    <row r="994" spans="1:77" ht="12.5" hidden="1" x14ac:dyDescent="0.25">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c r="BY994" s="27"/>
    </row>
    <row r="995" spans="1:77" ht="12.5" hidden="1" x14ac:dyDescent="0.25">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c r="BY995" s="27"/>
    </row>
    <row r="996" spans="1:77" ht="12.5" hidden="1" x14ac:dyDescent="0.25">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c r="BY996" s="27"/>
    </row>
    <row r="997" spans="1:77" ht="12.5" hidden="1" x14ac:dyDescent="0.25">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c r="BY997" s="27"/>
    </row>
    <row r="998" spans="1:77" ht="12.5" hidden="1" x14ac:dyDescent="0.25">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c r="BY998" s="27"/>
    </row>
    <row r="999" spans="1:77" ht="12.5" hidden="1" x14ac:dyDescent="0.25">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c r="BY999" s="27"/>
    </row>
    <row r="1000" spans="1:77" ht="12.5" hidden="1" x14ac:dyDescent="0.25"/>
  </sheetData>
  <autoFilter ref="A1:BY1000" xr:uid="{00000000-0009-0000-0000-000007000000}"/>
  <hyperlinks>
    <hyperlink ref="A2" r:id="rId1" display="https://gerandofalcoes.my.salesforce.com/0014P00003YSp95QAD" xr:uid="{00000000-0004-0000-0700-000000000000}"/>
    <hyperlink ref="AL2" r:id="rId2" display="https://gerandofalcoes.my.salesforce.com/0034P000045kxjh" xr:uid="{00000000-0004-0000-0700-000001000000}"/>
    <hyperlink ref="BW2" r:id="rId3" display="https://instagram.com/ongabcjuntossomosfortes" xr:uid="{00000000-0004-0000-0700-000002000000}"/>
    <hyperlink ref="BX2" r:id="rId4" display="https://instagram.com/ongabcjuntossomosfortes" xr:uid="{00000000-0004-0000-0700-000003000000}"/>
    <hyperlink ref="BY2" r:id="rId5" display="https://drive.google.com/open?id=1_b8ujrLq-u8LqVIkB83dUkpYWwi8QLs5" xr:uid="{00000000-0004-0000-0700-000004000000}"/>
    <hyperlink ref="A3" r:id="rId6" display="https://gerandofalcoes.my.salesforce.com/0014X00002VKCtkQAH" xr:uid="{00000000-0004-0000-0700-000005000000}"/>
    <hyperlink ref="AL3" r:id="rId7" display="https://gerandofalcoes.my.salesforce.com/0034X0000380O4I" xr:uid="{00000000-0004-0000-0700-000006000000}"/>
    <hyperlink ref="BX3" r:id="rId8" display="https://www.instagram.com/invites/contact/?i=draji9vq0nl6&amp;utm_content=o0rj2q" xr:uid="{00000000-0004-0000-0700-000007000000}"/>
    <hyperlink ref="BY3" r:id="rId9" display="https://drive.google.com/open?id=1GGYFJ08MwDfc6GMEX2czdskzObwA4eFb" xr:uid="{00000000-0004-0000-0700-000008000000}"/>
    <hyperlink ref="A4" r:id="rId10" display="https://gerandofalcoes.my.salesforce.com/0014P00003YSpAEQA1" xr:uid="{00000000-0004-0000-0700-000009000000}"/>
    <hyperlink ref="AL4" r:id="rId11" display="https://gerandofalcoes.my.salesforce.com/0034P000045kxkq" xr:uid="{00000000-0004-0000-0700-00000A000000}"/>
    <hyperlink ref="BY4" r:id="rId12" display="https://drive.google.com/open?id=1qKTwgHROY_jcpuXYbHKzxUjCyoRRLB8y" xr:uid="{00000000-0004-0000-0700-00000B000000}"/>
    <hyperlink ref="A5" r:id="rId13" display="https://gerandofalcoes.my.salesforce.com/0014P00003AN2FaQAL" xr:uid="{00000000-0004-0000-0700-00000C000000}"/>
    <hyperlink ref="AL5" r:id="rId14" display="https://gerandofalcoes.my.salesforce.com/0034P00003maBV0" xr:uid="{00000000-0004-0000-0700-00000D000000}"/>
    <hyperlink ref="BY5" r:id="rId15" display="https://drive.google.com/open?id=1nZQ49SabNU3Vm4VK3EyQyAtHKI-Qn1Y-" xr:uid="{00000000-0004-0000-0700-00000E000000}"/>
    <hyperlink ref="A6" r:id="rId16" display="https://gerandofalcoes.my.salesforce.com/0014X00002VKCucQAH" xr:uid="{00000000-0004-0000-0700-00000F000000}"/>
    <hyperlink ref="AL6" r:id="rId17" display="https://gerandofalcoes.my.salesforce.com/0034X0000380O15" xr:uid="{00000000-0004-0000-0700-000010000000}"/>
    <hyperlink ref="BY6" r:id="rId18" display="https://drive.google.com/open?id=1YKtEYbWfXWVi9pFkx6cj9GK0SqeOwAJy" xr:uid="{00000000-0004-0000-0700-000011000000}"/>
    <hyperlink ref="A7" r:id="rId19" display="https://gerandofalcoes.my.salesforce.com/0014P00003YSp8PQAT" xr:uid="{00000000-0004-0000-0700-000012000000}"/>
    <hyperlink ref="AL7" r:id="rId20" display="https://gerandofalcoes.my.salesforce.com/0034P000045kxj0" xr:uid="{00000000-0004-0000-0700-000013000000}"/>
    <hyperlink ref="BX7" r:id="rId21" display="https://instagram.com/mari.nunes.gomes" xr:uid="{00000000-0004-0000-0700-000014000000}"/>
    <hyperlink ref="BY7" r:id="rId22" display="https://drive.google.com/open?id=1D3FMm5EPMy9xxomtp0Q5GT3_QKiB4PC3" xr:uid="{00000000-0004-0000-0700-000015000000}"/>
    <hyperlink ref="A8" r:id="rId23" display="https://gerandofalcoes.my.salesforce.com/0014X00002VKCpyQAH" xr:uid="{00000000-0004-0000-0700-000016000000}"/>
    <hyperlink ref="AL8" r:id="rId24" display="https://gerandofalcoes.my.salesforce.com/0034X0000380O3N" xr:uid="{00000000-0004-0000-0700-000017000000}"/>
    <hyperlink ref="BX8" r:id="rId25" display="https://www.instagram.com/genimeirebezerra/" xr:uid="{00000000-0004-0000-0700-000018000000}"/>
    <hyperlink ref="BY8" r:id="rId26" display="https://drive.google.com/open?id=1AsfuKArR241exDWT9e65CC8Va9i1SOpn" xr:uid="{00000000-0004-0000-0700-000019000000}"/>
    <hyperlink ref="A9" r:id="rId27" display="https://gerandofalcoes.my.salesforce.com/0014X00002VKCuLQAX" xr:uid="{00000000-0004-0000-0700-00001A000000}"/>
    <hyperlink ref="AL9" r:id="rId28" display="https://gerandofalcoes.my.salesforce.com/0034X0000380O6b" xr:uid="{00000000-0004-0000-0700-00001B000000}"/>
    <hyperlink ref="BX9" r:id="rId29" display="https://www.instagram.com/invites/contact/?i=1owrmvtlsfh9p&amp;utm_content=kmlk0pf" xr:uid="{00000000-0004-0000-0700-00001C000000}"/>
    <hyperlink ref="A10" r:id="rId30" display="https://gerandofalcoes.my.salesforce.com/0014P00003YSp7rQAD" xr:uid="{00000000-0004-0000-0700-00001D000000}"/>
    <hyperlink ref="AL10" r:id="rId31" display="https://gerandofalcoes.my.salesforce.com/0034P000045kxiS" xr:uid="{00000000-0004-0000-0700-00001E000000}"/>
    <hyperlink ref="BY10" r:id="rId32" display="https://drive.google.com/open?id=1jI7U6TCxRrBLFWchVmlJfmEjWgg3mTPt" xr:uid="{00000000-0004-0000-0700-00001F000000}"/>
    <hyperlink ref="A11" r:id="rId33" display="https://gerandofalcoes.my.salesforce.com/0014X00002VKCsRQAX" xr:uid="{00000000-0004-0000-0700-000020000000}"/>
    <hyperlink ref="AL11" r:id="rId34" display="https://gerandofalcoes.my.salesforce.com/0034X0000380O0a" xr:uid="{00000000-0004-0000-0700-000021000000}"/>
    <hyperlink ref="BY11" r:id="rId35" display="https://drive.google.com/open?id=1EUMQyko7rmlDjLjKa9j7hcB--MhWxDmh" xr:uid="{00000000-0004-0000-0700-000022000000}"/>
    <hyperlink ref="A12" r:id="rId36" display="https://gerandofalcoes.my.salesforce.com/0014P00003YSpADQA1" xr:uid="{00000000-0004-0000-0700-000023000000}"/>
    <hyperlink ref="AL12" r:id="rId37" display="https://gerandofalcoes.my.salesforce.com/0034P000045kxkp" xr:uid="{00000000-0004-0000-0700-000024000000}"/>
    <hyperlink ref="BW12" r:id="rId38" display="http://linkedin.com/in/virginia-porto-leles-b5396429" xr:uid="{00000000-0004-0000-0700-000025000000}"/>
    <hyperlink ref="BY12" r:id="rId39" display="https://drive.google.com/open?id=1mO7dWomP8-pxQ6uFq8gty9Um1bkQvxIL" xr:uid="{00000000-0004-0000-0700-000026000000}"/>
    <hyperlink ref="A13" r:id="rId40" display="https://gerandofalcoes.my.salesforce.com/0014X00002VKCpjQAH" xr:uid="{00000000-0004-0000-0700-000027000000}"/>
    <hyperlink ref="AL13" r:id="rId41" display="https://gerandofalcoes.my.salesforce.com/0034X0000380O5u" xr:uid="{00000000-0004-0000-0700-000028000000}"/>
    <hyperlink ref="BX13" r:id="rId42" display="https://instagram.com/ana_siberlly?igshid=YmMyMTA2M2Y=" xr:uid="{00000000-0004-0000-0700-000029000000}"/>
    <hyperlink ref="BY13" r:id="rId43" display="https://drive.google.com/open?id=1pEKXiCrSuI1y5AY0grhA9piLzEreJvKL" xr:uid="{00000000-0004-0000-0700-00002A000000}"/>
    <hyperlink ref="A14" r:id="rId44" display="https://gerandofalcoes.my.salesforce.com/0014P00003YSp7dQAD" xr:uid="{00000000-0004-0000-0700-00002B000000}"/>
    <hyperlink ref="AL14" r:id="rId45" display="https://gerandofalcoes.my.salesforce.com/0034P000045kxiE" xr:uid="{00000000-0004-0000-0700-00002C000000}"/>
    <hyperlink ref="BW14" r:id="rId46" display="https://www.linkedin.com/in/angelica-costa-0171b815" xr:uid="{00000000-0004-0000-0700-00002D000000}"/>
    <hyperlink ref="BX14" r:id="rId47" display="https://www.instagram.com/p/CbkiBu3u8e-/?utm_medium=copy_link" xr:uid="{00000000-0004-0000-0700-00002E000000}"/>
    <hyperlink ref="BY14" r:id="rId48" display="https://drive.google.com/open?id=1DopXQ2Kbw48Rot2Z5_SrFY-HRZPesqcY" xr:uid="{00000000-0004-0000-0700-00002F000000}"/>
    <hyperlink ref="A15" r:id="rId49" display="https://gerandofalcoes.my.salesforce.com/0014P00003YSp9wQAD" xr:uid="{00000000-0004-0000-0700-000030000000}"/>
    <hyperlink ref="AL15" r:id="rId50" display="https://gerandofalcoes.my.salesforce.com/0034P000045kxkY" xr:uid="{00000000-0004-0000-0700-000031000000}"/>
    <hyperlink ref="BY15" r:id="rId51" display="https://drive.google.com/open?id=1r1Y5LGZIy7sF3W48UJij1M-d6K9CLeJ4" xr:uid="{00000000-0004-0000-0700-000032000000}"/>
    <hyperlink ref="A16" r:id="rId52" display="https://gerandofalcoes.my.salesforce.com/0014X00002OEuasQAD" xr:uid="{00000000-0004-0000-0700-000033000000}"/>
    <hyperlink ref="AL16" r:id="rId53" display="https://gerandofalcoes.my.salesforce.com/0034X0000315PR1" xr:uid="{00000000-0004-0000-0700-000034000000}"/>
    <hyperlink ref="BW16" r:id="rId54" display="https://terradedireitos.org.br/notic" xr:uid="{00000000-0004-0000-0700-000035000000}"/>
    <hyperlink ref="BX16" r:id="rId55" display="https://www.instagram.com/p/Cb_SYjmskiD/?utm_medium=copy_link" xr:uid="{00000000-0004-0000-0700-000036000000}"/>
    <hyperlink ref="BY16" r:id="rId56" display="https://drive.google.com/open?id=1W86-gCgDGYmxZdpB4nGkbTLTY715Ifd9" xr:uid="{00000000-0004-0000-0700-000037000000}"/>
    <hyperlink ref="A17" r:id="rId57" display="https://gerandofalcoes.my.salesforce.com/0014P00003YSp7xQAD" xr:uid="{00000000-0004-0000-0700-000038000000}"/>
    <hyperlink ref="AL17" r:id="rId58" display="https://gerandofalcoes.my.salesforce.com/0034P000045kxiY" xr:uid="{00000000-0004-0000-0700-000039000000}"/>
    <hyperlink ref="BY17" r:id="rId59" display="https://drive.google.com/open?id=1S2vAcVF5pEr6D4ag9I9rlhCrOE-SoiOx" xr:uid="{00000000-0004-0000-0700-00003A000000}"/>
    <hyperlink ref="A18" r:id="rId60" display="https://gerandofalcoes.my.salesforce.com/0014P00003YSp8AQAT" xr:uid="{00000000-0004-0000-0700-00003B000000}"/>
    <hyperlink ref="AL18" r:id="rId61" display="https://gerandofalcoes.my.salesforce.com/0034P000045kxil" xr:uid="{00000000-0004-0000-0700-00003C000000}"/>
    <hyperlink ref="BW18" r:id="rId62" display="https://www.linkedin.com/in/maria-de-f%C3%A1tima-queiroz-de-oliveira-0383a94b/" xr:uid="{00000000-0004-0000-0700-00003D000000}"/>
    <hyperlink ref="BX18" r:id="rId63" display="https://www.instagram.com/fatima.queiroz1/" xr:uid="{00000000-0004-0000-0700-00003E000000}"/>
    <hyperlink ref="BY18" r:id="rId64" display="https://drive.google.com/open?id=136bJYA3A0y08GtqDJdT6hIBsjxFnCoBQ" xr:uid="{00000000-0004-0000-0700-00003F000000}"/>
    <hyperlink ref="A19" r:id="rId65" display="https://gerandofalcoes.my.salesforce.com/0014X00002VKCtaQAH" xr:uid="{00000000-0004-0000-0700-000040000000}"/>
    <hyperlink ref="AL19" r:id="rId66" display="https://gerandofalcoes.my.salesforce.com/0034X0000380O5p" xr:uid="{00000000-0004-0000-0700-000041000000}"/>
    <hyperlink ref="BY19" r:id="rId67" display="https://drive.google.com/open?id=1rHserEXsnAhabtHdjOhaKZk33WgqOblD" xr:uid="{00000000-0004-0000-0700-000042000000}"/>
    <hyperlink ref="A20" r:id="rId68" display="https://gerandofalcoes.my.salesforce.com/0014P00003AN76yQAD" xr:uid="{00000000-0004-0000-0700-000043000000}"/>
    <hyperlink ref="AL20" r:id="rId69" display="https://gerandofalcoes.my.salesforce.com/0034P00003maBVR" xr:uid="{00000000-0004-0000-0700-000044000000}"/>
    <hyperlink ref="BX20" r:id="rId70" display="https://www.instagram.com/miqiac/" xr:uid="{00000000-0004-0000-0700-000045000000}"/>
    <hyperlink ref="BY20" r:id="rId71" display="https://drive.google.com/open?id=1DaVXQ2ZlBNvwQllm5oTv-_0QHlRR0xRn" xr:uid="{00000000-0004-0000-0700-000046000000}"/>
    <hyperlink ref="A21" r:id="rId72" display="https://gerandofalcoes.my.salesforce.com/0014P00003YSp8rQAD" xr:uid="{00000000-0004-0000-0700-000047000000}"/>
    <hyperlink ref="AL21" r:id="rId73" display="https://gerandofalcoes.my.salesforce.com/0034P000045kxjT" xr:uid="{00000000-0004-0000-0700-000048000000}"/>
    <hyperlink ref="BX21" r:id="rId74" display="https://www.instagram.com/daniellecft" xr:uid="{00000000-0004-0000-0700-000049000000}"/>
    <hyperlink ref="BY21" r:id="rId75" display="https://drive.google.com/open?id=1iPrd19Im6yCS6AHpCTiYkgistjLG-B3y" xr:uid="{00000000-0004-0000-0700-00004A000000}"/>
    <hyperlink ref="A22" r:id="rId76" display="https://gerandofalcoes.my.salesforce.com/0014P00003YSp9aQAD" xr:uid="{00000000-0004-0000-0700-00004B000000}"/>
    <hyperlink ref="AL22" r:id="rId77" display="https://gerandofalcoes.my.salesforce.com/0034P000045kxkC" xr:uid="{00000000-0004-0000-0700-00004C000000}"/>
    <hyperlink ref="BX22" r:id="rId78" display="https://www.instagram.com/associacaobenefanjosdeouro/" xr:uid="{00000000-0004-0000-0700-00004D000000}"/>
    <hyperlink ref="BY22" r:id="rId79" display="https://drive.google.com/open?id=11zzJToPXQ-cUXL1YCLigTvgbPzkWwDrz" xr:uid="{00000000-0004-0000-0700-00004E000000}"/>
    <hyperlink ref="A23" r:id="rId80" display="https://gerandofalcoes.my.salesforce.com/0014X00002VKCv2QAH" xr:uid="{00000000-0004-0000-0700-00004F000000}"/>
    <hyperlink ref="AL23" r:id="rId81" display="https://gerandofalcoes.my.salesforce.com/0034X0000380O5k" xr:uid="{00000000-0004-0000-0700-000050000000}"/>
    <hyperlink ref="BY23" r:id="rId82" display="https://drive.google.com/open?id=1hg-hD2uUbXq64sKLniFoZ_8gEszACpl9" xr:uid="{00000000-0004-0000-0700-000051000000}"/>
    <hyperlink ref="A24" r:id="rId83" display="https://gerandofalcoes.my.salesforce.com/0014P00003SGWQGQA5" xr:uid="{00000000-0004-0000-0700-000052000000}"/>
    <hyperlink ref="AL24" r:id="rId84" display="https://gerandofalcoes.my.salesforce.com/0034P000043fOoG" xr:uid="{00000000-0004-0000-0700-000053000000}"/>
    <hyperlink ref="BW24" r:id="rId85" display="https://www.linkedin.com/in/silvana-alves-01454a216/" xr:uid="{00000000-0004-0000-0700-000054000000}"/>
    <hyperlink ref="BX24" r:id="rId86" display="https://www.instagram.com/associacaobeneficenteamigas/" xr:uid="{00000000-0004-0000-0700-000055000000}"/>
    <hyperlink ref="BY24" r:id="rId87" display="https://drive.google.com/open?id=1MgF852aFaMB51VVmWH8bplH3oAfnxAn7" xr:uid="{00000000-0004-0000-0700-000056000000}"/>
    <hyperlink ref="A25" r:id="rId88" display="https://gerandofalcoes.my.salesforce.com/0014P00003SGWFrQAP" xr:uid="{00000000-0004-0000-0700-000057000000}"/>
    <hyperlink ref="AL25" r:id="rId89" display="https://gerandofalcoes.my.salesforce.com/0034P000043fOnR" xr:uid="{00000000-0004-0000-0700-000058000000}"/>
    <hyperlink ref="BW25" r:id="rId90" display="https://www.linkedin.com/feed/?trk=guest_homepage-basic_nav-header-signin" xr:uid="{00000000-0004-0000-0700-000059000000}"/>
    <hyperlink ref="BX25" r:id="rId91" display="https://www.instagram.com/invites/contact/?i=1sxetkgq92a07&amp;utm_content=pj9c0l" xr:uid="{00000000-0004-0000-0700-00005A000000}"/>
    <hyperlink ref="BY25" r:id="rId92" display="https://drive.google.com/open?id=1_c8nL4_YRIV1BvnHxWU4rhZDih-YmxRj" xr:uid="{00000000-0004-0000-0700-00005B000000}"/>
    <hyperlink ref="A26" r:id="rId93" display="https://gerandofalcoes.my.salesforce.com/0014X00002VKCufQAH" xr:uid="{00000000-0004-0000-0700-00005C000000}"/>
    <hyperlink ref="AL26" r:id="rId94" display="https://gerandofalcoes.my.salesforce.com/0034X0000380O0r" xr:uid="{00000000-0004-0000-0700-00005D000000}"/>
    <hyperlink ref="BY26" r:id="rId95" display="https://drive.google.com/open?id=14-QzNOLcw3_qC3PNnnXpvMD14rNBiiIT" xr:uid="{00000000-0004-0000-0700-00005E000000}"/>
    <hyperlink ref="A27" r:id="rId96" display="https://gerandofalcoes.my.salesforce.com/0014P00003YSp9UQAT" xr:uid="{00000000-0004-0000-0700-00005F000000}"/>
    <hyperlink ref="AL27" r:id="rId97" display="https://gerandofalcoes.my.salesforce.com/0034P000045kxk6" xr:uid="{00000000-0004-0000-0700-000060000000}"/>
    <hyperlink ref="BW27" r:id="rId98" display="https://www.instagram.com/p/CZUqsP6pdOo/?utm_medium=copy_lin" xr:uid="{00000000-0004-0000-0700-000061000000}"/>
    <hyperlink ref="BX27" r:id="rId99" display="https://instagram.com/abeducacional?utm_medium=copy_link" xr:uid="{00000000-0004-0000-0700-000062000000}"/>
    <hyperlink ref="BY27" r:id="rId100" display="https://drive.google.com/open?id=1D85jdlN2kCRG8kg6bH3r0BrlNem9yhzr" xr:uid="{00000000-0004-0000-0700-000063000000}"/>
    <hyperlink ref="A28" r:id="rId101" display="https://gerandofalcoes.my.salesforce.com/0014P00003YSp9fQAD" xr:uid="{00000000-0004-0000-0700-000064000000}"/>
    <hyperlink ref="AL28" r:id="rId102" display="https://gerandofalcoes.my.salesforce.com/0034P000045kxkH" xr:uid="{00000000-0004-0000-0700-000065000000}"/>
    <hyperlink ref="BW28" r:id="rId103" display="https://www.linkedin.com/in/edna-padilha-93a183151/" xr:uid="{00000000-0004-0000-0700-000066000000}"/>
    <hyperlink ref="BX28" r:id="rId104" display="https://www.instagram.com/padilhaedna/" xr:uid="{00000000-0004-0000-0700-000067000000}"/>
    <hyperlink ref="BY28" r:id="rId105" display="https://drive.google.com/open?id=1NREC90Vapi9Pd3c3Qr7eTyVww-QgS0q5" xr:uid="{00000000-0004-0000-0700-000068000000}"/>
    <hyperlink ref="A29" r:id="rId106" display="https://gerandofalcoes.my.salesforce.com/0014X00002VKCtsQAH" xr:uid="{00000000-0004-0000-0700-000069000000}"/>
    <hyperlink ref="AL29" r:id="rId107" display="https://gerandofalcoes.my.salesforce.com/0034X0000380O2q" xr:uid="{00000000-0004-0000-0700-00006A000000}"/>
    <hyperlink ref="BY29" r:id="rId108" display="https://drive.google.com/open?id=1PgWD4jcAcrOt_AZvc55tkme3sK6f0_6_" xr:uid="{00000000-0004-0000-0700-00006B000000}"/>
    <hyperlink ref="A30" r:id="rId109" display="https://gerandofalcoes.my.salesforce.com/0014X00002VKCtIQAX" xr:uid="{00000000-0004-0000-0700-00006C000000}"/>
    <hyperlink ref="AL30" r:id="rId110" display="https://gerandofalcoes.my.salesforce.com/0034X0000380O4b" xr:uid="{00000000-0004-0000-0700-00006D000000}"/>
    <hyperlink ref="BX30" r:id="rId111" display="https://www.instagram.com/p/CD69O5aJJQcyaGWi7B_WZ63PT1Sfqgo1fluElo0/?utm_medium=copy_link" xr:uid="{00000000-0004-0000-0700-00006E000000}"/>
    <hyperlink ref="BY30" r:id="rId112" display="https://drive.google.com/open?id=1GLRGvo2xNpS1W7WOBVMItIZ0qBZukkIe" xr:uid="{00000000-0004-0000-0700-00006F000000}"/>
    <hyperlink ref="A31" r:id="rId113" display="https://gerandofalcoes.my.salesforce.com/0014X00002VKCuIQAX" xr:uid="{00000000-0004-0000-0700-000070000000}"/>
    <hyperlink ref="AL31" r:id="rId114" display="https://gerandofalcoes.my.salesforce.com/0034X0000380O6P" xr:uid="{00000000-0004-0000-0700-000071000000}"/>
    <hyperlink ref="BY31" r:id="rId115" display="https://drive.google.com/open?id=1yNHsfCv56GQ8sXtsAiDUlqOTl2YLJW9R" xr:uid="{00000000-0004-0000-0700-000072000000}"/>
    <hyperlink ref="A32" r:id="rId116" display="https://gerandofalcoes.my.salesforce.com/0014P00003AN2FZQA1" xr:uid="{00000000-0004-0000-0700-000073000000}"/>
    <hyperlink ref="AL32" r:id="rId117" display="https://gerandofalcoes.my.salesforce.com/0034P00003maBUz" xr:uid="{00000000-0004-0000-0700-000074000000}"/>
    <hyperlink ref="BY32" r:id="rId118" display="https://drive.google.com/open?id=1SGUef26sFJHWhRHQIcix6448u72adioe" xr:uid="{00000000-0004-0000-0700-000075000000}"/>
    <hyperlink ref="A33" r:id="rId119" display="https://gerandofalcoes.my.salesforce.com/0014P00003AN2GIQA1" xr:uid="{00000000-0004-0000-0700-000076000000}"/>
    <hyperlink ref="AL33" r:id="rId120" display="https://gerandofalcoes.my.salesforce.com/0034P00003maBVn" xr:uid="{00000000-0004-0000-0700-000077000000}"/>
    <hyperlink ref="BW33" r:id="rId121" display="https://www.linkedin.com/in/empreendedoraalinemelo/" xr:uid="{00000000-0004-0000-0700-000078000000}"/>
    <hyperlink ref="BX33" r:id="rId122" display="https://www.instagram.com/empreendedoraalinemelo/" xr:uid="{00000000-0004-0000-0700-000079000000}"/>
    <hyperlink ref="BY33" r:id="rId123" display="https://drive.google.com/open?id=1CzrTd6hgyZQCiwAJUaPchLWETLdrHNi_" xr:uid="{00000000-0004-0000-0700-00007A000000}"/>
    <hyperlink ref="A34" r:id="rId124" display="https://gerandofalcoes.my.salesforce.com/0014P00003YSp9NQAT" xr:uid="{00000000-0004-0000-0700-00007B000000}"/>
    <hyperlink ref="AL34" r:id="rId125" display="https://gerandofalcoes.my.salesforce.com/0034P000045kxjz" xr:uid="{00000000-0004-0000-0700-00007C000000}"/>
    <hyperlink ref="BY34" r:id="rId126" display="https://drive.google.com/open?id=1VQeGKAX9VqtC9FXxlon37W_owWZT8krx" xr:uid="{00000000-0004-0000-0700-00007D000000}"/>
    <hyperlink ref="A35" r:id="rId127" display="https://gerandofalcoes.my.salesforce.com/0014P00003YSpALQA1" xr:uid="{00000000-0004-0000-0700-00007E000000}"/>
    <hyperlink ref="AL35" r:id="rId128" display="https://gerandofalcoes.my.salesforce.com/0034P000045kxkx" xr:uid="{00000000-0004-0000-0700-00007F000000}"/>
    <hyperlink ref="BY35" r:id="rId129" display="https://drive.google.com/open?id=1fBPm0GzJ9e-Qz-t0nTTt1g9arZiDDEsP" xr:uid="{00000000-0004-0000-0700-000080000000}"/>
    <hyperlink ref="A36" r:id="rId130" display="https://gerandofalcoes.my.salesforce.com/0014X00002VKCujQAH" xr:uid="{00000000-0004-0000-0700-000081000000}"/>
    <hyperlink ref="AL36" r:id="rId131" display="https://gerandofalcoes.my.salesforce.com/0034X0000380O1S" xr:uid="{00000000-0004-0000-0700-000082000000}"/>
    <hyperlink ref="BW36" r:id="rId132" display="https://www.linkedin.com/in/geraldob/" xr:uid="{00000000-0004-0000-0700-000083000000}"/>
    <hyperlink ref="BX36" r:id="rId133" display="https://www.instagram.com/geraldobarros.png/" xr:uid="{00000000-0004-0000-0700-000084000000}"/>
    <hyperlink ref="BY36" r:id="rId134" display="https://drive.google.com/open?id=1N5tO7FkWHKIS9DyxnO6sFjCPD2KvsY5A" xr:uid="{00000000-0004-0000-0700-000085000000}"/>
    <hyperlink ref="A37" r:id="rId135" display="https://gerandofalcoes.my.salesforce.com/0014P00003YSpA5QAL" xr:uid="{00000000-0004-0000-0700-000086000000}"/>
    <hyperlink ref="AL37" r:id="rId136" display="https://gerandofalcoes.my.salesforce.com/0034P000045kxkh" xr:uid="{00000000-0004-0000-0700-000087000000}"/>
    <hyperlink ref="BX37" r:id="rId137" display="https://instagram.com/prtiaozinhosilva?utm_medium=copy_link" xr:uid="{00000000-0004-0000-0700-000088000000}"/>
    <hyperlink ref="BY37" r:id="rId138" display="https://drive.google.com/open?id=1QASxU1JNZM-N0hbcaswRXGfOFON-bSOV" xr:uid="{00000000-0004-0000-0700-000089000000}"/>
    <hyperlink ref="A38" r:id="rId139" display="https://gerandofalcoes.my.salesforce.com/0014X00002VKCqvQAH" xr:uid="{00000000-0004-0000-0700-00008A000000}"/>
    <hyperlink ref="AL38" r:id="rId140" display="https://gerandofalcoes.my.salesforce.com/0034X0000380O5X" xr:uid="{00000000-0004-0000-0700-00008B000000}"/>
    <hyperlink ref="BY38" r:id="rId141" display="https://drive.google.com/open?id=1kH3hPBnB8OKAq2pfwSY4yk6A7kBBbP6O" xr:uid="{00000000-0004-0000-0700-00008C000000}"/>
    <hyperlink ref="A39" r:id="rId142" display="https://gerandofalcoes.my.salesforce.com/0014X00002VKCq2QAH" xr:uid="{00000000-0004-0000-0700-00008D000000}"/>
    <hyperlink ref="AL39" r:id="rId143" display="https://gerandofalcoes.my.salesforce.com/0034X0000380O1X" xr:uid="{00000000-0004-0000-0700-00008E000000}"/>
    <hyperlink ref="BX39" r:id="rId144" display="https://www.instagram.com/reel/CcIXWTkOVYO/?igshid=MDJmNzVkMjY=" xr:uid="{00000000-0004-0000-0700-00008F000000}"/>
    <hyperlink ref="BY39" r:id="rId145" display="https://drive.google.com/open?id=1bTcF3h1NHitlMDgCERntcOL90XfPVMec" xr:uid="{00000000-0004-0000-0700-000090000000}"/>
    <hyperlink ref="A40" r:id="rId146" display="https://gerandofalcoes.my.salesforce.com/0014P00003SGWPhQAP" xr:uid="{00000000-0004-0000-0700-000091000000}"/>
    <hyperlink ref="AL40" r:id="rId147" display="https://gerandofalcoes.my.salesforce.com/0034P000043fOno" xr:uid="{00000000-0004-0000-0700-000092000000}"/>
    <hyperlink ref="BW40" r:id="rId148" display="https://www.linkedin.com/in/izabel-porto-88b88149/" xr:uid="{00000000-0004-0000-0700-000093000000}"/>
    <hyperlink ref="BX40" r:id="rId149" display="https://www.linkedin.com/in/izabel-porto-88b88149/" xr:uid="{00000000-0004-0000-0700-000094000000}"/>
    <hyperlink ref="BY40" r:id="rId150" display="https://drive.google.com/open?id=1ZkAetUpeyq7Ov8oNLUZlQXoPKPTlQaXZ" xr:uid="{00000000-0004-0000-0700-000095000000}"/>
    <hyperlink ref="A41" r:id="rId151" display="https://gerandofalcoes.my.salesforce.com/0014P00003SGWPWQA5" xr:uid="{00000000-0004-0000-0700-000096000000}"/>
    <hyperlink ref="AL41" r:id="rId152" display="https://gerandofalcoes.my.salesforce.com/0034P000043fOnd" xr:uid="{00000000-0004-0000-0700-000097000000}"/>
    <hyperlink ref="BW41" r:id="rId153" display="https://www.linkedin.com/in/debora-batista-04a18614a/" xr:uid="{00000000-0004-0000-0700-000098000000}"/>
    <hyperlink ref="BX41" r:id="rId154" display="https://www.instagram.com/deborabatistacis/" xr:uid="{00000000-0004-0000-0700-000099000000}"/>
    <hyperlink ref="BY41" r:id="rId155" display="https://drive.google.com/open?id=1b4BnSDZahVdwCvx840gyqYE8BFruvPLE" xr:uid="{00000000-0004-0000-0700-00009A000000}"/>
    <hyperlink ref="A42" r:id="rId156" display="https://gerandofalcoes.my.salesforce.com/0014X00002VKCuiQAH" xr:uid="{00000000-0004-0000-0700-00009B000000}"/>
    <hyperlink ref="AL42" r:id="rId157" display="https://gerandofalcoes.my.salesforce.com/0034X0000380O3i" xr:uid="{00000000-0004-0000-0700-00009C000000}"/>
    <hyperlink ref="BW42" r:id="rId158" display="https://www.linkedin.com/in/flavia-goncalves-983320199/" xr:uid="{00000000-0004-0000-0700-00009D000000}"/>
    <hyperlink ref="BX42" r:id="rId159" display="https://www.instagram.com/dra_flavia_goncalves/" xr:uid="{00000000-0004-0000-0700-00009E000000}"/>
    <hyperlink ref="BY42" r:id="rId160" display="https://drive.google.com/open?id=1l9e5dMuuDvX7D1xI2UOLsF5PCW3ZRS7g" xr:uid="{00000000-0004-0000-0700-00009F000000}"/>
    <hyperlink ref="A43" r:id="rId161" display="https://gerandofalcoes.my.salesforce.com/0014P00003SGWPiQAP" xr:uid="{00000000-0004-0000-0700-0000A0000000}"/>
    <hyperlink ref="AL43" r:id="rId162" display="https://gerandofalcoes.my.salesforce.com/0034P000043fOnp" xr:uid="{00000000-0004-0000-0700-0000A1000000}"/>
    <hyperlink ref="BW43" r:id="rId163" display="https://www.linkedin.com/in/fl%C3%A1vio-almeida-729a731ba/" xr:uid="{00000000-0004-0000-0700-0000A2000000}"/>
    <hyperlink ref="BX43" r:id="rId164" display="https://www.instagram.com/flavioalmeidaf3/" xr:uid="{00000000-0004-0000-0700-0000A3000000}"/>
    <hyperlink ref="BY43" r:id="rId165" display="https://drive.google.com/open?id=1JKzcJkJTeqEu77Z1EPRvVpIVwSk9emuO" xr:uid="{00000000-0004-0000-0700-0000A4000000}"/>
    <hyperlink ref="A44" r:id="rId166" display="https://gerandofalcoes.my.salesforce.com/0014P00003YSp8kQAD" xr:uid="{00000000-0004-0000-0700-0000A5000000}"/>
    <hyperlink ref="AL44" r:id="rId167" display="https://gerandofalcoes.my.salesforce.com/0034P000045kxjU" xr:uid="{00000000-0004-0000-0700-0000A6000000}"/>
    <hyperlink ref="BX44" r:id="rId168" display="https://instagram.com/ong_jardimsaobernardo?utm_medium=copy_link" xr:uid="{00000000-0004-0000-0700-0000A7000000}"/>
    <hyperlink ref="BY44" r:id="rId169" display="https://drive.google.com/open?id=1yvpmgaR7_4STXkh3M9QnI-8WTl4wX9hz" xr:uid="{00000000-0004-0000-0700-0000A8000000}"/>
    <hyperlink ref="A45" r:id="rId170" display="https://gerandofalcoes.my.salesforce.com/0014P00003YSp7UQAT" xr:uid="{00000000-0004-0000-0700-0000A9000000}"/>
    <hyperlink ref="AL45" r:id="rId171" display="https://gerandofalcoes.my.salesforce.com/0034P000045kxi5" xr:uid="{00000000-0004-0000-0700-0000AA000000}"/>
    <hyperlink ref="BX45" r:id="rId172" display="https://www.instagram.com/thiagobruno_medeirosilva/" xr:uid="{00000000-0004-0000-0700-0000AB000000}"/>
    <hyperlink ref="BY45" r:id="rId173" display="https://drive.google.com/open?id=1Ece9Gn3YjBjv7zPMv3WJzuOfuTsEInmy" xr:uid="{00000000-0004-0000-0700-0000AC000000}"/>
    <hyperlink ref="A46" r:id="rId174" display="https://gerandofalcoes.my.salesforce.com/0014X00002VKCvAQAX" xr:uid="{00000000-0004-0000-0700-0000AD000000}"/>
    <hyperlink ref="AL46" r:id="rId175" display="https://gerandofalcoes.my.salesforce.com/0034X0000380O5B" xr:uid="{00000000-0004-0000-0700-0000AE000000}"/>
    <hyperlink ref="BX46" r:id="rId176" display="https://instagram.com/tamy7827?utm_medium=copy_link" xr:uid="{00000000-0004-0000-0700-0000AF000000}"/>
    <hyperlink ref="BY46" r:id="rId177" display="https://drive.google.com/open?id=1hCbRZXvX9Iv2HQy29ZNQtYNkvqsc3ofA" xr:uid="{00000000-0004-0000-0700-0000B0000000}"/>
    <hyperlink ref="A47" r:id="rId178" display="https://gerandofalcoes.my.salesforce.com/0014P00003YSp9FQAT" xr:uid="{00000000-0004-0000-0700-0000B1000000}"/>
    <hyperlink ref="AL47" r:id="rId179" display="https://gerandofalcoes.my.salesforce.com/0034P000045kxjr" xr:uid="{00000000-0004-0000-0700-0000B2000000}"/>
    <hyperlink ref="BW47" r:id="rId180" display="https://www.linkedin.com/in/douglas-costa-martins-57b470214" xr:uid="{00000000-0004-0000-0700-0000B3000000}"/>
    <hyperlink ref="BX47" r:id="rId181" display="https://instagram.com/douglascostamartins?utm_medium=copy_link" xr:uid="{00000000-0004-0000-0700-0000B4000000}"/>
    <hyperlink ref="BY47" r:id="rId182" display="https://drive.google.com/open?id=1u9UpjxpQETbNQ6ah3PYU11qE6TFnMDXM" xr:uid="{00000000-0004-0000-0700-0000B5000000}"/>
    <hyperlink ref="A48" r:id="rId183" display="https://gerandofalcoes.my.salesforce.com/0014X00002VKCqGQAX" xr:uid="{00000000-0004-0000-0700-0000B6000000}"/>
    <hyperlink ref="AL48" r:id="rId184" display="https://gerandofalcoes.my.salesforce.com/0034X0000380O3x" xr:uid="{00000000-0004-0000-0700-0000B7000000}"/>
    <hyperlink ref="BX48" r:id="rId185" display="https://www.instagram.com/marciofelix2012/" xr:uid="{00000000-0004-0000-0700-0000B8000000}"/>
    <hyperlink ref="BY48" r:id="rId186" display="https://drive.google.com/open?id=1aVWsZuQKtwOb2equf8YECHz0D6mRdtSV" xr:uid="{00000000-0004-0000-0700-0000B9000000}"/>
    <hyperlink ref="A49" r:id="rId187" display="https://gerandofalcoes.my.salesforce.com/0014X00002VKCqZQAX" xr:uid="{00000000-0004-0000-0700-0000BA000000}"/>
    <hyperlink ref="AL49" r:id="rId188" display="https://gerandofalcoes.my.salesforce.com/0034X0000380O1Q" xr:uid="{00000000-0004-0000-0700-0000BB000000}"/>
    <hyperlink ref="BW49" r:id="rId189" display="https://www.linkedin.com/in/anna-carolina-prado" xr:uid="{00000000-0004-0000-0700-0000BC000000}"/>
    <hyperlink ref="BY49" r:id="rId190" display="https://drive.google.com/open?id=1kuKFqFzdXrEkPzUdcrBrkxyiRZSM9VWC" xr:uid="{00000000-0004-0000-0700-0000BD000000}"/>
    <hyperlink ref="A50" r:id="rId191" display="https://gerandofalcoes.my.salesforce.com/0014X00002VKCtOQAX" xr:uid="{00000000-0004-0000-0700-0000BE000000}"/>
    <hyperlink ref="AL50" r:id="rId192" display="https://gerandofalcoes.my.salesforce.com/0034X0000380O5g" xr:uid="{00000000-0004-0000-0700-0000BF000000}"/>
    <hyperlink ref="BY50" r:id="rId193" display="https://drive.google.com/open?id=1T-DFcSN06gNqxIw969HamOXmT9kVx_TF" xr:uid="{00000000-0004-0000-0700-0000C0000000}"/>
    <hyperlink ref="A51" r:id="rId194" display="https://gerandofalcoes.my.salesforce.com/0014P00003YSp9rQAD" xr:uid="{00000000-0004-0000-0700-0000C1000000}"/>
    <hyperlink ref="AL51" r:id="rId195" display="https://gerandofalcoes.my.salesforce.com/0034P000045kxkT" xr:uid="{00000000-0004-0000-0700-0000C2000000}"/>
    <hyperlink ref="BW51" r:id="rId196" display="https://www.linkedin.com/in/luciana-mira-b97b34236/" xr:uid="{00000000-0004-0000-0700-0000C3000000}"/>
    <hyperlink ref="BX51" r:id="rId197" display="https://instagram.com/miralucianah?igshid=YmMyMTA2M2Y=" xr:uid="{00000000-0004-0000-0700-0000C4000000}"/>
    <hyperlink ref="BY51" r:id="rId198" display="https://drive.google.com/open?id=1ztvguk7CYKaQV_XpTEEXr4TBWqPXhJc1" xr:uid="{00000000-0004-0000-0700-0000C5000000}"/>
    <hyperlink ref="A52" r:id="rId199" display="https://gerandofalcoes.my.salesforce.com/0014P00003AN2FkQAL" xr:uid="{00000000-0004-0000-0700-0000C6000000}"/>
    <hyperlink ref="AL52" r:id="rId200" display="https://gerandofalcoes.my.salesforce.com/0034P00003maBVA" xr:uid="{00000000-0004-0000-0700-0000C7000000}"/>
    <hyperlink ref="BW52" r:id="rId201" display="https://www.linkedin.com/in/gilmar-lima-a34b45161" xr:uid="{00000000-0004-0000-0700-0000C8000000}"/>
    <hyperlink ref="BX52" r:id="rId202" display="https://instagram.com/gilmarlimafoco?utm_medium=copy_link" xr:uid="{00000000-0004-0000-0700-0000C9000000}"/>
    <hyperlink ref="BY52" r:id="rId203" display="https://drive.google.com/open?id=1WRxtyLgynDfR3A3pp3GuqarNaGfwgt-8" xr:uid="{00000000-0004-0000-0700-0000CA000000}"/>
    <hyperlink ref="A53" r:id="rId204" display="https://gerandofalcoes.my.salesforce.com/0014P00003AN2GLQA1" xr:uid="{00000000-0004-0000-0700-0000CB000000}"/>
    <hyperlink ref="AL53" r:id="rId205" display="https://gerandofalcoes.my.salesforce.com/0034P00003maBVq" xr:uid="{00000000-0004-0000-0700-0000CC000000}"/>
    <hyperlink ref="BX53" r:id="rId206" display="https://instagram.com/dodo_silva.of?utm_medium=copy_link" xr:uid="{00000000-0004-0000-0700-0000CD000000}"/>
    <hyperlink ref="BY53" r:id="rId207" display="https://drive.google.com/open?id=1EKY3CYmJx8lpAODcH9_s8EHaiUhRnlGH" xr:uid="{00000000-0004-0000-0700-0000CE000000}"/>
    <hyperlink ref="A54" r:id="rId208" display="https://gerandofalcoes.my.salesforce.com/0014X00002VKCqPQAX" xr:uid="{00000000-0004-0000-0700-0000CF000000}"/>
    <hyperlink ref="AL54" r:id="rId209" display="https://gerandofalcoes.my.salesforce.com/0034X0000380O2z" xr:uid="{00000000-0004-0000-0700-0000D0000000}"/>
    <hyperlink ref="BX54" r:id="rId210" display="https://instagram.com/paulomenndessilva?igshid=YmMyMTA2M2Y=" xr:uid="{00000000-0004-0000-0700-0000D1000000}"/>
    <hyperlink ref="BY54" r:id="rId211" display="https://drive.google.com/open?id=11xStfQIHOB1A876zLCWO3380K6HrIHbA" xr:uid="{00000000-0004-0000-0700-0000D2000000}"/>
    <hyperlink ref="A55" r:id="rId212" display="https://gerandofalcoes.my.salesforce.com/0014P00003AN2GFQA1" xr:uid="{00000000-0004-0000-0700-0000D3000000}"/>
    <hyperlink ref="AL55" r:id="rId213" display="https://gerandofalcoes.my.salesforce.com/0034P00003maBVj" xr:uid="{00000000-0004-0000-0700-0000D4000000}"/>
    <hyperlink ref="A56" r:id="rId214" display="https://gerandofalcoes.my.salesforce.com/0014P00003AN2G6QAL" xr:uid="{00000000-0004-0000-0700-0000D5000000}"/>
    <hyperlink ref="AL56" r:id="rId215" display="https://gerandofalcoes.my.salesforce.com/0034P00003maBVa" xr:uid="{00000000-0004-0000-0700-0000D6000000}"/>
    <hyperlink ref="BX56" r:id="rId216" display="https://instagram.com/castro.lenir?utm_medium=copy_link" xr:uid="{00000000-0004-0000-0700-0000D7000000}"/>
    <hyperlink ref="BY56" r:id="rId217" display="https://drive.google.com/open?id=19N-BAhI0QxbC20xGgfv22Lg2UarZ6gzl" xr:uid="{00000000-0004-0000-0700-0000D8000000}"/>
    <hyperlink ref="A57" r:id="rId218" display="https://gerandofalcoes.my.salesforce.com/0014P00003SGWPaQAP" xr:uid="{00000000-0004-0000-0700-0000D9000000}"/>
    <hyperlink ref="AL57" r:id="rId219" display="https://gerandofalcoes.my.salesforce.com/0034P000043fOnh" xr:uid="{00000000-0004-0000-0700-0000DA000000}"/>
    <hyperlink ref="BW57" r:id="rId220" display="https://instagram.com/tom_maiorcapoeira?utm_medium=copy_link" xr:uid="{00000000-0004-0000-0700-0000DB000000}"/>
    <hyperlink ref="BX57" r:id="rId221" display="https://instagram.com/tom_maiorcapoeira?utm_medium=copy_link" xr:uid="{00000000-0004-0000-0700-0000DC000000}"/>
    <hyperlink ref="BY57" r:id="rId222" display="https://drive.google.com/open?id=1yKXW_luhABrCjqiUS_lGWIKVsh0WDc4G" xr:uid="{00000000-0004-0000-0700-0000DD000000}"/>
    <hyperlink ref="A58" r:id="rId223" display="https://gerandofalcoes.my.salesforce.com/0014P00003AN2FlQAL" xr:uid="{00000000-0004-0000-0700-0000DE000000}"/>
    <hyperlink ref="AL58" r:id="rId224" display="https://gerandofalcoes.my.salesforce.com/0034P00003maBVC" xr:uid="{00000000-0004-0000-0700-0000DF000000}"/>
    <hyperlink ref="BX58" r:id="rId225" display="https://www.instagram.com/tuany_nascimentoo/" xr:uid="{00000000-0004-0000-0700-0000E0000000}"/>
    <hyperlink ref="BY58" r:id="rId226" display="https://drive.google.com/open?id=1Dw5zMvYnku585HPzOf1EfuBPYFd4oA0R" xr:uid="{00000000-0004-0000-0700-0000E1000000}"/>
    <hyperlink ref="A59" r:id="rId227" display="https://gerandofalcoes.my.salesforce.com/0014P00003SGWPcQAP" xr:uid="{00000000-0004-0000-0700-0000E2000000}"/>
    <hyperlink ref="AL59" r:id="rId228" display="https://gerandofalcoes.my.salesforce.com/0034P000043fOnj" xr:uid="{00000000-0004-0000-0700-0000E3000000}"/>
    <hyperlink ref="BW59" r:id="rId229" display="https://www.linkedin.com/feed/" xr:uid="{00000000-0004-0000-0700-0000E4000000}"/>
    <hyperlink ref="BX59" r:id="rId230" display="https://www.instagram.com/pretaeliz" xr:uid="{00000000-0004-0000-0700-0000E5000000}"/>
    <hyperlink ref="BY59" r:id="rId231" display="https://drive.google.com/open?id=1-gtEyyewmK0c6XfyRnXDbXLS_8VKo2Rw" xr:uid="{00000000-0004-0000-0700-0000E6000000}"/>
    <hyperlink ref="A60" r:id="rId232" display="https://gerandofalcoes.my.salesforce.com/0014X00002VKCu2QAH" xr:uid="{00000000-0004-0000-0700-0000E7000000}"/>
    <hyperlink ref="AL60" r:id="rId233" display="https://gerandofalcoes.my.salesforce.com/0034X0000380O2W" xr:uid="{00000000-0004-0000-0700-0000E8000000}"/>
    <hyperlink ref="BX60" r:id="rId234" display="https://www.instagram.com/lucas.duarte85/" xr:uid="{00000000-0004-0000-0700-0000E9000000}"/>
    <hyperlink ref="BY60" r:id="rId235" display="https://drive.google.com/open?id=1SzUFRV30O5IPwgN01E23-IjIH24vHzIN" xr:uid="{00000000-0004-0000-0700-0000EA000000}"/>
    <hyperlink ref="A61" r:id="rId236" display="https://gerandofalcoes.my.salesforce.com/0014P00003AN2FWQA1" xr:uid="{00000000-0004-0000-0700-0000EB000000}"/>
    <hyperlink ref="AL61" r:id="rId237" display="https://gerandofalcoes.my.salesforce.com/0034P00003maBUw" xr:uid="{00000000-0004-0000-0700-0000EC000000}"/>
    <hyperlink ref="BX61" r:id="rId238" display="https://instagram.com/acesaong?utm_medium=copy_link" xr:uid="{00000000-0004-0000-0700-0000ED000000}"/>
    <hyperlink ref="BY61" r:id="rId239" display="https://drive.google.com/open?id=1aT5Zp-0ZU4R8xA6SUmPvudXpAHz6zP6i" xr:uid="{00000000-0004-0000-0700-0000EE000000}"/>
    <hyperlink ref="A62" r:id="rId240" display="https://gerandofalcoes.my.salesforce.com/0014P00003SGWPQQA5" xr:uid="{00000000-0004-0000-0700-0000EF000000}"/>
    <hyperlink ref="AL62" r:id="rId241" display="https://gerandofalcoes.my.salesforce.com/0034P000043fOnY" xr:uid="{00000000-0004-0000-0700-0000F0000000}"/>
    <hyperlink ref="BX62" r:id="rId242" display="https://www.linkedin.com/in/ana-neiry-moura-a50781196" xr:uid="{00000000-0004-0000-0700-0000F1000000}"/>
    <hyperlink ref="BY62" r:id="rId243" display="https://drive.google.com/open?id=1TuH7oeOiV50eTT_bsxMw4LZa4Ed0wqbS" xr:uid="{00000000-0004-0000-0700-0000F2000000}"/>
    <hyperlink ref="A63" r:id="rId244" display="https://gerandofalcoes.my.salesforce.com/0014X00002VKCrZQAX" xr:uid="{00000000-0004-0000-0700-0000F3000000}"/>
    <hyperlink ref="AL63" r:id="rId245" display="https://gerandofalcoes.my.salesforce.com/0034X0000380O0l" xr:uid="{00000000-0004-0000-0700-0000F4000000}"/>
    <hyperlink ref="BX63" r:id="rId246" display="https://instagram.com/elianerodrigues9?utm_medium=copy_link" xr:uid="{00000000-0004-0000-0700-0000F5000000}"/>
    <hyperlink ref="BY63" r:id="rId247" display="https://drive.google.com/open?id=1N3nXPknJi3xNo9nvSfxyRzzl8__J5j6K" xr:uid="{00000000-0004-0000-0700-0000F6000000}"/>
    <hyperlink ref="A64" r:id="rId248" display="https://gerandofalcoes.my.salesforce.com/0014P00003YSp9YQAT" xr:uid="{00000000-0004-0000-0700-0000F7000000}"/>
    <hyperlink ref="AL64" r:id="rId249" display="https://gerandofalcoes.my.salesforce.com/0034P000045kxkA" xr:uid="{00000000-0004-0000-0700-0000F8000000}"/>
    <hyperlink ref="BY64" r:id="rId250" display="https://drive.google.com/open?id=1z3SgdU1kHKHG-_eJjqHvFpJBI03WjvaQ" xr:uid="{00000000-0004-0000-0700-0000F9000000}"/>
    <hyperlink ref="A65" r:id="rId251" display="https://gerandofalcoes.my.salesforce.com/0014P00003YSp9HQAT" xr:uid="{00000000-0004-0000-0700-0000FA000000}"/>
    <hyperlink ref="AL65" r:id="rId252" display="https://gerandofalcoes.my.salesforce.com/0034P000045kxjt" xr:uid="{00000000-0004-0000-0700-0000FB000000}"/>
    <hyperlink ref="BX65" r:id="rId253" display="http://instagram.com/associacao.de.apoio.a.familia" xr:uid="{00000000-0004-0000-0700-0000FC000000}"/>
    <hyperlink ref="BY65" r:id="rId254" display="https://drive.google.com/open?id=10ctxV8nMn9fVaTyawjHOr35WgafNvNJD" xr:uid="{00000000-0004-0000-0700-0000FD000000}"/>
    <hyperlink ref="A66" r:id="rId255" display="https://gerandofalcoes.my.salesforce.com/0014X00002VKCp8QAH" xr:uid="{00000000-0004-0000-0700-0000FE000000}"/>
    <hyperlink ref="AL66" r:id="rId256" display="https://gerandofalcoes.my.salesforce.com/0034X0000380O1F" xr:uid="{00000000-0004-0000-0700-0000FF000000}"/>
    <hyperlink ref="BX66" r:id="rId257" display="https://instagram.com/domingos_lisboa_?igshid=YmMyMTA2M2Y=" xr:uid="{00000000-0004-0000-0700-000000010000}"/>
    <hyperlink ref="BY66" r:id="rId258" display="https://drive.google.com/open?id=12bq2yNKMFgFevP4NOtpDE4zTZAdaOs0T" xr:uid="{00000000-0004-0000-0700-000001010000}"/>
    <hyperlink ref="A67" r:id="rId259" display="https://gerandofalcoes.my.salesforce.com/0014P00003YSp7mQAD" xr:uid="{00000000-0004-0000-0700-000002010000}"/>
    <hyperlink ref="AL67" r:id="rId260" display="https://gerandofalcoes.my.salesforce.com/0034P000045kxiN" xr:uid="{00000000-0004-0000-0700-000003010000}"/>
    <hyperlink ref="BW67" r:id="rId261" display="https://br.linkedin.com/in/nei-pont%C3%A3o-4745453b" xr:uid="{00000000-0004-0000-0700-000004010000}"/>
    <hyperlink ref="BX67" r:id="rId262" display="https://www.instagram.com/neipontao/" xr:uid="{00000000-0004-0000-0700-000005010000}"/>
    <hyperlink ref="BY67" r:id="rId263" display="https://drive.google.com/open?id=1XKgrKR1BGz63HlSzzh56Z8OCaWRwZ6Bj" xr:uid="{00000000-0004-0000-0700-000006010000}"/>
    <hyperlink ref="A68" r:id="rId264" display="https://gerandofalcoes.my.salesforce.com/0014P00003YSp83QAD" xr:uid="{00000000-0004-0000-0700-000007010000}"/>
    <hyperlink ref="AL68" r:id="rId265" display="https://gerandofalcoes.my.salesforce.com/0034P000045kxie" xr:uid="{00000000-0004-0000-0700-000008010000}"/>
    <hyperlink ref="BY68" r:id="rId266" display="https://drive.google.com/open?id=1ciExeS93bvtZmp1KaSLHTt0GX_Dcaoj9" xr:uid="{00000000-0004-0000-0700-000009010000}"/>
    <hyperlink ref="A69" r:id="rId267" display="https://gerandofalcoes.my.salesforce.com/0014P00003SGWQBQA5" xr:uid="{00000000-0004-0000-0700-00000A010000}"/>
    <hyperlink ref="AL69" r:id="rId268" display="https://gerandofalcoes.my.salesforce.com/0034P000043fOoC" xr:uid="{00000000-0004-0000-0700-00000B010000}"/>
    <hyperlink ref="BW69" r:id="rId269" display="https://www.instagram.com/p/CQXSEKlHgIM/?utm_medium=copy_link" xr:uid="{00000000-0004-0000-0700-00000C010000}"/>
    <hyperlink ref="BY69" r:id="rId270" display="https://drive.google.com/open?id=1avIcYCsxnm2gukfdoKNyoETt28xSY7oT" xr:uid="{00000000-0004-0000-0700-00000D010000}"/>
    <hyperlink ref="A70" r:id="rId271" display="https://gerandofalcoes.my.salesforce.com/0014X00002VKCplQAH" xr:uid="{00000000-0004-0000-0700-00000E010000}"/>
    <hyperlink ref="AL70" r:id="rId272" display="https://gerandofalcoes.my.salesforce.com/0034X0000380O1C" xr:uid="{00000000-0004-0000-0700-00000F010000}"/>
    <hyperlink ref="BX70" r:id="rId273" display="https://www.instagram.com/carla.samya.f/" xr:uid="{00000000-0004-0000-0700-000010010000}"/>
    <hyperlink ref="BY70" r:id="rId274" display="https://drive.google.com/open?id=1Z9_JhppkZ2Wj4c8OIrfad1jLgFYg_3LK" xr:uid="{00000000-0004-0000-0700-000011010000}"/>
    <hyperlink ref="A71" r:id="rId275" display="https://gerandofalcoes.my.salesforce.com/0014X00002OEuaoQAD" xr:uid="{00000000-0004-0000-0700-000012010000}"/>
    <hyperlink ref="AL71" r:id="rId276" display="https://gerandofalcoes.my.salesforce.com/0034X0000315PQx" xr:uid="{00000000-0004-0000-0700-000013010000}"/>
    <hyperlink ref="BW71" r:id="rId277" display="https://www.linkedin.com/in/danyburu" xr:uid="{00000000-0004-0000-0700-000014010000}"/>
    <hyperlink ref="BX71" r:id="rId278" display="https://www.instagram.com/danyburu" xr:uid="{00000000-0004-0000-0700-000015010000}"/>
    <hyperlink ref="BY71" r:id="rId279" display="https://drive.google.com/open?id=1ytSSF_6lXRM9WwPNS8Tj06WwhDxuGH4V" xr:uid="{00000000-0004-0000-0700-000016010000}"/>
    <hyperlink ref="A72" r:id="rId280" display="https://gerandofalcoes.my.salesforce.com/0014X00002VKCsIQAX" xr:uid="{00000000-0004-0000-0700-000017010000}"/>
    <hyperlink ref="AL72" r:id="rId281" display="https://gerandofalcoes.my.salesforce.com/0034X0000380O13" xr:uid="{00000000-0004-0000-0700-000018010000}"/>
    <hyperlink ref="BY72" r:id="rId282" display="https://drive.google.com/open?id=1eofNdRdJGywYOGiJuT9mypy5nEtT8myB" xr:uid="{00000000-0004-0000-0700-000019010000}"/>
    <hyperlink ref="A73" r:id="rId283" display="https://gerandofalcoes.my.salesforce.com/0014X00002VKCv9QAH" xr:uid="{00000000-0004-0000-0700-00001A010000}"/>
    <hyperlink ref="AL73" r:id="rId284" display="https://gerandofalcoes.my.salesforce.com/0034X0000380O6O" xr:uid="{00000000-0004-0000-0700-00001B010000}"/>
    <hyperlink ref="BY73" r:id="rId285" display="https://drive.google.com/open?id=15bopVaqw2uyOnMBBXcQTw-L-5AEnTxfN" xr:uid="{00000000-0004-0000-0700-00001C010000}"/>
    <hyperlink ref="A74" r:id="rId286" display="https://gerandofalcoes.my.salesforce.com/0014X00002VKCqjQAH" xr:uid="{00000000-0004-0000-0700-00001D010000}"/>
    <hyperlink ref="AL74" r:id="rId287" display="https://gerandofalcoes.my.salesforce.com/0034X0000380O11" xr:uid="{00000000-0004-0000-0700-00001E010000}"/>
    <hyperlink ref="BY74" r:id="rId288" display="https://drive.google.com/open?id=16Rwt9yHGLKMghRSy-Z73wPESlShzmg-a" xr:uid="{00000000-0004-0000-0700-00001F010000}"/>
    <hyperlink ref="A75" r:id="rId289" display="https://gerandofalcoes.my.salesforce.com/0014X00002VKCtqQAH" xr:uid="{00000000-0004-0000-0700-000020010000}"/>
    <hyperlink ref="AL75" r:id="rId290" display="https://gerandofalcoes.my.salesforce.com/0034X0000380O5d" xr:uid="{00000000-0004-0000-0700-000021010000}"/>
    <hyperlink ref="BY75" r:id="rId291" display="https://drive.google.com/open?id=1I5b07gaWLpz8Ng73UwluLcV7QfYbgZHM" xr:uid="{00000000-0004-0000-0700-000022010000}"/>
    <hyperlink ref="A76" r:id="rId292" display="https://gerandofalcoes.my.salesforce.com/0014P00003AN2G7QAL" xr:uid="{00000000-0004-0000-0700-000023010000}"/>
    <hyperlink ref="AL76" r:id="rId293" display="https://gerandofalcoes.my.salesforce.com/0034P00003maBVb" xr:uid="{00000000-0004-0000-0700-000024010000}"/>
    <hyperlink ref="BW76" r:id="rId294" display="http://linkedin.com/in/nill-santos-a7b99b183" xr:uid="{00000000-0004-0000-0700-000025010000}"/>
    <hyperlink ref="BY76" r:id="rId295" display="https://drive.google.com/open?id=1RkfNYXBtUuIL9pgGN80itoRssZCq91VG" xr:uid="{00000000-0004-0000-0700-000026010000}"/>
    <hyperlink ref="A77" r:id="rId296" display="https://gerandofalcoes.my.salesforce.com/0014P00003SGWPmQAP" xr:uid="{00000000-0004-0000-0700-000027010000}"/>
    <hyperlink ref="AL77" r:id="rId297" display="https://gerandofalcoes.my.salesforce.com/0034P000043fOnt" xr:uid="{00000000-0004-0000-0700-000028010000}"/>
    <hyperlink ref="BW77" r:id="rId298" display="https://www.linkedin.com/in/jaqueline-ribeiro-5265751ab" xr:uid="{00000000-0004-0000-0700-000029010000}"/>
    <hyperlink ref="BY77" r:id="rId299" display="https://drive.google.com/open?id=12ACJNZM-_xQE_XPZsWU4x1rlI_3_zRCB" xr:uid="{00000000-0004-0000-0700-00002A010000}"/>
    <hyperlink ref="A78" r:id="rId300" display="https://gerandofalcoes.my.salesforce.com/0014X00002VKCs5QAH" xr:uid="{00000000-0004-0000-0700-00002B010000}"/>
    <hyperlink ref="AL78" r:id="rId301" display="https://gerandofalcoes.my.salesforce.com/0034X0000380O2u" xr:uid="{00000000-0004-0000-0700-00002C010000}"/>
    <hyperlink ref="BY78" r:id="rId302" display="https://drive.google.com/open?id=1FZ---GTUeueSKfGN6xgMGrb5LUcOgZMA" xr:uid="{00000000-0004-0000-0700-00002D010000}"/>
    <hyperlink ref="A79" r:id="rId303" display="https://gerandofalcoes.my.salesforce.com/0014P00003YSp97QAD" xr:uid="{00000000-0004-0000-0700-00002E010000}"/>
    <hyperlink ref="AL79" r:id="rId304" display="https://gerandofalcoes.my.salesforce.com/0034P000045kxjj" xr:uid="{00000000-0004-0000-0700-00002F010000}"/>
    <hyperlink ref="BY79" r:id="rId305" display="https://drive.google.com/open?id=1_UbojC7Fh8veCvRc0lsyvMkEKEaqBwfy" xr:uid="{00000000-0004-0000-0700-000030010000}"/>
    <hyperlink ref="A80" r:id="rId306" display="https://gerandofalcoes.my.salesforce.com/0014P00003SGWPtQAP" xr:uid="{00000000-0004-0000-0700-000031010000}"/>
    <hyperlink ref="AL80" r:id="rId307" display="https://gerandofalcoes.my.salesforce.com/0034P000043fPDl" xr:uid="{00000000-0004-0000-0700-000032010000}"/>
    <hyperlink ref="BW80" r:id="rId308" display="https://www.linkedin.com/in/margarida-minervina-da-silva-790661169" xr:uid="{00000000-0004-0000-0700-000033010000}"/>
    <hyperlink ref="BX80" r:id="rId309" display="https://instagram.com/margaridamilech?igshid=YmMyMTA2M2Y=" xr:uid="{00000000-0004-0000-0700-000034010000}"/>
    <hyperlink ref="BY80" r:id="rId310" display="https://drive.google.com/open?id=1DIeaX3NqyOOH23coh_ArwkyIHy-jRA-R" xr:uid="{00000000-0004-0000-0700-000035010000}"/>
    <hyperlink ref="A81" r:id="rId311" display="https://gerandofalcoes.my.salesforce.com/0014P00003YSm8CQAT" xr:uid="{00000000-0004-0000-0700-000036010000}"/>
    <hyperlink ref="AL81" r:id="rId312" display="https://gerandofalcoes.my.salesforce.com/0034P000045knPD" xr:uid="{00000000-0004-0000-0700-000037010000}"/>
    <hyperlink ref="BX81" r:id="rId313" display="https://instagram.com/adilmadaong?utm_medium=copy_link" xr:uid="{00000000-0004-0000-0700-000038010000}"/>
    <hyperlink ref="BY81" r:id="rId314" display="https://drive.google.com/open?id=1UEfAJhTvSofIwvU0ljef0BsUyWDyn5vo" xr:uid="{00000000-0004-0000-0700-000039010000}"/>
    <hyperlink ref="A82" r:id="rId315" display="https://gerandofalcoes.my.salesforce.com/0014X00002VKCtUQAX" xr:uid="{00000000-0004-0000-0700-00003A010000}"/>
    <hyperlink ref="AL82" r:id="rId316" display="https://gerandofalcoes.my.salesforce.com/0034X0000380O2O" xr:uid="{00000000-0004-0000-0700-00003B010000}"/>
    <hyperlink ref="BX82" r:id="rId317" display="https://instagram.com/julianderson_bodyboard?utm_medium=copy_link" xr:uid="{00000000-0004-0000-0700-00003C010000}"/>
    <hyperlink ref="A83" r:id="rId318" display="https://gerandofalcoes.my.salesforce.com/0014X00002VKCtWQAX" xr:uid="{00000000-0004-0000-0700-00003D010000}"/>
    <hyperlink ref="AL83" r:id="rId319" display="https://gerandofalcoes.my.salesforce.com/0034X0000380O1l" xr:uid="{00000000-0004-0000-0700-00003E010000}"/>
    <hyperlink ref="BY83" r:id="rId320" display="https://drive.google.com/open?id=1INyDHbav6rDUxOgHptfEvB-HuzSAa2fQ" xr:uid="{00000000-0004-0000-0700-00003F010000}"/>
    <hyperlink ref="A84" r:id="rId321" display="https://gerandofalcoes.my.salesforce.com/0014X00002VKCsoQAH" xr:uid="{00000000-0004-0000-0700-000040010000}"/>
    <hyperlink ref="AL84" r:id="rId322" display="https://gerandofalcoes.my.salesforce.com/0034X0000380O2m" xr:uid="{00000000-0004-0000-0700-000041010000}"/>
    <hyperlink ref="BW84" r:id="rId323" display="https://www.linkedin.com/in/souluizjr/" xr:uid="{00000000-0004-0000-0700-000042010000}"/>
    <hyperlink ref="BX84" r:id="rId324" display="https://www.instagram.com/souluizjr/" xr:uid="{00000000-0004-0000-0700-000043010000}"/>
    <hyperlink ref="BY84" r:id="rId325" display="https://drive.google.com/open?id=1Rn7yzOY7D1rUE0MVucmQ7s9RkkSmkuW7" xr:uid="{00000000-0004-0000-0700-000044010000}"/>
    <hyperlink ref="A85" r:id="rId326" display="https://gerandofalcoes.my.salesforce.com/0014X00002VKCtYQAX" xr:uid="{00000000-0004-0000-0700-000045010000}"/>
    <hyperlink ref="AL85" r:id="rId327" display="https://gerandofalcoes.my.salesforce.com/0034X0000380O1T" xr:uid="{00000000-0004-0000-0700-000046010000}"/>
    <hyperlink ref="BY85" r:id="rId328" display="https://drive.google.com/open?id=1o_tbqI4lMFvpdlvxgXC4x6WFXH5dNxbE" xr:uid="{00000000-0004-0000-0700-000047010000}"/>
    <hyperlink ref="A86" r:id="rId329" display="https://gerandofalcoes.my.salesforce.com/0014X00002PUOUaQAP" xr:uid="{00000000-0004-0000-0700-000048010000}"/>
    <hyperlink ref="AL86" r:id="rId330" display="https://gerandofalcoes.my.salesforce.com/0034X000032Hs00" xr:uid="{00000000-0004-0000-0700-000049010000}"/>
    <hyperlink ref="BX86" r:id="rId331" display="https://www.instagram.com/p/Ca0wX3FO9f4/?utm_medium=copy_link" xr:uid="{00000000-0004-0000-0700-00004A010000}"/>
    <hyperlink ref="BY86" r:id="rId332" display="https://drive.google.com/open?id=1DKY-InFZXUqBBZyOmp_kqN5PD8sCjywv" xr:uid="{00000000-0004-0000-0700-00004B010000}"/>
    <hyperlink ref="A87" r:id="rId333" display="https://gerandofalcoes.my.salesforce.com/0014X00002VKCp5QAH" xr:uid="{00000000-0004-0000-0700-00004C010000}"/>
    <hyperlink ref="AL87" r:id="rId334" display="https://gerandofalcoes.my.salesforce.com/0034X0000380O6Q" xr:uid="{00000000-0004-0000-0700-00004D010000}"/>
    <hyperlink ref="BX87" r:id="rId335" display="https://instagram.com/__daydias?utm_medium=copy_link" xr:uid="{00000000-0004-0000-0700-00004E010000}"/>
    <hyperlink ref="BY87" r:id="rId336" display="https://drive.google.com/open?id=1C6ewJpuHyQUU-kJqMvL2-fOTMl9fp52d" xr:uid="{00000000-0004-0000-0700-00004F010000}"/>
    <hyperlink ref="A88" r:id="rId337" display="https://gerandofalcoes.my.salesforce.com/0014X00002VKCtHQAX" xr:uid="{00000000-0004-0000-0700-000050010000}"/>
    <hyperlink ref="AL88" r:id="rId338" display="https://gerandofalcoes.my.salesforce.com/0034X0000380O5n" xr:uid="{00000000-0004-0000-0700-000051010000}"/>
    <hyperlink ref="BY88" r:id="rId339" display="https://drive.google.com/open?id=1ZzfyDwvCqv6eBSmjT9tb0eFED9uqwRC4" xr:uid="{00000000-0004-0000-0700-000052010000}"/>
    <hyperlink ref="A89" r:id="rId340" display="https://gerandofalcoes.my.salesforce.com/0014X00002VKCr8QAH" xr:uid="{00000000-0004-0000-0700-000053010000}"/>
    <hyperlink ref="AL89" r:id="rId341" display="https://gerandofalcoes.my.salesforce.com/0034X0000380O0n" xr:uid="{00000000-0004-0000-0700-000054010000}"/>
    <hyperlink ref="BW89" r:id="rId342" display="http://linkedin.com/in/nilma-rodrigues-b1022a35" xr:uid="{00000000-0004-0000-0700-000055010000}"/>
    <hyperlink ref="BX89" r:id="rId343" display="https://instagram.com/arur.uberlandia?utm_medium=copy_link" xr:uid="{00000000-0004-0000-0700-000056010000}"/>
    <hyperlink ref="BY89" r:id="rId344" display="https://drive.google.com/open?id=1ZfaGtCC4qFo1os5_ixtgg4i1Gg3KwztB" xr:uid="{00000000-0004-0000-0700-000057010000}"/>
    <hyperlink ref="A90" r:id="rId345" display="https://gerandofalcoes.my.salesforce.com/0014X00002VKCuvQAH" xr:uid="{00000000-0004-0000-0700-000058010000}"/>
    <hyperlink ref="AL90" r:id="rId346" display="https://gerandofalcoes.my.salesforce.com/0034X0000380O3p" xr:uid="{00000000-0004-0000-0700-000059010000}"/>
    <hyperlink ref="BY90" r:id="rId347" display="https://drive.google.com/open?id=1sWpcgSLrIiiyuvcqUYmBWRvc4AN4ngMr" xr:uid="{00000000-0004-0000-0700-00005A010000}"/>
    <hyperlink ref="A91" r:id="rId348" display="https://gerandofalcoes.my.salesforce.com/0014P00003YSp7sQAD" xr:uid="{00000000-0004-0000-0700-00005B010000}"/>
    <hyperlink ref="AL91" r:id="rId349" display="https://gerandofalcoes.my.salesforce.com/0034P000045kxiT" xr:uid="{00000000-0004-0000-0700-00005C010000}"/>
    <hyperlink ref="BW91" r:id="rId350" display="https://www.facebook.com/professorgirleno1252/?ref=pages_you_manage" xr:uid="{00000000-0004-0000-0700-00005D010000}"/>
    <hyperlink ref="BY91" r:id="rId351" display="https://drive.google.com/open?id=1-yhuPECC0S6LQZMkVrL4__fXQKLfOkYa" xr:uid="{00000000-0004-0000-0700-00005E010000}"/>
    <hyperlink ref="A92" r:id="rId352" display="https://gerandofalcoes.my.salesforce.com/0014X00002VKCteQAH" xr:uid="{00000000-0004-0000-0700-00005F010000}"/>
    <hyperlink ref="AL92" r:id="rId353" display="https://gerandofalcoes.my.salesforce.com/0034X0000380O6E" xr:uid="{00000000-0004-0000-0700-000060010000}"/>
    <hyperlink ref="BX92" r:id="rId354" display="https://instagram.com/wilaneide_campos?utm_medium=copy_link" xr:uid="{00000000-0004-0000-0700-000061010000}"/>
    <hyperlink ref="BY92" r:id="rId355" display="https://drive.google.com/open?id=1qF_q3i7AnClc4oqp_gKB6lgkDG7w_U29" xr:uid="{00000000-0004-0000-0700-000062010000}"/>
    <hyperlink ref="A93" r:id="rId356" display="https://gerandofalcoes.my.salesforce.com/0014P00003YSp9MQAT" xr:uid="{00000000-0004-0000-0700-000063010000}"/>
    <hyperlink ref="AL93" r:id="rId357" display="https://gerandofalcoes.my.salesforce.com/0034X0000390McC" xr:uid="{00000000-0004-0000-0700-000064010000}"/>
    <hyperlink ref="A94" r:id="rId358" display="https://gerandofalcoes.my.salesforce.com/0014P00003AN72DQAT" xr:uid="{00000000-0004-0000-0700-000065010000}"/>
    <hyperlink ref="AL94" r:id="rId359" display="https://gerandofalcoes.my.salesforce.com/0034P00003maEuB" xr:uid="{00000000-0004-0000-0700-000066010000}"/>
    <hyperlink ref="BY94" r:id="rId360" display="https://drive.google.com/open?id=1F0qWftRinH5tEMXSP6o8b_yxlIb_wmg8" xr:uid="{00000000-0004-0000-0700-000067010000}"/>
    <hyperlink ref="A95" r:id="rId361" display="https://gerandofalcoes.my.salesforce.com/0014X00002VKCvEQAX" xr:uid="{00000000-0004-0000-0700-000068010000}"/>
    <hyperlink ref="AL95" r:id="rId362" display="https://gerandofalcoes.my.salesforce.com/0034X0000380O41" xr:uid="{00000000-0004-0000-0700-000069010000}"/>
    <hyperlink ref="A96" r:id="rId363" display="https://gerandofalcoes.my.salesforce.com/0014P00003SGWPlQAP" xr:uid="{00000000-0004-0000-0700-00006A010000}"/>
    <hyperlink ref="AL96" r:id="rId364" display="https://gerandofalcoes.my.salesforce.com/0034P000043fOns" xr:uid="{00000000-0004-0000-0700-00006B010000}"/>
    <hyperlink ref="BW96" r:id="rId365" display="https://www.linkedin.com/in/graziella-porfirio-263b68190/" xr:uid="{00000000-0004-0000-0700-00006C010000}"/>
    <hyperlink ref="BX96" r:id="rId366" display="https://instagram.com/grazi_porfirio?igshid=YmMyMTA2M2Y=" xr:uid="{00000000-0004-0000-0700-00006D010000}"/>
    <hyperlink ref="BY96" r:id="rId367" display="https://drive.google.com/open?id=1j_c5zG_-8ONLfMZ5dwYyxoYOZW4-SWPZ" xr:uid="{00000000-0004-0000-0700-00006E010000}"/>
    <hyperlink ref="A97" r:id="rId368" display="https://gerandofalcoes.my.salesforce.com/0014X00002VKCr6QAH" xr:uid="{00000000-0004-0000-0700-00006F010000}"/>
    <hyperlink ref="AL97" r:id="rId369" display="https://gerandofalcoes.my.salesforce.com/0034X0000380O6B" xr:uid="{00000000-0004-0000-0700-000070010000}"/>
    <hyperlink ref="BY97" r:id="rId370" display="https://drive.google.com/open?id=1tS-Qu0P5tKLGVVIQ0NO2Ggi4TDstN7L8" xr:uid="{00000000-0004-0000-0700-000071010000}"/>
    <hyperlink ref="A98" r:id="rId371" display="https://gerandofalcoes.my.salesforce.com/0014X00002VKCsdQAH" xr:uid="{00000000-0004-0000-0700-000072010000}"/>
    <hyperlink ref="AL98" r:id="rId372" display="https://gerandofalcoes.my.salesforce.com/0034X0000380O3y" xr:uid="{00000000-0004-0000-0700-000073010000}"/>
    <hyperlink ref="BX98" r:id="rId373" display="https://instagram.com/igorchatubinha?igshid=YmMyMTA2M2Y=" xr:uid="{00000000-0004-0000-0700-000074010000}"/>
    <hyperlink ref="BY98" r:id="rId374" display="https://drive.google.com/open?id=15OtN6zsJgny46ska-ahOvVZaNPHSlklt" xr:uid="{00000000-0004-0000-0700-000075010000}"/>
    <hyperlink ref="A99" r:id="rId375" display="https://gerandofalcoes.my.salesforce.com/0014P00003AN2GJQA1" xr:uid="{00000000-0004-0000-0700-000076010000}"/>
    <hyperlink ref="AL99" r:id="rId376" display="https://gerandofalcoes.my.salesforce.com/0034P00003maBVo" xr:uid="{00000000-0004-0000-0700-000077010000}"/>
    <hyperlink ref="BW99" r:id="rId377" display="https://www.linkedin.com/feed/?trk=BR-SEM_google-adwords_Jordan-brand-sign-up" xr:uid="{00000000-0004-0000-0700-000078010000}"/>
    <hyperlink ref="BY99" r:id="rId378" display="https://drive.google.com/open?id=1h1qlCUFI58Js3zwIeCCbE0rzom-YW0cT" xr:uid="{00000000-0004-0000-0700-000079010000}"/>
    <hyperlink ref="A100" r:id="rId379" display="https://gerandofalcoes.my.salesforce.com/0014P00003AN2FfQAL" xr:uid="{00000000-0004-0000-0700-00007A010000}"/>
    <hyperlink ref="AL100" r:id="rId380" display="https://gerandofalcoes.my.salesforce.com/0034P00003maBV5" xr:uid="{00000000-0004-0000-0700-00007B010000}"/>
    <hyperlink ref="BW100" r:id="rId381" display="https://www.linkedin.com/in/marcus-vinicius-do-nascimento-a0ab634b" xr:uid="{00000000-0004-0000-0700-00007C010000}"/>
    <hyperlink ref="BX100" r:id="rId382" display="https://www.instagram.com/reel/CbyAZQEu3ls/?utm_medium=copy_link" xr:uid="{00000000-0004-0000-0700-00007D010000}"/>
    <hyperlink ref="BY100" r:id="rId383" display="https://drive.google.com/open?id=10XvDRwTJMfsKkC0kFu7xTWh5ePdPnqvW" xr:uid="{00000000-0004-0000-0700-00007E010000}"/>
    <hyperlink ref="A101" r:id="rId384" display="https://gerandofalcoes.my.salesforce.com/0014X00002VKCspQAH" xr:uid="{00000000-0004-0000-0700-00007F010000}"/>
    <hyperlink ref="AL101" r:id="rId385" display="https://gerandofalcoes.my.salesforce.com/0034X0000380O65" xr:uid="{00000000-0004-0000-0700-000080010000}"/>
    <hyperlink ref="BX101" r:id="rId386" display="https://www.instagram.com/invites/contact/?i=1ppbywg2xzncw&amp;utm_content=n1qcaj6" xr:uid="{00000000-0004-0000-0700-000081010000}"/>
    <hyperlink ref="BY101" r:id="rId387" display="https://drive.google.com/open?id=1Iu738Axk0nHFBsolrozWt-jg78cfgSSG" xr:uid="{00000000-0004-0000-0700-000082010000}"/>
    <hyperlink ref="A102" r:id="rId388" display="https://gerandofalcoes.my.salesforce.com/0014P00003YSp98QAD" xr:uid="{00000000-0004-0000-0700-000083010000}"/>
    <hyperlink ref="AL102" r:id="rId389" display="https://gerandofalcoes.my.salesforce.com/0034P000045kxjk" xr:uid="{00000000-0004-0000-0700-000084010000}"/>
    <hyperlink ref="BW102" r:id="rId390" display="https://www.linkedin.com/in/wagner-ramalho-6783251b2/" xr:uid="{00000000-0004-0000-0700-000085010000}"/>
    <hyperlink ref="BX102" r:id="rId391" display="https://www.instagram.com/wagnerramalhoguaranikaiowa/" xr:uid="{00000000-0004-0000-0700-000086010000}"/>
    <hyperlink ref="BY102" r:id="rId392" display="https://drive.google.com/open?id=1vkqrEIZc5-jqLocz1G84drs8n9Dl53G3" xr:uid="{00000000-0004-0000-0700-000087010000}"/>
    <hyperlink ref="A103" r:id="rId393" display="https://gerandofalcoes.my.salesforce.com/0014P00003AN2GHQA1" xr:uid="{00000000-0004-0000-0700-000088010000}"/>
    <hyperlink ref="AL103" r:id="rId394" display="https://gerandofalcoes.my.salesforce.com/0034P00003maBVm" xr:uid="{00000000-0004-0000-0700-000089010000}"/>
    <hyperlink ref="BY103" r:id="rId395" display="https://drive.google.com/open?id=1CU1IEK8P-Xbi3pJFi5C5NqoN5412bsr5" xr:uid="{00000000-0004-0000-0700-00008A010000}"/>
    <hyperlink ref="A104" r:id="rId396" display="https://gerandofalcoes.my.salesforce.com/0014P00003YSp9WQAT" xr:uid="{00000000-0004-0000-0700-00008B010000}"/>
    <hyperlink ref="AL104" r:id="rId397" display="https://gerandofalcoes.my.salesforce.com/0034P000045kxk8" xr:uid="{00000000-0004-0000-0700-00008C010000}"/>
    <hyperlink ref="BW104" r:id="rId398" display="https://br.linkedin.com/in/eduardo-de-jesus-santos-aa554a11a" xr:uid="{00000000-0004-0000-0700-00008D010000}"/>
    <hyperlink ref="BX104" r:id="rId399" display="https://www.instagram.com/dhujesus/" xr:uid="{00000000-0004-0000-0700-00008E010000}"/>
    <hyperlink ref="BY104" r:id="rId400" display="https://drive.google.com/open?id=1k4ZYioVvl1zheiSss8wPkYSzfL12DhI2" xr:uid="{00000000-0004-0000-0700-00008F010000}"/>
    <hyperlink ref="A105" r:id="rId401" display="https://gerandofalcoes.my.salesforce.com/0014P00003SGWPfQAP" xr:uid="{00000000-0004-0000-0700-000090010000}"/>
    <hyperlink ref="AL105" r:id="rId402" display="https://gerandofalcoes.my.salesforce.com/0034P000043fOnm" xr:uid="{00000000-0004-0000-0700-000091010000}"/>
    <hyperlink ref="BW105" r:id="rId403" display="https://www.linkedin.com/in/francilaine-melo-856922212" xr:uid="{00000000-0004-0000-0700-000092010000}"/>
    <hyperlink ref="BY105" r:id="rId404" display="https://drive.google.com/open?id=16IYy5qXBrxY-OwS5phXTVQvS2aEbgIna" xr:uid="{00000000-0004-0000-0700-000093010000}"/>
    <hyperlink ref="A106" r:id="rId405" display="https://gerandofalcoes.my.salesforce.com/0014P00003YSp8zQAD" xr:uid="{00000000-0004-0000-0700-000094010000}"/>
    <hyperlink ref="AL106" r:id="rId406" display="https://gerandofalcoes.my.salesforce.com/0034P000045kxjb" xr:uid="{00000000-0004-0000-0700-000095010000}"/>
    <hyperlink ref="BY106" r:id="rId407" display="https://drive.google.com/open?id=1hNKiHNXNVBUVNa-9i0cn26bPYHXyIEzf" xr:uid="{00000000-0004-0000-0700-000096010000}"/>
    <hyperlink ref="A107" r:id="rId408" display="https://gerandofalcoes.my.salesforce.com/0014P00003YSp8UQAT" xr:uid="{00000000-0004-0000-0700-000097010000}"/>
    <hyperlink ref="AL107" r:id="rId409" display="https://gerandofalcoes.my.salesforce.com/0034P000045kxj5" xr:uid="{00000000-0004-0000-0700-000098010000}"/>
    <hyperlink ref="BW107" r:id="rId410" display="http://www.linkedin.com/mararibeirosocial.rj" xr:uid="{00000000-0004-0000-0700-000099010000}"/>
    <hyperlink ref="BX107" r:id="rId411" display="http://www.instagram.com/mararibeirorj" xr:uid="{00000000-0004-0000-0700-00009A010000}"/>
    <hyperlink ref="BY107" r:id="rId412" display="https://drive.google.com/open?id=1WXCYkzMdFZYxaU475d8DQTf44nlW1gf1" xr:uid="{00000000-0004-0000-0700-00009B010000}"/>
    <hyperlink ref="A108" r:id="rId413" display="https://gerandofalcoes.my.salesforce.com/0014X00002VKCqTQAX" xr:uid="{00000000-0004-0000-0700-00009C010000}"/>
    <hyperlink ref="AL108" r:id="rId414" display="https://gerandofalcoes.my.salesforce.com/0034X0000380O3v" xr:uid="{00000000-0004-0000-0700-00009D010000}"/>
    <hyperlink ref="BX108" r:id="rId415" display="https://www.instagram.com/silvinhapaiva/" xr:uid="{00000000-0004-0000-0700-00009E010000}"/>
    <hyperlink ref="BY108" r:id="rId416" display="https://drive.google.com/open?id=1vuLk358vkIHig3nagLGkukl7iEYRTVDv" xr:uid="{00000000-0004-0000-0700-00009F010000}"/>
    <hyperlink ref="A109" r:id="rId417" display="https://gerandofalcoes.my.salesforce.com/0014P00003YSp7RQAT" xr:uid="{00000000-0004-0000-0700-0000A0010000}"/>
    <hyperlink ref="AL109" r:id="rId418" display="https://gerandofalcoes.my.salesforce.com/0034P000045kxi2" xr:uid="{00000000-0004-0000-0700-0000A1010000}"/>
    <hyperlink ref="BX109" r:id="rId419" display="https://www.instagram.com/teodoromestre/" xr:uid="{00000000-0004-0000-0700-0000A2010000}"/>
    <hyperlink ref="BY109" r:id="rId420" display="https://drive.google.com/open?id=1yAAeHBAT6BO0GDR_tu-UAM5HRhOMV9n4" xr:uid="{00000000-0004-0000-0700-0000A3010000}"/>
    <hyperlink ref="A110" r:id="rId421" display="https://gerandofalcoes.my.salesforce.com/0014X00002VKCqtQAH" xr:uid="{00000000-0004-0000-0700-0000A4010000}"/>
    <hyperlink ref="AL110" r:id="rId422" display="https://gerandofalcoes.my.salesforce.com/0034X0000380O4c" xr:uid="{00000000-0004-0000-0700-0000A5010000}"/>
    <hyperlink ref="BY110" r:id="rId423" display="https://drive.google.com/open?id=14HL6cJqBiU-3e08McYyiZ1-MQtYIJt2Q" xr:uid="{00000000-0004-0000-0700-0000A6010000}"/>
    <hyperlink ref="A111" r:id="rId424" display="https://gerandofalcoes.my.salesforce.com/0014X00002VKCu1QAH" xr:uid="{00000000-0004-0000-0700-0000A7010000}"/>
    <hyperlink ref="AL111" r:id="rId425" display="https://gerandofalcoes.my.salesforce.com/0034X0000380O2v" xr:uid="{00000000-0004-0000-0700-0000A8010000}"/>
    <hyperlink ref="BW111" r:id="rId426" display="http://www.linkedin.com/in/juliasgoulart" xr:uid="{00000000-0004-0000-0700-0000A9010000}"/>
    <hyperlink ref="BX111" r:id="rId427" display="http://www.instagram.com/juliasgoulart" xr:uid="{00000000-0004-0000-0700-0000AA010000}"/>
    <hyperlink ref="BY111" r:id="rId428" display="https://drive.google.com/open?id=1XHU-NepH1WwzgMqf_Vh1td87fyy0WcJl" xr:uid="{00000000-0004-0000-0700-0000AB010000}"/>
    <hyperlink ref="A112" r:id="rId429" display="https://gerandofalcoes.my.salesforce.com/0014P00003YSpAKQA1" xr:uid="{00000000-0004-0000-0700-0000AC010000}"/>
    <hyperlink ref="AL112" r:id="rId430" display="https://gerandofalcoes.my.salesforce.com/0034P000045kxkw" xr:uid="{00000000-0004-0000-0700-0000AD010000}"/>
    <hyperlink ref="BX112" r:id="rId431" display="https://instagram.com/gfernand_s?igshid=YmMyMTA2M2Y=" xr:uid="{00000000-0004-0000-0700-0000AE010000}"/>
    <hyperlink ref="BY112" r:id="rId432" display="https://drive.google.com/open?id=1CFZ13sshI8_sczLZpd7M7iM8WVUxmUy8" xr:uid="{00000000-0004-0000-0700-0000AF010000}"/>
    <hyperlink ref="A113" r:id="rId433" display="https://gerandofalcoes.my.salesforce.com/0014P00003SGWPUQA5" xr:uid="{00000000-0004-0000-0700-0000B0010000}"/>
    <hyperlink ref="AL113" r:id="rId434" display="https://gerandofalcoes.my.salesforce.com/0034P000043fOnb" xr:uid="{00000000-0004-0000-0700-0000B1010000}"/>
    <hyperlink ref="BW113" r:id="rId435" display="https://www.linkedin.com/in/ivette-rodrigues-de-macedo-8070bb120/" xr:uid="{00000000-0004-0000-0700-0000B2010000}"/>
    <hyperlink ref="BX113" r:id="rId436" display="https://instagram.com/ivette.macedo?utm_medium=copy_link" xr:uid="{00000000-0004-0000-0700-0000B3010000}"/>
    <hyperlink ref="BY113" r:id="rId437" display="https://drive.google.com/open?id=1Uq4uWmvj39wquK7N7NutG5SWepmVaT7s" xr:uid="{00000000-0004-0000-0700-0000B4010000}"/>
    <hyperlink ref="A114" r:id="rId438" display="https://gerandofalcoes.my.salesforce.com/0014X00002VKCtAQAX" xr:uid="{00000000-0004-0000-0700-0000B5010000}"/>
    <hyperlink ref="AL114" r:id="rId439" display="https://gerandofalcoes.my.salesforce.com/0034X0000380O5O" xr:uid="{00000000-0004-0000-0700-0000B6010000}"/>
    <hyperlink ref="BX114" r:id="rId440" display="https://www.instagram.com/vanessadaya04/" xr:uid="{00000000-0004-0000-0700-0000B7010000}"/>
    <hyperlink ref="BY114" r:id="rId441" display="https://drive.google.com/open?id=1kHA3ufOwb0v3HUfbgNM9dxqw8i37GE1r" xr:uid="{00000000-0004-0000-0700-0000B8010000}"/>
    <hyperlink ref="A115" r:id="rId442" display="https://gerandofalcoes.my.salesforce.com/0014X00002VKCsVQAX" xr:uid="{00000000-0004-0000-0700-0000B9010000}"/>
    <hyperlink ref="AL115" r:id="rId443" display="https://gerandofalcoes.my.salesforce.com/0034X0000380O0o" xr:uid="{00000000-0004-0000-0700-0000BA010000}"/>
    <hyperlink ref="BY115" r:id="rId444" display="https://drive.google.com/open?id=1W-RbqETXkXuAJWTN4ENjH2eqhMKhtjy9" xr:uid="{00000000-0004-0000-0700-0000BB010000}"/>
    <hyperlink ref="A116" r:id="rId445" display="https://gerandofalcoes.my.salesforce.com/0014X00002VKCv3QAH" xr:uid="{00000000-0004-0000-0700-0000BC010000}"/>
    <hyperlink ref="AL116" r:id="rId446" display="https://gerandofalcoes.my.salesforce.com/0034X0000380O0b" xr:uid="{00000000-0004-0000-0700-0000BD010000}"/>
    <hyperlink ref="BW116" r:id="rId447" display="https://www.linkedin.com/in/pablo-lima-03848b103/" xr:uid="{00000000-0004-0000-0700-0000BE010000}"/>
    <hyperlink ref="BX116" r:id="rId448" display="https://www.instagram.com/pablytto_28/" xr:uid="{00000000-0004-0000-0700-0000BF010000}"/>
    <hyperlink ref="BY116" r:id="rId449" display="https://drive.google.com/open?id=1fwwoX-CiBbIU-FfUN-XybkGTBiW5DwYN" xr:uid="{00000000-0004-0000-0700-0000C0010000}"/>
    <hyperlink ref="A117" r:id="rId450" display="https://gerandofalcoes.my.salesforce.com/0014X00002VKCugQAH" xr:uid="{00000000-0004-0000-0700-0000C1010000}"/>
    <hyperlink ref="AL117" r:id="rId451" display="https://gerandofalcoes.my.salesforce.com/0034X0000380O3Z" xr:uid="{00000000-0004-0000-0700-0000C2010000}"/>
    <hyperlink ref="A118" r:id="rId452" display="https://gerandofalcoes.my.salesforce.com/0014X00002VKCqQQAX" xr:uid="{00000000-0004-0000-0700-0000C3010000}"/>
    <hyperlink ref="AL118" r:id="rId453" display="https://gerandofalcoes.my.salesforce.com/0034X0000380O5l" xr:uid="{00000000-0004-0000-0700-0000C4010000}"/>
    <hyperlink ref="BX118" r:id="rId454" display="https://www.instagram.com/rafaels085/" xr:uid="{00000000-0004-0000-0700-0000C5010000}"/>
    <hyperlink ref="BY118" r:id="rId455" display="https://drive.google.com/open?id=1WU3jsP8P0IRYoVnD3lbFyEmSuqkcsGfn" xr:uid="{00000000-0004-0000-0700-0000C6010000}"/>
    <hyperlink ref="A119" r:id="rId456" display="https://gerandofalcoes.my.salesforce.com/0014X00002VKCuMQAX" xr:uid="{00000000-0004-0000-0700-0000C7010000}"/>
    <hyperlink ref="AL119" r:id="rId457" display="https://gerandofalcoes.my.salesforce.com/0034X0000380O5v" xr:uid="{00000000-0004-0000-0700-0000C8010000}"/>
    <hyperlink ref="BY119" r:id="rId458" display="https://drive.google.com/open?id=1TPONM5_mA8YyulITWmDE8J2mZ_E_Z0lg" xr:uid="{00000000-0004-0000-0700-0000C9010000}"/>
    <hyperlink ref="A120" r:id="rId459" display="https://gerandofalcoes.my.salesforce.com/0014P00003AN2h4QAD" xr:uid="{00000000-0004-0000-0700-0000CA010000}"/>
    <hyperlink ref="AL120" r:id="rId460" display="https://gerandofalcoes.my.salesforce.com/0034P00003maBVB" xr:uid="{00000000-0004-0000-0700-0000CB010000}"/>
    <hyperlink ref="BW120" r:id="rId461" display="https://www.linkedin.com/in/nilton-sales-s%C3%A1vio-876357172/" xr:uid="{00000000-0004-0000-0700-0000CC010000}"/>
    <hyperlink ref="BX120" r:id="rId462" display="https://www.instagram.com/nsalessavio/" xr:uid="{00000000-0004-0000-0700-0000CD010000}"/>
    <hyperlink ref="BY120" r:id="rId463" display="https://drive.google.com/open?id=1DeK0x2m-rWiqPmGPO-v-09b41HlSzC8u" xr:uid="{00000000-0004-0000-0700-0000CE010000}"/>
    <hyperlink ref="A121" r:id="rId464" display="https://gerandofalcoes.my.salesforce.com/0014P00003YSp9AQAT" xr:uid="{00000000-0004-0000-0700-0000CF010000}"/>
    <hyperlink ref="AL121" r:id="rId465" display="https://gerandofalcoes.my.salesforce.com/0034P000045kxjm" xr:uid="{00000000-0004-0000-0700-0000D0010000}"/>
    <hyperlink ref="BW121" r:id="rId466" display="https://www.linkedin.com/in/valeria-oliveira-campelo-32716964" xr:uid="{00000000-0004-0000-0700-0000D1010000}"/>
    <hyperlink ref="BX121" r:id="rId467" display="https://instagram.com/ameasoficial?utm_medium=copy_link" xr:uid="{00000000-0004-0000-0700-0000D2010000}"/>
    <hyperlink ref="BY121" r:id="rId468" display="https://drive.google.com/open?id=1YX1oCdV1-fvX_FfEEC9aunyzpGYhmqEi" xr:uid="{00000000-0004-0000-0700-0000D3010000}"/>
    <hyperlink ref="A122" r:id="rId469" display="https://gerandofalcoes.my.salesforce.com/0014P00003SGWQ9QAP" xr:uid="{00000000-0004-0000-0700-0000D4010000}"/>
    <hyperlink ref="AL122" r:id="rId470" display="https://gerandofalcoes.my.salesforce.com/0034P000043fOoA" xr:uid="{00000000-0004-0000-0700-0000D5010000}"/>
    <hyperlink ref="BW122" r:id="rId471" display="https://www.linkedin.com/feed/?trk=homepage-basic_google-one-tap-submit" xr:uid="{00000000-0004-0000-0700-0000D6010000}"/>
    <hyperlink ref="BX122" r:id="rId472" display="https://www.instagram.com/invites/contact/?i=38p196ub57as&amp;utm_content=x51893" xr:uid="{00000000-0004-0000-0700-0000D7010000}"/>
    <hyperlink ref="BY122" r:id="rId473" display="https://drive.google.com/open?id=1Xa9gr2KQpqkvkHJU3j16rvZTr6G3yksI" xr:uid="{00000000-0004-0000-0700-0000D8010000}"/>
    <hyperlink ref="A123" r:id="rId474" display="https://gerandofalcoes.my.salesforce.com/0014X00002VKCrWQAX" xr:uid="{00000000-0004-0000-0700-0000D9010000}"/>
    <hyperlink ref="AL123" r:id="rId475" display="https://gerandofalcoes.my.salesforce.com/0034X0000380O4S" xr:uid="{00000000-0004-0000-0700-0000DA010000}"/>
    <hyperlink ref="BX123" r:id="rId476" display="https://instagram.com/derineudo?igshid=YmMyMTA2M2Y=" xr:uid="{00000000-0004-0000-0700-0000DB010000}"/>
    <hyperlink ref="BY123" r:id="rId477" display="https://drive.google.com/open?id=1krRXhYM_OgGPfYWbO4IhS1o96TfQ-GP8" xr:uid="{00000000-0004-0000-0700-0000DC010000}"/>
    <hyperlink ref="A124" r:id="rId478" display="https://gerandofalcoes.my.salesforce.com/0014P00003AN2FXQA1" xr:uid="{00000000-0004-0000-0700-0000DD010000}"/>
    <hyperlink ref="AL124" r:id="rId479" display="https://gerandofalcoes.my.salesforce.com/0034P00003maBUx" xr:uid="{00000000-0004-0000-0700-0000DE010000}"/>
    <hyperlink ref="A125" r:id="rId480" display="https://gerandofalcoes.my.salesforce.com/0014P00003YSp7bQAD" xr:uid="{00000000-0004-0000-0700-0000DF010000}"/>
    <hyperlink ref="AL125" r:id="rId481" display="https://gerandofalcoes.my.salesforce.com/0034P000045kxiC" xr:uid="{00000000-0004-0000-0700-0000E0010000}"/>
    <hyperlink ref="BD125" r:id="rId482" display="https://drive.google.com/file/d/1yyWVo6-zEvSPLdaGus3hnUphF-01kGcV/view?usp=sharing" xr:uid="{00000000-0004-0000-0700-0000E1010000}"/>
    <hyperlink ref="BY125" r:id="rId483" display="https://drive.google.com/open?id=1QEjlMADsuWE6DtKaz5gbbpdtDrTR18Yk" xr:uid="{00000000-0004-0000-0700-0000E2010000}"/>
    <hyperlink ref="A126" r:id="rId484" display="https://gerandofalcoes.my.salesforce.com/0014X00002VKCqAQAX" xr:uid="{00000000-0004-0000-0700-0000E3010000}"/>
    <hyperlink ref="AL126" r:id="rId485" display="https://gerandofalcoes.my.salesforce.com/0034X0000380O4H" xr:uid="{00000000-0004-0000-0700-0000E4010000}"/>
    <hyperlink ref="BX126" r:id="rId486" display="https://www.instagram.com/p/CVO2cw2D7cS/?utm_medium=copy_link" xr:uid="{00000000-0004-0000-0700-0000E5010000}"/>
    <hyperlink ref="BY126" r:id="rId487" display="https://drive.google.com/open?id=1cpz2rPcnWbNs-8wibYDK4X6iIpgHF9j8" xr:uid="{00000000-0004-0000-0700-0000E6010000}"/>
    <hyperlink ref="A127" r:id="rId488" display="https://gerandofalcoes.my.salesforce.com/0014X00002QTry4QAD" xr:uid="{00000000-0004-0000-0700-0000E7010000}"/>
    <hyperlink ref="AL127" r:id="rId489" display="https://gerandofalcoes.my.salesforce.com/0034X0000340kpL" xr:uid="{00000000-0004-0000-0700-0000E8010000}"/>
    <hyperlink ref="BX127" r:id="rId490" display="https://instagram.com/washington.tadeu.1?utm_medium=copy_link" xr:uid="{00000000-0004-0000-0700-0000E9010000}"/>
    <hyperlink ref="BY127" r:id="rId491" display="https://drive.google.com/open?id=10WLmah_jIu_mOuDf9rNcoZ2JYVUTpoKa" xr:uid="{00000000-0004-0000-0700-0000EA010000}"/>
    <hyperlink ref="A128" r:id="rId492" display="https://gerandofalcoes.my.salesforce.com/0014P00003SGWQ4QAP" xr:uid="{00000000-0004-0000-0700-0000EB010000}"/>
    <hyperlink ref="AL128" r:id="rId493" display="https://gerandofalcoes.my.salesforce.com/0034P000043fOo5" xr:uid="{00000000-0004-0000-0700-0000EC010000}"/>
    <hyperlink ref="BW128" r:id="rId494" display="https://www.linkedin.com/in/johnny-santana-014aa0216/" xr:uid="{00000000-0004-0000-0700-0000ED010000}"/>
    <hyperlink ref="BY128" r:id="rId495" display="https://drive.google.com/open?id=14xpruNU-JEMcPzizwIYGukmehxhTWnS4" xr:uid="{00000000-0004-0000-0700-0000EE010000}"/>
    <hyperlink ref="A129" r:id="rId496" display="https://gerandofalcoes.my.salesforce.com/0014X00002VKCuwQAH" xr:uid="{00000000-0004-0000-0700-0000EF010000}"/>
    <hyperlink ref="AL129" r:id="rId497" display="https://gerandofalcoes.my.salesforce.com/0034X0000380O33" xr:uid="{00000000-0004-0000-0700-0000F0010000}"/>
    <hyperlink ref="BW129" r:id="rId498" display="https://www.linkedin.com/in/mayara-barbosa-de-oliveira-266639b0/" xr:uid="{00000000-0004-0000-0700-0000F1010000}"/>
    <hyperlink ref="BY129" r:id="rId499" display="https://drive.google.com/open?id=1aJOwgvCji1tbZXxgShJ7oLmk_XZW3NHQ" xr:uid="{00000000-0004-0000-0700-0000F2010000}"/>
    <hyperlink ref="A130" r:id="rId500" display="https://gerandofalcoes.my.salesforce.com/0014X00002VKCp7QAH" xr:uid="{00000000-0004-0000-0700-0000F3010000}"/>
    <hyperlink ref="AL130" r:id="rId501" display="https://gerandofalcoes.my.salesforce.com/0034X0000380O3b" xr:uid="{00000000-0004-0000-0700-0000F4010000}"/>
    <hyperlink ref="BY130" r:id="rId502" display="https://drive.google.com/open?id=1zlMUS59KAGgi8gYTm8WS8kTrxqUfAjl5" xr:uid="{00000000-0004-0000-0700-0000F5010000}"/>
    <hyperlink ref="A131" r:id="rId503" display="https://gerandofalcoes.my.salesforce.com/0014X00002VKCpcQAH" xr:uid="{00000000-0004-0000-0700-0000F6010000}"/>
    <hyperlink ref="AL131" r:id="rId504" display="https://gerandofalcoes.my.salesforce.com/0034X0000380O1i" xr:uid="{00000000-0004-0000-0700-0000F7010000}"/>
    <hyperlink ref="A132" r:id="rId505" display="https://gerandofalcoes.my.salesforce.com/0014X00002VKCpDQAX" xr:uid="{00000000-0004-0000-0700-0000F8010000}"/>
    <hyperlink ref="AL132" r:id="rId506" display="https://gerandofalcoes.my.salesforce.com/0034X0000380O5z" xr:uid="{00000000-0004-0000-0700-0000F9010000}"/>
    <hyperlink ref="BX132" r:id="rId507" display="https://www.instagram.com/prelainecristina/" xr:uid="{00000000-0004-0000-0700-0000FA010000}"/>
    <hyperlink ref="BY132" r:id="rId508" display="https://drive.google.com/open?id=1aKqIxDIHExO-Xo3Ztcl1MaOv2TWR08Qg" xr:uid="{00000000-0004-0000-0700-0000FB010000}"/>
    <hyperlink ref="A133" r:id="rId509" display="https://gerandofalcoes.my.salesforce.com/0014X00002VKCqsQAH" xr:uid="{00000000-0004-0000-0700-0000FC010000}"/>
    <hyperlink ref="AL133" r:id="rId510" display="https://gerandofalcoes.my.salesforce.com/0034X0000380O5J" xr:uid="{00000000-0004-0000-0700-0000FD010000}"/>
    <hyperlink ref="BX133" r:id="rId511" display="https://www.instagram.com/juoliveira.coach/" xr:uid="{00000000-0004-0000-0700-0000FE010000}"/>
    <hyperlink ref="BY133" r:id="rId512" display="https://drive.google.com/open?id=18Y13x3v2cLA3hHIc96789Z-q0rvOxZso" xr:uid="{00000000-0004-0000-0700-0000FF010000}"/>
    <hyperlink ref="A134" r:id="rId513" display="https://gerandofalcoes.my.salesforce.com/0014P00003SGWQ6QAP" xr:uid="{00000000-0004-0000-0700-000000020000}"/>
    <hyperlink ref="AL134" r:id="rId514" display="https://gerandofalcoes.my.salesforce.com/0034P000043fOo7" xr:uid="{00000000-0004-0000-0700-000001020000}"/>
    <hyperlink ref="BW134" r:id="rId515" display="https://www.linkedin.com/in/pedroarocha" xr:uid="{00000000-0004-0000-0700-000002020000}"/>
    <hyperlink ref="BY134" r:id="rId516" display="https://drive.google.com/open?id=17SjKmstH8BVVd_1qwiJR6nDQb7XDOlF4" xr:uid="{00000000-0004-0000-0700-000003020000}"/>
    <hyperlink ref="A135" r:id="rId517" display="https://gerandofalcoes.my.salesforce.com/0014P00003YSp9jQAD" xr:uid="{00000000-0004-0000-0700-000004020000}"/>
    <hyperlink ref="AL135" r:id="rId518" display="https://gerandofalcoes.my.salesforce.com/0034P000045kxkL" xr:uid="{00000000-0004-0000-0700-000005020000}"/>
    <hyperlink ref="BY135" r:id="rId519" display="https://drive.google.com/open?id=17ZG_6zNDm8WYy3yyleKlYnErdOswbd6d" xr:uid="{00000000-0004-0000-0700-000006020000}"/>
    <hyperlink ref="A136" r:id="rId520" display="https://gerandofalcoes.my.salesforce.com/0014P00003AN2FyQAL" xr:uid="{00000000-0004-0000-0700-000007020000}"/>
    <hyperlink ref="AL136" r:id="rId521" display="https://gerandofalcoes.my.salesforce.com/0034P00003maBVP" xr:uid="{00000000-0004-0000-0700-000008020000}"/>
    <hyperlink ref="BY136" r:id="rId522" display="https://drive.google.com/open?id=1DY7gtg5wo2GJ5wyabicCFWsbWJOlco4k" xr:uid="{00000000-0004-0000-0700-000009020000}"/>
    <hyperlink ref="A137" r:id="rId523" display="https://gerandofalcoes.my.salesforce.com/0014P00003YSp7zQAD" xr:uid="{00000000-0004-0000-0700-00000A020000}"/>
    <hyperlink ref="AL137" r:id="rId524" display="https://gerandofalcoes.my.salesforce.com/0034P000045kxia" xr:uid="{00000000-0004-0000-0700-00000B020000}"/>
    <hyperlink ref="BX137" r:id="rId525" display="https://www.instagram.com/joao_oninguem/" xr:uid="{00000000-0004-0000-0700-00000C020000}"/>
    <hyperlink ref="BY137" r:id="rId526" display="https://drive.google.com/open?id=1UulyPyr83IFyDILsTaduL1o7Cwf66gbP" xr:uid="{00000000-0004-0000-0700-00000D020000}"/>
    <hyperlink ref="A138" r:id="rId527" display="https://gerandofalcoes.my.salesforce.com/0014P00003SGWPYQA5" xr:uid="{00000000-0004-0000-0700-00000E020000}"/>
    <hyperlink ref="AL138" r:id="rId528" display="https://gerandofalcoes.my.salesforce.com/0034P000043fOnf" xr:uid="{00000000-0004-0000-0700-00000F020000}"/>
    <hyperlink ref="BW138" r:id="rId529" display="http://www.linkedin.com/in/elainecbassi" xr:uid="{00000000-0004-0000-0700-000010020000}"/>
    <hyperlink ref="BX138" r:id="rId530" display="https://www.instagram.com/elainecristinabassi/" xr:uid="{00000000-0004-0000-0700-000011020000}"/>
    <hyperlink ref="BY138" r:id="rId531" display="https://drive.google.com/open?id=1vBmHq5mbtidoLd_SqXh7-F3ZdnOnYiBW" xr:uid="{00000000-0004-0000-0700-000012020000}"/>
    <hyperlink ref="A139" r:id="rId532" display="https://gerandofalcoes.my.salesforce.com/0014P00003YSpP9QAL" xr:uid="{00000000-0004-0000-0700-000013020000}"/>
    <hyperlink ref="AL139" r:id="rId533" display="https://gerandofalcoes.my.salesforce.com/0034P000045kxjL" xr:uid="{00000000-0004-0000-0700-000014020000}"/>
    <hyperlink ref="BX139" r:id="rId534" display="https://instagram.com/du_marques_oficial" xr:uid="{00000000-0004-0000-0700-000015020000}"/>
    <hyperlink ref="BY139" r:id="rId535" display="https://drive.google.com/open?id=1zBbqQgovEpM2hewmqvqrPi23fPj1LyeD" xr:uid="{00000000-0004-0000-0700-000016020000}"/>
    <hyperlink ref="A140" r:id="rId536" display="https://gerandofalcoes.my.salesforce.com/0014X00002VKCtvQAH" xr:uid="{00000000-0004-0000-0700-000017020000}"/>
    <hyperlink ref="AL140" r:id="rId537" display="https://gerandofalcoes.my.salesforce.com/0034X0000380O2L" xr:uid="{00000000-0004-0000-0700-000018020000}"/>
    <hyperlink ref="BY140" r:id="rId538" display="https://drive.google.com/open?id=1tVdspMTRBzD-0sYYoZNtp9RBCocTsDq4" xr:uid="{00000000-0004-0000-0700-000019020000}"/>
    <hyperlink ref="A141" r:id="rId539" display="https://gerandofalcoes.my.salesforce.com/0014P00003AN2FeQAL" xr:uid="{00000000-0004-0000-0700-00001A020000}"/>
    <hyperlink ref="AL141" r:id="rId540" display="https://gerandofalcoes.my.salesforce.com/0034P00003maBV4" xr:uid="{00000000-0004-0000-0700-00001B020000}"/>
    <hyperlink ref="BW141" r:id="rId541" display="https://www.linkedin.com/in/jefferson-lima-prototipandoaquebrada/" xr:uid="{00000000-0004-0000-0700-00001C020000}"/>
    <hyperlink ref="BX141" r:id="rId542" display="https://www.instagram.com/lima3d/" xr:uid="{00000000-0004-0000-0700-00001D020000}"/>
    <hyperlink ref="BY141" r:id="rId543" display="https://drive.google.com/open?id=15CiDDWKxQs0xbQ9ENJ13_Gr6Y78YXFgB" xr:uid="{00000000-0004-0000-0700-00001E020000}"/>
    <hyperlink ref="A142" r:id="rId544" display="https://gerandofalcoes.my.salesforce.com/0014P00003YSp8fQAD" xr:uid="{00000000-0004-0000-0700-00001F020000}"/>
    <hyperlink ref="AL142" r:id="rId545" display="https://gerandofalcoes.my.salesforce.com/0034P000045kxjG" xr:uid="{00000000-0004-0000-0700-000020020000}"/>
    <hyperlink ref="BW142" r:id="rId546" display="https://www.linkedin.com/in/flavia-silva-93b538230/" xr:uid="{00000000-0004-0000-0700-000021020000}"/>
    <hyperlink ref="BX142" r:id="rId547" display="https://www.instagram.com/flaviasimonsen/" xr:uid="{00000000-0004-0000-0700-000022020000}"/>
    <hyperlink ref="BY142" r:id="rId548" display="https://drive.google.com/open?id=1Y3QGHCbTo8ym3hVSVASmIi_iWDz-znC0" xr:uid="{00000000-0004-0000-0700-000023020000}"/>
    <hyperlink ref="A143" r:id="rId549" display="https://gerandofalcoes.my.salesforce.com/0014P00003YSp8aQAD" xr:uid="{00000000-0004-0000-0700-000024020000}"/>
    <hyperlink ref="AL143" r:id="rId550" display="https://gerandofalcoes.my.salesforce.com/0034X000037xhcq" xr:uid="{00000000-0004-0000-0700-000025020000}"/>
    <hyperlink ref="BY143" r:id="rId551" display="https://drive.google.com/open?id=19274mQHKElpeDXjI75SSwerp9bZkYF_E" xr:uid="{00000000-0004-0000-0700-000026020000}"/>
    <hyperlink ref="A144" r:id="rId552" display="https://gerandofalcoes.my.salesforce.com/0014X00002VMXzNQAX" xr:uid="{00000000-0004-0000-0700-000027020000}"/>
    <hyperlink ref="AL144" r:id="rId553" display="https://gerandofalcoes.my.salesforce.com/0034X000038zvcx" xr:uid="{00000000-0004-0000-0700-000028020000}"/>
    <hyperlink ref="BW144" r:id="rId554" display="http://www.linkedin.com/in/valeria-castro-da-silva-ab183819a" xr:uid="{00000000-0004-0000-0700-000029020000}"/>
    <hyperlink ref="BX144" r:id="rId555" display="https://www.instagram.com/p/CbQO4UrukK3nWiVe83ZNNp6k17j3yIKsV8Thr00/?utm_medium=copy_link" xr:uid="{00000000-0004-0000-0700-00002A020000}"/>
    <hyperlink ref="BY144" r:id="rId556" display="https://drive.google.com/open?id=1jskxjCipPTtydxtMKlaVZ7IirTlAuPsZ" xr:uid="{00000000-0004-0000-0700-00002B020000}"/>
    <hyperlink ref="A145" r:id="rId557" display="https://gerandofalcoes.my.salesforce.com/0014X00002VKCsEQAX" xr:uid="{00000000-0004-0000-0700-00002C020000}"/>
    <hyperlink ref="AL145" r:id="rId558" display="https://gerandofalcoes.my.salesforce.com/0034X0000380O2n" xr:uid="{00000000-0004-0000-0700-00002D020000}"/>
    <hyperlink ref="BW145" r:id="rId559" display="https://www.linkedin.com/in/thiago-alves-a20278219/" xr:uid="{00000000-0004-0000-0700-00002E020000}"/>
    <hyperlink ref="BX145" r:id="rId560" display="https://www.instagram.com/tagjpa/" xr:uid="{00000000-0004-0000-0700-00002F020000}"/>
    <hyperlink ref="BY145" r:id="rId561" display="https://drive.google.com/open?id=15-c3u4UvtBJAJKWCM81WMRBQVW5uTX2n" xr:uid="{00000000-0004-0000-0700-000030020000}"/>
    <hyperlink ref="A146" r:id="rId562" display="https://gerandofalcoes.my.salesforce.com/0014X00002OEuaqQAD" xr:uid="{00000000-0004-0000-0700-000031020000}"/>
    <hyperlink ref="AL146" r:id="rId563" display="https://gerandofalcoes.my.salesforce.com/0034X0000315PQz" xr:uid="{00000000-0004-0000-0700-000032020000}"/>
    <hyperlink ref="BY146" r:id="rId564" display="https://drive.google.com/open?id=19v7V_CnWEUdYK2-T0nGo-Uds06acQR-4" xr:uid="{00000000-0004-0000-0700-000033020000}"/>
    <hyperlink ref="A147" r:id="rId565" display="https://gerandofalcoes.my.salesforce.com/0014P00003YSp9iQAD" xr:uid="{00000000-0004-0000-0700-000034020000}"/>
    <hyperlink ref="AL147" r:id="rId566" display="https://gerandofalcoes.my.salesforce.com/0034P000045kxkK" xr:uid="{00000000-0004-0000-0700-000035020000}"/>
    <hyperlink ref="BW147" r:id="rId567" display="https://www.linkedin.com/in/leticiawitzki/" xr:uid="{00000000-0004-0000-0700-000036020000}"/>
    <hyperlink ref="BX147" r:id="rId568" display="http://www.instagram.com/lecawitzki" xr:uid="{00000000-0004-0000-0700-000037020000}"/>
    <hyperlink ref="BY147" r:id="rId569" display="https://drive.google.com/open?id=1N6xx9C0ReN1U5tj8svm4_RcSBKrLDgVh" xr:uid="{00000000-0004-0000-0700-000038020000}"/>
    <hyperlink ref="A148" r:id="rId570" display="https://gerandofalcoes.my.salesforce.com/0014P00003AN2h6QAD" xr:uid="{00000000-0004-0000-0700-000039020000}"/>
    <hyperlink ref="AL148" r:id="rId571" display="https://gerandofalcoes.my.salesforce.com/0034P00003maBVS" xr:uid="{00000000-0004-0000-0700-00003A020000}"/>
    <hyperlink ref="BW148" r:id="rId572" display="https://www.linkedin.com/in/thiago-otero-100604203/" xr:uid="{00000000-0004-0000-0700-00003B020000}"/>
    <hyperlink ref="BX148" r:id="rId573" display="https://instagram.com/thiagooteromg" xr:uid="{00000000-0004-0000-0700-00003C020000}"/>
    <hyperlink ref="BY148" r:id="rId574" display="https://drive.google.com/open?id=1ynOIQxRm5-YHrV4WZ3v3NyjEK_rlcWBW" xr:uid="{00000000-0004-0000-0700-00003D020000}"/>
    <hyperlink ref="A149" r:id="rId575" display="https://gerandofalcoes.my.salesforce.com/0014P00003YSp9EQAT" xr:uid="{00000000-0004-0000-0700-00003E020000}"/>
    <hyperlink ref="AL149" r:id="rId576" display="https://gerandofalcoes.my.salesforce.com/0034P000045kxjq" xr:uid="{00000000-0004-0000-0700-00003F020000}"/>
    <hyperlink ref="BX149" r:id="rId577" display="https://instagram.com/associacaoservos?utm_medium=copy_link" xr:uid="{00000000-0004-0000-0700-000040020000}"/>
    <hyperlink ref="BY149" r:id="rId578" display="https://drive.google.com/open?id=1j3ocwGuXf_hFfgjnpWzTk-sxToinevq_" xr:uid="{00000000-0004-0000-0700-000041020000}"/>
    <hyperlink ref="A150" r:id="rId579" display="https://gerandofalcoes.my.salesforce.com/0014X00002VKCrvQAH" xr:uid="{00000000-0004-0000-0700-000042020000}"/>
    <hyperlink ref="AL150" r:id="rId580" display="https://gerandofalcoes.my.salesforce.com/0034X0000380O6r" xr:uid="{00000000-0004-0000-0700-000043020000}"/>
    <hyperlink ref="BX150" r:id="rId581" display="https://instagram.com/marcos.nascimento.50364592" xr:uid="{00000000-0004-0000-0700-000044020000}"/>
    <hyperlink ref="BY150" r:id="rId582" display="https://drive.google.com/open?id=1a2TSTHZpu2lyiQ1VjD7cKEDU3mxTPZph" xr:uid="{00000000-0004-0000-0700-000045020000}"/>
    <hyperlink ref="A151" r:id="rId583" display="https://gerandofalcoes.my.salesforce.com/0014P00003AN2G4QAL" xr:uid="{00000000-0004-0000-0700-000046020000}"/>
    <hyperlink ref="AL151" r:id="rId584" display="https://gerandofalcoes.my.salesforce.com/0034P00003maBVY" xr:uid="{00000000-0004-0000-0700-000047020000}"/>
    <hyperlink ref="BW151" r:id="rId585" display="https://www.linkedin.com/in/dener-moraes-06287818b" xr:uid="{00000000-0004-0000-0700-000048020000}"/>
    <hyperlink ref="BX151" r:id="rId586" display="https://instagram.com/dener.moraes.dr?utm_medium=copy_link" xr:uid="{00000000-0004-0000-0700-000049020000}"/>
    <hyperlink ref="BY151" r:id="rId587" display="https://drive.google.com/open?id=1-BpQ0bchbt2m5DSsiADV8OLRLQK7jo5X" xr:uid="{00000000-0004-0000-0700-00004A020000}"/>
    <hyperlink ref="A152" r:id="rId588" display="https://gerandofalcoes.my.salesforce.com/0014X00002VKCt2QAH" xr:uid="{00000000-0004-0000-0700-00004B020000}"/>
    <hyperlink ref="AL152" r:id="rId589" display="https://gerandofalcoes.my.salesforce.com/0034X0000380O3m" xr:uid="{00000000-0004-0000-0700-00004C020000}"/>
    <hyperlink ref="BW152" r:id="rId590" display="https://www.linkedin.com/in/raquel-narciso-70775a118/" xr:uid="{00000000-0004-0000-0700-00004D020000}"/>
    <hyperlink ref="BX152" r:id="rId591" display="https://www.instagram.com/raquel.snarciso/" xr:uid="{00000000-0004-0000-0700-00004E020000}"/>
    <hyperlink ref="BY152" r:id="rId592" display="https://drive.google.com/open?id=1YkI5xGXSvtG8TIZt1DdiDMmYNElCIN6y" xr:uid="{00000000-0004-0000-0700-00004F020000}"/>
    <hyperlink ref="A153" r:id="rId593" display="https://gerandofalcoes.my.salesforce.com/0014X00002VKCoyQAH" xr:uid="{00000000-0004-0000-0700-000050020000}"/>
    <hyperlink ref="AL153" r:id="rId594" display="https://gerandofalcoes.my.salesforce.com/0034X0000380O3L" xr:uid="{00000000-0004-0000-0700-000051020000}"/>
    <hyperlink ref="BW153" r:id="rId595" display="https://www.linkedin.com/in/ana-c%C3%A9lia-passos-7032776a/" xr:uid="{00000000-0004-0000-0700-000052020000}"/>
    <hyperlink ref="BX153" r:id="rId596" display="https://www.instagram.com/ana.passos.315/" xr:uid="{00000000-0004-0000-0700-000053020000}"/>
    <hyperlink ref="BY153" r:id="rId597" display="https://drive.google.com/open?id=12eipfxlQ-9jFTzg4dTPITGKQMopChRb2" xr:uid="{00000000-0004-0000-0700-000054020000}"/>
    <hyperlink ref="A154" r:id="rId598" display="https://gerandofalcoes.my.salesforce.com/0014X00002VKCqVQAX" xr:uid="{00000000-0004-0000-0700-000055020000}"/>
    <hyperlink ref="AL154" r:id="rId599" display="https://gerandofalcoes.my.salesforce.com/0034X0000380O2s" xr:uid="{00000000-0004-0000-0700-000056020000}"/>
    <hyperlink ref="BY154" r:id="rId600" display="https://drive.google.com/open?id=1OG6XRETFVeoof_imlJh841Gb2lDADBFO" xr:uid="{00000000-0004-0000-0700-000057020000}"/>
    <hyperlink ref="A155" r:id="rId601" display="https://gerandofalcoes.my.salesforce.com/0014X00002VKCpzQAH" xr:uid="{00000000-0004-0000-0700-000058020000}"/>
    <hyperlink ref="AL155" r:id="rId602" display="https://gerandofalcoes.my.salesforce.com/0034X0000380O0m" xr:uid="{00000000-0004-0000-0700-000059020000}"/>
    <hyperlink ref="BW155" r:id="rId603" display="https://www.linkedin.com/in/george-marconi-sousa-silva-898a35140/" xr:uid="{00000000-0004-0000-0700-00005A020000}"/>
    <hyperlink ref="BX155" r:id="rId604" display="https://www.instagram.com/georgemarconisousa/" xr:uid="{00000000-0004-0000-0700-00005B020000}"/>
    <hyperlink ref="BY155" r:id="rId605" display="https://drive.google.com/open?id=1NcFkDJp666d0gE23w4fwboFOwT-JcBLy" xr:uid="{00000000-0004-0000-0700-00005C020000}"/>
    <hyperlink ref="A156" r:id="rId606" display="https://gerandofalcoes.my.salesforce.com/0014P00003SGWPSQA5" xr:uid="{00000000-0004-0000-0700-00005D020000}"/>
    <hyperlink ref="AL156" r:id="rId607" display="https://gerandofalcoes.my.salesforce.com/0034P000043fPDi" xr:uid="{00000000-0004-0000-0700-00005E020000}"/>
    <hyperlink ref="BW156" r:id="rId608" display="https://www.linkedin.com/in/barbaraprojetoswell" xr:uid="{00000000-0004-0000-0700-00005F020000}"/>
    <hyperlink ref="BX156" r:id="rId609" display="https://instagram.com/barbaracoelho_3?utm_medium=copy_link" xr:uid="{00000000-0004-0000-0700-000060020000}"/>
    <hyperlink ref="BY156" r:id="rId610" display="https://drive.google.com/open?id=1NLWnQ4yd9EY_JJPhzaC6UQJoloADfSn1" xr:uid="{00000000-0004-0000-0700-000061020000}"/>
    <hyperlink ref="A157" r:id="rId611" display="https://gerandofalcoes.my.salesforce.com/0014P00003SGWFqQAP" xr:uid="{00000000-0004-0000-0700-000062020000}"/>
    <hyperlink ref="AL157" r:id="rId612" display="https://gerandofalcoes.my.salesforce.com/0034P000043fOnQ" xr:uid="{00000000-0004-0000-0700-000063020000}"/>
    <hyperlink ref="BW157" r:id="rId613" display="https://www.linkedin.com/in/elisangela-li-6b4865217" xr:uid="{00000000-0004-0000-0700-000064020000}"/>
    <hyperlink ref="BX157" r:id="rId614" display="https://instagram.com/elisangelapedrosolopes?utm_medium=copy_link" xr:uid="{00000000-0004-0000-0700-000065020000}"/>
    <hyperlink ref="BY157" r:id="rId615" display="https://drive.google.com/open?id=1-aKVwh3CLvsF_ErH9avirRNDRtJNuc5L" xr:uid="{00000000-0004-0000-0700-000066020000}"/>
    <hyperlink ref="A158" r:id="rId616" display="https://gerandofalcoes.my.salesforce.com/0014X00002VKCunQAH" xr:uid="{00000000-0004-0000-0700-000067020000}"/>
    <hyperlink ref="AL158" r:id="rId617" display="https://gerandofalcoes.my.salesforce.com/0034X0000380O0u" xr:uid="{00000000-0004-0000-0700-000068020000}"/>
    <hyperlink ref="BW158" r:id="rId618" display="https://www.linkedin.com/in/lesliescarpelli/" xr:uid="{00000000-0004-0000-0700-000069020000}"/>
    <hyperlink ref="BX158" r:id="rId619" display="https://www.instagram.com/lesliescarpelli/" xr:uid="{00000000-0004-0000-0700-00006A020000}"/>
    <hyperlink ref="BY158" r:id="rId620" display="https://drive.google.com/open?id=12yUzrzCvH7W-7QMEHTNLpQU8WHD_I1Jz" xr:uid="{00000000-0004-0000-0700-00006B020000}"/>
    <hyperlink ref="A159" r:id="rId621" display="https://gerandofalcoes.my.salesforce.com/0014P00003AN2etQAD" xr:uid="{00000000-0004-0000-0700-00006C020000}"/>
    <hyperlink ref="AL159" r:id="rId622" display="https://gerandofalcoes.my.salesforce.com/0034P00003maBVI" xr:uid="{00000000-0004-0000-0700-00006D020000}"/>
    <hyperlink ref="BX159" r:id="rId623" display="https://instagram.com/ronaldoclebercaceres?igshid=YmMyMTA2M2Y=" xr:uid="{00000000-0004-0000-0700-00006E020000}"/>
    <hyperlink ref="BY159" r:id="rId624" display="https://drive.google.com/open?id=1sMMP8sT5YFep0Zd9Mv9yDGZWZNCbqBt6" xr:uid="{00000000-0004-0000-0700-00006F020000}"/>
    <hyperlink ref="A160" r:id="rId625" display="https://gerandofalcoes.my.salesforce.com/0014X00002VKCr4QAH" xr:uid="{00000000-0004-0000-0700-000070020000}"/>
    <hyperlink ref="AL160" r:id="rId626" display="https://gerandofalcoes.my.salesforce.com/0034X0000380O0p" xr:uid="{00000000-0004-0000-0700-000071020000}"/>
    <hyperlink ref="BX160" r:id="rId627" display="https://instagram.com/matheusgoncalves.pastor?igshid=YmMyMTA2M2Y=" xr:uid="{00000000-0004-0000-0700-000072020000}"/>
    <hyperlink ref="BY160" r:id="rId628" display="https://drive.google.com/open?id=1PpS5wuc5fkogqW7R0mmCRtI1-XfBxAx5" xr:uid="{00000000-0004-0000-0700-000073020000}"/>
    <hyperlink ref="A161" r:id="rId629" display="https://gerandofalcoes.my.salesforce.com/0014P00003AN2G2QAL" xr:uid="{00000000-0004-0000-0700-000074020000}"/>
    <hyperlink ref="AL161" r:id="rId630" display="https://gerandofalcoes.my.salesforce.com/0034P00003maBVW" xr:uid="{00000000-0004-0000-0700-000075020000}"/>
    <hyperlink ref="BX161" r:id="rId631" display="https://www.instagram.com/analiatimbo/" xr:uid="{00000000-0004-0000-0700-000076020000}"/>
    <hyperlink ref="BY161" r:id="rId632" display="https://drive.google.com/open?id=1GYVUOCb955xDBO36TxivcsqaWfvklovH" xr:uid="{00000000-0004-0000-0700-000077020000}"/>
    <hyperlink ref="A162" r:id="rId633" display="https://gerandofalcoes.my.salesforce.com/0014P00003YSp9gQAD" xr:uid="{00000000-0004-0000-0700-000078020000}"/>
    <hyperlink ref="AL162" r:id="rId634" display="https://gerandofalcoes.my.salesforce.com/0034P000045kxkI" xr:uid="{00000000-0004-0000-0700-000079020000}"/>
    <hyperlink ref="BX162" r:id="rId635" display="https://instagram.com/k_g_s_?utm_medium=copy_link" xr:uid="{00000000-0004-0000-0700-00007A020000}"/>
    <hyperlink ref="BY162" r:id="rId636" display="https://drive.google.com/open?id=1WqrhfnHkU7vVe6glLWce31NU2cSTN0U5" xr:uid="{00000000-0004-0000-0700-00007B020000}"/>
    <hyperlink ref="A163" r:id="rId637" display="https://gerandofalcoes.my.salesforce.com/0014P00003YSp7eQAD" xr:uid="{00000000-0004-0000-0700-00007C020000}"/>
    <hyperlink ref="AL163" r:id="rId638" display="https://gerandofalcoes.my.salesforce.com/0034P000045kxiF" xr:uid="{00000000-0004-0000-0700-00007D020000}"/>
    <hyperlink ref="BW163" r:id="rId639" display="https://www.linkedin.com/in/eraldonoronha/" xr:uid="{00000000-0004-0000-0700-00007E020000}"/>
    <hyperlink ref="BX163" r:id="rId640" display="https://www.instagram.com/eraldonoronha/" xr:uid="{00000000-0004-0000-0700-00007F020000}"/>
    <hyperlink ref="BY163" r:id="rId641" display="https://drive.google.com/open?id=1Hle8CRXKdAaaawFhmWzB0FZHkkdF2154" xr:uid="{00000000-0004-0000-0700-000080020000}"/>
    <hyperlink ref="A164" r:id="rId642" display="https://gerandofalcoes.my.salesforce.com/0014P00003YSp9CQAT" xr:uid="{00000000-0004-0000-0700-000081020000}"/>
    <hyperlink ref="AL164" r:id="rId643" display="https://gerandofalcoes.my.salesforce.com/0034P000045kxjo" xr:uid="{00000000-0004-0000-0700-000082020000}"/>
    <hyperlink ref="BX164" r:id="rId644" display="http://www.instagram.com/bah.manuela" xr:uid="{00000000-0004-0000-0700-000083020000}"/>
    <hyperlink ref="BY164" r:id="rId645" display="https://drive.google.com/open?id=1x-SQgMPAtqmYOUYXrwxgwElbXCfYkog2" xr:uid="{00000000-0004-0000-0700-000084020000}"/>
    <hyperlink ref="A165" r:id="rId646" display="https://gerandofalcoes.my.salesforce.com/0014P00003AN2FgQAL" xr:uid="{00000000-0004-0000-0700-000085020000}"/>
    <hyperlink ref="AL165" r:id="rId647" display="https://gerandofalcoes.my.salesforce.com/0034P00003maBV6" xr:uid="{00000000-0004-0000-0700-000086020000}"/>
    <hyperlink ref="BY165" r:id="rId648" display="https://drive.google.com/open?id=1-8hsmZHCCDQsyBGm3_P4SccI4B8TZnRd" xr:uid="{00000000-0004-0000-0700-000087020000}"/>
    <hyperlink ref="A166" r:id="rId649" display="https://gerandofalcoes.my.salesforce.com/0014X00002VKCqUQAX" xr:uid="{00000000-0004-0000-0700-000088020000}"/>
    <hyperlink ref="AL166" r:id="rId650" display="https://gerandofalcoes.my.salesforce.com/0034X0000380O4X" xr:uid="{00000000-0004-0000-0700-000089020000}"/>
    <hyperlink ref="BX166" r:id="rId651" display="https://instagram.com/cruz_dryka?utm_medium=copy_link" xr:uid="{00000000-0004-0000-0700-00008A020000}"/>
    <hyperlink ref="BY166" r:id="rId652" display="https://drive.google.com/open?id=1Zfb-u73oD84c_bjqjmn1uC4zhw0NiuNG" xr:uid="{00000000-0004-0000-0700-00008B020000}"/>
    <hyperlink ref="A167" r:id="rId653" display="https://gerandofalcoes.my.salesforce.com/0014X00002VKCtgQAH" xr:uid="{00000000-0004-0000-0700-00008C020000}"/>
    <hyperlink ref="AL167" r:id="rId654" display="https://gerandofalcoes.my.salesforce.com/0034X0000380O5S" xr:uid="{00000000-0004-0000-0700-00008D020000}"/>
    <hyperlink ref="BX167" r:id="rId655" display="https://www.instagram.com/crismedeirospoa/" xr:uid="{00000000-0004-0000-0700-00008E020000}"/>
    <hyperlink ref="BY167" r:id="rId656" display="https://drive.google.com/open?id=1pip8RS_O0RegGFixI5GHr8K-HFQfxkB_" xr:uid="{00000000-0004-0000-0700-00008F020000}"/>
    <hyperlink ref="A168" r:id="rId657" display="https://gerandofalcoes.my.salesforce.com/0014X00002VKCuoQAH" xr:uid="{00000000-0004-0000-0700-000090020000}"/>
    <hyperlink ref="AL168" r:id="rId658" display="https://gerandofalcoes.my.salesforce.com/0034X0000380O2k" xr:uid="{00000000-0004-0000-0700-000091020000}"/>
    <hyperlink ref="BX168" r:id="rId659" display="https://instagram.com/lucasholandasv?utm_medium=copy_link" xr:uid="{00000000-0004-0000-0700-000092020000}"/>
    <hyperlink ref="BY168" r:id="rId660" display="https://drive.google.com/open?id=1J1D3x4kvx06zXSdYkIWHegwJk9kcOh3D" xr:uid="{00000000-0004-0000-0700-000093020000}"/>
    <hyperlink ref="A169" r:id="rId661" display="https://gerandofalcoes.my.salesforce.com/0014P00003YSp7XQAT" xr:uid="{00000000-0004-0000-0700-000094020000}"/>
    <hyperlink ref="AL169" r:id="rId662" display="https://gerandofalcoes.my.salesforce.com/0034P000045kxi8" xr:uid="{00000000-0004-0000-0700-000095020000}"/>
    <hyperlink ref="BX169" r:id="rId663" display="https://instagram.com/baledarale?utm_medium=copy_link" xr:uid="{00000000-0004-0000-0700-000096020000}"/>
    <hyperlink ref="BY169" r:id="rId664" display="https://drive.google.com/open?id=14jd-qqED4QMWqUkD6nVgzFvP7M_3_29n" xr:uid="{00000000-0004-0000-0700-000097020000}"/>
    <hyperlink ref="A170" r:id="rId665" display="https://gerandofalcoes.my.salesforce.com/0014P00003YSpA8QAL" xr:uid="{00000000-0004-0000-0700-000098020000}"/>
    <hyperlink ref="AL170" r:id="rId666" display="https://gerandofalcoes.my.salesforce.com/0034P000045kxkk" xr:uid="{00000000-0004-0000-0700-000099020000}"/>
    <hyperlink ref="BY170" r:id="rId667" display="https://drive.google.com/open?id=1o9uKn8ORtRdt8GhbwSLK3vvafQ80I8hi" xr:uid="{00000000-0004-0000-0700-00009A020000}"/>
    <hyperlink ref="A171" r:id="rId668" display="https://gerandofalcoes.my.salesforce.com/0014X00002VKCtXQAX" xr:uid="{00000000-0004-0000-0700-00009B020000}"/>
    <hyperlink ref="AL171" r:id="rId669" display="https://gerandofalcoes.my.salesforce.com/0034X0000380O3j" xr:uid="{00000000-0004-0000-0700-00009C020000}"/>
    <hyperlink ref="BX171" r:id="rId670" display="https://instagram.com/nathypassos_5?utm_medium=copy_link" xr:uid="{00000000-0004-0000-0700-00009D020000}"/>
    <hyperlink ref="BY171" r:id="rId671" display="https://drive.google.com/open?id=1vdxL8wC3TC9OQui2Gob5g8VgAYtPcmf2" xr:uid="{00000000-0004-0000-0700-00009E020000}"/>
    <hyperlink ref="A172" r:id="rId672" display="https://gerandofalcoes.my.salesforce.com/0014X00002VKCqJQAX" xr:uid="{00000000-0004-0000-0700-00009F020000}"/>
    <hyperlink ref="AL172" r:id="rId673" display="https://gerandofalcoes.my.salesforce.com/0034X0000380O3S" xr:uid="{00000000-0004-0000-0700-0000A0020000}"/>
    <hyperlink ref="BW172" r:id="rId674" display="https://www.linkedin.com/in/duda-lemos-264ab4115/" xr:uid="{00000000-0004-0000-0700-0000A1020000}"/>
    <hyperlink ref="BX172" r:id="rId675" display="https://www.instagram.com/dudalemosce/" xr:uid="{00000000-0004-0000-0700-0000A2020000}"/>
    <hyperlink ref="BY172" r:id="rId676" display="https://drive.google.com/open?id=19YdOw9Sn-efnm--3BjtJ4miomfHQL2jt" xr:uid="{00000000-0004-0000-0700-0000A3020000}"/>
    <hyperlink ref="A173" r:id="rId677" display="https://gerandofalcoes.my.salesforce.com/0014P00003YSp80QAD" xr:uid="{00000000-0004-0000-0700-0000A4020000}"/>
    <hyperlink ref="AL173" r:id="rId678" display="https://gerandofalcoes.my.salesforce.com/0034P000045kxib" xr:uid="{00000000-0004-0000-0700-0000A5020000}"/>
    <hyperlink ref="BX173" r:id="rId679" display="http://instagram.com/diogobandock" xr:uid="{00000000-0004-0000-0700-0000A6020000}"/>
    <hyperlink ref="BY173" r:id="rId680" display="https://drive.google.com/open?id=18wB2Y4ClSBeKimJ7jGVlT1t0M9MQxK7z" xr:uid="{00000000-0004-0000-0700-0000A7020000}"/>
    <hyperlink ref="A174" r:id="rId681" display="https://gerandofalcoes.my.salesforce.com/0014X00002VKCukQAH" xr:uid="{00000000-0004-0000-0700-0000A8020000}"/>
    <hyperlink ref="AL174" r:id="rId682" display="https://gerandofalcoes.my.salesforce.com/0034X0000380O6n" xr:uid="{00000000-0004-0000-0700-0000A9020000}"/>
    <hyperlink ref="BY174" r:id="rId683" display="https://drive.google.com/open?id=1oFyiFHrnYyo0eINwARHqXDYr84KNhtR8" xr:uid="{00000000-0004-0000-0700-0000AA020000}"/>
    <hyperlink ref="A175" r:id="rId684" display="https://gerandofalcoes.my.salesforce.com/0014P00003YSp7aQAD" xr:uid="{00000000-0004-0000-0700-0000AB020000}"/>
    <hyperlink ref="AL175" r:id="rId685" display="https://gerandofalcoes.my.salesforce.com/0034P000045kxiB" xr:uid="{00000000-0004-0000-0700-0000AC020000}"/>
    <hyperlink ref="BW175" r:id="rId686" display="https://www.linkedin.com/in/rafael-santiago-machado-0b1b67186" xr:uid="{00000000-0004-0000-0700-0000AD020000}"/>
    <hyperlink ref="BX175" r:id="rId687" display="https://instagram.com/eng.rafaelsantiago?utm_medium=copy_link" xr:uid="{00000000-0004-0000-0700-0000AE020000}"/>
    <hyperlink ref="BY175" r:id="rId688" display="https://drive.google.com/open?id=1XUzHhlQDth3QLTll_kXA8v-OdFga_dyd" xr:uid="{00000000-0004-0000-0700-0000AF020000}"/>
    <hyperlink ref="A176" r:id="rId689" display="https://gerandofalcoes.my.salesforce.com/0014X00002VKCqaQAH" xr:uid="{00000000-0004-0000-0700-0000B0020000}"/>
    <hyperlink ref="AL176" r:id="rId690" display="https://gerandofalcoes.my.salesforce.com/0034X0000380O5b" xr:uid="{00000000-0004-0000-0700-0000B1020000}"/>
    <hyperlink ref="BX176" r:id="rId691" display="https://www.instagram.com/brunasguedes/" xr:uid="{00000000-0004-0000-0700-0000B2020000}"/>
    <hyperlink ref="BY176" r:id="rId692" display="https://drive.google.com/open?id=1S2ToFED9nE09Ebig4UTkVvtoROWPtlrm" xr:uid="{00000000-0004-0000-0700-0000B3020000}"/>
    <hyperlink ref="A177" r:id="rId693" display="https://gerandofalcoes.my.salesforce.com/0014P00003YSp9bQAD" xr:uid="{00000000-0004-0000-0700-0000B4020000}"/>
    <hyperlink ref="AL177" r:id="rId694" display="https://gerandofalcoes.my.salesforce.com/0034P000045kxkD" xr:uid="{00000000-0004-0000-0700-0000B5020000}"/>
    <hyperlink ref="BX177" r:id="rId695" display="https://www.instagram.com/marlenemarques7.1.4/" xr:uid="{00000000-0004-0000-0700-0000B6020000}"/>
    <hyperlink ref="BY177" r:id="rId696" display="https://drive.google.com/open?id=1GWC2tXOiT-F5OV5Lc-zwso3yFJpkOiI_" xr:uid="{00000000-0004-0000-0700-0000B7020000}"/>
    <hyperlink ref="A178" r:id="rId697" display="https://gerandofalcoes.my.salesforce.com/0014P00003YSp8gQAD" xr:uid="{00000000-0004-0000-0700-0000B8020000}"/>
    <hyperlink ref="AL178" r:id="rId698" display="https://gerandofalcoes.my.salesforce.com/0034P000045kxjH" xr:uid="{00000000-0004-0000-0700-0000B9020000}"/>
    <hyperlink ref="BX178" r:id="rId699" display="https://instagram.com/andrechatubamma?utm_medium=copy_link" xr:uid="{00000000-0004-0000-0700-0000BA020000}"/>
    <hyperlink ref="BY178" r:id="rId700" display="https://drive.google.com/open?id=1BlrfQHTbmqa4C4XH0KoP17kROuhqCxWo" xr:uid="{00000000-0004-0000-0700-0000BB020000}"/>
    <hyperlink ref="A179" r:id="rId701" display="https://gerandofalcoes.my.salesforce.com/0014X00002VKCtCQAX" xr:uid="{00000000-0004-0000-0700-0000BC020000}"/>
    <hyperlink ref="AL179" r:id="rId702" display="https://gerandofalcoes.my.salesforce.com/0034X0000380O40" xr:uid="{00000000-0004-0000-0700-0000BD020000}"/>
    <hyperlink ref="BY179" r:id="rId703" display="https://drive.google.com/open?id=1cq5dCiTemBLySlvlY70JxCD-9yHxVC24" xr:uid="{00000000-0004-0000-0700-0000BE020000}"/>
    <hyperlink ref="A180" r:id="rId704" display="https://gerandofalcoes.my.salesforce.com/0014P00003YSp7lQAD" xr:uid="{00000000-0004-0000-0700-0000BF020000}"/>
    <hyperlink ref="AL180" r:id="rId705" display="https://gerandofalcoes.my.salesforce.com/0034P000045kxiM" xr:uid="{00000000-0004-0000-0700-0000C0020000}"/>
    <hyperlink ref="BX180" r:id="rId706" display="https://www.instagram.com/invites/contact/?i=1dh60zljmycae&amp;utm_content=7aex5q6" xr:uid="{00000000-0004-0000-0700-0000C1020000}"/>
    <hyperlink ref="BY180" r:id="rId707" display="https://drive.google.com/open?id=1eI4arBSINrxK9YZONG69Asaa5SjbLiyl" xr:uid="{00000000-0004-0000-0700-0000C2020000}"/>
    <hyperlink ref="A181" r:id="rId708" display="https://gerandofalcoes.my.salesforce.com/0014P00003YSp8VQAT" xr:uid="{00000000-0004-0000-0700-0000C3020000}"/>
    <hyperlink ref="AL181" r:id="rId709" display="https://gerandofalcoes.my.salesforce.com/0034P000045kxj6" xr:uid="{00000000-0004-0000-0700-0000C4020000}"/>
    <hyperlink ref="BY181" r:id="rId710" display="https://drive.google.com/open?id=1Sc5EggRHr87NsYCkct6JhcHUD2SQOdOC" xr:uid="{00000000-0004-0000-0700-0000C5020000}"/>
    <hyperlink ref="A182" r:id="rId711" display="https://gerandofalcoes.my.salesforce.com/0014X00002VKCusQAH" xr:uid="{00000000-0004-0000-0700-0000C6020000}"/>
    <hyperlink ref="AL182" r:id="rId712" display="https://gerandofalcoes.my.salesforce.com/0034X0000380O0g" xr:uid="{00000000-0004-0000-0700-0000C7020000}"/>
    <hyperlink ref="BW182" r:id="rId713" display="http://www.linkedin.com/in/marcia-carfer-05321847" xr:uid="{00000000-0004-0000-0700-0000C8020000}"/>
    <hyperlink ref="BX182" r:id="rId714" display="https://www.instagram.com/marciacarfer.prof/" xr:uid="{00000000-0004-0000-0700-0000C9020000}"/>
    <hyperlink ref="BY182" r:id="rId715" display="https://drive.google.com/open?id=1NyUIxCN_EMn57ez92pNa5zYn9zFdFnOJ" xr:uid="{00000000-0004-0000-0700-0000CA020000}"/>
    <hyperlink ref="A183" r:id="rId716" display="https://gerandofalcoes.my.salesforce.com/0014P00003SGWPRQA5" xr:uid="{00000000-0004-0000-0700-0000CB020000}"/>
    <hyperlink ref="AL183" r:id="rId717" display="https://gerandofalcoes.my.salesforce.com/0034P000043fOnZ" xr:uid="{00000000-0004-0000-0700-0000CC020000}"/>
    <hyperlink ref="BW183" r:id="rId718" display="https://www.linkedin.com/in/angelo-felipe-1261281b2" xr:uid="{00000000-0004-0000-0700-0000CD020000}"/>
    <hyperlink ref="BY183" r:id="rId719" display="https://drive.google.com/open?id=1WrtpTPBbQI9kd-un0pVCI2OgLmT_RNMx" xr:uid="{00000000-0004-0000-0700-0000CE020000}"/>
    <hyperlink ref="A184" r:id="rId720" display="https://gerandofalcoes.my.salesforce.com/0014P00003YSp9qQAD" xr:uid="{00000000-0004-0000-0700-0000CF020000}"/>
    <hyperlink ref="AL184" r:id="rId721" display="https://gerandofalcoes.my.salesforce.com/0034P000045kxkS" xr:uid="{00000000-0004-0000-0700-0000D0020000}"/>
    <hyperlink ref="BX184" r:id="rId722" display="https://www.instagram.com/alexdecampos92/" xr:uid="{00000000-0004-0000-0700-0000D1020000}"/>
    <hyperlink ref="BY184" r:id="rId723" display="https://drive.google.com/open?id=1O6rFTlh8KxWKAlRG7YDQg8JxxY2xNguD" xr:uid="{00000000-0004-0000-0700-0000D2020000}"/>
    <hyperlink ref="A185" r:id="rId724" display="https://gerandofalcoes.my.salesforce.com/0014P00003YSp7hQAD" xr:uid="{00000000-0004-0000-0700-0000D3020000}"/>
    <hyperlink ref="AL185" r:id="rId725" display="https://gerandofalcoes.my.salesforce.com/0034P000045kxiI" xr:uid="{00000000-0004-0000-0700-0000D4020000}"/>
    <hyperlink ref="BW185" r:id="rId726" display="https://www.linkedin.com/in/jaqueline-oliveira-90664a1b5/?midToken=AQHIDWjkjLIB5g&amp;midSig=3fVuhkKMUVEpQ1&amp;trk=eml-email_job_alert_digest_01-header-40-profile&amp;trkEmail=eml-email_job_alert_digest_01-header-40-profile-null-dwi6c6%7Ekr6nedsj%7E51-null-neptune%252" xr:uid="{00000000-0004-0000-0700-0000D5020000}"/>
    <hyperlink ref="BX185" r:id="rId727" display="https://www.instagram.com/p/CRZT2CLMWFA1OaZiaF6TtyWRCqhb7_fo8Iy0dU0/?utm_medium=copy_link" xr:uid="{00000000-0004-0000-0700-0000D6020000}"/>
    <hyperlink ref="BY185" r:id="rId728" display="https://drive.google.com/open?id=1WCZzKrLUz4iUv3863d4f8aBtA20p6fwz" xr:uid="{00000000-0004-0000-0700-0000D7020000}"/>
    <hyperlink ref="A186" r:id="rId729" display="https://gerandofalcoes.my.salesforce.com/0014P00003YSp90QAD" xr:uid="{00000000-0004-0000-0700-0000D8020000}"/>
    <hyperlink ref="AL186" r:id="rId730" display="https://gerandofalcoes.my.salesforce.com/0034P000045kxjc" xr:uid="{00000000-0004-0000-0700-0000D9020000}"/>
    <hyperlink ref="BW186" r:id="rId731" display="https://www.linkedin.com/in/lucas-estevam-a72ba749/" xr:uid="{00000000-0004-0000-0700-0000DA020000}"/>
    <hyperlink ref="BX186" r:id="rId732" display="https://www.instagram.com/oiestevam/" xr:uid="{00000000-0004-0000-0700-0000DB020000}"/>
    <hyperlink ref="BY186" r:id="rId733" display="https://drive.google.com/open?id=1weUZCZS_PVcl6rJKWbsmcf8TkodO0mcM" xr:uid="{00000000-0004-0000-0700-0000DC020000}"/>
    <hyperlink ref="A187" r:id="rId734" display="https://gerandofalcoes.my.salesforce.com/0014X00002VKCp4QAH" xr:uid="{00000000-0004-0000-0700-0000DD020000}"/>
    <hyperlink ref="AL187" r:id="rId735" display="https://gerandofalcoes.my.salesforce.com/0034X0000380O69" xr:uid="{00000000-0004-0000-0700-0000DE020000}"/>
    <hyperlink ref="BX187" r:id="rId736" display="https://instagram.com/crisherculian" xr:uid="{00000000-0004-0000-0700-0000DF020000}"/>
    <hyperlink ref="BY187" r:id="rId737" display="https://drive.google.com/open?id=1Uz0kNTO4gYqQ5xDsg87M2rxEFgS8BmiX" xr:uid="{00000000-0004-0000-0700-0000E0020000}"/>
    <hyperlink ref="A188" r:id="rId738" display="https://gerandofalcoes.my.salesforce.com/0014X00002VKCrAQAX" xr:uid="{00000000-0004-0000-0700-0000E1020000}"/>
    <hyperlink ref="AL188" r:id="rId739" display="https://gerandofalcoes.my.salesforce.com/0034X0000380O48" xr:uid="{00000000-0004-0000-0700-0000E2020000}"/>
    <hyperlink ref="BW188" r:id="rId740" display="https://www.linkedin.com/in/rafaelflavio/" xr:uid="{00000000-0004-0000-0700-0000E3020000}"/>
    <hyperlink ref="BX188" r:id="rId741" display="https://www.instagram.com/rafaelflavio/" xr:uid="{00000000-0004-0000-0700-0000E4020000}"/>
    <hyperlink ref="BY188" r:id="rId742" display="https://drive.google.com/open?id=1x-5P8-NoUm8KhCmYcXdVEIbb6LrsCS0Q" xr:uid="{00000000-0004-0000-0700-0000E5020000}"/>
    <hyperlink ref="A189" r:id="rId743" display="https://gerandofalcoes.my.salesforce.com/0014X00002VKCtGQAX" xr:uid="{00000000-0004-0000-0700-0000E6020000}"/>
    <hyperlink ref="AL189" r:id="rId744" display="https://gerandofalcoes.my.salesforce.com/0034X0000380O4C" xr:uid="{00000000-0004-0000-0700-0000E7020000}"/>
    <hyperlink ref="BW189" r:id="rId745" display="https://www.linkedin.com/in/henrique-costa-3a0b18121" xr:uid="{00000000-0004-0000-0700-0000E8020000}"/>
    <hyperlink ref="BX189" r:id="rId746" display="https://www.instagram.com/invites/contact/?i=1btzj5eu98kn7&amp;utm_content=7y0214" xr:uid="{00000000-0004-0000-0700-0000E9020000}"/>
    <hyperlink ref="BY189" r:id="rId747" display="https://drive.google.com/open?id=1ydpM216MGlSeF9gwi0optGF_kuGovcww" xr:uid="{00000000-0004-0000-0700-0000EA020000}"/>
    <hyperlink ref="A190" r:id="rId748" display="https://gerandofalcoes.my.salesforce.com/0014X00002VKCpWQAX" xr:uid="{00000000-0004-0000-0700-0000EB020000}"/>
    <hyperlink ref="AL190" r:id="rId749" display="https://gerandofalcoes.my.salesforce.com/0034X0000380O4f" xr:uid="{00000000-0004-0000-0700-0000EC020000}"/>
    <hyperlink ref="BX190" r:id="rId750" display="https://www.instagram.com/p/CcOSQB3u0Ck/?igshid=YmMyMTA2M2Y=" xr:uid="{00000000-0004-0000-0700-0000ED020000}"/>
    <hyperlink ref="BY190" r:id="rId751" display="https://drive.google.com/open?id=1jMPZ7RlzVgImiEzhp5hDHIUgt5emWVj7" xr:uid="{00000000-0004-0000-0700-0000EE020000}"/>
    <hyperlink ref="A191" r:id="rId752" display="https://gerandofalcoes.my.salesforce.com/0014X00002VKCryQAH" xr:uid="{00000000-0004-0000-0700-0000EF020000}"/>
    <hyperlink ref="AL191" r:id="rId753" display="https://gerandofalcoes.my.salesforce.com/0034X0000380O5e" xr:uid="{00000000-0004-0000-0700-0000F0020000}"/>
    <hyperlink ref="A192" r:id="rId754" display="https://gerandofalcoes.my.salesforce.com/0014X00002VKCr5QAH" xr:uid="{00000000-0004-0000-0700-0000F1020000}"/>
    <hyperlink ref="AL192" r:id="rId755" display="https://gerandofalcoes.my.salesforce.com/0034X0000380O6K" xr:uid="{00000000-0004-0000-0700-0000F2020000}"/>
    <hyperlink ref="BY192" r:id="rId756" display="https://drive.google.com/open?id=1NG2rCt0DzmeUosO_xTCGPdwQnL4G4xZ9" xr:uid="{00000000-0004-0000-0700-0000F3020000}"/>
    <hyperlink ref="A193" r:id="rId757" display="https://gerandofalcoes.my.salesforce.com/0014P00003YSp7tQAD" xr:uid="{00000000-0004-0000-0700-0000F4020000}"/>
    <hyperlink ref="AL193" r:id="rId758" display="https://gerandofalcoes.my.salesforce.com/0034P000045kxiU" xr:uid="{00000000-0004-0000-0700-0000F5020000}"/>
    <hyperlink ref="BW193" r:id="rId759" display="http://linkedin.com/in/leila-campos-62485822" xr:uid="{00000000-0004-0000-0700-0000F6020000}"/>
    <hyperlink ref="BX193" r:id="rId760" display="https://www.instagram.com/caasamigo/" xr:uid="{00000000-0004-0000-0700-0000F7020000}"/>
    <hyperlink ref="BY193" r:id="rId761" display="https://drive.google.com/open?id=1D-DtTq4pgJzoj3WYPPmUe6JkYLdKJ62_" xr:uid="{00000000-0004-0000-0700-0000F8020000}"/>
    <hyperlink ref="A194" r:id="rId762" display="https://gerandofalcoes.my.salesforce.com/0014P00003AN2GCQA1" xr:uid="{00000000-0004-0000-0700-0000F9020000}"/>
    <hyperlink ref="AL194" r:id="rId763" display="https://gerandofalcoes.my.salesforce.com/0034P00003maBVg" xr:uid="{00000000-0004-0000-0700-0000FA020000}"/>
    <hyperlink ref="BW194" r:id="rId764" display="https://www.linkedin.com/in/emanuel-medeiros-72999369/" xr:uid="{00000000-0004-0000-0700-0000FB020000}"/>
    <hyperlink ref="BX194" r:id="rId765" display="https://www.instagram.com/emanuelheliomar/?hl=pt-br" xr:uid="{00000000-0004-0000-0700-0000FC020000}"/>
    <hyperlink ref="BY194" r:id="rId766" display="https://drive.google.com/open?id=1NMoH-HaLbSlankgw1qpkiKWHG4h1b63U" xr:uid="{00000000-0004-0000-0700-0000FD020000}"/>
    <hyperlink ref="A195" r:id="rId767" display="https://gerandofalcoes.my.salesforce.com/0014X00002VKCrqQAH" xr:uid="{00000000-0004-0000-0700-0000FE020000}"/>
    <hyperlink ref="AL195" r:id="rId768" display="https://gerandofalcoes.my.salesforce.com/0034X0000380O5a" xr:uid="{00000000-0004-0000-0700-0000FF020000}"/>
    <hyperlink ref="BX195" r:id="rId769" display="https://www.instagram.com/p/CXeuv-YLkjdHTu3jpY5Qlrez33Z1_v6-iNVOqg0/?utm_medium=copy_link" xr:uid="{00000000-0004-0000-0700-000000030000}"/>
    <hyperlink ref="BY195" r:id="rId770" display="https://drive.google.com/open?id=1xSaNUitWCCNXUGZ-FNwECC1tkW8dI4L0" xr:uid="{00000000-0004-0000-0700-000001030000}"/>
    <hyperlink ref="A196" r:id="rId771" display="https://gerandofalcoes.my.salesforce.com/0014X00002VKD04QAH" xr:uid="{00000000-0004-0000-0700-000002030000}"/>
    <hyperlink ref="AL196" r:id="rId772" display="https://gerandofalcoes.my.salesforce.com/0034X0000380O1W" xr:uid="{00000000-0004-0000-0700-000003030000}"/>
    <hyperlink ref="BY196" r:id="rId773" display="https://drive.google.com/open?id=1ruczN6p4icdlPMVL_bS2_Ed64fEe55bU" xr:uid="{00000000-0004-0000-0700-000004030000}"/>
    <hyperlink ref="A197" r:id="rId774" display="https://gerandofalcoes.my.salesforce.com/0014X00002VKCpRQAX" xr:uid="{00000000-0004-0000-0700-000005030000}"/>
    <hyperlink ref="AL197" r:id="rId775" display="https://gerandofalcoes.my.salesforce.com/0034X0000380O28" xr:uid="{00000000-0004-0000-0700-000006030000}"/>
    <hyperlink ref="BX197" r:id="rId776" display="https://www.instagram.com/netysantosoficial/" xr:uid="{00000000-0004-0000-0700-000007030000}"/>
    <hyperlink ref="BY197" r:id="rId777" display="https://drive.google.com/open?id=1xbChjiXENRjFS25V3LN4VmYDjHQSrQ1y" xr:uid="{00000000-0004-0000-0700-000008030000}"/>
    <hyperlink ref="A198" r:id="rId778" display="https://gerandofalcoes.my.salesforce.com/0014P00003YSp88QAD" xr:uid="{00000000-0004-0000-0700-000009030000}"/>
    <hyperlink ref="AL198" r:id="rId779" display="https://gerandofalcoes.my.salesforce.com/0034P000045kxij" xr:uid="{00000000-0004-0000-0700-00000A030000}"/>
    <hyperlink ref="BY198" r:id="rId780" display="https://drive.google.com/open?id=19i9F9BL9KltGy5VJs45Yxgjfi3WvziZ5" xr:uid="{00000000-0004-0000-0700-00000B030000}"/>
    <hyperlink ref="A199" r:id="rId781" display="https://gerandofalcoes.my.salesforce.com/0014P00003YSp7yQAD" xr:uid="{00000000-0004-0000-0700-00000C030000}"/>
    <hyperlink ref="AL199" r:id="rId782" display="https://gerandofalcoes.my.salesforce.com/0034P000045kxiZ" xr:uid="{00000000-0004-0000-0700-00000D030000}"/>
    <hyperlink ref="BX199" r:id="rId783" display="https://instagram.com/centrocomunitariomario?utm_medium=copy_link" xr:uid="{00000000-0004-0000-0700-00000E030000}"/>
    <hyperlink ref="BY199" r:id="rId784" display="https://drive.google.com/open?id=19X1sPLlyVzh2E2IqH_daxOk0Rsz3rzLK" xr:uid="{00000000-0004-0000-0700-00000F030000}"/>
    <hyperlink ref="A200" r:id="rId785" display="https://gerandofalcoes.my.salesforce.com/0014P00003SGWPZQA5" xr:uid="{00000000-0004-0000-0700-000010030000}"/>
    <hyperlink ref="AL200" r:id="rId786" display="https://gerandofalcoes.my.salesforce.com/0034P000043fOng" xr:uid="{00000000-0004-0000-0700-000011030000}"/>
    <hyperlink ref="BW200" r:id="rId787" display="http://www.linkedin.com/in/sergiomartins-269018212" xr:uid="{00000000-0004-0000-0700-000012030000}"/>
    <hyperlink ref="BY200" r:id="rId788" display="https://drive.google.com/open?id=1_DeuH8b_5YLJ0RegHqFyg1qrLNAygTBT" xr:uid="{00000000-0004-0000-0700-000013030000}"/>
    <hyperlink ref="A201" r:id="rId789" display="https://gerandofalcoes.my.salesforce.com/0014P00003YSp8YQAT" xr:uid="{00000000-0004-0000-0700-000014030000}"/>
    <hyperlink ref="AL201" r:id="rId790" display="https://gerandofalcoes.my.salesforce.com/0034P000045kxj9" xr:uid="{00000000-0004-0000-0700-000015030000}"/>
    <hyperlink ref="BW201" r:id="rId791" display="https://www.linkedin.com/in/carol-santos-734382132/" xr:uid="{00000000-0004-0000-0700-000016030000}"/>
    <hyperlink ref="BX201" r:id="rId792" display="https://www.instagram.com/carols2antos/" xr:uid="{00000000-0004-0000-0700-000017030000}"/>
    <hyperlink ref="BY201" r:id="rId793" display="https://drive.google.com/open?id=1j8cxmOqbvNfenrC8kGyhg1jUDiIJkIMQ" xr:uid="{00000000-0004-0000-0700-000018030000}"/>
    <hyperlink ref="A202" r:id="rId794" display="https://gerandofalcoes.my.salesforce.com/0014X00002VKCqCQAX" xr:uid="{00000000-0004-0000-0700-000019030000}"/>
    <hyperlink ref="AL202" r:id="rId795" display="https://gerandofalcoes.my.salesforce.com/0034X0000380O3P" xr:uid="{00000000-0004-0000-0700-00001A030000}"/>
    <hyperlink ref="BX202" r:id="rId796" display="https://www.instagram.com/invites/contact/?i=168a3n2tcdxzr&amp;utm_content=1bisy0m" xr:uid="{00000000-0004-0000-0700-00001B030000}"/>
    <hyperlink ref="BY202" r:id="rId797" display="https://drive.google.com/open?id=1zA23spmbDGEXc6fhr2tPyMjgz7fY8Xzw" xr:uid="{00000000-0004-0000-0700-00001C030000}"/>
    <hyperlink ref="A203" r:id="rId798" display="https://gerandofalcoes.my.salesforce.com/0014X00002VKCt6QAH" xr:uid="{00000000-0004-0000-0700-00001D030000}"/>
    <hyperlink ref="AL203" r:id="rId799" display="https://gerandofalcoes.my.salesforce.com/0034X0000380O3F" xr:uid="{00000000-0004-0000-0700-00001E030000}"/>
    <hyperlink ref="BX203" r:id="rId800" display="https://www.instagram.com/pra.silvia.9/p/CYxP1L9p8Z3/?utm_medium=share_sheet" xr:uid="{00000000-0004-0000-0700-00001F030000}"/>
    <hyperlink ref="BY203" r:id="rId801" display="https://drive.google.com/open?id=1bdPqmzOfWhz31ZY3T1P1jLbhEolxEvT-" xr:uid="{00000000-0004-0000-0700-000020030000}"/>
    <hyperlink ref="A204" r:id="rId802" display="https://gerandofalcoes.my.salesforce.com/0014P00003SGWQCQA5" xr:uid="{00000000-0004-0000-0700-000021030000}"/>
    <hyperlink ref="AL204" r:id="rId803" display="https://gerandofalcoes.my.salesforce.com/0034P000043fOoD" xr:uid="{00000000-0004-0000-0700-000022030000}"/>
    <hyperlink ref="BW204" r:id="rId804" display="http://linkedin.com/in/saimon-dias-946881178" xr:uid="{00000000-0004-0000-0700-000023030000}"/>
    <hyperlink ref="BX204" r:id="rId805" display="https://www.instagram.com/green_dias/" xr:uid="{00000000-0004-0000-0700-000024030000}"/>
    <hyperlink ref="BY204" r:id="rId806" display="https://drive.google.com/open?id=1Z3HBzY_hwLhy4AsANC9NRkSgranDK1s4" xr:uid="{00000000-0004-0000-0700-000025030000}"/>
    <hyperlink ref="A205" r:id="rId807" display="https://gerandofalcoes.my.salesforce.com/0014X00002VKCscQAH" xr:uid="{00000000-0004-0000-0700-000026030000}"/>
    <hyperlink ref="AL205" r:id="rId808" display="https://gerandofalcoes.my.salesforce.com/0034X0000380O0e" xr:uid="{00000000-0004-0000-0700-000027030000}"/>
    <hyperlink ref="BW205" r:id="rId809" display="https://www.linkedin.com/in/franklin-de-melo/" xr:uid="{00000000-0004-0000-0700-000028030000}"/>
    <hyperlink ref="BX205" r:id="rId810" display="https://www.instagram.com/franklindofutebol/" xr:uid="{00000000-0004-0000-0700-000029030000}"/>
    <hyperlink ref="BY205" r:id="rId811" display="https://drive.google.com/open?id=1mQcVqUlIlHD0mTp3BVZ00LRVRMMjJdQ3" xr:uid="{00000000-0004-0000-0700-00002A030000}"/>
    <hyperlink ref="A206" r:id="rId812" display="https://gerandofalcoes.my.salesforce.com/0014X00002VKCsWQAX" xr:uid="{00000000-0004-0000-0700-00002B030000}"/>
    <hyperlink ref="AL206" r:id="rId813" display="https://gerandofalcoes.my.salesforce.com/0034X0000380O2f" xr:uid="{00000000-0004-0000-0700-00002C030000}"/>
    <hyperlink ref="A207" r:id="rId814" display="https://gerandofalcoes.my.salesforce.com/0014P00003SGWPkQAP" xr:uid="{00000000-0004-0000-0700-00002D030000}"/>
    <hyperlink ref="AL207" r:id="rId815" display="https://gerandofalcoes.my.salesforce.com/0034P000043fOnr" xr:uid="{00000000-0004-0000-0700-00002E030000}"/>
    <hyperlink ref="BW207" r:id="rId816" display="https://www.linkedin.com/in/girlane-souza-do-nascimento-salarini-gimenez-894491236/" xr:uid="{00000000-0004-0000-0700-00002F030000}"/>
    <hyperlink ref="BX207" r:id="rId817" display="https://instagram.com/gigimenez6?utm_medium=copy_link" xr:uid="{00000000-0004-0000-0700-000030030000}"/>
    <hyperlink ref="BY207" r:id="rId818" display="https://drive.google.com/open?id=1kTitGE2p4epe-BTHjqODYSpQUQYmNHlK" xr:uid="{00000000-0004-0000-0700-000031030000}"/>
    <hyperlink ref="A208" r:id="rId819" display="https://gerandofalcoes.my.salesforce.com/0014X00002VKCuUQAX" xr:uid="{00000000-0004-0000-0700-000032030000}"/>
    <hyperlink ref="AL208" r:id="rId820" display="https://gerandofalcoes.my.salesforce.com/0034X0000380O2i" xr:uid="{00000000-0004-0000-0700-000033030000}"/>
    <hyperlink ref="BY208" r:id="rId821" display="https://drive.google.com/open?id=1q1dT4_8jCA8CV4bWK78gQ7gmvlb1Osfk" xr:uid="{00000000-0004-0000-0700-000034030000}"/>
    <hyperlink ref="A209" r:id="rId822" display="https://gerandofalcoes.my.salesforce.com/0014X00002VKCsFQAX" xr:uid="{00000000-0004-0000-0700-000035030000}"/>
    <hyperlink ref="AL209" r:id="rId823" display="https://gerandofalcoes.my.salesforce.com/0034X0000380O3R" xr:uid="{00000000-0004-0000-0700-000036030000}"/>
    <hyperlink ref="BX209" r:id="rId824" display="https://www.instagram.com/invites/contact/?i=d3icefuxnnhd&amp;utm_content=1lfnwwx" xr:uid="{00000000-0004-0000-0700-000037030000}"/>
    <hyperlink ref="BY209" r:id="rId825" display="https://drive.google.com/open?id=1H01Dg1GEEdDXpmkdJFCo5vw-uKJl-HLo" xr:uid="{00000000-0004-0000-0700-000038030000}"/>
    <hyperlink ref="A210" r:id="rId826" display="https://gerandofalcoes.my.salesforce.com/0014X00002VKCrtQAH" xr:uid="{00000000-0004-0000-0700-000039030000}"/>
    <hyperlink ref="AL210" r:id="rId827" display="https://gerandofalcoes.my.salesforce.com/0034X0000380O1a" xr:uid="{00000000-0004-0000-0700-00003A030000}"/>
    <hyperlink ref="A211" r:id="rId828" display="https://gerandofalcoes.my.salesforce.com/0014X00002VKCrGQAX" xr:uid="{00000000-0004-0000-0700-00003B030000}"/>
    <hyperlink ref="AL211" r:id="rId829" display="https://gerandofalcoes.my.salesforce.com/0034X0000380O1J" xr:uid="{00000000-0004-0000-0700-00003C030000}"/>
    <hyperlink ref="BW211" r:id="rId830" display="http://linkedin.com/in/val-alves-10320833" xr:uid="{00000000-0004-0000-0700-00003D030000}"/>
    <hyperlink ref="BX211" r:id="rId831" display="https://instagram.com/alves__sevla?utm_medium=copy_link" xr:uid="{00000000-0004-0000-0700-00003E030000}"/>
    <hyperlink ref="BY211" r:id="rId832" display="https://drive.google.com/open?id=1znu1mzV1vrVerkb1oFzwn1-urt6xehFk" xr:uid="{00000000-0004-0000-0700-00003F030000}"/>
    <hyperlink ref="A212" r:id="rId833" display="https://gerandofalcoes.my.salesforce.com/0014P00003YSp8NQAT" xr:uid="{00000000-0004-0000-0700-000040030000}"/>
    <hyperlink ref="AL212" r:id="rId834" display="https://gerandofalcoes.my.salesforce.com/0034P000045kxiy" xr:uid="{00000000-0004-0000-0700-000041030000}"/>
    <hyperlink ref="BW212" r:id="rId835" display="https://www.linkedin.com/in/rennan-leta/" xr:uid="{00000000-0004-0000-0700-000042030000}"/>
    <hyperlink ref="BX212" r:id="rId836" display="https://www.instagram.com/rennanleta/" xr:uid="{00000000-0004-0000-0700-000043030000}"/>
    <hyperlink ref="BY212" r:id="rId837" display="https://drive.google.com/open?id=1Jgsj2EMzkF0aRnL7_hHF34vHXyHTJeSn" xr:uid="{00000000-0004-0000-0700-000044030000}"/>
    <hyperlink ref="A213" r:id="rId838" display="https://gerandofalcoes.my.salesforce.com/0014P00003SGWPLQA5" xr:uid="{00000000-0004-0000-0700-000045030000}"/>
    <hyperlink ref="AL213" r:id="rId839" display="https://gerandofalcoes.my.salesforce.com/0034P000043fPDh" xr:uid="{00000000-0004-0000-0700-000046030000}"/>
    <hyperlink ref="BW213" r:id="rId840" display="https://www.linkedin.com/in/alexandre-tuller-461a841a9/" xr:uid="{00000000-0004-0000-0700-000047030000}"/>
    <hyperlink ref="BX213" r:id="rId841" display="http://instagram.com/alexandretuller" xr:uid="{00000000-0004-0000-0700-000048030000}"/>
    <hyperlink ref="BY213" r:id="rId842" display="https://drive.google.com/open?id=1a8B8SdyykY0i67bSJBJ90HrSbK0Gk-m2" xr:uid="{00000000-0004-0000-0700-000049030000}"/>
    <hyperlink ref="A214" r:id="rId843" display="https://gerandofalcoes.my.salesforce.com/0014X00002VKCrCQAX" xr:uid="{00000000-0004-0000-0700-00004A030000}"/>
    <hyperlink ref="AL214" r:id="rId844" display="https://gerandofalcoes.my.salesforce.com/0034X0000380O3k" xr:uid="{00000000-0004-0000-0700-00004B030000}"/>
    <hyperlink ref="BX214" r:id="rId845" display="https://www.instagram.com/rafaelmendescx/" xr:uid="{00000000-0004-0000-0700-00004C030000}"/>
    <hyperlink ref="BY214" r:id="rId846" display="https://drive.google.com/open?id=1mGtZy48L_SOEgiifOFvGqZmBUKL8XHMB" xr:uid="{00000000-0004-0000-0700-00004D030000}"/>
    <hyperlink ref="A215" r:id="rId847" display="https://gerandofalcoes.my.salesforce.com/0014X00002VKCrOQAX" xr:uid="{00000000-0004-0000-0700-00004E030000}"/>
    <hyperlink ref="AL215" r:id="rId848" display="https://gerandofalcoes.my.salesforce.com/0034X0000380O3g" xr:uid="{00000000-0004-0000-0700-00004F030000}"/>
    <hyperlink ref="BY215" r:id="rId849" display="https://drive.google.com/open?id=1x0gXBjk6O2tQpAF2s9iiugy7jdJpbruz" xr:uid="{00000000-0004-0000-0700-000050030000}"/>
    <hyperlink ref="A216" r:id="rId850" display="https://gerandofalcoes.my.salesforce.com/0014P00003YSpA9QAL" xr:uid="{00000000-0004-0000-0700-000051030000}"/>
    <hyperlink ref="AL216" r:id="rId851" display="https://gerandofalcoes.my.salesforce.com/0034P000045kxkl" xr:uid="{00000000-0004-0000-0700-000052030000}"/>
    <hyperlink ref="BX216" r:id="rId852" display="https://www.instagram.com/p/CXpRynLtzzeTcODTMb-_kmpF5seg2dU57726yQ0/?utm_medium=copy_link" xr:uid="{00000000-0004-0000-0700-000053030000}"/>
    <hyperlink ref="BY216" r:id="rId853" display="https://drive.google.com/open?id=1zLNe-CChHSg0_Q3vP0Jr4yPPWJmt0j8G" xr:uid="{00000000-0004-0000-0700-000054030000}"/>
    <hyperlink ref="A217" r:id="rId854" display="https://gerandofalcoes.my.salesforce.com/0014X00002VKCpNQAX" xr:uid="{00000000-0004-0000-0700-000055030000}"/>
    <hyperlink ref="AL217" r:id="rId855" display="https://gerandofalcoes.my.salesforce.com/0034X0000380O24" xr:uid="{00000000-0004-0000-0700-000056030000}"/>
    <hyperlink ref="BW217" r:id="rId856" display="https://www.linkedin.com/in/livia-martins-b908773b" xr:uid="{00000000-0004-0000-0700-000057030000}"/>
    <hyperlink ref="BY217" r:id="rId857" display="https://drive.google.com/open?id=1Z0mMSgxXbPsaQicyZbFm562CaVblcVj8" xr:uid="{00000000-0004-0000-0700-000058030000}"/>
    <hyperlink ref="A218" r:id="rId858" display="https://gerandofalcoes.my.salesforce.com/0014X00002VKCsSQAX" xr:uid="{00000000-0004-0000-0700-000059030000}"/>
    <hyperlink ref="AL218" r:id="rId859" display="https://gerandofalcoes.my.salesforce.com/0034X0000380O3r" xr:uid="{00000000-0004-0000-0700-00005A030000}"/>
    <hyperlink ref="BX218" r:id="rId860" display="https://www.instagram.com/d.diegoglima2/" xr:uid="{00000000-0004-0000-0700-00005B030000}"/>
    <hyperlink ref="BY218" r:id="rId861" display="https://drive.google.com/open?id=1YS0lRLaMxbnUTRGIbc7W715Vfjc7UG-M" xr:uid="{00000000-0004-0000-0700-00005C030000}"/>
    <hyperlink ref="A219" r:id="rId862" display="https://gerandofalcoes.my.salesforce.com/0014X00002VKCt1QAH" xr:uid="{00000000-0004-0000-0700-00005D030000}"/>
    <hyperlink ref="AL219" r:id="rId863" display="https://gerandofalcoes.my.salesforce.com/0034X0000380O36" xr:uid="{00000000-0004-0000-0700-00005E030000}"/>
    <hyperlink ref="BW219" r:id="rId864" display="http://www.linkedin.com/in/clube-de-ajuda-b654b1230" xr:uid="{00000000-0004-0000-0700-00005F030000}"/>
    <hyperlink ref="BX219" r:id="rId865" display="https://www.instagram.com/invites/contact/?i=lglce4a0w6zf&amp;utm_content=m0gavp" xr:uid="{00000000-0004-0000-0700-000060030000}"/>
    <hyperlink ref="BY219" r:id="rId866" display="https://drive.google.com/open?id=1tYyJSmrO54A7ctxwjHAYQud7l2aYEN7D" xr:uid="{00000000-0004-0000-0700-000061030000}"/>
    <hyperlink ref="A220" r:id="rId867" display="https://gerandofalcoes.my.salesforce.com/0014X00002VKCr9QAH" xr:uid="{00000000-0004-0000-0700-000062030000}"/>
    <hyperlink ref="AL220" r:id="rId868" display="https://gerandofalcoes.my.salesforce.com/0034X0000380O3q" xr:uid="{00000000-0004-0000-0700-000063030000}"/>
    <hyperlink ref="BX220" r:id="rId869" display="https://instagram.com/pabllogoncallves?igshid=NDBlY2NjN2I=" xr:uid="{00000000-0004-0000-0700-000064030000}"/>
    <hyperlink ref="BY220" r:id="rId870" display="https://drive.google.com/open?id=16k1A_i-Qy-EFwPyOg-diBORfb3Z4WNPD" xr:uid="{00000000-0004-0000-0700-000065030000}"/>
    <hyperlink ref="A221" r:id="rId871" display="https://gerandofalcoes.my.salesforce.com/0014X00002VKCtuQAH" xr:uid="{00000000-0004-0000-0700-000066030000}"/>
    <hyperlink ref="AL221" r:id="rId872" display="https://gerandofalcoes.my.salesforce.com/0034X0000380O3A" xr:uid="{00000000-0004-0000-0700-000067030000}"/>
    <hyperlink ref="BW221" r:id="rId873" display="https://www.linkedin.com/in/francine-cabral-56a203157/" xr:uid="{00000000-0004-0000-0700-000068030000}"/>
    <hyperlink ref="BX221" r:id="rId874" display="http://www.instagram.com/franccc___" xr:uid="{00000000-0004-0000-0700-000069030000}"/>
    <hyperlink ref="BY221" r:id="rId875" display="https://drive.google.com/open?id=1sHyVqtOgGEZolkW9W01JGPuN42Lh50xz" xr:uid="{00000000-0004-0000-0700-00006A030000}"/>
    <hyperlink ref="A222" r:id="rId876" display="https://gerandofalcoes.my.salesforce.com/0014P00003SGWQ2QAP" xr:uid="{00000000-0004-0000-0700-00006B030000}"/>
    <hyperlink ref="AL222" r:id="rId877" display="https://gerandofalcoes.my.salesforce.com/0034P000043fOo4" xr:uid="{00000000-0004-0000-0700-00006C030000}"/>
    <hyperlink ref="BX222" r:id="rId878" display="https://www.instagram.com/invites/contact/?i=1uk5pbe1kwr06&amp;utm_content=xtb5ir" xr:uid="{00000000-0004-0000-0700-00006D030000}"/>
    <hyperlink ref="BY222" r:id="rId879" display="https://drive.google.com/open?id=1TcROEbaTNfzIZObWw0Dl61m2sB9SiUWG" xr:uid="{00000000-0004-0000-0700-00006E030000}"/>
    <hyperlink ref="A223" r:id="rId880" display="https://gerandofalcoes.my.salesforce.com/0014P00003YSpAMQA1" xr:uid="{00000000-0004-0000-0700-00006F030000}"/>
    <hyperlink ref="AL223" r:id="rId881" display="https://gerandofalcoes.my.salesforce.com/0034P000045kxky" xr:uid="{00000000-0004-0000-0700-000070030000}"/>
    <hyperlink ref="BY223" r:id="rId882" display="https://drive.google.com/open?id=1x_uktOXZMxP5VmOS6NogyBCAnDfo0jIS" xr:uid="{00000000-0004-0000-0700-000071030000}"/>
    <hyperlink ref="A224" r:id="rId883" display="https://gerandofalcoes.my.salesforce.com/0014X00002OEuawQAD" xr:uid="{00000000-0004-0000-0700-000072030000}"/>
    <hyperlink ref="AL224" r:id="rId884" display="https://gerandofalcoes.my.salesforce.com/0034X0000315PR5" xr:uid="{00000000-0004-0000-0700-000073030000}"/>
    <hyperlink ref="A225" r:id="rId885" display="https://gerandofalcoes.my.salesforce.com/0014X00002OEualQAD" xr:uid="{00000000-0004-0000-0700-000074030000}"/>
    <hyperlink ref="AL225" r:id="rId886" display="https://gerandofalcoes.my.salesforce.com/0034X0000315PQu" xr:uid="{00000000-0004-0000-0700-000075030000}"/>
    <hyperlink ref="BY225" r:id="rId887" display="https://drive.google.com/open?id=1ZV3tSYZXLiikdDubztho0RJYO8IIoi24" xr:uid="{00000000-0004-0000-0700-000076030000}"/>
    <hyperlink ref="A226" r:id="rId888" display="https://gerandofalcoes.my.salesforce.com/0014P00003YSp8wQAD" xr:uid="{00000000-0004-0000-0700-000077030000}"/>
    <hyperlink ref="AL226" r:id="rId889" display="https://gerandofalcoes.my.salesforce.com/0034P000045kxjY" xr:uid="{00000000-0004-0000-0700-000078030000}"/>
    <hyperlink ref="BY226" r:id="rId890" display="https://drive.google.com/open?id=1amuHR4WwW8X01en8zblNGrBzpzCUyuQh" xr:uid="{00000000-0004-0000-0700-000079030000}"/>
    <hyperlink ref="A227" r:id="rId891" display="https://gerandofalcoes.my.salesforce.com/0014X00002VKCqeQAH" xr:uid="{00000000-0004-0000-0700-00007A030000}"/>
    <hyperlink ref="AL227" r:id="rId892" display="https://gerandofalcoes.my.salesforce.com/0034X0000380O6Y" xr:uid="{00000000-0004-0000-0700-00007B030000}"/>
    <hyperlink ref="BX227" r:id="rId893" display="https://www.instagram.com/mcdeboraglamurosaoficial" xr:uid="{00000000-0004-0000-0700-00007C030000}"/>
    <hyperlink ref="BY227" r:id="rId894" display="https://drive.google.com/open?id=1VX6LjY5bCPKPIxMwfEjNXPk0_7w7ifIF" xr:uid="{00000000-0004-0000-0700-00007D030000}"/>
    <hyperlink ref="A228" r:id="rId895" display="https://gerandofalcoes.my.salesforce.com/0014X00002VKCuBQAX" xr:uid="{00000000-0004-0000-0700-00007E030000}"/>
    <hyperlink ref="AL228" r:id="rId896" display="https://gerandofalcoes.my.salesforce.com/0034X0000380O3s" xr:uid="{00000000-0004-0000-0700-00007F030000}"/>
    <hyperlink ref="BY228" r:id="rId897" display="https://drive.google.com/open?id=1MUOPxSkLt5jxq_OGVSu9q9nYKUkXoOv0" xr:uid="{00000000-0004-0000-0700-000080030000}"/>
    <hyperlink ref="A229" r:id="rId898" display="https://gerandofalcoes.my.salesforce.com/0014X00002VKCqKQAX" xr:uid="{00000000-0004-0000-0700-000081030000}"/>
    <hyperlink ref="AL229" r:id="rId899" display="https://gerandofalcoes.my.salesforce.com/0034X0000380O1s" xr:uid="{00000000-0004-0000-0700-000082030000}"/>
    <hyperlink ref="BW229" r:id="rId900" display="https://www.linkedin.com/in/meirivania-s%C3%A1-correia-54159b1b7/" xr:uid="{00000000-0004-0000-0700-000083030000}"/>
    <hyperlink ref="BX229" r:id="rId901" display="https://www.instagram.com/neggah_flor/" xr:uid="{00000000-0004-0000-0700-000084030000}"/>
    <hyperlink ref="BY229" r:id="rId902" display="https://drive.google.com/open?id=1iss5VPRxk2yMhdBiLeTmj31pbzJqI9qK" xr:uid="{00000000-0004-0000-0700-000085030000}"/>
    <hyperlink ref="A230" r:id="rId903" display="https://gerandofalcoes.my.salesforce.com/0014X00002VKCq4QAH" xr:uid="{00000000-0004-0000-0700-000086030000}"/>
    <hyperlink ref="AL230" r:id="rId904" display="https://gerandofalcoes.my.salesforce.com/0034X0000380O1N" xr:uid="{00000000-0004-0000-0700-000087030000}"/>
    <hyperlink ref="BX230" r:id="rId905" display="https://www.instagram.com/invites/contact/?i=tg4haz6vs19d&amp;utm_content=nzp07bn" xr:uid="{00000000-0004-0000-0700-000088030000}"/>
    <hyperlink ref="BY230" r:id="rId906" display="https://drive.google.com/open?id=1g27pjYIo_MK59o7VBh2l5H5v3f3NZafM" xr:uid="{00000000-0004-0000-0700-000089030000}"/>
    <hyperlink ref="A231" r:id="rId907" display="https://gerandofalcoes.my.salesforce.com/0014P00003YSp9OQAT" xr:uid="{00000000-0004-0000-0700-00008A030000}"/>
    <hyperlink ref="AL231" r:id="rId908" display="https://gerandofalcoes.my.salesforce.com/0034P000045kxk0" xr:uid="{00000000-0004-0000-0700-00008B030000}"/>
    <hyperlink ref="BX231" r:id="rId909" display="https://instagram.com/leopoldo_matiass" xr:uid="{00000000-0004-0000-0700-00008C030000}"/>
    <hyperlink ref="BY231" r:id="rId910" display="https://drive.google.com/open?id=1ddE_J2H98RAfPg0mMgAHBLfCso0QoErV" xr:uid="{00000000-0004-0000-0700-00008D030000}"/>
    <hyperlink ref="A232" r:id="rId911" display="https://gerandofalcoes.my.salesforce.com/0014P00003YSp81QAD" xr:uid="{00000000-0004-0000-0700-00008E030000}"/>
    <hyperlink ref="AL232" r:id="rId912" display="https://gerandofalcoes.my.salesforce.com/0034P000045kxic" xr:uid="{00000000-0004-0000-0700-00008F030000}"/>
    <hyperlink ref="BX232" r:id="rId913" display="https://www.instagram.com/p/Cb-FQDXO-0_/?utm_medium=copy_link" xr:uid="{00000000-0004-0000-0700-000090030000}"/>
    <hyperlink ref="BY232" r:id="rId914" display="https://drive.google.com/open?id=1eCRYkiskFARK3qIkF4Wg1CAaeApK2zrJ" xr:uid="{00000000-0004-0000-0700-000091030000}"/>
    <hyperlink ref="A233" r:id="rId915" display="https://gerandofalcoes.my.salesforce.com/0014X00002VKCtNQAX" xr:uid="{00000000-0004-0000-0700-000092030000}"/>
    <hyperlink ref="AL233" r:id="rId916" display="https://gerandofalcoes.my.salesforce.com/0034X0000380O59" xr:uid="{00000000-0004-0000-0700-000093030000}"/>
    <hyperlink ref="BX233" r:id="rId917" display="https://www.instagram.com/p/CYv2Da4uKHuzBTqe-qUk55UBgeQdoAkAo3DXdc0/" xr:uid="{00000000-0004-0000-0700-000094030000}"/>
    <hyperlink ref="BY233" r:id="rId918" display="https://drive.google.com/open?id=18p5_PXIU6XPQWmXHv8NrldKY6-VRakoh" xr:uid="{00000000-0004-0000-0700-000095030000}"/>
    <hyperlink ref="A234" r:id="rId919" display="https://gerandofalcoes.my.salesforce.com/0014P00003YSp7SQAT" xr:uid="{00000000-0004-0000-0700-000096030000}"/>
    <hyperlink ref="AL234" r:id="rId920" display="https://gerandofalcoes.my.salesforce.com/0034P000045kxi3" xr:uid="{00000000-0004-0000-0700-000097030000}"/>
    <hyperlink ref="BW234" r:id="rId921" display="http://linkedin.com/in/antonio-pantoja-70267485" xr:uid="{00000000-0004-0000-0700-000098030000}"/>
    <hyperlink ref="BX234" r:id="rId922" display="https://www.instagram.com/seabrapantoja/" xr:uid="{00000000-0004-0000-0700-000099030000}"/>
    <hyperlink ref="BY234" r:id="rId923" display="https://drive.google.com/open?id=1Gssnn35jMpTcNOtvFuM6csVgnIEkJaPL" xr:uid="{00000000-0004-0000-0700-00009A030000}"/>
    <hyperlink ref="A235" r:id="rId924" display="https://gerandofalcoes.my.salesforce.com/0014X00002VKCqSQAX" xr:uid="{00000000-0004-0000-0700-00009B030000}"/>
    <hyperlink ref="AL235" r:id="rId925" display="https://gerandofalcoes.my.salesforce.com/0034X0000380O1b" xr:uid="{00000000-0004-0000-0700-00009C030000}"/>
    <hyperlink ref="BX235" r:id="rId926" display="https://instagram.com/renatapedroenrique?utm_medium=copy_link" xr:uid="{00000000-0004-0000-0700-00009D030000}"/>
    <hyperlink ref="BY235" r:id="rId927" display="https://drive.google.com/open?id=15c1bR3HiBBg2Wkn7JBWmEREMXW6zN9Vw" xr:uid="{00000000-0004-0000-0700-00009E030000}"/>
    <hyperlink ref="A236" r:id="rId928" display="https://gerandofalcoes.my.salesforce.com/0014X00002VMXzMQAX" xr:uid="{00000000-0004-0000-0700-00009F030000}"/>
    <hyperlink ref="AL236" r:id="rId929" display="https://gerandofalcoes.my.salesforce.com/0034X000038zvcw" xr:uid="{00000000-0004-0000-0700-0000A0030000}"/>
    <hyperlink ref="BY236" r:id="rId930" display="https://drive.google.com/open?id=1H_xJFtWztK_HgBtqRBCqFxyL6EDkqjQ-" xr:uid="{00000000-0004-0000-0700-0000A1030000}"/>
    <hyperlink ref="A237" r:id="rId931" display="https://gerandofalcoes.my.salesforce.com/0014X00002VKCpwQAH" xr:uid="{00000000-0004-0000-0700-0000A2030000}"/>
    <hyperlink ref="AL237" r:id="rId932" display="https://gerandofalcoes.my.salesforce.com/0034X0000380O2U" xr:uid="{00000000-0004-0000-0700-0000A3030000}"/>
    <hyperlink ref="BY237" r:id="rId933" display="https://drive.google.com/open?id=1PfbGNl0JS3wD9XQbpc4Dmax5oiWgqZO4" xr:uid="{00000000-0004-0000-0700-0000A4030000}"/>
    <hyperlink ref="A238" r:id="rId934" display="https://gerandofalcoes.my.salesforce.com/0014X00002VKCq1QAH" xr:uid="{00000000-0004-0000-0700-0000A5030000}"/>
    <hyperlink ref="AL238" r:id="rId935" display="https://gerandofalcoes.my.salesforce.com/0034X0000380O1G" xr:uid="{00000000-0004-0000-0700-0000A6030000}"/>
    <hyperlink ref="BY238" r:id="rId936" display="https://drive.google.com/open?id=12SJaODvFWo7gGyc52I8n2z4lQea1JvcN" xr:uid="{00000000-0004-0000-0700-0000A7030000}"/>
    <hyperlink ref="A239" r:id="rId937" display="https://gerandofalcoes.my.salesforce.com/0014X00002VKCr2QAH" xr:uid="{00000000-0004-0000-0700-0000A8030000}"/>
    <hyperlink ref="AL239" r:id="rId938" display="https://gerandofalcoes.my.salesforce.com/0034X0000380O10" xr:uid="{00000000-0004-0000-0700-0000A9030000}"/>
    <hyperlink ref="BY239" r:id="rId939" display="https://drive.google.com/open?id=1HPdyeRveGNA7lNEMIeeIJMj3QAzAvrxV" xr:uid="{00000000-0004-0000-0700-0000AA030000}"/>
    <hyperlink ref="A240" r:id="rId940" display="https://gerandofalcoes.my.salesforce.com/0014X00002VKCpPQAX" xr:uid="{00000000-0004-0000-0700-0000AB030000}"/>
    <hyperlink ref="AL240" r:id="rId941" display="https://gerandofalcoes.my.salesforce.com/0034X0000380O6M" xr:uid="{00000000-0004-0000-0700-0000AC030000}"/>
    <hyperlink ref="BX240" r:id="rId942" display="https://www.instagram.com/p/CYkbyTHO-84/?utm_medium=copy_link" xr:uid="{00000000-0004-0000-0700-0000AD030000}"/>
    <hyperlink ref="BY240" r:id="rId943" display="https://drive.google.com/open?id=1F9sDvK5LCJmzV7jAByB2ozTUF6Ir9316" xr:uid="{00000000-0004-0000-0700-0000AE030000}"/>
    <hyperlink ref="A241" r:id="rId944" display="https://gerandofalcoes.my.salesforce.com/0014P00003YSp7WQAT" xr:uid="{00000000-0004-0000-0700-0000AF030000}"/>
    <hyperlink ref="AL241" r:id="rId945" display="https://gerandofalcoes.my.salesforce.com/0034P000045kxi7" xr:uid="{00000000-0004-0000-0700-0000B0030000}"/>
    <hyperlink ref="BY241" r:id="rId946" display="https://drive.google.com/open?id=1tfRd7vxv3MUeINOaP4eYdLqqEWk8xwCt" xr:uid="{00000000-0004-0000-0700-0000B1030000}"/>
    <hyperlink ref="A242" r:id="rId947" display="https://gerandofalcoes.my.salesforce.com/0014X00002VKCqNQAX" xr:uid="{00000000-0004-0000-0700-0000B2030000}"/>
    <hyperlink ref="AL242" r:id="rId948" display="https://gerandofalcoes.my.salesforce.com/0034X0000380O50" xr:uid="{00000000-0004-0000-0700-0000B3030000}"/>
    <hyperlink ref="BX242" r:id="rId949" display="https://instagram.com/nathancrieatividade?igshid=YmMyMTA2M2Y=" xr:uid="{00000000-0004-0000-0700-0000B4030000}"/>
    <hyperlink ref="BY242" r:id="rId950" display="https://drive.google.com/open?id=1k4BAIIeuXh31Ug0tfLxLra8vVJwPDPaq" xr:uid="{00000000-0004-0000-0700-0000B5030000}"/>
    <hyperlink ref="A243" r:id="rId951" display="https://gerandofalcoes.my.salesforce.com/0014X00002VKCqzQAH" xr:uid="{00000000-0004-0000-0700-0000B6030000}"/>
    <hyperlink ref="AL243" r:id="rId952" display="https://gerandofalcoes.my.salesforce.com/0034X0000380O3t" xr:uid="{00000000-0004-0000-0700-0000B7030000}"/>
    <hyperlink ref="BY243" r:id="rId953" display="https://drive.google.com/open?id=10FmT6Z56cOI9-urh7X1DcDVxdKjsovd0" xr:uid="{00000000-0004-0000-0700-0000B8030000}"/>
    <hyperlink ref="A244" r:id="rId954" display="https://gerandofalcoes.my.salesforce.com/0014X00002VKCpUQAX" xr:uid="{00000000-0004-0000-0700-0000B9030000}"/>
    <hyperlink ref="AL244" r:id="rId955" display="https://gerandofalcoes.my.salesforce.com/0034X0000380O6f" xr:uid="{00000000-0004-0000-0700-0000BA030000}"/>
    <hyperlink ref="BX244" r:id="rId956" display="https://instagram.com/45preta?utm_medium=copy_link" xr:uid="{00000000-0004-0000-0700-0000BB030000}"/>
    <hyperlink ref="BY244" r:id="rId957" display="https://drive.google.com/open?id=1S6VzZQKAEYk_pZgPxr2xEelATWdRxCSl" xr:uid="{00000000-0004-0000-0700-0000BC030000}"/>
    <hyperlink ref="A245" r:id="rId958" display="https://gerandofalcoes.my.salesforce.com/0014X00002VKCreQAH" xr:uid="{00000000-0004-0000-0700-0000BD030000}"/>
    <hyperlink ref="AL245" r:id="rId959" display="https://gerandofalcoes.my.salesforce.com/0034X0000380O4W" xr:uid="{00000000-0004-0000-0700-0000BE030000}"/>
    <hyperlink ref="BY245" r:id="rId960" display="https://drive.google.com/open?id=19UnzA4FBL3N8VI-o_a1ayGXC_62PPrVJ" xr:uid="{00000000-0004-0000-0700-0000BF030000}"/>
    <hyperlink ref="A246" r:id="rId961" display="https://gerandofalcoes.my.salesforce.com/0014X00002VKCpnQAH" xr:uid="{00000000-0004-0000-0700-0000C0030000}"/>
    <hyperlink ref="AL246" r:id="rId962" display="https://gerandofalcoes.my.salesforce.com/0034X0000380O6W" xr:uid="{00000000-0004-0000-0700-0000C1030000}"/>
    <hyperlink ref="BX246" r:id="rId963" display="https://www.instagram.com/cesaraugustofilho/" xr:uid="{00000000-0004-0000-0700-0000C2030000}"/>
    <hyperlink ref="BY246" r:id="rId964" display="https://drive.google.com/open?id=1_1OvfdlJBqJwqoDFqOM9iGDR9R6e9Wvm" xr:uid="{00000000-0004-0000-0700-0000C3030000}"/>
    <hyperlink ref="A247" r:id="rId965" display="https://gerandofalcoes.my.salesforce.com/0014P00003YSp9hQAD" xr:uid="{00000000-0004-0000-0700-0000C4030000}"/>
    <hyperlink ref="AL247" r:id="rId966" display="https://gerandofalcoes.my.salesforce.com/0034P000045kxkJ" xr:uid="{00000000-0004-0000-0700-0000C5030000}"/>
    <hyperlink ref="BX247" r:id="rId967" display="https://www.instagram.com/tiadani_despertandoamor/" xr:uid="{00000000-0004-0000-0700-0000C6030000}"/>
    <hyperlink ref="BY247" r:id="rId968" display="https://drive.google.com/open?id=1Wchw9b415gHMsWNW9a3oPIkk-m4YVYWm" xr:uid="{00000000-0004-0000-0700-0000C7030000}"/>
    <hyperlink ref="A248" r:id="rId969" display="https://gerandofalcoes.my.salesforce.com/0014X00002VKCtjQAH" xr:uid="{00000000-0004-0000-0700-0000C8030000}"/>
    <hyperlink ref="S248" r:id="rId970" display="https://www.diadoamor.org.br/" xr:uid="{00000000-0004-0000-0700-0000C9030000}"/>
    <hyperlink ref="AL248" r:id="rId971" display="https://gerandofalcoes.my.salesforce.com/0034X0000380O6F" xr:uid="{00000000-0004-0000-0700-0000CA030000}"/>
    <hyperlink ref="BX248" r:id="rId972" display="https://instagram.com/carlamuller?utm_medium=copy_link" xr:uid="{00000000-0004-0000-0700-0000CB030000}"/>
    <hyperlink ref="BY248" r:id="rId973" display="https://drive.google.com/open?id=1OGkEOsC_2v9Hhk5tdonIKLlV4iG6tvlX" xr:uid="{00000000-0004-0000-0700-0000CC030000}"/>
    <hyperlink ref="A249" r:id="rId974" display="https://gerandofalcoes.my.salesforce.com/0014P00003YSp86QAD" xr:uid="{00000000-0004-0000-0700-0000CD030000}"/>
    <hyperlink ref="AL249" r:id="rId975" display="https://gerandofalcoes.my.salesforce.com/0034P000045kxih" xr:uid="{00000000-0004-0000-0700-0000CE030000}"/>
    <hyperlink ref="BX249" r:id="rId976" display="https://instagram.com/amanda.marques.3781?utm_medium=copy_link" xr:uid="{00000000-0004-0000-0700-0000CF030000}"/>
    <hyperlink ref="BY249" r:id="rId977" display="https://drive.google.com/open?id=1HdsfVH9xyWjPzEDHcAiTdF3JxOmmHCNt" xr:uid="{00000000-0004-0000-0700-0000D0030000}"/>
    <hyperlink ref="A250" r:id="rId978" display="https://gerandofalcoes.my.salesforce.com/0014P00003YSp9dQAD" xr:uid="{00000000-0004-0000-0700-0000D1030000}"/>
    <hyperlink ref="AL250" r:id="rId979" display="https://gerandofalcoes.my.salesforce.com/0034P000045kxkF" xr:uid="{00000000-0004-0000-0700-0000D2030000}"/>
    <hyperlink ref="BX250" r:id="rId980" display="http://instagram.com/guilhermengoularte" xr:uid="{00000000-0004-0000-0700-0000D3030000}"/>
    <hyperlink ref="BY250" r:id="rId981" display="https://drive.google.com/open?id=1K0uPLD82Xv86MaKjBfjcq-65Vyzl8-Pa" xr:uid="{00000000-0004-0000-0700-0000D4030000}"/>
    <hyperlink ref="A251" r:id="rId982" display="https://gerandofalcoes.my.salesforce.com/0014X00002VKCqoQAH" xr:uid="{00000000-0004-0000-0700-0000D5030000}"/>
    <hyperlink ref="AL251" r:id="rId983" display="https://gerandofalcoes.my.salesforce.com/0034X0000380O51" xr:uid="{00000000-0004-0000-0700-0000D6030000}"/>
    <hyperlink ref="BW251" r:id="rId984" display="https://www.linkedin.com/in/joaopaulorochacamargo/" xr:uid="{00000000-0004-0000-0700-0000D7030000}"/>
    <hyperlink ref="BX251" r:id="rId985" display="https://www.instagram.com/joaopaulo_epl/" xr:uid="{00000000-0004-0000-0700-0000D8030000}"/>
    <hyperlink ref="BY251" r:id="rId986" display="https://drive.google.com/open?id=1t3zPR_a3R-ua7g9dt25GEXxHgrF0s7Zg" xr:uid="{00000000-0004-0000-0700-0000D9030000}"/>
    <hyperlink ref="A252" r:id="rId987" display="https://gerandofalcoes.my.salesforce.com/0014X00002VKCrbQAH" xr:uid="{00000000-0004-0000-0700-0000DA030000}"/>
    <hyperlink ref="AL252" r:id="rId988" display="https://gerandofalcoes.my.salesforce.com/0034X0000380O6d" xr:uid="{00000000-0004-0000-0700-0000DB030000}"/>
    <hyperlink ref="BY252" r:id="rId989" display="https://drive.google.com/open?id=1W5EEXZrOu9b1r4kirwhWmOwoTzTF2WTJ" xr:uid="{00000000-0004-0000-0700-0000DC030000}"/>
    <hyperlink ref="A253" r:id="rId990" display="https://gerandofalcoes.my.salesforce.com/0014P00003YSp7PQAT" xr:uid="{00000000-0004-0000-0700-0000DD030000}"/>
    <hyperlink ref="AL253" r:id="rId991" display="https://gerandofalcoes.my.salesforce.com/0034P000045kxi0" xr:uid="{00000000-0004-0000-0700-0000DE030000}"/>
    <hyperlink ref="BW253" r:id="rId992" display="https://www.linkedin.com/in/betania-silva-261930b0/" xr:uid="{00000000-0004-0000-0700-0000DF030000}"/>
    <hyperlink ref="BY253" r:id="rId993" display="https://drive.google.com/open?id=13Ez0cfIDcPir9sGobJV1LfgzKYdfOt1Z" xr:uid="{00000000-0004-0000-0700-0000E0030000}"/>
    <hyperlink ref="A254" r:id="rId994" display="https://gerandofalcoes.my.salesforce.com/0014X00002VKCuZQAX" xr:uid="{00000000-0004-0000-0700-0000E1030000}"/>
    <hyperlink ref="AL254" r:id="rId995" display="https://gerandofalcoes.my.salesforce.com/0034X0000380O4M" xr:uid="{00000000-0004-0000-0700-0000E2030000}"/>
    <hyperlink ref="BW254" r:id="rId996" display="http://www.linkedin.com/in/cibele-campos-38555035" xr:uid="{00000000-0004-0000-0700-0000E3030000}"/>
    <hyperlink ref="A255" r:id="rId997" display="https://gerandofalcoes.my.salesforce.com/0014X00002VKCsGQAX" xr:uid="{00000000-0004-0000-0700-0000E4030000}"/>
    <hyperlink ref="AL255" r:id="rId998" display="https://gerandofalcoes.my.salesforce.com/0034X0000380O4t" xr:uid="{00000000-0004-0000-0700-0000E5030000}"/>
    <hyperlink ref="A256" r:id="rId999" display="https://gerandofalcoes.my.salesforce.com/0014X00002VKCtyQAH" xr:uid="{00000000-0004-0000-0700-0000E6030000}"/>
    <hyperlink ref="AL256" r:id="rId1000" display="https://gerandofalcoes.my.salesforce.com/0034X0000380O1c" xr:uid="{00000000-0004-0000-0700-0000E7030000}"/>
    <hyperlink ref="BX256" r:id="rId1001" display="https://www.instagram.com/helena_assumpcao/" xr:uid="{00000000-0004-0000-0700-0000E8030000}"/>
    <hyperlink ref="BY256" r:id="rId1002" display="https://drive.google.com/open?id=1vhTDJVb0ziojcXV-YhtumfArGYATymAt" xr:uid="{00000000-0004-0000-0700-0000E9030000}"/>
    <hyperlink ref="A257" r:id="rId1003" display="https://gerandofalcoes.my.salesforce.com/0014X00002VKCutQAH" xr:uid="{00000000-0004-0000-0700-0000EA030000}"/>
    <hyperlink ref="AL257" r:id="rId1004" display="https://gerandofalcoes.my.salesforce.com/0034X0000380O2j" xr:uid="{00000000-0004-0000-0700-0000EB030000}"/>
    <hyperlink ref="BW257" r:id="rId1005" display="https://www.linkedin.com/in/maria-laura-da-costa-coelho" xr:uid="{00000000-0004-0000-0700-0000EC030000}"/>
    <hyperlink ref="BX257" r:id="rId1006" display="http://instagran.com/marialauracostacoelho" xr:uid="{00000000-0004-0000-0700-0000ED030000}"/>
    <hyperlink ref="BY257" r:id="rId1007" display="https://drive.google.com/open?id=1BcqfDOMnifC2l91kDs-IeUk9U-L005dh" xr:uid="{00000000-0004-0000-0700-0000EE030000}"/>
    <hyperlink ref="A258" r:id="rId1008" display="https://gerandofalcoes.my.salesforce.com/0014X00002VKCsYQAX" xr:uid="{00000000-0004-0000-0700-0000EF030000}"/>
    <hyperlink ref="AL258" r:id="rId1009" display="https://gerandofalcoes.my.salesforce.com/0034X0000380O5x" xr:uid="{00000000-0004-0000-0700-0000F0030000}"/>
    <hyperlink ref="BX258" r:id="rId1010" display="https://www.instagram.com/explore/tags/cantinhodaamizade??/" xr:uid="{00000000-0004-0000-0700-0000F1030000}"/>
    <hyperlink ref="BY258" r:id="rId1011" display="https://drive.google.com/open?id=1W4v3kidhiYPXUns4-PB8GBCUW47-9Gv6" xr:uid="{00000000-0004-0000-0700-0000F2030000}"/>
    <hyperlink ref="A259" r:id="rId1012" display="https://gerandofalcoes.my.salesforce.com/0014P00003YSp8pQAD" xr:uid="{00000000-0004-0000-0700-0000F3030000}"/>
    <hyperlink ref="AL259" r:id="rId1013" display="https://gerandofalcoes.my.salesforce.com/0034P000045kxjR" xr:uid="{00000000-0004-0000-0700-0000F4030000}"/>
    <hyperlink ref="BX259" r:id="rId1014" display="https://instagram.com/sulasouza?utm_medium=copy_link" xr:uid="{00000000-0004-0000-0700-0000F5030000}"/>
    <hyperlink ref="BY259" r:id="rId1015" display="https://drive.google.com/open?id=1qvE8fN0aN5hVDltkRttTK1zfrul3EATd" xr:uid="{00000000-0004-0000-0700-0000F6030000}"/>
    <hyperlink ref="A260" r:id="rId1016" display="https://gerandofalcoes.my.salesforce.com/0014X00002VKCtpQAH" xr:uid="{00000000-0004-0000-0700-0000F7030000}"/>
    <hyperlink ref="AL260" r:id="rId1017" display="https://gerandofalcoes.my.salesforce.com/0034X0000380O2R" xr:uid="{00000000-0004-0000-0700-0000F8030000}"/>
    <hyperlink ref="BW260" r:id="rId1018" display="https://www.linkedin.com/in/davihschoenar/" xr:uid="{00000000-0004-0000-0700-0000F9030000}"/>
    <hyperlink ref="BX260" r:id="rId1019" display="https://www.instagram.com/davihschoenar/" xr:uid="{00000000-0004-0000-0700-0000FA030000}"/>
    <hyperlink ref="BY260" r:id="rId1020" display="https://drive.google.com/open?id=1w0HMeIkgg_Beu3Avu-vfkg6dFTDknm6Q" xr:uid="{00000000-0004-0000-0700-0000FB030000}"/>
    <hyperlink ref="A261" r:id="rId1021" display="https://gerandofalcoes.my.salesforce.com/0014X00002VKCrHQAX" xr:uid="{00000000-0004-0000-0700-0000FC030000}"/>
    <hyperlink ref="AL261" r:id="rId1022" display="https://gerandofalcoes.my.salesforce.com/0034X0000380O1n" xr:uid="{00000000-0004-0000-0700-0000FD030000}"/>
    <hyperlink ref="BW261" r:id="rId1023" display="https://www.linkedin.com/in/valdir-brand%C3%A3o-50468b241/" xr:uid="{00000000-0004-0000-0700-0000FE030000}"/>
    <hyperlink ref="BX261" r:id="rId1024" display="https://www.instagram.com/institutobrandao10/?hl=pt-br" xr:uid="{00000000-0004-0000-0700-0000FF030000}"/>
    <hyperlink ref="BY261" r:id="rId1025" display="https://drive.google.com/open?id=10BU7j0TwYfVdCuljIv7JOKco0PI0iHne" xr:uid="{00000000-0004-0000-0700-000000040000}"/>
    <hyperlink ref="A262" r:id="rId1026" display="https://gerandofalcoes.my.salesforce.com/0014P00003YSp92QAD" xr:uid="{00000000-0004-0000-0700-000001040000}"/>
    <hyperlink ref="AL262" r:id="rId1027" display="https://gerandofalcoes.my.salesforce.com/0034P000045kxje" xr:uid="{00000000-0004-0000-0700-000002040000}"/>
    <hyperlink ref="BX262" r:id="rId1028" display="https://www.instagram.com/ledabritodos/" xr:uid="{00000000-0004-0000-0700-000003040000}"/>
    <hyperlink ref="BY262" r:id="rId1029" display="https://drive.google.com/open?id=1G8weItdmvo3bWZTbPvteV4dNycEqznAQ" xr:uid="{00000000-0004-0000-0700-000004040000}"/>
    <hyperlink ref="A263" r:id="rId1030" display="https://gerandofalcoes.my.salesforce.com/0014P00003SGWPTQA5" xr:uid="{00000000-0004-0000-0700-000005040000}"/>
    <hyperlink ref="AL263" r:id="rId1031" display="https://gerandofalcoes.my.salesforce.com/0034P000043fOna" xr:uid="{00000000-0004-0000-0700-000006040000}"/>
    <hyperlink ref="BW263" r:id="rId1032" display="https://www.linkedin.com/in/claudia-souza-da-silva-189060204" xr:uid="{00000000-0004-0000-0700-000007040000}"/>
    <hyperlink ref="BX263" r:id="rId1033" display="https://www.instagram.com/p/CaE46CzuSzv/?utm_medium=copy_link" xr:uid="{00000000-0004-0000-0700-000008040000}"/>
    <hyperlink ref="BY263" r:id="rId1034" display="https://drive.google.com/open?id=1Zp_IvgzRTSUdoH-GoiZZXzO6ybjqgyss" xr:uid="{00000000-0004-0000-0700-000009040000}"/>
    <hyperlink ref="A264" r:id="rId1035" display="https://gerandofalcoes.my.salesforce.com/0014P00003SGWPgQAP" xr:uid="{00000000-0004-0000-0700-00000A040000}"/>
    <hyperlink ref="AL264" r:id="rId1036" display="https://gerandofalcoes.my.salesforce.com/0034P000043fOnn" xr:uid="{00000000-0004-0000-0700-00000B040000}"/>
    <hyperlink ref="BY264" r:id="rId1037" display="https://drive.google.com/open?id=1CmKPbPO66niLZ8l2D8MHK5sNWaKsYBBW" xr:uid="{00000000-0004-0000-0700-00000C040000}"/>
    <hyperlink ref="A265" r:id="rId1038" display="https://gerandofalcoes.my.salesforce.com/0014P00003YSpACQA1" xr:uid="{00000000-0004-0000-0700-00000D040000}"/>
    <hyperlink ref="AL265" r:id="rId1039" display="https://gerandofalcoes.my.salesforce.com/0034P000045kxko" xr:uid="{00000000-0004-0000-0700-00000E040000}"/>
    <hyperlink ref="BY265" r:id="rId1040" display="https://drive.google.com/open?id=1VOuzwniU_as2i_QKJJe44rk9EDy8WEju" xr:uid="{00000000-0004-0000-0700-00000F040000}"/>
    <hyperlink ref="A266" r:id="rId1041" display="https://gerandofalcoes.my.salesforce.com/0014X00002VKCsKQAX" xr:uid="{00000000-0004-0000-0700-000010040000}"/>
    <hyperlink ref="AL266" r:id="rId1042" display="https://gerandofalcoes.my.salesforce.com/0034X0000380O2b" xr:uid="{00000000-0004-0000-0700-000011040000}"/>
    <hyperlink ref="BW266" r:id="rId1043" display="https://www.linkedin.com/in/anabeatriz-freire/" xr:uid="{00000000-0004-0000-0700-000012040000}"/>
    <hyperlink ref="BX266" r:id="rId1044" display="https://www.instagram.com/biafree_/" xr:uid="{00000000-0004-0000-0700-000013040000}"/>
    <hyperlink ref="BY266" r:id="rId1045" display="https://drive.google.com/open?id=1O_sJeycCFlGKBUuTcMGwhCNeiLPz4CkV" xr:uid="{00000000-0004-0000-0700-000014040000}"/>
    <hyperlink ref="A267" r:id="rId1046" display="https://gerandofalcoes.my.salesforce.com/0014X00002VKCs4QAH" xr:uid="{00000000-0004-0000-0700-000015040000}"/>
    <hyperlink ref="AL267" r:id="rId1047" display="https://gerandofalcoes.my.salesforce.com/0034X0000380O3d" xr:uid="{00000000-0004-0000-0700-000016040000}"/>
    <hyperlink ref="BW267" r:id="rId1048" display="https://www.linkedin.com/in/renato-santos-ab7706197" xr:uid="{00000000-0004-0000-0700-000017040000}"/>
    <hyperlink ref="BX267" r:id="rId1049" display="https://instagram.com/renators30?igshid=YmMyMTA2M2Y=" xr:uid="{00000000-0004-0000-0700-000018040000}"/>
    <hyperlink ref="BY267" r:id="rId1050" display="https://drive.google.com/open?id=19UflmionzOOzm7lv8spKCJlvYGESwkja" xr:uid="{00000000-0004-0000-0700-000019040000}"/>
    <hyperlink ref="A268" r:id="rId1051" display="https://gerandofalcoes.my.salesforce.com/0014X00002VKCslQAH" xr:uid="{00000000-0004-0000-0700-00001A040000}"/>
    <hyperlink ref="AL268" r:id="rId1052" display="https://gerandofalcoes.my.salesforce.com/0034X0000380O63" xr:uid="{00000000-0004-0000-0700-00001B040000}"/>
    <hyperlink ref="BW268" r:id="rId1053" display="https://instagram.com/julianamaiareal" xr:uid="{00000000-0004-0000-0700-00001C040000}"/>
    <hyperlink ref="BX268" r:id="rId1054" display="https://instagram.com/julianamaiareal" xr:uid="{00000000-0004-0000-0700-00001D040000}"/>
    <hyperlink ref="BY268" r:id="rId1055" display="https://drive.google.com/open?id=1KZMRLmxRys9oJaJt5X5xyFNFh4UAsvto" xr:uid="{00000000-0004-0000-0700-00001E040000}"/>
    <hyperlink ref="A269" r:id="rId1056" display="https://gerandofalcoes.my.salesforce.com/0014P00003AN2FwQAL" xr:uid="{00000000-0004-0000-0700-00001F040000}"/>
    <hyperlink ref="AL269" r:id="rId1057" display="https://gerandofalcoes.my.salesforce.com/0034P00003maBVN" xr:uid="{00000000-0004-0000-0700-000020040000}"/>
    <hyperlink ref="BW269" r:id="rId1058" display="https://br.linkedin.com/in/jefferson-quirino-44780a185" xr:uid="{00000000-0004-0000-0700-000021040000}"/>
    <hyperlink ref="BX269" r:id="rId1059" display="https://www.instagram.com/jeffersonfquirino/" xr:uid="{00000000-0004-0000-0700-000022040000}"/>
    <hyperlink ref="BY269" r:id="rId1060" display="https://drive.google.com/open?id=1JHepvg1jatmx6voECdYhnDBsZMz9X1Y7" xr:uid="{00000000-0004-0000-0700-000023040000}"/>
    <hyperlink ref="A270" r:id="rId1061" display="https://gerandofalcoes.my.salesforce.com/0014X00002VKCsNQAX" xr:uid="{00000000-0004-0000-0700-000024040000}"/>
    <hyperlink ref="AL270" r:id="rId1062" display="https://gerandofalcoes.my.salesforce.com/0034X0000380O5c" xr:uid="{00000000-0004-0000-0700-000025040000}"/>
    <hyperlink ref="A271" r:id="rId1063" display="https://gerandofalcoes.my.salesforce.com/0014X00002VKCtZQAX" xr:uid="{00000000-0004-0000-0700-000026040000}"/>
    <hyperlink ref="AL271" r:id="rId1064" display="https://gerandofalcoes.my.salesforce.com/0034X0000380O6m" xr:uid="{00000000-0004-0000-0700-000027040000}"/>
    <hyperlink ref="BY271" r:id="rId1065" display="https://drive.google.com/open?id=1-px_7b9AqiI4graA-LAgL6ug5QTqwfZx" xr:uid="{00000000-0004-0000-0700-000028040000}"/>
    <hyperlink ref="A272" r:id="rId1066" display="https://gerandofalcoes.my.salesforce.com/0014X00002VKD05QAH" xr:uid="{00000000-0004-0000-0700-000029040000}"/>
    <hyperlink ref="AL272" r:id="rId1067" display="https://gerandofalcoes.my.salesforce.com/0034X0000380O2X" xr:uid="{00000000-0004-0000-0700-00002A040000}"/>
    <hyperlink ref="BX272" r:id="rId1068" display="https://www.instagram.com/claudio.mendes1980/" xr:uid="{00000000-0004-0000-0700-00002B040000}"/>
    <hyperlink ref="BY272" r:id="rId1069" display="https://drive.google.com/open?id=1HHDJ1oMa-CNRkpLdVHTCus7eLKLYLAuE" xr:uid="{00000000-0004-0000-0700-00002C040000}"/>
    <hyperlink ref="A273" r:id="rId1070" display="https://gerandofalcoes.my.salesforce.com/0014P00003AN2FpQAL" xr:uid="{00000000-0004-0000-0700-00002D040000}"/>
    <hyperlink ref="AL273" r:id="rId1071" display="https://gerandofalcoes.my.salesforce.com/0034P00003maBVG" xr:uid="{00000000-0004-0000-0700-00002E040000}"/>
    <hyperlink ref="BW273" r:id="rId1072" display="https://www.linkedin.com/in/maiarawenceslau/" xr:uid="{00000000-0004-0000-0700-00002F040000}"/>
    <hyperlink ref="BY273" r:id="rId1073" display="https://drive.google.com/open?id=1m32qZqSFa1DIecIL-GkrHBaQr9pZwA-T" xr:uid="{00000000-0004-0000-0700-000030040000}"/>
    <hyperlink ref="A274" r:id="rId1074" display="https://gerandofalcoes.my.salesforce.com/0014P00003YSp8XQAT" xr:uid="{00000000-0004-0000-0700-000031040000}"/>
    <hyperlink ref="AL274" r:id="rId1075" display="https://gerandofalcoes.my.salesforce.com/0034P000045kxj8" xr:uid="{00000000-0004-0000-0700-000032040000}"/>
    <hyperlink ref="BX274" r:id="rId1076" display="https://www.instagram.com/marlyroodrigues/" xr:uid="{00000000-0004-0000-0700-000033040000}"/>
    <hyperlink ref="BY274" r:id="rId1077" display="https://drive.google.com/open?id=1TbReOcBxZf4O0ucSfR_EtBicRG66lffB" xr:uid="{00000000-0004-0000-0700-000034040000}"/>
    <hyperlink ref="A275" r:id="rId1078" display="https://gerandofalcoes.my.salesforce.com/0014P00003YSp8KQAT" xr:uid="{00000000-0004-0000-0700-000035040000}"/>
    <hyperlink ref="AL275" r:id="rId1079" display="https://gerandofalcoes.my.salesforce.com/0034P000045kxiv" xr:uid="{00000000-0004-0000-0700-000036040000}"/>
    <hyperlink ref="BX275" r:id="rId1080" display="http://instagram.com/vai_daiene" xr:uid="{00000000-0004-0000-0700-000037040000}"/>
    <hyperlink ref="BY275" r:id="rId1081" display="https://drive.google.com/open?id=1KLrJUgdGXcZfDlu-VjLqYiL--mx8WG1G" xr:uid="{00000000-0004-0000-0700-000038040000}"/>
    <hyperlink ref="A276" r:id="rId1082" display="https://gerandofalcoes.my.salesforce.com/0014P00003YSp9ZQAT" xr:uid="{00000000-0004-0000-0700-000039040000}"/>
    <hyperlink ref="AL276" r:id="rId1083" display="https://gerandofalcoes.my.salesforce.com/0034P000045kxkB" xr:uid="{00000000-0004-0000-0700-00003A040000}"/>
    <hyperlink ref="BX276" r:id="rId1084" display="https://instagram.com/elainecmmarcondes?utm_medium=copy_link" xr:uid="{00000000-0004-0000-0700-00003B040000}"/>
    <hyperlink ref="BY276" r:id="rId1085" display="https://drive.google.com/open?id=1OFT6kzVB68N37t5wv7oU6Z29Ty40EB9E" xr:uid="{00000000-0004-0000-0700-00003C040000}"/>
    <hyperlink ref="A277" r:id="rId1086" display="https://gerandofalcoes.my.salesforce.com/0014X00002VKCr7QAH" xr:uid="{00000000-0004-0000-0700-00003D040000}"/>
    <hyperlink ref="AL277" r:id="rId1087" display="https://gerandofalcoes.my.salesforce.com/0034X0000380O3I" xr:uid="{00000000-0004-0000-0700-00003E040000}"/>
    <hyperlink ref="BX277" r:id="rId1088" display="https://instagram.com/projeto_geracao_gk?utm_medium=copy_link" xr:uid="{00000000-0004-0000-0700-00003F040000}"/>
    <hyperlink ref="BY277" r:id="rId1089" display="https://drive.google.com/open?id=1GyR81bknWt8oajozWNTUrLma3vUPQ8ul" xr:uid="{00000000-0004-0000-0700-000040040000}"/>
    <hyperlink ref="A278" r:id="rId1090" display="https://gerandofalcoes.my.salesforce.com/0014X00002VKCpQQAX" xr:uid="{00000000-0004-0000-0700-000041040000}"/>
    <hyperlink ref="AL278" r:id="rId1091" display="https://gerandofalcoes.my.salesforce.com/0034X0000380O0t" xr:uid="{00000000-0004-0000-0700-000042040000}"/>
    <hyperlink ref="BX278" r:id="rId1092" display="https://www.instagram.com/lucilene_queiroz_adm/" xr:uid="{00000000-0004-0000-0700-000043040000}"/>
    <hyperlink ref="BY278" r:id="rId1093" display="https://drive.google.com/open?id=1qzgzznhG6K-pdYKrLKhu5c4n9mzB-A6O" xr:uid="{00000000-0004-0000-0700-000044040000}"/>
    <hyperlink ref="A279" r:id="rId1094" display="https://gerandofalcoes.my.salesforce.com/0014X00002VKCt7QAH" xr:uid="{00000000-0004-0000-0700-000045040000}"/>
    <hyperlink ref="AL279" r:id="rId1095" display="https://gerandofalcoes.my.salesforce.com/0034X0000380O2Q" xr:uid="{00000000-0004-0000-0700-000046040000}"/>
    <hyperlink ref="BX279" r:id="rId1096" display="https://www.instagram.com/solrevoredo/" xr:uid="{00000000-0004-0000-0700-000047040000}"/>
    <hyperlink ref="BY279" r:id="rId1097" display="https://drive.google.com/open?id=1-qUORzM0dfqwIkRyeX8lS50td8hES08B" xr:uid="{00000000-0004-0000-0700-000048040000}"/>
    <hyperlink ref="A280" r:id="rId1098" display="https://gerandofalcoes.my.salesforce.com/0014P00003AN2FmQAL" xr:uid="{00000000-0004-0000-0700-000049040000}"/>
    <hyperlink ref="AL280" r:id="rId1099" display="https://gerandofalcoes.my.salesforce.com/0034P00003maBVD" xr:uid="{00000000-0004-0000-0700-00004A040000}"/>
    <hyperlink ref="BY280" r:id="rId1100" display="https://drive.google.com/open?id=160KSnZ325d9Gqzne1yqUQsimzYRWZtI2" xr:uid="{00000000-0004-0000-0700-00004B040000}"/>
    <hyperlink ref="A281" r:id="rId1101" display="https://gerandofalcoes.my.salesforce.com/0014P00003YSp8MQAT" xr:uid="{00000000-0004-0000-0700-00004C040000}"/>
    <hyperlink ref="AL281" r:id="rId1102" display="https://gerandofalcoes.my.salesforce.com/0034P000045kxix" xr:uid="{00000000-0004-0000-0700-00004D040000}"/>
    <hyperlink ref="BW281" r:id="rId1103" display="https://br.linkedin.com/in/fabr%C3%ADcio-silvestre-94b35b20a" xr:uid="{00000000-0004-0000-0700-00004E040000}"/>
    <hyperlink ref="BX281" r:id="rId1104" display="http://www.instagram.com/fabriciosilvestre" xr:uid="{00000000-0004-0000-0700-00004F040000}"/>
    <hyperlink ref="BY281" r:id="rId1105" display="https://drive.google.com/open?id=1n3xSctsNxYHgzB6nSco9yWYHAI3fAb6r" xr:uid="{00000000-0004-0000-0700-000050040000}"/>
    <hyperlink ref="A282" r:id="rId1106" display="https://gerandofalcoes.my.salesforce.com/0014X00002VKCqMQAX" xr:uid="{00000000-0004-0000-0700-000051040000}"/>
    <hyperlink ref="AL282" r:id="rId1107" display="https://gerandofalcoes.my.salesforce.com/0034X0000380O4q" xr:uid="{00000000-0004-0000-0700-000052040000}"/>
    <hyperlink ref="BW282" r:id="rId1108" display="http://www.linkedin.com/in/narlize-costa-fonseca-0b78651b7" xr:uid="{00000000-0004-0000-0700-000053040000}"/>
    <hyperlink ref="BX282" r:id="rId1109" display="https://www.instagram.com/narlizecf34/" xr:uid="{00000000-0004-0000-0700-000054040000}"/>
    <hyperlink ref="BY282" r:id="rId1110" display="https://drive.google.com/open?id=1RwiVosia2vn_uvKa8peUmPVynYuF6tr8" xr:uid="{00000000-0004-0000-0700-000055040000}"/>
    <hyperlink ref="A283" r:id="rId1111" display="https://gerandofalcoes.my.salesforce.com/0014X00002VKCtVQAX" xr:uid="{00000000-0004-0000-0700-000056040000}"/>
    <hyperlink ref="AL283" r:id="rId1112" display="https://gerandofalcoes.my.salesforce.com/0034X0000380O1w" xr:uid="{00000000-0004-0000-0700-000057040000}"/>
    <hyperlink ref="BX283" r:id="rId1113" display="https://instagram.com/prof.lucianotavares?utm_medium=copy_link" xr:uid="{00000000-0004-0000-0700-000058040000}"/>
    <hyperlink ref="BY283" r:id="rId1114" display="https://drive.google.com/open?id=1AjXqd6Bd4csw8z7lEfjPI1wirSW21NLN" xr:uid="{00000000-0004-0000-0700-000059040000}"/>
    <hyperlink ref="A284" r:id="rId1115" display="https://gerandofalcoes.my.salesforce.com/0014X00002VKCrTQAX" xr:uid="{00000000-0004-0000-0700-00005A040000}"/>
    <hyperlink ref="AL284" r:id="rId1116" display="https://gerandofalcoes.my.salesforce.com/0034X0000380O3h" xr:uid="{00000000-0004-0000-0700-00005B040000}"/>
    <hyperlink ref="BX284" r:id="rId1117" display="https://www.instagram.com/kalferreira.71/" xr:uid="{00000000-0004-0000-0700-00005C040000}"/>
    <hyperlink ref="BY284" r:id="rId1118" display="https://drive.google.com/open?id=1D708KwqVGxig8Gfxl13p7CByiPULx5Gp" xr:uid="{00000000-0004-0000-0700-00005D040000}"/>
    <hyperlink ref="A285" r:id="rId1119" display="https://gerandofalcoes.my.salesforce.com/0014X00002VKCpdQAH" xr:uid="{00000000-0004-0000-0700-00005E040000}"/>
    <hyperlink ref="AL285" r:id="rId1120" display="https://gerandofalcoes.my.salesforce.com/0034X0000380O64" xr:uid="{00000000-0004-0000-0700-00005F040000}"/>
    <hyperlink ref="BY285" r:id="rId1121" display="https://drive.google.com/open?id=1e6oD5vc4ixoG7hz-YfgqdJZURVbYIxSH" xr:uid="{00000000-0004-0000-0700-000060040000}"/>
    <hyperlink ref="A286" r:id="rId1122" display="https://gerandofalcoes.my.salesforce.com/0014P00003SGWPVQA5" xr:uid="{00000000-0004-0000-0700-000061040000}"/>
    <hyperlink ref="AL286" r:id="rId1123" display="https://gerandofalcoes.my.salesforce.com/0034P000043fOnc" xr:uid="{00000000-0004-0000-0700-000062040000}"/>
    <hyperlink ref="BY286" r:id="rId1124" display="https://drive.google.com/open?id=1Rmdbt8O7YB11o-idYSMZeghnTIyBbsjE" xr:uid="{00000000-0004-0000-0700-000063040000}"/>
    <hyperlink ref="A287" r:id="rId1125" display="https://gerandofalcoes.my.salesforce.com/0014X00002VKCqyQAH" xr:uid="{00000000-0004-0000-0700-000064040000}"/>
    <hyperlink ref="AL287" r:id="rId1126" display="https://gerandofalcoes.my.salesforce.com/0034X0000380O4l" xr:uid="{00000000-0004-0000-0700-000065040000}"/>
    <hyperlink ref="BY287" r:id="rId1127" display="https://drive.google.com/open?id=1bHsGUao27GzzCvoqQtdNG0YlcaZ8r7HK" xr:uid="{00000000-0004-0000-0700-000066040000}"/>
    <hyperlink ref="A288" r:id="rId1128" display="https://gerandofalcoes.my.salesforce.com/0014P00003YSp8tQAD" xr:uid="{00000000-0004-0000-0700-000067040000}"/>
    <hyperlink ref="AL288" r:id="rId1129" display="https://gerandofalcoes.my.salesforce.com/0034P000045kxjV" xr:uid="{00000000-0004-0000-0700-000068040000}"/>
    <hyperlink ref="BX288" r:id="rId1130" display="https://instagram.com/impactacao.social?igshid=78bok3lfo1lb" xr:uid="{00000000-0004-0000-0700-000069040000}"/>
    <hyperlink ref="BY288" r:id="rId1131" display="https://drive.google.com/open?id=1w2x1FOnVpdxpl-AREkdjJx6S9wTz_fKS" xr:uid="{00000000-0004-0000-0700-00006A040000}"/>
    <hyperlink ref="A289" r:id="rId1132" display="https://gerandofalcoes.my.salesforce.com/0014P00003AN2h5QAD" xr:uid="{00000000-0004-0000-0700-00006B040000}"/>
    <hyperlink ref="AL289" r:id="rId1133" display="https://gerandofalcoes.my.salesforce.com/0034P00003maBVM" xr:uid="{00000000-0004-0000-0700-00006C040000}"/>
    <hyperlink ref="BW289" r:id="rId1134" display="https://www.linkedin.com/in/camilaincanto/" xr:uid="{00000000-0004-0000-0700-00006D040000}"/>
    <hyperlink ref="BX289" r:id="rId1135" display="https://www.instagram.com/camilaincanto/" xr:uid="{00000000-0004-0000-0700-00006E040000}"/>
    <hyperlink ref="BY289" r:id="rId1136" display="https://drive.google.com/open?id=1_nn4G9CZQ-pjqVsCxboy1vZs5RUBpf6i" xr:uid="{00000000-0004-0000-0700-00006F040000}"/>
    <hyperlink ref="A290" r:id="rId1137" display="https://gerandofalcoes.my.salesforce.com/0014P00003YSp9SQAT" xr:uid="{00000000-0004-0000-0700-000070040000}"/>
    <hyperlink ref="AL290" r:id="rId1138" display="https://gerandofalcoes.my.salesforce.com/0034P000045kxk4" xr:uid="{00000000-0004-0000-0700-000071040000}"/>
    <hyperlink ref="BX290" r:id="rId1139" display="https://instagram.com/eduardobeijo?utm_medium=copy_link" xr:uid="{00000000-0004-0000-0700-000072040000}"/>
    <hyperlink ref="BY290" r:id="rId1140" display="https://drive.google.com/open?id=1-j9s7QePGLTyWOuXHV7NoblF8HsDWPQF" xr:uid="{00000000-0004-0000-0700-000073040000}"/>
    <hyperlink ref="A291" r:id="rId1141" display="https://gerandofalcoes.my.salesforce.com/0014X00002VKCvDQAX" xr:uid="{00000000-0004-0000-0700-000074040000}"/>
    <hyperlink ref="AL291" r:id="rId1142" display="https://gerandofalcoes.my.salesforce.com/0034X0000380O4w" xr:uid="{00000000-0004-0000-0700-000075040000}"/>
    <hyperlink ref="BX291" r:id="rId1143" display="https://www.instagram.com/reel/Cft8Vl_O5hl/?utm_source=ig_web_copy_link" xr:uid="{00000000-0004-0000-0700-000076040000}"/>
    <hyperlink ref="BY291" r:id="rId1144" display="https://drive.google.com/open?id=1YUXXGrUr90tGP5PhxkyqYR__fXEeePM7" xr:uid="{00000000-0004-0000-0700-000077040000}"/>
    <hyperlink ref="A292" r:id="rId1145" display="https://gerandofalcoes.my.salesforce.com/0014P00003YSp9XQAT" xr:uid="{00000000-0004-0000-0700-000078040000}"/>
    <hyperlink ref="AL292" r:id="rId1146" display="https://gerandofalcoes.my.salesforce.com/0034P000045kxk9" xr:uid="{00000000-0004-0000-0700-000079040000}"/>
    <hyperlink ref="BW292" r:id="rId1147" display="https://www.linkedin.com/in/marilene-rodrigues-a74774115/" xr:uid="{00000000-0004-0000-0700-00007A040000}"/>
    <hyperlink ref="BX292" r:id="rId1148" display="https://www.instagram.com/mrdrgs_/?utm_medium=copy_link" xr:uid="{00000000-0004-0000-0700-00007B040000}"/>
    <hyperlink ref="BY292" r:id="rId1149" display="https://drive.google.com/open?id=1FS1cYvmyQ1TCh2s1iBCFGARCtzywTJM7" xr:uid="{00000000-0004-0000-0700-00007C040000}"/>
    <hyperlink ref="A293" r:id="rId1150" display="https://gerandofalcoes.my.salesforce.com/0014P00003YSpAJQA1" xr:uid="{00000000-0004-0000-0700-00007D040000}"/>
    <hyperlink ref="AL293" r:id="rId1151" display="https://gerandofalcoes.my.salesforce.com/0034P000045kxkv" xr:uid="{00000000-0004-0000-0700-00007E040000}"/>
    <hyperlink ref="BW293" r:id="rId1152" display="https://www.linkedin.com/in/odete-aquino-47946b236" xr:uid="{00000000-0004-0000-0700-00007F040000}"/>
    <hyperlink ref="BX293" r:id="rId1153" display="https://instagram.com/detinha_aquino?utm_medium=copy_link" xr:uid="{00000000-0004-0000-0700-000080040000}"/>
    <hyperlink ref="BY293" r:id="rId1154" display="https://drive.google.com/open?id=1bGwzS2FbXBNqxyIOHeu_sV2tLssT2zBu" xr:uid="{00000000-0004-0000-0700-000081040000}"/>
    <hyperlink ref="A294" r:id="rId1155" display="https://gerandofalcoes.my.salesforce.com/0014X00002VKCsyQAH" xr:uid="{00000000-0004-0000-0700-000082040000}"/>
    <hyperlink ref="AL294" r:id="rId1156" display="https://gerandofalcoes.my.salesforce.com/0034X0000380O2c" xr:uid="{00000000-0004-0000-0700-000083040000}"/>
    <hyperlink ref="BX294" r:id="rId1157" display="https://instagram.com/nayra.santos90?utm_medium=copy_link" xr:uid="{00000000-0004-0000-0700-000084040000}"/>
    <hyperlink ref="BY294" r:id="rId1158" display="https://drive.google.com/open?id=1NQmOvFTOd2Qfziq8z5XYBBfJCoJNU-Gc" xr:uid="{00000000-0004-0000-0700-000085040000}"/>
    <hyperlink ref="A295" r:id="rId1159" display="https://gerandofalcoes.my.salesforce.com/0014X00002UGqWjQAL" xr:uid="{00000000-0004-0000-0700-000086040000}"/>
    <hyperlink ref="AL295" r:id="rId1160" display="https://gerandofalcoes.my.salesforce.com/0034P000045kxkg" xr:uid="{00000000-0004-0000-0700-000087040000}"/>
    <hyperlink ref="BY295" r:id="rId1161" display="https://drive.google.com/open?id=1qPlGqS03kcODDXb1OvWZMlJIT5qPjU21" xr:uid="{00000000-0004-0000-0700-000088040000}"/>
    <hyperlink ref="A296" r:id="rId1162" display="https://gerandofalcoes.my.salesforce.com/0014X00002VKCqlQAH" xr:uid="{00000000-0004-0000-0700-000089040000}"/>
    <hyperlink ref="AL296" r:id="rId1163" display="https://gerandofalcoes.my.salesforce.com/0034X0000380O3l" xr:uid="{00000000-0004-0000-0700-00008A040000}"/>
    <hyperlink ref="BW296" r:id="rId1164" display="https://www.linkedin.com/in/hans-henrique-s-mendon%C3%A7a-128589169/" xr:uid="{00000000-0004-0000-0700-00008B040000}"/>
    <hyperlink ref="BY296" r:id="rId1165" display="https://drive.google.com/open?id=13Jl-sDSLcfJIM7cLtRIL1m6N0RK0Ihi4" xr:uid="{00000000-0004-0000-0700-00008C040000}"/>
    <hyperlink ref="A297" r:id="rId1166" display="https://gerandofalcoes.my.salesforce.com/0014X00002VKCq8QAH" xr:uid="{00000000-0004-0000-0700-00008D040000}"/>
    <hyperlink ref="AL297" r:id="rId1167" display="https://gerandofalcoes.my.salesforce.com/0034X0000380O3K" xr:uid="{00000000-0004-0000-0700-00008E040000}"/>
    <hyperlink ref="BX297" r:id="rId1168" display="https://instagram.com/elda.nascimento.7334?utm_medium=copy_link" xr:uid="{00000000-0004-0000-0700-00008F040000}"/>
    <hyperlink ref="BY297" r:id="rId1169" display="https://drive.google.com/open?id=1tc78ni2iSK-AiUVvkC_T-WDFjGeL4L9F" xr:uid="{00000000-0004-0000-0700-000090040000}"/>
    <hyperlink ref="A298" r:id="rId1170" display="https://gerandofalcoes.my.salesforce.com/0014P00003YSp8hQAD" xr:uid="{00000000-0004-0000-0700-000091040000}"/>
    <hyperlink ref="AL298" r:id="rId1171" display="https://gerandofalcoes.my.salesforce.com/0034P000045kxjI" xr:uid="{00000000-0004-0000-0700-000092040000}"/>
    <hyperlink ref="BY298" r:id="rId1172" display="https://drive.google.com/open?id=1YCUTags12IeOmwiyZ47diFhl9c3EeLhb" xr:uid="{00000000-0004-0000-0700-000093040000}"/>
    <hyperlink ref="A299" r:id="rId1173" display="https://gerandofalcoes.my.salesforce.com/0014X00002VKCtdQAH" xr:uid="{00000000-0004-0000-0700-000094040000}"/>
    <hyperlink ref="AL299" r:id="rId1174" display="https://gerandofalcoes.my.salesforce.com/0034X0000380O4E" xr:uid="{00000000-0004-0000-0700-000095040000}"/>
    <hyperlink ref="BW299" r:id="rId1175" display="https://www.linkedin.com/in/suelen-ara%C3%BAjo-15922310a/" xr:uid="{00000000-0004-0000-0700-000096040000}"/>
    <hyperlink ref="BX299" r:id="rId1176" display="https://www.instagram.com/suelenaraujo__/" xr:uid="{00000000-0004-0000-0700-000097040000}"/>
    <hyperlink ref="BY299" r:id="rId1177" display="https://drive.google.com/open?id=1aIakRJrrnNQI6pYM2dTa4tHlJFuSIxES" xr:uid="{00000000-0004-0000-0700-000098040000}"/>
    <hyperlink ref="A300" r:id="rId1178" display="https://gerandofalcoes.my.salesforce.com/0014X00002UGscXQAT" xr:uid="{00000000-0004-0000-0700-000099040000}"/>
    <hyperlink ref="AL300" r:id="rId1179" display="https://gerandofalcoes.my.salesforce.com/0034P000045kxjw" xr:uid="{00000000-0004-0000-0700-00009A040000}"/>
    <hyperlink ref="BY300" r:id="rId1180" display="https://drive.google.com/open?id=1NaqmSUJToXATbOubX9BhwaQha-rH2Hp5" xr:uid="{00000000-0004-0000-0700-00009B040000}"/>
    <hyperlink ref="A301" r:id="rId1181" display="https://gerandofalcoes.my.salesforce.com/0014X00002VKCrMQAX" xr:uid="{00000000-0004-0000-0700-00009C040000}"/>
    <hyperlink ref="AL301" r:id="rId1182" display="https://gerandofalcoes.my.salesforce.com/0034X0000380O0k" xr:uid="{00000000-0004-0000-0700-00009D040000}"/>
    <hyperlink ref="BW301" r:id="rId1183" display="https://www.linkedin.com/in/allana-tamires-canuto-428397197" xr:uid="{00000000-0004-0000-0700-00009E040000}"/>
    <hyperlink ref="BX301" r:id="rId1184" display="https://instagram.com/allana.tamires11?utm_medium=copy_link" xr:uid="{00000000-0004-0000-0700-00009F040000}"/>
    <hyperlink ref="A302" r:id="rId1185" display="https://gerandofalcoes.my.salesforce.com/0014P00003SGWPpQAP" xr:uid="{00000000-0004-0000-0700-0000A0040000}"/>
    <hyperlink ref="AL302" r:id="rId1186" display="https://gerandofalcoes.my.salesforce.com/0034P000043fOnu" xr:uid="{00000000-0004-0000-0700-0000A1040000}"/>
    <hyperlink ref="BW302" r:id="rId1187" display="https://www.instagram.com/liviasilveiraa/?hl=pt-br" xr:uid="{00000000-0004-0000-0700-0000A2040000}"/>
    <hyperlink ref="BX302" r:id="rId1188" display="https://www.instagram.com/liviasilveiraa/" xr:uid="{00000000-0004-0000-0700-0000A3040000}"/>
    <hyperlink ref="BY302" r:id="rId1189" display="https://drive.google.com/open?id=1kHOJza-pShgYhPJVrQCFpf0zSdCllfSP" xr:uid="{00000000-0004-0000-0700-0000A4040000}"/>
    <hyperlink ref="A303" r:id="rId1190" display="https://gerandofalcoes.my.salesforce.com/0014P00003YSp8OQAT" xr:uid="{00000000-0004-0000-0700-0000A5040000}"/>
    <hyperlink ref="AL303" r:id="rId1191" display="https://gerandofalcoes.my.salesforce.com/0034P000045kxiz" xr:uid="{00000000-0004-0000-0700-0000A6040000}"/>
    <hyperlink ref="BX303" r:id="rId1192" display="https://www.instagram.com/pereiradalilla/" xr:uid="{00000000-0004-0000-0700-0000A7040000}"/>
    <hyperlink ref="BY303" r:id="rId1193" display="https://drive.google.com/open?id=1MWcxDyY72LE5a0FAEkrRPESAhcbkJKea" xr:uid="{00000000-0004-0000-0700-0000A8040000}"/>
    <hyperlink ref="A304" r:id="rId1194" display="https://gerandofalcoes.my.salesforce.com/0014X00002VKCt4QAH" xr:uid="{00000000-0004-0000-0700-0000A9040000}"/>
    <hyperlink ref="AL304" r:id="rId1195" display="https://gerandofalcoes.my.salesforce.com/0034X0000380O0y" xr:uid="{00000000-0004-0000-0700-0000AA040000}"/>
    <hyperlink ref="BX304" r:id="rId1196" display="https://www.instagram.com/robertaazevedo2020/" xr:uid="{00000000-0004-0000-0700-0000AB040000}"/>
    <hyperlink ref="BY304" r:id="rId1197" display="https://drive.google.com/open?id=114LbThhw49ODDTSx5kz04NEI_mAj5O6k" xr:uid="{00000000-0004-0000-0700-0000AC040000}"/>
    <hyperlink ref="A305" r:id="rId1198" display="https://gerandofalcoes.my.salesforce.com/0014X00002VKCqfQAH" xr:uid="{00000000-0004-0000-0700-0000AD040000}"/>
    <hyperlink ref="AL305" r:id="rId1199" display="https://gerandofalcoes.my.salesforce.com/0034X0000380O3C" xr:uid="{00000000-0004-0000-0700-0000AE040000}"/>
    <hyperlink ref="BX305" r:id="rId1200" display="https://www.instagram.com/deniseburjack/" xr:uid="{00000000-0004-0000-0700-0000AF040000}"/>
    <hyperlink ref="BY305" r:id="rId1201" display="https://drive.google.com/open?id=1yhjmJSHKLHQ69HPnEz6-zTM0xr_bhItu" xr:uid="{00000000-0004-0000-0700-0000B0040000}"/>
    <hyperlink ref="A306" r:id="rId1202" display="https://gerandofalcoes.my.salesforce.com/0014X00002PUOTvQAP" xr:uid="{00000000-0004-0000-0700-0000B1040000}"/>
    <hyperlink ref="AL306" r:id="rId1203" display="https://gerandofalcoes.my.salesforce.com/0034X000032Hrzz" xr:uid="{00000000-0004-0000-0700-0000B2040000}"/>
    <hyperlink ref="A307" r:id="rId1204" display="https://gerandofalcoes.my.salesforce.com/0014P00003AN2FjQAL" xr:uid="{00000000-0004-0000-0700-0000B3040000}"/>
    <hyperlink ref="AL307" r:id="rId1205" display="https://gerandofalcoes.my.salesforce.com/0034P00003maBV9" xr:uid="{00000000-0004-0000-0700-0000B4040000}"/>
    <hyperlink ref="BW307" r:id="rId1206" display="https://www.linkedin.com/in/nina-cardoso" xr:uid="{00000000-0004-0000-0700-0000B5040000}"/>
    <hyperlink ref="BX307" r:id="rId1207" display="https://instagram.com/nina.cardoso.dias?utm_medium=copy_link" xr:uid="{00000000-0004-0000-0700-0000B6040000}"/>
    <hyperlink ref="BY307" r:id="rId1208" display="https://drive.google.com/open?id=1PY0kMS1OR8X1jAKlWyIYLPZQbzdw4osp" xr:uid="{00000000-0004-0000-0700-0000B7040000}"/>
    <hyperlink ref="A308" r:id="rId1209" display="https://gerandofalcoes.my.salesforce.com/0014P00003AN2FqQAL" xr:uid="{00000000-0004-0000-0700-0000B8040000}"/>
    <hyperlink ref="AL308" r:id="rId1210" display="https://gerandofalcoes.my.salesforce.com/0034P00003maBVH" xr:uid="{00000000-0004-0000-0700-0000B9040000}"/>
    <hyperlink ref="BW308" r:id="rId1211" display="https://br.linkedin.com/in/amanda-oliveira-b197a2178" xr:uid="{00000000-0004-0000-0700-0000BA040000}"/>
    <hyperlink ref="BX308" r:id="rId1212" display="https://instagram.com/amandaoliveiravw?utm_medium=copy_link" xr:uid="{00000000-0004-0000-0700-0000BB040000}"/>
    <hyperlink ref="A309" r:id="rId1213" display="https://gerandofalcoes.my.salesforce.com/0014X00002VKCuHQAX" xr:uid="{00000000-0004-0000-0700-0000BC040000}"/>
    <hyperlink ref="AL309" r:id="rId1214" display="https://gerandofalcoes.my.salesforce.com/0034X0000380O1M" xr:uid="{00000000-0004-0000-0700-0000BD040000}"/>
    <hyperlink ref="BW309" r:id="rId1215" display="https://www.linkedin.com/in/aline-pierrobom-cordeiro-233a8a24/" xr:uid="{00000000-0004-0000-0700-0000BE040000}"/>
    <hyperlink ref="BX309" r:id="rId1216" display="https://www.instagram.com/alinepierrobom" xr:uid="{00000000-0004-0000-0700-0000BF040000}"/>
    <hyperlink ref="BY309" r:id="rId1217" display="https://drive.google.com/open?id=1dkGONLBMSJ4G-fMKSAUskITLQFPX9d6e" xr:uid="{00000000-0004-0000-0700-0000C0040000}"/>
    <hyperlink ref="A310" r:id="rId1218" display="https://gerandofalcoes.my.salesforce.com/0014X00002VKCpAQAX" xr:uid="{00000000-0004-0000-0700-0000C1040000}"/>
    <hyperlink ref="AL310" r:id="rId1219" display="https://gerandofalcoes.my.salesforce.com/0034X0000380O5K" xr:uid="{00000000-0004-0000-0700-0000C2040000}"/>
    <hyperlink ref="BY310" r:id="rId1220" display="https://drive.google.com/open?id=1jzecVy_m4r2ael14vH8L-t37J-W5FfPJ" xr:uid="{00000000-0004-0000-0700-0000C3040000}"/>
    <hyperlink ref="A311" r:id="rId1221" display="https://gerandofalcoes.my.salesforce.com/0014X00002VKCuWQAX" xr:uid="{00000000-0004-0000-0700-0000C4040000}"/>
    <hyperlink ref="AL311" r:id="rId1222" display="https://gerandofalcoes.my.salesforce.com/0034X0000380O3O" xr:uid="{00000000-0004-0000-0700-0000C5040000}"/>
    <hyperlink ref="BY311" r:id="rId1223" display="https://drive.google.com/open?id=1XulEWimax2WJSxW_F8l37ZtUxeeFBgyR" xr:uid="{00000000-0004-0000-0700-0000C6040000}"/>
    <hyperlink ref="A312" r:id="rId1224" display="https://gerandofalcoes.my.salesforce.com/0014X00002VKCqEQAX" xr:uid="{00000000-0004-0000-0700-0000C7040000}"/>
    <hyperlink ref="AL312" r:id="rId1225" display="https://gerandofalcoes.my.salesforce.com/0034X0000380O5U" xr:uid="{00000000-0004-0000-0700-0000C8040000}"/>
    <hyperlink ref="BW312" r:id="rId1226" display="https://www.linkedin.com/learning/" xr:uid="{00000000-0004-0000-0700-0000C9040000}"/>
    <hyperlink ref="BX312" r:id="rId1227" display="https://instagram.com/_lucyenecosta?utm_medium=copy_link" xr:uid="{00000000-0004-0000-0700-0000CA040000}"/>
    <hyperlink ref="BY312" r:id="rId1228" display="https://drive.google.com/open?id=1hTLSR6-GZo1Zve0K8rz16bx8eHgNOLiG" xr:uid="{00000000-0004-0000-0700-0000CB040000}"/>
    <hyperlink ref="A313" r:id="rId1229" display="https://gerandofalcoes.my.salesforce.com/0014X00002VKCtwQAH" xr:uid="{00000000-0004-0000-0700-0000CC040000}"/>
    <hyperlink ref="AL313" r:id="rId1230" display="https://gerandofalcoes.my.salesforce.com/0034X0000380O4h" xr:uid="{00000000-0004-0000-0700-0000CD040000}"/>
    <hyperlink ref="BW313" r:id="rId1231" display="https://www.linkedin.com/in/gilsimaralima/" xr:uid="{00000000-0004-0000-0700-0000CE040000}"/>
    <hyperlink ref="BX313" r:id="rId1232" display="https://instagram.com/gilsimaralima?utm_medium=copy_link" xr:uid="{00000000-0004-0000-0700-0000CF040000}"/>
    <hyperlink ref="BY313" r:id="rId1233" display="https://drive.google.com/open?id=1qHiWuou3ZlcJzMiBF3ERMC3aDTI30Q9g" xr:uid="{00000000-0004-0000-0700-0000D0040000}"/>
    <hyperlink ref="A314" r:id="rId1234" display="https://gerandofalcoes.my.salesforce.com/0014P00003YSp7uQAD" xr:uid="{00000000-0004-0000-0700-0000D1040000}"/>
    <hyperlink ref="AL314" r:id="rId1235" display="https://gerandofalcoes.my.salesforce.com/0034P000045kxiV" xr:uid="{00000000-0004-0000-0700-0000D2040000}"/>
    <hyperlink ref="BW314" r:id="rId1236" display="https://www.linkedin.com/feed/" xr:uid="{00000000-0004-0000-0700-0000D3040000}"/>
    <hyperlink ref="BY314" r:id="rId1237" display="https://drive.google.com/open?id=1-_tSIf9D9gzdv6IZk3xXWeLHveo1BG-j" xr:uid="{00000000-0004-0000-0700-0000D4040000}"/>
    <hyperlink ref="A315" r:id="rId1238" display="https://gerandofalcoes.my.salesforce.com/0014X00002VKCp6QAH" xr:uid="{00000000-0004-0000-0700-0000D5040000}"/>
    <hyperlink ref="AL315" r:id="rId1239" display="https://gerandofalcoes.my.salesforce.com/0034X0000380O2J" xr:uid="{00000000-0004-0000-0700-0000D6040000}"/>
    <hyperlink ref="BW315" r:id="rId1240" display="http://linkedin.com/in/daianny-teles-3a399113a" xr:uid="{00000000-0004-0000-0700-0000D7040000}"/>
    <hyperlink ref="BX315" r:id="rId1241" display="https://www.instagram.com/daiannyteles.arquiteta/?hl=pt-br" xr:uid="{00000000-0004-0000-0700-0000D8040000}"/>
    <hyperlink ref="BY315" r:id="rId1242" display="https://drive.google.com/open?id=1aoeco4DT1rOK7tfWD-uT-laPA73OpPuK" xr:uid="{00000000-0004-0000-0700-0000D9040000}"/>
    <hyperlink ref="A316" r:id="rId1243" display="https://gerandofalcoes.my.salesforce.com/0014P00003SGWPrQAP" xr:uid="{00000000-0004-0000-0700-0000DA040000}"/>
    <hyperlink ref="AL316" r:id="rId1244" display="https://gerandofalcoes.my.salesforce.com/0034P000043fOnw" xr:uid="{00000000-0004-0000-0700-0000DB040000}"/>
    <hyperlink ref="BW316" r:id="rId1245" display="https://br.linkedin.com/" xr:uid="{00000000-0004-0000-0700-0000DC040000}"/>
    <hyperlink ref="BX316" r:id="rId1246" display="http://www.instagram.com/luisamahin" xr:uid="{00000000-0004-0000-0700-0000DD040000}"/>
    <hyperlink ref="BY316" r:id="rId1247" display="https://drive.google.com/open?id=1va0Ijtnwt9-5pEa-NfHCPOP3fE5wPnuk" xr:uid="{00000000-0004-0000-0700-0000DE040000}"/>
    <hyperlink ref="A317" r:id="rId1248" display="https://gerandofalcoes.my.salesforce.com/0014X00002VKCttQAH" xr:uid="{00000000-0004-0000-0700-0000DF040000}"/>
    <hyperlink ref="AL317" r:id="rId1249" display="https://gerandofalcoes.my.salesforce.com/0034X0000380O3Y" xr:uid="{00000000-0004-0000-0700-0000E0040000}"/>
    <hyperlink ref="BX317" r:id="rId1250" display="https://www.instagram.com/fernando_eufigenio/p/CXs3iaQLd4O/?utm_medium=copy_link" xr:uid="{00000000-0004-0000-0700-0000E1040000}"/>
    <hyperlink ref="BY317" r:id="rId1251" display="https://drive.google.com/open?id=14OYEeXNPDyuO4L63ffRh9V8L_Ov9s7nP" xr:uid="{00000000-0004-0000-0700-0000E2040000}"/>
    <hyperlink ref="A318" r:id="rId1252" display="https://gerandofalcoes.my.salesforce.com/0014X00002VKCpfQAH" xr:uid="{00000000-0004-0000-0700-0000E3040000}"/>
    <hyperlink ref="AL318" r:id="rId1253" display="https://gerandofalcoes.my.salesforce.com/0034X0000380O2h" xr:uid="{00000000-0004-0000-0700-0000E4040000}"/>
    <hyperlink ref="BY318" r:id="rId1254" display="https://drive.google.com/open?id=1SxiKyqV2xOHzIIozN5Ma7V_EM0lvm5jn" xr:uid="{00000000-0004-0000-0700-0000E5040000}"/>
    <hyperlink ref="A319" r:id="rId1255" display="https://gerandofalcoes.my.salesforce.com/0014X00002VKCuCQAX" xr:uid="{00000000-0004-0000-0700-0000E6040000}"/>
    <hyperlink ref="AL319" r:id="rId1256" display="https://gerandofalcoes.my.salesforce.com/0034X0000380O0i" xr:uid="{00000000-0004-0000-0700-0000E7040000}"/>
    <hyperlink ref="BX319" r:id="rId1257" display="https://www.instagram.com/roselymaria.oliveira/" xr:uid="{00000000-0004-0000-0700-0000E8040000}"/>
    <hyperlink ref="BY319" r:id="rId1258" display="https://drive.google.com/open?id=1knf9y3pOdm4Qi-UakzEVPYcG-jYz-p3s" xr:uid="{00000000-0004-0000-0700-0000E9040000}"/>
    <hyperlink ref="A320" r:id="rId1259" display="https://gerandofalcoes.my.salesforce.com/0014X00002VKCtrQAH" xr:uid="{00000000-0004-0000-0700-0000EA040000}"/>
    <hyperlink ref="AL320" r:id="rId1260" display="https://gerandofalcoes.my.salesforce.com/0034X0000380O1Y" xr:uid="{00000000-0004-0000-0700-0000EB040000}"/>
    <hyperlink ref="BW320" r:id="rId1261" display="https://www.linkedin.com/in/elainecorreamkt/" xr:uid="{00000000-0004-0000-0700-0000EC040000}"/>
    <hyperlink ref="BX320" r:id="rId1262" display="https://www.instagram.com/nanicorrea/" xr:uid="{00000000-0004-0000-0700-0000ED040000}"/>
    <hyperlink ref="BY320" r:id="rId1263" display="https://drive.google.com/open?id=1pqnyuJ25omkallO4lvBzIKmqUAvtSB7B" xr:uid="{00000000-0004-0000-0700-0000EE040000}"/>
    <hyperlink ref="A321" r:id="rId1264" display="https://gerandofalcoes.my.salesforce.com/0014P00003AN2GMQA1" xr:uid="{00000000-0004-0000-0700-0000EF040000}"/>
    <hyperlink ref="AL321" r:id="rId1265" display="https://gerandofalcoes.my.salesforce.com/0034P00003maBVr" xr:uid="{00000000-0004-0000-0700-0000F0040000}"/>
    <hyperlink ref="BX321" r:id="rId1266" display="https://www.instagram.com/ducifpereira/" xr:uid="{00000000-0004-0000-0700-0000F1040000}"/>
    <hyperlink ref="BY321" r:id="rId1267" display="https://drive.google.com/open?id=1Z7g0O8jNzhBBXqpVxRAfTjxnSBfS2s8p" xr:uid="{00000000-0004-0000-0700-0000F2040000}"/>
    <hyperlink ref="A322" r:id="rId1268" display="https://gerandofalcoes.my.salesforce.com/0014X00002VKCqYQAX" xr:uid="{00000000-0004-0000-0700-0000F3040000}"/>
    <hyperlink ref="AL322" r:id="rId1269" display="https://gerandofalcoes.my.salesforce.com/0034X0000380O5N" xr:uid="{00000000-0004-0000-0700-0000F4040000}"/>
    <hyperlink ref="BX322" r:id="rId1270" display="https://www.instagram.com/tv/CW1d4PoJ9i3uLim6a8kU-pTEolYDhGriBcV9d80/?utm_medium=copy_link" xr:uid="{00000000-0004-0000-0700-0000F5040000}"/>
    <hyperlink ref="BY322" r:id="rId1271" display="https://drive.google.com/open?id=1yX6dSqsLb4mbbeget4N1u8fCSs0p3Av3" xr:uid="{00000000-0004-0000-0700-0000F6040000}"/>
    <hyperlink ref="A323" r:id="rId1272" display="https://gerandofalcoes.my.salesforce.com/0014P00003YSp9PQAT" xr:uid="{00000000-0004-0000-0700-0000F7040000}"/>
    <hyperlink ref="AL323" r:id="rId1273" display="https://gerandofalcoes.my.salesforce.com/0034P000045kxk1" xr:uid="{00000000-0004-0000-0700-0000F8040000}"/>
    <hyperlink ref="BX323" r:id="rId1274" display="https://instagram.com/nara_sonallio?igshid=YmMyMTA2M2Y=" xr:uid="{00000000-0004-0000-0700-0000F9040000}"/>
    <hyperlink ref="BY323" r:id="rId1275" display="https://drive.google.com/open?id=1uZ7aENswb1PuUtQw8-h2ccrObgSO7Rgx" xr:uid="{00000000-0004-0000-0700-0000FA040000}"/>
    <hyperlink ref="A324" r:id="rId1276" display="https://gerandofalcoes.my.salesforce.com/0014P00003AN2FYQA1" xr:uid="{00000000-0004-0000-0700-0000FB040000}"/>
    <hyperlink ref="AL324" r:id="rId1277" display="https://gerandofalcoes.my.salesforce.com/0034P00003maBVU" xr:uid="{00000000-0004-0000-0700-0000FC040000}"/>
    <hyperlink ref="A325" r:id="rId1278" display="https://gerandofalcoes.my.salesforce.com/0014X00002VKCr1QAH" xr:uid="{00000000-0004-0000-0700-0000FD040000}"/>
    <hyperlink ref="AL325" r:id="rId1279" display="https://gerandofalcoes.my.salesforce.com/0034X0000380O2t" xr:uid="{00000000-0004-0000-0700-0000FE040000}"/>
    <hyperlink ref="BX325" r:id="rId1280" display="https://www.instagram.com/tulio_damascena/" xr:uid="{00000000-0004-0000-0700-0000FF040000}"/>
    <hyperlink ref="BY325" r:id="rId1281" display="https://drive.google.com/open?id=1NcpScJnQR89BwYfeq5xujf8SrmWcrB42" xr:uid="{00000000-0004-0000-0700-000000050000}"/>
    <hyperlink ref="A326" r:id="rId1282" display="https://gerandofalcoes.my.salesforce.com/0014P00003YSpA2QAL" xr:uid="{00000000-0004-0000-0700-000001050000}"/>
    <hyperlink ref="AL326" r:id="rId1283" display="https://gerandofalcoes.my.salesforce.com/0034P000045kxke" xr:uid="{00000000-0004-0000-0700-000002050000}"/>
    <hyperlink ref="BX326" r:id="rId1284" display="https://instagram.com/dah.7674?igshid=YmMyMTA2M2Y=" xr:uid="{00000000-0004-0000-0700-000003050000}"/>
    <hyperlink ref="BY326" r:id="rId1285" display="https://drive.google.com/open?id=1ZH678H0YJevNusdsU4QirS0KmALi7kLa" xr:uid="{00000000-0004-0000-0700-000004050000}"/>
    <hyperlink ref="A327" r:id="rId1286" display="https://gerandofalcoes.my.salesforce.com/0014P00003AN2FbQAL" xr:uid="{00000000-0004-0000-0700-000005050000}"/>
    <hyperlink ref="AL327" r:id="rId1287" display="https://gerandofalcoes.my.salesforce.com/0034P00003maBV1" xr:uid="{00000000-0004-0000-0700-000006050000}"/>
    <hyperlink ref="BW327" r:id="rId1288" display="https://www.linkedin.com/in/andr%C3%A9-felipe-0baa0a1a4/" xr:uid="{00000000-0004-0000-0700-000007050000}"/>
    <hyperlink ref="BX327" r:id="rId1289" display="https://instagram.com/andredasaguias?utm_medium=copy_link" xr:uid="{00000000-0004-0000-0700-000008050000}"/>
    <hyperlink ref="BY327" r:id="rId1290" display="https://drive.google.com/open?id=1pCja-Trkck6fHB43ploI9confDloy1fD" xr:uid="{00000000-0004-0000-0700-000009050000}"/>
    <hyperlink ref="A328" r:id="rId1291" display="https://gerandofalcoes.my.salesforce.com/0014X00002VKCp2QAH" xr:uid="{00000000-0004-0000-0700-00000A050000}"/>
    <hyperlink ref="AL328" r:id="rId1292" display="https://gerandofalcoes.my.salesforce.com/0034X0000380O0d" xr:uid="{00000000-0004-0000-0700-00000B050000}"/>
    <hyperlink ref="BW328" r:id="rId1293" display="http://www.linkedin.com/in/auc%C3%ADlia-maria-silva-51a966161/" xr:uid="{00000000-0004-0000-0700-00000C050000}"/>
    <hyperlink ref="BX328" r:id="rId1294" display="http://www.instagram.com/auciliamaria_27/?hl=pt-br" xr:uid="{00000000-0004-0000-0700-00000D050000}"/>
    <hyperlink ref="BY328" r:id="rId1295" display="https://drive.google.com/open?id=1w7ZIPdjBfE10twZRAsU8knj-QGt-mRFB" xr:uid="{00000000-0004-0000-0700-00000E050000}"/>
    <hyperlink ref="A329" r:id="rId1296" display="https://gerandofalcoes.my.salesforce.com/0014X00002VKCqLQAX" xr:uid="{00000000-0004-0000-0700-00000F050000}"/>
    <hyperlink ref="AL329" r:id="rId1297" display="https://gerandofalcoes.my.salesforce.com/0034X0000380O17" xr:uid="{00000000-0004-0000-0700-000010050000}"/>
    <hyperlink ref="BY329" r:id="rId1298" display="https://drive.google.com/open?id=1J_HSc8fdB1ONZwFRbb9iBarbUCwDhRQ8" xr:uid="{00000000-0004-0000-0700-000011050000}"/>
    <hyperlink ref="A330" r:id="rId1299" display="https://gerandofalcoes.my.salesforce.com/0014P00003YSp7oQAD" xr:uid="{00000000-0004-0000-0700-000012050000}"/>
    <hyperlink ref="AL330" r:id="rId1300" display="https://gerandofalcoes.my.salesforce.com/0034P000045kxiP" xr:uid="{00000000-0004-0000-0700-000013050000}"/>
    <hyperlink ref="BY330" r:id="rId1301" display="https://drive.google.com/open?id=1cXF_Nq_oxUqIxORGcpK3B7r5HZZ3ZcN5" xr:uid="{00000000-0004-0000-0700-000014050000}"/>
    <hyperlink ref="A331" r:id="rId1302" display="https://gerandofalcoes.my.salesforce.com/0014P00003AN2GNQA1" xr:uid="{00000000-0004-0000-0700-000015050000}"/>
    <hyperlink ref="AL331" r:id="rId1303" display="https://gerandofalcoes.my.salesforce.com/0034P00003maBVs" xr:uid="{00000000-0004-0000-0700-000016050000}"/>
    <hyperlink ref="BX331" r:id="rId1304" display="https://instagram.com/leoogrito?r=nametag" xr:uid="{00000000-0004-0000-0700-000017050000}"/>
    <hyperlink ref="A332" r:id="rId1305" display="https://gerandofalcoes.my.salesforce.com/0014P00003YSp7nQAD" xr:uid="{00000000-0004-0000-0700-000018050000}"/>
    <hyperlink ref="AL332" r:id="rId1306" display="https://gerandofalcoes.my.salesforce.com/0034P000045kxiO" xr:uid="{00000000-0004-0000-0700-000019050000}"/>
    <hyperlink ref="BX332" r:id="rId1307" display="https://instagram.com/ca1olima?utm_medium=copy_link" xr:uid="{00000000-0004-0000-0700-00001A050000}"/>
    <hyperlink ref="BY332" r:id="rId1308" display="https://drive.google.com/open?id=1_kc8tmQv-q03Dp2MDK56rQjWYl55VBBg" xr:uid="{00000000-0004-0000-0700-00001B050000}"/>
    <hyperlink ref="A333" r:id="rId1309" display="https://gerandofalcoes.my.salesforce.com/0014P00003SGWQJQA5" xr:uid="{00000000-0004-0000-0700-00001C050000}"/>
    <hyperlink ref="AL333" r:id="rId1310" display="https://gerandofalcoes.my.salesforce.com/0034P000043fOoJ" xr:uid="{00000000-0004-0000-0700-00001D050000}"/>
    <hyperlink ref="BW333" r:id="rId1311" display="https://www.linkedin.com/in/uelitonrocha" xr:uid="{00000000-0004-0000-0700-00001E050000}"/>
    <hyperlink ref="BX333" r:id="rId1312" display="https://www.instagram.com/uelitonrochaoficial" xr:uid="{00000000-0004-0000-0700-00001F050000}"/>
    <hyperlink ref="BY333" r:id="rId1313" display="https://drive.google.com/open?id=1AvS6wJ80UsYBqa4RUeBU_ww6Mb6VcdWw" xr:uid="{00000000-0004-0000-0700-000020050000}"/>
    <hyperlink ref="A334" r:id="rId1314" display="https://gerandofalcoes.my.salesforce.com/0014X00002VKCq0QAH" xr:uid="{00000000-0004-0000-0700-000021050000}"/>
    <hyperlink ref="AL334" r:id="rId1315" display="https://gerandofalcoes.my.salesforce.com/0034X0000380O5i" xr:uid="{00000000-0004-0000-0700-000022050000}"/>
    <hyperlink ref="BX334" r:id="rId1316" display="https://www.instagram.com/gleysonanderson23/" xr:uid="{00000000-0004-0000-0700-000023050000}"/>
    <hyperlink ref="BY334" r:id="rId1317" display="https://drive.google.com/open?id=10xPON_uVNHGixJz7F7l-m8L-x7YfCs_N" xr:uid="{00000000-0004-0000-0700-000024050000}"/>
    <hyperlink ref="A335" r:id="rId1318" display="https://gerandofalcoes.my.salesforce.com/0014X00002VKCpCQAX" xr:uid="{00000000-0004-0000-0700-000025050000}"/>
    <hyperlink ref="AL335" r:id="rId1319" display="https://gerandofalcoes.my.salesforce.com/0034X0000380O5E" xr:uid="{00000000-0004-0000-0700-000026050000}"/>
    <hyperlink ref="BY335" r:id="rId1320" display="https://drive.google.com/open?id=12EIlbhwv7Oh6PfQRBXXbGRUSfhmHsmCb" xr:uid="{00000000-0004-0000-0700-000027050000}"/>
    <hyperlink ref="A336" r:id="rId1321" display="https://gerandofalcoes.my.salesforce.com/0014X00002VKCuNQAX" xr:uid="{00000000-0004-0000-0700-000028050000}"/>
    <hyperlink ref="AL336" r:id="rId1322" display="https://gerandofalcoes.my.salesforce.com/0034X0000380O1E" xr:uid="{00000000-0004-0000-0700-000029050000}"/>
    <hyperlink ref="BX336" r:id="rId1323" display="https://instagram.com/negrao.anderson?r=nametag" xr:uid="{00000000-0004-0000-0700-00002A050000}"/>
    <hyperlink ref="BY336" r:id="rId1324" display="https://drive.google.com/open?id=1i8tO4eXLd83t9Etkl39St9KyLJdW2wwg" xr:uid="{00000000-0004-0000-0700-00002B050000}"/>
    <hyperlink ref="A337" r:id="rId1325" display="https://gerandofalcoes.my.salesforce.com/0014P00003YSp9mQAD" xr:uid="{00000000-0004-0000-0700-00002C050000}"/>
    <hyperlink ref="AL337" r:id="rId1326" display="https://gerandofalcoes.my.salesforce.com/0034P000045kxkO" xr:uid="{00000000-0004-0000-0700-00002D050000}"/>
    <hyperlink ref="BX337" r:id="rId1327" display="http://instagram.com/carla.rodriguesms" xr:uid="{00000000-0004-0000-0700-00002E050000}"/>
    <hyperlink ref="BY337" r:id="rId1328" display="https://drive.google.com/open?id=16c95grNRgvjKFGcyS0g157IQSFrActyP" xr:uid="{00000000-0004-0000-0700-00002F050000}"/>
    <hyperlink ref="A338" r:id="rId1329" display="https://gerandofalcoes.my.salesforce.com/0014P00003AN2G1QAL" xr:uid="{00000000-0004-0000-0700-000030050000}"/>
    <hyperlink ref="AL338" r:id="rId1330" display="https://gerandofalcoes.my.salesforce.com/0034P00003maBVV" xr:uid="{00000000-0004-0000-0700-000031050000}"/>
    <hyperlink ref="BY338" r:id="rId1331" display="https://drive.google.com/open?id=1DbeysCamRKbMPNKy6N8-CB_ga-BzCG6x" xr:uid="{00000000-0004-0000-0700-000032050000}"/>
    <hyperlink ref="A339" r:id="rId1332" display="https://gerandofalcoes.my.salesforce.com/0014X00002PUOaDQAX" xr:uid="{00000000-0004-0000-0700-000033050000}"/>
    <hyperlink ref="AL339" r:id="rId1333" display="https://gerandofalcoes.my.salesforce.com/0034X000032HsDd" xr:uid="{00000000-0004-0000-0700-000034050000}"/>
    <hyperlink ref="BW339" r:id="rId1334" display="https://www.linkedin.com/in/projeto-os-sonhadores-fernand%C3%B3polis-214b35200/" xr:uid="{00000000-0004-0000-0700-000035050000}"/>
    <hyperlink ref="BX339" r:id="rId1335" display="https://www.instagram.com/juhalves98/" xr:uid="{00000000-0004-0000-0700-000036050000}"/>
    <hyperlink ref="BY339" r:id="rId1336" display="https://drive.google.com/open?id=1yPAfU7NiOiHCtCgAYlXpFLL2cCYucTG-" xr:uid="{00000000-0004-0000-0700-000037050000}"/>
    <hyperlink ref="A340" r:id="rId1337" display="https://gerandofalcoes.my.salesforce.com/0014P00003SGWQAQA5" xr:uid="{00000000-0004-0000-0700-000038050000}"/>
    <hyperlink ref="AL340" r:id="rId1338" display="https://gerandofalcoes.my.salesforce.com/0034P000043fOoB" xr:uid="{00000000-0004-0000-0700-000039050000}"/>
    <hyperlink ref="BW340" r:id="rId1339" display="https://www.linkedin.com/in/sadraque-albino-de-souza-57600871/" xr:uid="{00000000-0004-0000-0700-00003A050000}"/>
    <hyperlink ref="BX340" r:id="rId1340" display="http://instagram.com/sadraquealbino" xr:uid="{00000000-0004-0000-0700-00003B050000}"/>
    <hyperlink ref="BY340" r:id="rId1341" display="https://drive.google.com/open?id=1P-KQuNedF15j1__Lyg8wOUMl6U3_f0H2" xr:uid="{00000000-0004-0000-0700-00003C050000}"/>
    <hyperlink ref="A341" r:id="rId1342" display="https://gerandofalcoes.my.salesforce.com/0014X00002VKCueQAH" xr:uid="{00000000-0004-0000-0700-00003D050000}"/>
    <hyperlink ref="AL341" r:id="rId1343" display="https://gerandofalcoes.my.salesforce.com/0034X0000380O1I" xr:uid="{00000000-0004-0000-0700-00003E050000}"/>
    <hyperlink ref="BW341" r:id="rId1344" display="http://linkedin.com/in/institutonawa" xr:uid="{00000000-0004-0000-0700-00003F050000}"/>
    <hyperlink ref="BY341" r:id="rId1345" display="https://drive.google.com/open?id=19q4jDxBhv5lSMysDKMnqKn4pad3AEp5A" xr:uid="{00000000-0004-0000-0700-000040050000}"/>
    <hyperlink ref="A342" r:id="rId1346" display="https://gerandofalcoes.my.salesforce.com/0014X00002VKCseQAH" xr:uid="{00000000-0004-0000-0700-000041050000}"/>
    <hyperlink ref="AL342" r:id="rId1347" display="https://gerandofalcoes.my.salesforce.com/0034X0000380O3J" xr:uid="{00000000-0004-0000-0700-000042050000}"/>
    <hyperlink ref="BY342" r:id="rId1348" display="https://drive.google.com/open?id=1LSeWpAYeYt-11CkpjLIFwsam5QN6fluS" xr:uid="{00000000-0004-0000-0700-000043050000}"/>
    <hyperlink ref="A343" r:id="rId1349" display="https://gerandofalcoes.my.salesforce.com/0014X00002VKCphQAH" xr:uid="{00000000-0004-0000-0700-000044050000}"/>
    <hyperlink ref="AL343" r:id="rId1350" display="https://gerandofalcoes.my.salesforce.com/0034X0000380O4y" xr:uid="{00000000-0004-0000-0700-000045050000}"/>
    <hyperlink ref="BX343" r:id="rId1351" display="https://www.instagram.com/alexsandro_pereira123/" xr:uid="{00000000-0004-0000-0700-000046050000}"/>
    <hyperlink ref="BY343" r:id="rId1352" display="https://drive.google.com/open?id=1q-agZp08I5VaRJ1fzWpFPO5w-O5SGTix" xr:uid="{00000000-0004-0000-0700-000047050000}"/>
    <hyperlink ref="A344" r:id="rId1353" display="https://gerandofalcoes.my.salesforce.com/0014X00002VKCpqQAH" xr:uid="{00000000-0004-0000-0700-000048050000}"/>
    <hyperlink ref="AL344" r:id="rId1354" display="https://gerandofalcoes.my.salesforce.com/0034X0000380O5q" xr:uid="{00000000-0004-0000-0700-000049050000}"/>
    <hyperlink ref="BX344" r:id="rId1355" display="https://instagram.com/lamocamodaeacessorio?utm_medium=copy_link" xr:uid="{00000000-0004-0000-0700-00004A050000}"/>
    <hyperlink ref="BY344" r:id="rId1356" display="https://drive.google.com/open?id=1DEHDZDM4tdR1Er_CNaNX3APZylQ1vCxm" xr:uid="{00000000-0004-0000-0700-00004B050000}"/>
    <hyperlink ref="A345" r:id="rId1357" display="https://gerandofalcoes.my.salesforce.com/0014X00002VKCpgQAH" xr:uid="{00000000-0004-0000-0700-00004C050000}"/>
    <hyperlink ref="AL345" r:id="rId1358" display="https://gerandofalcoes.my.salesforce.com/0034X0000380O4R" xr:uid="{00000000-0004-0000-0700-00004D050000}"/>
    <hyperlink ref="BW345" r:id="rId1359" display="https://www.linkedin.com/in/welitonsimao/" xr:uid="{00000000-0004-0000-0700-00004E050000}"/>
    <hyperlink ref="BX345" r:id="rId1360" display="https://www.instagram.com/welitonssimao/" xr:uid="{00000000-0004-0000-0700-00004F050000}"/>
    <hyperlink ref="BY345" r:id="rId1361" display="https://drive.google.com/open?id=1BNEGMU58VHaM7IeFqqseoC18H8oKQ52q" xr:uid="{00000000-0004-0000-0700-000050050000}"/>
    <hyperlink ref="A346" r:id="rId1362" display="https://gerandofalcoes.my.salesforce.com/0014P00003YSp99QAD" xr:uid="{00000000-0004-0000-0700-000051050000}"/>
    <hyperlink ref="AL346" r:id="rId1363" display="https://gerandofalcoes.my.salesforce.com/0034P000045kxjl" xr:uid="{00000000-0004-0000-0700-000052050000}"/>
    <hyperlink ref="BW346" r:id="rId1364" display="https://www.linkedin.com/in/jhonata-pereira-28b32654/" xr:uid="{00000000-0004-0000-0700-000053050000}"/>
    <hyperlink ref="BX346" r:id="rId1365" display="https://www.instagram.com/jhowroots17/" xr:uid="{00000000-0004-0000-0700-000054050000}"/>
    <hyperlink ref="BY346" r:id="rId1366" display="https://drive.google.com/open?id=1FmFANdpkSLGdP-0QEfMSlQjD_rx3l5Sy" xr:uid="{00000000-0004-0000-0700-000055050000}"/>
    <hyperlink ref="A347" r:id="rId1367" display="https://gerandofalcoes.my.salesforce.com/0014P00003SGWQDQA5" xr:uid="{00000000-0004-0000-0700-000056050000}"/>
    <hyperlink ref="AL347" r:id="rId1368" display="https://gerandofalcoes.my.salesforce.com/0034P000043fPDp" xr:uid="{00000000-0004-0000-0700-000057050000}"/>
    <hyperlink ref="BX347" r:id="rId1369" display="https://www.instagram.com/sararoyernp/" xr:uid="{00000000-0004-0000-0700-000058050000}"/>
    <hyperlink ref="BY347" r:id="rId1370" display="https://drive.google.com/open?id=1f9eXomrR741q31ASOtg_LXlgCekiEKiD" xr:uid="{00000000-0004-0000-0700-000059050000}"/>
    <hyperlink ref="A348" r:id="rId1371" display="https://gerandofalcoes.my.salesforce.com/0014P00003SGWPuQAP" xr:uid="{00000000-0004-0000-0700-00005A050000}"/>
    <hyperlink ref="AL348" r:id="rId1372" display="https://gerandofalcoes.my.salesforce.com/0034P000043fPDm" xr:uid="{00000000-0004-0000-0700-00005B050000}"/>
    <hyperlink ref="BW348" r:id="rId1373" display="https://www.linkedin.com/in/maria-raquel-9a561b112/" xr:uid="{00000000-0004-0000-0700-00005C050000}"/>
    <hyperlink ref="BX348" r:id="rId1374" display="https://instagram.com/ma.raquelcabral?igshid=YmMyMTA2M2Y=" xr:uid="{00000000-0004-0000-0700-00005D050000}"/>
    <hyperlink ref="BY348" r:id="rId1375" display="https://drive.google.com/open?id=1MEwwFouE4hHuMneSc9kUDlcYFqZNEA3Y" xr:uid="{00000000-0004-0000-0700-00005E050000}"/>
    <hyperlink ref="A349" r:id="rId1376" display="https://gerandofalcoes.my.salesforce.com/0014X00002VKCtFQAX" xr:uid="{00000000-0004-0000-0700-00005F050000}"/>
    <hyperlink ref="AL349" r:id="rId1377" display="https://gerandofalcoes.my.salesforce.com/0034X0000380O6N" xr:uid="{00000000-0004-0000-0700-000060050000}"/>
    <hyperlink ref="BW349" r:id="rId1378" display="https://www.linkedin.com/in/carlos-moura-272b652a" xr:uid="{00000000-0004-0000-0700-000061050000}"/>
    <hyperlink ref="BY349" r:id="rId1379" display="https://drive.google.com/open?id=1hccLlmbhW8G5_N-A4CZhKK_51LSWNCXu" xr:uid="{00000000-0004-0000-0700-000062050000}"/>
    <hyperlink ref="A350" r:id="rId1380" display="https://gerandofalcoes.my.salesforce.com/0014X00002QTWZVQA5" xr:uid="{00000000-0004-0000-0700-000063050000}"/>
    <hyperlink ref="AL350" r:id="rId1381" display="https://gerandofalcoes.my.salesforce.com/0034X000033zzZd" xr:uid="{00000000-0004-0000-0700-000064050000}"/>
    <hyperlink ref="BW350" r:id="rId1382" display="https://www.linkedin.com/in/zilda-souza-940792224/" xr:uid="{00000000-0004-0000-0700-000065050000}"/>
    <hyperlink ref="BX350" r:id="rId1383" display="https://www.instagram.com/zilldasouza/" xr:uid="{00000000-0004-0000-0700-000066050000}"/>
    <hyperlink ref="BY350" r:id="rId1384" display="https://drive.google.com/open?id=1-qvgmOicpJPtEdLI1ygh-OGRYsMVFqZ1" xr:uid="{00000000-0004-0000-0700-000067050000}"/>
    <hyperlink ref="A351" r:id="rId1385" display="https://gerandofalcoes.my.salesforce.com/0014P00003YSp8FQAT" xr:uid="{00000000-0004-0000-0700-000068050000}"/>
    <hyperlink ref="AL351" r:id="rId1386" display="https://gerandofalcoes.my.salesforce.com/0034P000045kxiq" xr:uid="{00000000-0004-0000-0700-000069050000}"/>
    <hyperlink ref="BX351" r:id="rId1387" display="http://instagram.com/eliana.emarca" xr:uid="{00000000-0004-0000-0700-00006A050000}"/>
    <hyperlink ref="BY351" r:id="rId1388" display="https://drive.google.com/open?id=1dx6OilGI5hmvXndQWUC9nmaQYo6rbARY" xr:uid="{00000000-0004-0000-0700-00006B050000}"/>
    <hyperlink ref="A352" r:id="rId1389" display="https://gerandofalcoes.my.salesforce.com/0014P00003YSp7vQAD" xr:uid="{00000000-0004-0000-0700-00006C050000}"/>
    <hyperlink ref="AL352" r:id="rId1390" display="https://gerandofalcoes.my.salesforce.com/0034P000045kxiW" xr:uid="{00000000-0004-0000-0700-00006D050000}"/>
    <hyperlink ref="BW352" r:id="rId1391" display="https://www.linkedin.com/in/ericadovale/" xr:uid="{00000000-0004-0000-0700-00006E050000}"/>
    <hyperlink ref="BX352" r:id="rId1392" display="https://www.instagram.com/stories/_ericadovale" xr:uid="{00000000-0004-0000-0700-00006F050000}"/>
    <hyperlink ref="BY352" r:id="rId1393" display="https://drive.google.com/open?id=1AxWHKAn-mY2FmEIRB84FwM0NvERgP7Fm" xr:uid="{00000000-0004-0000-0700-000070050000}"/>
    <hyperlink ref="A353" r:id="rId1394" display="https://gerandofalcoes.my.salesforce.com/0014P00003SGWPjQAP" xr:uid="{00000000-0004-0000-0700-000071050000}"/>
    <hyperlink ref="AL353" r:id="rId1395" display="https://gerandofalcoes.my.salesforce.com/0034P000043fOnq" xr:uid="{00000000-0004-0000-0700-000072050000}"/>
    <hyperlink ref="BY353" r:id="rId1396" display="https://drive.google.com/open?id=1zcknCxc03z_TIXMQQX0ezbsILS9ev3RC" xr:uid="{00000000-0004-0000-0700-000073050000}"/>
    <hyperlink ref="A354" r:id="rId1397" display="https://gerandofalcoes.my.salesforce.com/0014P00003AN2FuQAL" xr:uid="{00000000-0004-0000-0700-000074050000}"/>
    <hyperlink ref="AL354" r:id="rId1398" display="https://gerandofalcoes.my.salesforce.com/0034P00003maBVL" xr:uid="{00000000-0004-0000-0700-000075050000}"/>
    <hyperlink ref="BW354" r:id="rId1399" display="https://www.linkedin.com/in/cintiasantanna1/" xr:uid="{00000000-0004-0000-0700-000076050000}"/>
    <hyperlink ref="BX354" r:id="rId1400" display="https://instagram.com/cinsantanaecf?utm_medium=copy_link" xr:uid="{00000000-0004-0000-0700-000077050000}"/>
    <hyperlink ref="BY354" r:id="rId1401" display="https://drive.google.com/open?id=149-t5KDdU-ThjbJi8Q__rsau8Il3CISt" xr:uid="{00000000-0004-0000-0700-000078050000}"/>
    <hyperlink ref="A355" r:id="rId1402" display="https://gerandofalcoes.my.salesforce.com/0014P00003YSp8RQAT" xr:uid="{00000000-0004-0000-0700-000079050000}"/>
    <hyperlink ref="AL355" r:id="rId1403" display="https://gerandofalcoes.my.salesforce.com/0034P000045kxj2" xr:uid="{00000000-0004-0000-0700-00007A050000}"/>
    <hyperlink ref="BW355" r:id="rId1404" display="https://www.linkedin.com/in/daniela-generoso-63671a1a5" xr:uid="{00000000-0004-0000-0700-00007B050000}"/>
    <hyperlink ref="BX355" r:id="rId1405" display="https://instagram.com/psidanielageneroso?utm_medium=copy_link" xr:uid="{00000000-0004-0000-0700-00007C050000}"/>
    <hyperlink ref="BY355" r:id="rId1406" display="https://drive.google.com/open?id=1RPiNrFgwIbj924CRPuiMfmwuDj4DYHxo" xr:uid="{00000000-0004-0000-0700-00007D050000}"/>
    <hyperlink ref="A356" r:id="rId1407" display="https://gerandofalcoes.my.salesforce.com/0014P00003YSpAHQA1" xr:uid="{00000000-0004-0000-0700-00007E050000}"/>
    <hyperlink ref="AL356" r:id="rId1408" display="https://gerandofalcoes.my.salesforce.com/0034P000045kxkt" xr:uid="{00000000-0004-0000-0700-00007F050000}"/>
    <hyperlink ref="BY356" r:id="rId1409" display="https://drive.google.com/open?id=1mMffRIe5BYQ4hHXtx6OkSMkjyXX_ndYh" xr:uid="{00000000-0004-0000-0700-000080050000}"/>
    <hyperlink ref="A357" r:id="rId1410" display="https://gerandofalcoes.my.salesforce.com/0014P00003YSpA7QAL" xr:uid="{00000000-0004-0000-0700-000081050000}"/>
    <hyperlink ref="AL357" r:id="rId1411" display="https://gerandofalcoes.my.salesforce.com/0034P000045kxkj" xr:uid="{00000000-0004-0000-0700-000082050000}"/>
    <hyperlink ref="BX357" r:id="rId1412" display="https://www.instagram.com/futsal_sem_drogas/?hl=pt-br" xr:uid="{00000000-0004-0000-0700-000083050000}"/>
    <hyperlink ref="BY357" r:id="rId1413" display="https://drive.google.com/open?id=1P6wpHD7tOkz9wHxIZpwnAvA80x2YF1ce" xr:uid="{00000000-0004-0000-0700-000084050000}"/>
    <hyperlink ref="A358" r:id="rId1414" display="https://gerandofalcoes.my.salesforce.com/0014P00003YSp9LQAT" xr:uid="{00000000-0004-0000-0700-000085050000}"/>
    <hyperlink ref="AL358" r:id="rId1415" display="https://gerandofalcoes.my.salesforce.com/0034P000045kxjx" xr:uid="{00000000-0004-0000-0700-000086050000}"/>
    <hyperlink ref="BW358" r:id="rId1416" display="https://www.linkedin.com/in/geraldo-souza-52863a134/" xr:uid="{00000000-0004-0000-0700-000087050000}"/>
    <hyperlink ref="BY358" r:id="rId1417" display="https://drive.google.com/open?id=1xgcb30nm2w755Xhxo_7gMJbd5bi1ggI2" xr:uid="{00000000-0004-0000-0700-000088050000}"/>
    <hyperlink ref="A359" r:id="rId1418" display="https://gerandofalcoes.my.salesforce.com/0014P00003Ck7X8QAJ" xr:uid="{00000000-0004-0000-0700-000089050000}"/>
    <hyperlink ref="AL359" r:id="rId1419" display="https://gerandofalcoes.my.salesforce.com/0034P00003q10qj" xr:uid="{00000000-0004-0000-0700-00008A050000}"/>
    <hyperlink ref="BX359" r:id="rId1420" display="https://www.instagram.com/dener_marcos_xavier/" xr:uid="{00000000-0004-0000-0700-00008B050000}"/>
    <hyperlink ref="BY359" r:id="rId1421" display="https://drive.google.com/open?id=1qJOYwb1C9NFlkPliwPxCjsfAUa85gc9S" xr:uid="{00000000-0004-0000-0700-00008C050000}"/>
    <hyperlink ref="A360" r:id="rId1422" display="https://gerandofalcoes.my.salesforce.com/0014P00003AN2FvQAL" xr:uid="{00000000-0004-0000-0700-00008D050000}"/>
    <hyperlink ref="AL360" r:id="rId1423" display="https://gerandofalcoes.my.salesforce.com/0034P00003maCd8" xr:uid="{00000000-0004-0000-0700-00008E050000}"/>
    <hyperlink ref="BW360" r:id="rId1424" display="https://www.linkedin.com/in/ana-paula-de-souza-5b7a7b216/" xr:uid="{00000000-0004-0000-0700-00008F050000}"/>
    <hyperlink ref="BX360" r:id="rId1425" display="https://www.instagram.com/anapaulasouza_rn/" xr:uid="{00000000-0004-0000-0700-000090050000}"/>
    <hyperlink ref="BY360" r:id="rId1426" display="https://drive.google.com/open?id=1WC5XX3ZVNeAUzSqrW9n9PbtAnflJkpq3" xr:uid="{00000000-0004-0000-0700-000091050000}"/>
    <hyperlink ref="A361" r:id="rId1427" display="https://gerandofalcoes.my.salesforce.com/0014P00003YSp9TQAT" xr:uid="{00000000-0004-0000-0700-000092050000}"/>
    <hyperlink ref="AL361" r:id="rId1428" display="https://gerandofalcoes.my.salesforce.com/0034P000045kxk5" xr:uid="{00000000-0004-0000-0700-000093050000}"/>
    <hyperlink ref="BY361" r:id="rId1429" display="https://drive.google.com/open?id=18AJLVY3WdYRScJ0APoTXYcst3A1emt2l" xr:uid="{00000000-0004-0000-0700-000094050000}"/>
    <hyperlink ref="A362" r:id="rId1430" display="https://gerandofalcoes.my.salesforce.com/0014P00003YSp87QAD" xr:uid="{00000000-0004-0000-0700-000095050000}"/>
    <hyperlink ref="AL362" r:id="rId1431" display="https://gerandofalcoes.my.salesforce.com/0034P000045kxii" xr:uid="{00000000-0004-0000-0700-000096050000}"/>
    <hyperlink ref="BX362" r:id="rId1432" display="https://www.instagram.com/thalita_o_garcia/" xr:uid="{00000000-0004-0000-0700-000097050000}"/>
    <hyperlink ref="BY362" r:id="rId1433" display="https://drive.google.com/open?id=1FQn-u5aB9dAV8_kIWDfnz0oRRDP_dTfk" xr:uid="{00000000-0004-0000-0700-000098050000}"/>
    <hyperlink ref="A363" r:id="rId1434" display="https://gerandofalcoes.my.salesforce.com/0014P00003AN2FVQA1" xr:uid="{00000000-0004-0000-0700-000099050000}"/>
    <hyperlink ref="AL363" r:id="rId1435" display="https://gerandofalcoes.my.salesforce.com/0034P00003maBUv" xr:uid="{00000000-0004-0000-0700-00009A050000}"/>
    <hyperlink ref="BW363" r:id="rId1436" display="https://www.linkedin.com/in/fernando-ddi-802698229/" xr:uid="{00000000-0004-0000-0700-00009B050000}"/>
    <hyperlink ref="BX363" r:id="rId1437" display="https://www.instagram.com/fernandoddi/" xr:uid="{00000000-0004-0000-0700-00009C050000}"/>
    <hyperlink ref="BY363" r:id="rId1438" display="https://drive.google.com/open?id=191Qwezuicdw_GVKGLTd_BLjRldNLNTAp" xr:uid="{00000000-0004-0000-0700-00009D050000}"/>
    <hyperlink ref="A364" r:id="rId1439" display="https://gerandofalcoes.my.salesforce.com/0014X00002VKCqkQAH" xr:uid="{00000000-0004-0000-0700-00009E050000}"/>
    <hyperlink ref="AL364" r:id="rId1440" display="https://gerandofalcoes.my.salesforce.com/0034X0000380O2o" xr:uid="{00000000-0004-0000-0700-00009F050000}"/>
    <hyperlink ref="BY364" r:id="rId1441" display="https://drive.google.com/open?id=1geGnNoeXC6rPFvARIRkb6yEE_z2Vkmti" xr:uid="{00000000-0004-0000-0700-0000A0050000}"/>
    <hyperlink ref="A365" r:id="rId1442" display="https://gerandofalcoes.my.salesforce.com/0014P00003MjR9oQAF" xr:uid="{00000000-0004-0000-0700-0000A1050000}"/>
    <hyperlink ref="AL365" r:id="rId1443" display="https://gerandofalcoes.my.salesforce.com/0034P00003xh63p" xr:uid="{00000000-0004-0000-0700-0000A2050000}"/>
    <hyperlink ref="BW365" r:id="rId1444" display="https://www.linkedin.com/in/thiago-nascimento-7486b1215/" xr:uid="{00000000-0004-0000-0700-0000A3050000}"/>
    <hyperlink ref="BX365" r:id="rId1445" display="https://www.instagram.com/thiagonascimentogf/" xr:uid="{00000000-0004-0000-0700-0000A4050000}"/>
    <hyperlink ref="BY365" r:id="rId1446" display="https://drive.google.com/open?id=1ZJ8RT5Ibx-6FU8cWWftRtYjZCNcM9Z2a" xr:uid="{00000000-0004-0000-0700-0000A5050000}"/>
    <hyperlink ref="A366" r:id="rId1447" display="https://gerandofalcoes.my.salesforce.com/0014P00003MjNTIQA3" xr:uid="{00000000-0004-0000-0700-0000A6050000}"/>
    <hyperlink ref="AL366" r:id="rId1448" display="https://gerandofalcoes.my.salesforce.com/0034P00003xgnQ1" xr:uid="{00000000-0004-0000-0700-0000A7050000}"/>
    <hyperlink ref="A367" r:id="rId1449" display="https://gerandofalcoes.my.salesforce.com/0014P00003MjOsqQAF" xr:uid="{00000000-0004-0000-0700-0000A8050000}"/>
    <hyperlink ref="AL367" r:id="rId1450" display="https://gerandofalcoes.my.salesforce.com/0034P00003xgujU" xr:uid="{00000000-0004-0000-0700-0000A9050000}"/>
    <hyperlink ref="BW367" r:id="rId1451" display="https://www.linkedin.com/in/miqu%C3%A9ias-costa-b578b18a/" xr:uid="{00000000-0004-0000-0700-0000AA050000}"/>
    <hyperlink ref="BX367" r:id="rId1452" display="https://www.instagram.com/miqueiascoosta/" xr:uid="{00000000-0004-0000-0700-0000AB050000}"/>
    <hyperlink ref="A368" r:id="rId1453" display="https://gerandofalcoes.my.salesforce.com/0014P00003YSp84QAD" xr:uid="{00000000-0004-0000-0700-0000AC050000}"/>
    <hyperlink ref="AL368" r:id="rId1454" display="https://gerandofalcoes.my.salesforce.com/0034P000045kxif" xr:uid="{00000000-0004-0000-0700-0000AD050000}"/>
    <hyperlink ref="BW368" r:id="rId1455" display="https://www.linkedin.com/in/luciana-sim%C3%A3ozinho-84943426" xr:uid="{00000000-0004-0000-0700-0000AE050000}"/>
    <hyperlink ref="BX368" r:id="rId1456" display="https://www.instagram.com/p/CRHw61GH1gO/?utm_medium=copy_link" xr:uid="{00000000-0004-0000-0700-0000AF050000}"/>
    <hyperlink ref="BY368" r:id="rId1457" display="https://drive.google.com/open?id=1rRiKpQEnzM8Ile6DC--zLasxwPkm7spI" xr:uid="{00000000-0004-0000-0700-0000B0050000}"/>
    <hyperlink ref="A369" r:id="rId1458" display="https://gerandofalcoes.my.salesforce.com/0014X00002PUOZAQA5" xr:uid="{00000000-0004-0000-0700-0000B1050000}"/>
    <hyperlink ref="AL369" r:id="rId1459" display="https://gerandofalcoes.my.salesforce.com/0034X000032Hs9p" xr:uid="{00000000-0004-0000-0700-0000B2050000}"/>
    <hyperlink ref="BW369" r:id="rId1460" display="https://www.linkedin.com/in/sandroigds/" xr:uid="{00000000-0004-0000-0700-0000B3050000}"/>
    <hyperlink ref="BX369" r:id="rId1461" display="https://www.instagram.com/sandroczq/" xr:uid="{00000000-0004-0000-0700-0000B4050000}"/>
    <hyperlink ref="BY369" r:id="rId1462" display="https://drive.google.com/open?id=1Z-8UdHpGj_EhFWxZ-Eu759XUryXw26ji" xr:uid="{00000000-0004-0000-0700-0000B5050000}"/>
    <hyperlink ref="A370" r:id="rId1463" display="https://gerandofalcoes.my.salesforce.com/0014P00003SGWPzQAP" xr:uid="{00000000-0004-0000-0700-0000B6050000}"/>
    <hyperlink ref="AL370" r:id="rId1464" display="https://gerandofalcoes.my.salesforce.com/0034P000043fOo2" xr:uid="{00000000-0004-0000-0700-0000B7050000}"/>
    <hyperlink ref="BW370" r:id="rId1465" display="https://www.linkedin.com/in/rodrigues-poliana/" xr:uid="{00000000-0004-0000-0700-0000B8050000}"/>
    <hyperlink ref="BY370" r:id="rId1466" display="https://drive.google.com/open?id=1FYt5O94lWRvFu-Qc_f3HZwJ2wOPTEf_A" xr:uid="{00000000-0004-0000-0700-0000B9050000}"/>
    <hyperlink ref="A371" r:id="rId1467" display="https://gerandofalcoes.my.salesforce.com/0014P00003AN2FzQAL" xr:uid="{00000000-0004-0000-0700-0000BA050000}"/>
    <hyperlink ref="AL371" r:id="rId1468" display="https://gerandofalcoes.my.salesforce.com/0034P00003maBVQ" xr:uid="{00000000-0004-0000-0700-0000BB050000}"/>
    <hyperlink ref="BX371" r:id="rId1469" display="https://instagram.com/veronicamachadoempreendedora?utm_medium=copy_link" xr:uid="{00000000-0004-0000-0700-0000BC050000}"/>
    <hyperlink ref="BY371" r:id="rId1470" display="https://drive.google.com/open?id=1Mq7IQuay9vLxj7j4giSWSWXbDws6rgch" xr:uid="{00000000-0004-0000-0700-0000BD050000}"/>
    <hyperlink ref="A372" r:id="rId1471" display="https://gerandofalcoes.my.salesforce.com/0014X00002VKCq5QAH" xr:uid="{00000000-0004-0000-0700-0000BE050000}"/>
    <hyperlink ref="AL372" r:id="rId1472" display="https://gerandofalcoes.my.salesforce.com/0034X0000380O4O" xr:uid="{00000000-0004-0000-0700-0000BF050000}"/>
    <hyperlink ref="BX372" r:id="rId1473" display="https://instagram.com/eudesjunioroficial?igshid=YmMyMTA2M2Y=" xr:uid="{00000000-0004-0000-0700-0000C0050000}"/>
    <hyperlink ref="BY372" r:id="rId1474" display="https://drive.google.com/open?id=1CzKxzIX-HTAbUhwkS0GrOtuR1ZJm8WEj" xr:uid="{00000000-0004-0000-0700-0000C1050000}"/>
    <hyperlink ref="A373" r:id="rId1475" display="https://gerandofalcoes.my.salesforce.com/0014X00002VKCuuQAH" xr:uid="{00000000-0004-0000-0700-0000C2050000}"/>
    <hyperlink ref="AL373" r:id="rId1476" display="https://gerandofalcoes.my.salesforce.com/0034X0000380O3U" xr:uid="{00000000-0004-0000-0700-0000C3050000}"/>
    <hyperlink ref="BX373" r:id="rId1477" display="https://instagram.com/marisa.muncao?utm_medium=copy_link" xr:uid="{00000000-0004-0000-0700-0000C4050000}"/>
    <hyperlink ref="BY373" r:id="rId1478" display="https://drive.google.com/open?id=1PFvZr5SYtMxDCEUGsGcCkFbdH0MDUZ7F" xr:uid="{00000000-0004-0000-0700-0000C5050000}"/>
    <hyperlink ref="A374" r:id="rId1479" display="https://gerandofalcoes.my.salesforce.com/0014X00002VKCsCQAX" xr:uid="{00000000-0004-0000-0700-0000C6050000}"/>
    <hyperlink ref="AL374" r:id="rId1480" display="https://gerandofalcoes.my.salesforce.com/0034X0000380O5F" xr:uid="{00000000-0004-0000-0700-0000C7050000}"/>
    <hyperlink ref="BY374" r:id="rId1481" display="https://drive.google.com/open?id=1HCUP9jQN26Qm0a6dVhBZU32FcDhXXP1z" xr:uid="{00000000-0004-0000-0700-0000C8050000}"/>
    <hyperlink ref="A375" r:id="rId1482" display="https://gerandofalcoes.my.salesforce.com/0014X00002VKCqXQAX" xr:uid="{00000000-0004-0000-0700-0000C9050000}"/>
    <hyperlink ref="AL375" r:id="rId1483" display="https://gerandofalcoes.my.salesforce.com/0034X0000380O2H" xr:uid="{00000000-0004-0000-0700-0000CA050000}"/>
    <hyperlink ref="BX375" r:id="rId1484" display="https://instagram.com/anapaulacaldas32?utm_medium=copy_link" xr:uid="{00000000-0004-0000-0700-0000CB050000}"/>
    <hyperlink ref="BY375" r:id="rId1485" display="https://drive.google.com/open?id=1t57QA4dYLiKrek4AdN5j43w-Ua1fUxQL" xr:uid="{00000000-0004-0000-0700-0000CC050000}"/>
    <hyperlink ref="A376" r:id="rId1486" display="https://gerandofalcoes.my.salesforce.com/0014X00002VKCqgQAH" xr:uid="{00000000-0004-0000-0700-0000CD050000}"/>
    <hyperlink ref="AL376" r:id="rId1487" display="https://gerandofalcoes.my.salesforce.com/0034X0000380O30" xr:uid="{00000000-0004-0000-0700-0000CE050000}"/>
    <hyperlink ref="BW376" r:id="rId1488" display="https://www.linkedin.com/in/e-modesto-jr-9b08a979/" xr:uid="{00000000-0004-0000-0700-0000CF050000}"/>
    <hyperlink ref="BY376" r:id="rId1489" display="https://drive.google.com/open?id=1S24f8Tf281yIwIDOzDGY9GqFv7Sug8wx" xr:uid="{00000000-0004-0000-0700-0000D0050000}"/>
    <hyperlink ref="A377" r:id="rId1490" display="https://gerandofalcoes.my.salesforce.com/0014P00003ERUfsQAH" xr:uid="{00000000-0004-0000-0700-0000D1050000}"/>
    <hyperlink ref="AL377" r:id="rId1491" display="https://gerandofalcoes.my.salesforce.com/0034P00003tQ7A1" xr:uid="{00000000-0004-0000-0700-0000D2050000}"/>
    <hyperlink ref="BW377" r:id="rId1492" display="https://www.linkedin.com/in/katiana-pena-morais-984186193" xr:uid="{00000000-0004-0000-0700-0000D3050000}"/>
    <hyperlink ref="BX377" r:id="rId1493" display="https://www.instagram.com/invites/contact/?i=a78487lju8t2&amp;utm_content=1o0ucpe" xr:uid="{00000000-0004-0000-0700-0000D4050000}"/>
    <hyperlink ref="BY377" r:id="rId1494" display="https://drive.google.com/open?id=1myNI-9maAdB6jja7rCkomKgVBCl2OODy" xr:uid="{00000000-0004-0000-0700-0000D5050000}"/>
    <hyperlink ref="A378" r:id="rId1495" display="https://gerandofalcoes.my.salesforce.com/0014X00002QTWXtQAP" xr:uid="{00000000-0004-0000-0700-0000D6050000}"/>
    <hyperlink ref="AL378" r:id="rId1496" display="https://gerandofalcoes.my.salesforce.com/0034X000033zzcD" xr:uid="{00000000-0004-0000-0700-0000D7050000}"/>
    <hyperlink ref="BW378" r:id="rId1497" display="http://linkedin.com/in/sonia-bernardi-benini-070a9a75" xr:uid="{00000000-0004-0000-0700-0000D8050000}"/>
    <hyperlink ref="BX378" r:id="rId1498" display="https://instagram.com/sonia_bernardi_benini_soranhi?utm_medium=copy_link" xr:uid="{00000000-0004-0000-0700-0000D9050000}"/>
    <hyperlink ref="BY378" r:id="rId1499" display="https://drive.google.com/open?id=13oh3tORHU2YU_TcyCrP3lqe0ACn3qatv" xr:uid="{00000000-0004-0000-0700-0000DA050000}"/>
    <hyperlink ref="A379" r:id="rId1500" display="https://gerandofalcoes.my.salesforce.com/0014X00002VKCqWQAX" xr:uid="{00000000-0004-0000-0700-0000DB050000}"/>
    <hyperlink ref="AL379" r:id="rId1501" display="https://gerandofalcoes.my.salesforce.com/0034X0000380O3o" xr:uid="{00000000-0004-0000-0700-0000DC050000}"/>
    <hyperlink ref="BX379" r:id="rId1502" display="https://www.instagram.com/farelodequiat/" xr:uid="{00000000-0004-0000-0700-0000DD050000}"/>
    <hyperlink ref="BY379" r:id="rId1503" display="https://drive.google.com/open?id=1M2fZZyvhgixP9OUMxTn5kMTWXPvzvC5R" xr:uid="{00000000-0004-0000-0700-0000DE050000}"/>
    <hyperlink ref="A380" r:id="rId1504" display="https://gerandofalcoes.my.salesforce.com/0014P00003SGWPqQAP" xr:uid="{00000000-0004-0000-0700-0000DF050000}"/>
    <hyperlink ref="AL380" r:id="rId1505" display="https://gerandofalcoes.my.salesforce.com/0034P000043fOnv" xr:uid="{00000000-0004-0000-0700-0000E0050000}"/>
    <hyperlink ref="BW380" r:id="rId1506" display="https://www.linkedin.com/in/rodrigo-zacarias-23a8a81b3/" xr:uid="{00000000-0004-0000-0700-0000E1050000}"/>
    <hyperlink ref="BX380" r:id="rId1507" display="http://instagram.com/sidaomacunaima" xr:uid="{00000000-0004-0000-0700-0000E2050000}"/>
    <hyperlink ref="BY380" r:id="rId1508" display="https://drive.google.com/open?id=19gdmX7R4KOcvUbBvKjUmw37JQQLdNVMQ" xr:uid="{00000000-0004-0000-0700-0000E3050000}"/>
    <hyperlink ref="A381" r:id="rId1509" display="https://gerandofalcoes.my.salesforce.com/0014X00002VKCtJQAX" xr:uid="{00000000-0004-0000-0700-0000E4050000}"/>
    <hyperlink ref="AL381" r:id="rId1510" display="https://gerandofalcoes.my.salesforce.com/0034X0000380O2G" xr:uid="{00000000-0004-0000-0700-0000E5050000}"/>
    <hyperlink ref="BX381" r:id="rId1511" display="https://www.instagram.com/deborasouzaadv/" xr:uid="{00000000-0004-0000-0700-0000E6050000}"/>
    <hyperlink ref="BY381" r:id="rId1512" display="https://drive.google.com/open?id=1HT4684CcpU-x676TP-UGAjLLj7HHmGvB" xr:uid="{00000000-0004-0000-0700-0000E7050000}"/>
    <hyperlink ref="A382" r:id="rId1513" display="https://gerandofalcoes.my.salesforce.com/0014X00002VKCp1QAH" xr:uid="{00000000-0004-0000-0700-0000E8050000}"/>
    <hyperlink ref="AL382" r:id="rId1514" display="https://gerandofalcoes.my.salesforce.com/0034X0000380O45" xr:uid="{00000000-0004-0000-0700-0000E9050000}"/>
    <hyperlink ref="BX382" r:id="rId1515" display="https://www.instagram.com/instmaisvida/" xr:uid="{00000000-0004-0000-0700-0000EA050000}"/>
    <hyperlink ref="BY382" r:id="rId1516" display="https://drive.google.com/open?id=1lGGlJ-rg5gxqhNDJ3HqFa3cspLRUQdMV" xr:uid="{00000000-0004-0000-0700-0000EB050000}"/>
    <hyperlink ref="A383" r:id="rId1517" display="https://gerandofalcoes.my.salesforce.com/0014P00003AN2GPQA1" xr:uid="{00000000-0004-0000-0700-0000EC050000}"/>
    <hyperlink ref="AL383" r:id="rId1518" display="https://gerandofalcoes.my.salesforce.com/0034P00003maBVu" xr:uid="{00000000-0004-0000-0700-0000ED050000}"/>
    <hyperlink ref="BX383" r:id="rId1519" display="https://www.instagram.com/lisaniapereira/" xr:uid="{00000000-0004-0000-0700-0000EE050000}"/>
    <hyperlink ref="BY383" r:id="rId1520" display="https://drive.google.com/open?id=1D7ViBDXw-_JVM4lzWBT0jO0bCzYrx0Bn" xr:uid="{00000000-0004-0000-0700-0000EF050000}"/>
    <hyperlink ref="A384" r:id="rId1521" display="https://gerandofalcoes.my.salesforce.com/0014X00002VKCqHQAX" xr:uid="{00000000-0004-0000-0700-0000F0050000}"/>
    <hyperlink ref="AL384" r:id="rId1522" display="https://gerandofalcoes.my.salesforce.com/0034X0000380O3z" xr:uid="{00000000-0004-0000-0700-0000F1050000}"/>
    <hyperlink ref="BX384" r:id="rId1523" display="https://instagram.com/rneuzaribeiro?utm_medium=copy_link" xr:uid="{00000000-0004-0000-0700-0000F2050000}"/>
    <hyperlink ref="BY384" r:id="rId1524" display="https://drive.google.com/open?id=1biw_yO1gJu4k-7U0RlhG0YCkMh8JKgvG" xr:uid="{00000000-0004-0000-0700-0000F3050000}"/>
    <hyperlink ref="A385" r:id="rId1525" display="https://gerandofalcoes.my.salesforce.com/0014P00003YSp7TQAT" xr:uid="{00000000-0004-0000-0700-0000F4050000}"/>
    <hyperlink ref="AL385" r:id="rId1526" display="https://gerandofalcoes.my.salesforce.com/0034P000045kxi4" xr:uid="{00000000-0004-0000-0700-0000F5050000}"/>
    <hyperlink ref="BX385" r:id="rId1527" display="https://instagram.com/mestrenordestino?utm_medium=copy_link" xr:uid="{00000000-0004-0000-0700-0000F6050000}"/>
    <hyperlink ref="BY385" r:id="rId1528" display="https://drive.google.com/open?id=1gcgliDhEdM_0prKU-Gej3zxAbI3H8c_q" xr:uid="{00000000-0004-0000-0700-0000F7050000}"/>
    <hyperlink ref="A386" r:id="rId1529" display="https://gerandofalcoes.my.salesforce.com/0014P00003SGWPsQAP" xr:uid="{00000000-0004-0000-0700-0000F8050000}"/>
    <hyperlink ref="AL386" r:id="rId1530" display="https://gerandofalcoes.my.salesforce.com/0034P000043fOnx" xr:uid="{00000000-0004-0000-0700-0000F9050000}"/>
    <hyperlink ref="BW386" r:id="rId1531" display="https://www.linkedin.com/in/socorro-silveira-silveira-25593067" xr:uid="{00000000-0004-0000-0700-0000FA050000}"/>
    <hyperlink ref="BY386" r:id="rId1532" display="https://drive.google.com/open?id=1disDhNks-CU26hJlJU8ef5S2w1FsT2iN" xr:uid="{00000000-0004-0000-0700-0000FB050000}"/>
    <hyperlink ref="A387" r:id="rId1533" display="https://gerandofalcoes.my.salesforce.com/0014P00003SGWPPQA5" xr:uid="{00000000-0004-0000-0700-0000FC050000}"/>
    <hyperlink ref="AL387" r:id="rId1534" display="https://gerandofalcoes.my.salesforce.com/0034P000043fOnX" xr:uid="{00000000-0004-0000-0700-0000FD050000}"/>
    <hyperlink ref="BW387" r:id="rId1535" display="https://www.linkedin.com/in/anailton-fernandes-748899b1/" xr:uid="{00000000-0004-0000-0700-0000FE050000}"/>
    <hyperlink ref="BX387" r:id="rId1536" display="https://www.instagram.com/anailton.fer/" xr:uid="{00000000-0004-0000-0700-0000FF050000}"/>
    <hyperlink ref="BY387" r:id="rId1537" display="https://drive.google.com/open?id=1wqdRVNgdM9vY4wBXyQsneRFNwDcqiIb7" xr:uid="{00000000-0004-0000-0700-000000060000}"/>
    <hyperlink ref="A388" r:id="rId1538" display="https://gerandofalcoes.my.salesforce.com/0014X00002VKD06QAH" xr:uid="{00000000-0004-0000-0700-000001060000}"/>
    <hyperlink ref="AL388" r:id="rId1539" display="https://gerandofalcoes.my.salesforce.com/0034X0000380O2d" xr:uid="{00000000-0004-0000-0700-000002060000}"/>
    <hyperlink ref="BX388" r:id="rId1540" display="https://instagram.com/tatianalinharesqueiroz?utm_medium=copy_link" xr:uid="{00000000-0004-0000-0700-000003060000}"/>
    <hyperlink ref="BY388" r:id="rId1541" display="https://drive.google.com/open?id=197iIb1zanrEMyLwY7frXhQ67AfPgp2i0" xr:uid="{00000000-0004-0000-0700-000004060000}"/>
    <hyperlink ref="A389" r:id="rId1542" display="https://gerandofalcoes.my.salesforce.com/0014P00003YSp8HQAT" xr:uid="{00000000-0004-0000-0700-000005060000}"/>
    <hyperlink ref="AL389" r:id="rId1543" display="https://gerandofalcoes.my.salesforce.com/0034P000045kxis" xr:uid="{00000000-0004-0000-0700-000006060000}"/>
    <hyperlink ref="BX389" r:id="rId1544" display="https://instagram.com/amanda.almeidarjj?utm_medium=copy_link" xr:uid="{00000000-0004-0000-0700-000007060000}"/>
    <hyperlink ref="BY389" r:id="rId1545" display="https://drive.google.com/open?id=10HmRR2kNQVdcqv2JpNC4J7KT37I9V62T" xr:uid="{00000000-0004-0000-0700-000008060000}"/>
    <hyperlink ref="A390" r:id="rId1546" display="https://gerandofalcoes.my.salesforce.com/0014P00003YSp8vQAD" xr:uid="{00000000-0004-0000-0700-000009060000}"/>
    <hyperlink ref="AL390" r:id="rId1547" display="https://gerandofalcoes.my.salesforce.com/0034P000045kxjX" xr:uid="{00000000-0004-0000-0700-00000A060000}"/>
    <hyperlink ref="BX390" r:id="rId1548" display="https://www.instagram.com/rasta.prof/" xr:uid="{00000000-0004-0000-0700-00000B060000}"/>
    <hyperlink ref="BY390" r:id="rId1549" display="https://drive.google.com/open?id=1vkyUXgOiy90ukB99Kobu_KVZEsRsIeIb" xr:uid="{00000000-0004-0000-0700-00000C060000}"/>
    <hyperlink ref="A391" r:id="rId1550" display="https://gerandofalcoes.my.salesforce.com/0014X00002VKCriQAH" xr:uid="{00000000-0004-0000-0700-00000D060000}"/>
    <hyperlink ref="AL391" r:id="rId1551" display="https://gerandofalcoes.my.salesforce.com/0034X0000380O43" xr:uid="{00000000-0004-0000-0700-00000E060000}"/>
    <hyperlink ref="BY391" r:id="rId1552" display="https://drive.google.com/open?id=1V9JVxVG5jUuQCduiHSJn8HBovL8fa-26" xr:uid="{00000000-0004-0000-0700-00000F060000}"/>
    <hyperlink ref="A392" r:id="rId1553" display="https://gerandofalcoes.my.salesforce.com/0014X00002VKCtbQAH" xr:uid="{00000000-0004-0000-0700-000010060000}"/>
    <hyperlink ref="AL392" r:id="rId1554" display="https://gerandofalcoes.my.salesforce.com/0034X0000380O3G" xr:uid="{00000000-0004-0000-0700-000011060000}"/>
    <hyperlink ref="BX392" r:id="rId1555" display="https://www.instagram.com/nelriane_pantoja/" xr:uid="{00000000-0004-0000-0700-000012060000}"/>
    <hyperlink ref="BY392" r:id="rId1556" display="https://drive.google.com/open?id=1pQSaaaClbh3ZFWjSdbo6bNEW1MmE7TZW" xr:uid="{00000000-0004-0000-0700-000013060000}"/>
    <hyperlink ref="A393" r:id="rId1557" display="https://gerandofalcoes.my.salesforce.com/0014P00003Ck8NjQAJ" xr:uid="{00000000-0004-0000-0700-000014060000}"/>
    <hyperlink ref="AL393" r:id="rId1558" display="https://gerandofalcoes.my.salesforce.com/0034P00003q1C2W" xr:uid="{00000000-0004-0000-0700-000015060000}"/>
    <hyperlink ref="BX393" r:id="rId1559" display="https://www.instagram.com/brunasimaozinho" xr:uid="{00000000-0004-0000-0700-000016060000}"/>
    <hyperlink ref="BY393" r:id="rId1560" display="https://drive.google.com/open?id=1n5agb_poi6fuwnrxEbn_hl_fupKxo6mT" xr:uid="{00000000-0004-0000-0700-000017060000}"/>
    <hyperlink ref="A394" r:id="rId1561" display="https://gerandofalcoes.my.salesforce.com/0014X00002VKCpsQAH" xr:uid="{00000000-0004-0000-0700-000018060000}"/>
    <hyperlink ref="AL394" r:id="rId1562" display="https://gerandofalcoes.my.salesforce.com/0034X0000380O1j" xr:uid="{00000000-0004-0000-0700-000019060000}"/>
    <hyperlink ref="BX394" r:id="rId1563" display="https://www.instagram.com/nobredazo/" xr:uid="{00000000-0004-0000-0700-00001A060000}"/>
    <hyperlink ref="BY394" r:id="rId1564" display="https://drive.google.com/open?id=1dzg8_53d_y6n4atnZZUurMaXqArr1L0Z" xr:uid="{00000000-0004-0000-0700-00001B060000}"/>
    <hyperlink ref="A395" r:id="rId1565" display="https://gerandofalcoes.my.salesforce.com/0014P00003YSpA0QAL" xr:uid="{00000000-0004-0000-0700-00001C060000}"/>
    <hyperlink ref="AL395" r:id="rId1566" display="https://gerandofalcoes.my.salesforce.com/0034P000045kxkc" xr:uid="{00000000-0004-0000-0700-00001D060000}"/>
    <hyperlink ref="BY395" r:id="rId1567" display="https://drive.google.com/open?id=1wJwSJPiq4lSd8stGKR8xZaWVvFD-7yaq" xr:uid="{00000000-0004-0000-0700-00001E060000}"/>
    <hyperlink ref="A396" r:id="rId1568" display="https://gerandofalcoes.my.salesforce.com/0014P00003YSp91QAD" xr:uid="{00000000-0004-0000-0700-00001F060000}"/>
    <hyperlink ref="AL396" r:id="rId1569" display="https://gerandofalcoes.my.salesforce.com/0034P000045kxjd" xr:uid="{00000000-0004-0000-0700-000020060000}"/>
    <hyperlink ref="BW396" r:id="rId1570" display="https://www.instagram.com/umanovachance_aracati/" xr:uid="{00000000-0004-0000-0700-000021060000}"/>
    <hyperlink ref="BX396" r:id="rId1571" display="https://www.instagram.com/umanovachance_aracati/" xr:uid="{00000000-0004-0000-0700-000022060000}"/>
    <hyperlink ref="BY396" r:id="rId1572" display="https://drive.google.com/open?id=1FLmqsKGXy2cVgef1wEqEUMcklpG9cCor" xr:uid="{00000000-0004-0000-0700-000023060000}"/>
    <hyperlink ref="A397" r:id="rId1573" display="https://gerandofalcoes.my.salesforce.com/0014P00003YSp8uQAD" xr:uid="{00000000-0004-0000-0700-000024060000}"/>
    <hyperlink ref="AL397" r:id="rId1574" display="https://gerandofalcoes.my.salesforce.com/0034P000045kxjW" xr:uid="{00000000-0004-0000-0700-000025060000}"/>
    <hyperlink ref="BY397" r:id="rId1575" display="https://drive.google.com/open?id=1BSNyKWHVnZWy2IoTRtbhyWgbB_qW3tWL" xr:uid="{00000000-0004-0000-0700-000026060000}"/>
    <hyperlink ref="A398" r:id="rId1576" display="https://gerandofalcoes.my.salesforce.com/0014P00003YSp9eQAD" xr:uid="{00000000-0004-0000-0700-000027060000}"/>
    <hyperlink ref="AL398" r:id="rId1577" display="https://gerandofalcoes.my.salesforce.com/0034P000045kxkG" xr:uid="{00000000-0004-0000-0700-000028060000}"/>
    <hyperlink ref="BW398" r:id="rId1578" display="https://www.linkedin.com/in/anderson-carvalho-249bba114" xr:uid="{00000000-0004-0000-0700-000029060000}"/>
    <hyperlink ref="BY398" r:id="rId1579" display="https://drive.google.com/open?id=1wZ0KsYzFj1-ILHzvgKn6-t_PzMrH0b5d" xr:uid="{00000000-0004-0000-0700-00002A060000}"/>
    <hyperlink ref="A399" r:id="rId1580" display="https://gerandofalcoes.my.salesforce.com/0014X00002VKCrNQAX" xr:uid="{00000000-0004-0000-0700-00002B060000}"/>
    <hyperlink ref="AL399" r:id="rId1581" display="https://gerandofalcoes.my.salesforce.com/0034X0000380O5o" xr:uid="{00000000-0004-0000-0700-00002C060000}"/>
    <hyperlink ref="BY399" r:id="rId1582" display="https://drive.google.com/open?id=1TPFVdgUXsGQHE3Tpqse86yaLSrKNinGo" xr:uid="{00000000-0004-0000-0700-00002D060000}"/>
    <hyperlink ref="A400" r:id="rId1583" display="https://gerandofalcoes.my.salesforce.com/0014X00002VKCrRQAX" xr:uid="{00000000-0004-0000-0700-00002E060000}"/>
    <hyperlink ref="AL400" r:id="rId1584" display="https://gerandofalcoes.my.salesforce.com/0034X0000380O1p" xr:uid="{00000000-0004-0000-0700-00002F060000}"/>
    <hyperlink ref="BY400" r:id="rId1585" display="https://drive.google.com/open?id=17ivgFZ9xSNJPixxu1U3-S3ySmpIEbZ1O" xr:uid="{00000000-0004-0000-0700-000030060000}"/>
    <hyperlink ref="A401" r:id="rId1586" display="https://gerandofalcoes.my.salesforce.com/0014P00003I7WH2QAN" xr:uid="{00000000-0004-0000-0700-000031060000}"/>
    <hyperlink ref="AL401" r:id="rId1587" display="https://gerandofalcoes.my.salesforce.com/0034P00003uQScg" xr:uid="{00000000-0004-0000-0700-000032060000}"/>
    <hyperlink ref="BY401" r:id="rId1588" display="https://drive.google.com/open?id=1bCYUxkM6ef8l_7RI17KrR9O3lpwXIry7" xr:uid="{00000000-0004-0000-0700-000033060000}"/>
    <hyperlink ref="A402" r:id="rId1589" display="https://gerandofalcoes.my.salesforce.com/0014X00002VKCulQAH" xr:uid="{00000000-0004-0000-0700-000034060000}"/>
    <hyperlink ref="AL402" r:id="rId1590" display="https://gerandofalcoes.my.salesforce.com/0034X0000380O1K" xr:uid="{00000000-0004-0000-0700-000035060000}"/>
    <hyperlink ref="BX402" r:id="rId1591" display="https://instagram.com/institutopelicano?utm_medium=copy_link" xr:uid="{00000000-0004-0000-0700-000036060000}"/>
    <hyperlink ref="BY402" r:id="rId1592" display="https://drive.google.com/open?id=11hmuoV5By7TwSZEiox_U-pMWUecWMfTO" xr:uid="{00000000-0004-0000-0700-000037060000}"/>
    <hyperlink ref="A403" r:id="rId1593" display="https://gerandofalcoes.my.salesforce.com/0014X00002VKCtDQAX" xr:uid="{00000000-0004-0000-0700-000038060000}"/>
    <hyperlink ref="AL403" r:id="rId1594" display="https://gerandofalcoes.my.salesforce.com/0034X0000380O4F" xr:uid="{00000000-0004-0000-0700-000039060000}"/>
    <hyperlink ref="BX403" r:id="rId1595" display="https://www.instagram.com/p/CHSxAqQF5YR/?utm_medium=copy_link" xr:uid="{00000000-0004-0000-0700-00003A060000}"/>
    <hyperlink ref="BY403" r:id="rId1596" display="https://drive.google.com/open?id=1WRIlpync4wfmuYPaJmDS6NpQvSbSRTG6" xr:uid="{00000000-0004-0000-0700-00003B060000}"/>
    <hyperlink ref="A404" r:id="rId1597" display="https://gerandofalcoes.my.salesforce.com/0014X00002VKCrhQAH" xr:uid="{00000000-0004-0000-0700-00003C060000}"/>
    <hyperlink ref="AL404" r:id="rId1598" display="https://gerandofalcoes.my.salesforce.com/0034X0000380O4Y" xr:uid="{00000000-0004-0000-0700-00003D060000}"/>
    <hyperlink ref="A405" r:id="rId1599" display="https://gerandofalcoes.my.salesforce.com/0014X00002PUObkQAH" xr:uid="{00000000-0004-0000-0700-00003E060000}"/>
    <hyperlink ref="AL405" r:id="rId1600" display="https://gerandofalcoes.my.salesforce.com/0034X000032HsHf" xr:uid="{00000000-0004-0000-0700-00003F060000}"/>
    <hyperlink ref="BX405" r:id="rId1601" display="https://www.instagram.com/jacyoliveira_iptm/" xr:uid="{00000000-0004-0000-0700-000040060000}"/>
    <hyperlink ref="BY405" r:id="rId1602" display="https://drive.google.com/open?id=1Z7KbZmjiLEaN79ADvCm9CubfaAzU67_G" xr:uid="{00000000-0004-0000-0700-000041060000}"/>
    <hyperlink ref="A406" r:id="rId1603" display="https://gerandofalcoes.my.salesforce.com/0014P00003SGWPoQAP" xr:uid="{00000000-0004-0000-0700-000042060000}"/>
    <hyperlink ref="AL406" r:id="rId1604" display="https://gerandofalcoes.my.salesforce.com/0034P000043fPDk" xr:uid="{00000000-0004-0000-0700-000043060000}"/>
    <hyperlink ref="BW406" r:id="rId1605" display="https://www.linkedin.com/in/wellton-brito-092536216/" xr:uid="{00000000-0004-0000-0700-000044060000}"/>
    <hyperlink ref="BX406" r:id="rId1606" display="https://www.instagram.com/wellton_brito/?hl=pt-br" xr:uid="{00000000-0004-0000-0700-000045060000}"/>
    <hyperlink ref="BY406" r:id="rId1607" display="https://drive.google.com/open?id=1ONGUQeiHwav2gp4j1cpCsg_V2fZqdWLy" xr:uid="{00000000-0004-0000-0700-000046060000}"/>
    <hyperlink ref="A407" r:id="rId1608" display="https://gerandofalcoes.my.salesforce.com/0014X00002VKCsnQAH" xr:uid="{00000000-0004-0000-0700-000047060000}"/>
    <hyperlink ref="AL407" r:id="rId1609" display="https://gerandofalcoes.my.salesforce.com/0034X0000380O16" xr:uid="{00000000-0004-0000-0700-000048060000}"/>
    <hyperlink ref="BW407" r:id="rId1610" display="https://www.linkedin.com/in/laura-campos-braz-908957200/" xr:uid="{00000000-0004-0000-0700-000049060000}"/>
    <hyperlink ref="BX407" r:id="rId1611" display="https://www.instagram.com/lauracamposbraz/" xr:uid="{00000000-0004-0000-0700-00004A060000}"/>
    <hyperlink ref="BY407" r:id="rId1612" display="https://drive.google.com/open?id=1jQXmdPzTBbgNUtYRc1mMWu5tOQMy8c9u" xr:uid="{00000000-0004-0000-0700-00004B060000}"/>
    <hyperlink ref="A408" r:id="rId1613" display="https://gerandofalcoes.my.salesforce.com/0014P00003YSp9lQAD" xr:uid="{00000000-0004-0000-0700-00004C060000}"/>
    <hyperlink ref="AL408" r:id="rId1614" display="https://gerandofalcoes.my.salesforce.com/0034P000045kxkN" xr:uid="{00000000-0004-0000-0700-00004D060000}"/>
    <hyperlink ref="BY408" r:id="rId1615" display="https://drive.google.com/open?id=1-fjnPuj43pm9ct49n8NqWddiJ9p67DRX" xr:uid="{00000000-0004-0000-0700-00004E060000}"/>
    <hyperlink ref="A409" r:id="rId1616" display="https://gerandofalcoes.my.salesforce.com/0014P00003YSp8BQAT" xr:uid="{00000000-0004-0000-0700-00004F060000}"/>
    <hyperlink ref="AL409" r:id="rId1617" display="https://gerandofalcoes.my.salesforce.com/0034P000045kxim" xr:uid="{00000000-0004-0000-0700-000050060000}"/>
    <hyperlink ref="BY409" r:id="rId1618" display="https://drive.google.com/open?id=18IIVpl92yAeK0kOIlec4xJFmm9zf0RHm" xr:uid="{00000000-0004-0000-0700-000051060000}"/>
    <hyperlink ref="A410" r:id="rId1619" display="https://gerandofalcoes.my.salesforce.com/0014X00002VKCtzQAH" xr:uid="{00000000-0004-0000-0700-000052060000}"/>
    <hyperlink ref="AL410" r:id="rId1620" display="https://gerandofalcoes.my.salesforce.com/0034X0000380O0v" xr:uid="{00000000-0004-0000-0700-000053060000}"/>
    <hyperlink ref="BW410" r:id="rId1621" display="https://www.linkedin.com/in/hugueney-gomes-49b00b84/" xr:uid="{00000000-0004-0000-0700-000054060000}"/>
    <hyperlink ref="BX410" r:id="rId1622" display="https://www.instagram.com/manganga_hugueney/" xr:uid="{00000000-0004-0000-0700-000055060000}"/>
    <hyperlink ref="BY410" r:id="rId1623" display="https://drive.google.com/open?id=1e32fkozuD90R7Y0QO35bq2AOVv34I9Kt" xr:uid="{00000000-0004-0000-0700-000056060000}"/>
    <hyperlink ref="A411" r:id="rId1624" display="https://gerandofalcoes.my.salesforce.com/0014P00003AN2FcQAL" xr:uid="{00000000-0004-0000-0700-000057060000}"/>
    <hyperlink ref="AL411" r:id="rId1625" display="https://gerandofalcoes.my.salesforce.com/0034P00003maBV2" xr:uid="{00000000-0004-0000-0700-000058060000}"/>
    <hyperlink ref="BY411" r:id="rId1626" display="https://drive.google.com/open?id=1yr28zThW-mDXvlbi7IFR7zTXVD0J4SWk" xr:uid="{00000000-0004-0000-0700-000059060000}"/>
    <hyperlink ref="A412" r:id="rId1627" display="https://gerandofalcoes.my.salesforce.com/0014P00003YSp8cQAD" xr:uid="{00000000-0004-0000-0700-00005A060000}"/>
    <hyperlink ref="AL412" r:id="rId1628" display="https://gerandofalcoes.my.salesforce.com/0034P000045kxjD" xr:uid="{00000000-0004-0000-0700-00005B060000}"/>
    <hyperlink ref="BX412" r:id="rId1629" display="https://instagram.com/profjocelino?utm_medium=copy_link" xr:uid="{00000000-0004-0000-0700-00005C060000}"/>
    <hyperlink ref="BY412" r:id="rId1630" display="https://drive.google.com/open?id=14bXU21bXR6FHq480vfUXu9DUlP3nHY-A" xr:uid="{00000000-0004-0000-0700-00005D060000}"/>
    <hyperlink ref="A413" r:id="rId1631" display="https://gerandofalcoes.my.salesforce.com/0014X00002VKCpuQAH" xr:uid="{00000000-0004-0000-0700-00005E060000}"/>
    <hyperlink ref="AL413" r:id="rId1632" display="https://gerandofalcoes.my.salesforce.com/0034X0000380O34" xr:uid="{00000000-0004-0000-0700-00005F060000}"/>
    <hyperlink ref="BX413" r:id="rId1633" display="https://instagram.com/tavares_ger?utm_medium=copy_link" xr:uid="{00000000-0004-0000-0700-000060060000}"/>
    <hyperlink ref="BY413" r:id="rId1634" display="https://drive.google.com/open?id=1dr44lHgCslqrW6jTMpxqCvKZoEccJIRG" xr:uid="{00000000-0004-0000-0700-000061060000}"/>
    <hyperlink ref="A414" r:id="rId1635" display="https://gerandofalcoes.my.salesforce.com/0014P00003AN2FxQAL" xr:uid="{00000000-0004-0000-0700-000062060000}"/>
    <hyperlink ref="AL414" r:id="rId1636" display="https://gerandofalcoes.my.salesforce.com/0034P00003maBVO" xr:uid="{00000000-0004-0000-0700-000063060000}"/>
    <hyperlink ref="BW414" r:id="rId1637" display="https://www.linkedin.com/in/leonardo-precioso-b1a063157" xr:uid="{00000000-0004-0000-0700-000064060000}"/>
    <hyperlink ref="BX414" r:id="rId1638" display="https://instagram.com/leonardomoraesprecioso?utm_medium=copy_link" xr:uid="{00000000-0004-0000-0700-000065060000}"/>
    <hyperlink ref="BY414" r:id="rId1639" display="https://drive.google.com/open?id=1XPna0RseEvDFPWGSmRqqa7d3l5GJ32ee" xr:uid="{00000000-0004-0000-0700-000066060000}"/>
    <hyperlink ref="A415" r:id="rId1640" display="https://gerandofalcoes.my.salesforce.com/0014X00002VKCuzQAH" xr:uid="{00000000-0004-0000-0700-000067060000}"/>
    <hyperlink ref="AL415" r:id="rId1641" display="https://gerandofalcoes.my.salesforce.com/0034X0000380O1f" xr:uid="{00000000-0004-0000-0700-000068060000}"/>
    <hyperlink ref="BX415" r:id="rId1642" display="https://www.instagram.com/nanaroots/" xr:uid="{00000000-0004-0000-0700-000069060000}"/>
    <hyperlink ref="BY415" r:id="rId1643" display="https://drive.google.com/open?id=1aREbOJyNzqsVVj6ge87C6rRmAV5tJOXG" xr:uid="{00000000-0004-0000-0700-00006A060000}"/>
    <hyperlink ref="A416" r:id="rId1644" display="https://gerandofalcoes.my.salesforce.com/0014P00003SGWPdQAP" xr:uid="{00000000-0004-0000-0700-00006B060000}"/>
    <hyperlink ref="AL416" r:id="rId1645" display="https://gerandofalcoes.my.salesforce.com/0034P000043fOnk" xr:uid="{00000000-0004-0000-0700-00006C060000}"/>
    <hyperlink ref="BW416" r:id="rId1646" display="https://www.linkedin.com/in/elizeu-silva-2bb139101" xr:uid="{00000000-0004-0000-0700-00006D060000}"/>
    <hyperlink ref="BX416" r:id="rId1647" display="https://www.instagram.com/reel/CbGonoWJE-m/?utm_medium=copy_link" xr:uid="{00000000-0004-0000-0700-00006E060000}"/>
    <hyperlink ref="BY416" r:id="rId1648" display="https://drive.google.com/open?id=15Hz5P0NoGMuUx7CMojEz98gbyl3gz4KE" xr:uid="{00000000-0004-0000-0700-00006F060000}"/>
    <hyperlink ref="A417" r:id="rId1649" display="https://gerandofalcoes.my.salesforce.com/0014P00003AN2GKQA1" xr:uid="{00000000-0004-0000-0700-000070060000}"/>
    <hyperlink ref="AL417" r:id="rId1650" display="https://gerandofalcoes.my.salesforce.com/0034P00003maBVp" xr:uid="{00000000-0004-0000-0700-000071060000}"/>
    <hyperlink ref="BX417" r:id="rId1651" display="https://www.instagram.com/p/Cbd_w16rh8J/?utm_medium=copy_link" xr:uid="{00000000-0004-0000-0700-000072060000}"/>
    <hyperlink ref="BY417" r:id="rId1652" display="https://drive.google.com/open?id=1qia0QiSELP4YAoVAki4Q40V_SLiqTYKu" xr:uid="{00000000-0004-0000-0700-000073060000}"/>
    <hyperlink ref="A418" r:id="rId1653" display="https://gerandofalcoes.my.salesforce.com/0014P00003AN2G9QAL" xr:uid="{00000000-0004-0000-0700-000074060000}"/>
    <hyperlink ref="AL418" r:id="rId1654" display="https://gerandofalcoes.my.salesforce.com/0034P00003maBVd" xr:uid="{00000000-0004-0000-0700-000075060000}"/>
    <hyperlink ref="BW418" r:id="rId1655" display="https://www.linkedin.com/in/ro-freitas/" xr:uid="{00000000-0004-0000-0700-000076060000}"/>
    <hyperlink ref="BY418" r:id="rId1656" display="https://drive.google.com/open?id=1ThyReMFg1rZjRhb7CIxAPWVlY8_DDBdZ" xr:uid="{00000000-0004-0000-0700-000077060000}"/>
    <hyperlink ref="A419" r:id="rId1657" display="https://gerandofalcoes.my.salesforce.com/0014P00003YSpA3QAL" xr:uid="{00000000-0004-0000-0700-000078060000}"/>
    <hyperlink ref="AL419" r:id="rId1658" display="https://gerandofalcoes.my.salesforce.com/0034P000045kxkf" xr:uid="{00000000-0004-0000-0700-000079060000}"/>
    <hyperlink ref="BX419" r:id="rId1659" display="https://www.instagram.com/soraiatomaz/" xr:uid="{00000000-0004-0000-0700-00007A060000}"/>
    <hyperlink ref="BY419" r:id="rId1660" display="https://drive.google.com/open?id=1IwtHABHd2XuDwSQAlpCIHUBuVGuM9z67" xr:uid="{00000000-0004-0000-0700-00007B060000}"/>
    <hyperlink ref="A420" r:id="rId1661" display="https://gerandofalcoes.my.salesforce.com/0014P00003YSp8GQAT" xr:uid="{00000000-0004-0000-0700-00007C060000}"/>
    <hyperlink ref="AL420" r:id="rId1662" display="https://gerandofalcoes.my.salesforce.com/0034P000045kxir" xr:uid="{00000000-0004-0000-0700-00007D060000}"/>
    <hyperlink ref="BX420" r:id="rId1663" display="https://instagram.com/institutorosareviver?utm_medium=copy_link." xr:uid="{00000000-0004-0000-0700-00007E060000}"/>
    <hyperlink ref="BY420" r:id="rId1664" display="https://drive.google.com/open?id=10eVEvJ6j6zTtL0hh7Atg8eoNSlKc52Vw" xr:uid="{00000000-0004-0000-0700-00007F060000}"/>
    <hyperlink ref="A421" r:id="rId1665" display="https://gerandofalcoes.my.salesforce.com/0014P00003AN2G5QAL" xr:uid="{00000000-0004-0000-0700-000080060000}"/>
    <hyperlink ref="AL421" r:id="rId1666" display="https://gerandofalcoes.my.salesforce.com/0034P00003maBVZ" xr:uid="{00000000-0004-0000-0700-000081060000}"/>
    <hyperlink ref="BW421" r:id="rId1667" display="http://www.linkedin.com/company/institutorugbyparatodos/" xr:uid="{00000000-0004-0000-0700-000082060000}"/>
    <hyperlink ref="BY421" r:id="rId1668" display="https://drive.google.com/open?id=1FQcTfWw_IHIbnu7jcLcrFAD0m65O-F-S" xr:uid="{00000000-0004-0000-0700-000083060000}"/>
    <hyperlink ref="A422" r:id="rId1669" display="https://gerandofalcoes.my.salesforce.com/0014X00002VKCqDQAX" xr:uid="{00000000-0004-0000-0700-000084060000}"/>
    <hyperlink ref="AL422" r:id="rId1670" display="https://gerandofalcoes.my.salesforce.com/0034X0000380O29" xr:uid="{00000000-0004-0000-0700-000085060000}"/>
    <hyperlink ref="BX422" r:id="rId1671" display="https://instagram.com/lucasalvesamr?igshid=YmMyMTA2M2Y=" xr:uid="{00000000-0004-0000-0700-000086060000}"/>
    <hyperlink ref="BY422" r:id="rId1672" display="https://drive.google.com/open?id=10wSsTRFd-IIHQPHAx-AIJWrEVmPbOua8" xr:uid="{00000000-0004-0000-0700-000087060000}"/>
    <hyperlink ref="A423" r:id="rId1673" display="https://gerandofalcoes.my.salesforce.com/0014X00002VKCv4QAH" xr:uid="{00000000-0004-0000-0700-000088060000}"/>
    <hyperlink ref="AL423" r:id="rId1674" display="https://gerandofalcoes.my.salesforce.com/0034X0000380O5r" xr:uid="{00000000-0004-0000-0700-000089060000}"/>
    <hyperlink ref="BX423" r:id="rId1675" display="https://www.instagram.com/patypaty_santos/" xr:uid="{00000000-0004-0000-0700-00008A060000}"/>
    <hyperlink ref="BY423" r:id="rId1676" display="https://drive.google.com/open?id=17X5HjidGw1K4d46R3x0DJcYYU8YapJ0C" xr:uid="{00000000-0004-0000-0700-00008B060000}"/>
    <hyperlink ref="A424" r:id="rId1677" display="https://gerandofalcoes.my.salesforce.com/0014X00002VKCuJQAX" xr:uid="{00000000-0004-0000-0700-00008C060000}"/>
    <hyperlink ref="AL424" r:id="rId1678" display="https://gerandofalcoes.my.salesforce.com/0034X0000380O37" xr:uid="{00000000-0004-0000-0700-00008D060000}"/>
    <hyperlink ref="BY424" r:id="rId1679" display="https://drive.google.com/open?id=1NXQ2UZcBcBUoQAEhuz89rUkwkghWJBXS" xr:uid="{00000000-0004-0000-0700-00008E060000}"/>
    <hyperlink ref="A425" r:id="rId1680" display="https://gerandofalcoes.my.salesforce.com/0014P00003YSp9yQAD" xr:uid="{00000000-0004-0000-0700-00008F060000}"/>
    <hyperlink ref="AL425" r:id="rId1681" display="https://gerandofalcoes.my.salesforce.com/0034P000045kxka" xr:uid="{00000000-0004-0000-0700-000090060000}"/>
    <hyperlink ref="BW425" r:id="rId1682" display="https://www.linkedin.com/in/tatiane-vasconcellos-de-oliveira-2309a2104" xr:uid="{00000000-0004-0000-0700-000091060000}"/>
    <hyperlink ref="BX425" r:id="rId1683" display="https://www.instagram.com/reel/Cc8Og9xvizY/?igshid=YmMyMTA2M2Y=" xr:uid="{00000000-0004-0000-0700-000092060000}"/>
    <hyperlink ref="BY425" r:id="rId1684" display="https://drive.google.com/open?id=1GGOLUuuZN7XCOZ20_eXS-cdmAEO4RuJA" xr:uid="{00000000-0004-0000-0700-000093060000}"/>
    <hyperlink ref="A426" r:id="rId1685" display="https://gerandofalcoes.my.salesforce.com/0014X00002VKCuPQAX" xr:uid="{00000000-0004-0000-0700-000094060000}"/>
    <hyperlink ref="AL426" r:id="rId1686" display="https://gerandofalcoes.my.salesforce.com/0034X0000380O4Z" xr:uid="{00000000-0004-0000-0700-000095060000}"/>
    <hyperlink ref="BW426" r:id="rId1687" display="http://www.linkedin.com/in/andresa-silveira-psicologia-clinica-junguiana-688799b0" xr:uid="{00000000-0004-0000-0700-000096060000}"/>
    <hyperlink ref="BX426" r:id="rId1688" display="http://www.instagram.com/@_andresasiveirapsicologa" xr:uid="{00000000-0004-0000-0700-000097060000}"/>
    <hyperlink ref="BY426" r:id="rId1689" display="https://drive.google.com/open?id=1T8zUC8oVVj2kuPEB7OxgzxBisBD0zJEg" xr:uid="{00000000-0004-0000-0700-000098060000}"/>
    <hyperlink ref="A427" r:id="rId1690" display="https://gerandofalcoes.my.salesforce.com/0014X00002VKCpFQAX" xr:uid="{00000000-0004-0000-0700-000099060000}"/>
    <hyperlink ref="AL427" r:id="rId1691" display="https://gerandofalcoes.my.salesforce.com/0034X0000380O21" xr:uid="{00000000-0004-0000-0700-00009A060000}"/>
    <hyperlink ref="BY427" r:id="rId1692" display="https://drive.google.com/open?id=1YNMnDI12WC3suyEOjoKnvKgQyU5LnFbG" xr:uid="{00000000-0004-0000-0700-00009B060000}"/>
    <hyperlink ref="A428" r:id="rId1693" display="https://gerandofalcoes.my.salesforce.com/0014P00003SGWPvQAP" xr:uid="{00000000-0004-0000-0700-00009C060000}"/>
    <hyperlink ref="AL428" r:id="rId1694" display="https://gerandofalcoes.my.salesforce.com/0034P000043fOny" xr:uid="{00000000-0004-0000-0700-00009D060000}"/>
    <hyperlink ref="BW428" r:id="rId1695" display="https://www.instagram.com/lidinalva.fernandes/" xr:uid="{00000000-0004-0000-0700-00009E060000}"/>
    <hyperlink ref="BX428" r:id="rId1696" display="https://www.instagram.com/lidinalva.fernandes/" xr:uid="{00000000-0004-0000-0700-00009F060000}"/>
    <hyperlink ref="BY428" r:id="rId1697" display="https://drive.google.com/open?id=1nSlxtr6X-kMg8N04IoD0xfOEHKifbVG5" xr:uid="{00000000-0004-0000-0700-0000A0060000}"/>
    <hyperlink ref="A429" r:id="rId1698" display="https://gerandofalcoes.my.salesforce.com/0014X00002VKCq6QAH" xr:uid="{00000000-0004-0000-0700-0000A1060000}"/>
    <hyperlink ref="AL429" r:id="rId1699" display="https://gerandofalcoes.my.salesforce.com/0034X0000380O1L" xr:uid="{00000000-0004-0000-0700-0000A2060000}"/>
    <hyperlink ref="BW429" r:id="rId1700" display="https://www.linkedin.com/in/wellington-nascimento-969a7234/" xr:uid="{00000000-0004-0000-0700-0000A3060000}"/>
    <hyperlink ref="BX429" r:id="rId1701" display="https://www.instagram.com/leleto_alquimista/" xr:uid="{00000000-0004-0000-0700-0000A4060000}"/>
    <hyperlink ref="BY429" r:id="rId1702" display="https://drive.google.com/open?id=1ivcu3DlTo3MRgE5wJUo_yLnaw5Ntu263" xr:uid="{00000000-0004-0000-0700-0000A5060000}"/>
    <hyperlink ref="A430" r:id="rId1703" display="https://gerandofalcoes.my.salesforce.com/0014X00002VKCqhQAH" xr:uid="{00000000-0004-0000-0700-0000A6060000}"/>
    <hyperlink ref="AL430" r:id="rId1704" display="https://gerandofalcoes.my.salesforce.com/0034X0000380O1D" xr:uid="{00000000-0004-0000-0700-0000A7060000}"/>
    <hyperlink ref="BX430" r:id="rId1705" display="https://www.instagram.com/projetosocialmaoamiga3/" xr:uid="{00000000-0004-0000-0700-0000A8060000}"/>
    <hyperlink ref="BY430" r:id="rId1706" display="https://drive.google.com/open?id=1MMXWQerkqwsIAZAz8dY_kaKkI4sXGc3s" xr:uid="{00000000-0004-0000-0700-0000A9060000}"/>
    <hyperlink ref="A431" r:id="rId1707" display="https://gerandofalcoes.my.salesforce.com/0014X00002VKCptQAH" xr:uid="{00000000-0004-0000-0700-0000AA060000}"/>
    <hyperlink ref="AL431" r:id="rId1708" display="https://gerandofalcoes.my.salesforce.com/0034X0000380O55" xr:uid="{00000000-0004-0000-0700-0000AB060000}"/>
    <hyperlink ref="BW431" r:id="rId1709" display="https://www.linkedin.com/in/euselia-dutra-97273084" xr:uid="{00000000-0004-0000-0700-0000AC060000}"/>
    <hyperlink ref="BX431" r:id="rId1710" display="https://www.instagram.com/euseliadutra/" xr:uid="{00000000-0004-0000-0700-0000AD060000}"/>
    <hyperlink ref="BY431" r:id="rId1711" display="https://drive.google.com/open?id=1RAgPd5DdIK-hiSAUxrtywNdQYVD-AUdW" xr:uid="{00000000-0004-0000-0700-0000AE060000}"/>
    <hyperlink ref="A432" r:id="rId1712" display="https://gerandofalcoes.my.salesforce.com/0014X00002VKCv6QAH" xr:uid="{00000000-0004-0000-0700-0000AF060000}"/>
    <hyperlink ref="AL432" r:id="rId1713" display="https://gerandofalcoes.my.salesforce.com/0034X0000380O1r" xr:uid="{00000000-0004-0000-0700-0000B0060000}"/>
    <hyperlink ref="BW432" r:id="rId1714" display="https://www.linkedin.com/in/elaine-correia-silva" xr:uid="{00000000-0004-0000-0700-0000B1060000}"/>
    <hyperlink ref="BX432" r:id="rId1715" display="https://www.instagram.com/correiasilvaelaine" xr:uid="{00000000-0004-0000-0700-0000B2060000}"/>
    <hyperlink ref="BY432" r:id="rId1716" display="https://drive.google.com/open?id=1smA-5eLgbZ3yegS-NscyXZ2MxSzaWxi4" xr:uid="{00000000-0004-0000-0700-0000B3060000}"/>
    <hyperlink ref="A433" r:id="rId1717" display="https://gerandofalcoes.my.salesforce.com/0014X00002VKCqbQAH" xr:uid="{00000000-0004-0000-0700-0000B4060000}"/>
    <hyperlink ref="AL433" r:id="rId1718" display="https://gerandofalcoes.my.salesforce.com/0034X0000380O5L" xr:uid="{00000000-0004-0000-0700-0000B5060000}"/>
    <hyperlink ref="BY433" r:id="rId1719" display="https://drive.google.com/open?id=1A1WYn7I1puNFY3N4w95Q2A0QefR_cIsm" xr:uid="{00000000-0004-0000-0700-0000B6060000}"/>
    <hyperlink ref="A434" r:id="rId1720" display="https://gerandofalcoes.my.salesforce.com/0014X00002VKCuAQAX" xr:uid="{00000000-0004-0000-0700-0000B7060000}"/>
    <hyperlink ref="AL434" r:id="rId1721" display="https://gerandofalcoes.my.salesforce.com/0034X0000380O0q" xr:uid="{00000000-0004-0000-0700-0000B8060000}"/>
    <hyperlink ref="BW434" r:id="rId1722" display="https://www.linkedin.com/in/raquelsuzi/" xr:uid="{00000000-0004-0000-0700-0000B9060000}"/>
    <hyperlink ref="BX434" r:id="rId1723" display="https://instagram.com/raquelsuzi" xr:uid="{00000000-0004-0000-0700-0000BA060000}"/>
    <hyperlink ref="BY434" r:id="rId1724" display="https://drive.google.com/open?id=1tpqRxDesCZquAPPMJ3quJEmON3JDibP1" xr:uid="{00000000-0004-0000-0700-0000BB060000}"/>
    <hyperlink ref="A435" r:id="rId1725" display="https://gerandofalcoes.my.salesforce.com/0014P00003AN2FsQAL" xr:uid="{00000000-0004-0000-0700-0000BC060000}"/>
    <hyperlink ref="AL435" r:id="rId1726" display="https://gerandofalcoes.my.salesforce.com/0034P00003maBVJ" xr:uid="{00000000-0004-0000-0700-0000BD060000}"/>
    <hyperlink ref="BW435" r:id="rId1727" display="https://www.linkedin.com/in/odilon-ara%C3%BAjo-a188b9a0/" xr:uid="{00000000-0004-0000-0700-0000BE060000}"/>
    <hyperlink ref="BX435" r:id="rId1728" display="https://instagram.com/odilonnaraujo?utm_medium=copy_link" xr:uid="{00000000-0004-0000-0700-0000BF060000}"/>
    <hyperlink ref="BY435" r:id="rId1729" display="https://drive.google.com/open?id=1cmrF3r8WtBxT9meVWvBdfxgeNVlQM1Fs" xr:uid="{00000000-0004-0000-0700-0000C0060000}"/>
    <hyperlink ref="A436" r:id="rId1730" display="https://gerandofalcoes.my.salesforce.com/0014P00003ESKdlQAH" xr:uid="{00000000-0004-0000-0700-0000C1060000}"/>
    <hyperlink ref="AL436" r:id="rId1731" display="https://gerandofalcoes.my.salesforce.com/0034P00003u8pO7" xr:uid="{00000000-0004-0000-0700-0000C2060000}"/>
    <hyperlink ref="BX436" r:id="rId1732" display="https://instagram.com/joanagabi?utm_medium=copy_link" xr:uid="{00000000-0004-0000-0700-0000C3060000}"/>
    <hyperlink ref="BY436" r:id="rId1733" display="https://drive.google.com/open?id=1S8z7NAzFJ9FUQGYX3CtXHfHbnEoKP_ik" xr:uid="{00000000-0004-0000-0700-0000C4060000}"/>
    <hyperlink ref="A437" r:id="rId1734" display="https://gerandofalcoes.my.salesforce.com/0014P00003AN2GDQA1" xr:uid="{00000000-0004-0000-0700-0000C5060000}"/>
    <hyperlink ref="AL437" r:id="rId1735" display="https://gerandofalcoes.my.salesforce.com/0034P00003maBVh" xr:uid="{00000000-0004-0000-0700-0000C6060000}"/>
    <hyperlink ref="BX437" r:id="rId1736" display="https://instagram.com/anderson_silvap?utm_medium=copy_link" xr:uid="{00000000-0004-0000-0700-0000C7060000}"/>
    <hyperlink ref="BY437" r:id="rId1737" display="https://drive.google.com/open?id=12T2RZEMCRq54DKV9Mb-AJziXv-aX7_Qg" xr:uid="{00000000-0004-0000-0700-0000C8060000}"/>
    <hyperlink ref="A438" r:id="rId1738" display="https://gerandofalcoes.my.salesforce.com/0014X00002VKCuKQAX" xr:uid="{00000000-0004-0000-0700-0000C9060000}"/>
    <hyperlink ref="AL438" r:id="rId1739" display="https://gerandofalcoes.my.salesforce.com/0034X0000380O5W" xr:uid="{00000000-0004-0000-0700-0000CA060000}"/>
    <hyperlink ref="BW438" r:id="rId1740" display="https://www.linkedin.com/in/ana-carolina-andrade-b104a284" xr:uid="{00000000-0004-0000-0700-0000CB060000}"/>
    <hyperlink ref="BX438" r:id="rId1741" display="https://www.instagram.com/andrade6126?r=nametag" xr:uid="{00000000-0004-0000-0700-0000CC060000}"/>
    <hyperlink ref="A439" r:id="rId1742" display="https://gerandofalcoes.my.salesforce.com/0014P00003YSp7iQAD" xr:uid="{00000000-0004-0000-0700-0000CD060000}"/>
    <hyperlink ref="AL439" r:id="rId1743" display="https://gerandofalcoes.my.salesforce.com/0034P000045kxiJ" xr:uid="{00000000-0004-0000-0700-0000CE060000}"/>
    <hyperlink ref="BW439" r:id="rId1744" display="https://www.linkedin.com/in/rafaelle-bragan%C3%A7a-44543896/" xr:uid="{00000000-0004-0000-0700-0000CF060000}"/>
    <hyperlink ref="BX439" r:id="rId1745" display="https://www.instagram.com/rafaellernc/?hl=pt-br" xr:uid="{00000000-0004-0000-0700-0000D0060000}"/>
    <hyperlink ref="BY439" r:id="rId1746" display="https://drive.google.com/open?id=1W1lbUSwcJ_6XMzLP1lRRITqh7ihX7Kcr" xr:uid="{00000000-0004-0000-0700-0000D1060000}"/>
    <hyperlink ref="A440" r:id="rId1747" display="https://gerandofalcoes.my.salesforce.com/0014X00002VKCuhQAH" xr:uid="{00000000-0004-0000-0700-0000D2060000}"/>
    <hyperlink ref="AL440" r:id="rId1748" display="https://gerandofalcoes.my.salesforce.com/0034X0000380O26" xr:uid="{00000000-0004-0000-0700-0000D3060000}"/>
    <hyperlink ref="BY440" r:id="rId1749" display="https://drive.google.com/open?id=1MVApdFAaNsCwnKU_vzJc2uPv9LPvf3te" xr:uid="{00000000-0004-0000-0700-0000D4060000}"/>
    <hyperlink ref="A441" r:id="rId1750" display="https://gerandofalcoes.my.salesforce.com/0014X00002VKCpKQAX" xr:uid="{00000000-0004-0000-0700-0000D5060000}"/>
    <hyperlink ref="AL441" r:id="rId1751" display="https://gerandofalcoes.my.salesforce.com/0034X0000380O52" xr:uid="{00000000-0004-0000-0700-0000D6060000}"/>
    <hyperlink ref="BY441" r:id="rId1752" display="https://drive.google.com/open?id=1aV0IOJ6qofcARetE6a3AsIvgakN2vOxw" xr:uid="{00000000-0004-0000-0700-0000D7060000}"/>
    <hyperlink ref="A442" r:id="rId1753" display="https://gerandofalcoes.my.salesforce.com/0014P00003YSp7kQAD" xr:uid="{00000000-0004-0000-0700-0000D8060000}"/>
    <hyperlink ref="AL442" r:id="rId1754" display="https://gerandofalcoes.my.salesforce.com/0034P000045kxiL" xr:uid="{00000000-0004-0000-0700-0000D9060000}"/>
    <hyperlink ref="BY442" r:id="rId1755" display="https://drive.google.com/open?id=1CoTJKhEOrxeitfu_kK6SptISmJnSCD9Z" xr:uid="{00000000-0004-0000-0700-0000DA060000}"/>
    <hyperlink ref="A443" r:id="rId1756" display="https://gerandofalcoes.my.salesforce.com/0014X00002VKCuTQAX" xr:uid="{00000000-0004-0000-0700-0000DB060000}"/>
    <hyperlink ref="AL443" r:id="rId1757" display="https://gerandofalcoes.my.salesforce.com/0034X0000380O1m" xr:uid="{00000000-0004-0000-0700-0000DC060000}"/>
    <hyperlink ref="BW443" r:id="rId1758" display="https://www.linkedin.com/in/caioc-teixeira/" xr:uid="{00000000-0004-0000-0700-0000DD060000}"/>
    <hyperlink ref="BX443" r:id="rId1759" display="https://www.instagram.com/caito_ct/" xr:uid="{00000000-0004-0000-0700-0000DE060000}"/>
    <hyperlink ref="BY443" r:id="rId1760" display="https://drive.google.com/open?id=14-8OnF6QzZqnLwiej1YYcb4sYkf04LRu" xr:uid="{00000000-0004-0000-0700-0000DF060000}"/>
    <hyperlink ref="A444" r:id="rId1761" display="https://gerandofalcoes.my.salesforce.com/0014P00003YSp8EQAT" xr:uid="{00000000-0004-0000-0700-0000E0060000}"/>
    <hyperlink ref="AL444" r:id="rId1762" display="https://gerandofalcoes.my.salesforce.com/0034P000045kxip" xr:uid="{00000000-0004-0000-0700-0000E1060000}"/>
    <hyperlink ref="BX444" r:id="rId1763" display="https://instagram.com/amandavisan?utm_medium=copy_link" xr:uid="{00000000-0004-0000-0700-0000E2060000}"/>
    <hyperlink ref="BY444" r:id="rId1764" display="https://drive.google.com/open?id=1NUDBxclDMFM_DIHhU1rrU_Ismp_pkflF" xr:uid="{00000000-0004-0000-0700-0000E3060000}"/>
    <hyperlink ref="A445" r:id="rId1765" display="https://gerandofalcoes.my.salesforce.com/0014P00003SGWPxQAP" xr:uid="{00000000-0004-0000-0700-0000E4060000}"/>
    <hyperlink ref="AL445" r:id="rId1766" display="https://gerandofalcoes.my.salesforce.com/0034P000043fOo0" xr:uid="{00000000-0004-0000-0700-0000E5060000}"/>
    <hyperlink ref="BW445" r:id="rId1767" display="https://www.linkedin.com/in/patricia-maia-485200217" xr:uid="{00000000-0004-0000-0700-0000E6060000}"/>
    <hyperlink ref="BX445" r:id="rId1768" display="https://instagram.com/patymaiav?utm_medium=copy_link" xr:uid="{00000000-0004-0000-0700-0000E7060000}"/>
    <hyperlink ref="BY445" r:id="rId1769" display="https://drive.google.com/open?id=1Z5oxvsM6OAY_yHO6T_1je5Av2ORcChto" xr:uid="{00000000-0004-0000-0700-0000E8060000}"/>
    <hyperlink ref="A446" r:id="rId1770" display="https://gerandofalcoes.my.salesforce.com/0014P00003SGWPnQAP" xr:uid="{00000000-0004-0000-0700-0000E9060000}"/>
    <hyperlink ref="AL446" r:id="rId1771" display="https://gerandofalcoes.my.salesforce.com/0034P000043fPDj" xr:uid="{00000000-0004-0000-0700-0000EA060000}"/>
    <hyperlink ref="BW446" r:id="rId1772" display="https://www.linkedin.com/feed/" xr:uid="{00000000-0004-0000-0700-0000EB060000}"/>
    <hyperlink ref="BX446" r:id="rId1773" display="https://www.instagram.com/andre2294/" xr:uid="{00000000-0004-0000-0700-0000EC060000}"/>
    <hyperlink ref="BY446" r:id="rId1774" display="https://drive.google.com/open?id=1vlNrTAXCkRIb0hnx_m2iKgGvGQYF3_P4" xr:uid="{00000000-0004-0000-0700-0000ED060000}"/>
    <hyperlink ref="A447" r:id="rId1775" display="https://gerandofalcoes.my.salesforce.com/0014P00003SGWPeQAP" xr:uid="{00000000-0004-0000-0700-0000EE060000}"/>
    <hyperlink ref="AL447" r:id="rId1776" display="https://gerandofalcoes.my.salesforce.com/0034P000043fOnl" xr:uid="{00000000-0004-0000-0700-0000EF060000}"/>
    <hyperlink ref="BW447" r:id="rId1777" display="https://www.linkedin.com/in/fernanda-bento-silva-82b93816a" xr:uid="{00000000-0004-0000-0700-0000F0060000}"/>
    <hyperlink ref="BY447" r:id="rId1778" display="https://drive.google.com/open?id=1BM8TrrQ7mXDV6Qh3bkAdy6v2fGHLqCYw" xr:uid="{00000000-0004-0000-0700-0000F1060000}"/>
    <hyperlink ref="A448" r:id="rId1779" display="https://gerandofalcoes.my.salesforce.com/0014P00003YSpAIQA1" xr:uid="{00000000-0004-0000-0700-0000F2060000}"/>
    <hyperlink ref="AL448" r:id="rId1780" display="https://gerandofalcoes.my.salesforce.com/0034P000045kxku" xr:uid="{00000000-0004-0000-0700-0000F3060000}"/>
    <hyperlink ref="BW448" r:id="rId1781" display="https://www.linkedin.com/in/per-marisa-limaoficial" xr:uid="{00000000-0004-0000-0700-0000F4060000}"/>
    <hyperlink ref="BX448" r:id="rId1782" display="https://instagram.com/marisalimalight?utm_medium=copy_link" xr:uid="{00000000-0004-0000-0700-0000F5060000}"/>
    <hyperlink ref="BY448" r:id="rId1783" display="https://drive.google.com/open?id=1T0NcV3efBT3pztjch7zZZ2AcPYK8xNht" xr:uid="{00000000-0004-0000-0700-0000F6060000}"/>
    <hyperlink ref="A449" r:id="rId1784" display="https://gerandofalcoes.my.salesforce.com/0014P00003YSp8dQAD" xr:uid="{00000000-0004-0000-0700-0000F7060000}"/>
    <hyperlink ref="AL449" r:id="rId1785" display="https://gerandofalcoes.my.salesforce.com/0034P000045kxjE" xr:uid="{00000000-0004-0000-0700-0000F8060000}"/>
    <hyperlink ref="BY449" r:id="rId1786" display="https://drive.google.com/open?id=1RWdk7FQXqbO27ZKAu6jB9Jf3DgqwxSJp" xr:uid="{00000000-0004-0000-0700-0000F9060000}"/>
    <hyperlink ref="A450" r:id="rId1787" display="https://gerandofalcoes.my.salesforce.com/0014X00002VKCt9QAH" xr:uid="{00000000-0004-0000-0700-0000FA060000}"/>
    <hyperlink ref="AL450" r:id="rId1788" display="https://gerandofalcoes.my.salesforce.com/0034X0000380O46" xr:uid="{00000000-0004-0000-0700-0000FB060000}"/>
    <hyperlink ref="BX450" r:id="rId1789" display="https://www.instagram.com/p/CXqqWwSg_FCP7CfFKKFFc54U_V6ly_36EKdLgk0/?utm_medium=copy_link" xr:uid="{00000000-0004-0000-0700-0000FC060000}"/>
    <hyperlink ref="BY450" r:id="rId1790" display="https://drive.google.com/open?id=1Ou4ys0a4DIUlv3fSI92VWV6sR3NsIGFH" xr:uid="{00000000-0004-0000-0700-0000FD060000}"/>
    <hyperlink ref="A451" r:id="rId1791" display="https://gerandofalcoes.my.salesforce.com/0014X00002VKCpBQAX" xr:uid="{00000000-0004-0000-0700-0000FE060000}"/>
    <hyperlink ref="AL451" r:id="rId1792" display="https://gerandofalcoes.my.salesforce.com/0034X0000380O23" xr:uid="{00000000-0004-0000-0700-0000FF060000}"/>
    <hyperlink ref="BW451" r:id="rId1793" display="https://www.linkedin.com/in/eduardo-neto-18a384138" xr:uid="{00000000-0004-0000-0700-000000070000}"/>
    <hyperlink ref="BX451" r:id="rId1794" display="https://instagram.com/eduuardoneto?igshid=YmMyMTA2M2Y=" xr:uid="{00000000-0004-0000-0700-000001070000}"/>
    <hyperlink ref="BY451" r:id="rId1795" display="https://drive.google.com/open?id=1UWKKRQtWfJbKCoK2gR5Q8LqttjLMNdg0" xr:uid="{00000000-0004-0000-0700-000002070000}"/>
    <hyperlink ref="A452" r:id="rId1796" display="https://gerandofalcoes.my.salesforce.com/0014P00003YSp7qQAD" xr:uid="{00000000-0004-0000-0700-000003070000}"/>
    <hyperlink ref="AL452" r:id="rId1797" display="https://gerandofalcoes.my.salesforce.com/0034P000045kxiR" xr:uid="{00000000-0004-0000-0700-000004070000}"/>
    <hyperlink ref="BW452" r:id="rId1798" display="https://br.linkedin.com/in/stefany-miranda-846776198" xr:uid="{00000000-0004-0000-0700-000005070000}"/>
    <hyperlink ref="BX452" r:id="rId1799" display="https://instagram.com/fanycaligrafia?igshid=YmMyMTA2M2Y=" xr:uid="{00000000-0004-0000-0700-000006070000}"/>
    <hyperlink ref="BY452" r:id="rId1800" display="https://drive.google.com/open?id=1KuJRrz0LJjkCms2jb4KlyhM15hnjx4Ru" xr:uid="{00000000-0004-0000-0700-000007070000}"/>
    <hyperlink ref="A453" r:id="rId1801" display="https://gerandofalcoes.my.salesforce.com/0014X00002VKCu0QAH" xr:uid="{00000000-0004-0000-0700-000008070000}"/>
    <hyperlink ref="AL453" r:id="rId1802" display="https://gerandofalcoes.my.salesforce.com/0034X0000380O5P" xr:uid="{00000000-0004-0000-0700-000009070000}"/>
    <hyperlink ref="BW453" r:id="rId1803" display="https://www.linkedin.com/feed/" xr:uid="{00000000-0004-0000-0700-00000A070000}"/>
    <hyperlink ref="BX453" r:id="rId1804" display="https://instagram.com/teixeira_judo?igshid=YmMyMTA2M2Y=" xr:uid="{00000000-0004-0000-0700-00000B070000}"/>
    <hyperlink ref="BY453" r:id="rId1805" display="https://drive.google.com/open?id=1on4aWaykZfnvbdM3YJcKsN55JyXT8hmu" xr:uid="{00000000-0004-0000-0700-00000C070000}"/>
    <hyperlink ref="A454" r:id="rId1806" display="https://gerandofalcoes.my.salesforce.com/0014P00003YSp8mQAD" xr:uid="{00000000-0004-0000-0700-00000D070000}"/>
    <hyperlink ref="AL454" r:id="rId1807" display="https://gerandofalcoes.my.salesforce.com/0034P000045kxjO" xr:uid="{00000000-0004-0000-0700-00000E070000}"/>
    <hyperlink ref="BX454" r:id="rId1808" display="https://instagram.com/samuel.soares.716195?utm_medium=copy_link" xr:uid="{00000000-0004-0000-0700-00000F070000}"/>
    <hyperlink ref="BY454" r:id="rId1809" display="https://drive.google.com/open?id=1YHylL6BWm1hitVgQJT8vmbey2vqKuPVh" xr:uid="{00000000-0004-0000-0700-000010070000}"/>
    <hyperlink ref="A455" r:id="rId1810" display="https://gerandofalcoes.my.salesforce.com/0014P00003YSp9RQAT" xr:uid="{00000000-0004-0000-0700-000011070000}"/>
    <hyperlink ref="AL455" r:id="rId1811" display="https://gerandofalcoes.my.salesforce.com/0034P000045kxk3" xr:uid="{00000000-0004-0000-0700-000012070000}"/>
    <hyperlink ref="BX455" r:id="rId1812" display="http://instagram.com/fecampanile" xr:uid="{00000000-0004-0000-0700-000013070000}"/>
    <hyperlink ref="BY455" r:id="rId1813" display="https://drive.google.com/open?id=1C-mYkiCXLYAyKMWJ2tWkQHSvO_GzLGX7" xr:uid="{00000000-0004-0000-0700-000014070000}"/>
    <hyperlink ref="A456" r:id="rId1814" display="https://gerandofalcoes.my.salesforce.com/0014P00003SGWQ0QAP" xr:uid="{00000000-0004-0000-0700-000015070000}"/>
    <hyperlink ref="AL456" r:id="rId1815" display="https://gerandofalcoes.my.salesforce.com/0034P000043fPDn" xr:uid="{00000000-0004-0000-0700-000016070000}"/>
    <hyperlink ref="BW456" r:id="rId1816" display="https://www.linkedin.com/in/katia-soares-38359858/" xr:uid="{00000000-0004-0000-0700-000017070000}"/>
    <hyperlink ref="BX456" r:id="rId1817" display="https://www.instagram.com/kajesoares/" xr:uid="{00000000-0004-0000-0700-000018070000}"/>
    <hyperlink ref="BY456" r:id="rId1818" display="https://drive.google.com/open?id=1MZOmvzs-8GIKlPZRjuPt2xc_okVXzWI5" xr:uid="{00000000-0004-0000-0700-000019070000}"/>
    <hyperlink ref="A457" r:id="rId1819" display="https://gerandofalcoes.my.salesforce.com/0014P00003YSp8yQAD" xr:uid="{00000000-0004-0000-0700-00001A070000}"/>
    <hyperlink ref="AL457" r:id="rId1820" display="https://gerandofalcoes.my.salesforce.com/0034P000045kxja" xr:uid="{00000000-0004-0000-0700-00001B070000}"/>
    <hyperlink ref="BX457" r:id="rId1821" display="https://www.instagram.com/joaolino1001/" xr:uid="{00000000-0004-0000-0700-00001C070000}"/>
    <hyperlink ref="BY457" r:id="rId1822" display="https://drive.google.com/open?id=1avbizm6xs9ArRVa9-hvXirRX9eWFrjpO" xr:uid="{00000000-0004-0000-0700-00001D070000}"/>
    <hyperlink ref="A458" r:id="rId1823" display="https://gerandofalcoes.my.salesforce.com/0014X00002VKCrVQAX" xr:uid="{00000000-0004-0000-0700-00001E070000}"/>
    <hyperlink ref="AL458" r:id="rId1824" display="https://gerandofalcoes.my.salesforce.com/0034X0000380O2N" xr:uid="{00000000-0004-0000-0700-00001F070000}"/>
    <hyperlink ref="BY458" r:id="rId1825" display="https://drive.google.com/open?id=18vDNDXgu1PuyjaitqGLkP_4VMAAPSlX-" xr:uid="{00000000-0004-0000-0700-000020070000}"/>
    <hyperlink ref="A459" r:id="rId1826" display="https://gerandofalcoes.my.salesforce.com/0014P00003YSp8LQAT" xr:uid="{00000000-0004-0000-0700-000021070000}"/>
    <hyperlink ref="AL459" r:id="rId1827" display="https://gerandofalcoes.my.salesforce.com/0034P000045kxiw" xr:uid="{00000000-0004-0000-0700-000022070000}"/>
    <hyperlink ref="BX459" r:id="rId1828" display="https://instagram.com/anafelix2019?utm_medium=copy_link" xr:uid="{00000000-0004-0000-0700-000023070000}"/>
    <hyperlink ref="BY459" r:id="rId1829" display="https://drive.google.com/open?id=1jePFUYdDBAn4RqRWXOOgSQuBTVep3YGp" xr:uid="{00000000-0004-0000-0700-000024070000}"/>
    <hyperlink ref="A460" r:id="rId1830" display="https://gerandofalcoes.my.salesforce.com/0014X00002VKCrcQAH" xr:uid="{00000000-0004-0000-0700-000025070000}"/>
    <hyperlink ref="AL460" r:id="rId1831" display="https://gerandofalcoes.my.salesforce.com/0034X0000380O47" xr:uid="{00000000-0004-0000-0700-000026070000}"/>
    <hyperlink ref="BY460" r:id="rId1832" display="https://drive.google.com/open?id=1OFFk76uGggfu2mKwiRjLP4-xRr8NivJ4" xr:uid="{00000000-0004-0000-0700-000027070000}"/>
    <hyperlink ref="A461" r:id="rId1833" display="https://gerandofalcoes.my.salesforce.com/0014X00002VKCuVQAX" xr:uid="{00000000-0004-0000-0700-000028070000}"/>
    <hyperlink ref="AL461" r:id="rId1834" display="https://gerandofalcoes.my.salesforce.com/0034X0000380O1y" xr:uid="{00000000-0004-0000-0700-000029070000}"/>
    <hyperlink ref="BW461" r:id="rId1835" display="https://www.linkedin.com/in/caiocuadrado" xr:uid="{00000000-0004-0000-0700-00002A070000}"/>
    <hyperlink ref="BX461" r:id="rId1836" display="https://www.instagram.com/caiocuadrado" xr:uid="{00000000-0004-0000-0700-00002B070000}"/>
    <hyperlink ref="BY461" r:id="rId1837" display="https://drive.google.com/open?id=1elfHJjbNYc5D_gUXGZ0oW7Jl2hVgc7Pr" xr:uid="{00000000-0004-0000-0700-00002C070000}"/>
    <hyperlink ref="A462" r:id="rId1838" display="https://gerandofalcoes.my.salesforce.com/0014X00002VKCqFQAX" xr:uid="{00000000-0004-0000-0700-00002D070000}"/>
    <hyperlink ref="AL462" r:id="rId1839" display="https://gerandofalcoes.my.salesforce.com/0034X0000380O6q" xr:uid="{00000000-0004-0000-0700-00002E070000}"/>
    <hyperlink ref="BY462" r:id="rId1840" display="https://drive.google.com/open?id=1bQIsYyFNuqKx-ku43rDgtUKsF6ajDX9S" xr:uid="{00000000-0004-0000-0700-00002F070000}"/>
    <hyperlink ref="A463" r:id="rId1841" display="https://gerandofalcoes.my.salesforce.com/0014P00003SGWQ1QAP" xr:uid="{00000000-0004-0000-0700-000030070000}"/>
    <hyperlink ref="AL463" r:id="rId1842" display="https://gerandofalcoes.my.salesforce.com/0034P000043fOo3" xr:uid="{00000000-0004-0000-0700-000031070000}"/>
    <hyperlink ref="BW463" r:id="rId1843" display="https://www.linkedin.com/in/thamires-castro-03901810a" xr:uid="{00000000-0004-0000-0700-000032070000}"/>
    <hyperlink ref="BX463" r:id="rId1844" display="http://www.instagram.com/thamirescastroa" xr:uid="{00000000-0004-0000-0700-000033070000}"/>
    <hyperlink ref="BY463" r:id="rId1845" display="https://drive.google.com/open?id=1hB8NALZw1WGjiC7E-TLSfCaz6b42uXKz" xr:uid="{00000000-0004-0000-0700-000034070000}"/>
    <hyperlink ref="A464" r:id="rId1846" display="https://gerandofalcoes.my.salesforce.com/0014X00002VKCstQAH" xr:uid="{00000000-0004-0000-0700-000035070000}"/>
    <hyperlink ref="AL464" r:id="rId1847" display="https://gerandofalcoes.my.salesforce.com/0034X0000380O18" xr:uid="{00000000-0004-0000-0700-000036070000}"/>
    <hyperlink ref="BX464" r:id="rId1848" display="https://www.instagram.com/favelabarrovermelho/" xr:uid="{00000000-0004-0000-0700-000037070000}"/>
    <hyperlink ref="BY464" r:id="rId1849" display="https://drive.google.com/open?id=1_rj2uDOCIvcsIcToXNp2-O37cuxga6yM" xr:uid="{00000000-0004-0000-0700-000038070000}"/>
    <hyperlink ref="A465" r:id="rId1850" display="https://gerandofalcoes.my.salesforce.com/0014X00002VKCsmQAH" xr:uid="{00000000-0004-0000-0700-000039070000}"/>
    <hyperlink ref="AL465" r:id="rId1851" display="https://gerandofalcoes.my.salesforce.com/0034X0000380O6k" xr:uid="{00000000-0004-0000-0700-00003A070000}"/>
    <hyperlink ref="BX465" r:id="rId1852" display="https://www.instagram.com/llaisnogueira/" xr:uid="{00000000-0004-0000-0700-00003B070000}"/>
    <hyperlink ref="BY465" r:id="rId1853" display="https://drive.google.com/open?id=1H3dR8LywJB5dhzs5gZWMhNOXf6T0eiYa" xr:uid="{00000000-0004-0000-0700-00003C070000}"/>
    <hyperlink ref="A466" r:id="rId1854" display="https://gerandofalcoes.my.salesforce.com/0014X00002VKCv1QAH" xr:uid="{00000000-0004-0000-0700-00003D070000}"/>
    <hyperlink ref="AL466" r:id="rId1855" display="https://gerandofalcoes.my.salesforce.com/0034X0000380O22" xr:uid="{00000000-0004-0000-0700-00003E070000}"/>
    <hyperlink ref="BX466" r:id="rId1856" display="http://www.instagram.com/" xr:uid="{00000000-0004-0000-0700-00003F070000}"/>
    <hyperlink ref="BY466" r:id="rId1857" display="https://drive.google.com/open?id=1loJJUyGsE_giTAc2AGPLlRyMdQD6ucbs" xr:uid="{00000000-0004-0000-0700-000040070000}"/>
    <hyperlink ref="A467" r:id="rId1858" display="https://gerandofalcoes.my.salesforce.com/0014X00002VKCrLQAX" xr:uid="{00000000-0004-0000-0700-000041070000}"/>
    <hyperlink ref="AL467" r:id="rId1859" display="https://gerandofalcoes.my.salesforce.com/0034X0000380O5A" xr:uid="{00000000-0004-0000-0700-000042070000}"/>
    <hyperlink ref="BX467" r:id="rId1860" display="https://instagram.com/adoniranpaulinodospassos?utm_medium=copy_link" xr:uid="{00000000-0004-0000-0700-000043070000}"/>
    <hyperlink ref="BY467" r:id="rId1861" display="https://drive.google.com/open?id=1iQQCVzJggVXX3WjPuawaZIkyknJcMq86" xr:uid="{00000000-0004-0000-0700-000044070000}"/>
    <hyperlink ref="A468" r:id="rId1862" display="https://gerandofalcoes.my.salesforce.com/0014X00002VKCurQAH" xr:uid="{00000000-0004-0000-0700-000045070000}"/>
    <hyperlink ref="AL468" r:id="rId1863" display="https://gerandofalcoes.my.salesforce.com/0034X0000380O2y" xr:uid="{00000000-0004-0000-0700-000046070000}"/>
    <hyperlink ref="BX468" r:id="rId1864" display="https://instagram.com/marcelasiqueeira?utm_medium=copy_link" xr:uid="{00000000-0004-0000-0700-000047070000}"/>
    <hyperlink ref="BY468" r:id="rId1865" display="https://drive.google.com/open?id=1_VmizHxq97IH7FVbnU8TNeHV0SvXI1H2" xr:uid="{00000000-0004-0000-0700-000048070000}"/>
    <hyperlink ref="A469" r:id="rId1866" display="https://gerandofalcoes.my.salesforce.com/0014P00003SGWQ7QAP" xr:uid="{00000000-0004-0000-0700-000049070000}"/>
    <hyperlink ref="AL469" r:id="rId1867" display="https://gerandofalcoes.my.salesforce.com/0034P000043fOo8" xr:uid="{00000000-0004-0000-0700-00004A070000}"/>
    <hyperlink ref="BW469" r:id="rId1868" display="http://robertamaranhao.pe/" xr:uid="{00000000-0004-0000-0700-00004B070000}"/>
    <hyperlink ref="BY469" r:id="rId1869" display="https://drive.google.com/open?id=1-Lys8KRyJab7v9y6Vry3eNjJLwmnS8GO" xr:uid="{00000000-0004-0000-0700-00004C070000}"/>
    <hyperlink ref="A470" r:id="rId1870" display="https://gerandofalcoes.my.salesforce.com/0014P00003YSp9zQAD" xr:uid="{00000000-0004-0000-0700-00004D070000}"/>
    <hyperlink ref="AL470" r:id="rId1871" display="https://gerandofalcoes.my.salesforce.com/0034P000045kxkb" xr:uid="{00000000-0004-0000-0700-00004E070000}"/>
    <hyperlink ref="BY470" r:id="rId1872" display="https://drive.google.com/open?id=1J4W7qCOEiSAjT49HUy1qeLgAGaugVMmn" xr:uid="{00000000-0004-0000-0700-00004F070000}"/>
    <hyperlink ref="A471" r:id="rId1873" display="https://gerandofalcoes.my.salesforce.com/0014X00002VKCrKQAX" xr:uid="{00000000-0004-0000-0700-000050070000}"/>
    <hyperlink ref="AL471" r:id="rId1874" display="https://gerandofalcoes.my.salesforce.com/0034X0000380O5I" xr:uid="{00000000-0004-0000-0700-000051070000}"/>
    <hyperlink ref="BW471" r:id="rId1875" display="https://www.linkedin.com/in/winy-fabiano-42919b150" xr:uid="{00000000-0004-0000-0700-000052070000}"/>
    <hyperlink ref="BX471" r:id="rId1876" display="https://instagram.com/winyfabiano?utm_medium=copy_link" xr:uid="{00000000-0004-0000-0700-000053070000}"/>
    <hyperlink ref="BY471" r:id="rId1877" display="https://drive.google.com/open?id=19u1xJ430VJM_C9Dype5WgPDOC4E6t4bL" xr:uid="{00000000-0004-0000-0700-000054070000}"/>
    <hyperlink ref="A472" r:id="rId1878" display="https://gerandofalcoes.my.salesforce.com/0014X00002VKCp9QAH" xr:uid="{00000000-0004-0000-0700-000055070000}"/>
    <hyperlink ref="AL472" r:id="rId1879" display="https://gerandofalcoes.my.salesforce.com/0034X0000380O4P" xr:uid="{00000000-0004-0000-0700-000056070000}"/>
    <hyperlink ref="BX472" r:id="rId1880" display="https://www.instagram.com/p/CX_Yn-JI38r/?utm_medium=copy_link" xr:uid="{00000000-0004-0000-0700-000057070000}"/>
    <hyperlink ref="BY472" r:id="rId1881" display="https://drive.google.com/open?id=18k3beDwBTDIcBmzLT6V7X7sZZ42lcbwo" xr:uid="{00000000-0004-0000-0700-000058070000}"/>
    <hyperlink ref="A473" r:id="rId1882" display="https://gerandofalcoes.my.salesforce.com/0014P00003YSp8nQAD" xr:uid="{00000000-0004-0000-0700-000059070000}"/>
    <hyperlink ref="AL473" r:id="rId1883" display="https://gerandofalcoes.my.salesforce.com/0034P000045kxjP" xr:uid="{00000000-0004-0000-0700-00005A070000}"/>
    <hyperlink ref="BW473" r:id="rId1884" display="https://www.linkedin.com/in/daisy-cristina-martins-dos-santos-42440b200" xr:uid="{00000000-0004-0000-0700-00005B070000}"/>
    <hyperlink ref="BX473" r:id="rId1885" display="https://www.instagram.com/p/Ca3UleMOwWn/?utm_medium=copy_link" xr:uid="{00000000-0004-0000-0700-00005C070000}"/>
    <hyperlink ref="BY473" r:id="rId1886" display="https://drive.google.com/open?id=1Wk4VMVGXbvnh2_DC_ZcdHASXIERgcHx4" xr:uid="{00000000-0004-0000-0700-00005D070000}"/>
    <hyperlink ref="A474" r:id="rId1887" display="https://gerandofalcoes.my.salesforce.com/0014X00002VKCtEQAX" xr:uid="{00000000-0004-0000-0700-00005E070000}"/>
    <hyperlink ref="AL474" r:id="rId1888" display="https://gerandofalcoes.my.salesforce.com/0034X0000380O5h" xr:uid="{00000000-0004-0000-0700-00005F070000}"/>
    <hyperlink ref="BX474" r:id="rId1889" display="https://instagram.com/brendavilhosa?utm_medium=copy_link" xr:uid="{00000000-0004-0000-0700-000060070000}"/>
    <hyperlink ref="BY474" r:id="rId1890" display="https://drive.google.com/open?id=1PbbIjsAeffmEXCZLf3eQUwKVEaDDVrMg" xr:uid="{00000000-0004-0000-0700-000061070000}"/>
    <hyperlink ref="A475" r:id="rId1891" display="https://gerandofalcoes.my.salesforce.com/0014X00002VKCt8QAH" xr:uid="{00000000-0004-0000-0700-000062070000}"/>
    <hyperlink ref="AL475" r:id="rId1892" display="https://gerandofalcoes.my.salesforce.com/0034X0000380O2F" xr:uid="{00000000-0004-0000-0700-000063070000}"/>
    <hyperlink ref="BY475" r:id="rId1893" display="https://drive.google.com/open?id=1cDfta_XQldB9qXqiDerniJ-A7sIV_OTu" xr:uid="{00000000-0004-0000-0700-000064070000}"/>
    <hyperlink ref="A476" r:id="rId1894" display="https://gerandofalcoes.my.salesforce.com/0014P00003YSp8CQAT" xr:uid="{00000000-0004-0000-0700-000065070000}"/>
    <hyperlink ref="AL476" r:id="rId1895" display="https://gerandofalcoes.my.salesforce.com/0034P000045kxin" xr:uid="{00000000-0004-0000-0700-000066070000}"/>
    <hyperlink ref="BW476" r:id="rId1896" display="https://www.linkedin.com/in/abel-gomes-9820221b9" xr:uid="{00000000-0004-0000-0700-000067070000}"/>
    <hyperlink ref="BY476" r:id="rId1897" display="https://drive.google.com/open?id=1hFpaQh1Er-ptYpVeMbd2ZFSsKNu2SNTW" xr:uid="{00000000-0004-0000-0700-000068070000}"/>
    <hyperlink ref="A477" r:id="rId1898" display="https://gerandofalcoes.my.salesforce.com/0014X00002VKCpvQAH" xr:uid="{00000000-0004-0000-0700-000069070000}"/>
    <hyperlink ref="AL477" r:id="rId1899" display="https://gerandofalcoes.my.salesforce.com/0034X0000380O6Z" xr:uid="{00000000-0004-0000-0700-00006A070000}"/>
    <hyperlink ref="BX477" r:id="rId1900" display="https://instagram.com/luizadssantoss?utm_medium=copy_link" xr:uid="{00000000-0004-0000-0700-00006B070000}"/>
    <hyperlink ref="BY477" r:id="rId1901" display="https://drive.google.com/open?id=1UaVBIpMGTvugcCNZe4DZC2_TqAtVspG2" xr:uid="{00000000-0004-0000-0700-00006C070000}"/>
    <hyperlink ref="A478" r:id="rId1902" display="https://gerandofalcoes.my.salesforce.com/0014P00003SGWFtQAP" xr:uid="{00000000-0004-0000-0700-00006D070000}"/>
    <hyperlink ref="AL478" r:id="rId1903" display="https://gerandofalcoes.my.salesforce.com/0034P000043fOnT" xr:uid="{00000000-0004-0000-0700-00006E070000}"/>
    <hyperlink ref="BW478" r:id="rId1904" display="https://www.linkedin.com/in/alcione-rodrigues-b22213121" xr:uid="{00000000-0004-0000-0700-00006F070000}"/>
    <hyperlink ref="BX478" r:id="rId1905" display="https://www.instagram.com/reel/CXyV4P5gQd-x0B0UQDh5Q8NEPswBr12-gy_xWs0/?utm_medium=copy_link" xr:uid="{00000000-0004-0000-0700-000070070000}"/>
    <hyperlink ref="BY478" r:id="rId1906" display="https://drive.google.com/open?id=1x6dXVupTpE0-r0Yz9ttId9f3ZQAH-Rhy" xr:uid="{00000000-0004-0000-0700-000071070000}"/>
    <hyperlink ref="A479" r:id="rId1907" display="https://gerandofalcoes.my.salesforce.com/0014X00002VKCpYQAX" xr:uid="{00000000-0004-0000-0700-000072070000}"/>
    <hyperlink ref="AL479" r:id="rId1908" display="https://gerandofalcoes.my.salesforce.com/0034X0000380O2x" xr:uid="{00000000-0004-0000-0700-000073070000}"/>
    <hyperlink ref="BX479" r:id="rId1909" display="https://www.instagram.com/raquelmaia37/?hl=pt-br" xr:uid="{00000000-0004-0000-0700-000074070000}"/>
    <hyperlink ref="A480" r:id="rId1910" display="https://gerandofalcoes.my.salesforce.com/0014P00003YSp9JQAT" xr:uid="{00000000-0004-0000-0700-000075070000}"/>
    <hyperlink ref="AL480" r:id="rId1911" display="https://gerandofalcoes.my.salesforce.com/0034P000045kxjv" xr:uid="{00000000-0004-0000-0700-000076070000}"/>
    <hyperlink ref="BY480" r:id="rId1912" display="https://drive.google.com/open?id=1ttgFAwuIeCw47J68v5MCzz0XeRZj0maB" xr:uid="{00000000-0004-0000-0700-000077070000}"/>
    <hyperlink ref="A481" r:id="rId1913" display="https://gerandofalcoes.my.salesforce.com/0014X00002VKCouQAH" xr:uid="{00000000-0004-0000-0700-000078070000}"/>
    <hyperlink ref="AL481" r:id="rId1914" display="https://gerandofalcoes.my.salesforce.com/0034X0000380O5w" xr:uid="{00000000-0004-0000-0700-000079070000}"/>
    <hyperlink ref="BW481" r:id="rId1915" display="https://www.linkedin.com/in/admilson-fuca" xr:uid="{00000000-0004-0000-0700-00007A070000}"/>
    <hyperlink ref="BX481" r:id="rId1916" display="https://www.instagram.com/asjr.professor/" xr:uid="{00000000-0004-0000-0700-00007B070000}"/>
    <hyperlink ref="BY481" r:id="rId1917" display="https://drive.google.com/open?id=1yxX85NXSxXoEzTJyrlXw7eYxy4Jmw-R-" xr:uid="{00000000-0004-0000-0700-00007C070000}"/>
    <hyperlink ref="A482" r:id="rId1918" display="https://gerandofalcoes.my.salesforce.com/0014P00003YSpAGQA1" xr:uid="{00000000-0004-0000-0700-00007D070000}"/>
    <hyperlink ref="AL482" r:id="rId1919" display="https://gerandofalcoes.my.salesforce.com/0034P000045kxks" xr:uid="{00000000-0004-0000-0700-00007E070000}"/>
    <hyperlink ref="BW482" r:id="rId1920" display="https://www.linkedin.com/in/ana-paula-almeida-rodrigues-b9002b44" xr:uid="{00000000-0004-0000-0700-00007F070000}"/>
    <hyperlink ref="BX482" r:id="rId1921" display="https://instagram.com/anapaula.almeidarodrigues?utm_medium=copy_link" xr:uid="{00000000-0004-0000-0700-000080070000}"/>
    <hyperlink ref="BY482" r:id="rId1922" display="https://drive.google.com/open?id=11uUQOTvq0vidwHYMUQOADdzirZbRyUnh" xr:uid="{00000000-0004-0000-0700-000081070000}"/>
    <hyperlink ref="A483" r:id="rId1923" display="https://gerandofalcoes.my.salesforce.com/0014P00003SGWPbQAP" xr:uid="{00000000-0004-0000-0700-000082070000}"/>
    <hyperlink ref="AL483" r:id="rId1924" display="https://gerandofalcoes.my.salesforce.com/0034P000043fOni" xr:uid="{00000000-0004-0000-0700-000083070000}"/>
    <hyperlink ref="BW483" r:id="rId1925" display="https://www.linkedin.com/in/elisandra-aparecida-martins-melo-367843215/" xr:uid="{00000000-0004-0000-0700-000084070000}"/>
    <hyperlink ref="BX483" r:id="rId1926" display="https://www.instagram.com/p/CLsPnUJDm-2/?utm_medium=copy_link" xr:uid="{00000000-0004-0000-0700-000085070000}"/>
    <hyperlink ref="BY483" r:id="rId1927" display="https://drive.google.com/open?id=1mpT_OZt3DRBDicUM1bdyDPaLt-5zPx_w" xr:uid="{00000000-0004-0000-0700-000086070000}"/>
    <hyperlink ref="A484" r:id="rId1928" display="https://gerandofalcoes.my.salesforce.com/0014X00002VKCr3QAH" xr:uid="{00000000-0004-0000-0700-000087070000}"/>
    <hyperlink ref="AL484" r:id="rId1929" display="https://gerandofalcoes.my.salesforce.com/0034X0000380O32" xr:uid="{00000000-0004-0000-0700-000088070000}"/>
    <hyperlink ref="BX484" r:id="rId1930" display="https://www.instagram.com/p/CY_we9SAi8V/?utm_medium=share_sheet" xr:uid="{00000000-0004-0000-0700-000089070000}"/>
    <hyperlink ref="BY484" r:id="rId1931" display="https://drive.google.com/open?id=1HkKsm0aumTPHbS1qXz45eyluI7e3m7Yj" xr:uid="{00000000-0004-0000-0700-00008A070000}"/>
    <hyperlink ref="A485" r:id="rId1932" display="https://gerandofalcoes.my.salesforce.com/0014X00002VKCowQAH" xr:uid="{00000000-0004-0000-0700-00008B070000}"/>
    <hyperlink ref="AL485" r:id="rId1933" display="https://gerandofalcoes.my.salesforce.com/0034X0000380O3a" xr:uid="{00000000-0004-0000-0700-00008C070000}"/>
    <hyperlink ref="BX485" r:id="rId1934" display="https://instagram.com/aline_assistente_social?utm_medium=copy_link" xr:uid="{00000000-0004-0000-0700-00008D070000}"/>
    <hyperlink ref="A486" r:id="rId1935" display="https://gerandofalcoes.my.salesforce.com/0014X00002VKCrfQAH" xr:uid="{00000000-0004-0000-0700-00008E070000}"/>
    <hyperlink ref="AL486" r:id="rId1936" display="https://gerandofalcoes.my.salesforce.com/0034X0000380O6h" xr:uid="{00000000-0004-0000-0700-00008F070000}"/>
    <hyperlink ref="BY486" r:id="rId1937" display="https://drive.google.com/open?id=1OVhP1ER0dEOAvtOCgpqOESk7v5BiU0N9" xr:uid="{00000000-0004-0000-0700-000090070000}"/>
    <hyperlink ref="A487" r:id="rId1938" display="https://gerandofalcoes.my.salesforce.com/0014P00003YSpA1QAL" xr:uid="{00000000-0004-0000-0700-000091070000}"/>
    <hyperlink ref="AL487" r:id="rId1939" display="https://gerandofalcoes.my.salesforce.com/0034P000045kxkd" xr:uid="{00000000-0004-0000-0700-000092070000}"/>
    <hyperlink ref="BW487" r:id="rId1940" display="https://www.linkedin.com/in/daiani-ferreira-soares-58973534" xr:uid="{00000000-0004-0000-0700-000093070000}"/>
    <hyperlink ref="BX487" r:id="rId1941" display="https://instagram.com/daianisoares_?utm_medium=copy_link" xr:uid="{00000000-0004-0000-0700-000094070000}"/>
    <hyperlink ref="BY487" r:id="rId1942" display="https://drive.google.com/open?id=1lVruTCt34Gfcu971bDo1y0-xo6P41EPF" xr:uid="{00000000-0004-0000-0700-000095070000}"/>
    <hyperlink ref="A488" r:id="rId1943" display="https://gerandofalcoes.my.salesforce.com/0014X00002VKCubQAH" xr:uid="{00000000-0004-0000-0700-000096070000}"/>
    <hyperlink ref="AL488" r:id="rId1944" display="https://gerandofalcoes.my.salesforce.com/0034X0000380O4L" xr:uid="{00000000-0004-0000-0700-000097070000}"/>
    <hyperlink ref="BW488" r:id="rId1945" display="https://www.linkedin.com/in/djalma-nunes-609a09ab/" xr:uid="{00000000-0004-0000-0700-000098070000}"/>
    <hyperlink ref="BX488" r:id="rId1946" display="https://www.instagram.com/djalmanunes_/" xr:uid="{00000000-0004-0000-0700-000099070000}"/>
    <hyperlink ref="BY488" r:id="rId1947" display="https://drive.google.com/open?id=1kjvfjghNti_llx9gXaHaIqXHTYhr2buE" xr:uid="{00000000-0004-0000-0700-00009A070000}"/>
    <hyperlink ref="A489" r:id="rId1948" display="https://gerandofalcoes.my.salesforce.com/0014X00002VKCv8QAH" xr:uid="{00000000-0004-0000-0700-00009B070000}"/>
    <hyperlink ref="AL489" r:id="rId1949" display="https://gerandofalcoes.my.salesforce.com/0034X0000380O58" xr:uid="{00000000-0004-0000-0700-00009C070000}"/>
    <hyperlink ref="BY489" r:id="rId1950" display="https://drive.google.com/open?id=11FAnuy-HeqviqES3pVRYGPWki54mEJ73" xr:uid="{00000000-0004-0000-0700-00009D070000}"/>
    <hyperlink ref="A490" r:id="rId1951" display="https://gerandofalcoes.my.salesforce.com/0014X00002VKCtRQAX" xr:uid="{00000000-0004-0000-0700-00009E070000}"/>
    <hyperlink ref="AL490" r:id="rId1952" display="https://gerandofalcoes.my.salesforce.com/0034X0000380O2C" xr:uid="{00000000-0004-0000-0700-00009F070000}"/>
    <hyperlink ref="BX490" r:id="rId1953" display="https://www.instagram.com/kamalartistapotiguar/" xr:uid="{00000000-0004-0000-0700-0000A0070000}"/>
    <hyperlink ref="BY490" r:id="rId1954" display="https://drive.google.com/open?id=1Wpk3V6fdUQvLRQR_hBO_qYAQexmndDyX" xr:uid="{00000000-0004-0000-0700-0000A1070000}"/>
    <hyperlink ref="A491" r:id="rId1955" display="https://gerandofalcoes.my.salesforce.com/0014X00002VKCsxQAH" xr:uid="{00000000-0004-0000-0700-0000A2070000}"/>
    <hyperlink ref="AL491" r:id="rId1956" display="https://gerandofalcoes.my.salesforce.com/0034X0000380O3M" xr:uid="{00000000-0004-0000-0700-0000A3070000}"/>
    <hyperlink ref="BX491" r:id="rId1957" display="https://instagram.com/natysilva6770?utm_medium=copy_link" xr:uid="{00000000-0004-0000-0700-0000A4070000}"/>
    <hyperlink ref="BY491" r:id="rId1958" display="https://drive.google.com/open?id=15tfj4B3HYV2WpBN255HF3Ww7ZTqwOwN3" xr:uid="{00000000-0004-0000-0700-0000A5070000}"/>
    <hyperlink ref="A492" r:id="rId1959" display="https://gerandofalcoes.my.salesforce.com/0014P00003AN2G3QAL" xr:uid="{00000000-0004-0000-0700-0000A6070000}"/>
    <hyperlink ref="AL492" r:id="rId1960" display="https://gerandofalcoes.my.salesforce.com/0034P00003maBVX" xr:uid="{00000000-0004-0000-0700-0000A7070000}"/>
    <hyperlink ref="BX492" r:id="rId1961" display="https://instagram.com/luzia_dani?utm_medium=copy_link" xr:uid="{00000000-0004-0000-0700-0000A8070000}"/>
    <hyperlink ref="BY492" r:id="rId1962" display="https://drive.google.com/open?id=1VXnl6c2rksCP0gUrLtLx5IKgIylW5Psa" xr:uid="{00000000-0004-0000-0700-0000A9070000}"/>
    <hyperlink ref="A493" r:id="rId1963" display="https://gerandofalcoes.my.salesforce.com/0014P00003YSp8iQAD" xr:uid="{00000000-0004-0000-0700-0000AA070000}"/>
    <hyperlink ref="AL493" r:id="rId1964" display="https://gerandofalcoes.my.salesforce.com/0034P000045kxjJ" xr:uid="{00000000-0004-0000-0700-0000AB070000}"/>
    <hyperlink ref="BW493" r:id="rId1965" display="https://www.linkedin.com/in/kauannatoppa/" xr:uid="{00000000-0004-0000-0700-0000AC070000}"/>
    <hyperlink ref="BX493" r:id="rId1966" display="https://instagram.com/kauannatoppa?utm_medium=copy_link" xr:uid="{00000000-0004-0000-0700-0000AD070000}"/>
    <hyperlink ref="BY493" r:id="rId1967" display="https://drive.google.com/open?id=1CxRMOUQnqZx3X_S3u08gR9_a5CBPTNHw" xr:uid="{00000000-0004-0000-0700-0000AE070000}"/>
    <hyperlink ref="A494" r:id="rId1968" display="https://gerandofalcoes.my.salesforce.com/0014P00003SGWQ3QAP" xr:uid="{00000000-0004-0000-0700-0000AF070000}"/>
    <hyperlink ref="AL494" r:id="rId1969" display="https://gerandofalcoes.my.salesforce.com/0034P000043fPDo" xr:uid="{00000000-0004-0000-0700-0000B0070000}"/>
    <hyperlink ref="BW494" r:id="rId1970" display="https://www.linkedin.com/in/ong-libertarios-do-cap%C3%A3o-redondo-0a58b157" xr:uid="{00000000-0004-0000-0700-0000B1070000}"/>
    <hyperlink ref="BX494" r:id="rId1971" display="https://www.instagram.com/invites/contact/?i=g7usp6zbyvhn&amp;utm_content=z7gkh3" xr:uid="{00000000-0004-0000-0700-0000B2070000}"/>
    <hyperlink ref="BY494" r:id="rId1972" display="https://drive.google.com/open?id=1KorlG8qX409Y2t7dYvW9r34Z4AD0Roxp" xr:uid="{00000000-0004-0000-0700-0000B3070000}"/>
    <hyperlink ref="A495" r:id="rId1973" display="https://gerandofalcoes.my.salesforce.com/0014P00003AN2FoQAL" xr:uid="{00000000-0004-0000-0700-0000B4070000}"/>
    <hyperlink ref="AL495" r:id="rId1974" display="https://gerandofalcoes.my.salesforce.com/0034P00003maBVF" xr:uid="{00000000-0004-0000-0700-0000B5070000}"/>
    <hyperlink ref="BY495" r:id="rId1975" display="https://drive.google.com/open?id=11jM0D2-eDqegvOr3aUAzIJCtI5f2t2zq" xr:uid="{00000000-0004-0000-0700-0000B6070000}"/>
    <hyperlink ref="A496" r:id="rId1976" display="https://gerandofalcoes.my.salesforce.com/0014P00003YSp8lQAD" xr:uid="{00000000-0004-0000-0700-0000B7070000}"/>
    <hyperlink ref="AL496" r:id="rId1977" display="https://gerandofalcoes.my.salesforce.com/0034P000045kxjN" xr:uid="{00000000-0004-0000-0700-0000B8070000}"/>
    <hyperlink ref="BW496" r:id="rId1978" display="https://www.linkedin.com/in/wellingtonsmatos/" xr:uid="{00000000-0004-0000-0700-0000B9070000}"/>
    <hyperlink ref="BX496" r:id="rId1979" display="https://www.instagram.com/wellsmatos/" xr:uid="{00000000-0004-0000-0700-0000BA070000}"/>
    <hyperlink ref="BY496" r:id="rId1980" display="https://drive.google.com/open?id=1HmDukN8uFLVRocaTw_PAt9TnTZF2xu2M" xr:uid="{00000000-0004-0000-0700-0000BB070000}"/>
    <hyperlink ref="A497" r:id="rId1981" display="https://gerandofalcoes.my.salesforce.com/0014X00002VKCsQQAX" xr:uid="{00000000-0004-0000-0700-0000BC070000}"/>
    <hyperlink ref="AL497" r:id="rId1982" display="https://gerandofalcoes.my.salesforce.com/0034X0000380O57" xr:uid="{00000000-0004-0000-0700-0000BD070000}"/>
    <hyperlink ref="BX497" r:id="rId1983" display="https://www.instagram.com/claudia__alves79/tv/CYSYB6XjYeg/?utm_medium=copy_link" xr:uid="{00000000-0004-0000-0700-0000BE070000}"/>
    <hyperlink ref="A498" r:id="rId1984" display="https://gerandofalcoes.my.salesforce.com/0014X00002VKCoxQAH" xr:uid="{00000000-0004-0000-0700-0000BF070000}"/>
    <hyperlink ref="AL498" r:id="rId1985" display="https://gerandofalcoes.my.salesforce.com/0034X0000380O0x" xr:uid="{00000000-0004-0000-0700-0000C0070000}"/>
    <hyperlink ref="BY498" r:id="rId1986" display="https://drive.google.com/open?id=1IC_xNtVEGCvac2r8WTFQEp236RM3NI4I" xr:uid="{00000000-0004-0000-0700-0000C1070000}"/>
    <hyperlink ref="A499" r:id="rId1987" display="https://gerandofalcoes.my.salesforce.com/0014P00003YSp7fQAD" xr:uid="{00000000-0004-0000-0700-0000C2070000}"/>
    <hyperlink ref="AL499" r:id="rId1988" display="https://gerandofalcoes.my.salesforce.com/0034P000045kxiG" xr:uid="{00000000-0004-0000-0700-0000C3070000}"/>
    <hyperlink ref="BY499" r:id="rId1989" display="https://drive.google.com/open?id=1474di_mZjxJXashfmEj3vgYAsZq5yuvO" xr:uid="{00000000-0004-0000-0700-0000C4070000}"/>
    <hyperlink ref="A500" r:id="rId1990" display="https://gerandofalcoes.my.salesforce.com/0014X00002PUOdWQAX" xr:uid="{00000000-0004-0000-0700-0000C5070000}"/>
    <hyperlink ref="AL500" r:id="rId1991" display="https://gerandofalcoes.my.salesforce.com/0034X000032HsKK" xr:uid="{00000000-0004-0000-0700-0000C6070000}"/>
    <hyperlink ref="BW500" r:id="rId1992" display="http://www.linkedin.com/in/pedroarocha" xr:uid="{00000000-0004-0000-0700-0000C7070000}"/>
    <hyperlink ref="BX500" r:id="rId1993" display="http://instagram.com/pedrorochacosta" xr:uid="{00000000-0004-0000-0700-0000C8070000}"/>
    <hyperlink ref="A501" r:id="rId1994" display="https://gerandofalcoes.my.salesforce.com/0014P00003YSp9BQAT" xr:uid="{00000000-0004-0000-0700-0000C9070000}"/>
    <hyperlink ref="AL501" r:id="rId1995" display="https://gerandofalcoes.my.salesforce.com/0034P000045kxjn" xr:uid="{00000000-0004-0000-0700-0000CA070000}"/>
    <hyperlink ref="BY501" r:id="rId1996" display="https://drive.google.com/open?id=1T30YbF4PBNFeNwY5kaD87npAfuq5mKFf" xr:uid="{00000000-0004-0000-0700-0000CB070000}"/>
    <hyperlink ref="A502" r:id="rId1997" display="https://gerandofalcoes.my.salesforce.com/0014X00002VKCqBQAX" xr:uid="{00000000-0004-0000-0700-0000CC070000}"/>
    <hyperlink ref="AL502" r:id="rId1998" display="https://gerandofalcoes.my.salesforce.com/0034X0000380O3c" xr:uid="{00000000-0004-0000-0700-0000CD070000}"/>
    <hyperlink ref="BX502" r:id="rId1999" display="https://www.instagram.com/luannykollas/" xr:uid="{00000000-0004-0000-0700-0000CE070000}"/>
    <hyperlink ref="BY502" r:id="rId2000" display="https://drive.google.com/open?id=1PDBdoA9VRXagikCCnelIeRIk-bZ5ilTu" xr:uid="{00000000-0004-0000-0700-0000CF070000}"/>
    <hyperlink ref="A503" r:id="rId2001" display="https://gerandofalcoes.my.salesforce.com/0014P00003AN2FtQAL" xr:uid="{00000000-0004-0000-0700-0000D0070000}"/>
    <hyperlink ref="AL503" r:id="rId2002" display="https://gerandofalcoes.my.salesforce.com/0034P00003maBVK" xr:uid="{00000000-0004-0000-0700-0000D1070000}"/>
    <hyperlink ref="BW503" r:id="rId2003" display="https://www.linkedin.com/in/rutenio-florencio-0304431a3" xr:uid="{00000000-0004-0000-0700-0000D2070000}"/>
    <hyperlink ref="BX503" r:id="rId2004" display="https://instagram.com/ruteniof?utm_medium=copy_link" xr:uid="{00000000-0004-0000-0700-0000D3070000}"/>
    <hyperlink ref="BY503" r:id="rId2005" display="https://drive.google.com/open?id=1hRSPSXM1WA4ZhHB5rg8ys_zp_D8vXBdc" xr:uid="{00000000-0004-0000-0700-0000D4070000}"/>
    <hyperlink ref="A504" r:id="rId2006" display="https://gerandofalcoes.my.salesforce.com/0014P00003YSp9cQAD" xr:uid="{00000000-0004-0000-0700-0000D5070000}"/>
    <hyperlink ref="AL504" r:id="rId2007" display="https://gerandofalcoes.my.salesforce.com/0034P000045kxkE" xr:uid="{00000000-0004-0000-0700-0000D6070000}"/>
    <hyperlink ref="BX504" r:id="rId2008" display="https://www.instagram.com/zedanilo.guerra/" xr:uid="{00000000-0004-0000-0700-0000D7070000}"/>
    <hyperlink ref="BY504" r:id="rId2009" display="https://drive.google.com/open?id=1lZWPbo1hBD_MNS4-Js3URYnQZJ3bny1S" xr:uid="{00000000-0004-0000-0700-0000D8070000}"/>
    <hyperlink ref="A505" r:id="rId2010" display="https://gerandofalcoes.my.salesforce.com/0014X00002VKCraQAH" xr:uid="{00000000-0004-0000-0700-0000D9070000}"/>
    <hyperlink ref="AL505" r:id="rId2011" display="https://gerandofalcoes.my.salesforce.com/0034X0000380O4N" xr:uid="{00000000-0004-0000-0700-0000DA070000}"/>
    <hyperlink ref="BY505" r:id="rId2012" display="https://drive.google.com/open?id=1USZrRkMeeWjYB7Jwk7QFhWfBKTU9icaR" xr:uid="{00000000-0004-0000-0700-0000DB070000}"/>
    <hyperlink ref="A506" r:id="rId2013" display="https://gerandofalcoes.my.salesforce.com/0014P00003SGWQ8QAP" xr:uid="{00000000-0004-0000-0700-0000DC070000}"/>
    <hyperlink ref="AL506" r:id="rId2014" display="https://gerandofalcoes.my.salesforce.com/0034P000043fOo9" xr:uid="{00000000-0004-0000-0700-0000DD070000}"/>
    <hyperlink ref="BW506" r:id="rId2015" display="https://www.linkedin.com/in/danilo-c%C3%A9sar-trindade-pereir" xr:uid="{00000000-0004-0000-0700-0000DE070000}"/>
    <hyperlink ref="BX506" r:id="rId2016" display="https://www.instagram.com/dancesar.tp/" xr:uid="{00000000-0004-0000-0700-0000DF070000}"/>
    <hyperlink ref="BY506" r:id="rId2017" display="https://drive.google.com/open?id=1sW1HQrdD0H61CN5rMoErLj_bQC4xTJhg" xr:uid="{00000000-0004-0000-0700-0000E0070000}"/>
    <hyperlink ref="A507" r:id="rId2018" display="https://gerandofalcoes.my.salesforce.com/0014X00002VKCszQAH" xr:uid="{00000000-0004-0000-0700-0000E1070000}"/>
    <hyperlink ref="AL507" r:id="rId2019" display="https://gerandofalcoes.my.salesforce.com/0034X0000380O4m" xr:uid="{00000000-0004-0000-0700-0000E2070000}"/>
    <hyperlink ref="BW507" r:id="rId2020" display="https://www.linkedin.com/in/pamella-oliveira/" xr:uid="{00000000-0004-0000-0700-0000E3070000}"/>
    <hyperlink ref="BX507" r:id="rId2021" display="https://www.instagram.com/pamellaoliveira.adv/" xr:uid="{00000000-0004-0000-0700-0000E4070000}"/>
    <hyperlink ref="BY507" r:id="rId2022" display="https://drive.google.com/open?id=19KfG4n48fH3hdBSwO3tgOMVnmaMNYI6A" xr:uid="{00000000-0004-0000-0700-0000E5070000}"/>
    <hyperlink ref="A508" r:id="rId2023" display="https://gerandofalcoes.my.salesforce.com/0014P00003SGWQFQA5" xr:uid="{00000000-0004-0000-0700-0000E6070000}"/>
    <hyperlink ref="AL508" r:id="rId2024" display="https://gerandofalcoes.my.salesforce.com/0034P000043fOoF" xr:uid="{00000000-0004-0000-0700-0000E7070000}"/>
    <hyperlink ref="BW508" r:id="rId2025" display="https://www.google.com/url?sa=t&amp;source=web&amp;rct=j&amp;url=https://br.linkedin.com/in/priscilla-siqueira-841959137&amp;ved=2ahUKEwi8i6TJuqLxAhUllZUCHTnoCLgQjjgwAHoECAQQAg&amp;usg=AOvVaw3ilHL_Q4gf10IKc3aa-P_4" xr:uid="{00000000-0004-0000-0700-0000E8070000}"/>
    <hyperlink ref="BX508" r:id="rId2026" display="https://www.instagram.com/p/CQR0-4gF0moYnAf6RNobcLW1ZODNR1lrvNKSo80/?utm_medium=copy_link" xr:uid="{00000000-0004-0000-0700-0000E9070000}"/>
    <hyperlink ref="A509" r:id="rId2027" display="https://gerandofalcoes.my.salesforce.com/0014X00002VKCpxQAH" xr:uid="{00000000-0004-0000-0700-0000EA070000}"/>
    <hyperlink ref="AL509" r:id="rId2028" display="https://gerandofalcoes.my.salesforce.com/0034X0000380O4p" xr:uid="{00000000-0004-0000-0700-0000EB070000}"/>
    <hyperlink ref="BY509" r:id="rId2029" display="https://drive.google.com/open?id=1QedQ5m8Kf4XOEg7-OrrB3XjYT4HKwWo4" xr:uid="{00000000-0004-0000-0700-0000EC070000}"/>
    <hyperlink ref="A510" r:id="rId2030" display="https://gerandofalcoes.my.salesforce.com/0014P00003YSp9xQAD" xr:uid="{00000000-0004-0000-0700-0000ED070000}"/>
    <hyperlink ref="AL510" r:id="rId2031" display="https://gerandofalcoes.my.salesforce.com/0034P000045kxkZ" xr:uid="{00000000-0004-0000-0700-0000EE070000}"/>
    <hyperlink ref="BX510" r:id="rId2032" display="https://instagram.com/paca.ippenha?utm_medium=copy_link" xr:uid="{00000000-0004-0000-0700-0000EF070000}"/>
    <hyperlink ref="BY510" r:id="rId2033" display="https://drive.google.com/open?id=1qDnQNuubPMMRK0-BUfbjvR3EfafGSjWU" xr:uid="{00000000-0004-0000-0700-0000F0070000}"/>
    <hyperlink ref="A511" r:id="rId2034" display="https://gerandofalcoes.my.salesforce.com/0014P00003AN2G8QAL" xr:uid="{00000000-0004-0000-0700-0000F1070000}"/>
    <hyperlink ref="AL511" r:id="rId2035" display="https://gerandofalcoes.my.salesforce.com/0034P00003maBVc" xr:uid="{00000000-0004-0000-0700-0000F2070000}"/>
    <hyperlink ref="BX511" r:id="rId2036" display="https://www.instagram.com/p/CaUwygILU-A/?utm_medium=copy_link" xr:uid="{00000000-0004-0000-0700-0000F3070000}"/>
    <hyperlink ref="BY511" r:id="rId2037" display="https://drive.google.com/open?id=1eNS6tPUNEcdgPuCchr41AlQzZ7tREe4u" xr:uid="{00000000-0004-0000-0700-0000F4070000}"/>
    <hyperlink ref="A512" r:id="rId2038" display="https://gerandofalcoes.my.salesforce.com/0014P00003AN6yVQAT" xr:uid="{00000000-0004-0000-0700-0000F5070000}"/>
    <hyperlink ref="AL512" r:id="rId2039" display="https://gerandofalcoes.my.salesforce.com/0034P00003maBVv" xr:uid="{00000000-0004-0000-0700-0000F6070000}"/>
    <hyperlink ref="BX512" r:id="rId2040" display="https://www.instagram.com/p/CIeDBOhBvFF/?utm_medium=copy_link" xr:uid="{00000000-0004-0000-0700-0000F7070000}"/>
    <hyperlink ref="BY512" r:id="rId2041" display="https://drive.google.com/open?id=1IXSpphApgiOhfjqdwglDlDsHeEw5_wQ0" xr:uid="{00000000-0004-0000-0700-0000F8070000}"/>
    <hyperlink ref="A513" r:id="rId2042" display="https://gerandofalcoes.my.salesforce.com/0014X00002VKCqnQAH" xr:uid="{00000000-0004-0000-0700-0000F9070000}"/>
    <hyperlink ref="AL513" r:id="rId2043" display="https://gerandofalcoes.my.salesforce.com/0034X0000380O0Y" xr:uid="{00000000-0004-0000-0700-0000FA070000}"/>
    <hyperlink ref="BY513" r:id="rId2044" display="https://drive.google.com/open?id=1-F6DLr7us5GRV_SVtImILAcN3s5KDwXe" xr:uid="{00000000-0004-0000-0700-0000FB070000}"/>
    <hyperlink ref="A514" r:id="rId2045" display="https://gerandofalcoes.my.salesforce.com/0014X00002VKCrlQAH" xr:uid="{00000000-0004-0000-0700-0000FC070000}"/>
    <hyperlink ref="AL514" r:id="rId2046" display="https://gerandofalcoes.my.salesforce.com/0034X0000380O3X" xr:uid="{00000000-0004-0000-0700-0000FD070000}"/>
    <hyperlink ref="BW514" r:id="rId2047" display="https://www.linkedin.com/in/jo%C3%A3o-paulo-farias-costa-b4a03131/" xr:uid="{00000000-0004-0000-0700-0000FE070000}"/>
    <hyperlink ref="BX514" r:id="rId2048" display="https://instagram.com/jpbabo?igshid=YmMyMTA2M2Y=" xr:uid="{00000000-0004-0000-0700-0000FF070000}"/>
    <hyperlink ref="BY514" r:id="rId2049" display="https://drive.google.com/open?id=1PIj4L9JH-QV0Ocsv6W6PnkE1WKRUOPW2" xr:uid="{00000000-0004-0000-0700-000000080000}"/>
    <hyperlink ref="A515" r:id="rId2050" display="https://gerandofalcoes.my.salesforce.com/0014P00003YSp8QQAT" xr:uid="{00000000-0004-0000-0700-000001080000}"/>
    <hyperlink ref="AL515" r:id="rId2051" display="https://gerandofalcoes.my.salesforce.com/0034P000045kxj1" xr:uid="{00000000-0004-0000-0700-000002080000}"/>
    <hyperlink ref="BW515" r:id="rId2052" display="https://www.linkedin.com/in/geraldo-fernandes-monteiro-de-souza-7b13a4163/" xr:uid="{00000000-0004-0000-0700-000003080000}"/>
    <hyperlink ref="BX515" r:id="rId2053" display="https://www.instagram.com/gfmsouza/" xr:uid="{00000000-0004-0000-0700-000004080000}"/>
    <hyperlink ref="BY515" r:id="rId2054" display="https://drive.google.com/open?id=16nB59OzPcYxZ1HjcyXMdk0NL2tSBXE1t" xr:uid="{00000000-0004-0000-0700-000005080000}"/>
    <hyperlink ref="A516" r:id="rId2055" display="https://gerandofalcoes.my.salesforce.com/0014X00002VKCtTQAX" xr:uid="{00000000-0004-0000-0700-000006080000}"/>
    <hyperlink ref="AL516" r:id="rId2056" display="https://gerandofalcoes.my.salesforce.com/0034X0000380O2w" xr:uid="{00000000-0004-0000-0700-000007080000}"/>
    <hyperlink ref="BW516" r:id="rId2057" display="http://www.linkedin.com/in/jedsonmoura" xr:uid="{00000000-0004-0000-0700-000008080000}"/>
    <hyperlink ref="BX516" r:id="rId2058" display="https://www.instagram.com/bpp.cc" xr:uid="{00000000-0004-0000-0700-000009080000}"/>
    <hyperlink ref="BY516" r:id="rId2059" display="https://drive.google.com/open?id=1UdKEnQVdA5wRn22LAA9nGmXy-Xsl5aKY" xr:uid="{00000000-0004-0000-0700-00000A080000}"/>
    <hyperlink ref="A517" r:id="rId2060" display="https://gerandofalcoes.my.salesforce.com/0014P00003SGWFsQAP" xr:uid="{00000000-0004-0000-0700-00000B080000}"/>
    <hyperlink ref="AL517" r:id="rId2061" display="https://gerandofalcoes.my.salesforce.com/0034P000043fOnS" xr:uid="{00000000-0004-0000-0700-00000C080000}"/>
    <hyperlink ref="BW517" r:id="rId2062" display="https://www.instagram.com/p/CRAg6gKs8Lz/?utm_medium=copy_link" xr:uid="{00000000-0004-0000-0700-00000D080000}"/>
    <hyperlink ref="BX517" r:id="rId2063" display="https://www.instagram.com/p/Cbr6uZVLlXL/?utm_medium=copy_link" xr:uid="{00000000-0004-0000-0700-00000E080000}"/>
    <hyperlink ref="BY517" r:id="rId2064" display="https://drive.google.com/open?id=1rrLLVE3wghtQpyvPEqwpzDA7JHkOGbMw" xr:uid="{00000000-0004-0000-0700-00000F080000}"/>
    <hyperlink ref="A518" r:id="rId2065" display="https://gerandofalcoes.my.salesforce.com/0014P00003AN2FiQAL" xr:uid="{00000000-0004-0000-0700-000010080000}"/>
    <hyperlink ref="AL518" r:id="rId2066" display="https://gerandofalcoes.my.salesforce.com/0034P00003maBV8" xr:uid="{00000000-0004-0000-0700-000011080000}"/>
    <hyperlink ref="BY518" r:id="rId2067" display="https://drive.google.com/open?id=1AMRHtPSw4gVAuQfpb6HPdKx_XHrGK0hJ" xr:uid="{00000000-0004-0000-0700-000012080000}"/>
    <hyperlink ref="A519" r:id="rId2068" display="https://gerandofalcoes.my.salesforce.com/0014X00002VKCuSQAX" xr:uid="{00000000-0004-0000-0700-000013080000}"/>
    <hyperlink ref="AL519" r:id="rId2069" display="https://gerandofalcoes.my.salesforce.com/0034X0000380O2Y" xr:uid="{00000000-0004-0000-0700-000014080000}"/>
    <hyperlink ref="BW519" r:id="rId2070" display="https://br.linkedin.com/in/bruno-marcondes-anastacio-6b3b3b95" xr:uid="{00000000-0004-0000-0700-000015080000}"/>
    <hyperlink ref="BX519" r:id="rId2071" display="http://instagram.com/bruno_m_anastacio" xr:uid="{00000000-0004-0000-0700-000016080000}"/>
    <hyperlink ref="BY519" r:id="rId2072" display="https://drive.google.com/open?id=17C3K54sNOr8rbZBZSHiYk5RwCcEAD5eV" xr:uid="{00000000-0004-0000-0700-000017080000}"/>
    <hyperlink ref="A520" r:id="rId2073" display="https://gerandofalcoes.my.salesforce.com/0014P00003YSp7OQAT" xr:uid="{00000000-0004-0000-0700-000018080000}"/>
    <hyperlink ref="AL520" r:id="rId2074" display="https://gerandofalcoes.my.salesforce.com/0034P000045kxhz" xr:uid="{00000000-0004-0000-0700-000019080000}"/>
    <hyperlink ref="BW520" r:id="rId2075" display="https://www.linkedin.com/in/alcinesio-santana-filho-3b8711112/" xr:uid="{00000000-0004-0000-0700-00001A080000}"/>
    <hyperlink ref="BX520" r:id="rId2076" display="https://www.instagram.com/neo_cb1/" xr:uid="{00000000-0004-0000-0700-00001B080000}"/>
    <hyperlink ref="BY520" r:id="rId2077" display="https://drive.google.com/open?id=1GY4nANPksxjm0L13hCM1n4v_7wwub2B6" xr:uid="{00000000-0004-0000-0700-00001C080000}"/>
    <hyperlink ref="A521" r:id="rId2078" display="https://gerandofalcoes.my.salesforce.com/0014X00002VKCpEQAX" xr:uid="{00000000-0004-0000-0700-00001D080000}"/>
    <hyperlink ref="AL521" r:id="rId2079" display="https://gerandofalcoes.my.salesforce.com/0034X0000380O42" xr:uid="{00000000-0004-0000-0700-00001E080000}"/>
    <hyperlink ref="BY521" r:id="rId2080" display="https://drive.google.com/open?id=1iTJFsM1YYHY7c4XLdb21So1-0IsuYJFU" xr:uid="{00000000-0004-0000-0700-00001F080000}"/>
    <hyperlink ref="A522" r:id="rId2081" display="https://gerandofalcoes.my.salesforce.com/0014X00002VKCpkQAH" xr:uid="{00000000-0004-0000-0700-000020080000}"/>
    <hyperlink ref="AL522" r:id="rId2082" display="https://gerandofalcoes.my.salesforce.com/0034X0000380O5Q" xr:uid="{00000000-0004-0000-0700-000021080000}"/>
    <hyperlink ref="BY522" r:id="rId2083" display="https://drive.google.com/open?id=1kFk9CsV0f0D4iXPyVEQ9AIL2QUa9ZcfN" xr:uid="{00000000-0004-0000-0700-000022080000}"/>
    <hyperlink ref="A523" r:id="rId2084" display="https://gerandofalcoes.my.salesforce.com/0014P00003YSp9vQAD" xr:uid="{00000000-0004-0000-0700-000023080000}"/>
    <hyperlink ref="AL523" r:id="rId2085" display="https://gerandofalcoes.my.salesforce.com/0034P000045kxkX" xr:uid="{00000000-0004-0000-0700-000024080000}"/>
    <hyperlink ref="BY523" r:id="rId2086" display="https://drive.google.com/open?id=1xQ17y6EOk8rXGMeFp_zlon9K2-t2RZJs" xr:uid="{00000000-0004-0000-0700-000025080000}"/>
    <hyperlink ref="A524" r:id="rId2087" display="https://gerandofalcoes.my.salesforce.com/0014X00002VKCq3QAH" xr:uid="{00000000-0004-0000-0700-000026080000}"/>
    <hyperlink ref="AL524" r:id="rId2088" display="https://gerandofalcoes.my.salesforce.com/0034X0000380O1o" xr:uid="{00000000-0004-0000-0700-000027080000}"/>
    <hyperlink ref="BX524" r:id="rId2089" display="https://www.instagram.com/p/CfxNjLMp3nf/?igshid=YmMyMTA2M2Y=" xr:uid="{00000000-0004-0000-0700-000028080000}"/>
    <hyperlink ref="BY524" r:id="rId2090" display="https://drive.google.com/open?id=1ReQVD9HA1NyycChNCe6WAQHmMCCLRbuh" xr:uid="{00000000-0004-0000-0700-000029080000}"/>
    <hyperlink ref="A525" r:id="rId2091" display="https://gerandofalcoes.my.salesforce.com/0014X00002VKCpLQAX" xr:uid="{00000000-0004-0000-0700-00002A080000}"/>
    <hyperlink ref="AL525" r:id="rId2092" display="https://gerandofalcoes.my.salesforce.com/0034X0000380O5T" xr:uid="{00000000-0004-0000-0700-00002B080000}"/>
    <hyperlink ref="BX525" r:id="rId2093" display="https://www.instagram.com/leidedeolliveira/p/CU44lIIr6U-/?utm_medium=copy_link" xr:uid="{00000000-0004-0000-0700-00002C080000}"/>
    <hyperlink ref="BY525" r:id="rId2094" display="https://drive.google.com/open?id=1ZSlSagerjA3xR8idm_D1VKzx9b_GjtPR" xr:uid="{00000000-0004-0000-0700-00002D080000}"/>
    <hyperlink ref="A526" r:id="rId2095" display="https://gerandofalcoes.my.salesforce.com/0014P00003YSp8IQAT" xr:uid="{00000000-0004-0000-0700-00002E080000}"/>
    <hyperlink ref="AL526" r:id="rId2096" display="https://gerandofalcoes.my.salesforce.com/0034P000045kxit" xr:uid="{00000000-0004-0000-0700-00002F080000}"/>
    <hyperlink ref="BY526" r:id="rId2097" display="https://drive.google.com/open?id=14d4q5zPEwsp1mxuQ2iu1mYadHMbnDv9X" xr:uid="{00000000-0004-0000-0700-000030080000}"/>
    <hyperlink ref="A527" r:id="rId2098" display="https://gerandofalcoes.my.salesforce.com/0014X00002VKCpXQAX" xr:uid="{00000000-0004-0000-0700-000031080000}"/>
    <hyperlink ref="AL527" r:id="rId2099" display="https://gerandofalcoes.my.salesforce.com/0034X0000380O3w" xr:uid="{00000000-0004-0000-0700-000032080000}"/>
    <hyperlink ref="BX527" r:id="rId2100" display="https://www.instagram.com/invites/contact/?i=z1sxzp187jde&amp;utm_content=2o5t1df" xr:uid="{00000000-0004-0000-0700-000033080000}"/>
    <hyperlink ref="BY527" r:id="rId2101" display="https://drive.google.com/open?id=1fmjbLoNoZml8MhtnTqIm3VE-kmmZM9yK" xr:uid="{00000000-0004-0000-0700-000034080000}"/>
    <hyperlink ref="A528" r:id="rId2102" display="https://gerandofalcoes.my.salesforce.com/0014X00002VKCsaQAH" xr:uid="{00000000-0004-0000-0700-000035080000}"/>
    <hyperlink ref="AL528" r:id="rId2103" display="https://gerandofalcoes.my.salesforce.com/0034X0000380O1d" xr:uid="{00000000-0004-0000-0700-000036080000}"/>
    <hyperlink ref="BX528" r:id="rId2104" display="https://instagram.com/fatimafmayer?utm_medium=copy_link" xr:uid="{00000000-0004-0000-0700-000037080000}"/>
    <hyperlink ref="BY528" r:id="rId2105" display="https://drive.google.com/open?id=1dR3N7cqZjrExh4_o8Ni0fBp-QlO-z1fd" xr:uid="{00000000-0004-0000-0700-000038080000}"/>
    <hyperlink ref="A529" r:id="rId2106" display="https://gerandofalcoes.my.salesforce.com/0014X00002VKCrwQAH" xr:uid="{00000000-0004-0000-0700-000039080000}"/>
    <hyperlink ref="AL529" r:id="rId2107" display="https://gerandofalcoes.my.salesforce.com/0034X0000380O5V" xr:uid="{00000000-0004-0000-0700-00003A080000}"/>
    <hyperlink ref="BX529" r:id="rId2108" display="https://www.instagram.com/tiokleyton/" xr:uid="{00000000-0004-0000-0700-00003B080000}"/>
    <hyperlink ref="BY529" r:id="rId2109" display="https://drive.google.com/open?id=1HK4WAnu3d0NCkSPRPQsYYUcYzf-WhLSN" xr:uid="{00000000-0004-0000-0700-00003C080000}"/>
    <hyperlink ref="A530" r:id="rId2110" display="https://gerandofalcoes.my.salesforce.com/0014X00002VKCrJQAX" xr:uid="{00000000-0004-0000-0700-00003D080000}"/>
    <hyperlink ref="AL530" r:id="rId2111" display="https://gerandofalcoes.my.salesforce.com/0034X0000380O19" xr:uid="{00000000-0004-0000-0700-00003E080000}"/>
    <hyperlink ref="BW530" r:id="rId2112" display="https://www.linkedin.com/in/viviane-de-almeida-torres-ti-projetos-processos-scrum-sistemas/" xr:uid="{00000000-0004-0000-0700-00003F080000}"/>
    <hyperlink ref="BX530" r:id="rId2113" display="https://www.instagram.com/projeto.flordelotus/" xr:uid="{00000000-0004-0000-0700-000040080000}"/>
    <hyperlink ref="BY530" r:id="rId2114" display="https://drive.google.com/open?id=1z8C82dQUQ9psS2Z7HdHrjxfTSVZUvo5_" xr:uid="{00000000-0004-0000-0700-000041080000}"/>
    <hyperlink ref="A531" r:id="rId2115" display="https://gerandofalcoes.my.salesforce.com/0014X00002VKCtmQAH" xr:uid="{00000000-0004-0000-0700-000042080000}"/>
    <hyperlink ref="AL531" r:id="rId2116" display="https://gerandofalcoes.my.salesforce.com/0034X0000380O2P" xr:uid="{00000000-0004-0000-0700-000043080000}"/>
    <hyperlink ref="BX531" r:id="rId2117" display="https://www.instagram.com/daianekm/" xr:uid="{00000000-0004-0000-0700-000044080000}"/>
    <hyperlink ref="BY531" r:id="rId2118" display="https://drive.google.com/open?id=1UmbAbVLcAcQ29l7BztKsTuk7sCF5vh0P" xr:uid="{00000000-0004-0000-0700-000045080000}"/>
    <hyperlink ref="A532" r:id="rId2119" display="https://gerandofalcoes.my.salesforce.com/0014X00002VKCpmQAH" xr:uid="{00000000-0004-0000-0700-000046080000}"/>
    <hyperlink ref="AL532" r:id="rId2120" display="https://gerandofalcoes.my.salesforce.com/0034X0000380O4a" xr:uid="{00000000-0004-0000-0700-000047080000}"/>
    <hyperlink ref="BX532" r:id="rId2121" display="https://www.instagram.com/forcajovem.km20/" xr:uid="{00000000-0004-0000-0700-000048080000}"/>
    <hyperlink ref="BY532" r:id="rId2122" display="https://drive.google.com/open?id=1pWsIHjF5Lgk-UdcdseUw5Ky7Xq37rghh" xr:uid="{00000000-0004-0000-0700-000049080000}"/>
    <hyperlink ref="A533" r:id="rId2123" display="https://gerandofalcoes.my.salesforce.com/0014X00002VKCsOQAX" xr:uid="{00000000-0004-0000-0700-00004A080000}"/>
    <hyperlink ref="AL533" r:id="rId2124" display="https://gerandofalcoes.my.salesforce.com/0034X0000380O56" xr:uid="{00000000-0004-0000-0700-00004B080000}"/>
    <hyperlink ref="BY533" r:id="rId2125" display="https://drive.google.com/open?id=1wn8v-vZMokyrYiVJLlfLldHgoQCSju4i" xr:uid="{00000000-0004-0000-0700-00004C080000}"/>
    <hyperlink ref="A534" r:id="rId2126" display="https://gerandofalcoes.my.salesforce.com/0014P00003YSp8SQAT" xr:uid="{00000000-0004-0000-0700-00004D080000}"/>
    <hyperlink ref="AL534" r:id="rId2127" display="https://gerandofalcoes.my.salesforce.com/0034P000045kxj3" xr:uid="{00000000-0004-0000-0700-00004E080000}"/>
    <hyperlink ref="BY534" r:id="rId2128" display="https://drive.google.com/open?id=122zLIQeEN1TpSNcW7kQt6mDg03mTynTL" xr:uid="{00000000-0004-0000-0700-00004F080000}"/>
    <hyperlink ref="A535" r:id="rId2129" display="https://gerandofalcoes.my.salesforce.com/0014P00003AN2GBQA1" xr:uid="{00000000-0004-0000-0700-000050080000}"/>
    <hyperlink ref="AL535" r:id="rId2130" display="https://gerandofalcoes.my.salesforce.com/0034P00003maBVf" xr:uid="{00000000-0004-0000-0700-000051080000}"/>
    <hyperlink ref="BY535" r:id="rId2131" display="https://drive.google.com/open?id=1ayBZhrzuq5Zs4dq8iitt6RlqmoscT9YK" xr:uid="{00000000-0004-0000-0700-000052080000}"/>
    <hyperlink ref="A536" r:id="rId2132" display="https://gerandofalcoes.my.salesforce.com/0014P00003YSp94QAD" xr:uid="{00000000-0004-0000-0700-000053080000}"/>
    <hyperlink ref="AL536" r:id="rId2133" display="https://gerandofalcoes.my.salesforce.com/0034P000045kxjg" xr:uid="{00000000-0004-0000-0700-000054080000}"/>
    <hyperlink ref="BX536" r:id="rId2134" display="https://www.instagram.com/prdouglas_galdino/" xr:uid="{00000000-0004-0000-0700-000055080000}"/>
    <hyperlink ref="BY536" r:id="rId2135" display="https://drive.google.com/open?id=1eFigh2xLItmVcciIouJGq0Jd_ywTEubS" xr:uid="{00000000-0004-0000-0700-000056080000}"/>
    <hyperlink ref="A537" r:id="rId2136" display="https://gerandofalcoes.my.salesforce.com/0014P00003YSp7VQAT" xr:uid="{00000000-0004-0000-0700-000057080000}"/>
    <hyperlink ref="AL537" r:id="rId2137" display="https://gerandofalcoes.my.salesforce.com/0034P000045kxi6" xr:uid="{00000000-0004-0000-0700-000058080000}"/>
    <hyperlink ref="BY537" r:id="rId2138" display="https://drive.google.com/open?id=1q48-yS8uezvraaagbt8CYDO5WX6i6IjP" xr:uid="{00000000-0004-0000-0700-000059080000}"/>
    <hyperlink ref="A538" r:id="rId2139" display="https://gerandofalcoes.my.salesforce.com/0014X00002VKCv7QAH" xr:uid="{00000000-0004-0000-0700-00005A080000}"/>
    <hyperlink ref="AL538" r:id="rId2140" display="https://gerandofalcoes.my.salesforce.com/0034X0000380O6e" xr:uid="{00000000-0004-0000-0700-00005B080000}"/>
    <hyperlink ref="BY538" r:id="rId2141" display="https://drive.google.com/open?id=1tbkTpU_ZLQO61kdGA9EGBAUC9Yts0Sb-" xr:uid="{00000000-0004-0000-0700-00005C080000}"/>
    <hyperlink ref="A539" r:id="rId2142" display="https://gerandofalcoes.my.salesforce.com/0014X00002VKCuYQAX" xr:uid="{00000000-0004-0000-0700-00005D080000}"/>
    <hyperlink ref="AL539" r:id="rId2143" display="https://gerandofalcoes.my.salesforce.com/0034X0000380O5M" xr:uid="{00000000-0004-0000-0700-00005E080000}"/>
    <hyperlink ref="BX539" r:id="rId2144" display="https://instagram.com/instituto_saude_nos_bairros_?igshid=YmMyMTA2M2Y=" xr:uid="{00000000-0004-0000-0700-00005F080000}"/>
    <hyperlink ref="BY539" r:id="rId2145" display="https://drive.google.com/open?id=1u-I8OnQXW6BalOyc67YpoV6NrG5fDXQ_" xr:uid="{00000000-0004-0000-0700-000060080000}"/>
    <hyperlink ref="A540" r:id="rId2146" display="https://gerandofalcoes.my.salesforce.com/0014P00003SGWPMQA5" xr:uid="{00000000-0004-0000-0700-000061080000}"/>
    <hyperlink ref="AL540" r:id="rId2147" display="https://gerandofalcoes.my.salesforce.com/0034P000043fOnU" xr:uid="{00000000-0004-0000-0700-000062080000}"/>
    <hyperlink ref="BX540" r:id="rId2148" display="https://instagram.com/andreluizmacedosilva?igshid=YmMyMTA2M2Y=" xr:uid="{00000000-0004-0000-0700-000063080000}"/>
    <hyperlink ref="BY540" r:id="rId2149" display="https://drive.google.com/open?id=1JH9Zl3ocEMYpkI4w4mW-W6R1yIm9nBzS" xr:uid="{00000000-0004-0000-0700-000064080000}"/>
    <hyperlink ref="A541" r:id="rId2150" display="https://gerandofalcoes.my.salesforce.com/0014X00002VKCtKQAX" xr:uid="{00000000-0004-0000-0700-000065080000}"/>
    <hyperlink ref="AL541" r:id="rId2151" display="https://gerandofalcoes.my.salesforce.com/0034X0000380O2r" xr:uid="{00000000-0004-0000-0700-000066080000}"/>
    <hyperlink ref="BY541" r:id="rId2152" display="https://drive.google.com/open?id=1rA2UKjTdRNMrvqo-UNcCFGemWBEHXEHS" xr:uid="{00000000-0004-0000-0700-000067080000}"/>
    <hyperlink ref="A542" r:id="rId2153" display="https://gerandofalcoes.my.salesforce.com/0014X00002VKCsBQAX" xr:uid="{00000000-0004-0000-0700-000068080000}"/>
    <hyperlink ref="AL542" r:id="rId2154" display="https://gerandofalcoes.my.salesforce.com/0034X0000380O44" xr:uid="{00000000-0004-0000-0700-000069080000}"/>
    <hyperlink ref="BX542" r:id="rId2155" display="https://instagram.com/saragaldinobarbosa?utm_medium=copy_link" xr:uid="{00000000-0004-0000-0700-00006A080000}"/>
    <hyperlink ref="BY542" r:id="rId2156" display="https://drive.google.com/open?id=1Okes5Z737NEI0aUfQY8kQSunP_s0hF6C" xr:uid="{00000000-0004-0000-0700-00006B080000}"/>
    <hyperlink ref="A543" r:id="rId2157" display="https://gerandofalcoes.my.salesforce.com/0014X00002VKCtMQAX" xr:uid="{00000000-0004-0000-0700-00006C080000}"/>
    <hyperlink ref="AL543" r:id="rId2158" display="https://gerandofalcoes.my.salesforce.com/0034X0000380O6i" xr:uid="{00000000-0004-0000-0700-00006D080000}"/>
    <hyperlink ref="BY543" r:id="rId2159" display="https://drive.google.com/open?id=1CbNVEgi7SQumdVpdqjzYyGyvd0j6BerL" xr:uid="{00000000-0004-0000-0700-00006E080000}"/>
    <hyperlink ref="A544" r:id="rId2160" display="https://gerandofalcoes.my.salesforce.com/0014X00002VKCp3QAH" xr:uid="{00000000-0004-0000-0700-00006F080000}"/>
    <hyperlink ref="AL544" r:id="rId2161" display="https://gerandofalcoes.my.salesforce.com/0034X0000380O6l" xr:uid="{00000000-0004-0000-0700-000070080000}"/>
    <hyperlink ref="BX544" r:id="rId2162" display="https://www.instagram.com/reel/Cf-Y_jvAZlP/?igshid=YmMyMTA2M2Y=" xr:uid="{00000000-0004-0000-0700-000071080000}"/>
    <hyperlink ref="BY544" r:id="rId2163" display="https://drive.google.com/open?id=1SH_DbYSC2GiQnWhbzfCh39xmTAEfzKcJ" xr:uid="{00000000-0004-0000-0700-000072080000}"/>
    <hyperlink ref="A545" r:id="rId2164" display="https://gerandofalcoes.my.salesforce.com/0014X00002VKCsjQAH" xr:uid="{00000000-0004-0000-0700-000073080000}"/>
    <hyperlink ref="AL545" r:id="rId2165" display="https://gerandofalcoes.my.salesforce.com/0034X0000380O0z" xr:uid="{00000000-0004-0000-0700-000074080000}"/>
    <hyperlink ref="BX545" r:id="rId2166" display="https://instagram.com/juber_prosel?igshid=YmMyMTA2M2Y=" xr:uid="{00000000-0004-0000-0700-000075080000}"/>
    <hyperlink ref="BY545" r:id="rId2167" display="https://drive.google.com/open?id=1NFLh8c8ByQouWcetNaNyKR2uinpdv-xv" xr:uid="{00000000-0004-0000-0700-000076080000}"/>
    <hyperlink ref="A546" r:id="rId2168" display="https://gerandofalcoes.my.salesforce.com/0014X00002VKCpMQAX" xr:uid="{00000000-0004-0000-0700-000077080000}"/>
    <hyperlink ref="AL546" r:id="rId2169" display="https://gerandofalcoes.my.salesforce.com/0034X0000380O2E" xr:uid="{00000000-0004-0000-0700-000078080000}"/>
    <hyperlink ref="A547" r:id="rId2170" display="https://gerandofalcoes.my.salesforce.com/0014P00003YSp7ZQAT" xr:uid="{00000000-0004-0000-0700-000079080000}"/>
    <hyperlink ref="AL547" r:id="rId2171" display="https://gerandofalcoes.my.salesforce.com/0034P000045kxiA" xr:uid="{00000000-0004-0000-0700-00007A080000}"/>
    <hyperlink ref="BY547" r:id="rId2172" display="https://drive.google.com/open?id=11JTgCWa_kDUdF00hQ-Gj0EpC6bco3ilX" xr:uid="{00000000-0004-0000-0700-00007B080000}"/>
    <hyperlink ref="A548" r:id="rId2173" display="https://gerandofalcoes.my.salesforce.com/0014X00002VKCt3QAH" xr:uid="{00000000-0004-0000-0700-00007C080000}"/>
    <hyperlink ref="AL548" r:id="rId2174" display="https://gerandofalcoes.my.salesforce.com/0034X0000380O5y" xr:uid="{00000000-0004-0000-0700-00007D080000}"/>
    <hyperlink ref="BY548" r:id="rId2175" display="https://drive.google.com/open?id=1IMThmpvK_CfgAsn-Bz__CxzBUVCFks4J" xr:uid="{00000000-0004-0000-0700-00007E080000}"/>
    <hyperlink ref="A549" r:id="rId2176" display="https://gerandofalcoes.my.salesforce.com/0014X00002VKCrxQAH" xr:uid="{00000000-0004-0000-0700-00007F080000}"/>
    <hyperlink ref="AL549" r:id="rId2177" display="https://gerandofalcoes.my.salesforce.com/0034X0000380O6V" xr:uid="{00000000-0004-0000-0700-000080080000}"/>
    <hyperlink ref="BX549" r:id="rId2178" display="https://www.instagram.com/p/CXqoLJDrCx0/?utm_medium=copy_link" xr:uid="{00000000-0004-0000-0700-000081080000}"/>
    <hyperlink ref="BY549" r:id="rId2179" display="https://drive.google.com/open?id=1KEUn6oZtH8yxhlP16X35B-giDuWwzjg5" xr:uid="{00000000-0004-0000-0700-000082080000}"/>
    <hyperlink ref="A550" r:id="rId2180" display="https://gerandofalcoes.my.salesforce.com/0014X00002OEuamQAD" xr:uid="{00000000-0004-0000-0700-000083080000}"/>
    <hyperlink ref="AL550" r:id="rId2181" display="https://gerandofalcoes.my.salesforce.com/0034X0000315PQv" xr:uid="{00000000-0004-0000-0700-000084080000}"/>
    <hyperlink ref="BX550" r:id="rId2182" display="https://instagram.com/lanadotamojunto?igshid=YmMyMTA2M2Y=" xr:uid="{00000000-0004-0000-0700-000085080000}"/>
    <hyperlink ref="BY550" r:id="rId2183" display="https://drive.google.com/open?id=1SjejuQXUy6iWdTxyxt_fD3QRe8uxbYPz" xr:uid="{00000000-0004-0000-0700-000086080000}"/>
    <hyperlink ref="A551" r:id="rId2184" display="https://gerandofalcoes.my.salesforce.com/0014X00002VKCs0QAH" xr:uid="{00000000-0004-0000-0700-000087080000}"/>
    <hyperlink ref="AL551" r:id="rId2185" display="https://gerandofalcoes.my.salesforce.com/0034X0000380O6c" xr:uid="{00000000-0004-0000-0700-000088080000}"/>
    <hyperlink ref="BY551" r:id="rId2186" display="https://drive.google.com/open?id=14lAcDOp8D9ZBiB2_Ko9Y99pH9wKQte0r" xr:uid="{00000000-0004-0000-0700-000089080000}"/>
    <hyperlink ref="A552" r:id="rId2187" display="https://gerandofalcoes.my.salesforce.com/0014P00003AN2FdQAL" xr:uid="{00000000-0004-0000-0700-00008A080000}"/>
    <hyperlink ref="AL552" r:id="rId2188" display="https://gerandofalcoes.my.salesforce.com/0034P00003maBV3" xr:uid="{00000000-0004-0000-0700-00008B080000}"/>
    <hyperlink ref="BW552" r:id="rId2189" display="https://www.instagram.com/shaolinbjj/" xr:uid="{00000000-0004-0000-0700-00008C080000}"/>
    <hyperlink ref="BX552" r:id="rId2190" display="https://instagram.com/shaolinbjj?r=nametag" xr:uid="{00000000-0004-0000-0700-00008D080000}"/>
    <hyperlink ref="BY552" r:id="rId2191" display="https://drive.google.com/open?id=1nDYm1I-lZAJn9X0O6BanBlGUOH2Es6LQ" xr:uid="{00000000-0004-0000-0700-00008E080000}"/>
    <hyperlink ref="A553" r:id="rId2192" display="https://gerandofalcoes.my.salesforce.com/0014X00002VKCuqQAH" xr:uid="{00000000-0004-0000-0700-00008F080000}"/>
    <hyperlink ref="AL553" r:id="rId2193" display="https://gerandofalcoes.my.salesforce.com/0034X0000380O4J" xr:uid="{00000000-0004-0000-0700-000090080000}"/>
    <hyperlink ref="BW553" r:id="rId2194" display="https://www.linkedin.com/in/lucimara-ribeiro-costa-894061200" xr:uid="{00000000-0004-0000-0700-000091080000}"/>
    <hyperlink ref="BX553" r:id="rId2195" display="https://instagram.com/projeto_transformacak?utm_medium=copy_link" xr:uid="{00000000-0004-0000-0700-000092080000}"/>
    <hyperlink ref="BY553" r:id="rId2196" display="https://drive.google.com/open?id=1gMFPQrmwb9ahrLWTTKtHIenL053AdSIs" xr:uid="{00000000-0004-0000-0700-000093080000}"/>
    <hyperlink ref="A554" r:id="rId2197" display="https://gerandofalcoes.my.salesforce.com/0014X00002VKCsMQAX" xr:uid="{00000000-0004-0000-0700-000094080000}"/>
    <hyperlink ref="AL554" r:id="rId2198" display="https://gerandofalcoes.my.salesforce.com/0034X0000380O4z" xr:uid="{00000000-0004-0000-0700-000095080000}"/>
    <hyperlink ref="BW554" r:id="rId2199" display="https://www.instagram.com/p/Cc_megbpDFD/?igshid=YmMyMTA2M2Y=" xr:uid="{00000000-0004-0000-0700-000096080000}"/>
    <hyperlink ref="BX554" r:id="rId2200" display="https://www.instagram.com/p/Cc_megbpDFD/?igshid=YmMyMTA2M2Y=" xr:uid="{00000000-0004-0000-0700-000097080000}"/>
    <hyperlink ref="BY554" r:id="rId2201" display="https://drive.google.com/open?id=1U1OgFxNH0exPq5yQWYiyhZyzSjn1AG92" xr:uid="{00000000-0004-0000-0700-000098080000}"/>
    <hyperlink ref="A555" r:id="rId2202" display="https://gerandofalcoes.my.salesforce.com/0014X00002VKCroQAH" xr:uid="{00000000-0004-0000-0700-000099080000}"/>
    <hyperlink ref="AL555" r:id="rId2203" display="https://gerandofalcoes.my.salesforce.com/0034X0000380O1O" xr:uid="{00000000-0004-0000-0700-00009A080000}"/>
    <hyperlink ref="BW555" r:id="rId2204" display="https://www.linkedin.com/in/deybsonjunior/" xr:uid="{00000000-0004-0000-0700-00009B080000}"/>
    <hyperlink ref="BX555" r:id="rId2205" display="https://www.instagram.com/deybsonjunior/" xr:uid="{00000000-0004-0000-0700-00009C080000}"/>
    <hyperlink ref="BY555" r:id="rId2206" display="https://drive.google.com/open?id=1Fz8WvRtR07h88gWr3LF_Lu_sqX8hMejS" xr:uid="{00000000-0004-0000-0700-00009D080000}"/>
    <hyperlink ref="A556" r:id="rId2207" display="https://gerandofalcoes.my.salesforce.com/0014X00002PUOY7QAP" xr:uid="{00000000-0004-0000-0700-00009E080000}"/>
    <hyperlink ref="AL556" r:id="rId2208" display="https://gerandofalcoes.my.salesforce.com/0034X000032Hs7K" xr:uid="{00000000-0004-0000-0700-00009F080000}"/>
    <hyperlink ref="BY556" r:id="rId2209" display="https://drive.google.com/open?id=1C3W8E_PlOzSUICGDKY70cjR9fMrFEiqx" xr:uid="{00000000-0004-0000-0700-0000A0080000}"/>
    <hyperlink ref="A557" r:id="rId2210" display="https://gerandofalcoes.my.salesforce.com/0014P00003ERavoQAD" xr:uid="{00000000-0004-0000-0700-0000A1080000}"/>
    <hyperlink ref="AL557" r:id="rId2211" display="https://gerandofalcoes.my.salesforce.com/0034P00003tZGGo" xr:uid="{00000000-0004-0000-0700-0000A2080000}"/>
    <hyperlink ref="BW557" r:id="rId2212" display="https://www.linkedin.com/feed" xr:uid="{00000000-0004-0000-0700-0000A3080000}"/>
    <hyperlink ref="BX557" r:id="rId2213" display="https://www.instagram.com/" xr:uid="{00000000-0004-0000-0700-0000A4080000}"/>
    <hyperlink ref="BY557" r:id="rId2214" display="https://drive.google.com/open?id=1NRjzM0YzW6TXzUa1JGnOpRDWj5AvAFYO" xr:uid="{00000000-0004-0000-0700-0000A5080000}"/>
    <hyperlink ref="A558" r:id="rId2215" display="https://gerandofalcoes.my.salesforce.com/0014X00002VKCqOQAX" xr:uid="{00000000-0004-0000-0700-0000A6080000}"/>
    <hyperlink ref="AL558" r:id="rId2216" display="https://gerandofalcoes.my.salesforce.com/0034X0000380O6X" xr:uid="{00000000-0004-0000-0700-0000A7080000}"/>
    <hyperlink ref="BY558" r:id="rId2217" display="https://drive.google.com/open?id=10WaMBrY78SDtzY-BE0YNAB_tXY_R2-c1" xr:uid="{00000000-0004-0000-0700-0000A8080000}"/>
    <hyperlink ref="A559" r:id="rId2218" display="https://gerandofalcoes.my.salesforce.com/0014X00002VKCrDQAX" xr:uid="{00000000-0004-0000-0700-0000A9080000}"/>
    <hyperlink ref="AL559" r:id="rId2219" display="https://gerandofalcoes.my.salesforce.com/0034X0000380O5C" xr:uid="{00000000-0004-0000-0700-0000AA080000}"/>
    <hyperlink ref="BY559" r:id="rId2220" display="https://drive.google.com/open?id=1sHEUX33s7RrZ0N0VAqDK0qgtfp3hLqEi" xr:uid="{00000000-0004-0000-0700-0000AB080000}"/>
    <hyperlink ref="A560" r:id="rId2221" display="https://gerandofalcoes.my.salesforce.com/0014X00002OEuauQAD" xr:uid="{00000000-0004-0000-0700-0000AC080000}"/>
    <hyperlink ref="AL560" r:id="rId2222" display="https://gerandofalcoes.my.salesforce.com/0034X0000315PR3" xr:uid="{00000000-0004-0000-0700-0000AD080000}"/>
    <hyperlink ref="BW560" r:id="rId2223" display="https://www.linkedin.com/jobs/application-settings" xr:uid="{00000000-0004-0000-0700-0000AE080000}"/>
    <hyperlink ref="BX560" r:id="rId2224" display="https://instagram.com/rodrigosabiah?utm_medium=copy_link" xr:uid="{00000000-0004-0000-0700-0000AF080000}"/>
    <hyperlink ref="BY560" r:id="rId2225" display="https://drive.google.com/open?id=1XwqRLzMU5KuZEEO1K9Dw_yqU0V6QN0xO" xr:uid="{00000000-0004-0000-0700-0000B0080000}"/>
    <hyperlink ref="A561" r:id="rId2226" display="https://gerandofalcoes.my.salesforce.com/0014X00002VKCsLQAX" xr:uid="{00000000-0004-0000-0700-0000B1080000}"/>
    <hyperlink ref="AL561" r:id="rId2227" display="https://gerandofalcoes.my.salesforce.com/0034X0000380O2p" xr:uid="{00000000-0004-0000-0700-0000B2080000}"/>
    <hyperlink ref="BY561" r:id="rId2228" display="https://drive.google.com/open?id=1TSSX-7tp0nUxmMCLNn0vUPpyGAgpKm0Q" xr:uid="{00000000-0004-0000-0700-0000B3080000}"/>
    <hyperlink ref="A562" r:id="rId2229" display="https://gerandofalcoes.my.salesforce.com/0014X00002VKCt0QAH" xr:uid="{00000000-0004-0000-0700-0000B4080000}"/>
    <hyperlink ref="AL562" r:id="rId2230" display="https://gerandofalcoes.my.salesforce.com/0034X0000380O2I" xr:uid="{00000000-0004-0000-0700-0000B5080000}"/>
    <hyperlink ref="BW562" r:id="rId2231" display="https://www.linkedin.com/mwlite/in/paula-mesquita-590468127" xr:uid="{00000000-0004-0000-0700-0000B6080000}"/>
    <hyperlink ref="BX562" r:id="rId2232" display="https://www.instagram.com/paulagm13" xr:uid="{00000000-0004-0000-0700-0000B7080000}"/>
    <hyperlink ref="BY562" r:id="rId2233" display="https://drive.google.com/open?id=1UrFqjGgwUVLe0NZwcn7bk43ZrG9UCae5" xr:uid="{00000000-0004-0000-0700-0000B8080000}"/>
    <hyperlink ref="A563" r:id="rId2234" display="https://gerandofalcoes.my.salesforce.com/0014X00002VKCrQQAX" xr:uid="{00000000-0004-0000-0700-0000B9080000}"/>
    <hyperlink ref="AL563" r:id="rId2235" display="https://gerandofalcoes.my.salesforce.com/0034X0000380O4d" xr:uid="{00000000-0004-0000-0700-0000BA080000}"/>
    <hyperlink ref="BW563" r:id="rId2236" display="https://www.linkedin.com/in/gustavo-do-vale-68460148" xr:uid="{00000000-0004-0000-0700-0000BB080000}"/>
    <hyperlink ref="BX563" r:id="rId2237" display="https://instagram.com/dovalinhoguga?igshid=YmMyMTA2M2Y=" xr:uid="{00000000-0004-0000-0700-0000BC080000}"/>
    <hyperlink ref="BY563" r:id="rId2238" display="https://drive.google.com/open?id=18QyWMyBso5nKdaxJbjilalMMEEzZOq5C" xr:uid="{00000000-0004-0000-0700-0000BD080000}"/>
    <hyperlink ref="A564" r:id="rId2239" display="https://gerandofalcoes.my.salesforce.com/0014P00003SGWQHQA5" xr:uid="{00000000-0004-0000-0700-0000BE080000}"/>
    <hyperlink ref="AL564" r:id="rId2240" display="https://gerandofalcoes.my.salesforce.com/0034P000043fOoH" xr:uid="{00000000-0004-0000-0700-0000BF080000}"/>
    <hyperlink ref="BW564" r:id="rId2241" display="https://www.linkedin.com/feed/?trk=homepage-basic_google-one-tap-submit" xr:uid="{00000000-0004-0000-0700-0000C0080000}"/>
    <hyperlink ref="BX564" r:id="rId2242" display="https://instagram.com/fabiioanacleto?utm_medium=copy_link" xr:uid="{00000000-0004-0000-0700-0000C1080000}"/>
    <hyperlink ref="BY564" r:id="rId2243" display="https://drive.google.com/open?id=18CsNI9jKYWszx6L-o82lHWzOq_VepQ_D" xr:uid="{00000000-0004-0000-0700-0000C2080000}"/>
    <hyperlink ref="A565" r:id="rId2244" display="https://gerandofalcoes.my.salesforce.com/0014X00002VKCu7QAH" xr:uid="{00000000-0004-0000-0700-0000C3080000}"/>
    <hyperlink ref="AL565" r:id="rId2245" display="https://gerandofalcoes.my.salesforce.com/0034X0000380O4D" xr:uid="{00000000-0004-0000-0700-0000C4080000}"/>
    <hyperlink ref="BW565" r:id="rId2246" display="https://www.linkedin.com/in/matheus-daudt-14114349/" xr:uid="{00000000-0004-0000-0700-0000C5080000}"/>
    <hyperlink ref="BX565" r:id="rId2247" display="http://instagram.com/daudtm" xr:uid="{00000000-0004-0000-0700-0000C6080000}"/>
    <hyperlink ref="BY565" r:id="rId2248" display="https://drive.google.com/open?id=1P8Eb0yUwwwtorf5hczvcG748-RM3B7Zl" xr:uid="{00000000-0004-0000-0700-0000C7080000}"/>
    <hyperlink ref="A566" r:id="rId2249" display="https://gerandofalcoes.my.salesforce.com/0014P00003YSp8bQAD" xr:uid="{00000000-0004-0000-0700-0000C8080000}"/>
    <hyperlink ref="AL566" r:id="rId2250" display="https://gerandofalcoes.my.salesforce.com/0034P000045kxjC" xr:uid="{00000000-0004-0000-0700-0000C9080000}"/>
    <hyperlink ref="BX566" r:id="rId2251" display="https://instagram.com/andrerongo?utm_medium=copy_link" xr:uid="{00000000-0004-0000-0700-0000CA080000}"/>
    <hyperlink ref="BY566" r:id="rId2252" display="https://drive.google.com/open?id=1VYbojSupCHwEjukFnAKTdCasdniOeQTt" xr:uid="{00000000-0004-0000-0700-0000CB080000}"/>
    <hyperlink ref="A567" r:id="rId2253" display="https://gerandofalcoes.my.salesforce.com/0014P00003AN2G0QAL" xr:uid="{00000000-0004-0000-0700-0000CC080000}"/>
    <hyperlink ref="AL567" r:id="rId2254" display="https://gerandofalcoes.my.salesforce.com/0034P00003maBVT" xr:uid="{00000000-0004-0000-0700-0000CD080000}"/>
    <hyperlink ref="BW567" r:id="rId2255" display="https://www.linkedin.com/in/maria-patr%C3%ADcia-b3219913b/" xr:uid="{00000000-0004-0000-0700-0000CE080000}"/>
    <hyperlink ref="BX567" r:id="rId2256" display="https://www.instagram.com/patriciaoliveirasc/" xr:uid="{00000000-0004-0000-0700-0000CF080000}"/>
    <hyperlink ref="BY567" r:id="rId2257" display="https://drive.google.com/open?id=1g0owkhywxZp81VbSXi3F8J5_z5kZIHYc" xr:uid="{00000000-0004-0000-0700-0000D0080000}"/>
    <hyperlink ref="A568" r:id="rId2258" display="https://gerandofalcoes.my.salesforce.com/0014X00002VKCuDQAX" xr:uid="{00000000-0004-0000-0700-0000D1080000}"/>
    <hyperlink ref="AL568" r:id="rId2259" display="https://gerandofalcoes.my.salesforce.com/0034X0000380O6a" xr:uid="{00000000-0004-0000-0700-0000D2080000}"/>
    <hyperlink ref="BY568" r:id="rId2260" display="https://drive.google.com/open?id=1AsKibMXjxCA_tuWYLgYgYw67P31MJzwk" xr:uid="{00000000-0004-0000-0700-0000D3080000}"/>
    <hyperlink ref="A569" r:id="rId2261" display="https://gerandofalcoes.my.salesforce.com/0014X00002VKCsvQAH" xr:uid="{00000000-0004-0000-0700-0000D4080000}"/>
    <hyperlink ref="AL569" r:id="rId2262" display="https://gerandofalcoes.my.salesforce.com/0034X0000380O0j" xr:uid="{00000000-0004-0000-0700-0000D5080000}"/>
    <hyperlink ref="BW569" r:id="rId2263" display="https://www.linkedin.com/in/michel-a-carmo-931b249a/" xr:uid="{00000000-0004-0000-0700-0000D6080000}"/>
    <hyperlink ref="BY569" r:id="rId2264" display="https://drive.google.com/open?id=1Hw-oE0dFFEbDF7PnqvfrBWXxrVeGjGFH" xr:uid="{00000000-0004-0000-0700-0000D7080000}"/>
    <hyperlink ref="A570" r:id="rId2265" display="https://gerandofalcoes.my.salesforce.com/0014P00003YSp8eQAD" xr:uid="{00000000-0004-0000-0700-0000D8080000}"/>
    <hyperlink ref="AL570" r:id="rId2266" display="https://gerandofalcoes.my.salesforce.com/0034P000045kxjF" xr:uid="{00000000-0004-0000-0700-0000D9080000}"/>
    <hyperlink ref="BW570" r:id="rId2267" display="https://www.linkedin.com/in/gabriela-veras-3b2879108/" xr:uid="{00000000-0004-0000-0700-0000DA080000}"/>
    <hyperlink ref="BX570" r:id="rId2268" display="https://www.instagram.com/gabiiveras/" xr:uid="{00000000-0004-0000-0700-0000DB080000}"/>
    <hyperlink ref="BY570" r:id="rId2269" display="https://drive.google.com/open?id=1JX1j7zdYz78QRqW-MRqw8f307d1MX0BT" xr:uid="{00000000-0004-0000-0700-0000DC080000}"/>
    <hyperlink ref="A571" r:id="rId2270" display="https://gerandofalcoes.my.salesforce.com/0014P00003YSp9kQAD" xr:uid="{00000000-0004-0000-0700-0000DD080000}"/>
    <hyperlink ref="AL571" r:id="rId2271" display="https://gerandofalcoes.my.salesforce.com/0034P000045kxkM" xr:uid="{00000000-0004-0000-0700-0000DE080000}"/>
    <hyperlink ref="BW571" r:id="rId2272" display="https://www.linkedin.com/in/leila-stungis/" xr:uid="{00000000-0004-0000-0700-0000DF080000}"/>
    <hyperlink ref="BY571" r:id="rId2273" display="https://drive.google.com/open?id=1aJMhjSJo7bimfXEZeE06v_OkJuecINRE" xr:uid="{00000000-0004-0000-0700-0000E0080000}"/>
    <hyperlink ref="A572" r:id="rId2274" display="https://gerandofalcoes.my.salesforce.com/0014P00003AN2FhQAL" xr:uid="{00000000-0004-0000-0700-0000E1080000}"/>
    <hyperlink ref="AL572" r:id="rId2275" display="https://gerandofalcoes.my.salesforce.com/0034P00003maBV7" xr:uid="{00000000-0004-0000-0700-0000E2080000}"/>
    <hyperlink ref="A573" r:id="rId2276" display="https://gerandofalcoes.my.salesforce.com/0014P00003AN2GOQA1" xr:uid="{00000000-0004-0000-0700-0000E3080000}"/>
    <hyperlink ref="AL573" r:id="rId2277" display="https://gerandofalcoes.my.salesforce.com/0034P00003maBVt" xr:uid="{00000000-0004-0000-0700-0000E4080000}"/>
    <hyperlink ref="BW573" r:id="rId2278" display="https://www.linkedin.com/in/rafaelmarcelinooliver/" xr:uid="{00000000-0004-0000-0700-0000E5080000}"/>
    <hyperlink ref="BX573" r:id="rId2279" display="https://www.instagram.com/rafaelmarcelinooliveira/" xr:uid="{00000000-0004-0000-0700-0000E6080000}"/>
    <hyperlink ref="BY573" r:id="rId2280" display="https://drive.google.com/open?id=1LzwquS-Xehn6P_m5tLz5z6dJgq6SBz4-" xr:uid="{00000000-0004-0000-0700-0000E7080000}"/>
    <hyperlink ref="A574" r:id="rId2281" display="https://gerandofalcoes.my.salesforce.com/0014X00002VKCu5QAH" xr:uid="{00000000-0004-0000-0700-0000E8080000}"/>
    <hyperlink ref="AL574" r:id="rId2282" display="https://gerandofalcoes.my.salesforce.com/0034X0000380O4B" xr:uid="{00000000-0004-0000-0700-0000E9080000}"/>
    <hyperlink ref="BX574" r:id="rId2283" display="https://www.instagram.com/djmariorlmm/" xr:uid="{00000000-0004-0000-0700-0000EA080000}"/>
    <hyperlink ref="BY574" r:id="rId2284" display="https://drive.google.com/open?id=1GHU33DyiihLAtmGODHY45pZUeJkomseN" xr:uid="{00000000-0004-0000-0700-0000EB080000}"/>
    <hyperlink ref="A575" r:id="rId2285" display="https://gerandofalcoes.my.salesforce.com/0014X00002VKCrIQAX" xr:uid="{00000000-0004-0000-0700-0000EC080000}"/>
    <hyperlink ref="AL575" r:id="rId2286" display="https://gerandofalcoes.my.salesforce.com/0034X0000380O38" xr:uid="{00000000-0004-0000-0700-0000ED080000}"/>
    <hyperlink ref="BW575" r:id="rId2287" display="https://www.linkedin.com/in/victorlqueiroz/" xr:uid="{00000000-0004-0000-0700-0000EE080000}"/>
    <hyperlink ref="BY575" r:id="rId2288" display="https://drive.google.com/open?id=1V8Xk-XFQQ_K1xFlehXrJrg28hVTsJnLL" xr:uid="{00000000-0004-0000-0700-0000EF080000}"/>
    <hyperlink ref="A576" r:id="rId2289" display="https://gerandofalcoes.my.salesforce.com/0014X00002VKCrkQAH" xr:uid="{00000000-0004-0000-0700-0000F0080000}"/>
    <hyperlink ref="AL576" r:id="rId2290" display="https://gerandofalcoes.my.salesforce.com/0034X0000380O49" xr:uid="{00000000-0004-0000-0700-0000F1080000}"/>
    <hyperlink ref="BW576" r:id="rId2291" display="https://www.instagram.com/marcelotrindadestm/" xr:uid="{00000000-0004-0000-0700-0000F2080000}"/>
    <hyperlink ref="BX576" r:id="rId2292" display="https://www.instagram.com/marcelotrindadestm/" xr:uid="{00000000-0004-0000-0700-0000F3080000}"/>
    <hyperlink ref="BY576" r:id="rId2293" display="https://drive.google.com/open?id=1_0mlwdMXkW5YSV6cRGSh2d8G4969gwQp" xr:uid="{00000000-0004-0000-0700-0000F4080000}"/>
    <hyperlink ref="A577" r:id="rId2294" display="https://gerandofalcoes.my.salesforce.com/0014X00002VKCpbQAH" xr:uid="{00000000-0004-0000-0700-0000F5080000}"/>
    <hyperlink ref="AL577" r:id="rId2295" display="https://gerandofalcoes.my.salesforce.com/0034X0000380O4Q" xr:uid="{00000000-0004-0000-0700-0000F6080000}"/>
    <hyperlink ref="BY577" r:id="rId2296" display="https://drive.google.com/open?id=1k6pus-pX8QhiqKifKij2u9gT5Ev_wDZC" xr:uid="{00000000-0004-0000-0700-0000F7080000}"/>
    <hyperlink ref="A578" r:id="rId2297" display="https://gerandofalcoes.my.salesforce.com/0014X00002VKCtxQAH" xr:uid="{00000000-0004-0000-0700-0000F8080000}"/>
    <hyperlink ref="AL578" r:id="rId2298" display="https://gerandofalcoes.my.salesforce.com/0034X0000380O2D" xr:uid="{00000000-0004-0000-0700-0000F9080000}"/>
    <hyperlink ref="BW578" r:id="rId2299" display="https://www.linkedin.com/in/gisele.lasserre" xr:uid="{00000000-0004-0000-0700-0000FA080000}"/>
    <hyperlink ref="BX578" r:id="rId2300" display="https://www.instagram.com/giselelasserre/" xr:uid="{00000000-0004-0000-0700-0000FB080000}"/>
    <hyperlink ref="BY578" r:id="rId2301" display="https://drive.google.com/open?id=1Sg-gNg0LwNeZE7F82Gh1sjoPo3FtSsBq" xr:uid="{00000000-0004-0000-0700-0000FC080000}"/>
    <hyperlink ref="A579" r:id="rId2302" display="https://gerandofalcoes.my.salesforce.com/0014P00003YSp82QAD" xr:uid="{00000000-0004-0000-0700-0000FD080000}"/>
    <hyperlink ref="AL579" r:id="rId2303" display="https://gerandofalcoes.my.salesforce.com/0034P000045kxid" xr:uid="{00000000-0004-0000-0700-0000FE080000}"/>
    <hyperlink ref="BW579" r:id="rId2304" display="https://www.linkedin.com/in/leandro-soares-358215113" xr:uid="{00000000-0004-0000-0700-0000FF080000}"/>
    <hyperlink ref="BX579" r:id="rId2305" display="https://instagram.com/leandrosoaresfla?utm_medium=copy_link" xr:uid="{00000000-0004-0000-0700-000000090000}"/>
    <hyperlink ref="BY579" r:id="rId2306" display="https://drive.google.com/open?id=1GdhM8E50ilAGy_4jRE98zBEdFQKR8qZ2" xr:uid="{00000000-0004-0000-0700-000001090000}"/>
    <hyperlink ref="A580" r:id="rId2307" display="https://gerandofalcoes.my.salesforce.com/0014X00002VKCuEQAX" xr:uid="{00000000-0004-0000-0700-000002090000}"/>
    <hyperlink ref="AL580" r:id="rId2308" display="https://gerandofalcoes.my.salesforce.com/0034X0000380O14" xr:uid="{00000000-0004-0000-0700-000003090000}"/>
    <hyperlink ref="BW580" r:id="rId2309" display="https://www.linkedin.com/in/editora-mais-que-palavras-52a72822/" xr:uid="{00000000-0004-0000-0700-000004090000}"/>
    <hyperlink ref="BX580" r:id="rId2310" display="https://www.instagram.com/maisquepalavraseditora/?hl=pt-br" xr:uid="{00000000-0004-0000-0700-000005090000}"/>
    <hyperlink ref="BY580" r:id="rId2311" display="https://drive.google.com/open?id=1kdfLQFyUYD6ax3RZ8-MXrV-Dazke5ahb" xr:uid="{00000000-0004-0000-0700-000006090000}"/>
    <hyperlink ref="A581" r:id="rId2312" display="https://gerandofalcoes.my.salesforce.com/0014X00002VKCqmQAH" xr:uid="{00000000-0004-0000-0700-000007090000}"/>
    <hyperlink ref="AL581" r:id="rId2313" display="https://gerandofalcoes.my.salesforce.com/0034X0000380O1P" xr:uid="{00000000-0004-0000-0700-000008090000}"/>
    <hyperlink ref="BW581" r:id="rId2314" display="https://www.linkedin.com/in/iara-preto-57132b26/" xr:uid="{00000000-0004-0000-0700-000009090000}"/>
    <hyperlink ref="BX581" r:id="rId2315" display="https://www.facebook.com/iara.a.ferreira" xr:uid="{00000000-0004-0000-0700-00000A090000}"/>
    <hyperlink ref="BY581" r:id="rId2316" display="https://drive.google.com/open?id=1OTsLXl7ofPhXYPGJRA87hbhO5k-y0x0O" xr:uid="{00000000-0004-0000-0700-00000B090000}"/>
    <hyperlink ref="A582" r:id="rId2317" display="https://gerandofalcoes.my.salesforce.com/0014X00002VKCsDQAX" xr:uid="{00000000-0004-0000-0700-00000C090000}"/>
    <hyperlink ref="AL582" r:id="rId2318" display="https://gerandofalcoes.my.salesforce.com/0034X0000380O6p" xr:uid="{00000000-0004-0000-0700-00000D090000}"/>
    <hyperlink ref="BY582" r:id="rId2319" display="https://drive.google.com/open?id=1q7jxyRJ-znvLDQHFUadn5i-rMxxa-1AP" xr:uid="{00000000-0004-0000-0700-00000E090000}"/>
    <hyperlink ref="A583" r:id="rId2320" display="https://gerandofalcoes.my.salesforce.com/0014X00002VKCshQAH" xr:uid="{00000000-0004-0000-0700-00000F090000}"/>
    <hyperlink ref="AL583" r:id="rId2321" display="https://gerandofalcoes.my.salesforce.com/0034X0000380O0f" xr:uid="{00000000-0004-0000-0700-000010090000}"/>
    <hyperlink ref="BW583" r:id="rId2322" display="https://www.linkedin.com/mwlite/in/joao-oliveira-68b52450" xr:uid="{00000000-0004-0000-0700-000011090000}"/>
    <hyperlink ref="BX583" r:id="rId2323" display="https://www.instagram.com/topclubxadrez" xr:uid="{00000000-0004-0000-0700-000012090000}"/>
    <hyperlink ref="BY583" r:id="rId2324" display="https://drive.google.com/open?id=1IYJSAH5GQdcbBfvhdt-tGKd58I2GUtH1" xr:uid="{00000000-0004-0000-0700-000013090000}"/>
    <hyperlink ref="A584" r:id="rId2325" display="https://gerandofalcoes.my.salesforce.com/0014X00002VKCpOQAX" xr:uid="{00000000-0004-0000-0700-000014090000}"/>
    <hyperlink ref="AL584" r:id="rId2326" display="https://gerandofalcoes.my.salesforce.com/0034X0000380O6S" xr:uid="{00000000-0004-0000-0700-000015090000}"/>
    <hyperlink ref="BX584" r:id="rId2327" display="https://www.instagram.com/p/Cfv9MSEOpXB/?igshid=YmMyMTA2M2Y=" xr:uid="{00000000-0004-0000-0700-000016090000}"/>
    <hyperlink ref="BY584" r:id="rId2328" display="https://drive.google.com/open?id=1frMUwxJfV8frfnwKM00vkv__tHOXTxwO" xr:uid="{00000000-0004-0000-0700-000017090000}"/>
    <hyperlink ref="A585" r:id="rId2329" display="https://gerandofalcoes.my.salesforce.com/0014X00002VKCs2QAH" xr:uid="{00000000-0004-0000-0700-000018090000}"/>
    <hyperlink ref="AL585" r:id="rId2330" display="https://gerandofalcoes.my.salesforce.com/0034X0000380O6U" xr:uid="{00000000-0004-0000-0700-000019090000}"/>
    <hyperlink ref="BW585" r:id="rId2331" display="https://www.linkedin.com/in/priscila-dias-47560848/" xr:uid="{00000000-0004-0000-0700-00001A090000}"/>
    <hyperlink ref="BX585" r:id="rId2332" display="https://instagram.com/oxepriu?utm_medium=copy_link" xr:uid="{00000000-0004-0000-0700-00001B090000}"/>
    <hyperlink ref="BY585" r:id="rId2333" display="https://drive.google.com/open?id=1UJcE-m1s45fNOYMO2XmmNnYu24VyIOkE" xr:uid="{00000000-0004-0000-0700-00001C090000}"/>
    <hyperlink ref="A586" r:id="rId2334" display="https://gerandofalcoes.my.salesforce.com/0014X00002VKCpGQAX" xr:uid="{00000000-0004-0000-0700-00001D090000}"/>
    <hyperlink ref="AL586" r:id="rId2335" display="https://gerandofalcoes.my.salesforce.com/0034X0000380O4G" xr:uid="{00000000-0004-0000-0700-00001E090000}"/>
    <hyperlink ref="BW586" r:id="rId2336" display="https://www.linkedin.com/in/iagossantos2/" xr:uid="{00000000-0004-0000-0700-00001F090000}"/>
    <hyperlink ref="BX586" r:id="rId2337" display="https://www.instagram.com/iagossantos1/" xr:uid="{00000000-0004-0000-0700-000020090000}"/>
    <hyperlink ref="BY586" r:id="rId2338" display="https://drive.google.com/open?id=1wq3GbxKYwOPTUUmJwsRsBT-FzcAZqdBz" xr:uid="{00000000-0004-0000-0700-000021090000}"/>
    <hyperlink ref="A587" r:id="rId2339" display="https://gerandofalcoes.my.salesforce.com/0014X00002VKCumQAH" xr:uid="{00000000-0004-0000-0700-000022090000}"/>
    <hyperlink ref="AL587" r:id="rId2340" display="https://gerandofalcoes.my.salesforce.com/0034X0000380O1A" xr:uid="{00000000-0004-0000-0700-000023090000}"/>
    <hyperlink ref="BW587" r:id="rId2341" display="https://www.linkedin.com/in/janderson-rocha-682b37196" xr:uid="{00000000-0004-0000-0700-000024090000}"/>
    <hyperlink ref="BX587" r:id="rId2342" display="https://instagram.com/jandersson_rocha?utm_medium=copy_link" xr:uid="{00000000-0004-0000-0700-000025090000}"/>
    <hyperlink ref="A588" r:id="rId2343" display="https://gerandofalcoes.my.salesforce.com/0014P00003YSp8qQAD" xr:uid="{00000000-0004-0000-0700-000026090000}"/>
    <hyperlink ref="AL588" r:id="rId2344" display="https://gerandofalcoes.my.salesforce.com/0034P000045kxjS" xr:uid="{00000000-0004-0000-0700-000027090000}"/>
    <hyperlink ref="BY588" r:id="rId2345" display="https://drive.google.com/open?id=1Q0RvFzw0SyAaJcMQ1sO3EByH4MOcnRWl" xr:uid="{00000000-0004-0000-0700-000028090000}"/>
    <hyperlink ref="A589" r:id="rId2346" display="https://gerandofalcoes.my.salesforce.com/0014X00002VKCqRQAX" xr:uid="{00000000-0004-0000-0700-000029090000}"/>
    <hyperlink ref="AL589" r:id="rId2347" display="https://gerandofalcoes.my.salesforce.com/0034X0000380O6G" xr:uid="{00000000-0004-0000-0700-00002A090000}"/>
    <hyperlink ref="BX589" r:id="rId2348" display="https://www.instagram.com/ojuara_ray/" xr:uid="{00000000-0004-0000-0700-00002B090000}"/>
    <hyperlink ref="BY589" r:id="rId2349" display="https://drive.google.com/open?id=1t8zCL03Ok-o5KYpuE57w336L1-IheByt" xr:uid="{00000000-0004-0000-0700-00002C090000}"/>
    <hyperlink ref="A590" r:id="rId2350" display="https://gerandofalcoes.my.salesforce.com/0014X00002VKCvCQAX" xr:uid="{00000000-0004-0000-0700-00002D090000}"/>
    <hyperlink ref="AL590" r:id="rId2351" display="https://gerandofalcoes.my.salesforce.com/0034X0000380O1V" xr:uid="{00000000-0004-0000-0700-00002E090000}"/>
    <hyperlink ref="BW590" r:id="rId2352" display="https://www.linkedin.com/in/tiago-pereira-6523b7199/" xr:uid="{00000000-0004-0000-0700-00002F090000}"/>
    <hyperlink ref="BX590" r:id="rId2353" display="https://www.instagram.com/tigopereira/" xr:uid="{00000000-0004-0000-0700-000030090000}"/>
    <hyperlink ref="BY590" r:id="rId2354" display="https://drive.google.com/open?id=1Fz933v8wx-2nWaslhEt_XUHND3x5Y15I" xr:uid="{00000000-0004-0000-0700-000031090000}"/>
    <hyperlink ref="A591" r:id="rId2355" display="https://gerandofalcoes.my.salesforce.com/0014X00002VKCrgQAH" xr:uid="{00000000-0004-0000-0700-000032090000}"/>
    <hyperlink ref="AL591" r:id="rId2356" display="https://gerandofalcoes.my.salesforce.com/0034X0000380O39" xr:uid="{00000000-0004-0000-0700-000033090000}"/>
    <hyperlink ref="BW591" r:id="rId2357" display="https://www.linkedin.com/in/givanildo-amancio-3778b921/" xr:uid="{00000000-0004-0000-0700-000034090000}"/>
    <hyperlink ref="BX591" r:id="rId2358" display="https://www.instagram.com/tv/CW_cniLJnjj/?utm_medium=copy_link" xr:uid="{00000000-0004-0000-0700-000035090000}"/>
    <hyperlink ref="BY591" r:id="rId2359" display="https://drive.google.com/open?id=1Ctz_Q0XlN3K6bknRIsvn7jhkx8_si2a6" xr:uid="{00000000-0004-0000-0700-000036090000}"/>
    <hyperlink ref="A592" r:id="rId2360" display="https://gerandofalcoes.my.salesforce.com/0014X00002VKCpIQAX" xr:uid="{00000000-0004-0000-0700-000037090000}"/>
    <hyperlink ref="AL592" r:id="rId2361" display="https://gerandofalcoes.my.salesforce.com/0034X0000380O1z" xr:uid="{00000000-0004-0000-0700-000038090000}"/>
    <hyperlink ref="BX592" r:id="rId2362" display="https://instagram.com/ygo_tatiane?igshid=YmMyMTA2M2Y=" xr:uid="{00000000-0004-0000-0700-000039090000}"/>
    <hyperlink ref="BY592" r:id="rId2363" display="https://drive.google.com/open?id=190GV41MOKCuo7fjmlP6_7sHvupPUtGrD" xr:uid="{00000000-0004-0000-0700-00003A090000}"/>
    <hyperlink ref="A593" r:id="rId2364" display="https://gerandofalcoes.my.salesforce.com/0014P00003YSpA6QAL" xr:uid="{00000000-0004-0000-0700-00003B090000}"/>
    <hyperlink ref="AL593" r:id="rId2365" display="https://gerandofalcoes.my.salesforce.com/0034P000045kxki" xr:uid="{00000000-0004-0000-0700-00003C090000}"/>
    <hyperlink ref="BX593" r:id="rId2366" display="https://www.instagram.com/leandro_gabriel_escultor/" xr:uid="{00000000-0004-0000-0700-00003D090000}"/>
    <hyperlink ref="BY593" r:id="rId2367" display="https://drive.google.com/open?id=1JYRVtljWjcJx8uAVYayPNz31Aw8vCF2a" xr:uid="{00000000-0004-0000-0700-00003E090000}"/>
    <hyperlink ref="A594" r:id="rId2368" display="https://gerandofalcoes.my.salesforce.com/0014X00002OEuapQAD" xr:uid="{00000000-0004-0000-0700-00003F090000}"/>
    <hyperlink ref="AL594" r:id="rId2369" display="https://gerandofalcoes.my.salesforce.com/0034X0000315PQy" xr:uid="{00000000-0004-0000-0700-000040090000}"/>
    <hyperlink ref="A595" r:id="rId2370" display="https://gerandofalcoes.my.salesforce.com/0014P00003AN2GGQA1" xr:uid="{00000000-0004-0000-0700-000041090000}"/>
    <hyperlink ref="AL595" r:id="rId2371" display="https://gerandofalcoes.my.salesforce.com/0034P00003maBVk" xr:uid="{00000000-0004-0000-0700-000042090000}"/>
    <hyperlink ref="BY595" r:id="rId2372" display="https://drive.google.com/open?id=1YNt-u9Yp81MTHmhUGELZbm0kIuk0xDO3" xr:uid="{00000000-0004-0000-0700-000043090000}"/>
    <hyperlink ref="A596" r:id="rId2373" display="https://gerandofalcoes.my.salesforce.com/0014P00003YSp8JQAT" xr:uid="{00000000-0004-0000-0700-000044090000}"/>
    <hyperlink ref="AL596" r:id="rId2374" display="https://gerandofalcoes.my.salesforce.com/0034P000045kxiu" xr:uid="{00000000-0004-0000-0700-000045090000}"/>
    <hyperlink ref="BX596" r:id="rId2375" display="https://instagram.com/casa.sorriso.da.crianca?utm_medium=copy_link" xr:uid="{00000000-0004-0000-0700-000046090000}"/>
    <hyperlink ref="BY596" r:id="rId2376" display="https://drive.google.com/open?id=135d4VKhf6FlL7nUTQdVQxHDqQidHnQMO" xr:uid="{00000000-0004-0000-0700-000047090000}"/>
    <hyperlink ref="A597" r:id="rId2377" display="https://gerandofalcoes.my.salesforce.com/0014P00003AN2FnQAL" xr:uid="{00000000-0004-0000-0700-000048090000}"/>
    <hyperlink ref="AL597" r:id="rId2378" display="https://gerandofalcoes.my.salesforce.com/0034P00003maBVE" xr:uid="{00000000-0004-0000-0700-000049090000}"/>
    <hyperlink ref="BW597" r:id="rId2379" display="https://www.linkedin.com/in/cesar-gouveia-0956535b/" xr:uid="{00000000-0004-0000-0700-00004A090000}"/>
    <hyperlink ref="BX597" r:id="rId2380" display="http://instagram.com/gouveiia" xr:uid="{00000000-0004-0000-0700-00004B090000}"/>
    <hyperlink ref="BY597" r:id="rId2381" display="https://drive.google.com/open?id=1eghUesdQZNwrSxd8N_x75ax79gVQ3PtQ" xr:uid="{00000000-0004-0000-0700-00004C090000}"/>
    <hyperlink ref="A598" r:id="rId2382" display="https://gerandofalcoes.my.salesforce.com/0014P00003YSp7pQAD" xr:uid="{00000000-0004-0000-0700-00004D090000}"/>
    <hyperlink ref="AL598" r:id="rId2383" display="https://gerandofalcoes.my.salesforce.com/0034P000045kxiQ" xr:uid="{00000000-0004-0000-0700-00004E090000}"/>
    <hyperlink ref="BW598" r:id="rId2384" display="https://www.linkedin.com/in/davidson-carvalho-429214236/" xr:uid="{00000000-0004-0000-0700-00004F090000}"/>
    <hyperlink ref="BX598" r:id="rId2385" display="https://instagram.com/davidsoncrvlho?utm_medium=copy_link" xr:uid="{00000000-0004-0000-0700-000050090000}"/>
    <hyperlink ref="BY598" r:id="rId2386" display="https://drive.google.com/open?id=1A1I10djPHRKN57w2nAJXsreZUlIrHIZN" xr:uid="{00000000-0004-0000-0700-000051090000}"/>
    <hyperlink ref="A599" r:id="rId2387" display="https://gerandofalcoes.my.salesforce.com/0014X00002VKCuRQAX" xr:uid="{00000000-0004-0000-0700-000052090000}"/>
    <hyperlink ref="AL599" r:id="rId2388" display="https://gerandofalcoes.my.salesforce.com/0034X0000380O4n" xr:uid="{00000000-0004-0000-0700-000053090000}"/>
    <hyperlink ref="BW599" r:id="rId2389" display="https://br.linkedin.com/in/barucvendito" xr:uid="{00000000-0004-0000-0700-000054090000}"/>
    <hyperlink ref="BX599" r:id="rId2390" display="https://www.instagram.com/barucvenditto/" xr:uid="{00000000-0004-0000-0700-000055090000}"/>
    <hyperlink ref="BY599" r:id="rId2391" display="https://drive.google.com/open?id=1htHs3ZkgTiiJ8Kt8SPEcQq17UfTJhsKX" xr:uid="{00000000-0004-0000-0700-000056090000}"/>
    <hyperlink ref="A600" r:id="rId2392" display="https://gerandofalcoes.my.salesforce.com/0014X00002VKCrpQAH" xr:uid="{00000000-0004-0000-0700-000057090000}"/>
    <hyperlink ref="AL600" r:id="rId2393" display="https://gerandofalcoes.my.salesforce.com/0034X0000380O1v" xr:uid="{00000000-0004-0000-0700-000058090000}"/>
    <hyperlink ref="BX600" r:id="rId2394" display="https://www.instagram.com/josias_adolfo/" xr:uid="{00000000-0004-0000-0700-000059090000}"/>
    <hyperlink ref="BY600" r:id="rId2395" display="https://drive.google.com/open?id=1bcT4BaMgaUr8CwtxDUxlHp9o6ZRHUsaG" xr:uid="{00000000-0004-0000-0700-00005A090000}"/>
  </hyperlinks>
  <pageMargins left="0.511811024" right="0.511811024" top="0.78740157499999996" bottom="0.78740157499999996" header="0.31496062000000002" footer="0.31496062000000002"/>
  <pageSetup paperSize="9" orientation="portrait" verticalDpi="597" r:id="rId239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B1000"/>
  <sheetViews>
    <sheetView workbookViewId="0"/>
  </sheetViews>
  <sheetFormatPr defaultColWidth="12.6328125" defaultRowHeight="15.75" customHeight="1" x14ac:dyDescent="0.25"/>
  <cols>
    <col min="1" max="1" width="20.453125" customWidth="1"/>
    <col min="4" max="4" width="20.453125" customWidth="1"/>
    <col min="5" max="5" width="39.453125" customWidth="1"/>
    <col min="6" max="6" width="21" customWidth="1"/>
    <col min="7" max="8" width="18.36328125" customWidth="1"/>
  </cols>
  <sheetData>
    <row r="1" spans="1:28" ht="13" x14ac:dyDescent="0.3">
      <c r="A1" s="36" t="str">
        <f ca="1">IFERROR(__xludf.DUMMYFUNCTION("IMPORTRANGE(""1OBBKz_bEVOvdz5TyLw0xDSxVZU2d0t46Uh0PvdTtbM0"",""'OFICIAL Líder e ONG - 2022'!A2:E"")"),"IDConta(18)")</f>
        <v>IDConta(18)</v>
      </c>
      <c r="B1" s="36" t="str">
        <f ca="1">IFERROR(__xludf.DUMMYFUNCTION("""COMPUTED_VALUE"""),"Categorização")</f>
        <v>Categorização</v>
      </c>
      <c r="C1" s="36" t="str">
        <f ca="1">IFERROR(__xludf.DUMMYFUNCTION("""COMPUTED_VALUE"""),"Tipo de Programa")</f>
        <v>Tipo de Programa</v>
      </c>
      <c r="D1" s="36" t="str">
        <f ca="1">IFERROR(__xludf.DUMMYFUNCTION("""COMPUTED_VALUE"""),"Status")</f>
        <v>Status</v>
      </c>
      <c r="E1" s="1" t="str">
        <f ca="1">IFERROR(__xludf.DUMMYFUNCTION("""COMPUTED_VALUE"""),"Nome da conta")</f>
        <v>Nome da conta</v>
      </c>
      <c r="F1" s="1" t="s">
        <v>2497</v>
      </c>
      <c r="G1" s="1" t="s">
        <v>17402</v>
      </c>
      <c r="H1" s="37" t="s">
        <v>17877</v>
      </c>
      <c r="I1" s="36" t="s">
        <v>17878</v>
      </c>
      <c r="J1" s="36" t="s">
        <v>17879</v>
      </c>
      <c r="K1" s="36" t="s">
        <v>17880</v>
      </c>
      <c r="L1" s="36"/>
      <c r="M1" s="36"/>
      <c r="N1" s="36"/>
      <c r="O1" s="36"/>
      <c r="P1" s="36"/>
      <c r="Q1" s="36"/>
      <c r="R1" s="36"/>
      <c r="S1" s="36"/>
      <c r="T1" s="36"/>
      <c r="U1" s="36"/>
      <c r="V1" s="36"/>
      <c r="W1" s="36"/>
      <c r="X1" s="36"/>
      <c r="Y1" s="36"/>
      <c r="Z1" s="36"/>
      <c r="AA1" s="36"/>
      <c r="AB1" s="36"/>
    </row>
    <row r="2" spans="1:28" ht="15.75" customHeight="1" x14ac:dyDescent="0.25">
      <c r="A2" s="21" t="str">
        <f ca="1">IFERROR(__xludf.DUMMYFUNCTION("""COMPUTED_VALUE"""),"0014P00003YSp95QAD")</f>
        <v>0014P00003YSp95QAD</v>
      </c>
      <c r="B2" s="27" t="str">
        <f ca="1">IFERROR(__xludf.DUMMYFUNCTION("""COMPUTED_VALUE"""),"Fase Inicial")</f>
        <v>Fase Inicial</v>
      </c>
      <c r="C2" s="27" t="str">
        <f ca="1">IFERROR(__xludf.DUMMYFUNCTION("""COMPUTED_VALUE"""),"Fellow")</f>
        <v>Fellow</v>
      </c>
      <c r="D2" s="27" t="str">
        <f ca="1">IFERROR(__xludf.DUMMYFUNCTION("""COMPUTED_VALUE"""),"Ativo")</f>
        <v>Ativo</v>
      </c>
      <c r="E2" s="27" t="str">
        <f ca="1">IFERROR(__xludf.DUMMYFUNCTION("""COMPUTED_VALUE"""),"ABC Mundo Novo")</f>
        <v>ABC Mundo Novo</v>
      </c>
      <c r="F2" s="21" t="str">
        <f ca="1">IFERROR(VLOOKUP(A2,'Rede - Gerando Falcões '!A1:G997,38,0),"")</f>
        <v/>
      </c>
      <c r="G2" s="27" t="str">
        <f ca="1">IFERROR(VLOOKUP(A2,'Tabela Categorização'!A:J,10,0),"")</f>
        <v>Fase Inicial</v>
      </c>
      <c r="H2" s="27" t="b">
        <f t="shared" ref="H2:H256" ca="1" si="0">G2=B2</f>
        <v>1</v>
      </c>
      <c r="I2" s="21" t="str">
        <f>HYPERLINK("https://gerandofalcoes.my.salesforce.com/0034P000045kxjhQAA", "0034P000045kxjhQAA")</f>
        <v>0034P000045kxjhQAA</v>
      </c>
      <c r="J2" s="9" t="s">
        <v>17881</v>
      </c>
      <c r="K2" s="38" t="s">
        <v>17882</v>
      </c>
    </row>
    <row r="3" spans="1:28" ht="15.75" customHeight="1" x14ac:dyDescent="0.25">
      <c r="A3" s="21" t="str">
        <f ca="1">IFERROR(__xludf.DUMMYFUNCTION("""COMPUTED_VALUE"""),"0014X00002VKCtkQAH")</f>
        <v>0014X00002VKCtkQAH</v>
      </c>
      <c r="B3" s="27" t="str">
        <f ca="1">IFERROR(__xludf.DUMMYFUNCTION("""COMPUTED_VALUE"""),"Fase Inicial")</f>
        <v>Fase Inicial</v>
      </c>
      <c r="C3" s="27" t="str">
        <f ca="1">IFERROR(__xludf.DUMMYFUNCTION("""COMPUTED_VALUE"""),"Fellow")</f>
        <v>Fellow</v>
      </c>
      <c r="D3" s="27" t="str">
        <f ca="1">IFERROR(__xludf.DUMMYFUNCTION("""COMPUTED_VALUE"""),"Ativo")</f>
        <v>Ativo</v>
      </c>
      <c r="E3" s="27" t="str">
        <f ca="1">IFERROR(__xludf.DUMMYFUNCTION("""COMPUTED_VALUE"""),"ACIESP")</f>
        <v>ACIESP</v>
      </c>
      <c r="F3" s="21" t="str">
        <f ca="1">IFERROR(VLOOKUP(A3,'Rede - Gerando Falcões '!A2:G998,38,0),"")</f>
        <v/>
      </c>
      <c r="G3" s="27" t="str">
        <f ca="1">IFERROR(VLOOKUP(A3,'Tabela Categorização'!A:J,10,0),"")</f>
        <v>Fase Inicial</v>
      </c>
      <c r="H3" s="27" t="b">
        <f t="shared" ca="1" si="0"/>
        <v>1</v>
      </c>
      <c r="I3" s="21" t="str">
        <f>HYPERLINK("https://gerandofalcoes.my.salesforce.com/0034X0000380O4IQAU", "0034X0000380O4IQAU")</f>
        <v>0034X0000380O4IQAU</v>
      </c>
      <c r="J3" s="9" t="s">
        <v>17881</v>
      </c>
      <c r="K3" s="38" t="s">
        <v>17882</v>
      </c>
    </row>
    <row r="4" spans="1:28" ht="15.75" customHeight="1" x14ac:dyDescent="0.25">
      <c r="A4" s="21" t="str">
        <f ca="1">IFERROR(__xludf.DUMMYFUNCTION("""COMPUTED_VALUE"""),"0014P00003YSpAEQA1")</f>
        <v>0014P00003YSpAEQA1</v>
      </c>
      <c r="B4" s="27" t="str">
        <f ca="1">IFERROR(__xludf.DUMMYFUNCTION("""COMPUTED_VALUE"""),"Fase Inicial")</f>
        <v>Fase Inicial</v>
      </c>
      <c r="C4" s="27" t="str">
        <f ca="1">IFERROR(__xludf.DUMMYFUNCTION("""COMPUTED_VALUE"""),"Fellow")</f>
        <v>Fellow</v>
      </c>
      <c r="D4" s="27" t="str">
        <f ca="1">IFERROR(__xludf.DUMMYFUNCTION("""COMPUTED_VALUE"""),"Ativo")</f>
        <v>Ativo</v>
      </c>
      <c r="E4" s="27" t="str">
        <f ca="1">IFERROR(__xludf.DUMMYFUNCTION("""COMPUTED_VALUE"""),"Actum Brazil")</f>
        <v>Actum Brazil</v>
      </c>
      <c r="F4" s="21" t="str">
        <f ca="1">IFERROR(VLOOKUP(A4,'Rede - Gerando Falcões '!A3:G999,38,0),"")</f>
        <v/>
      </c>
      <c r="G4" s="27" t="str">
        <f ca="1">IFERROR(VLOOKUP(A4,'Tabela Categorização'!A:J,10,0),"")</f>
        <v>Fase Inicial</v>
      </c>
      <c r="H4" s="27" t="b">
        <f t="shared" ca="1" si="0"/>
        <v>1</v>
      </c>
      <c r="I4" s="21" t="str">
        <f>HYPERLINK("https://gerandofalcoes.my.salesforce.com/0034P000045kxkqQAA", "0034P000045kxkqQAA")</f>
        <v>0034P000045kxkqQAA</v>
      </c>
      <c r="J4" s="9" t="s">
        <v>17881</v>
      </c>
      <c r="K4" s="38" t="s">
        <v>17882</v>
      </c>
    </row>
    <row r="5" spans="1:28" ht="15.75" customHeight="1" x14ac:dyDescent="0.25">
      <c r="A5" s="21" t="str">
        <f ca="1">IFERROR(__xludf.DUMMYFUNCTION("""COMPUTED_VALUE"""),"0014P00003AN2FaQAL")</f>
        <v>0014P00003AN2FaQAL</v>
      </c>
      <c r="B5" s="27" t="str">
        <f ca="1">IFERROR(__xludf.DUMMYFUNCTION("""COMPUTED_VALUE"""),"Fase Inicial")</f>
        <v>Fase Inicial</v>
      </c>
      <c r="C5" s="27" t="str">
        <f ca="1">IFERROR(__xludf.DUMMYFUNCTION("""COMPUTED_VALUE"""),"Fellow")</f>
        <v>Fellow</v>
      </c>
      <c r="D5" s="27" t="str">
        <f ca="1">IFERROR(__xludf.DUMMYFUNCTION("""COMPUTED_VALUE"""),"Ativo")</f>
        <v>Ativo</v>
      </c>
      <c r="E5" s="27" t="str">
        <f ca="1">IFERROR(__xludf.DUMMYFUNCTION("""COMPUTED_VALUE"""),"AGECOM- PROJETO GERAÇÃO DA CHICO")</f>
        <v>AGECOM- PROJETO GERAÇÃO DA CHICO</v>
      </c>
      <c r="F5" s="21" t="str">
        <f ca="1">IFERROR(VLOOKUP(A5,'Rede - Gerando Falcões '!A4:G1000,38,0),"")</f>
        <v/>
      </c>
      <c r="G5" s="27" t="str">
        <f ca="1">IFERROR(VLOOKUP(A5,'Tabela Categorização'!A:J,10,0),"")</f>
        <v>Fase Inicial</v>
      </c>
      <c r="H5" s="27" t="b">
        <f t="shared" ca="1" si="0"/>
        <v>1</v>
      </c>
      <c r="I5" s="21" t="str">
        <f>HYPERLINK("https://gerandofalcoes.my.salesforce.com/0034P00003maBV0QAM", "0034P00003maBV0QAM")</f>
        <v>0034P00003maBV0QAM</v>
      </c>
      <c r="J5" s="9" t="s">
        <v>17881</v>
      </c>
      <c r="K5" s="38" t="s">
        <v>17882</v>
      </c>
    </row>
    <row r="6" spans="1:28" ht="15.75" customHeight="1" x14ac:dyDescent="0.25">
      <c r="A6" s="21" t="str">
        <f ca="1">IFERROR(__xludf.DUMMYFUNCTION("""COMPUTED_VALUE"""),"0014X00002VKCucQAH")</f>
        <v>0014X00002VKCucQAH</v>
      </c>
      <c r="B6" s="27" t="str">
        <f ca="1">IFERROR(__xludf.DUMMYFUNCTION("""COMPUTED_VALUE"""),"Fase Inicial")</f>
        <v>Fase Inicial</v>
      </c>
      <c r="C6" s="27" t="str">
        <f ca="1">IFERROR(__xludf.DUMMYFUNCTION("""COMPUTED_VALUE"""),"Fellow")</f>
        <v>Fellow</v>
      </c>
      <c r="D6" s="27" t="str">
        <f ca="1">IFERROR(__xludf.DUMMYFUNCTION("""COMPUTED_VALUE"""),"Ativo")</f>
        <v>Ativo</v>
      </c>
      <c r="E6" s="27" t="str">
        <f ca="1">IFERROR(__xludf.DUMMYFUNCTION("""COMPUTED_VALUE"""),"Agentes de Transformação Associação Civil")</f>
        <v>Agentes de Transformação Associação Civil</v>
      </c>
      <c r="F6" s="21" t="str">
        <f ca="1">IFERROR(VLOOKUP(A6,'Rede - Gerando Falcões '!A5:G1001,38,0),"")</f>
        <v/>
      </c>
      <c r="G6" s="27" t="str">
        <f ca="1">IFERROR(VLOOKUP(A6,'Tabela Categorização'!A:J,10,0),"")</f>
        <v>Fase Inicial</v>
      </c>
      <c r="H6" s="27" t="b">
        <f t="shared" ca="1" si="0"/>
        <v>1</v>
      </c>
      <c r="I6" s="21" t="str">
        <f>HYPERLINK("https://gerandofalcoes.my.salesforce.com/0034X0000380O15QAE", "0034X0000380O15QAE")</f>
        <v>0034X0000380O15QAE</v>
      </c>
      <c r="J6" s="9" t="s">
        <v>17881</v>
      </c>
      <c r="K6" s="38" t="s">
        <v>17882</v>
      </c>
    </row>
    <row r="7" spans="1:28" ht="15.75" customHeight="1" x14ac:dyDescent="0.25">
      <c r="A7" s="21" t="str">
        <f ca="1">IFERROR(__xludf.DUMMYFUNCTION("""COMPUTED_VALUE"""),"0014P00003YSp8PQAT")</f>
        <v>0014P00003YSp8PQAT</v>
      </c>
      <c r="B7" s="27" t="str">
        <f ca="1">IFERROR(__xludf.DUMMYFUNCTION("""COMPUTED_VALUE"""),"Fase Inicial")</f>
        <v>Fase Inicial</v>
      </c>
      <c r="C7" s="27" t="str">
        <f ca="1">IFERROR(__xludf.DUMMYFUNCTION("""COMPUTED_VALUE"""),"Fellow")</f>
        <v>Fellow</v>
      </c>
      <c r="D7" s="27" t="str">
        <f ca="1">IFERROR(__xludf.DUMMYFUNCTION("""COMPUTED_VALUE"""),"Ativo")</f>
        <v>Ativo</v>
      </c>
      <c r="E7" s="27" t="str">
        <f ca="1">IFERROR(__xludf.DUMMYFUNCTION("""COMPUTED_VALUE"""),"Amigos da Solidariedade RJ")</f>
        <v>Amigos da Solidariedade RJ</v>
      </c>
      <c r="F7" s="21" t="str">
        <f ca="1">IFERROR(VLOOKUP(A7,'Rede - Gerando Falcões '!A6:G1002,38,0),"")</f>
        <v/>
      </c>
      <c r="G7" s="27" t="str">
        <f ca="1">IFERROR(VLOOKUP(A7,'Tabela Categorização'!A:J,10,0),"")</f>
        <v>Fase Inicial</v>
      </c>
      <c r="H7" s="27" t="b">
        <f t="shared" ca="1" si="0"/>
        <v>1</v>
      </c>
      <c r="I7" s="21" t="str">
        <f>HYPERLINK("https://gerandofalcoes.my.salesforce.com/0034P000045kxj0QAA", "0034P000045kxj0QAA")</f>
        <v>0034P000045kxj0QAA</v>
      </c>
      <c r="J7" s="9" t="s">
        <v>17881</v>
      </c>
      <c r="K7" s="38" t="s">
        <v>17882</v>
      </c>
    </row>
    <row r="8" spans="1:28" ht="15.75" customHeight="1" x14ac:dyDescent="0.25">
      <c r="A8" s="21" t="str">
        <f ca="1">IFERROR(__xludf.DUMMYFUNCTION("""COMPUTED_VALUE"""),"0014X00002VKCpyQAH")</f>
        <v>0014X00002VKCpyQAH</v>
      </c>
      <c r="B8" s="27" t="str">
        <f ca="1">IFERROR(__xludf.DUMMYFUNCTION("""COMPUTED_VALUE"""),"Fase Inicial")</f>
        <v>Fase Inicial</v>
      </c>
      <c r="C8" s="27" t="str">
        <f ca="1">IFERROR(__xludf.DUMMYFUNCTION("""COMPUTED_VALUE"""),"Fellow")</f>
        <v>Fellow</v>
      </c>
      <c r="D8" s="27" t="str">
        <f ca="1">IFERROR(__xludf.DUMMYFUNCTION("""COMPUTED_VALUE"""),"Ativo")</f>
        <v>Ativo</v>
      </c>
      <c r="E8" s="27" t="str">
        <f ca="1">IFERROR(__xludf.DUMMYFUNCTION("""COMPUTED_VALUE"""),"Amiguinhos de Jesus Curio")</f>
        <v>Amiguinhos de Jesus Curio</v>
      </c>
      <c r="F8" s="21" t="str">
        <f ca="1">IFERROR(VLOOKUP(A8,'Rede - Gerando Falcões '!A7:G1003,38,0),"")</f>
        <v/>
      </c>
      <c r="G8" s="27" t="str">
        <f ca="1">IFERROR(VLOOKUP(A8,'Tabela Categorização'!A:J,10,0),"")</f>
        <v>Fase Inicial</v>
      </c>
      <c r="H8" s="27" t="b">
        <f t="shared" ca="1" si="0"/>
        <v>1</v>
      </c>
      <c r="I8" s="21" t="str">
        <f>HYPERLINK("https://gerandofalcoes.my.salesforce.com/0034X0000380O3NQAU", "0034X0000380O3NQAU")</f>
        <v>0034X0000380O3NQAU</v>
      </c>
      <c r="J8" s="9" t="s">
        <v>17881</v>
      </c>
      <c r="K8" s="38" t="s">
        <v>17882</v>
      </c>
    </row>
    <row r="9" spans="1:28" ht="15.75" customHeight="1" x14ac:dyDescent="0.25">
      <c r="A9" s="21" t="str">
        <f ca="1">IFERROR(__xludf.DUMMYFUNCTION("""COMPUTED_VALUE"""),"0014X00002VKCuLQAX")</f>
        <v>0014X00002VKCuLQAX</v>
      </c>
      <c r="B9" s="27" t="str">
        <f ca="1">IFERROR(__xludf.DUMMYFUNCTION("""COMPUTED_VALUE"""),"Fase Inicial")</f>
        <v>Fase Inicial</v>
      </c>
      <c r="C9" s="27" t="str">
        <f ca="1">IFERROR(__xludf.DUMMYFUNCTION("""COMPUTED_VALUE"""),"Fellow")</f>
        <v>Fellow</v>
      </c>
      <c r="D9" s="27" t="str">
        <f ca="1">IFERROR(__xludf.DUMMYFUNCTION("""COMPUTED_VALUE"""),"Ativo")</f>
        <v>Ativo</v>
      </c>
      <c r="E9" s="27" t="str">
        <f ca="1">IFERROR(__xludf.DUMMYFUNCTION("""COMPUTED_VALUE"""),"Ana Paula oliveira souza")</f>
        <v>Ana Paula oliveira souza</v>
      </c>
      <c r="F9" s="21" t="str">
        <f ca="1">IFERROR(VLOOKUP(A9,'Rede - Gerando Falcões '!A8:G1004,38,0),"")</f>
        <v/>
      </c>
      <c r="G9" s="27" t="str">
        <f ca="1">IFERROR(VLOOKUP(A9,'Tabela Categorização'!A:J,10,0),"")</f>
        <v>Fase Inicial</v>
      </c>
      <c r="H9" s="27" t="b">
        <f t="shared" ca="1" si="0"/>
        <v>1</v>
      </c>
      <c r="I9" s="21" t="str">
        <f>HYPERLINK("https://gerandofalcoes.my.salesforce.com/0034X0000380O6bQAE", "0034X0000380O6bQAE")</f>
        <v>0034X0000380O6bQAE</v>
      </c>
      <c r="J9" s="9" t="s">
        <v>17881</v>
      </c>
      <c r="K9" s="38" t="s">
        <v>17882</v>
      </c>
    </row>
    <row r="10" spans="1:28" ht="15.75" customHeight="1" x14ac:dyDescent="0.25">
      <c r="A10" s="21" t="str">
        <f ca="1">IFERROR(__xludf.DUMMYFUNCTION("""COMPUTED_VALUE"""),"0014P00003YSp7rQAD")</f>
        <v>0014P00003YSp7rQAD</v>
      </c>
      <c r="B10" s="27" t="str">
        <f ca="1">IFERROR(__xludf.DUMMYFUNCTION("""COMPUTED_VALUE"""),"Fase Inicial")</f>
        <v>Fase Inicial</v>
      </c>
      <c r="C10" s="27" t="str">
        <f ca="1">IFERROR(__xludf.DUMMYFUNCTION("""COMPUTED_VALUE"""),"Fellow")</f>
        <v>Fellow</v>
      </c>
      <c r="D10" s="27" t="str">
        <f ca="1">IFERROR(__xludf.DUMMYFUNCTION("""COMPUTED_VALUE"""),"Ativo")</f>
        <v>Ativo</v>
      </c>
      <c r="E10" s="27" t="str">
        <f ca="1">IFERROR(__xludf.DUMMYFUNCTION("""COMPUTED_VALUE"""),"Angu das Artes")</f>
        <v>Angu das Artes</v>
      </c>
      <c r="F10" s="21" t="str">
        <f ca="1">IFERROR(VLOOKUP(A10,'Rede - Gerando Falcões '!A9:G1005,38,0),"")</f>
        <v/>
      </c>
      <c r="G10" s="27" t="str">
        <f ca="1">IFERROR(VLOOKUP(A10,'Tabela Categorização'!A:J,10,0),"")</f>
        <v>Fase Inicial</v>
      </c>
      <c r="H10" s="27" t="b">
        <f t="shared" ca="1" si="0"/>
        <v>1</v>
      </c>
      <c r="I10" s="21" t="str">
        <f>HYPERLINK("https://gerandofalcoes.my.salesforce.com/0034P000045kxiSQAQ", "0034P000045kxiSQAQ")</f>
        <v>0034P000045kxiSQAQ</v>
      </c>
      <c r="J10" s="9" t="s">
        <v>17881</v>
      </c>
      <c r="K10" s="38" t="s">
        <v>17882</v>
      </c>
    </row>
    <row r="11" spans="1:28" ht="15.75" customHeight="1" x14ac:dyDescent="0.25">
      <c r="A11" s="21" t="str">
        <f ca="1">IFERROR(__xludf.DUMMYFUNCTION("""COMPUTED_VALUE"""),"0014X00002VKCsRQAX")</f>
        <v>0014X00002VKCsRQAX</v>
      </c>
      <c r="B11" s="27" t="str">
        <f ca="1">IFERROR(__xludf.DUMMYFUNCTION("""COMPUTED_VALUE"""),"Fase Inicial")</f>
        <v>Fase Inicial</v>
      </c>
      <c r="C11" s="27" t="str">
        <f ca="1">IFERROR(__xludf.DUMMYFUNCTION("""COMPUTED_VALUE"""),"Fellow")</f>
        <v>Fellow</v>
      </c>
      <c r="D11" s="27" t="str">
        <f ca="1">IFERROR(__xludf.DUMMYFUNCTION("""COMPUTED_VALUE"""),"Ativo")</f>
        <v>Ativo</v>
      </c>
      <c r="E11" s="27" t="str">
        <f ca="1">IFERROR(__xludf.DUMMYFUNCTION("""COMPUTED_VALUE"""),"Anjos de Asas no Mundo Azul")</f>
        <v>Anjos de Asas no Mundo Azul</v>
      </c>
      <c r="F11" s="21" t="str">
        <f ca="1">IFERROR(VLOOKUP(A11,'Rede - Gerando Falcões '!A10:G1006,38,0),"")</f>
        <v/>
      </c>
      <c r="G11" s="27" t="str">
        <f ca="1">IFERROR(VLOOKUP(A11,'Tabela Categorização'!A:J,10,0),"")</f>
        <v>Fase Inicial</v>
      </c>
      <c r="H11" s="27" t="b">
        <f t="shared" ca="1" si="0"/>
        <v>1</v>
      </c>
      <c r="I11" s="21" t="str">
        <f>HYPERLINK("https://gerandofalcoes.my.salesforce.com/0034X0000380O0aQAE", "0034X0000380O0aQAE")</f>
        <v>0034X0000380O0aQAE</v>
      </c>
      <c r="J11" s="9" t="s">
        <v>17881</v>
      </c>
      <c r="K11" s="38" t="s">
        <v>17882</v>
      </c>
    </row>
    <row r="12" spans="1:28" ht="15.75" customHeight="1" x14ac:dyDescent="0.25">
      <c r="A12" s="21" t="str">
        <f ca="1">IFERROR(__xludf.DUMMYFUNCTION("""COMPUTED_VALUE"""),"0014P00003YSpADQA1")</f>
        <v>0014P00003YSpADQA1</v>
      </c>
      <c r="B12" s="27" t="str">
        <f ca="1">IFERROR(__xludf.DUMMYFUNCTION("""COMPUTED_VALUE"""),"Fase Inicial")</f>
        <v>Fase Inicial</v>
      </c>
      <c r="C12" s="27" t="str">
        <f ca="1">IFERROR(__xludf.DUMMYFUNCTION("""COMPUTED_VALUE"""),"Fellow")</f>
        <v>Fellow</v>
      </c>
      <c r="D12" s="27" t="str">
        <f ca="1">IFERROR(__xludf.DUMMYFUNCTION("""COMPUTED_VALUE"""),"Ativo")</f>
        <v>Ativo</v>
      </c>
      <c r="E12" s="27" t="str">
        <f ca="1">IFERROR(__xludf.DUMMYFUNCTION("""COMPUTED_VALUE"""),"APAT - Associação de Pais e Amigos dos Tenistas de Ouro Branco")</f>
        <v>APAT - Associação de Pais e Amigos dos Tenistas de Ouro Branco</v>
      </c>
      <c r="F12" s="21" t="str">
        <f ca="1">IFERROR(VLOOKUP(A12,'Rede - Gerando Falcões '!A11:G1007,38,0),"")</f>
        <v/>
      </c>
      <c r="G12" s="27" t="str">
        <f ca="1">IFERROR(VLOOKUP(A12,'Tabela Categorização'!A:J,10,0),"")</f>
        <v>Fase Inicial</v>
      </c>
      <c r="H12" s="27" t="b">
        <f t="shared" ca="1" si="0"/>
        <v>1</v>
      </c>
      <c r="I12" s="21" t="str">
        <f>HYPERLINK("https://gerandofalcoes.my.salesforce.com/0034P000045kxkpQAA", "0034P000045kxkpQAA")</f>
        <v>0034P000045kxkpQAA</v>
      </c>
      <c r="J12" s="9" t="s">
        <v>17881</v>
      </c>
      <c r="K12" s="38" t="s">
        <v>17882</v>
      </c>
    </row>
    <row r="13" spans="1:28" ht="15.75" customHeight="1" x14ac:dyDescent="0.25">
      <c r="A13" s="21" t="str">
        <f ca="1">IFERROR(__xludf.DUMMYFUNCTION("""COMPUTED_VALUE"""),"0014X00002VKCpjQAH")</f>
        <v>0014X00002VKCpjQAH</v>
      </c>
      <c r="B13" s="27" t="str">
        <f ca="1">IFERROR(__xludf.DUMMYFUNCTION("""COMPUTED_VALUE"""),"Fase Inicial")</f>
        <v>Fase Inicial</v>
      </c>
      <c r="C13" s="27" t="str">
        <f ca="1">IFERROR(__xludf.DUMMYFUNCTION("""COMPUTED_VALUE"""),"Fellow")</f>
        <v>Fellow</v>
      </c>
      <c r="D13" s="27" t="str">
        <f ca="1">IFERROR(__xludf.DUMMYFUNCTION("""COMPUTED_VALUE"""),"Ativo")</f>
        <v>Ativo</v>
      </c>
      <c r="E13" s="27" t="str">
        <f ca="1">IFERROR(__xludf.DUMMYFUNCTION("""COMPUTED_VALUE"""),"Arcanjo Gabriel")</f>
        <v>Arcanjo Gabriel</v>
      </c>
      <c r="F13" s="21" t="str">
        <f ca="1">IFERROR(VLOOKUP(A13,'Rede - Gerando Falcões '!A12:G1008,38,0),"")</f>
        <v/>
      </c>
      <c r="G13" s="27" t="str">
        <f ca="1">IFERROR(VLOOKUP(A13,'Tabela Categorização'!A:J,10,0),"")</f>
        <v>Fase Inicial</v>
      </c>
      <c r="H13" s="27" t="b">
        <f t="shared" ca="1" si="0"/>
        <v>1</v>
      </c>
      <c r="I13" s="21" t="str">
        <f>HYPERLINK("https://gerandofalcoes.my.salesforce.com/0034X0000380O5uQAE", "0034X0000380O5uQAE")</f>
        <v>0034X0000380O5uQAE</v>
      </c>
      <c r="J13" s="9" t="s">
        <v>17881</v>
      </c>
      <c r="K13" s="38" t="s">
        <v>17882</v>
      </c>
    </row>
    <row r="14" spans="1:28" ht="15.75" customHeight="1" x14ac:dyDescent="0.25">
      <c r="A14" s="21" t="str">
        <f ca="1">IFERROR(__xludf.DUMMYFUNCTION("""COMPUTED_VALUE"""),"0014P00003YSp7dQAD")</f>
        <v>0014P00003YSp7dQAD</v>
      </c>
      <c r="B14" s="27" t="str">
        <f ca="1">IFERROR(__xludf.DUMMYFUNCTION("""COMPUTED_VALUE"""),"Fase Inicial")</f>
        <v>Fase Inicial</v>
      </c>
      <c r="C14" s="27" t="str">
        <f ca="1">IFERROR(__xludf.DUMMYFUNCTION("""COMPUTED_VALUE"""),"Fellow")</f>
        <v>Fellow</v>
      </c>
      <c r="D14" s="27" t="str">
        <f ca="1">IFERROR(__xludf.DUMMYFUNCTION("""COMPUTED_VALUE"""),"Ativo")</f>
        <v>Ativo</v>
      </c>
      <c r="E14" s="27" t="str">
        <f ca="1">IFERROR(__xludf.DUMMYFUNCTION("""COMPUTED_VALUE"""),"ARC -Associação Recreativa e Cultural do Jardim Treze de Maio")</f>
        <v>ARC -Associação Recreativa e Cultural do Jardim Treze de Maio</v>
      </c>
      <c r="F14" s="21" t="str">
        <f ca="1">IFERROR(VLOOKUP(A14,'Rede - Gerando Falcões '!A13:G1009,38,0),"")</f>
        <v/>
      </c>
      <c r="G14" s="27" t="str">
        <f ca="1">IFERROR(VLOOKUP(A14,'Tabela Categorização'!A:J,10,0),"")</f>
        <v>Fase Inicial</v>
      </c>
      <c r="H14" s="27" t="b">
        <f t="shared" ca="1" si="0"/>
        <v>1</v>
      </c>
      <c r="I14" s="21" t="str">
        <f>HYPERLINK("https://gerandofalcoes.my.salesforce.com/0034P000045kxiEQAQ", "0034P000045kxiEQAQ")</f>
        <v>0034P000045kxiEQAQ</v>
      </c>
      <c r="J14" s="9" t="s">
        <v>17881</v>
      </c>
      <c r="K14" s="38" t="s">
        <v>17882</v>
      </c>
    </row>
    <row r="15" spans="1:28" ht="15.75" customHeight="1" x14ac:dyDescent="0.25">
      <c r="A15" s="21" t="str">
        <f ca="1">IFERROR(__xludf.DUMMYFUNCTION("""COMPUTED_VALUE"""),"0014P00003YSp9wQAD")</f>
        <v>0014P00003YSp9wQAD</v>
      </c>
      <c r="B15" s="27" t="str">
        <f ca="1">IFERROR(__xludf.DUMMYFUNCTION("""COMPUTED_VALUE"""),"Fase Inicial")</f>
        <v>Fase Inicial</v>
      </c>
      <c r="C15" s="27" t="str">
        <f ca="1">IFERROR(__xludf.DUMMYFUNCTION("""COMPUTED_VALUE"""),"Fellow")</f>
        <v>Fellow</v>
      </c>
      <c r="D15" s="27" t="str">
        <f ca="1">IFERROR(__xludf.DUMMYFUNCTION("""COMPUTED_VALUE"""),"Ativo")</f>
        <v>Ativo</v>
      </c>
      <c r="E15" s="27" t="str">
        <f ca="1">IFERROR(__xludf.DUMMYFUNCTION("""COMPUTED_VALUE"""),"Asociação beneficiente arca da vitoria")</f>
        <v>Asociação beneficiente arca da vitoria</v>
      </c>
      <c r="F15" s="21" t="str">
        <f ca="1">IFERROR(VLOOKUP(A15,'Rede - Gerando Falcões '!A14:G1010,38,0),"")</f>
        <v/>
      </c>
      <c r="G15" s="27" t="str">
        <f ca="1">IFERROR(VLOOKUP(A15,'Tabela Categorização'!A:J,10,0),"")</f>
        <v>Fase Inicial</v>
      </c>
      <c r="H15" s="27" t="b">
        <f t="shared" ca="1" si="0"/>
        <v>1</v>
      </c>
      <c r="I15" s="21" t="str">
        <f>HYPERLINK("https://gerandofalcoes.my.salesforce.com/0034P000045kxkYQAQ", "0034P000045kxkYQAQ")</f>
        <v>0034P000045kxkYQAQ</v>
      </c>
      <c r="J15" s="9" t="s">
        <v>17881</v>
      </c>
      <c r="K15" s="38" t="s">
        <v>17882</v>
      </c>
    </row>
    <row r="16" spans="1:28" ht="15.75" customHeight="1" x14ac:dyDescent="0.25">
      <c r="A16" s="21" t="str">
        <f ca="1">IFERROR(__xludf.DUMMYFUNCTION("""COMPUTED_VALUE"""),"0014X00002OEuasQAD")</f>
        <v>0014X00002OEuasQAD</v>
      </c>
      <c r="B16" s="27" t="str">
        <f ca="1">IFERROR(__xludf.DUMMYFUNCTION("""COMPUTED_VALUE"""),"Fase Inicial")</f>
        <v>Fase Inicial</v>
      </c>
      <c r="C16" s="27" t="str">
        <f ca="1">IFERROR(__xludf.DUMMYFUNCTION("""COMPUTED_VALUE"""),"Fellow")</f>
        <v>Fellow</v>
      </c>
      <c r="D16" s="27" t="str">
        <f ca="1">IFERROR(__xludf.DUMMYFUNCTION("""COMPUTED_VALUE"""),"Ativo")</f>
        <v>Ativo</v>
      </c>
      <c r="E16" s="27" t="str">
        <f ca="1">IFERROR(__xludf.DUMMYFUNCTION("""COMPUTED_VALUE"""),"Assoc. C. Raio de Cristal")</f>
        <v>Assoc. C. Raio de Cristal</v>
      </c>
      <c r="F16" s="21" t="str">
        <f ca="1">IFERROR(VLOOKUP(A16,'Rede - Gerando Falcões '!A15:G1011,38,0),"")</f>
        <v/>
      </c>
      <c r="G16" s="27" t="str">
        <f ca="1">IFERROR(VLOOKUP(A16,'Tabela Categorização'!A:J,10,0),"")</f>
        <v>Fase Inicial</v>
      </c>
      <c r="H16" s="27" t="b">
        <f t="shared" ca="1" si="0"/>
        <v>1</v>
      </c>
      <c r="I16" s="21" t="str">
        <f>HYPERLINK("https://gerandofalcoes.my.salesforce.com/0034X0000315PR1QAM", "0034X0000315PR1QAM")</f>
        <v>0034X0000315PR1QAM</v>
      </c>
      <c r="J16" s="9" t="s">
        <v>17881</v>
      </c>
      <c r="K16" s="38" t="s">
        <v>17882</v>
      </c>
    </row>
    <row r="17" spans="1:11" ht="15.75" customHeight="1" x14ac:dyDescent="0.25">
      <c r="A17" s="21" t="str">
        <f ca="1">IFERROR(__xludf.DUMMYFUNCTION("""COMPUTED_VALUE"""),"0014P00003YSp7xQAD")</f>
        <v>0014P00003YSp7xQAD</v>
      </c>
      <c r="B17" s="27" t="str">
        <f ca="1">IFERROR(__xludf.DUMMYFUNCTION("""COMPUTED_VALUE"""),"Fase Inicial")</f>
        <v>Fase Inicial</v>
      </c>
      <c r="C17" s="27" t="str">
        <f ca="1">IFERROR(__xludf.DUMMYFUNCTION("""COMPUTED_VALUE"""),"Fellow")</f>
        <v>Fellow</v>
      </c>
      <c r="D17" s="27" t="str">
        <f ca="1">IFERROR(__xludf.DUMMYFUNCTION("""COMPUTED_VALUE"""),"Ativo")</f>
        <v>Ativo</v>
      </c>
      <c r="E17" s="27" t="str">
        <f ca="1">IFERROR(__xludf.DUMMYFUNCTION("""COMPUTED_VALUE"""),"Associação Amigos de Gegê  fos Moradores da Gamboa de Baixo")</f>
        <v>Associação Amigos de Gegê  fos Moradores da Gamboa de Baixo</v>
      </c>
      <c r="F17" s="21" t="str">
        <f ca="1">IFERROR(VLOOKUP(A17,'Rede - Gerando Falcões '!A16:G1012,38,0),"")</f>
        <v/>
      </c>
      <c r="G17" s="27" t="str">
        <f ca="1">IFERROR(VLOOKUP(A17,'Tabela Categorização'!A:J,10,0),"")</f>
        <v>Fase Inicial</v>
      </c>
      <c r="H17" s="27" t="b">
        <f t="shared" ca="1" si="0"/>
        <v>1</v>
      </c>
      <c r="I17" s="21" t="str">
        <f>HYPERLINK("https://gerandofalcoes.my.salesforce.com/0034P000045kxiYQAQ", "0034P000045kxiYQAQ")</f>
        <v>0034P000045kxiYQAQ</v>
      </c>
      <c r="J17" s="9" t="s">
        <v>17881</v>
      </c>
      <c r="K17" s="38" t="s">
        <v>17882</v>
      </c>
    </row>
    <row r="18" spans="1:11" ht="15.75" customHeight="1" x14ac:dyDescent="0.25">
      <c r="A18" s="21" t="str">
        <f ca="1">IFERROR(__xludf.DUMMYFUNCTION("""COMPUTED_VALUE"""),"0014P00003YSp8AQAT")</f>
        <v>0014P00003YSp8AQAT</v>
      </c>
      <c r="B18" s="27" t="str">
        <f ca="1">IFERROR(__xludf.DUMMYFUNCTION("""COMPUTED_VALUE"""),"Fase Inicial")</f>
        <v>Fase Inicial</v>
      </c>
      <c r="C18" s="27" t="str">
        <f ca="1">IFERROR(__xludf.DUMMYFUNCTION("""COMPUTED_VALUE"""),"Fellow")</f>
        <v>Fellow</v>
      </c>
      <c r="D18" s="27" t="str">
        <f ca="1">IFERROR(__xludf.DUMMYFUNCTION("""COMPUTED_VALUE"""),"Ativo")</f>
        <v>Ativo</v>
      </c>
      <c r="E18" s="27" t="str">
        <f ca="1">IFERROR(__xludf.DUMMYFUNCTION("""COMPUTED_VALUE"""),"Associação Amor e Vida")</f>
        <v>Associação Amor e Vida</v>
      </c>
      <c r="F18" s="21" t="str">
        <f ca="1">IFERROR(VLOOKUP(A18,'Rede - Gerando Falcões '!A17:G1013,38,0),"")</f>
        <v/>
      </c>
      <c r="G18" s="27" t="str">
        <f ca="1">IFERROR(VLOOKUP(A18,'Tabela Categorização'!A:J,10,0),"")</f>
        <v>Fase Inicial</v>
      </c>
      <c r="H18" s="27" t="b">
        <f t="shared" ca="1" si="0"/>
        <v>1</v>
      </c>
      <c r="I18" s="21" t="str">
        <f>HYPERLINK("https://gerandofalcoes.my.salesforce.com/0034P000045kxilQAA", "0034P000045kxilQAA")</f>
        <v>0034P000045kxilQAA</v>
      </c>
      <c r="J18" s="9" t="s">
        <v>17881</v>
      </c>
      <c r="K18" s="38" t="s">
        <v>17882</v>
      </c>
    </row>
    <row r="19" spans="1:11" ht="15.75" customHeight="1" x14ac:dyDescent="0.25">
      <c r="A19" s="21" t="str">
        <f ca="1">IFERROR(__xludf.DUMMYFUNCTION("""COMPUTED_VALUE"""),"0014X00002VKCtaQAH")</f>
        <v>0014X00002VKCtaQAH</v>
      </c>
      <c r="B19" s="27"/>
      <c r="C19" s="27" t="str">
        <f ca="1">IFERROR(__xludf.DUMMYFUNCTION("""COMPUTED_VALUE"""),"Fellow")</f>
        <v>Fellow</v>
      </c>
      <c r="D19" s="27" t="str">
        <f ca="1">IFERROR(__xludf.DUMMYFUNCTION("""COMPUTED_VALUE"""),"Ativo")</f>
        <v>Ativo</v>
      </c>
      <c r="E19" s="27" t="str">
        <f ca="1">IFERROR(__xludf.DUMMYFUNCTION("""COMPUTED_VALUE"""),"Associação Anajô")</f>
        <v>Associação Anajô</v>
      </c>
      <c r="F19" s="21" t="str">
        <f ca="1">IFERROR(VLOOKUP(A19,'Rede - Gerando Falcões '!A18:G1014,38,0),"")</f>
        <v/>
      </c>
      <c r="G19" s="27" t="str">
        <f ca="1">IFERROR(VLOOKUP(A19,'Tabela Categorização'!A:J,10,0),"")</f>
        <v/>
      </c>
      <c r="H19" s="27" t="b">
        <f t="shared" ca="1" si="0"/>
        <v>1</v>
      </c>
      <c r="I19" s="21" t="str">
        <f>HYPERLINK("https://gerandofalcoes.my.salesforce.com/0034X0000380O5pQAE", "0034X0000380O5pQAE")</f>
        <v>0034X0000380O5pQAE</v>
      </c>
      <c r="J19" s="9" t="s">
        <v>17881</v>
      </c>
      <c r="K19" s="38" t="s">
        <v>17882</v>
      </c>
    </row>
    <row r="20" spans="1:11" ht="15.75" customHeight="1" x14ac:dyDescent="0.25">
      <c r="A20" s="21" t="str">
        <f ca="1">IFERROR(__xludf.DUMMYFUNCTION("""COMPUTED_VALUE"""),"0014P00003AN76yQAD")</f>
        <v>0014P00003AN76yQAD</v>
      </c>
      <c r="B20" s="27" t="str">
        <f ca="1">IFERROR(__xludf.DUMMYFUNCTION("""COMPUTED_VALUE"""),"Fase Inicial")</f>
        <v>Fase Inicial</v>
      </c>
      <c r="C20" s="27" t="str">
        <f ca="1">IFERROR(__xludf.DUMMYFUNCTION("""COMPUTED_VALUE"""),"Acelerada")</f>
        <v>Acelerada</v>
      </c>
      <c r="D20" s="27" t="str">
        <f ca="1">IFERROR(__xludf.DUMMYFUNCTION("""COMPUTED_VALUE"""),"Ativo")</f>
        <v>Ativo</v>
      </c>
      <c r="E20" s="27" t="str">
        <f ca="1">IFERROR(__xludf.DUMMYFUNCTION("""COMPUTED_VALUE"""),"ASSOCIACAO APRENDER CULTURA")</f>
        <v>ASSOCIACAO APRENDER CULTURA</v>
      </c>
      <c r="F20" s="21" t="str">
        <f ca="1">IFERROR(VLOOKUP(A20,'Rede - Gerando Falcões '!A19:G1015,38,0),"")</f>
        <v/>
      </c>
      <c r="G20" s="27" t="str">
        <f ca="1">IFERROR(VLOOKUP(A20,'Tabela Categorização'!A:J,10,0),"")</f>
        <v>Fase Inicial</v>
      </c>
      <c r="H20" s="27" t="b">
        <f t="shared" ca="1" si="0"/>
        <v>1</v>
      </c>
      <c r="I20" s="21" t="str">
        <f>HYPERLINK("https://gerandofalcoes.my.salesforce.com/0034P00003maBVRQA2", "0034P00003maBVRQA2")</f>
        <v>0034P00003maBVRQA2</v>
      </c>
      <c r="J20" s="9" t="s">
        <v>17881</v>
      </c>
      <c r="K20" s="38" t="s">
        <v>17882</v>
      </c>
    </row>
    <row r="21" spans="1:11" ht="15.75" customHeight="1" x14ac:dyDescent="0.25">
      <c r="A21" s="21" t="str">
        <f ca="1">IFERROR(__xludf.DUMMYFUNCTION("""COMPUTED_VALUE"""),"0014P00003YSp8rQAD")</f>
        <v>0014P00003YSp8rQAD</v>
      </c>
      <c r="B21" s="27" t="str">
        <f ca="1">IFERROR(__xludf.DUMMYFUNCTION("""COMPUTED_VALUE"""),"Fase Inicial")</f>
        <v>Fase Inicial</v>
      </c>
      <c r="C21" s="27" t="str">
        <f ca="1">IFERROR(__xludf.DUMMYFUNCTION("""COMPUTED_VALUE"""),"Fellow")</f>
        <v>Fellow</v>
      </c>
      <c r="D21" s="27" t="str">
        <f ca="1">IFERROR(__xludf.DUMMYFUNCTION("""COMPUTED_VALUE"""),"Ativo")</f>
        <v>Ativo</v>
      </c>
      <c r="E21" s="27" t="str">
        <f ca="1">IFERROR(__xludf.DUMMYFUNCTION("""COMPUTED_VALUE"""),"Associação Arte de Amar")</f>
        <v>Associação Arte de Amar</v>
      </c>
      <c r="F21" s="21" t="str">
        <f ca="1">IFERROR(VLOOKUP(A21,'Rede - Gerando Falcões '!A20:G1016,38,0),"")</f>
        <v/>
      </c>
      <c r="G21" s="27" t="str">
        <f ca="1">IFERROR(VLOOKUP(A21,'Tabela Categorização'!A:J,10,0),"")</f>
        <v>Fase Inicial</v>
      </c>
      <c r="H21" s="27" t="b">
        <f t="shared" ca="1" si="0"/>
        <v>1</v>
      </c>
      <c r="I21" s="21" t="str">
        <f>HYPERLINK("https://gerandofalcoes.my.salesforce.com/0034P000045kxjTQAQ", "0034P000045kxjTQAQ")</f>
        <v>0034P000045kxjTQAQ</v>
      </c>
      <c r="J21" s="9" t="s">
        <v>17881</v>
      </c>
      <c r="K21" s="38" t="s">
        <v>17882</v>
      </c>
    </row>
    <row r="22" spans="1:11" ht="15.75" customHeight="1" x14ac:dyDescent="0.25">
      <c r="A22" s="21" t="str">
        <f ca="1">IFERROR(__xludf.DUMMYFUNCTION("""COMPUTED_VALUE"""),"0014P00003YSp9aQAD")</f>
        <v>0014P00003YSp9aQAD</v>
      </c>
      <c r="B22" s="27" t="str">
        <f ca="1">IFERROR(__xludf.DUMMYFUNCTION("""COMPUTED_VALUE"""),"Fase Inicial")</f>
        <v>Fase Inicial</v>
      </c>
      <c r="C22" s="27" t="str">
        <f ca="1">IFERROR(__xludf.DUMMYFUNCTION("""COMPUTED_VALUE"""),"Fellow")</f>
        <v>Fellow</v>
      </c>
      <c r="D22" s="27" t="str">
        <f ca="1">IFERROR(__xludf.DUMMYFUNCTION("""COMPUTED_VALUE"""),"Ativo")</f>
        <v>Ativo</v>
      </c>
      <c r="E22" s="27" t="str">
        <f ca="1">IFERROR(__xludf.DUMMYFUNCTION("""COMPUTED_VALUE"""),"ASSOCIAÇÃO BENEFICEENTE ANJOS DE OURO")</f>
        <v>ASSOCIAÇÃO BENEFICEENTE ANJOS DE OURO</v>
      </c>
      <c r="F22" s="21" t="str">
        <f ca="1">IFERROR(VLOOKUP(A22,'Rede - Gerando Falcões '!A21:G1017,38,0),"")</f>
        <v/>
      </c>
      <c r="G22" s="27" t="str">
        <f ca="1">IFERROR(VLOOKUP(A22,'Tabela Categorização'!A:J,10,0),"")</f>
        <v>Fase Inicial</v>
      </c>
      <c r="H22" s="27" t="b">
        <f t="shared" ca="1" si="0"/>
        <v>1</v>
      </c>
      <c r="I22" s="21" t="str">
        <f>HYPERLINK("https://gerandofalcoes.my.salesforce.com/0034P000045kxkCQAQ", "0034P000045kxkCQAQ")</f>
        <v>0034P000045kxkCQAQ</v>
      </c>
      <c r="J22" s="9" t="s">
        <v>17881</v>
      </c>
      <c r="K22" s="38" t="s">
        <v>17882</v>
      </c>
    </row>
    <row r="23" spans="1:11" ht="12.5" x14ac:dyDescent="0.25">
      <c r="A23" s="21" t="str">
        <f ca="1">IFERROR(__xludf.DUMMYFUNCTION("""COMPUTED_VALUE"""),"0014X00002VKCv2QAH")</f>
        <v>0014X00002VKCv2QAH</v>
      </c>
      <c r="B23" s="27" t="str">
        <f ca="1">IFERROR(__xludf.DUMMYFUNCTION("""COMPUTED_VALUE"""),"Fase Inicial")</f>
        <v>Fase Inicial</v>
      </c>
      <c r="C23" s="27" t="str">
        <f ca="1">IFERROR(__xludf.DUMMYFUNCTION("""COMPUTED_VALUE"""),"Fellow")</f>
        <v>Fellow</v>
      </c>
      <c r="D23" s="27" t="str">
        <f ca="1">IFERROR(__xludf.DUMMYFUNCTION("""COMPUTED_VALUE"""),"Ativo")</f>
        <v>Ativo</v>
      </c>
      <c r="E23" s="27" t="str">
        <f ca="1">IFERROR(__xludf.DUMMYFUNCTION("""COMPUTED_VALUE"""),"ASSOCIAÇÃO BENEFICENTE AÇÃO E AMOR")</f>
        <v>ASSOCIAÇÃO BENEFICENTE AÇÃO E AMOR</v>
      </c>
      <c r="F23" s="21" t="str">
        <f ca="1">IFERROR(VLOOKUP(A23,'Rede - Gerando Falcões '!A22:G1018,38,0),"")</f>
        <v/>
      </c>
      <c r="G23" s="27" t="str">
        <f ca="1">IFERROR(VLOOKUP(A23,'Tabela Categorização'!A:J,10,0),"")</f>
        <v>Fase Inicial</v>
      </c>
      <c r="H23" s="27" t="b">
        <f t="shared" ca="1" si="0"/>
        <v>1</v>
      </c>
      <c r="I23" s="21" t="str">
        <f>HYPERLINK("https://gerandofalcoes.my.salesforce.com/0034X0000380O5kQAE", "0034X0000380O5kQAE")</f>
        <v>0034X0000380O5kQAE</v>
      </c>
      <c r="J23" s="9" t="s">
        <v>17881</v>
      </c>
      <c r="K23" s="38" t="s">
        <v>17882</v>
      </c>
    </row>
    <row r="24" spans="1:11" ht="12.5" x14ac:dyDescent="0.25">
      <c r="A24" s="21" t="str">
        <f ca="1">IFERROR(__xludf.DUMMYFUNCTION("""COMPUTED_VALUE"""),"0014P00003SGWQGQA5")</f>
        <v>0014P00003SGWQGQA5</v>
      </c>
      <c r="B24" s="27" t="str">
        <f ca="1">IFERROR(__xludf.DUMMYFUNCTION("""COMPUTED_VALUE"""),"Fase Inicial")</f>
        <v>Fase Inicial</v>
      </c>
      <c r="C24" s="27" t="str">
        <f ca="1">IFERROR(__xludf.DUMMYFUNCTION("""COMPUTED_VALUE"""),"Fellow")</f>
        <v>Fellow</v>
      </c>
      <c r="D24" s="27" t="str">
        <f ca="1">IFERROR(__xludf.DUMMYFUNCTION("""COMPUTED_VALUE"""),"Ativo")</f>
        <v>Ativo</v>
      </c>
      <c r="E24" s="27" t="str">
        <f ca="1">IFERROR(__xludf.DUMMYFUNCTION("""COMPUTED_VALUE"""),"ASSOCIAÇÃO BENEFICENTE AMIGAS SOLIDÁRIAS")</f>
        <v>ASSOCIAÇÃO BENEFICENTE AMIGAS SOLIDÁRIAS</v>
      </c>
      <c r="F24" s="21" t="str">
        <f ca="1">IFERROR(VLOOKUP(A24,'Rede - Gerando Falcões '!A23:G1019,38,0),"")</f>
        <v/>
      </c>
      <c r="G24" s="27" t="str">
        <f ca="1">IFERROR(VLOOKUP(A24,'Tabela Categorização'!A:J,10,0),"")</f>
        <v>Fase Inicial</v>
      </c>
      <c r="H24" s="27" t="b">
        <f t="shared" ca="1" si="0"/>
        <v>1</v>
      </c>
      <c r="I24" s="21" t="str">
        <f>HYPERLINK("https://gerandofalcoes.my.salesforce.com/0034P000043fOoGQAU", "0034P000043fOoGQAU")</f>
        <v>0034P000043fOoGQAU</v>
      </c>
      <c r="J24" s="9" t="s">
        <v>17881</v>
      </c>
      <c r="K24" s="38" t="s">
        <v>17882</v>
      </c>
    </row>
    <row r="25" spans="1:11" ht="12.5" x14ac:dyDescent="0.25">
      <c r="A25" s="21" t="str">
        <f ca="1">IFERROR(__xludf.DUMMYFUNCTION("""COMPUTED_VALUE"""),"0014P00003SGWFrQAP")</f>
        <v>0014P00003SGWFrQAP</v>
      </c>
      <c r="B25" s="27" t="str">
        <f ca="1">IFERROR(__xludf.DUMMYFUNCTION("""COMPUTED_VALUE"""),"Fase Inicial")</f>
        <v>Fase Inicial</v>
      </c>
      <c r="C25" s="27" t="str">
        <f ca="1">IFERROR(__xludf.DUMMYFUNCTION("""COMPUTED_VALUE"""),"Fellow")</f>
        <v>Fellow</v>
      </c>
      <c r="D25" s="27" t="str">
        <f ca="1">IFERROR(__xludf.DUMMYFUNCTION("""COMPUTED_VALUE"""),"Ativo")</f>
        <v>Ativo</v>
      </c>
      <c r="E25" s="27" t="str">
        <f ca="1">IFERROR(__xludf.DUMMYFUNCTION("""COMPUTED_VALUE"""),"ASSOCIAÇÃO BENEFICENTE AMIGOS PELA CARIDADE")</f>
        <v>ASSOCIAÇÃO BENEFICENTE AMIGOS PELA CARIDADE</v>
      </c>
      <c r="F25" s="21" t="str">
        <f ca="1">IFERROR(VLOOKUP(A25,'Rede - Gerando Falcões '!A24:G1020,38,0),"")</f>
        <v/>
      </c>
      <c r="G25" s="27" t="str">
        <f ca="1">IFERROR(VLOOKUP(A25,'Tabela Categorização'!A:J,10,0),"")</f>
        <v>Fase Inicial</v>
      </c>
      <c r="H25" s="27" t="b">
        <f t="shared" ca="1" si="0"/>
        <v>1</v>
      </c>
      <c r="I25" s="21" t="str">
        <f>HYPERLINK("https://gerandofalcoes.my.salesforce.com/0034P000043fOnRQAU", "0034P000043fOnRQAU")</f>
        <v>0034P000043fOnRQAU</v>
      </c>
      <c r="J25" s="9" t="s">
        <v>17881</v>
      </c>
      <c r="K25" s="38" t="s">
        <v>17882</v>
      </c>
    </row>
    <row r="26" spans="1:11" ht="12.5" x14ac:dyDescent="0.25">
      <c r="A26" s="21" t="str">
        <f ca="1">IFERROR(__xludf.DUMMYFUNCTION("""COMPUTED_VALUE"""),"0014X00002VKCufQAH")</f>
        <v>0014X00002VKCufQAH</v>
      </c>
      <c r="B26" s="27" t="str">
        <f ca="1">IFERROR(__xludf.DUMMYFUNCTION("""COMPUTED_VALUE"""),"Fase Inicial")</f>
        <v>Fase Inicial</v>
      </c>
      <c r="C26" s="27" t="str">
        <f ca="1">IFERROR(__xludf.DUMMYFUNCTION("""COMPUTED_VALUE"""),"Fellow")</f>
        <v>Fellow</v>
      </c>
      <c r="D26" s="27" t="str">
        <f ca="1">IFERROR(__xludf.DUMMYFUNCTION("""COMPUTED_VALUE"""),"Ativo")</f>
        <v>Ativo</v>
      </c>
      <c r="E26" s="27" t="str">
        <f ca="1">IFERROR(__xludf.DUMMYFUNCTION("""COMPUTED_VALUE"""),"Associação Beneficente da Criança e do Adolescente")</f>
        <v>Associação Beneficente da Criança e do Adolescente</v>
      </c>
      <c r="F26" s="21" t="str">
        <f ca="1">IFERROR(VLOOKUP(A26,'Rede - Gerando Falcões '!A25:G1021,38,0),"")</f>
        <v/>
      </c>
      <c r="G26" s="27" t="str">
        <f ca="1">IFERROR(VLOOKUP(A26,'Tabela Categorização'!A:J,10,0),"")</f>
        <v>Fase Inicial</v>
      </c>
      <c r="H26" s="27" t="b">
        <f t="shared" ca="1" si="0"/>
        <v>1</v>
      </c>
      <c r="I26" s="21" t="str">
        <f>HYPERLINK("https://gerandofalcoes.my.salesforce.com/0034X0000380O0rQAE", "0034X0000380O0rQAE")</f>
        <v>0034X0000380O0rQAE</v>
      </c>
      <c r="J26" s="9" t="s">
        <v>17881</v>
      </c>
      <c r="K26" s="38" t="s">
        <v>17882</v>
      </c>
    </row>
    <row r="27" spans="1:11" ht="12.5" x14ac:dyDescent="0.25">
      <c r="A27" s="21" t="str">
        <f ca="1">IFERROR(__xludf.DUMMYFUNCTION("""COMPUTED_VALUE"""),"0014P00003YSp9UQAT")</f>
        <v>0014P00003YSp9UQAT</v>
      </c>
      <c r="B27" s="27" t="str">
        <f ca="1">IFERROR(__xludf.DUMMYFUNCTION("""COMPUTED_VALUE"""),"Fase Inicial")</f>
        <v>Fase Inicial</v>
      </c>
      <c r="C27" s="27" t="str">
        <f ca="1">IFERROR(__xludf.DUMMYFUNCTION("""COMPUTED_VALUE"""),"Fellow")</f>
        <v>Fellow</v>
      </c>
      <c r="D27" s="27" t="str">
        <f ca="1">IFERROR(__xludf.DUMMYFUNCTION("""COMPUTED_VALUE"""),"Ativo")</f>
        <v>Ativo</v>
      </c>
      <c r="E27" s="27" t="str">
        <f ca="1">IFERROR(__xludf.DUMMYFUNCTION("""COMPUTED_VALUE"""),"ASSOCIAÇÃO BENEFICENTE EDUCACIONAL CORUJINHAS")</f>
        <v>ASSOCIAÇÃO BENEFICENTE EDUCACIONAL CORUJINHAS</v>
      </c>
      <c r="F27" s="21" t="str">
        <f ca="1">IFERROR(VLOOKUP(A27,'Rede - Gerando Falcões '!A26:G1022,38,0),"")</f>
        <v/>
      </c>
      <c r="G27" s="27" t="str">
        <f ca="1">IFERROR(VLOOKUP(A27,'Tabela Categorização'!A:J,10,0),"")</f>
        <v>Fase Inicial</v>
      </c>
      <c r="H27" s="27" t="b">
        <f t="shared" ca="1" si="0"/>
        <v>1</v>
      </c>
      <c r="I27" s="21" t="str">
        <f>HYPERLINK("https://gerandofalcoes.my.salesforce.com/0034P000045kxk6QAA", "0034P000045kxk6QAA")</f>
        <v>0034P000045kxk6QAA</v>
      </c>
      <c r="J27" s="9" t="s">
        <v>17881</v>
      </c>
      <c r="K27" s="38" t="s">
        <v>17882</v>
      </c>
    </row>
    <row r="28" spans="1:11" ht="12.5" x14ac:dyDescent="0.25">
      <c r="A28" s="21" t="str">
        <f ca="1">IFERROR(__xludf.DUMMYFUNCTION("""COMPUTED_VALUE"""),"0014P00003YSp9fQAD")</f>
        <v>0014P00003YSp9fQAD</v>
      </c>
      <c r="B28" s="27" t="str">
        <f ca="1">IFERROR(__xludf.DUMMYFUNCTION("""COMPUTED_VALUE"""),"Fase Inicial")</f>
        <v>Fase Inicial</v>
      </c>
      <c r="C28" s="27" t="str">
        <f ca="1">IFERROR(__xludf.DUMMYFUNCTION("""COMPUTED_VALUE"""),"Fellow")</f>
        <v>Fellow</v>
      </c>
      <c r="D28" s="27" t="str">
        <f ca="1">IFERROR(__xludf.DUMMYFUNCTION("""COMPUTED_VALUE"""),"Ativo")</f>
        <v>Ativo</v>
      </c>
      <c r="E28" s="27" t="str">
        <f ca="1">IFERROR(__xludf.DUMMYFUNCTION("""COMPUTED_VALUE"""),"Associação Beneficente Educacional Tabernaculo")</f>
        <v>Associação Beneficente Educacional Tabernaculo</v>
      </c>
      <c r="F28" s="21" t="str">
        <f ca="1">IFERROR(VLOOKUP(A28,'Rede - Gerando Falcões '!A27:G1023,38,0),"")</f>
        <v/>
      </c>
      <c r="G28" s="27" t="str">
        <f ca="1">IFERROR(VLOOKUP(A28,'Tabela Categorização'!A:J,10,0),"")</f>
        <v>Fase Inicial</v>
      </c>
      <c r="H28" s="27" t="b">
        <f t="shared" ca="1" si="0"/>
        <v>1</v>
      </c>
      <c r="I28" s="21" t="str">
        <f>HYPERLINK("https://gerandofalcoes.my.salesforce.com/0034P000045kxkHQAQ", "0034P000045kxkHQAQ")</f>
        <v>0034P000045kxkHQAQ</v>
      </c>
      <c r="J28" s="9" t="s">
        <v>17881</v>
      </c>
      <c r="K28" s="38" t="s">
        <v>17882</v>
      </c>
    </row>
    <row r="29" spans="1:11" ht="12.5" x14ac:dyDescent="0.25">
      <c r="A29" s="21" t="str">
        <f ca="1">IFERROR(__xludf.DUMMYFUNCTION("""COMPUTED_VALUE"""),"0014X00002VKCtsQAH")</f>
        <v>0014X00002VKCtsQAH</v>
      </c>
      <c r="B29" s="27"/>
      <c r="C29" s="27" t="str">
        <f ca="1">IFERROR(__xludf.DUMMYFUNCTION("""COMPUTED_VALUE"""),"Fellow")</f>
        <v>Fellow</v>
      </c>
      <c r="D29" s="27" t="str">
        <f ca="1">IFERROR(__xludf.DUMMYFUNCTION("""COMPUTED_VALUE"""),"Ativo")</f>
        <v>Ativo</v>
      </c>
      <c r="E29" s="27" t="str">
        <f ca="1">IFERROR(__xludf.DUMMYFUNCTION("""COMPUTED_VALUE"""),"Associação Beneficente Evangélica da Floresta Imperial de Novo Hamburgo")</f>
        <v>Associação Beneficente Evangélica da Floresta Imperial de Novo Hamburgo</v>
      </c>
      <c r="F29" s="21" t="str">
        <f ca="1">IFERROR(VLOOKUP(A29,'Rede - Gerando Falcões '!A28:G1024,38,0),"")</f>
        <v/>
      </c>
      <c r="G29" s="27" t="str">
        <f ca="1">IFERROR(VLOOKUP(A29,'Tabela Categorização'!A:J,10,0),"")</f>
        <v/>
      </c>
      <c r="H29" s="27" t="b">
        <f t="shared" ca="1" si="0"/>
        <v>1</v>
      </c>
      <c r="I29" s="21" t="str">
        <f>HYPERLINK("https://gerandofalcoes.my.salesforce.com/0034X0000380O2qQAE", "0034X0000380O2qQAE")</f>
        <v>0034X0000380O2qQAE</v>
      </c>
      <c r="J29" s="9" t="s">
        <v>17881</v>
      </c>
      <c r="K29" s="38" t="s">
        <v>17882</v>
      </c>
    </row>
    <row r="30" spans="1:11" ht="12.5" x14ac:dyDescent="0.25">
      <c r="A30" s="21" t="str">
        <f ca="1">IFERROR(__xludf.DUMMYFUNCTION("""COMPUTED_VALUE"""),"0014X00002VKCtIQAX")</f>
        <v>0014X00002VKCtIQAX</v>
      </c>
      <c r="B30" s="27" t="str">
        <f ca="1">IFERROR(__xludf.DUMMYFUNCTION("""COMPUTED_VALUE"""),"Fase Inicial")</f>
        <v>Fase Inicial</v>
      </c>
      <c r="C30" s="27" t="str">
        <f ca="1">IFERROR(__xludf.DUMMYFUNCTION("""COMPUTED_VALUE"""),"Fellow")</f>
        <v>Fellow</v>
      </c>
      <c r="D30" s="27" t="str">
        <f ca="1">IFERROR(__xludf.DUMMYFUNCTION("""COMPUTED_VALUE"""),"Ativo")</f>
        <v>Ativo</v>
      </c>
      <c r="E30" s="27" t="str">
        <f ca="1">IFERROR(__xludf.DUMMYFUNCTION("""COMPUTED_VALUE"""),"Associação Beneficente HEBROM (Núcleo Tefé AM)")</f>
        <v>Associação Beneficente HEBROM (Núcleo Tefé AM)</v>
      </c>
      <c r="F30" s="21" t="str">
        <f ca="1">IFERROR(VLOOKUP(A30,'Rede - Gerando Falcões '!A29:G1025,38,0),"")</f>
        <v/>
      </c>
      <c r="G30" s="27" t="str">
        <f ca="1">IFERROR(VLOOKUP(A30,'Tabela Categorização'!A:J,10,0),"")</f>
        <v>Fase Inicial</v>
      </c>
      <c r="H30" s="27" t="b">
        <f t="shared" ca="1" si="0"/>
        <v>1</v>
      </c>
      <c r="I30" s="21" t="str">
        <f>HYPERLINK("https://gerandofalcoes.my.salesforce.com/0034X0000380O4bQAE", "0034X0000380O4bQAE")</f>
        <v>0034X0000380O4bQAE</v>
      </c>
      <c r="J30" s="9" t="s">
        <v>17881</v>
      </c>
      <c r="K30" s="38" t="s">
        <v>17882</v>
      </c>
    </row>
    <row r="31" spans="1:11" ht="12.5" x14ac:dyDescent="0.25">
      <c r="A31" s="21" t="str">
        <f ca="1">IFERROR(__xludf.DUMMYFUNCTION("""COMPUTED_VALUE"""),"0014X00002VKCuIQAX")</f>
        <v>0014X00002VKCuIQAX</v>
      </c>
      <c r="B31" s="27" t="str">
        <f ca="1">IFERROR(__xludf.DUMMYFUNCTION("""COMPUTED_VALUE"""),"Fase Inicial")</f>
        <v>Fase Inicial</v>
      </c>
      <c r="C31" s="27" t="str">
        <f ca="1">IFERROR(__xludf.DUMMYFUNCTION("""COMPUTED_VALUE"""),"Fellow")</f>
        <v>Fellow</v>
      </c>
      <c r="D31" s="27" t="str">
        <f ca="1">IFERROR(__xludf.DUMMYFUNCTION("""COMPUTED_VALUE"""),"Ativo")</f>
        <v>Ativo</v>
      </c>
      <c r="E31" s="27" t="str">
        <f ca="1">IFERROR(__xludf.DUMMYFUNCTION("""COMPUTED_VALUE"""),"Associação Beneficente Raul das Tintas")</f>
        <v>Associação Beneficente Raul das Tintas</v>
      </c>
      <c r="F31" s="21" t="str">
        <f ca="1">IFERROR(VLOOKUP(A31,'Rede - Gerando Falcões '!A30:G1026,38,0),"")</f>
        <v/>
      </c>
      <c r="G31" s="27" t="str">
        <f ca="1">IFERROR(VLOOKUP(A31,'Tabela Categorização'!A:J,10,0),"")</f>
        <v>Fase Inicial</v>
      </c>
      <c r="H31" s="27" t="b">
        <f t="shared" ca="1" si="0"/>
        <v>1</v>
      </c>
      <c r="I31" s="21" t="str">
        <f>HYPERLINK("https://gerandofalcoes.my.salesforce.com/0034X0000380O6PQAU", "0034X0000380O6PQAU")</f>
        <v>0034X0000380O6PQAU</v>
      </c>
      <c r="J31" s="9" t="s">
        <v>17881</v>
      </c>
      <c r="K31" s="38" t="s">
        <v>17882</v>
      </c>
    </row>
    <row r="32" spans="1:11" ht="12.5" x14ac:dyDescent="0.25">
      <c r="A32" s="21" t="str">
        <f ca="1">IFERROR(__xludf.DUMMYFUNCTION("""COMPUTED_VALUE"""),"0014P00003AN2FZQA1")</f>
        <v>0014P00003AN2FZQA1</v>
      </c>
      <c r="B32" s="27" t="str">
        <f ca="1">IFERROR(__xludf.DUMMYFUNCTION("""COMPUTED_VALUE"""),"Fase Avançada")</f>
        <v>Fase Avançada</v>
      </c>
      <c r="C32" s="27" t="str">
        <f ca="1">IFERROR(__xludf.DUMMYFUNCTION("""COMPUTED_VALUE"""),"Fellow")</f>
        <v>Fellow</v>
      </c>
      <c r="D32" s="27" t="str">
        <f ca="1">IFERROR(__xludf.DUMMYFUNCTION("""COMPUTED_VALUE"""),"Ativo")</f>
        <v>Ativo</v>
      </c>
      <c r="E32" s="27" t="str">
        <f ca="1">IFERROR(__xludf.DUMMYFUNCTION("""COMPUTED_VALUE"""),"Associação Beneficente Vivenda da Criança")</f>
        <v>Associação Beneficente Vivenda da Criança</v>
      </c>
      <c r="F32" s="21" t="str">
        <f ca="1">IFERROR(VLOOKUP(A32,'Rede - Gerando Falcões '!A31:G1027,38,0),"")</f>
        <v/>
      </c>
      <c r="G32" s="27" t="str">
        <f ca="1">IFERROR(VLOOKUP(A32,'Tabela Categorização'!A:J,10,0),"")</f>
        <v>Fase Avançada</v>
      </c>
      <c r="H32" s="27" t="b">
        <f t="shared" ca="1" si="0"/>
        <v>1</v>
      </c>
      <c r="I32" s="21" t="str">
        <f>HYPERLINK("https://gerandofalcoes.my.salesforce.com/0034P00003maBUzQAM", "0034P00003maBUzQAM")</f>
        <v>0034P00003maBUzQAM</v>
      </c>
      <c r="J32" s="9" t="s">
        <v>17881</v>
      </c>
      <c r="K32" s="38" t="s">
        <v>17882</v>
      </c>
    </row>
    <row r="33" spans="1:11" ht="12.5" x14ac:dyDescent="0.25">
      <c r="A33" s="21" t="str">
        <f ca="1">IFERROR(__xludf.DUMMYFUNCTION("""COMPUTED_VALUE"""),"0014P00003AN2GIQA1")</f>
        <v>0014P00003AN2GIQA1</v>
      </c>
      <c r="B33" s="27" t="str">
        <f ca="1">IFERROR(__xludf.DUMMYFUNCTION("""COMPUTED_VALUE"""),"Fase Estruturação")</f>
        <v>Fase Estruturação</v>
      </c>
      <c r="C33" s="27" t="str">
        <f ca="1">IFERROR(__xludf.DUMMYFUNCTION("""COMPUTED_VALUE"""),"Acelerada")</f>
        <v>Acelerada</v>
      </c>
      <c r="D33" s="27" t="str">
        <f ca="1">IFERROR(__xludf.DUMMYFUNCTION("""COMPUTED_VALUE"""),"Ativo")</f>
        <v>Ativo</v>
      </c>
      <c r="E33" s="27" t="str">
        <f ca="1">IFERROR(__xludf.DUMMYFUNCTION("""COMPUTED_VALUE"""),"Associação Brasileira Feminina de Bodyboarding")</f>
        <v>Associação Brasileira Feminina de Bodyboarding</v>
      </c>
      <c r="F33" s="21" t="str">
        <f ca="1">IFERROR(VLOOKUP(A33,'Rede - Gerando Falcões '!A32:G1028,38,0),"")</f>
        <v/>
      </c>
      <c r="G33" s="27" t="str">
        <f ca="1">IFERROR(VLOOKUP(A33,'Tabela Categorização'!A:J,10,0),"")</f>
        <v>Fase Estruturação</v>
      </c>
      <c r="H33" s="27" t="b">
        <f t="shared" ca="1" si="0"/>
        <v>1</v>
      </c>
      <c r="I33" s="21" t="str">
        <f>HYPERLINK("https://gerandofalcoes.my.salesforce.com/0034P00003maBVnQAM", "0034P00003maBVnQAM")</f>
        <v>0034P00003maBVnQAM</v>
      </c>
      <c r="J33" s="9" t="s">
        <v>17881</v>
      </c>
      <c r="K33" s="38" t="s">
        <v>17882</v>
      </c>
    </row>
    <row r="34" spans="1:11" ht="12.5" x14ac:dyDescent="0.25">
      <c r="A34" s="21" t="str">
        <f ca="1">IFERROR(__xludf.DUMMYFUNCTION("""COMPUTED_VALUE"""),"0014P00003YSp9NQAT")</f>
        <v>0014P00003YSp9NQAT</v>
      </c>
      <c r="B34" s="27" t="str">
        <f ca="1">IFERROR(__xludf.DUMMYFUNCTION("""COMPUTED_VALUE"""),"Fase Inicial")</f>
        <v>Fase Inicial</v>
      </c>
      <c r="C34" s="27" t="str">
        <f ca="1">IFERROR(__xludf.DUMMYFUNCTION("""COMPUTED_VALUE"""),"Fellow")</f>
        <v>Fellow</v>
      </c>
      <c r="D34" s="27" t="str">
        <f ca="1">IFERROR(__xludf.DUMMYFUNCTION("""COMPUTED_VALUE"""),"Ativo")</f>
        <v>Ativo</v>
      </c>
      <c r="E34" s="27" t="str">
        <f ca="1">IFERROR(__xludf.DUMMYFUNCTION("""COMPUTED_VALUE"""),"Associação Brasileira Missão e Esperança (ASBRAME)")</f>
        <v>Associação Brasileira Missão e Esperança (ASBRAME)</v>
      </c>
      <c r="F34" s="21" t="str">
        <f ca="1">IFERROR(VLOOKUP(A34,'Rede - Gerando Falcões '!A33:G1029,38,0),"")</f>
        <v/>
      </c>
      <c r="G34" s="27" t="str">
        <f ca="1">IFERROR(VLOOKUP(A34,'Tabela Categorização'!A:J,10,0),"")</f>
        <v>Fase Inicial</v>
      </c>
      <c r="H34" s="27" t="b">
        <f t="shared" ca="1" si="0"/>
        <v>1</v>
      </c>
      <c r="I34" s="21" t="str">
        <f>HYPERLINK("https://gerandofalcoes.my.salesforce.com/0034P000045kxjzQAA", "0034P000045kxjzQAA")</f>
        <v>0034P000045kxjzQAA</v>
      </c>
      <c r="J34" s="9" t="s">
        <v>17881</v>
      </c>
      <c r="K34" s="38" t="s">
        <v>17882</v>
      </c>
    </row>
    <row r="35" spans="1:11" ht="12.5" x14ac:dyDescent="0.25">
      <c r="A35" s="21" t="str">
        <f ca="1">IFERROR(__xludf.DUMMYFUNCTION("""COMPUTED_VALUE"""),"0014P00003YSpALQA1")</f>
        <v>0014P00003YSpALQA1</v>
      </c>
      <c r="B35" s="27" t="str">
        <f ca="1">IFERROR(__xludf.DUMMYFUNCTION("""COMPUTED_VALUE"""),"Fase Inicial")</f>
        <v>Fase Inicial</v>
      </c>
      <c r="C35" s="27" t="str">
        <f ca="1">IFERROR(__xludf.DUMMYFUNCTION("""COMPUTED_VALUE"""),"Fellow")</f>
        <v>Fellow</v>
      </c>
      <c r="D35" s="27" t="str">
        <f ca="1">IFERROR(__xludf.DUMMYFUNCTION("""COMPUTED_VALUE"""),"Ativo")</f>
        <v>Ativo</v>
      </c>
      <c r="E35" s="27" t="str">
        <f ca="1">IFERROR(__xludf.DUMMYFUNCTION("""COMPUTED_VALUE"""),"Associação Casa de Gentil Culturas e Convívios")</f>
        <v>Associação Casa de Gentil Culturas e Convívios</v>
      </c>
      <c r="F35" s="21" t="str">
        <f ca="1">IFERROR(VLOOKUP(A35,'Rede - Gerando Falcões '!A34:G1030,38,0),"")</f>
        <v/>
      </c>
      <c r="G35" s="27" t="str">
        <f ca="1">IFERROR(VLOOKUP(A35,'Tabela Categorização'!A:J,10,0),"")</f>
        <v>Fase Inicial</v>
      </c>
      <c r="H35" s="27" t="b">
        <f t="shared" ca="1" si="0"/>
        <v>1</v>
      </c>
      <c r="I35" s="21" t="str">
        <f>HYPERLINK("https://gerandofalcoes.my.salesforce.com/0034P000045kxkxQAA", "0034P000045kxkxQAA")</f>
        <v>0034P000045kxkxQAA</v>
      </c>
      <c r="J35" s="9" t="s">
        <v>17881</v>
      </c>
      <c r="K35" s="38" t="s">
        <v>17882</v>
      </c>
    </row>
    <row r="36" spans="1:11" ht="12.5" x14ac:dyDescent="0.25">
      <c r="A36" s="21" t="str">
        <f ca="1">IFERROR(__xludf.DUMMYFUNCTION("""COMPUTED_VALUE"""),"0014X00002VKCujQAH")</f>
        <v>0014X00002VKCujQAH</v>
      </c>
      <c r="B36" s="27" t="str">
        <f ca="1">IFERROR(__xludf.DUMMYFUNCTION("""COMPUTED_VALUE"""),"Fase Estruturação")</f>
        <v>Fase Estruturação</v>
      </c>
      <c r="C36" s="27" t="str">
        <f ca="1">IFERROR(__xludf.DUMMYFUNCTION("""COMPUTED_VALUE"""),"Fellow")</f>
        <v>Fellow</v>
      </c>
      <c r="D36" s="27" t="str">
        <f ca="1">IFERROR(__xludf.DUMMYFUNCTION("""COMPUTED_VALUE"""),"Ativo")</f>
        <v>Ativo</v>
      </c>
      <c r="E36" s="27" t="str">
        <f ca="1">IFERROR(__xludf.DUMMYFUNCTION("""COMPUTED_VALUE"""),"Associação Casa Hacker")</f>
        <v>Associação Casa Hacker</v>
      </c>
      <c r="F36" s="21" t="str">
        <f ca="1">IFERROR(VLOOKUP(A36,'Rede - Gerando Falcões '!A35:G1031,38,0),"")</f>
        <v/>
      </c>
      <c r="G36" s="27" t="str">
        <f ca="1">IFERROR(VLOOKUP(A36,'Tabela Categorização'!A:J,10,0),"")</f>
        <v>Fase Estruturação</v>
      </c>
      <c r="H36" s="27" t="b">
        <f t="shared" ca="1" si="0"/>
        <v>1</v>
      </c>
      <c r="I36" s="21" t="str">
        <f>HYPERLINK("https://gerandofalcoes.my.salesforce.com/0034X0000380O1SQAU", "0034X0000380O1SQAU")</f>
        <v>0034X0000380O1SQAU</v>
      </c>
      <c r="J36" s="9" t="s">
        <v>17881</v>
      </c>
      <c r="K36" s="38" t="s">
        <v>17882</v>
      </c>
    </row>
    <row r="37" spans="1:11" ht="12.5" x14ac:dyDescent="0.25">
      <c r="A37" s="21" t="str">
        <f ca="1">IFERROR(__xludf.DUMMYFUNCTION("""COMPUTED_VALUE"""),"0014P00003YSpA5QAL")</f>
        <v>0014P00003YSpA5QAL</v>
      </c>
      <c r="B37" s="27" t="str">
        <f ca="1">IFERROR(__xludf.DUMMYFUNCTION("""COMPUTED_VALUE"""),"Fase Inicial")</f>
        <v>Fase Inicial</v>
      </c>
      <c r="C37" s="27" t="str">
        <f ca="1">IFERROR(__xludf.DUMMYFUNCTION("""COMPUTED_VALUE"""),"Fellow")</f>
        <v>Fellow</v>
      </c>
      <c r="D37" s="27" t="str">
        <f ca="1">IFERROR(__xludf.DUMMYFUNCTION("""COMPUTED_VALUE"""),"Ativo")</f>
        <v>Ativo</v>
      </c>
      <c r="E37" s="27" t="str">
        <f ca="1">IFERROR(__xludf.DUMMYFUNCTION("""COMPUTED_VALUE"""),"Associação Casa Up")</f>
        <v>Associação Casa Up</v>
      </c>
      <c r="F37" s="21" t="str">
        <f ca="1">IFERROR(VLOOKUP(A37,'Rede - Gerando Falcões '!A36:G1032,38,0),"")</f>
        <v/>
      </c>
      <c r="G37" s="27" t="str">
        <f ca="1">IFERROR(VLOOKUP(A37,'Tabela Categorização'!A:J,10,0),"")</f>
        <v>Fase Inicial</v>
      </c>
      <c r="H37" s="27" t="b">
        <f t="shared" ca="1" si="0"/>
        <v>1</v>
      </c>
      <c r="I37" s="21" t="str">
        <f>HYPERLINK("https://gerandofalcoes.my.salesforce.com/0034P000045kxkhQAA", "0034P000045kxkhQAA")</f>
        <v>0034P000045kxkhQAA</v>
      </c>
      <c r="J37" s="9" t="s">
        <v>17881</v>
      </c>
      <c r="K37" s="38" t="s">
        <v>17882</v>
      </c>
    </row>
    <row r="38" spans="1:11" ht="12.5" x14ac:dyDescent="0.25">
      <c r="A38" s="21" t="str">
        <f ca="1">IFERROR(__xludf.DUMMYFUNCTION("""COMPUTED_VALUE"""),"0014X00002VKCqvQAH")</f>
        <v>0014X00002VKCqvQAH</v>
      </c>
      <c r="B38" s="27" t="str">
        <f ca="1">IFERROR(__xludf.DUMMYFUNCTION("""COMPUTED_VALUE"""),"Fase Inicial")</f>
        <v>Fase Inicial</v>
      </c>
      <c r="C38" s="27" t="str">
        <f ca="1">IFERROR(__xludf.DUMMYFUNCTION("""COMPUTED_VALUE"""),"Fellow")</f>
        <v>Fellow</v>
      </c>
      <c r="D38" s="27" t="str">
        <f ca="1">IFERROR(__xludf.DUMMYFUNCTION("""COMPUTED_VALUE"""),"Ativo")</f>
        <v>Ativo</v>
      </c>
      <c r="E38" s="27" t="str">
        <f ca="1">IFERROR(__xludf.DUMMYFUNCTION("""COMPUTED_VALUE"""),"Associacao centro de apoio acolher")</f>
        <v>Associacao centro de apoio acolher</v>
      </c>
      <c r="F38" s="21" t="str">
        <f ca="1">IFERROR(VLOOKUP(A38,'Rede - Gerando Falcões '!A37:G1033,38,0),"")</f>
        <v/>
      </c>
      <c r="G38" s="27" t="str">
        <f ca="1">IFERROR(VLOOKUP(A38,'Tabela Categorização'!A:J,10,0),"")</f>
        <v>Fase Inicial</v>
      </c>
      <c r="H38" s="27" t="b">
        <f t="shared" ca="1" si="0"/>
        <v>1</v>
      </c>
      <c r="I38" s="21" t="str">
        <f>HYPERLINK("https://gerandofalcoes.my.salesforce.com/0034X0000380O5XQAU", "0034X0000380O5XQAU")</f>
        <v>0034X0000380O5XQAU</v>
      </c>
      <c r="J38" s="9" t="s">
        <v>17881</v>
      </c>
      <c r="K38" s="38" t="s">
        <v>17882</v>
      </c>
    </row>
    <row r="39" spans="1:11" ht="12.5" x14ac:dyDescent="0.25">
      <c r="A39" s="21" t="str">
        <f ca="1">IFERROR(__xludf.DUMMYFUNCTION("""COMPUTED_VALUE"""),"0014X00002VKCq2QAH")</f>
        <v>0014X00002VKCq2QAH</v>
      </c>
      <c r="B39" s="27" t="str">
        <f ca="1">IFERROR(__xludf.DUMMYFUNCTION("""COMPUTED_VALUE"""),"Fase Inicial")</f>
        <v>Fase Inicial</v>
      </c>
      <c r="C39" s="27" t="str">
        <f ca="1">IFERROR(__xludf.DUMMYFUNCTION("""COMPUTED_VALUE"""),"Fellow")</f>
        <v>Fellow</v>
      </c>
      <c r="D39" s="27" t="str">
        <f ca="1">IFERROR(__xludf.DUMMYFUNCTION("""COMPUTED_VALUE"""),"Ativo")</f>
        <v>Ativo</v>
      </c>
      <c r="E39" s="27" t="str">
        <f ca="1">IFERROR(__xludf.DUMMYFUNCTION("""COMPUTED_VALUE"""),"Associação cidadania* desporto* lazer e cultura- Celc")</f>
        <v>Associação cidadania* desporto* lazer e cultura- Celc</v>
      </c>
      <c r="F39" s="21" t="str">
        <f ca="1">IFERROR(VLOOKUP(A39,'Rede - Gerando Falcões '!A38:G1034,38,0),"")</f>
        <v/>
      </c>
      <c r="G39" s="27" t="str">
        <f ca="1">IFERROR(VLOOKUP(A39,'Tabela Categorização'!A:J,10,0),"")</f>
        <v>Fase Inicial</v>
      </c>
      <c r="H39" s="27" t="b">
        <f t="shared" ca="1" si="0"/>
        <v>1</v>
      </c>
      <c r="I39" s="21" t="str">
        <f>HYPERLINK("https://gerandofalcoes.my.salesforce.com/0034X0000380O1XQAU", "0034X0000380O1XQAU")</f>
        <v>0034X0000380O1XQAU</v>
      </c>
      <c r="J39" s="9" t="s">
        <v>17881</v>
      </c>
      <c r="K39" s="38" t="s">
        <v>17882</v>
      </c>
    </row>
    <row r="40" spans="1:11" ht="12.5" x14ac:dyDescent="0.25">
      <c r="A40" s="21" t="str">
        <f ca="1">IFERROR(__xludf.DUMMYFUNCTION("""COMPUTED_VALUE"""),"0014P00003SGWPhQAP")</f>
        <v>0014P00003SGWPhQAP</v>
      </c>
      <c r="B40" s="27" t="str">
        <f ca="1">IFERROR(__xludf.DUMMYFUNCTION("""COMPUTED_VALUE"""),"Fase Estruturação")</f>
        <v>Fase Estruturação</v>
      </c>
      <c r="C40" s="27" t="str">
        <f ca="1">IFERROR(__xludf.DUMMYFUNCTION("""COMPUTED_VALUE"""),"Acelerada")</f>
        <v>Acelerada</v>
      </c>
      <c r="D40" s="27" t="str">
        <f ca="1">IFERROR(__xludf.DUMMYFUNCTION("""COMPUTED_VALUE"""),"Ativo")</f>
        <v>Ativo</v>
      </c>
      <c r="E40" s="27" t="str">
        <f ca="1">IFERROR(__xludf.DUMMYFUNCTION("""COMPUTED_VALUE"""),"Associação Cidadania Social e Sustentabilidade")</f>
        <v>Associação Cidadania Social e Sustentabilidade</v>
      </c>
      <c r="F40" s="21" t="str">
        <f ca="1">IFERROR(VLOOKUP(A40,'Rede - Gerando Falcões '!A39:G1035,38,0),"")</f>
        <v/>
      </c>
      <c r="G40" s="27" t="str">
        <f ca="1">IFERROR(VLOOKUP(A40,'Tabela Categorização'!A:J,10,0),"")</f>
        <v>Fase Estruturação</v>
      </c>
      <c r="H40" s="27" t="b">
        <f t="shared" ca="1" si="0"/>
        <v>1</v>
      </c>
      <c r="I40" s="21" t="str">
        <f>HYPERLINK("https://gerandofalcoes.my.salesforce.com/0034P000043fOnoQAE", "0034P000043fOnoQAE")</f>
        <v>0034P000043fOnoQAE</v>
      </c>
      <c r="J40" s="9" t="s">
        <v>17881</v>
      </c>
      <c r="K40" s="38" t="s">
        <v>17882</v>
      </c>
    </row>
    <row r="41" spans="1:11" ht="12.5" x14ac:dyDescent="0.25">
      <c r="A41" s="21" t="str">
        <f ca="1">IFERROR(__xludf.DUMMYFUNCTION("""COMPUTED_VALUE"""),"0014P00003SGWPWQA5")</f>
        <v>0014P00003SGWPWQA5</v>
      </c>
      <c r="B41" s="27" t="str">
        <f ca="1">IFERROR(__xludf.DUMMYFUNCTION("""COMPUTED_VALUE"""),"Fase Estruturação")</f>
        <v>Fase Estruturação</v>
      </c>
      <c r="C41" s="27" t="str">
        <f ca="1">IFERROR(__xludf.DUMMYFUNCTION("""COMPUTED_VALUE"""),"Acelerada")</f>
        <v>Acelerada</v>
      </c>
      <c r="D41" s="27" t="str">
        <f ca="1">IFERROR(__xludf.DUMMYFUNCTION("""COMPUTED_VALUE"""),"Ativo")</f>
        <v>Ativo</v>
      </c>
      <c r="E41" s="27" t="str">
        <f ca="1">IFERROR(__xludf.DUMMYFUNCTION("""COMPUTED_VALUE"""),"ASSOCIAÇAO CIRCUITO INCLUSAO")</f>
        <v>ASSOCIAÇAO CIRCUITO INCLUSAO</v>
      </c>
      <c r="F41" s="21" t="str">
        <f ca="1">IFERROR(VLOOKUP(A41,'Rede - Gerando Falcões '!A40:G1036,38,0),"")</f>
        <v/>
      </c>
      <c r="G41" s="27" t="str">
        <f ca="1">IFERROR(VLOOKUP(A41,'Tabela Categorização'!A:J,10,0),"")</f>
        <v>Fase Estruturação</v>
      </c>
      <c r="H41" s="27" t="b">
        <f t="shared" ca="1" si="0"/>
        <v>1</v>
      </c>
      <c r="I41" s="21" t="str">
        <f>HYPERLINK("https://gerandofalcoes.my.salesforce.com/0034P000043fOndQAE", "0034P000043fOndQAE")</f>
        <v>0034P000043fOndQAE</v>
      </c>
      <c r="J41" s="9" t="s">
        <v>17881</v>
      </c>
      <c r="K41" s="38" t="s">
        <v>17882</v>
      </c>
    </row>
    <row r="42" spans="1:11" ht="12.5" x14ac:dyDescent="0.25">
      <c r="A42" s="21" t="str">
        <f ca="1">IFERROR(__xludf.DUMMYFUNCTION("""COMPUTED_VALUE"""),"0014X00002VKCuiQAH")</f>
        <v>0014X00002VKCuiQAH</v>
      </c>
      <c r="B42" s="27" t="str">
        <f ca="1">IFERROR(__xludf.DUMMYFUNCTION("""COMPUTED_VALUE"""),"Fase Inicial")</f>
        <v>Fase Inicial</v>
      </c>
      <c r="C42" s="27" t="str">
        <f ca="1">IFERROR(__xludf.DUMMYFUNCTION("""COMPUTED_VALUE"""),"Fellow")</f>
        <v>Fellow</v>
      </c>
      <c r="D42" s="27" t="str">
        <f ca="1">IFERROR(__xludf.DUMMYFUNCTION("""COMPUTED_VALUE"""),"Ativo")</f>
        <v>Ativo</v>
      </c>
      <c r="E42" s="27" t="str">
        <f ca="1">IFERROR(__xludf.DUMMYFUNCTION("""COMPUTED_VALUE"""),"Associação Civil Projeto Juventude Esperança do Amanhã")</f>
        <v>Associação Civil Projeto Juventude Esperança do Amanhã</v>
      </c>
      <c r="F42" s="21" t="str">
        <f ca="1">IFERROR(VLOOKUP(A42,'Rede - Gerando Falcões '!A41:G1037,38,0),"")</f>
        <v/>
      </c>
      <c r="G42" s="27" t="str">
        <f ca="1">IFERROR(VLOOKUP(A42,'Tabela Categorização'!A:J,10,0),"")</f>
        <v>Fase Inicial</v>
      </c>
      <c r="H42" s="27" t="b">
        <f t="shared" ca="1" si="0"/>
        <v>1</v>
      </c>
      <c r="I42" s="21" t="str">
        <f>HYPERLINK("https://gerandofalcoes.my.salesforce.com/0034X0000380O3iQAE", "0034X0000380O3iQAE")</f>
        <v>0034X0000380O3iQAE</v>
      </c>
      <c r="J42" s="9" t="s">
        <v>17881</v>
      </c>
      <c r="K42" s="38" t="s">
        <v>17882</v>
      </c>
    </row>
    <row r="43" spans="1:11" ht="12.5" x14ac:dyDescent="0.25">
      <c r="A43" s="21" t="str">
        <f ca="1">IFERROR(__xludf.DUMMYFUNCTION("""COMPUTED_VALUE"""),"0014P00003SGWPiQAP")</f>
        <v>0014P00003SGWPiQAP</v>
      </c>
      <c r="B43" s="27" t="str">
        <f ca="1">IFERROR(__xludf.DUMMYFUNCTION("""COMPUTED_VALUE"""),"Fase Avançada")</f>
        <v>Fase Avançada</v>
      </c>
      <c r="C43" s="27" t="str">
        <f ca="1">IFERROR(__xludf.DUMMYFUNCTION("""COMPUTED_VALUE"""),"Acelerada")</f>
        <v>Acelerada</v>
      </c>
      <c r="D43" s="27" t="str">
        <f ca="1">IFERROR(__xludf.DUMMYFUNCTION("""COMPUTED_VALUE"""),"Ativo")</f>
        <v>Ativo</v>
      </c>
      <c r="E43" s="27" t="str">
        <f ca="1">IFERROR(__xludf.DUMMYFUNCTION("""COMPUTED_VALUE"""),"ASSOCIAÇÃO COLETIVO MOTIRÕ")</f>
        <v>ASSOCIAÇÃO COLETIVO MOTIRÕ</v>
      </c>
      <c r="F43" s="21" t="str">
        <f ca="1">IFERROR(VLOOKUP(A43,'Rede - Gerando Falcões '!A42:G1038,38,0),"")</f>
        <v/>
      </c>
      <c r="G43" s="27" t="str">
        <f ca="1">IFERROR(VLOOKUP(A43,'Tabela Categorização'!A:J,10,0),"")</f>
        <v>Fase Avançada</v>
      </c>
      <c r="H43" s="27" t="b">
        <f t="shared" ca="1" si="0"/>
        <v>1</v>
      </c>
      <c r="I43" s="21" t="str">
        <f>HYPERLINK("https://gerandofalcoes.my.salesforce.com/0034P000043fOnpQAE", "0034P000043fOnpQAE")</f>
        <v>0034P000043fOnpQAE</v>
      </c>
      <c r="J43" s="9" t="s">
        <v>17881</v>
      </c>
      <c r="K43" s="38" t="s">
        <v>17882</v>
      </c>
    </row>
    <row r="44" spans="1:11" ht="12.5" x14ac:dyDescent="0.25">
      <c r="A44" s="21" t="str">
        <f ca="1">IFERROR(__xludf.DUMMYFUNCTION("""COMPUTED_VALUE"""),"0014P00003YSp8kQAD")</f>
        <v>0014P00003YSp8kQAD</v>
      </c>
      <c r="B44" s="27" t="str">
        <f ca="1">IFERROR(__xludf.DUMMYFUNCTION("""COMPUTED_VALUE"""),"Fase Inicial")</f>
        <v>Fase Inicial</v>
      </c>
      <c r="C44" s="27" t="str">
        <f ca="1">IFERROR(__xludf.DUMMYFUNCTION("""COMPUTED_VALUE"""),"Fellow")</f>
        <v>Fellow</v>
      </c>
      <c r="D44" s="27" t="str">
        <f ca="1">IFERROR(__xludf.DUMMYFUNCTION("""COMPUTED_VALUE"""),"Ativo")</f>
        <v>Ativo</v>
      </c>
      <c r="E44" s="27" t="str">
        <f ca="1">IFERROR(__xludf.DUMMYFUNCTION("""COMPUTED_VALUE"""),"Associação Comunidade Solidária do Jardim São Bernardo")</f>
        <v>Associação Comunidade Solidária do Jardim São Bernardo</v>
      </c>
      <c r="F44" s="21" t="str">
        <f ca="1">IFERROR(VLOOKUP(A44,'Rede - Gerando Falcões '!A43:G1039,38,0),"")</f>
        <v/>
      </c>
      <c r="G44" s="27" t="str">
        <f ca="1">IFERROR(VLOOKUP(A44,'Tabela Categorização'!A:J,10,0),"")</f>
        <v>Fase Inicial</v>
      </c>
      <c r="H44" s="27" t="b">
        <f t="shared" ca="1" si="0"/>
        <v>1</v>
      </c>
      <c r="I44" s="21" t="str">
        <f>HYPERLINK("https://gerandofalcoes.my.salesforce.com/0034P000045kxjUQAQ", "0034P000045kxjUQAQ")</f>
        <v>0034P000045kxjUQAQ</v>
      </c>
      <c r="J44" s="9" t="s">
        <v>17881</v>
      </c>
      <c r="K44" s="38" t="s">
        <v>17882</v>
      </c>
    </row>
    <row r="45" spans="1:11" ht="12.5" x14ac:dyDescent="0.25">
      <c r="A45" s="21" t="str">
        <f ca="1">IFERROR(__xludf.DUMMYFUNCTION("""COMPUTED_VALUE"""),"0014P00003YSp7UQAT")</f>
        <v>0014P00003YSp7UQAT</v>
      </c>
      <c r="B45" s="27" t="str">
        <f ca="1">IFERROR(__xludf.DUMMYFUNCTION("""COMPUTED_VALUE"""),"Fase Inicial")</f>
        <v>Fase Inicial</v>
      </c>
      <c r="C45" s="27" t="str">
        <f ca="1">IFERROR(__xludf.DUMMYFUNCTION("""COMPUTED_VALUE"""),"Fellow")</f>
        <v>Fellow</v>
      </c>
      <c r="D45" s="27" t="str">
        <f ca="1">IFERROR(__xludf.DUMMYFUNCTION("""COMPUTED_VALUE"""),"Ativo")</f>
        <v>Ativo</v>
      </c>
      <c r="E45" s="27" t="str">
        <f ca="1">IFERROR(__xludf.DUMMYFUNCTION("""COMPUTED_VALUE"""),"Associação comunitária de Agentes Ambientais")</f>
        <v>Associação comunitária de Agentes Ambientais</v>
      </c>
      <c r="F45" s="21" t="str">
        <f ca="1">IFERROR(VLOOKUP(A45,'Rede - Gerando Falcões '!A44:G1040,38,0),"")</f>
        <v/>
      </c>
      <c r="G45" s="27" t="str">
        <f ca="1">IFERROR(VLOOKUP(A45,'Tabela Categorização'!A:J,10,0),"")</f>
        <v>Fase Inicial</v>
      </c>
      <c r="H45" s="27" t="b">
        <f t="shared" ca="1" si="0"/>
        <v>1</v>
      </c>
      <c r="I45" s="21" t="str">
        <f>HYPERLINK("https://gerandofalcoes.my.salesforce.com/0034P000045kxi5QAA", "0034P000045kxi5QAA")</f>
        <v>0034P000045kxi5QAA</v>
      </c>
      <c r="J45" s="9" t="s">
        <v>17881</v>
      </c>
      <c r="K45" s="38" t="s">
        <v>17882</v>
      </c>
    </row>
    <row r="46" spans="1:11" ht="12.5" x14ac:dyDescent="0.25">
      <c r="A46" s="21" t="str">
        <f ca="1">IFERROR(__xludf.DUMMYFUNCTION("""COMPUTED_VALUE"""),"0014X00002VKCvAQAX")</f>
        <v>0014X00002VKCvAQAX</v>
      </c>
      <c r="B46" s="27" t="str">
        <f ca="1">IFERROR(__xludf.DUMMYFUNCTION("""COMPUTED_VALUE"""),"Fase Inicial")</f>
        <v>Fase Inicial</v>
      </c>
      <c r="C46" s="27" t="str">
        <f ca="1">IFERROR(__xludf.DUMMYFUNCTION("""COMPUTED_VALUE"""),"Fellow")</f>
        <v>Fellow</v>
      </c>
      <c r="D46" s="27" t="str">
        <f ca="1">IFERROR(__xludf.DUMMYFUNCTION("""COMPUTED_VALUE"""),"Ativo")</f>
        <v>Ativo</v>
      </c>
      <c r="E46" s="27" t="str">
        <f ca="1">IFERROR(__xludf.DUMMYFUNCTION("""COMPUTED_VALUE"""),"Associação Comunitária de Construção Novo Amanhecer")</f>
        <v>Associação Comunitária de Construção Novo Amanhecer</v>
      </c>
      <c r="F46" s="21" t="str">
        <f ca="1">IFERROR(VLOOKUP(A46,'Rede - Gerando Falcões '!A45:G1041,38,0),"")</f>
        <v/>
      </c>
      <c r="G46" s="27" t="str">
        <f ca="1">IFERROR(VLOOKUP(A46,'Tabela Categorização'!A:J,10,0),"")</f>
        <v>Fase Inicial</v>
      </c>
      <c r="H46" s="27" t="b">
        <f t="shared" ca="1" si="0"/>
        <v>1</v>
      </c>
      <c r="I46" s="21" t="str">
        <f>HYPERLINK("https://gerandofalcoes.my.salesforce.com/0034X0000380O5BQAU", "0034X0000380O5BQAU")</f>
        <v>0034X0000380O5BQAU</v>
      </c>
      <c r="J46" s="9" t="s">
        <v>17881</v>
      </c>
      <c r="K46" s="38" t="s">
        <v>17882</v>
      </c>
    </row>
    <row r="47" spans="1:11" ht="12.5" x14ac:dyDescent="0.25">
      <c r="A47" s="21" t="str">
        <f ca="1">IFERROR(__xludf.DUMMYFUNCTION("""COMPUTED_VALUE"""),"0014P00003YSp9FQAT")</f>
        <v>0014P00003YSp9FQAT</v>
      </c>
      <c r="B47" s="27" t="str">
        <f ca="1">IFERROR(__xludf.DUMMYFUNCTION("""COMPUTED_VALUE"""),"Fase Inicial")</f>
        <v>Fase Inicial</v>
      </c>
      <c r="C47" s="27" t="str">
        <f ca="1">IFERROR(__xludf.DUMMYFUNCTION("""COMPUTED_VALUE"""),"Fellow")</f>
        <v>Fellow</v>
      </c>
      <c r="D47" s="27" t="str">
        <f ca="1">IFERROR(__xludf.DUMMYFUNCTION("""COMPUTED_VALUE"""),"Ativo")</f>
        <v>Ativo</v>
      </c>
      <c r="E47" s="27" t="str">
        <f ca="1">IFERROR(__xludf.DUMMYFUNCTION("""COMPUTED_VALUE"""),"Associação Comunitária Maria João de Deus")</f>
        <v>Associação Comunitária Maria João de Deus</v>
      </c>
      <c r="F47" s="21" t="str">
        <f ca="1">IFERROR(VLOOKUP(A47,'Rede - Gerando Falcões '!A46:G1042,38,0),"")</f>
        <v/>
      </c>
      <c r="G47" s="27" t="str">
        <f ca="1">IFERROR(VLOOKUP(A47,'Tabela Categorização'!A:J,10,0),"")</f>
        <v>Fase Inicial</v>
      </c>
      <c r="H47" s="27" t="b">
        <f t="shared" ca="1" si="0"/>
        <v>1</v>
      </c>
      <c r="I47" s="21" t="str">
        <f>HYPERLINK("https://gerandofalcoes.my.salesforce.com/0034P000045kxjrQAA", "0034P000045kxjrQAA")</f>
        <v>0034P000045kxjrQAA</v>
      </c>
      <c r="J47" s="9" t="s">
        <v>17881</v>
      </c>
      <c r="K47" s="38" t="s">
        <v>17882</v>
      </c>
    </row>
    <row r="48" spans="1:11" ht="12.5" x14ac:dyDescent="0.25">
      <c r="A48" s="21" t="str">
        <f ca="1">IFERROR(__xludf.DUMMYFUNCTION("""COMPUTED_VALUE"""),"0014X00002VKCqGQAX")</f>
        <v>0014X00002VKCqGQAX</v>
      </c>
      <c r="B48" s="27" t="str">
        <f ca="1">IFERROR(__xludf.DUMMYFUNCTION("""COMPUTED_VALUE"""),"Fase Inicial")</f>
        <v>Fase Inicial</v>
      </c>
      <c r="C48" s="27" t="str">
        <f ca="1">IFERROR(__xludf.DUMMYFUNCTION("""COMPUTED_VALUE"""),"Fellow")</f>
        <v>Fellow</v>
      </c>
      <c r="D48" s="27" t="str">
        <f ca="1">IFERROR(__xludf.DUMMYFUNCTION("""COMPUTED_VALUE"""),"Ativo")</f>
        <v>Ativo</v>
      </c>
      <c r="E48" s="27" t="str">
        <f ca="1">IFERROR(__xludf.DUMMYFUNCTION("""COMPUTED_VALUE"""),"ASSOCIAÇÃO COMUNITÁRIA NOSSA SENHORA DO CARMO")</f>
        <v>ASSOCIAÇÃO COMUNITÁRIA NOSSA SENHORA DO CARMO</v>
      </c>
      <c r="F48" s="21" t="str">
        <f ca="1">IFERROR(VLOOKUP(A48,'Rede - Gerando Falcões '!A47:G1043,38,0),"")</f>
        <v/>
      </c>
      <c r="G48" s="27" t="str">
        <f ca="1">IFERROR(VLOOKUP(A48,'Tabela Categorização'!A:J,10,0),"")</f>
        <v>Fase Inicial</v>
      </c>
      <c r="H48" s="27" t="b">
        <f t="shared" ca="1" si="0"/>
        <v>1</v>
      </c>
      <c r="I48" s="21" t="str">
        <f>HYPERLINK("https://gerandofalcoes.my.salesforce.com/0034X0000380O3xQAE", "0034X0000380O3xQAE")</f>
        <v>0034X0000380O3xQAE</v>
      </c>
      <c r="J48" s="9" t="s">
        <v>17881</v>
      </c>
      <c r="K48" s="38" t="s">
        <v>17882</v>
      </c>
    </row>
    <row r="49" spans="1:11" ht="12.5" x14ac:dyDescent="0.25">
      <c r="A49" s="21" t="str">
        <f ca="1">IFERROR(__xludf.DUMMYFUNCTION("""COMPUTED_VALUE"""),"0014X00002VKCqZQAX")</f>
        <v>0014X00002VKCqZQAX</v>
      </c>
      <c r="B49" s="27" t="str">
        <f ca="1">IFERROR(__xludf.DUMMYFUNCTION("""COMPUTED_VALUE"""),"Fase Inicial")</f>
        <v>Fase Inicial</v>
      </c>
      <c r="C49" s="27" t="str">
        <f ca="1">IFERROR(__xludf.DUMMYFUNCTION("""COMPUTED_VALUE"""),"Fellow")</f>
        <v>Fellow</v>
      </c>
      <c r="D49" s="27" t="str">
        <f ca="1">IFERROR(__xludf.DUMMYFUNCTION("""COMPUTED_VALUE"""),"Ativo")</f>
        <v>Ativo</v>
      </c>
      <c r="E49" s="27" t="str">
        <f ca="1">IFERROR(__xludf.DUMMYFUNCTION("""COMPUTED_VALUE"""),"Associação Comunitaria Transformar")</f>
        <v>Associação Comunitaria Transformar</v>
      </c>
      <c r="F49" s="21" t="str">
        <f ca="1">IFERROR(VLOOKUP(A49,'Rede - Gerando Falcões '!A48:G1044,38,0),"")</f>
        <v/>
      </c>
      <c r="G49" s="27" t="str">
        <f ca="1">IFERROR(VLOOKUP(A49,'Tabela Categorização'!A:J,10,0),"")</f>
        <v>Fase Inicial</v>
      </c>
      <c r="H49" s="27" t="b">
        <f t="shared" ca="1" si="0"/>
        <v>1</v>
      </c>
      <c r="I49" s="21" t="str">
        <f>HYPERLINK("https://gerandofalcoes.my.salesforce.com/0034X0000380O1QQAU", "0034X0000380O1QQAU")</f>
        <v>0034X0000380O1QQAU</v>
      </c>
      <c r="J49" s="9" t="s">
        <v>17881</v>
      </c>
      <c r="K49" s="38" t="s">
        <v>17882</v>
      </c>
    </row>
    <row r="50" spans="1:11" ht="12.5" x14ac:dyDescent="0.25">
      <c r="A50" s="21" t="str">
        <f ca="1">IFERROR(__xludf.DUMMYFUNCTION("""COMPUTED_VALUE"""),"0014X00002VKCtOQAX")</f>
        <v>0014X00002VKCtOQAX</v>
      </c>
      <c r="B50" s="27" t="str">
        <f ca="1">IFERROR(__xludf.DUMMYFUNCTION("""COMPUTED_VALUE"""),"Fase Inicial")</f>
        <v>Fase Inicial</v>
      </c>
      <c r="C50" s="27" t="str">
        <f ca="1">IFERROR(__xludf.DUMMYFUNCTION("""COMPUTED_VALUE"""),"Fellow")</f>
        <v>Fellow</v>
      </c>
      <c r="D50" s="27" t="str">
        <f ca="1">IFERROR(__xludf.DUMMYFUNCTION("""COMPUTED_VALUE"""),"Ativo")</f>
        <v>Ativo</v>
      </c>
      <c r="E50" s="27" t="str">
        <f ca="1">IFERROR(__xludf.DUMMYFUNCTION("""COMPUTED_VALUE"""),"associação comunitária união potengi")</f>
        <v>associação comunitária união potengi</v>
      </c>
      <c r="F50" s="21" t="str">
        <f ca="1">IFERROR(VLOOKUP(A50,'Rede - Gerando Falcões '!A49:G1045,38,0),"")</f>
        <v/>
      </c>
      <c r="G50" s="27" t="str">
        <f ca="1">IFERROR(VLOOKUP(A50,'Tabela Categorização'!A:J,10,0),"")</f>
        <v>Fase Inicial</v>
      </c>
      <c r="H50" s="27" t="b">
        <f t="shared" ca="1" si="0"/>
        <v>1</v>
      </c>
      <c r="I50" s="21" t="str">
        <f>HYPERLINK("https://gerandofalcoes.my.salesforce.com/0034X0000380O5gQAE", "0034X0000380O5gQAE")</f>
        <v>0034X0000380O5gQAE</v>
      </c>
      <c r="J50" s="9" t="s">
        <v>17881</v>
      </c>
      <c r="K50" s="38" t="s">
        <v>17882</v>
      </c>
    </row>
    <row r="51" spans="1:11" ht="12.5" x14ac:dyDescent="0.25">
      <c r="A51" s="21" t="str">
        <f ca="1">IFERROR(__xludf.DUMMYFUNCTION("""COMPUTED_VALUE"""),"0014P00003YSp9rQAD")</f>
        <v>0014P00003YSp9rQAD</v>
      </c>
      <c r="B51" s="27" t="str">
        <f ca="1">IFERROR(__xludf.DUMMYFUNCTION("""COMPUTED_VALUE"""),"Fase Inicial")</f>
        <v>Fase Inicial</v>
      </c>
      <c r="C51" s="27" t="str">
        <f ca="1">IFERROR(__xludf.DUMMYFUNCTION("""COMPUTED_VALUE"""),"Fellow")</f>
        <v>Fellow</v>
      </c>
      <c r="D51" s="27" t="str">
        <f ca="1">IFERROR(__xludf.DUMMYFUNCTION("""COMPUTED_VALUE"""),"Ativo")</f>
        <v>Ativo</v>
      </c>
      <c r="E51" s="27" t="str">
        <f ca="1">IFERROR(__xludf.DUMMYFUNCTION("""COMPUTED_VALUE"""),"Associação Criança Feliz de Sorocaba")</f>
        <v>Associação Criança Feliz de Sorocaba</v>
      </c>
      <c r="F51" s="21" t="str">
        <f ca="1">IFERROR(VLOOKUP(A51,'Rede - Gerando Falcões '!A50:G1046,38,0),"")</f>
        <v/>
      </c>
      <c r="G51" s="27" t="str">
        <f ca="1">IFERROR(VLOOKUP(A51,'Tabela Categorização'!A:J,10,0),"")</f>
        <v>Fase Inicial</v>
      </c>
      <c r="H51" s="27" t="b">
        <f t="shared" ca="1" si="0"/>
        <v>1</v>
      </c>
      <c r="I51" s="21" t="str">
        <f>HYPERLINK("https://gerandofalcoes.my.salesforce.com/0034P000045kxkTQAQ", "0034P000045kxkTQAQ")</f>
        <v>0034P000045kxkTQAQ</v>
      </c>
      <c r="J51" s="9" t="s">
        <v>17881</v>
      </c>
      <c r="K51" s="38" t="s">
        <v>17882</v>
      </c>
    </row>
    <row r="52" spans="1:11" ht="12.5" x14ac:dyDescent="0.25">
      <c r="A52" s="21" t="str">
        <f ca="1">IFERROR(__xludf.DUMMYFUNCTION("""COMPUTED_VALUE"""),"0014P00003AN2FkQAL")</f>
        <v>0014P00003AN2FkQAL</v>
      </c>
      <c r="B52" s="27" t="str">
        <f ca="1">IFERROR(__xludf.DUMMYFUNCTION("""COMPUTED_VALUE"""),"Fase Inicial")</f>
        <v>Fase Inicial</v>
      </c>
      <c r="C52" s="27" t="str">
        <f ca="1">IFERROR(__xludf.DUMMYFUNCTION("""COMPUTED_VALUE"""),"Acelerada")</f>
        <v>Acelerada</v>
      </c>
      <c r="D52" s="27" t="str">
        <f ca="1">IFERROR(__xludf.DUMMYFUNCTION("""COMPUTED_VALUE"""),"Ativo")</f>
        <v>Ativo</v>
      </c>
      <c r="E52" s="27" t="str">
        <f ca="1">IFERROR(__xludf.DUMMYFUNCTION("""COMPUTED_VALUE"""),"ASSOCIACAO CULTURAL, DESPORTIVA E DE ACAO SOCIAL REDE PROTAGONISTA")</f>
        <v>ASSOCIACAO CULTURAL, DESPORTIVA E DE ACAO SOCIAL REDE PROTAGONISTA</v>
      </c>
      <c r="F52" s="21" t="str">
        <f ca="1">IFERROR(VLOOKUP(A52,'Rede - Gerando Falcões '!A51:G1047,38,0),"")</f>
        <v/>
      </c>
      <c r="G52" s="27" t="str">
        <f ca="1">IFERROR(VLOOKUP(A52,'Tabela Categorização'!A:J,10,0),"")</f>
        <v>Fase Inicial</v>
      </c>
      <c r="H52" s="27" t="b">
        <f t="shared" ca="1" si="0"/>
        <v>1</v>
      </c>
      <c r="I52" s="21" t="str">
        <f>HYPERLINK("https://gerandofalcoes.my.salesforce.com/0034P00003maBVAQA2", "0034P00003maBVAQA2")</f>
        <v>0034P00003maBVAQA2</v>
      </c>
      <c r="J52" s="9" t="s">
        <v>17881</v>
      </c>
      <c r="K52" s="38" t="s">
        <v>17882</v>
      </c>
    </row>
    <row r="53" spans="1:11" ht="12.5" x14ac:dyDescent="0.25">
      <c r="A53" s="21" t="str">
        <f ca="1">IFERROR(__xludf.DUMMYFUNCTION("""COMPUTED_VALUE"""),"0014P00003AN2GLQA1")</f>
        <v>0014P00003AN2GLQA1</v>
      </c>
      <c r="B53" s="27" t="str">
        <f ca="1">IFERROR(__xludf.DUMMYFUNCTION("""COMPUTED_VALUE"""),"Fase Estruturação")</f>
        <v>Fase Estruturação</v>
      </c>
      <c r="C53" s="27" t="str">
        <f ca="1">IFERROR(__xludf.DUMMYFUNCTION("""COMPUTED_VALUE"""),"Acelerada")</f>
        <v>Acelerada</v>
      </c>
      <c r="D53" s="27" t="str">
        <f ca="1">IFERROR(__xludf.DUMMYFUNCTION("""COMPUTED_VALUE"""),"Ativo")</f>
        <v>Ativo</v>
      </c>
      <c r="E53" s="27" t="str">
        <f ca="1">IFERROR(__xludf.DUMMYFUNCTION("""COMPUTED_VALUE"""),"Associação Cultural Arautos do Gueto")</f>
        <v>Associação Cultural Arautos do Gueto</v>
      </c>
      <c r="F53" s="21" t="str">
        <f ca="1">IFERROR(VLOOKUP(A53,'Rede - Gerando Falcões '!A52:G1048,38,0),"")</f>
        <v/>
      </c>
      <c r="G53" s="27" t="str">
        <f ca="1">IFERROR(VLOOKUP(A53,'Tabela Categorização'!A:J,10,0),"")</f>
        <v>Fase Estruturação</v>
      </c>
      <c r="H53" s="27" t="b">
        <f t="shared" ca="1" si="0"/>
        <v>1</v>
      </c>
      <c r="I53" s="21" t="str">
        <f>HYPERLINK("https://gerandofalcoes.my.salesforce.com/0034P00003maBVqQAM", "0034P00003maBVqQAM")</f>
        <v>0034P00003maBVqQAM</v>
      </c>
      <c r="J53" s="9" t="s">
        <v>17881</v>
      </c>
      <c r="K53" s="38" t="s">
        <v>17882</v>
      </c>
    </row>
    <row r="54" spans="1:11" ht="12.5" x14ac:dyDescent="0.25">
      <c r="A54" s="21" t="str">
        <f ca="1">IFERROR(__xludf.DUMMYFUNCTION("""COMPUTED_VALUE"""),"0014X00002VKCqPQAX")</f>
        <v>0014X00002VKCqPQAX</v>
      </c>
      <c r="B54" s="27" t="str">
        <f ca="1">IFERROR(__xludf.DUMMYFUNCTION("""COMPUTED_VALUE"""),"Fase Inicial")</f>
        <v>Fase Inicial</v>
      </c>
      <c r="C54" s="27" t="str">
        <f ca="1">IFERROR(__xludf.DUMMYFUNCTION("""COMPUTED_VALUE"""),"Fellow")</f>
        <v>Fellow</v>
      </c>
      <c r="D54" s="27" t="str">
        <f ca="1">IFERROR(__xludf.DUMMYFUNCTION("""COMPUTED_VALUE"""),"Ativo")</f>
        <v>Ativo</v>
      </c>
      <c r="E54" s="27" t="str">
        <f ca="1">IFERROR(__xludf.DUMMYFUNCTION("""COMPUTED_VALUE"""),"ASSOCIACAO CULTURAL BELEZA INTERIOR")</f>
        <v>ASSOCIACAO CULTURAL BELEZA INTERIOR</v>
      </c>
      <c r="F54" s="21" t="str">
        <f ca="1">IFERROR(VLOOKUP(A54,'Rede - Gerando Falcões '!A53:G1049,38,0),"")</f>
        <v/>
      </c>
      <c r="G54" s="27" t="str">
        <f ca="1">IFERROR(VLOOKUP(A54,'Tabela Categorização'!A:J,10,0),"")</f>
        <v>Fase Inicial</v>
      </c>
      <c r="H54" s="27" t="b">
        <f t="shared" ca="1" si="0"/>
        <v>1</v>
      </c>
      <c r="I54" s="21" t="str">
        <f>HYPERLINK("https://gerandofalcoes.my.salesforce.com/0034X0000380O2zQAE", "0034X0000380O2zQAE")</f>
        <v>0034X0000380O2zQAE</v>
      </c>
      <c r="J54" s="9" t="s">
        <v>17881</v>
      </c>
      <c r="K54" s="38" t="s">
        <v>17882</v>
      </c>
    </row>
    <row r="55" spans="1:11" ht="12.5" x14ac:dyDescent="0.25">
      <c r="A55" s="21" t="str">
        <f ca="1">IFERROR(__xludf.DUMMYFUNCTION("""COMPUTED_VALUE"""),"0014P00003AN2GFQA1")</f>
        <v>0014P00003AN2GFQA1</v>
      </c>
      <c r="B55" s="27" t="str">
        <f ca="1">IFERROR(__xludf.DUMMYFUNCTION("""COMPUTED_VALUE"""),"Fase Inicial")</f>
        <v>Fase Inicial</v>
      </c>
      <c r="C55" s="27" t="str">
        <f ca="1">IFERROR(__xludf.DUMMYFUNCTION("""COMPUTED_VALUE"""),"Fellow")</f>
        <v>Fellow</v>
      </c>
      <c r="D55" s="27" t="str">
        <f ca="1">IFERROR(__xludf.DUMMYFUNCTION("""COMPUTED_VALUE"""),"Ativo")</f>
        <v>Ativo</v>
      </c>
      <c r="E55" s="27" t="str">
        <f ca="1">IFERROR(__xludf.DUMMYFUNCTION("""COMPUTED_VALUE"""),"Associação Cultural Casa do Beco")</f>
        <v>Associação Cultural Casa do Beco</v>
      </c>
      <c r="F55" s="21" t="str">
        <f ca="1">IFERROR(VLOOKUP(A55,'Rede - Gerando Falcões '!A54:G1050,38,0),"")</f>
        <v/>
      </c>
      <c r="G55" s="27" t="str">
        <f ca="1">IFERROR(VLOOKUP(A55,'Tabela Categorização'!A:J,10,0),"")</f>
        <v>Fase Inicial</v>
      </c>
      <c r="H55" s="27" t="b">
        <f t="shared" ca="1" si="0"/>
        <v>1</v>
      </c>
      <c r="I55" s="21" t="str">
        <f>HYPERLINK("https://gerandofalcoes.my.salesforce.com/0034P00003maBVjQAM", "0034P00003maBVjQAM")</f>
        <v>0034P00003maBVjQAM</v>
      </c>
      <c r="J55" s="9" t="s">
        <v>17881</v>
      </c>
      <c r="K55" s="38" t="s">
        <v>17882</v>
      </c>
    </row>
    <row r="56" spans="1:11" ht="12.5" x14ac:dyDescent="0.25">
      <c r="A56" s="21" t="str">
        <f ca="1">IFERROR(__xludf.DUMMYFUNCTION("""COMPUTED_VALUE"""),"0014P00003AN2G6QAL")</f>
        <v>0014P00003AN2G6QAL</v>
      </c>
      <c r="B56" s="27" t="str">
        <f ca="1">IFERROR(__xludf.DUMMYFUNCTION("""COMPUTED_VALUE"""),"Fase Estruturação")</f>
        <v>Fase Estruturação</v>
      </c>
      <c r="C56" s="27" t="str">
        <f ca="1">IFERROR(__xludf.DUMMYFUNCTION("""COMPUTED_VALUE"""),"Acelerada")</f>
        <v>Acelerada</v>
      </c>
      <c r="D56" s="27" t="str">
        <f ca="1">IFERROR(__xludf.DUMMYFUNCTION("""COMPUTED_VALUE"""),"Ativo")</f>
        <v>Ativo</v>
      </c>
      <c r="E56" s="27" t="str">
        <f ca="1">IFERROR(__xludf.DUMMYFUNCTION("""COMPUTED_VALUE"""),"Associação Cultural de Educação Social e Artística - ACESA")</f>
        <v>Associação Cultural de Educação Social e Artística - ACESA</v>
      </c>
      <c r="F56" s="21" t="str">
        <f ca="1">IFERROR(VLOOKUP(A56,'Rede - Gerando Falcões '!A55:G1051,38,0),"")</f>
        <v/>
      </c>
      <c r="G56" s="27" t="str">
        <f ca="1">IFERROR(VLOOKUP(A56,'Tabela Categorização'!A:J,10,0),"")</f>
        <v>Fase Estruturação</v>
      </c>
      <c r="H56" s="27" t="b">
        <f t="shared" ca="1" si="0"/>
        <v>1</v>
      </c>
      <c r="I56" s="21" t="str">
        <f>HYPERLINK("https://gerandofalcoes.my.salesforce.com/0034P00003maBVaQAM", "0034P00003maBVaQAM")</f>
        <v>0034P00003maBVaQAM</v>
      </c>
      <c r="J56" s="9" t="s">
        <v>17881</v>
      </c>
      <c r="K56" s="38" t="s">
        <v>17882</v>
      </c>
    </row>
    <row r="57" spans="1:11" ht="12.5" x14ac:dyDescent="0.25">
      <c r="A57" s="21" t="str">
        <f ca="1">IFERROR(__xludf.DUMMYFUNCTION("""COMPUTED_VALUE"""),"0014P00003SGWPaQAP")</f>
        <v>0014P00003SGWPaQAP</v>
      </c>
      <c r="B57" s="27" t="str">
        <f ca="1">IFERROR(__xludf.DUMMYFUNCTION("""COMPUTED_VALUE"""),"Fase Inicial")</f>
        <v>Fase Inicial</v>
      </c>
      <c r="C57" s="27" t="str">
        <f ca="1">IFERROR(__xludf.DUMMYFUNCTION("""COMPUTED_VALUE"""),"Fellow")</f>
        <v>Fellow</v>
      </c>
      <c r="D57" s="27" t="str">
        <f ca="1">IFERROR(__xludf.DUMMYFUNCTION("""COMPUTED_VALUE"""),"Ativo")</f>
        <v>Ativo</v>
      </c>
      <c r="E57" s="27" t="str">
        <f ca="1">IFERROR(__xludf.DUMMYFUNCTION("""COMPUTED_VALUE"""),"ASSOCIAÇÃO CULTURAL DESPORTIVA SAPUCAIENSE DE CAPOEIRA")</f>
        <v>ASSOCIAÇÃO CULTURAL DESPORTIVA SAPUCAIENSE DE CAPOEIRA</v>
      </c>
      <c r="F57" s="21" t="str">
        <f ca="1">IFERROR(VLOOKUP(A57,'Rede - Gerando Falcões '!A56:G1052,38,0),"")</f>
        <v/>
      </c>
      <c r="G57" s="27" t="str">
        <f ca="1">IFERROR(VLOOKUP(A57,'Tabela Categorização'!A:J,10,0),"")</f>
        <v>Fase Inicial</v>
      </c>
      <c r="H57" s="27" t="b">
        <f t="shared" ca="1" si="0"/>
        <v>1</v>
      </c>
      <c r="I57" s="21" t="str">
        <f>HYPERLINK("https://gerandofalcoes.my.salesforce.com/0034P000043fOnhQAE", "0034P000043fOnhQAE")</f>
        <v>0034P000043fOnhQAE</v>
      </c>
      <c r="J57" s="9" t="s">
        <v>17881</v>
      </c>
      <c r="K57" s="38" t="s">
        <v>17882</v>
      </c>
    </row>
    <row r="58" spans="1:11" ht="12.5" x14ac:dyDescent="0.25">
      <c r="A58" s="21" t="str">
        <f ca="1">IFERROR(__xludf.DUMMYFUNCTION("""COMPUTED_VALUE"""),"0014P00003AN2FlQAL")</f>
        <v>0014P00003AN2FlQAL</v>
      </c>
      <c r="B58" s="27" t="str">
        <f ca="1">IFERROR(__xludf.DUMMYFUNCTION("""COMPUTED_VALUE"""),"Fase Estruturação")</f>
        <v>Fase Estruturação</v>
      </c>
      <c r="C58" s="27" t="str">
        <f ca="1">IFERROR(__xludf.DUMMYFUNCTION("""COMPUTED_VALUE"""),"Acelerada")</f>
        <v>Acelerada</v>
      </c>
      <c r="D58" s="27" t="str">
        <f ca="1">IFERROR(__xludf.DUMMYFUNCTION("""COMPUTED_VALUE"""),"Ativo")</f>
        <v>Ativo</v>
      </c>
      <c r="E58" s="27" t="str">
        <f ca="1">IFERROR(__xludf.DUMMYFUNCTION("""COMPUTED_VALUE"""),"Associação Cultural Educacional e Esportiva Na Ponta dos Pés")</f>
        <v>Associação Cultural Educacional e Esportiva Na Ponta dos Pés</v>
      </c>
      <c r="F58" s="21" t="str">
        <f ca="1">IFERROR(VLOOKUP(A58,'Rede - Gerando Falcões '!A57:G1053,38,0),"")</f>
        <v/>
      </c>
      <c r="G58" s="27" t="str">
        <f ca="1">IFERROR(VLOOKUP(A58,'Tabela Categorização'!A:J,10,0),"")</f>
        <v>Fase Estruturação</v>
      </c>
      <c r="H58" s="27" t="b">
        <f t="shared" ca="1" si="0"/>
        <v>1</v>
      </c>
      <c r="I58" s="21" t="str">
        <f>HYPERLINK("https://gerandofalcoes.my.salesforce.com/0034P00003maBVCQA2", "0034P00003maBVCQA2")</f>
        <v>0034P00003maBVCQA2</v>
      </c>
      <c r="J58" s="9" t="s">
        <v>17881</v>
      </c>
      <c r="K58" s="38" t="s">
        <v>17882</v>
      </c>
    </row>
    <row r="59" spans="1:11" ht="12.5" x14ac:dyDescent="0.25">
      <c r="A59" s="21" t="str">
        <f ca="1">IFERROR(__xludf.DUMMYFUNCTION("""COMPUTED_VALUE"""),"0014P00003SGWPcQAP")</f>
        <v>0014P00003SGWPcQAP</v>
      </c>
      <c r="B59" s="27" t="str">
        <f ca="1">IFERROR(__xludf.DUMMYFUNCTION("""COMPUTED_VALUE"""),"Fase Inicial")</f>
        <v>Fase Inicial</v>
      </c>
      <c r="C59" s="27" t="str">
        <f ca="1">IFERROR(__xludf.DUMMYFUNCTION("""COMPUTED_VALUE"""),"Fellow")</f>
        <v>Fellow</v>
      </c>
      <c r="D59" s="27" t="str">
        <f ca="1">IFERROR(__xludf.DUMMYFUNCTION("""COMPUTED_VALUE"""),"Ativo")</f>
        <v>Ativo</v>
      </c>
      <c r="E59" s="27" t="str">
        <f ca="1">IFERROR(__xludf.DUMMYFUNCTION("""COMPUTED_VALUE"""),"ASSOCIAÇÃO CULTURAL E EDUCACIONAL VIOLETA ELIZ")</f>
        <v>ASSOCIAÇÃO CULTURAL E EDUCACIONAL VIOLETA ELIZ</v>
      </c>
      <c r="F59" s="21" t="str">
        <f ca="1">IFERROR(VLOOKUP(A59,'Rede - Gerando Falcões '!A58:G1054,38,0),"")</f>
        <v/>
      </c>
      <c r="G59" s="27" t="str">
        <f ca="1">IFERROR(VLOOKUP(A59,'Tabela Categorização'!A:J,10,0),"")</f>
        <v>Fase Inicial</v>
      </c>
      <c r="H59" s="27" t="b">
        <f t="shared" ca="1" si="0"/>
        <v>1</v>
      </c>
      <c r="I59" s="21" t="str">
        <f>HYPERLINK("https://gerandofalcoes.my.salesforce.com/0034P000043fOnjQAE", "0034P000043fOnjQAE")</f>
        <v>0034P000043fOnjQAE</v>
      </c>
      <c r="J59" s="9" t="s">
        <v>17881</v>
      </c>
      <c r="K59" s="38" t="s">
        <v>17882</v>
      </c>
    </row>
    <row r="60" spans="1:11" ht="12.5" x14ac:dyDescent="0.25">
      <c r="A60" s="21" t="str">
        <f ca="1">IFERROR(__xludf.DUMMYFUNCTION("""COMPUTED_VALUE"""),"0014X00002VKCu2QAH")</f>
        <v>0014X00002VKCu2QAH</v>
      </c>
      <c r="B60" s="27" t="str">
        <f ca="1">IFERROR(__xludf.DUMMYFUNCTION("""COMPUTED_VALUE"""),"Fase Inicial")</f>
        <v>Fase Inicial</v>
      </c>
      <c r="C60" s="27" t="str">
        <f ca="1">IFERROR(__xludf.DUMMYFUNCTION("""COMPUTED_VALUE"""),"Fellow")</f>
        <v>Fellow</v>
      </c>
      <c r="D60" s="27" t="str">
        <f ca="1">IFERROR(__xludf.DUMMYFUNCTION("""COMPUTED_VALUE"""),"Ativo")</f>
        <v>Ativo</v>
      </c>
      <c r="E60" s="27" t="str">
        <f ca="1">IFERROR(__xludf.DUMMYFUNCTION("""COMPUTED_VALUE"""),"Associação Cultural e Social Vila nova")</f>
        <v>Associação Cultural e Social Vila nova</v>
      </c>
      <c r="F60" s="21" t="str">
        <f ca="1">IFERROR(VLOOKUP(A60,'Rede - Gerando Falcões '!A59:G1055,38,0),"")</f>
        <v/>
      </c>
      <c r="G60" s="27" t="str">
        <f ca="1">IFERROR(VLOOKUP(A60,'Tabela Categorização'!A:J,10,0),"")</f>
        <v>Fase Inicial</v>
      </c>
      <c r="H60" s="27" t="b">
        <f t="shared" ca="1" si="0"/>
        <v>1</v>
      </c>
      <c r="I60" s="21" t="str">
        <f>HYPERLINK("https://gerandofalcoes.my.salesforce.com/0034X0000380O2WQAU", "0034X0000380O2WQAU")</f>
        <v>0034X0000380O2WQAU</v>
      </c>
      <c r="J60" s="9" t="s">
        <v>17881</v>
      </c>
      <c r="K60" s="38" t="s">
        <v>17882</v>
      </c>
    </row>
    <row r="61" spans="1:11" ht="12.5" x14ac:dyDescent="0.25">
      <c r="A61" s="21" t="str">
        <f ca="1">IFERROR(__xludf.DUMMYFUNCTION("""COMPUTED_VALUE"""),"0014P00003AN2FWQA1")</f>
        <v>0014P00003AN2FWQA1</v>
      </c>
      <c r="B61" s="27" t="str">
        <f ca="1">IFERROR(__xludf.DUMMYFUNCTION("""COMPUTED_VALUE"""),"Fase Inicial")</f>
        <v>Fase Inicial</v>
      </c>
      <c r="C61" s="27" t="str">
        <f ca="1">IFERROR(__xludf.DUMMYFUNCTION("""COMPUTED_VALUE"""),"Fellow")</f>
        <v>Fellow</v>
      </c>
      <c r="D61" s="27" t="str">
        <f ca="1">IFERROR(__xludf.DUMMYFUNCTION("""COMPUTED_VALUE"""),"Ativo")</f>
        <v>Ativo</v>
      </c>
      <c r="E61" s="27" t="str">
        <f ca="1">IFERROR(__xludf.DUMMYFUNCTION("""COMPUTED_VALUE"""),"Associação Cultural Esportiva Social Amigos - ACESA")</f>
        <v>Associação Cultural Esportiva Social Amigos - ACESA</v>
      </c>
      <c r="F61" s="21" t="str">
        <f ca="1">IFERROR(VLOOKUP(A61,'Rede - Gerando Falcões '!A60:G1056,38,0),"")</f>
        <v/>
      </c>
      <c r="G61" s="27" t="str">
        <f ca="1">IFERROR(VLOOKUP(A61,'Tabela Categorização'!A:J,10,0),"")</f>
        <v>Fase Inicial</v>
      </c>
      <c r="H61" s="27" t="b">
        <f t="shared" ca="1" si="0"/>
        <v>1</v>
      </c>
      <c r="I61" s="21" t="str">
        <f>HYPERLINK("https://gerandofalcoes.my.salesforce.com/0034P00003maBUwQAM", "0034P00003maBUwQAM")</f>
        <v>0034P00003maBUwQAM</v>
      </c>
      <c r="J61" s="9" t="s">
        <v>17881</v>
      </c>
      <c r="K61" s="38" t="s">
        <v>17882</v>
      </c>
    </row>
    <row r="62" spans="1:11" ht="12.5" x14ac:dyDescent="0.25">
      <c r="A62" s="21" t="str">
        <f ca="1">IFERROR(__xludf.DUMMYFUNCTION("""COMPUTED_VALUE"""),"0014P00003SGWPQQA5")</f>
        <v>0014P00003SGWPQQA5</v>
      </c>
      <c r="B62" s="27" t="str">
        <f ca="1">IFERROR(__xludf.DUMMYFUNCTION("""COMPUTED_VALUE"""),"Fase Avançada")</f>
        <v>Fase Avançada</v>
      </c>
      <c r="C62" s="27" t="str">
        <f ca="1">IFERROR(__xludf.DUMMYFUNCTION("""COMPUTED_VALUE"""),"Acelerada")</f>
        <v>Acelerada</v>
      </c>
      <c r="D62" s="27" t="str">
        <f ca="1">IFERROR(__xludf.DUMMYFUNCTION("""COMPUTED_VALUE"""),"Ativo")</f>
        <v>Ativo</v>
      </c>
      <c r="E62" s="27" t="str">
        <f ca="1">IFERROR(__xludf.DUMMYFUNCTION("""COMPUTED_VALUE"""),"ASSOCIAÇÃO CULTURAL PISADA DO SERTÃO")</f>
        <v>ASSOCIAÇÃO CULTURAL PISADA DO SERTÃO</v>
      </c>
      <c r="F62" s="21" t="str">
        <f ca="1">IFERROR(VLOOKUP(A62,'Rede - Gerando Falcões '!A61:G1057,38,0),"")</f>
        <v/>
      </c>
      <c r="G62" s="27" t="str">
        <f ca="1">IFERROR(VLOOKUP(A62,'Tabela Categorização'!A:J,10,0),"")</f>
        <v>Fase Avançada</v>
      </c>
      <c r="H62" s="27" t="b">
        <f t="shared" ca="1" si="0"/>
        <v>1</v>
      </c>
      <c r="I62" s="21" t="str">
        <f>HYPERLINK("https://gerandofalcoes.my.salesforce.com/0034P000043fOnYQAU", "0034P000043fOnYQAU")</f>
        <v>0034P000043fOnYQAU</v>
      </c>
      <c r="J62" s="9" t="s">
        <v>17881</v>
      </c>
      <c r="K62" s="38" t="s">
        <v>17882</v>
      </c>
    </row>
    <row r="63" spans="1:11" ht="12.5" x14ac:dyDescent="0.25">
      <c r="A63" s="21" t="str">
        <f ca="1">IFERROR(__xludf.DUMMYFUNCTION("""COMPUTED_VALUE"""),"0014X00002VKCrZQAX")</f>
        <v>0014X00002VKCrZQAX</v>
      </c>
      <c r="B63" s="27" t="str">
        <f ca="1">IFERROR(__xludf.DUMMYFUNCTION("""COMPUTED_VALUE"""),"Fase Estruturação")</f>
        <v>Fase Estruturação</v>
      </c>
      <c r="C63" s="27" t="str">
        <f ca="1">IFERROR(__xludf.DUMMYFUNCTION("""COMPUTED_VALUE"""),"Fellow")</f>
        <v>Fellow</v>
      </c>
      <c r="D63" s="27" t="str">
        <f ca="1">IFERROR(__xludf.DUMMYFUNCTION("""COMPUTED_VALUE"""),"Ativo")</f>
        <v>Ativo</v>
      </c>
      <c r="E63" s="27" t="str">
        <f ca="1">IFERROR(__xludf.DUMMYFUNCTION("""COMPUTED_VALUE"""),"Associação das Mulheres de Nazaré da Mata")</f>
        <v>Associação das Mulheres de Nazaré da Mata</v>
      </c>
      <c r="F63" s="21" t="str">
        <f ca="1">IFERROR(VLOOKUP(A63,'Rede - Gerando Falcões '!A62:G1058,38,0),"")</f>
        <v/>
      </c>
      <c r="G63" s="27" t="str">
        <f ca="1">IFERROR(VLOOKUP(A63,'Tabela Categorização'!A:J,10,0),"")</f>
        <v>Fase Estruturação</v>
      </c>
      <c r="H63" s="27" t="b">
        <f t="shared" ca="1" si="0"/>
        <v>1</v>
      </c>
      <c r="I63" s="21" t="str">
        <f>HYPERLINK("https://gerandofalcoes.my.salesforce.com/0034X0000380O0lQAE", "0034X0000380O0lQAE")</f>
        <v>0034X0000380O0lQAE</v>
      </c>
      <c r="J63" s="9" t="s">
        <v>17881</v>
      </c>
      <c r="K63" s="38" t="s">
        <v>17882</v>
      </c>
    </row>
    <row r="64" spans="1:11" ht="12.5" x14ac:dyDescent="0.25">
      <c r="A64" s="21" t="str">
        <f ca="1">IFERROR(__xludf.DUMMYFUNCTION("""COMPUTED_VALUE"""),"0014P00003YSp9YQAT")</f>
        <v>0014P00003YSp9YQAT</v>
      </c>
      <c r="B64" s="27" t="str">
        <f ca="1">IFERROR(__xludf.DUMMYFUNCTION("""COMPUTED_VALUE"""),"Fase Inicial")</f>
        <v>Fase Inicial</v>
      </c>
      <c r="C64" s="27" t="str">
        <f ca="1">IFERROR(__xludf.DUMMYFUNCTION("""COMPUTED_VALUE"""),"Fellow")</f>
        <v>Fellow</v>
      </c>
      <c r="D64" s="27" t="str">
        <f ca="1">IFERROR(__xludf.DUMMYFUNCTION("""COMPUTED_VALUE"""),"Ativo")</f>
        <v>Ativo</v>
      </c>
      <c r="E64" s="27" t="str">
        <f ca="1">IFERROR(__xludf.DUMMYFUNCTION("""COMPUTED_VALUE"""),"Associação de apoio a Mães de Especiais- Instituto AME")</f>
        <v>Associação de apoio a Mães de Especiais- Instituto AME</v>
      </c>
      <c r="F64" s="21" t="str">
        <f ca="1">IFERROR(VLOOKUP(A64,'Rede - Gerando Falcões '!A63:G1059,38,0),"")</f>
        <v/>
      </c>
      <c r="G64" s="27" t="str">
        <f ca="1">IFERROR(VLOOKUP(A64,'Tabela Categorização'!A:J,10,0),"")</f>
        <v>Fase Inicial</v>
      </c>
      <c r="H64" s="27" t="b">
        <f t="shared" ca="1" si="0"/>
        <v>1</v>
      </c>
      <c r="I64" s="21" t="str">
        <f>HYPERLINK("https://gerandofalcoes.my.salesforce.com/0034P000045kxkAQAQ", "0034P000045kxkAQAQ")</f>
        <v>0034P000045kxkAQAQ</v>
      </c>
      <c r="J64" s="9" t="s">
        <v>17881</v>
      </c>
      <c r="K64" s="38" t="s">
        <v>17882</v>
      </c>
    </row>
    <row r="65" spans="1:11" ht="12.5" x14ac:dyDescent="0.25">
      <c r="A65" s="21" t="str">
        <f ca="1">IFERROR(__xludf.DUMMYFUNCTION("""COMPUTED_VALUE"""),"0014P00003YSp9HQAT")</f>
        <v>0014P00003YSp9HQAT</v>
      </c>
      <c r="B65" s="27" t="str">
        <f ca="1">IFERROR(__xludf.DUMMYFUNCTION("""COMPUTED_VALUE"""),"Fase Inicial")</f>
        <v>Fase Inicial</v>
      </c>
      <c r="C65" s="27" t="str">
        <f ca="1">IFERROR(__xludf.DUMMYFUNCTION("""COMPUTED_VALUE"""),"Fellow")</f>
        <v>Fellow</v>
      </c>
      <c r="D65" s="27" t="str">
        <f ca="1">IFERROR(__xludf.DUMMYFUNCTION("""COMPUTED_VALUE"""),"Ativo")</f>
        <v>Ativo</v>
      </c>
      <c r="E65" s="27" t="str">
        <f ca="1">IFERROR(__xludf.DUMMYFUNCTION("""COMPUTED_VALUE"""),"Associação de Apoio às Famílias Vulneráveis")</f>
        <v>Associação de Apoio às Famílias Vulneráveis</v>
      </c>
      <c r="F65" s="21" t="str">
        <f ca="1">IFERROR(VLOOKUP(A65,'Rede - Gerando Falcões '!A64:G1060,38,0),"")</f>
        <v/>
      </c>
      <c r="G65" s="27" t="str">
        <f ca="1">IFERROR(VLOOKUP(A65,'Tabela Categorização'!A:J,10,0),"")</f>
        <v>Fase Inicial</v>
      </c>
      <c r="H65" s="27" t="b">
        <f t="shared" ca="1" si="0"/>
        <v>1</v>
      </c>
      <c r="I65" s="21" t="str">
        <f>HYPERLINK("https://gerandofalcoes.my.salesforce.com/0034P000045kxjtQAA", "0034P000045kxjtQAA")</f>
        <v>0034P000045kxjtQAA</v>
      </c>
      <c r="J65" s="9" t="s">
        <v>17881</v>
      </c>
      <c r="K65" s="38" t="s">
        <v>17882</v>
      </c>
    </row>
    <row r="66" spans="1:11" ht="12.5" x14ac:dyDescent="0.25">
      <c r="A66" s="21" t="str">
        <f ca="1">IFERROR(__xludf.DUMMYFUNCTION("""COMPUTED_VALUE"""),"0014X00002VKCp8QAH")</f>
        <v>0014X00002VKCp8QAH</v>
      </c>
      <c r="B66" s="27" t="str">
        <f ca="1">IFERROR(__xludf.DUMMYFUNCTION("""COMPUTED_VALUE"""),"Fase Inicial")</f>
        <v>Fase Inicial</v>
      </c>
      <c r="C66" s="27" t="str">
        <f ca="1">IFERROR(__xludf.DUMMYFUNCTION("""COMPUTED_VALUE"""),"Fellow")</f>
        <v>Fellow</v>
      </c>
      <c r="D66" s="27" t="str">
        <f ca="1">IFERROR(__xludf.DUMMYFUNCTION("""COMPUTED_VALUE"""),"Ativo")</f>
        <v>Ativo</v>
      </c>
      <c r="E66" s="27" t="str">
        <f ca="1">IFERROR(__xludf.DUMMYFUNCTION("""COMPUTED_VALUE"""),"ASSOCIAÇAO DE ARTESANATO E APICULTURA DOS POVOADOS TIGRE E JUNÇA")</f>
        <v>ASSOCIAÇAO DE ARTESANATO E APICULTURA DOS POVOADOS TIGRE E JUNÇA</v>
      </c>
      <c r="F66" s="21" t="str">
        <f ca="1">IFERROR(VLOOKUP(A66,'Rede - Gerando Falcões '!A65:G1061,38,0),"")</f>
        <v/>
      </c>
      <c r="G66" s="27" t="str">
        <f ca="1">IFERROR(VLOOKUP(A66,'Tabela Categorização'!A:J,10,0),"")</f>
        <v>Fase Inicial</v>
      </c>
      <c r="H66" s="27" t="b">
        <f t="shared" ca="1" si="0"/>
        <v>1</v>
      </c>
      <c r="I66" s="21" t="str">
        <f>HYPERLINK("https://gerandofalcoes.my.salesforce.com/0034X0000380O1FQAU", "0034X0000380O1FQAU")</f>
        <v>0034X0000380O1FQAU</v>
      </c>
      <c r="J66" s="9" t="s">
        <v>17881</v>
      </c>
      <c r="K66" s="38" t="s">
        <v>17882</v>
      </c>
    </row>
    <row r="67" spans="1:11" ht="12.5" x14ac:dyDescent="0.25">
      <c r="A67" s="21" t="str">
        <f ca="1">IFERROR(__xludf.DUMMYFUNCTION("""COMPUTED_VALUE"""),"0014P00003YSp7mQAD")</f>
        <v>0014P00003YSp7mQAD</v>
      </c>
      <c r="B67" s="27" t="str">
        <f ca="1">IFERROR(__xludf.DUMMYFUNCTION("""COMPUTED_VALUE"""),"Fase Inicial")</f>
        <v>Fase Inicial</v>
      </c>
      <c r="C67" s="27" t="str">
        <f ca="1">IFERROR(__xludf.DUMMYFUNCTION("""COMPUTED_VALUE"""),"Fellow")</f>
        <v>Fellow</v>
      </c>
      <c r="D67" s="27" t="str">
        <f ca="1">IFERROR(__xludf.DUMMYFUNCTION("""COMPUTED_VALUE"""),"Ativo")</f>
        <v>Ativo</v>
      </c>
      <c r="E67" s="27" t="str">
        <f ca="1">IFERROR(__xludf.DUMMYFUNCTION("""COMPUTED_VALUE"""),"Associação de Capoeira Muleki é Tu")</f>
        <v>Associação de Capoeira Muleki é Tu</v>
      </c>
      <c r="F67" s="21" t="str">
        <f ca="1">IFERROR(VLOOKUP(A67,'Rede - Gerando Falcões '!A66:G1062,38,0),"")</f>
        <v/>
      </c>
      <c r="G67" s="27" t="str">
        <f ca="1">IFERROR(VLOOKUP(A67,'Tabela Categorização'!A:J,10,0),"")</f>
        <v>Fase Inicial</v>
      </c>
      <c r="H67" s="27" t="b">
        <f t="shared" ca="1" si="0"/>
        <v>1</v>
      </c>
      <c r="I67" s="21" t="str">
        <f>HYPERLINK("https://gerandofalcoes.my.salesforce.com/0034P000045kxiNQAQ", "0034P000045kxiNQAQ")</f>
        <v>0034P000045kxiNQAQ</v>
      </c>
      <c r="J67" s="9" t="s">
        <v>17881</v>
      </c>
      <c r="K67" s="38" t="s">
        <v>17882</v>
      </c>
    </row>
    <row r="68" spans="1:11" ht="12.5" x14ac:dyDescent="0.25">
      <c r="A68" s="21" t="str">
        <f ca="1">IFERROR(__xludf.DUMMYFUNCTION("""COMPUTED_VALUE"""),"0014P00003YSp83QAD")</f>
        <v>0014P00003YSp83QAD</v>
      </c>
      <c r="B68" s="27" t="str">
        <f ca="1">IFERROR(__xludf.DUMMYFUNCTION("""COMPUTED_VALUE"""),"Fase Inicial")</f>
        <v>Fase Inicial</v>
      </c>
      <c r="C68" s="27" t="str">
        <f ca="1">IFERROR(__xludf.DUMMYFUNCTION("""COMPUTED_VALUE"""),"Fellow")</f>
        <v>Fellow</v>
      </c>
      <c r="D68" s="27" t="str">
        <f ca="1">IFERROR(__xludf.DUMMYFUNCTION("""COMPUTED_VALUE"""),"Ativo")</f>
        <v>Ativo</v>
      </c>
      <c r="E68" s="27" t="str">
        <f ca="1">IFERROR(__xludf.DUMMYFUNCTION("""COMPUTED_VALUE"""),"Associação de Cultura e Artes Casa de Bambas")</f>
        <v>Associação de Cultura e Artes Casa de Bambas</v>
      </c>
      <c r="F68" s="21" t="str">
        <f ca="1">IFERROR(VLOOKUP(A68,'Rede - Gerando Falcões '!A67:G1063,38,0),"")</f>
        <v/>
      </c>
      <c r="G68" s="27" t="str">
        <f ca="1">IFERROR(VLOOKUP(A68,'Tabela Categorização'!A:J,10,0),"")</f>
        <v>Fase Inicial</v>
      </c>
      <c r="H68" s="27" t="b">
        <f t="shared" ca="1" si="0"/>
        <v>1</v>
      </c>
      <c r="I68" s="21" t="str">
        <f>HYPERLINK("https://gerandofalcoes.my.salesforce.com/0034P000045kxieQAA", "0034P000045kxieQAA")</f>
        <v>0034P000045kxieQAA</v>
      </c>
      <c r="J68" s="9" t="s">
        <v>17881</v>
      </c>
      <c r="K68" s="38" t="s">
        <v>17882</v>
      </c>
    </row>
    <row r="69" spans="1:11" ht="12.5" x14ac:dyDescent="0.25">
      <c r="A69" s="21" t="str">
        <f ca="1">IFERROR(__xludf.DUMMYFUNCTION("""COMPUTED_VALUE"""),"0014P00003SGWQBQA5")</f>
        <v>0014P00003SGWQBQA5</v>
      </c>
      <c r="B69" s="27" t="str">
        <f ca="1">IFERROR(__xludf.DUMMYFUNCTION("""COMPUTED_VALUE"""),"Fase Inicial")</f>
        <v>Fase Inicial</v>
      </c>
      <c r="C69" s="27" t="str">
        <f ca="1">IFERROR(__xludf.DUMMYFUNCTION("""COMPUTED_VALUE"""),"Fellow")</f>
        <v>Fellow</v>
      </c>
      <c r="D69" s="27" t="str">
        <f ca="1">IFERROR(__xludf.DUMMYFUNCTION("""COMPUTED_VALUE"""),"Ativo")</f>
        <v>Ativo</v>
      </c>
      <c r="E69" s="27" t="str">
        <f ca="1">IFERROR(__xludf.DUMMYFUNCTION("""COMPUTED_VALUE"""),"ASSOCIAÇÃO DE EDUCAÇÃO E ARTE")</f>
        <v>ASSOCIAÇÃO DE EDUCAÇÃO E ARTE</v>
      </c>
      <c r="F69" s="21" t="str">
        <f ca="1">IFERROR(VLOOKUP(A69,'Rede - Gerando Falcões '!A68:G1064,38,0),"")</f>
        <v/>
      </c>
      <c r="G69" s="27" t="str">
        <f ca="1">IFERROR(VLOOKUP(A69,'Tabela Categorização'!A:J,10,0),"")</f>
        <v>Fase Inicial</v>
      </c>
      <c r="H69" s="27" t="b">
        <f t="shared" ca="1" si="0"/>
        <v>1</v>
      </c>
      <c r="I69" s="21" t="str">
        <f>HYPERLINK("https://gerandofalcoes.my.salesforce.com/0034P000043fOoCQAU", "0034P000043fOoCQAU")</f>
        <v>0034P000043fOoCQAU</v>
      </c>
      <c r="J69" s="9" t="s">
        <v>17881</v>
      </c>
      <c r="K69" s="38" t="s">
        <v>17882</v>
      </c>
    </row>
    <row r="70" spans="1:11" ht="12.5" x14ac:dyDescent="0.25">
      <c r="A70" s="21" t="str">
        <f ca="1">IFERROR(__xludf.DUMMYFUNCTION("""COMPUTED_VALUE"""),"0014X00002VKCplQAH")</f>
        <v>0014X00002VKCplQAH</v>
      </c>
      <c r="B70" s="27" t="str">
        <f ca="1">IFERROR(__xludf.DUMMYFUNCTION("""COMPUTED_VALUE"""),"Fase Inicial")</f>
        <v>Fase Inicial</v>
      </c>
      <c r="C70" s="27" t="str">
        <f ca="1">IFERROR(__xludf.DUMMYFUNCTION("""COMPUTED_VALUE"""),"Fellow")</f>
        <v>Fellow</v>
      </c>
      <c r="D70" s="27" t="str">
        <f ca="1">IFERROR(__xludf.DUMMYFUNCTION("""COMPUTED_VALUE"""),"Ativo")</f>
        <v>Ativo</v>
      </c>
      <c r="E70" s="27" t="str">
        <f ca="1">IFERROR(__xludf.DUMMYFUNCTION("""COMPUTED_VALUE"""),"Associação Deficiência Superando Limites - ADESUL")</f>
        <v>Associação Deficiência Superando Limites - ADESUL</v>
      </c>
      <c r="F70" s="21" t="str">
        <f ca="1">IFERROR(VLOOKUP(A70,'Rede - Gerando Falcões '!A69:G1065,38,0),"")</f>
        <v/>
      </c>
      <c r="G70" s="27" t="str">
        <f ca="1">IFERROR(VLOOKUP(A70,'Tabela Categorização'!A:J,10,0),"")</f>
        <v>Fase Inicial</v>
      </c>
      <c r="H70" s="27" t="b">
        <f t="shared" ca="1" si="0"/>
        <v>1</v>
      </c>
      <c r="I70" s="21" t="str">
        <f>HYPERLINK("https://gerandofalcoes.my.salesforce.com/0034X0000380O1CQAU", "0034X0000380O1CQAU")</f>
        <v>0034X0000380O1CQAU</v>
      </c>
      <c r="J70" s="9" t="s">
        <v>17881</v>
      </c>
      <c r="K70" s="38" t="s">
        <v>17882</v>
      </c>
    </row>
    <row r="71" spans="1:11" ht="12.5" x14ac:dyDescent="0.25">
      <c r="A71" s="21" t="str">
        <f ca="1">IFERROR(__xludf.DUMMYFUNCTION("""COMPUTED_VALUE"""),"0014X00002OEuaoQAD")</f>
        <v>0014X00002OEuaoQAD</v>
      </c>
      <c r="B71" s="27" t="str">
        <f ca="1">IFERROR(__xludf.DUMMYFUNCTION("""COMPUTED_VALUE"""),"Fase Inicial")</f>
        <v>Fase Inicial</v>
      </c>
      <c r="C71" s="27" t="str">
        <f ca="1">IFERROR(__xludf.DUMMYFUNCTION("""COMPUTED_VALUE"""),"Fellow")</f>
        <v>Fellow</v>
      </c>
      <c r="D71" s="27" t="str">
        <f ca="1">IFERROR(__xludf.DUMMYFUNCTION("""COMPUTED_VALUE"""),"Ativo")</f>
        <v>Ativo</v>
      </c>
      <c r="E71" s="27" t="str">
        <f ca="1">IFERROR(__xludf.DUMMYFUNCTION("""COMPUTED_VALUE"""),"Associação de Lazer Esporte Educação e Cultura - LEEC")</f>
        <v>Associação de Lazer Esporte Educação e Cultura - LEEC</v>
      </c>
      <c r="F71" s="21" t="str">
        <f ca="1">IFERROR(VLOOKUP(A71,'Rede - Gerando Falcões '!A70:G1066,38,0),"")</f>
        <v/>
      </c>
      <c r="G71" s="27" t="str">
        <f ca="1">IFERROR(VLOOKUP(A71,'Tabela Categorização'!A:J,10,0),"")</f>
        <v>Fase Inicial</v>
      </c>
      <c r="H71" s="27" t="b">
        <f t="shared" ca="1" si="0"/>
        <v>1</v>
      </c>
      <c r="I71" s="21" t="str">
        <f>HYPERLINK("https://gerandofalcoes.my.salesforce.com/0034X0000315PQxQAM", "0034X0000315PQxQAM")</f>
        <v>0034X0000315PQxQAM</v>
      </c>
      <c r="J71" s="9" t="s">
        <v>17881</v>
      </c>
      <c r="K71" s="38" t="s">
        <v>17882</v>
      </c>
    </row>
    <row r="72" spans="1:11" ht="12.5" x14ac:dyDescent="0.25">
      <c r="A72" s="21" t="str">
        <f ca="1">IFERROR(__xludf.DUMMYFUNCTION("""COMPUTED_VALUE"""),"0014X00002VKCsIQAX")</f>
        <v>0014X00002VKCsIQAX</v>
      </c>
      <c r="B72" s="27" t="str">
        <f ca="1">IFERROR(__xludf.DUMMYFUNCTION("""COMPUTED_VALUE"""),"Fase Inicial")</f>
        <v>Fase Inicial</v>
      </c>
      <c r="C72" s="27" t="str">
        <f ca="1">IFERROR(__xludf.DUMMYFUNCTION("""COMPUTED_VALUE"""),"Fellow")</f>
        <v>Fellow</v>
      </c>
      <c r="D72" s="27" t="str">
        <f ca="1">IFERROR(__xludf.DUMMYFUNCTION("""COMPUTED_VALUE"""),"Ativo")</f>
        <v>Ativo</v>
      </c>
      <c r="E72" s="27" t="str">
        <f ca="1">IFERROR(__xludf.DUMMYFUNCTION("""COMPUTED_VALUE"""),"Associação de Moradores da Rua Travassos")</f>
        <v>Associação de Moradores da Rua Travassos</v>
      </c>
      <c r="F72" s="21" t="str">
        <f ca="1">IFERROR(VLOOKUP(A72,'Rede - Gerando Falcões '!A71:G1067,38,0),"")</f>
        <v/>
      </c>
      <c r="G72" s="27" t="str">
        <f ca="1">IFERROR(VLOOKUP(A72,'Tabela Categorização'!A:J,10,0),"")</f>
        <v>Fase Inicial</v>
      </c>
      <c r="H72" s="27" t="b">
        <f t="shared" ca="1" si="0"/>
        <v>1</v>
      </c>
      <c r="I72" s="21" t="str">
        <f>HYPERLINK("https://gerandofalcoes.my.salesforce.com/0034X0000380O13QAE", "0034X0000380O13QAE")</f>
        <v>0034X0000380O13QAE</v>
      </c>
      <c r="J72" s="9" t="s">
        <v>17881</v>
      </c>
      <c r="K72" s="38" t="s">
        <v>17882</v>
      </c>
    </row>
    <row r="73" spans="1:11" ht="12.5" x14ac:dyDescent="0.25">
      <c r="A73" s="21" t="str">
        <f ca="1">IFERROR(__xludf.DUMMYFUNCTION("""COMPUTED_VALUE"""),"0014X00002VKCv9QAH")</f>
        <v>0014X00002VKCv9QAH</v>
      </c>
      <c r="B73" s="27" t="str">
        <f ca="1">IFERROR(__xludf.DUMMYFUNCTION("""COMPUTED_VALUE"""),"Fase Inicial")</f>
        <v>Fase Inicial</v>
      </c>
      <c r="C73" s="27" t="str">
        <f ca="1">IFERROR(__xludf.DUMMYFUNCTION("""COMPUTED_VALUE"""),"Fellow")</f>
        <v>Fellow</v>
      </c>
      <c r="D73" s="27" t="str">
        <f ca="1">IFERROR(__xludf.DUMMYFUNCTION("""COMPUTED_VALUE"""),"Ativo")</f>
        <v>Ativo</v>
      </c>
      <c r="E73" s="27" t="str">
        <f ca="1">IFERROR(__xludf.DUMMYFUNCTION("""COMPUTED_VALUE"""),"Associação de Moradores de Monte Cristo")</f>
        <v>Associação de Moradores de Monte Cristo</v>
      </c>
      <c r="F73" s="21" t="str">
        <f ca="1">IFERROR(VLOOKUP(A73,'Rede - Gerando Falcões '!A72:G1068,38,0),"")</f>
        <v/>
      </c>
      <c r="G73" s="27" t="str">
        <f ca="1">IFERROR(VLOOKUP(A73,'Tabela Categorização'!A:J,10,0),"")</f>
        <v>Fase Inicial</v>
      </c>
      <c r="H73" s="27" t="b">
        <f t="shared" ca="1" si="0"/>
        <v>1</v>
      </c>
      <c r="I73" s="21" t="str">
        <f>HYPERLINK("https://gerandofalcoes.my.salesforce.com/0034X0000380O6OQAU", "0034X0000380O6OQAU")</f>
        <v>0034X0000380O6OQAU</v>
      </c>
      <c r="J73" s="9" t="s">
        <v>17881</v>
      </c>
      <c r="K73" s="38" t="s">
        <v>17882</v>
      </c>
    </row>
    <row r="74" spans="1:11" ht="12.5" x14ac:dyDescent="0.25">
      <c r="A74" s="21" t="str">
        <f ca="1">IFERROR(__xludf.DUMMYFUNCTION("""COMPUTED_VALUE"""),"0014X00002VKCqjQAH")</f>
        <v>0014X00002VKCqjQAH</v>
      </c>
      <c r="B74" s="27" t="str">
        <f ca="1">IFERROR(__xludf.DUMMYFUNCTION("""COMPUTED_VALUE"""),"Fase Inicial")</f>
        <v>Fase Inicial</v>
      </c>
      <c r="C74" s="27" t="str">
        <f ca="1">IFERROR(__xludf.DUMMYFUNCTION("""COMPUTED_VALUE"""),"Fellow")</f>
        <v>Fellow</v>
      </c>
      <c r="D74" s="27" t="str">
        <f ca="1">IFERROR(__xludf.DUMMYFUNCTION("""COMPUTED_VALUE"""),"Ativo")</f>
        <v>Ativo</v>
      </c>
      <c r="E74" s="27" t="str">
        <f ca="1">IFERROR(__xludf.DUMMYFUNCTION("""COMPUTED_VALUE"""),"Associação de Moradores do Bairro Alvorada")</f>
        <v>Associação de Moradores do Bairro Alvorada</v>
      </c>
      <c r="F74" s="21" t="str">
        <f ca="1">IFERROR(VLOOKUP(A74,'Rede - Gerando Falcões '!A73:G1069,38,0),"")</f>
        <v/>
      </c>
      <c r="G74" s="27" t="str">
        <f ca="1">IFERROR(VLOOKUP(A74,'Tabela Categorização'!A:J,10,0),"")</f>
        <v>Fase Inicial</v>
      </c>
      <c r="H74" s="27" t="b">
        <f t="shared" ca="1" si="0"/>
        <v>1</v>
      </c>
      <c r="I74" s="21" t="str">
        <f>HYPERLINK("https://gerandofalcoes.my.salesforce.com/0034X0000380O11QAE", "0034X0000380O11QAE")</f>
        <v>0034X0000380O11QAE</v>
      </c>
      <c r="J74" s="9" t="s">
        <v>17881</v>
      </c>
      <c r="K74" s="38" t="s">
        <v>17882</v>
      </c>
    </row>
    <row r="75" spans="1:11" ht="12.5" x14ac:dyDescent="0.25">
      <c r="A75" s="21" t="str">
        <f ca="1">IFERROR(__xludf.DUMMYFUNCTION("""COMPUTED_VALUE"""),"0014X00002VKCtqQAH")</f>
        <v>0014X00002VKCtqQAH</v>
      </c>
      <c r="B75" s="27"/>
      <c r="C75" s="27" t="str">
        <f ca="1">IFERROR(__xludf.DUMMYFUNCTION("""COMPUTED_VALUE"""),"Fellow")</f>
        <v>Fellow</v>
      </c>
      <c r="D75" s="27" t="str">
        <f ca="1">IFERROR(__xludf.DUMMYFUNCTION("""COMPUTED_VALUE"""),"Ativo")</f>
        <v>Ativo</v>
      </c>
      <c r="E75" s="27" t="str">
        <f ca="1">IFERROR(__xludf.DUMMYFUNCTION("""COMPUTED_VALUE"""),"Associação de Moradores do Jardim Nemari e Vila Martins")</f>
        <v>Associação de Moradores do Jardim Nemari e Vila Martins</v>
      </c>
      <c r="F75" s="21" t="str">
        <f ca="1">IFERROR(VLOOKUP(A75,'Rede - Gerando Falcões '!A74:G1070,38,0),"")</f>
        <v/>
      </c>
      <c r="G75" s="27" t="str">
        <f ca="1">IFERROR(VLOOKUP(A75,'Tabela Categorização'!A:J,10,0),"")</f>
        <v/>
      </c>
      <c r="H75" s="27" t="b">
        <f t="shared" ca="1" si="0"/>
        <v>1</v>
      </c>
      <c r="I75" s="21" t="str">
        <f>HYPERLINK("https://gerandofalcoes.my.salesforce.com/0034X0000380O5dQAE", "0034X0000380O5dQAE")</f>
        <v>0034X0000380O5dQAE</v>
      </c>
      <c r="J75" s="9" t="s">
        <v>17881</v>
      </c>
      <c r="K75" s="38" t="s">
        <v>17882</v>
      </c>
    </row>
    <row r="76" spans="1:11" ht="12.5" x14ac:dyDescent="0.25">
      <c r="A76" s="21" t="str">
        <f ca="1">IFERROR(__xludf.DUMMYFUNCTION("""COMPUTED_VALUE"""),"0014P00003AN2G7QAL")</f>
        <v>0014P00003AN2G7QAL</v>
      </c>
      <c r="B76" s="27" t="str">
        <f ca="1">IFERROR(__xludf.DUMMYFUNCTION("""COMPUTED_VALUE"""),"Fase Inicial")</f>
        <v>Fase Inicial</v>
      </c>
      <c r="C76" s="27" t="str">
        <f ca="1">IFERROR(__xludf.DUMMYFUNCTION("""COMPUTED_VALUE"""),"Fellow")</f>
        <v>Fellow</v>
      </c>
      <c r="D76" s="27" t="str">
        <f ca="1">IFERROR(__xludf.DUMMYFUNCTION("""COMPUTED_VALUE"""),"Ativo")</f>
        <v>Ativo</v>
      </c>
      <c r="E76" s="27" t="str">
        <f ca="1">IFERROR(__xludf.DUMMYFUNCTION("""COMPUTED_VALUE"""),"Associação de Mulheres de Atitude e Compromisso Social")</f>
        <v>Associação de Mulheres de Atitude e Compromisso Social</v>
      </c>
      <c r="F76" s="21" t="str">
        <f ca="1">IFERROR(VLOOKUP(A76,'Rede - Gerando Falcões '!A75:G1071,38,0),"")</f>
        <v/>
      </c>
      <c r="G76" s="27" t="str">
        <f ca="1">IFERROR(VLOOKUP(A76,'Tabela Categorização'!A:J,10,0),"")</f>
        <v>Fase Inicial</v>
      </c>
      <c r="H76" s="27" t="b">
        <f t="shared" ca="1" si="0"/>
        <v>1</v>
      </c>
      <c r="I76" s="21" t="str">
        <f>HYPERLINK("https://gerandofalcoes.my.salesforce.com/0034P00003maBVbQAM", "0034P00003maBVbQAM")</f>
        <v>0034P00003maBVbQAM</v>
      </c>
      <c r="J76" s="9" t="s">
        <v>17881</v>
      </c>
      <c r="K76" s="38" t="s">
        <v>17882</v>
      </c>
    </row>
    <row r="77" spans="1:11" ht="12.5" x14ac:dyDescent="0.25">
      <c r="A77" s="21" t="str">
        <f ca="1">IFERROR(__xludf.DUMMYFUNCTION("""COMPUTED_VALUE"""),"0014P00003SGWPmQAP")</f>
        <v>0014P00003SGWPmQAP</v>
      </c>
      <c r="B77" s="27" t="str">
        <f ca="1">IFERROR(__xludf.DUMMYFUNCTION("""COMPUTED_VALUE"""),"Fase Inicial")</f>
        <v>Fase Inicial</v>
      </c>
      <c r="C77" s="27" t="str">
        <f ca="1">IFERROR(__xludf.DUMMYFUNCTION("""COMPUTED_VALUE"""),"Fellow")</f>
        <v>Fellow</v>
      </c>
      <c r="D77" s="27" t="str">
        <f ca="1">IFERROR(__xludf.DUMMYFUNCTION("""COMPUTED_VALUE"""),"Ativo")</f>
        <v>Ativo</v>
      </c>
      <c r="E77" s="27" t="str">
        <f ca="1">IFERROR(__xludf.DUMMYFUNCTION("""COMPUTED_VALUE"""),"ASSOCIAÇAO DE MULHERES EMPODERADAS DO MONTE CRISTO")</f>
        <v>ASSOCIAÇAO DE MULHERES EMPODERADAS DO MONTE CRISTO</v>
      </c>
      <c r="F77" s="21" t="str">
        <f ca="1">IFERROR(VLOOKUP(A77,'Rede - Gerando Falcões '!A76:G1072,38,0),"")</f>
        <v/>
      </c>
      <c r="G77" s="27" t="str">
        <f ca="1">IFERROR(VLOOKUP(A77,'Tabela Categorização'!A:J,10,0),"")</f>
        <v>Fase Inicial</v>
      </c>
      <c r="H77" s="27" t="b">
        <f t="shared" ca="1" si="0"/>
        <v>1</v>
      </c>
      <c r="I77" s="21" t="str">
        <f>HYPERLINK("https://gerandofalcoes.my.salesforce.com/0034P000043fOntQAE", "0034P000043fOntQAE")</f>
        <v>0034P000043fOntQAE</v>
      </c>
      <c r="J77" s="9" t="s">
        <v>17881</v>
      </c>
      <c r="K77" s="38" t="s">
        <v>17882</v>
      </c>
    </row>
    <row r="78" spans="1:11" ht="12.5" x14ac:dyDescent="0.25">
      <c r="A78" s="21" t="str">
        <f ca="1">IFERROR(__xludf.DUMMYFUNCTION("""COMPUTED_VALUE"""),"0014X00002VKCs5QAH")</f>
        <v>0014X00002VKCs5QAH</v>
      </c>
      <c r="B78" s="27" t="str">
        <f ca="1">IFERROR(__xludf.DUMMYFUNCTION("""COMPUTED_VALUE"""),"Fase Inicial")</f>
        <v>Fase Inicial</v>
      </c>
      <c r="C78" s="27" t="str">
        <f ca="1">IFERROR(__xludf.DUMMYFUNCTION("""COMPUTED_VALUE"""),"Fellow")</f>
        <v>Fellow</v>
      </c>
      <c r="D78" s="27" t="str">
        <f ca="1">IFERROR(__xludf.DUMMYFUNCTION("""COMPUTED_VALUE"""),"Ativo")</f>
        <v>Ativo</v>
      </c>
      <c r="E78" s="27" t="str">
        <f ca="1">IFERROR(__xludf.DUMMYFUNCTION("""COMPUTED_VALUE"""),"Associação de Mulheres Negras do Acre e seus Apoiadores")</f>
        <v>Associação de Mulheres Negras do Acre e seus Apoiadores</v>
      </c>
      <c r="F78" s="21" t="str">
        <f ca="1">IFERROR(VLOOKUP(A78,'Rede - Gerando Falcões '!A77:G1073,38,0),"")</f>
        <v/>
      </c>
      <c r="G78" s="27" t="str">
        <f ca="1">IFERROR(VLOOKUP(A78,'Tabela Categorização'!A:J,10,0),"")</f>
        <v>Fase Inicial</v>
      </c>
      <c r="H78" s="27" t="b">
        <f t="shared" ca="1" si="0"/>
        <v>1</v>
      </c>
      <c r="I78" s="21" t="str">
        <f>HYPERLINK("https://gerandofalcoes.my.salesforce.com/0034X0000380O2uQAE", "0034X0000380O2uQAE")</f>
        <v>0034X0000380O2uQAE</v>
      </c>
      <c r="J78" s="9" t="s">
        <v>17881</v>
      </c>
      <c r="K78" s="38" t="s">
        <v>17882</v>
      </c>
    </row>
    <row r="79" spans="1:11" ht="12.5" x14ac:dyDescent="0.25">
      <c r="A79" s="21" t="str">
        <f ca="1">IFERROR(__xludf.DUMMYFUNCTION("""COMPUTED_VALUE"""),"0014P00003YSp97QAD")</f>
        <v>0014P00003YSp97QAD</v>
      </c>
      <c r="B79" s="27" t="str">
        <f ca="1">IFERROR(__xludf.DUMMYFUNCTION("""COMPUTED_VALUE"""),"Fase Estruturação")</f>
        <v>Fase Estruturação</v>
      </c>
      <c r="C79" s="27" t="str">
        <f ca="1">IFERROR(__xludf.DUMMYFUNCTION("""COMPUTED_VALUE"""),"Fellow")</f>
        <v>Fellow</v>
      </c>
      <c r="D79" s="27" t="str">
        <f ca="1">IFERROR(__xludf.DUMMYFUNCTION("""COMPUTED_VALUE"""),"Ativo")</f>
        <v>Ativo</v>
      </c>
      <c r="E79" s="27" t="str">
        <f ca="1">IFERROR(__xludf.DUMMYFUNCTION("""COMPUTED_VALUE"""),"Associação de Proteção à Infância Vovô Vitorino")</f>
        <v>Associação de Proteção à Infância Vovô Vitorino</v>
      </c>
      <c r="F79" s="21" t="str">
        <f ca="1">IFERROR(VLOOKUP(A79,'Rede - Gerando Falcões '!A78:G1074,38,0),"")</f>
        <v/>
      </c>
      <c r="G79" s="27" t="str">
        <f ca="1">IFERROR(VLOOKUP(A79,'Tabela Categorização'!A:J,10,0),"")</f>
        <v>Fase Estruturação</v>
      </c>
      <c r="H79" s="27" t="b">
        <f t="shared" ca="1" si="0"/>
        <v>1</v>
      </c>
      <c r="I79" s="21" t="str">
        <f>HYPERLINK("https://gerandofalcoes.my.salesforce.com/0034P000045kxjjQAA", "0034P000045kxjjQAA")</f>
        <v>0034P000045kxjjQAA</v>
      </c>
      <c r="J79" s="9" t="s">
        <v>17881</v>
      </c>
      <c r="K79" s="38" t="s">
        <v>17882</v>
      </c>
    </row>
    <row r="80" spans="1:11" ht="12.5" x14ac:dyDescent="0.25">
      <c r="A80" s="21" t="str">
        <f ca="1">IFERROR(__xludf.DUMMYFUNCTION("""COMPUTED_VALUE"""),"0014P00003SGWPtQAP")</f>
        <v>0014P00003SGWPtQAP</v>
      </c>
      <c r="B80" s="27" t="str">
        <f ca="1">IFERROR(__xludf.DUMMYFUNCTION("""COMPUTED_VALUE"""),"Fase Inicial")</f>
        <v>Fase Inicial</v>
      </c>
      <c r="C80" s="27" t="str">
        <f ca="1">IFERROR(__xludf.DUMMYFUNCTION("""COMPUTED_VALUE"""),"Fellow")</f>
        <v>Fellow</v>
      </c>
      <c r="D80" s="27" t="str">
        <f ca="1">IFERROR(__xludf.DUMMYFUNCTION("""COMPUTED_VALUE"""),"Ativo")</f>
        <v>Ativo</v>
      </c>
      <c r="E80" s="27" t="str">
        <f ca="1">IFERROR(__xludf.DUMMYFUNCTION("""COMPUTED_VALUE"""),"ASSOCIAÇÃO DESPERTAR SABEDORIA NO SOL NASCETE")</f>
        <v>ASSOCIAÇÃO DESPERTAR SABEDORIA NO SOL NASCETE</v>
      </c>
      <c r="F80" s="21" t="str">
        <f ca="1">IFERROR(VLOOKUP(A80,'Rede - Gerando Falcões '!A79:G1075,38,0),"")</f>
        <v/>
      </c>
      <c r="G80" s="27" t="str">
        <f ca="1">IFERROR(VLOOKUP(A80,'Tabela Categorização'!A:J,10,0),"")</f>
        <v>Fase Inicial</v>
      </c>
      <c r="H80" s="27" t="b">
        <f t="shared" ca="1" si="0"/>
        <v>1</v>
      </c>
      <c r="I80" s="21" t="str">
        <f>HYPERLINK("https://gerandofalcoes.my.salesforce.com/0034P000043fPDlQAM", "0034P000043fPDlQAM")</f>
        <v>0034P000043fPDlQAM</v>
      </c>
      <c r="J80" s="9" t="s">
        <v>17881</v>
      </c>
      <c r="K80" s="38" t="s">
        <v>17882</v>
      </c>
    </row>
    <row r="81" spans="1:11" ht="12.5" x14ac:dyDescent="0.25">
      <c r="A81" s="21" t="str">
        <f ca="1">IFERROR(__xludf.DUMMYFUNCTION("""COMPUTED_VALUE"""),"0014P00003YSm8CQAT")</f>
        <v>0014P00003YSm8CQAT</v>
      </c>
      <c r="B81" s="27" t="str">
        <f ca="1">IFERROR(__xludf.DUMMYFUNCTION("""COMPUTED_VALUE"""),"Fase Inicial")</f>
        <v>Fase Inicial</v>
      </c>
      <c r="C81" s="27" t="str">
        <f ca="1">IFERROR(__xludf.DUMMYFUNCTION("""COMPUTED_VALUE"""),"Fellow")</f>
        <v>Fellow</v>
      </c>
      <c r="D81" s="27" t="str">
        <f ca="1">IFERROR(__xludf.DUMMYFUNCTION("""COMPUTED_VALUE"""),"Ativo")</f>
        <v>Ativo</v>
      </c>
      <c r="E81" s="27" t="str">
        <f ca="1">IFERROR(__xludf.DUMMYFUNCTION("""COMPUTED_VALUE"""),"ASSOCIAÇÃO DESPORTIVA E SOCIO CULTURAL CELEIRO DE BAMBAS")</f>
        <v>ASSOCIAÇÃO DESPORTIVA E SOCIO CULTURAL CELEIRO DE BAMBAS</v>
      </c>
      <c r="F81" s="21" t="str">
        <f ca="1">IFERROR(VLOOKUP(A81,'Rede - Gerando Falcões '!A80:G1076,38,0),"")</f>
        <v/>
      </c>
      <c r="G81" s="27" t="str">
        <f ca="1">IFERROR(VLOOKUP(A81,'Tabela Categorização'!A:J,10,0),"")</f>
        <v>Fase Inicial</v>
      </c>
      <c r="H81" s="27" t="b">
        <f t="shared" ca="1" si="0"/>
        <v>1</v>
      </c>
      <c r="I81" s="21" t="str">
        <f>HYPERLINK("https://gerandofalcoes.my.salesforce.com/0034P000045knPDQAY", "0034P000045knPDQAY")</f>
        <v>0034P000045knPDQAY</v>
      </c>
      <c r="J81" s="9" t="s">
        <v>17881</v>
      </c>
      <c r="K81" s="38" t="s">
        <v>17882</v>
      </c>
    </row>
    <row r="82" spans="1:11" ht="12.5" x14ac:dyDescent="0.25">
      <c r="A82" s="21" t="str">
        <f ca="1">IFERROR(__xludf.DUMMYFUNCTION("""COMPUTED_VALUE"""),"0014X00002VKCtUQAX")</f>
        <v>0014X00002VKCtUQAX</v>
      </c>
      <c r="B82" s="27"/>
      <c r="C82" s="27" t="str">
        <f ca="1">IFERROR(__xludf.DUMMYFUNCTION("""COMPUTED_VALUE"""),"Fellow")</f>
        <v>Fellow</v>
      </c>
      <c r="D82" s="27" t="str">
        <f ca="1">IFERROR(__xludf.DUMMYFUNCTION("""COMPUTED_VALUE"""),"Ativo")</f>
        <v>Ativo</v>
      </c>
      <c r="E82" s="27" t="str">
        <f ca="1">IFERROR(__xludf.DUMMYFUNCTION("""COMPUTED_VALUE"""),"Associação de surf da praia de Miami e Areia Preta")</f>
        <v>Associação de surf da praia de Miami e Areia Preta</v>
      </c>
      <c r="F82" s="21" t="str">
        <f ca="1">IFERROR(VLOOKUP(A82,'Rede - Gerando Falcões '!A81:G1077,38,0),"")</f>
        <v/>
      </c>
      <c r="G82" s="27" t="str">
        <f ca="1">IFERROR(VLOOKUP(A82,'Tabela Categorização'!A:J,10,0),"")</f>
        <v/>
      </c>
      <c r="H82" s="27" t="b">
        <f t="shared" ca="1" si="0"/>
        <v>1</v>
      </c>
      <c r="I82" s="21" t="str">
        <f>HYPERLINK("https://gerandofalcoes.my.salesforce.com/0034X0000380O2OQAU", "0034X0000380O2OQAU")</f>
        <v>0034X0000380O2OQAU</v>
      </c>
      <c r="J82" s="9" t="s">
        <v>17881</v>
      </c>
      <c r="K82" s="38" t="s">
        <v>17882</v>
      </c>
    </row>
    <row r="83" spans="1:11" ht="12.5" x14ac:dyDescent="0.25">
      <c r="A83" s="21" t="str">
        <f ca="1">IFERROR(__xludf.DUMMYFUNCTION("""COMPUTED_VALUE"""),"0014X00002VKCtWQAX")</f>
        <v>0014X00002VKCtWQAX</v>
      </c>
      <c r="B83" s="27" t="str">
        <f ca="1">IFERROR(__xludf.DUMMYFUNCTION("""COMPUTED_VALUE"""),"Fase Inicial")</f>
        <v>Fase Inicial</v>
      </c>
      <c r="C83" s="27" t="str">
        <f ca="1">IFERROR(__xludf.DUMMYFUNCTION("""COMPUTED_VALUE"""),"Fellow")</f>
        <v>Fellow</v>
      </c>
      <c r="D83" s="27" t="str">
        <f ca="1">IFERROR(__xludf.DUMMYFUNCTION("""COMPUTED_VALUE"""),"Ativo")</f>
        <v>Ativo</v>
      </c>
      <c r="E83" s="27" t="str">
        <f ca="1">IFERROR(__xludf.DUMMYFUNCTION("""COMPUTED_VALUE"""),"ASSOCIAÇÃO DE TEATRO ARTES E YOGA")</f>
        <v>ASSOCIAÇÃO DE TEATRO ARTES E YOGA</v>
      </c>
      <c r="F83" s="21" t="str">
        <f ca="1">IFERROR(VLOOKUP(A83,'Rede - Gerando Falcões '!A82:G1078,38,0),"")</f>
        <v/>
      </c>
      <c r="G83" s="27" t="str">
        <f ca="1">IFERROR(VLOOKUP(A83,'Tabela Categorização'!A:J,10,0),"")</f>
        <v>Fase Inicial</v>
      </c>
      <c r="H83" s="27" t="b">
        <f t="shared" ca="1" si="0"/>
        <v>1</v>
      </c>
      <c r="I83" s="21" t="str">
        <f>HYPERLINK("https://gerandofalcoes.my.salesforce.com/0034X0000380O1lQAE", "0034X0000380O1lQAE")</f>
        <v>0034X0000380O1lQAE</v>
      </c>
      <c r="J83" s="9" t="s">
        <v>17881</v>
      </c>
      <c r="K83" s="38" t="s">
        <v>17882</v>
      </c>
    </row>
    <row r="84" spans="1:11" ht="12.5" x14ac:dyDescent="0.25">
      <c r="A84" s="21" t="str">
        <f ca="1">IFERROR(__xludf.DUMMYFUNCTION("""COMPUTED_VALUE"""),"0014X00002VKCsoQAH")</f>
        <v>0014X00002VKCsoQAH</v>
      </c>
      <c r="B84" s="27" t="str">
        <f ca="1">IFERROR(__xludf.DUMMYFUNCTION("""COMPUTED_VALUE"""),"Fase Inicial")</f>
        <v>Fase Inicial</v>
      </c>
      <c r="C84" s="27" t="str">
        <f ca="1">IFERROR(__xludf.DUMMYFUNCTION("""COMPUTED_VALUE"""),"Fellow")</f>
        <v>Fellow</v>
      </c>
      <c r="D84" s="27" t="str">
        <f ca="1">IFERROR(__xludf.DUMMYFUNCTION("""COMPUTED_VALUE"""),"Ativo")</f>
        <v>Ativo</v>
      </c>
      <c r="E84" s="27" t="str">
        <f ca="1">IFERROR(__xludf.DUMMYFUNCTION("""COMPUTED_VALUE"""),"ASSOCIACAO DIAMANTES NA COZINHA")</f>
        <v>ASSOCIACAO DIAMANTES NA COZINHA</v>
      </c>
      <c r="F84" s="21" t="str">
        <f ca="1">IFERROR(VLOOKUP(A84,'Rede - Gerando Falcões '!A83:G1079,38,0),"")</f>
        <v/>
      </c>
      <c r="G84" s="27" t="str">
        <f ca="1">IFERROR(VLOOKUP(A84,'Tabela Categorização'!A:J,10,0),"")</f>
        <v>Fase Inicial</v>
      </c>
      <c r="H84" s="27" t="b">
        <f t="shared" ca="1" si="0"/>
        <v>1</v>
      </c>
      <c r="I84" s="21" t="str">
        <f>HYPERLINK("https://gerandofalcoes.my.salesforce.com/0034X0000380O2mQAE", "0034X0000380O2mQAE")</f>
        <v>0034X0000380O2mQAE</v>
      </c>
      <c r="J84" s="9" t="s">
        <v>17881</v>
      </c>
      <c r="K84" s="38" t="s">
        <v>17882</v>
      </c>
    </row>
    <row r="85" spans="1:11" ht="12.5" x14ac:dyDescent="0.25">
      <c r="A85" s="21" t="str">
        <f ca="1">IFERROR(__xludf.DUMMYFUNCTION("""COMPUTED_VALUE"""),"0014X00002VKCtYQAX")</f>
        <v>0014X00002VKCtYQAX</v>
      </c>
      <c r="B85" s="27" t="str">
        <f ca="1">IFERROR(__xludf.DUMMYFUNCTION("""COMPUTED_VALUE"""),"Fase Inicial")</f>
        <v>Fase Inicial</v>
      </c>
      <c r="C85" s="27" t="str">
        <f ca="1">IFERROR(__xludf.DUMMYFUNCTION("""COMPUTED_VALUE"""),"Fellow")</f>
        <v>Fellow</v>
      </c>
      <c r="D85" s="27" t="str">
        <f ca="1">IFERROR(__xludf.DUMMYFUNCTION("""COMPUTED_VALUE"""),"Ativo")</f>
        <v>Ativo</v>
      </c>
      <c r="E85" s="27" t="str">
        <f ca="1">IFERROR(__xludf.DUMMYFUNCTION("""COMPUTED_VALUE"""),"ASSOCIACAO DO APICULTORES E PRODUTORES DE MEL DO POTENGI")</f>
        <v>ASSOCIACAO DO APICULTORES E PRODUTORES DE MEL DO POTENGI</v>
      </c>
      <c r="F85" s="21" t="str">
        <f ca="1">IFERROR(VLOOKUP(A85,'Rede - Gerando Falcões '!A84:G1080,38,0),"")</f>
        <v/>
      </c>
      <c r="G85" s="27" t="str">
        <f ca="1">IFERROR(VLOOKUP(A85,'Tabela Categorização'!A:J,10,0),"")</f>
        <v>Fase Inicial</v>
      </c>
      <c r="H85" s="27" t="b">
        <f t="shared" ca="1" si="0"/>
        <v>1</v>
      </c>
      <c r="I85" s="21" t="str">
        <f>HYPERLINK("https://gerandofalcoes.my.salesforce.com/0034X000032Hs00QAC", "0034X000032Hs00QAC")</f>
        <v>0034X000032Hs00QAC</v>
      </c>
      <c r="J85" s="9" t="s">
        <v>17881</v>
      </c>
      <c r="K85" s="38" t="s">
        <v>17882</v>
      </c>
    </row>
    <row r="86" spans="1:11" ht="12.5" x14ac:dyDescent="0.25">
      <c r="A86" s="21" t="str">
        <f ca="1">IFERROR(__xludf.DUMMYFUNCTION("""COMPUTED_VALUE"""),"0014X00002PUOUaQAP")</f>
        <v>0014X00002PUOUaQAP</v>
      </c>
      <c r="B86" s="27" t="str">
        <f ca="1">IFERROR(__xludf.DUMMYFUNCTION("""COMPUTED_VALUE"""),"Fase Inicial")</f>
        <v>Fase Inicial</v>
      </c>
      <c r="C86" s="27" t="str">
        <f ca="1">IFERROR(__xludf.DUMMYFUNCTION("""COMPUTED_VALUE"""),"Fellow")</f>
        <v>Fellow</v>
      </c>
      <c r="D86" s="27" t="str">
        <f ca="1">IFERROR(__xludf.DUMMYFUNCTION("""COMPUTED_VALUE"""),"Ativo")</f>
        <v>Ativo</v>
      </c>
      <c r="E86" s="27" t="str">
        <f ca="1">IFERROR(__xludf.DUMMYFUNCTION("""COMPUTED_VALUE"""),"ASSOCIAÇÃO DO MORRO PARA O RINGUE")</f>
        <v>ASSOCIAÇÃO DO MORRO PARA O RINGUE</v>
      </c>
      <c r="F86" s="21" t="str">
        <f ca="1">IFERROR(VLOOKUP(A86,'Rede - Gerando Falcões '!A85:G1081,38,0),"")</f>
        <v/>
      </c>
      <c r="G86" s="27" t="str">
        <f ca="1">IFERROR(VLOOKUP(A86,'Tabela Categorização'!A:J,10,0),"")</f>
        <v>Fase Inicial</v>
      </c>
      <c r="H86" s="27" t="b">
        <f t="shared" ca="1" si="0"/>
        <v>1</v>
      </c>
      <c r="I86" s="21" t="str">
        <f>HYPERLINK("https://gerandofalcoes.my.salesforce.com/0034X0000380O6QQAU", "0034X0000380O6QQAU")</f>
        <v>0034X0000380O6QQAU</v>
      </c>
      <c r="J86" s="9" t="s">
        <v>17881</v>
      </c>
      <c r="K86" s="38" t="s">
        <v>17882</v>
      </c>
    </row>
    <row r="87" spans="1:11" ht="12.5" x14ac:dyDescent="0.25">
      <c r="A87" s="21" t="str">
        <f ca="1">IFERROR(__xludf.DUMMYFUNCTION("""COMPUTED_VALUE"""),"0014X00002VKCp5QAH")</f>
        <v>0014X00002VKCp5QAH</v>
      </c>
      <c r="B87" s="27" t="str">
        <f ca="1">IFERROR(__xludf.DUMMYFUNCTION("""COMPUTED_VALUE"""),"Fase Inicial")</f>
        <v>Fase Inicial</v>
      </c>
      <c r="C87" s="27" t="str">
        <f ca="1">IFERROR(__xludf.DUMMYFUNCTION("""COMPUTED_VALUE"""),"Fellow")</f>
        <v>Fellow</v>
      </c>
      <c r="D87" s="27" t="str">
        <f ca="1">IFERROR(__xludf.DUMMYFUNCTION("""COMPUTED_VALUE"""),"Ativo")</f>
        <v>Ativo</v>
      </c>
      <c r="E87" s="27" t="str">
        <f ca="1">IFERROR(__xludf.DUMMYFUNCTION("""COMPUTED_VALUE"""),"Associação dos cuidadores de pessoas em situação de vulnerabilidade na Bahia")</f>
        <v>Associação dos cuidadores de pessoas em situação de vulnerabilidade na Bahia</v>
      </c>
      <c r="F87" s="21" t="str">
        <f ca="1">IFERROR(VLOOKUP(A87,'Rede - Gerando Falcões '!A86:G1082,38,0),"")</f>
        <v/>
      </c>
      <c r="G87" s="27" t="str">
        <f ca="1">IFERROR(VLOOKUP(A87,'Tabela Categorização'!A:J,10,0),"")</f>
        <v>Fase Inicial</v>
      </c>
      <c r="H87" s="27" t="b">
        <f t="shared" ca="1" si="0"/>
        <v>1</v>
      </c>
      <c r="I87" s="21" t="str">
        <f>HYPERLINK("https://gerandofalcoes.my.salesforce.com/0034X0000380O5nQAE", "0034X0000380O5nQAE")</f>
        <v>0034X0000380O5nQAE</v>
      </c>
      <c r="J87" s="9" t="s">
        <v>17881</v>
      </c>
      <c r="K87" s="38" t="s">
        <v>17882</v>
      </c>
    </row>
    <row r="88" spans="1:11" ht="12.5" x14ac:dyDescent="0.25">
      <c r="A88" s="21" t="str">
        <f ca="1">IFERROR(__xludf.DUMMYFUNCTION("""COMPUTED_VALUE"""),"0014X00002VKCtHQAX")</f>
        <v>0014X00002VKCtHQAX</v>
      </c>
      <c r="B88" s="27" t="str">
        <f ca="1">IFERROR(__xludf.DUMMYFUNCTION("""COMPUTED_VALUE"""),"Fase Inicial")</f>
        <v>Fase Inicial</v>
      </c>
      <c r="C88" s="27" t="str">
        <f ca="1">IFERROR(__xludf.DUMMYFUNCTION("""COMPUTED_VALUE"""),"Fellow")</f>
        <v>Fellow</v>
      </c>
      <c r="D88" s="27" t="str">
        <f ca="1">IFERROR(__xludf.DUMMYFUNCTION("""COMPUTED_VALUE"""),"Ativo")</f>
        <v>Ativo</v>
      </c>
      <c r="E88" s="27" t="str">
        <f ca="1">IFERROR(__xludf.DUMMYFUNCTION("""COMPUTED_VALUE"""),"Associação dos Moradores da Comunidade do Bairro Zita Cunha")</f>
        <v>Associação dos Moradores da Comunidade do Bairro Zita Cunha</v>
      </c>
      <c r="F88" s="21" t="str">
        <f ca="1">IFERROR(VLOOKUP(A88,'Rede - Gerando Falcões '!A87:G1083,38,0),"")</f>
        <v/>
      </c>
      <c r="G88" s="27" t="str">
        <f ca="1">IFERROR(VLOOKUP(A88,'Tabela Categorização'!A:J,10,0),"")</f>
        <v>Fase Inicial</v>
      </c>
      <c r="H88" s="27" t="b">
        <f t="shared" ca="1" si="0"/>
        <v>1</v>
      </c>
      <c r="I88" s="21" t="str">
        <f>HYPERLINK("https://gerandofalcoes.my.salesforce.com/0034X0000380O0nQAE", "0034X0000380O0nQAE")</f>
        <v>0034X0000380O0nQAE</v>
      </c>
      <c r="J88" s="9" t="s">
        <v>17881</v>
      </c>
      <c r="K88" s="38" t="s">
        <v>17882</v>
      </c>
    </row>
    <row r="89" spans="1:11" ht="12.5" x14ac:dyDescent="0.25">
      <c r="A89" s="21" t="str">
        <f ca="1">IFERROR(__xludf.DUMMYFUNCTION("""COMPUTED_VALUE"""),"0014X00002VKCr8QAH")</f>
        <v>0014X00002VKCr8QAH</v>
      </c>
      <c r="B89" s="27" t="str">
        <f ca="1">IFERROR(__xludf.DUMMYFUNCTION("""COMPUTED_VALUE"""),"Fase Avançada")</f>
        <v>Fase Avançada</v>
      </c>
      <c r="C89" s="27" t="str">
        <f ca="1">IFERROR(__xludf.DUMMYFUNCTION("""COMPUTED_VALUE"""),"Fellow")</f>
        <v>Fellow</v>
      </c>
      <c r="D89" s="27" t="str">
        <f ca="1">IFERROR(__xludf.DUMMYFUNCTION("""COMPUTED_VALUE"""),"Ativo")</f>
        <v>Ativo</v>
      </c>
      <c r="E89" s="27" t="str">
        <f ca="1">IFERROR(__xludf.DUMMYFUNCTION("""COMPUTED_VALUE"""),"Associação DOS REUMÁTICOS DE UBERLÂNDIA E REGIÃO - ARUR")</f>
        <v>Associação DOS REUMÁTICOS DE UBERLÂNDIA E REGIÃO - ARUR</v>
      </c>
      <c r="F89" s="21" t="str">
        <f ca="1">IFERROR(VLOOKUP(A89,'Rede - Gerando Falcões '!A88:G1084,38,0),"")</f>
        <v/>
      </c>
      <c r="G89" s="27" t="str">
        <f ca="1">IFERROR(VLOOKUP(A89,'Tabela Categorização'!A:J,10,0),"")</f>
        <v>Fase Avançada</v>
      </c>
      <c r="H89" s="27" t="b">
        <f t="shared" ca="1" si="0"/>
        <v>1</v>
      </c>
      <c r="I89" s="21" t="str">
        <f>HYPERLINK("https://gerandofalcoes.my.salesforce.com/0034X0000380O3pQAE", "0034X0000380O3pQAE")</f>
        <v>0034X0000380O3pQAE</v>
      </c>
      <c r="J89" s="9" t="s">
        <v>17881</v>
      </c>
      <c r="K89" s="38" t="s">
        <v>17882</v>
      </c>
    </row>
    <row r="90" spans="1:11" ht="12.5" x14ac:dyDescent="0.25">
      <c r="A90" s="21" t="str">
        <f ca="1">IFERROR(__xludf.DUMMYFUNCTION("""COMPUTED_VALUE"""),"0014X00002VKCuvQAH")</f>
        <v>0014X00002VKCuvQAH</v>
      </c>
      <c r="B90" s="27" t="str">
        <f ca="1">IFERROR(__xludf.DUMMYFUNCTION("""COMPUTED_VALUE"""),"Fase Avançada")</f>
        <v>Fase Avançada</v>
      </c>
      <c r="C90" s="27" t="str">
        <f ca="1">IFERROR(__xludf.DUMMYFUNCTION("""COMPUTED_VALUE"""),"Fellow")</f>
        <v>Fellow</v>
      </c>
      <c r="D90" s="27" t="str">
        <f ca="1">IFERROR(__xludf.DUMMYFUNCTION("""COMPUTED_VALUE"""),"Ativo")</f>
        <v>Ativo</v>
      </c>
      <c r="E90" s="27" t="str">
        <f ca="1">IFERROR(__xludf.DUMMYFUNCTION("""COMPUTED_VALUE"""),"Associação Educacional* Cultural e Social Aprender")</f>
        <v>Associação Educacional* Cultural e Social Aprender</v>
      </c>
      <c r="F90" s="21" t="str">
        <f ca="1">IFERROR(VLOOKUP(A90,'Rede - Gerando Falcões '!A89:G1085,38,0),"")</f>
        <v/>
      </c>
      <c r="G90" s="27" t="str">
        <f ca="1">IFERROR(VLOOKUP(A90,'Tabela Categorização'!A:J,10,0),"")</f>
        <v>Fase Avançada</v>
      </c>
      <c r="H90" s="27" t="b">
        <f t="shared" ca="1" si="0"/>
        <v>1</v>
      </c>
      <c r="I90" s="21" t="str">
        <f>HYPERLINK("https://gerandofalcoes.my.salesforce.com/0034P000045kxiTQAQ", "0034P000045kxiTQAQ")</f>
        <v>0034P000045kxiTQAQ</v>
      </c>
      <c r="J90" s="9" t="s">
        <v>17881</v>
      </c>
      <c r="K90" s="38" t="s">
        <v>17882</v>
      </c>
    </row>
    <row r="91" spans="1:11" ht="12.5" x14ac:dyDescent="0.25">
      <c r="A91" s="21" t="str">
        <f ca="1">IFERROR(__xludf.DUMMYFUNCTION("""COMPUTED_VALUE"""),"0014P00003YSp7sQAD")</f>
        <v>0014P00003YSp7sQAD</v>
      </c>
      <c r="B91" s="27" t="str">
        <f ca="1">IFERROR(__xludf.DUMMYFUNCTION("""COMPUTED_VALUE"""),"Fase Inicial")</f>
        <v>Fase Inicial</v>
      </c>
      <c r="C91" s="27" t="str">
        <f ca="1">IFERROR(__xludf.DUMMYFUNCTION("""COMPUTED_VALUE"""),"Acelerada")</f>
        <v>Acelerada</v>
      </c>
      <c r="D91" s="27" t="str">
        <f ca="1">IFERROR(__xludf.DUMMYFUNCTION("""COMPUTED_VALUE"""),"Ativo")</f>
        <v>Ativo</v>
      </c>
      <c r="E91" s="27" t="str">
        <f ca="1">IFERROR(__xludf.DUMMYFUNCTION("""COMPUTED_VALUE"""),"Associação Educacional Esportiva e Social Voz Ativa")</f>
        <v>Associação Educacional Esportiva e Social Voz Ativa</v>
      </c>
      <c r="F91" s="21" t="str">
        <f ca="1">IFERROR(VLOOKUP(A91,'Rede - Gerando Falcões '!A90:G1086,38,0),"")</f>
        <v/>
      </c>
      <c r="G91" s="27" t="str">
        <f ca="1">IFERROR(VLOOKUP(A91,'Tabela Categorização'!A:J,10,0),"")</f>
        <v>Fase Inicial</v>
      </c>
      <c r="H91" s="27" t="b">
        <f t="shared" ca="1" si="0"/>
        <v>1</v>
      </c>
      <c r="I91" s="21" t="str">
        <f>HYPERLINK("https://gerandofalcoes.my.salesforce.com/0034X0000380O6EQAU", "0034X0000380O6EQAU")</f>
        <v>0034X0000380O6EQAU</v>
      </c>
      <c r="J91" s="9" t="s">
        <v>17881</v>
      </c>
      <c r="K91" s="38" t="s">
        <v>17882</v>
      </c>
    </row>
    <row r="92" spans="1:11" ht="12.5" x14ac:dyDescent="0.25">
      <c r="A92" s="21" t="str">
        <f ca="1">IFERROR(__xludf.DUMMYFUNCTION("""COMPUTED_VALUE"""),"0014X00002VKCteQAH")</f>
        <v>0014X00002VKCteQAH</v>
      </c>
      <c r="B92" s="27" t="str">
        <f ca="1">IFERROR(__xludf.DUMMYFUNCTION("""COMPUTED_VALUE"""),"Fase Inicial")</f>
        <v>Fase Inicial</v>
      </c>
      <c r="C92" s="27" t="str">
        <f ca="1">IFERROR(__xludf.DUMMYFUNCTION("""COMPUTED_VALUE"""),"Fellow")</f>
        <v>Fellow</v>
      </c>
      <c r="D92" s="27" t="str">
        <f ca="1">IFERROR(__xludf.DUMMYFUNCTION("""COMPUTED_VALUE"""),"Ativo")</f>
        <v>Ativo</v>
      </c>
      <c r="E92" s="27" t="str">
        <f ca="1">IFERROR(__xludf.DUMMYFUNCTION("""COMPUTED_VALUE"""),"Associação Elas Podem RN")</f>
        <v>Associação Elas Podem RN</v>
      </c>
      <c r="F92" s="21" t="str">
        <f ca="1">IFERROR(VLOOKUP(A92,'Rede - Gerando Falcões '!A91:G1087,38,0),"")</f>
        <v/>
      </c>
      <c r="G92" s="27" t="str">
        <f ca="1">IFERROR(VLOOKUP(A92,'Tabela Categorização'!A:J,10,0),"")</f>
        <v>Fase Inicial</v>
      </c>
      <c r="H92" s="27" t="b">
        <f t="shared" ca="1" si="0"/>
        <v>1</v>
      </c>
      <c r="I92" s="21" t="str">
        <f>HYPERLINK("https://gerandofalcoes.my.salesforce.com/0034X0000390McCQAU", "0034X0000390McCQAU")</f>
        <v>0034X0000390McCQAU</v>
      </c>
      <c r="J92" s="9" t="s">
        <v>17881</v>
      </c>
      <c r="K92" s="38" t="s">
        <v>17882</v>
      </c>
    </row>
    <row r="93" spans="1:11" ht="12.5" x14ac:dyDescent="0.25">
      <c r="A93" s="21" t="str">
        <f ca="1">IFERROR(__xludf.DUMMYFUNCTION("""COMPUTED_VALUE"""),"0014P00003YSp9MQAT")</f>
        <v>0014P00003YSp9MQAT</v>
      </c>
      <c r="B93" s="27" t="str">
        <f ca="1">IFERROR(__xludf.DUMMYFUNCTION("""COMPUTED_VALUE"""),"Fase Inicial")</f>
        <v>Fase Inicial</v>
      </c>
      <c r="C93" s="27" t="str">
        <f ca="1">IFERROR(__xludf.DUMMYFUNCTION("""COMPUTED_VALUE"""),"Fellow")</f>
        <v>Fellow</v>
      </c>
      <c r="D93" s="27" t="str">
        <f ca="1">IFERROR(__xludf.DUMMYFUNCTION("""COMPUTED_VALUE"""),"Ativo")</f>
        <v>Ativo</v>
      </c>
      <c r="E93" s="27" t="str">
        <f ca="1">IFERROR(__xludf.DUMMYFUNCTION("""COMPUTED_VALUE"""),"Associacao Elisabeth Bruyere")</f>
        <v>Associacao Elisabeth Bruyere</v>
      </c>
      <c r="F93" s="21" t="str">
        <f ca="1">IFERROR(VLOOKUP(A93,'Rede - Gerando Falcões '!A92:G1088,38,0),"")</f>
        <v/>
      </c>
      <c r="G93" s="27" t="str">
        <f ca="1">IFERROR(VLOOKUP(A93,'Tabela Categorização'!A:J,10,0),"")</f>
        <v>Fase Inicial</v>
      </c>
      <c r="H93" s="27" t="b">
        <f t="shared" ca="1" si="0"/>
        <v>1</v>
      </c>
      <c r="I93" s="21" t="str">
        <f>HYPERLINK("https://gerandofalcoes.my.salesforce.com/0034P00003maEuBQAU", "0034P00003maEuBQAU")</f>
        <v>0034P00003maEuBQAU</v>
      </c>
      <c r="J93" s="9" t="s">
        <v>17881</v>
      </c>
      <c r="K93" s="38" t="s">
        <v>17882</v>
      </c>
    </row>
    <row r="94" spans="1:11" ht="12.5" x14ac:dyDescent="0.25">
      <c r="A94" s="21" t="str">
        <f ca="1">IFERROR(__xludf.DUMMYFUNCTION("""COMPUTED_VALUE"""),"0014P00003AN72DQAT")</f>
        <v>0014P00003AN72DQAT</v>
      </c>
      <c r="B94" s="27" t="str">
        <f ca="1">IFERROR(__xludf.DUMMYFUNCTION("""COMPUTED_VALUE"""),"Fase Avançada")</f>
        <v>Fase Avançada</v>
      </c>
      <c r="C94" s="27" t="str">
        <f ca="1">IFERROR(__xludf.DUMMYFUNCTION("""COMPUTED_VALUE"""),"Fellow")</f>
        <v>Fellow</v>
      </c>
      <c r="D94" s="27" t="str">
        <f ca="1">IFERROR(__xludf.DUMMYFUNCTION("""COMPUTED_VALUE"""),"Ativo")</f>
        <v>Ativo</v>
      </c>
      <c r="E94" s="27" t="str">
        <f ca="1">IFERROR(__xludf.DUMMYFUNCTION("""COMPUTED_VALUE"""),"Associação EMAÚS")</f>
        <v>Associação EMAÚS</v>
      </c>
      <c r="F94" s="21" t="str">
        <f ca="1">IFERROR(VLOOKUP(A94,'Rede - Gerando Falcões '!A93:G1089,38,0),"")</f>
        <v/>
      </c>
      <c r="G94" s="27" t="str">
        <f ca="1">IFERROR(VLOOKUP(A94,'Tabela Categorização'!A:J,10,0),"")</f>
        <v>Fase Avançada</v>
      </c>
      <c r="H94" s="27" t="b">
        <f t="shared" ca="1" si="0"/>
        <v>1</v>
      </c>
      <c r="I94" s="21" t="str">
        <f>HYPERLINK("https://gerandofalcoes.my.salesforce.com/0034X0000380O41QAE", "0034X0000380O41QAE")</f>
        <v>0034X0000380O41QAE</v>
      </c>
      <c r="J94" s="9" t="s">
        <v>17881</v>
      </c>
      <c r="K94" s="38" t="s">
        <v>17882</v>
      </c>
    </row>
    <row r="95" spans="1:11" ht="12.5" x14ac:dyDescent="0.25">
      <c r="A95" s="21" t="str">
        <f ca="1">IFERROR(__xludf.DUMMYFUNCTION("""COMPUTED_VALUE"""),"0014X00002VKCvEQAX")</f>
        <v>0014X00002VKCvEQAX</v>
      </c>
      <c r="B95" s="27"/>
      <c r="C95" s="27" t="str">
        <f ca="1">IFERROR(__xludf.DUMMYFUNCTION("""COMPUTED_VALUE"""),"Fellow")</f>
        <v>Fellow</v>
      </c>
      <c r="D95" s="27" t="str">
        <f ca="1">IFERROR(__xludf.DUMMYFUNCTION("""COMPUTED_VALUE"""),"Ativo")</f>
        <v>Ativo</v>
      </c>
      <c r="E95" s="27" t="str">
        <f ca="1">IFERROR(__xludf.DUMMYFUNCTION("""COMPUTED_VALUE"""),"Associação Ensinando a Pescar")</f>
        <v>Associação Ensinando a Pescar</v>
      </c>
      <c r="F95" s="21" t="str">
        <f ca="1">IFERROR(VLOOKUP(A95,'Rede - Gerando Falcões '!A94:G1090,38,0),"")</f>
        <v/>
      </c>
      <c r="G95" s="27" t="str">
        <f ca="1">IFERROR(VLOOKUP(A95,'Tabela Categorização'!A:J,10,0),"")</f>
        <v/>
      </c>
      <c r="H95" s="27" t="b">
        <f t="shared" ca="1" si="0"/>
        <v>1</v>
      </c>
      <c r="I95" s="21" t="str">
        <f>HYPERLINK("https://gerandofalcoes.my.salesforce.com/0034P000043fOnsQAE", "0034P000043fOnsQAE")</f>
        <v>0034P000043fOnsQAE</v>
      </c>
      <c r="J95" s="9" t="s">
        <v>17881</v>
      </c>
      <c r="K95" s="38" t="s">
        <v>17882</v>
      </c>
    </row>
    <row r="96" spans="1:11" ht="12.5" x14ac:dyDescent="0.25">
      <c r="A96" s="21" t="str">
        <f ca="1">IFERROR(__xludf.DUMMYFUNCTION("""COMPUTED_VALUE"""),"0014P00003SGWPlQAP")</f>
        <v>0014P00003SGWPlQAP</v>
      </c>
      <c r="B96" s="27" t="str">
        <f ca="1">IFERROR(__xludf.DUMMYFUNCTION("""COMPUTED_VALUE"""),"Fase Inicial")</f>
        <v>Fase Inicial</v>
      </c>
      <c r="C96" s="27" t="str">
        <f ca="1">IFERROR(__xludf.DUMMYFUNCTION("""COMPUTED_VALUE"""),"Fellow")</f>
        <v>Fellow</v>
      </c>
      <c r="D96" s="27" t="str">
        <f ca="1">IFERROR(__xludf.DUMMYFUNCTION("""COMPUTED_VALUE"""),"Ativo")</f>
        <v>Ativo</v>
      </c>
      <c r="E96" s="27" t="str">
        <f ca="1">IFERROR(__xludf.DUMMYFUNCTION("""COMPUTED_VALUE"""),"ASSOCIAÇÃO ESPERANÇA E DESTINO")</f>
        <v>ASSOCIAÇÃO ESPERANÇA E DESTINO</v>
      </c>
      <c r="F96" s="21" t="str">
        <f ca="1">IFERROR(VLOOKUP(A96,'Rede - Gerando Falcões '!A95:G1091,38,0),"")</f>
        <v/>
      </c>
      <c r="G96" s="27" t="str">
        <f ca="1">IFERROR(VLOOKUP(A96,'Tabela Categorização'!A:J,10,0),"")</f>
        <v>Fase Inicial</v>
      </c>
      <c r="H96" s="27" t="b">
        <f t="shared" ca="1" si="0"/>
        <v>1</v>
      </c>
      <c r="I96" s="21" t="str">
        <f>HYPERLINK("https://gerandofalcoes.my.salesforce.com/0034X0000380O6BQAU", "0034X0000380O6BQAU")</f>
        <v>0034X0000380O6BQAU</v>
      </c>
      <c r="J96" s="9" t="s">
        <v>17881</v>
      </c>
      <c r="K96" s="38" t="s">
        <v>17882</v>
      </c>
    </row>
    <row r="97" spans="1:11" ht="12.5" x14ac:dyDescent="0.25">
      <c r="A97" s="21" t="str">
        <f ca="1">IFERROR(__xludf.DUMMYFUNCTION("""COMPUTED_VALUE"""),"0014X00002VKCr6QAH")</f>
        <v>0014X00002VKCr6QAH</v>
      </c>
      <c r="B97" s="27" t="str">
        <f ca="1">IFERROR(__xludf.DUMMYFUNCTION("""COMPUTED_VALUE"""),"Fase Estruturação")</f>
        <v>Fase Estruturação</v>
      </c>
      <c r="C97" s="27" t="str">
        <f ca="1">IFERROR(__xludf.DUMMYFUNCTION("""COMPUTED_VALUE"""),"Fellow")</f>
        <v>Fellow</v>
      </c>
      <c r="D97" s="27" t="str">
        <f ca="1">IFERROR(__xludf.DUMMYFUNCTION("""COMPUTED_VALUE"""),"Ativo")</f>
        <v>Ativo</v>
      </c>
      <c r="E97" s="27" t="str">
        <f ca="1">IFERROR(__xludf.DUMMYFUNCTION("""COMPUTED_VALUE"""),"Associação Esporte e Vida")</f>
        <v>Associação Esporte e Vida</v>
      </c>
      <c r="F97" s="21" t="str">
        <f ca="1">IFERROR(VLOOKUP(A97,'Rede - Gerando Falcões '!A96:G1092,38,0),"")</f>
        <v/>
      </c>
      <c r="G97" s="27" t="str">
        <f ca="1">IFERROR(VLOOKUP(A97,'Tabela Categorização'!A:J,10,0),"")</f>
        <v>Fase Estruturação</v>
      </c>
      <c r="H97" s="27" t="b">
        <f t="shared" ca="1" si="0"/>
        <v>1</v>
      </c>
      <c r="I97" s="21" t="str">
        <f>HYPERLINK("https://gerandofalcoes.my.salesforce.com/0034X0000380O3yQAE", "0034X0000380O3yQAE")</f>
        <v>0034X0000380O3yQAE</v>
      </c>
      <c r="J97" s="9" t="s">
        <v>17881</v>
      </c>
      <c r="K97" s="38" t="s">
        <v>17882</v>
      </c>
    </row>
    <row r="98" spans="1:11" ht="12.5" x14ac:dyDescent="0.25">
      <c r="A98" s="21" t="str">
        <f ca="1">IFERROR(__xludf.DUMMYFUNCTION("""COMPUTED_VALUE"""),"0014X00002VKCsdQAH")</f>
        <v>0014X00002VKCsdQAH</v>
      </c>
      <c r="B98" s="27" t="str">
        <f ca="1">IFERROR(__xludf.DUMMYFUNCTION("""COMPUTED_VALUE"""),"Fase Inicial")</f>
        <v>Fase Inicial</v>
      </c>
      <c r="C98" s="27" t="str">
        <f ca="1">IFERROR(__xludf.DUMMYFUNCTION("""COMPUTED_VALUE"""),"Fellow")</f>
        <v>Fellow</v>
      </c>
      <c r="D98" s="27" t="str">
        <f ca="1">IFERROR(__xludf.DUMMYFUNCTION("""COMPUTED_VALUE"""),"Ativo")</f>
        <v>Ativo</v>
      </c>
      <c r="E98" s="27" t="str">
        <f ca="1">IFERROR(__xludf.DUMMYFUNCTION("""COMPUTED_VALUE"""),"Associação Esportiva cultural e Educacional Instituto Igor Chatubinha")</f>
        <v>Associação Esportiva cultural e Educacional Instituto Igor Chatubinha</v>
      </c>
      <c r="F98" s="21" t="str">
        <f ca="1">IFERROR(VLOOKUP(A98,'Rede - Gerando Falcões '!A97:G1093,38,0),"")</f>
        <v/>
      </c>
      <c r="G98" s="27" t="str">
        <f ca="1">IFERROR(VLOOKUP(A98,'Tabela Categorização'!A:J,10,0),"")</f>
        <v>Fase Inicial</v>
      </c>
      <c r="H98" s="27" t="b">
        <f t="shared" ca="1" si="0"/>
        <v>1</v>
      </c>
      <c r="I98" s="21" t="str">
        <f>HYPERLINK("https://gerandofalcoes.my.salesforce.com/0034P00003maBVoQAM", "0034P00003maBVoQAM")</f>
        <v>0034P00003maBVoQAM</v>
      </c>
      <c r="J98" s="9" t="s">
        <v>17881</v>
      </c>
      <c r="K98" s="38" t="s">
        <v>17882</v>
      </c>
    </row>
    <row r="99" spans="1:11" ht="12.5" x14ac:dyDescent="0.25">
      <c r="A99" s="21" t="str">
        <f ca="1">IFERROR(__xludf.DUMMYFUNCTION("""COMPUTED_VALUE"""),"0014P00003AN2GJQA1")</f>
        <v>0014P00003AN2GJQA1</v>
      </c>
      <c r="B99" s="27" t="str">
        <f ca="1">IFERROR(__xludf.DUMMYFUNCTION("""COMPUTED_VALUE"""),"Fase Estruturação")</f>
        <v>Fase Estruturação</v>
      </c>
      <c r="C99" s="27" t="str">
        <f ca="1">IFERROR(__xludf.DUMMYFUNCTION("""COMPUTED_VALUE"""),"Acelerada")</f>
        <v>Acelerada</v>
      </c>
      <c r="D99" s="27" t="str">
        <f ca="1">IFERROR(__xludf.DUMMYFUNCTION("""COMPUTED_VALUE"""),"Ativo")</f>
        <v>Ativo</v>
      </c>
      <c r="E99" s="27" t="str">
        <f ca="1">IFERROR(__xludf.DUMMYFUNCTION("""COMPUTED_VALUE"""),"Associação Esportiva Cultural e e Educacional Abraço Campeão")</f>
        <v>Associação Esportiva Cultural e e Educacional Abraço Campeão</v>
      </c>
      <c r="F99" s="21" t="str">
        <f ca="1">IFERROR(VLOOKUP(A99,'Rede - Gerando Falcões '!A98:G1094,38,0),"")</f>
        <v/>
      </c>
      <c r="G99" s="27" t="str">
        <f ca="1">IFERROR(VLOOKUP(A99,'Tabela Categorização'!A:J,10,0),"")</f>
        <v>Fase Estruturação</v>
      </c>
      <c r="H99" s="27" t="b">
        <f t="shared" ca="1" si="0"/>
        <v>1</v>
      </c>
      <c r="I99" s="21" t="str">
        <f>HYPERLINK("https://gerandofalcoes.my.salesforce.com/0034P00003maBV5QAM", "0034P00003maBV5QAM")</f>
        <v>0034P00003maBV5QAM</v>
      </c>
      <c r="J99" s="9" t="s">
        <v>17881</v>
      </c>
      <c r="K99" s="38" t="s">
        <v>17882</v>
      </c>
    </row>
    <row r="100" spans="1:11" ht="12.5" x14ac:dyDescent="0.25">
      <c r="A100" s="21" t="str">
        <f ca="1">IFERROR(__xludf.DUMMYFUNCTION("""COMPUTED_VALUE"""),"0014P00003AN2FfQAL")</f>
        <v>0014P00003AN2FfQAL</v>
      </c>
      <c r="B100" s="27" t="str">
        <f ca="1">IFERROR(__xludf.DUMMYFUNCTION("""COMPUTED_VALUE"""),"Fase Inicial")</f>
        <v>Fase Inicial</v>
      </c>
      <c r="C100" s="27" t="str">
        <f ca="1">IFERROR(__xludf.DUMMYFUNCTION("""COMPUTED_VALUE"""),"Fellow")</f>
        <v>Fellow</v>
      </c>
      <c r="D100" s="27" t="str">
        <f ca="1">IFERROR(__xludf.DUMMYFUNCTION("""COMPUTED_VALUE"""),"Ativo")</f>
        <v>Ativo</v>
      </c>
      <c r="E100" s="27" t="str">
        <f ca="1">IFERROR(__xludf.DUMMYFUNCTION("""COMPUTED_VALUE"""),"ASSOCIACAO ESPORTIVA TRANSFORMACAO")</f>
        <v>ASSOCIACAO ESPORTIVA TRANSFORMACAO</v>
      </c>
      <c r="F100" s="21" t="str">
        <f ca="1">IFERROR(VLOOKUP(A100,'Rede - Gerando Falcões '!A99:G1095,38,0),"")</f>
        <v/>
      </c>
      <c r="G100" s="27" t="str">
        <f ca="1">IFERROR(VLOOKUP(A100,'Tabela Categorização'!A:J,10,0),"")</f>
        <v>Fase Inicial</v>
      </c>
      <c r="H100" s="27" t="b">
        <f t="shared" ca="1" si="0"/>
        <v>1</v>
      </c>
      <c r="I100" s="21" t="str">
        <f>HYPERLINK("https://gerandofalcoes.my.salesforce.com/0034X0000380O65QAE", "0034X0000380O65QAE")</f>
        <v>0034X0000380O65QAE</v>
      </c>
      <c r="J100" s="9" t="s">
        <v>17881</v>
      </c>
      <c r="K100" s="38" t="s">
        <v>17882</v>
      </c>
    </row>
    <row r="101" spans="1:11" ht="12.5" x14ac:dyDescent="0.25">
      <c r="A101" s="21" t="str">
        <f ca="1">IFERROR(__xludf.DUMMYFUNCTION("""COMPUTED_VALUE"""),"0014X00002VKCspQAH")</f>
        <v>0014X00002VKCspQAH</v>
      </c>
      <c r="B101" s="27" t="str">
        <f ca="1">IFERROR(__xludf.DUMMYFUNCTION("""COMPUTED_VALUE"""),"Fase Inicial")</f>
        <v>Fase Inicial</v>
      </c>
      <c r="C101" s="27" t="str">
        <f ca="1">IFERROR(__xludf.DUMMYFUNCTION("""COMPUTED_VALUE"""),"Fellow")</f>
        <v>Fellow</v>
      </c>
      <c r="D101" s="27" t="str">
        <f ca="1">IFERROR(__xludf.DUMMYFUNCTION("""COMPUTED_VALUE"""),"Ativo")</f>
        <v>Ativo</v>
      </c>
      <c r="E101" s="27" t="str">
        <f ca="1">IFERROR(__xludf.DUMMYFUNCTION("""COMPUTED_VALUE"""),"Associação Estrelas do Amanhã")</f>
        <v>Associação Estrelas do Amanhã</v>
      </c>
      <c r="F101" s="21" t="str">
        <f ca="1">IFERROR(VLOOKUP(A101,'Rede - Gerando Falcões '!A100:G1096,38,0),"")</f>
        <v/>
      </c>
      <c r="G101" s="27" t="str">
        <f ca="1">IFERROR(VLOOKUP(A101,'Tabela Categorização'!A:J,10,0),"")</f>
        <v>Fase Inicial</v>
      </c>
      <c r="H101" s="27" t="b">
        <f t="shared" ca="1" si="0"/>
        <v>1</v>
      </c>
      <c r="I101" s="21" t="str">
        <f>HYPERLINK("https://gerandofalcoes.my.salesforce.com/0034P000045kxjkQAA", "0034P000045kxjkQAA")</f>
        <v>0034P000045kxjkQAA</v>
      </c>
      <c r="J101" s="9" t="s">
        <v>17881</v>
      </c>
      <c r="K101" s="38" t="s">
        <v>17882</v>
      </c>
    </row>
    <row r="102" spans="1:11" ht="12.5" x14ac:dyDescent="0.25">
      <c r="A102" s="21" t="str">
        <f ca="1">IFERROR(__xludf.DUMMYFUNCTION("""COMPUTED_VALUE"""),"0014P00003YSp98QAD")</f>
        <v>0014P00003YSp98QAD</v>
      </c>
      <c r="B102" s="27" t="str">
        <f ca="1">IFERROR(__xludf.DUMMYFUNCTION("""COMPUTED_VALUE"""),"Fase Inicial")</f>
        <v>Fase Inicial</v>
      </c>
      <c r="C102" s="27" t="str">
        <f ca="1">IFERROR(__xludf.DUMMYFUNCTION("""COMPUTED_VALUE"""),"Fellow")</f>
        <v>Fellow</v>
      </c>
      <c r="D102" s="27" t="str">
        <f ca="1">IFERROR(__xludf.DUMMYFUNCTION("""COMPUTED_VALUE"""),"Ativo")</f>
        <v>Ativo</v>
      </c>
      <c r="E102" s="27" t="str">
        <f ca="1">IFERROR(__xludf.DUMMYFUNCTION("""COMPUTED_VALUE"""),"Associação Ethos Sustentável")</f>
        <v>Associação Ethos Sustentável</v>
      </c>
      <c r="F102" s="21" t="str">
        <f ca="1">IFERROR(VLOOKUP(A102,'Rede - Gerando Falcões '!A101:G1097,38,0),"")</f>
        <v/>
      </c>
      <c r="G102" s="27" t="str">
        <f ca="1">IFERROR(VLOOKUP(A102,'Tabela Categorização'!A:J,10,0),"")</f>
        <v>Fase Inicial</v>
      </c>
      <c r="H102" s="27" t="b">
        <f t="shared" ca="1" si="0"/>
        <v>1</v>
      </c>
      <c r="I102" s="21" t="str">
        <f>HYPERLINK("https://gerandofalcoes.my.salesforce.com/0034P00003maBVmQAM", "0034P00003maBVmQAM")</f>
        <v>0034P00003maBVmQAM</v>
      </c>
      <c r="J102" s="9" t="s">
        <v>17881</v>
      </c>
      <c r="K102" s="38" t="s">
        <v>17882</v>
      </c>
    </row>
    <row r="103" spans="1:11" ht="12.5" x14ac:dyDescent="0.25">
      <c r="A103" s="21" t="str">
        <f ca="1">IFERROR(__xludf.DUMMYFUNCTION("""COMPUTED_VALUE"""),"0014P00003AN2GHQA1")</f>
        <v>0014P00003AN2GHQA1</v>
      </c>
      <c r="B103" s="27" t="str">
        <f ca="1">IFERROR(__xludf.DUMMYFUNCTION("""COMPUTED_VALUE"""),"Fase Inicial")</f>
        <v>Fase Inicial</v>
      </c>
      <c r="C103" s="27" t="str">
        <f ca="1">IFERROR(__xludf.DUMMYFUNCTION("""COMPUTED_VALUE"""),"Fellow")</f>
        <v>Fellow</v>
      </c>
      <c r="D103" s="27" t="str">
        <f ca="1">IFERROR(__xludf.DUMMYFUNCTION("""COMPUTED_VALUE"""),"Ativo")</f>
        <v>Ativo</v>
      </c>
      <c r="E103" s="27" t="str">
        <f ca="1">IFERROR(__xludf.DUMMYFUNCTION("""COMPUTED_VALUE"""),"Associação Futuro Campeão")</f>
        <v>Associação Futuro Campeão</v>
      </c>
      <c r="F103" s="21" t="str">
        <f ca="1">IFERROR(VLOOKUP(A103,'Rede - Gerando Falcões '!A102:G1098,38,0),"")</f>
        <v/>
      </c>
      <c r="G103" s="27" t="str">
        <f ca="1">IFERROR(VLOOKUP(A103,'Tabela Categorização'!A:J,10,0),"")</f>
        <v>Fase Inicial</v>
      </c>
      <c r="H103" s="27" t="b">
        <f t="shared" ca="1" si="0"/>
        <v>1</v>
      </c>
      <c r="I103" s="21" t="str">
        <f>HYPERLINK("https://gerandofalcoes.my.salesforce.com/0034P000045kxk8QAA", "0034P000045kxk8QAA")</f>
        <v>0034P000045kxk8QAA</v>
      </c>
      <c r="J103" s="9" t="s">
        <v>17881</v>
      </c>
      <c r="K103" s="38" t="s">
        <v>17882</v>
      </c>
    </row>
    <row r="104" spans="1:11" ht="12.5" x14ac:dyDescent="0.25">
      <c r="A104" s="21" t="str">
        <f ca="1">IFERROR(__xludf.DUMMYFUNCTION("""COMPUTED_VALUE"""),"0014P00003YSp9WQAT")</f>
        <v>0014P00003YSp9WQAT</v>
      </c>
      <c r="B104" s="27" t="str">
        <f ca="1">IFERROR(__xludf.DUMMYFUNCTION("""COMPUTED_VALUE"""),"Fase Inicial")</f>
        <v>Fase Inicial</v>
      </c>
      <c r="C104" s="27" t="str">
        <f ca="1">IFERROR(__xludf.DUMMYFUNCTION("""COMPUTED_VALUE"""),"Fellow")</f>
        <v>Fellow</v>
      </c>
      <c r="D104" s="27" t="str">
        <f ca="1">IFERROR(__xludf.DUMMYFUNCTION("""COMPUTED_VALUE"""),"Ativo")</f>
        <v>Ativo</v>
      </c>
      <c r="E104" s="27" t="str">
        <f ca="1">IFERROR(__xludf.DUMMYFUNCTION("""COMPUTED_VALUE"""),"ASSOCIACAO GIBI ESPORTE E EDUCACAO")</f>
        <v>ASSOCIACAO GIBI ESPORTE E EDUCACAO</v>
      </c>
      <c r="F104" s="21" t="str">
        <f ca="1">IFERROR(VLOOKUP(A104,'Rede - Gerando Falcões '!A103:G1099,38,0),"")</f>
        <v/>
      </c>
      <c r="G104" s="27" t="str">
        <f ca="1">IFERROR(VLOOKUP(A104,'Tabela Categorização'!A:J,10,0),"")</f>
        <v>Fase Inicial</v>
      </c>
      <c r="H104" s="27" t="b">
        <f t="shared" ca="1" si="0"/>
        <v>1</v>
      </c>
      <c r="I104" s="21" t="str">
        <f>HYPERLINK("https://gerandofalcoes.my.salesforce.com/0034P000043fOnmQAE", "0034P000043fOnmQAE")</f>
        <v>0034P000043fOnmQAE</v>
      </c>
      <c r="J104" s="9" t="s">
        <v>17881</v>
      </c>
      <c r="K104" s="38" t="s">
        <v>17882</v>
      </c>
    </row>
    <row r="105" spans="1:11" ht="12.5" x14ac:dyDescent="0.25">
      <c r="A105" s="21" t="str">
        <f ca="1">IFERROR(__xludf.DUMMYFUNCTION("""COMPUTED_VALUE"""),"0014P00003SGWPfQAP")</f>
        <v>0014P00003SGWPfQAP</v>
      </c>
      <c r="B105" s="27" t="str">
        <f ca="1">IFERROR(__xludf.DUMMYFUNCTION("""COMPUTED_VALUE"""),"Fase Inicial")</f>
        <v>Fase Inicial</v>
      </c>
      <c r="C105" s="27" t="str">
        <f ca="1">IFERROR(__xludf.DUMMYFUNCTION("""COMPUTED_VALUE"""),"Fellow")</f>
        <v>Fellow</v>
      </c>
      <c r="D105" s="27" t="str">
        <f ca="1">IFERROR(__xludf.DUMMYFUNCTION("""COMPUTED_VALUE"""),"Ativo")</f>
        <v>Ativo</v>
      </c>
      <c r="E105" s="27" t="str">
        <f ca="1">IFERROR(__xludf.DUMMYFUNCTION("""COMPUTED_VALUE"""),"ASSOCIAÇÃO GRUPO DE ASSISTÊNCIA INTEGRAL À INFÂNCIA E ADOLESCÊNCIA")</f>
        <v>ASSOCIAÇÃO GRUPO DE ASSISTÊNCIA INTEGRAL À INFÂNCIA E ADOLESCÊNCIA</v>
      </c>
      <c r="F105" s="21" t="str">
        <f ca="1">IFERROR(VLOOKUP(A105,'Rede - Gerando Falcões '!A104:G1100,38,0),"")</f>
        <v/>
      </c>
      <c r="G105" s="27" t="str">
        <f ca="1">IFERROR(VLOOKUP(A105,'Tabela Categorização'!A:J,10,0),"")</f>
        <v>Fase Inicial</v>
      </c>
      <c r="H105" s="27" t="b">
        <f t="shared" ca="1" si="0"/>
        <v>1</v>
      </c>
      <c r="I105" s="21" t="str">
        <f>HYPERLINK("https://gerandofalcoes.my.salesforce.com/0034P000045kxjbQAA", "0034P000045kxjbQAA")</f>
        <v>0034P000045kxjbQAA</v>
      </c>
      <c r="J105" s="9" t="s">
        <v>17881</v>
      </c>
      <c r="K105" s="38" t="s">
        <v>17882</v>
      </c>
    </row>
    <row r="106" spans="1:11" ht="12.5" x14ac:dyDescent="0.25">
      <c r="A106" s="21" t="str">
        <f ca="1">IFERROR(__xludf.DUMMYFUNCTION("""COMPUTED_VALUE"""),"0014P00003YSp8zQAD")</f>
        <v>0014P00003YSp8zQAD</v>
      </c>
      <c r="B106" s="27" t="str">
        <f ca="1">IFERROR(__xludf.DUMMYFUNCTION("""COMPUTED_VALUE"""),"Fase Inicial")</f>
        <v>Fase Inicial</v>
      </c>
      <c r="C106" s="27" t="str">
        <f ca="1">IFERROR(__xludf.DUMMYFUNCTION("""COMPUTED_VALUE"""),"Fellow")</f>
        <v>Fellow</v>
      </c>
      <c r="D106" s="27" t="str">
        <f ca="1">IFERROR(__xludf.DUMMYFUNCTION("""COMPUTED_VALUE"""),"Ativo")</f>
        <v>Ativo</v>
      </c>
      <c r="E106" s="27" t="str">
        <f ca="1">IFERROR(__xludf.DUMMYFUNCTION("""COMPUTED_VALUE"""),"Associaçao Infancia e Familia")</f>
        <v>Associaçao Infancia e Familia</v>
      </c>
      <c r="F106" s="21" t="str">
        <f ca="1">IFERROR(VLOOKUP(A106,'Rede - Gerando Falcões '!A105:G1101,38,0),"")</f>
        <v/>
      </c>
      <c r="G106" s="27" t="str">
        <f ca="1">IFERROR(VLOOKUP(A106,'Tabela Categorização'!A:J,10,0),"")</f>
        <v>Fase Inicial</v>
      </c>
      <c r="H106" s="27" t="b">
        <f t="shared" ca="1" si="0"/>
        <v>1</v>
      </c>
      <c r="I106" s="21" t="str">
        <f>HYPERLINK("https://gerandofalcoes.my.salesforce.com/0034P000045kxj5QAA", "0034P000045kxj5QAA")</f>
        <v>0034P000045kxj5QAA</v>
      </c>
      <c r="J106" s="9" t="s">
        <v>17881</v>
      </c>
      <c r="K106" s="38" t="s">
        <v>17882</v>
      </c>
    </row>
    <row r="107" spans="1:11" ht="12.5" x14ac:dyDescent="0.25">
      <c r="A107" s="21" t="str">
        <f ca="1">IFERROR(__xludf.DUMMYFUNCTION("""COMPUTED_VALUE"""),"0014P00003YSp8UQAT")</f>
        <v>0014P00003YSp8UQAT</v>
      </c>
      <c r="B107" s="27" t="str">
        <f ca="1">IFERROR(__xludf.DUMMYFUNCTION("""COMPUTED_VALUE"""),"Fase Inicial")</f>
        <v>Fase Inicial</v>
      </c>
      <c r="C107" s="27" t="str">
        <f ca="1">IFERROR(__xludf.DUMMYFUNCTION("""COMPUTED_VALUE"""),"Fellow")</f>
        <v>Fellow</v>
      </c>
      <c r="D107" s="27" t="str">
        <f ca="1">IFERROR(__xludf.DUMMYFUNCTION("""COMPUTED_VALUE"""),"Ativo")</f>
        <v>Ativo</v>
      </c>
      <c r="E107" s="27" t="str">
        <f ca="1">IFERROR(__xludf.DUMMYFUNCTION("""COMPUTED_VALUE"""),"Associação Instituto de Mulheres Negras Herdeiras de Candaces")</f>
        <v>Associação Instituto de Mulheres Negras Herdeiras de Candaces</v>
      </c>
      <c r="F107" s="21" t="str">
        <f ca="1">IFERROR(VLOOKUP(A107,'Rede - Gerando Falcões '!A106:G1102,38,0),"")</f>
        <v/>
      </c>
      <c r="G107" s="27" t="str">
        <f ca="1">IFERROR(VLOOKUP(A107,'Tabela Categorização'!A:J,10,0),"")</f>
        <v>Fase Inicial</v>
      </c>
      <c r="H107" s="27" t="b">
        <f t="shared" ca="1" si="0"/>
        <v>1</v>
      </c>
      <c r="I107" s="21" t="str">
        <f>HYPERLINK("https://gerandofalcoes.my.salesforce.com/0034X0000380O3vQAE", "0034X0000380O3vQAE")</f>
        <v>0034X0000380O3vQAE</v>
      </c>
      <c r="J107" s="9" t="s">
        <v>17881</v>
      </c>
      <c r="K107" s="38" t="s">
        <v>17882</v>
      </c>
    </row>
    <row r="108" spans="1:11" ht="12.5" x14ac:dyDescent="0.25">
      <c r="A108" s="21" t="str">
        <f ca="1">IFERROR(__xludf.DUMMYFUNCTION("""COMPUTED_VALUE"""),"0014X00002VKCqTQAX")</f>
        <v>0014X00002VKCqTQAX</v>
      </c>
      <c r="B108" s="27" t="str">
        <f ca="1">IFERROR(__xludf.DUMMYFUNCTION("""COMPUTED_VALUE"""),"Fase Inicial")</f>
        <v>Fase Inicial</v>
      </c>
      <c r="C108" s="27" t="str">
        <f ca="1">IFERROR(__xludf.DUMMYFUNCTION("""COMPUTED_VALUE"""),"Fellow")</f>
        <v>Fellow</v>
      </c>
      <c r="D108" s="27" t="str">
        <f ca="1">IFERROR(__xludf.DUMMYFUNCTION("""COMPUTED_VALUE"""),"Ativo")</f>
        <v>Ativo</v>
      </c>
      <c r="E108" s="27" t="str">
        <f ca="1">IFERROR(__xludf.DUMMYFUNCTION("""COMPUTED_VALUE"""),"Associação Integrando e Construindo o Conhecimento-AICC")</f>
        <v>Associação Integrando e Construindo o Conhecimento-AICC</v>
      </c>
      <c r="F108" s="21" t="str">
        <f ca="1">IFERROR(VLOOKUP(A108,'Rede - Gerando Falcões '!A107:G1103,38,0),"")</f>
        <v/>
      </c>
      <c r="G108" s="27" t="str">
        <f ca="1">IFERROR(VLOOKUP(A108,'Tabela Categorização'!A:J,10,0),"")</f>
        <v>Fase Inicial</v>
      </c>
      <c r="H108" s="27" t="b">
        <f t="shared" ca="1" si="0"/>
        <v>1</v>
      </c>
      <c r="I108" s="21" t="str">
        <f>HYPERLINK("https://gerandofalcoes.my.salesforce.com/0034P000045kxi2QAA", "0034P000045kxi2QAA")</f>
        <v>0034P000045kxi2QAA</v>
      </c>
      <c r="J108" s="9" t="s">
        <v>17881</v>
      </c>
      <c r="K108" s="38" t="s">
        <v>17882</v>
      </c>
    </row>
    <row r="109" spans="1:11" ht="12.5" x14ac:dyDescent="0.25">
      <c r="A109" s="21" t="str">
        <f ca="1">IFERROR(__xludf.DUMMYFUNCTION("""COMPUTED_VALUE"""),"0014P00003YSp7RQAT")</f>
        <v>0014P00003YSp7RQAT</v>
      </c>
      <c r="B109" s="27" t="str">
        <f ca="1">IFERROR(__xludf.DUMMYFUNCTION("""COMPUTED_VALUE"""),"Fase Inicial")</f>
        <v>Fase Inicial</v>
      </c>
      <c r="C109" s="27" t="str">
        <f ca="1">IFERROR(__xludf.DUMMYFUNCTION("""COMPUTED_VALUE"""),"Fellow")</f>
        <v>Fellow</v>
      </c>
      <c r="D109" s="27" t="str">
        <f ca="1">IFERROR(__xludf.DUMMYFUNCTION("""COMPUTED_VALUE"""),"Ativo")</f>
        <v>Ativo</v>
      </c>
      <c r="E109" s="27" t="str">
        <f ca="1">IFERROR(__xludf.DUMMYFUNCTION("""COMPUTED_VALUE"""),"ASSOCIAÇÃO INTERNACIONAL DE CAPOEIRA OS BAMBAS DO SOL NASCENTE DE SALVADOR")</f>
        <v>ASSOCIAÇÃO INTERNACIONAL DE CAPOEIRA OS BAMBAS DO SOL NASCENTE DE SALVADOR</v>
      </c>
      <c r="F109" s="21" t="str">
        <f ca="1">IFERROR(VLOOKUP(A109,'Rede - Gerando Falcões '!A108:G1104,38,0),"")</f>
        <v/>
      </c>
      <c r="G109" s="27" t="str">
        <f ca="1">IFERROR(VLOOKUP(A109,'Tabela Categorização'!A:J,10,0),"")</f>
        <v>Fase Inicial</v>
      </c>
      <c r="H109" s="27" t="b">
        <f t="shared" ca="1" si="0"/>
        <v>1</v>
      </c>
      <c r="I109" s="21" t="str">
        <f>HYPERLINK("https://gerandofalcoes.my.salesforce.com/0034X0000380O4cQAE", "0034X0000380O4cQAE")</f>
        <v>0034X0000380O4cQAE</v>
      </c>
      <c r="J109" s="9" t="s">
        <v>17881</v>
      </c>
      <c r="K109" s="38" t="s">
        <v>17882</v>
      </c>
    </row>
    <row r="110" spans="1:11" ht="12.5" x14ac:dyDescent="0.25">
      <c r="A110" s="21" t="str">
        <f ca="1">IFERROR(__xludf.DUMMYFUNCTION("""COMPUTED_VALUE"""),"0014X00002VKCqtQAH")</f>
        <v>0014X00002VKCqtQAH</v>
      </c>
      <c r="B110" s="27" t="str">
        <f ca="1">IFERROR(__xludf.DUMMYFUNCTION("""COMPUTED_VALUE"""),"Fase Inicial")</f>
        <v>Fase Inicial</v>
      </c>
      <c r="C110" s="27" t="str">
        <f ca="1">IFERROR(__xludf.DUMMYFUNCTION("""COMPUTED_VALUE"""),"Fellow")</f>
        <v>Fellow</v>
      </c>
      <c r="D110" s="27" t="str">
        <f ca="1">IFERROR(__xludf.DUMMYFUNCTION("""COMPUTED_VALUE"""),"Ativo")</f>
        <v>Ativo</v>
      </c>
      <c r="E110" s="27" t="str">
        <f ca="1">IFERROR(__xludf.DUMMYFUNCTION("""COMPUTED_VALUE"""),"ASSOCIAÇÃO ITAMAR PARA PROMOÇÃO DE ESPORTES E CULTURA NA FAVELA")</f>
        <v>ASSOCIAÇÃO ITAMAR PARA PROMOÇÃO DE ESPORTES E CULTURA NA FAVELA</v>
      </c>
      <c r="F110" s="21" t="str">
        <f ca="1">IFERROR(VLOOKUP(A110,'Rede - Gerando Falcões '!A109:G1105,38,0),"")</f>
        <v/>
      </c>
      <c r="G110" s="27" t="str">
        <f ca="1">IFERROR(VLOOKUP(A110,'Tabela Categorização'!A:J,10,0),"")</f>
        <v>Fase Inicial</v>
      </c>
      <c r="H110" s="27" t="b">
        <f t="shared" ca="1" si="0"/>
        <v>1</v>
      </c>
      <c r="I110" s="21" t="str">
        <f>HYPERLINK("https://gerandofalcoes.my.salesforce.com/0034X0000380O2vQAE", "0034X0000380O2vQAE")</f>
        <v>0034X0000380O2vQAE</v>
      </c>
      <c r="J110" s="9" t="s">
        <v>17881</v>
      </c>
      <c r="K110" s="38" t="s">
        <v>17882</v>
      </c>
    </row>
    <row r="111" spans="1:11" ht="12.5" x14ac:dyDescent="0.25">
      <c r="A111" s="21" t="str">
        <f ca="1">IFERROR(__xludf.DUMMYFUNCTION("""COMPUTED_VALUE"""),"0014X00002VKCu1QAH")</f>
        <v>0014X00002VKCu1QAH</v>
      </c>
      <c r="B111" s="27" t="str">
        <f ca="1">IFERROR(__xludf.DUMMYFUNCTION("""COMPUTED_VALUE"""),"Fase Inicial")</f>
        <v>Fase Inicial</v>
      </c>
      <c r="C111" s="27" t="str">
        <f ca="1">IFERROR(__xludf.DUMMYFUNCTION("""COMPUTED_VALUE"""),"Fellow")</f>
        <v>Fellow</v>
      </c>
      <c r="D111" s="27" t="str">
        <f ca="1">IFERROR(__xludf.DUMMYFUNCTION("""COMPUTED_VALUE"""),"Ativo")</f>
        <v>Ativo</v>
      </c>
      <c r="E111" s="27" t="str">
        <f ca="1">IFERROR(__xludf.DUMMYFUNCTION("""COMPUTED_VALUE"""),"ASSOCIACAO IYD BRASIL")</f>
        <v>ASSOCIACAO IYD BRASIL</v>
      </c>
      <c r="F111" s="21" t="str">
        <f ca="1">IFERROR(VLOOKUP(A111,'Rede - Gerando Falcões '!A110:G1106,38,0),"")</f>
        <v/>
      </c>
      <c r="G111" s="27" t="str">
        <f ca="1">IFERROR(VLOOKUP(A111,'Tabela Categorização'!A:J,10,0),"")</f>
        <v>Fase Inicial</v>
      </c>
      <c r="H111" s="27" t="b">
        <f t="shared" ca="1" si="0"/>
        <v>1</v>
      </c>
      <c r="I111" s="21" t="str">
        <f>HYPERLINK("https://gerandofalcoes.my.salesforce.com/0034P000045kxkwQAA", "0034P000045kxkwQAA")</f>
        <v>0034P000045kxkwQAA</v>
      </c>
      <c r="J111" s="9" t="s">
        <v>17881</v>
      </c>
      <c r="K111" s="38" t="s">
        <v>17882</v>
      </c>
    </row>
    <row r="112" spans="1:11" ht="12.5" x14ac:dyDescent="0.25">
      <c r="A112" s="21" t="str">
        <f ca="1">IFERROR(__xludf.DUMMYFUNCTION("""COMPUTED_VALUE"""),"0014P00003YSpAKQA1")</f>
        <v>0014P00003YSpAKQA1</v>
      </c>
      <c r="B112" s="27" t="str">
        <f ca="1">IFERROR(__xludf.DUMMYFUNCTION("""COMPUTED_VALUE"""),"Fase Inicial")</f>
        <v>Fase Inicial</v>
      </c>
      <c r="C112" s="27" t="str">
        <f ca="1">IFERROR(__xludf.DUMMYFUNCTION("""COMPUTED_VALUE"""),"Fellow")</f>
        <v>Fellow</v>
      </c>
      <c r="D112" s="27" t="str">
        <f ca="1">IFERROR(__xludf.DUMMYFUNCTION("""COMPUTED_VALUE"""),"Ativo")</f>
        <v>Ativo</v>
      </c>
      <c r="E112" s="27" t="str">
        <f ca="1">IFERROR(__xludf.DUMMYFUNCTION("""COMPUTED_VALUE"""),"Associação Jogando Pelo Reino")</f>
        <v>Associação Jogando Pelo Reino</v>
      </c>
      <c r="F112" s="21" t="str">
        <f ca="1">IFERROR(VLOOKUP(A112,'Rede - Gerando Falcões '!A111:G1107,38,0),"")</f>
        <v/>
      </c>
      <c r="G112" s="27" t="str">
        <f ca="1">IFERROR(VLOOKUP(A112,'Tabela Categorização'!A:J,10,0),"")</f>
        <v>Fase Inicial</v>
      </c>
      <c r="H112" s="27" t="b">
        <f t="shared" ca="1" si="0"/>
        <v>1</v>
      </c>
      <c r="I112" s="21" t="str">
        <f>HYPERLINK("https://gerandofalcoes.my.salesforce.com/0034P000043fOnbQAE", "0034P000043fOnbQAE")</f>
        <v>0034P000043fOnbQAE</v>
      </c>
      <c r="J112" s="9" t="s">
        <v>17881</v>
      </c>
      <c r="K112" s="38" t="s">
        <v>17882</v>
      </c>
    </row>
    <row r="113" spans="1:11" ht="12.5" x14ac:dyDescent="0.25">
      <c r="A113" s="21" t="str">
        <f ca="1">IFERROR(__xludf.DUMMYFUNCTION("""COMPUTED_VALUE"""),"0014P00003SGWPUQA5")</f>
        <v>0014P00003SGWPUQA5</v>
      </c>
      <c r="B113" s="27" t="str">
        <f ca="1">IFERROR(__xludf.DUMMYFUNCTION("""COMPUTED_VALUE"""),"Fase Inicial")</f>
        <v>Fase Inicial</v>
      </c>
      <c r="C113" s="27" t="str">
        <f ca="1">IFERROR(__xludf.DUMMYFUNCTION("""COMPUTED_VALUE"""),"Fellow")</f>
        <v>Fellow</v>
      </c>
      <c r="D113" s="27" t="str">
        <f ca="1">IFERROR(__xludf.DUMMYFUNCTION("""COMPUTED_VALUE"""),"Ativo")</f>
        <v>Ativo</v>
      </c>
      <c r="E113" s="27" t="str">
        <f ca="1">IFERROR(__xludf.DUMMYFUNCTION("""COMPUTED_VALUE"""),"ASSOCIAÇÃO LACRE DO BEM")</f>
        <v>ASSOCIAÇÃO LACRE DO BEM</v>
      </c>
      <c r="F113" s="21" t="str">
        <f ca="1">IFERROR(VLOOKUP(A113,'Rede - Gerando Falcões '!A112:G1108,38,0),"")</f>
        <v/>
      </c>
      <c r="G113" s="27" t="str">
        <f ca="1">IFERROR(VLOOKUP(A113,'Tabela Categorização'!A:J,10,0),"")</f>
        <v>Fase Inicial</v>
      </c>
      <c r="H113" s="27" t="b">
        <f t="shared" ca="1" si="0"/>
        <v>1</v>
      </c>
      <c r="I113" s="21" t="str">
        <f>HYPERLINK("https://gerandofalcoes.my.salesforce.com/0034X0000380O5OQAU", "0034X0000380O5OQAU")</f>
        <v>0034X0000380O5OQAU</v>
      </c>
      <c r="J113" s="9" t="s">
        <v>17881</v>
      </c>
      <c r="K113" s="38" t="s">
        <v>17882</v>
      </c>
    </row>
    <row r="114" spans="1:11" ht="12.5" x14ac:dyDescent="0.25">
      <c r="A114" s="21" t="str">
        <f ca="1">IFERROR(__xludf.DUMMYFUNCTION("""COMPUTED_VALUE"""),"0014X00002VKCtAQAX")</f>
        <v>0014X00002VKCtAQAX</v>
      </c>
      <c r="B114" s="27" t="str">
        <f ca="1">IFERROR(__xludf.DUMMYFUNCTION("""COMPUTED_VALUE"""),"Fase Inicial")</f>
        <v>Fase Inicial</v>
      </c>
      <c r="C114" s="27" t="str">
        <f ca="1">IFERROR(__xludf.DUMMYFUNCTION("""COMPUTED_VALUE"""),"Fellow")</f>
        <v>Fellow</v>
      </c>
      <c r="D114" s="27" t="str">
        <f ca="1">IFERROR(__xludf.DUMMYFUNCTION("""COMPUTED_VALUE"""),"Ativo")</f>
        <v>Ativo</v>
      </c>
      <c r="E114" s="27" t="str">
        <f ca="1">IFERROR(__xludf.DUMMYFUNCTION("""COMPUTED_VALUE"""),"Associação Ler e Saber na Comunidade")</f>
        <v>Associação Ler e Saber na Comunidade</v>
      </c>
      <c r="F114" s="21" t="str">
        <f ca="1">IFERROR(VLOOKUP(A114,'Rede - Gerando Falcões '!A113:G1109,38,0),"")</f>
        <v/>
      </c>
      <c r="G114" s="27" t="str">
        <f ca="1">IFERROR(VLOOKUP(A114,'Tabela Categorização'!A:J,10,0),"")</f>
        <v>Fase Inicial</v>
      </c>
      <c r="H114" s="27" t="b">
        <f t="shared" ca="1" si="0"/>
        <v>1</v>
      </c>
      <c r="I114" s="21" t="str">
        <f>HYPERLINK("https://gerandofalcoes.my.salesforce.com/0034X0000380O0oQAE", "0034X0000380O0oQAE")</f>
        <v>0034X0000380O0oQAE</v>
      </c>
      <c r="J114" s="9" t="s">
        <v>17881</v>
      </c>
      <c r="K114" s="38" t="s">
        <v>17882</v>
      </c>
    </row>
    <row r="115" spans="1:11" ht="12.5" x14ac:dyDescent="0.25">
      <c r="A115" s="21" t="str">
        <f ca="1">IFERROR(__xludf.DUMMYFUNCTION("""COMPUTED_VALUE"""),"0014X00002VKCsVQAX")</f>
        <v>0014X00002VKCsVQAX</v>
      </c>
      <c r="B115" s="27" t="str">
        <f ca="1">IFERROR(__xludf.DUMMYFUNCTION("""COMPUTED_VALUE"""),"Fase Inicial")</f>
        <v>Fase Inicial</v>
      </c>
      <c r="C115" s="27" t="str">
        <f ca="1">IFERROR(__xludf.DUMMYFUNCTION("""COMPUTED_VALUE"""),"Fellow")</f>
        <v>Fellow</v>
      </c>
      <c r="D115" s="27" t="str">
        <f ca="1">IFERROR(__xludf.DUMMYFUNCTION("""COMPUTED_VALUE"""),"Ativo")</f>
        <v>Ativo</v>
      </c>
      <c r="E115" s="27" t="str">
        <f ca="1">IFERROR(__xludf.DUMMYFUNCTION("""COMPUTED_VALUE"""),"Associação Livre - Centro de Formação e Transformação Social (Transformar)")</f>
        <v>Associação Livre - Centro de Formação e Transformação Social (Transformar)</v>
      </c>
      <c r="F115" s="21" t="str">
        <f ca="1">IFERROR(VLOOKUP(A115,'Rede - Gerando Falcões '!A114:G1110,38,0),"")</f>
        <v/>
      </c>
      <c r="G115" s="27" t="str">
        <f ca="1">IFERROR(VLOOKUP(A115,'Tabela Categorização'!A:J,10,0),"")</f>
        <v>Fase Inicial</v>
      </c>
      <c r="H115" s="27" t="b">
        <f t="shared" ca="1" si="0"/>
        <v>1</v>
      </c>
      <c r="I115" s="21" t="str">
        <f>HYPERLINK("https://gerandofalcoes.my.salesforce.com/0034X0000380O0bQAE", "0034X0000380O0bQAE")</f>
        <v>0034X0000380O0bQAE</v>
      </c>
      <c r="J115" s="9" t="s">
        <v>17881</v>
      </c>
      <c r="K115" s="38" t="s">
        <v>17882</v>
      </c>
    </row>
    <row r="116" spans="1:11" ht="12.5" x14ac:dyDescent="0.25">
      <c r="A116" s="21" t="str">
        <f ca="1">IFERROR(__xludf.DUMMYFUNCTION("""COMPUTED_VALUE"""),"0014X00002VKCv3QAH")</f>
        <v>0014X00002VKCv3QAH</v>
      </c>
      <c r="B116" s="27" t="str">
        <f ca="1">IFERROR(__xludf.DUMMYFUNCTION("""COMPUTED_VALUE"""),"Fase Inicial")</f>
        <v>Fase Inicial</v>
      </c>
      <c r="C116" s="27" t="str">
        <f ca="1">IFERROR(__xludf.DUMMYFUNCTION("""COMPUTED_VALUE"""),"Fellow")</f>
        <v>Fellow</v>
      </c>
      <c r="D116" s="27" t="str">
        <f ca="1">IFERROR(__xludf.DUMMYFUNCTION("""COMPUTED_VALUE"""),"Ativo")</f>
        <v>Ativo</v>
      </c>
      <c r="E116" s="27" t="str">
        <f ca="1">IFERROR(__xludf.DUMMYFUNCTION("""COMPUTED_VALUE"""),"Associação Lyra")</f>
        <v>Associação Lyra</v>
      </c>
      <c r="F116" s="21" t="str">
        <f ca="1">IFERROR(VLOOKUP(A116,'Rede - Gerando Falcões '!A115:G1111,38,0),"")</f>
        <v/>
      </c>
      <c r="G116" s="27" t="str">
        <f ca="1">IFERROR(VLOOKUP(A116,'Tabela Categorização'!A:J,10,0),"")</f>
        <v>Fase Inicial</v>
      </c>
      <c r="H116" s="27" t="b">
        <f t="shared" ca="1" si="0"/>
        <v>1</v>
      </c>
      <c r="I116" s="21" t="str">
        <f>HYPERLINK("https://gerandofalcoes.my.salesforce.com/0034X0000380O3ZQAU", "0034X0000380O3ZQAU")</f>
        <v>0034X0000380O3ZQAU</v>
      </c>
      <c r="J116" s="9" t="s">
        <v>17881</v>
      </c>
      <c r="K116" s="38" t="s">
        <v>17882</v>
      </c>
    </row>
    <row r="117" spans="1:11" ht="12.5" x14ac:dyDescent="0.25">
      <c r="A117" s="21" t="str">
        <f ca="1">IFERROR(__xludf.DUMMYFUNCTION("""COMPUTED_VALUE"""),"0014X00002VKCugQAH")</f>
        <v>0014X00002VKCugQAH</v>
      </c>
      <c r="B117" s="27" t="str">
        <f ca="1">IFERROR(__xludf.DUMMYFUNCTION("""COMPUTED_VALUE"""),"Fase Inicial")</f>
        <v>Fase Inicial</v>
      </c>
      <c r="C117" s="27" t="str">
        <f ca="1">IFERROR(__xludf.DUMMYFUNCTION("""COMPUTED_VALUE"""),"Fellow")</f>
        <v>Fellow</v>
      </c>
      <c r="D117" s="27" t="str">
        <f ca="1">IFERROR(__xludf.DUMMYFUNCTION("""COMPUTED_VALUE"""),"Ativo")</f>
        <v>Ativo</v>
      </c>
      <c r="E117" s="27" t="str">
        <f ca="1">IFERROR(__xludf.DUMMYFUNCTION("""COMPUTED_VALUE"""),"ASSOCIAÇÃO MAIS HUMANOS")</f>
        <v>ASSOCIAÇÃO MAIS HUMANOS</v>
      </c>
      <c r="F117" s="21" t="str">
        <f ca="1">IFERROR(VLOOKUP(A117,'Rede - Gerando Falcões '!A116:G1112,38,0),"")</f>
        <v/>
      </c>
      <c r="G117" s="27" t="str">
        <f ca="1">IFERROR(VLOOKUP(A117,'Tabela Categorização'!A:J,10,0),"")</f>
        <v>Fase Inicial</v>
      </c>
      <c r="H117" s="27" t="b">
        <f t="shared" ca="1" si="0"/>
        <v>1</v>
      </c>
      <c r="I117" s="21" t="str">
        <f>HYPERLINK("https://gerandofalcoes.my.salesforce.com/0034X0000380O5lQAE", "0034X0000380O5lQAE")</f>
        <v>0034X0000380O5lQAE</v>
      </c>
      <c r="J117" s="9" t="s">
        <v>17881</v>
      </c>
      <c r="K117" s="38" t="s">
        <v>17882</v>
      </c>
    </row>
    <row r="118" spans="1:11" ht="12.5" x14ac:dyDescent="0.25">
      <c r="A118" s="21" t="str">
        <f ca="1">IFERROR(__xludf.DUMMYFUNCTION("""COMPUTED_VALUE"""),"0014X00002VKCqQQAX")</f>
        <v>0014X00002VKCqQQAX</v>
      </c>
      <c r="B118" s="27" t="str">
        <f ca="1">IFERROR(__xludf.DUMMYFUNCTION("""COMPUTED_VALUE"""),"Fase Inicial")</f>
        <v>Fase Inicial</v>
      </c>
      <c r="C118" s="27" t="str">
        <f ca="1">IFERROR(__xludf.DUMMYFUNCTION("""COMPUTED_VALUE"""),"Fellow")</f>
        <v>Fellow</v>
      </c>
      <c r="D118" s="27" t="str">
        <f ca="1">IFERROR(__xludf.DUMMYFUNCTION("""COMPUTED_VALUE"""),"Ativo")</f>
        <v>Ativo</v>
      </c>
      <c r="E118" s="27" t="str">
        <f ca="1">IFERROR(__xludf.DUMMYFUNCTION("""COMPUTED_VALUE"""),"ASSOCIACAO MANA - ACOES QUE TRANSFORMAM VIDAS")</f>
        <v>ASSOCIACAO MANA - ACOES QUE TRANSFORMAM VIDAS</v>
      </c>
      <c r="F118" s="21" t="str">
        <f ca="1">IFERROR(VLOOKUP(A118,'Rede - Gerando Falcões '!A117:G1113,38,0),"")</f>
        <v/>
      </c>
      <c r="G118" s="27" t="str">
        <f ca="1">IFERROR(VLOOKUP(A118,'Tabela Categorização'!A:J,10,0),"")</f>
        <v>Fase Inicial</v>
      </c>
      <c r="H118" s="27" t="b">
        <f t="shared" ca="1" si="0"/>
        <v>1</v>
      </c>
      <c r="I118" s="21" t="str">
        <f>HYPERLINK("https://gerandofalcoes.my.salesforce.com/0034X0000380O5vQAE", "0034X0000380O5vQAE")</f>
        <v>0034X0000380O5vQAE</v>
      </c>
      <c r="J118" s="9" t="s">
        <v>17881</v>
      </c>
      <c r="K118" s="38" t="s">
        <v>17882</v>
      </c>
    </row>
    <row r="119" spans="1:11" ht="12.5" x14ac:dyDescent="0.25">
      <c r="A119" s="21" t="str">
        <f ca="1">IFERROR(__xludf.DUMMYFUNCTION("""COMPUTED_VALUE"""),"0014X00002VKCuMQAX")</f>
        <v>0014X00002VKCuMQAX</v>
      </c>
      <c r="B119" s="27" t="str">
        <f ca="1">IFERROR(__xludf.DUMMYFUNCTION("""COMPUTED_VALUE"""),"Fase Inicial")</f>
        <v>Fase Inicial</v>
      </c>
      <c r="C119" s="27" t="str">
        <f ca="1">IFERROR(__xludf.DUMMYFUNCTION("""COMPUTED_VALUE"""),"Fellow")</f>
        <v>Fellow</v>
      </c>
      <c r="D119" s="27" t="str">
        <f ca="1">IFERROR(__xludf.DUMMYFUNCTION("""COMPUTED_VALUE"""),"Ativo")</f>
        <v>Ativo</v>
      </c>
      <c r="E119" s="27" t="str">
        <f ca="1">IFERROR(__xludf.DUMMYFUNCTION("""COMPUTED_VALUE"""),"Associação mão no arado")</f>
        <v>Associação mão no arado</v>
      </c>
      <c r="F119" s="21" t="str">
        <f ca="1">IFERROR(VLOOKUP(A119,'Rede - Gerando Falcões '!A118:G1114,38,0),"")</f>
        <v/>
      </c>
      <c r="G119" s="27" t="str">
        <f ca="1">IFERROR(VLOOKUP(A119,'Tabela Categorização'!A:J,10,0),"")</f>
        <v>Fase Inicial</v>
      </c>
      <c r="H119" s="27" t="b">
        <f t="shared" ca="1" si="0"/>
        <v>1</v>
      </c>
      <c r="I119" s="21" t="str">
        <f>HYPERLINK("https://gerandofalcoes.my.salesforce.com/0034P00003maBVBQA2", "0034P00003maBVBQA2")</f>
        <v>0034P00003maBVBQA2</v>
      </c>
      <c r="J119" s="9" t="s">
        <v>17881</v>
      </c>
      <c r="K119" s="38" t="s">
        <v>17882</v>
      </c>
    </row>
    <row r="120" spans="1:11" ht="12.5" x14ac:dyDescent="0.25">
      <c r="A120" s="21" t="str">
        <f ca="1">IFERROR(__xludf.DUMMYFUNCTION("""COMPUTED_VALUE"""),"0014P00003AN2h4QAD")</f>
        <v>0014P00003AN2h4QAD</v>
      </c>
      <c r="B120" s="27" t="str">
        <f ca="1">IFERROR(__xludf.DUMMYFUNCTION("""COMPUTED_VALUE"""),"Fase Estruturação")</f>
        <v>Fase Estruturação</v>
      </c>
      <c r="C120" s="27" t="str">
        <f ca="1">IFERROR(__xludf.DUMMYFUNCTION("""COMPUTED_VALUE"""),"Fellow")</f>
        <v>Fellow</v>
      </c>
      <c r="D120" s="27" t="str">
        <f ca="1">IFERROR(__xludf.DUMMYFUNCTION("""COMPUTED_VALUE"""),"Ativo")</f>
        <v>Ativo</v>
      </c>
      <c r="E120" s="27" t="str">
        <f ca="1">IFERROR(__xludf.DUMMYFUNCTION("""COMPUTED_VALUE"""),"Associação Meninos da Aracy")</f>
        <v>Associação Meninos da Aracy</v>
      </c>
      <c r="F120" s="21" t="str">
        <f ca="1">IFERROR(VLOOKUP(A120,'Rede - Gerando Falcões '!A119:G1115,38,0),"")</f>
        <v/>
      </c>
      <c r="G120" s="27" t="str">
        <f ca="1">IFERROR(VLOOKUP(A120,'Tabela Categorização'!A:J,10,0),"")</f>
        <v>Fase Estruturação</v>
      </c>
      <c r="H120" s="27" t="b">
        <f t="shared" ca="1" si="0"/>
        <v>1</v>
      </c>
      <c r="I120" s="21" t="str">
        <f>HYPERLINK("https://gerandofalcoes.my.salesforce.com/0034P000045kxjmQAA", "0034P000045kxjmQAA")</f>
        <v>0034P000045kxjmQAA</v>
      </c>
      <c r="J120" s="9" t="s">
        <v>17881</v>
      </c>
      <c r="K120" s="38" t="s">
        <v>17882</v>
      </c>
    </row>
    <row r="121" spans="1:11" ht="12.5" x14ac:dyDescent="0.25">
      <c r="A121" s="21" t="str">
        <f ca="1">IFERROR(__xludf.DUMMYFUNCTION("""COMPUTED_VALUE"""),"0014P00003YSp9AQAT")</f>
        <v>0014P00003YSp9AQAT</v>
      </c>
      <c r="B121" s="27" t="str">
        <f ca="1">IFERROR(__xludf.DUMMYFUNCTION("""COMPUTED_VALUE"""),"Fase Inicial")</f>
        <v>Fase Inicial</v>
      </c>
      <c r="C121" s="27" t="str">
        <f ca="1">IFERROR(__xludf.DUMMYFUNCTION("""COMPUTED_VALUE"""),"Fellow")</f>
        <v>Fellow</v>
      </c>
      <c r="D121" s="27" t="str">
        <f ca="1">IFERROR(__xludf.DUMMYFUNCTION("""COMPUTED_VALUE"""),"Ativo")</f>
        <v>Ativo</v>
      </c>
      <c r="E121" s="27" t="str">
        <f ca="1">IFERROR(__xludf.DUMMYFUNCTION("""COMPUTED_VALUE"""),"Associação Missão em Ação Social - AMEAS")</f>
        <v>Associação Missão em Ação Social - AMEAS</v>
      </c>
      <c r="F121" s="21" t="str">
        <f ca="1">IFERROR(VLOOKUP(A121,'Rede - Gerando Falcões '!A120:G1116,38,0),"")</f>
        <v/>
      </c>
      <c r="G121" s="27" t="str">
        <f ca="1">IFERROR(VLOOKUP(A121,'Tabela Categorização'!A:J,10,0),"")</f>
        <v>Fase Inicial</v>
      </c>
      <c r="H121" s="27" t="b">
        <f t="shared" ca="1" si="0"/>
        <v>1</v>
      </c>
      <c r="I121" s="21" t="str">
        <f>HYPERLINK("https://gerandofalcoes.my.salesforce.com/0034P000043fOoAQAU", "0034P000043fOoAQAU")</f>
        <v>0034P000043fOoAQAU</v>
      </c>
      <c r="J121" s="9" t="s">
        <v>17881</v>
      </c>
      <c r="K121" s="38" t="s">
        <v>17882</v>
      </c>
    </row>
    <row r="122" spans="1:11" ht="12.5" x14ac:dyDescent="0.25">
      <c r="A122" s="21" t="str">
        <f ca="1">IFERROR(__xludf.DUMMYFUNCTION("""COMPUTED_VALUE"""),"0014P00003SGWQ9QAP")</f>
        <v>0014P00003SGWQ9QAP</v>
      </c>
      <c r="B122" s="27" t="str">
        <f ca="1">IFERROR(__xludf.DUMMYFUNCTION("""COMPUTED_VALUE"""),"Fase Estruturação")</f>
        <v>Fase Estruturação</v>
      </c>
      <c r="C122" s="27" t="str">
        <f ca="1">IFERROR(__xludf.DUMMYFUNCTION("""COMPUTED_VALUE"""),"Fellow")</f>
        <v>Fellow</v>
      </c>
      <c r="D122" s="27" t="str">
        <f ca="1">IFERROR(__xludf.DUMMYFUNCTION("""COMPUTED_VALUE"""),"Ativo")</f>
        <v>Ativo</v>
      </c>
      <c r="E122" s="27" t="str">
        <f ca="1">IFERROR(__xludf.DUMMYFUNCTION("""COMPUTED_VALUE"""),"ASSOCIAÇÃO MISSÃO INTENSIDADE")</f>
        <v>ASSOCIAÇÃO MISSÃO INTENSIDADE</v>
      </c>
      <c r="F122" s="21" t="str">
        <f ca="1">IFERROR(VLOOKUP(A122,'Rede - Gerando Falcões '!A121:G1117,38,0),"")</f>
        <v/>
      </c>
      <c r="G122" s="27" t="str">
        <f ca="1">IFERROR(VLOOKUP(A122,'Tabela Categorização'!A:J,10,0),"")</f>
        <v>Fase Estruturação</v>
      </c>
      <c r="H122" s="27" t="b">
        <f t="shared" ca="1" si="0"/>
        <v>1</v>
      </c>
      <c r="I122" s="21" t="str">
        <f>HYPERLINK("https://gerandofalcoes.my.salesforce.com/0034X0000380O4SQAU", "0034X0000380O4SQAU")</f>
        <v>0034X0000380O4SQAU</v>
      </c>
      <c r="J122" s="9" t="s">
        <v>17881</v>
      </c>
      <c r="K122" s="38" t="s">
        <v>17882</v>
      </c>
    </row>
    <row r="123" spans="1:11" ht="12.5" x14ac:dyDescent="0.25">
      <c r="A123" s="21" t="str">
        <f ca="1">IFERROR(__xludf.DUMMYFUNCTION("""COMPUTED_VALUE"""),"0014X00002VKCrWQAX")</f>
        <v>0014X00002VKCrWQAX</v>
      </c>
      <c r="B123" s="27" t="str">
        <f ca="1">IFERROR(__xludf.DUMMYFUNCTION("""COMPUTED_VALUE"""),"Fase Estruturação")</f>
        <v>Fase Estruturação</v>
      </c>
      <c r="C123" s="27" t="str">
        <f ca="1">IFERROR(__xludf.DUMMYFUNCTION("""COMPUTED_VALUE"""),"Fellow")</f>
        <v>Fellow</v>
      </c>
      <c r="D123" s="27" t="str">
        <f ca="1">IFERROR(__xludf.DUMMYFUNCTION("""COMPUTED_VALUE"""),"Ativo")</f>
        <v>Ativo</v>
      </c>
      <c r="E123" s="27" t="str">
        <f ca="1">IFERROR(__xludf.DUMMYFUNCTION("""COMPUTED_VALUE"""),"ASSOCIAÇÃO MÚSICA AMIGOS SOLIDÁRIOS AMAS")</f>
        <v>ASSOCIAÇÃO MÚSICA AMIGOS SOLIDÁRIOS AMAS</v>
      </c>
      <c r="F123" s="21" t="str">
        <f ca="1">IFERROR(VLOOKUP(A123,'Rede - Gerando Falcões '!A122:G1118,38,0),"")</f>
        <v/>
      </c>
      <c r="G123" s="27" t="str">
        <f ca="1">IFERROR(VLOOKUP(A123,'Tabela Categorização'!A:J,10,0),"")</f>
        <v>Fase Estruturação</v>
      </c>
      <c r="H123" s="27" t="b">
        <f t="shared" ca="1" si="0"/>
        <v>1</v>
      </c>
      <c r="I123" s="21" t="str">
        <f>HYPERLINK("https://gerandofalcoes.my.salesforce.com/0034P00003maBUxQAM", "0034P00003maBUxQAM")</f>
        <v>0034P00003maBUxQAM</v>
      </c>
      <c r="J123" s="9" t="s">
        <v>17881</v>
      </c>
      <c r="K123" s="38" t="s">
        <v>17882</v>
      </c>
    </row>
    <row r="124" spans="1:11" ht="12.5" x14ac:dyDescent="0.25">
      <c r="A124" s="21" t="str">
        <f ca="1">IFERROR(__xludf.DUMMYFUNCTION("""COMPUTED_VALUE"""),"0014P00003AN2FXQA1")</f>
        <v>0014P00003AN2FXQA1</v>
      </c>
      <c r="B124" s="27" t="str">
        <f ca="1">IFERROR(__xludf.DUMMYFUNCTION("""COMPUTED_VALUE"""),"Fase Estruturação")</f>
        <v>Fase Estruturação</v>
      </c>
      <c r="C124" s="27" t="str">
        <f ca="1">IFERROR(__xludf.DUMMYFUNCTION("""COMPUTED_VALUE"""),"Fellow")</f>
        <v>Fellow</v>
      </c>
      <c r="D124" s="27" t="str">
        <f ca="1">IFERROR(__xludf.DUMMYFUNCTION("""COMPUTED_VALUE"""),"Ativo")</f>
        <v>Ativo</v>
      </c>
      <c r="E124" s="27" t="str">
        <f ca="1">IFERROR(__xludf.DUMMYFUNCTION("""COMPUTED_VALUE"""),"Associação Música de Bairro")</f>
        <v>Associação Música de Bairro</v>
      </c>
      <c r="F124" s="21" t="str">
        <f ca="1">IFERROR(VLOOKUP(A124,'Rede - Gerando Falcões '!A123:G1119,38,0),"")</f>
        <v/>
      </c>
      <c r="G124" s="27" t="str">
        <f ca="1">IFERROR(VLOOKUP(A124,'Tabela Categorização'!A:J,10,0),"")</f>
        <v>Fase Estruturação</v>
      </c>
      <c r="H124" s="27" t="b">
        <f t="shared" ca="1" si="0"/>
        <v>1</v>
      </c>
      <c r="I124" s="21" t="str">
        <f>HYPERLINK("https://gerandofalcoes.my.salesforce.com/0034P000045kxiCQAQ", "0034P000045kxiCQAQ")</f>
        <v>0034P000045kxiCQAQ</v>
      </c>
      <c r="J124" s="9" t="s">
        <v>17881</v>
      </c>
      <c r="K124" s="38" t="s">
        <v>17882</v>
      </c>
    </row>
    <row r="125" spans="1:11" ht="12.5" x14ac:dyDescent="0.25">
      <c r="A125" s="21" t="str">
        <f ca="1">IFERROR(__xludf.DUMMYFUNCTION("""COMPUTED_VALUE"""),"0014P00003YSp7bQAD")</f>
        <v>0014P00003YSp7bQAD</v>
      </c>
      <c r="B125" s="27" t="str">
        <f ca="1">IFERROR(__xludf.DUMMYFUNCTION("""COMPUTED_VALUE"""),"Fase Inicial")</f>
        <v>Fase Inicial</v>
      </c>
      <c r="C125" s="27" t="str">
        <f ca="1">IFERROR(__xludf.DUMMYFUNCTION("""COMPUTED_VALUE"""),"Fellow")</f>
        <v>Fellow</v>
      </c>
      <c r="D125" s="27" t="str">
        <f ca="1">IFERROR(__xludf.DUMMYFUNCTION("""COMPUTED_VALUE"""),"Ativo")</f>
        <v>Ativo</v>
      </c>
      <c r="E125" s="27" t="str">
        <f ca="1">IFERROR(__xludf.DUMMYFUNCTION("""COMPUTED_VALUE"""),"Associação Nossa Casa Mãe África Estudos e Comunicação")</f>
        <v>Associação Nossa Casa Mãe África Estudos e Comunicação</v>
      </c>
      <c r="F125" s="21" t="str">
        <f ca="1">IFERROR(VLOOKUP(A125,'Rede - Gerando Falcões '!A124:G1120,38,0),"")</f>
        <v/>
      </c>
      <c r="G125" s="27" t="str">
        <f ca="1">IFERROR(VLOOKUP(A125,'Tabela Categorização'!A:J,10,0),"")</f>
        <v>Fase Inicial</v>
      </c>
      <c r="H125" s="27" t="b">
        <f t="shared" ca="1" si="0"/>
        <v>1</v>
      </c>
      <c r="I125" s="21" t="str">
        <f>HYPERLINK("https://gerandofalcoes.my.salesforce.com/0034X0000380O4HQAU", "0034X0000380O4HQAU")</f>
        <v>0034X0000380O4HQAU</v>
      </c>
      <c r="J125" s="9" t="s">
        <v>17881</v>
      </c>
      <c r="K125" s="38" t="s">
        <v>17882</v>
      </c>
    </row>
    <row r="126" spans="1:11" ht="12.5" x14ac:dyDescent="0.25">
      <c r="A126" s="21" t="str">
        <f ca="1">IFERROR(__xludf.DUMMYFUNCTION("""COMPUTED_VALUE"""),"0014X00002VKCqAQAX")</f>
        <v>0014X00002VKCqAQAX</v>
      </c>
      <c r="B126" s="27" t="str">
        <f ca="1">IFERROR(__xludf.DUMMYFUNCTION("""COMPUTED_VALUE"""),"Fase Inicial")</f>
        <v>Fase Inicial</v>
      </c>
      <c r="C126" s="27" t="str">
        <f ca="1">IFERROR(__xludf.DUMMYFUNCTION("""COMPUTED_VALUE"""),"Fellow")</f>
        <v>Fellow</v>
      </c>
      <c r="D126" s="27" t="str">
        <f ca="1">IFERROR(__xludf.DUMMYFUNCTION("""COMPUTED_VALUE"""),"Ativo")</f>
        <v>Ativo</v>
      </c>
      <c r="E126" s="27" t="str">
        <f ca="1">IFERROR(__xludf.DUMMYFUNCTION("""COMPUTED_VALUE"""),"Associação Núcleo de Educação Comunitária do Coroadinho")</f>
        <v>Associação Núcleo de Educação Comunitária do Coroadinho</v>
      </c>
      <c r="F126" s="21" t="str">
        <f ca="1">IFERROR(VLOOKUP(A126,'Rede - Gerando Falcões '!A125:G1121,38,0),"")</f>
        <v/>
      </c>
      <c r="G126" s="27" t="str">
        <f ca="1">IFERROR(VLOOKUP(A126,'Tabela Categorização'!A:J,10,0),"")</f>
        <v>Fase Inicial</v>
      </c>
      <c r="H126" s="27" t="b">
        <f t="shared" ca="1" si="0"/>
        <v>1</v>
      </c>
      <c r="I126" s="21" t="str">
        <f>HYPERLINK("https://gerandofalcoes.my.salesforce.com/0034X0000340kpLQAQ", "0034X0000340kpLQAQ")</f>
        <v>0034X0000340kpLQAQ</v>
      </c>
      <c r="J126" s="9" t="s">
        <v>17881</v>
      </c>
      <c r="K126" s="38" t="s">
        <v>17882</v>
      </c>
    </row>
    <row r="127" spans="1:11" ht="12.5" x14ac:dyDescent="0.25">
      <c r="A127" s="21" t="str">
        <f ca="1">IFERROR(__xludf.DUMMYFUNCTION("""COMPUTED_VALUE"""),"0014X00002QTry4QAD")</f>
        <v>0014X00002QTry4QAD</v>
      </c>
      <c r="B127" s="27" t="str">
        <f ca="1">IFERROR(__xludf.DUMMYFUNCTION("""COMPUTED_VALUE"""),"Fase Inicial")</f>
        <v>Fase Inicial</v>
      </c>
      <c r="C127" s="27" t="str">
        <f ca="1">IFERROR(__xludf.DUMMYFUNCTION("""COMPUTED_VALUE"""),"Acelerada")</f>
        <v>Acelerada</v>
      </c>
      <c r="D127" s="27" t="str">
        <f ca="1">IFERROR(__xludf.DUMMYFUNCTION("""COMPUTED_VALUE"""),"Ativo")</f>
        <v>Ativo</v>
      </c>
      <c r="E127" s="27" t="str">
        <f ca="1">IFERROR(__xludf.DUMMYFUNCTION("""COMPUTED_VALUE"""),"ASSOCIACAO O APRISCO")</f>
        <v>ASSOCIACAO O APRISCO</v>
      </c>
      <c r="F127" s="21" t="str">
        <f ca="1">IFERROR(VLOOKUP(A127,'Rede - Gerando Falcões '!A126:G1122,38,0),"")</f>
        <v/>
      </c>
      <c r="G127" s="27" t="str">
        <f ca="1">IFERROR(VLOOKUP(A127,'Tabela Categorização'!A:J,10,0),"")</f>
        <v>Fase Inicial</v>
      </c>
      <c r="H127" s="27" t="b">
        <f t="shared" ca="1" si="0"/>
        <v>1</v>
      </c>
      <c r="I127" s="21" t="str">
        <f>HYPERLINK("https://gerandofalcoes.my.salesforce.com/0034P000043fOo5QAE", "0034P000043fOo5QAE")</f>
        <v>0034P000043fOo5QAE</v>
      </c>
      <c r="J127" s="9" t="s">
        <v>17881</v>
      </c>
      <c r="K127" s="38" t="s">
        <v>17882</v>
      </c>
    </row>
    <row r="128" spans="1:11" ht="12.5" x14ac:dyDescent="0.25">
      <c r="A128" s="21" t="str">
        <f ca="1">IFERROR(__xludf.DUMMYFUNCTION("""COMPUTED_VALUE"""),"0014P00003SGWQ4QAP")</f>
        <v>0014P00003SGWQ4QAP</v>
      </c>
      <c r="B128" s="27" t="str">
        <f ca="1">IFERROR(__xludf.DUMMYFUNCTION("""COMPUTED_VALUE"""),"Fase Inicial")</f>
        <v>Fase Inicial</v>
      </c>
      <c r="C128" s="27" t="str">
        <f ca="1">IFERROR(__xludf.DUMMYFUNCTION("""COMPUTED_VALUE"""),"Fellow")</f>
        <v>Fellow</v>
      </c>
      <c r="D128" s="27" t="str">
        <f ca="1">IFERROR(__xludf.DUMMYFUNCTION("""COMPUTED_VALUE"""),"Ativo")</f>
        <v>Ativo</v>
      </c>
      <c r="E128" s="27" t="str">
        <f ca="1">IFERROR(__xludf.DUMMYFUNCTION("""COMPUTED_VALUE"""),"ASSOCIACAO OFICINA DO ESPORTE DE PIRAUBA")</f>
        <v>ASSOCIACAO OFICINA DO ESPORTE DE PIRAUBA</v>
      </c>
      <c r="F128" s="21" t="str">
        <f ca="1">IFERROR(VLOOKUP(A128,'Rede - Gerando Falcões '!A127:G1123,38,0),"")</f>
        <v/>
      </c>
      <c r="G128" s="27" t="str">
        <f ca="1">IFERROR(VLOOKUP(A128,'Tabela Categorização'!A:J,10,0),"")</f>
        <v>Fase Inicial</v>
      </c>
      <c r="H128" s="27" t="b">
        <f t="shared" ca="1" si="0"/>
        <v>1</v>
      </c>
      <c r="I128" s="21" t="str">
        <f>HYPERLINK("https://gerandofalcoes.my.salesforce.com/0034X0000380O33QAE", "0034X0000380O33QAE")</f>
        <v>0034X0000380O33QAE</v>
      </c>
      <c r="J128" s="9" t="s">
        <v>17881</v>
      </c>
      <c r="K128" s="38" t="s">
        <v>17882</v>
      </c>
    </row>
    <row r="129" spans="1:11" ht="12.5" x14ac:dyDescent="0.25">
      <c r="A129" s="21" t="str">
        <f ca="1">IFERROR(__xludf.DUMMYFUNCTION("""COMPUTED_VALUE"""),"0014X00002VKCuwQAH")</f>
        <v>0014X00002VKCuwQAH</v>
      </c>
      <c r="B129" s="27" t="str">
        <f ca="1">IFERROR(__xludf.DUMMYFUNCTION("""COMPUTED_VALUE"""),"Fase Inicial")</f>
        <v>Fase Inicial</v>
      </c>
      <c r="C129" s="27" t="str">
        <f ca="1">IFERROR(__xludf.DUMMYFUNCTION("""COMPUTED_VALUE"""),"Fellow")</f>
        <v>Fellow</v>
      </c>
      <c r="D129" s="27" t="str">
        <f ca="1">IFERROR(__xludf.DUMMYFUNCTION("""COMPUTED_VALUE"""),"Ativo")</f>
        <v>Ativo</v>
      </c>
      <c r="E129" s="27" t="str">
        <f ca="1">IFERROR(__xludf.DUMMYFUNCTION("""COMPUTED_VALUE"""),"Associação ONG Do Riso")</f>
        <v>Associação ONG Do Riso</v>
      </c>
      <c r="F129" s="21" t="str">
        <f ca="1">IFERROR(VLOOKUP(A129,'Rede - Gerando Falcões '!A128:G1124,38,0),"")</f>
        <v/>
      </c>
      <c r="G129" s="27" t="str">
        <f ca="1">IFERROR(VLOOKUP(A129,'Tabela Categorização'!A:J,10,0),"")</f>
        <v>Fase Inicial</v>
      </c>
      <c r="H129" s="27" t="b">
        <f t="shared" ca="1" si="0"/>
        <v>1</v>
      </c>
      <c r="I129" s="21" t="str">
        <f>HYPERLINK("https://gerandofalcoes.my.salesforce.com/0034X0000380O3bQAE", "0034X0000380O3bQAE")</f>
        <v>0034X0000380O3bQAE</v>
      </c>
      <c r="J129" s="9" t="s">
        <v>17881</v>
      </c>
      <c r="K129" s="38" t="s">
        <v>17882</v>
      </c>
    </row>
    <row r="130" spans="1:11" ht="12.5" x14ac:dyDescent="0.25">
      <c r="A130" s="21" t="str">
        <f ca="1">IFERROR(__xludf.DUMMYFUNCTION("""COMPUTED_VALUE"""),"0014X00002VKCp7QAH")</f>
        <v>0014X00002VKCp7QAH</v>
      </c>
      <c r="B130" s="27" t="str">
        <f ca="1">IFERROR(__xludf.DUMMYFUNCTION("""COMPUTED_VALUE"""),"Fase Inicial")</f>
        <v>Fase Inicial</v>
      </c>
      <c r="C130" s="27" t="str">
        <f ca="1">IFERROR(__xludf.DUMMYFUNCTION("""COMPUTED_VALUE"""),"Fellow")</f>
        <v>Fellow</v>
      </c>
      <c r="D130" s="27" t="str">
        <f ca="1">IFERROR(__xludf.DUMMYFUNCTION("""COMPUTED_VALUE"""),"Ativo")</f>
        <v>Ativo</v>
      </c>
      <c r="E130" s="27" t="str">
        <f ca="1">IFERROR(__xludf.DUMMYFUNCTION("""COMPUTED_VALUE"""),"ASSOCIAÇÃO PADRE PAULO TONUCCI")</f>
        <v>ASSOCIAÇÃO PADRE PAULO TONUCCI</v>
      </c>
      <c r="F130" s="21" t="str">
        <f ca="1">IFERROR(VLOOKUP(A130,'Rede - Gerando Falcões '!A129:G1125,38,0),"")</f>
        <v/>
      </c>
      <c r="G130" s="27" t="str">
        <f ca="1">IFERROR(VLOOKUP(A130,'Tabela Categorização'!A:J,10,0),"")</f>
        <v>Fase Inicial</v>
      </c>
      <c r="H130" s="27" t="b">
        <f t="shared" ca="1" si="0"/>
        <v>1</v>
      </c>
      <c r="I130" s="21" t="str">
        <f>HYPERLINK("https://gerandofalcoes.my.salesforce.com/0034X0000380O1iQAE", "0034X0000380O1iQAE")</f>
        <v>0034X0000380O1iQAE</v>
      </c>
      <c r="J130" s="9" t="s">
        <v>17881</v>
      </c>
      <c r="K130" s="38" t="s">
        <v>17882</v>
      </c>
    </row>
    <row r="131" spans="1:11" ht="12.5" x14ac:dyDescent="0.25">
      <c r="A131" s="21" t="str">
        <f ca="1">IFERROR(__xludf.DUMMYFUNCTION("""COMPUTED_VALUE"""),"0014X00002VKCpcQAH")</f>
        <v>0014X00002VKCpcQAH</v>
      </c>
      <c r="B131" s="27" t="str">
        <f ca="1">IFERROR(__xludf.DUMMYFUNCTION("""COMPUTED_VALUE"""),"Fase Inicial")</f>
        <v>Fase Inicial</v>
      </c>
      <c r="C131" s="27" t="str">
        <f ca="1">IFERROR(__xludf.DUMMYFUNCTION("""COMPUTED_VALUE"""),"Fellow")</f>
        <v>Fellow</v>
      </c>
      <c r="D131" s="27" t="str">
        <f ca="1">IFERROR(__xludf.DUMMYFUNCTION("""COMPUTED_VALUE"""),"Ativo")</f>
        <v>Ativo</v>
      </c>
      <c r="E131" s="27" t="str">
        <f ca="1">IFERROR(__xludf.DUMMYFUNCTION("""COMPUTED_VALUE"""),"Associação parceiros da alegria")</f>
        <v>Associação parceiros da alegria</v>
      </c>
      <c r="F131" s="21" t="str">
        <f ca="1">IFERROR(VLOOKUP(A131,'Rede - Gerando Falcões '!A130:G1126,38,0),"")</f>
        <v/>
      </c>
      <c r="G131" s="27" t="str">
        <f ca="1">IFERROR(VLOOKUP(A131,'Tabela Categorização'!A:J,10,0),"")</f>
        <v>Fase Inicial</v>
      </c>
      <c r="H131" s="27" t="b">
        <f t="shared" ca="1" si="0"/>
        <v>1</v>
      </c>
      <c r="I131" s="21" t="str">
        <f>HYPERLINK("https://gerandofalcoes.my.salesforce.com/0034X0000380O5zQAE", "0034X0000380O5zQAE")</f>
        <v>0034X0000380O5zQAE</v>
      </c>
      <c r="J131" s="9" t="s">
        <v>17881</v>
      </c>
      <c r="K131" s="38" t="s">
        <v>17882</v>
      </c>
    </row>
    <row r="132" spans="1:11" ht="12.5" x14ac:dyDescent="0.25">
      <c r="A132" s="21" t="str">
        <f ca="1">IFERROR(__xludf.DUMMYFUNCTION("""COMPUTED_VALUE"""),"0014X00002VKCpDQAX")</f>
        <v>0014X00002VKCpDQAX</v>
      </c>
      <c r="B132" s="27"/>
      <c r="C132" s="27" t="str">
        <f ca="1">IFERROR(__xludf.DUMMYFUNCTION("""COMPUTED_VALUE"""),"Fellow")</f>
        <v>Fellow</v>
      </c>
      <c r="D132" s="27" t="str">
        <f ca="1">IFERROR(__xludf.DUMMYFUNCTION("""COMPUTED_VALUE"""),"Ativo")</f>
        <v>Ativo</v>
      </c>
      <c r="E132" s="27" t="str">
        <f ca="1">IFERROR(__xludf.DUMMYFUNCTION("""COMPUTED_VALUE"""),"Associação Plenitude do Amor (APA)")</f>
        <v>Associação Plenitude do Amor (APA)</v>
      </c>
      <c r="F132" s="21" t="str">
        <f ca="1">IFERROR(VLOOKUP(A132,'Rede - Gerando Falcões '!A131:G1127,38,0),"")</f>
        <v/>
      </c>
      <c r="G132" s="27" t="str">
        <f ca="1">IFERROR(VLOOKUP(A132,'Tabela Categorização'!A:J,10,0),"")</f>
        <v/>
      </c>
      <c r="H132" s="27" t="b">
        <f t="shared" ca="1" si="0"/>
        <v>1</v>
      </c>
      <c r="I132" s="21" t="str">
        <f>HYPERLINK("https://gerandofalcoes.my.salesforce.com/0034X0000380O5JQAU", "0034X0000380O5JQAU")</f>
        <v>0034X0000380O5JQAU</v>
      </c>
      <c r="J132" s="9" t="s">
        <v>17881</v>
      </c>
      <c r="K132" s="38" t="s">
        <v>17882</v>
      </c>
    </row>
    <row r="133" spans="1:11" ht="12.5" x14ac:dyDescent="0.25">
      <c r="A133" s="21" t="str">
        <f ca="1">IFERROR(__xludf.DUMMYFUNCTION("""COMPUTED_VALUE"""),"0014X00002VKCqsQAH")</f>
        <v>0014X00002VKCqsQAH</v>
      </c>
      <c r="B133" s="27" t="str">
        <f ca="1">IFERROR(__xludf.DUMMYFUNCTION("""COMPUTED_VALUE"""),"Fase Inicial")</f>
        <v>Fase Inicial</v>
      </c>
      <c r="C133" s="27" t="str">
        <f ca="1">IFERROR(__xludf.DUMMYFUNCTION("""COMPUTED_VALUE"""),"Fellow")</f>
        <v>Fellow</v>
      </c>
      <c r="D133" s="27" t="str">
        <f ca="1">IFERROR(__xludf.DUMMYFUNCTION("""COMPUTED_VALUE"""),"Ativo")</f>
        <v>Ativo</v>
      </c>
      <c r="E133" s="27" t="str">
        <f ca="1">IFERROR(__xludf.DUMMYFUNCTION("""COMPUTED_VALUE"""),"ASSOCIAÇÃO PRO CULTURA- MONTE SANTO DE MINAS")</f>
        <v>ASSOCIAÇÃO PRO CULTURA- MONTE SANTO DE MINAS</v>
      </c>
      <c r="F133" s="21" t="str">
        <f ca="1">IFERROR(VLOOKUP(A133,'Rede - Gerando Falcões '!A132:G1128,38,0),"")</f>
        <v/>
      </c>
      <c r="G133" s="27" t="str">
        <f ca="1">IFERROR(VLOOKUP(A133,'Tabela Categorização'!A:J,10,0),"")</f>
        <v>Fase Inicial</v>
      </c>
      <c r="H133" s="27" t="b">
        <f t="shared" ca="1" si="0"/>
        <v>1</v>
      </c>
      <c r="I133" s="21" t="str">
        <f>HYPERLINK("https://gerandofalcoes.my.salesforce.com/0034P000045kxkLQAQ", "0034P000045kxkLQAQ")</f>
        <v>0034P000045kxkLQAQ</v>
      </c>
      <c r="J133" s="9" t="s">
        <v>17881</v>
      </c>
      <c r="K133" s="38" t="s">
        <v>17882</v>
      </c>
    </row>
    <row r="134" spans="1:11" ht="12.5" x14ac:dyDescent="0.25">
      <c r="A134" s="21" t="str">
        <f ca="1">IFERROR(__xludf.DUMMYFUNCTION("""COMPUTED_VALUE"""),"0014P00003SGWQ6QAP")</f>
        <v>0014P00003SGWQ6QAP</v>
      </c>
      <c r="B134" s="27"/>
      <c r="C134" s="27" t="str">
        <f ca="1">IFERROR(__xludf.DUMMYFUNCTION("""COMPUTED_VALUE"""),"Fellow")</f>
        <v>Fellow</v>
      </c>
      <c r="D134" s="27" t="str">
        <f ca="1">IFERROR(__xludf.DUMMYFUNCTION("""COMPUTED_VALUE"""),"Ativo")</f>
        <v>Ativo</v>
      </c>
      <c r="E134" s="27" t="str">
        <f ca="1">IFERROR(__xludf.DUMMYFUNCTION("""COMPUTED_VALUE"""),"ASSOCIAÇÃO PROJETO CASA ABERTA")</f>
        <v>ASSOCIAÇÃO PROJETO CASA ABERTA</v>
      </c>
      <c r="F134" s="21" t="str">
        <f ca="1">IFERROR(VLOOKUP(A134,'Rede - Gerando Falcões '!A133:G1129,38,0),"")</f>
        <v/>
      </c>
      <c r="G134" s="27" t="str">
        <f ca="1">IFERROR(VLOOKUP(A134,'Tabela Categorização'!A:J,10,0),"")</f>
        <v>Fase Inicial</v>
      </c>
      <c r="H134" s="27" t="b">
        <f t="shared" ca="1" si="0"/>
        <v>0</v>
      </c>
      <c r="I134" s="21" t="str">
        <f>HYPERLINK("https://gerandofalcoes.my.salesforce.com/0034P00003maBVPQA2", "0034P00003maBVPQA2")</f>
        <v>0034P00003maBVPQA2</v>
      </c>
      <c r="J134" s="9" t="s">
        <v>17881</v>
      </c>
      <c r="K134" s="38" t="s">
        <v>17882</v>
      </c>
    </row>
    <row r="135" spans="1:11" ht="12.5" x14ac:dyDescent="0.25">
      <c r="A135" s="21" t="str">
        <f ca="1">IFERROR(__xludf.DUMMYFUNCTION("""COMPUTED_VALUE"""),"0014P00003YSp9jQAD")</f>
        <v>0014P00003YSp9jQAD</v>
      </c>
      <c r="B135" s="27" t="str">
        <f ca="1">IFERROR(__xludf.DUMMYFUNCTION("""COMPUTED_VALUE"""),"Fase Inicial")</f>
        <v>Fase Inicial</v>
      </c>
      <c r="C135" s="27" t="str">
        <f ca="1">IFERROR(__xludf.DUMMYFUNCTION("""COMPUTED_VALUE"""),"Fellow")</f>
        <v>Fellow</v>
      </c>
      <c r="D135" s="27" t="str">
        <f ca="1">IFERROR(__xludf.DUMMYFUNCTION("""COMPUTED_VALUE"""),"Ativo")</f>
        <v>Ativo</v>
      </c>
      <c r="E135" s="27" t="str">
        <f ca="1">IFERROR(__xludf.DUMMYFUNCTION("""COMPUTED_VALUE"""),"Associação Projeto Esperança do Brasil")</f>
        <v>Associação Projeto Esperança do Brasil</v>
      </c>
      <c r="F135" s="21" t="str">
        <f ca="1">IFERROR(VLOOKUP(A135,'Rede - Gerando Falcões '!A134:G1130,38,0),"")</f>
        <v/>
      </c>
      <c r="G135" s="27" t="str">
        <f ca="1">IFERROR(VLOOKUP(A135,'Tabela Categorização'!A:J,10,0),"")</f>
        <v>Fase Inicial</v>
      </c>
      <c r="H135" s="27" t="b">
        <f t="shared" ca="1" si="0"/>
        <v>1</v>
      </c>
      <c r="I135" s="21" t="str">
        <f>HYPERLINK("https://gerandofalcoes.my.salesforce.com/0034P000045kxiaQAA", "0034P000045kxiaQAA")</f>
        <v>0034P000045kxiaQAA</v>
      </c>
      <c r="J135" s="9" t="s">
        <v>17881</v>
      </c>
      <c r="K135" s="38" t="s">
        <v>17882</v>
      </c>
    </row>
    <row r="136" spans="1:11" ht="12.5" x14ac:dyDescent="0.25">
      <c r="A136" s="21" t="str">
        <f ca="1">IFERROR(__xludf.DUMMYFUNCTION("""COMPUTED_VALUE"""),"0014P00003AN2FyQAL")</f>
        <v>0014P00003AN2FyQAL</v>
      </c>
      <c r="B136" s="27" t="str">
        <f ca="1">IFERROR(__xludf.DUMMYFUNCTION("""COMPUTED_VALUE"""),"Fase Inicial")</f>
        <v>Fase Inicial</v>
      </c>
      <c r="C136" s="27" t="str">
        <f ca="1">IFERROR(__xludf.DUMMYFUNCTION("""COMPUTED_VALUE"""),"Fellow")</f>
        <v>Fellow</v>
      </c>
      <c r="D136" s="27" t="str">
        <f ca="1">IFERROR(__xludf.DUMMYFUNCTION("""COMPUTED_VALUE"""),"Ativo")</f>
        <v>Ativo</v>
      </c>
      <c r="E136" s="27" t="str">
        <f ca="1">IFERROR(__xludf.DUMMYFUNCTION("""COMPUTED_VALUE"""),"Associaçao Projeto Gaditas")</f>
        <v>Associaçao Projeto Gaditas</v>
      </c>
      <c r="F136" s="21" t="str">
        <f ca="1">IFERROR(VLOOKUP(A136,'Rede - Gerando Falcões '!A135:G1131,38,0),"")</f>
        <v/>
      </c>
      <c r="G136" s="27" t="str">
        <f ca="1">IFERROR(VLOOKUP(A136,'Tabela Categorização'!A:J,10,0),"")</f>
        <v>Fase Inicial</v>
      </c>
      <c r="H136" s="27" t="b">
        <f t="shared" ca="1" si="0"/>
        <v>1</v>
      </c>
      <c r="I136" s="21" t="str">
        <f>HYPERLINK("https://gerandofalcoes.my.salesforce.com/0034P000043fOnfQAE", "0034P000043fOnfQAE")</f>
        <v>0034P000043fOnfQAE</v>
      </c>
      <c r="J136" s="9" t="s">
        <v>17881</v>
      </c>
      <c r="K136" s="38" t="s">
        <v>17882</v>
      </c>
    </row>
    <row r="137" spans="1:11" ht="12.5" x14ac:dyDescent="0.25">
      <c r="A137" s="21" t="str">
        <f ca="1">IFERROR(__xludf.DUMMYFUNCTION("""COMPUTED_VALUE"""),"0014P00003YSp7zQAD")</f>
        <v>0014P00003YSp7zQAD</v>
      </c>
      <c r="B137" s="27" t="str">
        <f ca="1">IFERROR(__xludf.DUMMYFUNCTION("""COMPUTED_VALUE"""),"Fase Inicial")</f>
        <v>Fase Inicial</v>
      </c>
      <c r="C137" s="27" t="str">
        <f ca="1">IFERROR(__xludf.DUMMYFUNCTION("""COMPUTED_VALUE"""),"Fellow")</f>
        <v>Fellow</v>
      </c>
      <c r="D137" s="27" t="str">
        <f ca="1">IFERROR(__xludf.DUMMYFUNCTION("""COMPUTED_VALUE"""),"Ativo")</f>
        <v>Ativo</v>
      </c>
      <c r="E137" s="27" t="str">
        <f ca="1">IFERROR(__xludf.DUMMYFUNCTION("""COMPUTED_VALUE"""),"Associação Projeto Maltrapilho")</f>
        <v>Associação Projeto Maltrapilho</v>
      </c>
      <c r="F137" s="21" t="str">
        <f ca="1">IFERROR(VLOOKUP(A137,'Rede - Gerando Falcões '!A136:G1132,38,0),"")</f>
        <v/>
      </c>
      <c r="G137" s="27" t="str">
        <f ca="1">IFERROR(VLOOKUP(A137,'Tabela Categorização'!A:J,10,0),"")</f>
        <v>Fase Inicial</v>
      </c>
      <c r="H137" s="27" t="b">
        <f t="shared" ca="1" si="0"/>
        <v>1</v>
      </c>
      <c r="I137" s="21" t="str">
        <f>HYPERLINK("https://gerandofalcoes.my.salesforce.com/0034P000045kxjLQAQ", "0034P000045kxjLQAQ")</f>
        <v>0034P000045kxjLQAQ</v>
      </c>
      <c r="J137" s="9" t="s">
        <v>17881</v>
      </c>
      <c r="K137" s="38" t="s">
        <v>17882</v>
      </c>
    </row>
    <row r="138" spans="1:11" ht="12.5" x14ac:dyDescent="0.25">
      <c r="A138" s="21" t="str">
        <f ca="1">IFERROR(__xludf.DUMMYFUNCTION("""COMPUTED_VALUE"""),"0014P00003SGWPYQA5")</f>
        <v>0014P00003SGWPYQA5</v>
      </c>
      <c r="B138" s="27" t="str">
        <f ca="1">IFERROR(__xludf.DUMMYFUNCTION("""COMPUTED_VALUE"""),"Fase Inicial")</f>
        <v>Fase Inicial</v>
      </c>
      <c r="C138" s="27" t="str">
        <f ca="1">IFERROR(__xludf.DUMMYFUNCTION("""COMPUTED_VALUE"""),"Fellow")</f>
        <v>Fellow</v>
      </c>
      <c r="D138" s="27" t="str">
        <f ca="1">IFERROR(__xludf.DUMMYFUNCTION("""COMPUTED_VALUE"""),"Ativo")</f>
        <v>Ativo</v>
      </c>
      <c r="E138" s="27" t="str">
        <f ca="1">IFERROR(__xludf.DUMMYFUNCTION("""COMPUTED_VALUE"""),"ASSOCIAÇÃO PROJETO PONTO E VÍRGULA")</f>
        <v>ASSOCIAÇÃO PROJETO PONTO E VÍRGULA</v>
      </c>
      <c r="F138" s="21" t="str">
        <f ca="1">IFERROR(VLOOKUP(A138,'Rede - Gerando Falcões '!A137:G1133,38,0),"")</f>
        <v/>
      </c>
      <c r="G138" s="27" t="str">
        <f ca="1">IFERROR(VLOOKUP(A138,'Tabela Categorização'!A:J,10,0),"")</f>
        <v>Fase Inicial</v>
      </c>
      <c r="H138" s="27" t="b">
        <f t="shared" ca="1" si="0"/>
        <v>1</v>
      </c>
      <c r="I138" s="21" t="str">
        <f>HYPERLINK("https://gerandofalcoes.my.salesforce.com/0034X0000380O2LQAU", "0034X0000380O2LQAU")</f>
        <v>0034X0000380O2LQAU</v>
      </c>
      <c r="J138" s="9" t="s">
        <v>17881</v>
      </c>
      <c r="K138" s="38" t="s">
        <v>17882</v>
      </c>
    </row>
    <row r="139" spans="1:11" ht="12.5" x14ac:dyDescent="0.25">
      <c r="A139" s="21" t="str">
        <f ca="1">IFERROR(__xludf.DUMMYFUNCTION("""COMPUTED_VALUE"""),"0014P00003YSpP9QAL")</f>
        <v>0014P00003YSpP9QAL</v>
      </c>
      <c r="B139" s="27" t="str">
        <f ca="1">IFERROR(__xludf.DUMMYFUNCTION("""COMPUTED_VALUE"""),"Fase Inicial")</f>
        <v>Fase Inicial</v>
      </c>
      <c r="C139" s="27" t="str">
        <f ca="1">IFERROR(__xludf.DUMMYFUNCTION("""COMPUTED_VALUE"""),"Fellow")</f>
        <v>Fellow</v>
      </c>
      <c r="D139" s="27" t="str">
        <f ca="1">IFERROR(__xludf.DUMMYFUNCTION("""COMPUTED_VALUE"""),"Ativo")</f>
        <v>Ativo</v>
      </c>
      <c r="E139" s="27" t="str">
        <f ca="1">IFERROR(__xludf.DUMMYFUNCTION("""COMPUTED_VALUE"""),"Associação Projeto Pró Bem")</f>
        <v>Associação Projeto Pró Bem</v>
      </c>
      <c r="F139" s="21" t="str">
        <f ca="1">IFERROR(VLOOKUP(A139,'Rede - Gerando Falcões '!A138:G1134,38,0),"")</f>
        <v/>
      </c>
      <c r="G139" s="27" t="str">
        <f ca="1">IFERROR(VLOOKUP(A139,'Tabela Categorização'!A:J,10,0),"")</f>
        <v>Fase Inicial</v>
      </c>
      <c r="H139" s="27" t="b">
        <f t="shared" ca="1" si="0"/>
        <v>1</v>
      </c>
      <c r="I139" s="21" t="str">
        <f>HYPERLINK("https://gerandofalcoes.my.salesforce.com/0034P00003maBV4QAM", "0034P00003maBV4QAM")</f>
        <v>0034P00003maBV4QAM</v>
      </c>
      <c r="J139" s="9" t="s">
        <v>17881</v>
      </c>
      <c r="K139" s="38" t="s">
        <v>17882</v>
      </c>
    </row>
    <row r="140" spans="1:11" ht="12.5" x14ac:dyDescent="0.25">
      <c r="A140" s="21" t="str">
        <f ca="1">IFERROR(__xludf.DUMMYFUNCTION("""COMPUTED_VALUE"""),"0014X00002VKCtvQAH")</f>
        <v>0014X00002VKCtvQAH</v>
      </c>
      <c r="B140" s="27" t="str">
        <f ca="1">IFERROR(__xludf.DUMMYFUNCTION("""COMPUTED_VALUE"""),"Fase Inicial")</f>
        <v>Fase Inicial</v>
      </c>
      <c r="C140" s="27" t="str">
        <f ca="1">IFERROR(__xludf.DUMMYFUNCTION("""COMPUTED_VALUE"""),"Fellow")</f>
        <v>Fellow</v>
      </c>
      <c r="D140" s="27" t="str">
        <f ca="1">IFERROR(__xludf.DUMMYFUNCTION("""COMPUTED_VALUE"""),"Ativo")</f>
        <v>Ativo</v>
      </c>
      <c r="E140" s="27" t="str">
        <f ca="1">IFERROR(__xludf.DUMMYFUNCTION("""COMPUTED_VALUE"""),"Associação Projeto Surfar")</f>
        <v>Associação Projeto Surfar</v>
      </c>
      <c r="F140" s="21" t="str">
        <f ca="1">IFERROR(VLOOKUP(A140,'Rede - Gerando Falcões '!A139:G1135,38,0),"")</f>
        <v/>
      </c>
      <c r="G140" s="27" t="str">
        <f ca="1">IFERROR(VLOOKUP(A140,'Tabela Categorização'!A:J,10,0),"")</f>
        <v>Fase Inicial</v>
      </c>
      <c r="H140" s="27" t="b">
        <f t="shared" ca="1" si="0"/>
        <v>1</v>
      </c>
      <c r="I140" s="21" t="str">
        <f>HYPERLINK("https://gerandofalcoes.my.salesforce.com/0034P000045kxjGQAQ", "0034P000045kxjGQAQ")</f>
        <v>0034P000045kxjGQAQ</v>
      </c>
      <c r="J140" s="9" t="s">
        <v>17881</v>
      </c>
      <c r="K140" s="38" t="s">
        <v>17882</v>
      </c>
    </row>
    <row r="141" spans="1:11" ht="12.5" x14ac:dyDescent="0.25">
      <c r="A141" s="21" t="str">
        <f ca="1">IFERROR(__xludf.DUMMYFUNCTION("""COMPUTED_VALUE"""),"0014P00003AN2FeQAL")</f>
        <v>0014P00003AN2FeQAL</v>
      </c>
      <c r="B141" s="27" t="str">
        <f ca="1">IFERROR(__xludf.DUMMYFUNCTION("""COMPUTED_VALUE"""),"Fase Inicial")</f>
        <v>Fase Inicial</v>
      </c>
      <c r="C141" s="27" t="str">
        <f ca="1">IFERROR(__xludf.DUMMYFUNCTION("""COMPUTED_VALUE"""),"Fellow")</f>
        <v>Fellow</v>
      </c>
      <c r="D141" s="27" t="str">
        <f ca="1">IFERROR(__xludf.DUMMYFUNCTION("""COMPUTED_VALUE"""),"Ativo")</f>
        <v>Ativo</v>
      </c>
      <c r="E141" s="27" t="str">
        <f ca="1">IFERROR(__xludf.DUMMYFUNCTION("""COMPUTED_VALUE"""),"ASSOCIAÇÃO PROTOTIPANDO A QUEBRADA")</f>
        <v>ASSOCIAÇÃO PROTOTIPANDO A QUEBRADA</v>
      </c>
      <c r="F141" s="21" t="str">
        <f ca="1">IFERROR(VLOOKUP(A141,'Rede - Gerando Falcões '!A140:G1136,38,0),"")</f>
        <v/>
      </c>
      <c r="G141" s="27" t="str">
        <f ca="1">IFERROR(VLOOKUP(A141,'Tabela Categorização'!A:J,10,0),"")</f>
        <v>Fase Inicial</v>
      </c>
      <c r="H141" s="27" t="b">
        <f t="shared" ca="1" si="0"/>
        <v>1</v>
      </c>
      <c r="I141" s="21" t="str">
        <f>HYPERLINK("https://gerandofalcoes.my.salesforce.com/0034X000037xhcqQAA", "0034X000037xhcqQAA")</f>
        <v>0034X000037xhcqQAA</v>
      </c>
      <c r="J141" s="9" t="s">
        <v>17881</v>
      </c>
      <c r="K141" s="38" t="s">
        <v>17882</v>
      </c>
    </row>
    <row r="142" spans="1:11" ht="12.5" x14ac:dyDescent="0.25">
      <c r="A142" s="21" t="str">
        <f ca="1">IFERROR(__xludf.DUMMYFUNCTION("""COMPUTED_VALUE"""),"0014P00003YSp8fQAD")</f>
        <v>0014P00003YSp8fQAD</v>
      </c>
      <c r="B142" s="27" t="str">
        <f ca="1">IFERROR(__xludf.DUMMYFUNCTION("""COMPUTED_VALUE"""),"Fase Inicial")</f>
        <v>Fase Inicial</v>
      </c>
      <c r="C142" s="27" t="str">
        <f ca="1">IFERROR(__xludf.DUMMYFUNCTION("""COMPUTED_VALUE"""),"Fellow")</f>
        <v>Fellow</v>
      </c>
      <c r="D142" s="27" t="str">
        <f ca="1">IFERROR(__xludf.DUMMYFUNCTION("""COMPUTED_VALUE"""),"Ativo")</f>
        <v>Ativo</v>
      </c>
      <c r="E142" s="27" t="str">
        <f ca="1">IFERROR(__xludf.DUMMYFUNCTION("""COMPUTED_VALUE"""),"Associação Prover")</f>
        <v>Associação Prover</v>
      </c>
      <c r="F142" s="21" t="str">
        <f ca="1">IFERROR(VLOOKUP(A142,'Rede - Gerando Falcões '!A141:G1137,38,0),"")</f>
        <v/>
      </c>
      <c r="G142" s="27" t="str">
        <f ca="1">IFERROR(VLOOKUP(A142,'Tabela Categorização'!A:J,10,0),"")</f>
        <v>Fase Inicial</v>
      </c>
      <c r="H142" s="27" t="b">
        <f t="shared" ca="1" si="0"/>
        <v>1</v>
      </c>
      <c r="I142" s="21" t="str">
        <f>HYPERLINK("https://gerandofalcoes.my.salesforce.com/0034X000038zvcxQAA", "0034X000038zvcxQAA")</f>
        <v>0034X000038zvcxQAA</v>
      </c>
      <c r="J142" s="9" t="s">
        <v>17881</v>
      </c>
      <c r="K142" s="38" t="s">
        <v>17882</v>
      </c>
    </row>
    <row r="143" spans="1:11" ht="12.5" x14ac:dyDescent="0.25">
      <c r="A143" s="21" t="str">
        <f ca="1">IFERROR(__xludf.DUMMYFUNCTION("""COMPUTED_VALUE"""),"0014P00003YSp8aQAD")</f>
        <v>0014P00003YSp8aQAD</v>
      </c>
      <c r="B143" s="27" t="str">
        <f ca="1">IFERROR(__xludf.DUMMYFUNCTION("""COMPUTED_VALUE"""),"Fase Inicial")</f>
        <v>Fase Inicial</v>
      </c>
      <c r="C143" s="27" t="str">
        <f ca="1">IFERROR(__xludf.DUMMYFUNCTION("""COMPUTED_VALUE"""),"Fellow")</f>
        <v>Fellow</v>
      </c>
      <c r="D143" s="27" t="str">
        <f ca="1">IFERROR(__xludf.DUMMYFUNCTION("""COMPUTED_VALUE"""),"Ativo")</f>
        <v>Ativo</v>
      </c>
      <c r="E143" s="27" t="str">
        <f ca="1">IFERROR(__xludf.DUMMYFUNCTION("""COMPUTED_VALUE"""),"Associação Raízes de Gericinó")</f>
        <v>Associação Raízes de Gericinó</v>
      </c>
      <c r="F143" s="21" t="str">
        <f ca="1">IFERROR(VLOOKUP(A143,'Rede - Gerando Falcões '!A142:G1138,38,0),"")</f>
        <v/>
      </c>
      <c r="G143" s="27" t="str">
        <f ca="1">IFERROR(VLOOKUP(A143,'Tabela Categorização'!A:J,10,0),"")</f>
        <v>Fase Inicial</v>
      </c>
      <c r="H143" s="27" t="b">
        <f t="shared" ca="1" si="0"/>
        <v>1</v>
      </c>
      <c r="I143" s="21" t="str">
        <f>HYPERLINK("https://gerandofalcoes.my.salesforce.com/0034X0000380O2nQAE", "0034X0000380O2nQAE")</f>
        <v>0034X0000380O2nQAE</v>
      </c>
      <c r="J143" s="9" t="s">
        <v>17881</v>
      </c>
      <c r="K143" s="38" t="s">
        <v>17882</v>
      </c>
    </row>
    <row r="144" spans="1:11" ht="12.5" x14ac:dyDescent="0.25">
      <c r="A144" s="21" t="str">
        <f ca="1">IFERROR(__xludf.DUMMYFUNCTION("""COMPUTED_VALUE"""),"0014X00002VMXzNQAX")</f>
        <v>0014X00002VMXzNQAX</v>
      </c>
      <c r="B144" s="27" t="str">
        <f ca="1">IFERROR(__xludf.DUMMYFUNCTION("""COMPUTED_VALUE"""),"Fase Inicial")</f>
        <v>Fase Inicial</v>
      </c>
      <c r="C144" s="27" t="str">
        <f ca="1">IFERROR(__xludf.DUMMYFUNCTION("""COMPUTED_VALUE"""),"Fellow")</f>
        <v>Fellow</v>
      </c>
      <c r="D144" s="27" t="str">
        <f ca="1">IFERROR(__xludf.DUMMYFUNCTION("""COMPUTED_VALUE"""),"Ativo")</f>
        <v>Ativo</v>
      </c>
      <c r="E144" s="27" t="str">
        <f ca="1">IFERROR(__xludf.DUMMYFUNCTION("""COMPUTED_VALUE"""),"Associação Remediar")</f>
        <v>Associação Remediar</v>
      </c>
      <c r="F144" s="21" t="str">
        <f ca="1">IFERROR(VLOOKUP(A144,'Rede - Gerando Falcões '!A143:G1139,38,0),"")</f>
        <v/>
      </c>
      <c r="G144" s="27" t="str">
        <f ca="1">IFERROR(VLOOKUP(A144,'Tabela Categorização'!A:J,10,0),"")</f>
        <v>Fase Inicial</v>
      </c>
      <c r="H144" s="27" t="b">
        <f t="shared" ca="1" si="0"/>
        <v>1</v>
      </c>
      <c r="I144" s="21" t="str">
        <f>HYPERLINK("https://gerandofalcoes.my.salesforce.com/0034X0000315PQzQAM", "0034X0000315PQzQAM")</f>
        <v>0034X0000315PQzQAM</v>
      </c>
      <c r="J144" s="9" t="s">
        <v>17881</v>
      </c>
      <c r="K144" s="38" t="s">
        <v>17882</v>
      </c>
    </row>
    <row r="145" spans="1:11" ht="12.5" x14ac:dyDescent="0.25">
      <c r="A145" s="21" t="str">
        <f ca="1">IFERROR(__xludf.DUMMYFUNCTION("""COMPUTED_VALUE"""),"0014X00002VKCsEQAX")</f>
        <v>0014X00002VKCsEQAX</v>
      </c>
      <c r="B145" s="27" t="str">
        <f ca="1">IFERROR(__xludf.DUMMYFUNCTION("""COMPUTED_VALUE"""),"Fase Inicial")</f>
        <v>Fase Inicial</v>
      </c>
      <c r="C145" s="27" t="str">
        <f ca="1">IFERROR(__xludf.DUMMYFUNCTION("""COMPUTED_VALUE"""),"Fellow")</f>
        <v>Fellow</v>
      </c>
      <c r="D145" s="27" t="str">
        <f ca="1">IFERROR(__xludf.DUMMYFUNCTION("""COMPUTED_VALUE"""),"Ativo")</f>
        <v>Ativo</v>
      </c>
      <c r="E145" s="27" t="str">
        <f ca="1">IFERROR(__xludf.DUMMYFUNCTION("""COMPUTED_VALUE"""),"ASSOCIAÇÃO SANTO DIAS")</f>
        <v>ASSOCIAÇÃO SANTO DIAS</v>
      </c>
      <c r="F145" s="21" t="str">
        <f ca="1">IFERROR(VLOOKUP(A145,'Rede - Gerando Falcões '!A144:G1140,38,0),"")</f>
        <v/>
      </c>
      <c r="G145" s="27" t="str">
        <f ca="1">IFERROR(VLOOKUP(A145,'Tabela Categorização'!A:J,10,0),"")</f>
        <v>Fase Inicial</v>
      </c>
      <c r="H145" s="27" t="b">
        <f t="shared" ca="1" si="0"/>
        <v>1</v>
      </c>
      <c r="I145" s="21" t="str">
        <f>HYPERLINK("https://gerandofalcoes.my.salesforce.com/0034P000045kxkKQAQ", "0034P000045kxkKQAQ")</f>
        <v>0034P000045kxkKQAQ</v>
      </c>
      <c r="J145" s="9" t="s">
        <v>17881</v>
      </c>
      <c r="K145" s="38" t="s">
        <v>17882</v>
      </c>
    </row>
    <row r="146" spans="1:11" ht="12.5" x14ac:dyDescent="0.25">
      <c r="A146" s="21" t="str">
        <f ca="1">IFERROR(__xludf.DUMMYFUNCTION("""COMPUTED_VALUE"""),"0014X00002OEuaqQAD")</f>
        <v>0014X00002OEuaqQAD</v>
      </c>
      <c r="B146" s="27" t="str">
        <f ca="1">IFERROR(__xludf.DUMMYFUNCTION("""COMPUTED_VALUE"""),"Fase Inicial")</f>
        <v>Fase Inicial</v>
      </c>
      <c r="C146" s="27" t="str">
        <f ca="1">IFERROR(__xludf.DUMMYFUNCTION("""COMPUTED_VALUE"""),"Fellow")</f>
        <v>Fellow</v>
      </c>
      <c r="D146" s="27" t="str">
        <f ca="1">IFERROR(__xludf.DUMMYFUNCTION("""COMPUTED_VALUE"""),"Ativo")</f>
        <v>Ativo</v>
      </c>
      <c r="E146" s="27" t="str">
        <f ca="1">IFERROR(__xludf.DUMMYFUNCTION("""COMPUTED_VALUE"""),"Associação são Vicente de Paulo do Jd Vitória")</f>
        <v>Associação são Vicente de Paulo do Jd Vitória</v>
      </c>
      <c r="F146" s="21" t="str">
        <f ca="1">IFERROR(VLOOKUP(A146,'Rede - Gerando Falcões '!A145:G1141,38,0),"")</f>
        <v/>
      </c>
      <c r="G146" s="27" t="str">
        <f ca="1">IFERROR(VLOOKUP(A146,'Tabela Categorização'!A:J,10,0),"")</f>
        <v>Fase Inicial</v>
      </c>
      <c r="H146" s="27" t="b">
        <f t="shared" ca="1" si="0"/>
        <v>1</v>
      </c>
      <c r="I146" s="21" t="str">
        <f>HYPERLINK("https://gerandofalcoes.my.salesforce.com/0034P00003maBVSQA2", "0034P00003maBVSQA2")</f>
        <v>0034P00003maBVSQA2</v>
      </c>
      <c r="J146" s="9" t="s">
        <v>17881</v>
      </c>
      <c r="K146" s="38" t="s">
        <v>17882</v>
      </c>
    </row>
    <row r="147" spans="1:11" ht="12.5" x14ac:dyDescent="0.25">
      <c r="A147" s="21" t="str">
        <f ca="1">IFERROR(__xludf.DUMMYFUNCTION("""COMPUTED_VALUE"""),"0014P00003YSp9iQAD")</f>
        <v>0014P00003YSp9iQAD</v>
      </c>
      <c r="B147" s="27" t="str">
        <f ca="1">IFERROR(__xludf.DUMMYFUNCTION("""COMPUTED_VALUE"""),"Fase Inicial")</f>
        <v>Fase Inicial</v>
      </c>
      <c r="C147" s="27" t="str">
        <f ca="1">IFERROR(__xludf.DUMMYFUNCTION("""COMPUTED_VALUE"""),"Fellow")</f>
        <v>Fellow</v>
      </c>
      <c r="D147" s="27" t="str">
        <f ca="1">IFERROR(__xludf.DUMMYFUNCTION("""COMPUTED_VALUE"""),"Ativo")</f>
        <v>Ativo</v>
      </c>
      <c r="E147" s="27" t="str">
        <f ca="1">IFERROR(__xludf.DUMMYFUNCTION("""COMPUTED_VALUE"""),"Associação Semeando Amor")</f>
        <v>Associação Semeando Amor</v>
      </c>
      <c r="F147" s="21" t="str">
        <f ca="1">IFERROR(VLOOKUP(A147,'Rede - Gerando Falcões '!A146:G1142,38,0),"")</f>
        <v/>
      </c>
      <c r="G147" s="27" t="str">
        <f ca="1">IFERROR(VLOOKUP(A147,'Tabela Categorização'!A:J,10,0),"")</f>
        <v>Fase Inicial</v>
      </c>
      <c r="H147" s="27" t="b">
        <f t="shared" ca="1" si="0"/>
        <v>1</v>
      </c>
      <c r="I147" s="21" t="str">
        <f>HYPERLINK("https://gerandofalcoes.my.salesforce.com/0034P000045kxjqQAA", "0034P000045kxjqQAA")</f>
        <v>0034P000045kxjqQAA</v>
      </c>
      <c r="J147" s="9" t="s">
        <v>17881</v>
      </c>
      <c r="K147" s="38" t="s">
        <v>17882</v>
      </c>
    </row>
    <row r="148" spans="1:11" ht="12.5" x14ac:dyDescent="0.25">
      <c r="A148" s="21" t="str">
        <f ca="1">IFERROR(__xludf.DUMMYFUNCTION("""COMPUTED_VALUE"""),"0014P00003AN2h6QAD")</f>
        <v>0014P00003AN2h6QAD</v>
      </c>
      <c r="B148" s="27" t="str">
        <f ca="1">IFERROR(__xludf.DUMMYFUNCTION("""COMPUTED_VALUE"""),"Fase Estruturação")</f>
        <v>Fase Estruturação</v>
      </c>
      <c r="C148" s="27" t="str">
        <f ca="1">IFERROR(__xludf.DUMMYFUNCTION("""COMPUTED_VALUE"""),"Acelerada")</f>
        <v>Acelerada</v>
      </c>
      <c r="D148" s="27" t="str">
        <f ca="1">IFERROR(__xludf.DUMMYFUNCTION("""COMPUTED_VALUE"""),"Ativo")</f>
        <v>Ativo</v>
      </c>
      <c r="E148" s="27" t="str">
        <f ca="1">IFERROR(__xludf.DUMMYFUNCTION("""COMPUTED_VALUE"""),"Associação Sementes do Vale")</f>
        <v>Associação Sementes do Vale</v>
      </c>
      <c r="F148" s="21" t="str">
        <f ca="1">IFERROR(VLOOKUP(A148,'Rede - Gerando Falcões '!A147:G1143,38,0),"")</f>
        <v/>
      </c>
      <c r="G148" s="27" t="str">
        <f ca="1">IFERROR(VLOOKUP(A148,'Tabela Categorização'!A:J,10,0),"")</f>
        <v>Fase Estruturação</v>
      </c>
      <c r="H148" s="27" t="b">
        <f t="shared" ca="1" si="0"/>
        <v>1</v>
      </c>
      <c r="I148" s="21" t="str">
        <f>HYPERLINK("https://gerandofalcoes.my.salesforce.com/0034X0000380O6rQAE", "0034X0000380O6rQAE")</f>
        <v>0034X0000380O6rQAE</v>
      </c>
      <c r="J148" s="9" t="s">
        <v>17881</v>
      </c>
      <c r="K148" s="38" t="s">
        <v>17882</v>
      </c>
    </row>
    <row r="149" spans="1:11" ht="12.5" x14ac:dyDescent="0.25">
      <c r="A149" s="21" t="str">
        <f ca="1">IFERROR(__xludf.DUMMYFUNCTION("""COMPUTED_VALUE"""),"0014P00003YSp9EQAT")</f>
        <v>0014P00003YSp9EQAT</v>
      </c>
      <c r="B149" s="27" t="str">
        <f ca="1">IFERROR(__xludf.DUMMYFUNCTION("""COMPUTED_VALUE"""),"Fase Inicial")</f>
        <v>Fase Inicial</v>
      </c>
      <c r="C149" s="27" t="str">
        <f ca="1">IFERROR(__xludf.DUMMYFUNCTION("""COMPUTED_VALUE"""),"Fellow")</f>
        <v>Fellow</v>
      </c>
      <c r="D149" s="27" t="str">
        <f ca="1">IFERROR(__xludf.DUMMYFUNCTION("""COMPUTED_VALUE"""),"Ativo")</f>
        <v>Ativo</v>
      </c>
      <c r="E149" s="27" t="str">
        <f ca="1">IFERROR(__xludf.DUMMYFUNCTION("""COMPUTED_VALUE"""),"Associação Servos")</f>
        <v>Associação Servos</v>
      </c>
      <c r="F149" s="21" t="str">
        <f ca="1">IFERROR(VLOOKUP(A149,'Rede - Gerando Falcões '!A148:G1144,38,0),"")</f>
        <v/>
      </c>
      <c r="G149" s="27" t="str">
        <f ca="1">IFERROR(VLOOKUP(A149,'Tabela Categorização'!A:J,10,0),"")</f>
        <v>Fase Inicial</v>
      </c>
      <c r="H149" s="27" t="b">
        <f t="shared" ca="1" si="0"/>
        <v>1</v>
      </c>
      <c r="I149" s="21" t="str">
        <f>HYPERLINK("https://gerandofalcoes.my.salesforce.com/0034P00003maBVYQA2", "0034P00003maBVYQA2")</f>
        <v>0034P00003maBVYQA2</v>
      </c>
      <c r="J149" s="9" t="s">
        <v>17881</v>
      </c>
      <c r="K149" s="38" t="s">
        <v>17882</v>
      </c>
    </row>
    <row r="150" spans="1:11" ht="12.5" x14ac:dyDescent="0.25">
      <c r="A150" s="21" t="str">
        <f ca="1">IFERROR(__xludf.DUMMYFUNCTION("""COMPUTED_VALUE"""),"0014X00002VKCrvQAH")</f>
        <v>0014X00002VKCrvQAH</v>
      </c>
      <c r="B150" s="27" t="str">
        <f ca="1">IFERROR(__xludf.DUMMYFUNCTION("""COMPUTED_VALUE"""),"Fase Inicial")</f>
        <v>Fase Inicial</v>
      </c>
      <c r="C150" s="27" t="str">
        <f ca="1">IFERROR(__xludf.DUMMYFUNCTION("""COMPUTED_VALUE"""),"Fellow")</f>
        <v>Fellow</v>
      </c>
      <c r="D150" s="27" t="str">
        <f ca="1">IFERROR(__xludf.DUMMYFUNCTION("""COMPUTED_VALUE"""),"Ativo")</f>
        <v>Ativo</v>
      </c>
      <c r="E150" s="27" t="str">
        <f ca="1">IFERROR(__xludf.DUMMYFUNCTION("""COMPUTED_VALUE"""),"Associação Shoto Karatê do Kai")</f>
        <v>Associação Shoto Karatê do Kai</v>
      </c>
      <c r="F150" s="21" t="str">
        <f ca="1">IFERROR(VLOOKUP(A150,'Rede - Gerando Falcões '!A149:G1145,38,0),"")</f>
        <v/>
      </c>
      <c r="G150" s="27" t="str">
        <f ca="1">IFERROR(VLOOKUP(A150,'Tabela Categorização'!A:J,10,0),"")</f>
        <v>Fase Inicial</v>
      </c>
      <c r="H150" s="27" t="b">
        <f t="shared" ca="1" si="0"/>
        <v>1</v>
      </c>
      <c r="I150" s="21" t="str">
        <f>HYPERLINK("https://gerandofalcoes.my.salesforce.com/0034X0000380O3mQAE", "0034X0000380O3mQAE")</f>
        <v>0034X0000380O3mQAE</v>
      </c>
      <c r="J150" s="9" t="s">
        <v>17881</v>
      </c>
      <c r="K150" s="38" t="s">
        <v>17882</v>
      </c>
    </row>
    <row r="151" spans="1:11" ht="12.5" x14ac:dyDescent="0.25">
      <c r="A151" s="21" t="str">
        <f ca="1">IFERROR(__xludf.DUMMYFUNCTION("""COMPUTED_VALUE"""),"0014P00003AN2G4QAL")</f>
        <v>0014P00003AN2G4QAL</v>
      </c>
      <c r="B151" s="27" t="str">
        <f ca="1">IFERROR(__xludf.DUMMYFUNCTION("""COMPUTED_VALUE"""),"Fase Inicial")</f>
        <v>Fase Inicial</v>
      </c>
      <c r="C151" s="27" t="str">
        <f ca="1">IFERROR(__xludf.DUMMYFUNCTION("""COMPUTED_VALUE"""),"Acelerada")</f>
        <v>Acelerada</v>
      </c>
      <c r="D151" s="27" t="str">
        <f ca="1">IFERROR(__xludf.DUMMYFUNCTION("""COMPUTED_VALUE"""),"Ativo")</f>
        <v>Ativo</v>
      </c>
      <c r="E151" s="27" t="str">
        <f ca="1">IFERROR(__xludf.DUMMYFUNCTION("""COMPUTED_VALUE"""),"Associação Social Black's Urbano")</f>
        <v>Associação Social Black's Urbano</v>
      </c>
      <c r="F151" s="21" t="str">
        <f ca="1">IFERROR(VLOOKUP(A151,'Rede - Gerando Falcões '!A150:G1146,38,0),"")</f>
        <v/>
      </c>
      <c r="G151" s="27" t="str">
        <f ca="1">IFERROR(VLOOKUP(A151,'Tabela Categorização'!A:J,10,0),"")</f>
        <v>Fase Inicial</v>
      </c>
      <c r="H151" s="27" t="b">
        <f t="shared" ca="1" si="0"/>
        <v>1</v>
      </c>
      <c r="I151" s="21" t="str">
        <f>HYPERLINK("https://gerandofalcoes.my.salesforce.com/0034X0000380O3LQAU", "0034X0000380O3LQAU")</f>
        <v>0034X0000380O3LQAU</v>
      </c>
      <c r="J151" s="9" t="s">
        <v>17881</v>
      </c>
      <c r="K151" s="38" t="s">
        <v>17882</v>
      </c>
    </row>
    <row r="152" spans="1:11" ht="12.5" x14ac:dyDescent="0.25">
      <c r="A152" s="21" t="str">
        <f ca="1">IFERROR(__xludf.DUMMYFUNCTION("""COMPUTED_VALUE"""),"0014X00002VKCt2QAH")</f>
        <v>0014X00002VKCt2QAH</v>
      </c>
      <c r="B152" s="27" t="str">
        <f ca="1">IFERROR(__xludf.DUMMYFUNCTION("""COMPUTED_VALUE"""),"Fase Inicial")</f>
        <v>Fase Inicial</v>
      </c>
      <c r="C152" s="27" t="str">
        <f ca="1">IFERROR(__xludf.DUMMYFUNCTION("""COMPUTED_VALUE"""),"Fellow")</f>
        <v>Fellow</v>
      </c>
      <c r="D152" s="27" t="str">
        <f ca="1">IFERROR(__xludf.DUMMYFUNCTION("""COMPUTED_VALUE"""),"Ativo")</f>
        <v>Ativo</v>
      </c>
      <c r="E152" s="27" t="str">
        <f ca="1">IFERROR(__xludf.DUMMYFUNCTION("""COMPUTED_VALUE"""),"ASSOCIAÇÃO SOCIAL PAULO VI")</f>
        <v>ASSOCIAÇÃO SOCIAL PAULO VI</v>
      </c>
      <c r="F152" s="21" t="str">
        <f ca="1">IFERROR(VLOOKUP(A152,'Rede - Gerando Falcões '!A151:G1147,38,0),"")</f>
        <v/>
      </c>
      <c r="G152" s="27" t="str">
        <f ca="1">IFERROR(VLOOKUP(A152,'Tabela Categorização'!A:J,10,0),"")</f>
        <v>Fase Inicial</v>
      </c>
      <c r="H152" s="27" t="b">
        <f t="shared" ca="1" si="0"/>
        <v>1</v>
      </c>
      <c r="I152" s="21" t="str">
        <f>HYPERLINK("https://gerandofalcoes.my.salesforce.com/0034X0000380O2sQAE", "0034X0000380O2sQAE")</f>
        <v>0034X0000380O2sQAE</v>
      </c>
      <c r="J152" s="9" t="s">
        <v>17881</v>
      </c>
      <c r="K152" s="38" t="s">
        <v>17882</v>
      </c>
    </row>
    <row r="153" spans="1:11" ht="12.5" x14ac:dyDescent="0.25">
      <c r="A153" s="21" t="str">
        <f ca="1">IFERROR(__xludf.DUMMYFUNCTION("""COMPUTED_VALUE"""),"0014X00002VKCoyQAH")</f>
        <v>0014X00002VKCoyQAH</v>
      </c>
      <c r="B153" s="27" t="str">
        <f ca="1">IFERROR(__xludf.DUMMYFUNCTION("""COMPUTED_VALUE"""),"Fase Inicial")</f>
        <v>Fase Inicial</v>
      </c>
      <c r="C153" s="27" t="str">
        <f ca="1">IFERROR(__xludf.DUMMYFUNCTION("""COMPUTED_VALUE"""),"Fellow")</f>
        <v>Fellow</v>
      </c>
      <c r="D153" s="27" t="str">
        <f ca="1">IFERROR(__xludf.DUMMYFUNCTION("""COMPUTED_VALUE"""),"Ativo")</f>
        <v>Ativo</v>
      </c>
      <c r="E153" s="27" t="str">
        <f ca="1">IFERROR(__xludf.DUMMYFUNCTION("""COMPUTED_VALUE"""),"Associação Social Sagrada Família")</f>
        <v>Associação Social Sagrada Família</v>
      </c>
      <c r="F153" s="21" t="str">
        <f ca="1">IFERROR(VLOOKUP(A153,'Rede - Gerando Falcões '!A152:G1148,38,0),"")</f>
        <v/>
      </c>
      <c r="G153" s="27" t="str">
        <f ca="1">IFERROR(VLOOKUP(A153,'Tabela Categorização'!A:J,10,0),"")</f>
        <v>Fase Inicial</v>
      </c>
      <c r="H153" s="27" t="b">
        <f t="shared" ca="1" si="0"/>
        <v>1</v>
      </c>
      <c r="I153" s="21" t="str">
        <f>HYPERLINK("https://gerandofalcoes.my.salesforce.com/0034X0000380O0mQAE", "0034X0000380O0mQAE")</f>
        <v>0034X0000380O0mQAE</v>
      </c>
      <c r="J153" s="9" t="s">
        <v>17881</v>
      </c>
      <c r="K153" s="38" t="s">
        <v>17882</v>
      </c>
    </row>
    <row r="154" spans="1:11" ht="12.5" x14ac:dyDescent="0.25">
      <c r="A154" s="21" t="str">
        <f ca="1">IFERROR(__xludf.DUMMYFUNCTION("""COMPUTED_VALUE"""),"0014X00002VKCqVQAX")</f>
        <v>0014X00002VKCqVQAX</v>
      </c>
      <c r="B154" s="27" t="str">
        <f ca="1">IFERROR(__xludf.DUMMYFUNCTION("""COMPUTED_VALUE"""),"Fase Inicial")</f>
        <v>Fase Inicial</v>
      </c>
      <c r="C154" s="27" t="str">
        <f ca="1">IFERROR(__xludf.DUMMYFUNCTION("""COMPUTED_VALUE"""),"Fellow")</f>
        <v>Fellow</v>
      </c>
      <c r="D154" s="27" t="str">
        <f ca="1">IFERROR(__xludf.DUMMYFUNCTION("""COMPUTED_VALUE"""),"Ativo")</f>
        <v>Ativo</v>
      </c>
      <c r="E154" s="27" t="str">
        <f ca="1">IFERROR(__xludf.DUMMYFUNCTION("""COMPUTED_VALUE"""),"ASSOCIAÇÃO SOCIEDADE BENEFICENTE O BOM SAMARITANO DE CACHOEIRINHA")</f>
        <v>ASSOCIAÇÃO SOCIEDADE BENEFICENTE O BOM SAMARITANO DE CACHOEIRINHA</v>
      </c>
      <c r="F154" s="21" t="str">
        <f ca="1">IFERROR(VLOOKUP(A154,'Rede - Gerando Falcões '!A153:G1149,38,0),"")</f>
        <v/>
      </c>
      <c r="G154" s="27" t="str">
        <f ca="1">IFERROR(VLOOKUP(A154,'Tabela Categorização'!A:J,10,0),"")</f>
        <v>Fase Inicial</v>
      </c>
      <c r="H154" s="27" t="b">
        <f t="shared" ca="1" si="0"/>
        <v>1</v>
      </c>
      <c r="I154" s="21" t="str">
        <f>HYPERLINK("https://gerandofalcoes.my.salesforce.com/0034P000043fPDiQAM", "0034P000043fPDiQAM")</f>
        <v>0034P000043fPDiQAM</v>
      </c>
      <c r="J154" s="9" t="s">
        <v>17881</v>
      </c>
      <c r="K154" s="38" t="s">
        <v>17882</v>
      </c>
    </row>
    <row r="155" spans="1:11" ht="12.5" x14ac:dyDescent="0.25">
      <c r="A155" s="21" t="str">
        <f ca="1">IFERROR(__xludf.DUMMYFUNCTION("""COMPUTED_VALUE"""),"0014X00002VKCpzQAH")</f>
        <v>0014X00002VKCpzQAH</v>
      </c>
      <c r="B155" s="27" t="str">
        <f ca="1">IFERROR(__xludf.DUMMYFUNCTION("""COMPUTED_VALUE"""),"Fase Inicial")</f>
        <v>Fase Inicial</v>
      </c>
      <c r="C155" s="27" t="str">
        <f ca="1">IFERROR(__xludf.DUMMYFUNCTION("""COMPUTED_VALUE"""),"Fellow")</f>
        <v>Fellow</v>
      </c>
      <c r="D155" s="27" t="str">
        <f ca="1">IFERROR(__xludf.DUMMYFUNCTION("""COMPUTED_VALUE"""),"Ativo")</f>
        <v>Ativo</v>
      </c>
      <c r="E155" s="27" t="str">
        <f ca="1">IFERROR(__xludf.DUMMYFUNCTION("""COMPUTED_VALUE"""),"Associação Sociocultural do Bom Jardim")</f>
        <v>Associação Sociocultural do Bom Jardim</v>
      </c>
      <c r="F155" s="21" t="str">
        <f ca="1">IFERROR(VLOOKUP(A155,'Rede - Gerando Falcões '!A154:G1150,38,0),"")</f>
        <v/>
      </c>
      <c r="G155" s="27" t="str">
        <f ca="1">IFERROR(VLOOKUP(A155,'Tabela Categorização'!A:J,10,0),"")</f>
        <v>Fase Inicial</v>
      </c>
      <c r="H155" s="27" t="b">
        <f t="shared" ca="1" si="0"/>
        <v>1</v>
      </c>
      <c r="I155" s="21" t="str">
        <f>HYPERLINK("https://gerandofalcoes.my.salesforce.com/0034P000043fOnQQAU", "0034P000043fOnQQAU")</f>
        <v>0034P000043fOnQQAU</v>
      </c>
      <c r="J155" s="9" t="s">
        <v>17881</v>
      </c>
      <c r="K155" s="38" t="s">
        <v>17882</v>
      </c>
    </row>
    <row r="156" spans="1:11" ht="12.5" x14ac:dyDescent="0.25">
      <c r="A156" s="21" t="str">
        <f ca="1">IFERROR(__xludf.DUMMYFUNCTION("""COMPUTED_VALUE"""),"0014P00003SGWPSQA5")</f>
        <v>0014P00003SGWPSQA5</v>
      </c>
      <c r="B156" s="27" t="str">
        <f ca="1">IFERROR(__xludf.DUMMYFUNCTION("""COMPUTED_VALUE"""),"Fase Estruturação")</f>
        <v>Fase Estruturação</v>
      </c>
      <c r="C156" s="27" t="str">
        <f ca="1">IFERROR(__xludf.DUMMYFUNCTION("""COMPUTED_VALUE"""),"Fellow")</f>
        <v>Fellow</v>
      </c>
      <c r="D156" s="27" t="str">
        <f ca="1">IFERROR(__xludf.DUMMYFUNCTION("""COMPUTED_VALUE"""),"Ativo")</f>
        <v>Ativo</v>
      </c>
      <c r="E156" s="27" t="str">
        <f ca="1">IFERROR(__xludf.DUMMYFUNCTION("""COMPUTED_VALUE"""),"ASSOCIAÇÃO SWELL SURF BAÍA FORMOSA")</f>
        <v>ASSOCIAÇÃO SWELL SURF BAÍA FORMOSA</v>
      </c>
      <c r="F156" s="21" t="str">
        <f ca="1">IFERROR(VLOOKUP(A156,'Rede - Gerando Falcões '!A155:G1151,38,0),"")</f>
        <v/>
      </c>
      <c r="G156" s="27" t="str">
        <f ca="1">IFERROR(VLOOKUP(A156,'Tabela Categorização'!A:J,10,0),"")</f>
        <v>Fase Estruturação</v>
      </c>
      <c r="H156" s="27" t="b">
        <f t="shared" ca="1" si="0"/>
        <v>1</v>
      </c>
      <c r="I156" s="21" t="str">
        <f>HYPERLINK("https://gerandofalcoes.my.salesforce.com/0034X0000380O0uQAE", "0034X0000380O0uQAE")</f>
        <v>0034X0000380O0uQAE</v>
      </c>
      <c r="J156" s="9" t="s">
        <v>17881</v>
      </c>
      <c r="K156" s="38" t="s">
        <v>17882</v>
      </c>
    </row>
    <row r="157" spans="1:11" ht="12.5" x14ac:dyDescent="0.25">
      <c r="A157" s="21" t="str">
        <f ca="1">IFERROR(__xludf.DUMMYFUNCTION("""COMPUTED_VALUE"""),"0014P00003SGWFqQAP")</f>
        <v>0014P00003SGWFqQAP</v>
      </c>
      <c r="B157" s="27" t="str">
        <f ca="1">IFERROR(__xludf.DUMMYFUNCTION("""COMPUTED_VALUE"""),"Fase Estruturação")</f>
        <v>Fase Estruturação</v>
      </c>
      <c r="C157" s="27" t="str">
        <f ca="1">IFERROR(__xludf.DUMMYFUNCTION("""COMPUTED_VALUE"""),"Fellow")</f>
        <v>Fellow</v>
      </c>
      <c r="D157" s="27" t="str">
        <f ca="1">IFERROR(__xludf.DUMMYFUNCTION("""COMPUTED_VALUE"""),"Ativo")</f>
        <v>Ativo</v>
      </c>
      <c r="E157" s="27" t="str">
        <f ca="1">IFERROR(__xludf.DUMMYFUNCTION("""COMPUTED_VALUE"""),"ASSOCIAÇÃO TINGUI")</f>
        <v>ASSOCIAÇÃO TINGUI</v>
      </c>
      <c r="F157" s="21" t="str">
        <f ca="1">IFERROR(VLOOKUP(A157,'Rede - Gerando Falcões '!A156:G1152,38,0),"")</f>
        <v/>
      </c>
      <c r="G157" s="27" t="str">
        <f ca="1">IFERROR(VLOOKUP(A157,'Tabela Categorização'!A:J,10,0),"")</f>
        <v>Fase Estruturação</v>
      </c>
      <c r="H157" s="27" t="b">
        <f t="shared" ca="1" si="0"/>
        <v>1</v>
      </c>
      <c r="I157" s="21" t="str">
        <f>HYPERLINK("https://gerandofalcoes.my.salesforce.com/0034P00003maBVIQA2", "0034P00003maBVIQA2")</f>
        <v>0034P00003maBVIQA2</v>
      </c>
      <c r="J157" s="9" t="s">
        <v>17881</v>
      </c>
      <c r="K157" s="38" t="s">
        <v>17882</v>
      </c>
    </row>
    <row r="158" spans="1:11" ht="12.5" x14ac:dyDescent="0.25">
      <c r="A158" s="21" t="str">
        <f ca="1">IFERROR(__xludf.DUMMYFUNCTION("""COMPUTED_VALUE"""),"0014X00002VKCunQAH")</f>
        <v>0014X00002VKCunQAH</v>
      </c>
      <c r="B158" s="27" t="str">
        <f ca="1">IFERROR(__xludf.DUMMYFUNCTION("""COMPUTED_VALUE"""),"Fase Inicial")</f>
        <v>Fase Inicial</v>
      </c>
      <c r="C158" s="27" t="str">
        <f ca="1">IFERROR(__xludf.DUMMYFUNCTION("""COMPUTED_VALUE"""),"Fellow")</f>
        <v>Fellow</v>
      </c>
      <c r="D158" s="27" t="str">
        <f ca="1">IFERROR(__xludf.DUMMYFUNCTION("""COMPUTED_VALUE"""),"Ativo")</f>
        <v>Ativo</v>
      </c>
      <c r="E158" s="27" t="str">
        <f ca="1">IFERROR(__xludf.DUMMYFUNCTION("""COMPUTED_VALUE"""),"Associação Tonkiri Voa")</f>
        <v>Associação Tonkiri Voa</v>
      </c>
      <c r="F158" s="21" t="str">
        <f ca="1">IFERROR(VLOOKUP(A158,'Rede - Gerando Falcões '!A157:G1153,38,0),"")</f>
        <v/>
      </c>
      <c r="G158" s="27" t="str">
        <f ca="1">IFERROR(VLOOKUP(A158,'Tabela Categorização'!A:J,10,0),"")</f>
        <v>Fase Inicial</v>
      </c>
      <c r="H158" s="27" t="b">
        <f t="shared" ca="1" si="0"/>
        <v>1</v>
      </c>
      <c r="I158" s="21" t="str">
        <f>HYPERLINK("https://gerandofalcoes.my.salesforce.com/0034X0000380O0pQAE", "0034X0000380O0pQAE")</f>
        <v>0034X0000380O0pQAE</v>
      </c>
      <c r="J158" s="9" t="s">
        <v>17881</v>
      </c>
      <c r="K158" s="38" t="s">
        <v>17882</v>
      </c>
    </row>
    <row r="159" spans="1:11" ht="12.5" x14ac:dyDescent="0.25">
      <c r="A159" s="21" t="str">
        <f ca="1">IFERROR(__xludf.DUMMYFUNCTION("""COMPUTED_VALUE"""),"0014P00003AN2etQAD")</f>
        <v>0014P00003AN2etQAD</v>
      </c>
      <c r="B159" s="27" t="str">
        <f ca="1">IFERROR(__xludf.DUMMYFUNCTION("""COMPUTED_VALUE"""),"Fase Avançada")</f>
        <v>Fase Avançada</v>
      </c>
      <c r="C159" s="27" t="str">
        <f ca="1">IFERROR(__xludf.DUMMYFUNCTION("""COMPUTED_VALUE"""),"Fellow")</f>
        <v>Fellow</v>
      </c>
      <c r="D159" s="27" t="str">
        <f ca="1">IFERROR(__xludf.DUMMYFUNCTION("""COMPUTED_VALUE"""),"Ativo")</f>
        <v>Ativo</v>
      </c>
      <c r="E159" s="27" t="str">
        <f ca="1">IFERROR(__xludf.DUMMYFUNCTION("""COMPUTED_VALUE"""),"Associação Um Chute para o futuro")</f>
        <v>Associação Um Chute para o futuro</v>
      </c>
      <c r="F159" s="21" t="str">
        <f ca="1">IFERROR(VLOOKUP(A159,'Rede - Gerando Falcões '!A158:G1154,38,0),"")</f>
        <v/>
      </c>
      <c r="G159" s="27" t="str">
        <f ca="1">IFERROR(VLOOKUP(A159,'Tabela Categorização'!A:J,10,0),"")</f>
        <v>Fase Avançada</v>
      </c>
      <c r="H159" s="27" t="b">
        <f t="shared" ca="1" si="0"/>
        <v>1</v>
      </c>
      <c r="I159" s="21" t="str">
        <f>HYPERLINK("https://gerandofalcoes.my.salesforce.com/0034P00003maBVWQA2", "0034P00003maBVWQA2")</f>
        <v>0034P00003maBVWQA2</v>
      </c>
      <c r="J159" s="9" t="s">
        <v>17881</v>
      </c>
      <c r="K159" s="38" t="s">
        <v>17882</v>
      </c>
    </row>
    <row r="160" spans="1:11" ht="12.5" x14ac:dyDescent="0.25">
      <c r="A160" s="21" t="str">
        <f ca="1">IFERROR(__xludf.DUMMYFUNCTION("""COMPUTED_VALUE"""),"0014X00002VKCr4QAH")</f>
        <v>0014X00002VKCr4QAH</v>
      </c>
      <c r="B160" s="27" t="str">
        <f ca="1">IFERROR(__xludf.DUMMYFUNCTION("""COMPUTED_VALUE"""),"Fase Estruturação")</f>
        <v>Fase Estruturação</v>
      </c>
      <c r="C160" s="27" t="str">
        <f ca="1">IFERROR(__xludf.DUMMYFUNCTION("""COMPUTED_VALUE"""),"Fellow")</f>
        <v>Fellow</v>
      </c>
      <c r="D160" s="27" t="str">
        <f ca="1">IFERROR(__xludf.DUMMYFUNCTION("""COMPUTED_VALUE"""),"Ativo")</f>
        <v>Ativo</v>
      </c>
      <c r="E160" s="27" t="str">
        <f ca="1">IFERROR(__xludf.DUMMYFUNCTION("""COMPUTED_VALUE"""),"ASSOCIAÇÃO UNAIENSE DE DESENVOLVIMENTO E CIDADANIA")</f>
        <v>ASSOCIAÇÃO UNAIENSE DE DESENVOLVIMENTO E CIDADANIA</v>
      </c>
      <c r="F160" s="21" t="str">
        <f ca="1">IFERROR(VLOOKUP(A160,'Rede - Gerando Falcões '!A159:G1155,38,0),"")</f>
        <v/>
      </c>
      <c r="G160" s="27" t="str">
        <f ca="1">IFERROR(VLOOKUP(A160,'Tabela Categorização'!A:J,10,0),"")</f>
        <v>Fase Estruturação</v>
      </c>
      <c r="H160" s="27" t="b">
        <f t="shared" ca="1" si="0"/>
        <v>1</v>
      </c>
      <c r="I160" s="21" t="str">
        <f>HYPERLINK("https://gerandofalcoes.my.salesforce.com/0034P000045kxkIQAQ", "0034P000045kxkIQAQ")</f>
        <v>0034P000045kxkIQAQ</v>
      </c>
      <c r="J160" s="9" t="s">
        <v>17881</v>
      </c>
      <c r="K160" s="38" t="s">
        <v>17882</v>
      </c>
    </row>
    <row r="161" spans="1:11" ht="12.5" x14ac:dyDescent="0.25">
      <c r="A161" s="21" t="str">
        <f ca="1">IFERROR(__xludf.DUMMYFUNCTION("""COMPUTED_VALUE"""),"0014P00003AN2G2QAL")</f>
        <v>0014P00003AN2G2QAL</v>
      </c>
      <c r="B161" s="27" t="str">
        <f ca="1">IFERROR(__xludf.DUMMYFUNCTION("""COMPUTED_VALUE"""),"Fase Inicial")</f>
        <v>Fase Inicial</v>
      </c>
      <c r="C161" s="27" t="str">
        <f ca="1">IFERROR(__xludf.DUMMYFUNCTION("""COMPUTED_VALUE"""),"Fellow")</f>
        <v>Fellow</v>
      </c>
      <c r="D161" s="27" t="str">
        <f ca="1">IFERROR(__xludf.DUMMYFUNCTION("""COMPUTED_VALUE"""),"Ativo")</f>
        <v>Ativo</v>
      </c>
      <c r="E161" s="27" t="str">
        <f ca="1">IFERROR(__xludf.DUMMYFUNCTION("""COMPUTED_VALUE"""),"Associação Vidança Companhia de Danças do Ceará")</f>
        <v>Associação Vidança Companhia de Danças do Ceará</v>
      </c>
      <c r="F161" s="21" t="str">
        <f ca="1">IFERROR(VLOOKUP(A161,'Rede - Gerando Falcões '!A160:G1156,38,0),"")</f>
        <v/>
      </c>
      <c r="G161" s="27" t="str">
        <f ca="1">IFERROR(VLOOKUP(A161,'Tabela Categorização'!A:J,10,0),"")</f>
        <v>Fase Inicial</v>
      </c>
      <c r="H161" s="27" t="b">
        <f t="shared" ca="1" si="0"/>
        <v>1</v>
      </c>
      <c r="I161" s="21" t="str">
        <f>HYPERLINK("https://gerandofalcoes.my.salesforce.com/0034P000045kxiFQAQ", "0034P000045kxiFQAQ")</f>
        <v>0034P000045kxiFQAQ</v>
      </c>
      <c r="J161" s="9" t="s">
        <v>17881</v>
      </c>
      <c r="K161" s="38" t="s">
        <v>17882</v>
      </c>
    </row>
    <row r="162" spans="1:11" ht="12.5" x14ac:dyDescent="0.25">
      <c r="A162" s="21" t="str">
        <f ca="1">IFERROR(__xludf.DUMMYFUNCTION("""COMPUTED_VALUE"""),"0014P00003YSp9gQAD")</f>
        <v>0014P00003YSp9gQAD</v>
      </c>
      <c r="B162" s="27" t="str">
        <f ca="1">IFERROR(__xludf.DUMMYFUNCTION("""COMPUTED_VALUE"""),"Fase Inicial")</f>
        <v>Fase Inicial</v>
      </c>
      <c r="C162" s="27" t="str">
        <f ca="1">IFERROR(__xludf.DUMMYFUNCTION("""COMPUTED_VALUE"""),"Fellow")</f>
        <v>Fellow</v>
      </c>
      <c r="D162" s="27" t="str">
        <f ca="1">IFERROR(__xludf.DUMMYFUNCTION("""COMPUTED_VALUE"""),"Ativo")</f>
        <v>Ativo</v>
      </c>
      <c r="E162" s="27" t="str">
        <f ca="1">IFERROR(__xludf.DUMMYFUNCTION("""COMPUTED_VALUE"""),"Associação vivendo a arte")</f>
        <v>Associação vivendo a arte</v>
      </c>
      <c r="F162" s="21" t="str">
        <f ca="1">IFERROR(VLOOKUP(A162,'Rede - Gerando Falcões '!A161:G1157,38,0),"")</f>
        <v/>
      </c>
      <c r="G162" s="27" t="str">
        <f ca="1">IFERROR(VLOOKUP(A162,'Tabela Categorização'!A:J,10,0),"")</f>
        <v>Fase Inicial</v>
      </c>
      <c r="H162" s="27" t="b">
        <f t="shared" ca="1" si="0"/>
        <v>1</v>
      </c>
      <c r="I162" s="21" t="str">
        <f>HYPERLINK("https://gerandofalcoes.my.salesforce.com/0034P000045kxjoQAA", "0034P000045kxjoQAA")</f>
        <v>0034P000045kxjoQAA</v>
      </c>
      <c r="J162" s="9" t="s">
        <v>17881</v>
      </c>
      <c r="K162" s="38" t="s">
        <v>17882</v>
      </c>
    </row>
    <row r="163" spans="1:11" ht="12.5" x14ac:dyDescent="0.25">
      <c r="A163" s="21" t="str">
        <f ca="1">IFERROR(__xludf.DUMMYFUNCTION("""COMPUTED_VALUE"""),"0014P00003YSp7eQAD")</f>
        <v>0014P00003YSp7eQAD</v>
      </c>
      <c r="B163" s="27" t="str">
        <f ca="1">IFERROR(__xludf.DUMMYFUNCTION("""COMPUTED_VALUE"""),"Fase Estruturação")</f>
        <v>Fase Estruturação</v>
      </c>
      <c r="C163" s="27" t="str">
        <f ca="1">IFERROR(__xludf.DUMMYFUNCTION("""COMPUTED_VALUE"""),"Fellow")</f>
        <v>Fellow</v>
      </c>
      <c r="D163" s="27" t="str">
        <f ca="1">IFERROR(__xludf.DUMMYFUNCTION("""COMPUTED_VALUE"""),"Ativo")</f>
        <v>Ativo</v>
      </c>
      <c r="E163" s="27" t="str">
        <f ca="1">IFERROR(__xludf.DUMMYFUNCTION("""COMPUTED_VALUE"""),"Associação VOAR")</f>
        <v>Associação VOAR</v>
      </c>
      <c r="F163" s="21" t="str">
        <f ca="1">IFERROR(VLOOKUP(A163,'Rede - Gerando Falcões '!A162:G1158,38,0),"")</f>
        <v/>
      </c>
      <c r="G163" s="27" t="str">
        <f ca="1">IFERROR(VLOOKUP(A163,'Tabela Categorização'!A:J,10,0),"")</f>
        <v>Fase Estruturação</v>
      </c>
      <c r="H163" s="27" t="b">
        <f t="shared" ca="1" si="0"/>
        <v>1</v>
      </c>
      <c r="I163" s="21" t="str">
        <f>HYPERLINK("https://gerandofalcoes.my.salesforce.com/0034P00003maBV6QAM", "0034P00003maBV6QAM")</f>
        <v>0034P00003maBV6QAM</v>
      </c>
      <c r="J163" s="9" t="s">
        <v>17881</v>
      </c>
      <c r="K163" s="38" t="s">
        <v>17882</v>
      </c>
    </row>
    <row r="164" spans="1:11" ht="12.5" x14ac:dyDescent="0.25">
      <c r="A164" s="21" t="str">
        <f ca="1">IFERROR(__xludf.DUMMYFUNCTION("""COMPUTED_VALUE"""),"0014P00003YSp9CQAT")</f>
        <v>0014P00003YSp9CQAT</v>
      </c>
      <c r="B164" s="27" t="str">
        <f ca="1">IFERROR(__xludf.DUMMYFUNCTION("""COMPUTED_VALUE"""),"Fase Inicial")</f>
        <v>Fase Inicial</v>
      </c>
      <c r="C164" s="27" t="str">
        <f ca="1">IFERROR(__xludf.DUMMYFUNCTION("""COMPUTED_VALUE"""),"Fellow")</f>
        <v>Fellow</v>
      </c>
      <c r="D164" s="27" t="str">
        <f ca="1">IFERROR(__xludf.DUMMYFUNCTION("""COMPUTED_VALUE"""),"Ativo")</f>
        <v>Ativo</v>
      </c>
      <c r="E164" s="27" t="str">
        <f ca="1">IFERROR(__xludf.DUMMYFUNCTION("""COMPUTED_VALUE"""),"Associação Zedakah de Justiça Social")</f>
        <v>Associação Zedakah de Justiça Social</v>
      </c>
      <c r="F164" s="21" t="str">
        <f ca="1">IFERROR(VLOOKUP(A164,'Rede - Gerando Falcões '!A163:G1159,38,0),"")</f>
        <v/>
      </c>
      <c r="G164" s="27" t="str">
        <f ca="1">IFERROR(VLOOKUP(A164,'Tabela Categorização'!A:J,10,0),"")</f>
        <v>Fase Inicial</v>
      </c>
      <c r="H164" s="27" t="b">
        <f t="shared" ca="1" si="0"/>
        <v>1</v>
      </c>
      <c r="I164" s="21" t="str">
        <f>HYPERLINK("https://gerandofalcoes.my.salesforce.com/0034X0000380O4XQAU", "0034X0000380O4XQAU")</f>
        <v>0034X0000380O4XQAU</v>
      </c>
      <c r="J164" s="9" t="s">
        <v>17881</v>
      </c>
      <c r="K164" s="38" t="s">
        <v>17882</v>
      </c>
    </row>
    <row r="165" spans="1:11" ht="12.5" x14ac:dyDescent="0.25">
      <c r="A165" s="21" t="str">
        <f ca="1">IFERROR(__xludf.DUMMYFUNCTION("""COMPUTED_VALUE"""),"0014P00003AN2FgQAL")</f>
        <v>0014P00003AN2FgQAL</v>
      </c>
      <c r="B165" s="27" t="str">
        <f ca="1">IFERROR(__xludf.DUMMYFUNCTION("""COMPUTED_VALUE"""),"Fase Inicial")</f>
        <v>Fase Inicial</v>
      </c>
      <c r="C165" s="27" t="str">
        <f ca="1">IFERROR(__xludf.DUMMYFUNCTION("""COMPUTED_VALUE"""),"Fellow")</f>
        <v>Fellow</v>
      </c>
      <c r="D165" s="27" t="str">
        <f ca="1">IFERROR(__xludf.DUMMYFUNCTION("""COMPUTED_VALUE"""),"Afastado")</f>
        <v>Afastado</v>
      </c>
      <c r="E165" s="27" t="str">
        <f ca="1">IFERROR(__xludf.DUMMYFUNCTION("""COMPUTED_VALUE"""),"ASSOCIAÇÃO ZEIZA DOJO")</f>
        <v>ASSOCIAÇÃO ZEIZA DOJO</v>
      </c>
      <c r="F165" s="21" t="str">
        <f ca="1">IFERROR(VLOOKUP(A165,'Rede - Gerando Falcões '!A164:G1160,38,0),"")</f>
        <v/>
      </c>
      <c r="G165" s="27" t="str">
        <f ca="1">IFERROR(VLOOKUP(A165,'Tabela Categorização'!A:J,10,0),"")</f>
        <v>Fase Inicial</v>
      </c>
      <c r="H165" s="27" t="b">
        <f t="shared" ca="1" si="0"/>
        <v>1</v>
      </c>
      <c r="I165" s="21" t="str">
        <f>HYPERLINK("https://gerandofalcoes.my.salesforce.com/0034X0000380O5SQAU", "0034X0000380O5SQAU")</f>
        <v>0034X0000380O5SQAU</v>
      </c>
      <c r="J165" s="9" t="s">
        <v>17881</v>
      </c>
      <c r="K165" s="38" t="s">
        <v>17882</v>
      </c>
    </row>
    <row r="166" spans="1:11" ht="12.5" x14ac:dyDescent="0.25">
      <c r="A166" s="21" t="str">
        <f ca="1">IFERROR(__xludf.DUMMYFUNCTION("""COMPUTED_VALUE"""),"0014X00002VKCqUQAX")</f>
        <v>0014X00002VKCqUQAX</v>
      </c>
      <c r="B166" s="27" t="str">
        <f ca="1">IFERROR(__xludf.DUMMYFUNCTION("""COMPUTED_VALUE"""),"Fase Inicial")</f>
        <v>Fase Inicial</v>
      </c>
      <c r="C166" s="27" t="str">
        <f ca="1">IFERROR(__xludf.DUMMYFUNCTION("""COMPUTED_VALUE"""),"Fellow")</f>
        <v>Fellow</v>
      </c>
      <c r="D166" s="27" t="str">
        <f ca="1">IFERROR(__xludf.DUMMYFUNCTION("""COMPUTED_VALUE"""),"Ativo")</f>
        <v>Ativo</v>
      </c>
      <c r="E166" s="27" t="str">
        <f ca="1">IFERROR(__xludf.DUMMYFUNCTION("""COMPUTED_VALUE"""),"Assoiação Mães que Informam")</f>
        <v>Assoiação Mães que Informam</v>
      </c>
      <c r="F166" s="21" t="str">
        <f ca="1">IFERROR(VLOOKUP(A166,'Rede - Gerando Falcões '!A165:G1161,38,0),"")</f>
        <v/>
      </c>
      <c r="G166" s="27" t="str">
        <f ca="1">IFERROR(VLOOKUP(A166,'Tabela Categorização'!A:J,10,0),"")</f>
        <v>Fase Inicial</v>
      </c>
      <c r="H166" s="27" t="b">
        <f t="shared" ca="1" si="0"/>
        <v>1</v>
      </c>
      <c r="I166" s="21" t="str">
        <f>HYPERLINK("https://gerandofalcoes.my.salesforce.com/0034X0000380O2kQAE", "0034X0000380O2kQAE")</f>
        <v>0034X0000380O2kQAE</v>
      </c>
      <c r="J166" s="9" t="s">
        <v>17881</v>
      </c>
      <c r="K166" s="38" t="s">
        <v>17882</v>
      </c>
    </row>
    <row r="167" spans="1:11" ht="12.5" x14ac:dyDescent="0.25">
      <c r="A167" s="21" t="str">
        <f ca="1">IFERROR(__xludf.DUMMYFUNCTION("""COMPUTED_VALUE"""),"0014X00002VKCtgQAH")</f>
        <v>0014X00002VKCtgQAH</v>
      </c>
      <c r="B167" s="27"/>
      <c r="C167" s="27" t="str">
        <f ca="1">IFERROR(__xludf.DUMMYFUNCTION("""COMPUTED_VALUE"""),"Fellow")</f>
        <v>Fellow</v>
      </c>
      <c r="D167" s="27" t="str">
        <f ca="1">IFERROR(__xludf.DUMMYFUNCTION("""COMPUTED_VALUE"""),"Ativo")</f>
        <v>Ativo</v>
      </c>
      <c r="E167" s="27" t="str">
        <f ca="1">IFERROR(__xludf.DUMMYFUNCTION("""COMPUTED_VALUE"""),"A VEZ DAS COMUNIDADES")</f>
        <v>A VEZ DAS COMUNIDADES</v>
      </c>
      <c r="F167" s="21" t="str">
        <f ca="1">IFERROR(VLOOKUP(A167,'Rede - Gerando Falcões '!A166:G1162,38,0),"")</f>
        <v/>
      </c>
      <c r="G167" s="27" t="str">
        <f ca="1">IFERROR(VLOOKUP(A167,'Tabela Categorização'!A:J,10,0),"")</f>
        <v/>
      </c>
      <c r="H167" s="27" t="b">
        <f t="shared" ca="1" si="0"/>
        <v>1</v>
      </c>
      <c r="I167" s="21" t="str">
        <f>HYPERLINK("https://gerandofalcoes.my.salesforce.com/0034P000045kxi8QAA", "0034P000045kxi8QAA")</f>
        <v>0034P000045kxi8QAA</v>
      </c>
      <c r="J167" s="9" t="s">
        <v>17881</v>
      </c>
      <c r="K167" s="38" t="s">
        <v>17882</v>
      </c>
    </row>
    <row r="168" spans="1:11" ht="12.5" x14ac:dyDescent="0.25">
      <c r="A168" s="21" t="str">
        <f ca="1">IFERROR(__xludf.DUMMYFUNCTION("""COMPUTED_VALUE"""),"0014X00002VKCuoQAH")</f>
        <v>0014X00002VKCuoQAH</v>
      </c>
      <c r="B168" s="27"/>
      <c r="C168" s="27" t="str">
        <f ca="1">IFERROR(__xludf.DUMMYFUNCTION("""COMPUTED_VALUE"""),"Fellow")</f>
        <v>Fellow</v>
      </c>
      <c r="D168" s="27" t="str">
        <f ca="1">IFERROR(__xludf.DUMMYFUNCTION("""COMPUTED_VALUE"""),"Ativo")</f>
        <v>Ativo</v>
      </c>
      <c r="E168" s="27" t="str">
        <f ca="1">IFERROR(__xludf.DUMMYFUNCTION("""COMPUTED_VALUE"""),"AVGG - Associação De Voluntários Grupo Goianiania")</f>
        <v>AVGG - Associação De Voluntários Grupo Goianiania</v>
      </c>
      <c r="F168" s="21" t="str">
        <f ca="1">IFERROR(VLOOKUP(A168,'Rede - Gerando Falcões '!A167:G1163,38,0),"")</f>
        <v/>
      </c>
      <c r="G168" s="27" t="str">
        <f ca="1">IFERROR(VLOOKUP(A168,'Tabela Categorização'!A:J,10,0),"")</f>
        <v/>
      </c>
      <c r="H168" s="27" t="b">
        <f t="shared" ca="1" si="0"/>
        <v>1</v>
      </c>
      <c r="I168" s="21" t="str">
        <f>HYPERLINK("https://gerandofalcoes.my.salesforce.com/0034P000045kxkkQAA", "0034P000045kxkkQAA")</f>
        <v>0034P000045kxkkQAA</v>
      </c>
      <c r="J168" s="9" t="s">
        <v>17881</v>
      </c>
      <c r="K168" s="38" t="s">
        <v>17882</v>
      </c>
    </row>
    <row r="169" spans="1:11" ht="12.5" x14ac:dyDescent="0.25">
      <c r="A169" s="21" t="str">
        <f ca="1">IFERROR(__xludf.DUMMYFUNCTION("""COMPUTED_VALUE"""),"0014P00003YSp7XQAT")</f>
        <v>0014P00003YSp7XQAT</v>
      </c>
      <c r="B169" s="27" t="str">
        <f ca="1">IFERROR(__xludf.DUMMYFUNCTION("""COMPUTED_VALUE"""),"Fase Inicial")</f>
        <v>Fase Inicial</v>
      </c>
      <c r="C169" s="27" t="str">
        <f ca="1">IFERROR(__xludf.DUMMYFUNCTION("""COMPUTED_VALUE"""),"Fellow")</f>
        <v>Fellow</v>
      </c>
      <c r="D169" s="27" t="str">
        <f ca="1">IFERROR(__xludf.DUMMYFUNCTION("""COMPUTED_VALUE"""),"Ativo")</f>
        <v>Ativo</v>
      </c>
      <c r="E169" s="27" t="str">
        <f ca="1">IFERROR(__xludf.DUMMYFUNCTION("""COMPUTED_VALUE"""),"Balé da Rale")</f>
        <v>Balé da Rale</v>
      </c>
      <c r="F169" s="21" t="str">
        <f ca="1">IFERROR(VLOOKUP(A169,'Rede - Gerando Falcões '!A168:G1164,38,0),"")</f>
        <v/>
      </c>
      <c r="G169" s="27" t="str">
        <f ca="1">IFERROR(VLOOKUP(A169,'Tabela Categorização'!A:J,10,0),"")</f>
        <v>Fase Inicial</v>
      </c>
      <c r="H169" s="27" t="b">
        <f t="shared" ca="1" si="0"/>
        <v>1</v>
      </c>
      <c r="I169" s="21" t="str">
        <f>HYPERLINK("https://gerandofalcoes.my.salesforce.com/0034X0000380O3jQAE", "0034X0000380O3jQAE")</f>
        <v>0034X0000380O3jQAE</v>
      </c>
      <c r="J169" s="9" t="s">
        <v>17881</v>
      </c>
      <c r="K169" s="38" t="s">
        <v>17882</v>
      </c>
    </row>
    <row r="170" spans="1:11" ht="12.5" x14ac:dyDescent="0.25">
      <c r="A170" s="21" t="str">
        <f ca="1">IFERROR(__xludf.DUMMYFUNCTION("""COMPUTED_VALUE"""),"0014P00003YSpA8QAL")</f>
        <v>0014P00003YSpA8QAL</v>
      </c>
      <c r="B170" s="27" t="str">
        <f ca="1">IFERROR(__xludf.DUMMYFUNCTION("""COMPUTED_VALUE"""),"Fase Inicial")</f>
        <v>Fase Inicial</v>
      </c>
      <c r="C170" s="27" t="str">
        <f ca="1">IFERROR(__xludf.DUMMYFUNCTION("""COMPUTED_VALUE"""),"Fellow")</f>
        <v>Fellow</v>
      </c>
      <c r="D170" s="27" t="str">
        <f ca="1">IFERROR(__xludf.DUMMYFUNCTION("""COMPUTED_VALUE"""),"Ativo")</f>
        <v>Ativo</v>
      </c>
      <c r="E170" s="27" t="str">
        <f ca="1">IFERROR(__xludf.DUMMYFUNCTION("""COMPUTED_VALUE"""),"Batucarte")</f>
        <v>Batucarte</v>
      </c>
      <c r="F170" s="21" t="str">
        <f ca="1">IFERROR(VLOOKUP(A170,'Rede - Gerando Falcões '!A169:G1165,38,0),"")</f>
        <v/>
      </c>
      <c r="G170" s="27" t="str">
        <f ca="1">IFERROR(VLOOKUP(A170,'Tabela Categorização'!A:J,10,0),"")</f>
        <v>Fase Inicial</v>
      </c>
      <c r="H170" s="27" t="b">
        <f t="shared" ca="1" si="0"/>
        <v>1</v>
      </c>
      <c r="I170" s="21" t="str">
        <f>HYPERLINK("https://gerandofalcoes.my.salesforce.com/0034X0000380O3SQAU", "0034X0000380O3SQAU")</f>
        <v>0034X0000380O3SQAU</v>
      </c>
      <c r="J170" s="9" t="s">
        <v>17881</v>
      </c>
      <c r="K170" s="38" t="s">
        <v>17882</v>
      </c>
    </row>
    <row r="171" spans="1:11" ht="12.5" x14ac:dyDescent="0.25">
      <c r="A171" s="21" t="str">
        <f ca="1">IFERROR(__xludf.DUMMYFUNCTION("""COMPUTED_VALUE"""),"0014X00002VKCtXQAX")</f>
        <v>0014X00002VKCtXQAX</v>
      </c>
      <c r="B171" s="27" t="str">
        <f ca="1">IFERROR(__xludf.DUMMYFUNCTION("""COMPUTED_VALUE"""),"Fase Inicial")</f>
        <v>Fase Inicial</v>
      </c>
      <c r="C171" s="27" t="str">
        <f ca="1">IFERROR(__xludf.DUMMYFUNCTION("""COMPUTED_VALUE"""),"Fellow")</f>
        <v>Fellow</v>
      </c>
      <c r="D171" s="27" t="str">
        <f ca="1">IFERROR(__xludf.DUMMYFUNCTION("""COMPUTED_VALUE"""),"Ativo")</f>
        <v>Ativo</v>
      </c>
      <c r="E171" s="27" t="str">
        <f ca="1">IFERROR(__xludf.DUMMYFUNCTION("""COMPUTED_VALUE"""),"Berimbau hostel e cozinha artesanal")</f>
        <v>Berimbau hostel e cozinha artesanal</v>
      </c>
      <c r="F171" s="21" t="str">
        <f ca="1">IFERROR(VLOOKUP(A171,'Rede - Gerando Falcões '!A170:G1166,38,0),"")</f>
        <v/>
      </c>
      <c r="G171" s="27" t="str">
        <f ca="1">IFERROR(VLOOKUP(A171,'Tabela Categorização'!A:J,10,0),"")</f>
        <v>Fase Inicial</v>
      </c>
      <c r="H171" s="27" t="b">
        <f t="shared" ca="1" si="0"/>
        <v>1</v>
      </c>
      <c r="I171" s="21" t="str">
        <f>HYPERLINK("https://gerandofalcoes.my.salesforce.com/0034P000045kxibQAA", "0034P000045kxibQAA")</f>
        <v>0034P000045kxibQAA</v>
      </c>
      <c r="J171" s="9" t="s">
        <v>17881</v>
      </c>
      <c r="K171" s="38" t="s">
        <v>17882</v>
      </c>
    </row>
    <row r="172" spans="1:11" ht="12.5" x14ac:dyDescent="0.25">
      <c r="A172" s="21" t="str">
        <f ca="1">IFERROR(__xludf.DUMMYFUNCTION("""COMPUTED_VALUE"""),"0014X00002VKCqJQAX")</f>
        <v>0014X00002VKCqJQAX</v>
      </c>
      <c r="B172" s="27" t="str">
        <f ca="1">IFERROR(__xludf.DUMMYFUNCTION("""COMPUTED_VALUE"""),"Fase Inicial")</f>
        <v>Fase Inicial</v>
      </c>
      <c r="C172" s="27" t="str">
        <f ca="1">IFERROR(__xludf.DUMMYFUNCTION("""COMPUTED_VALUE"""),"Fellow")</f>
        <v>Fellow</v>
      </c>
      <c r="D172" s="27" t="str">
        <f ca="1">IFERROR(__xludf.DUMMYFUNCTION("""COMPUTED_VALUE"""),"Ativo")</f>
        <v>Ativo</v>
      </c>
      <c r="E172" s="27" t="str">
        <f ca="1">IFERROR(__xludf.DUMMYFUNCTION("""COMPUTED_VALUE"""),"Biblioteca Comunitária Espaço Literário Livro Livre")</f>
        <v>Biblioteca Comunitária Espaço Literário Livro Livre</v>
      </c>
      <c r="F172" s="21" t="str">
        <f ca="1">IFERROR(VLOOKUP(A172,'Rede - Gerando Falcões '!A171:G1167,38,0),"")</f>
        <v/>
      </c>
      <c r="G172" s="27" t="str">
        <f ca="1">IFERROR(VLOOKUP(A172,'Tabela Categorização'!A:J,10,0),"")</f>
        <v>Fase Inicial</v>
      </c>
      <c r="H172" s="27" t="b">
        <f t="shared" ca="1" si="0"/>
        <v>1</v>
      </c>
      <c r="I172" s="21" t="str">
        <f>HYPERLINK("https://gerandofalcoes.my.salesforce.com/0034X0000380O6nQAE", "0034X0000380O6nQAE")</f>
        <v>0034X0000380O6nQAE</v>
      </c>
      <c r="J172" s="9" t="s">
        <v>17881</v>
      </c>
      <c r="K172" s="38" t="s">
        <v>17882</v>
      </c>
    </row>
    <row r="173" spans="1:11" ht="12.5" x14ac:dyDescent="0.25">
      <c r="A173" s="21" t="str">
        <f ca="1">IFERROR(__xludf.DUMMYFUNCTION("""COMPUTED_VALUE"""),"0014P00003YSp80QAD")</f>
        <v>0014P00003YSp80QAD</v>
      </c>
      <c r="B173" s="27" t="str">
        <f ca="1">IFERROR(__xludf.DUMMYFUNCTION("""COMPUTED_VALUE"""),"Fase Inicial")</f>
        <v>Fase Inicial</v>
      </c>
      <c r="C173" s="27" t="str">
        <f ca="1">IFERROR(__xludf.DUMMYFUNCTION("""COMPUTED_VALUE"""),"Fellow")</f>
        <v>Fellow</v>
      </c>
      <c r="D173" s="27" t="str">
        <f ca="1">IFERROR(__xludf.DUMMYFUNCTION("""COMPUTED_VALUE"""),"Ativo")</f>
        <v>Ativo</v>
      </c>
      <c r="E173" s="27" t="str">
        <f ca="1">IFERROR(__xludf.DUMMYFUNCTION("""COMPUTED_VALUE"""),"Boa safra team")</f>
        <v>Boa safra team</v>
      </c>
      <c r="F173" s="21" t="str">
        <f ca="1">IFERROR(VLOOKUP(A173,'Rede - Gerando Falcões '!A172:G1168,38,0),"")</f>
        <v/>
      </c>
      <c r="G173" s="27" t="str">
        <f ca="1">IFERROR(VLOOKUP(A173,'Tabela Categorização'!A:J,10,0),"")</f>
        <v>Fase Inicial</v>
      </c>
      <c r="H173" s="27" t="b">
        <f t="shared" ca="1" si="0"/>
        <v>1</v>
      </c>
      <c r="I173" s="21" t="str">
        <f>HYPERLINK("https://gerandofalcoes.my.salesforce.com/0034P000045kxiBQAQ", "0034P000045kxiBQAQ")</f>
        <v>0034P000045kxiBQAQ</v>
      </c>
      <c r="J173" s="9" t="s">
        <v>17881</v>
      </c>
      <c r="K173" s="38" t="s">
        <v>17882</v>
      </c>
    </row>
    <row r="174" spans="1:11" ht="12.5" x14ac:dyDescent="0.25">
      <c r="A174" s="21" t="str">
        <f ca="1">IFERROR(__xludf.DUMMYFUNCTION("""COMPUTED_VALUE"""),"0014X00002VKCukQAH")</f>
        <v>0014X00002VKCukQAH</v>
      </c>
      <c r="B174" s="27" t="str">
        <f ca="1">IFERROR(__xludf.DUMMYFUNCTION("""COMPUTED_VALUE"""),"Fase Inicial")</f>
        <v>Fase Inicial</v>
      </c>
      <c r="C174" s="27" t="str">
        <f ca="1">IFERROR(__xludf.DUMMYFUNCTION("""COMPUTED_VALUE"""),"Fellow")</f>
        <v>Fellow</v>
      </c>
      <c r="D174" s="27" t="str">
        <f ca="1">IFERROR(__xludf.DUMMYFUNCTION("""COMPUTED_VALUE"""),"Ativo")</f>
        <v>Ativo</v>
      </c>
      <c r="E174" s="27" t="str">
        <f ca="1">IFERROR(__xludf.DUMMYFUNCTION("""COMPUTED_VALUE"""),"BRASIL EM AÇÃO")</f>
        <v>BRASIL EM AÇÃO</v>
      </c>
      <c r="F174" s="21" t="str">
        <f ca="1">IFERROR(VLOOKUP(A174,'Rede - Gerando Falcões '!A173:G1169,38,0),"")</f>
        <v/>
      </c>
      <c r="G174" s="27" t="str">
        <f ca="1">IFERROR(VLOOKUP(A174,'Tabela Categorização'!A:J,10,0),"")</f>
        <v>Fase Inicial</v>
      </c>
      <c r="H174" s="27" t="b">
        <f t="shared" ca="1" si="0"/>
        <v>1</v>
      </c>
      <c r="I174" s="21" t="str">
        <f>HYPERLINK("https://gerandofalcoes.my.salesforce.com/0034X0000380O5bQAE", "0034X0000380O5bQAE")</f>
        <v>0034X0000380O5bQAE</v>
      </c>
      <c r="J174" s="9" t="s">
        <v>17881</v>
      </c>
      <c r="K174" s="38" t="s">
        <v>17882</v>
      </c>
    </row>
    <row r="175" spans="1:11" ht="12.5" x14ac:dyDescent="0.25">
      <c r="A175" s="21" t="str">
        <f ca="1">IFERROR(__xludf.DUMMYFUNCTION("""COMPUTED_VALUE"""),"0014P00003YSp7aQAD")</f>
        <v>0014P00003YSp7aQAD</v>
      </c>
      <c r="B175" s="27" t="str">
        <f ca="1">IFERROR(__xludf.DUMMYFUNCTION("""COMPUTED_VALUE"""),"Fase Inicial")</f>
        <v>Fase Inicial</v>
      </c>
      <c r="C175" s="27" t="str">
        <f ca="1">IFERROR(__xludf.DUMMYFUNCTION("""COMPUTED_VALUE"""),"Fellow")</f>
        <v>Fellow</v>
      </c>
      <c r="D175" s="27" t="str">
        <f ca="1">IFERROR(__xludf.DUMMYFUNCTION("""COMPUTED_VALUE"""),"Ativo")</f>
        <v>Ativo</v>
      </c>
      <c r="E175" s="27" t="str">
        <f ca="1">IFERROR(__xludf.DUMMYFUNCTION("""COMPUTED_VALUE"""),"Brincar e aprender")</f>
        <v>Brincar e aprender</v>
      </c>
      <c r="F175" s="21" t="str">
        <f ca="1">IFERROR(VLOOKUP(A175,'Rede - Gerando Falcões '!A174:G1170,38,0),"")</f>
        <v/>
      </c>
      <c r="G175" s="27" t="str">
        <f ca="1">IFERROR(VLOOKUP(A175,'Tabela Categorização'!A:J,10,0),"")</f>
        <v>Fase Inicial</v>
      </c>
      <c r="H175" s="27" t="b">
        <f t="shared" ca="1" si="0"/>
        <v>1</v>
      </c>
      <c r="I175" s="21" t="str">
        <f>HYPERLINK("https://gerandofalcoes.my.salesforce.com/0034P000045kxkDQAQ", "0034P000045kxkDQAQ")</f>
        <v>0034P000045kxkDQAQ</v>
      </c>
      <c r="J175" s="9" t="s">
        <v>17881</v>
      </c>
      <c r="K175" s="38" t="s">
        <v>17882</v>
      </c>
    </row>
    <row r="176" spans="1:11" ht="12.5" x14ac:dyDescent="0.25">
      <c r="A176" s="21" t="str">
        <f ca="1">IFERROR(__xludf.DUMMYFUNCTION("""COMPUTED_VALUE"""),"0014X00002VKCqaQAH")</f>
        <v>0014X00002VKCqaQAH</v>
      </c>
      <c r="B176" s="27" t="str">
        <f ca="1">IFERROR(__xludf.DUMMYFUNCTION("""COMPUTED_VALUE"""),"Fase Inicial")</f>
        <v>Fase Inicial</v>
      </c>
      <c r="C176" s="27" t="str">
        <f ca="1">IFERROR(__xludf.DUMMYFUNCTION("""COMPUTED_VALUE"""),"Fellow")</f>
        <v>Fellow</v>
      </c>
      <c r="D176" s="27" t="str">
        <f ca="1">IFERROR(__xludf.DUMMYFUNCTION("""COMPUTED_VALUE"""),"Ativo")</f>
        <v>Ativo</v>
      </c>
      <c r="E176" s="27" t="str">
        <f ca="1">IFERROR(__xludf.DUMMYFUNCTION("""COMPUTED_VALUE"""),"Butija Social Esporte e Cultura")</f>
        <v>Butija Social Esporte e Cultura</v>
      </c>
      <c r="F176" s="21" t="str">
        <f ca="1">IFERROR(VLOOKUP(A176,'Rede - Gerando Falcões '!A175:G1171,38,0),"")</f>
        <v/>
      </c>
      <c r="G176" s="27" t="str">
        <f ca="1">IFERROR(VLOOKUP(A176,'Tabela Categorização'!A:J,10,0),"")</f>
        <v>Fase Inicial</v>
      </c>
      <c r="H176" s="27" t="b">
        <f t="shared" ca="1" si="0"/>
        <v>1</v>
      </c>
      <c r="I176" s="21" t="str">
        <f>HYPERLINK("https://gerandofalcoes.my.salesforce.com/0034P000045kxjHQAQ", "0034P000045kxjHQAQ")</f>
        <v>0034P000045kxjHQAQ</v>
      </c>
      <c r="J176" s="9" t="s">
        <v>17881</v>
      </c>
      <c r="K176" s="38" t="s">
        <v>17882</v>
      </c>
    </row>
    <row r="177" spans="1:11" ht="12.5" x14ac:dyDescent="0.25">
      <c r="A177" s="21" t="str">
        <f ca="1">IFERROR(__xludf.DUMMYFUNCTION("""COMPUTED_VALUE"""),"0014P00003YSp9bQAD")</f>
        <v>0014P00003YSp9bQAD</v>
      </c>
      <c r="B177" s="27" t="str">
        <f ca="1">IFERROR(__xludf.DUMMYFUNCTION("""COMPUTED_VALUE"""),"Fase Estruturação")</f>
        <v>Fase Estruturação</v>
      </c>
      <c r="C177" s="27" t="str">
        <f ca="1">IFERROR(__xludf.DUMMYFUNCTION("""COMPUTED_VALUE"""),"Fellow")</f>
        <v>Fellow</v>
      </c>
      <c r="D177" s="27" t="str">
        <f ca="1">IFERROR(__xludf.DUMMYFUNCTION("""COMPUTED_VALUE"""),"Ativo")</f>
        <v>Ativo</v>
      </c>
      <c r="E177" s="27" t="str">
        <f ca="1">IFERROR(__xludf.DUMMYFUNCTION("""COMPUTED_VALUE"""),"C.A.E.F.A - Centro de Apoio a Educação e Formação do Adolescente")</f>
        <v>C.A.E.F.A - Centro de Apoio a Educação e Formação do Adolescente</v>
      </c>
      <c r="F177" s="21" t="str">
        <f ca="1">IFERROR(VLOOKUP(A177,'Rede - Gerando Falcões '!A176:G1172,38,0),"")</f>
        <v/>
      </c>
      <c r="G177" s="27" t="str">
        <f ca="1">IFERROR(VLOOKUP(A177,'Tabela Categorização'!A:J,10,0),"")</f>
        <v>Fase Estruturação</v>
      </c>
      <c r="H177" s="27" t="b">
        <f t="shared" ca="1" si="0"/>
        <v>1</v>
      </c>
      <c r="I177" s="21" t="str">
        <f>HYPERLINK("https://gerandofalcoes.my.salesforce.com/0034X0000380O40QAE", "0034X0000380O40QAE")</f>
        <v>0034X0000380O40QAE</v>
      </c>
      <c r="J177" s="9" t="s">
        <v>17881</v>
      </c>
      <c r="K177" s="38" t="s">
        <v>17882</v>
      </c>
    </row>
    <row r="178" spans="1:11" ht="12.5" x14ac:dyDescent="0.25">
      <c r="A178" s="21" t="str">
        <f ca="1">IFERROR(__xludf.DUMMYFUNCTION("""COMPUTED_VALUE"""),"0014P00003YSp8gQAD")</f>
        <v>0014P00003YSp8gQAD</v>
      </c>
      <c r="B178" s="27" t="str">
        <f ca="1">IFERROR(__xludf.DUMMYFUNCTION("""COMPUTED_VALUE"""),"Fase Inicial")</f>
        <v>Fase Inicial</v>
      </c>
      <c r="C178" s="27" t="str">
        <f ca="1">IFERROR(__xludf.DUMMYFUNCTION("""COMPUTED_VALUE"""),"Fellow")</f>
        <v>Fellow</v>
      </c>
      <c r="D178" s="27" t="str">
        <f ca="1">IFERROR(__xludf.DUMMYFUNCTION("""COMPUTED_VALUE"""),"Ativo")</f>
        <v>Ativo</v>
      </c>
      <c r="E178" s="27" t="str">
        <f ca="1">IFERROR(__xludf.DUMMYFUNCTION("""COMPUTED_VALUE"""),"Caçadores")</f>
        <v>Caçadores</v>
      </c>
      <c r="F178" s="21" t="str">
        <f ca="1">IFERROR(VLOOKUP(A178,'Rede - Gerando Falcões '!A177:G1173,38,0),"")</f>
        <v/>
      </c>
      <c r="G178" s="27" t="str">
        <f ca="1">IFERROR(VLOOKUP(A178,'Tabela Categorização'!A:J,10,0),"")</f>
        <v>Fase Inicial</v>
      </c>
      <c r="H178" s="27" t="b">
        <f t="shared" ca="1" si="0"/>
        <v>1</v>
      </c>
      <c r="I178" s="21" t="str">
        <f>HYPERLINK("https://gerandofalcoes.my.salesforce.com/0034P000045kxiMQAQ", "0034P000045kxiMQAQ")</f>
        <v>0034P000045kxiMQAQ</v>
      </c>
      <c r="J178" s="9" t="s">
        <v>17881</v>
      </c>
      <c r="K178" s="38" t="s">
        <v>17882</v>
      </c>
    </row>
    <row r="179" spans="1:11" ht="12.5" x14ac:dyDescent="0.25">
      <c r="A179" s="21" t="str">
        <f ca="1">IFERROR(__xludf.DUMMYFUNCTION("""COMPUTED_VALUE"""),"0014X00002VKCtCQAX")</f>
        <v>0014X00002VKCtCQAX</v>
      </c>
      <c r="B179" s="27" t="str">
        <f ca="1">IFERROR(__xludf.DUMMYFUNCTION("""COMPUTED_VALUE"""),"Fase Inicial")</f>
        <v>Fase Inicial</v>
      </c>
      <c r="C179" s="27" t="str">
        <f ca="1">IFERROR(__xludf.DUMMYFUNCTION("""COMPUTED_VALUE"""),"Fellow")</f>
        <v>Fellow</v>
      </c>
      <c r="D179" s="27" t="str">
        <f ca="1">IFERROR(__xludf.DUMMYFUNCTION("""COMPUTED_VALUE"""),"Ativo")</f>
        <v>Ativo</v>
      </c>
      <c r="E179" s="27" t="str">
        <f ca="1">IFERROR(__xludf.DUMMYFUNCTION("""COMPUTED_VALUE"""),"CAISCA - Centro de Artes e Integração Social para Crianças e Adolescente")</f>
        <v>CAISCA - Centro de Artes e Integração Social para Crianças e Adolescente</v>
      </c>
      <c r="F179" s="21" t="str">
        <f ca="1">IFERROR(VLOOKUP(A179,'Rede - Gerando Falcões '!A178:G1174,38,0),"")</f>
        <v/>
      </c>
      <c r="G179" s="27" t="str">
        <f ca="1">IFERROR(VLOOKUP(A179,'Tabela Categorização'!A:J,10,0),"")</f>
        <v>Fase Inicial</v>
      </c>
      <c r="H179" s="27" t="b">
        <f t="shared" ca="1" si="0"/>
        <v>1</v>
      </c>
      <c r="I179" s="21" t="str">
        <f>HYPERLINK("https://gerandofalcoes.my.salesforce.com/0034P000045kxj6QAA", "0034P000045kxj6QAA")</f>
        <v>0034P000045kxj6QAA</v>
      </c>
      <c r="J179" s="9" t="s">
        <v>17881</v>
      </c>
      <c r="K179" s="38" t="s">
        <v>17882</v>
      </c>
    </row>
    <row r="180" spans="1:11" ht="12.5" x14ac:dyDescent="0.25">
      <c r="A180" s="21" t="str">
        <f ca="1">IFERROR(__xludf.DUMMYFUNCTION("""COMPUTED_VALUE"""),"0014P00003YSp7lQAD")</f>
        <v>0014P00003YSp7lQAD</v>
      </c>
      <c r="B180" s="27" t="str">
        <f ca="1">IFERROR(__xludf.DUMMYFUNCTION("""COMPUTED_VALUE"""),"Fase Inicial")</f>
        <v>Fase Inicial</v>
      </c>
      <c r="C180" s="27" t="str">
        <f ca="1">IFERROR(__xludf.DUMMYFUNCTION("""COMPUTED_VALUE"""),"Fellow")</f>
        <v>Fellow</v>
      </c>
      <c r="D180" s="27" t="str">
        <f ca="1">IFERROR(__xludf.DUMMYFUNCTION("""COMPUTED_VALUE"""),"Ativo")</f>
        <v>Ativo</v>
      </c>
      <c r="E180" s="27" t="str">
        <f ca="1">IFERROR(__xludf.DUMMYFUNCTION("""COMPUTED_VALUE"""),"CAMA-Centro de Arte e Meio Ambiente")</f>
        <v>CAMA-Centro de Arte e Meio Ambiente</v>
      </c>
      <c r="F180" s="21" t="str">
        <f ca="1">IFERROR(VLOOKUP(A180,'Rede - Gerando Falcões '!A179:G1175,38,0),"")</f>
        <v/>
      </c>
      <c r="G180" s="27" t="str">
        <f ca="1">IFERROR(VLOOKUP(A180,'Tabela Categorização'!A:J,10,0),"")</f>
        <v>Fase Inicial</v>
      </c>
      <c r="H180" s="27" t="b">
        <f t="shared" ca="1" si="0"/>
        <v>1</v>
      </c>
      <c r="I180" s="21" t="str">
        <f>HYPERLINK("https://gerandofalcoes.my.salesforce.com/0034X0000380O0gQAE", "0034X0000380O0gQAE")</f>
        <v>0034X0000380O0gQAE</v>
      </c>
      <c r="J180" s="9" t="s">
        <v>17881</v>
      </c>
      <c r="K180" s="38" t="s">
        <v>17882</v>
      </c>
    </row>
    <row r="181" spans="1:11" ht="12.5" x14ac:dyDescent="0.25">
      <c r="A181" s="21" t="str">
        <f ca="1">IFERROR(__xludf.DUMMYFUNCTION("""COMPUTED_VALUE"""),"0014P00003YSp8VQAT")</f>
        <v>0014P00003YSp8VQAT</v>
      </c>
      <c r="B181" s="27" t="str">
        <f ca="1">IFERROR(__xludf.DUMMYFUNCTION("""COMPUTED_VALUE"""),"Fase Inicial")</f>
        <v>Fase Inicial</v>
      </c>
      <c r="C181" s="27" t="str">
        <f ca="1">IFERROR(__xludf.DUMMYFUNCTION("""COMPUTED_VALUE"""),"Fellow")</f>
        <v>Fellow</v>
      </c>
      <c r="D181" s="27" t="str">
        <f ca="1">IFERROR(__xludf.DUMMYFUNCTION("""COMPUTED_VALUE"""),"Afastado")</f>
        <v>Afastado</v>
      </c>
      <c r="E181" s="27" t="str">
        <f ca="1">IFERROR(__xludf.DUMMYFUNCTION("""COMPUTED_VALUE"""),"cantinho da belinha")</f>
        <v>cantinho da belinha</v>
      </c>
      <c r="F181" s="21" t="str">
        <f ca="1">IFERROR(VLOOKUP(A181,'Rede - Gerando Falcões '!A180:G1176,38,0),"")</f>
        <v/>
      </c>
      <c r="G181" s="27" t="str">
        <f ca="1">IFERROR(VLOOKUP(A181,'Tabela Categorização'!A:J,10,0),"")</f>
        <v>Fase Inicial</v>
      </c>
      <c r="H181" s="27" t="b">
        <f t="shared" ca="1" si="0"/>
        <v>1</v>
      </c>
      <c r="I181" s="21" t="str">
        <f>HYPERLINK("https://gerandofalcoes.my.salesforce.com/0034P000043fOnZQAU", "0034P000043fOnZQAU")</f>
        <v>0034P000043fOnZQAU</v>
      </c>
      <c r="J181" s="9" t="s">
        <v>17881</v>
      </c>
      <c r="K181" s="38" t="s">
        <v>17882</v>
      </c>
    </row>
    <row r="182" spans="1:11" ht="12.5" x14ac:dyDescent="0.25">
      <c r="A182" s="21" t="str">
        <f ca="1">IFERROR(__xludf.DUMMYFUNCTION("""COMPUTED_VALUE"""),"0014X00002VKCusQAH")</f>
        <v>0014X00002VKCusQAH</v>
      </c>
      <c r="B182" s="27" t="str">
        <f ca="1">IFERROR(__xludf.DUMMYFUNCTION("""COMPUTED_VALUE"""),"Fase Inicial")</f>
        <v>Fase Inicial</v>
      </c>
      <c r="C182" s="27" t="str">
        <f ca="1">IFERROR(__xludf.DUMMYFUNCTION("""COMPUTED_VALUE"""),"Fellow")</f>
        <v>Fellow</v>
      </c>
      <c r="D182" s="27" t="str">
        <f ca="1">IFERROR(__xludf.DUMMYFUNCTION("""COMPUTED_VALUE"""),"Ativo")</f>
        <v>Ativo</v>
      </c>
      <c r="E182" s="27" t="str">
        <f ca="1">IFERROR(__xludf.DUMMYFUNCTION("""COMPUTED_VALUE"""),"Carfer Treinamentos e Desenvolvimento Humano")</f>
        <v>Carfer Treinamentos e Desenvolvimento Humano</v>
      </c>
      <c r="F182" s="21" t="str">
        <f ca="1">IFERROR(VLOOKUP(A182,'Rede - Gerando Falcões '!A181:G1177,38,0),"")</f>
        <v/>
      </c>
      <c r="G182" s="27" t="str">
        <f ca="1">IFERROR(VLOOKUP(A182,'Tabela Categorização'!A:J,10,0),"")</f>
        <v>Fase Inicial</v>
      </c>
      <c r="H182" s="27" t="b">
        <f t="shared" ca="1" si="0"/>
        <v>1</v>
      </c>
      <c r="I182" s="21" t="str">
        <f>HYPERLINK("https://gerandofalcoes.my.salesforce.com/0034P000045kxkSQAQ", "0034P000045kxkSQAQ")</f>
        <v>0034P000045kxkSQAQ</v>
      </c>
      <c r="J182" s="9" t="s">
        <v>17881</v>
      </c>
      <c r="K182" s="38" t="s">
        <v>17882</v>
      </c>
    </row>
    <row r="183" spans="1:11" ht="12.5" x14ac:dyDescent="0.25">
      <c r="A183" s="21" t="str">
        <f ca="1">IFERROR(__xludf.DUMMYFUNCTION("""COMPUTED_VALUE"""),"0014P00003SGWPRQA5")</f>
        <v>0014P00003SGWPRQA5</v>
      </c>
      <c r="B183" s="27" t="str">
        <f ca="1">IFERROR(__xludf.DUMMYFUNCTION("""COMPUTED_VALUE"""),"Fase Inicial")</f>
        <v>Fase Inicial</v>
      </c>
      <c r="C183" s="27" t="str">
        <f ca="1">IFERROR(__xludf.DUMMYFUNCTION("""COMPUTED_VALUE"""),"Fellow")</f>
        <v>Fellow</v>
      </c>
      <c r="D183" s="27" t="str">
        <f ca="1">IFERROR(__xludf.DUMMYFUNCTION("""COMPUTED_VALUE"""),"Ativo")</f>
        <v>Ativo</v>
      </c>
      <c r="E183" s="27" t="str">
        <f ca="1">IFERROR(__xludf.DUMMYFUNCTION("""COMPUTED_VALUE"""),"CASA DA COMUNIDADE DO BERARDO - CCB SOCIAL")</f>
        <v>CASA DA COMUNIDADE DO BERARDO - CCB SOCIAL</v>
      </c>
      <c r="F183" s="21" t="str">
        <f ca="1">IFERROR(VLOOKUP(A183,'Rede - Gerando Falcões '!A182:G1178,38,0),"")</f>
        <v/>
      </c>
      <c r="G183" s="27" t="str">
        <f ca="1">IFERROR(VLOOKUP(A183,'Tabela Categorização'!A:J,10,0),"")</f>
        <v>Fase Inicial</v>
      </c>
      <c r="H183" s="27" t="b">
        <f t="shared" ca="1" si="0"/>
        <v>1</v>
      </c>
      <c r="I183" s="21" t="str">
        <f>HYPERLINK("https://gerandofalcoes.my.salesforce.com/0034P000045kxiIQAQ", "0034P000045kxiIQAQ")</f>
        <v>0034P000045kxiIQAQ</v>
      </c>
      <c r="J183" s="9" t="s">
        <v>17881</v>
      </c>
      <c r="K183" s="38" t="s">
        <v>17882</v>
      </c>
    </row>
    <row r="184" spans="1:11" ht="12.5" x14ac:dyDescent="0.25">
      <c r="A184" s="21" t="str">
        <f ca="1">IFERROR(__xludf.DUMMYFUNCTION("""COMPUTED_VALUE"""),"0014P00003YSp9qQAD")</f>
        <v>0014P00003YSp9qQAD</v>
      </c>
      <c r="B184" s="27" t="str">
        <f ca="1">IFERROR(__xludf.DUMMYFUNCTION("""COMPUTED_VALUE"""),"Fase Inicial")</f>
        <v>Fase Inicial</v>
      </c>
      <c r="C184" s="27" t="str">
        <f ca="1">IFERROR(__xludf.DUMMYFUNCTION("""COMPUTED_VALUE"""),"Fellow")</f>
        <v>Fellow</v>
      </c>
      <c r="D184" s="27" t="str">
        <f ca="1">IFERROR(__xludf.DUMMYFUNCTION("""COMPUTED_VALUE"""),"Ativo")</f>
        <v>Ativo</v>
      </c>
      <c r="E184" s="27" t="str">
        <f ca="1">IFERROR(__xludf.DUMMYFUNCTION("""COMPUTED_VALUE"""),"Casa da Revolução/Projeto Esmeralda")</f>
        <v>Casa da Revolução/Projeto Esmeralda</v>
      </c>
      <c r="F184" s="21" t="str">
        <f ca="1">IFERROR(VLOOKUP(A184,'Rede - Gerando Falcões '!A183:G1179,38,0),"")</f>
        <v/>
      </c>
      <c r="G184" s="27" t="str">
        <f ca="1">IFERROR(VLOOKUP(A184,'Tabela Categorização'!A:J,10,0),"")</f>
        <v>Fase Inicial</v>
      </c>
      <c r="H184" s="27" t="b">
        <f t="shared" ca="1" si="0"/>
        <v>1</v>
      </c>
      <c r="I184" s="21" t="str">
        <f>HYPERLINK("https://gerandofalcoes.my.salesforce.com/0034P000045kxjcQAA", "0034P000045kxjcQAA")</f>
        <v>0034P000045kxjcQAA</v>
      </c>
      <c r="J184" s="9" t="s">
        <v>17881</v>
      </c>
      <c r="K184" s="38" t="s">
        <v>17882</v>
      </c>
    </row>
    <row r="185" spans="1:11" ht="12.5" x14ac:dyDescent="0.25">
      <c r="A185" s="21" t="str">
        <f ca="1">IFERROR(__xludf.DUMMYFUNCTION("""COMPUTED_VALUE"""),"0014P00003YSp7hQAD")</f>
        <v>0014P00003YSp7hQAD</v>
      </c>
      <c r="B185" s="27" t="str">
        <f ca="1">IFERROR(__xludf.DUMMYFUNCTION("""COMPUTED_VALUE"""),"Fase Inicial")</f>
        <v>Fase Inicial</v>
      </c>
      <c r="C185" s="27" t="str">
        <f ca="1">IFERROR(__xludf.DUMMYFUNCTION("""COMPUTED_VALUE"""),"Fellow")</f>
        <v>Fellow</v>
      </c>
      <c r="D185" s="27" t="str">
        <f ca="1">IFERROR(__xludf.DUMMYFUNCTION("""COMPUTED_VALUE"""),"Ativo")</f>
        <v>Ativo</v>
      </c>
      <c r="E185" s="27" t="str">
        <f ca="1">IFERROR(__xludf.DUMMYFUNCTION("""COMPUTED_VALUE"""),"Casa das Juventudes / Associação Santo Agostinho")</f>
        <v>Casa das Juventudes / Associação Santo Agostinho</v>
      </c>
      <c r="F185" s="21" t="str">
        <f ca="1">IFERROR(VLOOKUP(A185,'Rede - Gerando Falcões '!A184:G1180,38,0),"")</f>
        <v/>
      </c>
      <c r="G185" s="27" t="str">
        <f ca="1">IFERROR(VLOOKUP(A185,'Tabela Categorização'!A:J,10,0),"")</f>
        <v>Fase Inicial</v>
      </c>
      <c r="H185" s="27" t="b">
        <f t="shared" ca="1" si="0"/>
        <v>1</v>
      </c>
      <c r="I185" s="21" t="str">
        <f>HYPERLINK("https://gerandofalcoes.my.salesforce.com/0034X0000380O69QAE", "0034X0000380O69QAE")</f>
        <v>0034X0000380O69QAE</v>
      </c>
      <c r="J185" s="9" t="s">
        <v>17881</v>
      </c>
      <c r="K185" s="38" t="s">
        <v>17882</v>
      </c>
    </row>
    <row r="186" spans="1:11" ht="12.5" x14ac:dyDescent="0.25">
      <c r="A186" s="21" t="str">
        <f ca="1">IFERROR(__xludf.DUMMYFUNCTION("""COMPUTED_VALUE"""),"0014P00003YSp90QAD")</f>
        <v>0014P00003YSp90QAD</v>
      </c>
      <c r="B186" s="27" t="str">
        <f ca="1">IFERROR(__xludf.DUMMYFUNCTION("""COMPUTED_VALUE"""),"Fase Inicial")</f>
        <v>Fase Inicial</v>
      </c>
      <c r="C186" s="27" t="str">
        <f ca="1">IFERROR(__xludf.DUMMYFUNCTION("""COMPUTED_VALUE"""),"Fellow")</f>
        <v>Fellow</v>
      </c>
      <c r="D186" s="27" t="str">
        <f ca="1">IFERROR(__xludf.DUMMYFUNCTION("""COMPUTED_VALUE"""),"Ativo")</f>
        <v>Ativo</v>
      </c>
      <c r="E186" s="27" t="str">
        <f ca="1">IFERROR(__xludf.DUMMYFUNCTION("""COMPUTED_VALUE"""),"Casa de Apoio à Criança com Câncer Vida Divina")</f>
        <v>Casa de Apoio à Criança com Câncer Vida Divina</v>
      </c>
      <c r="F186" s="21" t="str">
        <f ca="1">IFERROR(VLOOKUP(A186,'Rede - Gerando Falcões '!A185:G1181,38,0),"")</f>
        <v/>
      </c>
      <c r="G186" s="27" t="str">
        <f ca="1">IFERROR(VLOOKUP(A186,'Tabela Categorização'!A:J,10,0),"")</f>
        <v>Fase Inicial</v>
      </c>
      <c r="H186" s="27" t="b">
        <f t="shared" ca="1" si="0"/>
        <v>1</v>
      </c>
      <c r="I186" s="21" t="str">
        <f>HYPERLINK("https://gerandofalcoes.my.salesforce.com/0034X0000380O48QAE", "0034X0000380O48QAE")</f>
        <v>0034X0000380O48QAE</v>
      </c>
      <c r="J186" s="9" t="s">
        <v>17881</v>
      </c>
      <c r="K186" s="38" t="s">
        <v>17882</v>
      </c>
    </row>
    <row r="187" spans="1:11" ht="12.5" x14ac:dyDescent="0.25">
      <c r="A187" s="21" t="str">
        <f ca="1">IFERROR(__xludf.DUMMYFUNCTION("""COMPUTED_VALUE"""),"0014X00002VKCp4QAH")</f>
        <v>0014X00002VKCp4QAH</v>
      </c>
      <c r="B187" s="27" t="str">
        <f ca="1">IFERROR(__xludf.DUMMYFUNCTION("""COMPUTED_VALUE"""),"Fase Inicial")</f>
        <v>Fase Inicial</v>
      </c>
      <c r="C187" s="27" t="str">
        <f ca="1">IFERROR(__xludf.DUMMYFUNCTION("""COMPUTED_VALUE"""),"Fellow")</f>
        <v>Fellow</v>
      </c>
      <c r="D187" s="27" t="str">
        <f ca="1">IFERROR(__xludf.DUMMYFUNCTION("""COMPUTED_VALUE"""),"Ativo")</f>
        <v>Ativo</v>
      </c>
      <c r="E187" s="27" t="str">
        <f ca="1">IFERROR(__xludf.DUMMYFUNCTION("""COMPUTED_VALUE"""),"Casa do Conto")</f>
        <v>Casa do Conto</v>
      </c>
      <c r="F187" s="21" t="str">
        <f ca="1">IFERROR(VLOOKUP(A187,'Rede - Gerando Falcões '!A186:G1182,38,0),"")</f>
        <v/>
      </c>
      <c r="G187" s="27" t="str">
        <f ca="1">IFERROR(VLOOKUP(A187,'Tabela Categorização'!A:J,10,0),"")</f>
        <v>Fase Inicial</v>
      </c>
      <c r="H187" s="27" t="b">
        <f t="shared" ca="1" si="0"/>
        <v>1</v>
      </c>
      <c r="I187" s="21" t="str">
        <f>HYPERLINK("https://gerandofalcoes.my.salesforce.com/0034X0000380O4CQAU", "0034X0000380O4CQAU")</f>
        <v>0034X0000380O4CQAU</v>
      </c>
      <c r="J187" s="9" t="s">
        <v>17881</v>
      </c>
      <c r="K187" s="38" t="s">
        <v>17882</v>
      </c>
    </row>
    <row r="188" spans="1:11" ht="12.5" x14ac:dyDescent="0.25">
      <c r="A188" s="21" t="str">
        <f ca="1">IFERROR(__xludf.DUMMYFUNCTION("""COMPUTED_VALUE"""),"0014X00002VKCrAQAX")</f>
        <v>0014X00002VKCrAQAX</v>
      </c>
      <c r="B188" s="27" t="str">
        <f ca="1">IFERROR(__xludf.DUMMYFUNCTION("""COMPUTED_VALUE"""),"Fase Inicial")</f>
        <v>Fase Inicial</v>
      </c>
      <c r="C188" s="27" t="str">
        <f ca="1">IFERROR(__xludf.DUMMYFUNCTION("""COMPUTED_VALUE"""),"Fellow")</f>
        <v>Fellow</v>
      </c>
      <c r="D188" s="27" t="str">
        <f ca="1">IFERROR(__xludf.DUMMYFUNCTION("""COMPUTED_VALUE"""),"Ativo")</f>
        <v>Ativo</v>
      </c>
      <c r="E188" s="27" t="str">
        <f ca="1">IFERROR(__xludf.DUMMYFUNCTION("""COMPUTED_VALUE"""),"Casa São Francisco")</f>
        <v>Casa São Francisco</v>
      </c>
      <c r="F188" s="21" t="str">
        <f ca="1">IFERROR(VLOOKUP(A188,'Rede - Gerando Falcões '!A187:G1183,38,0),"")</f>
        <v/>
      </c>
      <c r="G188" s="27" t="str">
        <f ca="1">IFERROR(VLOOKUP(A188,'Tabela Categorização'!A:J,10,0),"")</f>
        <v>Fase Inicial</v>
      </c>
      <c r="H188" s="27" t="b">
        <f t="shared" ca="1" si="0"/>
        <v>1</v>
      </c>
      <c r="I188" s="21" t="str">
        <f>HYPERLINK("https://gerandofalcoes.my.salesforce.com/0034X0000380O4fQAE", "0034X0000380O4fQAE")</f>
        <v>0034X0000380O4fQAE</v>
      </c>
      <c r="J188" s="9" t="s">
        <v>17881</v>
      </c>
      <c r="K188" s="38" t="s">
        <v>17882</v>
      </c>
    </row>
    <row r="189" spans="1:11" ht="12.5" x14ac:dyDescent="0.25">
      <c r="A189" s="21" t="str">
        <f ca="1">IFERROR(__xludf.DUMMYFUNCTION("""COMPUTED_VALUE"""),"0014X00002VKCtGQAX")</f>
        <v>0014X00002VKCtGQAX</v>
      </c>
      <c r="B189" s="27" t="str">
        <f ca="1">IFERROR(__xludf.DUMMYFUNCTION("""COMPUTED_VALUE"""),"Fase Inicial")</f>
        <v>Fase Inicial</v>
      </c>
      <c r="C189" s="27" t="str">
        <f ca="1">IFERROR(__xludf.DUMMYFUNCTION("""COMPUTED_VALUE"""),"Fellow")</f>
        <v>Fellow</v>
      </c>
      <c r="D189" s="27" t="str">
        <f ca="1">IFERROR(__xludf.DUMMYFUNCTION("""COMPUTED_VALUE"""),"Ativo")</f>
        <v>Ativo</v>
      </c>
      <c r="E189" s="27" t="str">
        <f ca="1">IFERROR(__xludf.DUMMYFUNCTION("""COMPUTED_VALUE"""),"Casulo")</f>
        <v>Casulo</v>
      </c>
      <c r="F189" s="21" t="str">
        <f ca="1">IFERROR(VLOOKUP(A189,'Rede - Gerando Falcões '!A188:G1184,38,0),"")</f>
        <v/>
      </c>
      <c r="G189" s="27" t="str">
        <f ca="1">IFERROR(VLOOKUP(A189,'Tabela Categorização'!A:J,10,0),"")</f>
        <v>Fase Inicial</v>
      </c>
      <c r="H189" s="27" t="b">
        <f t="shared" ca="1" si="0"/>
        <v>1</v>
      </c>
      <c r="I189" s="21" t="str">
        <f>HYPERLINK("https://gerandofalcoes.my.salesforce.com/0034X0000380O5eQAE", "0034X0000380O5eQAE")</f>
        <v>0034X0000380O5eQAE</v>
      </c>
      <c r="J189" s="9" t="s">
        <v>17881</v>
      </c>
      <c r="K189" s="38" t="s">
        <v>17882</v>
      </c>
    </row>
    <row r="190" spans="1:11" ht="12.5" x14ac:dyDescent="0.25">
      <c r="A190" s="21" t="str">
        <f ca="1">IFERROR(__xludf.DUMMYFUNCTION("""COMPUTED_VALUE"""),"0014X00002VKCpWQAX")</f>
        <v>0014X00002VKCpWQAX</v>
      </c>
      <c r="B190" s="27" t="str">
        <f ca="1">IFERROR(__xludf.DUMMYFUNCTION("""COMPUTED_VALUE"""),"Fase Inicial")</f>
        <v>Fase Inicial</v>
      </c>
      <c r="C190" s="27" t="str">
        <f ca="1">IFERROR(__xludf.DUMMYFUNCTION("""COMPUTED_VALUE"""),"Fellow")</f>
        <v>Fellow</v>
      </c>
      <c r="D190" s="27" t="str">
        <f ca="1">IFERROR(__xludf.DUMMYFUNCTION("""COMPUTED_VALUE"""),"Ativo")</f>
        <v>Ativo</v>
      </c>
      <c r="E190" s="27" t="str">
        <f ca="1">IFERROR(__xludf.DUMMYFUNCTION("""COMPUTED_VALUE"""),"CCM - Centro Cultural Mamulengo")</f>
        <v>CCM - Centro Cultural Mamulengo</v>
      </c>
      <c r="F190" s="21" t="str">
        <f ca="1">IFERROR(VLOOKUP(A190,'Rede - Gerando Falcões '!A189:G1185,38,0),"")</f>
        <v/>
      </c>
      <c r="G190" s="27" t="str">
        <f ca="1">IFERROR(VLOOKUP(A190,'Tabela Categorização'!A:J,10,0),"")</f>
        <v>Fase Inicial</v>
      </c>
      <c r="H190" s="27" t="b">
        <f t="shared" ca="1" si="0"/>
        <v>1</v>
      </c>
      <c r="I190" s="21" t="str">
        <f>HYPERLINK("https://gerandofalcoes.my.salesforce.com/0034X0000380O6KQAU", "0034X0000380O6KQAU")</f>
        <v>0034X0000380O6KQAU</v>
      </c>
      <c r="J190" s="9" t="s">
        <v>17881</v>
      </c>
      <c r="K190" s="38" t="s">
        <v>17882</v>
      </c>
    </row>
    <row r="191" spans="1:11" ht="12.5" x14ac:dyDescent="0.25">
      <c r="A191" s="21" t="str">
        <f ca="1">IFERROR(__xludf.DUMMYFUNCTION("""COMPUTED_VALUE"""),"0014X00002VKCryQAH")</f>
        <v>0014X00002VKCryQAH</v>
      </c>
      <c r="B191" s="27" t="str">
        <f ca="1">IFERROR(__xludf.DUMMYFUNCTION("""COMPUTED_VALUE"""),"Fase Inicial")</f>
        <v>Fase Inicial</v>
      </c>
      <c r="C191" s="27" t="str">
        <f ca="1">IFERROR(__xludf.DUMMYFUNCTION("""COMPUTED_VALUE"""),"Fellow")</f>
        <v>Fellow</v>
      </c>
      <c r="D191" s="27" t="str">
        <f ca="1">IFERROR(__xludf.DUMMYFUNCTION("""COMPUTED_VALUE"""),"Ativo")</f>
        <v>Ativo</v>
      </c>
      <c r="E191" s="27" t="str">
        <f ca="1">IFERROR(__xludf.DUMMYFUNCTION("""COMPUTED_VALUE"""),"CECRE Centro Educacional Comunitário Redenção")</f>
        <v>CECRE Centro Educacional Comunitário Redenção</v>
      </c>
      <c r="F191" s="21" t="str">
        <f ca="1">IFERROR(VLOOKUP(A191,'Rede - Gerando Falcões '!A190:G1186,38,0),"")</f>
        <v/>
      </c>
      <c r="G191" s="27" t="str">
        <f ca="1">IFERROR(VLOOKUP(A191,'Tabela Categorização'!A:J,10,0),"")</f>
        <v>Fase Inicial</v>
      </c>
      <c r="H191" s="27" t="b">
        <f t="shared" ca="1" si="0"/>
        <v>1</v>
      </c>
      <c r="I191" s="21" t="str">
        <f>HYPERLINK("https://gerandofalcoes.my.salesforce.com/0034P000045kxiUQAQ", "0034P000045kxiUQAQ")</f>
        <v>0034P000045kxiUQAQ</v>
      </c>
      <c r="J191" s="9" t="s">
        <v>17881</v>
      </c>
      <c r="K191" s="38" t="s">
        <v>17882</v>
      </c>
    </row>
    <row r="192" spans="1:11" ht="12.5" x14ac:dyDescent="0.25">
      <c r="A192" s="21" t="str">
        <f ca="1">IFERROR(__xludf.DUMMYFUNCTION("""COMPUTED_VALUE"""),"0014X00002VKCr5QAH")</f>
        <v>0014X00002VKCr5QAH</v>
      </c>
      <c r="B192" s="27" t="str">
        <f ca="1">IFERROR(__xludf.DUMMYFUNCTION("""COMPUTED_VALUE"""),"Fase Inicial")</f>
        <v>Fase Inicial</v>
      </c>
      <c r="C192" s="27" t="str">
        <f ca="1">IFERROR(__xludf.DUMMYFUNCTION("""COMPUTED_VALUE"""),"Fellow")</f>
        <v>Fellow</v>
      </c>
      <c r="D192" s="27" t="str">
        <f ca="1">IFERROR(__xludf.DUMMYFUNCTION("""COMPUTED_VALUE"""),"Ativo")</f>
        <v>Ativo</v>
      </c>
      <c r="E192" s="27" t="str">
        <f ca="1">IFERROR(__xludf.DUMMYFUNCTION("""COMPUTED_VALUE"""),"Central da Solidariedade")</f>
        <v>Central da Solidariedade</v>
      </c>
      <c r="F192" s="21" t="str">
        <f ca="1">IFERROR(VLOOKUP(A192,'Rede - Gerando Falcões '!A191:G1187,38,0),"")</f>
        <v/>
      </c>
      <c r="G192" s="27" t="str">
        <f ca="1">IFERROR(VLOOKUP(A192,'Tabela Categorização'!A:J,10,0),"")</f>
        <v>Fase Inicial</v>
      </c>
      <c r="H192" s="27" t="b">
        <f t="shared" ca="1" si="0"/>
        <v>1</v>
      </c>
      <c r="I192" s="21" t="str">
        <f>HYPERLINK("https://gerandofalcoes.my.salesforce.com/0034P00003maBVgQAM", "0034P00003maBVgQAM")</f>
        <v>0034P00003maBVgQAM</v>
      </c>
      <c r="J192" s="9" t="s">
        <v>17881</v>
      </c>
      <c r="K192" s="38" t="s">
        <v>17882</v>
      </c>
    </row>
    <row r="193" spans="1:11" ht="12.5" x14ac:dyDescent="0.25">
      <c r="A193" s="21" t="str">
        <f ca="1">IFERROR(__xludf.DUMMYFUNCTION("""COMPUTED_VALUE"""),"0014P00003YSp7tQAD")</f>
        <v>0014P00003YSp7tQAD</v>
      </c>
      <c r="B193" s="27" t="str">
        <f ca="1">IFERROR(__xludf.DUMMYFUNCTION("""COMPUTED_VALUE"""),"Fase Inicial")</f>
        <v>Fase Inicial</v>
      </c>
      <c r="C193" s="27" t="str">
        <f ca="1">IFERROR(__xludf.DUMMYFUNCTION("""COMPUTED_VALUE"""),"Fellow")</f>
        <v>Fellow</v>
      </c>
      <c r="D193" s="27" t="str">
        <f ca="1">IFERROR(__xludf.DUMMYFUNCTION("""COMPUTED_VALUE"""),"Ativo")</f>
        <v>Ativo</v>
      </c>
      <c r="E193" s="27" t="str">
        <f ca="1">IFERROR(__xludf.DUMMYFUNCTION("""COMPUTED_VALUE"""),"CENTRAL DE APOIO DOS AMIGOS SOLIDARIOS")</f>
        <v>CENTRAL DE APOIO DOS AMIGOS SOLIDARIOS</v>
      </c>
      <c r="F193" s="21" t="str">
        <f ca="1">IFERROR(VLOOKUP(A193,'Rede - Gerando Falcões '!A192:G1188,38,0),"")</f>
        <v/>
      </c>
      <c r="G193" s="27" t="str">
        <f ca="1">IFERROR(VLOOKUP(A193,'Tabela Categorização'!A:J,10,0),"")</f>
        <v>Fase Inicial</v>
      </c>
      <c r="H193" s="27" t="b">
        <f t="shared" ca="1" si="0"/>
        <v>1</v>
      </c>
      <c r="I193" s="21" t="str">
        <f>HYPERLINK("https://gerandofalcoes.my.salesforce.com/0034X0000380O5aQAE", "0034X0000380O5aQAE")</f>
        <v>0034X0000380O5aQAE</v>
      </c>
      <c r="J193" s="9" t="s">
        <v>17881</v>
      </c>
      <c r="K193" s="38" t="s">
        <v>17882</v>
      </c>
    </row>
    <row r="194" spans="1:11" ht="12.5" x14ac:dyDescent="0.25">
      <c r="A194" s="21" t="str">
        <f ca="1">IFERROR(__xludf.DUMMYFUNCTION("""COMPUTED_VALUE"""),"0014P00003AN2GCQA1")</f>
        <v>0014P00003AN2GCQA1</v>
      </c>
      <c r="B194" s="27" t="str">
        <f ca="1">IFERROR(__xludf.DUMMYFUNCTION("""COMPUTED_VALUE"""),"Fase Inicial")</f>
        <v>Fase Inicial</v>
      </c>
      <c r="C194" s="27" t="str">
        <f ca="1">IFERROR(__xludf.DUMMYFUNCTION("""COMPUTED_VALUE"""),"Fellow")</f>
        <v>Fellow</v>
      </c>
      <c r="D194" s="27" t="str">
        <f ca="1">IFERROR(__xludf.DUMMYFUNCTION("""COMPUTED_VALUE"""),"Ativo")</f>
        <v>Ativo</v>
      </c>
      <c r="E194" s="27" t="str">
        <f ca="1">IFERROR(__xludf.DUMMYFUNCTION("""COMPUTED_VALUE"""),"Centro Cidadania Ação e Educação Socioambiental")</f>
        <v>Centro Cidadania Ação e Educação Socioambiental</v>
      </c>
      <c r="F194" s="21" t="str">
        <f ca="1">IFERROR(VLOOKUP(A194,'Rede - Gerando Falcões '!A193:G1189,38,0),"")</f>
        <v/>
      </c>
      <c r="G194" s="27" t="str">
        <f ca="1">IFERROR(VLOOKUP(A194,'Tabela Categorização'!A:J,10,0),"")</f>
        <v>Fase Inicial</v>
      </c>
      <c r="H194" s="27" t="b">
        <f t="shared" ca="1" si="0"/>
        <v>1</v>
      </c>
      <c r="I194" s="21" t="str">
        <f>HYPERLINK("https://gerandofalcoes.my.salesforce.com/0034X0000380O1WQAU", "0034X0000380O1WQAU")</f>
        <v>0034X0000380O1WQAU</v>
      </c>
      <c r="J194" s="9" t="s">
        <v>17881</v>
      </c>
      <c r="K194" s="38" t="s">
        <v>17882</v>
      </c>
    </row>
    <row r="195" spans="1:11" ht="12.5" x14ac:dyDescent="0.25">
      <c r="A195" s="21" t="str">
        <f ca="1">IFERROR(__xludf.DUMMYFUNCTION("""COMPUTED_VALUE"""),"0014X00002VKCrqQAH")</f>
        <v>0014X00002VKCrqQAH</v>
      </c>
      <c r="B195" s="27"/>
      <c r="C195" s="27" t="str">
        <f ca="1">IFERROR(__xludf.DUMMYFUNCTION("""COMPUTED_VALUE"""),"Fellow")</f>
        <v>Fellow</v>
      </c>
      <c r="D195" s="27" t="str">
        <f ca="1">IFERROR(__xludf.DUMMYFUNCTION("""COMPUTED_VALUE"""),"Ativo")</f>
        <v>Ativo</v>
      </c>
      <c r="E195" s="27" t="str">
        <f ca="1">IFERROR(__xludf.DUMMYFUNCTION("""COMPUTED_VALUE"""),"Centro Comunitário da Paz")</f>
        <v>Centro Comunitário da Paz</v>
      </c>
      <c r="F195" s="21" t="str">
        <f ca="1">IFERROR(VLOOKUP(A195,'Rede - Gerando Falcões '!A194:G1190,38,0),"")</f>
        <v/>
      </c>
      <c r="G195" s="27" t="str">
        <f ca="1">IFERROR(VLOOKUP(A195,'Tabela Categorização'!A:J,10,0),"")</f>
        <v/>
      </c>
      <c r="H195" s="27" t="b">
        <f t="shared" ca="1" si="0"/>
        <v>1</v>
      </c>
      <c r="I195" s="21" t="str">
        <f>HYPERLINK("https://gerandofalcoes.my.salesforce.com/0034X0000380O28QAE", "0034X0000380O28QAE")</f>
        <v>0034X0000380O28QAE</v>
      </c>
      <c r="J195" s="9" t="s">
        <v>17881</v>
      </c>
      <c r="K195" s="38" t="s">
        <v>17882</v>
      </c>
    </row>
    <row r="196" spans="1:11" ht="12.5" x14ac:dyDescent="0.25">
      <c r="A196" s="21" t="str">
        <f ca="1">IFERROR(__xludf.DUMMYFUNCTION("""COMPUTED_VALUE"""),"0014X00002VKD04QAH")</f>
        <v>0014X00002VKD04QAH</v>
      </c>
      <c r="B196" s="27" t="str">
        <f ca="1">IFERROR(__xludf.DUMMYFUNCTION("""COMPUTED_VALUE"""),"Fase Estruturação")</f>
        <v>Fase Estruturação</v>
      </c>
      <c r="C196" s="27" t="str">
        <f ca="1">IFERROR(__xludf.DUMMYFUNCTION("""COMPUTED_VALUE"""),"Fellow")</f>
        <v>Fellow</v>
      </c>
      <c r="D196" s="27" t="str">
        <f ca="1">IFERROR(__xludf.DUMMYFUNCTION("""COMPUTED_VALUE"""),"Ativo")</f>
        <v>Ativo</v>
      </c>
      <c r="E196" s="27" t="str">
        <f ca="1">IFERROR(__xludf.DUMMYFUNCTION("""COMPUTED_VALUE"""),"Centro Comunitário do Radional e Adjacências")</f>
        <v>Centro Comunitário do Radional e Adjacências</v>
      </c>
      <c r="F196" s="21" t="str">
        <f ca="1">IFERROR(VLOOKUP(A196,'Rede - Gerando Falcões '!A195:G1191,38,0),"")</f>
        <v/>
      </c>
      <c r="G196" s="27" t="str">
        <f ca="1">IFERROR(VLOOKUP(A196,'Tabela Categorização'!A:J,10,0),"")</f>
        <v>Fase Estruturação</v>
      </c>
      <c r="H196" s="27" t="b">
        <f t="shared" ca="1" si="0"/>
        <v>1</v>
      </c>
      <c r="I196" s="21" t="str">
        <f>HYPERLINK("https://gerandofalcoes.my.salesforce.com/0034P000045kxijQAA", "0034P000045kxijQAA")</f>
        <v>0034P000045kxijQAA</v>
      </c>
      <c r="J196" s="9" t="s">
        <v>17881</v>
      </c>
      <c r="K196" s="38" t="s">
        <v>17882</v>
      </c>
    </row>
    <row r="197" spans="1:11" ht="12.5" x14ac:dyDescent="0.25">
      <c r="A197" s="21" t="str">
        <f ca="1">IFERROR(__xludf.DUMMYFUNCTION("""COMPUTED_VALUE"""),"0014X00002VKCpRQAX")</f>
        <v>0014X00002VKCpRQAX</v>
      </c>
      <c r="B197" s="27" t="str">
        <f ca="1">IFERROR(__xludf.DUMMYFUNCTION("""COMPUTED_VALUE"""),"Fase Inicial")</f>
        <v>Fase Inicial</v>
      </c>
      <c r="C197" s="27" t="str">
        <f ca="1">IFERROR(__xludf.DUMMYFUNCTION("""COMPUTED_VALUE"""),"Fellow")</f>
        <v>Fellow</v>
      </c>
      <c r="D197" s="27" t="str">
        <f ca="1">IFERROR(__xludf.DUMMYFUNCTION("""COMPUTED_VALUE"""),"Ativo")</f>
        <v>Ativo</v>
      </c>
      <c r="E197" s="27" t="str">
        <f ca="1">IFERROR(__xludf.DUMMYFUNCTION("""COMPUTED_VALUE"""),"Centro Comunitário do Rosarinho")</f>
        <v>Centro Comunitário do Rosarinho</v>
      </c>
      <c r="F197" s="21" t="str">
        <f ca="1">IFERROR(VLOOKUP(A197,'Rede - Gerando Falcões '!A196:G1192,38,0),"")</f>
        <v/>
      </c>
      <c r="G197" s="27" t="str">
        <f ca="1">IFERROR(VLOOKUP(A197,'Tabela Categorização'!A:J,10,0),"")</f>
        <v>Fase Inicial</v>
      </c>
      <c r="H197" s="27" t="b">
        <f t="shared" ca="1" si="0"/>
        <v>1</v>
      </c>
      <c r="I197" s="21" t="str">
        <f>HYPERLINK("https://gerandofalcoes.my.salesforce.com/0034P000045kxiZQAQ", "0034P000045kxiZQAQ")</f>
        <v>0034P000045kxiZQAQ</v>
      </c>
      <c r="J197" s="9" t="s">
        <v>17881</v>
      </c>
      <c r="K197" s="38" t="s">
        <v>17882</v>
      </c>
    </row>
    <row r="198" spans="1:11" ht="12.5" x14ac:dyDescent="0.25">
      <c r="A198" s="21" t="str">
        <f ca="1">IFERROR(__xludf.DUMMYFUNCTION("""COMPUTED_VALUE"""),"0014P00003YSp88QAD")</f>
        <v>0014P00003YSp88QAD</v>
      </c>
      <c r="B198" s="27" t="str">
        <f ca="1">IFERROR(__xludf.DUMMYFUNCTION("""COMPUTED_VALUE"""),"Fase Inicial")</f>
        <v>Fase Inicial</v>
      </c>
      <c r="C198" s="27" t="str">
        <f ca="1">IFERROR(__xludf.DUMMYFUNCTION("""COMPUTED_VALUE"""),"Fellow")</f>
        <v>Fellow</v>
      </c>
      <c r="D198" s="27" t="str">
        <f ca="1">IFERROR(__xludf.DUMMYFUNCTION("""COMPUTED_VALUE"""),"Afastado")</f>
        <v>Afastado</v>
      </c>
      <c r="E198" s="27" t="str">
        <f ca="1">IFERROR(__xludf.DUMMYFUNCTION("""COMPUTED_VALUE"""),"Centro Comunitário Manoel Vitorino")</f>
        <v>Centro Comunitário Manoel Vitorino</v>
      </c>
      <c r="F198" s="21" t="str">
        <f ca="1">IFERROR(VLOOKUP(A198,'Rede - Gerando Falcões '!A197:G1193,38,0),"")</f>
        <v/>
      </c>
      <c r="G198" s="27" t="str">
        <f ca="1">IFERROR(VLOOKUP(A198,'Tabela Categorização'!A:J,10,0),"")</f>
        <v>Fase Inicial</v>
      </c>
      <c r="H198" s="27" t="b">
        <f t="shared" ca="1" si="0"/>
        <v>1</v>
      </c>
      <c r="I198" s="21" t="str">
        <f>HYPERLINK("https://gerandofalcoes.my.salesforce.com/0034P000043fOngQAE", "0034P000043fOngQAE")</f>
        <v>0034P000043fOngQAE</v>
      </c>
      <c r="J198" s="9" t="s">
        <v>17881</v>
      </c>
      <c r="K198" s="38" t="s">
        <v>17882</v>
      </c>
    </row>
    <row r="199" spans="1:11" ht="12.5" x14ac:dyDescent="0.25">
      <c r="A199" s="21" t="str">
        <f ca="1">IFERROR(__xludf.DUMMYFUNCTION("""COMPUTED_VALUE"""),"0014P00003YSp7yQAD")</f>
        <v>0014P00003YSp7yQAD</v>
      </c>
      <c r="B199" s="27" t="str">
        <f ca="1">IFERROR(__xludf.DUMMYFUNCTION("""COMPUTED_VALUE"""),"Fase Inicial")</f>
        <v>Fase Inicial</v>
      </c>
      <c r="C199" s="27" t="str">
        <f ca="1">IFERROR(__xludf.DUMMYFUNCTION("""COMPUTED_VALUE"""),"Fellow")</f>
        <v>Fellow</v>
      </c>
      <c r="D199" s="27" t="str">
        <f ca="1">IFERROR(__xludf.DUMMYFUNCTION("""COMPUTED_VALUE"""),"Ativo")</f>
        <v>Ativo</v>
      </c>
      <c r="E199" s="27" t="str">
        <f ca="1">IFERROR(__xludf.DUMMYFUNCTION("""COMPUTED_VALUE"""),"Centro comunitário Mário Andrade")</f>
        <v>Centro comunitário Mário Andrade</v>
      </c>
      <c r="F199" s="21" t="str">
        <f ca="1">IFERROR(VLOOKUP(A199,'Rede - Gerando Falcões '!A198:G1194,38,0),"")</f>
        <v/>
      </c>
      <c r="G199" s="27" t="str">
        <f ca="1">IFERROR(VLOOKUP(A199,'Tabela Categorização'!A:J,10,0),"")</f>
        <v>Fase Inicial</v>
      </c>
      <c r="H199" s="27" t="b">
        <f t="shared" ca="1" si="0"/>
        <v>1</v>
      </c>
      <c r="I199" s="21" t="str">
        <f>HYPERLINK("https://gerandofalcoes.my.salesforce.com/0034P000045kxj9QAA", "0034P000045kxj9QAA")</f>
        <v>0034P000045kxj9QAA</v>
      </c>
      <c r="J199" s="9" t="s">
        <v>17881</v>
      </c>
      <c r="K199" s="38" t="s">
        <v>17882</v>
      </c>
    </row>
    <row r="200" spans="1:11" ht="12.5" x14ac:dyDescent="0.25">
      <c r="A200" s="21" t="str">
        <f ca="1">IFERROR(__xludf.DUMMYFUNCTION("""COMPUTED_VALUE"""),"0014P00003SGWPZQA5")</f>
        <v>0014P00003SGWPZQA5</v>
      </c>
      <c r="B200" s="27" t="str">
        <f ca="1">IFERROR(__xludf.DUMMYFUNCTION("""COMPUTED_VALUE"""),"Fase Inicial")</f>
        <v>Fase Inicial</v>
      </c>
      <c r="C200" s="27" t="str">
        <f ca="1">IFERROR(__xludf.DUMMYFUNCTION("""COMPUTED_VALUE"""),"Fellow")</f>
        <v>Fellow</v>
      </c>
      <c r="D200" s="27" t="str">
        <f ca="1">IFERROR(__xludf.DUMMYFUNCTION("""COMPUTED_VALUE"""),"Ativo")</f>
        <v>Ativo</v>
      </c>
      <c r="E200" s="27" t="str">
        <f ca="1">IFERROR(__xludf.DUMMYFUNCTION("""COMPUTED_VALUE"""),"CENTRO CULTURAL DONA ANTÔNIA")</f>
        <v>CENTRO CULTURAL DONA ANTÔNIA</v>
      </c>
      <c r="F200" s="21" t="str">
        <f ca="1">IFERROR(VLOOKUP(A200,'Rede - Gerando Falcões '!A199:G1195,38,0),"")</f>
        <v/>
      </c>
      <c r="G200" s="27" t="str">
        <f ca="1">IFERROR(VLOOKUP(A200,'Tabela Categorização'!A:J,10,0),"")</f>
        <v>Fase Inicial</v>
      </c>
      <c r="H200" s="27" t="b">
        <f t="shared" ca="1" si="0"/>
        <v>1</v>
      </c>
      <c r="I200" s="21" t="str">
        <f>HYPERLINK("https://gerandofalcoes.my.salesforce.com/0034X0000380O3PQAU", "0034X0000380O3PQAU")</f>
        <v>0034X0000380O3PQAU</v>
      </c>
      <c r="J200" s="9" t="s">
        <v>17881</v>
      </c>
      <c r="K200" s="38" t="s">
        <v>17882</v>
      </c>
    </row>
    <row r="201" spans="1:11" ht="12.5" x14ac:dyDescent="0.25">
      <c r="A201" s="21" t="str">
        <f ca="1">IFERROR(__xludf.DUMMYFUNCTION("""COMPUTED_VALUE"""),"0014P00003YSp8YQAT")</f>
        <v>0014P00003YSp8YQAT</v>
      </c>
      <c r="B201" s="27" t="str">
        <f ca="1">IFERROR(__xludf.DUMMYFUNCTION("""COMPUTED_VALUE"""),"Fase Inicial")</f>
        <v>Fase Inicial</v>
      </c>
      <c r="C201" s="27" t="str">
        <f ca="1">IFERROR(__xludf.DUMMYFUNCTION("""COMPUTED_VALUE"""),"Fellow")</f>
        <v>Fellow</v>
      </c>
      <c r="D201" s="27" t="str">
        <f ca="1">IFERROR(__xludf.DUMMYFUNCTION("""COMPUTED_VALUE"""),"Ativo")</f>
        <v>Ativo</v>
      </c>
      <c r="E201" s="27" t="str">
        <f ca="1">IFERROR(__xludf.DUMMYFUNCTION("""COMPUTED_VALUE"""),"Centro Cultural Rita de Cassia")</f>
        <v>Centro Cultural Rita de Cassia</v>
      </c>
      <c r="F201" s="21" t="str">
        <f ca="1">IFERROR(VLOOKUP(A201,'Rede - Gerando Falcões '!A200:G1196,38,0),"")</f>
        <v/>
      </c>
      <c r="G201" s="27" t="str">
        <f ca="1">IFERROR(VLOOKUP(A201,'Tabela Categorização'!A:J,10,0),"")</f>
        <v>Fase Inicial</v>
      </c>
      <c r="H201" s="27" t="b">
        <f t="shared" ca="1" si="0"/>
        <v>1</v>
      </c>
      <c r="I201" s="21" t="str">
        <f>HYPERLINK("https://gerandofalcoes.my.salesforce.com/0034X0000380O3FQAU", "0034X0000380O3FQAU")</f>
        <v>0034X0000380O3FQAU</v>
      </c>
      <c r="J201" s="9" t="s">
        <v>17881</v>
      </c>
      <c r="K201" s="38" t="s">
        <v>17882</v>
      </c>
    </row>
    <row r="202" spans="1:11" ht="12.5" x14ac:dyDescent="0.25">
      <c r="A202" s="21" t="str">
        <f ca="1">IFERROR(__xludf.DUMMYFUNCTION("""COMPUTED_VALUE"""),"0014X00002VKCqCQAX")</f>
        <v>0014X00002VKCqCQAX</v>
      </c>
      <c r="B202" s="27" t="str">
        <f ca="1">IFERROR(__xludf.DUMMYFUNCTION("""COMPUTED_VALUE"""),"Fase Inicial")</f>
        <v>Fase Inicial</v>
      </c>
      <c r="C202" s="27" t="str">
        <f ca="1">IFERROR(__xludf.DUMMYFUNCTION("""COMPUTED_VALUE"""),"Fellow")</f>
        <v>Fellow</v>
      </c>
      <c r="D202" s="27" t="str">
        <f ca="1">IFERROR(__xludf.DUMMYFUNCTION("""COMPUTED_VALUE"""),"Ativo")</f>
        <v>Ativo</v>
      </c>
      <c r="E202" s="27" t="str">
        <f ca="1">IFERROR(__xludf.DUMMYFUNCTION("""COMPUTED_VALUE"""),"Centro de Apoio Pedagógico EducAÇÃO")</f>
        <v>Centro de Apoio Pedagógico EducAÇÃO</v>
      </c>
      <c r="F202" s="21" t="str">
        <f ca="1">IFERROR(VLOOKUP(A202,'Rede - Gerando Falcões '!A201:G1197,38,0),"")</f>
        <v/>
      </c>
      <c r="G202" s="27" t="str">
        <f ca="1">IFERROR(VLOOKUP(A202,'Tabela Categorização'!A:J,10,0),"")</f>
        <v>Fase Inicial</v>
      </c>
      <c r="H202" s="27" t="b">
        <f t="shared" ca="1" si="0"/>
        <v>1</v>
      </c>
      <c r="I202" s="21" t="str">
        <f>HYPERLINK("https://gerandofalcoes.my.salesforce.com/0034P000043fOoDQAU", "0034P000043fOoDQAU")</f>
        <v>0034P000043fOoDQAU</v>
      </c>
      <c r="J202" s="9" t="s">
        <v>17881</v>
      </c>
      <c r="K202" s="38" t="s">
        <v>17882</v>
      </c>
    </row>
    <row r="203" spans="1:11" ht="12.5" x14ac:dyDescent="0.25">
      <c r="A203" s="21" t="str">
        <f ca="1">IFERROR(__xludf.DUMMYFUNCTION("""COMPUTED_VALUE"""),"0014X00002VKCt6QAH")</f>
        <v>0014X00002VKCt6QAH</v>
      </c>
      <c r="B203" s="27" t="str">
        <f ca="1">IFERROR(__xludf.DUMMYFUNCTION("""COMPUTED_VALUE"""),"Fase Inicial")</f>
        <v>Fase Inicial</v>
      </c>
      <c r="C203" s="27" t="str">
        <f ca="1">IFERROR(__xludf.DUMMYFUNCTION("""COMPUTED_VALUE"""),"Fellow")</f>
        <v>Fellow</v>
      </c>
      <c r="D203" s="27" t="str">
        <f ca="1">IFERROR(__xludf.DUMMYFUNCTION("""COMPUTED_VALUE"""),"Ativo")</f>
        <v>Ativo</v>
      </c>
      <c r="E203" s="27" t="str">
        <f ca="1">IFERROR(__xludf.DUMMYFUNCTION("""COMPUTED_VALUE"""),"Centro de Cidadania Vida Nova Belford Roxo Piam")</f>
        <v>Centro de Cidadania Vida Nova Belford Roxo Piam</v>
      </c>
      <c r="F203" s="21" t="str">
        <f ca="1">IFERROR(VLOOKUP(A203,'Rede - Gerando Falcões '!A202:G1198,38,0),"")</f>
        <v/>
      </c>
      <c r="G203" s="27" t="str">
        <f ca="1">IFERROR(VLOOKUP(A203,'Tabela Categorização'!A:J,10,0),"")</f>
        <v>Fase Inicial</v>
      </c>
      <c r="H203" s="27" t="b">
        <f t="shared" ca="1" si="0"/>
        <v>1</v>
      </c>
      <c r="I203" s="21" t="str">
        <f>HYPERLINK("https://gerandofalcoes.my.salesforce.com/0034X0000380O0eQAE", "0034X0000380O0eQAE")</f>
        <v>0034X0000380O0eQAE</v>
      </c>
      <c r="J203" s="9" t="s">
        <v>17881</v>
      </c>
      <c r="K203" s="38" t="s">
        <v>17882</v>
      </c>
    </row>
    <row r="204" spans="1:11" ht="12.5" x14ac:dyDescent="0.25">
      <c r="A204" s="21" t="str">
        <f ca="1">IFERROR(__xludf.DUMMYFUNCTION("""COMPUTED_VALUE"""),"0014P00003SGWQCQA5")</f>
        <v>0014P00003SGWQCQA5</v>
      </c>
      <c r="B204" s="27" t="str">
        <f ca="1">IFERROR(__xludf.DUMMYFUNCTION("""COMPUTED_VALUE"""),"Fase Inicial")</f>
        <v>Fase Inicial</v>
      </c>
      <c r="C204" s="27" t="str">
        <f ca="1">IFERROR(__xludf.DUMMYFUNCTION("""COMPUTED_VALUE"""),"Fellow")</f>
        <v>Fellow</v>
      </c>
      <c r="D204" s="27" t="str">
        <f ca="1">IFERROR(__xludf.DUMMYFUNCTION("""COMPUTED_VALUE"""),"Ativo")</f>
        <v>Ativo</v>
      </c>
      <c r="E204" s="27" t="str">
        <f ca="1">IFERROR(__xludf.DUMMYFUNCTION("""COMPUTED_VALUE"""),"CENTRO DE DESENVOLVIMENTO COMUNITÁRIO VILA LEONINA")</f>
        <v>CENTRO DE DESENVOLVIMENTO COMUNITÁRIO VILA LEONINA</v>
      </c>
      <c r="F204" s="21" t="str">
        <f ca="1">IFERROR(VLOOKUP(A204,'Rede - Gerando Falcões '!A203:G1199,38,0),"")</f>
        <v/>
      </c>
      <c r="G204" s="27" t="str">
        <f ca="1">IFERROR(VLOOKUP(A204,'Tabela Categorização'!A:J,10,0),"")</f>
        <v>Fase Inicial</v>
      </c>
      <c r="H204" s="27" t="b">
        <f t="shared" ca="1" si="0"/>
        <v>1</v>
      </c>
      <c r="I204" s="21" t="str">
        <f>HYPERLINK("https://gerandofalcoes.my.salesforce.com/0034X0000380O2fQAE", "0034X0000380O2fQAE")</f>
        <v>0034X0000380O2fQAE</v>
      </c>
      <c r="J204" s="9" t="s">
        <v>17881</v>
      </c>
      <c r="K204" s="38" t="s">
        <v>17882</v>
      </c>
    </row>
    <row r="205" spans="1:11" ht="12.5" x14ac:dyDescent="0.25">
      <c r="A205" s="21" t="str">
        <f ca="1">IFERROR(__xludf.DUMMYFUNCTION("""COMPUTED_VALUE"""),"0014X00002VKCscQAH")</f>
        <v>0014X00002VKCscQAH</v>
      </c>
      <c r="B205" s="27" t="str">
        <f ca="1">IFERROR(__xludf.DUMMYFUNCTION("""COMPUTED_VALUE"""),"Fase Inicial")</f>
        <v>Fase Inicial</v>
      </c>
      <c r="C205" s="27" t="str">
        <f ca="1">IFERROR(__xludf.DUMMYFUNCTION("""COMPUTED_VALUE"""),"Fellow")</f>
        <v>Fellow</v>
      </c>
      <c r="D205" s="27" t="str">
        <f ca="1">IFERROR(__xludf.DUMMYFUNCTION("""COMPUTED_VALUE"""),"Ativo")</f>
        <v>Ativo</v>
      </c>
      <c r="E205" s="27" t="str">
        <f ca="1">IFERROR(__xludf.DUMMYFUNCTION("""COMPUTED_VALUE"""),"CENTRO DE EDUCAÇÃO INTEGRADA CRAQUES DA VIDA")</f>
        <v>CENTRO DE EDUCAÇÃO INTEGRADA CRAQUES DA VIDA</v>
      </c>
      <c r="F205" s="21" t="str">
        <f ca="1">IFERROR(VLOOKUP(A205,'Rede - Gerando Falcões '!A204:G1200,38,0),"")</f>
        <v/>
      </c>
      <c r="G205" s="27" t="str">
        <f ca="1">IFERROR(VLOOKUP(A205,'Tabela Categorização'!A:J,10,0),"")</f>
        <v>Fase Inicial</v>
      </c>
      <c r="H205" s="27" t="b">
        <f t="shared" ca="1" si="0"/>
        <v>1</v>
      </c>
      <c r="I205" s="21" t="str">
        <f>HYPERLINK("https://gerandofalcoes.my.salesforce.com/0034P000043fOnrQAE", "0034P000043fOnrQAE")</f>
        <v>0034P000043fOnrQAE</v>
      </c>
      <c r="J205" s="9" t="s">
        <v>17881</v>
      </c>
      <c r="K205" s="38" t="s">
        <v>17882</v>
      </c>
    </row>
    <row r="206" spans="1:11" ht="12.5" x14ac:dyDescent="0.25">
      <c r="A206" s="21" t="str">
        <f ca="1">IFERROR(__xludf.DUMMYFUNCTION("""COMPUTED_VALUE"""),"0014X00002VKCsWQAX")</f>
        <v>0014X00002VKCsWQAX</v>
      </c>
      <c r="B206" s="27" t="str">
        <f ca="1">IFERROR(__xludf.DUMMYFUNCTION("""COMPUTED_VALUE"""),"Fase Inicial")</f>
        <v>Fase Inicial</v>
      </c>
      <c r="C206" s="27" t="str">
        <f ca="1">IFERROR(__xludf.DUMMYFUNCTION("""COMPUTED_VALUE"""),"Fellow")</f>
        <v>Fellow</v>
      </c>
      <c r="D206" s="27" t="str">
        <f ca="1">IFERROR(__xludf.DUMMYFUNCTION("""COMPUTED_VALUE"""),"Ativo")</f>
        <v>Ativo</v>
      </c>
      <c r="E206" s="27" t="str">
        <f ca="1">IFERROR(__xludf.DUMMYFUNCTION("""COMPUTED_VALUE"""),"Centro de Integração Social e Cultural  - CISC ""Uma Chance""")</f>
        <v>Centro de Integração Social e Cultural  - CISC "Uma Chance"</v>
      </c>
      <c r="F206" s="21" t="str">
        <f ca="1">IFERROR(VLOOKUP(A206,'Rede - Gerando Falcões '!A205:G1201,38,0),"")</f>
        <v/>
      </c>
      <c r="G206" s="27" t="str">
        <f ca="1">IFERROR(VLOOKUP(A206,'Tabela Categorização'!A:J,10,0),"")</f>
        <v>Fase Inicial</v>
      </c>
      <c r="H206" s="27" t="b">
        <f t="shared" ca="1" si="0"/>
        <v>1</v>
      </c>
      <c r="I206" s="21" t="str">
        <f>HYPERLINK("https://gerandofalcoes.my.salesforce.com/0034X0000380O2iQAE", "0034X0000380O2iQAE")</f>
        <v>0034X0000380O2iQAE</v>
      </c>
      <c r="J206" s="9" t="s">
        <v>17881</v>
      </c>
      <c r="K206" s="38" t="s">
        <v>17882</v>
      </c>
    </row>
    <row r="207" spans="1:11" ht="12.5" x14ac:dyDescent="0.25">
      <c r="A207" s="21" t="str">
        <f ca="1">IFERROR(__xludf.DUMMYFUNCTION("""COMPUTED_VALUE"""),"0014P00003SGWPkQAP")</f>
        <v>0014P00003SGWPkQAP</v>
      </c>
      <c r="B207" s="27" t="str">
        <f ca="1">IFERROR(__xludf.DUMMYFUNCTION("""COMPUTED_VALUE"""),"Fase Inicial")</f>
        <v>Fase Inicial</v>
      </c>
      <c r="C207" s="27" t="str">
        <f ca="1">IFERROR(__xludf.DUMMYFUNCTION("""COMPUTED_VALUE"""),"Fellow")</f>
        <v>Fellow</v>
      </c>
      <c r="D207" s="27" t="str">
        <f ca="1">IFERROR(__xludf.DUMMYFUNCTION("""COMPUTED_VALUE"""),"Ativo")</f>
        <v>Ativo</v>
      </c>
      <c r="E207" s="27" t="str">
        <f ca="1">IFERROR(__xludf.DUMMYFUNCTION("""COMPUTED_VALUE"""),"CENTRO DE RECREAÇÃO INFANTIL AMAR MAIS MUITO MAIS")</f>
        <v>CENTRO DE RECREAÇÃO INFANTIL AMAR MAIS MUITO MAIS</v>
      </c>
      <c r="F207" s="21" t="str">
        <f ca="1">IFERROR(VLOOKUP(A207,'Rede - Gerando Falcões '!A206:G1202,38,0),"")</f>
        <v/>
      </c>
      <c r="G207" s="27" t="str">
        <f ca="1">IFERROR(VLOOKUP(A207,'Tabela Categorização'!A:J,10,0),"")</f>
        <v>Fase Inicial</v>
      </c>
      <c r="H207" s="27" t="b">
        <f t="shared" ca="1" si="0"/>
        <v>1</v>
      </c>
      <c r="I207" s="21" t="str">
        <f>HYPERLINK("https://gerandofalcoes.my.salesforce.com/0034X0000380O3RQAU", "0034X0000380O3RQAU")</f>
        <v>0034X0000380O3RQAU</v>
      </c>
      <c r="J207" s="9" t="s">
        <v>17881</v>
      </c>
      <c r="K207" s="38" t="s">
        <v>17882</v>
      </c>
    </row>
    <row r="208" spans="1:11" ht="12.5" x14ac:dyDescent="0.25">
      <c r="A208" s="21" t="str">
        <f ca="1">IFERROR(__xludf.DUMMYFUNCTION("""COMPUTED_VALUE"""),"0014X00002VKCuUQAX")</f>
        <v>0014X00002VKCuUQAX</v>
      </c>
      <c r="B208" s="27" t="str">
        <f ca="1">IFERROR(__xludf.DUMMYFUNCTION("""COMPUTED_VALUE"""),"Fase Inicial")</f>
        <v>Fase Inicial</v>
      </c>
      <c r="C208" s="27" t="str">
        <f ca="1">IFERROR(__xludf.DUMMYFUNCTION("""COMPUTED_VALUE"""),"Fellow")</f>
        <v>Fellow</v>
      </c>
      <c r="D208" s="27" t="str">
        <f ca="1">IFERROR(__xludf.DUMMYFUNCTION("""COMPUTED_VALUE"""),"Ativo")</f>
        <v>Ativo</v>
      </c>
      <c r="E208" s="27" t="str">
        <f ca="1">IFERROR(__xludf.DUMMYFUNCTION("""COMPUTED_VALUE"""),"Centro de Recuperação e Educação Nutricional")</f>
        <v>Centro de Recuperação e Educação Nutricional</v>
      </c>
      <c r="F208" s="21" t="str">
        <f ca="1">IFERROR(VLOOKUP(A208,'Rede - Gerando Falcões '!A207:G1203,38,0),"")</f>
        <v/>
      </c>
      <c r="G208" s="27" t="str">
        <f ca="1">IFERROR(VLOOKUP(A208,'Tabela Categorização'!A:J,10,0),"")</f>
        <v>Fase Inicial</v>
      </c>
      <c r="H208" s="27" t="b">
        <f t="shared" ca="1" si="0"/>
        <v>1</v>
      </c>
      <c r="I208" s="21" t="str">
        <f>HYPERLINK("https://gerandofalcoes.my.salesforce.com/0034X0000380O1aQAE", "0034X0000380O1aQAE")</f>
        <v>0034X0000380O1aQAE</v>
      </c>
      <c r="J208" s="9" t="s">
        <v>17881</v>
      </c>
      <c r="K208" s="38" t="s">
        <v>17882</v>
      </c>
    </row>
    <row r="209" spans="1:11" ht="12.5" x14ac:dyDescent="0.25">
      <c r="A209" s="21" t="str">
        <f ca="1">IFERROR(__xludf.DUMMYFUNCTION("""COMPUTED_VALUE"""),"0014X00002VKCsFQAX")</f>
        <v>0014X00002VKCsFQAX</v>
      </c>
      <c r="B209" s="27" t="str">
        <f ca="1">IFERROR(__xludf.DUMMYFUNCTION("""COMPUTED_VALUE"""),"Fase Inicial")</f>
        <v>Fase Inicial</v>
      </c>
      <c r="C209" s="27" t="str">
        <f ca="1">IFERROR(__xludf.DUMMYFUNCTION("""COMPUTED_VALUE"""),"Fellow")</f>
        <v>Fellow</v>
      </c>
      <c r="D209" s="27" t="str">
        <f ca="1">IFERROR(__xludf.DUMMYFUNCTION("""COMPUTED_VALUE"""),"Ativo")</f>
        <v>Ativo</v>
      </c>
      <c r="E209" s="27" t="str">
        <f ca="1">IFERROR(__xludf.DUMMYFUNCTION("""COMPUTED_VALUE"""),"Centro dos Jovens Unidos na Militancia Comunitaria de Paulista")</f>
        <v>Centro dos Jovens Unidos na Militancia Comunitaria de Paulista</v>
      </c>
      <c r="F209" s="21" t="str">
        <f ca="1">IFERROR(VLOOKUP(A209,'Rede - Gerando Falcões '!A208:G1204,38,0),"")</f>
        <v/>
      </c>
      <c r="G209" s="27" t="str">
        <f ca="1">IFERROR(VLOOKUP(A209,'Tabela Categorização'!A:J,10,0),"")</f>
        <v>Fase Inicial</v>
      </c>
      <c r="H209" s="27" t="b">
        <f t="shared" ca="1" si="0"/>
        <v>1</v>
      </c>
      <c r="I209" s="21" t="str">
        <f>HYPERLINK("https://gerandofalcoes.my.salesforce.com/0034X0000380O1JQAU", "0034X0000380O1JQAU")</f>
        <v>0034X0000380O1JQAU</v>
      </c>
      <c r="J209" s="9" t="s">
        <v>17881</v>
      </c>
      <c r="K209" s="38" t="s">
        <v>17882</v>
      </c>
    </row>
    <row r="210" spans="1:11" ht="12.5" x14ac:dyDescent="0.25">
      <c r="A210" s="21" t="str">
        <f ca="1">IFERROR(__xludf.DUMMYFUNCTION("""COMPUTED_VALUE"""),"0014X00002VKCrtQAH")</f>
        <v>0014X00002VKCrtQAH</v>
      </c>
      <c r="B210" s="27" t="str">
        <f ca="1">IFERROR(__xludf.DUMMYFUNCTION("""COMPUTED_VALUE"""),"Fase Inicial")</f>
        <v>Fase Inicial</v>
      </c>
      <c r="C210" s="27" t="str">
        <f ca="1">IFERROR(__xludf.DUMMYFUNCTION("""COMPUTED_VALUE"""),"Fellow")</f>
        <v>Fellow</v>
      </c>
      <c r="D210" s="27" t="str">
        <f ca="1">IFERROR(__xludf.DUMMYFUNCTION("""COMPUTED_VALUE"""),"Ativo")</f>
        <v>Ativo</v>
      </c>
      <c r="E210" s="27" t="str">
        <f ca="1">IFERROR(__xludf.DUMMYFUNCTION("""COMPUTED_VALUE"""),"Centro Escola Mangue")</f>
        <v>Centro Escola Mangue</v>
      </c>
      <c r="F210" s="21" t="str">
        <f ca="1">IFERROR(VLOOKUP(A210,'Rede - Gerando Falcões '!A209:G1205,38,0),"")</f>
        <v/>
      </c>
      <c r="G210" s="27" t="str">
        <f ca="1">IFERROR(VLOOKUP(A210,'Tabela Categorização'!A:J,10,0),"")</f>
        <v>Fase Inicial</v>
      </c>
      <c r="H210" s="27" t="b">
        <f t="shared" ca="1" si="0"/>
        <v>1</v>
      </c>
      <c r="I210" s="21" t="str">
        <f>HYPERLINK("https://gerandofalcoes.my.salesforce.com/0034P000045kxiyQAA", "0034P000045kxiyQAA")</f>
        <v>0034P000045kxiyQAA</v>
      </c>
      <c r="J210" s="9" t="s">
        <v>17881</v>
      </c>
      <c r="K210" s="38" t="s">
        <v>17882</v>
      </c>
    </row>
    <row r="211" spans="1:11" ht="12.5" x14ac:dyDescent="0.25">
      <c r="A211" s="21" t="str">
        <f ca="1">IFERROR(__xludf.DUMMYFUNCTION("""COMPUTED_VALUE"""),"0014X00002VKCrGQAX")</f>
        <v>0014X00002VKCrGQAX</v>
      </c>
      <c r="B211" s="27"/>
      <c r="C211" s="27" t="str">
        <f ca="1">IFERROR(__xludf.DUMMYFUNCTION("""COMPUTED_VALUE"""),"Fellow")</f>
        <v>Fellow</v>
      </c>
      <c r="D211" s="27" t="str">
        <f ca="1">IFERROR(__xludf.DUMMYFUNCTION("""COMPUTED_VALUE"""),"Ativo")</f>
        <v>Ativo</v>
      </c>
      <c r="E211" s="27" t="str">
        <f ca="1">IFERROR(__xludf.DUMMYFUNCTION("""COMPUTED_VALUE"""),"CENTRO RECREAÇÃO DE ATENDIEMNTO E DEFESA DA CRIANÇA E ADOLESECENTE")</f>
        <v>CENTRO RECREAÇÃO DE ATENDIEMNTO E DEFESA DA CRIANÇA E ADOLESECENTE</v>
      </c>
      <c r="F211" s="21" t="str">
        <f ca="1">IFERROR(VLOOKUP(A211,'Rede - Gerando Falcões '!A210:G1206,38,0),"")</f>
        <v/>
      </c>
      <c r="G211" s="27" t="str">
        <f ca="1">IFERROR(VLOOKUP(A211,'Tabela Categorização'!A:J,10,0),"")</f>
        <v/>
      </c>
      <c r="H211" s="27" t="b">
        <f t="shared" ca="1" si="0"/>
        <v>1</v>
      </c>
      <c r="I211" s="21" t="str">
        <f>HYPERLINK("https://gerandofalcoes.my.salesforce.com/0034P000043fPDhQAM", "0034P000043fPDhQAM")</f>
        <v>0034P000043fPDhQAM</v>
      </c>
      <c r="J211" s="9" t="s">
        <v>17881</v>
      </c>
      <c r="K211" s="38" t="s">
        <v>17882</v>
      </c>
    </row>
    <row r="212" spans="1:11" ht="12.5" x14ac:dyDescent="0.25">
      <c r="A212" s="21" t="str">
        <f ca="1">IFERROR(__xludf.DUMMYFUNCTION("""COMPUTED_VALUE"""),"0014P00003YSp8NQAT")</f>
        <v>0014P00003YSp8NQAT</v>
      </c>
      <c r="B212" s="27" t="str">
        <f ca="1">IFERROR(__xludf.DUMMYFUNCTION("""COMPUTED_VALUE"""),"Fase Inicial")</f>
        <v>Fase Inicial</v>
      </c>
      <c r="C212" s="27" t="str">
        <f ca="1">IFERROR(__xludf.DUMMYFUNCTION("""COMPUTED_VALUE"""),"Fellow")</f>
        <v>Fellow</v>
      </c>
      <c r="D212" s="27" t="str">
        <f ca="1">IFERROR(__xludf.DUMMYFUNCTION("""COMPUTED_VALUE"""),"Ativo")</f>
        <v>Ativo</v>
      </c>
      <c r="E212" s="27" t="str">
        <f ca="1">IFERROR(__xludf.DUMMYFUNCTION("""COMPUTED_VALUE"""),"Centro Social Comunitário Favela em Desenvolvimento")</f>
        <v>Centro Social Comunitário Favela em Desenvolvimento</v>
      </c>
      <c r="F212" s="21" t="str">
        <f ca="1">IFERROR(VLOOKUP(A212,'Rede - Gerando Falcões '!A211:G1207,38,0),"")</f>
        <v/>
      </c>
      <c r="G212" s="27" t="str">
        <f ca="1">IFERROR(VLOOKUP(A212,'Tabela Categorização'!A:J,10,0),"")</f>
        <v>Fase Inicial</v>
      </c>
      <c r="H212" s="27" t="b">
        <f t="shared" ca="1" si="0"/>
        <v>1</v>
      </c>
      <c r="I212" s="21" t="str">
        <f>HYPERLINK("https://gerandofalcoes.my.salesforce.com/0034X0000380O3kQAE", "0034X0000380O3kQAE")</f>
        <v>0034X0000380O3kQAE</v>
      </c>
      <c r="J212" s="9" t="s">
        <v>17881</v>
      </c>
      <c r="K212" s="38" t="s">
        <v>17882</v>
      </c>
    </row>
    <row r="213" spans="1:11" ht="12.5" x14ac:dyDescent="0.25">
      <c r="A213" s="21" t="str">
        <f ca="1">IFERROR(__xludf.DUMMYFUNCTION("""COMPUTED_VALUE"""),"0014P00003SGWPLQA5")</f>
        <v>0014P00003SGWPLQA5</v>
      </c>
      <c r="B213" s="27" t="str">
        <f ca="1">IFERROR(__xludf.DUMMYFUNCTION("""COMPUTED_VALUE"""),"Fase Inicial")</f>
        <v>Fase Inicial</v>
      </c>
      <c r="C213" s="27" t="str">
        <f ca="1">IFERROR(__xludf.DUMMYFUNCTION("""COMPUTED_VALUE"""),"Fellow")</f>
        <v>Fellow</v>
      </c>
      <c r="D213" s="27" t="str">
        <f ca="1">IFERROR(__xludf.DUMMYFUNCTION("""COMPUTED_VALUE"""),"Ativo")</f>
        <v>Ativo</v>
      </c>
      <c r="E213" s="27" t="str">
        <f ca="1">IFERROR(__xludf.DUMMYFUNCTION("""COMPUTED_VALUE"""),"CENTRO SOCIAL DÍNAMUS")</f>
        <v>CENTRO SOCIAL DÍNAMUS</v>
      </c>
      <c r="F213" s="21" t="str">
        <f ca="1">IFERROR(VLOOKUP(A213,'Rede - Gerando Falcões '!A212:G1208,38,0),"")</f>
        <v/>
      </c>
      <c r="G213" s="27" t="str">
        <f ca="1">IFERROR(VLOOKUP(A213,'Tabela Categorização'!A:J,10,0),"")</f>
        <v>Fase Inicial</v>
      </c>
      <c r="H213" s="27" t="b">
        <f t="shared" ca="1" si="0"/>
        <v>1</v>
      </c>
      <c r="I213" s="21" t="str">
        <f>HYPERLINK("https://gerandofalcoes.my.salesforce.com/0034X0000380O3gQAE", "0034X0000380O3gQAE")</f>
        <v>0034X0000380O3gQAE</v>
      </c>
      <c r="J213" s="9" t="s">
        <v>17881</v>
      </c>
      <c r="K213" s="38" t="s">
        <v>17882</v>
      </c>
    </row>
    <row r="214" spans="1:11" ht="12.5" x14ac:dyDescent="0.25">
      <c r="A214" s="21" t="str">
        <f ca="1">IFERROR(__xludf.DUMMYFUNCTION("""COMPUTED_VALUE"""),"0014X00002VKCrCQAX")</f>
        <v>0014X00002VKCrCQAX</v>
      </c>
      <c r="B214" s="27" t="str">
        <f ca="1">IFERROR(__xludf.DUMMYFUNCTION("""COMPUTED_VALUE"""),"Fase Inicial")</f>
        <v>Fase Inicial</v>
      </c>
      <c r="C214" s="27" t="str">
        <f ca="1">IFERROR(__xludf.DUMMYFUNCTION("""COMPUTED_VALUE"""),"Fellow")</f>
        <v>Fellow</v>
      </c>
      <c r="D214" s="27" t="str">
        <f ca="1">IFERROR(__xludf.DUMMYFUNCTION("""COMPUTED_VALUE"""),"Ativo")</f>
        <v>Ativo</v>
      </c>
      <c r="E214" s="27" t="str">
        <f ca="1">IFERROR(__xludf.DUMMYFUNCTION("""COMPUTED_VALUE"""),"Chama Viva Missões Urbanas")</f>
        <v>Chama Viva Missões Urbanas</v>
      </c>
      <c r="F214" s="21" t="str">
        <f ca="1">IFERROR(VLOOKUP(A214,'Rede - Gerando Falcões '!A213:G1209,38,0),"")</f>
        <v/>
      </c>
      <c r="G214" s="27" t="str">
        <f ca="1">IFERROR(VLOOKUP(A214,'Tabela Categorização'!A:J,10,0),"")</f>
        <v>Fase Inicial</v>
      </c>
      <c r="H214" s="27" t="b">
        <f t="shared" ca="1" si="0"/>
        <v>1</v>
      </c>
      <c r="I214" s="21" t="str">
        <f>HYPERLINK("https://gerandofalcoes.my.salesforce.com/0034P000045kxklQAA", "0034P000045kxklQAA")</f>
        <v>0034P000045kxklQAA</v>
      </c>
      <c r="J214" s="9" t="s">
        <v>17881</v>
      </c>
      <c r="K214" s="38" t="s">
        <v>17882</v>
      </c>
    </row>
    <row r="215" spans="1:11" ht="12.5" x14ac:dyDescent="0.25">
      <c r="A215" s="21" t="str">
        <f ca="1">IFERROR(__xludf.DUMMYFUNCTION("""COMPUTED_VALUE"""),"0014X00002VKCrOQAX")</f>
        <v>0014X00002VKCrOQAX</v>
      </c>
      <c r="B215" s="27" t="str">
        <f ca="1">IFERROR(__xludf.DUMMYFUNCTION("""COMPUTED_VALUE"""),"Fase Inicial")</f>
        <v>Fase Inicial</v>
      </c>
      <c r="C215" s="27" t="str">
        <f ca="1">IFERROR(__xludf.DUMMYFUNCTION("""COMPUTED_VALUE"""),"Fellow")</f>
        <v>Fellow</v>
      </c>
      <c r="D215" s="27" t="str">
        <f ca="1">IFERROR(__xludf.DUMMYFUNCTION("""COMPUTED_VALUE"""),"Ativo")</f>
        <v>Ativo</v>
      </c>
      <c r="E215" s="27" t="str">
        <f ca="1">IFERROR(__xludf.DUMMYFUNCTION("""COMPUTED_VALUE"""),"Chef Angelo Magno")</f>
        <v>Chef Angelo Magno</v>
      </c>
      <c r="F215" s="21" t="str">
        <f ca="1">IFERROR(VLOOKUP(A215,'Rede - Gerando Falcões '!A214:G1210,38,0),"")</f>
        <v/>
      </c>
      <c r="G215" s="27" t="str">
        <f ca="1">IFERROR(VLOOKUP(A215,'Tabela Categorização'!A:J,10,0),"")</f>
        <v>Fase Inicial</v>
      </c>
      <c r="H215" s="27" t="b">
        <f t="shared" ca="1" si="0"/>
        <v>1</v>
      </c>
      <c r="I215" s="21" t="str">
        <f>HYPERLINK("https://gerandofalcoes.my.salesforce.com/0034X0000380O24QAE", "0034X0000380O24QAE")</f>
        <v>0034X0000380O24QAE</v>
      </c>
      <c r="J215" s="9" t="s">
        <v>17881</v>
      </c>
      <c r="K215" s="38" t="s">
        <v>17882</v>
      </c>
    </row>
    <row r="216" spans="1:11" ht="12.5" x14ac:dyDescent="0.25">
      <c r="A216" s="21" t="str">
        <f ca="1">IFERROR(__xludf.DUMMYFUNCTION("""COMPUTED_VALUE"""),"0014P00003YSpA9QAL")</f>
        <v>0014P00003YSpA9QAL</v>
      </c>
      <c r="B216" s="27" t="str">
        <f ca="1">IFERROR(__xludf.DUMMYFUNCTION("""COMPUTED_VALUE"""),"Fase Inicial")</f>
        <v>Fase Inicial</v>
      </c>
      <c r="C216" s="27" t="str">
        <f ca="1">IFERROR(__xludf.DUMMYFUNCTION("""COMPUTED_VALUE"""),"Fellow")</f>
        <v>Fellow</v>
      </c>
      <c r="D216" s="27" t="str">
        <f ca="1">IFERROR(__xludf.DUMMYFUNCTION("""COMPUTED_VALUE"""),"Ativo")</f>
        <v>Ativo</v>
      </c>
      <c r="E216" s="27" t="str">
        <f ca="1">IFERROR(__xludf.DUMMYFUNCTION("""COMPUTED_VALUE"""),"Chegança Escola")</f>
        <v>Chegança Escola</v>
      </c>
      <c r="F216" s="21" t="str">
        <f ca="1">IFERROR(VLOOKUP(A216,'Rede - Gerando Falcões '!A215:G1211,38,0),"")</f>
        <v/>
      </c>
      <c r="G216" s="27" t="str">
        <f ca="1">IFERROR(VLOOKUP(A216,'Tabela Categorização'!A:J,10,0),"")</f>
        <v>Fase Inicial</v>
      </c>
      <c r="H216" s="27" t="b">
        <f t="shared" ca="1" si="0"/>
        <v>1</v>
      </c>
      <c r="I216" s="21" t="str">
        <f>HYPERLINK("https://gerandofalcoes.my.salesforce.com/0034X0000380O3rQAE", "0034X0000380O3rQAE")</f>
        <v>0034X0000380O3rQAE</v>
      </c>
      <c r="J216" s="9" t="s">
        <v>17881</v>
      </c>
      <c r="K216" s="38" t="s">
        <v>17882</v>
      </c>
    </row>
    <row r="217" spans="1:11" ht="12.5" x14ac:dyDescent="0.25">
      <c r="A217" s="21" t="str">
        <f ca="1">IFERROR(__xludf.DUMMYFUNCTION("""COMPUTED_VALUE"""),"0014X00002VKCpNQAX")</f>
        <v>0014X00002VKCpNQAX</v>
      </c>
      <c r="B217" s="27" t="str">
        <f ca="1">IFERROR(__xludf.DUMMYFUNCTION("""COMPUTED_VALUE"""),"Fase Inicial")</f>
        <v>Fase Inicial</v>
      </c>
      <c r="C217" s="27" t="str">
        <f ca="1">IFERROR(__xludf.DUMMYFUNCTION("""COMPUTED_VALUE"""),"Fellow")</f>
        <v>Fellow</v>
      </c>
      <c r="D217" s="27" t="str">
        <f ca="1">IFERROR(__xludf.DUMMYFUNCTION("""COMPUTED_VALUE"""),"Ativo")</f>
        <v>Ativo</v>
      </c>
      <c r="E217" s="27" t="str">
        <f ca="1">IFERROR(__xludf.DUMMYFUNCTION("""COMPUTED_VALUE"""),"CIDADELA Centro Cultural e Ambiental")</f>
        <v>CIDADELA Centro Cultural e Ambiental</v>
      </c>
      <c r="F217" s="21" t="str">
        <f ca="1">IFERROR(VLOOKUP(A217,'Rede - Gerando Falcões '!A216:G1212,38,0),"")</f>
        <v/>
      </c>
      <c r="G217" s="27" t="str">
        <f ca="1">IFERROR(VLOOKUP(A217,'Tabela Categorização'!A:J,10,0),"")</f>
        <v>Fase Inicial</v>
      </c>
      <c r="H217" s="27" t="b">
        <f t="shared" ca="1" si="0"/>
        <v>1</v>
      </c>
      <c r="I217" s="21" t="str">
        <f>HYPERLINK("https://gerandofalcoes.my.salesforce.com/0034X0000380O36QAE", "0034X0000380O36QAE")</f>
        <v>0034X0000380O36QAE</v>
      </c>
      <c r="J217" s="9" t="s">
        <v>17881</v>
      </c>
      <c r="K217" s="38" t="s">
        <v>17882</v>
      </c>
    </row>
    <row r="218" spans="1:11" ht="12.5" x14ac:dyDescent="0.25">
      <c r="A218" s="21" t="str">
        <f ca="1">IFERROR(__xludf.DUMMYFUNCTION("""COMPUTED_VALUE"""),"0014X00002VKCsSQAX")</f>
        <v>0014X00002VKCsSQAX</v>
      </c>
      <c r="B218" s="27" t="str">
        <f ca="1">IFERROR(__xludf.DUMMYFUNCTION("""COMPUTED_VALUE"""),"Fase Inicial")</f>
        <v>Fase Inicial</v>
      </c>
      <c r="C218" s="27" t="str">
        <f ca="1">IFERROR(__xludf.DUMMYFUNCTION("""COMPUTED_VALUE"""),"Fellow")</f>
        <v>Fellow</v>
      </c>
      <c r="D218" s="27" t="str">
        <f ca="1">IFERROR(__xludf.DUMMYFUNCTION("""COMPUTED_VALUE"""),"Ativo")</f>
        <v>Ativo</v>
      </c>
      <c r="E218" s="27" t="str">
        <f ca="1">IFERROR(__xludf.DUMMYFUNCTION("""COMPUTED_VALUE"""),"CineClube Tia Nilda")</f>
        <v>CineClube Tia Nilda</v>
      </c>
      <c r="F218" s="21" t="str">
        <f ca="1">IFERROR(VLOOKUP(A218,'Rede - Gerando Falcões '!A217:G1213,38,0),"")</f>
        <v/>
      </c>
      <c r="G218" s="27" t="str">
        <f ca="1">IFERROR(VLOOKUP(A218,'Tabela Categorização'!A:J,10,0),"")</f>
        <v>Fase Inicial</v>
      </c>
      <c r="H218" s="27" t="b">
        <f t="shared" ca="1" si="0"/>
        <v>1</v>
      </c>
      <c r="I218" s="21" t="str">
        <f>HYPERLINK("https://gerandofalcoes.my.salesforce.com/0034X0000380O3qQAE", "0034X0000380O3qQAE")</f>
        <v>0034X0000380O3qQAE</v>
      </c>
      <c r="J218" s="9" t="s">
        <v>17881</v>
      </c>
      <c r="K218" s="38" t="s">
        <v>17882</v>
      </c>
    </row>
    <row r="219" spans="1:11" ht="12.5" x14ac:dyDescent="0.25">
      <c r="A219" s="21" t="str">
        <f ca="1">IFERROR(__xludf.DUMMYFUNCTION("""COMPUTED_VALUE"""),"0014X00002VKCt1QAH")</f>
        <v>0014X00002VKCt1QAH</v>
      </c>
      <c r="B219" s="27" t="str">
        <f ca="1">IFERROR(__xludf.DUMMYFUNCTION("""COMPUTED_VALUE"""),"Fase Inicial")</f>
        <v>Fase Inicial</v>
      </c>
      <c r="C219" s="27" t="str">
        <f ca="1">IFERROR(__xludf.DUMMYFUNCTION("""COMPUTED_VALUE"""),"Fellow")</f>
        <v>Fellow</v>
      </c>
      <c r="D219" s="27" t="str">
        <f ca="1">IFERROR(__xludf.DUMMYFUNCTION("""COMPUTED_VALUE"""),"Ativo")</f>
        <v>Ativo</v>
      </c>
      <c r="E219" s="27" t="str">
        <f ca="1">IFERROR(__xludf.DUMMYFUNCTION("""COMPUTED_VALUE"""),"Clube de Ajuda")</f>
        <v>Clube de Ajuda</v>
      </c>
      <c r="F219" s="21" t="str">
        <f ca="1">IFERROR(VLOOKUP(A219,'Rede - Gerando Falcões '!A218:G1214,38,0),"")</f>
        <v/>
      </c>
      <c r="G219" s="27" t="str">
        <f ca="1">IFERROR(VLOOKUP(A219,'Tabela Categorização'!A:J,10,0),"")</f>
        <v>Fase Inicial</v>
      </c>
      <c r="H219" s="27" t="b">
        <f t="shared" ca="1" si="0"/>
        <v>1</v>
      </c>
      <c r="I219" s="21" t="str">
        <f>HYPERLINK("https://gerandofalcoes.my.salesforce.com/0034X0000380O3AQAU", "0034X0000380O3AQAU")</f>
        <v>0034X0000380O3AQAU</v>
      </c>
      <c r="J219" s="9" t="s">
        <v>17881</v>
      </c>
      <c r="K219" s="38" t="s">
        <v>17882</v>
      </c>
    </row>
    <row r="220" spans="1:11" ht="12.5" x14ac:dyDescent="0.25">
      <c r="A220" s="21" t="str">
        <f ca="1">IFERROR(__xludf.DUMMYFUNCTION("""COMPUTED_VALUE"""),"0014X00002VKCr9QAH")</f>
        <v>0014X00002VKCr9QAH</v>
      </c>
      <c r="B220" s="27" t="str">
        <f ca="1">IFERROR(__xludf.DUMMYFUNCTION("""COMPUTED_VALUE"""),"Fase Inicial")</f>
        <v>Fase Inicial</v>
      </c>
      <c r="C220" s="27" t="str">
        <f ca="1">IFERROR(__xludf.DUMMYFUNCTION("""COMPUTED_VALUE"""),"Fellow")</f>
        <v>Fellow</v>
      </c>
      <c r="D220" s="27" t="str">
        <f ca="1">IFERROR(__xludf.DUMMYFUNCTION("""COMPUTED_VALUE"""),"Ativo")</f>
        <v>Ativo</v>
      </c>
      <c r="E220" s="27" t="str">
        <f ca="1">IFERROR(__xludf.DUMMYFUNCTION("""COMPUTED_VALUE"""),"Clube do Bem")</f>
        <v>Clube do Bem</v>
      </c>
      <c r="F220" s="21" t="str">
        <f ca="1">IFERROR(VLOOKUP(A220,'Rede - Gerando Falcões '!A219:G1215,38,0),"")</f>
        <v/>
      </c>
      <c r="G220" s="27" t="str">
        <f ca="1">IFERROR(VLOOKUP(A220,'Tabela Categorização'!A:J,10,0),"")</f>
        <v>Fase Inicial</v>
      </c>
      <c r="H220" s="27" t="b">
        <f t="shared" ca="1" si="0"/>
        <v>1</v>
      </c>
      <c r="I220" s="21" t="str">
        <f>HYPERLINK("https://gerandofalcoes.my.salesforce.com/0034P000043fOo4QAE", "0034P000043fOo4QAE")</f>
        <v>0034P000043fOo4QAE</v>
      </c>
      <c r="J220" s="9" t="s">
        <v>17881</v>
      </c>
      <c r="K220" s="38" t="s">
        <v>17882</v>
      </c>
    </row>
    <row r="221" spans="1:11" ht="12.5" x14ac:dyDescent="0.25">
      <c r="A221" s="21" t="str">
        <f ca="1">IFERROR(__xludf.DUMMYFUNCTION("""COMPUTED_VALUE"""),"0014X00002VKCtuQAH")</f>
        <v>0014X00002VKCtuQAH</v>
      </c>
      <c r="B221" s="27" t="str">
        <f ca="1">IFERROR(__xludf.DUMMYFUNCTION("""COMPUTED_VALUE"""),"Fase Inicial")</f>
        <v>Fase Inicial</v>
      </c>
      <c r="C221" s="27" t="str">
        <f ca="1">IFERROR(__xludf.DUMMYFUNCTION("""COMPUTED_VALUE"""),"Fellow")</f>
        <v>Fellow</v>
      </c>
      <c r="D221" s="27" t="str">
        <f ca="1">IFERROR(__xludf.DUMMYFUNCTION("""COMPUTED_VALUE"""),"Ativo")</f>
        <v>Ativo</v>
      </c>
      <c r="E221" s="27" t="str">
        <f ca="1">IFERROR(__xludf.DUMMYFUNCTION("""COMPUTED_VALUE"""),"Colaí Movimento de Cultura")</f>
        <v>Colaí Movimento de Cultura</v>
      </c>
      <c r="F221" s="21" t="str">
        <f ca="1">IFERROR(VLOOKUP(A221,'Rede - Gerando Falcões '!A220:G1216,38,0),"")</f>
        <v/>
      </c>
      <c r="G221" s="27" t="str">
        <f ca="1">IFERROR(VLOOKUP(A221,'Tabela Categorização'!A:J,10,0),"")</f>
        <v>Fase Inicial</v>
      </c>
      <c r="H221" s="27" t="b">
        <f t="shared" ca="1" si="0"/>
        <v>1</v>
      </c>
      <c r="I221" s="21" t="str">
        <f>HYPERLINK("https://gerandofalcoes.my.salesforce.com/0034P000045kxkyQAA", "0034P000045kxkyQAA")</f>
        <v>0034P000045kxkyQAA</v>
      </c>
      <c r="J221" s="9" t="s">
        <v>17881</v>
      </c>
      <c r="K221" s="38" t="s">
        <v>17882</v>
      </c>
    </row>
    <row r="222" spans="1:11" ht="12.5" x14ac:dyDescent="0.25">
      <c r="A222" s="21" t="str">
        <f ca="1">IFERROR(__xludf.DUMMYFUNCTION("""COMPUTED_VALUE"""),"0014P00003SGWQ2QAP")</f>
        <v>0014P00003SGWQ2QAP</v>
      </c>
      <c r="B222" s="27" t="str">
        <f ca="1">IFERROR(__xludf.DUMMYFUNCTION("""COMPUTED_VALUE"""),"Fase Inicial")</f>
        <v>Fase Inicial</v>
      </c>
      <c r="C222" s="27" t="str">
        <f ca="1">IFERROR(__xludf.DUMMYFUNCTION("""COMPUTED_VALUE"""),"Fellow")</f>
        <v>Fellow</v>
      </c>
      <c r="D222" s="27" t="str">
        <f ca="1">IFERROR(__xludf.DUMMYFUNCTION("""COMPUTED_VALUE"""),"Ativo")</f>
        <v>Ativo</v>
      </c>
      <c r="E222" s="27" t="str">
        <f ca="1">IFERROR(__xludf.DUMMYFUNCTION("""COMPUTED_VALUE"""),"COLETIVO ANDANÇAS DF")</f>
        <v>COLETIVO ANDANÇAS DF</v>
      </c>
      <c r="F222" s="21" t="str">
        <f ca="1">IFERROR(VLOOKUP(A222,'Rede - Gerando Falcões '!A221:G1217,38,0),"")</f>
        <v/>
      </c>
      <c r="G222" s="27" t="str">
        <f ca="1">IFERROR(VLOOKUP(A222,'Tabela Categorização'!A:J,10,0),"")</f>
        <v>Fase Inicial</v>
      </c>
      <c r="H222" s="27" t="b">
        <f t="shared" ca="1" si="0"/>
        <v>1</v>
      </c>
      <c r="I222" s="21" t="str">
        <f>HYPERLINK("https://gerandofalcoes.my.salesforce.com/0034X0000315PR5QAM", "0034X0000315PR5QAM")</f>
        <v>0034X0000315PR5QAM</v>
      </c>
      <c r="J222" s="9" t="s">
        <v>17881</v>
      </c>
      <c r="K222" s="38" t="s">
        <v>17882</v>
      </c>
    </row>
    <row r="223" spans="1:11" ht="12.5" x14ac:dyDescent="0.25">
      <c r="A223" s="21" t="str">
        <f ca="1">IFERROR(__xludf.DUMMYFUNCTION("""COMPUTED_VALUE"""),"0014P00003YSpAMQA1")</f>
        <v>0014P00003YSpAMQA1</v>
      </c>
      <c r="B223" s="27" t="str">
        <f ca="1">IFERROR(__xludf.DUMMYFUNCTION("""COMPUTED_VALUE"""),"Fase Inicial")</f>
        <v>Fase Inicial</v>
      </c>
      <c r="C223" s="27" t="str">
        <f ca="1">IFERROR(__xludf.DUMMYFUNCTION("""COMPUTED_VALUE"""),"Fellow")</f>
        <v>Fellow</v>
      </c>
      <c r="D223" s="27" t="str">
        <f ca="1">IFERROR(__xludf.DUMMYFUNCTION("""COMPUTED_VALUE"""),"Ativo")</f>
        <v>Ativo</v>
      </c>
      <c r="E223" s="27" t="str">
        <f ca="1">IFERROR(__xludf.DUMMYFUNCTION("""COMPUTED_VALUE"""),"Coletivo Arautos da Poesia")</f>
        <v>Coletivo Arautos da Poesia</v>
      </c>
      <c r="F223" s="21" t="str">
        <f ca="1">IFERROR(VLOOKUP(A223,'Rede - Gerando Falcões '!A222:G1218,38,0),"")</f>
        <v/>
      </c>
      <c r="G223" s="27" t="str">
        <f ca="1">IFERROR(VLOOKUP(A223,'Tabela Categorização'!A:J,10,0),"")</f>
        <v>Fase Inicial</v>
      </c>
      <c r="H223" s="27" t="b">
        <f t="shared" ca="1" si="0"/>
        <v>1</v>
      </c>
      <c r="I223" s="21" t="str">
        <f>HYPERLINK("https://gerandofalcoes.my.salesforce.com/0034X0000315PQuQAM", "0034X0000315PQuQAM")</f>
        <v>0034X0000315PQuQAM</v>
      </c>
      <c r="J223" s="9" t="s">
        <v>17881</v>
      </c>
      <c r="K223" s="38" t="s">
        <v>17882</v>
      </c>
    </row>
    <row r="224" spans="1:11" ht="12.5" x14ac:dyDescent="0.25">
      <c r="A224" s="21" t="str">
        <f ca="1">IFERROR(__xludf.DUMMYFUNCTION("""COMPUTED_VALUE"""),"0014X00002OEuawQAD")</f>
        <v>0014X00002OEuawQAD</v>
      </c>
      <c r="B224" s="27" t="str">
        <f ca="1">IFERROR(__xludf.DUMMYFUNCTION("""COMPUTED_VALUE"""),"Fase Inicial")</f>
        <v>Fase Inicial</v>
      </c>
      <c r="C224" s="27" t="str">
        <f ca="1">IFERROR(__xludf.DUMMYFUNCTION("""COMPUTED_VALUE"""),"Fellow")</f>
        <v>Fellow</v>
      </c>
      <c r="D224" s="27" t="str">
        <f ca="1">IFERROR(__xludf.DUMMYFUNCTION("""COMPUTED_VALUE"""),"Ativo")</f>
        <v>Ativo</v>
      </c>
      <c r="E224" s="27" t="str">
        <f ca="1">IFERROR(__xludf.DUMMYFUNCTION("""COMPUTED_VALUE"""),"Coletivo Autônomo Morro da Cruz")</f>
        <v>Coletivo Autônomo Morro da Cruz</v>
      </c>
      <c r="F224" s="21" t="str">
        <f ca="1">IFERROR(VLOOKUP(A224,'Rede - Gerando Falcões '!A223:G1219,38,0),"")</f>
        <v/>
      </c>
      <c r="G224" s="27" t="str">
        <f ca="1">IFERROR(VLOOKUP(A224,'Tabela Categorização'!A:J,10,0),"")</f>
        <v>Fase Inicial</v>
      </c>
      <c r="H224" s="27" t="b">
        <f t="shared" ca="1" si="0"/>
        <v>1</v>
      </c>
      <c r="I224" s="21" t="str">
        <f>HYPERLINK("https://gerandofalcoes.my.salesforce.com/0034X0000380O43QAE", "0034X0000380O43QAE")</f>
        <v>0034X0000380O43QAE</v>
      </c>
      <c r="J224" s="9" t="s">
        <v>17881</v>
      </c>
      <c r="K224" s="38" t="s">
        <v>17882</v>
      </c>
    </row>
    <row r="225" spans="1:11" ht="12.5" x14ac:dyDescent="0.25">
      <c r="A225" s="21" t="str">
        <f ca="1">IFERROR(__xludf.DUMMYFUNCTION("""COMPUTED_VALUE"""),"0014X00002OEualQAD")</f>
        <v>0014X00002OEualQAD</v>
      </c>
      <c r="B225" s="27" t="str">
        <f ca="1">IFERROR(__xludf.DUMMYFUNCTION("""COMPUTED_VALUE"""),"Fase Inicial")</f>
        <v>Fase Inicial</v>
      </c>
      <c r="C225" s="27" t="str">
        <f ca="1">IFERROR(__xludf.DUMMYFUNCTION("""COMPUTED_VALUE"""),"Fellow")</f>
        <v>Fellow</v>
      </c>
      <c r="D225" s="27" t="str">
        <f ca="1">IFERROR(__xludf.DUMMYFUNCTION("""COMPUTED_VALUE"""),"Ativo")</f>
        <v>Ativo</v>
      </c>
      <c r="E225" s="27" t="str">
        <f ca="1">IFERROR(__xludf.DUMMYFUNCTION("""COMPUTED_VALUE"""),"Coletivo Ayoká")</f>
        <v>Coletivo Ayoká</v>
      </c>
      <c r="F225" s="21" t="str">
        <f ca="1">IFERROR(VLOOKUP(A225,'Rede - Gerando Falcões '!A224:G1220,38,0),"")</f>
        <v/>
      </c>
      <c r="G225" s="27" t="str">
        <f ca="1">IFERROR(VLOOKUP(A225,'Tabela Categorização'!A:J,10,0),"")</f>
        <v>Fase Inicial</v>
      </c>
      <c r="H225" s="27" t="b">
        <f t="shared" ca="1" si="0"/>
        <v>1</v>
      </c>
      <c r="I225" s="21" t="str">
        <f>HYPERLINK("https://gerandofalcoes.my.salesforce.com/0034P000045kxjYQAQ", "0034P000045kxjYQAQ")</f>
        <v>0034P000045kxjYQAQ</v>
      </c>
      <c r="J225" s="9" t="s">
        <v>17881</v>
      </c>
      <c r="K225" s="38" t="s">
        <v>17882</v>
      </c>
    </row>
    <row r="226" spans="1:11" ht="12.5" x14ac:dyDescent="0.25">
      <c r="A226" s="21" t="str">
        <f ca="1">IFERROR(__xludf.DUMMYFUNCTION("""COMPUTED_VALUE"""),"0014P00003YSp8wQAD")</f>
        <v>0014P00003YSp8wQAD</v>
      </c>
      <c r="B226" s="27" t="str">
        <f ca="1">IFERROR(__xludf.DUMMYFUNCTION("""COMPUTED_VALUE"""),"Fase Inicial")</f>
        <v>Fase Inicial</v>
      </c>
      <c r="C226" s="27" t="str">
        <f ca="1">IFERROR(__xludf.DUMMYFUNCTION("""COMPUTED_VALUE"""),"Fellow")</f>
        <v>Fellow</v>
      </c>
      <c r="D226" s="27" t="str">
        <f ca="1">IFERROR(__xludf.DUMMYFUNCTION("""COMPUTED_VALUE"""),"Ativo")</f>
        <v>Ativo</v>
      </c>
      <c r="E226" s="27" t="str">
        <f ca="1">IFERROR(__xludf.DUMMYFUNCTION("""COMPUTED_VALUE"""),"Coletivo Caranguejo Tabaiares Resiste")</f>
        <v>Coletivo Caranguejo Tabaiares Resiste</v>
      </c>
      <c r="F226" s="21" t="str">
        <f ca="1">IFERROR(VLOOKUP(A226,'Rede - Gerando Falcões '!A225:G1221,38,0),"")</f>
        <v/>
      </c>
      <c r="G226" s="27" t="str">
        <f ca="1">IFERROR(VLOOKUP(A226,'Tabela Categorização'!A:J,10,0),"")</f>
        <v>Fase Inicial</v>
      </c>
      <c r="H226" s="27" t="b">
        <f t="shared" ca="1" si="0"/>
        <v>1</v>
      </c>
      <c r="I226" s="21" t="str">
        <f>HYPERLINK("https://gerandofalcoes.my.salesforce.com/0034X0000380O6YQAU", "0034X0000380O6YQAU")</f>
        <v>0034X0000380O6YQAU</v>
      </c>
      <c r="J226" s="9" t="s">
        <v>17881</v>
      </c>
      <c r="K226" s="38" t="s">
        <v>17882</v>
      </c>
    </row>
    <row r="227" spans="1:11" ht="12.5" x14ac:dyDescent="0.25">
      <c r="A227" s="21" t="str">
        <f ca="1">IFERROR(__xludf.DUMMYFUNCTION("""COMPUTED_VALUE"""),"0014X00002VKCqeQAH")</f>
        <v>0014X00002VKCqeQAH</v>
      </c>
      <c r="B227" s="27" t="str">
        <f ca="1">IFERROR(__xludf.DUMMYFUNCTION("""COMPUTED_VALUE"""),"Fase Inicial")</f>
        <v>Fase Inicial</v>
      </c>
      <c r="C227" s="27" t="str">
        <f ca="1">IFERROR(__xludf.DUMMYFUNCTION("""COMPUTED_VALUE"""),"Fellow")</f>
        <v>Fellow</v>
      </c>
      <c r="D227" s="27" t="str">
        <f ca="1">IFERROR(__xludf.DUMMYFUNCTION("""COMPUTED_VALUE"""),"Ativo")</f>
        <v>Ativo</v>
      </c>
      <c r="E227" s="27" t="str">
        <f ca="1">IFERROR(__xludf.DUMMYFUNCTION("""COMPUTED_VALUE"""),"Coletivo Cultural e social Sol Nascente")</f>
        <v>Coletivo Cultural e social Sol Nascente</v>
      </c>
      <c r="F227" s="21" t="str">
        <f ca="1">IFERROR(VLOOKUP(A227,'Rede - Gerando Falcões '!A226:G1222,38,0),"")</f>
        <v/>
      </c>
      <c r="G227" s="27" t="str">
        <f ca="1">IFERROR(VLOOKUP(A227,'Tabela Categorização'!A:J,10,0),"")</f>
        <v>Fase Inicial</v>
      </c>
      <c r="H227" s="27" t="b">
        <f t="shared" ca="1" si="0"/>
        <v>1</v>
      </c>
      <c r="I227" s="21" t="str">
        <f>HYPERLINK("https://gerandofalcoes.my.salesforce.com/0034X0000380O3sQAE", "0034X0000380O3sQAE")</f>
        <v>0034X0000380O3sQAE</v>
      </c>
      <c r="J227" s="9" t="s">
        <v>17881</v>
      </c>
      <c r="K227" s="38" t="s">
        <v>17882</v>
      </c>
    </row>
    <row r="228" spans="1:11" ht="12.5" x14ac:dyDescent="0.25">
      <c r="A228" s="21" t="str">
        <f ca="1">IFERROR(__xludf.DUMMYFUNCTION("""COMPUTED_VALUE"""),"0014X00002VKCuBQAX")</f>
        <v>0014X00002VKCuBQAX</v>
      </c>
      <c r="B228" s="27" t="str">
        <f ca="1">IFERROR(__xludf.DUMMYFUNCTION("""COMPUTED_VALUE"""),"Fase Inicial")</f>
        <v>Fase Inicial</v>
      </c>
      <c r="C228" s="27" t="str">
        <f ca="1">IFERROR(__xludf.DUMMYFUNCTION("""COMPUTED_VALUE"""),"Fellow")</f>
        <v>Fellow</v>
      </c>
      <c r="D228" s="27" t="str">
        <f ca="1">IFERROR(__xludf.DUMMYFUNCTION("""COMPUTED_VALUE"""),"Ativo")</f>
        <v>Ativo</v>
      </c>
      <c r="E228" s="27" t="str">
        <f ca="1">IFERROR(__xludf.DUMMYFUNCTION("""COMPUTED_VALUE"""),"Coletivo Mulheres do Brasil em ação CMBA")</f>
        <v>Coletivo Mulheres do Brasil em ação CMBA</v>
      </c>
      <c r="F228" s="21" t="str">
        <f ca="1">IFERROR(VLOOKUP(A228,'Rede - Gerando Falcões '!A227:G1223,38,0),"")</f>
        <v/>
      </c>
      <c r="G228" s="27" t="str">
        <f ca="1">IFERROR(VLOOKUP(A228,'Tabela Categorização'!A:J,10,0),"")</f>
        <v>Fase Inicial</v>
      </c>
      <c r="H228" s="27" t="b">
        <f t="shared" ca="1" si="0"/>
        <v>1</v>
      </c>
      <c r="I228" s="21" t="str">
        <f>HYPERLINK("https://gerandofalcoes.my.salesforce.com/0034X0000380O1sQAE", "0034X0000380O1sQAE")</f>
        <v>0034X0000380O1sQAE</v>
      </c>
      <c r="J228" s="9" t="s">
        <v>17881</v>
      </c>
      <c r="K228" s="38" t="s">
        <v>17882</v>
      </c>
    </row>
    <row r="229" spans="1:11" ht="12.5" x14ac:dyDescent="0.25">
      <c r="A229" s="21" t="str">
        <f ca="1">IFERROR(__xludf.DUMMYFUNCTION("""COMPUTED_VALUE"""),"0014X00002VKCqKQAX")</f>
        <v>0014X00002VKCqKQAX</v>
      </c>
      <c r="B229" s="27" t="str">
        <f ca="1">IFERROR(__xludf.DUMMYFUNCTION("""COMPUTED_VALUE"""),"Fase Inicial")</f>
        <v>Fase Inicial</v>
      </c>
      <c r="C229" s="27" t="str">
        <f ca="1">IFERROR(__xludf.DUMMYFUNCTION("""COMPUTED_VALUE"""),"Fellow")</f>
        <v>Fellow</v>
      </c>
      <c r="D229" s="27" t="str">
        <f ca="1">IFERROR(__xludf.DUMMYFUNCTION("""COMPUTED_VALUE"""),"Ativo")</f>
        <v>Ativo</v>
      </c>
      <c r="E229" s="27" t="str">
        <f ca="1">IFERROR(__xludf.DUMMYFUNCTION("""COMPUTED_VALUE"""),"COLETIVO MULHERES NEGRAS DA PERIFERIA")</f>
        <v>COLETIVO MULHERES NEGRAS DA PERIFERIA</v>
      </c>
      <c r="F229" s="21" t="str">
        <f ca="1">IFERROR(VLOOKUP(A229,'Rede - Gerando Falcões '!A228:G1224,38,0),"")</f>
        <v/>
      </c>
      <c r="G229" s="27" t="str">
        <f ca="1">IFERROR(VLOOKUP(A229,'Tabela Categorização'!A:J,10,0),"")</f>
        <v>Fase Inicial</v>
      </c>
      <c r="H229" s="27" t="b">
        <f t="shared" ca="1" si="0"/>
        <v>1</v>
      </c>
      <c r="I229" s="21" t="str">
        <f>HYPERLINK("https://gerandofalcoes.my.salesforce.com/0034X0000380O1NQAU", "0034X0000380O1NQAU")</f>
        <v>0034X0000380O1NQAU</v>
      </c>
      <c r="J229" s="9" t="s">
        <v>17881</v>
      </c>
      <c r="K229" s="38" t="s">
        <v>17882</v>
      </c>
    </row>
    <row r="230" spans="1:11" ht="12.5" x14ac:dyDescent="0.25">
      <c r="A230" s="21" t="str">
        <f ca="1">IFERROR(__xludf.DUMMYFUNCTION("""COMPUTED_VALUE"""),"0014X00002VKCq4QAH")</f>
        <v>0014X00002VKCq4QAH</v>
      </c>
      <c r="B230" s="27" t="str">
        <f ca="1">IFERROR(__xludf.DUMMYFUNCTION("""COMPUTED_VALUE"""),"Fase Inicial")</f>
        <v>Fase Inicial</v>
      </c>
      <c r="C230" s="27" t="str">
        <f ca="1">IFERROR(__xludf.DUMMYFUNCTION("""COMPUTED_VALUE"""),"Fellow")</f>
        <v>Fellow</v>
      </c>
      <c r="D230" s="27" t="str">
        <f ca="1">IFERROR(__xludf.DUMMYFUNCTION("""COMPUTED_VALUE"""),"Ativo")</f>
        <v>Ativo</v>
      </c>
      <c r="E230" s="27" t="str">
        <f ca="1">IFERROR(__xludf.DUMMYFUNCTION("""COMPUTED_VALUE"""),"Coletivo Olhando pra Frente")</f>
        <v>Coletivo Olhando pra Frente</v>
      </c>
      <c r="F230" s="21" t="str">
        <f ca="1">IFERROR(VLOOKUP(A230,'Rede - Gerando Falcões '!A229:G1225,38,0),"")</f>
        <v/>
      </c>
      <c r="G230" s="27" t="str">
        <f ca="1">IFERROR(VLOOKUP(A230,'Tabela Categorização'!A:J,10,0),"")</f>
        <v>Fase Inicial</v>
      </c>
      <c r="H230" s="27" t="b">
        <f t="shared" ca="1" si="0"/>
        <v>1</v>
      </c>
      <c r="I230" s="21" t="str">
        <f>HYPERLINK("https://gerandofalcoes.my.salesforce.com/0034P000045kxk0QAA", "0034P000045kxk0QAA")</f>
        <v>0034P000045kxk0QAA</v>
      </c>
      <c r="J230" s="9" t="s">
        <v>17881</v>
      </c>
      <c r="K230" s="38" t="s">
        <v>17882</v>
      </c>
    </row>
    <row r="231" spans="1:11" ht="12.5" x14ac:dyDescent="0.25">
      <c r="A231" s="21" t="str">
        <f ca="1">IFERROR(__xludf.DUMMYFUNCTION("""COMPUTED_VALUE"""),"0014P00003YSp9OQAT")</f>
        <v>0014P00003YSp9OQAT</v>
      </c>
      <c r="B231" s="27" t="str">
        <f ca="1">IFERROR(__xludf.DUMMYFUNCTION("""COMPUTED_VALUE"""),"Fase Inicial")</f>
        <v>Fase Inicial</v>
      </c>
      <c r="C231" s="27" t="str">
        <f ca="1">IFERROR(__xludf.DUMMYFUNCTION("""COMPUTED_VALUE"""),"Fellow")</f>
        <v>Fellow</v>
      </c>
      <c r="D231" s="27" t="str">
        <f ca="1">IFERROR(__xludf.DUMMYFUNCTION("""COMPUTED_VALUE"""),"Ativo")</f>
        <v>Ativo</v>
      </c>
      <c r="E231" s="27" t="str">
        <f ca="1">IFERROR(__xludf.DUMMYFUNCTION("""COMPUTED_VALUE"""),"Coletivo Vida Nova")</f>
        <v>Coletivo Vida Nova</v>
      </c>
      <c r="F231" s="21" t="str">
        <f ca="1">IFERROR(VLOOKUP(A231,'Rede - Gerando Falcões '!A230:G1226,38,0),"")</f>
        <v/>
      </c>
      <c r="G231" s="27" t="str">
        <f ca="1">IFERROR(VLOOKUP(A231,'Tabela Categorização'!A:J,10,0),"")</f>
        <v>Fase Inicial</v>
      </c>
      <c r="H231" s="27" t="b">
        <f t="shared" ca="1" si="0"/>
        <v>1</v>
      </c>
      <c r="I231" s="21" t="str">
        <f>HYPERLINK("https://gerandofalcoes.my.salesforce.com/0034P000045kxicQAA", "0034P000045kxicQAA")</f>
        <v>0034P000045kxicQAA</v>
      </c>
      <c r="J231" s="9" t="s">
        <v>17881</v>
      </c>
      <c r="K231" s="38" t="s">
        <v>17882</v>
      </c>
    </row>
    <row r="232" spans="1:11" ht="12.5" x14ac:dyDescent="0.25">
      <c r="A232" s="21" t="str">
        <f ca="1">IFERROR(__xludf.DUMMYFUNCTION("""COMPUTED_VALUE"""),"0014P00003YSp81QAD")</f>
        <v>0014P00003YSp81QAD</v>
      </c>
      <c r="B232" s="27" t="str">
        <f ca="1">IFERROR(__xludf.DUMMYFUNCTION("""COMPUTED_VALUE"""),"Fase Inicial")</f>
        <v>Fase Inicial</v>
      </c>
      <c r="C232" s="27" t="str">
        <f ca="1">IFERROR(__xludf.DUMMYFUNCTION("""COMPUTED_VALUE"""),"Fellow")</f>
        <v>Fellow</v>
      </c>
      <c r="D232" s="27" t="str">
        <f ca="1">IFERROR(__xludf.DUMMYFUNCTION("""COMPUTED_VALUE"""),"Ativo")</f>
        <v>Ativo</v>
      </c>
      <c r="E232" s="27" t="str">
        <f ca="1">IFERROR(__xludf.DUMMYFUNCTION("""COMPUTED_VALUE"""),"COLMEIA MARICA")</f>
        <v>COLMEIA MARICA</v>
      </c>
      <c r="F232" s="21" t="str">
        <f ca="1">IFERROR(VLOOKUP(A232,'Rede - Gerando Falcões '!A231:G1227,38,0),"")</f>
        <v/>
      </c>
      <c r="G232" s="27" t="str">
        <f ca="1">IFERROR(VLOOKUP(A232,'Tabela Categorização'!A:J,10,0),"")</f>
        <v>Fase Inicial</v>
      </c>
      <c r="H232" s="27" t="b">
        <f t="shared" ca="1" si="0"/>
        <v>1</v>
      </c>
      <c r="I232" s="21" t="str">
        <f>HYPERLINK("https://gerandofalcoes.my.salesforce.com/0034X0000380O59QAE", "0034X0000380O59QAE")</f>
        <v>0034X0000380O59QAE</v>
      </c>
      <c r="J232" s="9" t="s">
        <v>17881</v>
      </c>
      <c r="K232" s="38" t="s">
        <v>17882</v>
      </c>
    </row>
    <row r="233" spans="1:11" ht="12.5" x14ac:dyDescent="0.25">
      <c r="A233" s="21" t="str">
        <f ca="1">IFERROR(__xludf.DUMMYFUNCTION("""COMPUTED_VALUE"""),"0014X00002VKCtNQAX")</f>
        <v>0014X00002VKCtNQAX</v>
      </c>
      <c r="B233" s="27" t="str">
        <f ca="1">IFERROR(__xludf.DUMMYFUNCTION("""COMPUTED_VALUE"""),"Fase Inicial")</f>
        <v>Fase Inicial</v>
      </c>
      <c r="C233" s="27" t="str">
        <f ca="1">IFERROR(__xludf.DUMMYFUNCTION("""COMPUTED_VALUE"""),"Fellow")</f>
        <v>Fellow</v>
      </c>
      <c r="D233" s="27" t="str">
        <f ca="1">IFERROR(__xludf.DUMMYFUNCTION("""COMPUTED_VALUE"""),"Ativo")</f>
        <v>Ativo</v>
      </c>
      <c r="E233" s="27" t="str">
        <f ca="1">IFERROR(__xludf.DUMMYFUNCTION("""COMPUTED_VALUE"""),"Comissão Solidária Vila da Barca")</f>
        <v>Comissão Solidária Vila da Barca</v>
      </c>
      <c r="F233" s="21" t="str">
        <f ca="1">IFERROR(VLOOKUP(A233,'Rede - Gerando Falcões '!A232:G1228,38,0),"")</f>
        <v/>
      </c>
      <c r="G233" s="27" t="str">
        <f ca="1">IFERROR(VLOOKUP(A233,'Tabela Categorização'!A:J,10,0),"")</f>
        <v>Fase Inicial</v>
      </c>
      <c r="H233" s="27" t="b">
        <f t="shared" ca="1" si="0"/>
        <v>1</v>
      </c>
      <c r="I233" s="21" t="str">
        <f>HYPERLINK("https://gerandofalcoes.my.salesforce.com/0034P000045kxi3QAA", "0034P000045kxi3QAA")</f>
        <v>0034P000045kxi3QAA</v>
      </c>
      <c r="J233" s="9" t="s">
        <v>17881</v>
      </c>
      <c r="K233" s="38" t="s">
        <v>17882</v>
      </c>
    </row>
    <row r="234" spans="1:11" ht="12.5" x14ac:dyDescent="0.25">
      <c r="A234" s="21" t="str">
        <f ca="1">IFERROR(__xludf.DUMMYFUNCTION("""COMPUTED_VALUE"""),"0014P00003YSp7SQAT")</f>
        <v>0014P00003YSp7SQAT</v>
      </c>
      <c r="B234" s="27" t="str">
        <f ca="1">IFERROR(__xludf.DUMMYFUNCTION("""COMPUTED_VALUE"""),"Fase Inicial")</f>
        <v>Fase Inicial</v>
      </c>
      <c r="C234" s="27" t="str">
        <f ca="1">IFERROR(__xludf.DUMMYFUNCTION("""COMPUTED_VALUE"""),"Fellow")</f>
        <v>Fellow</v>
      </c>
      <c r="D234" s="27" t="str">
        <f ca="1">IFERROR(__xludf.DUMMYFUNCTION("""COMPUTED_VALUE"""),"Ativo")</f>
        <v>Ativo</v>
      </c>
      <c r="E234" s="27" t="str">
        <f ca="1">IFERROR(__xludf.DUMMYFUNCTION("""COMPUTED_VALUE"""),"Complexo Encanto Grupo de Apoio Social - CEGAS")</f>
        <v>Complexo Encanto Grupo de Apoio Social - CEGAS</v>
      </c>
      <c r="F234" s="21" t="str">
        <f ca="1">IFERROR(VLOOKUP(A234,'Rede - Gerando Falcões '!A233:G1229,38,0),"")</f>
        <v/>
      </c>
      <c r="G234" s="27" t="str">
        <f ca="1">IFERROR(VLOOKUP(A234,'Tabela Categorização'!A:J,10,0),"")</f>
        <v>Fase Inicial</v>
      </c>
      <c r="H234" s="27" t="b">
        <f t="shared" ca="1" si="0"/>
        <v>1</v>
      </c>
      <c r="I234" s="21" t="str">
        <f>HYPERLINK("https://gerandofalcoes.my.salesforce.com/0034X0000380O1bQAE", "0034X0000380O1bQAE")</f>
        <v>0034X0000380O1bQAE</v>
      </c>
      <c r="J234" s="9" t="s">
        <v>17881</v>
      </c>
      <c r="K234" s="38" t="s">
        <v>17882</v>
      </c>
    </row>
    <row r="235" spans="1:11" ht="12.5" x14ac:dyDescent="0.25">
      <c r="A235" s="21" t="str">
        <f ca="1">IFERROR(__xludf.DUMMYFUNCTION("""COMPUTED_VALUE"""),"0014X00002VKCqSQAX")</f>
        <v>0014X00002VKCqSQAX</v>
      </c>
      <c r="B235" s="27" t="str">
        <f ca="1">IFERROR(__xludf.DUMMYFUNCTION("""COMPUTED_VALUE"""),"Fase Inicial")</f>
        <v>Fase Inicial</v>
      </c>
      <c r="C235" s="27" t="str">
        <f ca="1">IFERROR(__xludf.DUMMYFUNCTION("""COMPUTED_VALUE"""),"Fellow")</f>
        <v>Fellow</v>
      </c>
      <c r="D235" s="27" t="str">
        <f ca="1">IFERROR(__xludf.DUMMYFUNCTION("""COMPUTED_VALUE"""),"Ativo")</f>
        <v>Ativo</v>
      </c>
      <c r="E235" s="27" t="str">
        <f ca="1">IFERROR(__xludf.DUMMYFUNCTION("""COMPUTED_VALUE"""),"Comunidade Porta da Esperança do Bairro Padre Andrade")</f>
        <v>Comunidade Porta da Esperança do Bairro Padre Andrade</v>
      </c>
      <c r="F235" s="21" t="str">
        <f ca="1">IFERROR(VLOOKUP(A235,'Rede - Gerando Falcões '!A234:G1230,38,0),"")</f>
        <v/>
      </c>
      <c r="G235" s="27" t="str">
        <f ca="1">IFERROR(VLOOKUP(A235,'Tabela Categorização'!A:J,10,0),"")</f>
        <v>Fase Inicial</v>
      </c>
      <c r="H235" s="27" t="b">
        <f t="shared" ca="1" si="0"/>
        <v>1</v>
      </c>
      <c r="I235" s="21" t="str">
        <f>HYPERLINK("https://gerandofalcoes.my.salesforce.com/0034X000038zvcwQAA", "0034X000038zvcwQAA")</f>
        <v>0034X000038zvcwQAA</v>
      </c>
      <c r="J235" s="9" t="s">
        <v>17881</v>
      </c>
      <c r="K235" s="38" t="s">
        <v>17882</v>
      </c>
    </row>
    <row r="236" spans="1:11" ht="12.5" x14ac:dyDescent="0.25">
      <c r="A236" s="21" t="str">
        <f ca="1">IFERROR(__xludf.DUMMYFUNCTION("""COMPUTED_VALUE"""),"0014X00002VMXzMQAX")</f>
        <v>0014X00002VMXzMQAX</v>
      </c>
      <c r="B236" s="27" t="str">
        <f ca="1">IFERROR(__xludf.DUMMYFUNCTION("""COMPUTED_VALUE"""),"Fase Inicial")</f>
        <v>Fase Inicial</v>
      </c>
      <c r="C236" s="27" t="str">
        <f ca="1">IFERROR(__xludf.DUMMYFUNCTION("""COMPUTED_VALUE"""),"Fellow")</f>
        <v>Fellow</v>
      </c>
      <c r="D236" s="27" t="str">
        <f ca="1">IFERROR(__xludf.DUMMYFUNCTION("""COMPUTED_VALUE"""),"Ativo")</f>
        <v>Ativo</v>
      </c>
      <c r="E236" s="27" t="str">
        <f ca="1">IFERROR(__xludf.DUMMYFUNCTION("""COMPUTED_VALUE"""),"Comunidade pro moradia")</f>
        <v>Comunidade pro moradia</v>
      </c>
      <c r="F236" s="21" t="str">
        <f ca="1">IFERROR(VLOOKUP(A236,'Rede - Gerando Falcões '!A235:G1231,38,0),"")</f>
        <v/>
      </c>
      <c r="G236" s="27" t="str">
        <f ca="1">IFERROR(VLOOKUP(A236,'Tabela Categorização'!A:J,10,0),"")</f>
        <v>Fase Inicial</v>
      </c>
      <c r="H236" s="27" t="b">
        <f t="shared" ca="1" si="0"/>
        <v>1</v>
      </c>
      <c r="I236" s="21" t="str">
        <f>HYPERLINK("https://gerandofalcoes.my.salesforce.com/0034X0000380O2UQAU", "0034X0000380O2UQAU")</f>
        <v>0034X0000380O2UQAU</v>
      </c>
      <c r="J236" s="9" t="s">
        <v>17881</v>
      </c>
      <c r="K236" s="38" t="s">
        <v>17882</v>
      </c>
    </row>
    <row r="237" spans="1:11" ht="12.5" x14ac:dyDescent="0.25">
      <c r="A237" s="21" t="str">
        <f ca="1">IFERROR(__xludf.DUMMYFUNCTION("""COMPUTED_VALUE"""),"0014X00002VKCpwQAH")</f>
        <v>0014X00002VKCpwQAH</v>
      </c>
      <c r="B237" s="27" t="str">
        <f ca="1">IFERROR(__xludf.DUMMYFUNCTION("""COMPUTED_VALUE"""),"Fase Inicial")</f>
        <v>Fase Inicial</v>
      </c>
      <c r="C237" s="27" t="str">
        <f ca="1">IFERROR(__xludf.DUMMYFUNCTION("""COMPUTED_VALUE"""),"Fellow")</f>
        <v>Fellow</v>
      </c>
      <c r="D237" s="27" t="str">
        <f ca="1">IFERROR(__xludf.DUMMYFUNCTION("""COMPUTED_VALUE"""),"Ativo")</f>
        <v>Ativo</v>
      </c>
      <c r="E237" s="27" t="str">
        <f ca="1">IFERROR(__xludf.DUMMYFUNCTION("""COMPUTED_VALUE"""),"CONJER - Conselho Comunitário do Alto Jerusalém")</f>
        <v>CONJER - Conselho Comunitário do Alto Jerusalém</v>
      </c>
      <c r="F237" s="21" t="str">
        <f ca="1">IFERROR(VLOOKUP(A237,'Rede - Gerando Falcões '!A236:G1232,38,0),"")</f>
        <v/>
      </c>
      <c r="G237" s="27" t="str">
        <f ca="1">IFERROR(VLOOKUP(A237,'Tabela Categorização'!A:J,10,0),"")</f>
        <v>Fase Inicial</v>
      </c>
      <c r="H237" s="27" t="b">
        <f t="shared" ca="1" si="0"/>
        <v>1</v>
      </c>
      <c r="I237" s="21" t="str">
        <f>HYPERLINK("https://gerandofalcoes.my.salesforce.com/0034X0000380O1GQAU", "0034X0000380O1GQAU")</f>
        <v>0034X0000380O1GQAU</v>
      </c>
      <c r="J237" s="9" t="s">
        <v>17881</v>
      </c>
      <c r="K237" s="38" t="s">
        <v>17882</v>
      </c>
    </row>
    <row r="238" spans="1:11" ht="12.5" x14ac:dyDescent="0.25">
      <c r="A238" s="21" t="str">
        <f ca="1">IFERROR(__xludf.DUMMYFUNCTION("""COMPUTED_VALUE"""),"0014X00002VKCq1QAH")</f>
        <v>0014X00002VKCq1QAH</v>
      </c>
      <c r="B238" s="27" t="str">
        <f ca="1">IFERROR(__xludf.DUMMYFUNCTION("""COMPUTED_VALUE"""),"Fase Inicial")</f>
        <v>Fase Inicial</v>
      </c>
      <c r="C238" s="27" t="str">
        <f ca="1">IFERROR(__xludf.DUMMYFUNCTION("""COMPUTED_VALUE"""),"Fellow")</f>
        <v>Fellow</v>
      </c>
      <c r="D238" s="27" t="str">
        <f ca="1">IFERROR(__xludf.DUMMYFUNCTION("""COMPUTED_VALUE"""),"Ativo")</f>
        <v>Ativo</v>
      </c>
      <c r="E238" s="27" t="str">
        <f ca="1">IFERROR(__xludf.DUMMYFUNCTION("""COMPUTED_VALUE"""),"Conselho Comunitário de Ações Sociais do Conjunto Vila Velha")</f>
        <v>Conselho Comunitário de Ações Sociais do Conjunto Vila Velha</v>
      </c>
      <c r="F238" s="21" t="str">
        <f ca="1">IFERROR(VLOOKUP(A238,'Rede - Gerando Falcões '!A237:G1233,38,0),"")</f>
        <v/>
      </c>
      <c r="G238" s="27" t="str">
        <f ca="1">IFERROR(VLOOKUP(A238,'Tabela Categorização'!A:J,10,0),"")</f>
        <v>Fase Inicial</v>
      </c>
      <c r="H238" s="27" t="b">
        <f t="shared" ca="1" si="0"/>
        <v>1</v>
      </c>
      <c r="I238" s="21" t="str">
        <f>HYPERLINK("https://gerandofalcoes.my.salesforce.com/0034X0000380O10QAE", "0034X0000380O10QAE")</f>
        <v>0034X0000380O10QAE</v>
      </c>
      <c r="J238" s="9" t="s">
        <v>17881</v>
      </c>
      <c r="K238" s="38" t="s">
        <v>17882</v>
      </c>
    </row>
    <row r="239" spans="1:11" ht="12.5" x14ac:dyDescent="0.25">
      <c r="A239" s="21" t="str">
        <f ca="1">IFERROR(__xludf.DUMMYFUNCTION("""COMPUTED_VALUE"""),"0014X00002VKCr2QAH")</f>
        <v>0014X00002VKCr2QAH</v>
      </c>
      <c r="B239" s="27" t="str">
        <f ca="1">IFERROR(__xludf.DUMMYFUNCTION("""COMPUTED_VALUE"""),"Fase Inicial")</f>
        <v>Fase Inicial</v>
      </c>
      <c r="C239" s="27" t="str">
        <f ca="1">IFERROR(__xludf.DUMMYFUNCTION("""COMPUTED_VALUE"""),"Fellow")</f>
        <v>Fellow</v>
      </c>
      <c r="D239" s="27" t="str">
        <f ca="1">IFERROR(__xludf.DUMMYFUNCTION("""COMPUTED_VALUE"""),"Ativo")</f>
        <v>Ativo</v>
      </c>
      <c r="E239" s="27" t="str">
        <f ca="1">IFERROR(__xludf.DUMMYFUNCTION("""COMPUTED_VALUE"""),"CONSELHO DE APOIO AS ASSOCIAÇOES DE UBERABA")</f>
        <v>CONSELHO DE APOIO AS ASSOCIAÇOES DE UBERABA</v>
      </c>
      <c r="F239" s="21" t="str">
        <f ca="1">IFERROR(VLOOKUP(A239,'Rede - Gerando Falcões '!A238:G1234,38,0),"")</f>
        <v/>
      </c>
      <c r="G239" s="27" t="str">
        <f ca="1">IFERROR(VLOOKUP(A239,'Tabela Categorização'!A:J,10,0),"")</f>
        <v>Fase Inicial</v>
      </c>
      <c r="H239" s="27" t="b">
        <f t="shared" ca="1" si="0"/>
        <v>1</v>
      </c>
      <c r="I239" s="21" t="str">
        <f>HYPERLINK("https://gerandofalcoes.my.salesforce.com/0034X0000380O6MQAU", "0034X0000380O6MQAU")</f>
        <v>0034X0000380O6MQAU</v>
      </c>
      <c r="J239" s="9" t="s">
        <v>17881</v>
      </c>
      <c r="K239" s="38" t="s">
        <v>17882</v>
      </c>
    </row>
    <row r="240" spans="1:11" ht="12.5" x14ac:dyDescent="0.25">
      <c r="A240" s="21" t="str">
        <f ca="1">IFERROR(__xludf.DUMMYFUNCTION("""COMPUTED_VALUE"""),"0014X00002VKCpPQAX")</f>
        <v>0014X00002VKCpPQAX</v>
      </c>
      <c r="B240" s="27" t="str">
        <f ca="1">IFERROR(__xludf.DUMMYFUNCTION("""COMPUTED_VALUE"""),"Fase Inicial")</f>
        <v>Fase Inicial</v>
      </c>
      <c r="C240" s="27" t="str">
        <f ca="1">IFERROR(__xludf.DUMMYFUNCTION("""COMPUTED_VALUE"""),"Fellow")</f>
        <v>Fellow</v>
      </c>
      <c r="D240" s="27" t="str">
        <f ca="1">IFERROR(__xludf.DUMMYFUNCTION("""COMPUTED_VALUE"""),"Ativo")</f>
        <v>Ativo</v>
      </c>
      <c r="E240" s="27" t="str">
        <f ca="1">IFERROR(__xludf.DUMMYFUNCTION("""COMPUTED_VALUE"""),"Corrente do bemfsa")</f>
        <v>Corrente do bemfsa</v>
      </c>
      <c r="F240" s="21" t="str">
        <f ca="1">IFERROR(VLOOKUP(A240,'Rede - Gerando Falcões '!A239:G1235,38,0),"")</f>
        <v/>
      </c>
      <c r="G240" s="27" t="str">
        <f ca="1">IFERROR(VLOOKUP(A240,'Tabela Categorização'!A:J,10,0),"")</f>
        <v>Fase Inicial</v>
      </c>
      <c r="H240" s="27" t="b">
        <f t="shared" ca="1" si="0"/>
        <v>1</v>
      </c>
      <c r="I240" s="21" t="str">
        <f>HYPERLINK("https://gerandofalcoes.my.salesforce.com/0034P000045kxi7QAA", "0034P000045kxi7QAA")</f>
        <v>0034P000045kxi7QAA</v>
      </c>
      <c r="J240" s="9" t="s">
        <v>17881</v>
      </c>
      <c r="K240" s="38" t="s">
        <v>17882</v>
      </c>
    </row>
    <row r="241" spans="1:11" ht="12.5" x14ac:dyDescent="0.25">
      <c r="A241" s="21" t="str">
        <f ca="1">IFERROR(__xludf.DUMMYFUNCTION("""COMPUTED_VALUE"""),"0014P00003YSp7WQAT")</f>
        <v>0014P00003YSp7WQAT</v>
      </c>
      <c r="B241" s="27" t="str">
        <f ca="1">IFERROR(__xludf.DUMMYFUNCTION("""COMPUTED_VALUE"""),"Fase Estruturação")</f>
        <v>Fase Estruturação</v>
      </c>
      <c r="C241" s="27" t="str">
        <f ca="1">IFERROR(__xludf.DUMMYFUNCTION("""COMPUTED_VALUE"""),"Fellow")</f>
        <v>Fellow</v>
      </c>
      <c r="D241" s="27" t="str">
        <f ca="1">IFERROR(__xludf.DUMMYFUNCTION("""COMPUTED_VALUE"""),"Ativo")</f>
        <v>Ativo</v>
      </c>
      <c r="E241" s="27" t="str">
        <f ca="1">IFERROR(__xludf.DUMMYFUNCTION("""COMPUTED_VALUE"""),"Creche Escola Maria de Nazaré")</f>
        <v>Creche Escola Maria de Nazaré</v>
      </c>
      <c r="F241" s="21" t="str">
        <f ca="1">IFERROR(VLOOKUP(A241,'Rede - Gerando Falcões '!A240:G1236,38,0),"")</f>
        <v/>
      </c>
      <c r="G241" s="27" t="str">
        <f ca="1">IFERROR(VLOOKUP(A241,'Tabela Categorização'!A:J,10,0),"")</f>
        <v>Fase Estruturação</v>
      </c>
      <c r="H241" s="27" t="b">
        <f t="shared" ca="1" si="0"/>
        <v>1</v>
      </c>
      <c r="I241" s="21" t="str">
        <f>HYPERLINK("https://gerandofalcoes.my.salesforce.com/0034X0000380O50QAE", "0034X0000380O50QAE")</f>
        <v>0034X0000380O50QAE</v>
      </c>
      <c r="J241" s="9" t="s">
        <v>17881</v>
      </c>
      <c r="K241" s="38" t="s">
        <v>17882</v>
      </c>
    </row>
    <row r="242" spans="1:11" ht="12.5" x14ac:dyDescent="0.25">
      <c r="A242" s="21" t="str">
        <f ca="1">IFERROR(__xludf.DUMMYFUNCTION("""COMPUTED_VALUE"""),"0014X00002VKCqNQAX")</f>
        <v>0014X00002VKCqNQAX</v>
      </c>
      <c r="B242" s="27" t="str">
        <f ca="1">IFERROR(__xludf.DUMMYFUNCTION("""COMPUTED_VALUE"""),"Fase Inicial")</f>
        <v>Fase Inicial</v>
      </c>
      <c r="C242" s="27" t="str">
        <f ca="1">IFERROR(__xludf.DUMMYFUNCTION("""COMPUTED_VALUE"""),"Fellow")</f>
        <v>Fellow</v>
      </c>
      <c r="D242" s="27" t="str">
        <f ca="1">IFERROR(__xludf.DUMMYFUNCTION("""COMPUTED_VALUE"""),"Ativo")</f>
        <v>Ativo</v>
      </c>
      <c r="E242" s="27" t="str">
        <f ca="1">IFERROR(__xludf.DUMMYFUNCTION("""COMPUTED_VALUE"""),"Crieatividade Gestão Esportiva Empresarial LTDA")</f>
        <v>Crieatividade Gestão Esportiva Empresarial LTDA</v>
      </c>
      <c r="F242" s="21" t="str">
        <f ca="1">IFERROR(VLOOKUP(A242,'Rede - Gerando Falcões '!A241:G1237,38,0),"")</f>
        <v/>
      </c>
      <c r="G242" s="27" t="str">
        <f ca="1">IFERROR(VLOOKUP(A242,'Tabela Categorização'!A:J,10,0),"")</f>
        <v>Fase Inicial</v>
      </c>
      <c r="H242" s="27" t="b">
        <f t="shared" ca="1" si="0"/>
        <v>1</v>
      </c>
      <c r="I242" s="21" t="str">
        <f>HYPERLINK("https://gerandofalcoes.my.salesforce.com/0034X0000380O3tQAE", "0034X0000380O3tQAE")</f>
        <v>0034X0000380O3tQAE</v>
      </c>
      <c r="J242" s="9" t="s">
        <v>17881</v>
      </c>
      <c r="K242" s="38" t="s">
        <v>17882</v>
      </c>
    </row>
    <row r="243" spans="1:11" ht="12.5" x14ac:dyDescent="0.25">
      <c r="A243" s="21" t="str">
        <f ca="1">IFERROR(__xludf.DUMMYFUNCTION("""COMPUTED_VALUE"""),"0014X00002VKCqzQAH")</f>
        <v>0014X00002VKCqzQAH</v>
      </c>
      <c r="B243" s="27" t="str">
        <f ca="1">IFERROR(__xludf.DUMMYFUNCTION("""COMPUTED_VALUE"""),"Fase Inicial")</f>
        <v>Fase Inicial</v>
      </c>
      <c r="C243" s="27" t="str">
        <f ca="1">IFERROR(__xludf.DUMMYFUNCTION("""COMPUTED_VALUE"""),"Fellow")</f>
        <v>Fellow</v>
      </c>
      <c r="D243" s="27" t="str">
        <f ca="1">IFERROR(__xludf.DUMMYFUNCTION("""COMPUTED_VALUE"""),"Ativo")</f>
        <v>Ativo</v>
      </c>
      <c r="E243" s="27" t="str">
        <f ca="1">IFERROR(__xludf.DUMMYFUNCTION("""COMPUTED_VALUE"""),"CUIDAR")</f>
        <v>CUIDAR</v>
      </c>
      <c r="F243" s="21" t="str">
        <f ca="1">IFERROR(VLOOKUP(A243,'Rede - Gerando Falcões '!A242:G1238,38,0),"")</f>
        <v/>
      </c>
      <c r="G243" s="27" t="str">
        <f ca="1">IFERROR(VLOOKUP(A243,'Tabela Categorização'!A:J,10,0),"")</f>
        <v>Fase Inicial</v>
      </c>
      <c r="H243" s="27" t="b">
        <f t="shared" ca="1" si="0"/>
        <v>1</v>
      </c>
      <c r="I243" s="21" t="str">
        <f>HYPERLINK("https://gerandofalcoes.my.salesforce.com/0034X0000380O6fQAE", "0034X0000380O6fQAE")</f>
        <v>0034X0000380O6fQAE</v>
      </c>
      <c r="J243" s="9" t="s">
        <v>17881</v>
      </c>
      <c r="K243" s="38" t="s">
        <v>17882</v>
      </c>
    </row>
    <row r="244" spans="1:11" ht="12.5" x14ac:dyDescent="0.25">
      <c r="A244" s="21" t="str">
        <f ca="1">IFERROR(__xludf.DUMMYFUNCTION("""COMPUTED_VALUE"""),"0014X00002VKCpUQAX")</f>
        <v>0014X00002VKCpUQAX</v>
      </c>
      <c r="B244" s="27" t="str">
        <f ca="1">IFERROR(__xludf.DUMMYFUNCTION("""COMPUTED_VALUE"""),"Fase Inicial")</f>
        <v>Fase Inicial</v>
      </c>
      <c r="C244" s="27" t="str">
        <f ca="1">IFERROR(__xludf.DUMMYFUNCTION("""COMPUTED_VALUE"""),"Fellow")</f>
        <v>Fellow</v>
      </c>
      <c r="D244" s="27" t="str">
        <f ca="1">IFERROR(__xludf.DUMMYFUNCTION("""COMPUTED_VALUE"""),"Ativo")</f>
        <v>Ativo</v>
      </c>
      <c r="E244" s="27" t="str">
        <f ca="1">IFERROR(__xludf.DUMMYFUNCTION("""COMPUTED_VALUE"""),"Dakole")</f>
        <v>Dakole</v>
      </c>
      <c r="F244" s="21" t="str">
        <f ca="1">IFERROR(VLOOKUP(A244,'Rede - Gerando Falcões '!A243:G1239,38,0),"")</f>
        <v/>
      </c>
      <c r="G244" s="27" t="str">
        <f ca="1">IFERROR(VLOOKUP(A244,'Tabela Categorização'!A:J,10,0),"")</f>
        <v>Fase Inicial</v>
      </c>
      <c r="H244" s="27" t="b">
        <f t="shared" ca="1" si="0"/>
        <v>1</v>
      </c>
      <c r="I244" s="21" t="str">
        <f>HYPERLINK("https://gerandofalcoes.my.salesforce.com/0034X0000380O4WQAU", "0034X0000380O4WQAU")</f>
        <v>0034X0000380O4WQAU</v>
      </c>
      <c r="J244" s="9" t="s">
        <v>17881</v>
      </c>
      <c r="K244" s="38" t="s">
        <v>17882</v>
      </c>
    </row>
    <row r="245" spans="1:11" ht="12.5" x14ac:dyDescent="0.25">
      <c r="A245" s="21" t="str">
        <f ca="1">IFERROR(__xludf.DUMMYFUNCTION("""COMPUTED_VALUE"""),"0014X00002VKCreQAH")</f>
        <v>0014X00002VKCreQAH</v>
      </c>
      <c r="B245" s="27" t="str">
        <f ca="1">IFERROR(__xludf.DUMMYFUNCTION("""COMPUTED_VALUE"""),"Fase Inicial")</f>
        <v>Fase Inicial</v>
      </c>
      <c r="C245" s="27" t="str">
        <f ca="1">IFERROR(__xludf.DUMMYFUNCTION("""COMPUTED_VALUE"""),"Fellow")</f>
        <v>Fellow</v>
      </c>
      <c r="D245" s="27" t="str">
        <f ca="1">IFERROR(__xludf.DUMMYFUNCTION("""COMPUTED_VALUE"""),"Ativo")</f>
        <v>Ativo</v>
      </c>
      <c r="E245" s="27" t="str">
        <f ca="1">IFERROR(__xludf.DUMMYFUNCTION("""COMPUTED_VALUE"""),"Deficiente Eficiente")</f>
        <v>Deficiente Eficiente</v>
      </c>
      <c r="F245" s="21" t="str">
        <f ca="1">IFERROR(VLOOKUP(A245,'Rede - Gerando Falcões '!A244:G1240,38,0),"")</f>
        <v/>
      </c>
      <c r="G245" s="27" t="str">
        <f ca="1">IFERROR(VLOOKUP(A245,'Tabela Categorização'!A:J,10,0),"")</f>
        <v>Fase Inicial</v>
      </c>
      <c r="H245" s="27" t="b">
        <f t="shared" ca="1" si="0"/>
        <v>1</v>
      </c>
      <c r="I245" s="21" t="str">
        <f>HYPERLINK("https://gerandofalcoes.my.salesforce.com/0034X0000380O6WQAU", "0034X0000380O6WQAU")</f>
        <v>0034X0000380O6WQAU</v>
      </c>
      <c r="J245" s="9" t="s">
        <v>17881</v>
      </c>
      <c r="K245" s="38" t="s">
        <v>17882</v>
      </c>
    </row>
    <row r="246" spans="1:11" ht="12.5" x14ac:dyDescent="0.25">
      <c r="A246" s="21" t="str">
        <f ca="1">IFERROR(__xludf.DUMMYFUNCTION("""COMPUTED_VALUE"""),"0014X00002VKCpnQAH")</f>
        <v>0014X00002VKCpnQAH</v>
      </c>
      <c r="B246" s="27" t="str">
        <f ca="1">IFERROR(__xludf.DUMMYFUNCTION("""COMPUTED_VALUE"""),"Fase Inicial")</f>
        <v>Fase Inicial</v>
      </c>
      <c r="C246" s="27" t="str">
        <f ca="1">IFERROR(__xludf.DUMMYFUNCTION("""COMPUTED_VALUE"""),"Fellow")</f>
        <v>Fellow</v>
      </c>
      <c r="D246" s="27" t="str">
        <f ca="1">IFERROR(__xludf.DUMMYFUNCTION("""COMPUTED_VALUE"""),"Ativo")</f>
        <v>Ativo</v>
      </c>
      <c r="E246" s="27" t="str">
        <f ca="1">IFERROR(__xludf.DUMMYFUNCTION("""COMPUTED_VALUE"""),"Delí­cias Caseiras")</f>
        <v>Delí­cias Caseiras</v>
      </c>
      <c r="F246" s="21" t="str">
        <f ca="1">IFERROR(VLOOKUP(A246,'Rede - Gerando Falcões '!A245:G1241,38,0),"")</f>
        <v/>
      </c>
      <c r="G246" s="27" t="str">
        <f ca="1">IFERROR(VLOOKUP(A246,'Tabela Categorização'!A:J,10,0),"")</f>
        <v>Fase Inicial</v>
      </c>
      <c r="H246" s="27" t="b">
        <f t="shared" ca="1" si="0"/>
        <v>1</v>
      </c>
      <c r="I246" s="21" t="str">
        <f>HYPERLINK("https://gerandofalcoes.my.salesforce.com/0034P000045kxkJQAQ", "0034P000045kxkJQAQ")</f>
        <v>0034P000045kxkJQAQ</v>
      </c>
      <c r="J246" s="9" t="s">
        <v>17881</v>
      </c>
      <c r="K246" s="38" t="s">
        <v>17882</v>
      </c>
    </row>
    <row r="247" spans="1:11" ht="12.5" x14ac:dyDescent="0.25">
      <c r="A247" s="21" t="str">
        <f ca="1">IFERROR(__xludf.DUMMYFUNCTION("""COMPUTED_VALUE"""),"0014P00003YSp9hQAD")</f>
        <v>0014P00003YSp9hQAD</v>
      </c>
      <c r="B247" s="27" t="str">
        <f ca="1">IFERROR(__xludf.DUMMYFUNCTION("""COMPUTED_VALUE"""),"Fase Inicial")</f>
        <v>Fase Inicial</v>
      </c>
      <c r="C247" s="27" t="str">
        <f ca="1">IFERROR(__xludf.DUMMYFUNCTION("""COMPUTED_VALUE"""),"Fellow")</f>
        <v>Fellow</v>
      </c>
      <c r="D247" s="27" t="str">
        <f ca="1">IFERROR(__xludf.DUMMYFUNCTION("""COMPUTED_VALUE"""),"Ativo")</f>
        <v>Ativo</v>
      </c>
      <c r="E247" s="27" t="str">
        <f ca="1">IFERROR(__xludf.DUMMYFUNCTION("""COMPUTED_VALUE"""),"Despertando Amor hoje")</f>
        <v>Despertando Amor hoje</v>
      </c>
      <c r="F247" s="21" t="str">
        <f ca="1">IFERROR(VLOOKUP(A247,'Rede - Gerando Falcões '!A246:G1242,38,0),"")</f>
        <v/>
      </c>
      <c r="G247" s="27" t="str">
        <f ca="1">IFERROR(VLOOKUP(A247,'Tabela Categorização'!A:J,10,0),"")</f>
        <v>Fase Inicial</v>
      </c>
      <c r="H247" s="27" t="b">
        <f t="shared" ca="1" si="0"/>
        <v>1</v>
      </c>
      <c r="I247" s="21" t="str">
        <f>HYPERLINK("https://gerandofalcoes.my.salesforce.com/0034X0000380O6FQAU", "0034X0000380O6FQAU")</f>
        <v>0034X0000380O6FQAU</v>
      </c>
      <c r="J247" s="9" t="s">
        <v>17881</v>
      </c>
      <c r="K247" s="38" t="s">
        <v>17882</v>
      </c>
    </row>
    <row r="248" spans="1:11" ht="12.5" x14ac:dyDescent="0.25">
      <c r="A248" s="21" t="str">
        <f ca="1">IFERROR(__xludf.DUMMYFUNCTION("""COMPUTED_VALUE"""),"0014X00002VKCtjQAH")</f>
        <v>0014X00002VKCtjQAH</v>
      </c>
      <c r="B248" s="27" t="str">
        <f ca="1">IFERROR(__xludf.DUMMYFUNCTION("""COMPUTED_VALUE"""),"Fase Inicial")</f>
        <v>Fase Inicial</v>
      </c>
      <c r="C248" s="27" t="str">
        <f ca="1">IFERROR(__xludf.DUMMYFUNCTION("""COMPUTED_VALUE"""),"Fellow")</f>
        <v>Fellow</v>
      </c>
      <c r="D248" s="27" t="str">
        <f ca="1">IFERROR(__xludf.DUMMYFUNCTION("""COMPUTED_VALUE"""),"Ativo")</f>
        <v>Ativo</v>
      </c>
      <c r="E248" s="27" t="str">
        <f ca="1">IFERROR(__xludf.DUMMYFUNCTION("""COMPUTED_VALUE"""),"Dia do Amor")</f>
        <v>Dia do Amor</v>
      </c>
      <c r="F248" s="21" t="str">
        <f ca="1">IFERROR(VLOOKUP(A248,'Rede - Gerando Falcões '!A247:G1243,38,0),"")</f>
        <v/>
      </c>
      <c r="G248" s="27" t="str">
        <f ca="1">IFERROR(VLOOKUP(A248,'Tabela Categorização'!A:J,10,0),"")</f>
        <v>Fase Inicial</v>
      </c>
      <c r="H248" s="27" t="b">
        <f t="shared" ca="1" si="0"/>
        <v>1</v>
      </c>
      <c r="I248" s="21" t="str">
        <f>HYPERLINK("https://gerandofalcoes.my.salesforce.com/0034P000045kxihQAA", "0034P000045kxihQAA")</f>
        <v>0034P000045kxihQAA</v>
      </c>
      <c r="J248" s="9" t="s">
        <v>17881</v>
      </c>
      <c r="K248" s="38" t="s">
        <v>17882</v>
      </c>
    </row>
    <row r="249" spans="1:11" ht="12.5" x14ac:dyDescent="0.25">
      <c r="A249" s="21" t="str">
        <f ca="1">IFERROR(__xludf.DUMMYFUNCTION("""COMPUTED_VALUE"""),"0014P00003YSp86QAD")</f>
        <v>0014P00003YSp86QAD</v>
      </c>
      <c r="B249" s="27" t="str">
        <f ca="1">IFERROR(__xludf.DUMMYFUNCTION("""COMPUTED_VALUE"""),"Fase Inicial")</f>
        <v>Fase Inicial</v>
      </c>
      <c r="C249" s="27" t="str">
        <f ca="1">IFERROR(__xludf.DUMMYFUNCTION("""COMPUTED_VALUE"""),"Fellow")</f>
        <v>Fellow</v>
      </c>
      <c r="D249" s="27" t="str">
        <f ca="1">IFERROR(__xludf.DUMMYFUNCTION("""COMPUTED_VALUE"""),"Ativo")</f>
        <v>Ativo</v>
      </c>
      <c r="E249" s="27" t="str">
        <f ca="1">IFERROR(__xludf.DUMMYFUNCTION("""COMPUTED_VALUE"""),"DOA??AÇÃO")</f>
        <v>DOA??AÇÃO</v>
      </c>
      <c r="F249" s="21" t="str">
        <f ca="1">IFERROR(VLOOKUP(A249,'Rede - Gerando Falcões '!A248:G1244,38,0),"")</f>
        <v/>
      </c>
      <c r="G249" s="27" t="str">
        <f ca="1">IFERROR(VLOOKUP(A249,'Tabela Categorização'!A:J,10,0),"")</f>
        <v>Fase Inicial</v>
      </c>
      <c r="H249" s="27" t="b">
        <f t="shared" ca="1" si="0"/>
        <v>1</v>
      </c>
      <c r="I249" s="21" t="str">
        <f>HYPERLINK("https://gerandofalcoes.my.salesforce.com/0034P000045kxkFQAQ", "0034P000045kxkFQAQ")</f>
        <v>0034P000045kxkFQAQ</v>
      </c>
      <c r="J249" s="9" t="s">
        <v>17881</v>
      </c>
      <c r="K249" s="38" t="s">
        <v>17882</v>
      </c>
    </row>
    <row r="250" spans="1:11" ht="12.5" x14ac:dyDescent="0.25">
      <c r="A250" s="21" t="str">
        <f ca="1">IFERROR(__xludf.DUMMYFUNCTION("""COMPUTED_VALUE"""),"0014P00003YSp9dQAD")</f>
        <v>0014P00003YSp9dQAD</v>
      </c>
      <c r="B250" s="27" t="str">
        <f ca="1">IFERROR(__xludf.DUMMYFUNCTION("""COMPUTED_VALUE"""),"Fase Inicial")</f>
        <v>Fase Inicial</v>
      </c>
      <c r="C250" s="27" t="str">
        <f ca="1">IFERROR(__xludf.DUMMYFUNCTION("""COMPUTED_VALUE"""),"Fellow")</f>
        <v>Fellow</v>
      </c>
      <c r="D250" s="27" t="str">
        <f ca="1">IFERROR(__xludf.DUMMYFUNCTION("""COMPUTED_VALUE"""),"Ativo")</f>
        <v>Ativo</v>
      </c>
      <c r="E250" s="27" t="str">
        <f ca="1">IFERROR(__xludf.DUMMYFUNCTION("""COMPUTED_VALUE"""),"Doa Cg")</f>
        <v>Doa Cg</v>
      </c>
      <c r="F250" s="21" t="str">
        <f ca="1">IFERROR(VLOOKUP(A250,'Rede - Gerando Falcões '!A249:G1245,38,0),"")</f>
        <v/>
      </c>
      <c r="G250" s="27" t="str">
        <f ca="1">IFERROR(VLOOKUP(A250,'Tabela Categorização'!A:J,10,0),"")</f>
        <v>Fase Inicial</v>
      </c>
      <c r="H250" s="27" t="b">
        <f t="shared" ca="1" si="0"/>
        <v>1</v>
      </c>
      <c r="I250" s="21" t="str">
        <f>HYPERLINK("https://gerandofalcoes.my.salesforce.com/0034X0000380O51QAE", "0034X0000380O51QAE")</f>
        <v>0034X0000380O51QAE</v>
      </c>
      <c r="J250" s="9" t="s">
        <v>17881</v>
      </c>
      <c r="K250" s="38" t="s">
        <v>17882</v>
      </c>
    </row>
    <row r="251" spans="1:11" ht="12.5" x14ac:dyDescent="0.25">
      <c r="A251" s="21" t="str">
        <f ca="1">IFERROR(__xludf.DUMMYFUNCTION("""COMPUTED_VALUE"""),"0014X00002VKCqoQAH")</f>
        <v>0014X00002VKCqoQAH</v>
      </c>
      <c r="B251" s="27" t="str">
        <f ca="1">IFERROR(__xludf.DUMMYFUNCTION("""COMPUTED_VALUE"""),"Fase Inicial")</f>
        <v>Fase Inicial</v>
      </c>
      <c r="C251" s="27" t="str">
        <f ca="1">IFERROR(__xludf.DUMMYFUNCTION("""COMPUTED_VALUE"""),"Fellow")</f>
        <v>Fellow</v>
      </c>
      <c r="D251" s="27" t="str">
        <f ca="1">IFERROR(__xludf.DUMMYFUNCTION("""COMPUTED_VALUE"""),"Ativo")</f>
        <v>Ativo</v>
      </c>
      <c r="E251" s="27" t="str">
        <f ca="1">IFERROR(__xludf.DUMMYFUNCTION("""COMPUTED_VALUE"""),"Educação para a Liberdade")</f>
        <v>Educação para a Liberdade</v>
      </c>
      <c r="F251" s="21" t="str">
        <f ca="1">IFERROR(VLOOKUP(A251,'Rede - Gerando Falcões '!A250:G1246,38,0),"")</f>
        <v/>
      </c>
      <c r="G251" s="27" t="str">
        <f ca="1">IFERROR(VLOOKUP(A251,'Tabela Categorização'!A:J,10,0),"")</f>
        <v>Fase Inicial</v>
      </c>
      <c r="H251" s="27" t="b">
        <f t="shared" ca="1" si="0"/>
        <v>1</v>
      </c>
      <c r="I251" s="21" t="str">
        <f>HYPERLINK("https://gerandofalcoes.my.salesforce.com/0034X0000380O6dQAE", "0034X0000380O6dQAE")</f>
        <v>0034X0000380O6dQAE</v>
      </c>
      <c r="J251" s="9" t="s">
        <v>17881</v>
      </c>
      <c r="K251" s="38" t="s">
        <v>17882</v>
      </c>
    </row>
    <row r="252" spans="1:11" ht="12.5" x14ac:dyDescent="0.25">
      <c r="A252" s="21" t="str">
        <f ca="1">IFERROR(__xludf.DUMMYFUNCTION("""COMPUTED_VALUE"""),"0014X00002VKCrbQAH")</f>
        <v>0014X00002VKCrbQAH</v>
      </c>
      <c r="B252" s="27" t="str">
        <f ca="1">IFERROR(__xludf.DUMMYFUNCTION("""COMPUTED_VALUE"""),"Fase Inicial")</f>
        <v>Fase Inicial</v>
      </c>
      <c r="C252" s="27" t="str">
        <f ca="1">IFERROR(__xludf.DUMMYFUNCTION("""COMPUTED_VALUE"""),"Fellow")</f>
        <v>Fellow</v>
      </c>
      <c r="D252" s="27" t="str">
        <f ca="1">IFERROR(__xludf.DUMMYFUNCTION("""COMPUTED_VALUE"""),"Ativo")</f>
        <v>Ativo</v>
      </c>
      <c r="E252" s="27" t="str">
        <f ca="1">IFERROR(__xludf.DUMMYFUNCTION("""COMPUTED_VALUE"""),"Emanuela Tereza Betancourt Ortiz Ferreira")</f>
        <v>Emanuela Tereza Betancourt Ortiz Ferreira</v>
      </c>
      <c r="F252" s="21" t="str">
        <f ca="1">IFERROR(VLOOKUP(A252,'Rede - Gerando Falcões '!A251:G1247,38,0),"")</f>
        <v/>
      </c>
      <c r="G252" s="27" t="str">
        <f ca="1">IFERROR(VLOOKUP(A252,'Tabela Categorização'!A:J,10,0),"")</f>
        <v>Fase Inicial</v>
      </c>
      <c r="H252" s="27" t="b">
        <f t="shared" ca="1" si="0"/>
        <v>1</v>
      </c>
      <c r="I252" s="21" t="str">
        <f>HYPERLINK("https://gerandofalcoes.my.salesforce.com/0034P000045kxi0QAA", "0034P000045kxi0QAA")</f>
        <v>0034P000045kxi0QAA</v>
      </c>
      <c r="J252" s="9" t="s">
        <v>17881</v>
      </c>
      <c r="K252" s="38" t="s">
        <v>17882</v>
      </c>
    </row>
    <row r="253" spans="1:11" ht="12.5" x14ac:dyDescent="0.25">
      <c r="A253" s="21" t="str">
        <f ca="1">IFERROR(__xludf.DUMMYFUNCTION("""COMPUTED_VALUE"""),"0014P00003YSp7PQAT")</f>
        <v>0014P00003YSp7PQAT</v>
      </c>
      <c r="B253" s="27" t="str">
        <f ca="1">IFERROR(__xludf.DUMMYFUNCTION("""COMPUTED_VALUE"""),"Fase Inicial")</f>
        <v>Fase Inicial</v>
      </c>
      <c r="C253" s="27" t="str">
        <f ca="1">IFERROR(__xludf.DUMMYFUNCTION("""COMPUTED_VALUE"""),"Fellow")</f>
        <v>Fellow</v>
      </c>
      <c r="D253" s="27" t="str">
        <f ca="1">IFERROR(__xludf.DUMMYFUNCTION("""COMPUTED_VALUE"""),"Ativo")</f>
        <v>Ativo</v>
      </c>
      <c r="E253" s="27" t="str">
        <f ca="1">IFERROR(__xludf.DUMMYFUNCTION("""COMPUTED_VALUE"""),"Em Cena Arte e Cidadania")</f>
        <v>Em Cena Arte e Cidadania</v>
      </c>
      <c r="F253" s="21" t="str">
        <f ca="1">IFERROR(VLOOKUP(A253,'Rede - Gerando Falcões '!A252:G1248,38,0),"")</f>
        <v/>
      </c>
      <c r="G253" s="27" t="str">
        <f ca="1">IFERROR(VLOOKUP(A253,'Tabela Categorização'!A:J,10,0),"")</f>
        <v>Fase Inicial</v>
      </c>
      <c r="H253" s="27" t="b">
        <f t="shared" ca="1" si="0"/>
        <v>1</v>
      </c>
      <c r="I253" s="21" t="str">
        <f>HYPERLINK("https://gerandofalcoes.my.salesforce.com/0034X0000380O4MQAU", "0034X0000380O4MQAU")</f>
        <v>0034X0000380O4MQAU</v>
      </c>
      <c r="J253" s="9" t="s">
        <v>17881</v>
      </c>
      <c r="K253" s="38" t="s">
        <v>17882</v>
      </c>
    </row>
    <row r="254" spans="1:11" ht="12.5" x14ac:dyDescent="0.25">
      <c r="A254" s="21" t="str">
        <f ca="1">IFERROR(__xludf.DUMMYFUNCTION("""COMPUTED_VALUE"""),"0014X00002VKCuZQAX")</f>
        <v>0014X00002VKCuZQAX</v>
      </c>
      <c r="B254" s="27"/>
      <c r="C254" s="27" t="str">
        <f ca="1">IFERROR(__xludf.DUMMYFUNCTION("""COMPUTED_VALUE"""),"Fellow")</f>
        <v>Fellow</v>
      </c>
      <c r="D254" s="27" t="str">
        <f ca="1">IFERROR(__xludf.DUMMYFUNCTION("""COMPUTED_VALUE"""),"Ativo")</f>
        <v>Ativo</v>
      </c>
      <c r="E254" s="27" t="str">
        <f ca="1">IFERROR(__xludf.DUMMYFUNCTION("""COMPUTED_VALUE"""),"Empodera")</f>
        <v>Empodera</v>
      </c>
      <c r="F254" s="21" t="str">
        <f ca="1">IFERROR(VLOOKUP(A254,'Rede - Gerando Falcões '!A253:G1249,38,0),"")</f>
        <v/>
      </c>
      <c r="G254" s="27" t="str">
        <f ca="1">IFERROR(VLOOKUP(A254,'Tabela Categorização'!A:J,10,0),"")</f>
        <v/>
      </c>
      <c r="H254" s="27" t="b">
        <f t="shared" ca="1" si="0"/>
        <v>1</v>
      </c>
      <c r="I254" s="21" t="str">
        <f>HYPERLINK("https://gerandofalcoes.my.salesforce.com/0034X0000380O4tQAE", "0034X0000380O4tQAE")</f>
        <v>0034X0000380O4tQAE</v>
      </c>
      <c r="J254" s="9" t="s">
        <v>17881</v>
      </c>
      <c r="K254" s="38" t="s">
        <v>17882</v>
      </c>
    </row>
    <row r="255" spans="1:11" ht="12.5" x14ac:dyDescent="0.25">
      <c r="A255" s="21" t="str">
        <f ca="1">IFERROR(__xludf.DUMMYFUNCTION("""COMPUTED_VALUE"""),"0014X00002VKCsGQAX")</f>
        <v>0014X00002VKCsGQAX</v>
      </c>
      <c r="B255" s="27" t="str">
        <f ca="1">IFERROR(__xludf.DUMMYFUNCTION("""COMPUTED_VALUE"""),"Fase Inicial")</f>
        <v>Fase Inicial</v>
      </c>
      <c r="C255" s="27" t="str">
        <f ca="1">IFERROR(__xludf.DUMMYFUNCTION("""COMPUTED_VALUE"""),"Fellow")</f>
        <v>Fellow</v>
      </c>
      <c r="D255" s="27" t="str">
        <f ca="1">IFERROR(__xludf.DUMMYFUNCTION("""COMPUTED_VALUE"""),"Ativo")</f>
        <v>Ativo</v>
      </c>
      <c r="E255" s="27" t="str">
        <f ca="1">IFERROR(__xludf.DUMMYFUNCTION("""COMPUTED_VALUE"""),"Empório Germine")</f>
        <v>Empório Germine</v>
      </c>
      <c r="F255" s="21" t="str">
        <f ca="1">IFERROR(VLOOKUP(A255,'Rede - Gerando Falcões '!A254:G1250,38,0),"")</f>
        <v/>
      </c>
      <c r="G255" s="27" t="str">
        <f ca="1">IFERROR(VLOOKUP(A255,'Tabela Categorização'!A:J,10,0),"")</f>
        <v>Fase Inicial</v>
      </c>
      <c r="H255" s="27" t="b">
        <f t="shared" ca="1" si="0"/>
        <v>1</v>
      </c>
      <c r="I255" s="21" t="str">
        <f>HYPERLINK("https://gerandofalcoes.my.salesforce.com/0034X0000380O1cQAE", "0034X0000380O1cQAE")</f>
        <v>0034X0000380O1cQAE</v>
      </c>
      <c r="J255" s="9" t="s">
        <v>17881</v>
      </c>
      <c r="K255" s="38" t="s">
        <v>17882</v>
      </c>
    </row>
    <row r="256" spans="1:11" ht="12.5" x14ac:dyDescent="0.25">
      <c r="A256" s="21" t="str">
        <f ca="1">IFERROR(__xludf.DUMMYFUNCTION("""COMPUTED_VALUE"""),"0014X00002VKCtyQAH")</f>
        <v>0014X00002VKCtyQAH</v>
      </c>
      <c r="B256" s="27" t="str">
        <f ca="1">IFERROR(__xludf.DUMMYFUNCTION("""COMPUTED_VALUE"""),"Fase Inicial")</f>
        <v>Fase Inicial</v>
      </c>
      <c r="C256" s="27" t="str">
        <f ca="1">IFERROR(__xludf.DUMMYFUNCTION("""COMPUTED_VALUE"""),"Fellow")</f>
        <v>Fellow</v>
      </c>
      <c r="D256" s="27" t="str">
        <f ca="1">IFERROR(__xludf.DUMMYFUNCTION("""COMPUTED_VALUE"""),"Ativo")</f>
        <v>Ativo</v>
      </c>
      <c r="E256" s="27" t="str">
        <f ca="1">IFERROR(__xludf.DUMMYFUNCTION("""COMPUTED_VALUE"""),"EMPREENDE MENINA")</f>
        <v>EMPREENDE MENINA</v>
      </c>
      <c r="F256" s="21" t="str">
        <f ca="1">IFERROR(VLOOKUP(A256,'Rede - Gerando Falcões '!A255:G1251,38,0),"")</f>
        <v/>
      </c>
      <c r="G256" s="27" t="str">
        <f ca="1">IFERROR(VLOOKUP(A256,'Tabela Categorização'!A:J,10,0),"")</f>
        <v>Fase Inicial</v>
      </c>
      <c r="H256" s="27" t="b">
        <f t="shared" ca="1" si="0"/>
        <v>1</v>
      </c>
      <c r="I256" s="21" t="str">
        <f>HYPERLINK("https://gerandofalcoes.my.salesforce.com/0034X0000380O2jQAE", "0034X0000380O2jQAE")</f>
        <v>0034X0000380O2jQAE</v>
      </c>
      <c r="J256" s="9" t="s">
        <v>17881</v>
      </c>
      <c r="K256" s="38" t="s">
        <v>17882</v>
      </c>
    </row>
    <row r="257" spans="1:11" ht="12.5" x14ac:dyDescent="0.25">
      <c r="A257" s="21" t="str">
        <f ca="1">IFERROR(__xludf.DUMMYFUNCTION("""COMPUTED_VALUE"""),"0014X00002VKCutQAH")</f>
        <v>0014X00002VKCutQAH</v>
      </c>
      <c r="B257" s="27" t="str">
        <f ca="1">IFERROR(__xludf.DUMMYFUNCTION("""COMPUTED_VALUE"""),"Fase Inicial")</f>
        <v>Fase Inicial</v>
      </c>
      <c r="C257" s="27" t="str">
        <f ca="1">IFERROR(__xludf.DUMMYFUNCTION("""COMPUTED_VALUE"""),"Fellow")</f>
        <v>Fellow</v>
      </c>
      <c r="D257" s="27" t="str">
        <f ca="1">IFERROR(__xludf.DUMMYFUNCTION("""COMPUTED_VALUE"""),"Ativo")</f>
        <v>Ativo</v>
      </c>
      <c r="E257" s="27" t="str">
        <f ca="1">IFERROR(__xludf.DUMMYFUNCTION("""COMPUTED_VALUE"""),"ENCANTOS INSTITUTO SÓCIO CULTURAL E BENEFICENTE")</f>
        <v>ENCANTOS INSTITUTO SÓCIO CULTURAL E BENEFICENTE</v>
      </c>
      <c r="F257" s="21" t="str">
        <f ca="1">IFERROR(VLOOKUP(A257,'Rede - Gerando Falcões '!A256:G1252,38,0),"")</f>
        <v/>
      </c>
      <c r="G257" s="27" t="str">
        <f ca="1">IFERROR(VLOOKUP(A257,'Tabela Categorização'!A:J,10,0),"")</f>
        <v>Fase Inicial</v>
      </c>
      <c r="H257" s="27" t="b">
        <f t="shared" ref="H257:H511" ca="1" si="1">G257=B257</f>
        <v>1</v>
      </c>
      <c r="I257" s="21" t="str">
        <f>HYPERLINK("https://gerandofalcoes.my.salesforce.com/0034X0000380O5xQAE", "0034X0000380O5xQAE")</f>
        <v>0034X0000380O5xQAE</v>
      </c>
      <c r="J257" s="9" t="s">
        <v>17881</v>
      </c>
      <c r="K257" s="38" t="s">
        <v>17882</v>
      </c>
    </row>
    <row r="258" spans="1:11" ht="12.5" x14ac:dyDescent="0.25">
      <c r="A258" s="21" t="str">
        <f ca="1">IFERROR(__xludf.DUMMYFUNCTION("""COMPUTED_VALUE"""),"0014X00002VKCsYQAX")</f>
        <v>0014X00002VKCsYQAX</v>
      </c>
      <c r="B258" s="27" t="str">
        <f ca="1">IFERROR(__xludf.DUMMYFUNCTION("""COMPUTED_VALUE"""),"Fase Inicial")</f>
        <v>Fase Inicial</v>
      </c>
      <c r="C258" s="27" t="str">
        <f ca="1">IFERROR(__xludf.DUMMYFUNCTION("""COMPUTED_VALUE"""),"Fellow")</f>
        <v>Fellow</v>
      </c>
      <c r="D258" s="27" t="str">
        <f ca="1">IFERROR(__xludf.DUMMYFUNCTION("""COMPUTED_VALUE"""),"Ativo")</f>
        <v>Ativo</v>
      </c>
      <c r="E258" s="27" t="str">
        <f ca="1">IFERROR(__xludf.DUMMYFUNCTION("""COMPUTED_VALUE"""),"Ensinar Xadrez para as crianças que necessitam um futuro melhor")</f>
        <v>Ensinar Xadrez para as crianças que necessitam um futuro melhor</v>
      </c>
      <c r="F258" s="21" t="str">
        <f ca="1">IFERROR(VLOOKUP(A258,'Rede - Gerando Falcões '!A257:G1253,38,0),"")</f>
        <v/>
      </c>
      <c r="G258" s="27" t="str">
        <f ca="1">IFERROR(VLOOKUP(A258,'Tabela Categorização'!A:J,10,0),"")</f>
        <v>Fase Inicial</v>
      </c>
      <c r="H258" s="27" t="b">
        <f t="shared" ca="1" si="1"/>
        <v>1</v>
      </c>
      <c r="I258" s="21" t="str">
        <f>HYPERLINK("https://gerandofalcoes.my.salesforce.com/0034P000045kxjRQAQ", "0034P000045kxjRQAQ")</f>
        <v>0034P000045kxjRQAQ</v>
      </c>
      <c r="J258" s="9" t="s">
        <v>17881</v>
      </c>
      <c r="K258" s="38" t="s">
        <v>17882</v>
      </c>
    </row>
    <row r="259" spans="1:11" ht="12.5" x14ac:dyDescent="0.25">
      <c r="A259" s="21" t="str">
        <f ca="1">IFERROR(__xludf.DUMMYFUNCTION("""COMPUTED_VALUE"""),"0014P00003YSp8pQAD")</f>
        <v>0014P00003YSp8pQAD</v>
      </c>
      <c r="B259" s="27" t="str">
        <f ca="1">IFERROR(__xludf.DUMMYFUNCTION("""COMPUTED_VALUE"""),"Fase Inicial")</f>
        <v>Fase Inicial</v>
      </c>
      <c r="C259" s="27" t="str">
        <f ca="1">IFERROR(__xludf.DUMMYFUNCTION("""COMPUTED_VALUE"""),"Fellow")</f>
        <v>Fellow</v>
      </c>
      <c r="D259" s="27" t="str">
        <f ca="1">IFERROR(__xludf.DUMMYFUNCTION("""COMPUTED_VALUE"""),"Ativo")</f>
        <v>Ativo</v>
      </c>
      <c r="E259" s="27" t="str">
        <f ca="1">IFERROR(__xludf.DUMMYFUNCTION("""COMPUTED_VALUE"""),"Entregue Sorrisos")</f>
        <v>Entregue Sorrisos</v>
      </c>
      <c r="F259" s="21" t="str">
        <f ca="1">IFERROR(VLOOKUP(A259,'Rede - Gerando Falcões '!A258:G1254,38,0),"")</f>
        <v/>
      </c>
      <c r="G259" s="27" t="str">
        <f ca="1">IFERROR(VLOOKUP(A259,'Tabela Categorização'!A:J,10,0),"")</f>
        <v>Fase Inicial</v>
      </c>
      <c r="H259" s="27" t="b">
        <f t="shared" ca="1" si="1"/>
        <v>1</v>
      </c>
      <c r="I259" s="21" t="str">
        <f>HYPERLINK("https://gerandofalcoes.my.salesforce.com/0034X0000380O2RQAU", "0034X0000380O2RQAU")</f>
        <v>0034X0000380O2RQAU</v>
      </c>
      <c r="J259" s="9" t="s">
        <v>17881</v>
      </c>
      <c r="K259" s="38" t="s">
        <v>17882</v>
      </c>
    </row>
    <row r="260" spans="1:11" ht="12.5" x14ac:dyDescent="0.25">
      <c r="A260" s="21" t="str">
        <f ca="1">IFERROR(__xludf.DUMMYFUNCTION("""COMPUTED_VALUE"""),"0014X00002VKCtpQAH")</f>
        <v>0014X00002VKCtpQAH</v>
      </c>
      <c r="B260" s="27" t="str">
        <f ca="1">IFERROR(__xludf.DUMMYFUNCTION("""COMPUTED_VALUE"""),"Fase Inicial")</f>
        <v>Fase Inicial</v>
      </c>
      <c r="C260" s="27" t="str">
        <f ca="1">IFERROR(__xludf.DUMMYFUNCTION("""COMPUTED_VALUE"""),"Fellow")</f>
        <v>Fellow</v>
      </c>
      <c r="D260" s="27" t="str">
        <f ca="1">IFERROR(__xludf.DUMMYFUNCTION("""COMPUTED_VALUE"""),"Ativo")</f>
        <v>Ativo</v>
      </c>
      <c r="E260" s="27" t="str">
        <f ca="1">IFERROR(__xludf.DUMMYFUNCTION("""COMPUTED_VALUE"""),"Escola Pública Presente")</f>
        <v>Escola Pública Presente</v>
      </c>
      <c r="F260" s="21" t="str">
        <f ca="1">IFERROR(VLOOKUP(A260,'Rede - Gerando Falcões '!A259:G1255,38,0),"")</f>
        <v/>
      </c>
      <c r="G260" s="27" t="str">
        <f ca="1">IFERROR(VLOOKUP(A260,'Tabela Categorização'!A:J,10,0),"")</f>
        <v>Fase Inicial</v>
      </c>
      <c r="H260" s="27" t="b">
        <f t="shared" ca="1" si="1"/>
        <v>1</v>
      </c>
      <c r="I260" s="21" t="str">
        <f>HYPERLINK("https://gerandofalcoes.my.salesforce.com/0034X0000380O1nQAE", "0034X0000380O1nQAE")</f>
        <v>0034X0000380O1nQAE</v>
      </c>
      <c r="J260" s="9" t="s">
        <v>17881</v>
      </c>
      <c r="K260" s="38" t="s">
        <v>17882</v>
      </c>
    </row>
    <row r="261" spans="1:11" ht="12.5" x14ac:dyDescent="0.25">
      <c r="A261" s="21" t="str">
        <f ca="1">IFERROR(__xludf.DUMMYFUNCTION("""COMPUTED_VALUE"""),"0014X00002VKCrHQAX")</f>
        <v>0014X00002VKCrHQAX</v>
      </c>
      <c r="B261" s="27" t="str">
        <f ca="1">IFERROR(__xludf.DUMMYFUNCTION("""COMPUTED_VALUE"""),"Fase Inicial")</f>
        <v>Fase Inicial</v>
      </c>
      <c r="C261" s="27" t="str">
        <f ca="1">IFERROR(__xludf.DUMMYFUNCTION("""COMPUTED_VALUE"""),"Fellow")</f>
        <v>Fellow</v>
      </c>
      <c r="D261" s="27" t="str">
        <f ca="1">IFERROR(__xludf.DUMMYFUNCTION("""COMPUTED_VALUE"""),"Ativo")</f>
        <v>Ativo</v>
      </c>
      <c r="E261" s="27" t="str">
        <f ca="1">IFERROR(__xludf.DUMMYFUNCTION("""COMPUTED_VALUE"""),"ESCOLINHA DE FUTEBOL CRAQUE NA BOLA E CRAQUE NA ESCOLA")</f>
        <v>ESCOLINHA DE FUTEBOL CRAQUE NA BOLA E CRAQUE NA ESCOLA</v>
      </c>
      <c r="F261" s="21" t="str">
        <f ca="1">IFERROR(VLOOKUP(A261,'Rede - Gerando Falcões '!A260:G1256,38,0),"")</f>
        <v/>
      </c>
      <c r="G261" s="27" t="str">
        <f ca="1">IFERROR(VLOOKUP(A261,'Tabela Categorização'!A:J,10,0),"")</f>
        <v>Fase Inicial</v>
      </c>
      <c r="H261" s="27" t="b">
        <f t="shared" ca="1" si="1"/>
        <v>1</v>
      </c>
      <c r="I261" s="21" t="str">
        <f>HYPERLINK("https://gerandofalcoes.my.salesforce.com/0034P000045kxjeQAA", "0034P000045kxjeQAA")</f>
        <v>0034P000045kxjeQAA</v>
      </c>
      <c r="J261" s="9" t="s">
        <v>17881</v>
      </c>
      <c r="K261" s="38" t="s">
        <v>17882</v>
      </c>
    </row>
    <row r="262" spans="1:11" ht="12.5" x14ac:dyDescent="0.25">
      <c r="A262" s="21" t="str">
        <f ca="1">IFERROR(__xludf.DUMMYFUNCTION("""COMPUTED_VALUE"""),"0014P00003YSp92QAD")</f>
        <v>0014P00003YSp92QAD</v>
      </c>
      <c r="B262" s="27" t="str">
        <f ca="1">IFERROR(__xludf.DUMMYFUNCTION("""COMPUTED_VALUE"""),"Fase Inicial")</f>
        <v>Fase Inicial</v>
      </c>
      <c r="C262" s="27" t="str">
        <f ca="1">IFERROR(__xludf.DUMMYFUNCTION("""COMPUTED_VALUE"""),"Fellow")</f>
        <v>Fellow</v>
      </c>
      <c r="D262" s="27" t="str">
        <f ca="1">IFERROR(__xludf.DUMMYFUNCTION("""COMPUTED_VALUE"""),"Ativo")</f>
        <v>Ativo</v>
      </c>
      <c r="E262" s="27" t="str">
        <f ca="1">IFERROR(__xludf.DUMMYFUNCTION("""COMPUTED_VALUE"""),"Espaço Cultural Nova Bonsucesso")</f>
        <v>Espaço Cultural Nova Bonsucesso</v>
      </c>
      <c r="F262" s="21" t="str">
        <f ca="1">IFERROR(VLOOKUP(A262,'Rede - Gerando Falcões '!A261:G1257,38,0),"")</f>
        <v/>
      </c>
      <c r="G262" s="27" t="str">
        <f ca="1">IFERROR(VLOOKUP(A262,'Tabela Categorização'!A:J,10,0),"")</f>
        <v>Fase Inicial</v>
      </c>
      <c r="H262" s="27" t="b">
        <f t="shared" ca="1" si="1"/>
        <v>1</v>
      </c>
      <c r="I262" s="21" t="str">
        <f>HYPERLINK("https://gerandofalcoes.my.salesforce.com/0034P000043fOnaQAE", "0034P000043fOnaQAE")</f>
        <v>0034P000043fOnaQAE</v>
      </c>
      <c r="J262" s="9" t="s">
        <v>17881</v>
      </c>
      <c r="K262" s="38" t="s">
        <v>17882</v>
      </c>
    </row>
    <row r="263" spans="1:11" ht="12.5" x14ac:dyDescent="0.25">
      <c r="A263" s="21" t="str">
        <f ca="1">IFERROR(__xludf.DUMMYFUNCTION("""COMPUTED_VALUE"""),"0014P00003SGWPTQA5")</f>
        <v>0014P00003SGWPTQA5</v>
      </c>
      <c r="B263" s="27" t="str">
        <f ca="1">IFERROR(__xludf.DUMMYFUNCTION("""COMPUTED_VALUE"""),"Fase Inicial")</f>
        <v>Fase Inicial</v>
      </c>
      <c r="C263" s="27" t="str">
        <f ca="1">IFERROR(__xludf.DUMMYFUNCTION("""COMPUTED_VALUE"""),"Fellow")</f>
        <v>Fellow</v>
      </c>
      <c r="D263" s="27" t="str">
        <f ca="1">IFERROR(__xludf.DUMMYFUNCTION("""COMPUTED_VALUE"""),"Ativo")</f>
        <v>Ativo</v>
      </c>
      <c r="E263" s="27" t="str">
        <f ca="1">IFERROR(__xludf.DUMMYFUNCTION("""COMPUTED_VALUE"""),"ESPAÇO DE ACOLHIMENTO DA CRIANÇA E DO ADOLESCENTE - EACA")</f>
        <v>ESPAÇO DE ACOLHIMENTO DA CRIANÇA E DO ADOLESCENTE - EACA</v>
      </c>
      <c r="F263" s="21" t="str">
        <f ca="1">IFERROR(VLOOKUP(A263,'Rede - Gerando Falcões '!A262:G1258,38,0),"")</f>
        <v/>
      </c>
      <c r="G263" s="27" t="str">
        <f ca="1">IFERROR(VLOOKUP(A263,'Tabela Categorização'!A:J,10,0),"")</f>
        <v>Fase Inicial</v>
      </c>
      <c r="H263" s="27" t="b">
        <f t="shared" ca="1" si="1"/>
        <v>1</v>
      </c>
      <c r="I263" s="21" t="str">
        <f>HYPERLINK("https://gerandofalcoes.my.salesforce.com/0034P000043fOnnQAE", "0034P000043fOnnQAE")</f>
        <v>0034P000043fOnnQAE</v>
      </c>
      <c r="J263" s="9" t="s">
        <v>17881</v>
      </c>
      <c r="K263" s="38" t="s">
        <v>17882</v>
      </c>
    </row>
    <row r="264" spans="1:11" ht="12.5" x14ac:dyDescent="0.25">
      <c r="A264" s="21" t="str">
        <f ca="1">IFERROR(__xludf.DUMMYFUNCTION("""COMPUTED_VALUE"""),"0014P00003SGWPgQAP")</f>
        <v>0014P00003SGWPgQAP</v>
      </c>
      <c r="B264" s="27" t="str">
        <f ca="1">IFERROR(__xludf.DUMMYFUNCTION("""COMPUTED_VALUE"""),"Fase Inicial")</f>
        <v>Fase Inicial</v>
      </c>
      <c r="C264" s="27" t="str">
        <f ca="1">IFERROR(__xludf.DUMMYFUNCTION("""COMPUTED_VALUE"""),"Fellow")</f>
        <v>Fellow</v>
      </c>
      <c r="D264" s="27" t="str">
        <f ca="1">IFERROR(__xludf.DUMMYFUNCTION("""COMPUTED_VALUE"""),"Ativo")</f>
        <v>Ativo</v>
      </c>
      <c r="E264" s="27" t="str">
        <f ca="1">IFERROR(__xludf.DUMMYFUNCTION("""COMPUTED_VALUE"""),"ESPAÇO HUMANA.MENTE PSICOLOGIA SOCIAL E COMUNITÁRIA NA FAVELA")</f>
        <v>ESPAÇO HUMANA.MENTE PSICOLOGIA SOCIAL E COMUNITÁRIA NA FAVELA</v>
      </c>
      <c r="F264" s="21" t="str">
        <f ca="1">IFERROR(VLOOKUP(A264,'Rede - Gerando Falcões '!A263:G1259,38,0),"")</f>
        <v/>
      </c>
      <c r="G264" s="27" t="str">
        <f ca="1">IFERROR(VLOOKUP(A264,'Tabela Categorização'!A:J,10,0),"")</f>
        <v>Fase Inicial</v>
      </c>
      <c r="H264" s="27" t="b">
        <f t="shared" ca="1" si="1"/>
        <v>1</v>
      </c>
      <c r="I264" s="21" t="str">
        <f>HYPERLINK("https://gerandofalcoes.my.salesforce.com/0034P000045kxkoQAA", "0034P000045kxkoQAA")</f>
        <v>0034P000045kxkoQAA</v>
      </c>
      <c r="J264" s="9" t="s">
        <v>17881</v>
      </c>
      <c r="K264" s="38" t="s">
        <v>17882</v>
      </c>
    </row>
    <row r="265" spans="1:11" ht="12.5" x14ac:dyDescent="0.25">
      <c r="A265" s="21" t="str">
        <f ca="1">IFERROR(__xludf.DUMMYFUNCTION("""COMPUTED_VALUE"""),"0014P00003YSpACQA1")</f>
        <v>0014P00003YSpACQA1</v>
      </c>
      <c r="B265" s="27" t="str">
        <f ca="1">IFERROR(__xludf.DUMMYFUNCTION("""COMPUTED_VALUE"""),"Fase Inicial")</f>
        <v>Fase Inicial</v>
      </c>
      <c r="C265" s="27" t="str">
        <f ca="1">IFERROR(__xludf.DUMMYFUNCTION("""COMPUTED_VALUE"""),"Fellow")</f>
        <v>Fellow</v>
      </c>
      <c r="D265" s="27" t="str">
        <f ca="1">IFERROR(__xludf.DUMMYFUNCTION("""COMPUTED_VALUE"""),"Ativo")</f>
        <v>Ativo</v>
      </c>
      <c r="E265" s="27" t="str">
        <f ca="1">IFERROR(__xludf.DUMMYFUNCTION("""COMPUTED_VALUE"""),"Espaço Social e Cultural É Tudo Nosso")</f>
        <v>Espaço Social e Cultural É Tudo Nosso</v>
      </c>
      <c r="F265" s="21" t="str">
        <f ca="1">IFERROR(VLOOKUP(A265,'Rede - Gerando Falcões '!A264:G1260,38,0),"")</f>
        <v/>
      </c>
      <c r="G265" s="27" t="str">
        <f ca="1">IFERROR(VLOOKUP(A265,'Tabela Categorização'!A:J,10,0),"")</f>
        <v>Fase Inicial</v>
      </c>
      <c r="H265" s="27" t="b">
        <f t="shared" ca="1" si="1"/>
        <v>1</v>
      </c>
      <c r="I265" s="21" t="str">
        <f>HYPERLINK("https://gerandofalcoes.my.salesforce.com/0034X0000380O2bQAE", "0034X0000380O2bQAE")</f>
        <v>0034X0000380O2bQAE</v>
      </c>
      <c r="J265" s="9" t="s">
        <v>17881</v>
      </c>
      <c r="K265" s="38" t="s">
        <v>17882</v>
      </c>
    </row>
    <row r="266" spans="1:11" ht="12.5" x14ac:dyDescent="0.25">
      <c r="A266" s="21" t="str">
        <f ca="1">IFERROR(__xludf.DUMMYFUNCTION("""COMPUTED_VALUE"""),"0014X00002VKCsKQAX")</f>
        <v>0014X00002VKCsKQAX</v>
      </c>
      <c r="B266" s="27"/>
      <c r="C266" s="27" t="str">
        <f ca="1">IFERROR(__xludf.DUMMYFUNCTION("""COMPUTED_VALUE"""),"Fellow")</f>
        <v>Fellow</v>
      </c>
      <c r="D266" s="27" t="str">
        <f ca="1">IFERROR(__xludf.DUMMYFUNCTION("""COMPUTED_VALUE"""),"Ativo")</f>
        <v>Ativo</v>
      </c>
      <c r="E266" s="27" t="str">
        <f ca="1">IFERROR(__xludf.DUMMYFUNCTION("""COMPUTED_VALUE"""),"Esporte e educação")</f>
        <v>Esporte e educação</v>
      </c>
      <c r="F266" s="21" t="str">
        <f ca="1">IFERROR(VLOOKUP(A266,'Rede - Gerando Falcões '!A265:G1261,38,0),"")</f>
        <v/>
      </c>
      <c r="G266" s="27" t="str">
        <f ca="1">IFERROR(VLOOKUP(A266,'Tabela Categorização'!A:J,10,0),"")</f>
        <v/>
      </c>
      <c r="H266" s="27" t="b">
        <f t="shared" ca="1" si="1"/>
        <v>1</v>
      </c>
      <c r="I266" s="21" t="str">
        <f>HYPERLINK("https://gerandofalcoes.my.salesforce.com/0034X0000380O3dQAE", "0034X0000380O3dQAE")</f>
        <v>0034X0000380O3dQAE</v>
      </c>
      <c r="J266" s="9" t="s">
        <v>17881</v>
      </c>
      <c r="K266" s="38" t="s">
        <v>17882</v>
      </c>
    </row>
    <row r="267" spans="1:11" ht="12.5" x14ac:dyDescent="0.25">
      <c r="A267" s="21" t="str">
        <f ca="1">IFERROR(__xludf.DUMMYFUNCTION("""COMPUTED_VALUE"""),"0014X00002VKCs4QAH")</f>
        <v>0014X00002VKCs4QAH</v>
      </c>
      <c r="B267" s="27" t="str">
        <f ca="1">IFERROR(__xludf.DUMMYFUNCTION("""COMPUTED_VALUE"""),"Fase Inicial")</f>
        <v>Fase Inicial</v>
      </c>
      <c r="C267" s="27" t="str">
        <f ca="1">IFERROR(__xludf.DUMMYFUNCTION("""COMPUTED_VALUE"""),"Fellow")</f>
        <v>Fellow</v>
      </c>
      <c r="D267" s="27" t="str">
        <f ca="1">IFERROR(__xludf.DUMMYFUNCTION("""COMPUTED_VALUE"""),"Ativo")</f>
        <v>Ativo</v>
      </c>
      <c r="E267" s="27" t="str">
        <f ca="1">IFERROR(__xludf.DUMMYFUNCTION("""COMPUTED_VALUE"""),"Extraordinários")</f>
        <v>Extraordinários</v>
      </c>
      <c r="F267" s="21" t="str">
        <f ca="1">IFERROR(VLOOKUP(A267,'Rede - Gerando Falcões '!A266:G1262,38,0),"")</f>
        <v/>
      </c>
      <c r="G267" s="27" t="str">
        <f ca="1">IFERROR(VLOOKUP(A267,'Tabela Categorização'!A:J,10,0),"")</f>
        <v>Fase Inicial</v>
      </c>
      <c r="H267" s="27" t="b">
        <f t="shared" ca="1" si="1"/>
        <v>1</v>
      </c>
      <c r="I267" s="21" t="str">
        <f>HYPERLINK("https://gerandofalcoes.my.salesforce.com/0034X0000380O63QAE", "0034X0000380O63QAE")</f>
        <v>0034X0000380O63QAE</v>
      </c>
      <c r="J267" s="9" t="s">
        <v>17881</v>
      </c>
      <c r="K267" s="38" t="s">
        <v>17882</v>
      </c>
    </row>
    <row r="268" spans="1:11" ht="12.5" x14ac:dyDescent="0.25">
      <c r="A268" s="21" t="str">
        <f ca="1">IFERROR(__xludf.DUMMYFUNCTION("""COMPUTED_VALUE"""),"0014X00002VKCslQAH")</f>
        <v>0014X00002VKCslQAH</v>
      </c>
      <c r="B268" s="27" t="str">
        <f ca="1">IFERROR(__xludf.DUMMYFUNCTION("""COMPUTED_VALUE"""),"Fase Inicial")</f>
        <v>Fase Inicial</v>
      </c>
      <c r="C268" s="27" t="str">
        <f ca="1">IFERROR(__xludf.DUMMYFUNCTION("""COMPUTED_VALUE"""),"Fellow")</f>
        <v>Fellow</v>
      </c>
      <c r="D268" s="27" t="str">
        <f ca="1">IFERROR(__xludf.DUMMYFUNCTION("""COMPUTED_VALUE"""),"Ativo")</f>
        <v>Ativo</v>
      </c>
      <c r="E268" s="27" t="str">
        <f ca="1">IFERROR(__xludf.DUMMYFUNCTION("""COMPUTED_VALUE"""),"Família Lanatanpa")</f>
        <v>Família Lanatanpa</v>
      </c>
      <c r="F268" s="21" t="str">
        <f ca="1">IFERROR(VLOOKUP(A268,'Rede - Gerando Falcões '!A267:G1263,38,0),"")</f>
        <v/>
      </c>
      <c r="G268" s="27" t="str">
        <f ca="1">IFERROR(VLOOKUP(A268,'Tabela Categorização'!A:J,10,0),"")</f>
        <v>Fase Inicial</v>
      </c>
      <c r="H268" s="27" t="b">
        <f t="shared" ca="1" si="1"/>
        <v>1</v>
      </c>
      <c r="I268" s="21" t="str">
        <f>HYPERLINK("https://gerandofalcoes.my.salesforce.com/0034P00003maBVNQA2", "0034P00003maBVNQA2")</f>
        <v>0034P00003maBVNQA2</v>
      </c>
      <c r="J268" s="9" t="s">
        <v>17881</v>
      </c>
      <c r="K268" s="38" t="s">
        <v>17882</v>
      </c>
    </row>
    <row r="269" spans="1:11" ht="12.5" x14ac:dyDescent="0.25">
      <c r="A269" s="21" t="str">
        <f ca="1">IFERROR(__xludf.DUMMYFUNCTION("""COMPUTED_VALUE"""),"0014P00003AN2FwQAL")</f>
        <v>0014P00003AN2FwQAL</v>
      </c>
      <c r="B269" s="27" t="str">
        <f ca="1">IFERROR(__xludf.DUMMYFUNCTION("""COMPUTED_VALUE"""),"Fase Inicial")</f>
        <v>Fase Inicial</v>
      </c>
      <c r="C269" s="27" t="str">
        <f ca="1">IFERROR(__xludf.DUMMYFUNCTION("""COMPUTED_VALUE"""),"Acelerada")</f>
        <v>Acelerada</v>
      </c>
      <c r="D269" s="27" t="str">
        <f ca="1">IFERROR(__xludf.DUMMYFUNCTION("""COMPUTED_VALUE"""),"Ativo")</f>
        <v>Ativo</v>
      </c>
      <c r="E269" s="27" t="str">
        <f ca="1">IFERROR(__xludf.DUMMYFUNCTION("""COMPUTED_VALUE"""),"Favela Radical")</f>
        <v>Favela Radical</v>
      </c>
      <c r="F269" s="21" t="str">
        <f ca="1">IFERROR(VLOOKUP(A269,'Rede - Gerando Falcões '!A268:G1264,38,0),"")</f>
        <v/>
      </c>
      <c r="G269" s="27" t="str">
        <f ca="1">IFERROR(VLOOKUP(A269,'Tabela Categorização'!A:J,10,0),"")</f>
        <v>Fase Inicial</v>
      </c>
      <c r="H269" s="27" t="b">
        <f t="shared" ca="1" si="1"/>
        <v>1</v>
      </c>
      <c r="I269" s="21" t="str">
        <f>HYPERLINK("https://gerandofalcoes.my.salesforce.com/0034X0000380O5cQAE", "0034X0000380O5cQAE")</f>
        <v>0034X0000380O5cQAE</v>
      </c>
      <c r="J269" s="9" t="s">
        <v>17881</v>
      </c>
      <c r="K269" s="38" t="s">
        <v>17882</v>
      </c>
    </row>
    <row r="270" spans="1:11" ht="12.5" x14ac:dyDescent="0.25">
      <c r="A270" s="21" t="str">
        <f ca="1">IFERROR(__xludf.DUMMYFUNCTION("""COMPUTED_VALUE"""),"0014X00002VKCsNQAX")</f>
        <v>0014X00002VKCsNQAX</v>
      </c>
      <c r="B270" s="27"/>
      <c r="C270" s="27" t="str">
        <f ca="1">IFERROR(__xludf.DUMMYFUNCTION("""COMPUTED_VALUE"""),"Fellow")</f>
        <v>Fellow</v>
      </c>
      <c r="D270" s="27" t="str">
        <f ca="1">IFERROR(__xludf.DUMMYFUNCTION("""COMPUTED_VALUE"""),"Ativo")</f>
        <v>Ativo</v>
      </c>
      <c r="E270" s="27" t="str">
        <f ca="1">IFERROR(__xludf.DUMMYFUNCTION("""COMPUTED_VALUE"""),"favela surf clube")</f>
        <v>favela surf clube</v>
      </c>
      <c r="F270" s="21" t="str">
        <f ca="1">IFERROR(VLOOKUP(A270,'Rede - Gerando Falcões '!A269:G1265,38,0),"")</f>
        <v/>
      </c>
      <c r="G270" s="27" t="str">
        <f ca="1">IFERROR(VLOOKUP(A270,'Tabela Categorização'!A:J,10,0),"")</f>
        <v/>
      </c>
      <c r="H270" s="27" t="b">
        <f t="shared" ca="1" si="1"/>
        <v>1</v>
      </c>
      <c r="I270" s="21" t="str">
        <f>HYPERLINK("https://gerandofalcoes.my.salesforce.com/0034X0000380O6mQAE", "0034X0000380O6mQAE")</f>
        <v>0034X0000380O6mQAE</v>
      </c>
      <c r="J270" s="9" t="s">
        <v>17881</v>
      </c>
      <c r="K270" s="38" t="s">
        <v>17882</v>
      </c>
    </row>
    <row r="271" spans="1:11" ht="12.5" x14ac:dyDescent="0.25">
      <c r="A271" s="21" t="str">
        <f ca="1">IFERROR(__xludf.DUMMYFUNCTION("""COMPUTED_VALUE"""),"0014X00002VKCtZQAX")</f>
        <v>0014X00002VKCtZQAX</v>
      </c>
      <c r="B271" s="27"/>
      <c r="C271" s="27" t="str">
        <f ca="1">IFERROR(__xludf.DUMMYFUNCTION("""COMPUTED_VALUE"""),"Fellow")</f>
        <v>Fellow</v>
      </c>
      <c r="D271" s="27" t="str">
        <f ca="1">IFERROR(__xludf.DUMMYFUNCTION("""COMPUTED_VALUE"""),"Ativo")</f>
        <v>Ativo</v>
      </c>
      <c r="E271" s="27" t="str">
        <f ca="1">IFERROR(__xludf.DUMMYFUNCTION("""COMPUTED_VALUE"""),"Fazer a diferença")</f>
        <v>Fazer a diferença</v>
      </c>
      <c r="F271" s="21" t="str">
        <f ca="1">IFERROR(VLOOKUP(A271,'Rede - Gerando Falcões '!A270:G1266,38,0),"")</f>
        <v/>
      </c>
      <c r="G271" s="27" t="str">
        <f ca="1">IFERROR(VLOOKUP(A271,'Tabela Categorização'!A:J,10,0),"")</f>
        <v/>
      </c>
      <c r="H271" s="27" t="b">
        <f t="shared" ca="1" si="1"/>
        <v>1</v>
      </c>
      <c r="I271" s="21" t="str">
        <f>HYPERLINK("https://gerandofalcoes.my.salesforce.com/0034X0000380O2XQAU", "0034X0000380O2XQAU")</f>
        <v>0034X0000380O2XQAU</v>
      </c>
      <c r="J271" s="9" t="s">
        <v>17881</v>
      </c>
      <c r="K271" s="38" t="s">
        <v>17882</v>
      </c>
    </row>
    <row r="272" spans="1:11" ht="12.5" x14ac:dyDescent="0.25">
      <c r="A272" s="21" t="str">
        <f ca="1">IFERROR(__xludf.DUMMYFUNCTION("""COMPUTED_VALUE"""),"0014X00002VKD05QAH")</f>
        <v>0014X00002VKD05QAH</v>
      </c>
      <c r="B272" s="27" t="str">
        <f ca="1">IFERROR(__xludf.DUMMYFUNCTION("""COMPUTED_VALUE"""),"Fase Inicial")</f>
        <v>Fase Inicial</v>
      </c>
      <c r="C272" s="27" t="str">
        <f ca="1">IFERROR(__xludf.DUMMYFUNCTION("""COMPUTED_VALUE"""),"Fellow")</f>
        <v>Fellow</v>
      </c>
      <c r="D272" s="27" t="str">
        <f ca="1">IFERROR(__xludf.DUMMYFUNCTION("""COMPUTED_VALUE"""),"Ativo")</f>
        <v>Ativo</v>
      </c>
      <c r="E272" s="27" t="str">
        <f ca="1">IFERROR(__xludf.DUMMYFUNCTION("""COMPUTED_VALUE"""),"Federação Internacional de Sorvebol")</f>
        <v>Federação Internacional de Sorvebol</v>
      </c>
      <c r="F272" s="21" t="str">
        <f ca="1">IFERROR(VLOOKUP(A272,'Rede - Gerando Falcões '!A271:G1267,38,0),"")</f>
        <v/>
      </c>
      <c r="G272" s="27" t="str">
        <f ca="1">IFERROR(VLOOKUP(A272,'Tabela Categorização'!A:J,10,0),"")</f>
        <v>Fase Inicial</v>
      </c>
      <c r="H272" s="27" t="b">
        <f t="shared" ca="1" si="1"/>
        <v>1</v>
      </c>
      <c r="I272" s="21" t="str">
        <f>HYPERLINK("https://gerandofalcoes.my.salesforce.com/0034P00003maBVGQA2", "0034P00003maBVGQA2")</f>
        <v>0034P00003maBVGQA2</v>
      </c>
      <c r="J272" s="9" t="s">
        <v>17881</v>
      </c>
      <c r="K272" s="38" t="s">
        <v>17882</v>
      </c>
    </row>
    <row r="273" spans="1:11" ht="12.5" x14ac:dyDescent="0.25">
      <c r="A273" s="21" t="str">
        <f ca="1">IFERROR(__xludf.DUMMYFUNCTION("""COMPUTED_VALUE"""),"0014P00003AN2FpQAL")</f>
        <v>0014P00003AN2FpQAL</v>
      </c>
      <c r="B273" s="27" t="str">
        <f ca="1">IFERROR(__xludf.DUMMYFUNCTION("""COMPUTED_VALUE"""),"Fase Estruturação")</f>
        <v>Fase Estruturação</v>
      </c>
      <c r="C273" s="27" t="str">
        <f ca="1">IFERROR(__xludf.DUMMYFUNCTION("""COMPUTED_VALUE"""),"Acelerada")</f>
        <v>Acelerada</v>
      </c>
      <c r="D273" s="27" t="str">
        <f ca="1">IFERROR(__xludf.DUMMYFUNCTION("""COMPUTED_VALUE"""),"Ativo")</f>
        <v>Ativo</v>
      </c>
      <c r="E273" s="27" t="str">
        <f ca="1">IFERROR(__xludf.DUMMYFUNCTION("""COMPUTED_VALUE"""),"Fortini Investimento Social")</f>
        <v>Fortini Investimento Social</v>
      </c>
      <c r="F273" s="21" t="str">
        <f ca="1">IFERROR(VLOOKUP(A273,'Rede - Gerando Falcões '!A272:G1268,38,0),"")</f>
        <v/>
      </c>
      <c r="G273" s="27" t="str">
        <f ca="1">IFERROR(VLOOKUP(A273,'Tabela Categorização'!A:J,10,0),"")</f>
        <v>Fase Estruturação</v>
      </c>
      <c r="H273" s="27" t="b">
        <f t="shared" ca="1" si="1"/>
        <v>1</v>
      </c>
      <c r="I273" s="21" t="str">
        <f>HYPERLINK("https://gerandofalcoes.my.salesforce.com/0034X0000380O1TQAU", "0034X0000380O1TQAU")</f>
        <v>0034X0000380O1TQAU</v>
      </c>
      <c r="J273" s="9" t="s">
        <v>17881</v>
      </c>
      <c r="K273" s="38" t="s">
        <v>17882</v>
      </c>
    </row>
    <row r="274" spans="1:11" ht="12.5" x14ac:dyDescent="0.25">
      <c r="A274" s="21" t="str">
        <f ca="1">IFERROR(__xludf.DUMMYFUNCTION("""COMPUTED_VALUE"""),"0014P00003YSp8XQAT")</f>
        <v>0014P00003YSp8XQAT</v>
      </c>
      <c r="B274" s="27" t="str">
        <f ca="1">IFERROR(__xludf.DUMMYFUNCTION("""COMPUTED_VALUE"""),"Fase Inicial")</f>
        <v>Fase Inicial</v>
      </c>
      <c r="C274" s="27" t="str">
        <f ca="1">IFERROR(__xludf.DUMMYFUNCTION("""COMPUTED_VALUE"""),"Fellow")</f>
        <v>Fellow</v>
      </c>
      <c r="D274" s="27" t="str">
        <f ca="1">IFERROR(__xludf.DUMMYFUNCTION("""COMPUTED_VALUE"""),"Ativo")</f>
        <v>Ativo</v>
      </c>
      <c r="E274" s="27" t="str">
        <f ca="1">IFERROR(__xludf.DUMMYFUNCTION("""COMPUTED_VALUE"""),"Fórum de Juventudes do Território do Bem")</f>
        <v>Fórum de Juventudes do Território do Bem</v>
      </c>
      <c r="F274" s="21" t="str">
        <f ca="1">IFERROR(VLOOKUP(A274,'Rede - Gerando Falcões '!A273:G1269,38,0),"")</f>
        <v/>
      </c>
      <c r="G274" s="27" t="str">
        <f ca="1">IFERROR(VLOOKUP(A274,'Tabela Categorização'!A:J,10,0),"")</f>
        <v>Fase Inicial</v>
      </c>
      <c r="H274" s="27" t="b">
        <f t="shared" ca="1" si="1"/>
        <v>1</v>
      </c>
      <c r="I274" s="21" t="str">
        <f>HYPERLINK("https://gerandofalcoes.my.salesforce.com/0034P000045kxj8QAA", "0034P000045kxj8QAA")</f>
        <v>0034P000045kxj8QAA</v>
      </c>
      <c r="J274" s="9" t="s">
        <v>17881</v>
      </c>
      <c r="K274" s="38" t="s">
        <v>17882</v>
      </c>
    </row>
    <row r="275" spans="1:11" ht="12.5" x14ac:dyDescent="0.25">
      <c r="A275" s="21" t="str">
        <f ca="1">IFERROR(__xludf.DUMMYFUNCTION("""COMPUTED_VALUE"""),"0014P00003YSp8KQAT")</f>
        <v>0014P00003YSp8KQAT</v>
      </c>
      <c r="B275" s="27" t="str">
        <f ca="1">IFERROR(__xludf.DUMMYFUNCTION("""COMPUTED_VALUE"""),"Fase Inicial")</f>
        <v>Fase Inicial</v>
      </c>
      <c r="C275" s="27" t="str">
        <f ca="1">IFERROR(__xludf.DUMMYFUNCTION("""COMPUTED_VALUE"""),"Fellow")</f>
        <v>Fellow</v>
      </c>
      <c r="D275" s="27" t="str">
        <f ca="1">IFERROR(__xludf.DUMMYFUNCTION("""COMPUTED_VALUE"""),"Ativo")</f>
        <v>Ativo</v>
      </c>
      <c r="E275" s="27" t="str">
        <f ca="1">IFERROR(__xludf.DUMMYFUNCTION("""COMPUTED_VALUE"""),"Fundação Beneficente Evangélica Jesus de Nazaré")</f>
        <v>Fundação Beneficente Evangélica Jesus de Nazaré</v>
      </c>
      <c r="F275" s="21" t="str">
        <f ca="1">IFERROR(VLOOKUP(A275,'Rede - Gerando Falcões '!A274:G1270,38,0),"")</f>
        <v/>
      </c>
      <c r="G275" s="27" t="str">
        <f ca="1">IFERROR(VLOOKUP(A275,'Tabela Categorização'!A:J,10,0),"")</f>
        <v>Fase Inicial</v>
      </c>
      <c r="H275" s="27" t="b">
        <f t="shared" ca="1" si="1"/>
        <v>1</v>
      </c>
      <c r="I275" s="21" t="str">
        <f>HYPERLINK("https://gerandofalcoes.my.salesforce.com/0034P000045kxivQAA", "0034P000045kxivQAA")</f>
        <v>0034P000045kxivQAA</v>
      </c>
      <c r="J275" s="9" t="s">
        <v>17881</v>
      </c>
      <c r="K275" s="38" t="s">
        <v>17882</v>
      </c>
    </row>
    <row r="276" spans="1:11" ht="12.5" x14ac:dyDescent="0.25">
      <c r="A276" s="21" t="str">
        <f ca="1">IFERROR(__xludf.DUMMYFUNCTION("""COMPUTED_VALUE"""),"0014P00003YSp9ZQAT")</f>
        <v>0014P00003YSp9ZQAT</v>
      </c>
      <c r="B276" s="27" t="str">
        <f ca="1">IFERROR(__xludf.DUMMYFUNCTION("""COMPUTED_VALUE"""),"Fase Inicial")</f>
        <v>Fase Inicial</v>
      </c>
      <c r="C276" s="27" t="str">
        <f ca="1">IFERROR(__xludf.DUMMYFUNCTION("""COMPUTED_VALUE"""),"Fellow")</f>
        <v>Fellow</v>
      </c>
      <c r="D276" s="27" t="str">
        <f ca="1">IFERROR(__xludf.DUMMYFUNCTION("""COMPUTED_VALUE"""),"Afastado")</f>
        <v>Afastado</v>
      </c>
      <c r="E276" s="27" t="str">
        <f ca="1">IFERROR(__xludf.DUMMYFUNCTION("""COMPUTED_VALUE"""),"Fundação Getsêmani")</f>
        <v>Fundação Getsêmani</v>
      </c>
      <c r="F276" s="21" t="str">
        <f ca="1">IFERROR(VLOOKUP(A276,'Rede - Gerando Falcões '!A275:G1271,38,0),"")</f>
        <v/>
      </c>
      <c r="G276" s="27" t="str">
        <f ca="1">IFERROR(VLOOKUP(A276,'Tabela Categorização'!A:J,10,0),"")</f>
        <v>Fase Inicial</v>
      </c>
      <c r="H276" s="27" t="b">
        <f t="shared" ca="1" si="1"/>
        <v>1</v>
      </c>
      <c r="I276" s="21" t="str">
        <f>HYPERLINK("https://gerandofalcoes.my.salesforce.com/0034P000045kxkBQAQ", "0034P000045kxkBQAQ")</f>
        <v>0034P000045kxkBQAQ</v>
      </c>
      <c r="J276" s="9" t="s">
        <v>17881</v>
      </c>
      <c r="K276" s="38" t="s">
        <v>17882</v>
      </c>
    </row>
    <row r="277" spans="1:11" ht="12.5" x14ac:dyDescent="0.25">
      <c r="A277" s="21" t="str">
        <f ca="1">IFERROR(__xludf.DUMMYFUNCTION("""COMPUTED_VALUE"""),"0014X00002VKCr7QAH")</f>
        <v>0014X00002VKCr7QAH</v>
      </c>
      <c r="B277" s="27" t="str">
        <f ca="1">IFERROR(__xludf.DUMMYFUNCTION("""COMPUTED_VALUE"""),"Fase Inicial")</f>
        <v>Fase Inicial</v>
      </c>
      <c r="C277" s="27" t="str">
        <f ca="1">IFERROR(__xludf.DUMMYFUNCTION("""COMPUTED_VALUE"""),"Fellow")</f>
        <v>Fellow</v>
      </c>
      <c r="D277" s="27" t="str">
        <f ca="1">IFERROR(__xludf.DUMMYFUNCTION("""COMPUTED_VALUE"""),"Ativo")</f>
        <v>Ativo</v>
      </c>
      <c r="E277" s="27" t="str">
        <f ca="1">IFERROR(__xludf.DUMMYFUNCTION("""COMPUTED_VALUE"""),"Geração GK")</f>
        <v>Geração GK</v>
      </c>
      <c r="F277" s="21" t="str">
        <f ca="1">IFERROR(VLOOKUP(A277,'Rede - Gerando Falcões '!A276:G1272,38,0),"")</f>
        <v/>
      </c>
      <c r="G277" s="27" t="str">
        <f ca="1">IFERROR(VLOOKUP(A277,'Tabela Categorização'!A:J,10,0),"")</f>
        <v>Fase Inicial</v>
      </c>
      <c r="H277" s="27" t="b">
        <f t="shared" ca="1" si="1"/>
        <v>1</v>
      </c>
      <c r="I277" s="21" t="str">
        <f>HYPERLINK("https://gerandofalcoes.my.salesforce.com/0034X0000380O3IQAU", "0034X0000380O3IQAU")</f>
        <v>0034X0000380O3IQAU</v>
      </c>
      <c r="J277" s="9" t="s">
        <v>17881</v>
      </c>
      <c r="K277" s="38" t="s">
        <v>17882</v>
      </c>
    </row>
    <row r="278" spans="1:11" ht="12.5" x14ac:dyDescent="0.25">
      <c r="A278" s="21" t="str">
        <f ca="1">IFERROR(__xludf.DUMMYFUNCTION("""COMPUTED_VALUE"""),"0014X00002VKCpQQAX")</f>
        <v>0014X00002VKCpQQAX</v>
      </c>
      <c r="B278" s="27" t="str">
        <f ca="1">IFERROR(__xludf.DUMMYFUNCTION("""COMPUTED_VALUE"""),"Fase Inicial")</f>
        <v>Fase Inicial</v>
      </c>
      <c r="C278" s="27" t="str">
        <f ca="1">IFERROR(__xludf.DUMMYFUNCTION("""COMPUTED_VALUE"""),"Fellow")</f>
        <v>Fellow</v>
      </c>
      <c r="D278" s="27" t="str">
        <f ca="1">IFERROR(__xludf.DUMMYFUNCTION("""COMPUTED_VALUE"""),"Ativo")</f>
        <v>Ativo</v>
      </c>
      <c r="E278" s="27" t="str">
        <f ca="1">IFERROR(__xludf.DUMMYFUNCTION("""COMPUTED_VALUE"""),"GESCA - Grêmio Educacional* Social e Cultural Águias de Santo Antônio de Jesus")</f>
        <v>GESCA - Grêmio Educacional* Social e Cultural Águias de Santo Antônio de Jesus</v>
      </c>
      <c r="F278" s="21" t="str">
        <f ca="1">IFERROR(VLOOKUP(A278,'Rede - Gerando Falcões '!A277:G1273,38,0),"")</f>
        <v/>
      </c>
      <c r="G278" s="27" t="str">
        <f ca="1">IFERROR(VLOOKUP(A278,'Tabela Categorização'!A:J,10,0),"")</f>
        <v>Fase Inicial</v>
      </c>
      <c r="H278" s="27" t="b">
        <f t="shared" ca="1" si="1"/>
        <v>1</v>
      </c>
      <c r="I278" s="21" t="str">
        <f>HYPERLINK("https://gerandofalcoes.my.salesforce.com/0034X0000380O0tQAE", "0034X0000380O0tQAE")</f>
        <v>0034X0000380O0tQAE</v>
      </c>
      <c r="J278" s="9" t="s">
        <v>17881</v>
      </c>
      <c r="K278" s="38" t="s">
        <v>17882</v>
      </c>
    </row>
    <row r="279" spans="1:11" ht="12.5" x14ac:dyDescent="0.25">
      <c r="A279" s="21" t="str">
        <f ca="1">IFERROR(__xludf.DUMMYFUNCTION("""COMPUTED_VALUE"""),"0014X00002VKCt7QAH")</f>
        <v>0014X00002VKCt7QAH</v>
      </c>
      <c r="B279" s="27" t="str">
        <f ca="1">IFERROR(__xludf.DUMMYFUNCTION("""COMPUTED_VALUE"""),"Fase Inicial")</f>
        <v>Fase Inicial</v>
      </c>
      <c r="C279" s="27" t="str">
        <f ca="1">IFERROR(__xludf.DUMMYFUNCTION("""COMPUTED_VALUE"""),"Fellow")</f>
        <v>Fellow</v>
      </c>
      <c r="D279" s="27" t="str">
        <f ca="1">IFERROR(__xludf.DUMMYFUNCTION("""COMPUTED_VALUE"""),"Ativo")</f>
        <v>Ativo</v>
      </c>
      <c r="E279" s="27" t="str">
        <f ca="1">IFERROR(__xludf.DUMMYFUNCTION("""COMPUTED_VALUE"""),"GRAM Grupo de Apoio à Mulher")</f>
        <v>GRAM Grupo de Apoio à Mulher</v>
      </c>
      <c r="F279" s="21" t="str">
        <f ca="1">IFERROR(VLOOKUP(A279,'Rede - Gerando Falcões '!A278:G1274,38,0),"")</f>
        <v/>
      </c>
      <c r="G279" s="27" t="str">
        <f ca="1">IFERROR(VLOOKUP(A279,'Tabela Categorização'!A:J,10,0),"")</f>
        <v>Fase Inicial</v>
      </c>
      <c r="H279" s="27" t="b">
        <f t="shared" ca="1" si="1"/>
        <v>1</v>
      </c>
      <c r="I279" s="21" t="str">
        <f>HYPERLINK("https://gerandofalcoes.my.salesforce.com/0034X0000380O2QQAU", "0034X0000380O2QQAU")</f>
        <v>0034X0000380O2QQAU</v>
      </c>
      <c r="J279" s="9" t="s">
        <v>17881</v>
      </c>
      <c r="K279" s="38" t="s">
        <v>17882</v>
      </c>
    </row>
    <row r="280" spans="1:11" ht="12.5" x14ac:dyDescent="0.25">
      <c r="A280" s="21" t="str">
        <f ca="1">IFERROR(__xludf.DUMMYFUNCTION("""COMPUTED_VALUE"""),"0014P00003AN2FmQAL")</f>
        <v>0014P00003AN2FmQAL</v>
      </c>
      <c r="B280" s="27" t="str">
        <f ca="1">IFERROR(__xludf.DUMMYFUNCTION("""COMPUTED_VALUE"""),"Fase Avançada")</f>
        <v>Fase Avançada</v>
      </c>
      <c r="C280" s="27" t="str">
        <f ca="1">IFERROR(__xludf.DUMMYFUNCTION("""COMPUTED_VALUE"""),"Acelerada")</f>
        <v>Acelerada</v>
      </c>
      <c r="D280" s="27" t="str">
        <f ca="1">IFERROR(__xludf.DUMMYFUNCTION("""COMPUTED_VALUE"""),"Ativo")</f>
        <v>Ativo</v>
      </c>
      <c r="E280" s="27" t="str">
        <f ca="1">IFERROR(__xludf.DUMMYFUNCTION("""COMPUTED_VALUE"""),"Grupo Anjos da Tia Stellinha")</f>
        <v>Grupo Anjos da Tia Stellinha</v>
      </c>
      <c r="F280" s="21" t="str">
        <f ca="1">IFERROR(VLOOKUP(A280,'Rede - Gerando Falcões '!A279:G1275,38,0),"")</f>
        <v/>
      </c>
      <c r="G280" s="27" t="str">
        <f ca="1">IFERROR(VLOOKUP(A280,'Tabela Categorização'!A:J,10,0),"")</f>
        <v>Fase Avançada</v>
      </c>
      <c r="H280" s="27" t="b">
        <f t="shared" ca="1" si="1"/>
        <v>1</v>
      </c>
      <c r="I280" s="21" t="str">
        <f>HYPERLINK("https://gerandofalcoes.my.salesforce.com/0034P00003maBVDQA2", "0034P00003maBVDQA2")</f>
        <v>0034P00003maBVDQA2</v>
      </c>
      <c r="J280" s="9" t="s">
        <v>17881</v>
      </c>
      <c r="K280" s="38" t="s">
        <v>17882</v>
      </c>
    </row>
    <row r="281" spans="1:11" ht="12.5" x14ac:dyDescent="0.25">
      <c r="A281" s="21" t="str">
        <f ca="1">IFERROR(__xludf.DUMMYFUNCTION("""COMPUTED_VALUE"""),"0014P00003YSp8MQAT")</f>
        <v>0014P00003YSp8MQAT</v>
      </c>
      <c r="B281" s="27" t="str">
        <f ca="1">IFERROR(__xludf.DUMMYFUNCTION("""COMPUTED_VALUE"""),"Fase Estruturação")</f>
        <v>Fase Estruturação</v>
      </c>
      <c r="C281" s="27" t="str">
        <f ca="1">IFERROR(__xludf.DUMMYFUNCTION("""COMPUTED_VALUE"""),"Fellow")</f>
        <v>Fellow</v>
      </c>
      <c r="D281" s="27" t="str">
        <f ca="1">IFERROR(__xludf.DUMMYFUNCTION("""COMPUTED_VALUE"""),"Ativo")</f>
        <v>Ativo</v>
      </c>
      <c r="E281" s="27" t="str">
        <f ca="1">IFERROR(__xludf.DUMMYFUNCTION("""COMPUTED_VALUE"""),"Grupo Central Cultura Urbana")</f>
        <v>Grupo Central Cultura Urbana</v>
      </c>
      <c r="F281" s="21" t="str">
        <f ca="1">IFERROR(VLOOKUP(A281,'Rede - Gerando Falcões '!A280:G1276,38,0),"")</f>
        <v/>
      </c>
      <c r="G281" s="27" t="str">
        <f ca="1">IFERROR(VLOOKUP(A281,'Tabela Categorização'!A:J,10,0),"")</f>
        <v>Fase Estruturação</v>
      </c>
      <c r="H281" s="27" t="b">
        <f t="shared" ca="1" si="1"/>
        <v>1</v>
      </c>
      <c r="I281" s="21" t="str">
        <f>HYPERLINK("https://gerandofalcoes.my.salesforce.com/0034P000045kxixQAA", "0034P000045kxixQAA")</f>
        <v>0034P000045kxixQAA</v>
      </c>
      <c r="J281" s="9" t="s">
        <v>17881</v>
      </c>
      <c r="K281" s="38" t="s">
        <v>17882</v>
      </c>
    </row>
    <row r="282" spans="1:11" ht="12.5" x14ac:dyDescent="0.25">
      <c r="A282" s="21" t="str">
        <f ca="1">IFERROR(__xludf.DUMMYFUNCTION("""COMPUTED_VALUE"""),"0014X00002VKCqMQAX")</f>
        <v>0014X00002VKCqMQAX</v>
      </c>
      <c r="B282" s="27" t="str">
        <f ca="1">IFERROR(__xludf.DUMMYFUNCTION("""COMPUTED_VALUE"""),"Fase Inicial")</f>
        <v>Fase Inicial</v>
      </c>
      <c r="C282" s="27" t="str">
        <f ca="1">IFERROR(__xludf.DUMMYFUNCTION("""COMPUTED_VALUE"""),"Fellow")</f>
        <v>Fellow</v>
      </c>
      <c r="D282" s="27" t="str">
        <f ca="1">IFERROR(__xludf.DUMMYFUNCTION("""COMPUTED_VALUE"""),"Ativo")</f>
        <v>Ativo</v>
      </c>
      <c r="E282" s="27" t="str">
        <f ca="1">IFERROR(__xludf.DUMMYFUNCTION("""COMPUTED_VALUE"""),"Grupo Comunitário Semente da Esperança")</f>
        <v>Grupo Comunitário Semente da Esperança</v>
      </c>
      <c r="F282" s="21" t="str">
        <f ca="1">IFERROR(VLOOKUP(A282,'Rede - Gerando Falcões '!A281:G1277,38,0),"")</f>
        <v/>
      </c>
      <c r="G282" s="27" t="str">
        <f ca="1">IFERROR(VLOOKUP(A282,'Tabela Categorização'!A:J,10,0),"")</f>
        <v>Fase Inicial</v>
      </c>
      <c r="H282" s="27" t="b">
        <f t="shared" ca="1" si="1"/>
        <v>1</v>
      </c>
      <c r="I282" s="21" t="str">
        <f>HYPERLINK("https://gerandofalcoes.my.salesforce.com/0034X0000380O4qQAE", "0034X0000380O4qQAE")</f>
        <v>0034X0000380O4qQAE</v>
      </c>
      <c r="J282" s="9" t="s">
        <v>17881</v>
      </c>
      <c r="K282" s="38" t="s">
        <v>17882</v>
      </c>
    </row>
    <row r="283" spans="1:11" ht="12.5" x14ac:dyDescent="0.25">
      <c r="A283" s="21" t="str">
        <f ca="1">IFERROR(__xludf.DUMMYFUNCTION("""COMPUTED_VALUE"""),"0014X00002VKCtVQAX")</f>
        <v>0014X00002VKCtVQAX</v>
      </c>
      <c r="B283" s="27" t="str">
        <f ca="1">IFERROR(__xludf.DUMMYFUNCTION("""COMPUTED_VALUE"""),"Fase Inicial")</f>
        <v>Fase Inicial</v>
      </c>
      <c r="C283" s="27" t="str">
        <f ca="1">IFERROR(__xludf.DUMMYFUNCTION("""COMPUTED_VALUE"""),"Fellow")</f>
        <v>Fellow</v>
      </c>
      <c r="D283" s="27" t="str">
        <f ca="1">IFERROR(__xludf.DUMMYFUNCTION("""COMPUTED_VALUE"""),"Ativo")</f>
        <v>Ativo</v>
      </c>
      <c r="E283" s="27" t="str">
        <f ca="1">IFERROR(__xludf.DUMMYFUNCTION("""COMPUTED_VALUE"""),"GRUPO CULTURAL ARTD'RUA")</f>
        <v>GRUPO CULTURAL ARTD'RUA</v>
      </c>
      <c r="F283" s="21" t="str">
        <f ca="1">IFERROR(VLOOKUP(A283,'Rede - Gerando Falcões '!A282:G1278,38,0),"")</f>
        <v/>
      </c>
      <c r="G283" s="27" t="str">
        <f ca="1">IFERROR(VLOOKUP(A283,'Tabela Categorização'!A:J,10,0),"")</f>
        <v>Fase Inicial</v>
      </c>
      <c r="H283" s="27" t="b">
        <f t="shared" ca="1" si="1"/>
        <v>1</v>
      </c>
      <c r="I283" s="21" t="str">
        <f>HYPERLINK("https://gerandofalcoes.my.salesforce.com/0034X0000380O1wQAE", "0034X0000380O1wQAE")</f>
        <v>0034X0000380O1wQAE</v>
      </c>
      <c r="J283" s="9" t="s">
        <v>17881</v>
      </c>
      <c r="K283" s="38" t="s">
        <v>17882</v>
      </c>
    </row>
    <row r="284" spans="1:11" ht="12.5" x14ac:dyDescent="0.25">
      <c r="A284" s="21" t="str">
        <f ca="1">IFERROR(__xludf.DUMMYFUNCTION("""COMPUTED_VALUE"""),"0014X00002VKCrTQAX")</f>
        <v>0014X00002VKCrTQAX</v>
      </c>
      <c r="B284" s="27" t="str">
        <f ca="1">IFERROR(__xludf.DUMMYFUNCTION("""COMPUTED_VALUE"""),"Fase Inicial")</f>
        <v>Fase Inicial</v>
      </c>
      <c r="C284" s="27" t="str">
        <f ca="1">IFERROR(__xludf.DUMMYFUNCTION("""COMPUTED_VALUE"""),"Fellow")</f>
        <v>Fellow</v>
      </c>
      <c r="D284" s="27" t="str">
        <f ca="1">IFERROR(__xludf.DUMMYFUNCTION("""COMPUTED_VALUE"""),"Ativo")</f>
        <v>Ativo</v>
      </c>
      <c r="E284" s="27" t="str">
        <f ca="1">IFERROR(__xludf.DUMMYFUNCTION("""COMPUTED_VALUE"""),"GRUPO DE ASSISTENCIA SOCIAL* CULTURAL* ESPORTES E LAZER - G.A.S")</f>
        <v>GRUPO DE ASSISTENCIA SOCIAL* CULTURAL* ESPORTES E LAZER - G.A.S</v>
      </c>
      <c r="F284" s="21" t="str">
        <f ca="1">IFERROR(VLOOKUP(A284,'Rede - Gerando Falcões '!A283:G1279,38,0),"")</f>
        <v/>
      </c>
      <c r="G284" s="27" t="str">
        <f ca="1">IFERROR(VLOOKUP(A284,'Tabela Categorização'!A:J,10,0),"")</f>
        <v>Fase Inicial</v>
      </c>
      <c r="H284" s="27" t="b">
        <f t="shared" ca="1" si="1"/>
        <v>1</v>
      </c>
      <c r="I284" s="21" t="str">
        <f>HYPERLINK("https://gerandofalcoes.my.salesforce.com/0034X0000380O3hQAE", "0034X0000380O3hQAE")</f>
        <v>0034X0000380O3hQAE</v>
      </c>
      <c r="J284" s="9" t="s">
        <v>17881</v>
      </c>
      <c r="K284" s="38" t="s">
        <v>17882</v>
      </c>
    </row>
    <row r="285" spans="1:11" ht="12.5" x14ac:dyDescent="0.25">
      <c r="A285" s="21" t="str">
        <f ca="1">IFERROR(__xludf.DUMMYFUNCTION("""COMPUTED_VALUE"""),"0014X00002VKCpdQAH")</f>
        <v>0014X00002VKCpdQAH</v>
      </c>
      <c r="B285" s="27" t="str">
        <f ca="1">IFERROR(__xludf.DUMMYFUNCTION("""COMPUTED_VALUE"""),"Fase Estruturação")</f>
        <v>Fase Estruturação</v>
      </c>
      <c r="C285" s="27" t="str">
        <f ca="1">IFERROR(__xludf.DUMMYFUNCTION("""COMPUTED_VALUE"""),"Fellow")</f>
        <v>Fellow</v>
      </c>
      <c r="D285" s="27" t="str">
        <f ca="1">IFERROR(__xludf.DUMMYFUNCTION("""COMPUTED_VALUE"""),"Ativo")</f>
        <v>Ativo</v>
      </c>
      <c r="E285" s="27" t="str">
        <f ca="1">IFERROR(__xludf.DUMMYFUNCTION("""COMPUTED_VALUE"""),"IASAL")</f>
        <v>IASAL</v>
      </c>
      <c r="F285" s="21" t="str">
        <f ca="1">IFERROR(VLOOKUP(A285,'Rede - Gerando Falcões '!A284:G1280,38,0),"")</f>
        <v/>
      </c>
      <c r="G285" s="27" t="str">
        <f ca="1">IFERROR(VLOOKUP(A285,'Tabela Categorização'!A:J,10,0),"")</f>
        <v>Fase Estruturação</v>
      </c>
      <c r="H285" s="27" t="b">
        <f t="shared" ca="1" si="1"/>
        <v>1</v>
      </c>
      <c r="I285" s="21" t="str">
        <f>HYPERLINK("https://gerandofalcoes.my.salesforce.com/0034X0000380O64QAE", "0034X0000380O64QAE")</f>
        <v>0034X0000380O64QAE</v>
      </c>
      <c r="J285" s="9" t="s">
        <v>17881</v>
      </c>
      <c r="K285" s="38" t="s">
        <v>17882</v>
      </c>
    </row>
    <row r="286" spans="1:11" ht="12.5" x14ac:dyDescent="0.25">
      <c r="A286" s="21" t="str">
        <f ca="1">IFERROR(__xludf.DUMMYFUNCTION("""COMPUTED_VALUE"""),"0014P00003SGWPVQA5")</f>
        <v>0014P00003SGWPVQA5</v>
      </c>
      <c r="B286" s="27" t="str">
        <f ca="1">IFERROR(__xludf.DUMMYFUNCTION("""COMPUTED_VALUE"""),"Fase Inicial")</f>
        <v>Fase Inicial</v>
      </c>
      <c r="C286" s="27" t="str">
        <f ca="1">IFERROR(__xludf.DUMMYFUNCTION("""COMPUTED_VALUE"""),"Fellow")</f>
        <v>Fellow</v>
      </c>
      <c r="D286" s="27" t="str">
        <f ca="1">IFERROR(__xludf.DUMMYFUNCTION("""COMPUTED_VALUE"""),"Ativo")</f>
        <v>Ativo</v>
      </c>
      <c r="E286" s="27" t="str">
        <f ca="1">IFERROR(__xludf.DUMMYFUNCTION("""COMPUTED_VALUE"""),"ICEF- INSTITUTO DOM")</f>
        <v>ICEF- INSTITUTO DOM</v>
      </c>
      <c r="F286" s="21" t="str">
        <f ca="1">IFERROR(VLOOKUP(A286,'Rede - Gerando Falcões '!A285:G1281,38,0),"")</f>
        <v/>
      </c>
      <c r="G286" s="27" t="str">
        <f ca="1">IFERROR(VLOOKUP(A286,'Tabela Categorização'!A:J,10,0),"")</f>
        <v>Fase Inicial</v>
      </c>
      <c r="H286" s="27" t="b">
        <f t="shared" ca="1" si="1"/>
        <v>1</v>
      </c>
      <c r="I286" s="21" t="str">
        <f>HYPERLINK("https://gerandofalcoes.my.salesforce.com/0034P000043fOncQAE", "0034P000043fOncQAE")</f>
        <v>0034P000043fOncQAE</v>
      </c>
      <c r="J286" s="9" t="s">
        <v>17881</v>
      </c>
      <c r="K286" s="38" t="s">
        <v>17882</v>
      </c>
    </row>
    <row r="287" spans="1:11" ht="12.5" x14ac:dyDescent="0.25">
      <c r="A287" s="21" t="str">
        <f ca="1">IFERROR(__xludf.DUMMYFUNCTION("""COMPUTED_VALUE"""),"0014X00002VKCqyQAH")</f>
        <v>0014X00002VKCqyQAH</v>
      </c>
      <c r="B287" s="27" t="str">
        <f ca="1">IFERROR(__xludf.DUMMYFUNCTION("""COMPUTED_VALUE"""),"Fase Inicial")</f>
        <v>Fase Inicial</v>
      </c>
      <c r="C287" s="27" t="str">
        <f ca="1">IFERROR(__xludf.DUMMYFUNCTION("""COMPUTED_VALUE"""),"Fellow")</f>
        <v>Fellow</v>
      </c>
      <c r="D287" s="27" t="str">
        <f ca="1">IFERROR(__xludf.DUMMYFUNCTION("""COMPUTED_VALUE"""),"Ativo")</f>
        <v>Ativo</v>
      </c>
      <c r="E287" s="27" t="str">
        <f ca="1">IFERROR(__xludf.DUMMYFUNCTION("""COMPUTED_VALUE"""),"Ideal do Amanhã Guaicuy")</f>
        <v>Ideal do Amanhã Guaicuy</v>
      </c>
      <c r="F287" s="21" t="str">
        <f ca="1">IFERROR(VLOOKUP(A287,'Rede - Gerando Falcões '!A286:G1282,38,0),"")</f>
        <v/>
      </c>
      <c r="G287" s="27" t="str">
        <f ca="1">IFERROR(VLOOKUP(A287,'Tabela Categorização'!A:J,10,0),"")</f>
        <v>Fase Inicial</v>
      </c>
      <c r="H287" s="27" t="b">
        <f t="shared" ca="1" si="1"/>
        <v>1</v>
      </c>
      <c r="I287" s="21" t="str">
        <f>HYPERLINK("https://gerandofalcoes.my.salesforce.com/0034X0000380O4lQAE", "0034X0000380O4lQAE")</f>
        <v>0034X0000380O4lQAE</v>
      </c>
      <c r="J287" s="9" t="s">
        <v>17881</v>
      </c>
      <c r="K287" s="38" t="s">
        <v>17882</v>
      </c>
    </row>
    <row r="288" spans="1:11" ht="12.5" x14ac:dyDescent="0.25">
      <c r="A288" s="21" t="str">
        <f ca="1">IFERROR(__xludf.DUMMYFUNCTION("""COMPUTED_VALUE"""),"0014P00003YSp8tQAD")</f>
        <v>0014P00003YSp8tQAD</v>
      </c>
      <c r="B288" s="27" t="str">
        <f ca="1">IFERROR(__xludf.DUMMYFUNCTION("""COMPUTED_VALUE"""),"Fase Inicial")</f>
        <v>Fase Inicial</v>
      </c>
      <c r="C288" s="27" t="str">
        <f ca="1">IFERROR(__xludf.DUMMYFUNCTION("""COMPUTED_VALUE"""),"Fellow")</f>
        <v>Fellow</v>
      </c>
      <c r="D288" s="27" t="str">
        <f ca="1">IFERROR(__xludf.DUMMYFUNCTION("""COMPUTED_VALUE"""),"Ativo")</f>
        <v>Ativo</v>
      </c>
      <c r="E288" s="27" t="str">
        <f ca="1">IFERROR(__xludf.DUMMYFUNCTION("""COMPUTED_VALUE"""),"Impactação Transformação Social")</f>
        <v>Impactação Transformação Social</v>
      </c>
      <c r="F288" s="21" t="str">
        <f ca="1">IFERROR(VLOOKUP(A288,'Rede - Gerando Falcões '!A287:G1283,38,0),"")</f>
        <v/>
      </c>
      <c r="G288" s="27" t="str">
        <f ca="1">IFERROR(VLOOKUP(A288,'Tabela Categorização'!A:J,10,0),"")</f>
        <v>Fase Inicial</v>
      </c>
      <c r="H288" s="27" t="b">
        <f t="shared" ca="1" si="1"/>
        <v>1</v>
      </c>
      <c r="I288" s="21" t="str">
        <f>HYPERLINK("https://gerandofalcoes.my.salesforce.com/0034P000045kxjVQAQ", "0034P000045kxjVQAQ")</f>
        <v>0034P000045kxjVQAQ</v>
      </c>
      <c r="J288" s="9" t="s">
        <v>17881</v>
      </c>
      <c r="K288" s="38" t="s">
        <v>17882</v>
      </c>
    </row>
    <row r="289" spans="1:11" ht="12.5" x14ac:dyDescent="0.25">
      <c r="A289" s="21" t="str">
        <f ca="1">IFERROR(__xludf.DUMMYFUNCTION("""COMPUTED_VALUE"""),"0014P00003AN2h5QAD")</f>
        <v>0014P00003AN2h5QAD</v>
      </c>
      <c r="B289" s="27" t="str">
        <f ca="1">IFERROR(__xludf.DUMMYFUNCTION("""COMPUTED_VALUE"""),"Fase Avançada")</f>
        <v>Fase Avançada</v>
      </c>
      <c r="C289" s="27" t="str">
        <f ca="1">IFERROR(__xludf.DUMMYFUNCTION("""COMPUTED_VALUE"""),"Acelerada")</f>
        <v>Acelerada</v>
      </c>
      <c r="D289" s="27" t="str">
        <f ca="1">IFERROR(__xludf.DUMMYFUNCTION("""COMPUTED_VALUE"""),"Ativo")</f>
        <v>Ativo</v>
      </c>
      <c r="E289" s="27" t="str">
        <f ca="1">IFERROR(__xludf.DUMMYFUNCTION("""COMPUTED_VALUE"""),"Incanto - Instituto de Cultura Arte e Novas Tecnologias")</f>
        <v>Incanto - Instituto de Cultura Arte e Novas Tecnologias</v>
      </c>
      <c r="F289" s="21" t="str">
        <f ca="1">IFERROR(VLOOKUP(A289,'Rede - Gerando Falcões '!A288:G1284,38,0),"")</f>
        <v/>
      </c>
      <c r="G289" s="27" t="str">
        <f ca="1">IFERROR(VLOOKUP(A289,'Tabela Categorização'!A:J,10,0),"")</f>
        <v>Fase Avançada</v>
      </c>
      <c r="H289" s="27" t="b">
        <f t="shared" ca="1" si="1"/>
        <v>1</v>
      </c>
      <c r="I289" s="21" t="str">
        <f>HYPERLINK("https://gerandofalcoes.my.salesforce.com/0034P00003maBVMQA2", "0034P00003maBVMQA2")</f>
        <v>0034P00003maBVMQA2</v>
      </c>
      <c r="J289" s="9" t="s">
        <v>17881</v>
      </c>
      <c r="K289" s="38" t="s">
        <v>17882</v>
      </c>
    </row>
    <row r="290" spans="1:11" ht="12.5" x14ac:dyDescent="0.25">
      <c r="A290" s="21" t="str">
        <f ca="1">IFERROR(__xludf.DUMMYFUNCTION("""COMPUTED_VALUE"""),"0014P00003YSp9SQAT")</f>
        <v>0014P00003YSp9SQAT</v>
      </c>
      <c r="B290" s="27" t="str">
        <f ca="1">IFERROR(__xludf.DUMMYFUNCTION("""COMPUTED_VALUE"""),"Fase Inicial")</f>
        <v>Fase Inicial</v>
      </c>
      <c r="C290" s="27" t="str">
        <f ca="1">IFERROR(__xludf.DUMMYFUNCTION("""COMPUTED_VALUE"""),"Fellow")</f>
        <v>Fellow</v>
      </c>
      <c r="D290" s="27" t="str">
        <f ca="1">IFERROR(__xludf.DUMMYFUNCTION("""COMPUTED_VALUE"""),"Ativo")</f>
        <v>Ativo</v>
      </c>
      <c r="E290" s="27" t="str">
        <f ca="1">IFERROR(__xludf.DUMMYFUNCTION("""COMPUTED_VALUE"""),"Inspirando Gerações em Amor")</f>
        <v>Inspirando Gerações em Amor</v>
      </c>
      <c r="F290" s="21" t="str">
        <f ca="1">IFERROR(VLOOKUP(A290,'Rede - Gerando Falcões '!A289:G1285,38,0),"")</f>
        <v/>
      </c>
      <c r="G290" s="27" t="str">
        <f ca="1">IFERROR(VLOOKUP(A290,'Tabela Categorização'!A:J,10,0),"")</f>
        <v>Fase Inicial</v>
      </c>
      <c r="H290" s="27" t="b">
        <f t="shared" ca="1" si="1"/>
        <v>1</v>
      </c>
      <c r="I290" s="21" t="str">
        <f>HYPERLINK("https://gerandofalcoes.my.salesforce.com/0034P000045kxk4QAA", "0034P000045kxk4QAA")</f>
        <v>0034P000045kxk4QAA</v>
      </c>
      <c r="J290" s="9" t="s">
        <v>17881</v>
      </c>
      <c r="K290" s="38" t="s">
        <v>17882</v>
      </c>
    </row>
    <row r="291" spans="1:11" ht="12.5" x14ac:dyDescent="0.25">
      <c r="A291" s="21" t="str">
        <f ca="1">IFERROR(__xludf.DUMMYFUNCTION("""COMPUTED_VALUE"""),"0014X00002VKCvDQAX")</f>
        <v>0014X00002VKCvDQAX</v>
      </c>
      <c r="B291" s="27"/>
      <c r="C291" s="27" t="str">
        <f ca="1">IFERROR(__xludf.DUMMYFUNCTION("""COMPUTED_VALUE"""),"Fellow")</f>
        <v>Fellow</v>
      </c>
      <c r="D291" s="27" t="str">
        <f ca="1">IFERROR(__xludf.DUMMYFUNCTION("""COMPUTED_VALUE"""),"Ativo")</f>
        <v>Ativo</v>
      </c>
      <c r="E291" s="27" t="str">
        <f ca="1">IFERROR(__xludf.DUMMYFUNCTION("""COMPUTED_VALUE"""),"Instituição Cultural Transmutar Geração")</f>
        <v>Instituição Cultural Transmutar Geração</v>
      </c>
      <c r="F291" s="21" t="str">
        <f ca="1">IFERROR(VLOOKUP(A291,'Rede - Gerando Falcões '!A290:G1286,38,0),"")</f>
        <v/>
      </c>
      <c r="G291" s="27" t="str">
        <f ca="1">IFERROR(VLOOKUP(A291,'Tabela Categorização'!A:J,10,0),"")</f>
        <v/>
      </c>
      <c r="H291" s="27" t="b">
        <f t="shared" ca="1" si="1"/>
        <v>1</v>
      </c>
      <c r="I291" s="21" t="str">
        <f>HYPERLINK("https://gerandofalcoes.my.salesforce.com/0034X0000380O4wQAE", "0034X0000380O4wQAE")</f>
        <v>0034X0000380O4wQAE</v>
      </c>
      <c r="J291" s="9" t="s">
        <v>17881</v>
      </c>
      <c r="K291" s="38" t="s">
        <v>17882</v>
      </c>
    </row>
    <row r="292" spans="1:11" ht="12.5" x14ac:dyDescent="0.25">
      <c r="A292" s="21" t="str">
        <f ca="1">IFERROR(__xludf.DUMMYFUNCTION("""COMPUTED_VALUE"""),"0014P00003YSp9XQAT")</f>
        <v>0014P00003YSp9XQAT</v>
      </c>
      <c r="B292" s="27" t="str">
        <f ca="1">IFERROR(__xludf.DUMMYFUNCTION("""COMPUTED_VALUE"""),"Fase Avançada")</f>
        <v>Fase Avançada</v>
      </c>
      <c r="C292" s="27" t="str">
        <f ca="1">IFERROR(__xludf.DUMMYFUNCTION("""COMPUTED_VALUE"""),"Fellow")</f>
        <v>Fellow</v>
      </c>
      <c r="D292" s="27" t="str">
        <f ca="1">IFERROR(__xludf.DUMMYFUNCTION("""COMPUTED_VALUE"""),"Ativo")</f>
        <v>Ativo</v>
      </c>
      <c r="E292" s="27" t="str">
        <f ca="1">IFERROR(__xludf.DUMMYFUNCTION("""COMPUTED_VALUE"""),"Instituição de Incentivo à Criança e ao Adolescente de Mogi Mirim")</f>
        <v>Instituição de Incentivo à Criança e ao Adolescente de Mogi Mirim</v>
      </c>
      <c r="F292" s="21" t="str">
        <f ca="1">IFERROR(VLOOKUP(A292,'Rede - Gerando Falcões '!A291:G1287,38,0),"")</f>
        <v/>
      </c>
      <c r="G292" s="27" t="str">
        <f ca="1">IFERROR(VLOOKUP(A292,'Tabela Categorização'!A:J,10,0),"")</f>
        <v>Fase Avançada</v>
      </c>
      <c r="H292" s="27" t="b">
        <f t="shared" ca="1" si="1"/>
        <v>1</v>
      </c>
      <c r="I292" s="21" t="str">
        <f>HYPERLINK("https://gerandofalcoes.my.salesforce.com/0034P000045kxk9QAA", "0034P000045kxk9QAA")</f>
        <v>0034P000045kxk9QAA</v>
      </c>
      <c r="J292" s="9" t="s">
        <v>17881</v>
      </c>
      <c r="K292" s="38" t="s">
        <v>17882</v>
      </c>
    </row>
    <row r="293" spans="1:11" ht="12.5" x14ac:dyDescent="0.25">
      <c r="A293" s="21" t="str">
        <f ca="1">IFERROR(__xludf.DUMMYFUNCTION("""COMPUTED_VALUE"""),"0014P00003YSpAJQA1")</f>
        <v>0014P00003YSpAJQA1</v>
      </c>
      <c r="B293" s="27" t="str">
        <f ca="1">IFERROR(__xludf.DUMMYFUNCTION("""COMPUTED_VALUE"""),"Fase Inicial")</f>
        <v>Fase Inicial</v>
      </c>
      <c r="C293" s="27" t="str">
        <f ca="1">IFERROR(__xludf.DUMMYFUNCTION("""COMPUTED_VALUE"""),"Fellow")</f>
        <v>Fellow</v>
      </c>
      <c r="D293" s="27" t="str">
        <f ca="1">IFERROR(__xludf.DUMMYFUNCTION("""COMPUTED_VALUE"""),"Ativo")</f>
        <v>Ativo</v>
      </c>
      <c r="E293" s="27" t="str">
        <f ca="1">IFERROR(__xludf.DUMMYFUNCTION("""COMPUTED_VALUE"""),"INSTITUIÇÃO SOCIAL DE AMOR CRISTÃO-ISAC")</f>
        <v>INSTITUIÇÃO SOCIAL DE AMOR CRISTÃO-ISAC</v>
      </c>
      <c r="F293" s="21" t="str">
        <f ca="1">IFERROR(VLOOKUP(A293,'Rede - Gerando Falcões '!A292:G1288,38,0),"")</f>
        <v/>
      </c>
      <c r="G293" s="27" t="str">
        <f ca="1">IFERROR(VLOOKUP(A293,'Tabela Categorização'!A:J,10,0),"")</f>
        <v>Fase Inicial</v>
      </c>
      <c r="H293" s="27" t="b">
        <f t="shared" ca="1" si="1"/>
        <v>1</v>
      </c>
      <c r="I293" s="21" t="str">
        <f>HYPERLINK("https://gerandofalcoes.my.salesforce.com/0034P000045kxkvQAA", "0034P000045kxkvQAA")</f>
        <v>0034P000045kxkvQAA</v>
      </c>
      <c r="J293" s="9" t="s">
        <v>17881</v>
      </c>
      <c r="K293" s="38" t="s">
        <v>17882</v>
      </c>
    </row>
    <row r="294" spans="1:11" ht="12.5" x14ac:dyDescent="0.25">
      <c r="A294" s="21" t="str">
        <f ca="1">IFERROR(__xludf.DUMMYFUNCTION("""COMPUTED_VALUE"""),"0014X00002VKCsyQAH")</f>
        <v>0014X00002VKCsyQAH</v>
      </c>
      <c r="B294" s="27" t="str">
        <f ca="1">IFERROR(__xludf.DUMMYFUNCTION("""COMPUTED_VALUE"""),"Fase Inicial")</f>
        <v>Fase Inicial</v>
      </c>
      <c r="C294" s="27" t="str">
        <f ca="1">IFERROR(__xludf.DUMMYFUNCTION("""COMPUTED_VALUE"""),"Fellow")</f>
        <v>Fellow</v>
      </c>
      <c r="D294" s="27" t="str">
        <f ca="1">IFERROR(__xludf.DUMMYFUNCTION("""COMPUTED_VALUE"""),"Ativo")</f>
        <v>Ativo</v>
      </c>
      <c r="E294" s="27" t="str">
        <f ca="1">IFERROR(__xludf.DUMMYFUNCTION("""COMPUTED_VALUE"""),"Instituição Sociedade Plural São João Batista / ISP-SJB")</f>
        <v>Instituição Sociedade Plural São João Batista / ISP-SJB</v>
      </c>
      <c r="F294" s="21" t="str">
        <f ca="1">IFERROR(VLOOKUP(A294,'Rede - Gerando Falcões '!A293:G1289,38,0),"")</f>
        <v/>
      </c>
      <c r="G294" s="27" t="str">
        <f ca="1">IFERROR(VLOOKUP(A294,'Tabela Categorização'!A:J,10,0),"")</f>
        <v>Fase Inicial</v>
      </c>
      <c r="H294" s="27" t="b">
        <f t="shared" ca="1" si="1"/>
        <v>1</v>
      </c>
      <c r="I294" s="21" t="str">
        <f>HYPERLINK("https://gerandofalcoes.my.salesforce.com/0034X0000380O2cQAE", "0034X0000380O2cQAE")</f>
        <v>0034X0000380O2cQAE</v>
      </c>
      <c r="J294" s="9" t="s">
        <v>17881</v>
      </c>
      <c r="K294" s="38" t="s">
        <v>17882</v>
      </c>
    </row>
    <row r="295" spans="1:11" ht="12.5" x14ac:dyDescent="0.25">
      <c r="A295" s="21" t="str">
        <f ca="1">IFERROR(__xludf.DUMMYFUNCTION("""COMPUTED_VALUE"""),"0014X00002UGqWjQAL")</f>
        <v>0014X00002UGqWjQAL</v>
      </c>
      <c r="B295" s="27" t="str">
        <f ca="1">IFERROR(__xludf.DUMMYFUNCTION("""COMPUTED_VALUE"""),"Fase Inicial")</f>
        <v>Fase Inicial</v>
      </c>
      <c r="C295" s="27" t="str">
        <f ca="1">IFERROR(__xludf.DUMMYFUNCTION("""COMPUTED_VALUE"""),"Fellow")</f>
        <v>Fellow</v>
      </c>
      <c r="D295" s="27" t="str">
        <f ca="1">IFERROR(__xludf.DUMMYFUNCTION("""COMPUTED_VALUE"""),"Ativo")</f>
        <v>Ativo</v>
      </c>
      <c r="E295" s="27" t="str">
        <f ca="1">IFERROR(__xludf.DUMMYFUNCTION("""COMPUTED_VALUE"""),"Instituto 100% MORRO")</f>
        <v>Instituto 100% MORRO</v>
      </c>
      <c r="F295" s="21" t="str">
        <f ca="1">IFERROR(VLOOKUP(A295,'Rede - Gerando Falcões '!A294:G1290,38,0),"")</f>
        <v/>
      </c>
      <c r="G295" s="27" t="str">
        <f ca="1">IFERROR(VLOOKUP(A295,'Tabela Categorização'!A:J,10,0),"")</f>
        <v>Fase Inicial</v>
      </c>
      <c r="H295" s="27" t="b">
        <f t="shared" ca="1" si="1"/>
        <v>1</v>
      </c>
      <c r="I295" s="21" t="str">
        <f>HYPERLINK("https://gerandofalcoes.my.salesforce.com/0034P000045kxkgQAA", "0034P000045kxkgQAA")</f>
        <v>0034P000045kxkgQAA</v>
      </c>
      <c r="J295" s="9" t="s">
        <v>17881</v>
      </c>
      <c r="K295" s="38" t="s">
        <v>17882</v>
      </c>
    </row>
    <row r="296" spans="1:11" ht="12.5" x14ac:dyDescent="0.25">
      <c r="A296" s="21" t="str">
        <f ca="1">IFERROR(__xludf.DUMMYFUNCTION("""COMPUTED_VALUE"""),"0014X00002VKCqlQAH")</f>
        <v>0014X00002VKCqlQAH</v>
      </c>
      <c r="B296" s="27" t="str">
        <f ca="1">IFERROR(__xludf.DUMMYFUNCTION("""COMPUTED_VALUE"""),"Fase Inicial")</f>
        <v>Fase Inicial</v>
      </c>
      <c r="C296" s="27" t="str">
        <f ca="1">IFERROR(__xludf.DUMMYFUNCTION("""COMPUTED_VALUE"""),"Fellow")</f>
        <v>Fellow</v>
      </c>
      <c r="D296" s="27" t="str">
        <f ca="1">IFERROR(__xludf.DUMMYFUNCTION("""COMPUTED_VALUE"""),"Ativo")</f>
        <v>Ativo</v>
      </c>
      <c r="E296" s="27" t="str">
        <f ca="1">IFERROR(__xludf.DUMMYFUNCTION("""COMPUTED_VALUE"""),"Instituto 7 Gerações")</f>
        <v>Instituto 7 Gerações</v>
      </c>
      <c r="F296" s="21" t="str">
        <f ca="1">IFERROR(VLOOKUP(A296,'Rede - Gerando Falcões '!A295:G1291,38,0),"")</f>
        <v/>
      </c>
      <c r="G296" s="27" t="str">
        <f ca="1">IFERROR(VLOOKUP(A296,'Tabela Categorização'!A:J,10,0),"")</f>
        <v>Fase Inicial</v>
      </c>
      <c r="H296" s="27" t="b">
        <f t="shared" ca="1" si="1"/>
        <v>1</v>
      </c>
      <c r="I296" s="21" t="str">
        <f>HYPERLINK("https://gerandofalcoes.my.salesforce.com/0034X0000380O3lQAE", "0034X0000380O3lQAE")</f>
        <v>0034X0000380O3lQAE</v>
      </c>
      <c r="J296" s="9" t="s">
        <v>17881</v>
      </c>
      <c r="K296" s="38" t="s">
        <v>17882</v>
      </c>
    </row>
    <row r="297" spans="1:11" ht="12.5" x14ac:dyDescent="0.25">
      <c r="A297" s="21" t="str">
        <f ca="1">IFERROR(__xludf.DUMMYFUNCTION("""COMPUTED_VALUE"""),"0014X00002VKCq8QAH")</f>
        <v>0014X00002VKCq8QAH</v>
      </c>
      <c r="B297" s="27" t="str">
        <f ca="1">IFERROR(__xludf.DUMMYFUNCTION("""COMPUTED_VALUE"""),"Fase Inicial")</f>
        <v>Fase Inicial</v>
      </c>
      <c r="C297" s="27" t="str">
        <f ca="1">IFERROR(__xludf.DUMMYFUNCTION("""COMPUTED_VALUE"""),"Fellow")</f>
        <v>Fellow</v>
      </c>
      <c r="D297" s="27" t="str">
        <f ca="1">IFERROR(__xludf.DUMMYFUNCTION("""COMPUTED_VALUE"""),"Ativo")</f>
        <v>Ativo</v>
      </c>
      <c r="E297" s="27" t="str">
        <f ca="1">IFERROR(__xludf.DUMMYFUNCTION("""COMPUTED_VALUE"""),"Instituto Ágape")</f>
        <v>Instituto Ágape</v>
      </c>
      <c r="F297" s="21" t="str">
        <f ca="1">IFERROR(VLOOKUP(A297,'Rede - Gerando Falcões '!A296:G1292,38,0),"")</f>
        <v/>
      </c>
      <c r="G297" s="27" t="str">
        <f ca="1">IFERROR(VLOOKUP(A297,'Tabela Categorização'!A:J,10,0),"")</f>
        <v>Fase Inicial</v>
      </c>
      <c r="H297" s="27" t="b">
        <f t="shared" ca="1" si="1"/>
        <v>1</v>
      </c>
      <c r="I297" s="21" t="str">
        <f>HYPERLINK("https://gerandofalcoes.my.salesforce.com/0034X0000380O3KQAU", "0034X0000380O3KQAU")</f>
        <v>0034X0000380O3KQAU</v>
      </c>
      <c r="J297" s="9" t="s">
        <v>17881</v>
      </c>
      <c r="K297" s="38" t="s">
        <v>17882</v>
      </c>
    </row>
    <row r="298" spans="1:11" ht="12.5" x14ac:dyDescent="0.25">
      <c r="A298" s="21" t="str">
        <f ca="1">IFERROR(__xludf.DUMMYFUNCTION("""COMPUTED_VALUE"""),"0014P00003YSp8hQAD")</f>
        <v>0014P00003YSp8hQAD</v>
      </c>
      <c r="B298" s="27" t="str">
        <f ca="1">IFERROR(__xludf.DUMMYFUNCTION("""COMPUTED_VALUE"""),"Fase Inicial")</f>
        <v>Fase Inicial</v>
      </c>
      <c r="C298" s="27" t="str">
        <f ca="1">IFERROR(__xludf.DUMMYFUNCTION("""COMPUTED_VALUE"""),"Fellow")</f>
        <v>Fellow</v>
      </c>
      <c r="D298" s="27" t="str">
        <f ca="1">IFERROR(__xludf.DUMMYFUNCTION("""COMPUTED_VALUE"""),"Ativo")</f>
        <v>Ativo</v>
      </c>
      <c r="E298" s="27" t="str">
        <f ca="1">IFERROR(__xludf.DUMMYFUNCTION("""COMPUTED_VALUE"""),"Instituto Ágape")</f>
        <v>Instituto Ágape</v>
      </c>
      <c r="F298" s="21" t="str">
        <f ca="1">IFERROR(VLOOKUP(A298,'Rede - Gerando Falcões '!A297:G1293,38,0),"")</f>
        <v/>
      </c>
      <c r="G298" s="27" t="str">
        <f ca="1">IFERROR(VLOOKUP(A298,'Tabela Categorização'!A:J,10,0),"")</f>
        <v>Fase Inicial</v>
      </c>
      <c r="H298" s="27" t="b">
        <f t="shared" ca="1" si="1"/>
        <v>1</v>
      </c>
      <c r="I298" s="21" t="str">
        <f>HYPERLINK("https://gerandofalcoes.my.salesforce.com/0034P000045kxjIQAQ", "0034P000045kxjIQAQ")</f>
        <v>0034P000045kxjIQAQ</v>
      </c>
      <c r="J298" s="9" t="s">
        <v>17881</v>
      </c>
      <c r="K298" s="38" t="s">
        <v>17882</v>
      </c>
    </row>
    <row r="299" spans="1:11" ht="12.5" x14ac:dyDescent="0.25">
      <c r="A299" s="21" t="str">
        <f ca="1">IFERROR(__xludf.DUMMYFUNCTION("""COMPUTED_VALUE"""),"0014X00002VKCtdQAH")</f>
        <v>0014X00002VKCtdQAH</v>
      </c>
      <c r="B299" s="27"/>
      <c r="C299" s="27" t="str">
        <f ca="1">IFERROR(__xludf.DUMMYFUNCTION("""COMPUTED_VALUE"""),"Fellow")</f>
        <v>Fellow</v>
      </c>
      <c r="D299" s="27" t="str">
        <f ca="1">IFERROR(__xludf.DUMMYFUNCTION("""COMPUTED_VALUE"""),"Ativo")</f>
        <v>Ativo</v>
      </c>
      <c r="E299" s="27" t="str">
        <f ca="1">IFERROR(__xludf.DUMMYFUNCTION("""COMPUTED_VALUE"""),"INSTITUTO ÁGAPE MANAUS")</f>
        <v>INSTITUTO ÁGAPE MANAUS</v>
      </c>
      <c r="F299" s="21" t="str">
        <f ca="1">IFERROR(VLOOKUP(A299,'Rede - Gerando Falcões '!A298:G1294,38,0),"")</f>
        <v/>
      </c>
      <c r="G299" s="27" t="str">
        <f ca="1">IFERROR(VLOOKUP(A299,'Tabela Categorização'!A:J,10,0),"")</f>
        <v/>
      </c>
      <c r="H299" s="27" t="b">
        <f t="shared" ca="1" si="1"/>
        <v>1</v>
      </c>
      <c r="I299" s="21" t="str">
        <f>HYPERLINK("https://gerandofalcoes.my.salesforce.com/0034X0000380O4EQAU", "0034X0000380O4EQAU")</f>
        <v>0034X0000380O4EQAU</v>
      </c>
      <c r="J299" s="9" t="s">
        <v>17881</v>
      </c>
      <c r="K299" s="38" t="s">
        <v>17882</v>
      </c>
    </row>
    <row r="300" spans="1:11" ht="12.5" x14ac:dyDescent="0.25">
      <c r="A300" s="21" t="str">
        <f ca="1">IFERROR(__xludf.DUMMYFUNCTION("""COMPUTED_VALUE"""),"0014X00002UGscXQAT")</f>
        <v>0014X00002UGscXQAT</v>
      </c>
      <c r="B300" s="27" t="str">
        <f ca="1">IFERROR(__xludf.DUMMYFUNCTION("""COMPUTED_VALUE"""),"Fase Inicial")</f>
        <v>Fase Inicial</v>
      </c>
      <c r="C300" s="27" t="str">
        <f ca="1">IFERROR(__xludf.DUMMYFUNCTION("""COMPUTED_VALUE"""),"Fellow")</f>
        <v>Fellow</v>
      </c>
      <c r="D300" s="27" t="str">
        <f ca="1">IFERROR(__xludf.DUMMYFUNCTION("""COMPUTED_VALUE"""),"Ativo")</f>
        <v>Ativo</v>
      </c>
      <c r="E300" s="27" t="str">
        <f ca="1">IFERROR(__xludf.DUMMYFUNCTION("""COMPUTED_VALUE"""),"Instituto Almas Azuis")</f>
        <v>Instituto Almas Azuis</v>
      </c>
      <c r="F300" s="21" t="str">
        <f ca="1">IFERROR(VLOOKUP(A300,'Rede - Gerando Falcões '!A299:G1295,38,0),"")</f>
        <v/>
      </c>
      <c r="G300" s="27" t="str">
        <f ca="1">IFERROR(VLOOKUP(A300,'Tabela Categorização'!A:J,10,0),"")</f>
        <v>Fase Inicial</v>
      </c>
      <c r="H300" s="27" t="b">
        <f t="shared" ca="1" si="1"/>
        <v>1</v>
      </c>
      <c r="I300" s="21" t="str">
        <f>HYPERLINK("https://gerandofalcoes.my.salesforce.com/0034P000045kxjwQAA", "0034P000045kxjwQAA")</f>
        <v>0034P000045kxjwQAA</v>
      </c>
      <c r="J300" s="9" t="s">
        <v>17881</v>
      </c>
      <c r="K300" s="38" t="s">
        <v>17882</v>
      </c>
    </row>
    <row r="301" spans="1:11" ht="12.5" x14ac:dyDescent="0.25">
      <c r="A301" s="21" t="str">
        <f ca="1">IFERROR(__xludf.DUMMYFUNCTION("""COMPUTED_VALUE"""),"0014X00002VKCrMQAX")</f>
        <v>0014X00002VKCrMQAX</v>
      </c>
      <c r="B301" s="27" t="str">
        <f ca="1">IFERROR(__xludf.DUMMYFUNCTION("""COMPUTED_VALUE"""),"Fase Inicial")</f>
        <v>Fase Inicial</v>
      </c>
      <c r="C301" s="27" t="str">
        <f ca="1">IFERROR(__xludf.DUMMYFUNCTION("""COMPUTED_VALUE"""),"Fellow")</f>
        <v>Fellow</v>
      </c>
      <c r="D301" s="27" t="str">
        <f ca="1">IFERROR(__xludf.DUMMYFUNCTION("""COMPUTED_VALUE"""),"Ativo")</f>
        <v>Ativo</v>
      </c>
      <c r="E301" s="27" t="str">
        <f ca="1">IFERROR(__xludf.DUMMYFUNCTION("""COMPUTED_VALUE"""),"Instituto Amar")</f>
        <v>Instituto Amar</v>
      </c>
      <c r="F301" s="21" t="str">
        <f ca="1">IFERROR(VLOOKUP(A301,'Rede - Gerando Falcões '!A300:G1296,38,0),"")</f>
        <v/>
      </c>
      <c r="G301" s="27" t="str">
        <f ca="1">IFERROR(VLOOKUP(A301,'Tabela Categorização'!A:J,10,0),"")</f>
        <v>Fase Inicial</v>
      </c>
      <c r="H301" s="27" t="b">
        <f t="shared" ca="1" si="1"/>
        <v>1</v>
      </c>
      <c r="I301" s="21" t="str">
        <f>HYPERLINK("https://gerandofalcoes.my.salesforce.com/0034X0000380O0kQAE", "0034X0000380O0kQAE")</f>
        <v>0034X0000380O0kQAE</v>
      </c>
      <c r="J301" s="9" t="s">
        <v>17881</v>
      </c>
      <c r="K301" s="38" t="s">
        <v>17882</v>
      </c>
    </row>
    <row r="302" spans="1:11" ht="12.5" x14ac:dyDescent="0.25">
      <c r="A302" s="21" t="str">
        <f ca="1">IFERROR(__xludf.DUMMYFUNCTION("""COMPUTED_VALUE"""),"0014P00003SGWPpQAP")</f>
        <v>0014P00003SGWPpQAP</v>
      </c>
      <c r="B302" s="27" t="str">
        <f ca="1">IFERROR(__xludf.DUMMYFUNCTION("""COMPUTED_VALUE"""),"Fase Inicial")</f>
        <v>Fase Inicial</v>
      </c>
      <c r="C302" s="27" t="str">
        <f ca="1">IFERROR(__xludf.DUMMYFUNCTION("""COMPUTED_VALUE"""),"Acelerada")</f>
        <v>Acelerada</v>
      </c>
      <c r="D302" s="27" t="str">
        <f ca="1">IFERROR(__xludf.DUMMYFUNCTION("""COMPUTED_VALUE"""),"Ativo")</f>
        <v>Ativo</v>
      </c>
      <c r="E302" s="27" t="str">
        <f ca="1">IFERROR(__xludf.DUMMYFUNCTION("""COMPUTED_VALUE"""),"INSTITUTO AMARGEN")</f>
        <v>INSTITUTO AMARGEN</v>
      </c>
      <c r="F302" s="21" t="str">
        <f ca="1">IFERROR(VLOOKUP(A302,'Rede - Gerando Falcões '!A301:G1297,38,0),"")</f>
        <v/>
      </c>
      <c r="G302" s="27" t="str">
        <f ca="1">IFERROR(VLOOKUP(A302,'Tabela Categorização'!A:J,10,0),"")</f>
        <v>Fase Inicial</v>
      </c>
      <c r="H302" s="27" t="b">
        <f t="shared" ca="1" si="1"/>
        <v>1</v>
      </c>
      <c r="I302" s="21" t="str">
        <f>HYPERLINK("https://gerandofalcoes.my.salesforce.com/0034P000043fOnuQAE", "0034P000043fOnuQAE")</f>
        <v>0034P000043fOnuQAE</v>
      </c>
      <c r="J302" s="9" t="s">
        <v>17881</v>
      </c>
      <c r="K302" s="38" t="s">
        <v>17882</v>
      </c>
    </row>
    <row r="303" spans="1:11" ht="12.5" x14ac:dyDescent="0.25">
      <c r="A303" s="21" t="str">
        <f ca="1">IFERROR(__xludf.DUMMYFUNCTION("""COMPUTED_VALUE"""),"0014P00003YSp8OQAT")</f>
        <v>0014P00003YSp8OQAT</v>
      </c>
      <c r="B303" s="27" t="str">
        <f ca="1">IFERROR(__xludf.DUMMYFUNCTION("""COMPUTED_VALUE"""),"Fase Inicial")</f>
        <v>Fase Inicial</v>
      </c>
      <c r="C303" s="27" t="str">
        <f ca="1">IFERROR(__xludf.DUMMYFUNCTION("""COMPUTED_VALUE"""),"Fellow")</f>
        <v>Fellow</v>
      </c>
      <c r="D303" s="27" t="str">
        <f ca="1">IFERROR(__xludf.DUMMYFUNCTION("""COMPUTED_VALUE"""),"Ativo")</f>
        <v>Ativo</v>
      </c>
      <c r="E303" s="27" t="str">
        <f ca="1">IFERROR(__xludf.DUMMYFUNCTION("""COMPUTED_VALUE"""),"Instituto Ame Mais")</f>
        <v>Instituto Ame Mais</v>
      </c>
      <c r="F303" s="21" t="str">
        <f ca="1">IFERROR(VLOOKUP(A303,'Rede - Gerando Falcões '!A302:G1298,38,0),"")</f>
        <v/>
      </c>
      <c r="G303" s="27" t="str">
        <f ca="1">IFERROR(VLOOKUP(A303,'Tabela Categorização'!A:J,10,0),"")</f>
        <v>Fase Inicial</v>
      </c>
      <c r="H303" s="27" t="b">
        <f t="shared" ca="1" si="1"/>
        <v>1</v>
      </c>
      <c r="I303" s="21" t="str">
        <f>HYPERLINK("https://gerandofalcoes.my.salesforce.com/0034P000045kxizQAA", "0034P000045kxizQAA")</f>
        <v>0034P000045kxizQAA</v>
      </c>
      <c r="J303" s="9" t="s">
        <v>17881</v>
      </c>
      <c r="K303" s="38" t="s">
        <v>17882</v>
      </c>
    </row>
    <row r="304" spans="1:11" ht="12.5" x14ac:dyDescent="0.25">
      <c r="A304" s="21" t="str">
        <f ca="1">IFERROR(__xludf.DUMMYFUNCTION("""COMPUTED_VALUE"""),"0014X00002VKCt4QAH")</f>
        <v>0014X00002VKCt4QAH</v>
      </c>
      <c r="B304" s="27" t="str">
        <f ca="1">IFERROR(__xludf.DUMMYFUNCTION("""COMPUTED_VALUE"""),"Fase Inicial")</f>
        <v>Fase Inicial</v>
      </c>
      <c r="C304" s="27" t="str">
        <f ca="1">IFERROR(__xludf.DUMMYFUNCTION("""COMPUTED_VALUE"""),"Fellow")</f>
        <v>Fellow</v>
      </c>
      <c r="D304" s="27" t="str">
        <f ca="1">IFERROR(__xludf.DUMMYFUNCTION("""COMPUTED_VALUE"""),"Ativo")</f>
        <v>Ativo</v>
      </c>
      <c r="E304" s="27" t="str">
        <f ca="1">IFERROR(__xludf.DUMMYFUNCTION("""COMPUTED_VALUE"""),"Instituto Amparando")</f>
        <v>Instituto Amparando</v>
      </c>
      <c r="F304" s="21" t="str">
        <f ca="1">IFERROR(VLOOKUP(A304,'Rede - Gerando Falcões '!A303:G1299,38,0),"")</f>
        <v/>
      </c>
      <c r="G304" s="27" t="str">
        <f ca="1">IFERROR(VLOOKUP(A304,'Tabela Categorização'!A:J,10,0),"")</f>
        <v>Fase Inicial</v>
      </c>
      <c r="H304" s="27" t="b">
        <f t="shared" ca="1" si="1"/>
        <v>1</v>
      </c>
      <c r="I304" s="21" t="str">
        <f>HYPERLINK("https://gerandofalcoes.my.salesforce.com/0034X0000380O0yQAE", "0034X0000380O0yQAE")</f>
        <v>0034X0000380O0yQAE</v>
      </c>
      <c r="J304" s="9" t="s">
        <v>17881</v>
      </c>
      <c r="K304" s="38" t="s">
        <v>17882</v>
      </c>
    </row>
    <row r="305" spans="1:11" ht="12.5" x14ac:dyDescent="0.25">
      <c r="A305" s="21" t="str">
        <f ca="1">IFERROR(__xludf.DUMMYFUNCTION("""COMPUTED_VALUE"""),"0014X00002VKCqfQAH")</f>
        <v>0014X00002VKCqfQAH</v>
      </c>
      <c r="B305" s="27" t="str">
        <f ca="1">IFERROR(__xludf.DUMMYFUNCTION("""COMPUTED_VALUE"""),"Fase Inicial")</f>
        <v>Fase Inicial</v>
      </c>
      <c r="C305" s="27" t="str">
        <f ca="1">IFERROR(__xludf.DUMMYFUNCTION("""COMPUTED_VALUE"""),"Fellow")</f>
        <v>Fellow</v>
      </c>
      <c r="D305" s="27" t="str">
        <f ca="1">IFERROR(__xludf.DUMMYFUNCTION("""COMPUTED_VALUE"""),"Ativo")</f>
        <v>Ativo</v>
      </c>
      <c r="E305" s="27" t="str">
        <f ca="1">IFERROR(__xludf.DUMMYFUNCTION("""COMPUTED_VALUE"""),"Instituto Antônio Coelho de Castro")</f>
        <v>Instituto Antônio Coelho de Castro</v>
      </c>
      <c r="F305" s="21" t="str">
        <f ca="1">IFERROR(VLOOKUP(A305,'Rede - Gerando Falcões '!A304:G1300,38,0),"")</f>
        <v/>
      </c>
      <c r="G305" s="27" t="str">
        <f ca="1">IFERROR(VLOOKUP(A305,'Tabela Categorização'!A:J,10,0),"")</f>
        <v>Fase Inicial</v>
      </c>
      <c r="H305" s="27" t="b">
        <f t="shared" ca="1" si="1"/>
        <v>1</v>
      </c>
      <c r="I305" s="21" t="str">
        <f>HYPERLINK("https://gerandofalcoes.my.salesforce.com/0034X0000380O3CQAU", "0034X0000380O3CQAU")</f>
        <v>0034X0000380O3CQAU</v>
      </c>
      <c r="J305" s="9" t="s">
        <v>17881</v>
      </c>
      <c r="K305" s="38" t="s">
        <v>17882</v>
      </c>
    </row>
    <row r="306" spans="1:11" ht="12.5" x14ac:dyDescent="0.25">
      <c r="A306" s="21" t="str">
        <f ca="1">IFERROR(__xludf.DUMMYFUNCTION("""COMPUTED_VALUE"""),"0014X00002PUOTvQAP")</f>
        <v>0014X00002PUOTvQAP</v>
      </c>
      <c r="B306" s="27" t="str">
        <f ca="1">IFERROR(__xludf.DUMMYFUNCTION("""COMPUTED_VALUE"""),"Fase Inicial")</f>
        <v>Fase Inicial</v>
      </c>
      <c r="C306" s="27" t="str">
        <f ca="1">IFERROR(__xludf.DUMMYFUNCTION("""COMPUTED_VALUE"""),"Fellow")</f>
        <v>Fellow</v>
      </c>
      <c r="D306" s="27" t="str">
        <f ca="1">IFERROR(__xludf.DUMMYFUNCTION("""COMPUTED_VALUE"""),"Ativo")</f>
        <v>Ativo</v>
      </c>
      <c r="E306" s="27" t="str">
        <f ca="1">IFERROR(__xludf.DUMMYFUNCTION("""COMPUTED_VALUE"""),"Instituto Árvore da Vida")</f>
        <v>Instituto Árvore da Vida</v>
      </c>
      <c r="F306" s="21" t="str">
        <f ca="1">IFERROR(VLOOKUP(A306,'Rede - Gerando Falcões '!A305:G1301,38,0),"")</f>
        <v/>
      </c>
      <c r="G306" s="27" t="str">
        <f ca="1">IFERROR(VLOOKUP(A306,'Tabela Categorização'!A:J,10,0),"")</f>
        <v>Fase Inicial</v>
      </c>
      <c r="H306" s="27" t="b">
        <f t="shared" ca="1" si="1"/>
        <v>1</v>
      </c>
      <c r="I306" s="21" t="str">
        <f>HYPERLINK("https://gerandofalcoes.my.salesforce.com/0034X000032HrzzQAC", "0034X000032HrzzQAC")</f>
        <v>0034X000032HrzzQAC</v>
      </c>
      <c r="J306" s="9" t="s">
        <v>17881</v>
      </c>
      <c r="K306" s="38" t="s">
        <v>17882</v>
      </c>
    </row>
    <row r="307" spans="1:11" ht="12.5" x14ac:dyDescent="0.25">
      <c r="A307" s="21" t="str">
        <f ca="1">IFERROR(__xludf.DUMMYFUNCTION("""COMPUTED_VALUE"""),"0014P00003AN2FjQAL")</f>
        <v>0014P00003AN2FjQAL</v>
      </c>
      <c r="B307" s="27" t="str">
        <f ca="1">IFERROR(__xludf.DUMMYFUNCTION("""COMPUTED_VALUE"""),"Fase Inicial")</f>
        <v>Fase Inicial</v>
      </c>
      <c r="C307" s="27" t="str">
        <f ca="1">IFERROR(__xludf.DUMMYFUNCTION("""COMPUTED_VALUE"""),"Acelerada")</f>
        <v>Acelerada</v>
      </c>
      <c r="D307" s="27" t="str">
        <f ca="1">IFERROR(__xludf.DUMMYFUNCTION("""COMPUTED_VALUE"""),"Ativo")</f>
        <v>Ativo</v>
      </c>
      <c r="E307" s="27" t="str">
        <f ca="1">IFERROR(__xludf.DUMMYFUNCTION("""COMPUTED_VALUE"""),"INSTITUTO ASCENDENDO MENTES")</f>
        <v>INSTITUTO ASCENDENDO MENTES</v>
      </c>
      <c r="F307" s="21" t="str">
        <f ca="1">IFERROR(VLOOKUP(A307,'Rede - Gerando Falcões '!A306:G1302,38,0),"")</f>
        <v/>
      </c>
      <c r="G307" s="27" t="str">
        <f ca="1">IFERROR(VLOOKUP(A307,'Tabela Categorização'!A:J,10,0),"")</f>
        <v>Fase Inicial</v>
      </c>
      <c r="H307" s="27" t="b">
        <f t="shared" ca="1" si="1"/>
        <v>1</v>
      </c>
      <c r="I307" s="21" t="str">
        <f>HYPERLINK("https://gerandofalcoes.my.salesforce.com/0034P00003maBV9QAM", "0034P00003maBV9QAM")</f>
        <v>0034P00003maBV9QAM</v>
      </c>
      <c r="J307" s="9" t="s">
        <v>17881</v>
      </c>
      <c r="K307" s="38" t="s">
        <v>17882</v>
      </c>
    </row>
    <row r="308" spans="1:11" ht="12.5" x14ac:dyDescent="0.25">
      <c r="A308" s="21" t="str">
        <f ca="1">IFERROR(__xludf.DUMMYFUNCTION("""COMPUTED_VALUE"""),"0014P00003AN2FqQAL")</f>
        <v>0014P00003AN2FqQAL</v>
      </c>
      <c r="B308" s="27" t="str">
        <f ca="1">IFERROR(__xludf.DUMMYFUNCTION("""COMPUTED_VALUE"""),"Fase Avançada")</f>
        <v>Fase Avançada</v>
      </c>
      <c r="C308" s="27" t="str">
        <f ca="1">IFERROR(__xludf.DUMMYFUNCTION("""COMPUTED_VALUE"""),"Acelerada")</f>
        <v>Acelerada</v>
      </c>
      <c r="D308" s="27" t="str">
        <f ca="1">IFERROR(__xludf.DUMMYFUNCTION("""COMPUTED_VALUE"""),"Ativo")</f>
        <v>Ativo</v>
      </c>
      <c r="E308" s="27" t="str">
        <f ca="1">IFERROR(__xludf.DUMMYFUNCTION("""COMPUTED_VALUE"""),"Instituto As Valquirias")</f>
        <v>Instituto As Valquirias</v>
      </c>
      <c r="F308" s="21" t="str">
        <f ca="1">IFERROR(VLOOKUP(A308,'Rede - Gerando Falcões '!A307:G1303,38,0),"")</f>
        <v/>
      </c>
      <c r="G308" s="27" t="str">
        <f ca="1">IFERROR(VLOOKUP(A308,'Tabela Categorização'!A:J,10,0),"")</f>
        <v>Fase Avançada</v>
      </c>
      <c r="H308" s="27" t="b">
        <f t="shared" ca="1" si="1"/>
        <v>1</v>
      </c>
      <c r="I308" s="21" t="str">
        <f>HYPERLINK("https://gerandofalcoes.my.salesforce.com/0034P00003maBVHQA2", "0034P00003maBVHQA2")</f>
        <v>0034P00003maBVHQA2</v>
      </c>
      <c r="J308" s="9" t="s">
        <v>17881</v>
      </c>
      <c r="K308" s="38" t="s">
        <v>17882</v>
      </c>
    </row>
    <row r="309" spans="1:11" ht="12.5" x14ac:dyDescent="0.25">
      <c r="A309" s="21" t="str">
        <f ca="1">IFERROR(__xludf.DUMMYFUNCTION("""COMPUTED_VALUE"""),"0014X00002VKCuHQAX")</f>
        <v>0014X00002VKCuHQAX</v>
      </c>
      <c r="B309" s="27" t="str">
        <f ca="1">IFERROR(__xludf.DUMMYFUNCTION("""COMPUTED_VALUE"""),"Fase Inicial")</f>
        <v>Fase Inicial</v>
      </c>
      <c r="C309" s="27" t="str">
        <f ca="1">IFERROR(__xludf.DUMMYFUNCTION("""COMPUTED_VALUE"""),"Fellow")</f>
        <v>Fellow</v>
      </c>
      <c r="D309" s="27" t="str">
        <f ca="1">IFERROR(__xludf.DUMMYFUNCTION("""COMPUTED_VALUE"""),"Ativo")</f>
        <v>Ativo</v>
      </c>
      <c r="E309" s="27" t="str">
        <f ca="1">IFERROR(__xludf.DUMMYFUNCTION("""COMPUTED_VALUE"""),"Instituto Atitude SP")</f>
        <v>Instituto Atitude SP</v>
      </c>
      <c r="F309" s="21" t="str">
        <f ca="1">IFERROR(VLOOKUP(A309,'Rede - Gerando Falcões '!A308:G1304,38,0),"")</f>
        <v/>
      </c>
      <c r="G309" s="27" t="str">
        <f ca="1">IFERROR(VLOOKUP(A309,'Tabela Categorização'!A:J,10,0),"")</f>
        <v>Fase Inicial</v>
      </c>
      <c r="H309" s="27" t="b">
        <f t="shared" ca="1" si="1"/>
        <v>1</v>
      </c>
      <c r="I309" s="21" t="str">
        <f>HYPERLINK("https://gerandofalcoes.my.salesforce.com/0034X0000380O1MQAU", "0034X0000380O1MQAU")</f>
        <v>0034X0000380O1MQAU</v>
      </c>
      <c r="J309" s="9" t="s">
        <v>17881</v>
      </c>
      <c r="K309" s="38" t="s">
        <v>17882</v>
      </c>
    </row>
    <row r="310" spans="1:11" ht="12.5" x14ac:dyDescent="0.25">
      <c r="A310" s="21" t="str">
        <f ca="1">IFERROR(__xludf.DUMMYFUNCTION("""COMPUTED_VALUE"""),"0014X00002VKCpAQAX")</f>
        <v>0014X00002VKCpAQAX</v>
      </c>
      <c r="B310" s="27"/>
      <c r="C310" s="27" t="str">
        <f ca="1">IFERROR(__xludf.DUMMYFUNCTION("""COMPUTED_VALUE"""),"Fellow")</f>
        <v>Fellow</v>
      </c>
      <c r="D310" s="27" t="str">
        <f ca="1">IFERROR(__xludf.DUMMYFUNCTION("""COMPUTED_VALUE"""),"Ativo")</f>
        <v>Ativo</v>
      </c>
      <c r="E310" s="27" t="str">
        <f ca="1">IFERROR(__xludf.DUMMYFUNCTION("""COMPUTED_VALUE"""),"Instituto Avivah")</f>
        <v>Instituto Avivah</v>
      </c>
      <c r="F310" s="21" t="str">
        <f ca="1">IFERROR(VLOOKUP(A310,'Rede - Gerando Falcões '!A309:G1305,38,0),"")</f>
        <v/>
      </c>
      <c r="G310" s="27" t="str">
        <f ca="1">IFERROR(VLOOKUP(A310,'Tabela Categorização'!A:J,10,0),"")</f>
        <v/>
      </c>
      <c r="H310" s="27" t="b">
        <f t="shared" ca="1" si="1"/>
        <v>1</v>
      </c>
      <c r="I310" s="21" t="str">
        <f>HYPERLINK("https://gerandofalcoes.my.salesforce.com/0034X0000380O5KQAU", "0034X0000380O5KQAU")</f>
        <v>0034X0000380O5KQAU</v>
      </c>
      <c r="J310" s="9" t="s">
        <v>17881</v>
      </c>
      <c r="K310" s="38" t="s">
        <v>17882</v>
      </c>
    </row>
    <row r="311" spans="1:11" ht="12.5" x14ac:dyDescent="0.25">
      <c r="A311" s="21" t="str">
        <f ca="1">IFERROR(__xludf.DUMMYFUNCTION("""COMPUTED_VALUE"""),"0014X00002VKCuWQAX")</f>
        <v>0014X00002VKCuWQAX</v>
      </c>
      <c r="B311" s="27" t="str">
        <f ca="1">IFERROR(__xludf.DUMMYFUNCTION("""COMPUTED_VALUE"""),"Fase Inicial")</f>
        <v>Fase Inicial</v>
      </c>
      <c r="C311" s="27" t="str">
        <f ca="1">IFERROR(__xludf.DUMMYFUNCTION("""COMPUTED_VALUE"""),"Fellow")</f>
        <v>Fellow</v>
      </c>
      <c r="D311" s="27" t="str">
        <f ca="1">IFERROR(__xludf.DUMMYFUNCTION("""COMPUTED_VALUE"""),"Ativo")</f>
        <v>Ativo</v>
      </c>
      <c r="E311" s="27" t="str">
        <f ca="1">IFERROR(__xludf.DUMMYFUNCTION("""COMPUTED_VALUE"""),"Instituto Batista Simon Pr Simon Horbaczyk")</f>
        <v>Instituto Batista Simon Pr Simon Horbaczyk</v>
      </c>
      <c r="F311" s="21" t="str">
        <f ca="1">IFERROR(VLOOKUP(A311,'Rede - Gerando Falcões '!A310:G1306,38,0),"")</f>
        <v/>
      </c>
      <c r="G311" s="27" t="str">
        <f ca="1">IFERROR(VLOOKUP(A311,'Tabela Categorização'!A:J,10,0),"")</f>
        <v>Fase Inicial</v>
      </c>
      <c r="H311" s="27" t="b">
        <f t="shared" ca="1" si="1"/>
        <v>1</v>
      </c>
      <c r="I311" s="21" t="str">
        <f>HYPERLINK("https://gerandofalcoes.my.salesforce.com/0034X0000380O3OQAU", "0034X0000380O3OQAU")</f>
        <v>0034X0000380O3OQAU</v>
      </c>
      <c r="J311" s="9" t="s">
        <v>17881</v>
      </c>
      <c r="K311" s="38" t="s">
        <v>17882</v>
      </c>
    </row>
    <row r="312" spans="1:11" ht="12.5" x14ac:dyDescent="0.25">
      <c r="A312" s="21" t="str">
        <f ca="1">IFERROR(__xludf.DUMMYFUNCTION("""COMPUTED_VALUE"""),"0014X00002VKCqEQAX")</f>
        <v>0014X00002VKCqEQAX</v>
      </c>
      <c r="B312" s="27" t="str">
        <f ca="1">IFERROR(__xludf.DUMMYFUNCTION("""COMPUTED_VALUE"""),"Fase Inicial")</f>
        <v>Fase Inicial</v>
      </c>
      <c r="C312" s="27" t="str">
        <f ca="1">IFERROR(__xludf.DUMMYFUNCTION("""COMPUTED_VALUE"""),"Fellow")</f>
        <v>Fellow</v>
      </c>
      <c r="D312" s="27" t="str">
        <f ca="1">IFERROR(__xludf.DUMMYFUNCTION("""COMPUTED_VALUE"""),"Ativo")</f>
        <v>Ativo</v>
      </c>
      <c r="E312" s="27" t="str">
        <f ca="1">IFERROR(__xludf.DUMMYFUNCTION("""COMPUTED_VALUE"""),"Instituto Batucando a Esperança")</f>
        <v>Instituto Batucando a Esperança</v>
      </c>
      <c r="F312" s="21" t="str">
        <f ca="1">IFERROR(VLOOKUP(A312,'Rede - Gerando Falcões '!A311:G1307,38,0),"")</f>
        <v/>
      </c>
      <c r="G312" s="27" t="str">
        <f ca="1">IFERROR(VLOOKUP(A312,'Tabela Categorização'!A:J,10,0),"")</f>
        <v>Fase Inicial</v>
      </c>
      <c r="H312" s="27" t="b">
        <f t="shared" ca="1" si="1"/>
        <v>1</v>
      </c>
      <c r="I312" s="21" t="str">
        <f>HYPERLINK("https://gerandofalcoes.my.salesforce.com/0034X0000380O5UQAU", "0034X0000380O5UQAU")</f>
        <v>0034X0000380O5UQAU</v>
      </c>
      <c r="J312" s="9" t="s">
        <v>17881</v>
      </c>
      <c r="K312" s="38" t="s">
        <v>17882</v>
      </c>
    </row>
    <row r="313" spans="1:11" ht="12.5" x14ac:dyDescent="0.25">
      <c r="A313" s="21" t="str">
        <f ca="1">IFERROR(__xludf.DUMMYFUNCTION("""COMPUTED_VALUE"""),"0014X00002VKCtwQAH")</f>
        <v>0014X00002VKCtwQAH</v>
      </c>
      <c r="B313" s="27" t="str">
        <f ca="1">IFERROR(__xludf.DUMMYFUNCTION("""COMPUTED_VALUE"""),"Fase Inicial")</f>
        <v>Fase Inicial</v>
      </c>
      <c r="C313" s="27" t="str">
        <f ca="1">IFERROR(__xludf.DUMMYFUNCTION("""COMPUTED_VALUE"""),"Fellow")</f>
        <v>Fellow</v>
      </c>
      <c r="D313" s="27" t="str">
        <f ca="1">IFERROR(__xludf.DUMMYFUNCTION("""COMPUTED_VALUE"""),"Ativo")</f>
        <v>Ativo</v>
      </c>
      <c r="E313" s="27" t="str">
        <f ca="1">IFERROR(__xludf.DUMMYFUNCTION("""COMPUTED_VALUE"""),"Instituto Brasileiro de Executivos de Finanças do Paraná")</f>
        <v>Instituto Brasileiro de Executivos de Finanças do Paraná</v>
      </c>
      <c r="F313" s="21" t="str">
        <f ca="1">IFERROR(VLOOKUP(A313,'Rede - Gerando Falcões '!A312:G1308,38,0),"")</f>
        <v/>
      </c>
      <c r="G313" s="27" t="str">
        <f ca="1">IFERROR(VLOOKUP(A313,'Tabela Categorização'!A:J,10,0),"")</f>
        <v>Fase Inicial</v>
      </c>
      <c r="H313" s="27" t="b">
        <f t="shared" ca="1" si="1"/>
        <v>1</v>
      </c>
      <c r="I313" s="21" t="str">
        <f>HYPERLINK("https://gerandofalcoes.my.salesforce.com/0034X0000380O4hQAE", "0034X0000380O4hQAE")</f>
        <v>0034X0000380O4hQAE</v>
      </c>
      <c r="J313" s="9" t="s">
        <v>17881</v>
      </c>
      <c r="K313" s="38" t="s">
        <v>17882</v>
      </c>
    </row>
    <row r="314" spans="1:11" ht="12.5" x14ac:dyDescent="0.25">
      <c r="A314" s="21" t="str">
        <f ca="1">IFERROR(__xludf.DUMMYFUNCTION("""COMPUTED_VALUE"""),"0014P00003YSp7uQAD")</f>
        <v>0014P00003YSp7uQAD</v>
      </c>
      <c r="B314" s="27" t="str">
        <f ca="1">IFERROR(__xludf.DUMMYFUNCTION("""COMPUTED_VALUE"""),"Fase Estruturação")</f>
        <v>Fase Estruturação</v>
      </c>
      <c r="C314" s="27" t="str">
        <f ca="1">IFERROR(__xludf.DUMMYFUNCTION("""COMPUTED_VALUE"""),"Fellow")</f>
        <v>Fellow</v>
      </c>
      <c r="D314" s="27" t="str">
        <f ca="1">IFERROR(__xludf.DUMMYFUNCTION("""COMPUTED_VALUE"""),"Ativo")</f>
        <v>Ativo</v>
      </c>
      <c r="E314" s="27" t="str">
        <f ca="1">IFERROR(__xludf.DUMMYFUNCTION("""COMPUTED_VALUE"""),"INSTITUTO BRASILEIRO DE EXPEDIÇÕES SOCIAIS")</f>
        <v>INSTITUTO BRASILEIRO DE EXPEDIÇÕES SOCIAIS</v>
      </c>
      <c r="F314" s="21" t="str">
        <f ca="1">IFERROR(VLOOKUP(A314,'Rede - Gerando Falcões '!A313:G1309,38,0),"")</f>
        <v/>
      </c>
      <c r="G314" s="27" t="str">
        <f ca="1">IFERROR(VLOOKUP(A314,'Tabela Categorização'!A:J,10,0),"")</f>
        <v>Fase Estruturação</v>
      </c>
      <c r="H314" s="27" t="b">
        <f t="shared" ca="1" si="1"/>
        <v>1</v>
      </c>
      <c r="I314" s="21" t="str">
        <f>HYPERLINK("https://gerandofalcoes.my.salesforce.com/0034P000045kxiVQAQ", "0034P000045kxiVQAQ")</f>
        <v>0034P000045kxiVQAQ</v>
      </c>
      <c r="J314" s="9" t="s">
        <v>17881</v>
      </c>
      <c r="K314" s="38" t="s">
        <v>17882</v>
      </c>
    </row>
    <row r="315" spans="1:11" ht="12.5" x14ac:dyDescent="0.25">
      <c r="A315" s="21" t="str">
        <f ca="1">IFERROR(__xludf.DUMMYFUNCTION("""COMPUTED_VALUE"""),"0014X00002VKCp6QAH")</f>
        <v>0014X00002VKCp6QAH</v>
      </c>
      <c r="B315" s="27" t="str">
        <f ca="1">IFERROR(__xludf.DUMMYFUNCTION("""COMPUTED_VALUE"""),"Fase Inicial")</f>
        <v>Fase Inicial</v>
      </c>
      <c r="C315" s="27" t="str">
        <f ca="1">IFERROR(__xludf.DUMMYFUNCTION("""COMPUTED_VALUE"""),"Fellow")</f>
        <v>Fellow</v>
      </c>
      <c r="D315" s="27" t="str">
        <f ca="1">IFERROR(__xludf.DUMMYFUNCTION("""COMPUTED_VALUE"""),"Ativo")</f>
        <v>Ativo</v>
      </c>
      <c r="E315" s="27" t="str">
        <f ca="1">IFERROR(__xludf.DUMMYFUNCTION("""COMPUTED_VALUE"""),"Instituto Carangondé Cidadania")</f>
        <v>Instituto Carangondé Cidadania</v>
      </c>
      <c r="F315" s="21" t="str">
        <f ca="1">IFERROR(VLOOKUP(A315,'Rede - Gerando Falcões '!A314:G1310,38,0),"")</f>
        <v/>
      </c>
      <c r="G315" s="27" t="str">
        <f ca="1">IFERROR(VLOOKUP(A315,'Tabela Categorização'!A:J,10,0),"")</f>
        <v>Fase Inicial</v>
      </c>
      <c r="H315" s="27" t="b">
        <f t="shared" ca="1" si="1"/>
        <v>1</v>
      </c>
      <c r="I315" s="21" t="str">
        <f>HYPERLINK("https://gerandofalcoes.my.salesforce.com/0034X0000380O2JQAU", "0034X0000380O2JQAU")</f>
        <v>0034X0000380O2JQAU</v>
      </c>
      <c r="J315" s="9" t="s">
        <v>17881</v>
      </c>
      <c r="K315" s="38" t="s">
        <v>17882</v>
      </c>
    </row>
    <row r="316" spans="1:11" ht="12.5" x14ac:dyDescent="0.25">
      <c r="A316" s="21" t="str">
        <f ca="1">IFERROR(__xludf.DUMMYFUNCTION("""COMPUTED_VALUE"""),"0014P00003SGWPrQAP")</f>
        <v>0014P00003SGWPrQAP</v>
      </c>
      <c r="B316" s="27" t="str">
        <f ca="1">IFERROR(__xludf.DUMMYFUNCTION("""COMPUTED_VALUE"""),"Fase Inicial")</f>
        <v>Fase Inicial</v>
      </c>
      <c r="C316" s="27" t="str">
        <f ca="1">IFERROR(__xludf.DUMMYFUNCTION("""COMPUTED_VALUE"""),"Fellow")</f>
        <v>Fellow</v>
      </c>
      <c r="D316" s="27" t="str">
        <f ca="1">IFERROR(__xludf.DUMMYFUNCTION("""COMPUTED_VALUE"""),"Ativo")</f>
        <v>Ativo</v>
      </c>
      <c r="E316" s="27" t="str">
        <f ca="1">IFERROR(__xludf.DUMMYFUNCTION("""COMPUTED_VALUE"""),"INSTITUTO CASA DE BARRO - CULTURA ARTE EDUCAÇÃO")</f>
        <v>INSTITUTO CASA DE BARRO - CULTURA ARTE EDUCAÇÃO</v>
      </c>
      <c r="F316" s="21" t="str">
        <f ca="1">IFERROR(VLOOKUP(A316,'Rede - Gerando Falcões '!A315:G1311,38,0),"")</f>
        <v/>
      </c>
      <c r="G316" s="27" t="str">
        <f ca="1">IFERROR(VLOOKUP(A316,'Tabela Categorização'!A:J,10,0),"")</f>
        <v>Fase Inicial</v>
      </c>
      <c r="H316" s="27" t="b">
        <f t="shared" ca="1" si="1"/>
        <v>1</v>
      </c>
      <c r="I316" s="21" t="str">
        <f>HYPERLINK("https://gerandofalcoes.my.salesforce.com/0034P000043fOnwQAE", "0034P000043fOnwQAE")</f>
        <v>0034P000043fOnwQAE</v>
      </c>
      <c r="J316" s="9" t="s">
        <v>17881</v>
      </c>
      <c r="K316" s="38" t="s">
        <v>17882</v>
      </c>
    </row>
    <row r="317" spans="1:11" ht="12.5" x14ac:dyDescent="0.25">
      <c r="A317" s="21" t="str">
        <f ca="1">IFERROR(__xludf.DUMMYFUNCTION("""COMPUTED_VALUE"""),"0014X00002VKCttQAH")</f>
        <v>0014X00002VKCttQAH</v>
      </c>
      <c r="B317" s="27" t="str">
        <f ca="1">IFERROR(__xludf.DUMMYFUNCTION("""COMPUTED_VALUE"""),"Fase Inicial")</f>
        <v>Fase Inicial</v>
      </c>
      <c r="C317" s="27" t="str">
        <f ca="1">IFERROR(__xludf.DUMMYFUNCTION("""COMPUTED_VALUE"""),"Fellow")</f>
        <v>Fellow</v>
      </c>
      <c r="D317" s="27" t="str">
        <f ca="1">IFERROR(__xludf.DUMMYFUNCTION("""COMPUTED_VALUE"""),"Ativo")</f>
        <v>Ativo</v>
      </c>
      <c r="E317" s="27" t="str">
        <f ca="1">IFERROR(__xludf.DUMMYFUNCTION("""COMPUTED_VALUE"""),"Instituto Causadores da Alegria")</f>
        <v>Instituto Causadores da Alegria</v>
      </c>
      <c r="F317" s="21" t="str">
        <f ca="1">IFERROR(VLOOKUP(A317,'Rede - Gerando Falcões '!A316:G1312,38,0),"")</f>
        <v/>
      </c>
      <c r="G317" s="27" t="str">
        <f ca="1">IFERROR(VLOOKUP(A317,'Tabela Categorização'!A:J,10,0),"")</f>
        <v>Fase Inicial</v>
      </c>
      <c r="H317" s="27" t="b">
        <f t="shared" ca="1" si="1"/>
        <v>1</v>
      </c>
      <c r="I317" s="21" t="str">
        <f>HYPERLINK("https://gerandofalcoes.my.salesforce.com/0034X0000380O3YQAU", "0034X0000380O3YQAU")</f>
        <v>0034X0000380O3YQAU</v>
      </c>
      <c r="J317" s="9" t="s">
        <v>17881</v>
      </c>
      <c r="K317" s="38" t="s">
        <v>17882</v>
      </c>
    </row>
    <row r="318" spans="1:11" ht="12.5" x14ac:dyDescent="0.25">
      <c r="A318" s="21" t="str">
        <f ca="1">IFERROR(__xludf.DUMMYFUNCTION("""COMPUTED_VALUE"""),"0014X00002VKCpfQAH")</f>
        <v>0014X00002VKCpfQAH</v>
      </c>
      <c r="B318" s="27" t="str">
        <f ca="1">IFERROR(__xludf.DUMMYFUNCTION("""COMPUTED_VALUE"""),"Fase Inicial")</f>
        <v>Fase Inicial</v>
      </c>
      <c r="C318" s="27" t="str">
        <f ca="1">IFERROR(__xludf.DUMMYFUNCTION("""COMPUTED_VALUE"""),"Fellow")</f>
        <v>Fellow</v>
      </c>
      <c r="D318" s="27" t="str">
        <f ca="1">IFERROR(__xludf.DUMMYFUNCTION("""COMPUTED_VALUE"""),"Ativo")</f>
        <v>Ativo</v>
      </c>
      <c r="E318" s="27" t="str">
        <f ca="1">IFERROR(__xludf.DUMMYFUNCTION("""COMPUTED_VALUE"""),"Instituto Coneragir")</f>
        <v>Instituto Coneragir</v>
      </c>
      <c r="F318" s="21" t="str">
        <f ca="1">IFERROR(VLOOKUP(A318,'Rede - Gerando Falcões '!A317:G1313,38,0),"")</f>
        <v/>
      </c>
      <c r="G318" s="27" t="str">
        <f ca="1">IFERROR(VLOOKUP(A318,'Tabela Categorização'!A:J,10,0),"")</f>
        <v>Fase Inicial</v>
      </c>
      <c r="H318" s="27" t="b">
        <f t="shared" ca="1" si="1"/>
        <v>1</v>
      </c>
      <c r="I318" s="21" t="str">
        <f>HYPERLINK("https://gerandofalcoes.my.salesforce.com/0034X0000380O2hQAE", "0034X0000380O2hQAE")</f>
        <v>0034X0000380O2hQAE</v>
      </c>
      <c r="J318" s="9" t="s">
        <v>17881</v>
      </c>
      <c r="K318" s="38" t="s">
        <v>17882</v>
      </c>
    </row>
    <row r="319" spans="1:11" ht="12.5" x14ac:dyDescent="0.25">
      <c r="A319" s="21" t="str">
        <f ca="1">IFERROR(__xludf.DUMMYFUNCTION("""COMPUTED_VALUE"""),"0014X00002VKCuCQAX")</f>
        <v>0014X00002VKCuCQAX</v>
      </c>
      <c r="B319" s="27" t="str">
        <f ca="1">IFERROR(__xludf.DUMMYFUNCTION("""COMPUTED_VALUE"""),"Fase Inicial")</f>
        <v>Fase Inicial</v>
      </c>
      <c r="C319" s="27" t="str">
        <f ca="1">IFERROR(__xludf.DUMMYFUNCTION("""COMPUTED_VALUE"""),"Fellow")</f>
        <v>Fellow</v>
      </c>
      <c r="D319" s="27" t="str">
        <f ca="1">IFERROR(__xludf.DUMMYFUNCTION("""COMPUTED_VALUE"""),"Ativo")</f>
        <v>Ativo</v>
      </c>
      <c r="E319" s="27" t="str">
        <f ca="1">IFERROR(__xludf.DUMMYFUNCTION("""COMPUTED_VALUE"""),"INSTITUTO CONFORME")</f>
        <v>INSTITUTO CONFORME</v>
      </c>
      <c r="F319" s="21" t="str">
        <f ca="1">IFERROR(VLOOKUP(A319,'Rede - Gerando Falcões '!A318:G1314,38,0),"")</f>
        <v/>
      </c>
      <c r="G319" s="27" t="str">
        <f ca="1">IFERROR(VLOOKUP(A319,'Tabela Categorização'!A:J,10,0),"")</f>
        <v>Fase Inicial</v>
      </c>
      <c r="H319" s="27" t="b">
        <f t="shared" ca="1" si="1"/>
        <v>1</v>
      </c>
      <c r="I319" s="21" t="str">
        <f>HYPERLINK("https://gerandofalcoes.my.salesforce.com/0034X0000380O0iQAE", "0034X0000380O0iQAE")</f>
        <v>0034X0000380O0iQAE</v>
      </c>
      <c r="J319" s="9" t="s">
        <v>17881</v>
      </c>
      <c r="K319" s="38" t="s">
        <v>17882</v>
      </c>
    </row>
    <row r="320" spans="1:11" ht="12.5" x14ac:dyDescent="0.25">
      <c r="A320" s="21" t="str">
        <f ca="1">IFERROR(__xludf.DUMMYFUNCTION("""COMPUTED_VALUE"""),"0014X00002VKCtrQAH")</f>
        <v>0014X00002VKCtrQAH</v>
      </c>
      <c r="B320" s="27" t="str">
        <f ca="1">IFERROR(__xludf.DUMMYFUNCTION("""COMPUTED_VALUE"""),"Fase Inicial")</f>
        <v>Fase Inicial</v>
      </c>
      <c r="C320" s="27" t="str">
        <f ca="1">IFERROR(__xludf.DUMMYFUNCTION("""COMPUTED_VALUE"""),"Fellow")</f>
        <v>Fellow</v>
      </c>
      <c r="D320" s="27" t="str">
        <f ca="1">IFERROR(__xludf.DUMMYFUNCTION("""COMPUTED_VALUE"""),"Ativo")</f>
        <v>Ativo</v>
      </c>
      <c r="E320" s="27" t="str">
        <f ca="1">IFERROR(__xludf.DUMMYFUNCTION("""COMPUTED_VALUE"""),"Instituto Conquist")</f>
        <v>Instituto Conquist</v>
      </c>
      <c r="F320" s="21" t="str">
        <f ca="1">IFERROR(VLOOKUP(A320,'Rede - Gerando Falcões '!A319:G1315,38,0),"")</f>
        <v/>
      </c>
      <c r="G320" s="27" t="str">
        <f ca="1">IFERROR(VLOOKUP(A320,'Tabela Categorização'!A:J,10,0),"")</f>
        <v>Fase Inicial</v>
      </c>
      <c r="H320" s="27" t="b">
        <f t="shared" ca="1" si="1"/>
        <v>1</v>
      </c>
      <c r="I320" s="21" t="str">
        <f>HYPERLINK("https://gerandofalcoes.my.salesforce.com/0034X0000380O1YQAU", "0034X0000380O1YQAU")</f>
        <v>0034X0000380O1YQAU</v>
      </c>
      <c r="J320" s="9" t="s">
        <v>17881</v>
      </c>
      <c r="K320" s="38" t="s">
        <v>17882</v>
      </c>
    </row>
    <row r="321" spans="1:11" ht="12.5" x14ac:dyDescent="0.25">
      <c r="A321" s="21" t="str">
        <f ca="1">IFERROR(__xludf.DUMMYFUNCTION("""COMPUTED_VALUE"""),"0014P00003AN2GMQA1")</f>
        <v>0014P00003AN2GMQA1</v>
      </c>
      <c r="B321" s="27" t="str">
        <f ca="1">IFERROR(__xludf.DUMMYFUNCTION("""COMPUTED_VALUE"""),"Fase Inicial")</f>
        <v>Fase Inicial</v>
      </c>
      <c r="C321" s="27" t="str">
        <f ca="1">IFERROR(__xludf.DUMMYFUNCTION("""COMPUTED_VALUE"""),"Acelerada")</f>
        <v>Acelerada</v>
      </c>
      <c r="D321" s="27" t="str">
        <f ca="1">IFERROR(__xludf.DUMMYFUNCTION("""COMPUTED_VALUE"""),"Ativo")</f>
        <v>Ativo</v>
      </c>
      <c r="E321" s="27" t="str">
        <f ca="1">IFERROR(__xludf.DUMMYFUNCTION("""COMPUTED_VALUE"""),"Instituto Cores do Mará")</f>
        <v>Instituto Cores do Mará</v>
      </c>
      <c r="F321" s="21" t="str">
        <f ca="1">IFERROR(VLOOKUP(A321,'Rede - Gerando Falcões '!A320:G1316,38,0),"")</f>
        <v/>
      </c>
      <c r="G321" s="27" t="str">
        <f ca="1">IFERROR(VLOOKUP(A321,'Tabela Categorização'!A:J,10,0),"")</f>
        <v>Fase Inicial</v>
      </c>
      <c r="H321" s="27" t="b">
        <f t="shared" ca="1" si="1"/>
        <v>1</v>
      </c>
      <c r="I321" s="21" t="str">
        <f>HYPERLINK("https://gerandofalcoes.my.salesforce.com/0034P00003maBVrQAM", "0034P00003maBVrQAM")</f>
        <v>0034P00003maBVrQAM</v>
      </c>
      <c r="J321" s="9" t="s">
        <v>17881</v>
      </c>
      <c r="K321" s="38" t="s">
        <v>17882</v>
      </c>
    </row>
    <row r="322" spans="1:11" ht="12.5" x14ac:dyDescent="0.25">
      <c r="A322" s="21" t="str">
        <f ca="1">IFERROR(__xludf.DUMMYFUNCTION("""COMPUTED_VALUE"""),"0014X00002VKCqYQAX")</f>
        <v>0014X00002VKCqYQAX</v>
      </c>
      <c r="B322" s="27" t="str">
        <f ca="1">IFERROR(__xludf.DUMMYFUNCTION("""COMPUTED_VALUE"""),"Fase Inicial")</f>
        <v>Fase Inicial</v>
      </c>
      <c r="C322" s="27" t="str">
        <f ca="1">IFERROR(__xludf.DUMMYFUNCTION("""COMPUTED_VALUE"""),"Fellow")</f>
        <v>Fellow</v>
      </c>
      <c r="D322" s="27" t="str">
        <f ca="1">IFERROR(__xludf.DUMMYFUNCTION("""COMPUTED_VALUE"""),"Ativo")</f>
        <v>Ativo</v>
      </c>
      <c r="E322" s="27" t="str">
        <f ca="1">IFERROR(__xludf.DUMMYFUNCTION("""COMPUTED_VALUE"""),"INSTITUTO CPL PARÁ DE MINAS")</f>
        <v>INSTITUTO CPL PARÁ DE MINAS</v>
      </c>
      <c r="F322" s="21" t="str">
        <f ca="1">IFERROR(VLOOKUP(A322,'Rede - Gerando Falcões '!A321:G1317,38,0),"")</f>
        <v/>
      </c>
      <c r="G322" s="27" t="str">
        <f ca="1">IFERROR(VLOOKUP(A322,'Tabela Categorização'!A:J,10,0),"")</f>
        <v>Fase Inicial</v>
      </c>
      <c r="H322" s="27" t="b">
        <f t="shared" ca="1" si="1"/>
        <v>1</v>
      </c>
      <c r="I322" s="21" t="str">
        <f>HYPERLINK("https://gerandofalcoes.my.salesforce.com/0034X0000380O5NQAU", "0034X0000380O5NQAU")</f>
        <v>0034X0000380O5NQAU</v>
      </c>
      <c r="J322" s="9" t="s">
        <v>17881</v>
      </c>
      <c r="K322" s="38" t="s">
        <v>17882</v>
      </c>
    </row>
    <row r="323" spans="1:11" ht="12.5" x14ac:dyDescent="0.25">
      <c r="A323" s="21" t="str">
        <f ca="1">IFERROR(__xludf.DUMMYFUNCTION("""COMPUTED_VALUE"""),"0014P00003YSp9PQAT")</f>
        <v>0014P00003YSp9PQAT</v>
      </c>
      <c r="B323" s="27" t="str">
        <f ca="1">IFERROR(__xludf.DUMMYFUNCTION("""COMPUTED_VALUE"""),"Fase Inicial")</f>
        <v>Fase Inicial</v>
      </c>
      <c r="C323" s="27" t="str">
        <f ca="1">IFERROR(__xludf.DUMMYFUNCTION("""COMPUTED_VALUE"""),"Fellow")</f>
        <v>Fellow</v>
      </c>
      <c r="D323" s="27" t="str">
        <f ca="1">IFERROR(__xludf.DUMMYFUNCTION("""COMPUTED_VALUE"""),"Ativo")</f>
        <v>Ativo</v>
      </c>
      <c r="E323" s="27" t="str">
        <f ca="1">IFERROR(__xludf.DUMMYFUNCTION("""COMPUTED_VALUE"""),"Instituto Criança Mais Feliz RS")</f>
        <v>Instituto Criança Mais Feliz RS</v>
      </c>
      <c r="F323" s="21" t="str">
        <f ca="1">IFERROR(VLOOKUP(A323,'Rede - Gerando Falcões '!A322:G1318,38,0),"")</f>
        <v/>
      </c>
      <c r="G323" s="27" t="str">
        <f ca="1">IFERROR(VLOOKUP(A323,'Tabela Categorização'!A:J,10,0),"")</f>
        <v>Fase Inicial</v>
      </c>
      <c r="H323" s="27" t="b">
        <f t="shared" ca="1" si="1"/>
        <v>1</v>
      </c>
      <c r="I323" s="21" t="str">
        <f>HYPERLINK("https://gerandofalcoes.my.salesforce.com/0034P000045kxk1QAA", "0034P000045kxk1QAA")</f>
        <v>0034P000045kxk1QAA</v>
      </c>
      <c r="J323" s="9" t="s">
        <v>17881</v>
      </c>
      <c r="K323" s="38" t="s">
        <v>17882</v>
      </c>
    </row>
    <row r="324" spans="1:11" ht="12.5" x14ac:dyDescent="0.25">
      <c r="A324" s="21" t="str">
        <f ca="1">IFERROR(__xludf.DUMMYFUNCTION("""COMPUTED_VALUE"""),"0014P00003AN2FYQA1")</f>
        <v>0014P00003AN2FYQA1</v>
      </c>
      <c r="B324" s="27" t="str">
        <f ca="1">IFERROR(__xludf.DUMMYFUNCTION("""COMPUTED_VALUE"""),"Fase Estruturação")</f>
        <v>Fase Estruturação</v>
      </c>
      <c r="C324" s="27" t="str">
        <f ca="1">IFERROR(__xludf.DUMMYFUNCTION("""COMPUTED_VALUE"""),"Fellow")</f>
        <v>Fellow</v>
      </c>
      <c r="D324" s="27" t="str">
        <f ca="1">IFERROR(__xludf.DUMMYFUNCTION("""COMPUTED_VALUE"""),"Ativo")</f>
        <v>Ativo</v>
      </c>
      <c r="E324" s="27" t="str">
        <f ca="1">IFERROR(__xludf.DUMMYFUNCTION("""COMPUTED_VALUE"""),"Instituto Cristiane Camargo")</f>
        <v>Instituto Cristiane Camargo</v>
      </c>
      <c r="F324" s="21" t="str">
        <f ca="1">IFERROR(VLOOKUP(A324,'Rede - Gerando Falcões '!A323:G1319,38,0),"")</f>
        <v/>
      </c>
      <c r="G324" s="27" t="str">
        <f ca="1">IFERROR(VLOOKUP(A324,'Tabela Categorização'!A:J,10,0),"")</f>
        <v>Fase Estruturação</v>
      </c>
      <c r="H324" s="27" t="b">
        <f t="shared" ca="1" si="1"/>
        <v>1</v>
      </c>
      <c r="I324" s="21" t="str">
        <f>HYPERLINK("https://gerandofalcoes.my.salesforce.com/0034P00003maBVUQA2", "0034P00003maBVUQA2")</f>
        <v>0034P00003maBVUQA2</v>
      </c>
      <c r="J324" s="9" t="s">
        <v>17881</v>
      </c>
      <c r="K324" s="38" t="s">
        <v>17882</v>
      </c>
    </row>
    <row r="325" spans="1:11" ht="12.5" x14ac:dyDescent="0.25">
      <c r="A325" s="21" t="str">
        <f ca="1">IFERROR(__xludf.DUMMYFUNCTION("""COMPUTED_VALUE"""),"0014X00002VKCr1QAH")</f>
        <v>0014X00002VKCr1QAH</v>
      </c>
      <c r="B325" s="27" t="str">
        <f ca="1">IFERROR(__xludf.DUMMYFUNCTION("""COMPUTED_VALUE"""),"Fase Inicial")</f>
        <v>Fase Inicial</v>
      </c>
      <c r="C325" s="27" t="str">
        <f ca="1">IFERROR(__xludf.DUMMYFUNCTION("""COMPUTED_VALUE"""),"Fellow")</f>
        <v>Fellow</v>
      </c>
      <c r="D325" s="27" t="str">
        <f ca="1">IFERROR(__xludf.DUMMYFUNCTION("""COMPUTED_VALUE"""),"Ativo")</f>
        <v>Ativo</v>
      </c>
      <c r="E325" s="27" t="str">
        <f ca="1">IFERROR(__xludf.DUMMYFUNCTION("""COMPUTED_VALUE"""),"Instituto Cultural Aníbal Machado")</f>
        <v>Instituto Cultural Aníbal Machado</v>
      </c>
      <c r="F325" s="21" t="str">
        <f ca="1">IFERROR(VLOOKUP(A325,'Rede - Gerando Falcões '!A324:G1320,38,0),"")</f>
        <v/>
      </c>
      <c r="G325" s="27" t="str">
        <f ca="1">IFERROR(VLOOKUP(A325,'Tabela Categorização'!A:J,10,0),"")</f>
        <v>Fase Inicial</v>
      </c>
      <c r="H325" s="27" t="b">
        <f t="shared" ca="1" si="1"/>
        <v>1</v>
      </c>
      <c r="I325" s="21" t="str">
        <f>HYPERLINK("https://gerandofalcoes.my.salesforce.com/0034X0000380O2tQAE", "0034X0000380O2tQAE")</f>
        <v>0034X0000380O2tQAE</v>
      </c>
      <c r="J325" s="9" t="s">
        <v>17881</v>
      </c>
      <c r="K325" s="38" t="s">
        <v>17882</v>
      </c>
    </row>
    <row r="326" spans="1:11" ht="12.5" x14ac:dyDescent="0.25">
      <c r="A326" s="21" t="str">
        <f ca="1">IFERROR(__xludf.DUMMYFUNCTION("""COMPUTED_VALUE"""),"0014P00003YSpA2QAL")</f>
        <v>0014P00003YSpA2QAL</v>
      </c>
      <c r="B326" s="27" t="str">
        <f ca="1">IFERROR(__xludf.DUMMYFUNCTION("""COMPUTED_VALUE"""),"Fase Inicial")</f>
        <v>Fase Inicial</v>
      </c>
      <c r="C326" s="27" t="str">
        <f ca="1">IFERROR(__xludf.DUMMYFUNCTION("""COMPUTED_VALUE"""),"Fellow")</f>
        <v>Fellow</v>
      </c>
      <c r="D326" s="27" t="str">
        <f ca="1">IFERROR(__xludf.DUMMYFUNCTION("""COMPUTED_VALUE"""),"Ativo")</f>
        <v>Ativo</v>
      </c>
      <c r="E326" s="27" t="str">
        <f ca="1">IFERROR(__xludf.DUMMYFUNCTION("""COMPUTED_VALUE"""),"Instituto Dah Araujo")</f>
        <v>Instituto Dah Araujo</v>
      </c>
      <c r="F326" s="21" t="str">
        <f ca="1">IFERROR(VLOOKUP(A326,'Rede - Gerando Falcões '!A325:G1321,38,0),"")</f>
        <v/>
      </c>
      <c r="G326" s="27" t="str">
        <f ca="1">IFERROR(VLOOKUP(A326,'Tabela Categorização'!A:J,10,0),"")</f>
        <v>Fase Inicial</v>
      </c>
      <c r="H326" s="27" t="b">
        <f t="shared" ca="1" si="1"/>
        <v>1</v>
      </c>
      <c r="I326" s="21" t="str">
        <f>HYPERLINK("https://gerandofalcoes.my.salesforce.com/0034P000045kxkeQAA", "0034P000045kxkeQAA")</f>
        <v>0034P000045kxkeQAA</v>
      </c>
      <c r="J326" s="9" t="s">
        <v>17881</v>
      </c>
      <c r="K326" s="38" t="s">
        <v>17882</v>
      </c>
    </row>
    <row r="327" spans="1:11" ht="12.5" x14ac:dyDescent="0.25">
      <c r="A327" s="21" t="str">
        <f ca="1">IFERROR(__xludf.DUMMYFUNCTION("""COMPUTED_VALUE"""),"0014P00003AN2FbQAL")</f>
        <v>0014P00003AN2FbQAL</v>
      </c>
      <c r="B327" s="27" t="str">
        <f ca="1">IFERROR(__xludf.DUMMYFUNCTION("""COMPUTED_VALUE"""),"Fase Inicial")</f>
        <v>Fase Inicial</v>
      </c>
      <c r="C327" s="27" t="str">
        <f ca="1">IFERROR(__xludf.DUMMYFUNCTION("""COMPUTED_VALUE"""),"Fellow")</f>
        <v>Fellow</v>
      </c>
      <c r="D327" s="27" t="str">
        <f ca="1">IFERROR(__xludf.DUMMYFUNCTION("""COMPUTED_VALUE"""),"Ativo")</f>
        <v>Ativo</v>
      </c>
      <c r="E327" s="27" t="str">
        <f ca="1">IFERROR(__xludf.DUMMYFUNCTION("""COMPUTED_VALUE"""),"INSTITUTO DAS ÁGUIAS")</f>
        <v>INSTITUTO DAS ÁGUIAS</v>
      </c>
      <c r="F327" s="21" t="str">
        <f ca="1">IFERROR(VLOOKUP(A327,'Rede - Gerando Falcões '!A326:G1322,38,0),"")</f>
        <v/>
      </c>
      <c r="G327" s="27" t="str">
        <f ca="1">IFERROR(VLOOKUP(A327,'Tabela Categorização'!A:J,10,0),"")</f>
        <v>Fase Inicial</v>
      </c>
      <c r="H327" s="27" t="b">
        <f t="shared" ca="1" si="1"/>
        <v>1</v>
      </c>
      <c r="I327" s="21" t="str">
        <f>HYPERLINK("https://gerandofalcoes.my.salesforce.com/0034P00003maBV1QAM", "0034P00003maBV1QAM")</f>
        <v>0034P00003maBV1QAM</v>
      </c>
      <c r="J327" s="9" t="s">
        <v>17881</v>
      </c>
      <c r="K327" s="38" t="s">
        <v>17882</v>
      </c>
    </row>
    <row r="328" spans="1:11" ht="12.5" x14ac:dyDescent="0.25">
      <c r="A328" s="21" t="str">
        <f ca="1">IFERROR(__xludf.DUMMYFUNCTION("""COMPUTED_VALUE"""),"0014X00002VKCp2QAH")</f>
        <v>0014X00002VKCp2QAH</v>
      </c>
      <c r="B328" s="27"/>
      <c r="C328" s="27" t="str">
        <f ca="1">IFERROR(__xludf.DUMMYFUNCTION("""COMPUTED_VALUE"""),"Fellow")</f>
        <v>Fellow</v>
      </c>
      <c r="D328" s="27" t="str">
        <f ca="1">IFERROR(__xludf.DUMMYFUNCTION("""COMPUTED_VALUE"""),"Ativo")</f>
        <v>Ativo</v>
      </c>
      <c r="E328" s="27" t="str">
        <f ca="1">IFERROR(__xludf.DUMMYFUNCTION("""COMPUTED_VALUE"""),"Instituto de :Responsabilidade e Investimento Social IRIS")</f>
        <v>Instituto de :Responsabilidade e Investimento Social IRIS</v>
      </c>
      <c r="F328" s="21" t="str">
        <f ca="1">IFERROR(VLOOKUP(A328,'Rede - Gerando Falcões '!A327:G1323,38,0),"")</f>
        <v/>
      </c>
      <c r="G328" s="27" t="str">
        <f ca="1">IFERROR(VLOOKUP(A328,'Tabela Categorização'!A:J,10,0),"")</f>
        <v/>
      </c>
      <c r="H328" s="27" t="b">
        <f t="shared" ca="1" si="1"/>
        <v>1</v>
      </c>
      <c r="I328" s="21" t="str">
        <f>HYPERLINK("https://gerandofalcoes.my.salesforce.com/0034X0000380O0dQAE", "0034X0000380O0dQAE")</f>
        <v>0034X0000380O0dQAE</v>
      </c>
      <c r="J328" s="9" t="s">
        <v>17881</v>
      </c>
      <c r="K328" s="38" t="s">
        <v>17882</v>
      </c>
    </row>
    <row r="329" spans="1:11" ht="12.5" x14ac:dyDescent="0.25">
      <c r="A329" s="21" t="str">
        <f ca="1">IFERROR(__xludf.DUMMYFUNCTION("""COMPUTED_VALUE"""),"0014X00002VKCqLQAX")</f>
        <v>0014X00002VKCqLQAX</v>
      </c>
      <c r="B329" s="27" t="str">
        <f ca="1">IFERROR(__xludf.DUMMYFUNCTION("""COMPUTED_VALUE"""),"Fase Avançada")</f>
        <v>Fase Avançada</v>
      </c>
      <c r="C329" s="27" t="str">
        <f ca="1">IFERROR(__xludf.DUMMYFUNCTION("""COMPUTED_VALUE"""),"Fellow")</f>
        <v>Fellow</v>
      </c>
      <c r="D329" s="27" t="str">
        <f ca="1">IFERROR(__xludf.DUMMYFUNCTION("""COMPUTED_VALUE"""),"Ativo")</f>
        <v>Ativo</v>
      </c>
      <c r="E329" s="27" t="str">
        <f ca="1">IFERROR(__xludf.DUMMYFUNCTION("""COMPUTED_VALUE"""),"Instituto de Arte e Cidadania do Ceará")</f>
        <v>Instituto de Arte e Cidadania do Ceará</v>
      </c>
      <c r="F329" s="21" t="str">
        <f ca="1">IFERROR(VLOOKUP(A329,'Rede - Gerando Falcões '!A328:G1324,38,0),"")</f>
        <v/>
      </c>
      <c r="G329" s="27" t="str">
        <f ca="1">IFERROR(VLOOKUP(A329,'Tabela Categorização'!A:J,10,0),"")</f>
        <v>Fase Avançada</v>
      </c>
      <c r="H329" s="27" t="b">
        <f t="shared" ca="1" si="1"/>
        <v>1</v>
      </c>
      <c r="I329" s="21" t="str">
        <f>HYPERLINK("https://gerandofalcoes.my.salesforce.com/0034X0000380O17QAE", "0034X0000380O17QAE")</f>
        <v>0034X0000380O17QAE</v>
      </c>
      <c r="J329" s="9" t="s">
        <v>17881</v>
      </c>
      <c r="K329" s="38" t="s">
        <v>17882</v>
      </c>
    </row>
    <row r="330" spans="1:11" ht="12.5" x14ac:dyDescent="0.25">
      <c r="A330" s="21" t="str">
        <f ca="1">IFERROR(__xludf.DUMMYFUNCTION("""COMPUTED_VALUE"""),"0014P00003YSp7oQAD")</f>
        <v>0014P00003YSp7oQAD</v>
      </c>
      <c r="B330" s="27" t="str">
        <f ca="1">IFERROR(__xludf.DUMMYFUNCTION("""COMPUTED_VALUE"""),"Fase Inicial")</f>
        <v>Fase Inicial</v>
      </c>
      <c r="C330" s="27" t="str">
        <f ca="1">IFERROR(__xludf.DUMMYFUNCTION("""COMPUTED_VALUE"""),"Fellow")</f>
        <v>Fellow</v>
      </c>
      <c r="D330" s="27" t="str">
        <f ca="1">IFERROR(__xludf.DUMMYFUNCTION("""COMPUTED_VALUE"""),"Ativo")</f>
        <v>Ativo</v>
      </c>
      <c r="E330" s="27" t="str">
        <f ca="1">IFERROR(__xludf.DUMMYFUNCTION("""COMPUTED_VALUE"""),"Instituto de Arte e Educação da Bahia")</f>
        <v>Instituto de Arte e Educação da Bahia</v>
      </c>
      <c r="F330" s="21" t="str">
        <f ca="1">IFERROR(VLOOKUP(A330,'Rede - Gerando Falcões '!A329:G1325,38,0),"")</f>
        <v/>
      </c>
      <c r="G330" s="27" t="str">
        <f ca="1">IFERROR(VLOOKUP(A330,'Tabela Categorização'!A:J,10,0),"")</f>
        <v>Fase Inicial</v>
      </c>
      <c r="H330" s="27" t="b">
        <f t="shared" ca="1" si="1"/>
        <v>1</v>
      </c>
      <c r="I330" s="21" t="str">
        <f>HYPERLINK("https://gerandofalcoes.my.salesforce.com/0034P000045kxiPQAQ", "0034P000045kxiPQAQ")</f>
        <v>0034P000045kxiPQAQ</v>
      </c>
      <c r="J330" s="9" t="s">
        <v>17881</v>
      </c>
      <c r="K330" s="38" t="s">
        <v>17882</v>
      </c>
    </row>
    <row r="331" spans="1:11" ht="12.5" x14ac:dyDescent="0.25">
      <c r="A331" s="21" t="str">
        <f ca="1">IFERROR(__xludf.DUMMYFUNCTION("""COMPUTED_VALUE"""),"0014P00003AN2GNQA1")</f>
        <v>0014P00003AN2GNQA1</v>
      </c>
      <c r="B331" s="27" t="str">
        <f ca="1">IFERROR(__xludf.DUMMYFUNCTION("""COMPUTED_VALUE"""),"Fase Avançada")</f>
        <v>Fase Avançada</v>
      </c>
      <c r="C331" s="27" t="str">
        <f ca="1">IFERROR(__xludf.DUMMYFUNCTION("""COMPUTED_VALUE"""),"Acelerada")</f>
        <v>Acelerada</v>
      </c>
      <c r="D331" s="27" t="str">
        <f ca="1">IFERROR(__xludf.DUMMYFUNCTION("""COMPUTED_VALUE"""),"Ativo")</f>
        <v>Ativo</v>
      </c>
      <c r="E331" s="27" t="str">
        <f ca="1">IFERROR(__xludf.DUMMYFUNCTION("""COMPUTED_VALUE"""),"Instituto de Capacitação e Ação Social O Grito")</f>
        <v>Instituto de Capacitação e Ação Social O Grito</v>
      </c>
      <c r="F331" s="21" t="str">
        <f ca="1">IFERROR(VLOOKUP(A331,'Rede - Gerando Falcões '!A330:G1326,38,0),"")</f>
        <v/>
      </c>
      <c r="G331" s="27" t="str">
        <f ca="1">IFERROR(VLOOKUP(A331,'Tabela Categorização'!A:J,10,0),"")</f>
        <v>Fase Avançada</v>
      </c>
      <c r="H331" s="27" t="b">
        <f t="shared" ca="1" si="1"/>
        <v>1</v>
      </c>
      <c r="I331" s="21" t="str">
        <f>HYPERLINK("https://gerandofalcoes.my.salesforce.com/0034P00003maBVsQAM", "0034P00003maBVsQAM")</f>
        <v>0034P00003maBVsQAM</v>
      </c>
      <c r="J331" s="9" t="s">
        <v>17881</v>
      </c>
      <c r="K331" s="38" t="s">
        <v>17882</v>
      </c>
    </row>
    <row r="332" spans="1:11" ht="12.5" x14ac:dyDescent="0.25">
      <c r="A332" s="21" t="str">
        <f ca="1">IFERROR(__xludf.DUMMYFUNCTION("""COMPUTED_VALUE"""),"0014P00003YSp7nQAD")</f>
        <v>0014P00003YSp7nQAD</v>
      </c>
      <c r="B332" s="27" t="str">
        <f ca="1">IFERROR(__xludf.DUMMYFUNCTION("""COMPUTED_VALUE"""),"Fase Estruturação")</f>
        <v>Fase Estruturação</v>
      </c>
      <c r="C332" s="27" t="str">
        <f ca="1">IFERROR(__xludf.DUMMYFUNCTION("""COMPUTED_VALUE"""),"Fellow")</f>
        <v>Fellow</v>
      </c>
      <c r="D332" s="27" t="str">
        <f ca="1">IFERROR(__xludf.DUMMYFUNCTION("""COMPUTED_VALUE"""),"Ativo")</f>
        <v>Ativo</v>
      </c>
      <c r="E332" s="27" t="str">
        <f ca="1">IFERROR(__xludf.DUMMYFUNCTION("""COMPUTED_VALUE"""),"Instituto de Cidadania Amor ao Próximo")</f>
        <v>Instituto de Cidadania Amor ao Próximo</v>
      </c>
      <c r="F332" s="21" t="str">
        <f ca="1">IFERROR(VLOOKUP(A332,'Rede - Gerando Falcões '!A331:G1327,38,0),"")</f>
        <v/>
      </c>
      <c r="G332" s="27" t="str">
        <f ca="1">IFERROR(VLOOKUP(A332,'Tabela Categorização'!A:J,10,0),"")</f>
        <v>Fase Estruturação</v>
      </c>
      <c r="H332" s="27" t="b">
        <f t="shared" ca="1" si="1"/>
        <v>1</v>
      </c>
      <c r="I332" s="21" t="str">
        <f>HYPERLINK("https://gerandofalcoes.my.salesforce.com/0034P000045kxiOQAQ", "0034P000045kxiOQAQ")</f>
        <v>0034P000045kxiOQAQ</v>
      </c>
      <c r="J332" s="9" t="s">
        <v>17881</v>
      </c>
      <c r="K332" s="38" t="s">
        <v>17882</v>
      </c>
    </row>
    <row r="333" spans="1:11" ht="12.5" x14ac:dyDescent="0.25">
      <c r="A333" s="21" t="str">
        <f ca="1">IFERROR(__xludf.DUMMYFUNCTION("""COMPUTED_VALUE"""),"0014P00003SGWQJQA5")</f>
        <v>0014P00003SGWQJQA5</v>
      </c>
      <c r="B333" s="27" t="str">
        <f ca="1">IFERROR(__xludf.DUMMYFUNCTION("""COMPUTED_VALUE"""),"Fase Inicial")</f>
        <v>Fase Inicial</v>
      </c>
      <c r="C333" s="27" t="str">
        <f ca="1">IFERROR(__xludf.DUMMYFUNCTION("""COMPUTED_VALUE"""),"Fellow")</f>
        <v>Fellow</v>
      </c>
      <c r="D333" s="27" t="str">
        <f ca="1">IFERROR(__xludf.DUMMYFUNCTION("""COMPUTED_VALUE"""),"Ativo")</f>
        <v>Ativo</v>
      </c>
      <c r="E333" s="27" t="str">
        <f ca="1">IFERROR(__xludf.DUMMYFUNCTION("""COMPUTED_VALUE"""),"INSTITUTO DE CULTURA E LAZER EBENÉZER")</f>
        <v>INSTITUTO DE CULTURA E LAZER EBENÉZER</v>
      </c>
      <c r="F333" s="21" t="str">
        <f ca="1">IFERROR(VLOOKUP(A333,'Rede - Gerando Falcões '!A332:G1328,38,0),"")</f>
        <v/>
      </c>
      <c r="G333" s="27" t="str">
        <f ca="1">IFERROR(VLOOKUP(A333,'Tabela Categorização'!A:J,10,0),"")</f>
        <v>Fase Inicial</v>
      </c>
      <c r="H333" s="27" t="b">
        <f t="shared" ca="1" si="1"/>
        <v>1</v>
      </c>
      <c r="I333" s="21" t="str">
        <f>HYPERLINK("https://gerandofalcoes.my.salesforce.com/0034P000043fOoJQAU", "0034P000043fOoJQAU")</f>
        <v>0034P000043fOoJQAU</v>
      </c>
      <c r="J333" s="9" t="s">
        <v>17881</v>
      </c>
      <c r="K333" s="38" t="s">
        <v>17882</v>
      </c>
    </row>
    <row r="334" spans="1:11" ht="12.5" x14ac:dyDescent="0.25">
      <c r="A334" s="21" t="str">
        <f ca="1">IFERROR(__xludf.DUMMYFUNCTION("""COMPUTED_VALUE"""),"0014X00002VKCq0QAH")</f>
        <v>0014X00002VKCq0QAH</v>
      </c>
      <c r="B334" s="27" t="str">
        <f ca="1">IFERROR(__xludf.DUMMYFUNCTION("""COMPUTED_VALUE"""),"Fase Inicial")</f>
        <v>Fase Inicial</v>
      </c>
      <c r="C334" s="27" t="str">
        <f ca="1">IFERROR(__xludf.DUMMYFUNCTION("""COMPUTED_VALUE"""),"Fellow")</f>
        <v>Fellow</v>
      </c>
      <c r="D334" s="27" t="str">
        <f ca="1">IFERROR(__xludf.DUMMYFUNCTION("""COMPUTED_VALUE"""),"Ativo")</f>
        <v>Ativo</v>
      </c>
      <c r="E334" s="27" t="str">
        <f ca="1">IFERROR(__xludf.DUMMYFUNCTION("""COMPUTED_VALUE"""),"INSTITUTO DE DESENVOLVIMENTO ARTÍSTICO E CULTURAL DO CEARÁ")</f>
        <v>INSTITUTO DE DESENVOLVIMENTO ARTÍSTICO E CULTURAL DO CEARÁ</v>
      </c>
      <c r="F334" s="21" t="str">
        <f ca="1">IFERROR(VLOOKUP(A334,'Rede - Gerando Falcões '!A333:G1329,38,0),"")</f>
        <v/>
      </c>
      <c r="G334" s="27" t="str">
        <f ca="1">IFERROR(VLOOKUP(A334,'Tabela Categorização'!A:J,10,0),"")</f>
        <v>Fase Inicial</v>
      </c>
      <c r="H334" s="27" t="b">
        <f t="shared" ca="1" si="1"/>
        <v>1</v>
      </c>
      <c r="I334" s="21" t="str">
        <f>HYPERLINK("https://gerandofalcoes.my.salesforce.com/0034X0000380O5iQAE", "0034X0000380O5iQAE")</f>
        <v>0034X0000380O5iQAE</v>
      </c>
      <c r="J334" s="9" t="s">
        <v>17881</v>
      </c>
      <c r="K334" s="38" t="s">
        <v>17882</v>
      </c>
    </row>
    <row r="335" spans="1:11" ht="12.5" x14ac:dyDescent="0.25">
      <c r="A335" s="21" t="str">
        <f ca="1">IFERROR(__xludf.DUMMYFUNCTION("""COMPUTED_VALUE"""),"0014X00002VKCpCQAX")</f>
        <v>0014X00002VKCpCQAX</v>
      </c>
      <c r="B335" s="27" t="str">
        <f ca="1">IFERROR(__xludf.DUMMYFUNCTION("""COMPUTED_VALUE"""),"Fase Inicial")</f>
        <v>Fase Inicial</v>
      </c>
      <c r="C335" s="27" t="str">
        <f ca="1">IFERROR(__xludf.DUMMYFUNCTION("""COMPUTED_VALUE"""),"Fellow")</f>
        <v>Fellow</v>
      </c>
      <c r="D335" s="27" t="str">
        <f ca="1">IFERROR(__xludf.DUMMYFUNCTION("""COMPUTED_VALUE"""),"Ativo")</f>
        <v>Ativo</v>
      </c>
      <c r="E335" s="27" t="str">
        <f ca="1">IFERROR(__xludf.DUMMYFUNCTION("""COMPUTED_VALUE"""),"Instituto de Desenvolvimento e Proteção Social")</f>
        <v>Instituto de Desenvolvimento e Proteção Social</v>
      </c>
      <c r="F335" s="21" t="str">
        <f ca="1">IFERROR(VLOOKUP(A335,'Rede - Gerando Falcões '!A334:G1330,38,0),"")</f>
        <v/>
      </c>
      <c r="G335" s="27" t="str">
        <f ca="1">IFERROR(VLOOKUP(A335,'Tabela Categorização'!A:J,10,0),"")</f>
        <v>Fase Inicial</v>
      </c>
      <c r="H335" s="27" t="b">
        <f t="shared" ca="1" si="1"/>
        <v>1</v>
      </c>
      <c r="I335" s="21" t="str">
        <f>HYPERLINK("https://gerandofalcoes.my.salesforce.com/0034X0000380O5EQAU", "0034X0000380O5EQAU")</f>
        <v>0034X0000380O5EQAU</v>
      </c>
      <c r="J335" s="9" t="s">
        <v>17881</v>
      </c>
      <c r="K335" s="38" t="s">
        <v>17882</v>
      </c>
    </row>
    <row r="336" spans="1:11" ht="12.5" x14ac:dyDescent="0.25">
      <c r="A336" s="21" t="str">
        <f ca="1">IFERROR(__xludf.DUMMYFUNCTION("""COMPUTED_VALUE"""),"0014X00002VKCuNQAX")</f>
        <v>0014X00002VKCuNQAX</v>
      </c>
      <c r="B336" s="27" t="str">
        <f ca="1">IFERROR(__xludf.DUMMYFUNCTION("""COMPUTED_VALUE"""),"Fase Inicial")</f>
        <v>Fase Inicial</v>
      </c>
      <c r="C336" s="27" t="str">
        <f ca="1">IFERROR(__xludf.DUMMYFUNCTION("""COMPUTED_VALUE"""),"Fellow")</f>
        <v>Fellow</v>
      </c>
      <c r="D336" s="27" t="str">
        <f ca="1">IFERROR(__xludf.DUMMYFUNCTION("""COMPUTED_VALUE"""),"Ativo")</f>
        <v>Ativo</v>
      </c>
      <c r="E336" s="27" t="str">
        <f ca="1">IFERROR(__xludf.DUMMYFUNCTION("""COMPUTED_VALUE"""),"Instituto de desenvolvimento esportivo* social e cultural Impactando Gerações")</f>
        <v>Instituto de desenvolvimento esportivo* social e cultural Impactando Gerações</v>
      </c>
      <c r="F336" s="21" t="str">
        <f ca="1">IFERROR(VLOOKUP(A336,'Rede - Gerando Falcões '!A335:G1331,38,0),"")</f>
        <v/>
      </c>
      <c r="G336" s="27" t="str">
        <f ca="1">IFERROR(VLOOKUP(A336,'Tabela Categorização'!A:J,10,0),"")</f>
        <v>Fase Inicial</v>
      </c>
      <c r="H336" s="27" t="b">
        <f t="shared" ca="1" si="1"/>
        <v>1</v>
      </c>
      <c r="I336" s="21" t="str">
        <f>HYPERLINK("https://gerandofalcoes.my.salesforce.com/0034X0000380O1EQAU", "0034X0000380O1EQAU")</f>
        <v>0034X0000380O1EQAU</v>
      </c>
      <c r="J336" s="9" t="s">
        <v>17881</v>
      </c>
      <c r="K336" s="38" t="s">
        <v>17882</v>
      </c>
    </row>
    <row r="337" spans="1:11" ht="12.5" x14ac:dyDescent="0.25">
      <c r="A337" s="21" t="str">
        <f ca="1">IFERROR(__xludf.DUMMYFUNCTION("""COMPUTED_VALUE"""),"0014P00003YSp9mQAD")</f>
        <v>0014P00003YSp9mQAD</v>
      </c>
      <c r="B337" s="27" t="str">
        <f ca="1">IFERROR(__xludf.DUMMYFUNCTION("""COMPUTED_VALUE"""),"Fase Avançada")</f>
        <v>Fase Avançada</v>
      </c>
      <c r="C337" s="27" t="str">
        <f ca="1">IFERROR(__xludf.DUMMYFUNCTION("""COMPUTED_VALUE"""),"Acelerada")</f>
        <v>Acelerada</v>
      </c>
      <c r="D337" s="27" t="str">
        <f ca="1">IFERROR(__xludf.DUMMYFUNCTION("""COMPUTED_VALUE"""),"Ativo")</f>
        <v>Ativo</v>
      </c>
      <c r="E337" s="27" t="str">
        <f ca="1">IFERROR(__xludf.DUMMYFUNCTION("""COMPUTED_VALUE"""),"INSTITUTO DE DESENVOLVIMENTO HUMANO,SOCIAL,ECONÔMICO E CULTURAL ""MANÁ DO CÉU PARA OS POVOS""")</f>
        <v>INSTITUTO DE DESENVOLVIMENTO HUMANO,SOCIAL,ECONÔMICO E CULTURAL "MANÁ DO CÉU PARA OS POVOS"</v>
      </c>
      <c r="F337" s="21" t="str">
        <f ca="1">IFERROR(VLOOKUP(A337,'Rede - Gerando Falcões '!A336:G1332,38,0),"")</f>
        <v/>
      </c>
      <c r="G337" s="27" t="str">
        <f ca="1">IFERROR(VLOOKUP(A337,'Tabela Categorização'!A:J,10,0),"")</f>
        <v>Fase Avançada</v>
      </c>
      <c r="H337" s="27" t="b">
        <f t="shared" ca="1" si="1"/>
        <v>1</v>
      </c>
      <c r="I337" s="21" t="str">
        <f>HYPERLINK("https://gerandofalcoes.my.salesforce.com/0034P000045kxkOQAQ", "0034P000045kxkOQAQ")</f>
        <v>0034P000045kxkOQAQ</v>
      </c>
      <c r="J337" s="9" t="s">
        <v>17881</v>
      </c>
      <c r="K337" s="38" t="s">
        <v>17882</v>
      </c>
    </row>
    <row r="338" spans="1:11" ht="12.5" x14ac:dyDescent="0.25">
      <c r="A338" s="21" t="str">
        <f ca="1">IFERROR(__xludf.DUMMYFUNCTION("""COMPUTED_VALUE"""),"0014P00003AN2G1QAL")</f>
        <v>0014P00003AN2G1QAL</v>
      </c>
      <c r="B338" s="27" t="str">
        <f ca="1">IFERROR(__xludf.DUMMYFUNCTION("""COMPUTED_VALUE"""),"Fase Estruturação")</f>
        <v>Fase Estruturação</v>
      </c>
      <c r="C338" s="27" t="str">
        <f ca="1">IFERROR(__xludf.DUMMYFUNCTION("""COMPUTED_VALUE"""),"Fellow")</f>
        <v>Fellow</v>
      </c>
      <c r="D338" s="27" t="str">
        <f ca="1">IFERROR(__xludf.DUMMYFUNCTION("""COMPUTED_VALUE"""),"Ativo")</f>
        <v>Ativo</v>
      </c>
      <c r="E338" s="27" t="str">
        <f ca="1">IFERROR(__xludf.DUMMYFUNCTION("""COMPUTED_VALUE"""),"Instituto de Desenvolvimento Humano e Social pelo Esporte Educação Cultura e Cidadania")</f>
        <v>Instituto de Desenvolvimento Humano e Social pelo Esporte Educação Cultura e Cidadania</v>
      </c>
      <c r="F338" s="21" t="str">
        <f ca="1">IFERROR(VLOOKUP(A338,'Rede - Gerando Falcões '!A337:G1333,38,0),"")</f>
        <v/>
      </c>
      <c r="G338" s="27" t="str">
        <f ca="1">IFERROR(VLOOKUP(A338,'Tabela Categorização'!A:J,10,0),"")</f>
        <v>Fase Estruturação</v>
      </c>
      <c r="H338" s="27" t="b">
        <f t="shared" ca="1" si="1"/>
        <v>1</v>
      </c>
      <c r="I338" s="21" t="str">
        <f>HYPERLINK("https://gerandofalcoes.my.salesforce.com/0034P00003maBVVQA2", "0034P00003maBVVQA2")</f>
        <v>0034P00003maBVVQA2</v>
      </c>
      <c r="J338" s="9" t="s">
        <v>17881</v>
      </c>
      <c r="K338" s="38" t="s">
        <v>17882</v>
      </c>
    </row>
    <row r="339" spans="1:11" ht="12.5" x14ac:dyDescent="0.25">
      <c r="A339" s="21" t="str">
        <f ca="1">IFERROR(__xludf.DUMMYFUNCTION("""COMPUTED_VALUE"""),"0014X00002PUOaDQAX")</f>
        <v>0014X00002PUOaDQAX</v>
      </c>
      <c r="B339" s="27" t="str">
        <f ca="1">IFERROR(__xludf.DUMMYFUNCTION("""COMPUTED_VALUE"""),"Fase Estruturação")</f>
        <v>Fase Estruturação</v>
      </c>
      <c r="C339" s="27" t="str">
        <f ca="1">IFERROR(__xludf.DUMMYFUNCTION("""COMPUTED_VALUE"""),"Fellow")</f>
        <v>Fellow</v>
      </c>
      <c r="D339" s="27" t="str">
        <f ca="1">IFERROR(__xludf.DUMMYFUNCTION("""COMPUTED_VALUE"""),"Ativo")</f>
        <v>Ativo</v>
      </c>
      <c r="E339" s="27" t="str">
        <f ca="1">IFERROR(__xludf.DUMMYFUNCTION("""COMPUTED_VALUE"""),"Instituto de Desenvolvimento Pessoal e Social Os Sonhadores")</f>
        <v>Instituto de Desenvolvimento Pessoal e Social Os Sonhadores</v>
      </c>
      <c r="F339" s="21" t="str">
        <f ca="1">IFERROR(VLOOKUP(A339,'Rede - Gerando Falcões '!A338:G1334,38,0),"")</f>
        <v/>
      </c>
      <c r="G339" s="27" t="str">
        <f ca="1">IFERROR(VLOOKUP(A339,'Tabela Categorização'!A:J,10,0),"")</f>
        <v>Fase Estruturação</v>
      </c>
      <c r="H339" s="27" t="b">
        <f t="shared" ca="1" si="1"/>
        <v>1</v>
      </c>
      <c r="I339" s="21" t="str">
        <f>HYPERLINK("https://gerandofalcoes.my.salesforce.com/0034X000032HsDdQAK", "0034X000032HsDdQAK")</f>
        <v>0034X000032HsDdQAK</v>
      </c>
      <c r="J339" s="9" t="s">
        <v>17881</v>
      </c>
      <c r="K339" s="38" t="s">
        <v>17882</v>
      </c>
    </row>
    <row r="340" spans="1:11" ht="12.5" x14ac:dyDescent="0.25">
      <c r="A340" s="21" t="str">
        <f ca="1">IFERROR(__xludf.DUMMYFUNCTION("""COMPUTED_VALUE"""),"0014P00003SGWQAQA5")</f>
        <v>0014P00003SGWQAQA5</v>
      </c>
      <c r="B340" s="27" t="str">
        <f ca="1">IFERROR(__xludf.DUMMYFUNCTION("""COMPUTED_VALUE"""),"Fase Inicial")</f>
        <v>Fase Inicial</v>
      </c>
      <c r="C340" s="27" t="str">
        <f ca="1">IFERROR(__xludf.DUMMYFUNCTION("""COMPUTED_VALUE"""),"Fellow")</f>
        <v>Fellow</v>
      </c>
      <c r="D340" s="27" t="str">
        <f ca="1">IFERROR(__xludf.DUMMYFUNCTION("""COMPUTED_VALUE"""),"Ativo")</f>
        <v>Ativo</v>
      </c>
      <c r="E340" s="27" t="str">
        <f ca="1">IFERROR(__xludf.DUMMYFUNCTION("""COMPUTED_VALUE"""),"INSTITUTO DE EDUCACAO CULTURA E MINISTERIO EDUCARE")</f>
        <v>INSTITUTO DE EDUCACAO CULTURA E MINISTERIO EDUCARE</v>
      </c>
      <c r="F340" s="21" t="str">
        <f ca="1">IFERROR(VLOOKUP(A340,'Rede - Gerando Falcões '!A339:G1335,38,0),"")</f>
        <v/>
      </c>
      <c r="G340" s="27" t="str">
        <f ca="1">IFERROR(VLOOKUP(A340,'Tabela Categorização'!A:J,10,0),"")</f>
        <v>Fase Inicial</v>
      </c>
      <c r="H340" s="27" t="b">
        <f t="shared" ca="1" si="1"/>
        <v>1</v>
      </c>
      <c r="I340" s="21" t="str">
        <f>HYPERLINK("https://gerandofalcoes.my.salesforce.com/0034P000043fOoBQAU", "0034P000043fOoBQAU")</f>
        <v>0034P000043fOoBQAU</v>
      </c>
      <c r="J340" s="9" t="s">
        <v>17881</v>
      </c>
      <c r="K340" s="38" t="s">
        <v>17882</v>
      </c>
    </row>
    <row r="341" spans="1:11" ht="12.5" x14ac:dyDescent="0.25">
      <c r="A341" s="21" t="str">
        <f ca="1">IFERROR(__xludf.DUMMYFUNCTION("""COMPUTED_VALUE"""),"0014X00002VKCueQAH")</f>
        <v>0014X00002VKCueQAH</v>
      </c>
      <c r="B341" s="27" t="str">
        <f ca="1">IFERROR(__xludf.DUMMYFUNCTION("""COMPUTED_VALUE"""),"Fase Inicial")</f>
        <v>Fase Inicial</v>
      </c>
      <c r="C341" s="27" t="str">
        <f ca="1">IFERROR(__xludf.DUMMYFUNCTION("""COMPUTED_VALUE"""),"Fellow")</f>
        <v>Fellow</v>
      </c>
      <c r="D341" s="27" t="str">
        <f ca="1">IFERROR(__xludf.DUMMYFUNCTION("""COMPUTED_VALUE"""),"Ativo")</f>
        <v>Ativo</v>
      </c>
      <c r="E341" s="27" t="str">
        <f ca="1">IFERROR(__xludf.DUMMYFUNCTION("""COMPUTED_VALUE"""),"Instituto de Estudos e Preservação das Culturas Indê­genas Brasileiras")</f>
        <v>Instituto de Estudos e Preservação das Culturas Indê­genas Brasileiras</v>
      </c>
      <c r="F341" s="21" t="str">
        <f ca="1">IFERROR(VLOOKUP(A341,'Rede - Gerando Falcões '!A340:G1336,38,0),"")</f>
        <v/>
      </c>
      <c r="G341" s="27" t="str">
        <f ca="1">IFERROR(VLOOKUP(A341,'Tabela Categorização'!A:J,10,0),"")</f>
        <v>Fase Inicial</v>
      </c>
      <c r="H341" s="27" t="b">
        <f t="shared" ca="1" si="1"/>
        <v>1</v>
      </c>
      <c r="I341" s="21" t="str">
        <f>HYPERLINK("https://gerandofalcoes.my.salesforce.com/0034X0000380O1IQAU", "0034X0000380O1IQAU")</f>
        <v>0034X0000380O1IQAU</v>
      </c>
      <c r="J341" s="9" t="s">
        <v>17881</v>
      </c>
      <c r="K341" s="38" t="s">
        <v>17882</v>
      </c>
    </row>
    <row r="342" spans="1:11" ht="12.5" x14ac:dyDescent="0.25">
      <c r="A342" s="21" t="str">
        <f ca="1">IFERROR(__xludf.DUMMYFUNCTION("""COMPUTED_VALUE"""),"0014X00002VKCseQAH")</f>
        <v>0014X00002VKCseQAH</v>
      </c>
      <c r="B342" s="27" t="str">
        <f ca="1">IFERROR(__xludf.DUMMYFUNCTION("""COMPUTED_VALUE"""),"Fase Inicial")</f>
        <v>Fase Inicial</v>
      </c>
      <c r="C342" s="27" t="str">
        <f ca="1">IFERROR(__xludf.DUMMYFUNCTION("""COMPUTED_VALUE"""),"Fellow")</f>
        <v>Fellow</v>
      </c>
      <c r="D342" s="27" t="str">
        <f ca="1">IFERROR(__xludf.DUMMYFUNCTION("""COMPUTED_VALUE"""),"Ativo")</f>
        <v>Ativo</v>
      </c>
      <c r="E342" s="27" t="str">
        <f ca="1">IFERROR(__xludf.DUMMYFUNCTION("""COMPUTED_VALUE"""),"Instituto Desenvolvimento Esperança")</f>
        <v>Instituto Desenvolvimento Esperança</v>
      </c>
      <c r="F342" s="21" t="str">
        <f ca="1">IFERROR(VLOOKUP(A342,'Rede - Gerando Falcões '!A341:G1337,38,0),"")</f>
        <v/>
      </c>
      <c r="G342" s="27" t="str">
        <f ca="1">IFERROR(VLOOKUP(A342,'Tabela Categorização'!A:J,10,0),"")</f>
        <v>Fase Inicial</v>
      </c>
      <c r="H342" s="27" t="b">
        <f t="shared" ca="1" si="1"/>
        <v>1</v>
      </c>
      <c r="I342" s="21" t="str">
        <f>HYPERLINK("https://gerandofalcoes.my.salesforce.com/0034X0000380O3JQAU", "0034X0000380O3JQAU")</f>
        <v>0034X0000380O3JQAU</v>
      </c>
      <c r="J342" s="9" t="s">
        <v>17881</v>
      </c>
      <c r="K342" s="38" t="s">
        <v>17882</v>
      </c>
    </row>
    <row r="343" spans="1:11" ht="12.5" x14ac:dyDescent="0.25">
      <c r="A343" s="21" t="str">
        <f ca="1">IFERROR(__xludf.DUMMYFUNCTION("""COMPUTED_VALUE"""),"0014X00002VKCphQAH")</f>
        <v>0014X00002VKCphQAH</v>
      </c>
      <c r="B343" s="27" t="str">
        <f ca="1">IFERROR(__xludf.DUMMYFUNCTION("""COMPUTED_VALUE"""),"Fase Inicial")</f>
        <v>Fase Inicial</v>
      </c>
      <c r="C343" s="27" t="str">
        <f ca="1">IFERROR(__xludf.DUMMYFUNCTION("""COMPUTED_VALUE"""),"Fellow")</f>
        <v>Fellow</v>
      </c>
      <c r="D343" s="27" t="str">
        <f ca="1">IFERROR(__xludf.DUMMYFUNCTION("""COMPUTED_VALUE"""),"Ativo")</f>
        <v>Ativo</v>
      </c>
      <c r="E343" s="27" t="str">
        <f ca="1">IFERROR(__xludf.DUMMYFUNCTION("""COMPUTED_VALUE"""),"Instituto Dica Ferreira")</f>
        <v>Instituto Dica Ferreira</v>
      </c>
      <c r="F343" s="21" t="str">
        <f ca="1">IFERROR(VLOOKUP(A343,'Rede - Gerando Falcões '!A342:G1338,38,0),"")</f>
        <v/>
      </c>
      <c r="G343" s="27" t="str">
        <f ca="1">IFERROR(VLOOKUP(A343,'Tabela Categorização'!A:J,10,0),"")</f>
        <v>Fase Inicial</v>
      </c>
      <c r="H343" s="27" t="b">
        <f t="shared" ca="1" si="1"/>
        <v>1</v>
      </c>
      <c r="I343" s="21" t="str">
        <f>HYPERLINK("https://gerandofalcoes.my.salesforce.com/0034X0000380O4yQAE", "0034X0000380O4yQAE")</f>
        <v>0034X0000380O4yQAE</v>
      </c>
      <c r="J343" s="9" t="s">
        <v>17881</v>
      </c>
      <c r="K343" s="38" t="s">
        <v>17882</v>
      </c>
    </row>
    <row r="344" spans="1:11" ht="12.5" x14ac:dyDescent="0.25">
      <c r="A344" s="21" t="str">
        <f ca="1">IFERROR(__xludf.DUMMYFUNCTION("""COMPUTED_VALUE"""),"0014X00002VKCpqQAH")</f>
        <v>0014X00002VKCpqQAH</v>
      </c>
      <c r="B344" s="27"/>
      <c r="C344" s="27" t="str">
        <f ca="1">IFERROR(__xludf.DUMMYFUNCTION("""COMPUTED_VALUE"""),"Fellow")</f>
        <v>Fellow</v>
      </c>
      <c r="D344" s="27" t="str">
        <f ca="1">IFERROR(__xludf.DUMMYFUNCTION("""COMPUTED_VALUE"""),"Ativo")</f>
        <v>Ativo</v>
      </c>
      <c r="E344" s="27" t="str">
        <f ca="1">IFERROR(__xludf.DUMMYFUNCTION("""COMPUTED_VALUE"""),"Instituto Doando Que Se Recebe")</f>
        <v>Instituto Doando Que Se Recebe</v>
      </c>
      <c r="F344" s="21" t="str">
        <f ca="1">IFERROR(VLOOKUP(A344,'Rede - Gerando Falcões '!A343:G1339,38,0),"")</f>
        <v/>
      </c>
      <c r="G344" s="27" t="str">
        <f ca="1">IFERROR(VLOOKUP(A344,'Tabela Categorização'!A:J,10,0),"")</f>
        <v/>
      </c>
      <c r="H344" s="27" t="b">
        <f t="shared" ca="1" si="1"/>
        <v>1</v>
      </c>
      <c r="I344" s="21" t="str">
        <f>HYPERLINK("https://gerandofalcoes.my.salesforce.com/0034X0000380O5qQAE", "0034X0000380O5qQAE")</f>
        <v>0034X0000380O5qQAE</v>
      </c>
      <c r="J344" s="9" t="s">
        <v>17881</v>
      </c>
      <c r="K344" s="38" t="s">
        <v>17882</v>
      </c>
    </row>
    <row r="345" spans="1:11" ht="12.5" x14ac:dyDescent="0.25">
      <c r="A345" s="21" t="str">
        <f ca="1">IFERROR(__xludf.DUMMYFUNCTION("""COMPUTED_VALUE"""),"0014X00002VKCpgQAH")</f>
        <v>0014X00002VKCpgQAH</v>
      </c>
      <c r="B345" s="27" t="str">
        <f ca="1">IFERROR(__xludf.DUMMYFUNCTION("""COMPUTED_VALUE"""),"Fase Inicial")</f>
        <v>Fase Inicial</v>
      </c>
      <c r="C345" s="27" t="str">
        <f ca="1">IFERROR(__xludf.DUMMYFUNCTION("""COMPUTED_VALUE"""),"Fellow")</f>
        <v>Fellow</v>
      </c>
      <c r="D345" s="27" t="str">
        <f ca="1">IFERROR(__xludf.DUMMYFUNCTION("""COMPUTED_VALUE"""),"Ativo")</f>
        <v>Ativo</v>
      </c>
      <c r="E345" s="27" t="str">
        <f ca="1">IFERROR(__xludf.DUMMYFUNCTION("""COMPUTED_VALUE"""),"Instituto Dona Maria")</f>
        <v>Instituto Dona Maria</v>
      </c>
      <c r="F345" s="21" t="str">
        <f ca="1">IFERROR(VLOOKUP(A345,'Rede - Gerando Falcões '!A344:G1340,38,0),"")</f>
        <v/>
      </c>
      <c r="G345" s="27" t="str">
        <f ca="1">IFERROR(VLOOKUP(A345,'Tabela Categorização'!A:J,10,0),"")</f>
        <v>Fase Inicial</v>
      </c>
      <c r="H345" s="27" t="b">
        <f t="shared" ca="1" si="1"/>
        <v>1</v>
      </c>
      <c r="I345" s="21" t="str">
        <f>HYPERLINK("https://gerandofalcoes.my.salesforce.com/0034X0000380O4RQAU", "0034X0000380O4RQAU")</f>
        <v>0034X0000380O4RQAU</v>
      </c>
      <c r="J345" s="9" t="s">
        <v>17881</v>
      </c>
      <c r="K345" s="38" t="s">
        <v>17882</v>
      </c>
    </row>
    <row r="346" spans="1:11" ht="12.5" x14ac:dyDescent="0.25">
      <c r="A346" s="21" t="str">
        <f ca="1">IFERROR(__xludf.DUMMYFUNCTION("""COMPUTED_VALUE"""),"0014P00003YSp99QAD")</f>
        <v>0014P00003YSp99QAD</v>
      </c>
      <c r="B346" s="27" t="str">
        <f ca="1">IFERROR(__xludf.DUMMYFUNCTION("""COMPUTED_VALUE"""),"Fase Inicial")</f>
        <v>Fase Inicial</v>
      </c>
      <c r="C346" s="27" t="str">
        <f ca="1">IFERROR(__xludf.DUMMYFUNCTION("""COMPUTED_VALUE"""),"Fellow")</f>
        <v>Fellow</v>
      </c>
      <c r="D346" s="27" t="str">
        <f ca="1">IFERROR(__xludf.DUMMYFUNCTION("""COMPUTED_VALUE"""),"Ativo")</f>
        <v>Ativo</v>
      </c>
      <c r="E346" s="27" t="str">
        <f ca="1">IFERROR(__xludf.DUMMYFUNCTION("""COMPUTED_VALUE"""),"Instituto Eclesia Movement")</f>
        <v>Instituto Eclesia Movement</v>
      </c>
      <c r="F346" s="21" t="str">
        <f ca="1">IFERROR(VLOOKUP(A346,'Rede - Gerando Falcões '!A345:G1341,38,0),"")</f>
        <v/>
      </c>
      <c r="G346" s="27" t="str">
        <f ca="1">IFERROR(VLOOKUP(A346,'Tabela Categorização'!A:J,10,0),"")</f>
        <v>Fase Inicial</v>
      </c>
      <c r="H346" s="27" t="b">
        <f t="shared" ca="1" si="1"/>
        <v>1</v>
      </c>
      <c r="I346" s="21" t="str">
        <f>HYPERLINK("https://gerandofalcoes.my.salesforce.com/0034P000045kxjlQAA", "0034P000045kxjlQAA")</f>
        <v>0034P000045kxjlQAA</v>
      </c>
      <c r="J346" s="9" t="s">
        <v>17881</v>
      </c>
      <c r="K346" s="38" t="s">
        <v>17882</v>
      </c>
    </row>
    <row r="347" spans="1:11" ht="12.5" x14ac:dyDescent="0.25">
      <c r="A347" s="21" t="str">
        <f ca="1">IFERROR(__xludf.DUMMYFUNCTION("""COMPUTED_VALUE"""),"0014P00003SGWQDQA5")</f>
        <v>0014P00003SGWQDQA5</v>
      </c>
      <c r="B347" s="27" t="str">
        <f ca="1">IFERROR(__xludf.DUMMYFUNCTION("""COMPUTED_VALUE"""),"Fase Avançada")</f>
        <v>Fase Avançada</v>
      </c>
      <c r="C347" s="27" t="str">
        <f ca="1">IFERROR(__xludf.DUMMYFUNCTION("""COMPUTED_VALUE"""),"Acelerada")</f>
        <v>Acelerada</v>
      </c>
      <c r="D347" s="27" t="str">
        <f ca="1">IFERROR(__xludf.DUMMYFUNCTION("""COMPUTED_VALUE"""),"Ativo")</f>
        <v>Ativo</v>
      </c>
      <c r="E347" s="27" t="str">
        <f ca="1">IFERROR(__xludf.DUMMYFUNCTION("""COMPUTED_VALUE"""),"INSTITUTO EDSON ROYER")</f>
        <v>INSTITUTO EDSON ROYER</v>
      </c>
      <c r="F347" s="21" t="str">
        <f ca="1">IFERROR(VLOOKUP(A347,'Rede - Gerando Falcões '!A346:G1342,38,0),"")</f>
        <v/>
      </c>
      <c r="G347" s="27" t="str">
        <f ca="1">IFERROR(VLOOKUP(A347,'Tabela Categorização'!A:J,10,0),"")</f>
        <v>Fase Avançada</v>
      </c>
      <c r="H347" s="27" t="b">
        <f t="shared" ca="1" si="1"/>
        <v>1</v>
      </c>
      <c r="I347" s="21" t="str">
        <f>HYPERLINK("https://gerandofalcoes.my.salesforce.com/0034P000043fPDpQAM", "0034P000043fPDpQAM")</f>
        <v>0034P000043fPDpQAM</v>
      </c>
      <c r="J347" s="9" t="s">
        <v>17881</v>
      </c>
      <c r="K347" s="38" t="s">
        <v>17882</v>
      </c>
    </row>
    <row r="348" spans="1:11" ht="12.5" x14ac:dyDescent="0.25">
      <c r="A348" s="21" t="str">
        <f ca="1">IFERROR(__xludf.DUMMYFUNCTION("""COMPUTED_VALUE"""),"0014P00003SGWPuQAP")</f>
        <v>0014P00003SGWPuQAP</v>
      </c>
      <c r="B348" s="27" t="str">
        <f ca="1">IFERROR(__xludf.DUMMYFUNCTION("""COMPUTED_VALUE"""),"Fase Inicial")</f>
        <v>Fase Inicial</v>
      </c>
      <c r="C348" s="27" t="str">
        <f ca="1">IFERROR(__xludf.DUMMYFUNCTION("""COMPUTED_VALUE"""),"Acelerada")</f>
        <v>Acelerada</v>
      </c>
      <c r="D348" s="27" t="str">
        <f ca="1">IFERROR(__xludf.DUMMYFUNCTION("""COMPUTED_VALUE"""),"Ativo")</f>
        <v>Ativo</v>
      </c>
      <c r="E348" s="27" t="str">
        <f ca="1">IFERROR(__xludf.DUMMYFUNCTION("""COMPUTED_VALUE"""),"INSTITUTO EDUCA MAIS ESPORTE")</f>
        <v>INSTITUTO EDUCA MAIS ESPORTE</v>
      </c>
      <c r="F348" s="21" t="str">
        <f ca="1">IFERROR(VLOOKUP(A348,'Rede - Gerando Falcões '!A347:G1343,38,0),"")</f>
        <v/>
      </c>
      <c r="G348" s="27" t="str">
        <f ca="1">IFERROR(VLOOKUP(A348,'Tabela Categorização'!A:J,10,0),"")</f>
        <v>Fase Inicial</v>
      </c>
      <c r="H348" s="27" t="b">
        <f t="shared" ca="1" si="1"/>
        <v>1</v>
      </c>
      <c r="I348" s="21" t="str">
        <f>HYPERLINK("https://gerandofalcoes.my.salesforce.com/0034P000043fPDmQAM", "0034P000043fPDmQAM")</f>
        <v>0034P000043fPDmQAM</v>
      </c>
      <c r="J348" s="9" t="s">
        <v>17881</v>
      </c>
      <c r="K348" s="38" t="s">
        <v>17882</v>
      </c>
    </row>
    <row r="349" spans="1:11" ht="12.5" x14ac:dyDescent="0.25">
      <c r="A349" s="21" t="str">
        <f ca="1">IFERROR(__xludf.DUMMYFUNCTION("""COMPUTED_VALUE"""),"0014X00002VKCtFQAX")</f>
        <v>0014X00002VKCtFQAX</v>
      </c>
      <c r="B349" s="27" t="str">
        <f ca="1">IFERROR(__xludf.DUMMYFUNCTION("""COMPUTED_VALUE"""),"Fase Inicial")</f>
        <v>Fase Inicial</v>
      </c>
      <c r="C349" s="27" t="str">
        <f ca="1">IFERROR(__xludf.DUMMYFUNCTION("""COMPUTED_VALUE"""),"Fellow")</f>
        <v>Fellow</v>
      </c>
      <c r="D349" s="27" t="str">
        <f ca="1">IFERROR(__xludf.DUMMYFUNCTION("""COMPUTED_VALUE"""),"Ativo")</f>
        <v>Ativo</v>
      </c>
      <c r="E349" s="27" t="str">
        <f ca="1">IFERROR(__xludf.DUMMYFUNCTION("""COMPUTED_VALUE"""),"INSTITUTO EDUCAR GOLANDIM")</f>
        <v>INSTITUTO EDUCAR GOLANDIM</v>
      </c>
      <c r="F349" s="21" t="str">
        <f ca="1">IFERROR(VLOOKUP(A349,'Rede - Gerando Falcões '!A348:G1344,38,0),"")</f>
        <v/>
      </c>
      <c r="G349" s="27" t="str">
        <f ca="1">IFERROR(VLOOKUP(A349,'Tabela Categorização'!A:J,10,0),"")</f>
        <v>Fase Inicial</v>
      </c>
      <c r="H349" s="27" t="b">
        <f t="shared" ca="1" si="1"/>
        <v>1</v>
      </c>
      <c r="I349" s="21" t="str">
        <f>HYPERLINK("https://gerandofalcoes.my.salesforce.com/0034X0000380O6NQAU", "0034X0000380O6NQAU")</f>
        <v>0034X0000380O6NQAU</v>
      </c>
      <c r="J349" s="9" t="s">
        <v>17881</v>
      </c>
      <c r="K349" s="38" t="s">
        <v>17882</v>
      </c>
    </row>
    <row r="350" spans="1:11" ht="12.5" x14ac:dyDescent="0.25">
      <c r="A350" s="21" t="str">
        <f ca="1">IFERROR(__xludf.DUMMYFUNCTION("""COMPUTED_VALUE"""),"0014X00002QTWZVQA5")</f>
        <v>0014X00002QTWZVQA5</v>
      </c>
      <c r="B350" s="27" t="str">
        <f ca="1">IFERROR(__xludf.DUMMYFUNCTION("""COMPUTED_VALUE"""),"Fase Inicial")</f>
        <v>Fase Inicial</v>
      </c>
      <c r="C350" s="27" t="str">
        <f ca="1">IFERROR(__xludf.DUMMYFUNCTION("""COMPUTED_VALUE"""),"Fellow")</f>
        <v>Fellow</v>
      </c>
      <c r="D350" s="27" t="str">
        <f ca="1">IFERROR(__xludf.DUMMYFUNCTION("""COMPUTED_VALUE"""),"Ativo")</f>
        <v>Ativo</v>
      </c>
      <c r="E350" s="27" t="str">
        <f ca="1">IFERROR(__xludf.DUMMYFUNCTION("""COMPUTED_VALUE"""),"Instituto Egbe Dúdú")</f>
        <v>Instituto Egbe Dúdú</v>
      </c>
      <c r="F350" s="21" t="str">
        <f ca="1">IFERROR(VLOOKUP(A350,'Rede - Gerando Falcões '!A349:G1345,38,0),"")</f>
        <v/>
      </c>
      <c r="G350" s="27" t="str">
        <f ca="1">IFERROR(VLOOKUP(A350,'Tabela Categorização'!A:J,10,0),"")</f>
        <v>Fase Inicial</v>
      </c>
      <c r="H350" s="27" t="b">
        <f t="shared" ca="1" si="1"/>
        <v>1</v>
      </c>
      <c r="I350" s="21" t="str">
        <f>HYPERLINK("https://gerandofalcoes.my.salesforce.com/0034X000033zzZdQAI", "0034X000033zzZdQAI")</f>
        <v>0034X000033zzZdQAI</v>
      </c>
      <c r="J350" s="9" t="s">
        <v>17881</v>
      </c>
      <c r="K350" s="38" t="s">
        <v>17882</v>
      </c>
    </row>
    <row r="351" spans="1:11" ht="12.5" x14ac:dyDescent="0.25">
      <c r="A351" s="21" t="str">
        <f ca="1">IFERROR(__xludf.DUMMYFUNCTION("""COMPUTED_VALUE"""),"0014P00003YSp8FQAT")</f>
        <v>0014P00003YSp8FQAT</v>
      </c>
      <c r="B351" s="27" t="str">
        <f ca="1">IFERROR(__xludf.DUMMYFUNCTION("""COMPUTED_VALUE"""),"Fase Inicial")</f>
        <v>Fase Inicial</v>
      </c>
      <c r="C351" s="27" t="str">
        <f ca="1">IFERROR(__xludf.DUMMYFUNCTION("""COMPUTED_VALUE"""),"Fellow")</f>
        <v>Fellow</v>
      </c>
      <c r="D351" s="27" t="str">
        <f ca="1">IFERROR(__xludf.DUMMYFUNCTION("""COMPUTED_VALUE"""),"Ativo")</f>
        <v>Ativo</v>
      </c>
      <c r="E351" s="27" t="str">
        <f ca="1">IFERROR(__xludf.DUMMYFUNCTION("""COMPUTED_VALUE"""),"Instituto emarca de pesquisa e educacao professional")</f>
        <v>Instituto emarca de pesquisa e educacao professional</v>
      </c>
      <c r="F351" s="21" t="str">
        <f ca="1">IFERROR(VLOOKUP(A351,'Rede - Gerando Falcões '!A350:G1346,38,0),"")</f>
        <v/>
      </c>
      <c r="G351" s="27" t="str">
        <f ca="1">IFERROR(VLOOKUP(A351,'Tabela Categorização'!A:J,10,0),"")</f>
        <v>Fase Inicial</v>
      </c>
      <c r="H351" s="27" t="b">
        <f t="shared" ca="1" si="1"/>
        <v>1</v>
      </c>
      <c r="I351" s="21" t="str">
        <f>HYPERLINK("https://gerandofalcoes.my.salesforce.com/0034P000045kxiqQAA", "0034P000045kxiqQAA")</f>
        <v>0034P000045kxiqQAA</v>
      </c>
      <c r="J351" s="9" t="s">
        <v>17881</v>
      </c>
      <c r="K351" s="38" t="s">
        <v>17882</v>
      </c>
    </row>
    <row r="352" spans="1:11" ht="12.5" x14ac:dyDescent="0.25">
      <c r="A352" s="21" t="str">
        <f ca="1">IFERROR(__xludf.DUMMYFUNCTION("""COMPUTED_VALUE"""),"0014P00003YSp7vQAD")</f>
        <v>0014P00003YSp7vQAD</v>
      </c>
      <c r="B352" s="27" t="str">
        <f ca="1">IFERROR(__xludf.DUMMYFUNCTION("""COMPUTED_VALUE"""),"Fase Inicial")</f>
        <v>Fase Inicial</v>
      </c>
      <c r="C352" s="27" t="str">
        <f ca="1">IFERROR(__xludf.DUMMYFUNCTION("""COMPUTED_VALUE"""),"Fellow")</f>
        <v>Fellow</v>
      </c>
      <c r="D352" s="27" t="str">
        <f ca="1">IFERROR(__xludf.DUMMYFUNCTION("""COMPUTED_VALUE"""),"Ativo")</f>
        <v>Ativo</v>
      </c>
      <c r="E352" s="27" t="str">
        <f ca="1">IFERROR(__xludf.DUMMYFUNCTION("""COMPUTED_VALUE"""),"Instituto Emprega+")</f>
        <v>Instituto Emprega+</v>
      </c>
      <c r="F352" s="21" t="str">
        <f ca="1">IFERROR(VLOOKUP(A352,'Rede - Gerando Falcões '!A351:G1347,38,0),"")</f>
        <v/>
      </c>
      <c r="G352" s="27" t="str">
        <f ca="1">IFERROR(VLOOKUP(A352,'Tabela Categorização'!A:J,10,0),"")</f>
        <v>Fase Inicial</v>
      </c>
      <c r="H352" s="27" t="b">
        <f t="shared" ca="1" si="1"/>
        <v>1</v>
      </c>
      <c r="I352" s="21" t="str">
        <f>HYPERLINK("https://gerandofalcoes.my.salesforce.com/0034P000045kxiWQAQ", "0034P000045kxiWQAQ")</f>
        <v>0034P000045kxiWQAQ</v>
      </c>
      <c r="J352" s="9" t="s">
        <v>17881</v>
      </c>
      <c r="K352" s="38" t="s">
        <v>17882</v>
      </c>
    </row>
    <row r="353" spans="1:11" ht="12.5" x14ac:dyDescent="0.25">
      <c r="A353" s="21" t="str">
        <f ca="1">IFERROR(__xludf.DUMMYFUNCTION("""COMPUTED_VALUE"""),"0014P00003SGWPjQAP")</f>
        <v>0014P00003SGWPjQAP</v>
      </c>
      <c r="B353" s="27" t="str">
        <f ca="1">IFERROR(__xludf.DUMMYFUNCTION("""COMPUTED_VALUE"""),"Fase Inicial")</f>
        <v>Fase Inicial</v>
      </c>
      <c r="C353" s="27" t="str">
        <f ca="1">IFERROR(__xludf.DUMMYFUNCTION("""COMPUTED_VALUE"""),"Fellow")</f>
        <v>Fellow</v>
      </c>
      <c r="D353" s="27" t="str">
        <f ca="1">IFERROR(__xludf.DUMMYFUNCTION("""COMPUTED_VALUE"""),"Ativo")</f>
        <v>Ativo</v>
      </c>
      <c r="E353" s="27" t="str">
        <f ca="1">IFERROR(__xludf.DUMMYFUNCTION("""COMPUTED_VALUE"""),"INSTITUTO ENTRE ASPAS DE AÇÃO COMUNITARIA")</f>
        <v>INSTITUTO ENTRE ASPAS DE AÇÃO COMUNITARIA</v>
      </c>
      <c r="F353" s="21" t="str">
        <f ca="1">IFERROR(VLOOKUP(A353,'Rede - Gerando Falcões '!A352:G1348,38,0),"")</f>
        <v/>
      </c>
      <c r="G353" s="27" t="str">
        <f ca="1">IFERROR(VLOOKUP(A353,'Tabela Categorização'!A:J,10,0),"")</f>
        <v>Fase Inicial</v>
      </c>
      <c r="H353" s="27" t="b">
        <f t="shared" ca="1" si="1"/>
        <v>1</v>
      </c>
      <c r="I353" s="21" t="str">
        <f>HYPERLINK("https://gerandofalcoes.my.salesforce.com/0034P000043fOnqQAE", "0034P000043fOnqQAE")</f>
        <v>0034P000043fOnqQAE</v>
      </c>
      <c r="J353" s="9" t="s">
        <v>17881</v>
      </c>
      <c r="K353" s="38" t="s">
        <v>17882</v>
      </c>
    </row>
    <row r="354" spans="1:11" ht="12.5" x14ac:dyDescent="0.25">
      <c r="A354" s="21" t="str">
        <f ca="1">IFERROR(__xludf.DUMMYFUNCTION("""COMPUTED_VALUE"""),"0014P00003AN2FuQAL")</f>
        <v>0014P00003AN2FuQAL</v>
      </c>
      <c r="B354" s="27" t="str">
        <f ca="1">IFERROR(__xludf.DUMMYFUNCTION("""COMPUTED_VALUE"""),"Fase Estruturação")</f>
        <v>Fase Estruturação</v>
      </c>
      <c r="C354" s="27" t="str">
        <f ca="1">IFERROR(__xludf.DUMMYFUNCTION("""COMPUTED_VALUE"""),"Acelerada")</f>
        <v>Acelerada</v>
      </c>
      <c r="D354" s="27" t="str">
        <f ca="1">IFERROR(__xludf.DUMMYFUNCTION("""COMPUTED_VALUE"""),"Ativo")</f>
        <v>Ativo</v>
      </c>
      <c r="E354" s="27" t="str">
        <f ca="1">IFERROR(__xludf.DUMMYFUNCTION("""COMPUTED_VALUE"""),"Instituto Entre o Céu e a Favela para Arte Educação e Cidadania")</f>
        <v>Instituto Entre o Céu e a Favela para Arte Educação e Cidadania</v>
      </c>
      <c r="F354" s="21" t="str">
        <f ca="1">IFERROR(VLOOKUP(A354,'Rede - Gerando Falcões '!A353:G1349,38,0),"")</f>
        <v/>
      </c>
      <c r="G354" s="27" t="str">
        <f ca="1">IFERROR(VLOOKUP(A354,'Tabela Categorização'!A:J,10,0),"")</f>
        <v>Fase Estruturação</v>
      </c>
      <c r="H354" s="27" t="b">
        <f t="shared" ca="1" si="1"/>
        <v>1</v>
      </c>
      <c r="I354" s="21" t="str">
        <f>HYPERLINK("https://gerandofalcoes.my.salesforce.com/0034P00003maBVLQA2", "0034P00003maBVLQA2")</f>
        <v>0034P00003maBVLQA2</v>
      </c>
      <c r="J354" s="9" t="s">
        <v>17881</v>
      </c>
      <c r="K354" s="38" t="s">
        <v>17882</v>
      </c>
    </row>
    <row r="355" spans="1:11" ht="12.5" x14ac:dyDescent="0.25">
      <c r="A355" s="21" t="str">
        <f ca="1">IFERROR(__xludf.DUMMYFUNCTION("""COMPUTED_VALUE"""),"0014P00003YSp8RQAT")</f>
        <v>0014P00003YSp8RQAT</v>
      </c>
      <c r="B355" s="27" t="str">
        <f ca="1">IFERROR(__xludf.DUMMYFUNCTION("""COMPUTED_VALUE"""),"Fase Inicial")</f>
        <v>Fase Inicial</v>
      </c>
      <c r="C355" s="27" t="str">
        <f ca="1">IFERROR(__xludf.DUMMYFUNCTION("""COMPUTED_VALUE"""),"Fellow")</f>
        <v>Fellow</v>
      </c>
      <c r="D355" s="27" t="str">
        <f ca="1">IFERROR(__xludf.DUMMYFUNCTION("""COMPUTED_VALUE"""),"Ativo")</f>
        <v>Ativo</v>
      </c>
      <c r="E355" s="27" t="str">
        <f ca="1">IFERROR(__xludf.DUMMYFUNCTION("""COMPUTED_VALUE"""),"INSTITUTO É POSSÍVEL SONHAR")</f>
        <v>INSTITUTO É POSSÍVEL SONHAR</v>
      </c>
      <c r="F355" s="21" t="str">
        <f ca="1">IFERROR(VLOOKUP(A355,'Rede - Gerando Falcões '!A354:G1350,38,0),"")</f>
        <v/>
      </c>
      <c r="G355" s="27" t="str">
        <f ca="1">IFERROR(VLOOKUP(A355,'Tabela Categorização'!A:J,10,0),"")</f>
        <v>Fase Inicial</v>
      </c>
      <c r="H355" s="27" t="b">
        <f t="shared" ca="1" si="1"/>
        <v>1</v>
      </c>
      <c r="I355" s="21" t="str">
        <f>HYPERLINK("https://gerandofalcoes.my.salesforce.com/0034P000045kxj2QAA", "0034P000045kxj2QAA")</f>
        <v>0034P000045kxj2QAA</v>
      </c>
      <c r="J355" s="9" t="s">
        <v>17881</v>
      </c>
      <c r="K355" s="38" t="s">
        <v>17882</v>
      </c>
    </row>
    <row r="356" spans="1:11" ht="12.5" x14ac:dyDescent="0.25">
      <c r="A356" s="21" t="str">
        <f ca="1">IFERROR(__xludf.DUMMYFUNCTION("""COMPUTED_VALUE"""),"0014P00003YSpAHQA1")</f>
        <v>0014P00003YSpAHQA1</v>
      </c>
      <c r="B356" s="27" t="str">
        <f ca="1">IFERROR(__xludf.DUMMYFUNCTION("""COMPUTED_VALUE"""),"Fase Inicial")</f>
        <v>Fase Inicial</v>
      </c>
      <c r="C356" s="27" t="str">
        <f ca="1">IFERROR(__xludf.DUMMYFUNCTION("""COMPUTED_VALUE"""),"Fellow")</f>
        <v>Fellow</v>
      </c>
      <c r="D356" s="27" t="str">
        <f ca="1">IFERROR(__xludf.DUMMYFUNCTION("""COMPUTED_VALUE"""),"Ativo")</f>
        <v>Ativo</v>
      </c>
      <c r="E356" s="27" t="str">
        <f ca="1">IFERROR(__xludf.DUMMYFUNCTION("""COMPUTED_VALUE"""),"Instituto Esperança")</f>
        <v>Instituto Esperança</v>
      </c>
      <c r="F356" s="21" t="str">
        <f ca="1">IFERROR(VLOOKUP(A356,'Rede - Gerando Falcões '!A355:G1351,38,0),"")</f>
        <v/>
      </c>
      <c r="G356" s="27" t="str">
        <f ca="1">IFERROR(VLOOKUP(A356,'Tabela Categorização'!A:J,10,0),"")</f>
        <v>Fase Inicial</v>
      </c>
      <c r="H356" s="27" t="b">
        <f t="shared" ca="1" si="1"/>
        <v>1</v>
      </c>
      <c r="I356" s="21" t="str">
        <f>HYPERLINK("https://gerandofalcoes.my.salesforce.com/0034P000045kxktQAA", "0034P000045kxktQAA")</f>
        <v>0034P000045kxktQAA</v>
      </c>
      <c r="J356" s="9" t="s">
        <v>17881</v>
      </c>
      <c r="K356" s="38" t="s">
        <v>17882</v>
      </c>
    </row>
    <row r="357" spans="1:11" ht="12.5" x14ac:dyDescent="0.25">
      <c r="A357" s="21" t="str">
        <f ca="1">IFERROR(__xludf.DUMMYFUNCTION("""COMPUTED_VALUE"""),"0014P00003YSpA7QAL")</f>
        <v>0014P00003YSpA7QAL</v>
      </c>
      <c r="B357" s="27" t="str">
        <f ca="1">IFERROR(__xludf.DUMMYFUNCTION("""COMPUTED_VALUE"""),"Fase Inicial")</f>
        <v>Fase Inicial</v>
      </c>
      <c r="C357" s="27" t="str">
        <f ca="1">IFERROR(__xludf.DUMMYFUNCTION("""COMPUTED_VALUE"""),"Fellow")</f>
        <v>Fellow</v>
      </c>
      <c r="D357" s="27" t="str">
        <f ca="1">IFERROR(__xludf.DUMMYFUNCTION("""COMPUTED_VALUE"""),"Ativo")</f>
        <v>Ativo</v>
      </c>
      <c r="E357" s="27" t="str">
        <f ca="1">IFERROR(__xludf.DUMMYFUNCTION("""COMPUTED_VALUE"""),"INSTITUTO F.S.D.")</f>
        <v>INSTITUTO F.S.D.</v>
      </c>
      <c r="F357" s="21" t="str">
        <f ca="1">IFERROR(VLOOKUP(A357,'Rede - Gerando Falcões '!A356:G1352,38,0),"")</f>
        <v/>
      </c>
      <c r="G357" s="27" t="str">
        <f ca="1">IFERROR(VLOOKUP(A357,'Tabela Categorização'!A:J,10,0),"")</f>
        <v>Fase Inicial</v>
      </c>
      <c r="H357" s="27" t="b">
        <f t="shared" ca="1" si="1"/>
        <v>1</v>
      </c>
      <c r="I357" s="21" t="str">
        <f>HYPERLINK("https://gerandofalcoes.my.salesforce.com/0034P000045kxkjQAA", "0034P000045kxkjQAA")</f>
        <v>0034P000045kxkjQAA</v>
      </c>
      <c r="J357" s="9" t="s">
        <v>17881</v>
      </c>
      <c r="K357" s="38" t="s">
        <v>17882</v>
      </c>
    </row>
    <row r="358" spans="1:11" ht="12.5" x14ac:dyDescent="0.25">
      <c r="A358" s="21" t="str">
        <f ca="1">IFERROR(__xludf.DUMMYFUNCTION("""COMPUTED_VALUE"""),"0014P00003YSp9LQAT")</f>
        <v>0014P00003YSp9LQAT</v>
      </c>
      <c r="B358" s="27" t="str">
        <f ca="1">IFERROR(__xludf.DUMMYFUNCTION("""COMPUTED_VALUE"""),"Fase Estruturação")</f>
        <v>Fase Estruturação</v>
      </c>
      <c r="C358" s="27" t="str">
        <f ca="1">IFERROR(__xludf.DUMMYFUNCTION("""COMPUTED_VALUE"""),"Fellow")</f>
        <v>Fellow</v>
      </c>
      <c r="D358" s="27" t="str">
        <f ca="1">IFERROR(__xludf.DUMMYFUNCTION("""COMPUTED_VALUE"""),"Ativo")</f>
        <v>Ativo</v>
      </c>
      <c r="E358" s="27" t="str">
        <f ca="1">IFERROR(__xludf.DUMMYFUNCTION("""COMPUTED_VALUE"""),"Instituto Fábrica de Vencedor")</f>
        <v>Instituto Fábrica de Vencedor</v>
      </c>
      <c r="F358" s="21" t="str">
        <f ca="1">IFERROR(VLOOKUP(A358,'Rede - Gerando Falcões '!A357:G1353,38,0),"")</f>
        <v/>
      </c>
      <c r="G358" s="27" t="str">
        <f ca="1">IFERROR(VLOOKUP(A358,'Tabela Categorização'!A:J,10,0),"")</f>
        <v>Fase Estruturação</v>
      </c>
      <c r="H358" s="27" t="b">
        <f t="shared" ca="1" si="1"/>
        <v>1</v>
      </c>
      <c r="I358" s="21" t="str">
        <f>HYPERLINK("https://gerandofalcoes.my.salesforce.com/0034P000045kxjxQAA", "0034P000045kxjxQAA")</f>
        <v>0034P000045kxjxQAA</v>
      </c>
      <c r="J358" s="9" t="s">
        <v>17881</v>
      </c>
      <c r="K358" s="38" t="s">
        <v>17882</v>
      </c>
    </row>
    <row r="359" spans="1:11" ht="12.5" x14ac:dyDescent="0.25">
      <c r="A359" s="21" t="str">
        <f ca="1">IFERROR(__xludf.DUMMYFUNCTION("""COMPUTED_VALUE"""),"0014P00003Ck7X8QAJ")</f>
        <v>0014P00003Ck7X8QAJ</v>
      </c>
      <c r="B359" s="27" t="str">
        <f ca="1">IFERROR(__xludf.DUMMYFUNCTION("""COMPUTED_VALUE"""),"Fase Inicial")</f>
        <v>Fase Inicial</v>
      </c>
      <c r="C359" s="27" t="str">
        <f ca="1">IFERROR(__xludf.DUMMYFUNCTION("""COMPUTED_VALUE"""),"Fellow")</f>
        <v>Fellow</v>
      </c>
      <c r="D359" s="27" t="str">
        <f ca="1">IFERROR(__xludf.DUMMYFUNCTION("""COMPUTED_VALUE"""),"Ativo")</f>
        <v>Ativo</v>
      </c>
      <c r="E359" s="27" t="str">
        <f ca="1">IFERROR(__xludf.DUMMYFUNCTION("""COMPUTED_VALUE"""),"Instituto Família Chegados")</f>
        <v>Instituto Família Chegados</v>
      </c>
      <c r="F359" s="21" t="str">
        <f ca="1">IFERROR(VLOOKUP(A359,'Rede - Gerando Falcões '!A358:G1354,38,0),"")</f>
        <v/>
      </c>
      <c r="G359" s="27" t="str">
        <f ca="1">IFERROR(VLOOKUP(A359,'Tabela Categorização'!A:J,10,0),"")</f>
        <v>Fase Inicial</v>
      </c>
      <c r="H359" s="27" t="b">
        <f t="shared" ca="1" si="1"/>
        <v>1</v>
      </c>
      <c r="I359" s="21" t="str">
        <f>HYPERLINK("https://gerandofalcoes.my.salesforce.com/0034P00003q10qjQAA", "0034P00003q10qjQAA")</f>
        <v>0034P00003q10qjQAA</v>
      </c>
      <c r="J359" s="9" t="s">
        <v>17881</v>
      </c>
      <c r="K359" s="38" t="s">
        <v>17882</v>
      </c>
    </row>
    <row r="360" spans="1:11" ht="12.5" x14ac:dyDescent="0.25">
      <c r="A360" s="21" t="str">
        <f ca="1">IFERROR(__xludf.DUMMYFUNCTION("""COMPUTED_VALUE"""),"0014P00003AN2FvQAL")</f>
        <v>0014P00003AN2FvQAL</v>
      </c>
      <c r="B360" s="27" t="str">
        <f ca="1">IFERROR(__xludf.DUMMYFUNCTION("""COMPUTED_VALUE"""),"Fase Inicial")</f>
        <v>Fase Inicial</v>
      </c>
      <c r="C360" s="27" t="str">
        <f ca="1">IFERROR(__xludf.DUMMYFUNCTION("""COMPUTED_VALUE"""),"Acelerada")</f>
        <v>Acelerada</v>
      </c>
      <c r="D360" s="27" t="str">
        <f ca="1">IFERROR(__xludf.DUMMYFUNCTION("""COMPUTED_VALUE"""),"Ativo")</f>
        <v>Ativo</v>
      </c>
      <c r="E360" s="27" t="str">
        <f ca="1">IFERROR(__xludf.DUMMYFUNCTION("""COMPUTED_VALUE"""),"Instituto Família Criativa do Campo")</f>
        <v>Instituto Família Criativa do Campo</v>
      </c>
      <c r="F360" s="21" t="str">
        <f ca="1">IFERROR(VLOOKUP(A360,'Rede - Gerando Falcões '!A359:G1355,38,0),"")</f>
        <v/>
      </c>
      <c r="G360" s="27" t="str">
        <f ca="1">IFERROR(VLOOKUP(A360,'Tabela Categorização'!A:J,10,0),"")</f>
        <v>Fase Inicial</v>
      </c>
      <c r="H360" s="27" t="b">
        <f t="shared" ca="1" si="1"/>
        <v>1</v>
      </c>
      <c r="I360" s="21" t="str">
        <f>HYPERLINK("https://gerandofalcoes.my.salesforce.com/0034P00003maCd8QAE", "0034P00003maCd8QAE")</f>
        <v>0034P00003maCd8QAE</v>
      </c>
      <c r="J360" s="9" t="s">
        <v>17881</v>
      </c>
      <c r="K360" s="38" t="s">
        <v>17882</v>
      </c>
    </row>
    <row r="361" spans="1:11" ht="12.5" x14ac:dyDescent="0.25">
      <c r="A361" s="21" t="str">
        <f ca="1">IFERROR(__xludf.DUMMYFUNCTION("""COMPUTED_VALUE"""),"0014P00003YSp9TQAT")</f>
        <v>0014P00003YSp9TQAT</v>
      </c>
      <c r="B361" s="27" t="str">
        <f ca="1">IFERROR(__xludf.DUMMYFUNCTION("""COMPUTED_VALUE"""),"Fase Inicial")</f>
        <v>Fase Inicial</v>
      </c>
      <c r="C361" s="27" t="str">
        <f ca="1">IFERROR(__xludf.DUMMYFUNCTION("""COMPUTED_VALUE"""),"Fellow")</f>
        <v>Fellow</v>
      </c>
      <c r="D361" s="27" t="str">
        <f ca="1">IFERROR(__xludf.DUMMYFUNCTION("""COMPUTED_VALUE"""),"Ativo")</f>
        <v>Ativo</v>
      </c>
      <c r="E361" s="27" t="str">
        <f ca="1">IFERROR(__xludf.DUMMYFUNCTION("""COMPUTED_VALUE"""),"Instituto Feliz Cidade")</f>
        <v>Instituto Feliz Cidade</v>
      </c>
      <c r="F361" s="21" t="str">
        <f ca="1">IFERROR(VLOOKUP(A361,'Rede - Gerando Falcões '!A360:G1356,38,0),"")</f>
        <v/>
      </c>
      <c r="G361" s="27" t="str">
        <f ca="1">IFERROR(VLOOKUP(A361,'Tabela Categorização'!A:J,10,0),"")</f>
        <v>Fase Inicial</v>
      </c>
      <c r="H361" s="27" t="b">
        <f t="shared" ca="1" si="1"/>
        <v>1</v>
      </c>
      <c r="I361" s="21" t="str">
        <f>HYPERLINK("https://gerandofalcoes.my.salesforce.com/0034P000045kxk5QAA", "0034P000045kxk5QAA")</f>
        <v>0034P000045kxk5QAA</v>
      </c>
      <c r="J361" s="9" t="s">
        <v>17881</v>
      </c>
      <c r="K361" s="38" t="s">
        <v>17882</v>
      </c>
    </row>
    <row r="362" spans="1:11" ht="12.5" x14ac:dyDescent="0.25">
      <c r="A362" s="21" t="str">
        <f ca="1">IFERROR(__xludf.DUMMYFUNCTION("""COMPUTED_VALUE"""),"0014P00003YSp87QAD")</f>
        <v>0014P00003YSp87QAD</v>
      </c>
      <c r="B362" s="27" t="str">
        <f ca="1">IFERROR(__xludf.DUMMYFUNCTION("""COMPUTED_VALUE"""),"Fase Inicial")</f>
        <v>Fase Inicial</v>
      </c>
      <c r="C362" s="27" t="str">
        <f ca="1">IFERROR(__xludf.DUMMYFUNCTION("""COMPUTED_VALUE"""),"Fellow")</f>
        <v>Fellow</v>
      </c>
      <c r="D362" s="27" t="str">
        <f ca="1">IFERROR(__xludf.DUMMYFUNCTION("""COMPUTED_VALUE"""),"Ativo")</f>
        <v>Ativo</v>
      </c>
      <c r="E362" s="27" t="str">
        <f ca="1">IFERROR(__xludf.DUMMYFUNCTION("""COMPUTED_VALUE"""),"Instituto Floriano Peçanha dos Santos")</f>
        <v>Instituto Floriano Peçanha dos Santos</v>
      </c>
      <c r="F362" s="21" t="str">
        <f ca="1">IFERROR(VLOOKUP(A362,'Rede - Gerando Falcões '!A361:G1357,38,0),"")</f>
        <v/>
      </c>
      <c r="G362" s="27" t="str">
        <f ca="1">IFERROR(VLOOKUP(A362,'Tabela Categorização'!A:J,10,0),"")</f>
        <v>Fase Inicial</v>
      </c>
      <c r="H362" s="27" t="b">
        <f t="shared" ca="1" si="1"/>
        <v>1</v>
      </c>
      <c r="I362" s="21" t="str">
        <f>HYPERLINK("https://gerandofalcoes.my.salesforce.com/0034P000045kxiiQAA", "0034P000045kxiiQAA")</f>
        <v>0034P000045kxiiQAA</v>
      </c>
      <c r="J362" s="9" t="s">
        <v>17881</v>
      </c>
      <c r="K362" s="38" t="s">
        <v>17882</v>
      </c>
    </row>
    <row r="363" spans="1:11" ht="12.5" x14ac:dyDescent="0.25">
      <c r="A363" s="21" t="str">
        <f ca="1">IFERROR(__xludf.DUMMYFUNCTION("""COMPUTED_VALUE"""),"0014P00003AN2FVQA1")</f>
        <v>0014P00003AN2FVQA1</v>
      </c>
      <c r="B363" s="27" t="str">
        <f ca="1">IFERROR(__xludf.DUMMYFUNCTION("""COMPUTED_VALUE"""),"Fase Avançada")</f>
        <v>Fase Avançada</v>
      </c>
      <c r="C363" s="27" t="str">
        <f ca="1">IFERROR(__xludf.DUMMYFUNCTION("""COMPUTED_VALUE"""),"Fellow")</f>
        <v>Fellow</v>
      </c>
      <c r="D363" s="27" t="str">
        <f ca="1">IFERROR(__xludf.DUMMYFUNCTION("""COMPUTED_VALUE"""),"Ativo")</f>
        <v>Ativo</v>
      </c>
      <c r="E363" s="27" t="str">
        <f ca="1">IFERROR(__xludf.DUMMYFUNCTION("""COMPUTED_VALUE"""),"Instituto Geração 4")</f>
        <v>Instituto Geração 4</v>
      </c>
      <c r="F363" s="21" t="str">
        <f ca="1">IFERROR(VLOOKUP(A363,'Rede - Gerando Falcões '!A362:G1358,38,0),"")</f>
        <v/>
      </c>
      <c r="G363" s="27" t="str">
        <f ca="1">IFERROR(VLOOKUP(A363,'Tabela Categorização'!A:J,10,0),"")</f>
        <v>Fase Avançada</v>
      </c>
      <c r="H363" s="27" t="b">
        <f t="shared" ca="1" si="1"/>
        <v>1</v>
      </c>
      <c r="I363" s="21" t="str">
        <f>HYPERLINK("https://gerandofalcoes.my.salesforce.com/0034P00003maBUvQAM", "0034P00003maBUvQAM")</f>
        <v>0034P00003maBUvQAM</v>
      </c>
      <c r="J363" s="9" t="s">
        <v>17881</v>
      </c>
      <c r="K363" s="38" t="s">
        <v>17882</v>
      </c>
    </row>
    <row r="364" spans="1:11" ht="12.5" x14ac:dyDescent="0.25">
      <c r="A364" s="21" t="str">
        <f ca="1">IFERROR(__xludf.DUMMYFUNCTION("""COMPUTED_VALUE"""),"0014X00002VKCqkQAH")</f>
        <v>0014X00002VKCqkQAH</v>
      </c>
      <c r="B364" s="27" t="str">
        <f ca="1">IFERROR(__xludf.DUMMYFUNCTION("""COMPUTED_VALUE"""),"Fase Inicial")</f>
        <v>Fase Inicial</v>
      </c>
      <c r="C364" s="27" t="str">
        <f ca="1">IFERROR(__xludf.DUMMYFUNCTION("""COMPUTED_VALUE"""),"Fellow")</f>
        <v>Fellow</v>
      </c>
      <c r="D364" s="27" t="str">
        <f ca="1">IFERROR(__xludf.DUMMYFUNCTION("""COMPUTED_VALUE"""),"Ativo")</f>
        <v>Ativo</v>
      </c>
      <c r="E364" s="27" t="str">
        <f ca="1">IFERROR(__xludf.DUMMYFUNCTION("""COMPUTED_VALUE"""),"Instituto Geração Tatami")</f>
        <v>Instituto Geração Tatami</v>
      </c>
      <c r="F364" s="21" t="str">
        <f ca="1">IFERROR(VLOOKUP(A364,'Rede - Gerando Falcões '!A363:G1359,38,0),"")</f>
        <v/>
      </c>
      <c r="G364" s="27" t="str">
        <f ca="1">IFERROR(VLOOKUP(A364,'Tabela Categorização'!A:J,10,0),"")</f>
        <v>Fase Inicial</v>
      </c>
      <c r="H364" s="27" t="b">
        <f t="shared" ca="1" si="1"/>
        <v>1</v>
      </c>
      <c r="I364" s="21" t="str">
        <f>HYPERLINK("https://gerandofalcoes.my.salesforce.com/0034X0000380O2oQAE", "0034X0000380O2oQAE")</f>
        <v>0034X0000380O2oQAE</v>
      </c>
      <c r="J364" s="9" t="s">
        <v>17881</v>
      </c>
      <c r="K364" s="38" t="s">
        <v>17882</v>
      </c>
    </row>
    <row r="365" spans="1:11" ht="12.5" x14ac:dyDescent="0.25">
      <c r="A365" s="21" t="str">
        <f ca="1">IFERROR(__xludf.DUMMYFUNCTION("""COMPUTED_VALUE"""),"0014P00003MjR9oQAF")</f>
        <v>0014P00003MjR9oQAF</v>
      </c>
      <c r="B365" s="27" t="str">
        <f ca="1">IFERROR(__xludf.DUMMYFUNCTION("""COMPUTED_VALUE"""),"Fase Inicial")</f>
        <v>Fase Inicial</v>
      </c>
      <c r="C365" s="27" t="str">
        <f ca="1">IFERROR(__xludf.DUMMYFUNCTION("""COMPUTED_VALUE"""),"Unidade Própria")</f>
        <v>Unidade Própria</v>
      </c>
      <c r="D365" s="27" t="str">
        <f ca="1">IFERROR(__xludf.DUMMYFUNCTION("""COMPUTED_VALUE"""),"Ativo")</f>
        <v>Ativo</v>
      </c>
      <c r="E365" s="27" t="str">
        <f ca="1">IFERROR(__xludf.DUMMYFUNCTION("""COMPUTED_VALUE"""),"INSTITUTO GERANDO FALCÕES - UNIDADE FERRAZ")</f>
        <v>INSTITUTO GERANDO FALCÕES - UNIDADE FERRAZ</v>
      </c>
      <c r="F365" s="21" t="str">
        <f ca="1">IFERROR(VLOOKUP(A365,'Rede - Gerando Falcões '!A364:G1360,38,0),"")</f>
        <v/>
      </c>
      <c r="G365" s="27" t="str">
        <f ca="1">IFERROR(VLOOKUP(A365,'Tabela Categorização'!A:J,10,0),"")</f>
        <v>Fase Inicial</v>
      </c>
      <c r="H365" s="27" t="b">
        <f t="shared" ca="1" si="1"/>
        <v>1</v>
      </c>
      <c r="I365" s="21" t="str">
        <f>HYPERLINK("https://gerandofalcoes.my.salesforce.com/0034P00003xh63pQAA", "0034P00003xh63pQAA")</f>
        <v>0034P00003xh63pQAA</v>
      </c>
      <c r="J365" s="9" t="s">
        <v>17881</v>
      </c>
      <c r="K365" s="38" t="s">
        <v>17882</v>
      </c>
    </row>
    <row r="366" spans="1:11" ht="12.5" x14ac:dyDescent="0.25">
      <c r="A366" s="21" t="str">
        <f ca="1">IFERROR(__xludf.DUMMYFUNCTION("""COMPUTED_VALUE"""),"0014P00003MjNTIQA3")</f>
        <v>0014P00003MjNTIQA3</v>
      </c>
      <c r="B366" s="27" t="str">
        <f ca="1">IFERROR(__xludf.DUMMYFUNCTION("""COMPUTED_VALUE"""),"Fase Inicial")</f>
        <v>Fase Inicial</v>
      </c>
      <c r="C366" s="27" t="str">
        <f ca="1">IFERROR(__xludf.DUMMYFUNCTION("""COMPUTED_VALUE"""),"Unidade Própria")</f>
        <v>Unidade Própria</v>
      </c>
      <c r="D366" s="27" t="str">
        <f ca="1">IFERROR(__xludf.DUMMYFUNCTION("""COMPUTED_VALUE"""),"Ativo")</f>
        <v>Ativo</v>
      </c>
      <c r="E366" s="27" t="str">
        <f ca="1">IFERROR(__xludf.DUMMYFUNCTION("""COMPUTED_VALUE"""),"INSTITUTO GERANDO FALCÕES - UNIDADE POÁ")</f>
        <v>INSTITUTO GERANDO FALCÕES - UNIDADE POÁ</v>
      </c>
      <c r="F366" s="21" t="str">
        <f ca="1">IFERROR(VLOOKUP(A366,'Rede - Gerando Falcões '!A365:G1361,38,0),"")</f>
        <v/>
      </c>
      <c r="G366" s="27" t="str">
        <f ca="1">IFERROR(VLOOKUP(A366,'Tabela Categorização'!A:J,10,0),"")</f>
        <v>Fase Inicial</v>
      </c>
      <c r="H366" s="27" t="b">
        <f t="shared" ca="1" si="1"/>
        <v>1</v>
      </c>
      <c r="I366" s="21" t="str">
        <f>HYPERLINK("https://gerandofalcoes.my.salesforce.com/0034P00003xgnQ1QAI", "0034P00003xgnQ1QAI")</f>
        <v>0034P00003xgnQ1QAI</v>
      </c>
      <c r="J366" s="9" t="s">
        <v>17881</v>
      </c>
      <c r="K366" s="38" t="s">
        <v>17882</v>
      </c>
    </row>
    <row r="367" spans="1:11" ht="12.5" x14ac:dyDescent="0.25">
      <c r="A367" s="21" t="str">
        <f ca="1">IFERROR(__xludf.DUMMYFUNCTION("""COMPUTED_VALUE"""),"0014P00003MjOsqQAF")</f>
        <v>0014P00003MjOsqQAF</v>
      </c>
      <c r="B367" s="27" t="str">
        <f ca="1">IFERROR(__xludf.DUMMYFUNCTION("""COMPUTED_VALUE"""),"Fase Inicial")</f>
        <v>Fase Inicial</v>
      </c>
      <c r="C367" s="27" t="str">
        <f ca="1">IFERROR(__xludf.DUMMYFUNCTION("""COMPUTED_VALUE"""),"Unidade Própria")</f>
        <v>Unidade Própria</v>
      </c>
      <c r="D367" s="27" t="str">
        <f ca="1">IFERROR(__xludf.DUMMYFUNCTION("""COMPUTED_VALUE"""),"Ativo")</f>
        <v>Ativo</v>
      </c>
      <c r="E367" s="27" t="str">
        <f ca="1">IFERROR(__xludf.DUMMYFUNCTION("""COMPUTED_VALUE"""),"INSTITUTO GERANDO FALCÕES - UNIDADE SUZANO")</f>
        <v>INSTITUTO GERANDO FALCÕES - UNIDADE SUZANO</v>
      </c>
      <c r="F367" s="21" t="str">
        <f ca="1">IFERROR(VLOOKUP(A367,'Rede - Gerando Falcões '!A366:G1362,38,0),"")</f>
        <v/>
      </c>
      <c r="G367" s="27" t="str">
        <f ca="1">IFERROR(VLOOKUP(A367,'Tabela Categorização'!A:J,10,0),"")</f>
        <v>Fase Inicial</v>
      </c>
      <c r="H367" s="27" t="b">
        <f t="shared" ca="1" si="1"/>
        <v>1</v>
      </c>
      <c r="I367" s="21" t="str">
        <f>HYPERLINK("https://gerandofalcoes.my.salesforce.com/0034P00003xgujUQAQ", "0034P00003xgujUQAQ")</f>
        <v>0034P00003xgujUQAQ</v>
      </c>
      <c r="J367" s="9" t="s">
        <v>17881</v>
      </c>
      <c r="K367" s="38" t="s">
        <v>17882</v>
      </c>
    </row>
    <row r="368" spans="1:11" ht="12.5" x14ac:dyDescent="0.25">
      <c r="A368" s="21" t="str">
        <f ca="1">IFERROR(__xludf.DUMMYFUNCTION("""COMPUTED_VALUE"""),"0014P00003YSp84QAD")</f>
        <v>0014P00003YSp84QAD</v>
      </c>
      <c r="B368" s="27" t="str">
        <f ca="1">IFERROR(__xludf.DUMMYFUNCTION("""COMPUTED_VALUE"""),"Fase Inicial")</f>
        <v>Fase Inicial</v>
      </c>
      <c r="C368" s="27" t="str">
        <f ca="1">IFERROR(__xludf.DUMMYFUNCTION("""COMPUTED_VALUE"""),"Fellow")</f>
        <v>Fellow</v>
      </c>
      <c r="D368" s="27" t="str">
        <f ca="1">IFERROR(__xludf.DUMMYFUNCTION("""COMPUTED_VALUE"""),"Ativo")</f>
        <v>Ativo</v>
      </c>
      <c r="E368" s="27" t="str">
        <f ca="1">IFERROR(__xludf.DUMMYFUNCTION("""COMPUTED_VALUE"""),"Instituto Gerando Sonhos")</f>
        <v>Instituto Gerando Sonhos</v>
      </c>
      <c r="F368" s="21" t="str">
        <f ca="1">IFERROR(VLOOKUP(A368,'Rede - Gerando Falcões '!A367:G1363,38,0),"")</f>
        <v/>
      </c>
      <c r="G368" s="27" t="str">
        <f ca="1">IFERROR(VLOOKUP(A368,'Tabela Categorização'!A:J,10,0),"")</f>
        <v>Fase Inicial</v>
      </c>
      <c r="H368" s="27" t="b">
        <f t="shared" ca="1" si="1"/>
        <v>1</v>
      </c>
      <c r="I368" s="21" t="str">
        <f>HYPERLINK("https://gerandofalcoes.my.salesforce.com/0034P000045kxifQAA", "0034P000045kxifQAA")</f>
        <v>0034P000045kxifQAA</v>
      </c>
      <c r="J368" s="9" t="s">
        <v>17881</v>
      </c>
      <c r="K368" s="38" t="s">
        <v>17882</v>
      </c>
    </row>
    <row r="369" spans="1:11" ht="12.5" x14ac:dyDescent="0.25">
      <c r="A369" s="21" t="str">
        <f ca="1">IFERROR(__xludf.DUMMYFUNCTION("""COMPUTED_VALUE"""),"0014X00002PUOZAQA5")</f>
        <v>0014X00002PUOZAQA5</v>
      </c>
      <c r="B369" s="27" t="str">
        <f ca="1">IFERROR(__xludf.DUMMYFUNCTION("""COMPUTED_VALUE"""),"Fase Estruturação")</f>
        <v>Fase Estruturação</v>
      </c>
      <c r="C369" s="27" t="str">
        <f ca="1">IFERROR(__xludf.DUMMYFUNCTION("""COMPUTED_VALUE"""),"Fellow")</f>
        <v>Fellow</v>
      </c>
      <c r="D369" s="27" t="str">
        <f ca="1">IFERROR(__xludf.DUMMYFUNCTION("""COMPUTED_VALUE"""),"Ativo")</f>
        <v>Ativo</v>
      </c>
      <c r="E369" s="27" t="str">
        <f ca="1">IFERROR(__xludf.DUMMYFUNCTION("""COMPUTED_VALUE"""),"Instituto Girassol de Desenvolvimento Social")</f>
        <v>Instituto Girassol de Desenvolvimento Social</v>
      </c>
      <c r="F369" s="21" t="str">
        <f ca="1">IFERROR(VLOOKUP(A369,'Rede - Gerando Falcões '!A368:G1364,38,0),"")</f>
        <v/>
      </c>
      <c r="G369" s="27" t="str">
        <f ca="1">IFERROR(VLOOKUP(A369,'Tabela Categorização'!A:J,10,0),"")</f>
        <v>Fase Estruturação</v>
      </c>
      <c r="H369" s="27" t="b">
        <f t="shared" ca="1" si="1"/>
        <v>1</v>
      </c>
      <c r="I369" s="21" t="str">
        <f>HYPERLINK("https://gerandofalcoes.my.salesforce.com/0034X000032Hs9pQAC", "0034X000032Hs9pQAC")</f>
        <v>0034X000032Hs9pQAC</v>
      </c>
      <c r="J369" s="9" t="s">
        <v>17881</v>
      </c>
      <c r="K369" s="38" t="s">
        <v>17882</v>
      </c>
    </row>
    <row r="370" spans="1:11" ht="12.5" x14ac:dyDescent="0.25">
      <c r="A370" s="21" t="str">
        <f ca="1">IFERROR(__xludf.DUMMYFUNCTION("""COMPUTED_VALUE"""),"0014P00003SGWPzQAP")</f>
        <v>0014P00003SGWPzQAP</v>
      </c>
      <c r="B370" s="27" t="str">
        <f ca="1">IFERROR(__xludf.DUMMYFUNCTION("""COMPUTED_VALUE"""),"Fase Avançada")</f>
        <v>Fase Avançada</v>
      </c>
      <c r="C370" s="27" t="str">
        <f ca="1">IFERROR(__xludf.DUMMYFUNCTION("""COMPUTED_VALUE"""),"Fellow")</f>
        <v>Fellow</v>
      </c>
      <c r="D370" s="27" t="str">
        <f ca="1">IFERROR(__xludf.DUMMYFUNCTION("""COMPUTED_VALUE"""),"Ativo")</f>
        <v>Ativo</v>
      </c>
      <c r="E370" s="27" t="str">
        <f ca="1">IFERROR(__xludf.DUMMYFUNCTION("""COMPUTED_VALUE"""),"INSTITUTO HERDAR")</f>
        <v>INSTITUTO HERDAR</v>
      </c>
      <c r="F370" s="21" t="str">
        <f ca="1">IFERROR(VLOOKUP(A370,'Rede - Gerando Falcões '!A369:G1365,38,0),"")</f>
        <v/>
      </c>
      <c r="G370" s="27" t="str">
        <f ca="1">IFERROR(VLOOKUP(A370,'Tabela Categorização'!A:J,10,0),"")</f>
        <v>Fase Avançada</v>
      </c>
      <c r="H370" s="27" t="b">
        <f t="shared" ca="1" si="1"/>
        <v>1</v>
      </c>
      <c r="I370" s="21" t="str">
        <f>HYPERLINK("https://gerandofalcoes.my.salesforce.com/0034P000043fOo2QAE", "0034P000043fOo2QAE")</f>
        <v>0034P000043fOo2QAE</v>
      </c>
      <c r="J370" s="9" t="s">
        <v>17881</v>
      </c>
      <c r="K370" s="38" t="s">
        <v>17882</v>
      </c>
    </row>
    <row r="371" spans="1:11" ht="12.5" x14ac:dyDescent="0.25">
      <c r="A371" s="21" t="str">
        <f ca="1">IFERROR(__xludf.DUMMYFUNCTION("""COMPUTED_VALUE"""),"0014P00003AN2FzQAL")</f>
        <v>0014P00003AN2FzQAL</v>
      </c>
      <c r="B371" s="27" t="str">
        <f ca="1">IFERROR(__xludf.DUMMYFUNCTION("""COMPUTED_VALUE"""),"Fase Estruturação")</f>
        <v>Fase Estruturação</v>
      </c>
      <c r="C371" s="27" t="str">
        <f ca="1">IFERROR(__xludf.DUMMYFUNCTION("""COMPUTED_VALUE"""),"Fellow")</f>
        <v>Fellow</v>
      </c>
      <c r="D371" s="27" t="str">
        <f ca="1">IFERROR(__xludf.DUMMYFUNCTION("""COMPUTED_VALUE"""),"Ativo")</f>
        <v>Ativo</v>
      </c>
      <c r="E371" s="27" t="str">
        <f ca="1">IFERROR(__xludf.DUMMYFUNCTION("""COMPUTED_VALUE"""),"Instituto Inovação Sustentável - ONG Mensageiros da Esperança")</f>
        <v>Instituto Inovação Sustentável - ONG Mensageiros da Esperança</v>
      </c>
      <c r="F371" s="21" t="str">
        <f ca="1">IFERROR(VLOOKUP(A371,'Rede - Gerando Falcões '!A370:G1366,38,0),"")</f>
        <v/>
      </c>
      <c r="G371" s="27" t="str">
        <f ca="1">IFERROR(VLOOKUP(A371,'Tabela Categorização'!A:J,10,0),"")</f>
        <v>Fase Estruturação</v>
      </c>
      <c r="H371" s="27" t="b">
        <f t="shared" ca="1" si="1"/>
        <v>1</v>
      </c>
      <c r="I371" s="21" t="str">
        <f>HYPERLINK("https://gerandofalcoes.my.salesforce.com/0034P00003maBVQQA2", "0034P00003maBVQQA2")</f>
        <v>0034P00003maBVQQA2</v>
      </c>
      <c r="J371" s="9" t="s">
        <v>17881</v>
      </c>
      <c r="K371" s="38" t="s">
        <v>17882</v>
      </c>
    </row>
    <row r="372" spans="1:11" ht="12.5" x14ac:dyDescent="0.25">
      <c r="A372" s="21" t="str">
        <f ca="1">IFERROR(__xludf.DUMMYFUNCTION("""COMPUTED_VALUE"""),"0014X00002VKCq5QAH")</f>
        <v>0014X00002VKCq5QAH</v>
      </c>
      <c r="B372" s="27" t="str">
        <f ca="1">IFERROR(__xludf.DUMMYFUNCTION("""COMPUTED_VALUE"""),"Fase Inicial")</f>
        <v>Fase Inicial</v>
      </c>
      <c r="C372" s="27" t="str">
        <f ca="1">IFERROR(__xludf.DUMMYFUNCTION("""COMPUTED_VALUE"""),"Fellow")</f>
        <v>Fellow</v>
      </c>
      <c r="D372" s="27" t="str">
        <f ca="1">IFERROR(__xludf.DUMMYFUNCTION("""COMPUTED_VALUE"""),"Ativo")</f>
        <v>Ativo</v>
      </c>
      <c r="E372" s="27" t="str">
        <f ca="1">IFERROR(__xludf.DUMMYFUNCTION("""COMPUTED_VALUE"""),"INSTITUTO JOAQUIM TÁVORA")</f>
        <v>INSTITUTO JOAQUIM TÁVORA</v>
      </c>
      <c r="F372" s="21" t="str">
        <f ca="1">IFERROR(VLOOKUP(A372,'Rede - Gerando Falcões '!A371:G1367,38,0),"")</f>
        <v/>
      </c>
      <c r="G372" s="27" t="str">
        <f ca="1">IFERROR(VLOOKUP(A372,'Tabela Categorização'!A:J,10,0),"")</f>
        <v>Fase Inicial</v>
      </c>
      <c r="H372" s="27" t="b">
        <f t="shared" ca="1" si="1"/>
        <v>1</v>
      </c>
      <c r="I372" s="21" t="str">
        <f>HYPERLINK("https://gerandofalcoes.my.salesforce.com/0034X0000380O4OQAU", "0034X0000380O4OQAU")</f>
        <v>0034X0000380O4OQAU</v>
      </c>
      <c r="J372" s="9" t="s">
        <v>17881</v>
      </c>
      <c r="K372" s="38" t="s">
        <v>17882</v>
      </c>
    </row>
    <row r="373" spans="1:11" ht="12.5" x14ac:dyDescent="0.25">
      <c r="A373" s="21" t="str">
        <f ca="1">IFERROR(__xludf.DUMMYFUNCTION("""COMPUTED_VALUE"""),"0014X00002VKCuuQAH")</f>
        <v>0014X00002VKCuuQAH</v>
      </c>
      <c r="B373" s="27" t="str">
        <f ca="1">IFERROR(__xludf.DUMMYFUNCTION("""COMPUTED_VALUE"""),"Fase Inicial")</f>
        <v>Fase Inicial</v>
      </c>
      <c r="C373" s="27" t="str">
        <f ca="1">IFERROR(__xludf.DUMMYFUNCTION("""COMPUTED_VALUE"""),"Fellow")</f>
        <v>Fellow</v>
      </c>
      <c r="D373" s="27" t="str">
        <f ca="1">IFERROR(__xludf.DUMMYFUNCTION("""COMPUTED_VALUE"""),"Ativo")</f>
        <v>Ativo</v>
      </c>
      <c r="E373" s="27" t="str">
        <f ca="1">IFERROR(__xludf.DUMMYFUNCTION("""COMPUTED_VALUE"""),"Instituto Josefina Bakhita")</f>
        <v>Instituto Josefina Bakhita</v>
      </c>
      <c r="F373" s="21" t="str">
        <f ca="1">IFERROR(VLOOKUP(A373,'Rede - Gerando Falcões '!A372:G1368,38,0),"")</f>
        <v/>
      </c>
      <c r="G373" s="27" t="str">
        <f ca="1">IFERROR(VLOOKUP(A373,'Tabela Categorização'!A:J,10,0),"")</f>
        <v>Fase Inicial</v>
      </c>
      <c r="H373" s="27" t="b">
        <f t="shared" ca="1" si="1"/>
        <v>1</v>
      </c>
      <c r="I373" s="21" t="str">
        <f>HYPERLINK("https://gerandofalcoes.my.salesforce.com/0034X0000380O3UQAU", "0034X0000380O3UQAU")</f>
        <v>0034X0000380O3UQAU</v>
      </c>
      <c r="J373" s="9" t="s">
        <v>17881</v>
      </c>
      <c r="K373" s="38" t="s">
        <v>17882</v>
      </c>
    </row>
    <row r="374" spans="1:11" ht="12.5" x14ac:dyDescent="0.25">
      <c r="A374" s="21" t="str">
        <f ca="1">IFERROR(__xludf.DUMMYFUNCTION("""COMPUTED_VALUE"""),"0014X00002VKCsCQAX")</f>
        <v>0014X00002VKCsCQAX</v>
      </c>
      <c r="B374" s="27" t="str">
        <f ca="1">IFERROR(__xludf.DUMMYFUNCTION("""COMPUTED_VALUE"""),"Fase Inicial")</f>
        <v>Fase Inicial</v>
      </c>
      <c r="C374" s="27" t="str">
        <f ca="1">IFERROR(__xludf.DUMMYFUNCTION("""COMPUTED_VALUE"""),"Fellow")</f>
        <v>Fellow</v>
      </c>
      <c r="D374" s="27" t="str">
        <f ca="1">IFERROR(__xludf.DUMMYFUNCTION("""COMPUTED_VALUE"""),"Ativo")</f>
        <v>Ativo</v>
      </c>
      <c r="E374" s="27" t="str">
        <f ca="1">IFERROR(__xludf.DUMMYFUNCTION("""COMPUTED_VALUE"""),"Instituto judo regastando vidas")</f>
        <v>Instituto judo regastando vidas</v>
      </c>
      <c r="F374" s="21" t="str">
        <f ca="1">IFERROR(VLOOKUP(A374,'Rede - Gerando Falcões '!A373:G1369,38,0),"")</f>
        <v/>
      </c>
      <c r="G374" s="27" t="str">
        <f ca="1">IFERROR(VLOOKUP(A374,'Tabela Categorização'!A:J,10,0),"")</f>
        <v>Fase Inicial</v>
      </c>
      <c r="H374" s="27" t="b">
        <f t="shared" ca="1" si="1"/>
        <v>1</v>
      </c>
      <c r="I374" s="21" t="str">
        <f>HYPERLINK("https://gerandofalcoes.my.salesforce.com/0034X0000380O5FQAU", "0034X0000380O5FQAU")</f>
        <v>0034X0000380O5FQAU</v>
      </c>
      <c r="J374" s="9" t="s">
        <v>17881</v>
      </c>
      <c r="K374" s="38" t="s">
        <v>17882</v>
      </c>
    </row>
    <row r="375" spans="1:11" ht="12.5" x14ac:dyDescent="0.25">
      <c r="A375" s="21" t="str">
        <f ca="1">IFERROR(__xludf.DUMMYFUNCTION("""COMPUTED_VALUE"""),"0014X00002VKCqXQAX")</f>
        <v>0014X00002VKCqXQAX</v>
      </c>
      <c r="B375" s="27" t="str">
        <f ca="1">IFERROR(__xludf.DUMMYFUNCTION("""COMPUTED_VALUE"""),"Fase Inicial")</f>
        <v>Fase Inicial</v>
      </c>
      <c r="C375" s="27" t="str">
        <f ca="1">IFERROR(__xludf.DUMMYFUNCTION("""COMPUTED_VALUE"""),"Fellow")</f>
        <v>Fellow</v>
      </c>
      <c r="D375" s="27" t="str">
        <f ca="1">IFERROR(__xludf.DUMMYFUNCTION("""COMPUTED_VALUE"""),"Ativo")</f>
        <v>Ativo</v>
      </c>
      <c r="E375" s="27" t="str">
        <f ca="1">IFERROR(__xludf.DUMMYFUNCTION("""COMPUTED_VALUE"""),"Instituto Juntos somos mais fortes")</f>
        <v>Instituto Juntos somos mais fortes</v>
      </c>
      <c r="F375" s="21" t="str">
        <f ca="1">IFERROR(VLOOKUP(A375,'Rede - Gerando Falcões '!A374:G1370,38,0),"")</f>
        <v/>
      </c>
      <c r="G375" s="27" t="str">
        <f ca="1">IFERROR(VLOOKUP(A375,'Tabela Categorização'!A:J,10,0),"")</f>
        <v>Fase Inicial</v>
      </c>
      <c r="H375" s="27" t="b">
        <f t="shared" ca="1" si="1"/>
        <v>1</v>
      </c>
      <c r="I375" s="21" t="str">
        <f>HYPERLINK("https://gerandofalcoes.my.salesforce.com/0034X0000380O2HQAU", "0034X0000380O2HQAU")</f>
        <v>0034X0000380O2HQAU</v>
      </c>
      <c r="J375" s="9" t="s">
        <v>17881</v>
      </c>
      <c r="K375" s="38" t="s">
        <v>17882</v>
      </c>
    </row>
    <row r="376" spans="1:11" ht="12.5" x14ac:dyDescent="0.25">
      <c r="A376" s="21" t="str">
        <f ca="1">IFERROR(__xludf.DUMMYFUNCTION("""COMPUTED_VALUE"""),"0014X00002VKCqgQAH")</f>
        <v>0014X00002VKCqgQAH</v>
      </c>
      <c r="B376" s="27" t="str">
        <f ca="1">IFERROR(__xludf.DUMMYFUNCTION("""COMPUTED_VALUE"""),"Fase Estruturação")</f>
        <v>Fase Estruturação</v>
      </c>
      <c r="C376" s="27" t="str">
        <f ca="1">IFERROR(__xludf.DUMMYFUNCTION("""COMPUTED_VALUE"""),"Fellow")</f>
        <v>Fellow</v>
      </c>
      <c r="D376" s="27" t="str">
        <f ca="1">IFERROR(__xludf.DUMMYFUNCTION("""COMPUTED_VALUE"""),"Ativo")</f>
        <v>Ativo</v>
      </c>
      <c r="E376" s="27" t="str">
        <f ca="1">IFERROR(__xludf.DUMMYFUNCTION("""COMPUTED_VALUE"""),"INSTITUTO KALEO")</f>
        <v>INSTITUTO KALEO</v>
      </c>
      <c r="F376" s="21" t="str">
        <f ca="1">IFERROR(VLOOKUP(A376,'Rede - Gerando Falcões '!A375:G1371,38,0),"")</f>
        <v/>
      </c>
      <c r="G376" s="27" t="str">
        <f ca="1">IFERROR(VLOOKUP(A376,'Tabela Categorização'!A:J,10,0),"")</f>
        <v>Fase Estruturação</v>
      </c>
      <c r="H376" s="27" t="b">
        <f t="shared" ca="1" si="1"/>
        <v>1</v>
      </c>
      <c r="I376" s="21" t="str">
        <f>HYPERLINK("https://gerandofalcoes.my.salesforce.com/0034X0000380O30QAE", "0034X0000380O30QAE")</f>
        <v>0034X0000380O30QAE</v>
      </c>
      <c r="J376" s="9" t="s">
        <v>17881</v>
      </c>
      <c r="K376" s="38" t="s">
        <v>17882</v>
      </c>
    </row>
    <row r="377" spans="1:11" ht="12.5" x14ac:dyDescent="0.25">
      <c r="A377" s="21" t="str">
        <f ca="1">IFERROR(__xludf.DUMMYFUNCTION("""COMPUTED_VALUE"""),"0014P00003ERUfsQAH")</f>
        <v>0014P00003ERUfsQAH</v>
      </c>
      <c r="B377" s="27" t="str">
        <f ca="1">IFERROR(__xludf.DUMMYFUNCTION("""COMPUTED_VALUE"""),"Fase Avançada")</f>
        <v>Fase Avançada</v>
      </c>
      <c r="C377" s="27" t="str">
        <f ca="1">IFERROR(__xludf.DUMMYFUNCTION("""COMPUTED_VALUE"""),"Acelerada")</f>
        <v>Acelerada</v>
      </c>
      <c r="D377" s="27" t="str">
        <f ca="1">IFERROR(__xludf.DUMMYFUNCTION("""COMPUTED_VALUE"""),"Ativo")</f>
        <v>Ativo</v>
      </c>
      <c r="E377" s="27" t="str">
        <f ca="1">IFERROR(__xludf.DUMMYFUNCTION("""COMPUTED_VALUE"""),"Instituto Katiana Pena")</f>
        <v>Instituto Katiana Pena</v>
      </c>
      <c r="F377" s="21" t="str">
        <f ca="1">IFERROR(VLOOKUP(A377,'Rede - Gerando Falcões '!A376:G1372,38,0),"")</f>
        <v/>
      </c>
      <c r="G377" s="27" t="str">
        <f ca="1">IFERROR(VLOOKUP(A377,'Tabela Categorização'!A:J,10,0),"")</f>
        <v>Fase Avançada</v>
      </c>
      <c r="H377" s="27" t="b">
        <f t="shared" ca="1" si="1"/>
        <v>1</v>
      </c>
      <c r="I377" s="21" t="str">
        <f>HYPERLINK("https://gerandofalcoes.my.salesforce.com/0034P00003tQ7A1QAK", "0034P00003tQ7A1QAK")</f>
        <v>0034P00003tQ7A1QAK</v>
      </c>
      <c r="J377" s="9" t="s">
        <v>17881</v>
      </c>
      <c r="K377" s="38" t="s">
        <v>17882</v>
      </c>
    </row>
    <row r="378" spans="1:11" ht="12.5" x14ac:dyDescent="0.25">
      <c r="A378" s="21" t="str">
        <f ca="1">IFERROR(__xludf.DUMMYFUNCTION("""COMPUTED_VALUE"""),"0014X00002QTWXtQAP")</f>
        <v>0014X00002QTWXtQAP</v>
      </c>
      <c r="B378" s="27" t="str">
        <f ca="1">IFERROR(__xludf.DUMMYFUNCTION("""COMPUTED_VALUE"""),"Fase Inicial")</f>
        <v>Fase Inicial</v>
      </c>
      <c r="C378" s="27" t="str">
        <f ca="1">IFERROR(__xludf.DUMMYFUNCTION("""COMPUTED_VALUE"""),"Fellow")</f>
        <v>Fellow</v>
      </c>
      <c r="D378" s="27" t="str">
        <f ca="1">IFERROR(__xludf.DUMMYFUNCTION("""COMPUTED_VALUE"""),"Ativo")</f>
        <v>Ativo</v>
      </c>
      <c r="E378" s="27" t="str">
        <f ca="1">IFERROR(__xludf.DUMMYFUNCTION("""COMPUTED_VALUE"""),"Instituto Lira de Inclusão Social - ILIS")</f>
        <v>Instituto Lira de Inclusão Social - ILIS</v>
      </c>
      <c r="F378" s="21" t="str">
        <f ca="1">IFERROR(VLOOKUP(A378,'Rede - Gerando Falcões '!A377:G1373,38,0),"")</f>
        <v/>
      </c>
      <c r="G378" s="27" t="str">
        <f ca="1">IFERROR(VLOOKUP(A378,'Tabela Categorização'!A:J,10,0),"")</f>
        <v>Fase Inicial</v>
      </c>
      <c r="H378" s="27" t="b">
        <f t="shared" ca="1" si="1"/>
        <v>1</v>
      </c>
      <c r="I378" s="21" t="str">
        <f>HYPERLINK("https://gerandofalcoes.my.salesforce.com/0034X000033zzcDQAQ", "0034X000033zzcDQAQ")</f>
        <v>0034X000033zzcDQAQ</v>
      </c>
      <c r="J378" s="9" t="s">
        <v>17881</v>
      </c>
      <c r="K378" s="38" t="s">
        <v>17882</v>
      </c>
    </row>
    <row r="379" spans="1:11" ht="12.5" x14ac:dyDescent="0.25">
      <c r="A379" s="21" t="str">
        <f ca="1">IFERROR(__xludf.DUMMYFUNCTION("""COMPUTED_VALUE"""),"0014X00002VKCqWQAX")</f>
        <v>0014X00002VKCqWQAX</v>
      </c>
      <c r="B379" s="27" t="str">
        <f ca="1">IFERROR(__xludf.DUMMYFUNCTION("""COMPUTED_VALUE"""),"Fase Inicial")</f>
        <v>Fase Inicial</v>
      </c>
      <c r="C379" s="27" t="str">
        <f ca="1">IFERROR(__xludf.DUMMYFUNCTION("""COMPUTED_VALUE"""),"Fellow")</f>
        <v>Fellow</v>
      </c>
      <c r="D379" s="27" t="str">
        <f ca="1">IFERROR(__xludf.DUMMYFUNCTION("""COMPUTED_VALUE"""),"Ativo")</f>
        <v>Ativo</v>
      </c>
      <c r="E379" s="27" t="str">
        <f ca="1">IFERROR(__xludf.DUMMYFUNCTION("""COMPUTED_VALUE"""),"Instituto Livros em todo lugar")</f>
        <v>Instituto Livros em todo lugar</v>
      </c>
      <c r="F379" s="21" t="str">
        <f ca="1">IFERROR(VLOOKUP(A379,'Rede - Gerando Falcões '!A378:G1374,38,0),"")</f>
        <v/>
      </c>
      <c r="G379" s="27" t="str">
        <f ca="1">IFERROR(VLOOKUP(A379,'Tabela Categorização'!A:J,10,0),"")</f>
        <v>Fase Inicial</v>
      </c>
      <c r="H379" s="27" t="b">
        <f t="shared" ca="1" si="1"/>
        <v>1</v>
      </c>
      <c r="I379" s="21" t="str">
        <f>HYPERLINK("https://gerandofalcoes.my.salesforce.com/0034X0000380O3oQAE", "0034X0000380O3oQAE")</f>
        <v>0034X0000380O3oQAE</v>
      </c>
      <c r="J379" s="9" t="s">
        <v>17881</v>
      </c>
      <c r="K379" s="38" t="s">
        <v>17882</v>
      </c>
    </row>
    <row r="380" spans="1:11" ht="12.5" x14ac:dyDescent="0.25">
      <c r="A380" s="21" t="str">
        <f ca="1">IFERROR(__xludf.DUMMYFUNCTION("""COMPUTED_VALUE"""),"0014P00003SGWPqQAP")</f>
        <v>0014P00003SGWPqQAP</v>
      </c>
      <c r="B380" s="27" t="str">
        <f ca="1">IFERROR(__xludf.DUMMYFUNCTION("""COMPUTED_VALUE"""),"Fase Inicial")</f>
        <v>Fase Inicial</v>
      </c>
      <c r="C380" s="27" t="str">
        <f ca="1">IFERROR(__xludf.DUMMYFUNCTION("""COMPUTED_VALUE"""),"Fellow")</f>
        <v>Fellow</v>
      </c>
      <c r="D380" s="27" t="str">
        <f ca="1">IFERROR(__xludf.DUMMYFUNCTION("""COMPUTED_VALUE"""),"Ativo")</f>
        <v>Ativo</v>
      </c>
      <c r="E380" s="27" t="str">
        <f ca="1">IFERROR(__xludf.DUMMYFUNCTION("""COMPUTED_VALUE"""),"INSTITUTO MACUNAÍMA DE CULTURA - ESCOLA DE CIDADANIA")</f>
        <v>INSTITUTO MACUNAÍMA DE CULTURA - ESCOLA DE CIDADANIA</v>
      </c>
      <c r="F380" s="21" t="str">
        <f ca="1">IFERROR(VLOOKUP(A380,'Rede - Gerando Falcões '!A379:G1375,38,0),"")</f>
        <v/>
      </c>
      <c r="G380" s="27" t="str">
        <f ca="1">IFERROR(VLOOKUP(A380,'Tabela Categorização'!A:J,10,0),"")</f>
        <v>Fase Inicial</v>
      </c>
      <c r="H380" s="27" t="b">
        <f t="shared" ca="1" si="1"/>
        <v>1</v>
      </c>
      <c r="I380" s="21" t="str">
        <f>HYPERLINK("https://gerandofalcoes.my.salesforce.com/0034P000043fOnvQAE", "0034P000043fOnvQAE")</f>
        <v>0034P000043fOnvQAE</v>
      </c>
      <c r="J380" s="9" t="s">
        <v>17881</v>
      </c>
      <c r="K380" s="38" t="s">
        <v>17882</v>
      </c>
    </row>
    <row r="381" spans="1:11" ht="12.5" x14ac:dyDescent="0.25">
      <c r="A381" s="21" t="str">
        <f ca="1">IFERROR(__xludf.DUMMYFUNCTION("""COMPUTED_VALUE"""),"0014X00002VKCtJQAX")</f>
        <v>0014X00002VKCtJQAX</v>
      </c>
      <c r="B381" s="27" t="str">
        <f ca="1">IFERROR(__xludf.DUMMYFUNCTION("""COMPUTED_VALUE"""),"Fase Inicial")</f>
        <v>Fase Inicial</v>
      </c>
      <c r="C381" s="27" t="str">
        <f ca="1">IFERROR(__xludf.DUMMYFUNCTION("""COMPUTED_VALUE"""),"Fellow")</f>
        <v>Fellow</v>
      </c>
      <c r="D381" s="27" t="str">
        <f ca="1">IFERROR(__xludf.DUMMYFUNCTION("""COMPUTED_VALUE"""),"Ativo")</f>
        <v>Ativo</v>
      </c>
      <c r="E381" s="27" t="str">
        <f ca="1">IFERROR(__xludf.DUMMYFUNCTION("""COMPUTED_VALUE"""),"Instituto Mais Mulher")</f>
        <v>Instituto Mais Mulher</v>
      </c>
      <c r="F381" s="21" t="str">
        <f ca="1">IFERROR(VLOOKUP(A381,'Rede - Gerando Falcões '!A380:G1376,38,0),"")</f>
        <v/>
      </c>
      <c r="G381" s="27" t="str">
        <f ca="1">IFERROR(VLOOKUP(A381,'Tabela Categorização'!A:J,10,0),"")</f>
        <v>Fase Inicial</v>
      </c>
      <c r="H381" s="27" t="b">
        <f t="shared" ca="1" si="1"/>
        <v>1</v>
      </c>
      <c r="I381" s="21" t="str">
        <f>HYPERLINK("https://gerandofalcoes.my.salesforce.com/0034X0000380O2GQAU", "0034X0000380O2GQAU")</f>
        <v>0034X0000380O2GQAU</v>
      </c>
      <c r="J381" s="9" t="s">
        <v>17881</v>
      </c>
      <c r="K381" s="38" t="s">
        <v>17882</v>
      </c>
    </row>
    <row r="382" spans="1:11" ht="12.5" x14ac:dyDescent="0.25">
      <c r="A382" s="21" t="str">
        <f ca="1">IFERROR(__xludf.DUMMYFUNCTION("""COMPUTED_VALUE"""),"0014X00002VKCp1QAH")</f>
        <v>0014X00002VKCp1QAH</v>
      </c>
      <c r="B382" s="27" t="str">
        <f ca="1">IFERROR(__xludf.DUMMYFUNCTION("""COMPUTED_VALUE"""),"Fase Inicial")</f>
        <v>Fase Inicial</v>
      </c>
      <c r="C382" s="27" t="str">
        <f ca="1">IFERROR(__xludf.DUMMYFUNCTION("""COMPUTED_VALUE"""),"Fellow")</f>
        <v>Fellow</v>
      </c>
      <c r="D382" s="27" t="str">
        <f ca="1">IFERROR(__xludf.DUMMYFUNCTION("""COMPUTED_VALUE"""),"Ativo")</f>
        <v>Ativo</v>
      </c>
      <c r="E382" s="27" t="str">
        <f ca="1">IFERROR(__xludf.DUMMYFUNCTION("""COMPUTED_VALUE"""),"Instituto Mais Vida")</f>
        <v>Instituto Mais Vida</v>
      </c>
      <c r="F382" s="21" t="str">
        <f ca="1">IFERROR(VLOOKUP(A382,'Rede - Gerando Falcões '!A381:G1377,38,0),"")</f>
        <v/>
      </c>
      <c r="G382" s="27" t="str">
        <f ca="1">IFERROR(VLOOKUP(A382,'Tabela Categorização'!A:J,10,0),"")</f>
        <v>Fase Inicial</v>
      </c>
      <c r="H382" s="27" t="b">
        <f t="shared" ca="1" si="1"/>
        <v>1</v>
      </c>
      <c r="I382" s="21" t="str">
        <f>HYPERLINK("https://gerandofalcoes.my.salesforce.com/0034X0000380O45QAE", "0034X0000380O45QAE")</f>
        <v>0034X0000380O45QAE</v>
      </c>
      <c r="J382" s="9" t="s">
        <v>17881</v>
      </c>
      <c r="K382" s="38" t="s">
        <v>17882</v>
      </c>
    </row>
    <row r="383" spans="1:11" ht="12.5" x14ac:dyDescent="0.25">
      <c r="A383" s="21" t="str">
        <f ca="1">IFERROR(__xludf.DUMMYFUNCTION("""COMPUTED_VALUE"""),"0014P00003AN2GPQA1")</f>
        <v>0014P00003AN2GPQA1</v>
      </c>
      <c r="B383" s="27" t="str">
        <f ca="1">IFERROR(__xludf.DUMMYFUNCTION("""COMPUTED_VALUE"""),"Fase Avançada")</f>
        <v>Fase Avançada</v>
      </c>
      <c r="C383" s="27" t="str">
        <f ca="1">IFERROR(__xludf.DUMMYFUNCTION("""COMPUTED_VALUE"""),"Acelerada")</f>
        <v>Acelerada</v>
      </c>
      <c r="D383" s="27" t="str">
        <f ca="1">IFERROR(__xludf.DUMMYFUNCTION("""COMPUTED_VALUE"""),"Ativo")</f>
        <v>Ativo</v>
      </c>
      <c r="E383" s="27" t="str">
        <f ca="1">IFERROR(__xludf.DUMMYFUNCTION("""COMPUTED_VALUE"""),"Instituto Mandaver")</f>
        <v>Instituto Mandaver</v>
      </c>
      <c r="F383" s="21" t="str">
        <f ca="1">IFERROR(VLOOKUP(A383,'Rede - Gerando Falcões '!A382:G1378,38,0),"")</f>
        <v/>
      </c>
      <c r="G383" s="27" t="str">
        <f ca="1">IFERROR(VLOOKUP(A383,'Tabela Categorização'!A:J,10,0),"")</f>
        <v>Fase Avançada</v>
      </c>
      <c r="H383" s="27" t="b">
        <f t="shared" ca="1" si="1"/>
        <v>1</v>
      </c>
      <c r="I383" s="21" t="str">
        <f>HYPERLINK("https://gerandofalcoes.my.salesforce.com/0034P00003maBVuQAM", "0034P00003maBVuQAM")</f>
        <v>0034P00003maBVuQAM</v>
      </c>
      <c r="J383" s="9" t="s">
        <v>17881</v>
      </c>
      <c r="K383" s="38" t="s">
        <v>17882</v>
      </c>
    </row>
    <row r="384" spans="1:11" ht="12.5" x14ac:dyDescent="0.25">
      <c r="A384" s="21" t="str">
        <f ca="1">IFERROR(__xludf.DUMMYFUNCTION("""COMPUTED_VALUE"""),"0014X00002VKCqHQAX")</f>
        <v>0014X00002VKCqHQAX</v>
      </c>
      <c r="B384" s="27" t="str">
        <f ca="1">IFERROR(__xludf.DUMMYFUNCTION("""COMPUTED_VALUE"""),"Fase Estruturação")</f>
        <v>Fase Estruturação</v>
      </c>
      <c r="C384" s="27" t="str">
        <f ca="1">IFERROR(__xludf.DUMMYFUNCTION("""COMPUTED_VALUE"""),"Fellow")</f>
        <v>Fellow</v>
      </c>
      <c r="D384" s="27" t="str">
        <f ca="1">IFERROR(__xludf.DUMMYFUNCTION("""COMPUTED_VALUE"""),"Ativo")</f>
        <v>Ativo</v>
      </c>
      <c r="E384" s="27" t="str">
        <f ca="1">IFERROR(__xludf.DUMMYFUNCTION("""COMPUTED_VALUE"""),"INSTITUTO MARIANA")</f>
        <v>INSTITUTO MARIANA</v>
      </c>
      <c r="F384" s="21" t="str">
        <f ca="1">IFERROR(VLOOKUP(A384,'Rede - Gerando Falcões '!A383:G1379,38,0),"")</f>
        <v/>
      </c>
      <c r="G384" s="27" t="str">
        <f ca="1">IFERROR(VLOOKUP(A384,'Tabela Categorização'!A:J,10,0),"")</f>
        <v>Fase Estruturação</v>
      </c>
      <c r="H384" s="27" t="b">
        <f t="shared" ca="1" si="1"/>
        <v>1</v>
      </c>
      <c r="I384" s="21" t="str">
        <f>HYPERLINK("https://gerandofalcoes.my.salesforce.com/0034X0000380O3zQAE", "0034X0000380O3zQAE")</f>
        <v>0034X0000380O3zQAE</v>
      </c>
      <c r="J384" s="9" t="s">
        <v>17881</v>
      </c>
      <c r="K384" s="38" t="s">
        <v>17882</v>
      </c>
    </row>
    <row r="385" spans="1:11" ht="12.5" x14ac:dyDescent="0.25">
      <c r="A385" s="21" t="str">
        <f ca="1">IFERROR(__xludf.DUMMYFUNCTION("""COMPUTED_VALUE"""),"0014P00003YSp7TQAT")</f>
        <v>0014P00003YSp7TQAT</v>
      </c>
      <c r="B385" s="27" t="str">
        <f ca="1">IFERROR(__xludf.DUMMYFUNCTION("""COMPUTED_VALUE"""),"Fase Inicial")</f>
        <v>Fase Inicial</v>
      </c>
      <c r="C385" s="27" t="str">
        <f ca="1">IFERROR(__xludf.DUMMYFUNCTION("""COMPUTED_VALUE"""),"Fellow")</f>
        <v>Fellow</v>
      </c>
      <c r="D385" s="27" t="str">
        <f ca="1">IFERROR(__xludf.DUMMYFUNCTION("""COMPUTED_VALUE"""),"Afastado")</f>
        <v>Afastado</v>
      </c>
      <c r="E385" s="27" t="str">
        <f ca="1">IFERROR(__xludf.DUMMYFUNCTION("""COMPUTED_VALUE"""),"Instituto Mestre Nordestino")</f>
        <v>Instituto Mestre Nordestino</v>
      </c>
      <c r="F385" s="21" t="str">
        <f ca="1">IFERROR(VLOOKUP(A385,'Rede - Gerando Falcões '!A384:G1380,38,0),"")</f>
        <v/>
      </c>
      <c r="G385" s="27" t="str">
        <f ca="1">IFERROR(VLOOKUP(A385,'Tabela Categorização'!A:J,10,0),"")</f>
        <v>Fase Inicial</v>
      </c>
      <c r="H385" s="27" t="b">
        <f t="shared" ca="1" si="1"/>
        <v>1</v>
      </c>
      <c r="I385" s="21" t="str">
        <f>HYPERLINK("https://gerandofalcoes.my.salesforce.com/0034P000045kxi4QAA", "0034P000045kxi4QAA")</f>
        <v>0034P000045kxi4QAA</v>
      </c>
      <c r="J385" s="9" t="s">
        <v>17881</v>
      </c>
      <c r="K385" s="38" t="s">
        <v>17882</v>
      </c>
    </row>
    <row r="386" spans="1:11" ht="12.5" x14ac:dyDescent="0.25">
      <c r="A386" s="21" t="str">
        <f ca="1">IFERROR(__xludf.DUMMYFUNCTION("""COMPUTED_VALUE"""),"0014P00003SGWPsQAP")</f>
        <v>0014P00003SGWPsQAP</v>
      </c>
      <c r="B386" s="27" t="str">
        <f ca="1">IFERROR(__xludf.DUMMYFUNCTION("""COMPUTED_VALUE"""),"Fase Avançada")</f>
        <v>Fase Avançada</v>
      </c>
      <c r="C386" s="27" t="str">
        <f ca="1">IFERROR(__xludf.DUMMYFUNCTION("""COMPUTED_VALUE"""),"Acelerada")</f>
        <v>Acelerada</v>
      </c>
      <c r="D386" s="27" t="str">
        <f ca="1">IFERROR(__xludf.DUMMYFUNCTION("""COMPUTED_VALUE"""),"Ativo")</f>
        <v>Ativo</v>
      </c>
      <c r="E386" s="27" t="str">
        <f ca="1">IFERROR(__xludf.DUMMYFUNCTION("""COMPUTED_VALUE"""),"INSTITUTO MIGUEL FERNANDES TORRES")</f>
        <v>INSTITUTO MIGUEL FERNANDES TORRES</v>
      </c>
      <c r="F386" s="21" t="str">
        <f ca="1">IFERROR(VLOOKUP(A386,'Rede - Gerando Falcões '!A385:G1381,38,0),"")</f>
        <v/>
      </c>
      <c r="G386" s="27" t="str">
        <f ca="1">IFERROR(VLOOKUP(A386,'Tabela Categorização'!A:J,10,0),"")</f>
        <v>Fase Avançada</v>
      </c>
      <c r="H386" s="27" t="b">
        <f t="shared" ca="1" si="1"/>
        <v>1</v>
      </c>
      <c r="I386" s="21" t="str">
        <f>HYPERLINK("https://gerandofalcoes.my.salesforce.com/0034P000043fOnxQAE", "0034P000043fOnxQAE")</f>
        <v>0034P000043fOnxQAE</v>
      </c>
      <c r="J386" s="9" t="s">
        <v>17881</v>
      </c>
      <c r="K386" s="38" t="s">
        <v>17882</v>
      </c>
    </row>
    <row r="387" spans="1:11" ht="12.5" x14ac:dyDescent="0.25">
      <c r="A387" s="21" t="str">
        <f ca="1">IFERROR(__xludf.DUMMYFUNCTION("""COMPUTED_VALUE"""),"0014P00003SGWPPQA5")</f>
        <v>0014P00003SGWPPQA5</v>
      </c>
      <c r="B387" s="27" t="str">
        <f ca="1">IFERROR(__xludf.DUMMYFUNCTION("""COMPUTED_VALUE"""),"Fase Inicial")</f>
        <v>Fase Inicial</v>
      </c>
      <c r="C387" s="27" t="str">
        <f ca="1">IFERROR(__xludf.DUMMYFUNCTION("""COMPUTED_VALUE"""),"Acelerada")</f>
        <v>Acelerada</v>
      </c>
      <c r="D387" s="27" t="str">
        <f ca="1">IFERROR(__xludf.DUMMYFUNCTION("""COMPUTED_VALUE"""),"Ativo")</f>
        <v>Ativo</v>
      </c>
      <c r="E387" s="27" t="str">
        <f ca="1">IFERROR(__xludf.DUMMYFUNCTION("""COMPUTED_VALUE"""),"INSTITUTO MISSIONARIO METAMORFOSE")</f>
        <v>INSTITUTO MISSIONARIO METAMORFOSE</v>
      </c>
      <c r="F387" s="21" t="str">
        <f ca="1">IFERROR(VLOOKUP(A387,'Rede - Gerando Falcões '!A386:G1382,38,0),"")</f>
        <v/>
      </c>
      <c r="G387" s="27" t="str">
        <f ca="1">IFERROR(VLOOKUP(A387,'Tabela Categorização'!A:J,10,0),"")</f>
        <v>Fase Inicial</v>
      </c>
      <c r="H387" s="27" t="b">
        <f t="shared" ca="1" si="1"/>
        <v>1</v>
      </c>
      <c r="I387" s="21" t="str">
        <f>HYPERLINK("https://gerandofalcoes.my.salesforce.com/0034P000043fOnXQAU", "0034P000043fOnXQAU")</f>
        <v>0034P000043fOnXQAU</v>
      </c>
      <c r="J387" s="9" t="s">
        <v>17881</v>
      </c>
      <c r="K387" s="38" t="s">
        <v>17882</v>
      </c>
    </row>
    <row r="388" spans="1:11" ht="12.5" x14ac:dyDescent="0.25">
      <c r="A388" s="21" t="str">
        <f ca="1">IFERROR(__xludf.DUMMYFUNCTION("""COMPUTED_VALUE"""),"0014X00002VKD06QAH")</f>
        <v>0014X00002VKD06QAH</v>
      </c>
      <c r="B388" s="27" t="str">
        <f ca="1">IFERROR(__xludf.DUMMYFUNCTION("""COMPUTED_VALUE"""),"Fase Estruturação")</f>
        <v>Fase Estruturação</v>
      </c>
      <c r="C388" s="27" t="str">
        <f ca="1">IFERROR(__xludf.DUMMYFUNCTION("""COMPUTED_VALUE"""),"Fellow")</f>
        <v>Fellow</v>
      </c>
      <c r="D388" s="27" t="str">
        <f ca="1">IFERROR(__xludf.DUMMYFUNCTION("""COMPUTED_VALUE"""),"Ativo")</f>
        <v>Ativo</v>
      </c>
      <c r="E388" s="27" t="str">
        <f ca="1">IFERROR(__xludf.DUMMYFUNCTION("""COMPUTED_VALUE"""),"Instituto Misturaí")</f>
        <v>Instituto Misturaí</v>
      </c>
      <c r="F388" s="21" t="str">
        <f ca="1">IFERROR(VLOOKUP(A388,'Rede - Gerando Falcões '!A387:G1383,38,0),"")</f>
        <v/>
      </c>
      <c r="G388" s="27" t="str">
        <f ca="1">IFERROR(VLOOKUP(A388,'Tabela Categorização'!A:J,10,0),"")</f>
        <v>Fase Estruturação</v>
      </c>
      <c r="H388" s="27" t="b">
        <f t="shared" ca="1" si="1"/>
        <v>1</v>
      </c>
      <c r="I388" s="21" t="str">
        <f>HYPERLINK("https://gerandofalcoes.my.salesforce.com/0034X0000380O2dQAE", "0034X0000380O2dQAE")</f>
        <v>0034X0000380O2dQAE</v>
      </c>
      <c r="J388" s="9" t="s">
        <v>17881</v>
      </c>
      <c r="K388" s="38" t="s">
        <v>17882</v>
      </c>
    </row>
    <row r="389" spans="1:11" ht="12.5" x14ac:dyDescent="0.25">
      <c r="A389" s="21" t="str">
        <f ca="1">IFERROR(__xludf.DUMMYFUNCTION("""COMPUTED_VALUE"""),"0014P00003YSp8HQAT")</f>
        <v>0014P00003YSp8HQAT</v>
      </c>
      <c r="B389" s="27" t="str">
        <f ca="1">IFERROR(__xludf.DUMMYFUNCTION("""COMPUTED_VALUE"""),"Fase Inicial")</f>
        <v>Fase Inicial</v>
      </c>
      <c r="C389" s="27" t="str">
        <f ca="1">IFERROR(__xludf.DUMMYFUNCTION("""COMPUTED_VALUE"""),"Fellow")</f>
        <v>Fellow</v>
      </c>
      <c r="D389" s="27" t="str">
        <f ca="1">IFERROR(__xludf.DUMMYFUNCTION("""COMPUTED_VALUE"""),"Ativo")</f>
        <v>Ativo</v>
      </c>
      <c r="E389" s="27" t="str">
        <f ca="1">IFERROR(__xludf.DUMMYFUNCTION("""COMPUTED_VALUE"""),"Instituto Mover Vidas")</f>
        <v>Instituto Mover Vidas</v>
      </c>
      <c r="F389" s="21" t="str">
        <f ca="1">IFERROR(VLOOKUP(A389,'Rede - Gerando Falcões '!A388:G1384,38,0),"")</f>
        <v/>
      </c>
      <c r="G389" s="27" t="str">
        <f ca="1">IFERROR(VLOOKUP(A389,'Tabela Categorização'!A:J,10,0),"")</f>
        <v>Fase Inicial</v>
      </c>
      <c r="H389" s="27" t="b">
        <f t="shared" ca="1" si="1"/>
        <v>1</v>
      </c>
      <c r="I389" s="21" t="str">
        <f>HYPERLINK("https://gerandofalcoes.my.salesforce.com/0034P000045kxisQAA", "0034P000045kxisQAA")</f>
        <v>0034P000045kxisQAA</v>
      </c>
      <c r="J389" s="9" t="s">
        <v>17881</v>
      </c>
      <c r="K389" s="38" t="s">
        <v>17882</v>
      </c>
    </row>
    <row r="390" spans="1:11" ht="12.5" x14ac:dyDescent="0.25">
      <c r="A390" s="21" t="str">
        <f ca="1">IFERROR(__xludf.DUMMYFUNCTION("""COMPUTED_VALUE"""),"0014P00003YSp8vQAD")</f>
        <v>0014P00003YSp8vQAD</v>
      </c>
      <c r="B390" s="27" t="str">
        <f ca="1">IFERROR(__xludf.DUMMYFUNCTION("""COMPUTED_VALUE"""),"Fase Inicial")</f>
        <v>Fase Inicial</v>
      </c>
      <c r="C390" s="27" t="str">
        <f ca="1">IFERROR(__xludf.DUMMYFUNCTION("""COMPUTED_VALUE"""),"Fellow")</f>
        <v>Fellow</v>
      </c>
      <c r="D390" s="27" t="str">
        <f ca="1">IFERROR(__xludf.DUMMYFUNCTION("""COMPUTED_VALUE"""),"Ativo")</f>
        <v>Ativo</v>
      </c>
      <c r="E390" s="27" t="str">
        <f ca="1">IFERROR(__xludf.DUMMYFUNCTION("""COMPUTED_VALUE"""),"Instituto Movimento para a Vida")</f>
        <v>Instituto Movimento para a Vida</v>
      </c>
      <c r="F390" s="21" t="str">
        <f ca="1">IFERROR(VLOOKUP(A390,'Rede - Gerando Falcões '!A389:G1385,38,0),"")</f>
        <v/>
      </c>
      <c r="G390" s="27" t="str">
        <f ca="1">IFERROR(VLOOKUP(A390,'Tabela Categorização'!A:J,10,0),"")</f>
        <v>Fase Inicial</v>
      </c>
      <c r="H390" s="27" t="b">
        <f t="shared" ca="1" si="1"/>
        <v>1</v>
      </c>
      <c r="I390" s="21" t="str">
        <f>HYPERLINK("https://gerandofalcoes.my.salesforce.com/0034P000045kxjXQAQ", "0034P000045kxjXQAQ")</f>
        <v>0034P000045kxjXQAQ</v>
      </c>
      <c r="J390" s="9" t="s">
        <v>17881</v>
      </c>
      <c r="K390" s="38" t="s">
        <v>17882</v>
      </c>
    </row>
    <row r="391" spans="1:11" ht="12.5" x14ac:dyDescent="0.25">
      <c r="A391" s="21" t="str">
        <f ca="1">IFERROR(__xludf.DUMMYFUNCTION("""COMPUTED_VALUE"""),"0014X00002VKCriQAH")</f>
        <v>0014X00002VKCriQAH</v>
      </c>
      <c r="B391" s="27" t="str">
        <f ca="1">IFERROR(__xludf.DUMMYFUNCTION("""COMPUTED_VALUE"""),"Fase Inicial")</f>
        <v>Fase Inicial</v>
      </c>
      <c r="C391" s="27" t="str">
        <f ca="1">IFERROR(__xludf.DUMMYFUNCTION("""COMPUTED_VALUE"""),"Fellow")</f>
        <v>Fellow</v>
      </c>
      <c r="D391" s="27" t="str">
        <f ca="1">IFERROR(__xludf.DUMMYFUNCTION("""COMPUTED_VALUE"""),"Ativo")</f>
        <v>Ativo</v>
      </c>
      <c r="E391" s="27" t="str">
        <f ca="1">IFERROR(__xludf.DUMMYFUNCTION("""COMPUTED_VALUE"""),"INSTITUTO MUCAMBO")</f>
        <v>INSTITUTO MUCAMBO</v>
      </c>
      <c r="F391" s="21" t="str">
        <f ca="1">IFERROR(VLOOKUP(A391,'Rede - Gerando Falcões '!A390:G1386,38,0),"")</f>
        <v/>
      </c>
      <c r="G391" s="27" t="str">
        <f ca="1">IFERROR(VLOOKUP(A391,'Tabela Categorização'!A:J,10,0),"")</f>
        <v>Fase Inicial</v>
      </c>
      <c r="H391" s="27" t="b">
        <f t="shared" ca="1" si="1"/>
        <v>1</v>
      </c>
      <c r="I391" s="21" t="str">
        <f>HYPERLINK("https://gerandofalcoes.my.salesforce.com/0034X0000380O3GQAU", "0034X0000380O3GQAU")</f>
        <v>0034X0000380O3GQAU</v>
      </c>
      <c r="J391" s="9" t="s">
        <v>17881</v>
      </c>
      <c r="K391" s="38" t="s">
        <v>17882</v>
      </c>
    </row>
    <row r="392" spans="1:11" ht="12.5" x14ac:dyDescent="0.25">
      <c r="A392" s="21" t="str">
        <f ca="1">IFERROR(__xludf.DUMMYFUNCTION("""COMPUTED_VALUE"""),"0014X00002VKCtbQAH")</f>
        <v>0014X00002VKCtbQAH</v>
      </c>
      <c r="B392" s="27" t="str">
        <f ca="1">IFERROR(__xludf.DUMMYFUNCTION("""COMPUTED_VALUE"""),"Fase Inicial")</f>
        <v>Fase Inicial</v>
      </c>
      <c r="C392" s="27" t="str">
        <f ca="1">IFERROR(__xludf.DUMMYFUNCTION("""COMPUTED_VALUE"""),"Fellow")</f>
        <v>Fellow</v>
      </c>
      <c r="D392" s="27" t="str">
        <f ca="1">IFERROR(__xludf.DUMMYFUNCTION("""COMPUTED_VALUE"""),"Ativo")</f>
        <v>Ativo</v>
      </c>
      <c r="E392" s="27" t="str">
        <f ca="1">IFERROR(__xludf.DUMMYFUNCTION("""COMPUTED_VALUE"""),"INSTITUTOMULHERES EM SUPERAÇÃO NA AMAZÔNIA")</f>
        <v>INSTITUTOMULHERES EM SUPERAÇÃO NA AMAZÔNIA</v>
      </c>
      <c r="F392" s="21" t="str">
        <f ca="1">IFERROR(VLOOKUP(A392,'Rede - Gerando Falcões '!A391:G1387,38,0),"")</f>
        <v/>
      </c>
      <c r="G392" s="27" t="str">
        <f ca="1">IFERROR(VLOOKUP(A392,'Tabela Categorização'!A:J,10,0),"")</f>
        <v>Fase Inicial</v>
      </c>
      <c r="H392" s="27" t="b">
        <f t="shared" ca="1" si="1"/>
        <v>1</v>
      </c>
      <c r="I392" s="21" t="str">
        <f>HYPERLINK("https://gerandofalcoes.my.salesforce.com/0034P00003q1C2WQAU", "0034P00003q1C2WQAU")</f>
        <v>0034P00003q1C2WQAU</v>
      </c>
      <c r="J392" s="9" t="s">
        <v>17881</v>
      </c>
      <c r="K392" s="38" t="s">
        <v>17882</v>
      </c>
    </row>
    <row r="393" spans="1:11" ht="12.5" x14ac:dyDescent="0.25">
      <c r="A393" s="21" t="str">
        <f ca="1">IFERROR(__xludf.DUMMYFUNCTION("""COMPUTED_VALUE"""),"0014P00003Ck8NjQAJ")</f>
        <v>0014P00003Ck8NjQAJ</v>
      </c>
      <c r="B393" s="27" t="str">
        <f ca="1">IFERROR(__xludf.DUMMYFUNCTION("""COMPUTED_VALUE"""),"Fase Inicial")</f>
        <v>Fase Inicial</v>
      </c>
      <c r="C393" s="27" t="str">
        <f ca="1">IFERROR(__xludf.DUMMYFUNCTION("""COMPUTED_VALUE"""),"Fellow")</f>
        <v>Fellow</v>
      </c>
      <c r="D393" s="27" t="str">
        <f ca="1">IFERROR(__xludf.DUMMYFUNCTION("""COMPUTED_VALUE"""),"Ativo")</f>
        <v>Ativo</v>
      </c>
      <c r="E393" s="27" t="str">
        <f ca="1">IFERROR(__xludf.DUMMYFUNCTION("""COMPUTED_VALUE"""),"Instituto Mundo Novo da Cultura Viva")</f>
        <v>Instituto Mundo Novo da Cultura Viva</v>
      </c>
      <c r="F393" s="21" t="str">
        <f ca="1">IFERROR(VLOOKUP(A393,'Rede - Gerando Falcões '!A392:G1388,38,0),"")</f>
        <v/>
      </c>
      <c r="G393" s="27" t="str">
        <f ca="1">IFERROR(VLOOKUP(A393,'Tabela Categorização'!A:J,10,0),"")</f>
        <v>Fase Inicial</v>
      </c>
      <c r="H393" s="27" t="b">
        <f t="shared" ca="1" si="1"/>
        <v>1</v>
      </c>
      <c r="I393" s="21" t="str">
        <f>HYPERLINK("https://gerandofalcoes.my.salesforce.com/0034X0000380O1jQAE", "0034X0000380O1jQAE")</f>
        <v>0034X0000380O1jQAE</v>
      </c>
      <c r="J393" s="9" t="s">
        <v>17881</v>
      </c>
      <c r="K393" s="38" t="s">
        <v>17882</v>
      </c>
    </row>
    <row r="394" spans="1:11" ht="12.5" x14ac:dyDescent="0.25">
      <c r="A394" s="21" t="str">
        <f ca="1">IFERROR(__xludf.DUMMYFUNCTION("""COMPUTED_VALUE"""),"0014X00002VKCpsQAH")</f>
        <v>0014X00002VKCpsQAH</v>
      </c>
      <c r="B394" s="27" t="str">
        <f ca="1">IFERROR(__xludf.DUMMYFUNCTION("""COMPUTED_VALUE"""),"Fase Inicial")</f>
        <v>Fase Inicial</v>
      </c>
      <c r="C394" s="27" t="str">
        <f ca="1">IFERROR(__xludf.DUMMYFUNCTION("""COMPUTED_VALUE"""),"Fellow")</f>
        <v>Fellow</v>
      </c>
      <c r="D394" s="27" t="str">
        <f ca="1">IFERROR(__xludf.DUMMYFUNCTION("""COMPUTED_VALUE"""),"Ativo")</f>
        <v>Ativo</v>
      </c>
      <c r="E394" s="27" t="str">
        <f ca="1">IFERROR(__xludf.DUMMYFUNCTION("""COMPUTED_VALUE"""),"INSTITUTO NACIONAL DE DESENVOLVIMENTO SOCIAL E QUALIFICAÇÃO PROFISSIONAL")</f>
        <v>INSTITUTO NACIONAL DE DESENVOLVIMENTO SOCIAL E QUALIFICAÇÃO PROFISSIONAL</v>
      </c>
      <c r="F394" s="21" t="str">
        <f ca="1">IFERROR(VLOOKUP(A394,'Rede - Gerando Falcões '!A393:G1389,38,0),"")</f>
        <v/>
      </c>
      <c r="G394" s="27" t="str">
        <f ca="1">IFERROR(VLOOKUP(A394,'Tabela Categorização'!A:J,10,0),"")</f>
        <v>Fase Inicial</v>
      </c>
      <c r="H394" s="27" t="b">
        <f t="shared" ca="1" si="1"/>
        <v>1</v>
      </c>
      <c r="I394" s="21" t="str">
        <f>HYPERLINK("https://gerandofalcoes.my.salesforce.com/0034P000045kxkcQAA", "0034P000045kxkcQAA")</f>
        <v>0034P000045kxkcQAA</v>
      </c>
      <c r="J394" s="9" t="s">
        <v>17881</v>
      </c>
      <c r="K394" s="38" t="s">
        <v>17882</v>
      </c>
    </row>
    <row r="395" spans="1:11" ht="12.5" x14ac:dyDescent="0.25">
      <c r="A395" s="21" t="str">
        <f ca="1">IFERROR(__xludf.DUMMYFUNCTION("""COMPUTED_VALUE"""),"0014P00003YSpA0QAL")</f>
        <v>0014P00003YSpA0QAL</v>
      </c>
      <c r="B395" s="27" t="str">
        <f ca="1">IFERROR(__xludf.DUMMYFUNCTION("""COMPUTED_VALUE"""),"Fase Inicial")</f>
        <v>Fase Inicial</v>
      </c>
      <c r="C395" s="27" t="str">
        <f ca="1">IFERROR(__xludf.DUMMYFUNCTION("""COMPUTED_VALUE"""),"Fellow")</f>
        <v>Fellow</v>
      </c>
      <c r="D395" s="27" t="str">
        <f ca="1">IFERROR(__xludf.DUMMYFUNCTION("""COMPUTED_VALUE"""),"Ativo")</f>
        <v>Ativo</v>
      </c>
      <c r="E395" s="27" t="str">
        <f ca="1">IFERROR(__xludf.DUMMYFUNCTION("""COMPUTED_VALUE"""),"INSTITUTO NACIONAL LAR DOS SONHOS")</f>
        <v>INSTITUTO NACIONAL LAR DOS SONHOS</v>
      </c>
      <c r="F395" s="21" t="str">
        <f ca="1">IFERROR(VLOOKUP(A395,'Rede - Gerando Falcões '!A394:G1390,38,0),"")</f>
        <v/>
      </c>
      <c r="G395" s="27" t="str">
        <f ca="1">IFERROR(VLOOKUP(A395,'Tabela Categorização'!A:J,10,0),"")</f>
        <v>Fase Inicial</v>
      </c>
      <c r="H395" s="27" t="b">
        <f t="shared" ca="1" si="1"/>
        <v>1</v>
      </c>
      <c r="I395" s="21" t="str">
        <f>HYPERLINK("https://gerandofalcoes.my.salesforce.com/0034P000045kxjdQAA", "0034P000045kxjdQAA")</f>
        <v>0034P000045kxjdQAA</v>
      </c>
      <c r="J395" s="9" t="s">
        <v>17881</v>
      </c>
      <c r="K395" s="38" t="s">
        <v>17882</v>
      </c>
    </row>
    <row r="396" spans="1:11" ht="12.5" x14ac:dyDescent="0.25">
      <c r="A396" s="21" t="str">
        <f ca="1">IFERROR(__xludf.DUMMYFUNCTION("""COMPUTED_VALUE"""),"0014P00003YSp91QAD")</f>
        <v>0014P00003YSp91QAD</v>
      </c>
      <c r="B396" s="27" t="str">
        <f ca="1">IFERROR(__xludf.DUMMYFUNCTION("""COMPUTED_VALUE"""),"Fase Inicial")</f>
        <v>Fase Inicial</v>
      </c>
      <c r="C396" s="27" t="str">
        <f ca="1">IFERROR(__xludf.DUMMYFUNCTION("""COMPUTED_VALUE"""),"Fellow")</f>
        <v>Fellow</v>
      </c>
      <c r="D396" s="27" t="str">
        <f ca="1">IFERROR(__xludf.DUMMYFUNCTION("""COMPUTED_VALUE"""),"Ativo")</f>
        <v>Ativo</v>
      </c>
      <c r="E396" s="27" t="str">
        <f ca="1">IFERROR(__xludf.DUMMYFUNCTION("""COMPUTED_VALUE"""),"Instituto Nova Chance")</f>
        <v>Instituto Nova Chance</v>
      </c>
      <c r="F396" s="21" t="str">
        <f ca="1">IFERROR(VLOOKUP(A396,'Rede - Gerando Falcões '!A395:G1391,38,0),"")</f>
        <v/>
      </c>
      <c r="G396" s="27" t="str">
        <f ca="1">IFERROR(VLOOKUP(A396,'Tabela Categorização'!A:J,10,0),"")</f>
        <v>Fase Inicial</v>
      </c>
      <c r="H396" s="27" t="b">
        <f t="shared" ca="1" si="1"/>
        <v>1</v>
      </c>
      <c r="I396" s="21" t="str">
        <f>HYPERLINK("https://gerandofalcoes.my.salesforce.com/0034P000045kxjWQAQ", "0034P000045kxjWQAQ")</f>
        <v>0034P000045kxjWQAQ</v>
      </c>
      <c r="J396" s="9" t="s">
        <v>17881</v>
      </c>
      <c r="K396" s="38" t="s">
        <v>17882</v>
      </c>
    </row>
    <row r="397" spans="1:11" ht="12.5" x14ac:dyDescent="0.25">
      <c r="A397" s="21" t="str">
        <f ca="1">IFERROR(__xludf.DUMMYFUNCTION("""COMPUTED_VALUE"""),"0014P00003YSp8uQAD")</f>
        <v>0014P00003YSp8uQAD</v>
      </c>
      <c r="B397" s="27" t="str">
        <f ca="1">IFERROR(__xludf.DUMMYFUNCTION("""COMPUTED_VALUE"""),"Fase Avançada")</f>
        <v>Fase Avançada</v>
      </c>
      <c r="C397" s="27" t="str">
        <f ca="1">IFERROR(__xludf.DUMMYFUNCTION("""COMPUTED_VALUE"""),"Fellow")</f>
        <v>Fellow</v>
      </c>
      <c r="D397" s="27" t="str">
        <f ca="1">IFERROR(__xludf.DUMMYFUNCTION("""COMPUTED_VALUE"""),"Ativo")</f>
        <v>Ativo</v>
      </c>
      <c r="E397" s="27" t="str">
        <f ca="1">IFERROR(__xludf.DUMMYFUNCTION("""COMPUTED_VALUE"""),"Instituto Nova União da Arte")</f>
        <v>Instituto Nova União da Arte</v>
      </c>
      <c r="F397" s="21" t="str">
        <f ca="1">IFERROR(VLOOKUP(A397,'Rede - Gerando Falcões '!A396:G1392,38,0),"")</f>
        <v/>
      </c>
      <c r="G397" s="27" t="str">
        <f ca="1">IFERROR(VLOOKUP(A397,'Tabela Categorização'!A:J,10,0),"")</f>
        <v>Fase Avançada</v>
      </c>
      <c r="H397" s="27" t="b">
        <f t="shared" ca="1" si="1"/>
        <v>1</v>
      </c>
      <c r="I397" s="21" t="str">
        <f>HYPERLINK("https://gerandofalcoes.my.salesforce.com/0034P000045kxkGQAQ", "0034P000045kxkGQAQ")</f>
        <v>0034P000045kxkGQAQ</v>
      </c>
      <c r="J397" s="9" t="s">
        <v>17881</v>
      </c>
      <c r="K397" s="38" t="s">
        <v>17882</v>
      </c>
    </row>
    <row r="398" spans="1:11" ht="12.5" x14ac:dyDescent="0.25">
      <c r="A398" s="21" t="str">
        <f ca="1">IFERROR(__xludf.DUMMYFUNCTION("""COMPUTED_VALUE"""),"0014P00003YSp9eQAD")</f>
        <v>0014P00003YSp9eQAD</v>
      </c>
      <c r="B398" s="27" t="str">
        <f ca="1">IFERROR(__xludf.DUMMYFUNCTION("""COMPUTED_VALUE"""),"Fase Inicial")</f>
        <v>Fase Inicial</v>
      </c>
      <c r="C398" s="27" t="str">
        <f ca="1">IFERROR(__xludf.DUMMYFUNCTION("""COMPUTED_VALUE"""),"Fellow")</f>
        <v>Fellow</v>
      </c>
      <c r="D398" s="27" t="str">
        <f ca="1">IFERROR(__xludf.DUMMYFUNCTION("""COMPUTED_VALUE"""),"Ativo")</f>
        <v>Ativo</v>
      </c>
      <c r="E398" s="27" t="str">
        <f ca="1">IFERROR(__xludf.DUMMYFUNCTION("""COMPUTED_VALUE"""),"INSTITUTO PAPEL DE MENINO")</f>
        <v>INSTITUTO PAPEL DE MENINO</v>
      </c>
      <c r="F398" s="21" t="str">
        <f ca="1">IFERROR(VLOOKUP(A398,'Rede - Gerando Falcões '!A397:G1393,38,0),"")</f>
        <v/>
      </c>
      <c r="G398" s="27" t="str">
        <f ca="1">IFERROR(VLOOKUP(A398,'Tabela Categorização'!A:J,10,0),"")</f>
        <v>Fase Inicial</v>
      </c>
      <c r="H398" s="27" t="b">
        <f t="shared" ca="1" si="1"/>
        <v>1</v>
      </c>
      <c r="I398" s="21" t="str">
        <f>HYPERLINK("https://gerandofalcoes.my.salesforce.com/0034X0000380O5oQAE", "0034X0000380O5oQAE")</f>
        <v>0034X0000380O5oQAE</v>
      </c>
      <c r="J398" s="9" t="s">
        <v>17881</v>
      </c>
      <c r="K398" s="38" t="s">
        <v>17882</v>
      </c>
    </row>
    <row r="399" spans="1:11" ht="12.5" x14ac:dyDescent="0.25">
      <c r="A399" s="21" t="str">
        <f ca="1">IFERROR(__xludf.DUMMYFUNCTION("""COMPUTED_VALUE"""),"0014X00002VKCrNQAX")</f>
        <v>0014X00002VKCrNQAX</v>
      </c>
      <c r="B399" s="27" t="str">
        <f ca="1">IFERROR(__xludf.DUMMYFUNCTION("""COMPUTED_VALUE"""),"Fase Inicial")</f>
        <v>Fase Inicial</v>
      </c>
      <c r="C399" s="27" t="str">
        <f ca="1">IFERROR(__xludf.DUMMYFUNCTION("""COMPUTED_VALUE"""),"Fellow")</f>
        <v>Fellow</v>
      </c>
      <c r="D399" s="27" t="str">
        <f ca="1">IFERROR(__xludf.DUMMYFUNCTION("""COMPUTED_VALUE"""),"Ativo")</f>
        <v>Ativo</v>
      </c>
      <c r="E399" s="27" t="str">
        <f ca="1">IFERROR(__xludf.DUMMYFUNCTION("""COMPUTED_VALUE"""),"INSTITUTO PASSO DE ANJO")</f>
        <v>INSTITUTO PASSO DE ANJO</v>
      </c>
      <c r="F399" s="21" t="str">
        <f ca="1">IFERROR(VLOOKUP(A399,'Rede - Gerando Falcões '!A398:G1394,38,0),"")</f>
        <v/>
      </c>
      <c r="G399" s="27" t="str">
        <f ca="1">IFERROR(VLOOKUP(A399,'Tabela Categorização'!A:J,10,0),"")</f>
        <v>Fase Inicial</v>
      </c>
      <c r="H399" s="27" t="b">
        <f t="shared" ca="1" si="1"/>
        <v>1</v>
      </c>
      <c r="I399" s="21" t="str">
        <f>HYPERLINK("https://gerandofalcoes.my.salesforce.com/0034X0000380O1pQAE", "0034X0000380O1pQAE")</f>
        <v>0034X0000380O1pQAE</v>
      </c>
      <c r="J399" s="9" t="s">
        <v>17881</v>
      </c>
      <c r="K399" s="38" t="s">
        <v>17882</v>
      </c>
    </row>
    <row r="400" spans="1:11" ht="12.5" x14ac:dyDescent="0.25">
      <c r="A400" s="21" t="str">
        <f ca="1">IFERROR(__xludf.DUMMYFUNCTION("""COMPUTED_VALUE"""),"0014X00002VKCrRQAX")</f>
        <v>0014X00002VKCrRQAX</v>
      </c>
      <c r="B400" s="27" t="str">
        <f ca="1">IFERROR(__xludf.DUMMYFUNCTION("""COMPUTED_VALUE"""),"Fase Inicial")</f>
        <v>Fase Inicial</v>
      </c>
      <c r="C400" s="27" t="str">
        <f ca="1">IFERROR(__xludf.DUMMYFUNCTION("""COMPUTED_VALUE"""),"Fellow")</f>
        <v>Fellow</v>
      </c>
      <c r="D400" s="27" t="str">
        <f ca="1">IFERROR(__xludf.DUMMYFUNCTION("""COMPUTED_VALUE"""),"Ativo")</f>
        <v>Ativo</v>
      </c>
      <c r="E400" s="27" t="str">
        <f ca="1">IFERROR(__xludf.DUMMYFUNCTION("""COMPUTED_VALUE"""),"INSTITUTO PATERNUS")</f>
        <v>INSTITUTO PATERNUS</v>
      </c>
      <c r="F400" s="21" t="str">
        <f ca="1">IFERROR(VLOOKUP(A400,'Rede - Gerando Falcões '!A399:G1395,38,0),"")</f>
        <v/>
      </c>
      <c r="G400" s="27" t="str">
        <f ca="1">IFERROR(VLOOKUP(A400,'Tabela Categorização'!A:J,10,0),"")</f>
        <v>Fase Inicial</v>
      </c>
      <c r="H400" s="27" t="b">
        <f t="shared" ca="1" si="1"/>
        <v>1</v>
      </c>
      <c r="I400" s="21" t="str">
        <f>HYPERLINK("https://gerandofalcoes.my.salesforce.com/0034P00003uQScgQAG", "0034P00003uQScgQAG")</f>
        <v>0034P00003uQScgQAG</v>
      </c>
      <c r="J400" s="9" t="s">
        <v>17881</v>
      </c>
      <c r="K400" s="38" t="s">
        <v>17882</v>
      </c>
    </row>
    <row r="401" spans="1:11" ht="12.5" x14ac:dyDescent="0.25">
      <c r="A401" s="21" t="str">
        <f ca="1">IFERROR(__xludf.DUMMYFUNCTION("""COMPUTED_VALUE"""),"0014P00003I7WH2QAN")</f>
        <v>0014P00003I7WH2QAN</v>
      </c>
      <c r="B401" s="27" t="str">
        <f ca="1">IFERROR(__xludf.DUMMYFUNCTION("""COMPUTED_VALUE"""),"Fase Estruturação")</f>
        <v>Fase Estruturação</v>
      </c>
      <c r="C401" s="27" t="str">
        <f ca="1">IFERROR(__xludf.DUMMYFUNCTION("""COMPUTED_VALUE"""),"Fellow")</f>
        <v>Fellow</v>
      </c>
      <c r="D401" s="27" t="str">
        <f ca="1">IFERROR(__xludf.DUMMYFUNCTION("""COMPUTED_VALUE"""),"Ativo")</f>
        <v>Ativo</v>
      </c>
      <c r="E401" s="27" t="str">
        <f ca="1">IFERROR(__xludf.DUMMYFUNCTION("""COMPUTED_VALUE"""),"Instituto PEB _projeto educa basquete")</f>
        <v>Instituto PEB _projeto educa basquete</v>
      </c>
      <c r="F401" s="21" t="str">
        <f ca="1">IFERROR(VLOOKUP(A401,'Rede - Gerando Falcões '!A400:G1396,38,0),"")</f>
        <v/>
      </c>
      <c r="G401" s="27" t="str">
        <f ca="1">IFERROR(VLOOKUP(A401,'Tabela Categorização'!A:J,10,0),"")</f>
        <v>Fase Estruturação</v>
      </c>
      <c r="H401" s="27" t="b">
        <f t="shared" ca="1" si="1"/>
        <v>1</v>
      </c>
      <c r="I401" s="21" t="str">
        <f>HYPERLINK("https://gerandofalcoes.my.salesforce.com/0034X0000380O1KQAU", "0034X0000380O1KQAU")</f>
        <v>0034X0000380O1KQAU</v>
      </c>
      <c r="J401" s="9" t="s">
        <v>17881</v>
      </c>
      <c r="K401" s="38" t="s">
        <v>17882</v>
      </c>
    </row>
    <row r="402" spans="1:11" ht="12.5" x14ac:dyDescent="0.25">
      <c r="A402" s="21" t="str">
        <f ca="1">IFERROR(__xludf.DUMMYFUNCTION("""COMPUTED_VALUE"""),"0014X00002VKCulQAH")</f>
        <v>0014X00002VKCulQAH</v>
      </c>
      <c r="B402" s="27"/>
      <c r="C402" s="27" t="str">
        <f ca="1">IFERROR(__xludf.DUMMYFUNCTION("""COMPUTED_VALUE"""),"Fellow")</f>
        <v>Fellow</v>
      </c>
      <c r="D402" s="27" t="str">
        <f ca="1">IFERROR(__xludf.DUMMYFUNCTION("""COMPUTED_VALUE"""),"Ativo")</f>
        <v>Ativo</v>
      </c>
      <c r="E402" s="27" t="str">
        <f ca="1">IFERROR(__xludf.DUMMYFUNCTION("""COMPUTED_VALUE"""),"Instituto Pelicano")</f>
        <v>Instituto Pelicano</v>
      </c>
      <c r="F402" s="21" t="str">
        <f ca="1">IFERROR(VLOOKUP(A402,'Rede - Gerando Falcões '!A401:G1397,38,0),"")</f>
        <v/>
      </c>
      <c r="G402" s="27" t="str">
        <f ca="1">IFERROR(VLOOKUP(A402,'Tabela Categorização'!A:J,10,0),"")</f>
        <v/>
      </c>
      <c r="H402" s="27" t="b">
        <f t="shared" ca="1" si="1"/>
        <v>1</v>
      </c>
      <c r="I402" s="21" t="str">
        <f>HYPERLINK("https://gerandofalcoes.my.salesforce.com/0034X0000380O4FQAU", "0034X0000380O4FQAU")</f>
        <v>0034X0000380O4FQAU</v>
      </c>
      <c r="J402" s="9" t="s">
        <v>17881</v>
      </c>
      <c r="K402" s="38" t="s">
        <v>17882</v>
      </c>
    </row>
    <row r="403" spans="1:11" ht="12.5" x14ac:dyDescent="0.25">
      <c r="A403" s="21" t="str">
        <f ca="1">IFERROR(__xludf.DUMMYFUNCTION("""COMPUTED_VALUE"""),"0014X00002VKCtDQAX")</f>
        <v>0014X00002VKCtDQAX</v>
      </c>
      <c r="B403" s="27" t="str">
        <f ca="1">IFERROR(__xludf.DUMMYFUNCTION("""COMPUTED_VALUE"""),"Fase Inicial")</f>
        <v>Fase Inicial</v>
      </c>
      <c r="C403" s="27" t="str">
        <f ca="1">IFERROR(__xludf.DUMMYFUNCTION("""COMPUTED_VALUE"""),"Fellow")</f>
        <v>Fellow</v>
      </c>
      <c r="D403" s="27" t="str">
        <f ca="1">IFERROR(__xludf.DUMMYFUNCTION("""COMPUTED_VALUE"""),"Ativo")</f>
        <v>Ativo</v>
      </c>
      <c r="E403" s="27" t="str">
        <f ca="1">IFERROR(__xludf.DUMMYFUNCTION("""COMPUTED_VALUE"""),"INSTITUTO PORTAL DAS CORES")</f>
        <v>INSTITUTO PORTAL DAS CORES</v>
      </c>
      <c r="F403" s="21" t="str">
        <f ca="1">IFERROR(VLOOKUP(A403,'Rede - Gerando Falcões '!A402:G1398,38,0),"")</f>
        <v/>
      </c>
      <c r="G403" s="27" t="str">
        <f ca="1">IFERROR(VLOOKUP(A403,'Tabela Categorização'!A:J,10,0),"")</f>
        <v>Fase Inicial</v>
      </c>
      <c r="H403" s="27" t="b">
        <f t="shared" ca="1" si="1"/>
        <v>1</v>
      </c>
      <c r="I403" s="21" t="str">
        <f>HYPERLINK("https://gerandofalcoes.my.salesforce.com/0034X0000380O4YQAU", "0034X0000380O4YQAU")</f>
        <v>0034X0000380O4YQAU</v>
      </c>
      <c r="J403" s="9" t="s">
        <v>17881</v>
      </c>
      <c r="K403" s="38" t="s">
        <v>17882</v>
      </c>
    </row>
    <row r="404" spans="1:11" ht="12.5" x14ac:dyDescent="0.25">
      <c r="A404" s="21" t="str">
        <f ca="1">IFERROR(__xludf.DUMMYFUNCTION("""COMPUTED_VALUE"""),"0014X00002VKCrhQAH")</f>
        <v>0014X00002VKCrhQAH</v>
      </c>
      <c r="B404" s="27" t="str">
        <f ca="1">IFERROR(__xludf.DUMMYFUNCTION("""COMPUTED_VALUE"""),"Fase Inicial")</f>
        <v>Fase Inicial</v>
      </c>
      <c r="C404" s="27" t="str">
        <f ca="1">IFERROR(__xludf.DUMMYFUNCTION("""COMPUTED_VALUE"""),"Fellow")</f>
        <v>Fellow</v>
      </c>
      <c r="D404" s="27" t="str">
        <f ca="1">IFERROR(__xludf.DUMMYFUNCTION("""COMPUTED_VALUE"""),"Ativo")</f>
        <v>Ativo</v>
      </c>
      <c r="E404" s="27" t="str">
        <f ca="1">IFERROR(__xludf.DUMMYFUNCTION("""COMPUTED_VALUE"""),"Instituto Portal Social da Ponte")</f>
        <v>Instituto Portal Social da Ponte</v>
      </c>
      <c r="F404" s="21" t="str">
        <f ca="1">IFERROR(VLOOKUP(A404,'Rede - Gerando Falcões '!A403:G1399,38,0),"")</f>
        <v/>
      </c>
      <c r="G404" s="27" t="str">
        <f ca="1">IFERROR(VLOOKUP(A404,'Tabela Categorização'!A:J,10,0),"")</f>
        <v>Fase Inicial</v>
      </c>
      <c r="H404" s="27" t="b">
        <f t="shared" ca="1" si="1"/>
        <v>1</v>
      </c>
      <c r="I404" s="21" t="str">
        <f>HYPERLINK("https://gerandofalcoes.my.salesforce.com/0034X000032HsHfQAK", "0034X000032HsHfQAK")</f>
        <v>0034X000032HsHfQAK</v>
      </c>
      <c r="J404" s="9" t="s">
        <v>17881</v>
      </c>
      <c r="K404" s="38" t="s">
        <v>17882</v>
      </c>
    </row>
    <row r="405" spans="1:11" ht="12.5" x14ac:dyDescent="0.25">
      <c r="A405" s="21" t="str">
        <f ca="1">IFERROR(__xludf.DUMMYFUNCTION("""COMPUTED_VALUE"""),"0014X00002PUObkQAH")</f>
        <v>0014X00002PUObkQAH</v>
      </c>
      <c r="B405" s="27" t="str">
        <f ca="1">IFERROR(__xludf.DUMMYFUNCTION("""COMPUTED_VALUE"""),"Fase Inicial")</f>
        <v>Fase Inicial</v>
      </c>
      <c r="C405" s="27" t="str">
        <f ca="1">IFERROR(__xludf.DUMMYFUNCTION("""COMPUTED_VALUE"""),"Fellow")</f>
        <v>Fellow</v>
      </c>
      <c r="D405" s="27" t="str">
        <f ca="1">IFERROR(__xludf.DUMMYFUNCTION("""COMPUTED_VALUE"""),"Ativo")</f>
        <v>Ativo</v>
      </c>
      <c r="E405" s="27" t="str">
        <f ca="1">IFERROR(__xludf.DUMMYFUNCTION("""COMPUTED_VALUE"""),"Instituto Pra Todo Mundo")</f>
        <v>Instituto Pra Todo Mundo</v>
      </c>
      <c r="F405" s="21" t="str">
        <f ca="1">IFERROR(VLOOKUP(A405,'Rede - Gerando Falcões '!A404:G1400,38,0),"")</f>
        <v/>
      </c>
      <c r="G405" s="27" t="str">
        <f ca="1">IFERROR(VLOOKUP(A405,'Tabela Categorização'!A:J,10,0),"")</f>
        <v>Fase Inicial</v>
      </c>
      <c r="H405" s="27" t="b">
        <f t="shared" ca="1" si="1"/>
        <v>1</v>
      </c>
      <c r="I405" s="21" t="str">
        <f>HYPERLINK("https://gerandofalcoes.my.salesforce.com/0034P000043fPDkQAM", "0034P000043fPDkQAM")</f>
        <v>0034P000043fPDkQAM</v>
      </c>
      <c r="J405" s="9" t="s">
        <v>17881</v>
      </c>
      <c r="K405" s="38" t="s">
        <v>17882</v>
      </c>
    </row>
    <row r="406" spans="1:11" ht="12.5" x14ac:dyDescent="0.25">
      <c r="A406" s="21" t="str">
        <f ca="1">IFERROR(__xludf.DUMMYFUNCTION("""COMPUTED_VALUE"""),"0014P00003SGWPoQAP")</f>
        <v>0014P00003SGWPoQAP</v>
      </c>
      <c r="B406" s="27" t="str">
        <f ca="1">IFERROR(__xludf.DUMMYFUNCTION("""COMPUTED_VALUE"""),"Fase Inicial")</f>
        <v>Fase Inicial</v>
      </c>
      <c r="C406" s="27" t="str">
        <f ca="1">IFERROR(__xludf.DUMMYFUNCTION("""COMPUTED_VALUE"""),"Acelerada")</f>
        <v>Acelerada</v>
      </c>
      <c r="D406" s="27" t="str">
        <f ca="1">IFERROR(__xludf.DUMMYFUNCTION("""COMPUTED_VALUE"""),"Ativo")</f>
        <v>Ativo</v>
      </c>
      <c r="E406" s="27" t="str">
        <f ca="1">IFERROR(__xludf.DUMMYFUNCTION("""COMPUTED_VALUE"""),"INSTITUTO PRIMEIRO ESTÁGIO DE ESPORTE CULTURA E EDUCAÇÃO")</f>
        <v>INSTITUTO PRIMEIRO ESTÁGIO DE ESPORTE CULTURA E EDUCAÇÃO</v>
      </c>
      <c r="F406" s="21" t="str">
        <f ca="1">IFERROR(VLOOKUP(A406,'Rede - Gerando Falcões '!A405:G1401,38,0),"")</f>
        <v/>
      </c>
      <c r="G406" s="27" t="str">
        <f ca="1">IFERROR(VLOOKUP(A406,'Tabela Categorização'!A:J,10,0),"")</f>
        <v>Fase Inicial</v>
      </c>
      <c r="H406" s="27" t="b">
        <f t="shared" ca="1" si="1"/>
        <v>1</v>
      </c>
      <c r="I406" s="21" t="str">
        <f>HYPERLINK("https://gerandofalcoes.my.salesforce.com/0034X0000380O16QAE", "0034X0000380O16QAE")</f>
        <v>0034X0000380O16QAE</v>
      </c>
      <c r="J406" s="9" t="s">
        <v>17881</v>
      </c>
      <c r="K406" s="38" t="s">
        <v>17882</v>
      </c>
    </row>
    <row r="407" spans="1:11" ht="12.5" x14ac:dyDescent="0.25">
      <c r="A407" s="21" t="str">
        <f ca="1">IFERROR(__xludf.DUMMYFUNCTION("""COMPUTED_VALUE"""),"0014X00002VKCsnQAH")</f>
        <v>0014X00002VKCsnQAH</v>
      </c>
      <c r="B407" s="27" t="str">
        <f ca="1">IFERROR(__xludf.DUMMYFUNCTION("""COMPUTED_VALUE"""),"Fase Inicial")</f>
        <v>Fase Inicial</v>
      </c>
      <c r="C407" s="27" t="str">
        <f ca="1">IFERROR(__xludf.DUMMYFUNCTION("""COMPUTED_VALUE"""),"Fellow")</f>
        <v>Fellow</v>
      </c>
      <c r="D407" s="27" t="str">
        <f ca="1">IFERROR(__xludf.DUMMYFUNCTION("""COMPUTED_VALUE"""),"Ativo")</f>
        <v>Ativo</v>
      </c>
      <c r="E407" s="27" t="str">
        <f ca="1">IFERROR(__xludf.DUMMYFUNCTION("""COMPUTED_VALUE"""),"Instituto Projeto Cria - Cultura e Educação")</f>
        <v>Instituto Projeto Cria - Cultura e Educação</v>
      </c>
      <c r="F407" s="21" t="str">
        <f ca="1">IFERROR(VLOOKUP(A407,'Rede - Gerando Falcões '!A406:G1402,38,0),"")</f>
        <v/>
      </c>
      <c r="G407" s="27" t="str">
        <f ca="1">IFERROR(VLOOKUP(A407,'Tabela Categorização'!A:J,10,0),"")</f>
        <v>Fase Inicial</v>
      </c>
      <c r="H407" s="27" t="b">
        <f t="shared" ca="1" si="1"/>
        <v>1</v>
      </c>
      <c r="I407" s="21" t="str">
        <f>HYPERLINK("https://gerandofalcoes.my.salesforce.com/0034P000045kxkNQAQ", "0034P000045kxkNQAQ")</f>
        <v>0034P000045kxkNQAQ</v>
      </c>
      <c r="J407" s="9" t="s">
        <v>17881</v>
      </c>
      <c r="K407" s="38" t="s">
        <v>17882</v>
      </c>
    </row>
    <row r="408" spans="1:11" ht="12.5" x14ac:dyDescent="0.25">
      <c r="A408" s="21" t="str">
        <f ca="1">IFERROR(__xludf.DUMMYFUNCTION("""COMPUTED_VALUE"""),"0014P00003YSp9lQAD")</f>
        <v>0014P00003YSp9lQAD</v>
      </c>
      <c r="B408" s="27" t="str">
        <f ca="1">IFERROR(__xludf.DUMMYFUNCTION("""COMPUTED_VALUE"""),"Fase Inicial")</f>
        <v>Fase Inicial</v>
      </c>
      <c r="C408" s="27" t="str">
        <f ca="1">IFERROR(__xludf.DUMMYFUNCTION("""COMPUTED_VALUE"""),"Fellow")</f>
        <v>Fellow</v>
      </c>
      <c r="D408" s="27" t="str">
        <f ca="1">IFERROR(__xludf.DUMMYFUNCTION("""COMPUTED_VALUE"""),"Ativo")</f>
        <v>Ativo</v>
      </c>
      <c r="E408" s="27" t="str">
        <f ca="1">IFERROR(__xludf.DUMMYFUNCTION("""COMPUTED_VALUE"""),"Instituto Pro Mais")</f>
        <v>Instituto Pro Mais</v>
      </c>
      <c r="F408" s="21" t="str">
        <f ca="1">IFERROR(VLOOKUP(A408,'Rede - Gerando Falcões '!A407:G1403,38,0),"")</f>
        <v/>
      </c>
      <c r="G408" s="27" t="str">
        <f ca="1">IFERROR(VLOOKUP(A408,'Tabela Categorização'!A:J,10,0),"")</f>
        <v>Fase Inicial</v>
      </c>
      <c r="H408" s="27" t="b">
        <f t="shared" ca="1" si="1"/>
        <v>1</v>
      </c>
      <c r="I408" s="21" t="str">
        <f>HYPERLINK("https://gerandofalcoes.my.salesforce.com/0034P000045kximQAA", "0034P000045kximQAA")</f>
        <v>0034P000045kximQAA</v>
      </c>
      <c r="J408" s="9" t="s">
        <v>17881</v>
      </c>
      <c r="K408" s="38" t="s">
        <v>17882</v>
      </c>
    </row>
    <row r="409" spans="1:11" ht="12.5" x14ac:dyDescent="0.25">
      <c r="A409" s="21" t="str">
        <f ca="1">IFERROR(__xludf.DUMMYFUNCTION("""COMPUTED_VALUE"""),"0014P00003YSp8BQAT")</f>
        <v>0014P00003YSp8BQAT</v>
      </c>
      <c r="B409" s="27" t="str">
        <f ca="1">IFERROR(__xludf.DUMMYFUNCTION("""COMPUTED_VALUE"""),"Fase Inicial")</f>
        <v>Fase Inicial</v>
      </c>
      <c r="C409" s="27" t="str">
        <f ca="1">IFERROR(__xludf.DUMMYFUNCTION("""COMPUTED_VALUE"""),"Fellow")</f>
        <v>Fellow</v>
      </c>
      <c r="D409" s="27" t="str">
        <f ca="1">IFERROR(__xludf.DUMMYFUNCTION("""COMPUTED_VALUE"""),"Ativo")</f>
        <v>Ativo</v>
      </c>
      <c r="E409" s="27" t="str">
        <f ca="1">IFERROR(__xludf.DUMMYFUNCTION("""COMPUTED_VALUE"""),"instituto Quadro de Esperança")</f>
        <v>instituto Quadro de Esperança</v>
      </c>
      <c r="F409" s="21" t="str">
        <f ca="1">IFERROR(VLOOKUP(A409,'Rede - Gerando Falcões '!A408:G1404,38,0),"")</f>
        <v/>
      </c>
      <c r="G409" s="27" t="str">
        <f ca="1">IFERROR(VLOOKUP(A409,'Tabela Categorização'!A:J,10,0),"")</f>
        <v>Fase Inicial</v>
      </c>
      <c r="H409" s="27" t="b">
        <f t="shared" ca="1" si="1"/>
        <v>1</v>
      </c>
      <c r="I409" s="21" t="str">
        <f>HYPERLINK("https://gerandofalcoes.my.salesforce.com/0034X0000380O0vQAE", "0034X0000380O0vQAE")</f>
        <v>0034X0000380O0vQAE</v>
      </c>
      <c r="J409" s="9" t="s">
        <v>17881</v>
      </c>
      <c r="K409" s="38" t="s">
        <v>17882</v>
      </c>
    </row>
    <row r="410" spans="1:11" ht="12.5" x14ac:dyDescent="0.25">
      <c r="A410" s="21" t="str">
        <f ca="1">IFERROR(__xludf.DUMMYFUNCTION("""COMPUTED_VALUE"""),"0014X00002VKCtzQAH")</f>
        <v>0014X00002VKCtzQAH</v>
      </c>
      <c r="B410" s="27" t="str">
        <f ca="1">IFERROR(__xludf.DUMMYFUNCTION("""COMPUTED_VALUE"""),"Fase Inicial")</f>
        <v>Fase Inicial</v>
      </c>
      <c r="C410" s="27" t="str">
        <f ca="1">IFERROR(__xludf.DUMMYFUNCTION("""COMPUTED_VALUE"""),"Fellow")</f>
        <v>Fellow</v>
      </c>
      <c r="D410" s="27" t="str">
        <f ca="1">IFERROR(__xludf.DUMMYFUNCTION("""COMPUTED_VALUE"""),"Ativo")</f>
        <v>Ativo</v>
      </c>
      <c r="E410" s="27" t="str">
        <f ca="1">IFERROR(__xludf.DUMMYFUNCTION("""COMPUTED_VALUE"""),"INSTITUTO QUINTAL TIA JURA")</f>
        <v>INSTITUTO QUINTAL TIA JURA</v>
      </c>
      <c r="F410" s="21" t="str">
        <f ca="1">IFERROR(VLOOKUP(A410,'Rede - Gerando Falcões '!A409:G1405,38,0),"")</f>
        <v/>
      </c>
      <c r="G410" s="27" t="str">
        <f ca="1">IFERROR(VLOOKUP(A410,'Tabela Categorização'!A:J,10,0),"")</f>
        <v>Fase Inicial</v>
      </c>
      <c r="H410" s="27" t="b">
        <f t="shared" ca="1" si="1"/>
        <v>1</v>
      </c>
      <c r="I410" s="21" t="str">
        <f>HYPERLINK("https://gerandofalcoes.my.salesforce.com/0034P00003maBV2QAM", "0034P00003maBV2QAM")</f>
        <v>0034P00003maBV2QAM</v>
      </c>
      <c r="J410" s="9" t="s">
        <v>17881</v>
      </c>
      <c r="K410" s="38" t="s">
        <v>17882</v>
      </c>
    </row>
    <row r="411" spans="1:11" ht="12.5" x14ac:dyDescent="0.25">
      <c r="A411" s="21" t="str">
        <f ca="1">IFERROR(__xludf.DUMMYFUNCTION("""COMPUTED_VALUE"""),"0014P00003AN2FcQAL")</f>
        <v>0014P00003AN2FcQAL</v>
      </c>
      <c r="B411" s="27" t="str">
        <f ca="1">IFERROR(__xludf.DUMMYFUNCTION("""COMPUTED_VALUE"""),"Fase Estruturação")</f>
        <v>Fase Estruturação</v>
      </c>
      <c r="C411" s="27" t="str">
        <f ca="1">IFERROR(__xludf.DUMMYFUNCTION("""COMPUTED_VALUE"""),"Acelerada")</f>
        <v>Acelerada</v>
      </c>
      <c r="D411" s="27" t="str">
        <f ca="1">IFERROR(__xludf.DUMMYFUNCTION("""COMPUTED_VALUE"""),"Ativo")</f>
        <v>Ativo</v>
      </c>
      <c r="E411" s="27" t="str">
        <f ca="1">IFERROR(__xludf.DUMMYFUNCTION("""COMPUTED_VALUE"""),"INSTITUTO RAHAMIM")</f>
        <v>INSTITUTO RAHAMIM</v>
      </c>
      <c r="F411" s="21" t="str">
        <f ca="1">IFERROR(VLOOKUP(A411,'Rede - Gerando Falcões '!A410:G1406,38,0),"")</f>
        <v/>
      </c>
      <c r="G411" s="27" t="str">
        <f ca="1">IFERROR(VLOOKUP(A411,'Tabela Categorização'!A:J,10,0),"")</f>
        <v>Fase Estruturação</v>
      </c>
      <c r="H411" s="27" t="b">
        <f t="shared" ca="1" si="1"/>
        <v>1</v>
      </c>
      <c r="I411" s="21" t="str">
        <f>HYPERLINK("https://gerandofalcoes.my.salesforce.com/0034P000045kxjDQAQ", "0034P000045kxjDQAQ")</f>
        <v>0034P000045kxjDQAQ</v>
      </c>
      <c r="J411" s="9" t="s">
        <v>17881</v>
      </c>
      <c r="K411" s="38" t="s">
        <v>17882</v>
      </c>
    </row>
    <row r="412" spans="1:11" ht="12.5" x14ac:dyDescent="0.25">
      <c r="A412" s="21" t="str">
        <f ca="1">IFERROR(__xludf.DUMMYFUNCTION("""COMPUTED_VALUE"""),"0014P00003YSp8cQAD")</f>
        <v>0014P00003YSp8cQAD</v>
      </c>
      <c r="B412" s="27" t="str">
        <f ca="1">IFERROR(__xludf.DUMMYFUNCTION("""COMPUTED_VALUE"""),"Fase Estruturação")</f>
        <v>Fase Estruturação</v>
      </c>
      <c r="C412" s="27" t="str">
        <f ca="1">IFERROR(__xludf.DUMMYFUNCTION("""COMPUTED_VALUE"""),"Fellow")</f>
        <v>Fellow</v>
      </c>
      <c r="D412" s="27" t="str">
        <f ca="1">IFERROR(__xludf.DUMMYFUNCTION("""COMPUTED_VALUE"""),"Ativo")</f>
        <v>Ativo</v>
      </c>
      <c r="E412" s="27" t="str">
        <f ca="1">IFERROR(__xludf.DUMMYFUNCTION("""COMPUTED_VALUE"""),"INSTITUTO RAÍZES")</f>
        <v>INSTITUTO RAÍZES</v>
      </c>
      <c r="F412" s="21" t="str">
        <f ca="1">IFERROR(VLOOKUP(A412,'Rede - Gerando Falcões '!A411:G1407,38,0),"")</f>
        <v/>
      </c>
      <c r="G412" s="27" t="str">
        <f ca="1">IFERROR(VLOOKUP(A412,'Tabela Categorização'!A:J,10,0),"")</f>
        <v>Fase Estruturação</v>
      </c>
      <c r="H412" s="27" t="b">
        <f t="shared" ca="1" si="1"/>
        <v>1</v>
      </c>
      <c r="I412" s="21" t="str">
        <f>HYPERLINK("https://gerandofalcoes.my.salesforce.com/0034X0000380O34QAE", "0034X0000380O34QAE")</f>
        <v>0034X0000380O34QAE</v>
      </c>
      <c r="J412" s="9" t="s">
        <v>17881</v>
      </c>
      <c r="K412" s="38" t="s">
        <v>17882</v>
      </c>
    </row>
    <row r="413" spans="1:11" ht="12.5" x14ac:dyDescent="0.25">
      <c r="A413" s="21" t="str">
        <f ca="1">IFERROR(__xludf.DUMMYFUNCTION("""COMPUTED_VALUE"""),"0014X00002VKCpuQAH")</f>
        <v>0014X00002VKCpuQAH</v>
      </c>
      <c r="B413" s="27" t="str">
        <f ca="1">IFERROR(__xludf.DUMMYFUNCTION("""COMPUTED_VALUE"""),"Fase Inicial")</f>
        <v>Fase Inicial</v>
      </c>
      <c r="C413" s="27" t="str">
        <f ca="1">IFERROR(__xludf.DUMMYFUNCTION("""COMPUTED_VALUE"""),"Fellow")</f>
        <v>Fellow</v>
      </c>
      <c r="D413" s="27" t="str">
        <f ca="1">IFERROR(__xludf.DUMMYFUNCTION("""COMPUTED_VALUE"""),"Ativo")</f>
        <v>Ativo</v>
      </c>
      <c r="E413" s="27" t="str">
        <f ca="1">IFERROR(__xludf.DUMMYFUNCTION("""COMPUTED_VALUE"""),"Instituto Rastro")</f>
        <v>Instituto Rastro</v>
      </c>
      <c r="F413" s="21" t="str">
        <f ca="1">IFERROR(VLOOKUP(A413,'Rede - Gerando Falcões '!A412:G1408,38,0),"")</f>
        <v/>
      </c>
      <c r="G413" s="27" t="str">
        <f ca="1">IFERROR(VLOOKUP(A413,'Tabela Categorização'!A:J,10,0),"")</f>
        <v>Fase Inicial</v>
      </c>
      <c r="H413" s="27" t="b">
        <f t="shared" ca="1" si="1"/>
        <v>1</v>
      </c>
      <c r="I413" s="21" t="str">
        <f>HYPERLINK("https://gerandofalcoes.my.salesforce.com/0034P00003maBVOQA2", "0034P00003maBVOQA2")</f>
        <v>0034P00003maBVOQA2</v>
      </c>
      <c r="J413" s="9" t="s">
        <v>17881</v>
      </c>
      <c r="K413" s="38" t="s">
        <v>17882</v>
      </c>
    </row>
    <row r="414" spans="1:11" ht="12.5" x14ac:dyDescent="0.25">
      <c r="A414" s="21" t="str">
        <f ca="1">IFERROR(__xludf.DUMMYFUNCTION("""COMPUTED_VALUE"""),"0014P00003AN2FxQAL")</f>
        <v>0014P00003AN2FxQAL</v>
      </c>
      <c r="B414" s="27" t="str">
        <f ca="1">IFERROR(__xludf.DUMMYFUNCTION("""COMPUTED_VALUE"""),"Fase Estruturação")</f>
        <v>Fase Estruturação</v>
      </c>
      <c r="C414" s="27" t="str">
        <f ca="1">IFERROR(__xludf.DUMMYFUNCTION("""COMPUTED_VALUE"""),"Acelerada")</f>
        <v>Acelerada</v>
      </c>
      <c r="D414" s="27" t="str">
        <f ca="1">IFERROR(__xludf.DUMMYFUNCTION("""COMPUTED_VALUE"""),"Ativo")</f>
        <v>Ativo</v>
      </c>
      <c r="E414" s="27" t="str">
        <f ca="1">IFERROR(__xludf.DUMMYFUNCTION("""COMPUTED_VALUE"""),"Instituto Recomeçar")</f>
        <v>Instituto Recomeçar</v>
      </c>
      <c r="F414" s="21" t="str">
        <f ca="1">IFERROR(VLOOKUP(A414,'Rede - Gerando Falcões '!A413:G1409,38,0),"")</f>
        <v/>
      </c>
      <c r="G414" s="27" t="str">
        <f ca="1">IFERROR(VLOOKUP(A414,'Tabela Categorização'!A:J,10,0),"")</f>
        <v>Fase Estruturação</v>
      </c>
      <c r="H414" s="27" t="b">
        <f t="shared" ca="1" si="1"/>
        <v>1</v>
      </c>
      <c r="I414" s="21" t="str">
        <f>HYPERLINK("https://gerandofalcoes.my.salesforce.com/0034X0000380O1fQAE", "0034X0000380O1fQAE")</f>
        <v>0034X0000380O1fQAE</v>
      </c>
      <c r="J414" s="9" t="s">
        <v>17881</v>
      </c>
      <c r="K414" s="38" t="s">
        <v>17882</v>
      </c>
    </row>
    <row r="415" spans="1:11" ht="12.5" x14ac:dyDescent="0.25">
      <c r="A415" s="21" t="str">
        <f ca="1">IFERROR(__xludf.DUMMYFUNCTION("""COMPUTED_VALUE"""),"0014X00002VKCuzQAH")</f>
        <v>0014X00002VKCuzQAH</v>
      </c>
      <c r="B415" s="27" t="str">
        <f ca="1">IFERROR(__xludf.DUMMYFUNCTION("""COMPUTED_VALUE"""),"Fase Inicial")</f>
        <v>Fase Inicial</v>
      </c>
      <c r="C415" s="27" t="str">
        <f ca="1">IFERROR(__xludf.DUMMYFUNCTION("""COMPUTED_VALUE"""),"Fellow")</f>
        <v>Fellow</v>
      </c>
      <c r="D415" s="27" t="str">
        <f ca="1">IFERROR(__xludf.DUMMYFUNCTION("""COMPUTED_VALUE"""),"Ativo")</f>
        <v>Ativo</v>
      </c>
      <c r="E415" s="27" t="str">
        <f ca="1">IFERROR(__xludf.DUMMYFUNCTION("""COMPUTED_VALUE"""),"Instituto ReggArte")</f>
        <v>Instituto ReggArte</v>
      </c>
      <c r="F415" s="21" t="str">
        <f ca="1">IFERROR(VLOOKUP(A415,'Rede - Gerando Falcões '!A414:G1410,38,0),"")</f>
        <v/>
      </c>
      <c r="G415" s="27" t="str">
        <f ca="1">IFERROR(VLOOKUP(A415,'Tabela Categorização'!A:J,10,0),"")</f>
        <v>Fase Inicial</v>
      </c>
      <c r="H415" s="27" t="b">
        <f t="shared" ca="1" si="1"/>
        <v>1</v>
      </c>
      <c r="I415" s="21" t="str">
        <f>HYPERLINK("https://gerandofalcoes.my.salesforce.com/0034P000043fOnkQAE", "0034P000043fOnkQAE")</f>
        <v>0034P000043fOnkQAE</v>
      </c>
      <c r="J415" s="9" t="s">
        <v>17881</v>
      </c>
      <c r="K415" s="38" t="s">
        <v>17882</v>
      </c>
    </row>
    <row r="416" spans="1:11" ht="12.5" x14ac:dyDescent="0.25">
      <c r="A416" s="21" t="str">
        <f ca="1">IFERROR(__xludf.DUMMYFUNCTION("""COMPUTED_VALUE"""),"0014P00003SGWPdQAP")</f>
        <v>0014P00003SGWPdQAP</v>
      </c>
      <c r="B416" s="27" t="str">
        <f ca="1">IFERROR(__xludf.DUMMYFUNCTION("""COMPUTED_VALUE"""),"Fase Inicial")</f>
        <v>Fase Inicial</v>
      </c>
      <c r="C416" s="27" t="str">
        <f ca="1">IFERROR(__xludf.DUMMYFUNCTION("""COMPUTED_VALUE"""),"Fellow")</f>
        <v>Fellow</v>
      </c>
      <c r="D416" s="27" t="str">
        <f ca="1">IFERROR(__xludf.DUMMYFUNCTION("""COMPUTED_VALUE"""),"Ativo")</f>
        <v>Ativo</v>
      </c>
      <c r="E416" s="27" t="str">
        <f ca="1">IFERROR(__xludf.DUMMYFUNCTION("""COMPUTED_VALUE"""),"INSTITUTO RESGATANDO VIDAS")</f>
        <v>INSTITUTO RESGATANDO VIDAS</v>
      </c>
      <c r="F416" s="21" t="str">
        <f ca="1">IFERROR(VLOOKUP(A416,'Rede - Gerando Falcões '!A415:G1411,38,0),"")</f>
        <v/>
      </c>
      <c r="G416" s="27" t="str">
        <f ca="1">IFERROR(VLOOKUP(A416,'Tabela Categorização'!A:J,10,0),"")</f>
        <v>Fase Inicial</v>
      </c>
      <c r="H416" s="27" t="b">
        <f t="shared" ca="1" si="1"/>
        <v>1</v>
      </c>
      <c r="I416" s="21" t="str">
        <f>HYPERLINK("https://gerandofalcoes.my.salesforce.com/0034P00003maBVpQAM", "0034P00003maBVpQAM")</f>
        <v>0034P00003maBVpQAM</v>
      </c>
      <c r="J416" s="9" t="s">
        <v>17881</v>
      </c>
      <c r="K416" s="38" t="s">
        <v>17882</v>
      </c>
    </row>
    <row r="417" spans="1:11" ht="12.5" x14ac:dyDescent="0.25">
      <c r="A417" s="21" t="str">
        <f ca="1">IFERROR(__xludf.DUMMYFUNCTION("""COMPUTED_VALUE"""),"0014P00003AN2GKQA1")</f>
        <v>0014P00003AN2GKQA1</v>
      </c>
      <c r="B417" s="27" t="str">
        <f ca="1">IFERROR(__xludf.DUMMYFUNCTION("""COMPUTED_VALUE"""),"Fase Avançada")</f>
        <v>Fase Avançada</v>
      </c>
      <c r="C417" s="27" t="str">
        <f ca="1">IFERROR(__xludf.DUMMYFUNCTION("""COMPUTED_VALUE"""),"Acelerada")</f>
        <v>Acelerada</v>
      </c>
      <c r="D417" s="27" t="str">
        <f ca="1">IFERROR(__xludf.DUMMYFUNCTION("""COMPUTED_VALUE"""),"Ativo")</f>
        <v>Ativo</v>
      </c>
      <c r="E417" s="27" t="str">
        <f ca="1">IFERROR(__xludf.DUMMYFUNCTION("""COMPUTED_VALUE"""),"Instituto Resgatando Vidas para Vida")</f>
        <v>Instituto Resgatando Vidas para Vida</v>
      </c>
      <c r="F417" s="21" t="str">
        <f ca="1">IFERROR(VLOOKUP(A417,'Rede - Gerando Falcões '!A416:G1412,38,0),"")</f>
        <v/>
      </c>
      <c r="G417" s="27" t="str">
        <f ca="1">IFERROR(VLOOKUP(A417,'Tabela Categorização'!A:J,10,0),"")</f>
        <v>Fase Avançada</v>
      </c>
      <c r="H417" s="27" t="b">
        <f t="shared" ca="1" si="1"/>
        <v>1</v>
      </c>
      <c r="I417" s="21" t="str">
        <f>HYPERLINK("https://gerandofalcoes.my.salesforce.com/0034P00003maBVdQAM", "0034P00003maBVdQAM")</f>
        <v>0034P00003maBVdQAM</v>
      </c>
      <c r="J417" s="9" t="s">
        <v>17881</v>
      </c>
      <c r="K417" s="38" t="s">
        <v>17882</v>
      </c>
    </row>
    <row r="418" spans="1:11" ht="12.5" x14ac:dyDescent="0.25">
      <c r="A418" s="21" t="str">
        <f ca="1">IFERROR(__xludf.DUMMYFUNCTION("""COMPUTED_VALUE"""),"0014P00003AN2G9QAL")</f>
        <v>0014P00003AN2G9QAL</v>
      </c>
      <c r="B418" s="27" t="str">
        <f ca="1">IFERROR(__xludf.DUMMYFUNCTION("""COMPUTED_VALUE"""),"Fase Inicial")</f>
        <v>Fase Inicial</v>
      </c>
      <c r="C418" s="27" t="str">
        <f ca="1">IFERROR(__xludf.DUMMYFUNCTION("""COMPUTED_VALUE"""),"Acelerada")</f>
        <v>Acelerada</v>
      </c>
      <c r="D418" s="27" t="str">
        <f ca="1">IFERROR(__xludf.DUMMYFUNCTION("""COMPUTED_VALUE"""),"Ativo")</f>
        <v>Ativo</v>
      </c>
      <c r="E418" s="27" t="str">
        <f ca="1">IFERROR(__xludf.DUMMYFUNCTION("""COMPUTED_VALUE"""),"Instituto Reverbera")</f>
        <v>Instituto Reverbera</v>
      </c>
      <c r="F418" s="21" t="str">
        <f ca="1">IFERROR(VLOOKUP(A418,'Rede - Gerando Falcões '!A417:G1413,38,0),"")</f>
        <v/>
      </c>
      <c r="G418" s="27" t="str">
        <f ca="1">IFERROR(VLOOKUP(A418,'Tabela Categorização'!A:J,10,0),"")</f>
        <v>Fase Inicial</v>
      </c>
      <c r="H418" s="27" t="b">
        <f t="shared" ca="1" si="1"/>
        <v>1</v>
      </c>
      <c r="I418" s="21" t="str">
        <f>HYPERLINK("https://gerandofalcoes.my.salesforce.com/0034P000045kxkfQAA", "0034P000045kxkfQAA")</f>
        <v>0034P000045kxkfQAA</v>
      </c>
      <c r="J418" s="9" t="s">
        <v>17881</v>
      </c>
      <c r="K418" s="38" t="s">
        <v>17882</v>
      </c>
    </row>
    <row r="419" spans="1:11" ht="12.5" x14ac:dyDescent="0.25">
      <c r="A419" s="21" t="str">
        <f ca="1">IFERROR(__xludf.DUMMYFUNCTION("""COMPUTED_VALUE"""),"0014P00003YSpA3QAL")</f>
        <v>0014P00003YSpA3QAL</v>
      </c>
      <c r="B419" s="27" t="str">
        <f ca="1">IFERROR(__xludf.DUMMYFUNCTION("""COMPUTED_VALUE"""),"Fase Inicial")</f>
        <v>Fase Inicial</v>
      </c>
      <c r="C419" s="27" t="str">
        <f ca="1">IFERROR(__xludf.DUMMYFUNCTION("""COMPUTED_VALUE"""),"Fellow")</f>
        <v>Fellow</v>
      </c>
      <c r="D419" s="27" t="str">
        <f ca="1">IFERROR(__xludf.DUMMYFUNCTION("""COMPUTED_VALUE"""),"Ativo")</f>
        <v>Ativo</v>
      </c>
      <c r="E419" s="27" t="str">
        <f ca="1">IFERROR(__xludf.DUMMYFUNCTION("""COMPUTED_VALUE"""),"Instituto Reviver")</f>
        <v>Instituto Reviver</v>
      </c>
      <c r="F419" s="21" t="str">
        <f ca="1">IFERROR(VLOOKUP(A419,'Rede - Gerando Falcões '!A418:G1414,38,0),"")</f>
        <v/>
      </c>
      <c r="G419" s="27" t="str">
        <f ca="1">IFERROR(VLOOKUP(A419,'Tabela Categorização'!A:J,10,0),"")</f>
        <v>Fase Inicial</v>
      </c>
      <c r="H419" s="27" t="b">
        <f t="shared" ca="1" si="1"/>
        <v>1</v>
      </c>
      <c r="I419" s="21" t="str">
        <f>HYPERLINK("https://gerandofalcoes.my.salesforce.com/0034P000045kxirQAA", "0034P000045kxirQAA")</f>
        <v>0034P000045kxirQAA</v>
      </c>
      <c r="J419" s="9" t="s">
        <v>17881</v>
      </c>
      <c r="K419" s="38" t="s">
        <v>17882</v>
      </c>
    </row>
    <row r="420" spans="1:11" ht="12.5" x14ac:dyDescent="0.25">
      <c r="A420" s="21" t="str">
        <f ca="1">IFERROR(__xludf.DUMMYFUNCTION("""COMPUTED_VALUE"""),"0014P00003YSp8GQAT")</f>
        <v>0014P00003YSp8GQAT</v>
      </c>
      <c r="B420" s="27" t="str">
        <f ca="1">IFERROR(__xludf.DUMMYFUNCTION("""COMPUTED_VALUE"""),"Fase Inicial")</f>
        <v>Fase Inicial</v>
      </c>
      <c r="C420" s="27" t="str">
        <f ca="1">IFERROR(__xludf.DUMMYFUNCTION("""COMPUTED_VALUE"""),"Fellow")</f>
        <v>Fellow</v>
      </c>
      <c r="D420" s="27" t="str">
        <f ca="1">IFERROR(__xludf.DUMMYFUNCTION("""COMPUTED_VALUE"""),"Ativo")</f>
        <v>Ativo</v>
      </c>
      <c r="E420" s="27" t="str">
        <f ca="1">IFERROR(__xludf.DUMMYFUNCTION("""COMPUTED_VALUE"""),"Instituto Rosa Reviver")</f>
        <v>Instituto Rosa Reviver</v>
      </c>
      <c r="F420" s="21" t="str">
        <f ca="1">IFERROR(VLOOKUP(A420,'Rede - Gerando Falcões '!A419:G1415,38,0),"")</f>
        <v/>
      </c>
      <c r="G420" s="27" t="str">
        <f ca="1">IFERROR(VLOOKUP(A420,'Tabela Categorização'!A:J,10,0),"")</f>
        <v>Fase Inicial</v>
      </c>
      <c r="H420" s="27" t="b">
        <f t="shared" ca="1" si="1"/>
        <v>1</v>
      </c>
      <c r="I420" s="21" t="str">
        <f>HYPERLINK("https://gerandofalcoes.my.salesforce.com/0034P00003maBVZQA2", "0034P00003maBVZQA2")</f>
        <v>0034P00003maBVZQA2</v>
      </c>
      <c r="J420" s="9" t="s">
        <v>17881</v>
      </c>
      <c r="K420" s="38" t="s">
        <v>17882</v>
      </c>
    </row>
    <row r="421" spans="1:11" ht="12.5" x14ac:dyDescent="0.25">
      <c r="A421" s="21" t="str">
        <f ca="1">IFERROR(__xludf.DUMMYFUNCTION("""COMPUTED_VALUE"""),"0014P00003AN2G5QAL")</f>
        <v>0014P00003AN2G5QAL</v>
      </c>
      <c r="B421" s="27" t="str">
        <f ca="1">IFERROR(__xludf.DUMMYFUNCTION("""COMPUTED_VALUE"""),"Fase Avançada")</f>
        <v>Fase Avançada</v>
      </c>
      <c r="C421" s="27" t="str">
        <f ca="1">IFERROR(__xludf.DUMMYFUNCTION("""COMPUTED_VALUE"""),"Acelerada")</f>
        <v>Acelerada</v>
      </c>
      <c r="D421" s="27" t="str">
        <f ca="1">IFERROR(__xludf.DUMMYFUNCTION("""COMPUTED_VALUE"""),"Ativo")</f>
        <v>Ativo</v>
      </c>
      <c r="E421" s="27" t="str">
        <f ca="1">IFERROR(__xludf.DUMMYFUNCTION("""COMPUTED_VALUE"""),"Instituto Rugby Para Todos")</f>
        <v>Instituto Rugby Para Todos</v>
      </c>
      <c r="F421" s="21" t="str">
        <f ca="1">IFERROR(VLOOKUP(A421,'Rede - Gerando Falcões '!A420:G1416,38,0),"")</f>
        <v/>
      </c>
      <c r="G421" s="27" t="str">
        <f ca="1">IFERROR(VLOOKUP(A421,'Tabela Categorização'!A:J,10,0),"")</f>
        <v>Fase Avançada</v>
      </c>
      <c r="H421" s="27" t="b">
        <f t="shared" ca="1" si="1"/>
        <v>1</v>
      </c>
      <c r="I421" s="21" t="str">
        <f>HYPERLINK("https://gerandofalcoes.my.salesforce.com/0034X0000380O29QAE", "0034X0000380O29QAE")</f>
        <v>0034X0000380O29QAE</v>
      </c>
      <c r="J421" s="9" t="s">
        <v>17881</v>
      </c>
      <c r="K421" s="38" t="s">
        <v>17882</v>
      </c>
    </row>
    <row r="422" spans="1:11" ht="12.5" x14ac:dyDescent="0.25">
      <c r="A422" s="21" t="str">
        <f ca="1">IFERROR(__xludf.DUMMYFUNCTION("""COMPUTED_VALUE"""),"0014X00002VKCqDQAX")</f>
        <v>0014X00002VKCqDQAX</v>
      </c>
      <c r="B422" s="27" t="str">
        <f ca="1">IFERROR(__xludf.DUMMYFUNCTION("""COMPUTED_VALUE"""),"Fase Inicial")</f>
        <v>Fase Inicial</v>
      </c>
      <c r="C422" s="27" t="str">
        <f ca="1">IFERROR(__xludf.DUMMYFUNCTION("""COMPUTED_VALUE"""),"Fellow")</f>
        <v>Fellow</v>
      </c>
      <c r="D422" s="27" t="str">
        <f ca="1">IFERROR(__xludf.DUMMYFUNCTION("""COMPUTED_VALUE"""),"Ativo")</f>
        <v>Ativo</v>
      </c>
      <c r="E422" s="27" t="str">
        <f ca="1">IFERROR(__xludf.DUMMYFUNCTION("""COMPUTED_VALUE"""),"Instituto S.O.S Periferia")</f>
        <v>Instituto S.O.S Periferia</v>
      </c>
      <c r="F422" s="21" t="str">
        <f ca="1">IFERROR(VLOOKUP(A422,'Rede - Gerando Falcões '!A421:G1417,38,0),"")</f>
        <v/>
      </c>
      <c r="G422" s="27" t="str">
        <f ca="1">IFERROR(VLOOKUP(A422,'Tabela Categorização'!A:J,10,0),"")</f>
        <v>Fase Inicial</v>
      </c>
      <c r="H422" s="27" t="b">
        <f t="shared" ca="1" si="1"/>
        <v>1</v>
      </c>
      <c r="I422" s="21" t="str">
        <f>HYPERLINK("https://gerandofalcoes.my.salesforce.com/0034X0000380O5rQAE", "0034X0000380O5rQAE")</f>
        <v>0034X0000380O5rQAE</v>
      </c>
      <c r="J422" s="9" t="s">
        <v>17881</v>
      </c>
      <c r="K422" s="38" t="s">
        <v>17882</v>
      </c>
    </row>
    <row r="423" spans="1:11" ht="12.5" x14ac:dyDescent="0.25">
      <c r="A423" s="21" t="str">
        <f ca="1">IFERROR(__xludf.DUMMYFUNCTION("""COMPUTED_VALUE"""),"0014X00002VKCv4QAH")</f>
        <v>0014X00002VKCv4QAH</v>
      </c>
      <c r="B423" s="27" t="str">
        <f ca="1">IFERROR(__xludf.DUMMYFUNCTION("""COMPUTED_VALUE"""),"Fase Inicial")</f>
        <v>Fase Inicial</v>
      </c>
      <c r="C423" s="27" t="str">
        <f ca="1">IFERROR(__xludf.DUMMYFUNCTION("""COMPUTED_VALUE"""),"Fellow")</f>
        <v>Fellow</v>
      </c>
      <c r="D423" s="27" t="str">
        <f ca="1">IFERROR(__xludf.DUMMYFUNCTION("""COMPUTED_VALUE"""),"Ativo")</f>
        <v>Ativo</v>
      </c>
      <c r="E423" s="27" t="str">
        <f ca="1">IFERROR(__xludf.DUMMYFUNCTION("""COMPUTED_VALUE"""),"Instituto Saint Nicholas CARE")</f>
        <v>Instituto Saint Nicholas CARE</v>
      </c>
      <c r="F423" s="21" t="str">
        <f ca="1">IFERROR(VLOOKUP(A423,'Rede - Gerando Falcões '!A422:G1418,38,0),"")</f>
        <v/>
      </c>
      <c r="G423" s="27" t="str">
        <f ca="1">IFERROR(VLOOKUP(A423,'Tabela Categorização'!A:J,10,0),"")</f>
        <v>Fase Inicial</v>
      </c>
      <c r="H423" s="27" t="b">
        <f t="shared" ca="1" si="1"/>
        <v>1</v>
      </c>
      <c r="I423" s="21" t="str">
        <f>HYPERLINK("https://gerandofalcoes.my.salesforce.com/0034X0000380O37QAE", "0034X0000380O37QAE")</f>
        <v>0034X0000380O37QAE</v>
      </c>
      <c r="J423" s="9" t="s">
        <v>17881</v>
      </c>
      <c r="K423" s="38" t="s">
        <v>17882</v>
      </c>
    </row>
    <row r="424" spans="1:11" ht="12.5" x14ac:dyDescent="0.25">
      <c r="A424" s="21" t="str">
        <f ca="1">IFERROR(__xludf.DUMMYFUNCTION("""COMPUTED_VALUE"""),"0014X00002VKCuJQAX")</f>
        <v>0014X00002VKCuJQAX</v>
      </c>
      <c r="B424" s="27" t="str">
        <f ca="1">IFERROR(__xludf.DUMMYFUNCTION("""COMPUTED_VALUE"""),"Fase Inicial")</f>
        <v>Fase Inicial</v>
      </c>
      <c r="C424" s="27" t="str">
        <f ca="1">IFERROR(__xludf.DUMMYFUNCTION("""COMPUTED_VALUE"""),"Fellow")</f>
        <v>Fellow</v>
      </c>
      <c r="D424" s="27" t="str">
        <f ca="1">IFERROR(__xludf.DUMMYFUNCTION("""COMPUTED_VALUE"""),"Ativo")</f>
        <v>Ativo</v>
      </c>
      <c r="E424" s="27" t="str">
        <f ca="1">IFERROR(__xludf.DUMMYFUNCTION("""COMPUTED_VALUE"""),"Instituto Semear Plantar e Transformar")</f>
        <v>Instituto Semear Plantar e Transformar</v>
      </c>
      <c r="F424" s="21" t="str">
        <f ca="1">IFERROR(VLOOKUP(A424,'Rede - Gerando Falcões '!A423:G1419,38,0),"")</f>
        <v/>
      </c>
      <c r="G424" s="27" t="str">
        <f ca="1">IFERROR(VLOOKUP(A424,'Tabela Categorização'!A:J,10,0),"")</f>
        <v>Fase Inicial</v>
      </c>
      <c r="H424" s="27" t="b">
        <f t="shared" ca="1" si="1"/>
        <v>1</v>
      </c>
      <c r="I424" s="21" t="str">
        <f>HYPERLINK("https://gerandofalcoes.my.salesforce.com/0034P000045kxkaQAA", "0034P000045kxkaQAA")</f>
        <v>0034P000045kxkaQAA</v>
      </c>
      <c r="J424" s="9" t="s">
        <v>17881</v>
      </c>
      <c r="K424" s="38" t="s">
        <v>17882</v>
      </c>
    </row>
    <row r="425" spans="1:11" ht="12.5" x14ac:dyDescent="0.25">
      <c r="A425" s="21" t="str">
        <f ca="1">IFERROR(__xludf.DUMMYFUNCTION("""COMPUTED_VALUE"""),"0014P00003YSp9yQAD")</f>
        <v>0014P00003YSp9yQAD</v>
      </c>
      <c r="B425" s="27" t="str">
        <f ca="1">IFERROR(__xludf.DUMMYFUNCTION("""COMPUTED_VALUE"""),"Fase Estruturação")</f>
        <v>Fase Estruturação</v>
      </c>
      <c r="C425" s="27" t="str">
        <f ca="1">IFERROR(__xludf.DUMMYFUNCTION("""COMPUTED_VALUE"""),"Fellow")</f>
        <v>Fellow</v>
      </c>
      <c r="D425" s="27" t="str">
        <f ca="1">IFERROR(__xludf.DUMMYFUNCTION("""COMPUTED_VALUE"""),"Ativo")</f>
        <v>Ativo</v>
      </c>
      <c r="E425" s="27" t="str">
        <f ca="1">IFERROR(__xludf.DUMMYFUNCTION("""COMPUTED_VALUE"""),"INSTITUTO SEMENTINHA PARA EDUCAÇÃO E PROTEÇÃO A CRIANÇA E AO ADOLESCENTE")</f>
        <v>INSTITUTO SEMENTINHA PARA EDUCAÇÃO E PROTEÇÃO A CRIANÇA E AO ADOLESCENTE</v>
      </c>
      <c r="F425" s="21" t="str">
        <f ca="1">IFERROR(VLOOKUP(A425,'Rede - Gerando Falcões '!A424:G1420,38,0),"")</f>
        <v/>
      </c>
      <c r="G425" s="27" t="str">
        <f ca="1">IFERROR(VLOOKUP(A425,'Tabela Categorização'!A:J,10,0),"")</f>
        <v>Fase Estruturação</v>
      </c>
      <c r="H425" s="27" t="b">
        <f t="shared" ca="1" si="1"/>
        <v>1</v>
      </c>
      <c r="I425" s="21" t="str">
        <f>HYPERLINK("https://gerandofalcoes.my.salesforce.com/0034X0000380O4ZQAU", "0034X0000380O4ZQAU")</f>
        <v>0034X0000380O4ZQAU</v>
      </c>
      <c r="J425" s="9" t="s">
        <v>17881</v>
      </c>
      <c r="K425" s="38" t="s">
        <v>17882</v>
      </c>
    </row>
    <row r="426" spans="1:11" ht="12.5" x14ac:dyDescent="0.25">
      <c r="A426" s="21" t="str">
        <f ca="1">IFERROR(__xludf.DUMMYFUNCTION("""COMPUTED_VALUE"""),"0014X00002VKCuPQAX")</f>
        <v>0014X00002VKCuPQAX</v>
      </c>
      <c r="B426" s="27" t="str">
        <f ca="1">IFERROR(__xludf.DUMMYFUNCTION("""COMPUTED_VALUE"""),"Fase Inicial")</f>
        <v>Fase Inicial</v>
      </c>
      <c r="C426" s="27" t="str">
        <f ca="1">IFERROR(__xludf.DUMMYFUNCTION("""COMPUTED_VALUE"""),"Fellow")</f>
        <v>Fellow</v>
      </c>
      <c r="D426" s="27" t="str">
        <f ca="1">IFERROR(__xludf.DUMMYFUNCTION("""COMPUTED_VALUE"""),"Ativo")</f>
        <v>Ativo</v>
      </c>
      <c r="E426" s="27" t="str">
        <f ca="1">IFERROR(__xludf.DUMMYFUNCTION("""COMPUTED_VALUE"""),"Instituto Silveira Marques")</f>
        <v>Instituto Silveira Marques</v>
      </c>
      <c r="F426" s="21" t="str">
        <f ca="1">IFERROR(VLOOKUP(A426,'Rede - Gerando Falcões '!A425:G1421,38,0),"")</f>
        <v/>
      </c>
      <c r="G426" s="27" t="str">
        <f ca="1">IFERROR(VLOOKUP(A426,'Tabela Categorização'!A:J,10,0),"")</f>
        <v>Fase Inicial</v>
      </c>
      <c r="H426" s="27" t="b">
        <f t="shared" ca="1" si="1"/>
        <v>1</v>
      </c>
      <c r="I426" s="21" t="str">
        <f>HYPERLINK("https://gerandofalcoes.my.salesforce.com/0034X0000380O21QAE", "0034X0000380O21QAE")</f>
        <v>0034X0000380O21QAE</v>
      </c>
      <c r="J426" s="9" t="s">
        <v>17881</v>
      </c>
      <c r="K426" s="38" t="s">
        <v>17882</v>
      </c>
    </row>
    <row r="427" spans="1:11" ht="12.5" x14ac:dyDescent="0.25">
      <c r="A427" s="21" t="str">
        <f ca="1">IFERROR(__xludf.DUMMYFUNCTION("""COMPUTED_VALUE"""),"0014X00002VKCpFQAX")</f>
        <v>0014X00002VKCpFQAX</v>
      </c>
      <c r="B427" s="27" t="str">
        <f ca="1">IFERROR(__xludf.DUMMYFUNCTION("""COMPUTED_VALUE"""),"Fase Inicial")</f>
        <v>Fase Inicial</v>
      </c>
      <c r="C427" s="27" t="str">
        <f ca="1">IFERROR(__xludf.DUMMYFUNCTION("""COMPUTED_VALUE"""),"Fellow")</f>
        <v>Fellow</v>
      </c>
      <c r="D427" s="27" t="str">
        <f ca="1">IFERROR(__xludf.DUMMYFUNCTION("""COMPUTED_VALUE"""),"Ativo")</f>
        <v>Ativo</v>
      </c>
      <c r="E427" s="27" t="str">
        <f ca="1">IFERROR(__xludf.DUMMYFUNCTION("""COMPUTED_VALUE"""),"INSTITUTO SÓ ALEGRIA")</f>
        <v>INSTITUTO SÓ ALEGRIA</v>
      </c>
      <c r="F427" s="21" t="str">
        <f ca="1">IFERROR(VLOOKUP(A427,'Rede - Gerando Falcões '!A426:G1422,38,0),"")</f>
        <v/>
      </c>
      <c r="G427" s="27" t="str">
        <f ca="1">IFERROR(VLOOKUP(A427,'Tabela Categorização'!A:J,10,0),"")</f>
        <v>Fase Inicial</v>
      </c>
      <c r="H427" s="27" t="b">
        <f t="shared" ca="1" si="1"/>
        <v>1</v>
      </c>
      <c r="I427" s="21" t="str">
        <f>HYPERLINK("https://gerandofalcoes.my.salesforce.com/0034P000043fOnyQAE", "0034P000043fOnyQAE")</f>
        <v>0034P000043fOnyQAE</v>
      </c>
      <c r="J427" s="9" t="s">
        <v>17881</v>
      </c>
      <c r="K427" s="38" t="s">
        <v>17882</v>
      </c>
    </row>
    <row r="428" spans="1:11" ht="12.5" x14ac:dyDescent="0.25">
      <c r="A428" s="21" t="str">
        <f ca="1">IFERROR(__xludf.DUMMYFUNCTION("""COMPUTED_VALUE"""),"0014P00003SGWPvQAP")</f>
        <v>0014P00003SGWPvQAP</v>
      </c>
      <c r="B428" s="27" t="str">
        <f ca="1">IFERROR(__xludf.DUMMYFUNCTION("""COMPUTED_VALUE"""),"Fase Inicial")</f>
        <v>Fase Inicial</v>
      </c>
      <c r="C428" s="27" t="str">
        <f ca="1">IFERROR(__xludf.DUMMYFUNCTION("""COMPUTED_VALUE"""),"Fellow")</f>
        <v>Fellow</v>
      </c>
      <c r="D428" s="27" t="str">
        <f ca="1">IFERROR(__xludf.DUMMYFUNCTION("""COMPUTED_VALUE"""),"Ativo")</f>
        <v>Ativo</v>
      </c>
      <c r="E428" s="27" t="str">
        <f ca="1">IFERROR(__xludf.DUMMYFUNCTION("""COMPUTED_VALUE"""),"INSTITUTO SOCIAL CORRENTE DO AMOR")</f>
        <v>INSTITUTO SOCIAL CORRENTE DO AMOR</v>
      </c>
      <c r="F428" s="21" t="str">
        <f ca="1">IFERROR(VLOOKUP(A428,'Rede - Gerando Falcões '!A427:G1423,38,0),"")</f>
        <v/>
      </c>
      <c r="G428" s="27" t="str">
        <f ca="1">IFERROR(VLOOKUP(A428,'Tabela Categorização'!A:J,10,0),"")</f>
        <v>Fase Inicial</v>
      </c>
      <c r="H428" s="27" t="b">
        <f t="shared" ca="1" si="1"/>
        <v>1</v>
      </c>
      <c r="I428" s="21" t="str">
        <f>HYPERLINK("https://gerandofalcoes.my.salesforce.com/0034X0000380O1LQAU", "0034X0000380O1LQAU")</f>
        <v>0034X0000380O1LQAU</v>
      </c>
      <c r="J428" s="9" t="s">
        <v>17881</v>
      </c>
      <c r="K428" s="38" t="s">
        <v>17882</v>
      </c>
    </row>
    <row r="429" spans="1:11" ht="12.5" x14ac:dyDescent="0.25">
      <c r="A429" s="21" t="str">
        <f ca="1">IFERROR(__xludf.DUMMYFUNCTION("""COMPUTED_VALUE"""),"0014X00002VKCq6QAH")</f>
        <v>0014X00002VKCq6QAH</v>
      </c>
      <c r="B429" s="27" t="str">
        <f ca="1">IFERROR(__xludf.DUMMYFUNCTION("""COMPUTED_VALUE"""),"Fase Inicial")</f>
        <v>Fase Inicial</v>
      </c>
      <c r="C429" s="27" t="str">
        <f ca="1">IFERROR(__xludf.DUMMYFUNCTION("""COMPUTED_VALUE"""),"Fellow")</f>
        <v>Fellow</v>
      </c>
      <c r="D429" s="27" t="str">
        <f ca="1">IFERROR(__xludf.DUMMYFUNCTION("""COMPUTED_VALUE"""),"Ativo")</f>
        <v>Ativo</v>
      </c>
      <c r="E429" s="27" t="str">
        <f ca="1">IFERROR(__xludf.DUMMYFUNCTION("""COMPUTED_VALUE"""),"Instituto Social Cultural de Apoio à Vida Padre Alcides Tres")</f>
        <v>Instituto Social Cultural de Apoio à Vida Padre Alcides Tres</v>
      </c>
      <c r="F429" s="21" t="str">
        <f ca="1">IFERROR(VLOOKUP(A429,'Rede - Gerando Falcões '!A428:G1424,38,0),"")</f>
        <v/>
      </c>
      <c r="G429" s="27" t="str">
        <f ca="1">IFERROR(VLOOKUP(A429,'Tabela Categorização'!A:J,10,0),"")</f>
        <v>Fase Inicial</v>
      </c>
      <c r="H429" s="27" t="b">
        <f t="shared" ca="1" si="1"/>
        <v>1</v>
      </c>
      <c r="I429" s="21" t="str">
        <f>HYPERLINK("https://gerandofalcoes.my.salesforce.com/0034X0000380O1DQAU", "0034X0000380O1DQAU")</f>
        <v>0034X0000380O1DQAU</v>
      </c>
      <c r="J429" s="9" t="s">
        <v>17881</v>
      </c>
      <c r="K429" s="38" t="s">
        <v>17882</v>
      </c>
    </row>
    <row r="430" spans="1:11" ht="12.5" x14ac:dyDescent="0.25">
      <c r="A430" s="21" t="str">
        <f ca="1">IFERROR(__xludf.DUMMYFUNCTION("""COMPUTED_VALUE"""),"0014X00002VKCqhQAH")</f>
        <v>0014X00002VKCqhQAH</v>
      </c>
      <c r="B430" s="27" t="str">
        <f ca="1">IFERROR(__xludf.DUMMYFUNCTION("""COMPUTED_VALUE"""),"Fase Inicial")</f>
        <v>Fase Inicial</v>
      </c>
      <c r="C430" s="27" t="str">
        <f ca="1">IFERROR(__xludf.DUMMYFUNCTION("""COMPUTED_VALUE"""),"Fellow")</f>
        <v>Fellow</v>
      </c>
      <c r="D430" s="27" t="str">
        <f ca="1">IFERROR(__xludf.DUMMYFUNCTION("""COMPUTED_VALUE"""),"Ativo")</f>
        <v>Ativo</v>
      </c>
      <c r="E430" s="27" t="str">
        <f ca="1">IFERROR(__xludf.DUMMYFUNCTION("""COMPUTED_VALUE"""),"INSTITUTO SOCIAL DE ASSISTÊNCIA COMUNITÁRIA MÃO AMIGA")</f>
        <v>INSTITUTO SOCIAL DE ASSISTÊNCIA COMUNITÁRIA MÃO AMIGA</v>
      </c>
      <c r="F430" s="21" t="str">
        <f ca="1">IFERROR(VLOOKUP(A430,'Rede - Gerando Falcões '!A429:G1425,38,0),"")</f>
        <v/>
      </c>
      <c r="G430" s="27" t="str">
        <f ca="1">IFERROR(VLOOKUP(A430,'Tabela Categorização'!A:J,10,0),"")</f>
        <v>Fase Inicial</v>
      </c>
      <c r="H430" s="27" t="b">
        <f t="shared" ca="1" si="1"/>
        <v>1</v>
      </c>
      <c r="I430" s="21" t="str">
        <f>HYPERLINK("https://gerandofalcoes.my.salesforce.com/0034X0000380O55QAE", "0034X0000380O55QAE")</f>
        <v>0034X0000380O55QAE</v>
      </c>
      <c r="J430" s="9" t="s">
        <v>17881</v>
      </c>
      <c r="K430" s="38" t="s">
        <v>17882</v>
      </c>
    </row>
    <row r="431" spans="1:11" ht="12.5" x14ac:dyDescent="0.25">
      <c r="A431" s="21" t="str">
        <f ca="1">IFERROR(__xludf.DUMMYFUNCTION("""COMPUTED_VALUE"""),"0014X00002VKCptQAH")</f>
        <v>0014X00002VKCptQAH</v>
      </c>
      <c r="B431" s="27" t="str">
        <f ca="1">IFERROR(__xludf.DUMMYFUNCTION("""COMPUTED_VALUE"""),"Fase Inicial")</f>
        <v>Fase Inicial</v>
      </c>
      <c r="C431" s="27" t="str">
        <f ca="1">IFERROR(__xludf.DUMMYFUNCTION("""COMPUTED_VALUE"""),"Fellow")</f>
        <v>Fellow</v>
      </c>
      <c r="D431" s="27" t="str">
        <f ca="1">IFERROR(__xludf.DUMMYFUNCTION("""COMPUTED_VALUE"""),"Ativo")</f>
        <v>Ativo</v>
      </c>
      <c r="E431" s="27" t="str">
        <f ca="1">IFERROR(__xludf.DUMMYFUNCTION("""COMPUTED_VALUE"""),"Instituto Social De Todo Coração")</f>
        <v>Instituto Social De Todo Coração</v>
      </c>
      <c r="F431" s="21" t="str">
        <f ca="1">IFERROR(VLOOKUP(A431,'Rede - Gerando Falcões '!A430:G1426,38,0),"")</f>
        <v/>
      </c>
      <c r="G431" s="27" t="str">
        <f ca="1">IFERROR(VLOOKUP(A431,'Tabela Categorização'!A:J,10,0),"")</f>
        <v>Fase Inicial</v>
      </c>
      <c r="H431" s="27" t="b">
        <f t="shared" ca="1" si="1"/>
        <v>1</v>
      </c>
      <c r="I431" s="21" t="str">
        <f>HYPERLINK("https://gerandofalcoes.my.salesforce.com/0034X0000380O1rQAE", "0034X0000380O1rQAE")</f>
        <v>0034X0000380O1rQAE</v>
      </c>
      <c r="J431" s="9" t="s">
        <v>17881</v>
      </c>
      <c r="K431" s="38" t="s">
        <v>17882</v>
      </c>
    </row>
    <row r="432" spans="1:11" ht="12.5" x14ac:dyDescent="0.25">
      <c r="A432" s="21" t="str">
        <f ca="1">IFERROR(__xludf.DUMMYFUNCTION("""COMPUTED_VALUE"""),"0014X00002VKCv6QAH")</f>
        <v>0014X00002VKCv6QAH</v>
      </c>
      <c r="B432" s="27" t="str">
        <f ca="1">IFERROR(__xludf.DUMMYFUNCTION("""COMPUTED_VALUE"""),"Fase Inicial")</f>
        <v>Fase Inicial</v>
      </c>
      <c r="C432" s="27" t="str">
        <f ca="1">IFERROR(__xludf.DUMMYFUNCTION("""COMPUTED_VALUE"""),"Fellow")</f>
        <v>Fellow</v>
      </c>
      <c r="D432" s="27" t="str">
        <f ca="1">IFERROR(__xludf.DUMMYFUNCTION("""COMPUTED_VALUE"""),"Ativo")</f>
        <v>Ativo</v>
      </c>
      <c r="E432" s="27" t="str">
        <f ca="1">IFERROR(__xludf.DUMMYFUNCTION("""COMPUTED_VALUE"""),"Instituto Social Novo Olhar")</f>
        <v>Instituto Social Novo Olhar</v>
      </c>
      <c r="F432" s="21" t="str">
        <f ca="1">IFERROR(VLOOKUP(A432,'Rede - Gerando Falcões '!A431:G1427,38,0),"")</f>
        <v/>
      </c>
      <c r="G432" s="27" t="str">
        <f ca="1">IFERROR(VLOOKUP(A432,'Tabela Categorização'!A:J,10,0),"")</f>
        <v>Fase Inicial</v>
      </c>
      <c r="H432" s="27" t="b">
        <f t="shared" ca="1" si="1"/>
        <v>1</v>
      </c>
      <c r="I432" s="21" t="str">
        <f>HYPERLINK("https://gerandofalcoes.my.salesforce.com/0034X0000380O5LQAU", "0034X0000380O5LQAU")</f>
        <v>0034X0000380O5LQAU</v>
      </c>
      <c r="J432" s="9" t="s">
        <v>17881</v>
      </c>
      <c r="K432" s="38" t="s">
        <v>17882</v>
      </c>
    </row>
    <row r="433" spans="1:11" ht="12.5" x14ac:dyDescent="0.25">
      <c r="A433" s="21" t="str">
        <f ca="1">IFERROR(__xludf.DUMMYFUNCTION("""COMPUTED_VALUE"""),"0014X00002VKCqbQAH")</f>
        <v>0014X00002VKCqbQAH</v>
      </c>
      <c r="B433" s="27" t="str">
        <f ca="1">IFERROR(__xludf.DUMMYFUNCTION("""COMPUTED_VALUE"""),"Fase Inicial")</f>
        <v>Fase Inicial</v>
      </c>
      <c r="C433" s="27" t="str">
        <f ca="1">IFERROR(__xludf.DUMMYFUNCTION("""COMPUTED_VALUE"""),"Fellow")</f>
        <v>Fellow</v>
      </c>
      <c r="D433" s="27" t="str">
        <f ca="1">IFERROR(__xludf.DUMMYFUNCTION("""COMPUTED_VALUE"""),"Ativo")</f>
        <v>Ativo</v>
      </c>
      <c r="E433" s="27" t="str">
        <f ca="1">IFERROR(__xludf.DUMMYFUNCTION("""COMPUTED_VALUE"""),"INSTITUTO Socioambiental das vertentes")</f>
        <v>INSTITUTO Socioambiental das vertentes</v>
      </c>
      <c r="F433" s="21" t="str">
        <f ca="1">IFERROR(VLOOKUP(A433,'Rede - Gerando Falcões '!A432:G1428,38,0),"")</f>
        <v/>
      </c>
      <c r="G433" s="27" t="str">
        <f ca="1">IFERROR(VLOOKUP(A433,'Tabela Categorização'!A:J,10,0),"")</f>
        <v>Fase Inicial</v>
      </c>
      <c r="H433" s="27" t="b">
        <f t="shared" ca="1" si="1"/>
        <v>1</v>
      </c>
      <c r="I433" s="21" t="str">
        <f>HYPERLINK("https://gerandofalcoes.my.salesforce.com/0034X0000380O0qQAE", "0034X0000380O0qQAE")</f>
        <v>0034X0000380O0qQAE</v>
      </c>
      <c r="J433" s="9" t="s">
        <v>17881</v>
      </c>
      <c r="K433" s="38" t="s">
        <v>17882</v>
      </c>
    </row>
    <row r="434" spans="1:11" ht="12.5" x14ac:dyDescent="0.25">
      <c r="A434" s="21" t="str">
        <f ca="1">IFERROR(__xludf.DUMMYFUNCTION("""COMPUTED_VALUE"""),"0014X00002VKCuAQAX")</f>
        <v>0014X00002VKCuAQAX</v>
      </c>
      <c r="B434" s="27" t="str">
        <f ca="1">IFERROR(__xludf.DUMMYFUNCTION("""COMPUTED_VALUE"""),"Fase Inicial")</f>
        <v>Fase Inicial</v>
      </c>
      <c r="C434" s="27" t="str">
        <f ca="1">IFERROR(__xludf.DUMMYFUNCTION("""COMPUTED_VALUE"""),"Fellow")</f>
        <v>Fellow</v>
      </c>
      <c r="D434" s="27" t="str">
        <f ca="1">IFERROR(__xludf.DUMMYFUNCTION("""COMPUTED_VALUE"""),"Ativo")</f>
        <v>Ativo</v>
      </c>
      <c r="E434" s="27" t="str">
        <f ca="1">IFERROR(__xludf.DUMMYFUNCTION("""COMPUTED_VALUE"""),"Instituto Somos Ágape")</f>
        <v>Instituto Somos Ágape</v>
      </c>
      <c r="F434" s="21" t="str">
        <f ca="1">IFERROR(VLOOKUP(A434,'Rede - Gerando Falcões '!A433:G1429,38,0),"")</f>
        <v/>
      </c>
      <c r="G434" s="27" t="str">
        <f ca="1">IFERROR(VLOOKUP(A434,'Tabela Categorização'!A:J,10,0),"")</f>
        <v>Fase Inicial</v>
      </c>
      <c r="H434" s="27" t="b">
        <f t="shared" ca="1" si="1"/>
        <v>1</v>
      </c>
      <c r="I434" s="21" t="str">
        <f>HYPERLINK("https://gerandofalcoes.my.salesforce.com/0034P00003maBVJQA2", "0034P00003maBVJQA2")</f>
        <v>0034P00003maBVJQA2</v>
      </c>
      <c r="J434" s="9" t="s">
        <v>17881</v>
      </c>
      <c r="K434" s="38" t="s">
        <v>17882</v>
      </c>
    </row>
    <row r="435" spans="1:11" ht="12.5" x14ac:dyDescent="0.25">
      <c r="A435" s="21" t="str">
        <f ca="1">IFERROR(__xludf.DUMMYFUNCTION("""COMPUTED_VALUE"""),"0014P00003AN2FsQAL")</f>
        <v>0014P00003AN2FsQAL</v>
      </c>
      <c r="B435" s="27" t="str">
        <f ca="1">IFERROR(__xludf.DUMMYFUNCTION("""COMPUTED_VALUE"""),"Fase Estruturação")</f>
        <v>Fase Estruturação</v>
      </c>
      <c r="C435" s="27" t="str">
        <f ca="1">IFERROR(__xludf.DUMMYFUNCTION("""COMPUTED_VALUE"""),"Acelerada")</f>
        <v>Acelerada</v>
      </c>
      <c r="D435" s="27" t="str">
        <f ca="1">IFERROR(__xludf.DUMMYFUNCTION("""COMPUTED_VALUE"""),"Ativo")</f>
        <v>Ativo</v>
      </c>
      <c r="E435" s="27" t="str">
        <f ca="1">IFERROR(__xludf.DUMMYFUNCTION("""COMPUTED_VALUE"""),"Instituto Sonhar Alto")</f>
        <v>Instituto Sonhar Alto</v>
      </c>
      <c r="F435" s="21" t="str">
        <f ca="1">IFERROR(VLOOKUP(A435,'Rede - Gerando Falcões '!A434:G1430,38,0),"")</f>
        <v/>
      </c>
      <c r="G435" s="27" t="str">
        <f ca="1">IFERROR(VLOOKUP(A435,'Tabela Categorização'!A:J,10,0),"")</f>
        <v>Fase Estruturação</v>
      </c>
      <c r="H435" s="27" t="b">
        <f t="shared" ca="1" si="1"/>
        <v>1</v>
      </c>
      <c r="I435" s="21" t="str">
        <f>HYPERLINK("https://gerandofalcoes.my.salesforce.com/0034P00003u8pO7QAI", "0034P00003u8pO7QAI")</f>
        <v>0034P00003u8pO7QAI</v>
      </c>
      <c r="J435" s="9" t="s">
        <v>17881</v>
      </c>
      <c r="K435" s="38" t="s">
        <v>17882</v>
      </c>
    </row>
    <row r="436" spans="1:11" ht="12.5" x14ac:dyDescent="0.25">
      <c r="A436" s="21" t="str">
        <f ca="1">IFERROR(__xludf.DUMMYFUNCTION("""COMPUTED_VALUE"""),"0014P00003ESKdlQAH")</f>
        <v>0014P00003ESKdlQAH</v>
      </c>
      <c r="B436" s="27" t="str">
        <f ca="1">IFERROR(__xludf.DUMMYFUNCTION("""COMPUTED_VALUE"""),"Fase Estruturação")</f>
        <v>Fase Estruturação</v>
      </c>
      <c r="C436" s="27" t="str">
        <f ca="1">IFERROR(__xludf.DUMMYFUNCTION("""COMPUTED_VALUE"""),"Fellow")</f>
        <v>Fellow</v>
      </c>
      <c r="D436" s="27" t="str">
        <f ca="1">IFERROR(__xludf.DUMMYFUNCTION("""COMPUTED_VALUE"""),"Ativo")</f>
        <v>Ativo</v>
      </c>
      <c r="E436" s="27" t="str">
        <f ca="1">IFERROR(__xludf.DUMMYFUNCTION("""COMPUTED_VALUE"""),"Instituto Sonhe")</f>
        <v>Instituto Sonhe</v>
      </c>
      <c r="F436" s="21" t="str">
        <f ca="1">IFERROR(VLOOKUP(A436,'Rede - Gerando Falcões '!A435:G1431,38,0),"")</f>
        <v/>
      </c>
      <c r="G436" s="27" t="str">
        <f ca="1">IFERROR(VLOOKUP(A436,'Tabela Categorização'!A:J,10,0),"")</f>
        <v>Fase Estruturação</v>
      </c>
      <c r="H436" s="27" t="b">
        <f t="shared" ca="1" si="1"/>
        <v>1</v>
      </c>
      <c r="I436" s="21" t="str">
        <f>HYPERLINK("https://gerandofalcoes.my.salesforce.com/0034P00003maBVhQAM", "0034P00003maBVhQAM")</f>
        <v>0034P00003maBVhQAM</v>
      </c>
      <c r="J436" s="9" t="s">
        <v>17881</v>
      </c>
      <c r="K436" s="38" t="s">
        <v>17882</v>
      </c>
    </row>
    <row r="437" spans="1:11" ht="12.5" x14ac:dyDescent="0.25">
      <c r="A437" s="21" t="str">
        <f ca="1">IFERROR(__xludf.DUMMYFUNCTION("""COMPUTED_VALUE"""),"0014P00003AN2GDQA1")</f>
        <v>0014P00003AN2GDQA1</v>
      </c>
      <c r="B437" s="27" t="str">
        <f ca="1">IFERROR(__xludf.DUMMYFUNCTION("""COMPUTED_VALUE"""),"Fase Inicial")</f>
        <v>Fase Inicial</v>
      </c>
      <c r="C437" s="27" t="str">
        <f ca="1">IFERROR(__xludf.DUMMYFUNCTION("""COMPUTED_VALUE"""),"Acelerada")</f>
        <v>Acelerada</v>
      </c>
      <c r="D437" s="27" t="str">
        <f ca="1">IFERROR(__xludf.DUMMYFUNCTION("""COMPUTED_VALUE"""),"Ativo")</f>
        <v>Ativo</v>
      </c>
      <c r="E437" s="27" t="str">
        <f ca="1">IFERROR(__xludf.DUMMYFUNCTION("""COMPUTED_VALUE"""),"Instituto SOS Reviver")</f>
        <v>Instituto SOS Reviver</v>
      </c>
      <c r="F437" s="21" t="str">
        <f ca="1">IFERROR(VLOOKUP(A437,'Rede - Gerando Falcões '!A436:G1432,38,0),"")</f>
        <v/>
      </c>
      <c r="G437" s="27" t="str">
        <f ca="1">IFERROR(VLOOKUP(A437,'Tabela Categorização'!A:J,10,0),"")</f>
        <v>Fase Inicial</v>
      </c>
      <c r="H437" s="27" t="b">
        <f t="shared" ca="1" si="1"/>
        <v>1</v>
      </c>
      <c r="I437" s="21" t="str">
        <f>HYPERLINK("https://gerandofalcoes.my.salesforce.com/0034X0000380O5WQAU", "0034X0000380O5WQAU")</f>
        <v>0034X0000380O5WQAU</v>
      </c>
      <c r="J437" s="9" t="s">
        <v>17881</v>
      </c>
      <c r="K437" s="38" t="s">
        <v>17882</v>
      </c>
    </row>
    <row r="438" spans="1:11" ht="12.5" x14ac:dyDescent="0.25">
      <c r="A438" s="21" t="str">
        <f ca="1">IFERROR(__xludf.DUMMYFUNCTION("""COMPUTED_VALUE"""),"0014X00002VKCuKQAX")</f>
        <v>0014X00002VKCuKQAX</v>
      </c>
      <c r="B438" s="27" t="str">
        <f ca="1">IFERROR(__xludf.DUMMYFUNCTION("""COMPUTED_VALUE"""),"Fase Inicial")</f>
        <v>Fase Inicial</v>
      </c>
      <c r="C438" s="27" t="str">
        <f ca="1">IFERROR(__xludf.DUMMYFUNCTION("""COMPUTED_VALUE"""),"Fellow")</f>
        <v>Fellow</v>
      </c>
      <c r="D438" s="27" t="str">
        <f ca="1">IFERROR(__xludf.DUMMYFUNCTION("""COMPUTED_VALUE"""),"Ativo")</f>
        <v>Ativo</v>
      </c>
      <c r="E438" s="27" t="str">
        <f ca="1">IFERROR(__xludf.DUMMYFUNCTION("""COMPUTED_VALUE"""),"Instituto Sublim")</f>
        <v>Instituto Sublim</v>
      </c>
      <c r="F438" s="21" t="str">
        <f ca="1">IFERROR(VLOOKUP(A438,'Rede - Gerando Falcões '!A437:G1433,38,0),"")</f>
        <v/>
      </c>
      <c r="G438" s="27" t="str">
        <f ca="1">IFERROR(VLOOKUP(A438,'Tabela Categorização'!A:J,10,0),"")</f>
        <v>Fase Inicial</v>
      </c>
      <c r="H438" s="27" t="b">
        <f t="shared" ca="1" si="1"/>
        <v>1</v>
      </c>
      <c r="I438" s="21" t="str">
        <f>HYPERLINK("https://gerandofalcoes.my.salesforce.com/0034P000045kxiJQAQ", "0034P000045kxiJQAQ")</f>
        <v>0034P000045kxiJQAQ</v>
      </c>
      <c r="J438" s="9" t="s">
        <v>17881</v>
      </c>
      <c r="K438" s="38" t="s">
        <v>17882</v>
      </c>
    </row>
    <row r="439" spans="1:11" ht="12.5" x14ac:dyDescent="0.25">
      <c r="A439" s="21" t="str">
        <f ca="1">IFERROR(__xludf.DUMMYFUNCTION("""COMPUTED_VALUE"""),"0014P00003YSp7iQAD")</f>
        <v>0014P00003YSp7iQAD</v>
      </c>
      <c r="B439" s="27" t="str">
        <f ca="1">IFERROR(__xludf.DUMMYFUNCTION("""COMPUTED_VALUE"""),"Fase Inicial")</f>
        <v>Fase Inicial</v>
      </c>
      <c r="C439" s="27" t="str">
        <f ca="1">IFERROR(__xludf.DUMMYFUNCTION("""COMPUTED_VALUE"""),"Fellow")</f>
        <v>Fellow</v>
      </c>
      <c r="D439" s="27" t="str">
        <f ca="1">IFERROR(__xludf.DUMMYFUNCTION("""COMPUTED_VALUE"""),"Ativo")</f>
        <v>Ativo</v>
      </c>
      <c r="E439" s="27" t="str">
        <f ca="1">IFERROR(__xludf.DUMMYFUNCTION("""COMPUTED_VALUE"""),"INSTITUTO TCHIBUM")</f>
        <v>INSTITUTO TCHIBUM</v>
      </c>
      <c r="F439" s="21" t="str">
        <f ca="1">IFERROR(VLOOKUP(A439,'Rede - Gerando Falcões '!A438:G1434,38,0),"")</f>
        <v/>
      </c>
      <c r="G439" s="27" t="str">
        <f ca="1">IFERROR(VLOOKUP(A439,'Tabela Categorização'!A:J,10,0),"")</f>
        <v>Fase Inicial</v>
      </c>
      <c r="H439" s="27" t="b">
        <f t="shared" ca="1" si="1"/>
        <v>1</v>
      </c>
      <c r="I439" s="21" t="str">
        <f>HYPERLINK("https://gerandofalcoes.my.salesforce.com/0034X0000380O26QAE", "0034X0000380O26QAE")</f>
        <v>0034X0000380O26QAE</v>
      </c>
      <c r="J439" s="9" t="s">
        <v>17881</v>
      </c>
      <c r="K439" s="38" t="s">
        <v>17882</v>
      </c>
    </row>
    <row r="440" spans="1:11" ht="12.5" x14ac:dyDescent="0.25">
      <c r="A440" s="21" t="str">
        <f ca="1">IFERROR(__xludf.DUMMYFUNCTION("""COMPUTED_VALUE"""),"0014X00002VKCuhQAH")</f>
        <v>0014X00002VKCuhQAH</v>
      </c>
      <c r="B440" s="27" t="str">
        <f ca="1">IFERROR(__xludf.DUMMYFUNCTION("""COMPUTED_VALUE"""),"Fase Inicial")</f>
        <v>Fase Inicial</v>
      </c>
      <c r="C440" s="27" t="str">
        <f ca="1">IFERROR(__xludf.DUMMYFUNCTION("""COMPUTED_VALUE"""),"Fellow")</f>
        <v>Fellow</v>
      </c>
      <c r="D440" s="27" t="str">
        <f ca="1">IFERROR(__xludf.DUMMYFUNCTION("""COMPUTED_VALUE"""),"Ativo")</f>
        <v>Ativo</v>
      </c>
      <c r="E440" s="27" t="str">
        <f ca="1">IFERROR(__xludf.DUMMYFUNCTION("""COMPUTED_VALUE"""),"Instituto Tia Flávia")</f>
        <v>Instituto Tia Flávia</v>
      </c>
      <c r="F440" s="21" t="str">
        <f ca="1">IFERROR(VLOOKUP(A440,'Rede - Gerando Falcões '!A439:G1435,38,0),"")</f>
        <v/>
      </c>
      <c r="G440" s="27" t="str">
        <f ca="1">IFERROR(VLOOKUP(A440,'Tabela Categorização'!A:J,10,0),"")</f>
        <v>Fase Inicial</v>
      </c>
      <c r="H440" s="27" t="b">
        <f t="shared" ca="1" si="1"/>
        <v>1</v>
      </c>
      <c r="I440" s="21" t="str">
        <f>HYPERLINK("https://gerandofalcoes.my.salesforce.com/0034X0000380O52QAE", "0034X0000380O52QAE")</f>
        <v>0034X0000380O52QAE</v>
      </c>
      <c r="J440" s="9" t="s">
        <v>17881</v>
      </c>
      <c r="K440" s="38" t="s">
        <v>17882</v>
      </c>
    </row>
    <row r="441" spans="1:11" ht="12.5" x14ac:dyDescent="0.25">
      <c r="A441" s="21" t="str">
        <f ca="1">IFERROR(__xludf.DUMMYFUNCTION("""COMPUTED_VALUE"""),"0014X00002VKCpKQAX")</f>
        <v>0014X00002VKCpKQAX</v>
      </c>
      <c r="B441" s="27" t="str">
        <f ca="1">IFERROR(__xludf.DUMMYFUNCTION("""COMPUTED_VALUE"""),"Fase Inicial")</f>
        <v>Fase Inicial</v>
      </c>
      <c r="C441" s="27" t="str">
        <f ca="1">IFERROR(__xludf.DUMMYFUNCTION("""COMPUTED_VALUE"""),"Fellow")</f>
        <v>Fellow</v>
      </c>
      <c r="D441" s="27" t="str">
        <f ca="1">IFERROR(__xludf.DUMMYFUNCTION("""COMPUTED_VALUE"""),"Ativo")</f>
        <v>Ativo</v>
      </c>
      <c r="E441" s="27" t="str">
        <f ca="1">IFERROR(__xludf.DUMMYFUNCTION("""COMPUTED_VALUE"""),"Instituto Transformar")</f>
        <v>Instituto Transformar</v>
      </c>
      <c r="F441" s="21" t="str">
        <f ca="1">IFERROR(VLOOKUP(A441,'Rede - Gerando Falcões '!A440:G1436,38,0),"")</f>
        <v/>
      </c>
      <c r="G441" s="27" t="str">
        <f ca="1">IFERROR(VLOOKUP(A441,'Tabela Categorização'!A:J,10,0),"")</f>
        <v>Fase Inicial</v>
      </c>
      <c r="H441" s="27" t="b">
        <f t="shared" ca="1" si="1"/>
        <v>1</v>
      </c>
      <c r="I441" s="21" t="str">
        <f>HYPERLINK("https://gerandofalcoes.my.salesforce.com/0034P000045kxiLQAQ", "0034P000045kxiLQAQ")</f>
        <v>0034P000045kxiLQAQ</v>
      </c>
      <c r="J441" s="9" t="s">
        <v>17881</v>
      </c>
      <c r="K441" s="38" t="s">
        <v>17882</v>
      </c>
    </row>
    <row r="442" spans="1:11" ht="12.5" x14ac:dyDescent="0.25">
      <c r="A442" s="21" t="str">
        <f ca="1">IFERROR(__xludf.DUMMYFUNCTION("""COMPUTED_VALUE"""),"0014P00003YSp7kQAD")</f>
        <v>0014P00003YSp7kQAD</v>
      </c>
      <c r="B442" s="27" t="str">
        <f ca="1">IFERROR(__xludf.DUMMYFUNCTION("""COMPUTED_VALUE"""),"Fase Inicial")</f>
        <v>Fase Inicial</v>
      </c>
      <c r="C442" s="27" t="str">
        <f ca="1">IFERROR(__xludf.DUMMYFUNCTION("""COMPUTED_VALUE"""),"Fellow")</f>
        <v>Fellow</v>
      </c>
      <c r="D442" s="27" t="str">
        <f ca="1">IFERROR(__xludf.DUMMYFUNCTION("""COMPUTED_VALUE"""),"Ativo")</f>
        <v>Ativo</v>
      </c>
      <c r="E442" s="27" t="str">
        <f ca="1">IFERROR(__xludf.DUMMYFUNCTION("""COMPUTED_VALUE"""),"Instituto Transformar")</f>
        <v>Instituto Transformar</v>
      </c>
      <c r="F442" s="21" t="str">
        <f ca="1">IFERROR(VLOOKUP(A442,'Rede - Gerando Falcões '!A441:G1437,38,0),"")</f>
        <v/>
      </c>
      <c r="G442" s="27" t="str">
        <f ca="1">IFERROR(VLOOKUP(A442,'Tabela Categorização'!A:J,10,0),"")</f>
        <v>Fase Inicial</v>
      </c>
      <c r="H442" s="27" t="b">
        <f t="shared" ca="1" si="1"/>
        <v>1</v>
      </c>
      <c r="I442" s="21" t="str">
        <f>HYPERLINK("https://gerandofalcoes.my.salesforce.com/0034X0000380O1mQAE", "0034X0000380O1mQAE")</f>
        <v>0034X0000380O1mQAE</v>
      </c>
      <c r="J442" s="9" t="s">
        <v>17881</v>
      </c>
      <c r="K442" s="38" t="s">
        <v>17882</v>
      </c>
    </row>
    <row r="443" spans="1:11" ht="12.5" x14ac:dyDescent="0.25">
      <c r="A443" s="21" t="str">
        <f ca="1">IFERROR(__xludf.DUMMYFUNCTION("""COMPUTED_VALUE"""),"0014X00002VKCuTQAX")</f>
        <v>0014X00002VKCuTQAX</v>
      </c>
      <c r="B443" s="27" t="str">
        <f ca="1">IFERROR(__xludf.DUMMYFUNCTION("""COMPUTED_VALUE"""),"Fase Inicial")</f>
        <v>Fase Inicial</v>
      </c>
      <c r="C443" s="27" t="str">
        <f ca="1">IFERROR(__xludf.DUMMYFUNCTION("""COMPUTED_VALUE"""),"Fellow")</f>
        <v>Fellow</v>
      </c>
      <c r="D443" s="27" t="str">
        <f ca="1">IFERROR(__xludf.DUMMYFUNCTION("""COMPUTED_VALUE"""),"Ativo")</f>
        <v>Ativo</v>
      </c>
      <c r="E443" s="27" t="str">
        <f ca="1">IFERROR(__xludf.DUMMYFUNCTION("""COMPUTED_VALUE"""),"Instituto Usina dos Atos")</f>
        <v>Instituto Usina dos Atos</v>
      </c>
      <c r="F443" s="21" t="str">
        <f ca="1">IFERROR(VLOOKUP(A443,'Rede - Gerando Falcões '!A442:G1438,38,0),"")</f>
        <v/>
      </c>
      <c r="G443" s="27" t="str">
        <f ca="1">IFERROR(VLOOKUP(A443,'Tabela Categorização'!A:J,10,0),"")</f>
        <v>Fase Inicial</v>
      </c>
      <c r="H443" s="27" t="b">
        <f t="shared" ca="1" si="1"/>
        <v>1</v>
      </c>
      <c r="I443" s="21" t="str">
        <f>HYPERLINK("https://gerandofalcoes.my.salesforce.com/0034P000045kxipQAA", "0034P000045kxipQAA")</f>
        <v>0034P000045kxipQAA</v>
      </c>
      <c r="J443" s="9" t="s">
        <v>17881</v>
      </c>
      <c r="K443" s="38" t="s">
        <v>17882</v>
      </c>
    </row>
    <row r="444" spans="1:11" ht="12.5" x14ac:dyDescent="0.25">
      <c r="A444" s="21" t="str">
        <f ca="1">IFERROR(__xludf.DUMMYFUNCTION("""COMPUTED_VALUE"""),"0014P00003YSp8EQAT")</f>
        <v>0014P00003YSp8EQAT</v>
      </c>
      <c r="B444" s="27" t="str">
        <f ca="1">IFERROR(__xludf.DUMMYFUNCTION("""COMPUTED_VALUE"""),"Fase Inicial")</f>
        <v>Fase Inicial</v>
      </c>
      <c r="C444" s="27" t="str">
        <f ca="1">IFERROR(__xludf.DUMMYFUNCTION("""COMPUTED_VALUE"""),"Fellow")</f>
        <v>Fellow</v>
      </c>
      <c r="D444" s="27" t="str">
        <f ca="1">IFERROR(__xludf.DUMMYFUNCTION("""COMPUTED_VALUE"""),"Ativo")</f>
        <v>Ativo</v>
      </c>
      <c r="E444" s="27" t="str">
        <f ca="1">IFERROR(__xludf.DUMMYFUNCTION("""COMPUTED_VALUE"""),"Instituto verde Criando vidas")</f>
        <v>Instituto verde Criando vidas</v>
      </c>
      <c r="F444" s="21" t="str">
        <f ca="1">IFERROR(VLOOKUP(A444,'Rede - Gerando Falcões '!A443:G1439,38,0),"")</f>
        <v/>
      </c>
      <c r="G444" s="27" t="str">
        <f ca="1">IFERROR(VLOOKUP(A444,'Tabela Categorização'!A:J,10,0),"")</f>
        <v>Fase Inicial</v>
      </c>
      <c r="H444" s="27" t="b">
        <f t="shared" ca="1" si="1"/>
        <v>1</v>
      </c>
      <c r="I444" s="21" t="str">
        <f>HYPERLINK("https://gerandofalcoes.my.salesforce.com/0034P000043fOo0QAE", "0034P000043fOo0QAE")</f>
        <v>0034P000043fOo0QAE</v>
      </c>
      <c r="J444" s="9" t="s">
        <v>17881</v>
      </c>
      <c r="K444" s="38" t="s">
        <v>17882</v>
      </c>
    </row>
    <row r="445" spans="1:11" ht="12.5" x14ac:dyDescent="0.25">
      <c r="A445" s="21" t="str">
        <f ca="1">IFERROR(__xludf.DUMMYFUNCTION("""COMPUTED_VALUE"""),"0014P00003SGWPxQAP")</f>
        <v>0014P00003SGWPxQAP</v>
      </c>
      <c r="B445" s="27" t="str">
        <f ca="1">IFERROR(__xludf.DUMMYFUNCTION("""COMPUTED_VALUE"""),"Fase Inicial")</f>
        <v>Fase Inicial</v>
      </c>
      <c r="C445" s="27" t="str">
        <f ca="1">IFERROR(__xludf.DUMMYFUNCTION("""COMPUTED_VALUE"""),"Fellow")</f>
        <v>Fellow</v>
      </c>
      <c r="D445" s="27" t="str">
        <f ca="1">IFERROR(__xludf.DUMMYFUNCTION("""COMPUTED_VALUE"""),"Ativo")</f>
        <v>Ativo</v>
      </c>
      <c r="E445" s="27" t="str">
        <f ca="1">IFERROR(__xludf.DUMMYFUNCTION("""COMPUTED_VALUE"""),"INSTITUTO VID'ART")</f>
        <v>INSTITUTO VID'ART</v>
      </c>
      <c r="F445" s="21" t="str">
        <f ca="1">IFERROR(VLOOKUP(A445,'Rede - Gerando Falcões '!A444:G1440,38,0),"")</f>
        <v/>
      </c>
      <c r="G445" s="27" t="str">
        <f ca="1">IFERROR(VLOOKUP(A445,'Tabela Categorização'!A:J,10,0),"")</f>
        <v>Fase Inicial</v>
      </c>
      <c r="H445" s="27" t="b">
        <f t="shared" ca="1" si="1"/>
        <v>1</v>
      </c>
      <c r="I445" s="21" t="str">
        <f>HYPERLINK("https://gerandofalcoes.my.salesforce.com/0034P000043fPDjQAM", "0034P000043fPDjQAM")</f>
        <v>0034P000043fPDjQAM</v>
      </c>
      <c r="J445" s="9" t="s">
        <v>17881</v>
      </c>
      <c r="K445" s="38" t="s">
        <v>17882</v>
      </c>
    </row>
    <row r="446" spans="1:11" ht="12.5" x14ac:dyDescent="0.25">
      <c r="A446" s="21" t="str">
        <f ca="1">IFERROR(__xludf.DUMMYFUNCTION("""COMPUTED_VALUE"""),"0014P00003SGWPnQAP")</f>
        <v>0014P00003SGWPnQAP</v>
      </c>
      <c r="B446" s="27" t="str">
        <f ca="1">IFERROR(__xludf.DUMMYFUNCTION("""COMPUTED_VALUE"""),"Fase Estruturação")</f>
        <v>Fase Estruturação</v>
      </c>
      <c r="C446" s="27" t="str">
        <f ca="1">IFERROR(__xludf.DUMMYFUNCTION("""COMPUTED_VALUE"""),"Fellow")</f>
        <v>Fellow</v>
      </c>
      <c r="D446" s="27" t="str">
        <f ca="1">IFERROR(__xludf.DUMMYFUNCTION("""COMPUTED_VALUE"""),"Ativo")</f>
        <v>Ativo</v>
      </c>
      <c r="E446" s="27" t="str">
        <f ca="1">IFERROR(__xludf.DUMMYFUNCTION("""COMPUTED_VALUE"""),"INSTITUTO VIDA REAL")</f>
        <v>INSTITUTO VIDA REAL</v>
      </c>
      <c r="F446" s="21" t="str">
        <f ca="1">IFERROR(VLOOKUP(A446,'Rede - Gerando Falcões '!A445:G1441,38,0),"")</f>
        <v/>
      </c>
      <c r="G446" s="27" t="str">
        <f ca="1">IFERROR(VLOOKUP(A446,'Tabela Categorização'!A:J,10,0),"")</f>
        <v>Fase Estruturação</v>
      </c>
      <c r="H446" s="27" t="b">
        <f t="shared" ca="1" si="1"/>
        <v>1</v>
      </c>
      <c r="I446" s="21" t="str">
        <f>HYPERLINK("https://gerandofalcoes.my.salesforce.com/0034P000043fOnlQAE", "0034P000043fOnlQAE")</f>
        <v>0034P000043fOnlQAE</v>
      </c>
      <c r="J446" s="9" t="s">
        <v>17881</v>
      </c>
      <c r="K446" s="38" t="s">
        <v>17882</v>
      </c>
    </row>
    <row r="447" spans="1:11" ht="12.5" x14ac:dyDescent="0.25">
      <c r="A447" s="21" t="str">
        <f ca="1">IFERROR(__xludf.DUMMYFUNCTION("""COMPUTED_VALUE"""),"0014P00003SGWPeQAP")</f>
        <v>0014P00003SGWPeQAP</v>
      </c>
      <c r="B447" s="27" t="str">
        <f ca="1">IFERROR(__xludf.DUMMYFUNCTION("""COMPUTED_VALUE"""),"Fase Inicial")</f>
        <v>Fase Inicial</v>
      </c>
      <c r="C447" s="27" t="str">
        <f ca="1">IFERROR(__xludf.DUMMYFUNCTION("""COMPUTED_VALUE"""),"Fellow")</f>
        <v>Fellow</v>
      </c>
      <c r="D447" s="27" t="str">
        <f ca="1">IFERROR(__xludf.DUMMYFUNCTION("""COMPUTED_VALUE"""),"Ativo")</f>
        <v>Ativo</v>
      </c>
      <c r="E447" s="27" t="str">
        <f ca="1">IFERROR(__xludf.DUMMYFUNCTION("""COMPUTED_VALUE"""),"INSTITUTO VIDAS PELO FUTURO")</f>
        <v>INSTITUTO VIDAS PELO FUTURO</v>
      </c>
      <c r="F447" s="21" t="str">
        <f ca="1">IFERROR(VLOOKUP(A447,'Rede - Gerando Falcões '!A446:G1442,38,0),"")</f>
        <v/>
      </c>
      <c r="G447" s="27" t="str">
        <f ca="1">IFERROR(VLOOKUP(A447,'Tabela Categorização'!A:J,10,0),"")</f>
        <v>Fase Inicial</v>
      </c>
      <c r="H447" s="27" t="b">
        <f t="shared" ca="1" si="1"/>
        <v>1</v>
      </c>
      <c r="I447" s="21" t="str">
        <f>HYPERLINK("https://gerandofalcoes.my.salesforce.com/0034P000045kxkuQAA", "0034P000045kxkuQAA")</f>
        <v>0034P000045kxkuQAA</v>
      </c>
      <c r="J447" s="9" t="s">
        <v>17881</v>
      </c>
      <c r="K447" s="38" t="s">
        <v>17882</v>
      </c>
    </row>
    <row r="448" spans="1:11" ht="12.5" x14ac:dyDescent="0.25">
      <c r="A448" s="21" t="str">
        <f ca="1">IFERROR(__xludf.DUMMYFUNCTION("""COMPUTED_VALUE"""),"0014P00003YSpAIQA1")</f>
        <v>0014P00003YSpAIQA1</v>
      </c>
      <c r="B448" s="27" t="str">
        <f ca="1">IFERROR(__xludf.DUMMYFUNCTION("""COMPUTED_VALUE"""),"Fase Inicial")</f>
        <v>Fase Inicial</v>
      </c>
      <c r="C448" s="27" t="str">
        <f ca="1">IFERROR(__xludf.DUMMYFUNCTION("""COMPUTED_VALUE"""),"Fellow")</f>
        <v>Fellow</v>
      </c>
      <c r="D448" s="27" t="str">
        <f ca="1">IFERROR(__xludf.DUMMYFUNCTION("""COMPUTED_VALUE"""),"Ativo")</f>
        <v>Ativo</v>
      </c>
      <c r="E448" s="27" t="str">
        <f ca="1">IFERROR(__xludf.DUMMYFUNCTION("""COMPUTED_VALUE"""),"Instituto Zoe de Muriaé")</f>
        <v>Instituto Zoe de Muriaé</v>
      </c>
      <c r="F448" s="21" t="str">
        <f ca="1">IFERROR(VLOOKUP(A448,'Rede - Gerando Falcões '!A447:G1443,38,0),"")</f>
        <v/>
      </c>
      <c r="G448" s="27" t="str">
        <f ca="1">IFERROR(VLOOKUP(A448,'Tabela Categorização'!A:J,10,0),"")</f>
        <v>Fase Inicial</v>
      </c>
      <c r="H448" s="27" t="b">
        <f t="shared" ca="1" si="1"/>
        <v>1</v>
      </c>
      <c r="I448" s="21" t="str">
        <f>HYPERLINK("https://gerandofalcoes.my.salesforce.com/0034P000045kxjEQAQ", "0034P000045kxjEQAQ")</f>
        <v>0034P000045kxjEQAQ</v>
      </c>
      <c r="J448" s="9" t="s">
        <v>17881</v>
      </c>
      <c r="K448" s="38" t="s">
        <v>17882</v>
      </c>
    </row>
    <row r="449" spans="1:11" ht="12.5" x14ac:dyDescent="0.25">
      <c r="A449" s="21" t="str">
        <f ca="1">IFERROR(__xludf.DUMMYFUNCTION("""COMPUTED_VALUE"""),"0014P00003YSp8dQAD")</f>
        <v>0014P00003YSp8dQAD</v>
      </c>
      <c r="B449" s="27" t="str">
        <f ca="1">IFERROR(__xludf.DUMMYFUNCTION("""COMPUTED_VALUE"""),"Fase Inicial")</f>
        <v>Fase Inicial</v>
      </c>
      <c r="C449" s="27" t="str">
        <f ca="1">IFERROR(__xludf.DUMMYFUNCTION("""COMPUTED_VALUE"""),"Fellow")</f>
        <v>Fellow</v>
      </c>
      <c r="D449" s="27" t="str">
        <f ca="1">IFERROR(__xludf.DUMMYFUNCTION("""COMPUTED_VALUE"""),"Ativo")</f>
        <v>Ativo</v>
      </c>
      <c r="E449" s="27" t="str">
        <f ca="1">IFERROR(__xludf.DUMMYFUNCTION("""COMPUTED_VALUE"""),"Instututo cultural e social colorado")</f>
        <v>Instututo cultural e social colorado</v>
      </c>
      <c r="F449" s="21" t="str">
        <f ca="1">IFERROR(VLOOKUP(A449,'Rede - Gerando Falcões '!A448:G1444,38,0),"")</f>
        <v/>
      </c>
      <c r="G449" s="27" t="str">
        <f ca="1">IFERROR(VLOOKUP(A449,'Tabela Categorização'!A:J,10,0),"")</f>
        <v>Fase Inicial</v>
      </c>
      <c r="H449" s="27" t="b">
        <f t="shared" ca="1" si="1"/>
        <v>1</v>
      </c>
      <c r="I449" s="21" t="str">
        <f>HYPERLINK("https://gerandofalcoes.my.salesforce.com/0034X0000380O46QAE", "0034X0000380O46QAE")</f>
        <v>0034X0000380O46QAE</v>
      </c>
      <c r="J449" s="9" t="s">
        <v>17881</v>
      </c>
      <c r="K449" s="38" t="s">
        <v>17882</v>
      </c>
    </row>
    <row r="450" spans="1:11" ht="12.5" x14ac:dyDescent="0.25">
      <c r="A450" s="21" t="str">
        <f ca="1">IFERROR(__xludf.DUMMYFUNCTION("""COMPUTED_VALUE"""),"0014X00002VKCt9QAH")</f>
        <v>0014X00002VKCt9QAH</v>
      </c>
      <c r="B450" s="27" t="str">
        <f ca="1">IFERROR(__xludf.DUMMYFUNCTION("""COMPUTED_VALUE"""),"Fase Inicial")</f>
        <v>Fase Inicial</v>
      </c>
      <c r="C450" s="27" t="str">
        <f ca="1">IFERROR(__xludf.DUMMYFUNCTION("""COMPUTED_VALUE"""),"Fellow")</f>
        <v>Fellow</v>
      </c>
      <c r="D450" s="27" t="str">
        <f ca="1">IFERROR(__xludf.DUMMYFUNCTION("""COMPUTED_VALUE"""),"Ativo")</f>
        <v>Ativo</v>
      </c>
      <c r="E450" s="27" t="str">
        <f ca="1">IFERROR(__xludf.DUMMYFUNCTION("""COMPUTED_VALUE"""),"INTITUTO GERAÇÃO ELEITA MOVA-SE.")</f>
        <v>INTITUTO GERAÇÃO ELEITA MOVA-SE.</v>
      </c>
      <c r="F450" s="21" t="str">
        <f ca="1">IFERROR(VLOOKUP(A450,'Rede - Gerando Falcões '!A449:G1445,38,0),"")</f>
        <v/>
      </c>
      <c r="G450" s="27" t="str">
        <f ca="1">IFERROR(VLOOKUP(A450,'Tabela Categorização'!A:J,10,0),"")</f>
        <v>Fase Inicial</v>
      </c>
      <c r="H450" s="27" t="b">
        <f t="shared" ca="1" si="1"/>
        <v>1</v>
      </c>
      <c r="I450" s="21" t="str">
        <f>HYPERLINK("https://gerandofalcoes.my.salesforce.com/0034X0000380O23QAE", "0034X0000380O23QAE")</f>
        <v>0034X0000380O23QAE</v>
      </c>
      <c r="J450" s="9" t="s">
        <v>17881</v>
      </c>
      <c r="K450" s="38" t="s">
        <v>17882</v>
      </c>
    </row>
    <row r="451" spans="1:11" ht="12.5" x14ac:dyDescent="0.25">
      <c r="A451" s="21" t="str">
        <f ca="1">IFERROR(__xludf.DUMMYFUNCTION("""COMPUTED_VALUE"""),"0014X00002VKCpBQAX")</f>
        <v>0014X00002VKCpBQAX</v>
      </c>
      <c r="B451" s="27" t="str">
        <f ca="1">IFERROR(__xludf.DUMMYFUNCTION("""COMPUTED_VALUE"""),"Fase Inicial")</f>
        <v>Fase Inicial</v>
      </c>
      <c r="C451" s="27" t="str">
        <f ca="1">IFERROR(__xludf.DUMMYFUNCTION("""COMPUTED_VALUE"""),"Fellow")</f>
        <v>Fellow</v>
      </c>
      <c r="D451" s="27" t="str">
        <f ca="1">IFERROR(__xludf.DUMMYFUNCTION("""COMPUTED_VALUE"""),"Ativo")</f>
        <v>Ativo</v>
      </c>
      <c r="E451" s="27" t="str">
        <f ca="1">IFERROR(__xludf.DUMMYFUNCTION("""COMPUTED_VALUE"""),"Investidores da esperança")</f>
        <v>Investidores da esperança</v>
      </c>
      <c r="F451" s="21" t="str">
        <f ca="1">IFERROR(VLOOKUP(A451,'Rede - Gerando Falcões '!A450:G1446,38,0),"")</f>
        <v/>
      </c>
      <c r="G451" s="27" t="str">
        <f ca="1">IFERROR(VLOOKUP(A451,'Tabela Categorização'!A:J,10,0),"")</f>
        <v>Fase Inicial</v>
      </c>
      <c r="H451" s="27" t="b">
        <f t="shared" ca="1" si="1"/>
        <v>1</v>
      </c>
      <c r="I451" s="21" t="str">
        <f>HYPERLINK("https://gerandofalcoes.my.salesforce.com/0034P000045kxiRQAQ", "0034P000045kxiRQAQ")</f>
        <v>0034P000045kxiRQAQ</v>
      </c>
      <c r="J451" s="9" t="s">
        <v>17881</v>
      </c>
      <c r="K451" s="38" t="s">
        <v>17882</v>
      </c>
    </row>
    <row r="452" spans="1:11" ht="12.5" x14ac:dyDescent="0.25">
      <c r="A452" s="21" t="str">
        <f ca="1">IFERROR(__xludf.DUMMYFUNCTION("""COMPUTED_VALUE"""),"0014P00003YSp7qQAD")</f>
        <v>0014P00003YSp7qQAD</v>
      </c>
      <c r="B452" s="27" t="str">
        <f ca="1">IFERROR(__xludf.DUMMYFUNCTION("""COMPUTED_VALUE"""),"Fase Inicial")</f>
        <v>Fase Inicial</v>
      </c>
      <c r="C452" s="27" t="str">
        <f ca="1">IFERROR(__xludf.DUMMYFUNCTION("""COMPUTED_VALUE"""),"Fellow")</f>
        <v>Fellow</v>
      </c>
      <c r="D452" s="27" t="str">
        <f ca="1">IFERROR(__xludf.DUMMYFUNCTION("""COMPUTED_VALUE"""),"Ativo")</f>
        <v>Ativo</v>
      </c>
      <c r="E452" s="27" t="str">
        <f ca="1">IFERROR(__xludf.DUMMYFUNCTION("""COMPUTED_VALUE"""),"Jampa Invisível")</f>
        <v>Jampa Invisível</v>
      </c>
      <c r="F452" s="21" t="str">
        <f ca="1">IFERROR(VLOOKUP(A452,'Rede - Gerando Falcões '!A451:G1447,38,0),"")</f>
        <v/>
      </c>
      <c r="G452" s="27" t="str">
        <f ca="1">IFERROR(VLOOKUP(A452,'Tabela Categorização'!A:J,10,0),"")</f>
        <v>Fase Inicial</v>
      </c>
      <c r="H452" s="27" t="b">
        <f t="shared" ca="1" si="1"/>
        <v>1</v>
      </c>
      <c r="I452" s="21" t="str">
        <f>HYPERLINK("https://gerandofalcoes.my.salesforce.com/0034X0000380O5PQAU", "0034X0000380O5PQAU")</f>
        <v>0034X0000380O5PQAU</v>
      </c>
      <c r="J452" s="9" t="s">
        <v>17881</v>
      </c>
      <c r="K452" s="38" t="s">
        <v>17882</v>
      </c>
    </row>
    <row r="453" spans="1:11" ht="12.5" x14ac:dyDescent="0.25">
      <c r="A453" s="21" t="str">
        <f ca="1">IFERROR(__xludf.DUMMYFUNCTION("""COMPUTED_VALUE"""),"0014X00002VKCu0QAH")</f>
        <v>0014X00002VKCu0QAH</v>
      </c>
      <c r="B453" s="27" t="str">
        <f ca="1">IFERROR(__xludf.DUMMYFUNCTION("""COMPUTED_VALUE"""),"Fase Inicial")</f>
        <v>Fase Inicial</v>
      </c>
      <c r="C453" s="27" t="str">
        <f ca="1">IFERROR(__xludf.DUMMYFUNCTION("""COMPUTED_VALUE"""),"Fellow")</f>
        <v>Fellow</v>
      </c>
      <c r="D453" s="27" t="str">
        <f ca="1">IFERROR(__xludf.DUMMYFUNCTION("""COMPUTED_VALUE"""),"Ativo")</f>
        <v>Ativo</v>
      </c>
      <c r="E453" s="27" t="str">
        <f ca="1">IFERROR(__xludf.DUMMYFUNCTION("""COMPUTED_VALUE"""),"José Junior Teixeira")</f>
        <v>José Junior Teixeira</v>
      </c>
      <c r="F453" s="21" t="str">
        <f ca="1">IFERROR(VLOOKUP(A453,'Rede - Gerando Falcões '!A452:G1448,38,0),"")</f>
        <v/>
      </c>
      <c r="G453" s="27" t="str">
        <f ca="1">IFERROR(VLOOKUP(A453,'Tabela Categorização'!A:J,10,0),"")</f>
        <v>Fase Inicial</v>
      </c>
      <c r="H453" s="27" t="b">
        <f t="shared" ca="1" si="1"/>
        <v>1</v>
      </c>
      <c r="I453" s="21" t="str">
        <f>HYPERLINK("https://gerandofalcoes.my.salesforce.com/0034P000045kxjOQAQ", "0034P000045kxjOQAQ")</f>
        <v>0034P000045kxjOQAQ</v>
      </c>
      <c r="J453" s="9" t="s">
        <v>17881</v>
      </c>
      <c r="K453" s="38" t="s">
        <v>17882</v>
      </c>
    </row>
    <row r="454" spans="1:11" ht="12.5" x14ac:dyDescent="0.25">
      <c r="A454" s="21" t="str">
        <f ca="1">IFERROR(__xludf.DUMMYFUNCTION("""COMPUTED_VALUE"""),"0014P00003YSp8mQAD")</f>
        <v>0014P00003YSp8mQAD</v>
      </c>
      <c r="B454" s="27" t="str">
        <f ca="1">IFERROR(__xludf.DUMMYFUNCTION("""COMPUTED_VALUE"""),"Fase Inicial")</f>
        <v>Fase Inicial</v>
      </c>
      <c r="C454" s="27" t="str">
        <f ca="1">IFERROR(__xludf.DUMMYFUNCTION("""COMPUTED_VALUE"""),"Fellow")</f>
        <v>Fellow</v>
      </c>
      <c r="D454" s="27" t="str">
        <f ca="1">IFERROR(__xludf.DUMMYFUNCTION("""COMPUTED_VALUE"""),"Ativo")</f>
        <v>Ativo</v>
      </c>
      <c r="E454" s="27" t="str">
        <f ca="1">IFERROR(__xludf.DUMMYFUNCTION("""COMPUTED_VALUE"""),"judo uniao de guaianases")</f>
        <v>judo uniao de guaianases</v>
      </c>
      <c r="F454" s="21" t="str">
        <f ca="1">IFERROR(VLOOKUP(A454,'Rede - Gerando Falcões '!A453:G1449,38,0),"")</f>
        <v/>
      </c>
      <c r="G454" s="27" t="str">
        <f ca="1">IFERROR(VLOOKUP(A454,'Tabela Categorização'!A:J,10,0),"")</f>
        <v>Fase Inicial</v>
      </c>
      <c r="H454" s="27" t="b">
        <f t="shared" ca="1" si="1"/>
        <v>1</v>
      </c>
      <c r="I454" s="21" t="str">
        <f>HYPERLINK("https://gerandofalcoes.my.salesforce.com/0034P000045kxk3QAA", "0034P000045kxk3QAA")</f>
        <v>0034P000045kxk3QAA</v>
      </c>
      <c r="J454" s="9" t="s">
        <v>17881</v>
      </c>
      <c r="K454" s="38" t="s">
        <v>17882</v>
      </c>
    </row>
    <row r="455" spans="1:11" ht="12.5" x14ac:dyDescent="0.25">
      <c r="A455" s="21" t="str">
        <f ca="1">IFERROR(__xludf.DUMMYFUNCTION("""COMPUTED_VALUE"""),"0014P00003YSp9RQAT")</f>
        <v>0014P00003YSp9RQAT</v>
      </c>
      <c r="B455" s="27" t="str">
        <f ca="1">IFERROR(__xludf.DUMMYFUNCTION("""COMPUTED_VALUE"""),"Fase Inicial")</f>
        <v>Fase Inicial</v>
      </c>
      <c r="C455" s="27" t="str">
        <f ca="1">IFERROR(__xludf.DUMMYFUNCTION("""COMPUTED_VALUE"""),"Fellow")</f>
        <v>Fellow</v>
      </c>
      <c r="D455" s="27" t="str">
        <f ca="1">IFERROR(__xludf.DUMMYFUNCTION("""COMPUTED_VALUE"""),"Ativo")</f>
        <v>Ativo</v>
      </c>
      <c r="E455" s="27" t="str">
        <f ca="1">IFERROR(__xludf.DUMMYFUNCTION("""COMPUTED_VALUE"""),"Junta que Ajuda")</f>
        <v>Junta que Ajuda</v>
      </c>
      <c r="F455" s="21" t="str">
        <f ca="1">IFERROR(VLOOKUP(A455,'Rede - Gerando Falcões '!A454:G1450,38,0),"")</f>
        <v/>
      </c>
      <c r="G455" s="27" t="str">
        <f ca="1">IFERROR(VLOOKUP(A455,'Tabela Categorização'!A:J,10,0),"")</f>
        <v>Fase Inicial</v>
      </c>
      <c r="H455" s="27" t="b">
        <f t="shared" ca="1" si="1"/>
        <v>1</v>
      </c>
      <c r="I455" s="21" t="str">
        <f>HYPERLINK("https://gerandofalcoes.my.salesforce.com/0034P000043fPDnQAM", "0034P000043fPDnQAM")</f>
        <v>0034P000043fPDnQAM</v>
      </c>
      <c r="J455" s="9" t="s">
        <v>17881</v>
      </c>
      <c r="K455" s="38" t="s">
        <v>17882</v>
      </c>
    </row>
    <row r="456" spans="1:11" ht="12.5" x14ac:dyDescent="0.25">
      <c r="A456" s="21" t="str">
        <f ca="1">IFERROR(__xludf.DUMMYFUNCTION("""COMPUTED_VALUE"""),"0014P00003SGWQ0QAP")</f>
        <v>0014P00003SGWQ0QAP</v>
      </c>
      <c r="B456" s="27" t="str">
        <f ca="1">IFERROR(__xludf.DUMMYFUNCTION("""COMPUTED_VALUE"""),"Fase Inicial")</f>
        <v>Fase Inicial</v>
      </c>
      <c r="C456" s="27" t="str">
        <f ca="1">IFERROR(__xludf.DUMMYFUNCTION("""COMPUTED_VALUE"""),"Fellow")</f>
        <v>Fellow</v>
      </c>
      <c r="D456" s="27" t="str">
        <f ca="1">IFERROR(__xludf.DUMMYFUNCTION("""COMPUTED_VALUE"""),"Ativo")</f>
        <v>Ativo</v>
      </c>
      <c r="E456" s="27" t="str">
        <f ca="1">IFERROR(__xludf.DUMMYFUNCTION("""COMPUTED_VALUE"""),"KYRIUS CIA DE ARTES")</f>
        <v>KYRIUS CIA DE ARTES</v>
      </c>
      <c r="F456" s="21" t="str">
        <f ca="1">IFERROR(VLOOKUP(A456,'Rede - Gerando Falcões '!A455:G1451,38,0),"")</f>
        <v/>
      </c>
      <c r="G456" s="27" t="str">
        <f ca="1">IFERROR(VLOOKUP(A456,'Tabela Categorização'!A:J,10,0),"")</f>
        <v>Fase Inicial</v>
      </c>
      <c r="H456" s="27" t="b">
        <f t="shared" ca="1" si="1"/>
        <v>1</v>
      </c>
      <c r="I456" s="21" t="str">
        <f>HYPERLINK("https://gerandofalcoes.my.salesforce.com/0034P000045kxjaQAA", "0034P000045kxjaQAA")</f>
        <v>0034P000045kxjaQAA</v>
      </c>
      <c r="J456" s="9" t="s">
        <v>17881</v>
      </c>
      <c r="K456" s="38" t="s">
        <v>17882</v>
      </c>
    </row>
    <row r="457" spans="1:11" ht="12.5" x14ac:dyDescent="0.25">
      <c r="A457" s="21" t="str">
        <f ca="1">IFERROR(__xludf.DUMMYFUNCTION("""COMPUTED_VALUE"""),"0014P00003YSp8yQAD")</f>
        <v>0014P00003YSp8yQAD</v>
      </c>
      <c r="B457" s="27" t="str">
        <f ca="1">IFERROR(__xludf.DUMMYFUNCTION("""COMPUTED_VALUE"""),"Fase Inicial")</f>
        <v>Fase Inicial</v>
      </c>
      <c r="C457" s="27" t="str">
        <f ca="1">IFERROR(__xludf.DUMMYFUNCTION("""COMPUTED_VALUE"""),"Fellow")</f>
        <v>Fellow</v>
      </c>
      <c r="D457" s="27" t="str">
        <f ca="1">IFERROR(__xludf.DUMMYFUNCTION("""COMPUTED_VALUE"""),"Ativo")</f>
        <v>Ativo</v>
      </c>
      <c r="E457" s="27" t="str">
        <f ca="1">IFERROR(__xludf.DUMMYFUNCTION("""COMPUTED_VALUE"""),"Leia e Aprenda")</f>
        <v>Leia e Aprenda</v>
      </c>
      <c r="F457" s="21" t="str">
        <f ca="1">IFERROR(VLOOKUP(A457,'Rede - Gerando Falcões '!A456:G1452,38,0),"")</f>
        <v/>
      </c>
      <c r="G457" s="27" t="str">
        <f ca="1">IFERROR(VLOOKUP(A457,'Tabela Categorização'!A:J,10,0),"")</f>
        <v>Fase Inicial</v>
      </c>
      <c r="H457" s="27" t="b">
        <f t="shared" ca="1" si="1"/>
        <v>1</v>
      </c>
      <c r="I457" s="21" t="str">
        <f>HYPERLINK("https://gerandofalcoes.my.salesforce.com/0034X0000380O2NQAU", "0034X0000380O2NQAU")</f>
        <v>0034X0000380O2NQAU</v>
      </c>
      <c r="J457" s="9" t="s">
        <v>17881</v>
      </c>
      <c r="K457" s="38" t="s">
        <v>17882</v>
      </c>
    </row>
    <row r="458" spans="1:11" ht="12.5" x14ac:dyDescent="0.25">
      <c r="A458" s="21" t="str">
        <f ca="1">IFERROR(__xludf.DUMMYFUNCTION("""COMPUTED_VALUE"""),"0014X00002VKCrVQAX")</f>
        <v>0014X00002VKCrVQAX</v>
      </c>
      <c r="B458" s="27" t="str">
        <f ca="1">IFERROR(__xludf.DUMMYFUNCTION("""COMPUTED_VALUE"""),"Fase Inicial")</f>
        <v>Fase Inicial</v>
      </c>
      <c r="C458" s="27" t="str">
        <f ca="1">IFERROR(__xludf.DUMMYFUNCTION("""COMPUTED_VALUE"""),"Fellow")</f>
        <v>Fellow</v>
      </c>
      <c r="D458" s="27" t="str">
        <f ca="1">IFERROR(__xludf.DUMMYFUNCTION("""COMPUTED_VALUE"""),"Ativo")</f>
        <v>Ativo</v>
      </c>
      <c r="E458" s="27" t="str">
        <f ca="1">IFERROR(__xludf.DUMMYFUNCTION("""COMPUTED_VALUE"""),"LOBO &amp; DUREY ARQUITETURA LTDA.")</f>
        <v>LOBO &amp; DUREY ARQUITETURA LTDA.</v>
      </c>
      <c r="F458" s="21" t="str">
        <f ca="1">IFERROR(VLOOKUP(A458,'Rede - Gerando Falcões '!A457:G1453,38,0),"")</f>
        <v/>
      </c>
      <c r="G458" s="27" t="str">
        <f ca="1">IFERROR(VLOOKUP(A458,'Tabela Categorização'!A:J,10,0),"")</f>
        <v>Fase Inicial</v>
      </c>
      <c r="H458" s="27" t="b">
        <f t="shared" ca="1" si="1"/>
        <v>1</v>
      </c>
      <c r="I458" s="21" t="str">
        <f>HYPERLINK("https://gerandofalcoes.my.salesforce.com/0034P000045kxiwQAA", "0034P000045kxiwQAA")</f>
        <v>0034P000045kxiwQAA</v>
      </c>
      <c r="J458" s="9" t="s">
        <v>17881</v>
      </c>
      <c r="K458" s="38" t="s">
        <v>17882</v>
      </c>
    </row>
    <row r="459" spans="1:11" ht="12.5" x14ac:dyDescent="0.25">
      <c r="A459" s="21" t="str">
        <f ca="1">IFERROR(__xludf.DUMMYFUNCTION("""COMPUTED_VALUE"""),"0014P00003YSp8LQAT")</f>
        <v>0014P00003YSp8LQAT</v>
      </c>
      <c r="B459" s="27" t="str">
        <f ca="1">IFERROR(__xludf.DUMMYFUNCTION("""COMPUTED_VALUE"""),"Fase Inicial")</f>
        <v>Fase Inicial</v>
      </c>
      <c r="C459" s="27" t="str">
        <f ca="1">IFERROR(__xludf.DUMMYFUNCTION("""COMPUTED_VALUE"""),"Fellow")</f>
        <v>Fellow</v>
      </c>
      <c r="D459" s="27" t="str">
        <f ca="1">IFERROR(__xludf.DUMMYFUNCTION("""COMPUTED_VALUE"""),"Ativo")</f>
        <v>Ativo</v>
      </c>
      <c r="E459" s="27" t="str">
        <f ca="1">IFERROR(__xludf.DUMMYFUNCTION("""COMPUTED_VALUE"""),"M.A.L.O.C.A.( Movimento Articulado Libertário Organizado em prol da Cidadania e do Apoio Social)")</f>
        <v>M.A.L.O.C.A.( Movimento Articulado Libertário Organizado em prol da Cidadania e do Apoio Social)</v>
      </c>
      <c r="F459" s="21" t="str">
        <f ca="1">IFERROR(VLOOKUP(A459,'Rede - Gerando Falcões '!A458:G1454,38,0),"")</f>
        <v/>
      </c>
      <c r="G459" s="27" t="str">
        <f ca="1">IFERROR(VLOOKUP(A459,'Tabela Categorização'!A:J,10,0),"")</f>
        <v>Fase Inicial</v>
      </c>
      <c r="H459" s="27" t="b">
        <f t="shared" ca="1" si="1"/>
        <v>1</v>
      </c>
      <c r="I459" s="21" t="str">
        <f>HYPERLINK("https://gerandofalcoes.my.salesforce.com/0034X0000380O47QAE", "0034X0000380O47QAE")</f>
        <v>0034X0000380O47QAE</v>
      </c>
      <c r="J459" s="9" t="s">
        <v>17881</v>
      </c>
      <c r="K459" s="38" t="s">
        <v>17882</v>
      </c>
    </row>
    <row r="460" spans="1:11" ht="12.5" x14ac:dyDescent="0.25">
      <c r="A460" s="21" t="str">
        <f ca="1">IFERROR(__xludf.DUMMYFUNCTION("""COMPUTED_VALUE"""),"0014X00002VKCrcQAH")</f>
        <v>0014X00002VKCrcQAH</v>
      </c>
      <c r="B460" s="27" t="str">
        <f ca="1">IFERROR(__xludf.DUMMYFUNCTION("""COMPUTED_VALUE"""),"Fase Inicial")</f>
        <v>Fase Inicial</v>
      </c>
      <c r="C460" s="27" t="str">
        <f ca="1">IFERROR(__xludf.DUMMYFUNCTION("""COMPUTED_VALUE"""),"Fellow")</f>
        <v>Fellow</v>
      </c>
      <c r="D460" s="27" t="str">
        <f ca="1">IFERROR(__xludf.DUMMYFUNCTION("""COMPUTED_VALUE"""),"Ativo")</f>
        <v>Ativo</v>
      </c>
      <c r="E460" s="27" t="str">
        <f ca="1">IFERROR(__xludf.DUMMYFUNCTION("""COMPUTED_VALUE"""),"MAAC - Movimento de Articulação Ambiental e Cultural")</f>
        <v>MAAC - Movimento de Articulação Ambiental e Cultural</v>
      </c>
      <c r="F460" s="21" t="str">
        <f ca="1">IFERROR(VLOOKUP(A460,'Rede - Gerando Falcões '!A459:G1455,38,0),"")</f>
        <v/>
      </c>
      <c r="G460" s="27" t="str">
        <f ca="1">IFERROR(VLOOKUP(A460,'Tabela Categorização'!A:J,10,0),"")</f>
        <v>Fase Inicial</v>
      </c>
      <c r="H460" s="27" t="b">
        <f t="shared" ca="1" si="1"/>
        <v>1</v>
      </c>
      <c r="I460" s="21" t="str">
        <f>HYPERLINK("https://gerandofalcoes.my.salesforce.com/0034X0000380O1yQAE", "0034X0000380O1yQAE")</f>
        <v>0034X0000380O1yQAE</v>
      </c>
      <c r="J460" s="9" t="s">
        <v>17881</v>
      </c>
      <c r="K460" s="38" t="s">
        <v>17882</v>
      </c>
    </row>
    <row r="461" spans="1:11" ht="12.5" x14ac:dyDescent="0.25">
      <c r="A461" s="21" t="str">
        <f ca="1">IFERROR(__xludf.DUMMYFUNCTION("""COMPUTED_VALUE"""),"0014X00002VKCuVQAX")</f>
        <v>0014X00002VKCuVQAX</v>
      </c>
      <c r="B461" s="27" t="str">
        <f ca="1">IFERROR(__xludf.DUMMYFUNCTION("""COMPUTED_VALUE"""),"Fase Inicial")</f>
        <v>Fase Inicial</v>
      </c>
      <c r="C461" s="27" t="str">
        <f ca="1">IFERROR(__xludf.DUMMYFUNCTION("""COMPUTED_VALUE"""),"Fellow")</f>
        <v>Fellow</v>
      </c>
      <c r="D461" s="27" t="str">
        <f ca="1">IFERROR(__xludf.DUMMYFUNCTION("""COMPUTED_VALUE"""),"Ativo")</f>
        <v>Ativo</v>
      </c>
      <c r="E461" s="27" t="str">
        <f ca="1">IFERROR(__xludf.DUMMYFUNCTION("""COMPUTED_VALUE"""),"Manifesta Movement")</f>
        <v>Manifesta Movement</v>
      </c>
      <c r="F461" s="21" t="str">
        <f ca="1">IFERROR(VLOOKUP(A461,'Rede - Gerando Falcões '!A460:G1456,38,0),"")</f>
        <v/>
      </c>
      <c r="G461" s="27" t="str">
        <f ca="1">IFERROR(VLOOKUP(A461,'Tabela Categorização'!A:J,10,0),"")</f>
        <v>Fase Inicial</v>
      </c>
      <c r="H461" s="27" t="b">
        <f t="shared" ca="1" si="1"/>
        <v>1</v>
      </c>
      <c r="I461" s="21" t="str">
        <f>HYPERLINK("https://gerandofalcoes.my.salesforce.com/0034X0000380O6qQAE", "0034X0000380O6qQAE")</f>
        <v>0034X0000380O6qQAE</v>
      </c>
      <c r="J461" s="9" t="s">
        <v>17881</v>
      </c>
      <c r="K461" s="38" t="s">
        <v>17882</v>
      </c>
    </row>
    <row r="462" spans="1:11" ht="12.5" x14ac:dyDescent="0.25">
      <c r="A462" s="21" t="str">
        <f ca="1">IFERROR(__xludf.DUMMYFUNCTION("""COMPUTED_VALUE"""),"0014X00002VKCqFQAX")</f>
        <v>0014X00002VKCqFQAX</v>
      </c>
      <c r="B462" s="27"/>
      <c r="C462" s="27" t="str">
        <f ca="1">IFERROR(__xludf.DUMMYFUNCTION("""COMPUTED_VALUE"""),"Fellow")</f>
        <v>Fellow</v>
      </c>
      <c r="D462" s="27" t="str">
        <f ca="1">IFERROR(__xludf.DUMMYFUNCTION("""COMPUTED_VALUE"""),"Ativo")</f>
        <v>Ativo</v>
      </c>
      <c r="E462" s="27" t="str">
        <f ca="1">IFERROR(__xludf.DUMMYFUNCTION("""COMPUTED_VALUE"""),"Mão amiga")</f>
        <v>Mão amiga</v>
      </c>
      <c r="F462" s="21" t="str">
        <f ca="1">IFERROR(VLOOKUP(A462,'Rede - Gerando Falcões '!A461:G1457,38,0),"")</f>
        <v/>
      </c>
      <c r="G462" s="27" t="str">
        <f ca="1">IFERROR(VLOOKUP(A462,'Tabela Categorização'!A:J,10,0),"")</f>
        <v/>
      </c>
      <c r="H462" s="27" t="b">
        <f t="shared" ca="1" si="1"/>
        <v>1</v>
      </c>
      <c r="I462" s="21" t="str">
        <f>HYPERLINK("https://gerandofalcoes.my.salesforce.com/0034P000043fOo3QAE", "0034P000043fOo3QAE")</f>
        <v>0034P000043fOo3QAE</v>
      </c>
      <c r="J462" s="9" t="s">
        <v>17881</v>
      </c>
      <c r="K462" s="38" t="s">
        <v>17882</v>
      </c>
    </row>
    <row r="463" spans="1:11" ht="12.5" x14ac:dyDescent="0.25">
      <c r="A463" s="21" t="str">
        <f ca="1">IFERROR(__xludf.DUMMYFUNCTION("""COMPUTED_VALUE"""),"0014P00003SGWQ1QAP")</f>
        <v>0014P00003SGWQ1QAP</v>
      </c>
      <c r="B463" s="27" t="str">
        <f ca="1">IFERROR(__xludf.DUMMYFUNCTION("""COMPUTED_VALUE"""),"Fase Inicial")</f>
        <v>Fase Inicial</v>
      </c>
      <c r="C463" s="27" t="str">
        <f ca="1">IFERROR(__xludf.DUMMYFUNCTION("""COMPUTED_VALUE"""),"Fellow")</f>
        <v>Fellow</v>
      </c>
      <c r="D463" s="27" t="str">
        <f ca="1">IFERROR(__xludf.DUMMYFUNCTION("""COMPUTED_VALUE"""),"Ativo")</f>
        <v>Ativo</v>
      </c>
      <c r="E463" s="27" t="str">
        <f ca="1">IFERROR(__xludf.DUMMYFUNCTION("""COMPUTED_VALUE"""),"MARGARIDAS PROJETOS PRA VIDA")</f>
        <v>MARGARIDAS PROJETOS PRA VIDA</v>
      </c>
      <c r="F463" s="21" t="str">
        <f ca="1">IFERROR(VLOOKUP(A463,'Rede - Gerando Falcões '!A462:G1458,38,0),"")</f>
        <v/>
      </c>
      <c r="G463" s="27" t="str">
        <f ca="1">IFERROR(VLOOKUP(A463,'Tabela Categorização'!A:J,10,0),"")</f>
        <v>Fase Inicial</v>
      </c>
      <c r="H463" s="27" t="b">
        <f t="shared" ca="1" si="1"/>
        <v>1</v>
      </c>
      <c r="I463" s="21" t="str">
        <f>HYPERLINK("https://gerandofalcoes.my.salesforce.com/0034X0000380O18QAE", "0034X0000380O18QAE")</f>
        <v>0034X0000380O18QAE</v>
      </c>
      <c r="J463" s="9" t="s">
        <v>17881</v>
      </c>
      <c r="K463" s="38" t="s">
        <v>17882</v>
      </c>
    </row>
    <row r="464" spans="1:11" ht="12.5" x14ac:dyDescent="0.25">
      <c r="A464" s="21" t="str">
        <f ca="1">IFERROR(__xludf.DUMMYFUNCTION("""COMPUTED_VALUE"""),"0014X00002VKCstQAH")</f>
        <v>0014X00002VKCstQAH</v>
      </c>
      <c r="B464" s="27" t="str">
        <f ca="1">IFERROR(__xludf.DUMMYFUNCTION("""COMPUTED_VALUE"""),"Fase Inicial")</f>
        <v>Fase Inicial</v>
      </c>
      <c r="C464" s="27" t="str">
        <f ca="1">IFERROR(__xludf.DUMMYFUNCTION("""COMPUTED_VALUE"""),"Fellow")</f>
        <v>Fellow</v>
      </c>
      <c r="D464" s="27" t="str">
        <f ca="1">IFERROR(__xludf.DUMMYFUNCTION("""COMPUTED_VALUE"""),"Ativo")</f>
        <v>Ativo</v>
      </c>
      <c r="E464" s="27" t="str">
        <f ca="1">IFERROR(__xludf.DUMMYFUNCTION("""COMPUTED_VALUE"""),"MATRIARCAS EM AÇAO")</f>
        <v>MATRIARCAS EM AÇAO</v>
      </c>
      <c r="F464" s="21" t="str">
        <f ca="1">IFERROR(VLOOKUP(A464,'Rede - Gerando Falcões '!A463:G1459,38,0),"")</f>
        <v/>
      </c>
      <c r="G464" s="27" t="str">
        <f ca="1">IFERROR(VLOOKUP(A464,'Tabela Categorização'!A:J,10,0),"")</f>
        <v>Fase Inicial</v>
      </c>
      <c r="H464" s="27" t="b">
        <f t="shared" ca="1" si="1"/>
        <v>1</v>
      </c>
      <c r="I464" s="21" t="str">
        <f>HYPERLINK("https://gerandofalcoes.my.salesforce.com/0034X0000380O6kQAE", "0034X0000380O6kQAE")</f>
        <v>0034X0000380O6kQAE</v>
      </c>
      <c r="J464" s="9" t="s">
        <v>17881</v>
      </c>
      <c r="K464" s="38" t="s">
        <v>17882</v>
      </c>
    </row>
    <row r="465" spans="1:11" ht="12.5" x14ac:dyDescent="0.25">
      <c r="A465" s="21" t="str">
        <f ca="1">IFERROR(__xludf.DUMMYFUNCTION("""COMPUTED_VALUE"""),"0014X00002VKCsmQAH")</f>
        <v>0014X00002VKCsmQAH</v>
      </c>
      <c r="B465" s="27" t="str">
        <f ca="1">IFERROR(__xludf.DUMMYFUNCTION("""COMPUTED_VALUE"""),"Fase Inicial")</f>
        <v>Fase Inicial</v>
      </c>
      <c r="C465" s="27" t="str">
        <f ca="1">IFERROR(__xludf.DUMMYFUNCTION("""COMPUTED_VALUE"""),"Fellow")</f>
        <v>Fellow</v>
      </c>
      <c r="D465" s="27" t="str">
        <f ca="1">IFERROR(__xludf.DUMMYFUNCTION("""COMPUTED_VALUE"""),"Ativo")</f>
        <v>Ativo</v>
      </c>
      <c r="E465" s="27" t="str">
        <f ca="1">IFERROR(__xludf.DUMMYFUNCTION("""COMPUTED_VALUE"""),"Missão Casa Gaio")</f>
        <v>Missão Casa Gaio</v>
      </c>
      <c r="F465" s="21" t="str">
        <f ca="1">IFERROR(VLOOKUP(A465,'Rede - Gerando Falcões '!A464:G1460,38,0),"")</f>
        <v/>
      </c>
      <c r="G465" s="27" t="str">
        <f ca="1">IFERROR(VLOOKUP(A465,'Tabela Categorização'!A:J,10,0),"")</f>
        <v>Fase Inicial</v>
      </c>
      <c r="H465" s="27" t="b">
        <f t="shared" ca="1" si="1"/>
        <v>1</v>
      </c>
      <c r="I465" s="21" t="str">
        <f>HYPERLINK("https://gerandofalcoes.my.salesforce.com/0034X0000380O22QAE", "0034X0000380O22QAE")</f>
        <v>0034X0000380O22QAE</v>
      </c>
      <c r="J465" s="9" t="s">
        <v>17881</v>
      </c>
      <c r="K465" s="38" t="s">
        <v>17882</v>
      </c>
    </row>
    <row r="466" spans="1:11" ht="12.5" x14ac:dyDescent="0.25">
      <c r="A466" s="21" t="str">
        <f ca="1">IFERROR(__xludf.DUMMYFUNCTION("""COMPUTED_VALUE"""),"0014X00002VKCv1QAH")</f>
        <v>0014X00002VKCv1QAH</v>
      </c>
      <c r="B466" s="27" t="str">
        <f ca="1">IFERROR(__xludf.DUMMYFUNCTION("""COMPUTED_VALUE"""),"Fase Inicial")</f>
        <v>Fase Inicial</v>
      </c>
      <c r="C466" s="27" t="str">
        <f ca="1">IFERROR(__xludf.DUMMYFUNCTION("""COMPUTED_VALUE"""),"Fellow")</f>
        <v>Fellow</v>
      </c>
      <c r="D466" s="27" t="str">
        <f ca="1">IFERROR(__xludf.DUMMYFUNCTION("""COMPUTED_VALUE"""),"Ativo")</f>
        <v>Ativo</v>
      </c>
      <c r="E466" s="27" t="str">
        <f ca="1">IFERROR(__xludf.DUMMYFUNCTION("""COMPUTED_VALUE"""),"Missão Edede Meleque")</f>
        <v>Missão Edede Meleque</v>
      </c>
      <c r="F466" s="21" t="str">
        <f ca="1">IFERROR(VLOOKUP(A466,'Rede - Gerando Falcões '!A465:G1461,38,0),"")</f>
        <v/>
      </c>
      <c r="G466" s="27" t="str">
        <f ca="1">IFERROR(VLOOKUP(A466,'Tabela Categorização'!A:J,10,0),"")</f>
        <v>Fase Inicial</v>
      </c>
      <c r="H466" s="27" t="b">
        <f t="shared" ca="1" si="1"/>
        <v>1</v>
      </c>
      <c r="I466" s="21" t="str">
        <f>HYPERLINK("https://gerandofalcoes.my.salesforce.com/0034X0000380O5AQAU", "0034X0000380O5AQAU")</f>
        <v>0034X0000380O5AQAU</v>
      </c>
      <c r="J466" s="9" t="s">
        <v>17881</v>
      </c>
      <c r="K466" s="38" t="s">
        <v>17882</v>
      </c>
    </row>
    <row r="467" spans="1:11" ht="12.5" x14ac:dyDescent="0.25">
      <c r="A467" s="21" t="str">
        <f ca="1">IFERROR(__xludf.DUMMYFUNCTION("""COMPUTED_VALUE"""),"0014X00002VKCrLQAX")</f>
        <v>0014X00002VKCrLQAX</v>
      </c>
      <c r="B467" s="27" t="str">
        <f ca="1">IFERROR(__xludf.DUMMYFUNCTION("""COMPUTED_VALUE"""),"Fase Inicial")</f>
        <v>Fase Inicial</v>
      </c>
      <c r="C467" s="27" t="str">
        <f ca="1">IFERROR(__xludf.DUMMYFUNCTION("""COMPUTED_VALUE"""),"Fellow")</f>
        <v>Fellow</v>
      </c>
      <c r="D467" s="27" t="str">
        <f ca="1">IFERROR(__xludf.DUMMYFUNCTION("""COMPUTED_VALUE"""),"Ativo")</f>
        <v>Ativo</v>
      </c>
      <c r="E467" s="27" t="str">
        <f ca="1">IFERROR(__xludf.DUMMYFUNCTION("""COMPUTED_VALUE"""),"Missão Sertão")</f>
        <v>Missão Sertão</v>
      </c>
      <c r="F467" s="21" t="str">
        <f ca="1">IFERROR(VLOOKUP(A467,'Rede - Gerando Falcões '!A466:G1462,38,0),"")</f>
        <v/>
      </c>
      <c r="G467" s="27" t="str">
        <f ca="1">IFERROR(VLOOKUP(A467,'Tabela Categorização'!A:J,10,0),"")</f>
        <v>Fase Inicial</v>
      </c>
      <c r="H467" s="27" t="b">
        <f t="shared" ca="1" si="1"/>
        <v>1</v>
      </c>
      <c r="I467" s="21" t="str">
        <f>HYPERLINK("https://gerandofalcoes.my.salesforce.com/0034X0000380O2yQAE", "0034X0000380O2yQAE")</f>
        <v>0034X0000380O2yQAE</v>
      </c>
      <c r="J467" s="9" t="s">
        <v>17881</v>
      </c>
      <c r="K467" s="38" t="s">
        <v>17882</v>
      </c>
    </row>
    <row r="468" spans="1:11" ht="12.5" x14ac:dyDescent="0.25">
      <c r="A468" s="21" t="str">
        <f ca="1">IFERROR(__xludf.DUMMYFUNCTION("""COMPUTED_VALUE"""),"0014X00002VKCurQAH")</f>
        <v>0014X00002VKCurQAH</v>
      </c>
      <c r="B468" s="27" t="str">
        <f ca="1">IFERROR(__xludf.DUMMYFUNCTION("""COMPUTED_VALUE"""),"Fase Inicial")</f>
        <v>Fase Inicial</v>
      </c>
      <c r="C468" s="27" t="str">
        <f ca="1">IFERROR(__xludf.DUMMYFUNCTION("""COMPUTED_VALUE"""),"Fellow")</f>
        <v>Fellow</v>
      </c>
      <c r="D468" s="27" t="str">
        <f ca="1">IFERROR(__xludf.DUMMYFUNCTION("""COMPUTED_VALUE"""),"Ativo")</f>
        <v>Ativo</v>
      </c>
      <c r="E468" s="27" t="str">
        <f ca="1">IFERROR(__xludf.DUMMYFUNCTION("""COMPUTED_VALUE"""),"Motirô")</f>
        <v>Motirô</v>
      </c>
      <c r="F468" s="21" t="str">
        <f ca="1">IFERROR(VLOOKUP(A468,'Rede - Gerando Falcões '!A467:G1463,38,0),"")</f>
        <v/>
      </c>
      <c r="G468" s="27" t="str">
        <f ca="1">IFERROR(VLOOKUP(A468,'Tabela Categorização'!A:J,10,0),"")</f>
        <v>Fase Inicial</v>
      </c>
      <c r="H468" s="27" t="b">
        <f t="shared" ca="1" si="1"/>
        <v>1</v>
      </c>
      <c r="I468" s="21" t="str">
        <f>HYPERLINK("https://gerandofalcoes.my.salesforce.com/0034P000043fOo8QAE", "0034P000043fOo8QAE")</f>
        <v>0034P000043fOo8QAE</v>
      </c>
      <c r="J468" s="9" t="s">
        <v>17881</v>
      </c>
      <c r="K468" s="38" t="s">
        <v>17882</v>
      </c>
    </row>
    <row r="469" spans="1:11" ht="12.5" x14ac:dyDescent="0.25">
      <c r="A469" s="21" t="str">
        <f ca="1">IFERROR(__xludf.DUMMYFUNCTION("""COMPUTED_VALUE"""),"0014P00003SGWQ7QAP")</f>
        <v>0014P00003SGWQ7QAP</v>
      </c>
      <c r="B469" s="27" t="str">
        <f ca="1">IFERROR(__xludf.DUMMYFUNCTION("""COMPUTED_VALUE"""),"Fase Inicial")</f>
        <v>Fase Inicial</v>
      </c>
      <c r="C469" s="27" t="str">
        <f ca="1">IFERROR(__xludf.DUMMYFUNCTION("""COMPUTED_VALUE"""),"Acelerada")</f>
        <v>Acelerada</v>
      </c>
      <c r="D469" s="27" t="str">
        <f ca="1">IFERROR(__xludf.DUMMYFUNCTION("""COMPUTED_VALUE"""),"Ativo")</f>
        <v>Ativo</v>
      </c>
      <c r="E469" s="27" t="str">
        <f ca="1">IFERROR(__xludf.DUMMYFUNCTION("""COMPUTED_VALUE"""),"MOVIMENTO INSPIRE")</f>
        <v>MOVIMENTO INSPIRE</v>
      </c>
      <c r="F469" s="21" t="str">
        <f ca="1">IFERROR(VLOOKUP(A469,'Rede - Gerando Falcões '!A468:G1464,38,0),"")</f>
        <v/>
      </c>
      <c r="G469" s="27" t="str">
        <f ca="1">IFERROR(VLOOKUP(A469,'Tabela Categorização'!A:J,10,0),"")</f>
        <v>Fase Inicial</v>
      </c>
      <c r="H469" s="27" t="b">
        <f t="shared" ca="1" si="1"/>
        <v>1</v>
      </c>
      <c r="I469" s="21" t="str">
        <f>HYPERLINK("https://gerandofalcoes.my.salesforce.com/0034P000045kxkbQAA", "0034P000045kxkbQAA")</f>
        <v>0034P000045kxkbQAA</v>
      </c>
      <c r="J469" s="9" t="s">
        <v>17881</v>
      </c>
      <c r="K469" s="38" t="s">
        <v>17882</v>
      </c>
    </row>
    <row r="470" spans="1:11" ht="12.5" x14ac:dyDescent="0.25">
      <c r="A470" s="21" t="str">
        <f ca="1">IFERROR(__xludf.DUMMYFUNCTION("""COMPUTED_VALUE"""),"0014P00003YSp9zQAD")</f>
        <v>0014P00003YSp9zQAD</v>
      </c>
      <c r="B470" s="27" t="str">
        <f ca="1">IFERROR(__xludf.DUMMYFUNCTION("""COMPUTED_VALUE"""),"Fase Inicial")</f>
        <v>Fase Inicial</v>
      </c>
      <c r="C470" s="27" t="str">
        <f ca="1">IFERROR(__xludf.DUMMYFUNCTION("""COMPUTED_VALUE"""),"Fellow")</f>
        <v>Fellow</v>
      </c>
      <c r="D470" s="27" t="str">
        <f ca="1">IFERROR(__xludf.DUMMYFUNCTION("""COMPUTED_VALUE"""),"Ativo")</f>
        <v>Ativo</v>
      </c>
      <c r="E470" s="27" t="str">
        <f ca="1">IFERROR(__xludf.DUMMYFUNCTION("""COMPUTED_VALUE"""),"MOVIMENTO SOCIAL E CULTURAL CORES DO AMANHÃ")</f>
        <v>MOVIMENTO SOCIAL E CULTURAL CORES DO AMANHÃ</v>
      </c>
      <c r="F470" s="21" t="str">
        <f ca="1">IFERROR(VLOOKUP(A470,'Rede - Gerando Falcões '!A469:G1465,38,0),"")</f>
        <v/>
      </c>
      <c r="G470" s="27" t="str">
        <f ca="1">IFERROR(VLOOKUP(A470,'Tabela Categorização'!A:J,10,0),"")</f>
        <v>Fase Inicial</v>
      </c>
      <c r="H470" s="27" t="b">
        <f t="shared" ca="1" si="1"/>
        <v>1</v>
      </c>
      <c r="I470" s="21" t="str">
        <f>HYPERLINK("https://gerandofalcoes.my.salesforce.com/0034X0000380O5IQAU", "0034X0000380O5IQAU")</f>
        <v>0034X0000380O5IQAU</v>
      </c>
      <c r="J470" s="9" t="s">
        <v>17881</v>
      </c>
      <c r="K470" s="38" t="s">
        <v>17882</v>
      </c>
    </row>
    <row r="471" spans="1:11" ht="12.5" x14ac:dyDescent="0.25">
      <c r="A471" s="21" t="str">
        <f ca="1">IFERROR(__xludf.DUMMYFUNCTION("""COMPUTED_VALUE"""),"0014X00002VKCrKQAX")</f>
        <v>0014X00002VKCrKQAX</v>
      </c>
      <c r="B471" s="27" t="str">
        <f ca="1">IFERROR(__xludf.DUMMYFUNCTION("""COMPUTED_VALUE"""),"Fase Inicial")</f>
        <v>Fase Inicial</v>
      </c>
      <c r="C471" s="27" t="str">
        <f ca="1">IFERROR(__xludf.DUMMYFUNCTION("""COMPUTED_VALUE"""),"Fellow")</f>
        <v>Fellow</v>
      </c>
      <c r="D471" s="27" t="str">
        <f ca="1">IFERROR(__xludf.DUMMYFUNCTION("""COMPUTED_VALUE"""),"Ativo")</f>
        <v>Ativo</v>
      </c>
      <c r="E471" s="27" t="str">
        <f ca="1">IFERROR(__xludf.DUMMYFUNCTION("""COMPUTED_VALUE"""),"MUCA - Mulheres Unidas do Caratoira")</f>
        <v>MUCA - Mulheres Unidas do Caratoira</v>
      </c>
      <c r="F471" s="21" t="str">
        <f ca="1">IFERROR(VLOOKUP(A471,'Rede - Gerando Falcões '!A470:G1466,38,0),"")</f>
        <v/>
      </c>
      <c r="G471" s="27" t="str">
        <f ca="1">IFERROR(VLOOKUP(A471,'Tabela Categorização'!A:J,10,0),"")</f>
        <v>Fase Inicial</v>
      </c>
      <c r="H471" s="27" t="b">
        <f t="shared" ca="1" si="1"/>
        <v>1</v>
      </c>
      <c r="I471" s="21" t="str">
        <f>HYPERLINK("https://gerandofalcoes.my.salesforce.com/0034X0000380O4PQAU", "0034X0000380O4PQAU")</f>
        <v>0034X0000380O4PQAU</v>
      </c>
      <c r="J471" s="9" t="s">
        <v>17881</v>
      </c>
      <c r="K471" s="38" t="s">
        <v>17882</v>
      </c>
    </row>
    <row r="472" spans="1:11" ht="12.5" x14ac:dyDescent="0.25">
      <c r="A472" s="21" t="str">
        <f ca="1">IFERROR(__xludf.DUMMYFUNCTION("""COMPUTED_VALUE"""),"0014X00002VKCp9QAH")</f>
        <v>0014X00002VKCp9QAH</v>
      </c>
      <c r="B472" s="27" t="str">
        <f ca="1">IFERROR(__xludf.DUMMYFUNCTION("""COMPUTED_VALUE"""),"Fase Inicial")</f>
        <v>Fase Inicial</v>
      </c>
      <c r="C472" s="27" t="str">
        <f ca="1">IFERROR(__xludf.DUMMYFUNCTION("""COMPUTED_VALUE"""),"Fellow")</f>
        <v>Fellow</v>
      </c>
      <c r="D472" s="27" t="str">
        <f ca="1">IFERROR(__xludf.DUMMYFUNCTION("""COMPUTED_VALUE"""),"Ativo")</f>
        <v>Ativo</v>
      </c>
      <c r="E472" s="27" t="str">
        <f ca="1">IFERROR(__xludf.DUMMYFUNCTION("""COMPUTED_VALUE"""),"Mulheres Arretadas")</f>
        <v>Mulheres Arretadas</v>
      </c>
      <c r="F472" s="21" t="str">
        <f ca="1">IFERROR(VLOOKUP(A472,'Rede - Gerando Falcões '!A471:G1467,38,0),"")</f>
        <v/>
      </c>
      <c r="G472" s="27" t="str">
        <f ca="1">IFERROR(VLOOKUP(A472,'Tabela Categorização'!A:J,10,0),"")</f>
        <v>Fase Inicial</v>
      </c>
      <c r="H472" s="27" t="b">
        <f t="shared" ca="1" si="1"/>
        <v>1</v>
      </c>
      <c r="I472" s="21" t="str">
        <f>HYPERLINK("https://gerandofalcoes.my.salesforce.com/0034P000045kxjPQAQ", "0034P000045kxjPQAQ")</f>
        <v>0034P000045kxjPQAQ</v>
      </c>
      <c r="J472" s="9" t="s">
        <v>17881</v>
      </c>
      <c r="K472" s="38" t="s">
        <v>17882</v>
      </c>
    </row>
    <row r="473" spans="1:11" ht="12.5" x14ac:dyDescent="0.25">
      <c r="A473" s="21" t="str">
        <f ca="1">IFERROR(__xludf.DUMMYFUNCTION("""COMPUTED_VALUE"""),"0014P00003YSp8nQAD")</f>
        <v>0014P00003YSp8nQAD</v>
      </c>
      <c r="B473" s="27" t="str">
        <f ca="1">IFERROR(__xludf.DUMMYFUNCTION("""COMPUTED_VALUE"""),"Fase Inicial")</f>
        <v>Fase Inicial</v>
      </c>
      <c r="C473" s="27" t="str">
        <f ca="1">IFERROR(__xludf.DUMMYFUNCTION("""COMPUTED_VALUE"""),"Fellow")</f>
        <v>Fellow</v>
      </c>
      <c r="D473" s="27" t="str">
        <f ca="1">IFERROR(__xludf.DUMMYFUNCTION("""COMPUTED_VALUE"""),"Ativo")</f>
        <v>Ativo</v>
      </c>
      <c r="E473" s="27" t="str">
        <f ca="1">IFERROR(__xludf.DUMMYFUNCTION("""COMPUTED_VALUE"""),"Multiplicar o amor incluir o saber")</f>
        <v>Multiplicar o amor incluir o saber</v>
      </c>
      <c r="F473" s="21" t="str">
        <f ca="1">IFERROR(VLOOKUP(A473,'Rede - Gerando Falcões '!A472:G1468,38,0),"")</f>
        <v/>
      </c>
      <c r="G473" s="27" t="str">
        <f ca="1">IFERROR(VLOOKUP(A473,'Tabela Categorização'!A:J,10,0),"")</f>
        <v>Fase Inicial</v>
      </c>
      <c r="H473" s="27" t="b">
        <f t="shared" ca="1" si="1"/>
        <v>1</v>
      </c>
      <c r="I473" s="21" t="str">
        <f>HYPERLINK("https://gerandofalcoes.my.salesforce.com/0034X0000380O5hQAE", "0034X0000380O5hQAE")</f>
        <v>0034X0000380O5hQAE</v>
      </c>
      <c r="J473" s="9" t="s">
        <v>17881</v>
      </c>
      <c r="K473" s="38" t="s">
        <v>17882</v>
      </c>
    </row>
    <row r="474" spans="1:11" ht="12.5" x14ac:dyDescent="0.25">
      <c r="A474" s="21" t="str">
        <f ca="1">IFERROR(__xludf.DUMMYFUNCTION("""COMPUTED_VALUE"""),"0014X00002VKCtEQAX")</f>
        <v>0014X00002VKCtEQAX</v>
      </c>
      <c r="B474" s="27" t="str">
        <f ca="1">IFERROR(__xludf.DUMMYFUNCTION("""COMPUTED_VALUE"""),"Fase Inicial")</f>
        <v>Fase Inicial</v>
      </c>
      <c r="C474" s="27" t="str">
        <f ca="1">IFERROR(__xludf.DUMMYFUNCTION("""COMPUTED_VALUE"""),"Fellow")</f>
        <v>Fellow</v>
      </c>
      <c r="D474" s="27" t="str">
        <f ca="1">IFERROR(__xludf.DUMMYFUNCTION("""COMPUTED_VALUE"""),"Ativo")</f>
        <v>Ativo</v>
      </c>
      <c r="E474" s="27" t="str">
        <f ca="1">IFERROR(__xludf.DUMMYFUNCTION("""COMPUTED_VALUE"""),"MutAmb")</f>
        <v>MutAmb</v>
      </c>
      <c r="F474" s="21" t="str">
        <f ca="1">IFERROR(VLOOKUP(A474,'Rede - Gerando Falcões '!A473:G1469,38,0),"")</f>
        <v/>
      </c>
      <c r="G474" s="27" t="str">
        <f ca="1">IFERROR(VLOOKUP(A474,'Tabela Categorização'!A:J,10,0),"")</f>
        <v>Fase Inicial</v>
      </c>
      <c r="H474" s="27" t="b">
        <f t="shared" ca="1" si="1"/>
        <v>1</v>
      </c>
      <c r="I474" s="21" t="str">
        <f>HYPERLINK("https://gerandofalcoes.my.salesforce.com/0034X0000380O2FQAU", "0034X0000380O2FQAU")</f>
        <v>0034X0000380O2FQAU</v>
      </c>
      <c r="J474" s="9" t="s">
        <v>17881</v>
      </c>
      <c r="K474" s="38" t="s">
        <v>17882</v>
      </c>
    </row>
    <row r="475" spans="1:11" ht="12.5" x14ac:dyDescent="0.25">
      <c r="A475" s="21" t="str">
        <f ca="1">IFERROR(__xludf.DUMMYFUNCTION("""COMPUTED_VALUE"""),"0014X00002VKCt8QAH")</f>
        <v>0014X00002VKCt8QAH</v>
      </c>
      <c r="B475" s="27" t="str">
        <f ca="1">IFERROR(__xludf.DUMMYFUNCTION("""COMPUTED_VALUE"""),"Fase Inicial")</f>
        <v>Fase Inicial</v>
      </c>
      <c r="C475" s="27" t="str">
        <f ca="1">IFERROR(__xludf.DUMMYFUNCTION("""COMPUTED_VALUE"""),"Fellow")</f>
        <v>Fellow</v>
      </c>
      <c r="D475" s="27" t="str">
        <f ca="1">IFERROR(__xludf.DUMMYFUNCTION("""COMPUTED_VALUE"""),"Ativo")</f>
        <v>Ativo</v>
      </c>
      <c r="E475" s="27" t="str">
        <f ca="1">IFERROR(__xludf.DUMMYFUNCTION("""COMPUTED_VALUE"""),"não possui")</f>
        <v>não possui</v>
      </c>
      <c r="F475" s="21" t="str">
        <f ca="1">IFERROR(VLOOKUP(A475,'Rede - Gerando Falcões '!A474:G1470,38,0),"")</f>
        <v/>
      </c>
      <c r="G475" s="27" t="str">
        <f ca="1">IFERROR(VLOOKUP(A475,'Tabela Categorização'!A:J,10,0),"")</f>
        <v>Fase Inicial</v>
      </c>
      <c r="H475" s="27" t="b">
        <f t="shared" ca="1" si="1"/>
        <v>1</v>
      </c>
      <c r="I475" s="21" t="str">
        <f>HYPERLINK("https://gerandofalcoes.my.salesforce.com/0034P000045kxinQAA", "0034P000045kxinQAA")</f>
        <v>0034P000045kxinQAA</v>
      </c>
      <c r="J475" s="9" t="s">
        <v>17881</v>
      </c>
      <c r="K475" s="38" t="s">
        <v>17882</v>
      </c>
    </row>
    <row r="476" spans="1:11" ht="12.5" x14ac:dyDescent="0.25">
      <c r="A476" s="21" t="str">
        <f ca="1">IFERROR(__xludf.DUMMYFUNCTION("""COMPUTED_VALUE"""),"0014P00003YSp8CQAT")</f>
        <v>0014P00003YSp8CQAT</v>
      </c>
      <c r="B476" s="27" t="str">
        <f ca="1">IFERROR(__xludf.DUMMYFUNCTION("""COMPUTED_VALUE"""),"Fase Estruturação")</f>
        <v>Fase Estruturação</v>
      </c>
      <c r="C476" s="27" t="str">
        <f ca="1">IFERROR(__xludf.DUMMYFUNCTION("""COMPUTED_VALUE"""),"Fellow")</f>
        <v>Fellow</v>
      </c>
      <c r="D476" s="27" t="str">
        <f ca="1">IFERROR(__xludf.DUMMYFUNCTION("""COMPUTED_VALUE"""),"Ativo")</f>
        <v>Ativo</v>
      </c>
      <c r="E476" s="27" t="str">
        <f ca="1">IFERROR(__xludf.DUMMYFUNCTION("""COMPUTED_VALUE"""),"NEAC - Núcleo Especial de Atenção à Criança")</f>
        <v>NEAC - Núcleo Especial de Atenção à Criança</v>
      </c>
      <c r="F476" s="21" t="str">
        <f ca="1">IFERROR(VLOOKUP(A476,'Rede - Gerando Falcões '!A475:G1471,38,0),"")</f>
        <v/>
      </c>
      <c r="G476" s="27" t="str">
        <f ca="1">IFERROR(VLOOKUP(A476,'Tabela Categorização'!A:J,10,0),"")</f>
        <v>Fase Estruturação</v>
      </c>
      <c r="H476" s="27" t="b">
        <f t="shared" ca="1" si="1"/>
        <v>1</v>
      </c>
      <c r="I476" s="21" t="str">
        <f>HYPERLINK("https://gerandofalcoes.my.salesforce.com/0034X0000380O6ZQAU", "0034X0000380O6ZQAU")</f>
        <v>0034X0000380O6ZQAU</v>
      </c>
      <c r="J476" s="9" t="s">
        <v>17881</v>
      </c>
      <c r="K476" s="38" t="s">
        <v>17882</v>
      </c>
    </row>
    <row r="477" spans="1:11" ht="12.5" x14ac:dyDescent="0.25">
      <c r="A477" s="21" t="str">
        <f ca="1">IFERROR(__xludf.DUMMYFUNCTION("""COMPUTED_VALUE"""),"0014X00002VKCpvQAH")</f>
        <v>0014X00002VKCpvQAH</v>
      </c>
      <c r="B477" s="27" t="str">
        <f ca="1">IFERROR(__xludf.DUMMYFUNCTION("""COMPUTED_VALUE"""),"Fase Inicial")</f>
        <v>Fase Inicial</v>
      </c>
      <c r="C477" s="27" t="str">
        <f ca="1">IFERROR(__xludf.DUMMYFUNCTION("""COMPUTED_VALUE"""),"Fellow")</f>
        <v>Fellow</v>
      </c>
      <c r="D477" s="27" t="str">
        <f ca="1">IFERROR(__xludf.DUMMYFUNCTION("""COMPUTED_VALUE"""),"Ativo")</f>
        <v>Ativo</v>
      </c>
      <c r="E477" s="27" t="str">
        <f ca="1">IFERROR(__xludf.DUMMYFUNCTION("""COMPUTED_VALUE"""),"Nossa razão e uma sociedade igual para todos ! Que família carentes tenha direto alimentação digna e educação para todos para um futuro com mas igualdade!")</f>
        <v>Nossa razão e uma sociedade igual para todos ! Que família carentes tenha direto alimentação digna e educação para todos para um futuro com mas igualdade!</v>
      </c>
      <c r="F477" s="21" t="str">
        <f ca="1">IFERROR(VLOOKUP(A477,'Rede - Gerando Falcões '!A476:G1472,38,0),"")</f>
        <v/>
      </c>
      <c r="G477" s="27" t="str">
        <f ca="1">IFERROR(VLOOKUP(A477,'Tabela Categorização'!A:J,10,0),"")</f>
        <v>Fase Inicial</v>
      </c>
      <c r="H477" s="27" t="b">
        <f t="shared" ca="1" si="1"/>
        <v>1</v>
      </c>
      <c r="I477" s="21" t="str">
        <f>HYPERLINK("https://gerandofalcoes.my.salesforce.com/0034P000043fOnTQAU", "0034P000043fOnTQAU")</f>
        <v>0034P000043fOnTQAU</v>
      </c>
      <c r="J477" s="9" t="s">
        <v>17881</v>
      </c>
      <c r="K477" s="38" t="s">
        <v>17882</v>
      </c>
    </row>
    <row r="478" spans="1:11" ht="12.5" x14ac:dyDescent="0.25">
      <c r="A478" s="21" t="str">
        <f ca="1">IFERROR(__xludf.DUMMYFUNCTION("""COMPUTED_VALUE"""),"0014P00003SGWFtQAP")</f>
        <v>0014P00003SGWFtQAP</v>
      </c>
      <c r="B478" s="27" t="str">
        <f ca="1">IFERROR(__xludf.DUMMYFUNCTION("""COMPUTED_VALUE"""),"Fase Inicial")</f>
        <v>Fase Inicial</v>
      </c>
      <c r="C478" s="27" t="str">
        <f ca="1">IFERROR(__xludf.DUMMYFUNCTION("""COMPUTED_VALUE"""),"Acelerada")</f>
        <v>Acelerada</v>
      </c>
      <c r="D478" s="27" t="str">
        <f ca="1">IFERROR(__xludf.DUMMYFUNCTION("""COMPUTED_VALUE"""),"Ativo")</f>
        <v>Ativo</v>
      </c>
      <c r="E478" s="27" t="str">
        <f ca="1">IFERROR(__xludf.DUMMYFUNCTION("""COMPUTED_VALUE"""),"NOS SOMOS A PONTE")</f>
        <v>NOS SOMOS A PONTE</v>
      </c>
      <c r="F478" s="21" t="str">
        <f ca="1">IFERROR(VLOOKUP(A478,'Rede - Gerando Falcões '!A477:G1473,38,0),"")</f>
        <v/>
      </c>
      <c r="G478" s="27" t="str">
        <f ca="1">IFERROR(VLOOKUP(A478,'Tabela Categorização'!A:J,10,0),"")</f>
        <v>Fase Inicial</v>
      </c>
      <c r="H478" s="27" t="b">
        <f t="shared" ca="1" si="1"/>
        <v>1</v>
      </c>
      <c r="I478" s="21" t="str">
        <f>HYPERLINK("https://gerandofalcoes.my.salesforce.com/0034X0000380O2xQAE", "0034X0000380O2xQAE")</f>
        <v>0034X0000380O2xQAE</v>
      </c>
      <c r="J478" s="9" t="s">
        <v>17881</v>
      </c>
      <c r="K478" s="38" t="s">
        <v>17882</v>
      </c>
    </row>
    <row r="479" spans="1:11" ht="12.5" x14ac:dyDescent="0.25">
      <c r="A479" s="21" t="str">
        <f ca="1">IFERROR(__xludf.DUMMYFUNCTION("""COMPUTED_VALUE"""),"0014X00002VKCpYQAX")</f>
        <v>0014X00002VKCpYQAX</v>
      </c>
      <c r="B479" s="27" t="str">
        <f ca="1">IFERROR(__xludf.DUMMYFUNCTION("""COMPUTED_VALUE"""),"Fase Inicial")</f>
        <v>Fase Inicial</v>
      </c>
      <c r="C479" s="27" t="str">
        <f ca="1">IFERROR(__xludf.DUMMYFUNCTION("""COMPUTED_VALUE"""),"Fellow")</f>
        <v>Fellow</v>
      </c>
      <c r="D479" s="27" t="str">
        <f ca="1">IFERROR(__xludf.DUMMYFUNCTION("""COMPUTED_VALUE"""),"Ativo")</f>
        <v>Ativo</v>
      </c>
      <c r="E479" s="27" t="str">
        <f ca="1">IFERROR(__xludf.DUMMYFUNCTION("""COMPUTED_VALUE"""),"Nucleo de Apoio a Comunidades")</f>
        <v>Nucleo de Apoio a Comunidades</v>
      </c>
      <c r="F479" s="21" t="str">
        <f ca="1">IFERROR(VLOOKUP(A479,'Rede - Gerando Falcões '!A478:G1474,38,0),"")</f>
        <v/>
      </c>
      <c r="G479" s="27" t="str">
        <f ca="1">IFERROR(VLOOKUP(A479,'Tabela Categorização'!A:J,10,0),"")</f>
        <v>Fase Inicial</v>
      </c>
      <c r="H479" s="27" t="b">
        <f t="shared" ca="1" si="1"/>
        <v>1</v>
      </c>
      <c r="I479" s="21" t="str">
        <f>HYPERLINK("https://gerandofalcoes.my.salesforce.com/0034P000045kxjvQAA", "0034P000045kxjvQAA")</f>
        <v>0034P000045kxjvQAA</v>
      </c>
      <c r="J479" s="9" t="s">
        <v>17881</v>
      </c>
      <c r="K479" s="38" t="s">
        <v>17882</v>
      </c>
    </row>
    <row r="480" spans="1:11" ht="12.5" x14ac:dyDescent="0.25">
      <c r="A480" s="21" t="str">
        <f ca="1">IFERROR(__xludf.DUMMYFUNCTION("""COMPUTED_VALUE"""),"0014P00003YSp9JQAT")</f>
        <v>0014P00003YSp9JQAT</v>
      </c>
      <c r="B480" s="27" t="str">
        <f ca="1">IFERROR(__xludf.DUMMYFUNCTION("""COMPUTED_VALUE"""),"Fase Inicial")</f>
        <v>Fase Inicial</v>
      </c>
      <c r="C480" s="27" t="str">
        <f ca="1">IFERROR(__xludf.DUMMYFUNCTION("""COMPUTED_VALUE"""),"Fellow")</f>
        <v>Fellow</v>
      </c>
      <c r="D480" s="27" t="str">
        <f ca="1">IFERROR(__xludf.DUMMYFUNCTION("""COMPUTED_VALUE"""),"Ativo")</f>
        <v>Ativo</v>
      </c>
      <c r="E480" s="27" t="str">
        <f ca="1">IFERROR(__xludf.DUMMYFUNCTION("""COMPUTED_VALUE"""),"Núcleo de Apoio ao Pequeno Cidadão")</f>
        <v>Núcleo de Apoio ao Pequeno Cidadão</v>
      </c>
      <c r="F480" s="21" t="str">
        <f ca="1">IFERROR(VLOOKUP(A480,'Rede - Gerando Falcões '!A479:G1475,38,0),"")</f>
        <v/>
      </c>
      <c r="G480" s="27" t="str">
        <f ca="1">IFERROR(VLOOKUP(A480,'Tabela Categorização'!A:J,10,0),"")</f>
        <v>Fase Inicial</v>
      </c>
      <c r="H480" s="27" t="b">
        <f t="shared" ca="1" si="1"/>
        <v>1</v>
      </c>
      <c r="I480" s="21" t="str">
        <f>HYPERLINK("https://gerandofalcoes.my.salesforce.com/0034X0000380O5wQAE", "0034X0000380O5wQAE")</f>
        <v>0034X0000380O5wQAE</v>
      </c>
      <c r="J480" s="9" t="s">
        <v>17881</v>
      </c>
      <c r="K480" s="38" t="s">
        <v>17882</v>
      </c>
    </row>
    <row r="481" spans="1:11" ht="12.5" x14ac:dyDescent="0.25">
      <c r="A481" s="21" t="str">
        <f ca="1">IFERROR(__xludf.DUMMYFUNCTION("""COMPUTED_VALUE"""),"0014X00002VKCouQAH")</f>
        <v>0014X00002VKCouQAH</v>
      </c>
      <c r="B481" s="27" t="str">
        <f ca="1">IFERROR(__xludf.DUMMYFUNCTION("""COMPUTED_VALUE"""),"Fase Inicial")</f>
        <v>Fase Inicial</v>
      </c>
      <c r="C481" s="27" t="str">
        <f ca="1">IFERROR(__xludf.DUMMYFUNCTION("""COMPUTED_VALUE"""),"Fellow")</f>
        <v>Fellow</v>
      </c>
      <c r="D481" s="27" t="str">
        <f ca="1">IFERROR(__xludf.DUMMYFUNCTION("""COMPUTED_VALUE"""),"Ativo")</f>
        <v>Ativo</v>
      </c>
      <c r="E481" s="27" t="str">
        <f ca="1">IFERROR(__xludf.DUMMYFUNCTION("""COMPUTED_VALUE"""),"O2 EDUCATION")</f>
        <v>O2 EDUCATION</v>
      </c>
      <c r="F481" s="21" t="str">
        <f ca="1">IFERROR(VLOOKUP(A481,'Rede - Gerando Falcões '!A480:G1476,38,0),"")</f>
        <v/>
      </c>
      <c r="G481" s="27" t="str">
        <f ca="1">IFERROR(VLOOKUP(A481,'Tabela Categorização'!A:J,10,0),"")</f>
        <v>Fase Inicial</v>
      </c>
      <c r="H481" s="27" t="b">
        <f t="shared" ca="1" si="1"/>
        <v>1</v>
      </c>
      <c r="I481" s="21" t="str">
        <f>HYPERLINK("https://gerandofalcoes.my.salesforce.com/0034P000045kxksQAA", "0034P000045kxksQAA")</f>
        <v>0034P000045kxksQAA</v>
      </c>
      <c r="J481" s="9" t="s">
        <v>17881</v>
      </c>
      <c r="K481" s="38" t="s">
        <v>17882</v>
      </c>
    </row>
    <row r="482" spans="1:11" ht="12.5" x14ac:dyDescent="0.25">
      <c r="A482" s="21" t="str">
        <f ca="1">IFERROR(__xludf.DUMMYFUNCTION("""COMPUTED_VALUE"""),"0014P00003YSpAGQA1")</f>
        <v>0014P00003YSpAGQA1</v>
      </c>
      <c r="B482" s="27" t="str">
        <f ca="1">IFERROR(__xludf.DUMMYFUNCTION("""COMPUTED_VALUE"""),"Fase Inicial")</f>
        <v>Fase Inicial</v>
      </c>
      <c r="C482" s="27" t="str">
        <f ca="1">IFERROR(__xludf.DUMMYFUNCTION("""COMPUTED_VALUE"""),"Fellow")</f>
        <v>Fellow</v>
      </c>
      <c r="D482" s="27" t="str">
        <f ca="1">IFERROR(__xludf.DUMMYFUNCTION("""COMPUTED_VALUE"""),"Ativo")</f>
        <v>Ativo</v>
      </c>
      <c r="E482" s="27" t="str">
        <f ca="1">IFERROR(__xludf.DUMMYFUNCTION("""COMPUTED_VALUE"""),"O Bom Samaritano Contagem")</f>
        <v>O Bom Samaritano Contagem</v>
      </c>
      <c r="F482" s="21" t="str">
        <f ca="1">IFERROR(VLOOKUP(A482,'Rede - Gerando Falcões '!A481:G1477,38,0),"")</f>
        <v/>
      </c>
      <c r="G482" s="27" t="str">
        <f ca="1">IFERROR(VLOOKUP(A482,'Tabela Categorização'!A:J,10,0),"")</f>
        <v>Fase Inicial</v>
      </c>
      <c r="H482" s="27" t="b">
        <f t="shared" ca="1" si="1"/>
        <v>1</v>
      </c>
      <c r="I482" s="21" t="str">
        <f>HYPERLINK("https://gerandofalcoes.my.salesforce.com/0034P000043fOniQAE", "0034P000043fOniQAE")</f>
        <v>0034P000043fOniQAE</v>
      </c>
      <c r="J482" s="9" t="s">
        <v>17881</v>
      </c>
      <c r="K482" s="38" t="s">
        <v>17882</v>
      </c>
    </row>
    <row r="483" spans="1:11" ht="12.5" x14ac:dyDescent="0.25">
      <c r="A483" s="21" t="str">
        <f ca="1">IFERROR(__xludf.DUMMYFUNCTION("""COMPUTED_VALUE"""),"0014P00003SGWPbQAP")</f>
        <v>0014P00003SGWPbQAP</v>
      </c>
      <c r="B483" s="27" t="str">
        <f ca="1">IFERROR(__xludf.DUMMYFUNCTION("""COMPUTED_VALUE"""),"Fase Inicial")</f>
        <v>Fase Inicial</v>
      </c>
      <c r="C483" s="27" t="str">
        <f ca="1">IFERROR(__xludf.DUMMYFUNCTION("""COMPUTED_VALUE"""),"Fellow")</f>
        <v>Fellow</v>
      </c>
      <c r="D483" s="27" t="str">
        <f ca="1">IFERROR(__xludf.DUMMYFUNCTION("""COMPUTED_VALUE"""),"Ativo")</f>
        <v>Ativo</v>
      </c>
      <c r="E483" s="27" t="str">
        <f ca="1">IFERROR(__xludf.DUMMYFUNCTION("""COMPUTED_VALUE"""),"OBRAS SOCIAIS DO CENTRO ESPÍRITA OBREIROS DO SENHOR")</f>
        <v>OBRAS SOCIAIS DO CENTRO ESPÍRITA OBREIROS DO SENHOR</v>
      </c>
      <c r="F483" s="21" t="str">
        <f ca="1">IFERROR(VLOOKUP(A483,'Rede - Gerando Falcões '!A482:G1478,38,0),"")</f>
        <v/>
      </c>
      <c r="G483" s="27" t="str">
        <f ca="1">IFERROR(VLOOKUP(A483,'Tabela Categorização'!A:J,10,0),"")</f>
        <v>Fase Inicial</v>
      </c>
      <c r="H483" s="27" t="b">
        <f t="shared" ca="1" si="1"/>
        <v>1</v>
      </c>
      <c r="I483" s="21" t="str">
        <f>HYPERLINK("https://gerandofalcoes.my.salesforce.com/0034X0000380O32QAE", "0034X0000380O32QAE")</f>
        <v>0034X0000380O32QAE</v>
      </c>
      <c r="J483" s="9" t="s">
        <v>17881</v>
      </c>
      <c r="K483" s="38" t="s">
        <v>17882</v>
      </c>
    </row>
    <row r="484" spans="1:11" ht="12.5" x14ac:dyDescent="0.25">
      <c r="A484" s="21" t="str">
        <f ca="1">IFERROR(__xludf.DUMMYFUNCTION("""COMPUTED_VALUE"""),"0014X00002VKCr3QAH")</f>
        <v>0014X00002VKCr3QAH</v>
      </c>
      <c r="B484" s="27" t="str">
        <f ca="1">IFERROR(__xludf.DUMMYFUNCTION("""COMPUTED_VALUE"""),"Fase Inicial")</f>
        <v>Fase Inicial</v>
      </c>
      <c r="C484" s="27" t="str">
        <f ca="1">IFERROR(__xludf.DUMMYFUNCTION("""COMPUTED_VALUE"""),"Fellow")</f>
        <v>Fellow</v>
      </c>
      <c r="D484" s="27" t="str">
        <f ca="1">IFERROR(__xludf.DUMMYFUNCTION("""COMPUTED_VALUE"""),"Ativo")</f>
        <v>Ativo</v>
      </c>
      <c r="E484" s="27" t="str">
        <f ca="1">IFERROR(__xludf.DUMMYFUNCTION("""COMPUTED_VALUE"""),"ONG ABRAÇAR FILHAS DE MARIA")</f>
        <v>ONG ABRAÇAR FILHAS DE MARIA</v>
      </c>
      <c r="F484" s="21" t="str">
        <f ca="1">IFERROR(VLOOKUP(A484,'Rede - Gerando Falcões '!A483:G1479,38,0),"")</f>
        <v/>
      </c>
      <c r="G484" s="27" t="str">
        <f ca="1">IFERROR(VLOOKUP(A484,'Tabela Categorização'!A:J,10,0),"")</f>
        <v>Fase Inicial</v>
      </c>
      <c r="H484" s="27" t="b">
        <f t="shared" ca="1" si="1"/>
        <v>1</v>
      </c>
      <c r="I484" s="21" t="str">
        <f>HYPERLINK("https://gerandofalcoes.my.salesforce.com/0034X0000380O3aQAE", "0034X0000380O3aQAE")</f>
        <v>0034X0000380O3aQAE</v>
      </c>
      <c r="J484" s="9" t="s">
        <v>17881</v>
      </c>
      <c r="K484" s="38" t="s">
        <v>17882</v>
      </c>
    </row>
    <row r="485" spans="1:11" ht="12.5" x14ac:dyDescent="0.25">
      <c r="A485" s="21" t="str">
        <f ca="1">IFERROR(__xludf.DUMMYFUNCTION("""COMPUTED_VALUE"""),"0014X00002VKCowQAH")</f>
        <v>0014X00002VKCowQAH</v>
      </c>
      <c r="B485" s="27" t="str">
        <f ca="1">IFERROR(__xludf.DUMMYFUNCTION("""COMPUTED_VALUE"""),"Fase Inicial")</f>
        <v>Fase Inicial</v>
      </c>
      <c r="C485" s="27" t="str">
        <f ca="1">IFERROR(__xludf.DUMMYFUNCTION("""COMPUTED_VALUE"""),"Fellow")</f>
        <v>Fellow</v>
      </c>
      <c r="D485" s="27" t="str">
        <f ca="1">IFERROR(__xludf.DUMMYFUNCTION("""COMPUTED_VALUE"""),"Ativo")</f>
        <v>Ativo</v>
      </c>
      <c r="E485" s="27" t="str">
        <f ca="1">IFERROR(__xludf.DUMMYFUNCTION("""COMPUTED_VALUE"""),"ONG Centro  Zumbi dos Palmares")</f>
        <v>ONG Centro  Zumbi dos Palmares</v>
      </c>
      <c r="F485" s="21" t="str">
        <f ca="1">IFERROR(VLOOKUP(A485,'Rede - Gerando Falcões '!A484:G1480,38,0),"")</f>
        <v/>
      </c>
      <c r="G485" s="27" t="str">
        <f ca="1">IFERROR(VLOOKUP(A485,'Tabela Categorização'!A:J,10,0),"")</f>
        <v>Fase Inicial</v>
      </c>
      <c r="H485" s="27" t="b">
        <f t="shared" ca="1" si="1"/>
        <v>1</v>
      </c>
      <c r="I485" s="21" t="str">
        <f>HYPERLINK("https://gerandofalcoes.my.salesforce.com/0034X0000380O6hQAE", "0034X0000380O6hQAE")</f>
        <v>0034X0000380O6hQAE</v>
      </c>
      <c r="J485" s="9" t="s">
        <v>17881</v>
      </c>
      <c r="K485" s="38" t="s">
        <v>17882</v>
      </c>
    </row>
    <row r="486" spans="1:11" ht="12.5" x14ac:dyDescent="0.25">
      <c r="A486" s="21" t="str">
        <f ca="1">IFERROR(__xludf.DUMMYFUNCTION("""COMPUTED_VALUE"""),"0014X00002VKCrfQAH")</f>
        <v>0014X00002VKCrfQAH</v>
      </c>
      <c r="B486" s="27" t="str">
        <f ca="1">IFERROR(__xludf.DUMMYFUNCTION("""COMPUTED_VALUE"""),"Fase Inicial")</f>
        <v>Fase Inicial</v>
      </c>
      <c r="C486" s="27" t="str">
        <f ca="1">IFERROR(__xludf.DUMMYFUNCTION("""COMPUTED_VALUE"""),"Fellow")</f>
        <v>Fellow</v>
      </c>
      <c r="D486" s="27" t="str">
        <f ca="1">IFERROR(__xludf.DUMMYFUNCTION("""COMPUTED_VALUE"""),"Ativo")</f>
        <v>Ativo</v>
      </c>
      <c r="E486" s="27" t="str">
        <f ca="1">IFERROR(__xludf.DUMMYFUNCTION("""COMPUTED_VALUE"""),"Ong Deus é Fiel")</f>
        <v>Ong Deus é Fiel</v>
      </c>
      <c r="F486" s="21" t="str">
        <f ca="1">IFERROR(VLOOKUP(A486,'Rede - Gerando Falcões '!A485:G1481,38,0),"")</f>
        <v/>
      </c>
      <c r="G486" s="27" t="str">
        <f ca="1">IFERROR(VLOOKUP(A486,'Tabela Categorização'!A:J,10,0),"")</f>
        <v>Fase Inicial</v>
      </c>
      <c r="H486" s="27" t="b">
        <f t="shared" ca="1" si="1"/>
        <v>1</v>
      </c>
      <c r="I486" s="21" t="str">
        <f>HYPERLINK("https://gerandofalcoes.my.salesforce.com/0034P000045kxkdQAA", "0034P000045kxkdQAA")</f>
        <v>0034P000045kxkdQAA</v>
      </c>
      <c r="J486" s="9" t="s">
        <v>17881</v>
      </c>
      <c r="K486" s="38" t="s">
        <v>17882</v>
      </c>
    </row>
    <row r="487" spans="1:11" ht="12.5" x14ac:dyDescent="0.25">
      <c r="A487" s="21" t="str">
        <f ca="1">IFERROR(__xludf.DUMMYFUNCTION("""COMPUTED_VALUE"""),"0014P00003YSpA1QAL")</f>
        <v>0014P00003YSpA1QAL</v>
      </c>
      <c r="B487" s="27" t="str">
        <f ca="1">IFERROR(__xludf.DUMMYFUNCTION("""COMPUTED_VALUE"""),"Fase Inicial")</f>
        <v>Fase Inicial</v>
      </c>
      <c r="C487" s="27" t="str">
        <f ca="1">IFERROR(__xludf.DUMMYFUNCTION("""COMPUTED_VALUE"""),"Fellow")</f>
        <v>Fellow</v>
      </c>
      <c r="D487" s="27" t="str">
        <f ca="1">IFERROR(__xludf.DUMMYFUNCTION("""COMPUTED_VALUE"""),"Ativo")</f>
        <v>Ativo</v>
      </c>
      <c r="E487" s="27" t="str">
        <f ca="1">IFERROR(__xludf.DUMMYFUNCTION("""COMPUTED_VALUE"""),"Ong Esperança Brasil")</f>
        <v>Ong Esperança Brasil</v>
      </c>
      <c r="F487" s="21" t="str">
        <f ca="1">IFERROR(VLOOKUP(A487,'Rede - Gerando Falcões '!A486:G1482,38,0),"")</f>
        <v/>
      </c>
      <c r="G487" s="27" t="str">
        <f ca="1">IFERROR(VLOOKUP(A487,'Tabela Categorização'!A:J,10,0),"")</f>
        <v>Fase Inicial</v>
      </c>
      <c r="H487" s="27" t="b">
        <f t="shared" ca="1" si="1"/>
        <v>1</v>
      </c>
      <c r="I487" s="21" t="str">
        <f>HYPERLINK("https://gerandofalcoes.my.salesforce.com/0034X0000380O4LQAU", "0034X0000380O4LQAU")</f>
        <v>0034X0000380O4LQAU</v>
      </c>
      <c r="J487" s="9" t="s">
        <v>17881</v>
      </c>
      <c r="K487" s="38" t="s">
        <v>17882</v>
      </c>
    </row>
    <row r="488" spans="1:11" ht="12.5" x14ac:dyDescent="0.25">
      <c r="A488" s="21" t="str">
        <f ca="1">IFERROR(__xludf.DUMMYFUNCTION("""COMPUTED_VALUE"""),"0014X00002VKCubQAH")</f>
        <v>0014X00002VKCubQAH</v>
      </c>
      <c r="B488" s="27" t="str">
        <f ca="1">IFERROR(__xludf.DUMMYFUNCTION("""COMPUTED_VALUE"""),"Fase Inicial")</f>
        <v>Fase Inicial</v>
      </c>
      <c r="C488" s="27" t="str">
        <f ca="1">IFERROR(__xludf.DUMMYFUNCTION("""COMPUTED_VALUE"""),"Fellow")</f>
        <v>Fellow</v>
      </c>
      <c r="D488" s="27" t="str">
        <f ca="1">IFERROR(__xludf.DUMMYFUNCTION("""COMPUTED_VALUE"""),"Ativo")</f>
        <v>Ativo</v>
      </c>
      <c r="E488" s="27" t="str">
        <f ca="1">IFERROR(__xludf.DUMMYFUNCTION("""COMPUTED_VALUE"""),"Ong Heróis dos Lacres")</f>
        <v>Ong Heróis dos Lacres</v>
      </c>
      <c r="F488" s="21" t="str">
        <f ca="1">IFERROR(VLOOKUP(A488,'Rede - Gerando Falcões '!A487:G1483,38,0),"")</f>
        <v/>
      </c>
      <c r="G488" s="27" t="str">
        <f ca="1">IFERROR(VLOOKUP(A488,'Tabela Categorização'!A:J,10,0),"")</f>
        <v>Fase Inicial</v>
      </c>
      <c r="H488" s="27" t="b">
        <f t="shared" ca="1" si="1"/>
        <v>1</v>
      </c>
      <c r="I488" s="21" t="str">
        <f>HYPERLINK("https://gerandofalcoes.my.salesforce.com/0034X0000380O58QAE", "0034X0000380O58QAE")</f>
        <v>0034X0000380O58QAE</v>
      </c>
      <c r="J488" s="9" t="s">
        <v>17881</v>
      </c>
      <c r="K488" s="38" t="s">
        <v>17882</v>
      </c>
    </row>
    <row r="489" spans="1:11" ht="12.5" x14ac:dyDescent="0.25">
      <c r="A489" s="21" t="str">
        <f ca="1">IFERROR(__xludf.DUMMYFUNCTION("""COMPUTED_VALUE"""),"0014X00002VKCv8QAH")</f>
        <v>0014X00002VKCv8QAH</v>
      </c>
      <c r="B489" s="27" t="str">
        <f ca="1">IFERROR(__xludf.DUMMYFUNCTION("""COMPUTED_VALUE"""),"Fase Inicial")</f>
        <v>Fase Inicial</v>
      </c>
      <c r="C489" s="27" t="str">
        <f ca="1">IFERROR(__xludf.DUMMYFUNCTION("""COMPUTED_VALUE"""),"Fellow")</f>
        <v>Fellow</v>
      </c>
      <c r="D489" s="27" t="str">
        <f ca="1">IFERROR(__xludf.DUMMYFUNCTION("""COMPUTED_VALUE"""),"Ativo")</f>
        <v>Ativo</v>
      </c>
      <c r="E489" s="27" t="str">
        <f ca="1">IFERROR(__xludf.DUMMYFUNCTION("""COMPUTED_VALUE"""),"ONG instituto vitória de Sá")</f>
        <v>ONG instituto vitória de Sá</v>
      </c>
      <c r="F489" s="21" t="str">
        <f ca="1">IFERROR(VLOOKUP(A489,'Rede - Gerando Falcões '!A488:G1484,38,0),"")</f>
        <v/>
      </c>
      <c r="G489" s="27" t="str">
        <f ca="1">IFERROR(VLOOKUP(A489,'Tabela Categorização'!A:J,10,0),"")</f>
        <v>Fase Inicial</v>
      </c>
      <c r="H489" s="27" t="b">
        <f t="shared" ca="1" si="1"/>
        <v>1</v>
      </c>
      <c r="I489" s="21" t="str">
        <f>HYPERLINK("https://gerandofalcoes.my.salesforce.com/0034X0000380O2CQAU", "0034X0000380O2CQAU")</f>
        <v>0034X0000380O2CQAU</v>
      </c>
      <c r="J489" s="9" t="s">
        <v>17881</v>
      </c>
      <c r="K489" s="38" t="s">
        <v>17882</v>
      </c>
    </row>
    <row r="490" spans="1:11" ht="12.5" x14ac:dyDescent="0.25">
      <c r="A490" s="21" t="str">
        <f ca="1">IFERROR(__xludf.DUMMYFUNCTION("""COMPUTED_VALUE"""),"0014X00002VKCtRQAX")</f>
        <v>0014X00002VKCtRQAX</v>
      </c>
      <c r="B490" s="27" t="str">
        <f ca="1">IFERROR(__xludf.DUMMYFUNCTION("""COMPUTED_VALUE"""),"Fase Inicial")</f>
        <v>Fase Inicial</v>
      </c>
      <c r="C490" s="27" t="str">
        <f ca="1">IFERROR(__xludf.DUMMYFUNCTION("""COMPUTED_VALUE"""),"Fellow")</f>
        <v>Fellow</v>
      </c>
      <c r="D490" s="27" t="str">
        <f ca="1">IFERROR(__xludf.DUMMYFUNCTION("""COMPUTED_VALUE"""),"Ativo")</f>
        <v>Ativo</v>
      </c>
      <c r="E490" s="27" t="str">
        <f ca="1">IFERROR(__xludf.DUMMYFUNCTION("""COMPUTED_VALUE"""),"Ong Potiarte Educação PAE Projeto ABC Hip Hop Kids")</f>
        <v>Ong Potiarte Educação PAE Projeto ABC Hip Hop Kids</v>
      </c>
      <c r="F490" s="21" t="str">
        <f ca="1">IFERROR(VLOOKUP(A490,'Rede - Gerando Falcões '!A489:G1485,38,0),"")</f>
        <v/>
      </c>
      <c r="G490" s="27" t="str">
        <f ca="1">IFERROR(VLOOKUP(A490,'Tabela Categorização'!A:J,10,0),"")</f>
        <v>Fase Inicial</v>
      </c>
      <c r="H490" s="27" t="b">
        <f t="shared" ca="1" si="1"/>
        <v>1</v>
      </c>
      <c r="I490" s="21" t="str">
        <f>HYPERLINK("https://gerandofalcoes.my.salesforce.com/0034X0000380O3MQAU", "0034X0000380O3MQAU")</f>
        <v>0034X0000380O3MQAU</v>
      </c>
      <c r="J490" s="9" t="s">
        <v>17881</v>
      </c>
      <c r="K490" s="38" t="s">
        <v>17882</v>
      </c>
    </row>
    <row r="491" spans="1:11" ht="12.5" x14ac:dyDescent="0.25">
      <c r="A491" s="21" t="str">
        <f ca="1">IFERROR(__xludf.DUMMYFUNCTION("""COMPUTED_VALUE"""),"0014X00002VKCsxQAH")</f>
        <v>0014X00002VKCsxQAH</v>
      </c>
      <c r="B491" s="27" t="str">
        <f ca="1">IFERROR(__xludf.DUMMYFUNCTION("""COMPUTED_VALUE"""),"Fase Inicial")</f>
        <v>Fase Inicial</v>
      </c>
      <c r="C491" s="27" t="str">
        <f ca="1">IFERROR(__xludf.DUMMYFUNCTION("""COMPUTED_VALUE"""),"Fellow")</f>
        <v>Fellow</v>
      </c>
      <c r="D491" s="27" t="str">
        <f ca="1">IFERROR(__xludf.DUMMYFUNCTION("""COMPUTED_VALUE"""),"Ativo")</f>
        <v>Ativo</v>
      </c>
      <c r="E491" s="27" t="str">
        <f ca="1">IFERROR(__xludf.DUMMYFUNCTION("""COMPUTED_VALUE"""),"Ong resgatando a inocencia")</f>
        <v>Ong resgatando a inocencia</v>
      </c>
      <c r="F491" s="21" t="str">
        <f ca="1">IFERROR(VLOOKUP(A491,'Rede - Gerando Falcões '!A490:G1486,38,0),"")</f>
        <v/>
      </c>
      <c r="G491" s="27" t="str">
        <f ca="1">IFERROR(VLOOKUP(A491,'Tabela Categorização'!A:J,10,0),"")</f>
        <v>Fase Inicial</v>
      </c>
      <c r="H491" s="27" t="b">
        <f t="shared" ca="1" si="1"/>
        <v>1</v>
      </c>
      <c r="I491" s="21" t="str">
        <f>HYPERLINK("https://gerandofalcoes.my.salesforce.com/0034P00003maBVXQA2", "0034P00003maBVXQA2")</f>
        <v>0034P00003maBVXQA2</v>
      </c>
      <c r="J491" s="9" t="s">
        <v>17881</v>
      </c>
      <c r="K491" s="38" t="s">
        <v>17882</v>
      </c>
    </row>
    <row r="492" spans="1:11" ht="12.5" x14ac:dyDescent="0.25">
      <c r="A492" s="21" t="str">
        <f ca="1">IFERROR(__xludf.DUMMYFUNCTION("""COMPUTED_VALUE"""),"0014P00003AN2G3QAL")</f>
        <v>0014P00003AN2G3QAL</v>
      </c>
      <c r="B492" s="27" t="str">
        <f ca="1">IFERROR(__xludf.DUMMYFUNCTION("""COMPUTED_VALUE"""),"Fase Estruturação")</f>
        <v>Fase Estruturação</v>
      </c>
      <c r="C492" s="27" t="str">
        <f ca="1">IFERROR(__xludf.DUMMYFUNCTION("""COMPUTED_VALUE"""),"Acelerada")</f>
        <v>Acelerada</v>
      </c>
      <c r="D492" s="27" t="str">
        <f ca="1">IFERROR(__xludf.DUMMYFUNCTION("""COMPUTED_VALUE"""),"Ativo")</f>
        <v>Ativo</v>
      </c>
      <c r="E492" s="27" t="str">
        <f ca="1">IFERROR(__xludf.DUMMYFUNCTION("""COMPUTED_VALUE"""),"Organização da Sociedade Civil Izaias Luzia da Silva")</f>
        <v>Organização da Sociedade Civil Izaias Luzia da Silva</v>
      </c>
      <c r="F492" s="21" t="str">
        <f ca="1">IFERROR(VLOOKUP(A492,'Rede - Gerando Falcões '!A491:G1487,38,0),"")</f>
        <v/>
      </c>
      <c r="G492" s="27" t="str">
        <f ca="1">IFERROR(VLOOKUP(A492,'Tabela Categorização'!A:J,10,0),"")</f>
        <v>Fase Estruturação</v>
      </c>
      <c r="H492" s="27" t="b">
        <f t="shared" ca="1" si="1"/>
        <v>1</v>
      </c>
      <c r="I492" s="21" t="str">
        <f>HYPERLINK("https://gerandofalcoes.my.salesforce.com/0034P000045kxjJQAQ", "0034P000045kxjJQAQ")</f>
        <v>0034P000045kxjJQAQ</v>
      </c>
      <c r="J492" s="9" t="s">
        <v>17881</v>
      </c>
      <c r="K492" s="38" t="s">
        <v>17882</v>
      </c>
    </row>
    <row r="493" spans="1:11" ht="12.5" x14ac:dyDescent="0.25">
      <c r="A493" s="21" t="str">
        <f ca="1">IFERROR(__xludf.DUMMYFUNCTION("""COMPUTED_VALUE"""),"0014P00003YSp8iQAD")</f>
        <v>0014P00003YSp8iQAD</v>
      </c>
      <c r="B493" s="27" t="str">
        <f ca="1">IFERROR(__xludf.DUMMYFUNCTION("""COMPUTED_VALUE"""),"Fase Inicial")</f>
        <v>Fase Inicial</v>
      </c>
      <c r="C493" s="27" t="str">
        <f ca="1">IFERROR(__xludf.DUMMYFUNCTION("""COMPUTED_VALUE"""),"Fellow")</f>
        <v>Fellow</v>
      </c>
      <c r="D493" s="27" t="str">
        <f ca="1">IFERROR(__xludf.DUMMYFUNCTION("""COMPUTED_VALUE"""),"Ativo")</f>
        <v>Ativo</v>
      </c>
      <c r="E493" s="27" t="str">
        <f ca="1">IFERROR(__xludf.DUMMYFUNCTION("""COMPUTED_VALUE"""),"Organização de Desenvolvimento do Potencial Humano")</f>
        <v>Organização de Desenvolvimento do Potencial Humano</v>
      </c>
      <c r="F493" s="21" t="str">
        <f ca="1">IFERROR(VLOOKUP(A493,'Rede - Gerando Falcões '!A492:G1488,38,0),"")</f>
        <v/>
      </c>
      <c r="G493" s="27" t="str">
        <f ca="1">IFERROR(VLOOKUP(A493,'Tabela Categorização'!A:J,10,0),"")</f>
        <v>Fase Inicial</v>
      </c>
      <c r="H493" s="27" t="b">
        <f t="shared" ca="1" si="1"/>
        <v>1</v>
      </c>
      <c r="I493" s="21" t="str">
        <f>HYPERLINK("https://gerandofalcoes.my.salesforce.com/0034P000043fPDoQAM", "0034P000043fPDoQAM")</f>
        <v>0034P000043fPDoQAM</v>
      </c>
      <c r="J493" s="9" t="s">
        <v>17881</v>
      </c>
      <c r="K493" s="38" t="s">
        <v>17882</v>
      </c>
    </row>
    <row r="494" spans="1:11" ht="12.5" x14ac:dyDescent="0.25">
      <c r="A494" s="21" t="str">
        <f ca="1">IFERROR(__xludf.DUMMYFUNCTION("""COMPUTED_VALUE"""),"0014P00003SGWQ3QAP")</f>
        <v>0014P00003SGWQ3QAP</v>
      </c>
      <c r="B494" s="27" t="str">
        <f ca="1">IFERROR(__xludf.DUMMYFUNCTION("""COMPUTED_VALUE"""),"Fase Inicial")</f>
        <v>Fase Inicial</v>
      </c>
      <c r="C494" s="27" t="str">
        <f ca="1">IFERROR(__xludf.DUMMYFUNCTION("""COMPUTED_VALUE"""),"Fellow")</f>
        <v>Fellow</v>
      </c>
      <c r="D494" s="27" t="str">
        <f ca="1">IFERROR(__xludf.DUMMYFUNCTION("""COMPUTED_VALUE"""),"Ativo")</f>
        <v>Ativo</v>
      </c>
      <c r="E494" s="27" t="str">
        <f ca="1">IFERROR(__xludf.DUMMYFUNCTION("""COMPUTED_VALUE"""),"ORGANIZAÇÃO LIBERTARIOS DO CAPÃO REDONDO")</f>
        <v>ORGANIZAÇÃO LIBERTARIOS DO CAPÃO REDONDO</v>
      </c>
      <c r="F494" s="21" t="str">
        <f ca="1">IFERROR(VLOOKUP(A494,'Rede - Gerando Falcões '!A493:G1489,38,0),"")</f>
        <v/>
      </c>
      <c r="G494" s="27" t="str">
        <f ca="1">IFERROR(VLOOKUP(A494,'Tabela Categorização'!A:J,10,0),"")</f>
        <v>Fase Inicial</v>
      </c>
      <c r="H494" s="27" t="b">
        <f t="shared" ca="1" si="1"/>
        <v>1</v>
      </c>
      <c r="I494" s="21" t="str">
        <f>HYPERLINK("https://gerandofalcoes.my.salesforce.com/0034P00003maBVFQA2", "0034P00003maBVFQA2")</f>
        <v>0034P00003maBVFQA2</v>
      </c>
      <c r="J494" s="9" t="s">
        <v>17881</v>
      </c>
      <c r="K494" s="38" t="s">
        <v>17882</v>
      </c>
    </row>
    <row r="495" spans="1:11" ht="12.5" x14ac:dyDescent="0.25">
      <c r="A495" s="21" t="str">
        <f ca="1">IFERROR(__xludf.DUMMYFUNCTION("""COMPUTED_VALUE"""),"0014P00003AN2FoQAL")</f>
        <v>0014P00003AN2FoQAL</v>
      </c>
      <c r="B495" s="27" t="str">
        <f ca="1">IFERROR(__xludf.DUMMYFUNCTION("""COMPUTED_VALUE"""),"Fase Inicial")</f>
        <v>Fase Inicial</v>
      </c>
      <c r="C495" s="27" t="str">
        <f ca="1">IFERROR(__xludf.DUMMYFUNCTION("""COMPUTED_VALUE"""),"Fellow")</f>
        <v>Fellow</v>
      </c>
      <c r="D495" s="27" t="str">
        <f ca="1">IFERROR(__xludf.DUMMYFUNCTION("""COMPUTED_VALUE"""),"Ativo")</f>
        <v>Ativo</v>
      </c>
      <c r="E495" s="27" t="str">
        <f ca="1">IFERROR(__xludf.DUMMYFUNCTION("""COMPUTED_VALUE"""),"Organização Novos Herdeiros Humanísticos")</f>
        <v>Organização Novos Herdeiros Humanísticos</v>
      </c>
      <c r="F495" s="21" t="str">
        <f ca="1">IFERROR(VLOOKUP(A495,'Rede - Gerando Falcões '!A494:G1490,38,0),"")</f>
        <v/>
      </c>
      <c r="G495" s="27" t="str">
        <f ca="1">IFERROR(VLOOKUP(A495,'Tabela Categorização'!A:J,10,0),"")</f>
        <v>Fase Inicial</v>
      </c>
      <c r="H495" s="27" t="b">
        <f t="shared" ca="1" si="1"/>
        <v>1</v>
      </c>
      <c r="I495" s="21" t="str">
        <f>HYPERLINK("https://gerandofalcoes.my.salesforce.com/0034P000045kxjNQAQ", "0034P000045kxjNQAQ")</f>
        <v>0034P000045kxjNQAQ</v>
      </c>
      <c r="J495" s="9" t="s">
        <v>17881</v>
      </c>
      <c r="K495" s="38" t="s">
        <v>17882</v>
      </c>
    </row>
    <row r="496" spans="1:11" ht="12.5" x14ac:dyDescent="0.25">
      <c r="A496" s="21" t="str">
        <f ca="1">IFERROR(__xludf.DUMMYFUNCTION("""COMPUTED_VALUE"""),"0014P00003YSp8lQAD")</f>
        <v>0014P00003YSp8lQAD</v>
      </c>
      <c r="B496" s="27" t="str">
        <f ca="1">IFERROR(__xludf.DUMMYFUNCTION("""COMPUTED_VALUE"""),"Fase Inicial")</f>
        <v>Fase Inicial</v>
      </c>
      <c r="C496" s="27" t="str">
        <f ca="1">IFERROR(__xludf.DUMMYFUNCTION("""COMPUTED_VALUE"""),"Fellow")</f>
        <v>Fellow</v>
      </c>
      <c r="D496" s="27" t="str">
        <f ca="1">IFERROR(__xludf.DUMMYFUNCTION("""COMPUTED_VALUE"""),"Ativo")</f>
        <v>Ativo</v>
      </c>
      <c r="E496" s="27" t="str">
        <f ca="1">IFERROR(__xludf.DUMMYFUNCTION("""COMPUTED_VALUE"""),"ORGANIZACAO SOCIAL IDENTIDADE PERIFERICA")</f>
        <v>ORGANIZACAO SOCIAL IDENTIDADE PERIFERICA</v>
      </c>
      <c r="F496" s="21" t="str">
        <f ca="1">IFERROR(VLOOKUP(A496,'Rede - Gerando Falcões '!A495:G1491,38,0),"")</f>
        <v/>
      </c>
      <c r="G496" s="27" t="str">
        <f ca="1">IFERROR(VLOOKUP(A496,'Tabela Categorização'!A:J,10,0),"")</f>
        <v>Fase Inicial</v>
      </c>
      <c r="H496" s="27" t="b">
        <f t="shared" ca="1" si="1"/>
        <v>1</v>
      </c>
      <c r="I496" s="21" t="str">
        <f>HYPERLINK("https://gerandofalcoes.my.salesforce.com/0034X0000380O57QAE", "0034X0000380O57QAE")</f>
        <v>0034X0000380O57QAE</v>
      </c>
      <c r="J496" s="9" t="s">
        <v>17881</v>
      </c>
      <c r="K496" s="38" t="s">
        <v>17882</v>
      </c>
    </row>
    <row r="497" spans="1:11" ht="12.5" x14ac:dyDescent="0.25">
      <c r="A497" s="21" t="str">
        <f ca="1">IFERROR(__xludf.DUMMYFUNCTION("""COMPUTED_VALUE"""),"0014X00002VKCsQQAX")</f>
        <v>0014X00002VKCsQQAX</v>
      </c>
      <c r="B497" s="27" t="str">
        <f ca="1">IFERROR(__xludf.DUMMYFUNCTION("""COMPUTED_VALUE"""),"Fase Inicial")</f>
        <v>Fase Inicial</v>
      </c>
      <c r="C497" s="27" t="str">
        <f ca="1">IFERROR(__xludf.DUMMYFUNCTION("""COMPUTED_VALUE"""),"Fellow")</f>
        <v>Fellow</v>
      </c>
      <c r="D497" s="27" t="str">
        <f ca="1">IFERROR(__xludf.DUMMYFUNCTION("""COMPUTED_VALUE"""),"Ativo")</f>
        <v>Ativo</v>
      </c>
      <c r="E497" s="27" t="str">
        <f ca="1">IFERROR(__xludf.DUMMYFUNCTION("""COMPUTED_VALUE"""),"OSC CRESCE COMUNIDADE")</f>
        <v>OSC CRESCE COMUNIDADE</v>
      </c>
      <c r="F497" s="21" t="str">
        <f ca="1">IFERROR(VLOOKUP(A497,'Rede - Gerando Falcões '!A496:G1492,38,0),"")</f>
        <v/>
      </c>
      <c r="G497" s="27" t="str">
        <f ca="1">IFERROR(VLOOKUP(A497,'Tabela Categorização'!A:J,10,0),"")</f>
        <v>Fase Inicial</v>
      </c>
      <c r="H497" s="27" t="b">
        <f t="shared" ca="1" si="1"/>
        <v>1</v>
      </c>
      <c r="I497" s="21" t="str">
        <f>HYPERLINK("https://gerandofalcoes.my.salesforce.com/0034X0000380O0xQAE", "0034X0000380O0xQAE")</f>
        <v>0034X0000380O0xQAE</v>
      </c>
      <c r="J497" s="9" t="s">
        <v>17881</v>
      </c>
      <c r="K497" s="38" t="s">
        <v>17882</v>
      </c>
    </row>
    <row r="498" spans="1:11" ht="12.5" x14ac:dyDescent="0.25">
      <c r="A498" s="21" t="str">
        <f ca="1">IFERROR(__xludf.DUMMYFUNCTION("""COMPUTED_VALUE"""),"0014X00002VKCoxQAH")</f>
        <v>0014X00002VKCoxQAH</v>
      </c>
      <c r="B498" s="27" t="str">
        <f ca="1">IFERROR(__xludf.DUMMYFUNCTION("""COMPUTED_VALUE"""),"Fase Inicial")</f>
        <v>Fase Inicial</v>
      </c>
      <c r="C498" s="27" t="str">
        <f ca="1">IFERROR(__xludf.DUMMYFUNCTION("""COMPUTED_VALUE"""),"Fellow")</f>
        <v>Fellow</v>
      </c>
      <c r="D498" s="27" t="str">
        <f ca="1">IFERROR(__xludf.DUMMYFUNCTION("""COMPUTED_VALUE"""),"Ativo")</f>
        <v>Ativo</v>
      </c>
      <c r="E498" s="27" t="str">
        <f ca="1">IFERROR(__xludf.DUMMYFUNCTION("""COMPUTED_VALUE"""),"Oscip Jovem Sertão")</f>
        <v>Oscip Jovem Sertão</v>
      </c>
      <c r="F498" s="21" t="str">
        <f ca="1">IFERROR(VLOOKUP(A498,'Rede - Gerando Falcões '!A497:G1493,38,0),"")</f>
        <v/>
      </c>
      <c r="G498" s="27" t="str">
        <f ca="1">IFERROR(VLOOKUP(A498,'Tabela Categorização'!A:J,10,0),"")</f>
        <v>Fase Inicial</v>
      </c>
      <c r="H498" s="27" t="b">
        <f t="shared" ca="1" si="1"/>
        <v>1</v>
      </c>
      <c r="I498" s="21" t="str">
        <f>HYPERLINK("https://gerandofalcoes.my.salesforce.com/0034P000045kxiGQAQ", "0034P000045kxiGQAQ")</f>
        <v>0034P000045kxiGQAQ</v>
      </c>
      <c r="J498" s="9" t="s">
        <v>17881</v>
      </c>
      <c r="K498" s="38" t="s">
        <v>17882</v>
      </c>
    </row>
    <row r="499" spans="1:11" ht="12.5" x14ac:dyDescent="0.25">
      <c r="A499" s="21" t="str">
        <f ca="1">IFERROR(__xludf.DUMMYFUNCTION("""COMPUTED_VALUE"""),"0014P00003YSp7fQAD")</f>
        <v>0014P00003YSp7fQAD</v>
      </c>
      <c r="B499" s="27" t="str">
        <f ca="1">IFERROR(__xludf.DUMMYFUNCTION("""COMPUTED_VALUE"""),"Fase Inicial")</f>
        <v>Fase Inicial</v>
      </c>
      <c r="C499" s="27" t="str">
        <f ca="1">IFERROR(__xludf.DUMMYFUNCTION("""COMPUTED_VALUE"""),"Fellow")</f>
        <v>Fellow</v>
      </c>
      <c r="D499" s="27" t="str">
        <f ca="1">IFERROR(__xludf.DUMMYFUNCTION("""COMPUTED_VALUE"""),"Ativo")</f>
        <v>Ativo</v>
      </c>
      <c r="E499" s="27" t="str">
        <f ca="1">IFERROR(__xludf.DUMMYFUNCTION("""COMPUTED_VALUE"""),"OSC PONTO SOCIAL")</f>
        <v>OSC PONTO SOCIAL</v>
      </c>
      <c r="F499" s="21" t="str">
        <f ca="1">IFERROR(VLOOKUP(A499,'Rede - Gerando Falcões '!A498:G1494,38,0),"")</f>
        <v/>
      </c>
      <c r="G499" s="27" t="str">
        <f ca="1">IFERROR(VLOOKUP(A499,'Tabela Categorização'!A:J,10,0),"")</f>
        <v>Fase Inicial</v>
      </c>
      <c r="H499" s="27" t="b">
        <f t="shared" ca="1" si="1"/>
        <v>1</v>
      </c>
      <c r="I499" s="21" t="str">
        <f>HYPERLINK("https://gerandofalcoes.my.salesforce.com/0034X000032HsKKQA0", "0034X000032HsKKQA0")</f>
        <v>0034X000032HsKKQA0</v>
      </c>
      <c r="J499" s="9" t="s">
        <v>17881</v>
      </c>
      <c r="K499" s="38" t="s">
        <v>17882</v>
      </c>
    </row>
    <row r="500" spans="1:11" ht="12.5" x14ac:dyDescent="0.25">
      <c r="A500" s="21" t="str">
        <f ca="1">IFERROR(__xludf.DUMMYFUNCTION("""COMPUTED_VALUE"""),"0014X00002PUOdWQAX")</f>
        <v>0014X00002PUOdWQAX</v>
      </c>
      <c r="B500" s="27" t="str">
        <f ca="1">IFERROR(__xludf.DUMMYFUNCTION("""COMPUTED_VALUE"""),"Fase Inicial")</f>
        <v>Fase Inicial</v>
      </c>
      <c r="C500" s="27" t="str">
        <f ca="1">IFERROR(__xludf.DUMMYFUNCTION("""COMPUTED_VALUE"""),"Fellow")</f>
        <v>Fellow</v>
      </c>
      <c r="D500" s="27" t="str">
        <f ca="1">IFERROR(__xludf.DUMMYFUNCTION("""COMPUTED_VALUE"""),"Ativo")</f>
        <v>Ativo</v>
      </c>
      <c r="E500" s="27" t="str">
        <f ca="1">IFERROR(__xludf.DUMMYFUNCTION("""COMPUTED_VALUE"""),"PALAVRAS ENCANTADAS")</f>
        <v>PALAVRAS ENCANTADAS</v>
      </c>
      <c r="F500" s="21" t="str">
        <f ca="1">IFERROR(VLOOKUP(A500,'Rede - Gerando Falcões '!A499:G1495,38,0),"")</f>
        <v/>
      </c>
      <c r="G500" s="27" t="str">
        <f ca="1">IFERROR(VLOOKUP(A500,'Tabela Categorização'!A:J,10,0),"")</f>
        <v>Fase Inicial</v>
      </c>
      <c r="H500" s="27" t="b">
        <f t="shared" ca="1" si="1"/>
        <v>1</v>
      </c>
      <c r="I500" s="21" t="str">
        <f>HYPERLINK("https://gerandofalcoes.my.salesforce.com/0034P000045kxjnQAA", "0034P000045kxjnQAA")</f>
        <v>0034P000045kxjnQAA</v>
      </c>
      <c r="J500" s="9" t="s">
        <v>17881</v>
      </c>
      <c r="K500" s="38" t="s">
        <v>17882</v>
      </c>
    </row>
    <row r="501" spans="1:11" ht="12.5" x14ac:dyDescent="0.25">
      <c r="A501" s="21" t="str">
        <f ca="1">IFERROR(__xludf.DUMMYFUNCTION("""COMPUTED_VALUE"""),"0014P00003YSp9BQAT")</f>
        <v>0014P00003YSp9BQAT</v>
      </c>
      <c r="B501" s="27" t="str">
        <f ca="1">IFERROR(__xludf.DUMMYFUNCTION("""COMPUTED_VALUE"""),"Fase Inicial")</f>
        <v>Fase Inicial</v>
      </c>
      <c r="C501" s="27" t="str">
        <f ca="1">IFERROR(__xludf.DUMMYFUNCTION("""COMPUTED_VALUE"""),"Fellow")</f>
        <v>Fellow</v>
      </c>
      <c r="D501" s="27" t="str">
        <f ca="1">IFERROR(__xludf.DUMMYFUNCTION("""COMPUTED_VALUE"""),"Ativo")</f>
        <v>Ativo</v>
      </c>
      <c r="E501" s="27" t="str">
        <f ca="1">IFERROR(__xludf.DUMMYFUNCTION("""COMPUTED_VALUE"""),"Patronato Juvenil Garcense")</f>
        <v>Patronato Juvenil Garcense</v>
      </c>
      <c r="F501" s="21" t="str">
        <f ca="1">IFERROR(VLOOKUP(A501,'Rede - Gerando Falcões '!A500:G1496,38,0),"")</f>
        <v/>
      </c>
      <c r="G501" s="27" t="str">
        <f ca="1">IFERROR(VLOOKUP(A501,'Tabela Categorização'!A:J,10,0),"")</f>
        <v>Fase Inicial</v>
      </c>
      <c r="H501" s="27" t="b">
        <f t="shared" ca="1" si="1"/>
        <v>1</v>
      </c>
      <c r="I501" s="21" t="str">
        <f>HYPERLINK("https://gerandofalcoes.my.salesforce.com/0034X0000380O3cQAE", "0034X0000380O3cQAE")</f>
        <v>0034X0000380O3cQAE</v>
      </c>
      <c r="J501" s="9" t="s">
        <v>17881</v>
      </c>
      <c r="K501" s="38" t="s">
        <v>17882</v>
      </c>
    </row>
    <row r="502" spans="1:11" ht="12.5" x14ac:dyDescent="0.25">
      <c r="A502" s="21" t="str">
        <f ca="1">IFERROR(__xludf.DUMMYFUNCTION("""COMPUTED_VALUE"""),"0014X00002VKCqBQAX")</f>
        <v>0014X00002VKCqBQAX</v>
      </c>
      <c r="B502" s="27" t="str">
        <f ca="1">IFERROR(__xludf.DUMMYFUNCTION("""COMPUTED_VALUE"""),"Fase Inicial")</f>
        <v>Fase Inicial</v>
      </c>
      <c r="C502" s="27" t="str">
        <f ca="1">IFERROR(__xludf.DUMMYFUNCTION("""COMPUTED_VALUE"""),"Fellow")</f>
        <v>Fellow</v>
      </c>
      <c r="D502" s="27" t="str">
        <f ca="1">IFERROR(__xludf.DUMMYFUNCTION("""COMPUTED_VALUE"""),"Ativo")</f>
        <v>Ativo</v>
      </c>
      <c r="E502" s="27" t="str">
        <f ca="1">IFERROR(__xludf.DUMMYFUNCTION("""COMPUTED_VALUE"""),"Patronato Santana")</f>
        <v>Patronato Santana</v>
      </c>
      <c r="F502" s="21" t="str">
        <f ca="1">IFERROR(VLOOKUP(A502,'Rede - Gerando Falcões '!A501:G1497,38,0),"")</f>
        <v/>
      </c>
      <c r="G502" s="27" t="str">
        <f ca="1">IFERROR(VLOOKUP(A502,'Tabela Categorização'!A:J,10,0),"")</f>
        <v>Fase Inicial</v>
      </c>
      <c r="H502" s="27" t="b">
        <f t="shared" ca="1" si="1"/>
        <v>1</v>
      </c>
      <c r="I502" s="21" t="str">
        <f>HYPERLINK("https://gerandofalcoes.my.salesforce.com/0034P00003maBVKQA2", "0034P00003maBVKQA2")</f>
        <v>0034P00003maBVKQA2</v>
      </c>
      <c r="J502" s="9" t="s">
        <v>17881</v>
      </c>
      <c r="K502" s="38" t="s">
        <v>17882</v>
      </c>
    </row>
    <row r="503" spans="1:11" ht="12.5" x14ac:dyDescent="0.25">
      <c r="A503" s="21" t="str">
        <f ca="1">IFERROR(__xludf.DUMMYFUNCTION("""COMPUTED_VALUE"""),"0014P00003AN2FtQAL")</f>
        <v>0014P00003AN2FtQAL</v>
      </c>
      <c r="B503" s="27" t="str">
        <f ca="1">IFERROR(__xludf.DUMMYFUNCTION("""COMPUTED_VALUE"""),"Fase Estruturação")</f>
        <v>Fase Estruturação</v>
      </c>
      <c r="C503" s="27" t="str">
        <f ca="1">IFERROR(__xludf.DUMMYFUNCTION("""COMPUTED_VALUE"""),"Acelerada")</f>
        <v>Acelerada</v>
      </c>
      <c r="D503" s="27" t="str">
        <f ca="1">IFERROR(__xludf.DUMMYFUNCTION("""COMPUTED_VALUE"""),"Ativo")</f>
        <v>Ativo</v>
      </c>
      <c r="E503" s="27" t="str">
        <f ca="1">IFERROR(__xludf.DUMMYFUNCTION("""COMPUTED_VALUE"""),"Pensando Bem")</f>
        <v>Pensando Bem</v>
      </c>
      <c r="F503" s="21" t="str">
        <f ca="1">IFERROR(VLOOKUP(A503,'Rede - Gerando Falcões '!A502:G1498,38,0),"")</f>
        <v/>
      </c>
      <c r="G503" s="27" t="str">
        <f ca="1">IFERROR(VLOOKUP(A503,'Tabela Categorização'!A:J,10,0),"")</f>
        <v>Fase Estruturação</v>
      </c>
      <c r="H503" s="27" t="b">
        <f t="shared" ca="1" si="1"/>
        <v>1</v>
      </c>
      <c r="I503" s="21" t="str">
        <f>HYPERLINK("https://gerandofalcoes.my.salesforce.com/0034P000045kxkEQAQ", "0034P000045kxkEQAQ")</f>
        <v>0034P000045kxkEQAQ</v>
      </c>
      <c r="J503" s="9" t="s">
        <v>17881</v>
      </c>
      <c r="K503" s="38" t="s">
        <v>17882</v>
      </c>
    </row>
    <row r="504" spans="1:11" ht="12.5" x14ac:dyDescent="0.25">
      <c r="A504" s="21" t="str">
        <f ca="1">IFERROR(__xludf.DUMMYFUNCTION("""COMPUTED_VALUE"""),"0014P00003YSp9cQAD")</f>
        <v>0014P00003YSp9cQAD</v>
      </c>
      <c r="B504" s="27" t="str">
        <f ca="1">IFERROR(__xludf.DUMMYFUNCTION("""COMPUTED_VALUE"""),"Fase Inicial")</f>
        <v>Fase Inicial</v>
      </c>
      <c r="C504" s="27" t="str">
        <f ca="1">IFERROR(__xludf.DUMMYFUNCTION("""COMPUTED_VALUE"""),"Fellow")</f>
        <v>Fellow</v>
      </c>
      <c r="D504" s="27" t="str">
        <f ca="1">IFERROR(__xludf.DUMMYFUNCTION("""COMPUTED_VALUE"""),"Ativo")</f>
        <v>Ativo</v>
      </c>
      <c r="E504" s="27" t="str">
        <f ca="1">IFERROR(__xludf.DUMMYFUNCTION("""COMPUTED_VALUE"""),"Peralta")</f>
        <v>Peralta</v>
      </c>
      <c r="F504" s="21" t="str">
        <f ca="1">IFERROR(VLOOKUP(A504,'Rede - Gerando Falcões '!A503:G1499,38,0),"")</f>
        <v/>
      </c>
      <c r="G504" s="27" t="str">
        <f ca="1">IFERROR(VLOOKUP(A504,'Tabela Categorização'!A:J,10,0),"")</f>
        <v>Fase Inicial</v>
      </c>
      <c r="H504" s="27" t="b">
        <f t="shared" ca="1" si="1"/>
        <v>1</v>
      </c>
      <c r="I504" s="21" t="str">
        <f>HYPERLINK("https://gerandofalcoes.my.salesforce.com/0034X0000380O4NQAU", "0034X0000380O4NQAU")</f>
        <v>0034X0000380O4NQAU</v>
      </c>
      <c r="J504" s="9" t="s">
        <v>17881</v>
      </c>
      <c r="K504" s="38" t="s">
        <v>17882</v>
      </c>
    </row>
    <row r="505" spans="1:11" ht="12.5" x14ac:dyDescent="0.25">
      <c r="A505" s="21" t="str">
        <f ca="1">IFERROR(__xludf.DUMMYFUNCTION("""COMPUTED_VALUE"""),"0014X00002VKCraQAH")</f>
        <v>0014X00002VKCraQAH</v>
      </c>
      <c r="B505" s="27" t="str">
        <f ca="1">IFERROR(__xludf.DUMMYFUNCTION("""COMPUTED_VALUE"""),"Fase Inicial")</f>
        <v>Fase Inicial</v>
      </c>
      <c r="C505" s="27" t="str">
        <f ca="1">IFERROR(__xludf.DUMMYFUNCTION("""COMPUTED_VALUE"""),"Fellow")</f>
        <v>Fellow</v>
      </c>
      <c r="D505" s="27" t="str">
        <f ca="1">IFERROR(__xludf.DUMMYFUNCTION("""COMPUTED_VALUE"""),"Ativo")</f>
        <v>Ativo</v>
      </c>
      <c r="E505" s="27" t="str">
        <f ca="1">IFERROR(__xludf.DUMMYFUNCTION("""COMPUTED_VALUE"""),"Pereirinha Futebol Clube")</f>
        <v>Pereirinha Futebol Clube</v>
      </c>
      <c r="F505" s="21" t="str">
        <f ca="1">IFERROR(VLOOKUP(A505,'Rede - Gerando Falcões '!A504:G1500,38,0),"")</f>
        <v/>
      </c>
      <c r="G505" s="27" t="str">
        <f ca="1">IFERROR(VLOOKUP(A505,'Tabela Categorização'!A:J,10,0),"")</f>
        <v>Fase Inicial</v>
      </c>
      <c r="H505" s="27" t="b">
        <f t="shared" ca="1" si="1"/>
        <v>1</v>
      </c>
      <c r="I505" s="21" t="str">
        <f>HYPERLINK("https://gerandofalcoes.my.salesforce.com/0034P000043fOo9QAE", "0034P000043fOo9QAE")</f>
        <v>0034P000043fOo9QAE</v>
      </c>
      <c r="J505" s="9" t="s">
        <v>17881</v>
      </c>
      <c r="K505" s="38" t="s">
        <v>17882</v>
      </c>
    </row>
    <row r="506" spans="1:11" ht="12.5" x14ac:dyDescent="0.25">
      <c r="A506" s="21" t="str">
        <f ca="1">IFERROR(__xludf.DUMMYFUNCTION("""COMPUTED_VALUE"""),"0014P00003SGWQ8QAP")</f>
        <v>0014P00003SGWQ8QAP</v>
      </c>
      <c r="B506" s="27" t="str">
        <f ca="1">IFERROR(__xludf.DUMMYFUNCTION("""COMPUTED_VALUE"""),"Fase Inicial")</f>
        <v>Fase Inicial</v>
      </c>
      <c r="C506" s="27" t="str">
        <f ca="1">IFERROR(__xludf.DUMMYFUNCTION("""COMPUTED_VALUE"""),"Fellow")</f>
        <v>Fellow</v>
      </c>
      <c r="D506" s="27" t="str">
        <f ca="1">IFERROR(__xludf.DUMMYFUNCTION("""COMPUTED_VALUE"""),"Ativo")</f>
        <v>Ativo</v>
      </c>
      <c r="E506" s="27" t="str">
        <f ca="1">IFERROR(__xludf.DUMMYFUNCTION("""COMPUTED_VALUE"""),"PONTINCLUSIVA")</f>
        <v>PONTINCLUSIVA</v>
      </c>
      <c r="F506" s="21" t="str">
        <f ca="1">IFERROR(VLOOKUP(A506,'Rede - Gerando Falcões '!A505:G1501,38,0),"")</f>
        <v/>
      </c>
      <c r="G506" s="27" t="str">
        <f ca="1">IFERROR(VLOOKUP(A506,'Tabela Categorização'!A:J,10,0),"")</f>
        <v>Fase Inicial</v>
      </c>
      <c r="H506" s="27" t="b">
        <f t="shared" ca="1" si="1"/>
        <v>1</v>
      </c>
      <c r="I506" s="21" t="str">
        <f>HYPERLINK("https://gerandofalcoes.my.salesforce.com/0034X0000380O4mQAE", "0034X0000380O4mQAE")</f>
        <v>0034X0000380O4mQAE</v>
      </c>
      <c r="J506" s="9" t="s">
        <v>17881</v>
      </c>
      <c r="K506" s="38" t="s">
        <v>17882</v>
      </c>
    </row>
    <row r="507" spans="1:11" ht="12.5" x14ac:dyDescent="0.25">
      <c r="A507" s="21" t="str">
        <f ca="1">IFERROR(__xludf.DUMMYFUNCTION("""COMPUTED_VALUE"""),"0014X00002VKCszQAH")</f>
        <v>0014X00002VKCszQAH</v>
      </c>
      <c r="B507" s="27" t="str">
        <f ca="1">IFERROR(__xludf.DUMMYFUNCTION("""COMPUTED_VALUE"""),"Fase Inicial")</f>
        <v>Fase Inicial</v>
      </c>
      <c r="C507" s="27" t="str">
        <f ca="1">IFERROR(__xludf.DUMMYFUNCTION("""COMPUTED_VALUE"""),"Fellow")</f>
        <v>Fellow</v>
      </c>
      <c r="D507" s="27" t="str">
        <f ca="1">IFERROR(__xludf.DUMMYFUNCTION("""COMPUTED_VALUE"""),"Ativo")</f>
        <v>Ativo</v>
      </c>
      <c r="E507" s="27" t="str">
        <f ca="1">IFERROR(__xludf.DUMMYFUNCTION("""COMPUTED_VALUE"""),"PRETAS RUAS")</f>
        <v>PRETAS RUAS</v>
      </c>
      <c r="F507" s="21" t="str">
        <f ca="1">IFERROR(VLOOKUP(A507,'Rede - Gerando Falcões '!A506:G1502,38,0),"")</f>
        <v/>
      </c>
      <c r="G507" s="27" t="str">
        <f ca="1">IFERROR(VLOOKUP(A507,'Tabela Categorização'!A:J,10,0),"")</f>
        <v>Fase Inicial</v>
      </c>
      <c r="H507" s="27" t="b">
        <f t="shared" ca="1" si="1"/>
        <v>1</v>
      </c>
      <c r="I507" s="21" t="str">
        <f>HYPERLINK("https://gerandofalcoes.my.salesforce.com/0034P000043fOoFQAU", "0034P000043fOoFQAU")</f>
        <v>0034P000043fOoFQAU</v>
      </c>
      <c r="J507" s="9" t="s">
        <v>17881</v>
      </c>
      <c r="K507" s="38" t="s">
        <v>17882</v>
      </c>
    </row>
    <row r="508" spans="1:11" ht="12.5" x14ac:dyDescent="0.25">
      <c r="A508" s="21" t="str">
        <f ca="1">IFERROR(__xludf.DUMMYFUNCTION("""COMPUTED_VALUE"""),"0014P00003SGWQFQA5")</f>
        <v>0014P00003SGWQFQA5</v>
      </c>
      <c r="B508" s="27" t="str">
        <f ca="1">IFERROR(__xludf.DUMMYFUNCTION("""COMPUTED_VALUE"""),"Fase Inicial")</f>
        <v>Fase Inicial</v>
      </c>
      <c r="C508" s="27" t="str">
        <f ca="1">IFERROR(__xludf.DUMMYFUNCTION("""COMPUTED_VALUE"""),"Fellow")</f>
        <v>Fellow</v>
      </c>
      <c r="D508" s="27" t="str">
        <f ca="1">IFERROR(__xludf.DUMMYFUNCTION("""COMPUTED_VALUE"""),"Ativo")</f>
        <v>Ativo</v>
      </c>
      <c r="E508" s="27" t="str">
        <f ca="1">IFERROR(__xludf.DUMMYFUNCTION("""COMPUTED_VALUE"""),"PRISCILLA RUBIA DE SIQUEIRA 07753823612")</f>
        <v>PRISCILLA RUBIA DE SIQUEIRA 07753823612</v>
      </c>
      <c r="F508" s="21" t="str">
        <f ca="1">IFERROR(VLOOKUP(A508,'Rede - Gerando Falcões '!A507:G1503,38,0),"")</f>
        <v/>
      </c>
      <c r="G508" s="27" t="str">
        <f ca="1">IFERROR(VLOOKUP(A508,'Tabela Categorização'!A:J,10,0),"")</f>
        <v>Fase Inicial</v>
      </c>
      <c r="H508" s="27" t="b">
        <f t="shared" ca="1" si="1"/>
        <v>1</v>
      </c>
      <c r="I508" s="21" t="str">
        <f>HYPERLINK("https://gerandofalcoes.my.salesforce.com/0034X0000380O4pQAE", "0034X0000380O4pQAE")</f>
        <v>0034X0000380O4pQAE</v>
      </c>
      <c r="J508" s="9" t="s">
        <v>17881</v>
      </c>
      <c r="K508" s="38" t="s">
        <v>17882</v>
      </c>
    </row>
    <row r="509" spans="1:11" ht="12.5" x14ac:dyDescent="0.25">
      <c r="A509" s="21" t="str">
        <f ca="1">IFERROR(__xludf.DUMMYFUNCTION("""COMPUTED_VALUE"""),"0014X00002VKCpxQAH")</f>
        <v>0014X00002VKCpxQAH</v>
      </c>
      <c r="B509" s="27" t="str">
        <f ca="1">IFERROR(__xludf.DUMMYFUNCTION("""COMPUTED_VALUE"""),"Fase Inicial")</f>
        <v>Fase Inicial</v>
      </c>
      <c r="C509" s="27" t="str">
        <f ca="1">IFERROR(__xludf.DUMMYFUNCTION("""COMPUTED_VALUE"""),"Fellow")</f>
        <v>Fellow</v>
      </c>
      <c r="D509" s="27" t="str">
        <f ca="1">IFERROR(__xludf.DUMMYFUNCTION("""COMPUTED_VALUE"""),"Ativo")</f>
        <v>Ativo</v>
      </c>
      <c r="E509" s="27" t="str">
        <f ca="1">IFERROR(__xludf.DUMMYFUNCTION("""COMPUTED_VALUE"""),"Pró-Ação de apoio a educação e cidadania")</f>
        <v>Pró-Ação de apoio a educação e cidadania</v>
      </c>
      <c r="F509" s="21" t="str">
        <f ca="1">IFERROR(VLOOKUP(A509,'Rede - Gerando Falcões '!A508:G1504,38,0),"")</f>
        <v/>
      </c>
      <c r="G509" s="27" t="str">
        <f ca="1">IFERROR(VLOOKUP(A509,'Tabela Categorização'!A:J,10,0),"")</f>
        <v>Fase Inicial</v>
      </c>
      <c r="H509" s="27" t="b">
        <f t="shared" ca="1" si="1"/>
        <v>1</v>
      </c>
      <c r="I509" s="21" t="str">
        <f>HYPERLINK("https://gerandofalcoes.my.salesforce.com/0034P000045kxkZQAQ", "0034P000045kxkZQAQ")</f>
        <v>0034P000045kxkZQAQ</v>
      </c>
      <c r="J509" s="9" t="s">
        <v>17881</v>
      </c>
      <c r="K509" s="38" t="s">
        <v>17882</v>
      </c>
    </row>
    <row r="510" spans="1:11" ht="12.5" x14ac:dyDescent="0.25">
      <c r="A510" s="21" t="str">
        <f ca="1">IFERROR(__xludf.DUMMYFUNCTION("""COMPUTED_VALUE"""),"0014P00003YSp9xQAD")</f>
        <v>0014P00003YSp9xQAD</v>
      </c>
      <c r="B510" s="27" t="str">
        <f ca="1">IFERROR(__xludf.DUMMYFUNCTION("""COMPUTED_VALUE"""),"Fase Inicial")</f>
        <v>Fase Inicial</v>
      </c>
      <c r="C510" s="27" t="str">
        <f ca="1">IFERROR(__xludf.DUMMYFUNCTION("""COMPUTED_VALUE"""),"Fellow")</f>
        <v>Fellow</v>
      </c>
      <c r="D510" s="27" t="str">
        <f ca="1">IFERROR(__xludf.DUMMYFUNCTION("""COMPUTED_VALUE"""),"Ativo")</f>
        <v>Ativo</v>
      </c>
      <c r="E510" s="27" t="str">
        <f ca="1">IFERROR(__xludf.DUMMYFUNCTION("""COMPUTED_VALUE"""),"Programa de Assistência as Crianças e Adolescentes")</f>
        <v>Programa de Assistência as Crianças e Adolescentes</v>
      </c>
      <c r="F510" s="21" t="str">
        <f ca="1">IFERROR(VLOOKUP(A510,'Rede - Gerando Falcões '!A509:G1505,38,0),"")</f>
        <v/>
      </c>
      <c r="G510" s="27" t="str">
        <f ca="1">IFERROR(VLOOKUP(A510,'Tabela Categorização'!A:J,10,0),"")</f>
        <v>Fase Inicial</v>
      </c>
      <c r="H510" s="27" t="b">
        <f t="shared" ca="1" si="1"/>
        <v>1</v>
      </c>
      <c r="I510" s="21" t="str">
        <f>HYPERLINK("https://gerandofalcoes.my.salesforce.com/0034P00003maBVcQAM", "0034P00003maBVcQAM")</f>
        <v>0034P00003maBVcQAM</v>
      </c>
      <c r="J510" s="9" t="s">
        <v>17881</v>
      </c>
      <c r="K510" s="38" t="s">
        <v>17882</v>
      </c>
    </row>
    <row r="511" spans="1:11" ht="12.5" x14ac:dyDescent="0.25">
      <c r="A511" s="21" t="str">
        <f ca="1">IFERROR(__xludf.DUMMYFUNCTION("""COMPUTED_VALUE"""),"0014P00003AN2G8QAL")</f>
        <v>0014P00003AN2G8QAL</v>
      </c>
      <c r="B511" s="27" t="str">
        <f ca="1">IFERROR(__xludf.DUMMYFUNCTION("""COMPUTED_VALUE"""),"Fase Inicial")</f>
        <v>Fase Inicial</v>
      </c>
      <c r="C511" s="27" t="str">
        <f ca="1">IFERROR(__xludf.DUMMYFUNCTION("""COMPUTED_VALUE"""),"Fellow")</f>
        <v>Fellow</v>
      </c>
      <c r="D511" s="27" t="str">
        <f ca="1">IFERROR(__xludf.DUMMYFUNCTION("""COMPUTED_VALUE"""),"Ativo")</f>
        <v>Ativo</v>
      </c>
      <c r="E511" s="27" t="str">
        <f ca="1">IFERROR(__xludf.DUMMYFUNCTION("""COMPUTED_VALUE"""),"Programa Social Sim! Eu Sou do Meio (SESM)")</f>
        <v>Programa Social Sim! Eu Sou do Meio (SESM)</v>
      </c>
      <c r="F511" s="21" t="str">
        <f ca="1">IFERROR(VLOOKUP(A511,'Rede - Gerando Falcões '!A510:G1506,38,0),"")</f>
        <v/>
      </c>
      <c r="G511" s="27" t="str">
        <f ca="1">IFERROR(VLOOKUP(A511,'Tabela Categorização'!A:J,10,0),"")</f>
        <v>Fase Inicial</v>
      </c>
      <c r="H511" s="27" t="b">
        <f t="shared" ca="1" si="1"/>
        <v>1</v>
      </c>
      <c r="I511" s="21" t="str">
        <f>HYPERLINK("https://gerandofalcoes.my.salesforce.com/0034P00003maBVvQAM", "0034P00003maBVvQAM")</f>
        <v>0034P00003maBVvQAM</v>
      </c>
      <c r="J511" s="9" t="s">
        <v>17881</v>
      </c>
      <c r="K511" s="38" t="s">
        <v>17882</v>
      </c>
    </row>
    <row r="512" spans="1:11" ht="12.5" x14ac:dyDescent="0.25">
      <c r="A512" s="21" t="str">
        <f ca="1">IFERROR(__xludf.DUMMYFUNCTION("""COMPUTED_VALUE"""),"0014P00003AN6yVQAT")</f>
        <v>0014P00003AN6yVQAT</v>
      </c>
      <c r="B512" s="27" t="str">
        <f ca="1">IFERROR(__xludf.DUMMYFUNCTION("""COMPUTED_VALUE"""),"Fase Inicial")</f>
        <v>Fase Inicial</v>
      </c>
      <c r="C512" s="27" t="str">
        <f ca="1">IFERROR(__xludf.DUMMYFUNCTION("""COMPUTED_VALUE"""),"Fellow")</f>
        <v>Fellow</v>
      </c>
      <c r="D512" s="27" t="str">
        <f ca="1">IFERROR(__xludf.DUMMYFUNCTION("""COMPUTED_VALUE"""),"Ativo")</f>
        <v>Ativo</v>
      </c>
      <c r="E512" s="27" t="str">
        <f ca="1">IFERROR(__xludf.DUMMYFUNCTION("""COMPUTED_VALUE"""),"Projeto Amor e Esperança/ Associação Construindo a Cidadania")</f>
        <v>Projeto Amor e Esperança/ Associação Construindo a Cidadania</v>
      </c>
      <c r="F512" s="21" t="str">
        <f ca="1">IFERROR(VLOOKUP(A512,'Rede - Gerando Falcões '!A511:G1507,38,0),"")</f>
        <v/>
      </c>
      <c r="G512" s="27" t="str">
        <f ca="1">IFERROR(VLOOKUP(A512,'Tabela Categorização'!A:J,10,0),"")</f>
        <v>Fase Inicial</v>
      </c>
      <c r="H512" s="27" t="b">
        <f t="shared" ref="H512:H600" ca="1" si="2">G512=B512</f>
        <v>1</v>
      </c>
      <c r="I512" s="21" t="str">
        <f>HYPERLINK("https://gerandofalcoes.my.salesforce.com/0034X0000380O0YQAU", "0034X0000380O0YQAU")</f>
        <v>0034X0000380O0YQAU</v>
      </c>
      <c r="J512" s="9" t="s">
        <v>17881</v>
      </c>
      <c r="K512" s="38" t="s">
        <v>17882</v>
      </c>
    </row>
    <row r="513" spans="1:11" ht="12.5" x14ac:dyDescent="0.25">
      <c r="A513" s="21" t="str">
        <f ca="1">IFERROR(__xludf.DUMMYFUNCTION("""COMPUTED_VALUE"""),"0014X00002VKCqnQAH")</f>
        <v>0014X00002VKCqnQAH</v>
      </c>
      <c r="B513" s="27" t="str">
        <f ca="1">IFERROR(__xludf.DUMMYFUNCTION("""COMPUTED_VALUE"""),"Fase Inicial")</f>
        <v>Fase Inicial</v>
      </c>
      <c r="C513" s="27" t="str">
        <f ca="1">IFERROR(__xludf.DUMMYFUNCTION("""COMPUTED_VALUE"""),"Fellow")</f>
        <v>Fellow</v>
      </c>
      <c r="D513" s="27" t="str">
        <f ca="1">IFERROR(__xludf.DUMMYFUNCTION("""COMPUTED_VALUE"""),"Ativo")</f>
        <v>Ativo</v>
      </c>
      <c r="E513" s="27" t="str">
        <f ca="1">IFERROR(__xludf.DUMMYFUNCTION("""COMPUTED_VALUE"""),"Projeto Assistencial Sementes de Esperança")</f>
        <v>Projeto Assistencial Sementes de Esperança</v>
      </c>
      <c r="F513" s="21" t="str">
        <f ca="1">IFERROR(VLOOKUP(A513,'Rede - Gerando Falcões '!A512:G1508,38,0),"")</f>
        <v/>
      </c>
      <c r="G513" s="27" t="str">
        <f ca="1">IFERROR(VLOOKUP(A513,'Tabela Categorização'!A:J,10,0),"")</f>
        <v>Fase Inicial</v>
      </c>
      <c r="H513" s="27" t="b">
        <f t="shared" ca="1" si="2"/>
        <v>1</v>
      </c>
      <c r="I513" s="21" t="str">
        <f>HYPERLINK("https://gerandofalcoes.my.salesforce.com/0034X0000380O3XQAU", "0034X0000380O3XQAU")</f>
        <v>0034X0000380O3XQAU</v>
      </c>
      <c r="J513" s="9" t="s">
        <v>17881</v>
      </c>
      <c r="K513" s="38" t="s">
        <v>17882</v>
      </c>
    </row>
    <row r="514" spans="1:11" ht="12.5" x14ac:dyDescent="0.25">
      <c r="A514" s="21" t="str">
        <f ca="1">IFERROR(__xludf.DUMMYFUNCTION("""COMPUTED_VALUE"""),"0014X00002VKCrlQAH")</f>
        <v>0014X00002VKCrlQAH</v>
      </c>
      <c r="B514" s="27" t="str">
        <f ca="1">IFERROR(__xludf.DUMMYFUNCTION("""COMPUTED_VALUE"""),"Fase Inicial")</f>
        <v>Fase Inicial</v>
      </c>
      <c r="C514" s="27" t="str">
        <f ca="1">IFERROR(__xludf.DUMMYFUNCTION("""COMPUTED_VALUE"""),"Fellow")</f>
        <v>Fellow</v>
      </c>
      <c r="D514" s="27" t="str">
        <f ca="1">IFERROR(__xludf.DUMMYFUNCTION("""COMPUTED_VALUE"""),"Ativo")</f>
        <v>Ativo</v>
      </c>
      <c r="E514" s="27" t="str">
        <f ca="1">IFERROR(__xludf.DUMMYFUNCTION("""COMPUTED_VALUE"""),"PROJETO AURORA")</f>
        <v>PROJETO AURORA</v>
      </c>
      <c r="F514" s="21" t="str">
        <f ca="1">IFERROR(VLOOKUP(A514,'Rede - Gerando Falcões '!A513:G1509,38,0),"")</f>
        <v/>
      </c>
      <c r="G514" s="27" t="str">
        <f ca="1">IFERROR(VLOOKUP(A514,'Tabela Categorização'!A:J,10,0),"")</f>
        <v>Fase Inicial</v>
      </c>
      <c r="H514" s="27" t="b">
        <f t="shared" ca="1" si="2"/>
        <v>1</v>
      </c>
      <c r="I514" s="21" t="str">
        <f>HYPERLINK("https://gerandofalcoes.my.salesforce.com/0034P000045kxj1QAA", "0034P000045kxj1QAA")</f>
        <v>0034P000045kxj1QAA</v>
      </c>
      <c r="J514" s="9" t="s">
        <v>17881</v>
      </c>
      <c r="K514" s="38" t="s">
        <v>17882</v>
      </c>
    </row>
    <row r="515" spans="1:11" ht="12.5" x14ac:dyDescent="0.25">
      <c r="A515" s="21" t="str">
        <f ca="1">IFERROR(__xludf.DUMMYFUNCTION("""COMPUTED_VALUE"""),"0014P00003YSp8QQAT")</f>
        <v>0014P00003YSp8QQAT</v>
      </c>
      <c r="B515" s="27" t="str">
        <f ca="1">IFERROR(__xludf.DUMMYFUNCTION("""COMPUTED_VALUE"""),"Fase Inicial")</f>
        <v>Fase Inicial</v>
      </c>
      <c r="C515" s="27" t="str">
        <f ca="1">IFERROR(__xludf.DUMMYFUNCTION("""COMPUTED_VALUE"""),"Fellow")</f>
        <v>Fellow</v>
      </c>
      <c r="D515" s="27" t="str">
        <f ca="1">IFERROR(__xludf.DUMMYFUNCTION("""COMPUTED_VALUE"""),"Ativo")</f>
        <v>Ativo</v>
      </c>
      <c r="E515" s="27" t="str">
        <f ca="1">IFERROR(__xludf.DUMMYFUNCTION("""COMPUTED_VALUE"""),"Projeto Avante")</f>
        <v>Projeto Avante</v>
      </c>
      <c r="F515" s="21" t="str">
        <f ca="1">IFERROR(VLOOKUP(A515,'Rede - Gerando Falcões '!A514:G1510,38,0),"")</f>
        <v/>
      </c>
      <c r="G515" s="27" t="str">
        <f ca="1">IFERROR(VLOOKUP(A515,'Tabela Categorização'!A:J,10,0),"")</f>
        <v>Fase Inicial</v>
      </c>
      <c r="H515" s="27" t="b">
        <f t="shared" ca="1" si="2"/>
        <v>1</v>
      </c>
      <c r="I515" s="21" t="str">
        <f>HYPERLINK("https://gerandofalcoes.my.salesforce.com/0034X0000380O2wQAE", "0034X0000380O2wQAE")</f>
        <v>0034X0000380O2wQAE</v>
      </c>
      <c r="J515" s="9" t="s">
        <v>17881</v>
      </c>
      <c r="K515" s="38" t="s">
        <v>17882</v>
      </c>
    </row>
    <row r="516" spans="1:11" ht="12.5" x14ac:dyDescent="0.25">
      <c r="A516" s="21" t="str">
        <f ca="1">IFERROR(__xludf.DUMMYFUNCTION("""COMPUTED_VALUE"""),"0014X00002VKCtTQAX")</f>
        <v>0014X00002VKCtTQAX</v>
      </c>
      <c r="B516" s="27" t="str">
        <f ca="1">IFERROR(__xludf.DUMMYFUNCTION("""COMPUTED_VALUE"""),"Fase Inicial")</f>
        <v>Fase Inicial</v>
      </c>
      <c r="C516" s="27" t="str">
        <f ca="1">IFERROR(__xludf.DUMMYFUNCTION("""COMPUTED_VALUE"""),"Fellow")</f>
        <v>Fellow</v>
      </c>
      <c r="D516" s="27" t="str">
        <f ca="1">IFERROR(__xludf.DUMMYFUNCTION("""COMPUTED_VALUE"""),"Ativo")</f>
        <v>Ativo</v>
      </c>
      <c r="E516" s="27" t="str">
        <f ca="1">IFERROR(__xludf.DUMMYFUNCTION("""COMPUTED_VALUE"""),"Projeto Bayernzinho")</f>
        <v>Projeto Bayernzinho</v>
      </c>
      <c r="F516" s="21" t="str">
        <f ca="1">IFERROR(VLOOKUP(A516,'Rede - Gerando Falcões '!A515:G1511,38,0),"")</f>
        <v/>
      </c>
      <c r="G516" s="27" t="str">
        <f ca="1">IFERROR(VLOOKUP(A516,'Tabela Categorização'!A:J,10,0),"")</f>
        <v>Fase Inicial</v>
      </c>
      <c r="H516" s="27" t="b">
        <f t="shared" ca="1" si="2"/>
        <v>1</v>
      </c>
      <c r="I516" s="21" t="str">
        <f>HYPERLINK("https://gerandofalcoes.my.salesforce.com/0034P000043fOnSQAU", "0034P000043fOnSQAU")</f>
        <v>0034P000043fOnSQAU</v>
      </c>
      <c r="J516" s="9" t="s">
        <v>17881</v>
      </c>
      <c r="K516" s="38" t="s">
        <v>17882</v>
      </c>
    </row>
    <row r="517" spans="1:11" ht="12.5" x14ac:dyDescent="0.25">
      <c r="A517" s="21" t="str">
        <f ca="1">IFERROR(__xludf.DUMMYFUNCTION("""COMPUTED_VALUE"""),"0014P00003SGWFsQAP")</f>
        <v>0014P00003SGWFsQAP</v>
      </c>
      <c r="B517" s="27" t="str">
        <f ca="1">IFERROR(__xludf.DUMMYFUNCTION("""COMPUTED_VALUE"""),"Fase Inicial")</f>
        <v>Fase Inicial</v>
      </c>
      <c r="C517" s="27" t="str">
        <f ca="1">IFERROR(__xludf.DUMMYFUNCTION("""COMPUTED_VALUE"""),"Fellow")</f>
        <v>Fellow</v>
      </c>
      <c r="D517" s="27" t="str">
        <f ca="1">IFERROR(__xludf.DUMMYFUNCTION("""COMPUTED_VALUE"""),"Ativo")</f>
        <v>Ativo</v>
      </c>
      <c r="E517" s="27" t="str">
        <f ca="1">IFERROR(__xludf.DUMMYFUNCTION("""COMPUTED_VALUE"""),"PROJETO BODYBOARD PARÁ")</f>
        <v>PROJETO BODYBOARD PARÁ</v>
      </c>
      <c r="F517" s="21" t="str">
        <f ca="1">IFERROR(VLOOKUP(A517,'Rede - Gerando Falcões '!A516:G1512,38,0),"")</f>
        <v/>
      </c>
      <c r="G517" s="27" t="str">
        <f ca="1">IFERROR(VLOOKUP(A517,'Tabela Categorização'!A:J,10,0),"")</f>
        <v>Fase Inicial</v>
      </c>
      <c r="H517" s="27" t="b">
        <f t="shared" ca="1" si="2"/>
        <v>1</v>
      </c>
      <c r="I517" s="21" t="str">
        <f>HYPERLINK("https://gerandofalcoes.my.salesforce.com/0034P00003maBV8QAM", "0034P00003maBV8QAM")</f>
        <v>0034P00003maBV8QAM</v>
      </c>
      <c r="J517" s="9" t="s">
        <v>17881</v>
      </c>
      <c r="K517" s="38" t="s">
        <v>17882</v>
      </c>
    </row>
    <row r="518" spans="1:11" ht="12.5" x14ac:dyDescent="0.25">
      <c r="A518" s="21" t="str">
        <f ca="1">IFERROR(__xludf.DUMMYFUNCTION("""COMPUTED_VALUE"""),"0014P00003AN2FiQAL")</f>
        <v>0014P00003AN2FiQAL</v>
      </c>
      <c r="B518" s="27" t="str">
        <f ca="1">IFERROR(__xludf.DUMMYFUNCTION("""COMPUTED_VALUE"""),"Fase Inicial")</f>
        <v>Fase Inicial</v>
      </c>
      <c r="C518" s="27" t="str">
        <f ca="1">IFERROR(__xludf.DUMMYFUNCTION("""COMPUTED_VALUE"""),"Fellow")</f>
        <v>Fellow</v>
      </c>
      <c r="D518" s="27" t="str">
        <f ca="1">IFERROR(__xludf.DUMMYFUNCTION("""COMPUTED_VALUE"""),"Ativo")</f>
        <v>Ativo</v>
      </c>
      <c r="E518" s="27" t="str">
        <f ca="1">IFERROR(__xludf.DUMMYFUNCTION("""COMPUTED_VALUE"""),"Projeto Brejal")</f>
        <v>Projeto Brejal</v>
      </c>
      <c r="F518" s="21" t="str">
        <f ca="1">IFERROR(VLOOKUP(A518,'Rede - Gerando Falcões '!A517:G1513,38,0),"")</f>
        <v/>
      </c>
      <c r="G518" s="27" t="str">
        <f ca="1">IFERROR(VLOOKUP(A518,'Tabela Categorização'!A:J,10,0),"")</f>
        <v>Fase Inicial</v>
      </c>
      <c r="H518" s="27" t="b">
        <f t="shared" ca="1" si="2"/>
        <v>1</v>
      </c>
      <c r="I518" s="21" t="str">
        <f>HYPERLINK("https://gerandofalcoes.my.salesforce.com/0034X0000380O2YQAU", "0034X0000380O2YQAU")</f>
        <v>0034X0000380O2YQAU</v>
      </c>
      <c r="J518" s="9" t="s">
        <v>17881</v>
      </c>
      <c r="K518" s="38" t="s">
        <v>17882</v>
      </c>
    </row>
    <row r="519" spans="1:11" ht="12.5" x14ac:dyDescent="0.25">
      <c r="A519" s="21" t="str">
        <f ca="1">IFERROR(__xludf.DUMMYFUNCTION("""COMPUTED_VALUE"""),"0014X00002VKCuSQAX")</f>
        <v>0014X00002VKCuSQAX</v>
      </c>
      <c r="B519" s="27" t="str">
        <f ca="1">IFERROR(__xludf.DUMMYFUNCTION("""COMPUTED_VALUE"""),"Fase Inicial")</f>
        <v>Fase Inicial</v>
      </c>
      <c r="C519" s="27" t="str">
        <f ca="1">IFERROR(__xludf.DUMMYFUNCTION("""COMPUTED_VALUE"""),"Fellow")</f>
        <v>Fellow</v>
      </c>
      <c r="D519" s="27" t="str">
        <f ca="1">IFERROR(__xludf.DUMMYFUNCTION("""COMPUTED_VALUE"""),"Ativo")</f>
        <v>Ativo</v>
      </c>
      <c r="E519" s="27" t="str">
        <f ca="1">IFERROR(__xludf.DUMMYFUNCTION("""COMPUTED_VALUE"""),"Projeto Brigada Solidária")</f>
        <v>Projeto Brigada Solidária</v>
      </c>
      <c r="F519" s="21" t="str">
        <f ca="1">IFERROR(VLOOKUP(A519,'Rede - Gerando Falcões '!A518:G1514,38,0),"")</f>
        <v/>
      </c>
      <c r="G519" s="27" t="str">
        <f ca="1">IFERROR(VLOOKUP(A519,'Tabela Categorização'!A:J,10,0),"")</f>
        <v>Fase Inicial</v>
      </c>
      <c r="H519" s="27" t="b">
        <f t="shared" ca="1" si="2"/>
        <v>1</v>
      </c>
      <c r="I519" s="21" t="str">
        <f>HYPERLINK("https://gerandofalcoes.my.salesforce.com/0034P000045kxhzQAA", "0034P000045kxhzQAA")</f>
        <v>0034P000045kxhzQAA</v>
      </c>
      <c r="J519" s="9" t="s">
        <v>17881</v>
      </c>
      <c r="K519" s="38" t="s">
        <v>17882</v>
      </c>
    </row>
    <row r="520" spans="1:11" ht="12.5" x14ac:dyDescent="0.25">
      <c r="A520" s="21" t="str">
        <f ca="1">IFERROR(__xludf.DUMMYFUNCTION("""COMPUTED_VALUE"""),"0014P00003YSp7OQAT")</f>
        <v>0014P00003YSp7OQAT</v>
      </c>
      <c r="B520" s="27" t="str">
        <f ca="1">IFERROR(__xludf.DUMMYFUNCTION("""COMPUTED_VALUE"""),"Fase Inicial")</f>
        <v>Fase Inicial</v>
      </c>
      <c r="C520" s="27" t="str">
        <f ca="1">IFERROR(__xludf.DUMMYFUNCTION("""COMPUTED_VALUE"""),"Fellow")</f>
        <v>Fellow</v>
      </c>
      <c r="D520" s="27" t="str">
        <f ca="1">IFERROR(__xludf.DUMMYFUNCTION("""COMPUTED_VALUE"""),"Ativo")</f>
        <v>Ativo</v>
      </c>
      <c r="E520" s="27" t="str">
        <f ca="1">IFERROR(__xludf.DUMMYFUNCTION("""COMPUTED_VALUE"""),"Projeto CABE +1")</f>
        <v>Projeto CABE +1</v>
      </c>
      <c r="F520" s="21" t="str">
        <f ca="1">IFERROR(VLOOKUP(A520,'Rede - Gerando Falcões '!A519:G1515,38,0),"")</f>
        <v/>
      </c>
      <c r="G520" s="27" t="str">
        <f ca="1">IFERROR(VLOOKUP(A520,'Tabela Categorização'!A:J,10,0),"")</f>
        <v>Fase Inicial</v>
      </c>
      <c r="H520" s="27" t="b">
        <f t="shared" ca="1" si="2"/>
        <v>1</v>
      </c>
      <c r="I520" s="21" t="str">
        <f>HYPERLINK("https://gerandofalcoes.my.salesforce.com/0034X0000380O42QAE", "0034X0000380O42QAE")</f>
        <v>0034X0000380O42QAE</v>
      </c>
      <c r="J520" s="9" t="s">
        <v>17881</v>
      </c>
      <c r="K520" s="38" t="s">
        <v>17882</v>
      </c>
    </row>
    <row r="521" spans="1:11" ht="12.5" x14ac:dyDescent="0.25">
      <c r="A521" s="21" t="str">
        <f ca="1">IFERROR(__xludf.DUMMYFUNCTION("""COMPUTED_VALUE"""),"0014X00002VKCpEQAX")</f>
        <v>0014X00002VKCpEQAX</v>
      </c>
      <c r="B521" s="27" t="str">
        <f ca="1">IFERROR(__xludf.DUMMYFUNCTION("""COMPUTED_VALUE"""),"Fase Inicial")</f>
        <v>Fase Inicial</v>
      </c>
      <c r="C521" s="27" t="str">
        <f ca="1">IFERROR(__xludf.DUMMYFUNCTION("""COMPUTED_VALUE"""),"Fellow")</f>
        <v>Fellow</v>
      </c>
      <c r="D521" s="27" t="str">
        <f ca="1">IFERROR(__xludf.DUMMYFUNCTION("""COMPUTED_VALUE"""),"Ativo")</f>
        <v>Ativo</v>
      </c>
      <c r="E521" s="27" t="str">
        <f ca="1">IFERROR(__xludf.DUMMYFUNCTION("""COMPUTED_VALUE"""),"PROJETO CRESCENDO COM CRISTO")</f>
        <v>PROJETO CRESCENDO COM CRISTO</v>
      </c>
      <c r="F521" s="21" t="str">
        <f ca="1">IFERROR(VLOOKUP(A521,'Rede - Gerando Falcões '!A520:G1516,38,0),"")</f>
        <v/>
      </c>
      <c r="G521" s="27" t="str">
        <f ca="1">IFERROR(VLOOKUP(A521,'Tabela Categorização'!A:J,10,0),"")</f>
        <v>Fase Inicial</v>
      </c>
      <c r="H521" s="27" t="b">
        <f t="shared" ca="1" si="2"/>
        <v>1</v>
      </c>
      <c r="I521" s="21" t="str">
        <f>HYPERLINK("https://gerandofalcoes.my.salesforce.com/0034X0000380O5QQAU", "0034X0000380O5QQAU")</f>
        <v>0034X0000380O5QQAU</v>
      </c>
      <c r="J521" s="9" t="s">
        <v>17881</v>
      </c>
      <c r="K521" s="38" t="s">
        <v>17882</v>
      </c>
    </row>
    <row r="522" spans="1:11" ht="12.5" x14ac:dyDescent="0.25">
      <c r="A522" s="21" t="str">
        <f ca="1">IFERROR(__xludf.DUMMYFUNCTION("""COMPUTED_VALUE"""),"0014X00002VKCpkQAH")</f>
        <v>0014X00002VKCpkQAH</v>
      </c>
      <c r="B522" s="27" t="str">
        <f ca="1">IFERROR(__xludf.DUMMYFUNCTION("""COMPUTED_VALUE"""),"Fase Inicial")</f>
        <v>Fase Inicial</v>
      </c>
      <c r="C522" s="27" t="str">
        <f ca="1">IFERROR(__xludf.DUMMYFUNCTION("""COMPUTED_VALUE"""),"Fellow")</f>
        <v>Fellow</v>
      </c>
      <c r="D522" s="27" t="str">
        <f ca="1">IFERROR(__xludf.DUMMYFUNCTION("""COMPUTED_VALUE"""),"Ativo")</f>
        <v>Ativo</v>
      </c>
      <c r="E522" s="27" t="str">
        <f ca="1">IFERROR(__xludf.DUMMYFUNCTION("""COMPUTED_VALUE"""),"PROJETO DE DESENVOLVIMENTO CULTURAL ARTE E COR")</f>
        <v>PROJETO DE DESENVOLVIMENTO CULTURAL ARTE E COR</v>
      </c>
      <c r="F522" s="21" t="str">
        <f ca="1">IFERROR(VLOOKUP(A522,'Rede - Gerando Falcões '!A521:G1517,38,0),"")</f>
        <v/>
      </c>
      <c r="G522" s="27" t="str">
        <f ca="1">IFERROR(VLOOKUP(A522,'Tabela Categorização'!A:J,10,0),"")</f>
        <v>Fase Inicial</v>
      </c>
      <c r="H522" s="27" t="b">
        <f t="shared" ca="1" si="2"/>
        <v>1</v>
      </c>
      <c r="I522" s="21" t="str">
        <f>HYPERLINK("https://gerandofalcoes.my.salesforce.com/0034P000045kxkXQAQ", "0034P000045kxkXQAQ")</f>
        <v>0034P000045kxkXQAQ</v>
      </c>
      <c r="J522" s="9" t="s">
        <v>17881</v>
      </c>
      <c r="K522" s="38" t="s">
        <v>17882</v>
      </c>
    </row>
    <row r="523" spans="1:11" ht="12.5" x14ac:dyDescent="0.25">
      <c r="A523" s="21" t="str">
        <f ca="1">IFERROR(__xludf.DUMMYFUNCTION("""COMPUTED_VALUE"""),"0014P00003YSp9vQAD")</f>
        <v>0014P00003YSp9vQAD</v>
      </c>
      <c r="B523" s="27" t="str">
        <f ca="1">IFERROR(__xludf.DUMMYFUNCTION("""COMPUTED_VALUE"""),"Fase Inicial")</f>
        <v>Fase Inicial</v>
      </c>
      <c r="C523" s="27" t="str">
        <f ca="1">IFERROR(__xludf.DUMMYFUNCTION("""COMPUTED_VALUE"""),"Fellow")</f>
        <v>Fellow</v>
      </c>
      <c r="D523" s="27" t="str">
        <f ca="1">IFERROR(__xludf.DUMMYFUNCTION("""COMPUTED_VALUE"""),"Ativo")</f>
        <v>Ativo</v>
      </c>
      <c r="E523" s="27" t="str">
        <f ca="1">IFERROR(__xludf.DUMMYFUNCTION("""COMPUTED_VALUE"""),"Projeto desafiando gigantes")</f>
        <v>Projeto desafiando gigantes</v>
      </c>
      <c r="F523" s="21" t="str">
        <f ca="1">IFERROR(VLOOKUP(A523,'Rede - Gerando Falcões '!A522:G1518,38,0),"")</f>
        <v/>
      </c>
      <c r="G523" s="27" t="str">
        <f ca="1">IFERROR(VLOOKUP(A523,'Tabela Categorização'!A:J,10,0),"")</f>
        <v>Fase Inicial</v>
      </c>
      <c r="H523" s="27" t="b">
        <f t="shared" ca="1" si="2"/>
        <v>1</v>
      </c>
      <c r="I523" s="21" t="str">
        <f>HYPERLINK("https://gerandofalcoes.my.salesforce.com/0034X0000380O1oQAE", "0034X0000380O1oQAE")</f>
        <v>0034X0000380O1oQAE</v>
      </c>
      <c r="J523" s="9" t="s">
        <v>17881</v>
      </c>
      <c r="K523" s="38" t="s">
        <v>17882</v>
      </c>
    </row>
    <row r="524" spans="1:11" ht="12.5" x14ac:dyDescent="0.25">
      <c r="A524" s="21" t="str">
        <f ca="1">IFERROR(__xludf.DUMMYFUNCTION("""COMPUTED_VALUE"""),"0014X00002VKCq3QAH")</f>
        <v>0014X00002VKCq3QAH</v>
      </c>
      <c r="B524" s="27"/>
      <c r="C524" s="27" t="str">
        <f ca="1">IFERROR(__xludf.DUMMYFUNCTION("""COMPUTED_VALUE"""),"Fellow")</f>
        <v>Fellow</v>
      </c>
      <c r="D524" s="27" t="str">
        <f ca="1">IFERROR(__xludf.DUMMYFUNCTION("""COMPUTED_VALUE"""),"Ativo")</f>
        <v>Ativo</v>
      </c>
      <c r="E524" s="27" t="str">
        <f ca="1">IFERROR(__xludf.DUMMYFUNCTION("""COMPUTED_VALUE"""),"Projeto Educa Surf Social")</f>
        <v>Projeto Educa Surf Social</v>
      </c>
      <c r="F524" s="21" t="str">
        <f ca="1">IFERROR(VLOOKUP(A524,'Rede - Gerando Falcões '!A523:G1519,38,0),"")</f>
        <v/>
      </c>
      <c r="G524" s="27" t="str">
        <f ca="1">IFERROR(VLOOKUP(A524,'Tabela Categorização'!A:J,10,0),"")</f>
        <v/>
      </c>
      <c r="H524" s="27" t="b">
        <f t="shared" ca="1" si="2"/>
        <v>1</v>
      </c>
      <c r="I524" s="21" t="str">
        <f>HYPERLINK("https://gerandofalcoes.my.salesforce.com/0034X0000380O5TQAU", "0034X0000380O5TQAU")</f>
        <v>0034X0000380O5TQAU</v>
      </c>
      <c r="J524" s="9" t="s">
        <v>17881</v>
      </c>
      <c r="K524" s="38" t="s">
        <v>17882</v>
      </c>
    </row>
    <row r="525" spans="1:11" ht="12.5" x14ac:dyDescent="0.25">
      <c r="A525" s="21" t="str">
        <f ca="1">IFERROR(__xludf.DUMMYFUNCTION("""COMPUTED_VALUE"""),"0014X00002VKCpLQAX")</f>
        <v>0014X00002VKCpLQAX</v>
      </c>
      <c r="B525" s="27" t="str">
        <f ca="1">IFERROR(__xludf.DUMMYFUNCTION("""COMPUTED_VALUE"""),"Fase Inicial")</f>
        <v>Fase Inicial</v>
      </c>
      <c r="C525" s="27" t="str">
        <f ca="1">IFERROR(__xludf.DUMMYFUNCTION("""COMPUTED_VALUE"""),"Fellow")</f>
        <v>Fellow</v>
      </c>
      <c r="D525" s="27" t="str">
        <f ca="1">IFERROR(__xludf.DUMMYFUNCTION("""COMPUTED_VALUE"""),"Ativo")</f>
        <v>Ativo</v>
      </c>
      <c r="E525" s="27" t="str">
        <f ca="1">IFERROR(__xludf.DUMMYFUNCTION("""COMPUTED_VALUE"""),"Projeto Efraim")</f>
        <v>Projeto Efraim</v>
      </c>
      <c r="F525" s="21" t="str">
        <f ca="1">IFERROR(VLOOKUP(A525,'Rede - Gerando Falcões '!A524:G1520,38,0),"")</f>
        <v/>
      </c>
      <c r="G525" s="27" t="str">
        <f ca="1">IFERROR(VLOOKUP(A525,'Tabela Categorização'!A:J,10,0),"")</f>
        <v>Fase Inicial</v>
      </c>
      <c r="H525" s="27" t="b">
        <f t="shared" ca="1" si="2"/>
        <v>1</v>
      </c>
      <c r="I525" s="21" t="str">
        <f>HYPERLINK("https://gerandofalcoes.my.salesforce.com/0034P000045kxitQAA", "0034P000045kxitQAA")</f>
        <v>0034P000045kxitQAA</v>
      </c>
      <c r="J525" s="9" t="s">
        <v>17881</v>
      </c>
      <c r="K525" s="38" t="s">
        <v>17882</v>
      </c>
    </row>
    <row r="526" spans="1:11" ht="12.5" x14ac:dyDescent="0.25">
      <c r="A526" s="21" t="str">
        <f ca="1">IFERROR(__xludf.DUMMYFUNCTION("""COMPUTED_VALUE"""),"0014P00003YSp8IQAT")</f>
        <v>0014P00003YSp8IQAT</v>
      </c>
      <c r="B526" s="27" t="str">
        <f ca="1">IFERROR(__xludf.DUMMYFUNCTION("""COMPUTED_VALUE"""),"Fase Inicial")</f>
        <v>Fase Inicial</v>
      </c>
      <c r="C526" s="27" t="str">
        <f ca="1">IFERROR(__xludf.DUMMYFUNCTION("""COMPUTED_VALUE"""),"Fellow")</f>
        <v>Fellow</v>
      </c>
      <c r="D526" s="27" t="str">
        <f ca="1">IFERROR(__xludf.DUMMYFUNCTION("""COMPUTED_VALUE"""),"Ativo")</f>
        <v>Ativo</v>
      </c>
      <c r="E526" s="27" t="str">
        <f ca="1">IFERROR(__xludf.DUMMYFUNCTION("""COMPUTED_VALUE"""),"PROJETO EFRAIM")</f>
        <v>PROJETO EFRAIM</v>
      </c>
      <c r="F526" s="21" t="str">
        <f ca="1">IFERROR(VLOOKUP(A526,'Rede - Gerando Falcões '!A525:G1521,38,0),"")</f>
        <v/>
      </c>
      <c r="G526" s="27" t="str">
        <f ca="1">IFERROR(VLOOKUP(A526,'Tabela Categorização'!A:J,10,0),"")</f>
        <v>Fase Inicial</v>
      </c>
      <c r="H526" s="27" t="b">
        <f t="shared" ca="1" si="2"/>
        <v>1</v>
      </c>
      <c r="I526" s="21" t="str">
        <f>HYPERLINK("https://gerandofalcoes.my.salesforce.com/0034X0000380O3wQAE", "0034X0000380O3wQAE")</f>
        <v>0034X0000380O3wQAE</v>
      </c>
      <c r="J526" s="9" t="s">
        <v>17881</v>
      </c>
      <c r="K526" s="38" t="s">
        <v>17882</v>
      </c>
    </row>
    <row r="527" spans="1:11" ht="12.5" x14ac:dyDescent="0.25">
      <c r="A527" s="21" t="str">
        <f ca="1">IFERROR(__xludf.DUMMYFUNCTION("""COMPUTED_VALUE"""),"0014X00002VKCpXQAX")</f>
        <v>0014X00002VKCpXQAX</v>
      </c>
      <c r="B527" s="27" t="str">
        <f ca="1">IFERROR(__xludf.DUMMYFUNCTION("""COMPUTED_VALUE"""),"Fase Inicial")</f>
        <v>Fase Inicial</v>
      </c>
      <c r="C527" s="27" t="str">
        <f ca="1">IFERROR(__xludf.DUMMYFUNCTION("""COMPUTED_VALUE"""),"Fellow")</f>
        <v>Fellow</v>
      </c>
      <c r="D527" s="27" t="str">
        <f ca="1">IFERROR(__xludf.DUMMYFUNCTION("""COMPUTED_VALUE"""),"Ativo")</f>
        <v>Ativo</v>
      </c>
      <c r="E527" s="27" t="str">
        <f ca="1">IFERROR(__xludf.DUMMYFUNCTION("""COMPUTED_VALUE"""),"Projeto Espalhe Cestas")</f>
        <v>Projeto Espalhe Cestas</v>
      </c>
      <c r="F527" s="21" t="str">
        <f ca="1">IFERROR(VLOOKUP(A527,'Rede - Gerando Falcões '!A526:G1522,38,0),"")</f>
        <v/>
      </c>
      <c r="G527" s="27" t="str">
        <f ca="1">IFERROR(VLOOKUP(A527,'Tabela Categorização'!A:J,10,0),"")</f>
        <v>Fase Inicial</v>
      </c>
      <c r="H527" s="27" t="b">
        <f t="shared" ca="1" si="2"/>
        <v>1</v>
      </c>
      <c r="I527" s="21" t="str">
        <f>HYPERLINK("https://gerandofalcoes.my.salesforce.com/0034X0000380O1dQAE", "0034X0000380O1dQAE")</f>
        <v>0034X0000380O1dQAE</v>
      </c>
      <c r="J527" s="9" t="s">
        <v>17881</v>
      </c>
      <c r="K527" s="38" t="s">
        <v>17882</v>
      </c>
    </row>
    <row r="528" spans="1:11" ht="12.5" x14ac:dyDescent="0.25">
      <c r="A528" s="21" t="str">
        <f ca="1">IFERROR(__xludf.DUMMYFUNCTION("""COMPUTED_VALUE"""),"0014X00002VKCsaQAH")</f>
        <v>0014X00002VKCsaQAH</v>
      </c>
      <c r="B528" s="27" t="str">
        <f ca="1">IFERROR(__xludf.DUMMYFUNCTION("""COMPUTED_VALUE"""),"Fase Inicial")</f>
        <v>Fase Inicial</v>
      </c>
      <c r="C528" s="27" t="str">
        <f ca="1">IFERROR(__xludf.DUMMYFUNCTION("""COMPUTED_VALUE"""),"Fellow")</f>
        <v>Fellow</v>
      </c>
      <c r="D528" s="27" t="str">
        <f ca="1">IFERROR(__xludf.DUMMYFUNCTION("""COMPUTED_VALUE"""),"Ativo")</f>
        <v>Ativo</v>
      </c>
      <c r="E528" s="27" t="str">
        <f ca="1">IFERROR(__xludf.DUMMYFUNCTION("""COMPUTED_VALUE"""),"Projeto Esperança do Gogó")</f>
        <v>Projeto Esperança do Gogó</v>
      </c>
      <c r="F528" s="21" t="str">
        <f ca="1">IFERROR(VLOOKUP(A528,'Rede - Gerando Falcões '!A527:G1523,38,0),"")</f>
        <v/>
      </c>
      <c r="G528" s="27" t="str">
        <f ca="1">IFERROR(VLOOKUP(A528,'Tabela Categorização'!A:J,10,0),"")</f>
        <v>Fase Inicial</v>
      </c>
      <c r="H528" s="27" t="b">
        <f t="shared" ca="1" si="2"/>
        <v>1</v>
      </c>
      <c r="I528" s="21" t="str">
        <f>HYPERLINK("https://gerandofalcoes.my.salesforce.com/0034X0000380O5VQAU", "0034X0000380O5VQAU")</f>
        <v>0034X0000380O5VQAU</v>
      </c>
      <c r="J528" s="9" t="s">
        <v>17881</v>
      </c>
      <c r="K528" s="38" t="s">
        <v>17882</v>
      </c>
    </row>
    <row r="529" spans="1:11" ht="12.5" x14ac:dyDescent="0.25">
      <c r="A529" s="21" t="str">
        <f ca="1">IFERROR(__xludf.DUMMYFUNCTION("""COMPUTED_VALUE"""),"0014X00002VKCrwQAH")</f>
        <v>0014X00002VKCrwQAH</v>
      </c>
      <c r="B529" s="27" t="str">
        <f ca="1">IFERROR(__xludf.DUMMYFUNCTION("""COMPUTED_VALUE"""),"Fase Inicial")</f>
        <v>Fase Inicial</v>
      </c>
      <c r="C529" s="27" t="str">
        <f ca="1">IFERROR(__xludf.DUMMYFUNCTION("""COMPUTED_VALUE"""),"Fellow")</f>
        <v>Fellow</v>
      </c>
      <c r="D529" s="27" t="str">
        <f ca="1">IFERROR(__xludf.DUMMYFUNCTION("""COMPUTED_VALUE"""),"Ativo")</f>
        <v>Ativo</v>
      </c>
      <c r="E529" s="27" t="str">
        <f ca="1">IFERROR(__xludf.DUMMYFUNCTION("""COMPUTED_VALUE"""),"PROJETO FÁBRICA")</f>
        <v>PROJETO FÁBRICA</v>
      </c>
      <c r="F529" s="21" t="str">
        <f ca="1">IFERROR(VLOOKUP(A529,'Rede - Gerando Falcões '!A528:G1524,38,0),"")</f>
        <v/>
      </c>
      <c r="G529" s="27" t="str">
        <f ca="1">IFERROR(VLOOKUP(A529,'Tabela Categorização'!A:J,10,0),"")</f>
        <v>Fase Inicial</v>
      </c>
      <c r="H529" s="27" t="b">
        <f t="shared" ca="1" si="2"/>
        <v>1</v>
      </c>
      <c r="I529" s="21" t="str">
        <f>HYPERLINK("https://gerandofalcoes.my.salesforce.com/0034X0000380O19QAE", "0034X0000380O19QAE")</f>
        <v>0034X0000380O19QAE</v>
      </c>
      <c r="J529" s="9" t="s">
        <v>17881</v>
      </c>
      <c r="K529" s="38" t="s">
        <v>17882</v>
      </c>
    </row>
    <row r="530" spans="1:11" ht="12.5" x14ac:dyDescent="0.25">
      <c r="A530" s="21" t="str">
        <f ca="1">IFERROR(__xludf.DUMMYFUNCTION("""COMPUTED_VALUE"""),"0014X00002VKCrJQAX")</f>
        <v>0014X00002VKCrJQAX</v>
      </c>
      <c r="B530" s="27" t="str">
        <f ca="1">IFERROR(__xludf.DUMMYFUNCTION("""COMPUTED_VALUE"""),"Fase Inicial")</f>
        <v>Fase Inicial</v>
      </c>
      <c r="C530" s="27" t="str">
        <f ca="1">IFERROR(__xludf.DUMMYFUNCTION("""COMPUTED_VALUE"""),"Fellow")</f>
        <v>Fellow</v>
      </c>
      <c r="D530" s="27" t="str">
        <f ca="1">IFERROR(__xludf.DUMMYFUNCTION("""COMPUTED_VALUE"""),"Ativo")</f>
        <v>Ativo</v>
      </c>
      <c r="E530" s="27" t="str">
        <f ca="1">IFERROR(__xludf.DUMMYFUNCTION("""COMPUTED_VALUE"""),"Projeto Flor de Lótus")</f>
        <v>Projeto Flor de Lótus</v>
      </c>
      <c r="F530" s="21" t="str">
        <f ca="1">IFERROR(VLOOKUP(A530,'Rede - Gerando Falcões '!A529:G1525,38,0),"")</f>
        <v/>
      </c>
      <c r="G530" s="27" t="str">
        <f ca="1">IFERROR(VLOOKUP(A530,'Tabela Categorização'!A:J,10,0),"")</f>
        <v>Fase Inicial</v>
      </c>
      <c r="H530" s="27" t="b">
        <f t="shared" ca="1" si="2"/>
        <v>1</v>
      </c>
      <c r="I530" s="21" t="str">
        <f>HYPERLINK("https://gerandofalcoes.my.salesforce.com/0034X0000380O2PQAU", "0034X0000380O2PQAU")</f>
        <v>0034X0000380O2PQAU</v>
      </c>
      <c r="J530" s="9" t="s">
        <v>17881</v>
      </c>
      <c r="K530" s="38" t="s">
        <v>17882</v>
      </c>
    </row>
    <row r="531" spans="1:11" ht="12.5" x14ac:dyDescent="0.25">
      <c r="A531" s="21" t="str">
        <f ca="1">IFERROR(__xludf.DUMMYFUNCTION("""COMPUTED_VALUE"""),"0014X00002VKCtmQAH")</f>
        <v>0014X00002VKCtmQAH</v>
      </c>
      <c r="B531" s="27" t="str">
        <f ca="1">IFERROR(__xludf.DUMMYFUNCTION("""COMPUTED_VALUE"""),"Fase Inicial")</f>
        <v>Fase Inicial</v>
      </c>
      <c r="C531" s="27" t="str">
        <f ca="1">IFERROR(__xludf.DUMMYFUNCTION("""COMPUTED_VALUE"""),"Fellow")</f>
        <v>Fellow</v>
      </c>
      <c r="D531" s="27" t="str">
        <f ca="1">IFERROR(__xludf.DUMMYFUNCTION("""COMPUTED_VALUE"""),"Ativo")</f>
        <v>Ativo</v>
      </c>
      <c r="E531" s="27" t="str">
        <f ca="1">IFERROR(__xludf.DUMMYFUNCTION("""COMPUTED_VALUE"""),"Projeto Fome de Quê?")</f>
        <v>Projeto Fome de Quê?</v>
      </c>
      <c r="F531" s="21" t="str">
        <f ca="1">IFERROR(VLOOKUP(A531,'Rede - Gerando Falcões '!A530:G1526,38,0),"")</f>
        <v/>
      </c>
      <c r="G531" s="27" t="str">
        <f ca="1">IFERROR(VLOOKUP(A531,'Tabela Categorização'!A:J,10,0),"")</f>
        <v>Fase Inicial</v>
      </c>
      <c r="H531" s="27" t="b">
        <f t="shared" ca="1" si="2"/>
        <v>1</v>
      </c>
      <c r="I531" s="21" t="str">
        <f>HYPERLINK("https://gerandofalcoes.my.salesforce.com/0034X0000380O4aQAE", "0034X0000380O4aQAE")</f>
        <v>0034X0000380O4aQAE</v>
      </c>
      <c r="J531" s="9" t="s">
        <v>17881</v>
      </c>
      <c r="K531" s="38" t="s">
        <v>17882</v>
      </c>
    </row>
    <row r="532" spans="1:11" ht="12.5" x14ac:dyDescent="0.25">
      <c r="A532" s="21" t="str">
        <f ca="1">IFERROR(__xludf.DUMMYFUNCTION("""COMPUTED_VALUE"""),"0014X00002VKCpmQAH")</f>
        <v>0014X00002VKCpmQAH</v>
      </c>
      <c r="B532" s="27" t="str">
        <f ca="1">IFERROR(__xludf.DUMMYFUNCTION("""COMPUTED_VALUE"""),"Fase Inicial")</f>
        <v>Fase Inicial</v>
      </c>
      <c r="C532" s="27" t="str">
        <f ca="1">IFERROR(__xludf.DUMMYFUNCTION("""COMPUTED_VALUE"""),"Fellow")</f>
        <v>Fellow</v>
      </c>
      <c r="D532" s="27" t="str">
        <f ca="1">IFERROR(__xludf.DUMMYFUNCTION("""COMPUTED_VALUE"""),"Ativo")</f>
        <v>Ativo</v>
      </c>
      <c r="E532" s="27" t="str">
        <f ca="1">IFERROR(__xludf.DUMMYFUNCTION("""COMPUTED_VALUE"""),"Projeto força jovem")</f>
        <v>Projeto força jovem</v>
      </c>
      <c r="F532" s="21" t="str">
        <f ca="1">IFERROR(VLOOKUP(A532,'Rede - Gerando Falcões '!A531:G1527,38,0),"")</f>
        <v/>
      </c>
      <c r="G532" s="27" t="str">
        <f ca="1">IFERROR(VLOOKUP(A532,'Tabela Categorização'!A:J,10,0),"")</f>
        <v>Fase Inicial</v>
      </c>
      <c r="H532" s="27" t="b">
        <f t="shared" ca="1" si="2"/>
        <v>1</v>
      </c>
      <c r="I532" s="21" t="str">
        <f>HYPERLINK("https://gerandofalcoes.my.salesforce.com/0034X0000380O56QAE", "0034X0000380O56QAE")</f>
        <v>0034X0000380O56QAE</v>
      </c>
      <c r="J532" s="9" t="s">
        <v>17881</v>
      </c>
      <c r="K532" s="38" t="s">
        <v>17882</v>
      </c>
    </row>
    <row r="533" spans="1:11" ht="12.5" x14ac:dyDescent="0.25">
      <c r="A533" s="21" t="str">
        <f ca="1">IFERROR(__xludf.DUMMYFUNCTION("""COMPUTED_VALUE"""),"0014X00002VKCsOQAX")</f>
        <v>0014X00002VKCsOQAX</v>
      </c>
      <c r="B533" s="27" t="str">
        <f ca="1">IFERROR(__xludf.DUMMYFUNCTION("""COMPUTED_VALUE"""),"Fase Inicial")</f>
        <v>Fase Inicial</v>
      </c>
      <c r="C533" s="27" t="str">
        <f ca="1">IFERROR(__xludf.DUMMYFUNCTION("""COMPUTED_VALUE"""),"Fellow")</f>
        <v>Fellow</v>
      </c>
      <c r="D533" s="27" t="str">
        <f ca="1">IFERROR(__xludf.DUMMYFUNCTION("""COMPUTED_VALUE"""),"Ativo")</f>
        <v>Ativo</v>
      </c>
      <c r="E533" s="27" t="str">
        <f ca="1">IFERROR(__xludf.DUMMYFUNCTION("""COMPUTED_VALUE"""),"PROJETO MOURÃO ELES NÃO SÃO INVISIVEIS")</f>
        <v>PROJETO MOURÃO ELES NÃO SÃO INVISIVEIS</v>
      </c>
      <c r="F533" s="21" t="str">
        <f ca="1">IFERROR(VLOOKUP(A533,'Rede - Gerando Falcões '!A532:G1528,38,0),"")</f>
        <v/>
      </c>
      <c r="G533" s="27" t="str">
        <f ca="1">IFERROR(VLOOKUP(A533,'Tabela Categorização'!A:J,10,0),"")</f>
        <v>Fase Inicial</v>
      </c>
      <c r="H533" s="27" t="b">
        <f t="shared" ca="1" si="2"/>
        <v>1</v>
      </c>
      <c r="I533" s="21" t="str">
        <f>HYPERLINK("https://gerandofalcoes.my.salesforce.com/0034P000045kxj3QAA", "0034P000045kxj3QAA")</f>
        <v>0034P000045kxj3QAA</v>
      </c>
      <c r="J533" s="9" t="s">
        <v>17881</v>
      </c>
      <c r="K533" s="38" t="s">
        <v>17882</v>
      </c>
    </row>
    <row r="534" spans="1:11" ht="12.5" x14ac:dyDescent="0.25">
      <c r="A534" s="21" t="str">
        <f ca="1">IFERROR(__xludf.DUMMYFUNCTION("""COMPUTED_VALUE"""),"0014P00003YSp8SQAT")</f>
        <v>0014P00003YSp8SQAT</v>
      </c>
      <c r="B534" s="27" t="str">
        <f ca="1">IFERROR(__xludf.DUMMYFUNCTION("""COMPUTED_VALUE"""),"Fase Inicial")</f>
        <v>Fase Inicial</v>
      </c>
      <c r="C534" s="27" t="str">
        <f ca="1">IFERROR(__xludf.DUMMYFUNCTION("""COMPUTED_VALUE"""),"Fellow")</f>
        <v>Fellow</v>
      </c>
      <c r="D534" s="27" t="str">
        <f ca="1">IFERROR(__xludf.DUMMYFUNCTION("""COMPUTED_VALUE"""),"Ativo")</f>
        <v>Ativo</v>
      </c>
      <c r="E534" s="27" t="str">
        <f ca="1">IFERROR(__xludf.DUMMYFUNCTION("""COMPUTED_VALUE"""),"PROJETO NOVA HISTÓRIA/REDE DE MULHERES GIRASSOL")</f>
        <v>PROJETO NOVA HISTÓRIA/REDE DE MULHERES GIRASSOL</v>
      </c>
      <c r="F534" s="21" t="str">
        <f ca="1">IFERROR(VLOOKUP(A534,'Rede - Gerando Falcões '!A533:G1529,38,0),"")</f>
        <v/>
      </c>
      <c r="G534" s="27" t="str">
        <f ca="1">IFERROR(VLOOKUP(A534,'Tabela Categorização'!A:J,10,0),"")</f>
        <v>Fase Inicial</v>
      </c>
      <c r="H534" s="27" t="b">
        <f t="shared" ca="1" si="2"/>
        <v>1</v>
      </c>
      <c r="I534" s="21" t="str">
        <f>HYPERLINK("https://gerandofalcoes.my.salesforce.com/0034P00003maBVfQAM", "0034P00003maBVfQAM")</f>
        <v>0034P00003maBVfQAM</v>
      </c>
      <c r="J534" s="9" t="s">
        <v>17881</v>
      </c>
      <c r="K534" s="38" t="s">
        <v>17882</v>
      </c>
    </row>
    <row r="535" spans="1:11" ht="12.5" x14ac:dyDescent="0.25">
      <c r="A535" s="21" t="str">
        <f ca="1">IFERROR(__xludf.DUMMYFUNCTION("""COMPUTED_VALUE"""),"0014P00003AN2GBQA1")</f>
        <v>0014P00003AN2GBQA1</v>
      </c>
      <c r="B535" s="27" t="str">
        <f ca="1">IFERROR(__xludf.DUMMYFUNCTION("""COMPUTED_VALUE"""),"Fase Estruturação")</f>
        <v>Fase Estruturação</v>
      </c>
      <c r="C535" s="27" t="str">
        <f ca="1">IFERROR(__xludf.DUMMYFUNCTION("""COMPUTED_VALUE"""),"Fellow")</f>
        <v>Fellow</v>
      </c>
      <c r="D535" s="27" t="str">
        <f ca="1">IFERROR(__xludf.DUMMYFUNCTION("""COMPUTED_VALUE"""),"Ativo")</f>
        <v>Ativo</v>
      </c>
      <c r="E535" s="27" t="str">
        <f ca="1">IFERROR(__xludf.DUMMYFUNCTION("""COMPUTED_VALUE"""),"Projeto Ondas")</f>
        <v>Projeto Ondas</v>
      </c>
      <c r="F535" s="21" t="str">
        <f ca="1">IFERROR(VLOOKUP(A535,'Rede - Gerando Falcões '!A534:G1530,38,0),"")</f>
        <v/>
      </c>
      <c r="G535" s="27" t="str">
        <f ca="1">IFERROR(VLOOKUP(A535,'Tabela Categorização'!A:J,10,0),"")</f>
        <v>Fase Estruturação</v>
      </c>
      <c r="H535" s="27" t="b">
        <f t="shared" ca="1" si="2"/>
        <v>1</v>
      </c>
      <c r="I535" s="21" t="str">
        <f>HYPERLINK("https://gerandofalcoes.my.salesforce.com/0034P000045kxjgQAA", "0034P000045kxjgQAA")</f>
        <v>0034P000045kxjgQAA</v>
      </c>
      <c r="J535" s="9" t="s">
        <v>17881</v>
      </c>
      <c r="K535" s="38" t="s">
        <v>17882</v>
      </c>
    </row>
    <row r="536" spans="1:11" ht="12.5" x14ac:dyDescent="0.25">
      <c r="A536" s="21" t="str">
        <f ca="1">IFERROR(__xludf.DUMMYFUNCTION("""COMPUTED_VALUE"""),"0014P00003YSp94QAD")</f>
        <v>0014P00003YSp94QAD</v>
      </c>
      <c r="B536" s="27" t="str">
        <f ca="1">IFERROR(__xludf.DUMMYFUNCTION("""COMPUTED_VALUE"""),"Fase Inicial")</f>
        <v>Fase Inicial</v>
      </c>
      <c r="C536" s="27" t="str">
        <f ca="1">IFERROR(__xludf.DUMMYFUNCTION("""COMPUTED_VALUE"""),"Fellow")</f>
        <v>Fellow</v>
      </c>
      <c r="D536" s="27" t="str">
        <f ca="1">IFERROR(__xludf.DUMMYFUNCTION("""COMPUTED_VALUE"""),"Ativo")</f>
        <v>Ativo</v>
      </c>
      <c r="E536" s="27" t="str">
        <f ca="1">IFERROR(__xludf.DUMMYFUNCTION("""COMPUTED_VALUE"""),"Projeto Pela Rua Pelo Reino")</f>
        <v>Projeto Pela Rua Pelo Reino</v>
      </c>
      <c r="F536" s="21" t="str">
        <f ca="1">IFERROR(VLOOKUP(A536,'Rede - Gerando Falcões '!A535:G1531,38,0),"")</f>
        <v/>
      </c>
      <c r="G536" s="27" t="str">
        <f ca="1">IFERROR(VLOOKUP(A536,'Tabela Categorização'!A:J,10,0),"")</f>
        <v>Fase Inicial</v>
      </c>
      <c r="H536" s="27" t="b">
        <f t="shared" ca="1" si="2"/>
        <v>1</v>
      </c>
      <c r="I536" s="21" t="str">
        <f>HYPERLINK("https://gerandofalcoes.my.salesforce.com/0034P000045kxi6QAA", "0034P000045kxi6QAA")</f>
        <v>0034P000045kxi6QAA</v>
      </c>
      <c r="J536" s="9" t="s">
        <v>17881</v>
      </c>
      <c r="K536" s="38" t="s">
        <v>17882</v>
      </c>
    </row>
    <row r="537" spans="1:11" ht="12.5" x14ac:dyDescent="0.25">
      <c r="A537" s="21" t="str">
        <f ca="1">IFERROR(__xludf.DUMMYFUNCTION("""COMPUTED_VALUE"""),"0014P00003YSp7VQAT")</f>
        <v>0014P00003YSp7VQAT</v>
      </c>
      <c r="B537" s="27" t="str">
        <f ca="1">IFERROR(__xludf.DUMMYFUNCTION("""COMPUTED_VALUE"""),"Fase Inicial")</f>
        <v>Fase Inicial</v>
      </c>
      <c r="C537" s="27" t="str">
        <f ca="1">IFERROR(__xludf.DUMMYFUNCTION("""COMPUTED_VALUE"""),"Fellow")</f>
        <v>Fellow</v>
      </c>
      <c r="D537" s="27" t="str">
        <f ca="1">IFERROR(__xludf.DUMMYFUNCTION("""COMPUTED_VALUE"""),"Ativo")</f>
        <v>Ativo</v>
      </c>
      <c r="E537" s="27" t="str">
        <f ca="1">IFERROR(__xludf.DUMMYFUNCTION("""COMPUTED_VALUE"""),"Projeto quero ajudar")</f>
        <v>Projeto quero ajudar</v>
      </c>
      <c r="F537" s="21" t="str">
        <f ca="1">IFERROR(VLOOKUP(A537,'Rede - Gerando Falcões '!A536:G1532,38,0),"")</f>
        <v/>
      </c>
      <c r="G537" s="27" t="str">
        <f ca="1">IFERROR(VLOOKUP(A537,'Tabela Categorização'!A:J,10,0),"")</f>
        <v>Fase Inicial</v>
      </c>
      <c r="H537" s="27" t="b">
        <f t="shared" ca="1" si="2"/>
        <v>1</v>
      </c>
      <c r="I537" s="21" t="str">
        <f>HYPERLINK("https://gerandofalcoes.my.salesforce.com/0034X0000380O6eQAE", "0034X0000380O6eQAE")</f>
        <v>0034X0000380O6eQAE</v>
      </c>
      <c r="J537" s="9" t="s">
        <v>17881</v>
      </c>
      <c r="K537" s="38" t="s">
        <v>17882</v>
      </c>
    </row>
    <row r="538" spans="1:11" ht="12.5" x14ac:dyDescent="0.25">
      <c r="A538" s="21" t="str">
        <f ca="1">IFERROR(__xludf.DUMMYFUNCTION("""COMPUTED_VALUE"""),"0014X00002VKCv7QAH")</f>
        <v>0014X00002VKCv7QAH</v>
      </c>
      <c r="B538" s="27" t="str">
        <f ca="1">IFERROR(__xludf.DUMMYFUNCTION("""COMPUTED_VALUE"""),"Fase Inicial")</f>
        <v>Fase Inicial</v>
      </c>
      <c r="C538" s="27" t="str">
        <f ca="1">IFERROR(__xludf.DUMMYFUNCTION("""COMPUTED_VALUE"""),"Fellow")</f>
        <v>Fellow</v>
      </c>
      <c r="D538" s="27" t="str">
        <f ca="1">IFERROR(__xludf.DUMMYFUNCTION("""COMPUTED_VALUE"""),"Ativo")</f>
        <v>Ativo</v>
      </c>
      <c r="E538" s="27" t="str">
        <f ca="1">IFERROR(__xludf.DUMMYFUNCTION("""COMPUTED_VALUE"""),"Projeto Resgate uma vida")</f>
        <v>Projeto Resgate uma vida</v>
      </c>
      <c r="F538" s="21" t="str">
        <f ca="1">IFERROR(VLOOKUP(A538,'Rede - Gerando Falcões '!A537:G1533,38,0),"")</f>
        <v/>
      </c>
      <c r="G538" s="27" t="str">
        <f ca="1">IFERROR(VLOOKUP(A538,'Tabela Categorização'!A:J,10,0),"")</f>
        <v>Fase Inicial</v>
      </c>
      <c r="H538" s="27" t="b">
        <f t="shared" ca="1" si="2"/>
        <v>1</v>
      </c>
      <c r="I538" s="21" t="str">
        <f>HYPERLINK("https://gerandofalcoes.my.salesforce.com/0034X0000380O5MQAU", "0034X0000380O5MQAU")</f>
        <v>0034X0000380O5MQAU</v>
      </c>
      <c r="J538" s="9" t="s">
        <v>17881</v>
      </c>
      <c r="K538" s="38" t="s">
        <v>17882</v>
      </c>
    </row>
    <row r="539" spans="1:11" ht="12.5" x14ac:dyDescent="0.25">
      <c r="A539" s="21" t="str">
        <f ca="1">IFERROR(__xludf.DUMMYFUNCTION("""COMPUTED_VALUE"""),"0014X00002VKCuYQAX")</f>
        <v>0014X00002VKCuYQAX</v>
      </c>
      <c r="B539" s="27" t="str">
        <f ca="1">IFERROR(__xludf.DUMMYFUNCTION("""COMPUTED_VALUE"""),"Fase Inicial")</f>
        <v>Fase Inicial</v>
      </c>
      <c r="C539" s="27" t="str">
        <f ca="1">IFERROR(__xludf.DUMMYFUNCTION("""COMPUTED_VALUE"""),"Fellow")</f>
        <v>Fellow</v>
      </c>
      <c r="D539" s="27" t="str">
        <f ca="1">IFERROR(__xludf.DUMMYFUNCTION("""COMPUTED_VALUE"""),"Ativo")</f>
        <v>Ativo</v>
      </c>
      <c r="E539" s="27" t="str">
        <f ca="1">IFERROR(__xludf.DUMMYFUNCTION("""COMPUTED_VALUE"""),"projeto saude nos bairros")</f>
        <v>projeto saude nos bairros</v>
      </c>
      <c r="F539" s="21" t="str">
        <f ca="1">IFERROR(VLOOKUP(A539,'Rede - Gerando Falcões '!A538:G1534,38,0),"")</f>
        <v/>
      </c>
      <c r="G539" s="27" t="str">
        <f ca="1">IFERROR(VLOOKUP(A539,'Tabela Categorização'!A:J,10,0),"")</f>
        <v>Fase Inicial</v>
      </c>
      <c r="H539" s="27" t="b">
        <f t="shared" ca="1" si="2"/>
        <v>1</v>
      </c>
      <c r="I539" s="21" t="str">
        <f>HYPERLINK("https://gerandofalcoes.my.salesforce.com/0034P000043fOnUQAU", "0034P000043fOnUQAU")</f>
        <v>0034P000043fOnUQAU</v>
      </c>
      <c r="J539" s="9" t="s">
        <v>17881</v>
      </c>
      <c r="K539" s="38" t="s">
        <v>17882</v>
      </c>
    </row>
    <row r="540" spans="1:11" ht="12.5" x14ac:dyDescent="0.25">
      <c r="A540" s="21" t="str">
        <f ca="1">IFERROR(__xludf.DUMMYFUNCTION("""COMPUTED_VALUE"""),"0014P00003SGWPMQA5")</f>
        <v>0014P00003SGWPMQA5</v>
      </c>
      <c r="B540" s="27" t="str">
        <f ca="1">IFERROR(__xludf.DUMMYFUNCTION("""COMPUTED_VALUE"""),"Fase Inicial")</f>
        <v>Fase Inicial</v>
      </c>
      <c r="C540" s="27" t="str">
        <f ca="1">IFERROR(__xludf.DUMMYFUNCTION("""COMPUTED_VALUE"""),"Fellow")</f>
        <v>Fellow</v>
      </c>
      <c r="D540" s="27" t="str">
        <f ca="1">IFERROR(__xludf.DUMMYFUNCTION("""COMPUTED_VALUE"""),"Ativo")</f>
        <v>Ativo</v>
      </c>
      <c r="E540" s="27" t="str">
        <f ca="1">IFERROR(__xludf.DUMMYFUNCTION("""COMPUTED_VALUE"""),"PROJETO SEMEAR")</f>
        <v>PROJETO SEMEAR</v>
      </c>
      <c r="F540" s="21" t="str">
        <f ca="1">IFERROR(VLOOKUP(A540,'Rede - Gerando Falcões '!A539:G1535,38,0),"")</f>
        <v/>
      </c>
      <c r="G540" s="27" t="str">
        <f ca="1">IFERROR(VLOOKUP(A540,'Tabela Categorização'!A:J,10,0),"")</f>
        <v>Fase Inicial</v>
      </c>
      <c r="H540" s="27" t="b">
        <f t="shared" ca="1" si="2"/>
        <v>1</v>
      </c>
      <c r="I540" s="21" t="str">
        <f>HYPERLINK("https://gerandofalcoes.my.salesforce.com/0034X0000380O2rQAE", "0034X0000380O2rQAE")</f>
        <v>0034X0000380O2rQAE</v>
      </c>
      <c r="J540" s="9" t="s">
        <v>17881</v>
      </c>
      <c r="K540" s="38" t="s">
        <v>17882</v>
      </c>
    </row>
    <row r="541" spans="1:11" ht="12.5" x14ac:dyDescent="0.25">
      <c r="A541" s="21" t="str">
        <f ca="1">IFERROR(__xludf.DUMMYFUNCTION("""COMPUTED_VALUE"""),"0014X00002VKCtKQAX")</f>
        <v>0014X00002VKCtKQAX</v>
      </c>
      <c r="B541" s="27" t="str">
        <f ca="1">IFERROR(__xludf.DUMMYFUNCTION("""COMPUTED_VALUE"""),"Fase Inicial")</f>
        <v>Fase Inicial</v>
      </c>
      <c r="C541" s="27" t="str">
        <f ca="1">IFERROR(__xludf.DUMMYFUNCTION("""COMPUTED_VALUE"""),"Fellow")</f>
        <v>Fellow</v>
      </c>
      <c r="D541" s="27" t="str">
        <f ca="1">IFERROR(__xludf.DUMMYFUNCTION("""COMPUTED_VALUE"""),"Ativo")</f>
        <v>Ativo</v>
      </c>
      <c r="E541" s="27" t="str">
        <f ca="1">IFERROR(__xludf.DUMMYFUNCTION("""COMPUTED_VALUE"""),"projeto sementes da fé")</f>
        <v>projeto sementes da fé</v>
      </c>
      <c r="F541" s="21" t="str">
        <f ca="1">IFERROR(VLOOKUP(A541,'Rede - Gerando Falcões '!A540:G1536,38,0),"")</f>
        <v/>
      </c>
      <c r="G541" s="27" t="str">
        <f ca="1">IFERROR(VLOOKUP(A541,'Tabela Categorização'!A:J,10,0),"")</f>
        <v>Fase Inicial</v>
      </c>
      <c r="H541" s="27" t="b">
        <f t="shared" ca="1" si="2"/>
        <v>1</v>
      </c>
      <c r="I541" s="21" t="str">
        <f>HYPERLINK("https://gerandofalcoes.my.salesforce.com/0034X0000380O44QAE", "0034X0000380O44QAE")</f>
        <v>0034X0000380O44QAE</v>
      </c>
      <c r="J541" s="9" t="s">
        <v>17881</v>
      </c>
      <c r="K541" s="38" t="s">
        <v>17882</v>
      </c>
    </row>
    <row r="542" spans="1:11" ht="12.5" x14ac:dyDescent="0.25">
      <c r="A542" s="21" t="str">
        <f ca="1">IFERROR(__xludf.DUMMYFUNCTION("""COMPUTED_VALUE"""),"0014X00002VKCsBQAX")</f>
        <v>0014X00002VKCsBQAX</v>
      </c>
      <c r="B542" s="27" t="str">
        <f ca="1">IFERROR(__xludf.DUMMYFUNCTION("""COMPUTED_VALUE"""),"Fase Inicial")</f>
        <v>Fase Inicial</v>
      </c>
      <c r="C542" s="27" t="str">
        <f ca="1">IFERROR(__xludf.DUMMYFUNCTION("""COMPUTED_VALUE"""),"Fellow")</f>
        <v>Fellow</v>
      </c>
      <c r="D542" s="27" t="str">
        <f ca="1">IFERROR(__xludf.DUMMYFUNCTION("""COMPUTED_VALUE"""),"Ativo")</f>
        <v>Ativo</v>
      </c>
      <c r="E542" s="27" t="str">
        <f ca="1">IFERROR(__xludf.DUMMYFUNCTION("""COMPUTED_VALUE"""),"Projeto Sitio Cipó")</f>
        <v>Projeto Sitio Cipó</v>
      </c>
      <c r="F542" s="21" t="str">
        <f ca="1">IFERROR(VLOOKUP(A542,'Rede - Gerando Falcões '!A541:G1537,38,0),"")</f>
        <v/>
      </c>
      <c r="G542" s="27" t="str">
        <f ca="1">IFERROR(VLOOKUP(A542,'Tabela Categorização'!A:J,10,0),"")</f>
        <v>Fase Inicial</v>
      </c>
      <c r="H542" s="27" t="b">
        <f t="shared" ca="1" si="2"/>
        <v>1</v>
      </c>
      <c r="I542" s="21" t="str">
        <f>HYPERLINK("https://gerandofalcoes.my.salesforce.com/0034X0000380O6iQAE", "0034X0000380O6iQAE")</f>
        <v>0034X0000380O6iQAE</v>
      </c>
      <c r="J542" s="9" t="s">
        <v>17881</v>
      </c>
      <c r="K542" s="38" t="s">
        <v>17882</v>
      </c>
    </row>
    <row r="543" spans="1:11" ht="12.5" x14ac:dyDescent="0.25">
      <c r="A543" s="21" t="str">
        <f ca="1">IFERROR(__xludf.DUMMYFUNCTION("""COMPUTED_VALUE"""),"0014X00002VKCtMQAX")</f>
        <v>0014X00002VKCtMQAX</v>
      </c>
      <c r="B543" s="27" t="str">
        <f ca="1">IFERROR(__xludf.DUMMYFUNCTION("""COMPUTED_VALUE"""),"Fase Inicial")</f>
        <v>Fase Inicial</v>
      </c>
      <c r="C543" s="27" t="str">
        <f ca="1">IFERROR(__xludf.DUMMYFUNCTION("""COMPUTED_VALUE"""),"Fellow")</f>
        <v>Fellow</v>
      </c>
      <c r="D543" s="27" t="str">
        <f ca="1">IFERROR(__xludf.DUMMYFUNCTION("""COMPUTED_VALUE"""),"Ativo")</f>
        <v>Ativo</v>
      </c>
      <c r="E543" s="27" t="str">
        <f ca="1">IFERROR(__xludf.DUMMYFUNCTION("""COMPUTED_VALUE"""),"Projeto social")</f>
        <v>Projeto social</v>
      </c>
      <c r="F543" s="21" t="str">
        <f ca="1">IFERROR(VLOOKUP(A543,'Rede - Gerando Falcões '!A542:G1538,38,0),"")</f>
        <v/>
      </c>
      <c r="G543" s="27" t="str">
        <f ca="1">IFERROR(VLOOKUP(A543,'Tabela Categorização'!A:J,10,0),"")</f>
        <v>Fase Inicial</v>
      </c>
      <c r="H543" s="27" t="b">
        <f t="shared" ca="1" si="2"/>
        <v>1</v>
      </c>
      <c r="I543" s="21" t="str">
        <f>HYPERLINK("https://gerandofalcoes.my.salesforce.com/0034X0000380O6lQAE", "0034X0000380O6lQAE")</f>
        <v>0034X0000380O6lQAE</v>
      </c>
      <c r="J543" s="9" t="s">
        <v>17881</v>
      </c>
      <c r="K543" s="38" t="s">
        <v>17882</v>
      </c>
    </row>
    <row r="544" spans="1:11" ht="12.5" x14ac:dyDescent="0.25">
      <c r="A544" s="21" t="str">
        <f ca="1">IFERROR(__xludf.DUMMYFUNCTION("""COMPUTED_VALUE"""),"0014X00002VKCp3QAH")</f>
        <v>0014X00002VKCp3QAH</v>
      </c>
      <c r="B544" s="27" t="str">
        <f ca="1">IFERROR(__xludf.DUMMYFUNCTION("""COMPUTED_VALUE"""),"Fase Inicial")</f>
        <v>Fase Inicial</v>
      </c>
      <c r="C544" s="27" t="str">
        <f ca="1">IFERROR(__xludf.DUMMYFUNCTION("""COMPUTED_VALUE"""),"Fellow")</f>
        <v>Fellow</v>
      </c>
      <c r="D544" s="27" t="str">
        <f ca="1">IFERROR(__xludf.DUMMYFUNCTION("""COMPUTED_VALUE"""),"Ativo")</f>
        <v>Ativo</v>
      </c>
      <c r="E544" s="27" t="str">
        <f ca="1">IFERROR(__xludf.DUMMYFUNCTION("""COMPUTED_VALUE"""),"Projeto Social e Cultural Regaty")</f>
        <v>Projeto Social e Cultural Regaty</v>
      </c>
      <c r="F544" s="21" t="str">
        <f ca="1">IFERROR(VLOOKUP(A544,'Rede - Gerando Falcões '!A543:G1539,38,0),"")</f>
        <v/>
      </c>
      <c r="G544" s="27" t="str">
        <f ca="1">IFERROR(VLOOKUP(A544,'Tabela Categorização'!A:J,10,0),"")</f>
        <v>Fase Inicial</v>
      </c>
      <c r="H544" s="27" t="b">
        <f t="shared" ca="1" si="2"/>
        <v>1</v>
      </c>
      <c r="I544" s="21" t="str">
        <f>HYPERLINK("https://gerandofalcoes.my.salesforce.com/0034X0000380O0zQAE", "0034X0000380O0zQAE")</f>
        <v>0034X0000380O0zQAE</v>
      </c>
      <c r="J544" s="9" t="s">
        <v>17881</v>
      </c>
      <c r="K544" s="38" t="s">
        <v>17882</v>
      </c>
    </row>
    <row r="545" spans="1:11" ht="12.5" x14ac:dyDescent="0.25">
      <c r="A545" s="21" t="str">
        <f ca="1">IFERROR(__xludf.DUMMYFUNCTION("""COMPUTED_VALUE"""),"0014X00002VKCsjQAH")</f>
        <v>0014X00002VKCsjQAH</v>
      </c>
      <c r="B545" s="27" t="str">
        <f ca="1">IFERROR(__xludf.DUMMYFUNCTION("""COMPUTED_VALUE"""),"Fase Inicial")</f>
        <v>Fase Inicial</v>
      </c>
      <c r="C545" s="27" t="str">
        <f ca="1">IFERROR(__xludf.DUMMYFUNCTION("""COMPUTED_VALUE"""),"Fellow")</f>
        <v>Fellow</v>
      </c>
      <c r="D545" s="27" t="str">
        <f ca="1">IFERROR(__xludf.DUMMYFUNCTION("""COMPUTED_VALUE"""),"Ativo")</f>
        <v>Ativo</v>
      </c>
      <c r="E545" s="27" t="str">
        <f ca="1">IFERROR(__xludf.DUMMYFUNCTION("""COMPUTED_VALUE"""),"Projeto Social Entrando na Linha")</f>
        <v>Projeto Social Entrando na Linha</v>
      </c>
      <c r="F545" s="21" t="str">
        <f ca="1">IFERROR(VLOOKUP(A545,'Rede - Gerando Falcões '!A544:G1540,38,0),"")</f>
        <v/>
      </c>
      <c r="G545" s="27" t="str">
        <f ca="1">IFERROR(VLOOKUP(A545,'Tabela Categorização'!A:J,10,0),"")</f>
        <v>Fase Inicial</v>
      </c>
      <c r="H545" s="27" t="b">
        <f t="shared" ca="1" si="2"/>
        <v>1</v>
      </c>
      <c r="I545" s="21" t="str">
        <f>HYPERLINK("https://gerandofalcoes.my.salesforce.com/0034X0000380O2EQAU", "0034X0000380O2EQAU")</f>
        <v>0034X0000380O2EQAU</v>
      </c>
      <c r="J545" s="9" t="s">
        <v>17881</v>
      </c>
      <c r="K545" s="38" t="s">
        <v>17882</v>
      </c>
    </row>
    <row r="546" spans="1:11" ht="12.5" x14ac:dyDescent="0.25">
      <c r="A546" s="21" t="str">
        <f ca="1">IFERROR(__xludf.DUMMYFUNCTION("""COMPUTED_VALUE"""),"0014X00002VKCpMQAX")</f>
        <v>0014X00002VKCpMQAX</v>
      </c>
      <c r="B546" s="27" t="str">
        <f ca="1">IFERROR(__xludf.DUMMYFUNCTION("""COMPUTED_VALUE"""),"Fase Inicial")</f>
        <v>Fase Inicial</v>
      </c>
      <c r="C546" s="27" t="str">
        <f ca="1">IFERROR(__xludf.DUMMYFUNCTION("""COMPUTED_VALUE"""),"Fellow")</f>
        <v>Fellow</v>
      </c>
      <c r="D546" s="27" t="str">
        <f ca="1">IFERROR(__xludf.DUMMYFUNCTION("""COMPUTED_VALUE"""),"Ativo")</f>
        <v>Ativo</v>
      </c>
      <c r="E546" s="27" t="str">
        <f ca="1">IFERROR(__xludf.DUMMYFUNCTION("""COMPUTED_VALUE"""),"Projeto social fazer o bem faz bem a vida")</f>
        <v>Projeto social fazer o bem faz bem a vida</v>
      </c>
      <c r="F546" s="21" t="str">
        <f ca="1">IFERROR(VLOOKUP(A546,'Rede - Gerando Falcões '!A545:G1541,38,0),"")</f>
        <v/>
      </c>
      <c r="G546" s="27" t="str">
        <f ca="1">IFERROR(VLOOKUP(A546,'Tabela Categorização'!A:J,10,0),"")</f>
        <v>Fase Inicial</v>
      </c>
      <c r="H546" s="27" t="b">
        <f t="shared" ca="1" si="2"/>
        <v>1</v>
      </c>
      <c r="I546" s="21" t="str">
        <f>HYPERLINK("https://gerandofalcoes.my.salesforce.com/0034P000045kxiAQAQ", "0034P000045kxiAQAQ")</f>
        <v>0034P000045kxiAQAQ</v>
      </c>
      <c r="J546" s="9" t="s">
        <v>17881</v>
      </c>
      <c r="K546" s="38" t="s">
        <v>17882</v>
      </c>
    </row>
    <row r="547" spans="1:11" ht="12.5" x14ac:dyDescent="0.25">
      <c r="A547" s="21" t="str">
        <f ca="1">IFERROR(__xludf.DUMMYFUNCTION("""COMPUTED_VALUE"""),"0014P00003YSp7ZQAT")</f>
        <v>0014P00003YSp7ZQAT</v>
      </c>
      <c r="B547" s="27" t="str">
        <f ca="1">IFERROR(__xludf.DUMMYFUNCTION("""COMPUTED_VALUE"""),"Fase Inicial")</f>
        <v>Fase Inicial</v>
      </c>
      <c r="C547" s="27" t="str">
        <f ca="1">IFERROR(__xludf.DUMMYFUNCTION("""COMPUTED_VALUE"""),"Fellow")</f>
        <v>Fellow</v>
      </c>
      <c r="D547" s="27" t="str">
        <f ca="1">IFERROR(__xludf.DUMMYFUNCTION("""COMPUTED_VALUE"""),"Ativo")</f>
        <v>Ativo</v>
      </c>
      <c r="E547" s="27" t="str">
        <f ca="1">IFERROR(__xludf.DUMMYFUNCTION("""COMPUTED_VALUE"""),"Projeto Social Patrulha do Bem")</f>
        <v>Projeto Social Patrulha do Bem</v>
      </c>
      <c r="F547" s="21" t="str">
        <f ca="1">IFERROR(VLOOKUP(A547,'Rede - Gerando Falcões '!A546:G1542,38,0),"")</f>
        <v/>
      </c>
      <c r="G547" s="27" t="str">
        <f ca="1">IFERROR(VLOOKUP(A547,'Tabela Categorização'!A:J,10,0),"")</f>
        <v>Fase Inicial</v>
      </c>
      <c r="H547" s="27" t="b">
        <f t="shared" ca="1" si="2"/>
        <v>1</v>
      </c>
      <c r="I547" s="21" t="str">
        <f>HYPERLINK("https://gerandofalcoes.my.salesforce.com/0034X0000380O5yQAE", "0034X0000380O5yQAE")</f>
        <v>0034X0000380O5yQAE</v>
      </c>
      <c r="J547" s="9" t="s">
        <v>17881</v>
      </c>
      <c r="K547" s="38" t="s">
        <v>17882</v>
      </c>
    </row>
    <row r="548" spans="1:11" ht="12.5" x14ac:dyDescent="0.25">
      <c r="A548" s="21" t="str">
        <f ca="1">IFERROR(__xludf.DUMMYFUNCTION("""COMPUTED_VALUE"""),"0014X00002VKCt3QAH")</f>
        <v>0014X00002VKCt3QAH</v>
      </c>
      <c r="B548" s="27" t="str">
        <f ca="1">IFERROR(__xludf.DUMMYFUNCTION("""COMPUTED_VALUE"""),"Fase Inicial")</f>
        <v>Fase Inicial</v>
      </c>
      <c r="C548" s="27" t="str">
        <f ca="1">IFERROR(__xludf.DUMMYFUNCTION("""COMPUTED_VALUE"""),"Fellow")</f>
        <v>Fellow</v>
      </c>
      <c r="D548" s="27" t="str">
        <f ca="1">IFERROR(__xludf.DUMMYFUNCTION("""COMPUTED_VALUE"""),"Ativo")</f>
        <v>Ativo</v>
      </c>
      <c r="E548" s="27" t="str">
        <f ca="1">IFERROR(__xludf.DUMMYFUNCTION("""COMPUTED_VALUE"""),"Projeto Social Sim! eu sou de Santa Tereza")</f>
        <v>Projeto Social Sim! eu sou de Santa Tereza</v>
      </c>
      <c r="F548" s="21" t="str">
        <f ca="1">IFERROR(VLOOKUP(A548,'Rede - Gerando Falcões '!A547:G1543,38,0),"")</f>
        <v/>
      </c>
      <c r="G548" s="27" t="str">
        <f ca="1">IFERROR(VLOOKUP(A548,'Tabela Categorização'!A:J,10,0),"")</f>
        <v>Fase Inicial</v>
      </c>
      <c r="H548" s="27" t="b">
        <f t="shared" ca="1" si="2"/>
        <v>1</v>
      </c>
      <c r="I548" s="21" t="str">
        <f>HYPERLINK("https://gerandofalcoes.my.salesforce.com/0034X0000380O6VQAU", "0034X0000380O6VQAU")</f>
        <v>0034X0000380O6VQAU</v>
      </c>
      <c r="J548" s="9" t="s">
        <v>17881</v>
      </c>
      <c r="K548" s="38" t="s">
        <v>17882</v>
      </c>
    </row>
    <row r="549" spans="1:11" ht="12.5" x14ac:dyDescent="0.25">
      <c r="A549" s="21" t="str">
        <f ca="1">IFERROR(__xludf.DUMMYFUNCTION("""COMPUTED_VALUE"""),"0014X00002VKCrxQAH")</f>
        <v>0014X00002VKCrxQAH</v>
      </c>
      <c r="B549" s="27" t="str">
        <f ca="1">IFERROR(__xludf.DUMMYFUNCTION("""COMPUTED_VALUE"""),"Fase Inicial")</f>
        <v>Fase Inicial</v>
      </c>
      <c r="C549" s="27" t="str">
        <f ca="1">IFERROR(__xludf.DUMMYFUNCTION("""COMPUTED_VALUE"""),"Fellow")</f>
        <v>Fellow</v>
      </c>
      <c r="D549" s="27" t="str">
        <f ca="1">IFERROR(__xludf.DUMMYFUNCTION("""COMPUTED_VALUE"""),"Ativo")</f>
        <v>Ativo</v>
      </c>
      <c r="E549" s="27" t="str">
        <f ca="1">IFERROR(__xludf.DUMMYFUNCTION("""COMPUTED_VALUE"""),"Projeto Solidários")</f>
        <v>Projeto Solidários</v>
      </c>
      <c r="F549" s="21" t="str">
        <f ca="1">IFERROR(VLOOKUP(A549,'Rede - Gerando Falcões '!A548:G1544,38,0),"")</f>
        <v/>
      </c>
      <c r="G549" s="27" t="str">
        <f ca="1">IFERROR(VLOOKUP(A549,'Tabela Categorização'!A:J,10,0),"")</f>
        <v>Fase Inicial</v>
      </c>
      <c r="H549" s="27" t="b">
        <f t="shared" ca="1" si="2"/>
        <v>1</v>
      </c>
      <c r="I549" s="21" t="str">
        <f>HYPERLINK("https://gerandofalcoes.my.salesforce.com/0034X0000315PQvQAM", "0034X0000315PQvQAM")</f>
        <v>0034X0000315PQvQAM</v>
      </c>
      <c r="J549" s="9" t="s">
        <v>17881</v>
      </c>
      <c r="K549" s="38" t="s">
        <v>17882</v>
      </c>
    </row>
    <row r="550" spans="1:11" ht="12.5" x14ac:dyDescent="0.25">
      <c r="A550" s="21" t="str">
        <f ca="1">IFERROR(__xludf.DUMMYFUNCTION("""COMPUTED_VALUE"""),"0014X00002OEuamQAD")</f>
        <v>0014X00002OEuamQAD</v>
      </c>
      <c r="B550" s="27" t="str">
        <f ca="1">IFERROR(__xludf.DUMMYFUNCTION("""COMPUTED_VALUE"""),"Fase Inicial")</f>
        <v>Fase Inicial</v>
      </c>
      <c r="C550" s="27" t="str">
        <f ca="1">IFERROR(__xludf.DUMMYFUNCTION("""COMPUTED_VALUE"""),"Fellow")</f>
        <v>Fellow</v>
      </c>
      <c r="D550" s="27" t="str">
        <f ca="1">IFERROR(__xludf.DUMMYFUNCTION("""COMPUTED_VALUE"""),"Ativo")</f>
        <v>Ativo</v>
      </c>
      <c r="E550" s="27" t="str">
        <f ca="1">IFERROR(__xludf.DUMMYFUNCTION("""COMPUTED_VALUE"""),"Projeto Tamo Junto")</f>
        <v>Projeto Tamo Junto</v>
      </c>
      <c r="F550" s="21" t="str">
        <f ca="1">IFERROR(VLOOKUP(A550,'Rede - Gerando Falcões '!A549:G1545,38,0),"")</f>
        <v/>
      </c>
      <c r="G550" s="27" t="str">
        <f ca="1">IFERROR(VLOOKUP(A550,'Tabela Categorização'!A:J,10,0),"")</f>
        <v>Fase Inicial</v>
      </c>
      <c r="H550" s="27" t="b">
        <f t="shared" ca="1" si="2"/>
        <v>1</v>
      </c>
      <c r="I550" s="21" t="str">
        <f>HYPERLINK("https://gerandofalcoes.my.salesforce.com/0034X0000380O6cQAE", "0034X0000380O6cQAE")</f>
        <v>0034X0000380O6cQAE</v>
      </c>
      <c r="J550" s="9" t="s">
        <v>17881</v>
      </c>
      <c r="K550" s="38" t="s">
        <v>17882</v>
      </c>
    </row>
    <row r="551" spans="1:11" ht="12.5" x14ac:dyDescent="0.25">
      <c r="A551" s="21" t="str">
        <f ca="1">IFERROR(__xludf.DUMMYFUNCTION("""COMPUTED_VALUE"""),"0014X00002VKCs0QAH")</f>
        <v>0014X00002VKCs0QAH</v>
      </c>
      <c r="B551" s="27" t="str">
        <f ca="1">IFERROR(__xludf.DUMMYFUNCTION("""COMPUTED_VALUE"""),"Fase Inicial")</f>
        <v>Fase Inicial</v>
      </c>
      <c r="C551" s="27" t="str">
        <f ca="1">IFERROR(__xludf.DUMMYFUNCTION("""COMPUTED_VALUE"""),"Fellow")</f>
        <v>Fellow</v>
      </c>
      <c r="D551" s="27" t="str">
        <f ca="1">IFERROR(__xludf.DUMMYFUNCTION("""COMPUTED_VALUE"""),"Ativo")</f>
        <v>Ativo</v>
      </c>
      <c r="E551" s="27" t="str">
        <f ca="1">IFERROR(__xludf.DUMMYFUNCTION("""COMPUTED_VALUE"""),"Projeto Ternura")</f>
        <v>Projeto Ternura</v>
      </c>
      <c r="F551" s="21" t="str">
        <f ca="1">IFERROR(VLOOKUP(A551,'Rede - Gerando Falcões '!A550:G1546,38,0),"")</f>
        <v/>
      </c>
      <c r="G551" s="27" t="str">
        <f ca="1">IFERROR(VLOOKUP(A551,'Tabela Categorização'!A:J,10,0),"")</f>
        <v>Fase Inicial</v>
      </c>
      <c r="H551" s="27" t="b">
        <f t="shared" ca="1" si="2"/>
        <v>1</v>
      </c>
      <c r="I551" s="21" t="str">
        <f>HYPERLINK("https://gerandofalcoes.my.salesforce.com/0034P00003maBV3QAM", "0034P00003maBV3QAM")</f>
        <v>0034P00003maBV3QAM</v>
      </c>
      <c r="J551" s="9" t="s">
        <v>17881</v>
      </c>
      <c r="K551" s="38" t="s">
        <v>17882</v>
      </c>
    </row>
    <row r="552" spans="1:11" ht="12.5" x14ac:dyDescent="0.25">
      <c r="A552" s="21" t="str">
        <f ca="1">IFERROR(__xludf.DUMMYFUNCTION("""COMPUTED_VALUE"""),"0014P00003AN2FdQAL")</f>
        <v>0014P00003AN2FdQAL</v>
      </c>
      <c r="B552" s="27" t="str">
        <f ca="1">IFERROR(__xludf.DUMMYFUNCTION("""COMPUTED_VALUE"""),"Fase Inicial")</f>
        <v>Fase Inicial</v>
      </c>
      <c r="C552" s="27" t="str">
        <f ca="1">IFERROR(__xludf.DUMMYFUNCTION("""COMPUTED_VALUE"""),"Fellow")</f>
        <v>Fellow</v>
      </c>
      <c r="D552" s="27" t="str">
        <f ca="1">IFERROR(__xludf.DUMMYFUNCTION("""COMPUTED_VALUE"""),"Ativo")</f>
        <v>Ativo</v>
      </c>
      <c r="E552" s="27" t="str">
        <f ca="1">IFERROR(__xludf.DUMMYFUNCTION("""COMPUTED_VALUE"""),"PROJETO TIJOLINHO")</f>
        <v>PROJETO TIJOLINHO</v>
      </c>
      <c r="F552" s="21" t="str">
        <f ca="1">IFERROR(VLOOKUP(A552,'Rede - Gerando Falcões '!A551:G1547,38,0),"")</f>
        <v/>
      </c>
      <c r="G552" s="27" t="str">
        <f ca="1">IFERROR(VLOOKUP(A552,'Tabela Categorização'!A:J,10,0),"")</f>
        <v>Fase Inicial</v>
      </c>
      <c r="H552" s="27" t="b">
        <f t="shared" ca="1" si="2"/>
        <v>1</v>
      </c>
      <c r="I552" s="21" t="str">
        <f>HYPERLINK("https://gerandofalcoes.my.salesforce.com/0034X0000380O4JQAU", "0034X0000380O4JQAU")</f>
        <v>0034X0000380O4JQAU</v>
      </c>
      <c r="J552" s="9" t="s">
        <v>17881</v>
      </c>
      <c r="K552" s="38" t="s">
        <v>17882</v>
      </c>
    </row>
    <row r="553" spans="1:11" ht="12.5" x14ac:dyDescent="0.25">
      <c r="A553" s="21" t="str">
        <f ca="1">IFERROR(__xludf.DUMMYFUNCTION("""COMPUTED_VALUE"""),"0014X00002VKCuqQAH")</f>
        <v>0014X00002VKCuqQAH</v>
      </c>
      <c r="B553" s="27" t="str">
        <f ca="1">IFERROR(__xludf.DUMMYFUNCTION("""COMPUTED_VALUE"""),"Fase Inicial")</f>
        <v>Fase Inicial</v>
      </c>
      <c r="C553" s="27" t="str">
        <f ca="1">IFERROR(__xludf.DUMMYFUNCTION("""COMPUTED_VALUE"""),"Fellow")</f>
        <v>Fellow</v>
      </c>
      <c r="D553" s="27" t="str">
        <f ca="1">IFERROR(__xludf.DUMMYFUNCTION("""COMPUTED_VALUE"""),"Ativo")</f>
        <v>Ativo</v>
      </c>
      <c r="E553" s="27" t="str">
        <f ca="1">IFERROR(__xludf.DUMMYFUNCTION("""COMPUTED_VALUE"""),"PROJETO TRANSFORMAÇÃO")</f>
        <v>PROJETO TRANSFORMAÇÃO</v>
      </c>
      <c r="F553" s="21" t="str">
        <f ca="1">IFERROR(VLOOKUP(A553,'Rede - Gerando Falcões '!A552:G1548,38,0),"")</f>
        <v/>
      </c>
      <c r="G553" s="27" t="str">
        <f ca="1">IFERROR(VLOOKUP(A553,'Tabela Categorização'!A:J,10,0),"")</f>
        <v>Fase Inicial</v>
      </c>
      <c r="H553" s="27" t="b">
        <f t="shared" ca="1" si="2"/>
        <v>1</v>
      </c>
      <c r="I553" s="21" t="str">
        <f>HYPERLINK("https://gerandofalcoes.my.salesforce.com/0034X0000380O4zQAE", "0034X0000380O4zQAE")</f>
        <v>0034X0000380O4zQAE</v>
      </c>
      <c r="J553" s="9" t="s">
        <v>17881</v>
      </c>
      <c r="K553" s="38" t="s">
        <v>17882</v>
      </c>
    </row>
    <row r="554" spans="1:11" ht="12.5" x14ac:dyDescent="0.25">
      <c r="A554" s="21" t="str">
        <f ca="1">IFERROR(__xludf.DUMMYFUNCTION("""COMPUTED_VALUE"""),"0014X00002VKCsMQAX")</f>
        <v>0014X00002VKCsMQAX</v>
      </c>
      <c r="B554" s="27" t="str">
        <f ca="1">IFERROR(__xludf.DUMMYFUNCTION("""COMPUTED_VALUE"""),"Fase Inicial")</f>
        <v>Fase Inicial</v>
      </c>
      <c r="C554" s="27" t="str">
        <f ca="1">IFERROR(__xludf.DUMMYFUNCTION("""COMPUTED_VALUE"""),"Fellow")</f>
        <v>Fellow</v>
      </c>
      <c r="D554" s="27" t="str">
        <f ca="1">IFERROR(__xludf.DUMMYFUNCTION("""COMPUTED_VALUE"""),"Ativo")</f>
        <v>Ativo</v>
      </c>
      <c r="E554" s="27" t="str">
        <f ca="1">IFERROR(__xludf.DUMMYFUNCTION("""COMPUTED_VALUE"""),"Projeto união parque")</f>
        <v>Projeto união parque</v>
      </c>
      <c r="F554" s="21" t="str">
        <f ca="1">IFERROR(VLOOKUP(A554,'Rede - Gerando Falcões '!A553:G1549,38,0),"")</f>
        <v/>
      </c>
      <c r="G554" s="27" t="str">
        <f ca="1">IFERROR(VLOOKUP(A554,'Tabela Categorização'!A:J,10,0),"")</f>
        <v>Fase Inicial</v>
      </c>
      <c r="H554" s="27" t="b">
        <f t="shared" ca="1" si="2"/>
        <v>1</v>
      </c>
      <c r="I554" s="21" t="str">
        <f>HYPERLINK("https://gerandofalcoes.my.salesforce.com/0034X0000380O1OQAU", "0034X0000380O1OQAU")</f>
        <v>0034X0000380O1OQAU</v>
      </c>
      <c r="J554" s="9" t="s">
        <v>17881</v>
      </c>
      <c r="K554" s="38" t="s">
        <v>17882</v>
      </c>
    </row>
    <row r="555" spans="1:11" ht="12.5" x14ac:dyDescent="0.25">
      <c r="A555" s="21" t="str">
        <f ca="1">IFERROR(__xludf.DUMMYFUNCTION("""COMPUTED_VALUE"""),"0014X00002VKCroQAH")</f>
        <v>0014X00002VKCroQAH</v>
      </c>
      <c r="B555" s="27" t="str">
        <f ca="1">IFERROR(__xludf.DUMMYFUNCTION("""COMPUTED_VALUE"""),"Fase Inicial")</f>
        <v>Fase Inicial</v>
      </c>
      <c r="C555" s="27" t="str">
        <f ca="1">IFERROR(__xludf.DUMMYFUNCTION("""COMPUTED_VALUE"""),"Fellow")</f>
        <v>Fellow</v>
      </c>
      <c r="D555" s="27" t="str">
        <f ca="1">IFERROR(__xludf.DUMMYFUNCTION("""COMPUTED_VALUE"""),"Ativo")</f>
        <v>Ativo</v>
      </c>
      <c r="E555" s="27" t="str">
        <f ca="1">IFERROR(__xludf.DUMMYFUNCTION("""COMPUTED_VALUE"""),"PROJETO VIDA EMANUEL")</f>
        <v>PROJETO VIDA EMANUEL</v>
      </c>
      <c r="F555" s="21" t="str">
        <f ca="1">IFERROR(VLOOKUP(A555,'Rede - Gerando Falcões '!A554:G1550,38,0),"")</f>
        <v/>
      </c>
      <c r="G555" s="27" t="str">
        <f ca="1">IFERROR(VLOOKUP(A555,'Tabela Categorização'!A:J,10,0),"")</f>
        <v>Fase Inicial</v>
      </c>
      <c r="H555" s="27" t="b">
        <f t="shared" ca="1" si="2"/>
        <v>1</v>
      </c>
      <c r="I555" s="21" t="str">
        <f>HYPERLINK("https://gerandofalcoes.my.salesforce.com/0034X000032Hs7KQAS", "0034X000032Hs7KQAS")</f>
        <v>0034X000032Hs7KQAS</v>
      </c>
      <c r="J555" s="9" t="s">
        <v>17881</v>
      </c>
      <c r="K555" s="38" t="s">
        <v>17882</v>
      </c>
    </row>
    <row r="556" spans="1:11" ht="12.5" x14ac:dyDescent="0.25">
      <c r="A556" s="21" t="str">
        <f ca="1">IFERROR(__xludf.DUMMYFUNCTION("""COMPUTED_VALUE"""),"0014X00002PUOY7QAP")</f>
        <v>0014X00002PUOY7QAP</v>
      </c>
      <c r="B556" s="27" t="str">
        <f ca="1">IFERROR(__xludf.DUMMYFUNCTION("""COMPUTED_VALUE"""),"Fase Estruturação")</f>
        <v>Fase Estruturação</v>
      </c>
      <c r="C556" s="27" t="str">
        <f ca="1">IFERROR(__xludf.DUMMYFUNCTION("""COMPUTED_VALUE"""),"Fellow")</f>
        <v>Fellow</v>
      </c>
      <c r="D556" s="27" t="str">
        <f ca="1">IFERROR(__xludf.DUMMYFUNCTION("""COMPUTED_VALUE"""),"Ativo")</f>
        <v>Ativo</v>
      </c>
      <c r="E556" s="27" t="str">
        <f ca="1">IFERROR(__xludf.DUMMYFUNCTION("""COMPUTED_VALUE"""),"Projeto Vidançar")</f>
        <v>Projeto Vidançar</v>
      </c>
      <c r="F556" s="21" t="str">
        <f ca="1">IFERROR(VLOOKUP(A556,'Rede - Gerando Falcões '!A555:G1551,38,0),"")</f>
        <v/>
      </c>
      <c r="G556" s="27" t="str">
        <f ca="1">IFERROR(VLOOKUP(A556,'Tabela Categorização'!A:J,10,0),"")</f>
        <v>Fase Estruturação</v>
      </c>
      <c r="H556" s="27" t="b">
        <f t="shared" ca="1" si="2"/>
        <v>1</v>
      </c>
      <c r="I556" s="21" t="str">
        <f>HYPERLINK("https://gerandofalcoes.my.salesforce.com/0034P00003tZGGoQAO", "0034P00003tZGGoQAO")</f>
        <v>0034P00003tZGGoQAO</v>
      </c>
      <c r="J556" s="9" t="s">
        <v>17881</v>
      </c>
      <c r="K556" s="38" t="s">
        <v>17882</v>
      </c>
    </row>
    <row r="557" spans="1:11" ht="12.5" x14ac:dyDescent="0.25">
      <c r="A557" s="21" t="str">
        <f ca="1">IFERROR(__xludf.DUMMYFUNCTION("""COMPUTED_VALUE"""),"0014P00003ERavoQAD")</f>
        <v>0014P00003ERavoQAD</v>
      </c>
      <c r="B557" s="27" t="str">
        <f ca="1">IFERROR(__xludf.DUMMYFUNCTION("""COMPUTED_VALUE"""),"Fase Estruturação")</f>
        <v>Fase Estruturação</v>
      </c>
      <c r="C557" s="27" t="str">
        <f ca="1">IFERROR(__xludf.DUMMYFUNCTION("""COMPUTED_VALUE"""),"Acelerada")</f>
        <v>Acelerada</v>
      </c>
      <c r="D557" s="27" t="str">
        <f ca="1">IFERROR(__xludf.DUMMYFUNCTION("""COMPUTED_VALUE"""),"Ativo")</f>
        <v>Ativo</v>
      </c>
      <c r="E557" s="27" t="str">
        <f ca="1">IFERROR(__xludf.DUMMYFUNCTION("""COMPUTED_VALUE"""),"Projeto Viela")</f>
        <v>Projeto Viela</v>
      </c>
      <c r="F557" s="21" t="str">
        <f ca="1">IFERROR(VLOOKUP(A557,'Rede - Gerando Falcões '!A556:G1552,38,0),"")</f>
        <v/>
      </c>
      <c r="G557" s="27" t="str">
        <f ca="1">IFERROR(VLOOKUP(A557,'Tabela Categorização'!A:J,10,0),"")</f>
        <v>Fase Estruturação</v>
      </c>
      <c r="H557" s="27" t="b">
        <f t="shared" ca="1" si="2"/>
        <v>1</v>
      </c>
      <c r="I557" s="21" t="str">
        <f>HYPERLINK("https://gerandofalcoes.my.salesforce.com/0034X0000380O6XQAU", "0034X0000380O6XQAU")</f>
        <v>0034X0000380O6XQAU</v>
      </c>
      <c r="J557" s="9" t="s">
        <v>17881</v>
      </c>
      <c r="K557" s="38" t="s">
        <v>17882</v>
      </c>
    </row>
    <row r="558" spans="1:11" ht="12.5" x14ac:dyDescent="0.25">
      <c r="A558" s="21" t="str">
        <f ca="1">IFERROR(__xludf.DUMMYFUNCTION("""COMPUTED_VALUE"""),"0014X00002VKCqOQAX")</f>
        <v>0014X00002VKCqOQAX</v>
      </c>
      <c r="B558" s="27" t="str">
        <f ca="1">IFERROR(__xludf.DUMMYFUNCTION("""COMPUTED_VALUE"""),"Fase Inicial")</f>
        <v>Fase Inicial</v>
      </c>
      <c r="C558" s="27" t="str">
        <f ca="1">IFERROR(__xludf.DUMMYFUNCTION("""COMPUTED_VALUE"""),"Fellow")</f>
        <v>Fellow</v>
      </c>
      <c r="D558" s="27" t="str">
        <f ca="1">IFERROR(__xludf.DUMMYFUNCTION("""COMPUTED_VALUE"""),"Ativo")</f>
        <v>Ativo</v>
      </c>
      <c r="E558" s="27" t="str">
        <f ca="1">IFERROR(__xludf.DUMMYFUNCTION("""COMPUTED_VALUE"""),"QUEIRA O BEM")</f>
        <v>QUEIRA O BEM</v>
      </c>
      <c r="F558" s="21" t="str">
        <f ca="1">IFERROR(VLOOKUP(A558,'Rede - Gerando Falcões '!A557:G1553,38,0),"")</f>
        <v/>
      </c>
      <c r="G558" s="27" t="str">
        <f ca="1">IFERROR(VLOOKUP(A558,'Tabela Categorização'!A:J,10,0),"")</f>
        <v>Fase Inicial</v>
      </c>
      <c r="H558" s="27" t="b">
        <f t="shared" ca="1" si="2"/>
        <v>1</v>
      </c>
      <c r="I558" s="21" t="str">
        <f>HYPERLINK("https://gerandofalcoes.my.salesforce.com/0034X0000380O5CQAU", "0034X0000380O5CQAU")</f>
        <v>0034X0000380O5CQAU</v>
      </c>
      <c r="J558" s="9" t="s">
        <v>17881</v>
      </c>
      <c r="K558" s="38" t="s">
        <v>17882</v>
      </c>
    </row>
    <row r="559" spans="1:11" ht="12.5" x14ac:dyDescent="0.25">
      <c r="A559" s="21" t="str">
        <f ca="1">IFERROR(__xludf.DUMMYFUNCTION("""COMPUTED_VALUE"""),"0014X00002VKCrDQAX")</f>
        <v>0014X00002VKCrDQAX</v>
      </c>
      <c r="B559" s="27" t="str">
        <f ca="1">IFERROR(__xludf.DUMMYFUNCTION("""COMPUTED_VALUE"""),"Fase Inicial")</f>
        <v>Fase Inicial</v>
      </c>
      <c r="C559" s="27" t="str">
        <f ca="1">IFERROR(__xludf.DUMMYFUNCTION("""COMPUTED_VALUE"""),"Fellow")</f>
        <v>Fellow</v>
      </c>
      <c r="D559" s="27" t="str">
        <f ca="1">IFERROR(__xludf.DUMMYFUNCTION("""COMPUTED_VALUE"""),"Ativo")</f>
        <v>Ativo</v>
      </c>
      <c r="E559" s="27" t="str">
        <f ca="1">IFERROR(__xludf.DUMMYFUNCTION("""COMPUTED_VALUE"""),"QUERUBINS CRIANÇAS VIVAS E SEM DROGAS")</f>
        <v>QUERUBINS CRIANÇAS VIVAS E SEM DROGAS</v>
      </c>
      <c r="F559" s="21" t="str">
        <f ca="1">IFERROR(VLOOKUP(A559,'Rede - Gerando Falcões '!A558:G1554,38,0),"")</f>
        <v/>
      </c>
      <c r="G559" s="27" t="str">
        <f ca="1">IFERROR(VLOOKUP(A559,'Tabela Categorização'!A:J,10,0),"")</f>
        <v>Fase Inicial</v>
      </c>
      <c r="H559" s="27" t="b">
        <f t="shared" ca="1" si="2"/>
        <v>1</v>
      </c>
      <c r="I559" s="21" t="str">
        <f>HYPERLINK("https://gerandofalcoes.my.salesforce.com/0034X0000315PR3QAM", "0034X0000315PR3QAM")</f>
        <v>0034X0000315PR3QAM</v>
      </c>
      <c r="J559" s="9" t="s">
        <v>17881</v>
      </c>
      <c r="K559" s="38" t="s">
        <v>17882</v>
      </c>
    </row>
    <row r="560" spans="1:11" ht="12.5" x14ac:dyDescent="0.25">
      <c r="A560" s="21" t="str">
        <f ca="1">IFERROR(__xludf.DUMMYFUNCTION("""COMPUTED_VALUE"""),"0014X00002OEuauQAD")</f>
        <v>0014X00002OEuauQAD</v>
      </c>
      <c r="B560" s="27" t="str">
        <f ca="1">IFERROR(__xludf.DUMMYFUNCTION("""COMPUTED_VALUE"""),"Fase Inicial")</f>
        <v>Fase Inicial</v>
      </c>
      <c r="C560" s="27" t="str">
        <f ca="1">IFERROR(__xludf.DUMMYFUNCTION("""COMPUTED_VALUE"""),"Fellow")</f>
        <v>Fellow</v>
      </c>
      <c r="D560" s="27" t="str">
        <f ca="1">IFERROR(__xludf.DUMMYFUNCTION("""COMPUTED_VALUE"""),"Ativo")</f>
        <v>Ativo</v>
      </c>
      <c r="E560" s="27" t="str">
        <f ca="1">IFERROR(__xludf.DUMMYFUNCTION("""COMPUTED_VALUE"""),"Reciclando Vidas")</f>
        <v>Reciclando Vidas</v>
      </c>
      <c r="F560" s="21" t="str">
        <f ca="1">IFERROR(VLOOKUP(A560,'Rede - Gerando Falcões '!A559:G1555,38,0),"")</f>
        <v/>
      </c>
      <c r="G560" s="27" t="str">
        <f ca="1">IFERROR(VLOOKUP(A560,'Tabela Categorização'!A:J,10,0),"")</f>
        <v>Fase Inicial</v>
      </c>
      <c r="H560" s="27" t="b">
        <f t="shared" ca="1" si="2"/>
        <v>1</v>
      </c>
      <c r="I560" s="21" t="str">
        <f>HYPERLINK("https://gerandofalcoes.my.salesforce.com/0034X0000380O2pQAE", "0034X0000380O2pQAE")</f>
        <v>0034X0000380O2pQAE</v>
      </c>
      <c r="J560" s="9" t="s">
        <v>17881</v>
      </c>
      <c r="K560" s="38" t="s">
        <v>17882</v>
      </c>
    </row>
    <row r="561" spans="1:11" ht="12.5" x14ac:dyDescent="0.25">
      <c r="A561" s="21" t="str">
        <f ca="1">IFERROR(__xludf.DUMMYFUNCTION("""COMPUTED_VALUE"""),"0014X00002VKCsLQAX")</f>
        <v>0014X00002VKCsLQAX</v>
      </c>
      <c r="B561" s="27" t="str">
        <f ca="1">IFERROR(__xludf.DUMMYFUNCTION("""COMPUTED_VALUE"""),"Fase Inicial")</f>
        <v>Fase Inicial</v>
      </c>
      <c r="C561" s="27" t="str">
        <f ca="1">IFERROR(__xludf.DUMMYFUNCTION("""COMPUTED_VALUE"""),"Fellow")</f>
        <v>Fellow</v>
      </c>
      <c r="D561" s="27" t="str">
        <f ca="1">IFERROR(__xludf.DUMMYFUNCTION("""COMPUTED_VALUE"""),"Ativo")</f>
        <v>Ativo</v>
      </c>
      <c r="E561" s="27" t="str">
        <f ca="1">IFERROR(__xludf.DUMMYFUNCTION("""COMPUTED_VALUE"""),"Rede Ablan")</f>
        <v>Rede Ablan</v>
      </c>
      <c r="F561" s="21" t="str">
        <f ca="1">IFERROR(VLOOKUP(A561,'Rede - Gerando Falcões '!A560:G1556,38,0),"")</f>
        <v/>
      </c>
      <c r="G561" s="27" t="str">
        <f ca="1">IFERROR(VLOOKUP(A561,'Tabela Categorização'!A:J,10,0),"")</f>
        <v>Fase Inicial</v>
      </c>
      <c r="H561" s="27" t="b">
        <f t="shared" ca="1" si="2"/>
        <v>1</v>
      </c>
      <c r="I561" s="21" t="str">
        <f>HYPERLINK("https://gerandofalcoes.my.salesforce.com/0034X0000380O2IQAU", "0034X0000380O2IQAU")</f>
        <v>0034X0000380O2IQAU</v>
      </c>
      <c r="J561" s="9" t="s">
        <v>17881</v>
      </c>
      <c r="K561" s="38" t="s">
        <v>17882</v>
      </c>
    </row>
    <row r="562" spans="1:11" ht="12.5" x14ac:dyDescent="0.25">
      <c r="A562" s="21" t="str">
        <f ca="1">IFERROR(__xludf.DUMMYFUNCTION("""COMPUTED_VALUE"""),"0014X00002VKCt0QAH")</f>
        <v>0014X00002VKCt0QAH</v>
      </c>
      <c r="B562" s="27" t="str">
        <f ca="1">IFERROR(__xludf.DUMMYFUNCTION("""COMPUTED_VALUE"""),"Fase Inicial")</f>
        <v>Fase Inicial</v>
      </c>
      <c r="C562" s="27" t="str">
        <f ca="1">IFERROR(__xludf.DUMMYFUNCTION("""COMPUTED_VALUE"""),"Fellow")</f>
        <v>Fellow</v>
      </c>
      <c r="D562" s="27" t="str">
        <f ca="1">IFERROR(__xludf.DUMMYFUNCTION("""COMPUTED_VALUE"""),"Ativo")</f>
        <v>Ativo</v>
      </c>
      <c r="E562" s="27" t="str">
        <f ca="1">IFERROR(__xludf.DUMMYFUNCTION("""COMPUTED_VALUE"""),"Rede Postinho de Saúde Organização de saúde preventiva multidisciplinar social")</f>
        <v>Rede Postinho de Saúde Organização de saúde preventiva multidisciplinar social</v>
      </c>
      <c r="F562" s="21" t="str">
        <f ca="1">IFERROR(VLOOKUP(A562,'Rede - Gerando Falcões '!A561:G1557,38,0),"")</f>
        <v/>
      </c>
      <c r="G562" s="27" t="str">
        <f ca="1">IFERROR(VLOOKUP(A562,'Tabela Categorização'!A:J,10,0),"")</f>
        <v>Fase Inicial</v>
      </c>
      <c r="H562" s="27" t="b">
        <f t="shared" ca="1" si="2"/>
        <v>1</v>
      </c>
      <c r="I562" s="21" t="str">
        <f>HYPERLINK("https://gerandofalcoes.my.salesforce.com/0034X0000380O4dQAE", "0034X0000380O4dQAE")</f>
        <v>0034X0000380O4dQAE</v>
      </c>
      <c r="J562" s="9" t="s">
        <v>17881</v>
      </c>
      <c r="K562" s="38" t="s">
        <v>17882</v>
      </c>
    </row>
    <row r="563" spans="1:11" ht="12.5" x14ac:dyDescent="0.25">
      <c r="A563" s="21" t="str">
        <f ca="1">IFERROR(__xludf.DUMMYFUNCTION("""COMPUTED_VALUE"""),"0014X00002VKCrQQAX")</f>
        <v>0014X00002VKCrQQAX</v>
      </c>
      <c r="B563" s="27" t="str">
        <f ca="1">IFERROR(__xludf.DUMMYFUNCTION("""COMPUTED_VALUE"""),"Fase Inicial")</f>
        <v>Fase Inicial</v>
      </c>
      <c r="C563" s="27" t="str">
        <f ca="1">IFERROR(__xludf.DUMMYFUNCTION("""COMPUTED_VALUE"""),"Fellow")</f>
        <v>Fellow</v>
      </c>
      <c r="D563" s="27" t="str">
        <f ca="1">IFERROR(__xludf.DUMMYFUNCTION("""COMPUTED_VALUE"""),"Ativo")</f>
        <v>Ativo</v>
      </c>
      <c r="E563" s="27" t="str">
        <f ca="1">IFERROR(__xludf.DUMMYFUNCTION("""COMPUTED_VALUE"""),"Reintegra Recife")</f>
        <v>Reintegra Recife</v>
      </c>
      <c r="F563" s="21" t="str">
        <f ca="1">IFERROR(VLOOKUP(A563,'Rede - Gerando Falcões '!A562:G1558,38,0),"")</f>
        <v/>
      </c>
      <c r="G563" s="27" t="str">
        <f ca="1">IFERROR(VLOOKUP(A563,'Tabela Categorização'!A:J,10,0),"")</f>
        <v>Fase Inicial</v>
      </c>
      <c r="H563" s="27" t="b">
        <f t="shared" ca="1" si="2"/>
        <v>1</v>
      </c>
      <c r="I563" s="21" t="str">
        <f>HYPERLINK("https://gerandofalcoes.my.salesforce.com/0034P000043fOoHQAU", "0034P000043fOoHQAU")</f>
        <v>0034P000043fOoHQAU</v>
      </c>
      <c r="J563" s="9" t="s">
        <v>17881</v>
      </c>
      <c r="K563" s="38" t="s">
        <v>17882</v>
      </c>
    </row>
    <row r="564" spans="1:11" ht="12.5" x14ac:dyDescent="0.25">
      <c r="A564" s="21" t="str">
        <f ca="1">IFERROR(__xludf.DUMMYFUNCTION("""COMPUTED_VALUE"""),"0014P00003SGWQHQA5")</f>
        <v>0014P00003SGWQHQA5</v>
      </c>
      <c r="B564" s="27" t="str">
        <f ca="1">IFERROR(__xludf.DUMMYFUNCTION("""COMPUTED_VALUE"""),"Fase Inicial")</f>
        <v>Fase Inicial</v>
      </c>
      <c r="C564" s="27" t="str">
        <f ca="1">IFERROR(__xludf.DUMMYFUNCTION("""COMPUTED_VALUE"""),"Fellow")</f>
        <v>Fellow</v>
      </c>
      <c r="D564" s="27" t="str">
        <f ca="1">IFERROR(__xludf.DUMMYFUNCTION("""COMPUTED_VALUE"""),"Ativo")</f>
        <v>Ativo</v>
      </c>
      <c r="E564" s="27" t="str">
        <f ca="1">IFERROR(__xludf.DUMMYFUNCTION("""COMPUTED_VALUE"""),"RESILIENTE SLUM")</f>
        <v>RESILIENTE SLUM</v>
      </c>
      <c r="F564" s="21" t="str">
        <f ca="1">IFERROR(VLOOKUP(A564,'Rede - Gerando Falcões '!A563:G1559,38,0),"")</f>
        <v/>
      </c>
      <c r="G564" s="27" t="str">
        <f ca="1">IFERROR(VLOOKUP(A564,'Tabela Categorização'!A:J,10,0),"")</f>
        <v>Fase Inicial</v>
      </c>
      <c r="H564" s="27" t="b">
        <f t="shared" ca="1" si="2"/>
        <v>1</v>
      </c>
      <c r="I564" s="21" t="str">
        <f>HYPERLINK("https://gerandofalcoes.my.salesforce.com/0034X0000380O4DQAU", "0034X0000380O4DQAU")</f>
        <v>0034X0000380O4DQAU</v>
      </c>
      <c r="J564" s="9" t="s">
        <v>17881</v>
      </c>
      <c r="K564" s="38" t="s">
        <v>17882</v>
      </c>
    </row>
    <row r="565" spans="1:11" ht="12.5" x14ac:dyDescent="0.25">
      <c r="A565" s="21" t="str">
        <f ca="1">IFERROR(__xludf.DUMMYFUNCTION("""COMPUTED_VALUE"""),"0014X00002VKCu7QAH")</f>
        <v>0014X00002VKCu7QAH</v>
      </c>
      <c r="B565" s="27" t="str">
        <f ca="1">IFERROR(__xludf.DUMMYFUNCTION("""COMPUTED_VALUE"""),"Fase Inicial")</f>
        <v>Fase Inicial</v>
      </c>
      <c r="C565" s="27" t="str">
        <f ca="1">IFERROR(__xludf.DUMMYFUNCTION("""COMPUTED_VALUE"""),"Fellow")</f>
        <v>Fellow</v>
      </c>
      <c r="D565" s="27" t="str">
        <f ca="1">IFERROR(__xludf.DUMMYFUNCTION("""COMPUTED_VALUE"""),"Ativo")</f>
        <v>Ativo</v>
      </c>
      <c r="E565" s="27" t="str">
        <f ca="1">IFERROR(__xludf.DUMMYFUNCTION("""COMPUTED_VALUE"""),"Return Projects")</f>
        <v>Return Projects</v>
      </c>
      <c r="F565" s="21" t="str">
        <f ca="1">IFERROR(VLOOKUP(A565,'Rede - Gerando Falcões '!A564:G1560,38,0),"")</f>
        <v/>
      </c>
      <c r="G565" s="27" t="str">
        <f ca="1">IFERROR(VLOOKUP(A565,'Tabela Categorização'!A:J,10,0),"")</f>
        <v>Fase Inicial</v>
      </c>
      <c r="H565" s="27" t="b">
        <f t="shared" ca="1" si="2"/>
        <v>1</v>
      </c>
      <c r="I565" s="21" t="str">
        <f>HYPERLINK("https://gerandofalcoes.my.salesforce.com/0034P000045kxjCQAQ", "0034P000045kxjCQAQ")</f>
        <v>0034P000045kxjCQAQ</v>
      </c>
      <c r="J565" s="9" t="s">
        <v>17881</v>
      </c>
      <c r="K565" s="38" t="s">
        <v>17882</v>
      </c>
    </row>
    <row r="566" spans="1:11" ht="12.5" x14ac:dyDescent="0.25">
      <c r="A566" s="21" t="str">
        <f ca="1">IFERROR(__xludf.DUMMYFUNCTION("""COMPUTED_VALUE"""),"0014P00003YSp8bQAD")</f>
        <v>0014P00003YSp8bQAD</v>
      </c>
      <c r="B566" s="27" t="str">
        <f ca="1">IFERROR(__xludf.DUMMYFUNCTION("""COMPUTED_VALUE"""),"Fase Inicial")</f>
        <v>Fase Inicial</v>
      </c>
      <c r="C566" s="27" t="str">
        <f ca="1">IFERROR(__xludf.DUMMYFUNCTION("""COMPUTED_VALUE"""),"Fellow")</f>
        <v>Fellow</v>
      </c>
      <c r="D566" s="27" t="str">
        <f ca="1">IFERROR(__xludf.DUMMYFUNCTION("""COMPUTED_VALUE"""),"Ativo")</f>
        <v>Ativo</v>
      </c>
      <c r="E566" s="27" t="str">
        <f ca="1">IFERROR(__xludf.DUMMYFUNCTION("""COMPUTED_VALUE"""),"RONGO-RJ - Associação Região de Oficina Nacional de Grafite Organizado do Rio de Janeiro")</f>
        <v>RONGO-RJ - Associação Região de Oficina Nacional de Grafite Organizado do Rio de Janeiro</v>
      </c>
      <c r="F566" s="21" t="str">
        <f ca="1">IFERROR(VLOOKUP(A566,'Rede - Gerando Falcões '!A565:G1561,38,0),"")</f>
        <v/>
      </c>
      <c r="G566" s="27" t="str">
        <f ca="1">IFERROR(VLOOKUP(A566,'Tabela Categorização'!A:J,10,0),"")</f>
        <v>Fase Inicial</v>
      </c>
      <c r="H566" s="27" t="b">
        <f t="shared" ca="1" si="2"/>
        <v>1</v>
      </c>
      <c r="I566" s="21" t="str">
        <f>HYPERLINK("https://gerandofalcoes.my.salesforce.com/0034P00003maBVTQA2", "0034P00003maBVTQA2")</f>
        <v>0034P00003maBVTQA2</v>
      </c>
      <c r="J566" s="9" t="s">
        <v>17881</v>
      </c>
      <c r="K566" s="38" t="s">
        <v>17882</v>
      </c>
    </row>
    <row r="567" spans="1:11" ht="12.5" x14ac:dyDescent="0.25">
      <c r="A567" s="21" t="str">
        <f ca="1">IFERROR(__xludf.DUMMYFUNCTION("""COMPUTED_VALUE"""),"0014P00003AN2G0QAL")</f>
        <v>0014P00003AN2G0QAL</v>
      </c>
      <c r="B567" s="27" t="str">
        <f ca="1">IFERROR(__xludf.DUMMYFUNCTION("""COMPUTED_VALUE"""),"Fase Estruturação")</f>
        <v>Fase Estruturação</v>
      </c>
      <c r="C567" s="27" t="str">
        <f ca="1">IFERROR(__xludf.DUMMYFUNCTION("""COMPUTED_VALUE"""),"Acelerada")</f>
        <v>Acelerada</v>
      </c>
      <c r="D567" s="27" t="str">
        <f ca="1">IFERROR(__xludf.DUMMYFUNCTION("""COMPUTED_VALUE"""),"Ativo")</f>
        <v>Ativo</v>
      </c>
      <c r="E567" s="27" t="str">
        <f ca="1">IFERROR(__xludf.DUMMYFUNCTION("""COMPUTED_VALUE"""),"Santa Cruz Ponta da Serra")</f>
        <v>Santa Cruz Ponta da Serra</v>
      </c>
      <c r="F567" s="21" t="str">
        <f ca="1">IFERROR(VLOOKUP(A567,'Rede - Gerando Falcões '!A566:G1562,38,0),"")</f>
        <v/>
      </c>
      <c r="G567" s="27" t="str">
        <f ca="1">IFERROR(VLOOKUP(A567,'Tabela Categorização'!A:J,10,0),"")</f>
        <v>Fase Estruturação</v>
      </c>
      <c r="H567" s="27" t="b">
        <f t="shared" ca="1" si="2"/>
        <v>1</v>
      </c>
      <c r="I567" s="21" t="str">
        <f>HYPERLINK("https://gerandofalcoes.my.salesforce.com/0034X0000380O6aQAE", "0034X0000380O6aQAE")</f>
        <v>0034X0000380O6aQAE</v>
      </c>
      <c r="J567" s="9" t="s">
        <v>17881</v>
      </c>
      <c r="K567" s="38" t="s">
        <v>17882</v>
      </c>
    </row>
    <row r="568" spans="1:11" ht="12.5" x14ac:dyDescent="0.25">
      <c r="A568" s="21" t="str">
        <f ca="1">IFERROR(__xludf.DUMMYFUNCTION("""COMPUTED_VALUE"""),"0014X00002VKCuDQAX")</f>
        <v>0014X00002VKCuDQAX</v>
      </c>
      <c r="B568" s="27" t="str">
        <f ca="1">IFERROR(__xludf.DUMMYFUNCTION("""COMPUTED_VALUE"""),"Fase Inicial")</f>
        <v>Fase Inicial</v>
      </c>
      <c r="C568" s="27" t="str">
        <f ca="1">IFERROR(__xludf.DUMMYFUNCTION("""COMPUTED_VALUE"""),"Fellow")</f>
        <v>Fellow</v>
      </c>
      <c r="D568" s="27" t="str">
        <f ca="1">IFERROR(__xludf.DUMMYFUNCTION("""COMPUTED_VALUE"""),"Ativo")</f>
        <v>Ativo</v>
      </c>
      <c r="E568" s="27" t="str">
        <f ca="1">IFERROR(__xludf.DUMMYFUNCTION("""COMPUTED_VALUE"""),"Sebastião Edemyr E. Leite-ME")</f>
        <v>Sebastião Edemyr E. Leite-ME</v>
      </c>
      <c r="F568" s="21" t="str">
        <f ca="1">IFERROR(VLOOKUP(A568,'Rede - Gerando Falcões '!A567:G1563,38,0),"")</f>
        <v/>
      </c>
      <c r="G568" s="27" t="str">
        <f ca="1">IFERROR(VLOOKUP(A568,'Tabela Categorização'!A:J,10,0),"")</f>
        <v>Fase Inicial</v>
      </c>
      <c r="H568" s="27" t="b">
        <f t="shared" ca="1" si="2"/>
        <v>1</v>
      </c>
      <c r="I568" s="21" t="str">
        <f>HYPERLINK("https://gerandofalcoes.my.salesforce.com/0034X0000380O0jQAE", "0034X0000380O0jQAE")</f>
        <v>0034X0000380O0jQAE</v>
      </c>
      <c r="J568" s="9" t="s">
        <v>17881</v>
      </c>
      <c r="K568" s="38" t="s">
        <v>17882</v>
      </c>
    </row>
    <row r="569" spans="1:11" ht="12.5" x14ac:dyDescent="0.25">
      <c r="A569" s="21" t="str">
        <f ca="1">IFERROR(__xludf.DUMMYFUNCTION("""COMPUTED_VALUE"""),"0014X00002VKCsvQAH")</f>
        <v>0014X00002VKCsvQAH</v>
      </c>
      <c r="B569" s="27" t="str">
        <f ca="1">IFERROR(__xludf.DUMMYFUNCTION("""COMPUTED_VALUE"""),"Fase Inicial")</f>
        <v>Fase Inicial</v>
      </c>
      <c r="C569" s="27" t="str">
        <f ca="1">IFERROR(__xludf.DUMMYFUNCTION("""COMPUTED_VALUE"""),"Fellow")</f>
        <v>Fellow</v>
      </c>
      <c r="D569" s="27" t="str">
        <f ca="1">IFERROR(__xludf.DUMMYFUNCTION("""COMPUTED_VALUE"""),"Ativo")</f>
        <v>Ativo</v>
      </c>
      <c r="E569" s="27" t="str">
        <f ca="1">IFERROR(__xludf.DUMMYFUNCTION("""COMPUTED_VALUE"""),"Semente Profissional")</f>
        <v>Semente Profissional</v>
      </c>
      <c r="F569" s="21" t="str">
        <f ca="1">IFERROR(VLOOKUP(A569,'Rede - Gerando Falcões '!A568:G1564,38,0),"")</f>
        <v/>
      </c>
      <c r="G569" s="27" t="str">
        <f ca="1">IFERROR(VLOOKUP(A569,'Tabela Categorização'!A:J,10,0),"")</f>
        <v>Fase Inicial</v>
      </c>
      <c r="H569" s="27" t="b">
        <f t="shared" ca="1" si="2"/>
        <v>1</v>
      </c>
      <c r="I569" s="21" t="str">
        <f>HYPERLINK("https://gerandofalcoes.my.salesforce.com/0034P000045kxjFQAQ", "0034P000045kxjFQAQ")</f>
        <v>0034P000045kxjFQAQ</v>
      </c>
      <c r="J569" s="9" t="s">
        <v>17881</v>
      </c>
      <c r="K569" s="38" t="s">
        <v>17882</v>
      </c>
    </row>
    <row r="570" spans="1:11" ht="12.5" x14ac:dyDescent="0.25">
      <c r="A570" s="21" t="str">
        <f ca="1">IFERROR(__xludf.DUMMYFUNCTION("""COMPUTED_VALUE"""),"0014P00003YSp8eQAD")</f>
        <v>0014P00003YSp8eQAD</v>
      </c>
      <c r="B570" s="27" t="str">
        <f ca="1">IFERROR(__xludf.DUMMYFUNCTION("""COMPUTED_VALUE"""),"Fase Inicial")</f>
        <v>Fase Inicial</v>
      </c>
      <c r="C570" s="27" t="str">
        <f ca="1">IFERROR(__xludf.DUMMYFUNCTION("""COMPUTED_VALUE"""),"Fellow")</f>
        <v>Fellow</v>
      </c>
      <c r="D570" s="27" t="str">
        <f ca="1">IFERROR(__xludf.DUMMYFUNCTION("""COMPUTED_VALUE"""),"Ativo")</f>
        <v>Ativo</v>
      </c>
      <c r="E570" s="27" t="str">
        <f ca="1">IFERROR(__xludf.DUMMYFUNCTION("""COMPUTED_VALUE"""),"Sempre Criança")</f>
        <v>Sempre Criança</v>
      </c>
      <c r="F570" s="21" t="str">
        <f ca="1">IFERROR(VLOOKUP(A570,'Rede - Gerando Falcões '!A569:G1565,38,0),"")</f>
        <v/>
      </c>
      <c r="G570" s="27" t="str">
        <f ca="1">IFERROR(VLOOKUP(A570,'Tabela Categorização'!A:J,10,0),"")</f>
        <v>Fase Inicial</v>
      </c>
      <c r="H570" s="27" t="b">
        <f t="shared" ca="1" si="2"/>
        <v>1</v>
      </c>
      <c r="I570" s="21" t="str">
        <f>HYPERLINK("https://gerandofalcoes.my.salesforce.com/0034P000045kxkMQAQ", "0034P000045kxkMQAQ")</f>
        <v>0034P000045kxkMQAQ</v>
      </c>
      <c r="J570" s="9" t="s">
        <v>17881</v>
      </c>
      <c r="K570" s="38" t="s">
        <v>17882</v>
      </c>
    </row>
    <row r="571" spans="1:11" ht="12.5" x14ac:dyDescent="0.25">
      <c r="A571" s="21" t="str">
        <f ca="1">IFERROR(__xludf.DUMMYFUNCTION("""COMPUTED_VALUE"""),"0014P00003YSp9kQAD")</f>
        <v>0014P00003YSp9kQAD</v>
      </c>
      <c r="B571" s="27" t="str">
        <f ca="1">IFERROR(__xludf.DUMMYFUNCTION("""COMPUTED_VALUE"""),"Fase Inicial")</f>
        <v>Fase Inicial</v>
      </c>
      <c r="C571" s="27" t="str">
        <f ca="1">IFERROR(__xludf.DUMMYFUNCTION("""COMPUTED_VALUE"""),"Fellow")</f>
        <v>Fellow</v>
      </c>
      <c r="D571" s="27" t="str">
        <f ca="1">IFERROR(__xludf.DUMMYFUNCTION("""COMPUTED_VALUE"""),"Ativo")</f>
        <v>Ativo</v>
      </c>
      <c r="E571" s="27" t="str">
        <f ca="1">IFERROR(__xludf.DUMMYFUNCTION("""COMPUTED_VALUE"""),"Sociedade beneficiente Israelita Brasileira Talmud Thora")</f>
        <v>Sociedade beneficiente Israelita Brasileira Talmud Thora</v>
      </c>
      <c r="F571" s="21" t="str">
        <f ca="1">IFERROR(VLOOKUP(A571,'Rede - Gerando Falcões '!A570:G1566,38,0),"")</f>
        <v/>
      </c>
      <c r="G571" s="27" t="str">
        <f ca="1">IFERROR(VLOOKUP(A571,'Tabela Categorização'!A:J,10,0),"")</f>
        <v>Fase Inicial</v>
      </c>
      <c r="H571" s="27" t="b">
        <f t="shared" ca="1" si="2"/>
        <v>1</v>
      </c>
      <c r="I571" s="21" t="str">
        <f>HYPERLINK("https://gerandofalcoes.my.salesforce.com/0034P00003maBV7QAM", "0034P00003maBV7QAM")</f>
        <v>0034P00003maBV7QAM</v>
      </c>
      <c r="J571" s="9" t="s">
        <v>17881</v>
      </c>
      <c r="K571" s="38" t="s">
        <v>17882</v>
      </c>
    </row>
    <row r="572" spans="1:11" ht="12.5" x14ac:dyDescent="0.25">
      <c r="A572" s="21" t="str">
        <f ca="1">IFERROR(__xludf.DUMMYFUNCTION("""COMPUTED_VALUE"""),"0014P00003AN2FhQAL")</f>
        <v>0014P00003AN2FhQAL</v>
      </c>
      <c r="B572" s="27" t="str">
        <f ca="1">IFERROR(__xludf.DUMMYFUNCTION("""COMPUTED_VALUE"""),"Fase Inicial")</f>
        <v>Fase Inicial</v>
      </c>
      <c r="C572" s="27" t="str">
        <f ca="1">IFERROR(__xludf.DUMMYFUNCTION("""COMPUTED_VALUE"""),"Fellow")</f>
        <v>Fellow</v>
      </c>
      <c r="D572" s="27" t="str">
        <f ca="1">IFERROR(__xludf.DUMMYFUNCTION("""COMPUTED_VALUE"""),"Ativo")</f>
        <v>Ativo</v>
      </c>
      <c r="E572" s="27" t="str">
        <f ca="1">IFERROR(__xludf.DUMMYFUNCTION("""COMPUTED_VALUE"""),"Sociedade Cultural Projeto Luar")</f>
        <v>Sociedade Cultural Projeto Luar</v>
      </c>
      <c r="F572" s="21" t="str">
        <f ca="1">IFERROR(VLOOKUP(A572,'Rede - Gerando Falcões '!A571:G1567,38,0),"")</f>
        <v/>
      </c>
      <c r="G572" s="27" t="str">
        <f ca="1">IFERROR(VLOOKUP(A572,'Tabela Categorização'!A:J,10,0),"")</f>
        <v>Fase Inicial</v>
      </c>
      <c r="H572" s="27" t="b">
        <f t="shared" ca="1" si="2"/>
        <v>1</v>
      </c>
      <c r="I572" s="21" t="str">
        <f>HYPERLINK("https://gerandofalcoes.my.salesforce.com/0034P00003maBVtQAM", "0034P00003maBVtQAM")</f>
        <v>0034P00003maBVtQAM</v>
      </c>
      <c r="J572" s="9" t="s">
        <v>17881</v>
      </c>
      <c r="K572" s="38" t="s">
        <v>17882</v>
      </c>
    </row>
    <row r="573" spans="1:11" ht="12.5" x14ac:dyDescent="0.25">
      <c r="A573" s="21" t="str">
        <f ca="1">IFERROR(__xludf.DUMMYFUNCTION("""COMPUTED_VALUE"""),"0014P00003AN2GOQA1")</f>
        <v>0014P00003AN2GOQA1</v>
      </c>
      <c r="B573" s="27" t="str">
        <f ca="1">IFERROR(__xludf.DUMMYFUNCTION("""COMPUTED_VALUE"""),"Fase Estruturação")</f>
        <v>Fase Estruturação</v>
      </c>
      <c r="C573" s="27" t="str">
        <f ca="1">IFERROR(__xludf.DUMMYFUNCTION("""COMPUTED_VALUE"""),"Acelerada")</f>
        <v>Acelerada</v>
      </c>
      <c r="D573" s="27" t="str">
        <f ca="1">IFERROR(__xludf.DUMMYFUNCTION("""COMPUTED_VALUE"""),"Ativo")</f>
        <v>Ativo</v>
      </c>
      <c r="E573" s="27" t="str">
        <f ca="1">IFERROR(__xludf.DUMMYFUNCTION("""COMPUTED_VALUE"""),"Sociedade Espírita Trabalho e Esperança")</f>
        <v>Sociedade Espírita Trabalho e Esperança</v>
      </c>
      <c r="F573" s="21" t="str">
        <f ca="1">IFERROR(VLOOKUP(A573,'Rede - Gerando Falcões '!A572:G1568,38,0),"")</f>
        <v/>
      </c>
      <c r="G573" s="27" t="str">
        <f ca="1">IFERROR(VLOOKUP(A573,'Tabela Categorização'!A:J,10,0),"")</f>
        <v>Fase Estruturação</v>
      </c>
      <c r="H573" s="27" t="b">
        <f t="shared" ca="1" si="2"/>
        <v>1</v>
      </c>
      <c r="I573" s="21" t="str">
        <f>HYPERLINK("https://gerandofalcoes.my.salesforce.com/0034X0000380O4BQAU", "0034X0000380O4BQAU")</f>
        <v>0034X0000380O4BQAU</v>
      </c>
      <c r="J573" s="9" t="s">
        <v>17881</v>
      </c>
      <c r="K573" s="38" t="s">
        <v>17882</v>
      </c>
    </row>
    <row r="574" spans="1:11" ht="12.5" x14ac:dyDescent="0.25">
      <c r="A574" s="21" t="str">
        <f ca="1">IFERROR(__xludf.DUMMYFUNCTION("""COMPUTED_VALUE"""),"0014X00002VKCu5QAH")</f>
        <v>0014X00002VKCu5QAH</v>
      </c>
      <c r="B574" s="27" t="str">
        <f ca="1">IFERROR(__xludf.DUMMYFUNCTION("""COMPUTED_VALUE"""),"Fase Inicial")</f>
        <v>Fase Inicial</v>
      </c>
      <c r="C574" s="27" t="str">
        <f ca="1">IFERROR(__xludf.DUMMYFUNCTION("""COMPUTED_VALUE"""),"Fellow")</f>
        <v>Fellow</v>
      </c>
      <c r="D574" s="27" t="str">
        <f ca="1">IFERROR(__xludf.DUMMYFUNCTION("""COMPUTED_VALUE"""),"Ativo")</f>
        <v>Ativo</v>
      </c>
      <c r="E574" s="27" t="str">
        <f ca="1">IFERROR(__xludf.DUMMYFUNCTION("""COMPUTED_VALUE"""),"Sociedade União da Vila dos Eucaliptos - SUVE")</f>
        <v>Sociedade União da Vila dos Eucaliptos - SUVE</v>
      </c>
      <c r="F574" s="21" t="str">
        <f ca="1">IFERROR(VLOOKUP(A574,'Rede - Gerando Falcões '!A573:G1569,38,0),"")</f>
        <v/>
      </c>
      <c r="G574" s="27" t="str">
        <f ca="1">IFERROR(VLOOKUP(A574,'Tabela Categorização'!A:J,10,0),"")</f>
        <v>Fase Inicial</v>
      </c>
      <c r="H574" s="27" t="b">
        <f t="shared" ca="1" si="2"/>
        <v>1</v>
      </c>
      <c r="I574" s="21" t="str">
        <f>HYPERLINK("https://gerandofalcoes.my.salesforce.com/0034X0000380O38QAE", "0034X0000380O38QAE")</f>
        <v>0034X0000380O38QAE</v>
      </c>
      <c r="J574" s="9" t="s">
        <v>17881</v>
      </c>
      <c r="K574" s="38" t="s">
        <v>17882</v>
      </c>
    </row>
    <row r="575" spans="1:11" ht="12.5" x14ac:dyDescent="0.25">
      <c r="A575" s="21" t="str">
        <f ca="1">IFERROR(__xludf.DUMMYFUNCTION("""COMPUTED_VALUE"""),"0014X00002VKCrIQAX")</f>
        <v>0014X00002VKCrIQAX</v>
      </c>
      <c r="B575" s="27" t="str">
        <f ca="1">IFERROR(__xludf.DUMMYFUNCTION("""COMPUTED_VALUE"""),"Fase Inicial")</f>
        <v>Fase Inicial</v>
      </c>
      <c r="C575" s="27" t="str">
        <f ca="1">IFERROR(__xludf.DUMMYFUNCTION("""COMPUTED_VALUE"""),"Fellow")</f>
        <v>Fellow</v>
      </c>
      <c r="D575" s="27" t="str">
        <f ca="1">IFERROR(__xludf.DUMMYFUNCTION("""COMPUTED_VALUE"""),"Ativo")</f>
        <v>Ativo</v>
      </c>
      <c r="E575" s="27" t="str">
        <f ca="1">IFERROR(__xludf.DUMMYFUNCTION("""COMPUTED_VALUE"""),"Software e Processos LTDA")</f>
        <v>Software e Processos LTDA</v>
      </c>
      <c r="F575" s="21" t="str">
        <f ca="1">IFERROR(VLOOKUP(A575,'Rede - Gerando Falcões '!A574:G1570,38,0),"")</f>
        <v/>
      </c>
      <c r="G575" s="27" t="str">
        <f ca="1">IFERROR(VLOOKUP(A575,'Tabela Categorização'!A:J,10,0),"")</f>
        <v>Fase Inicial</v>
      </c>
      <c r="H575" s="27" t="b">
        <f t="shared" ca="1" si="2"/>
        <v>1</v>
      </c>
      <c r="I575" s="21" t="str">
        <f>HYPERLINK("https://gerandofalcoes.my.salesforce.com/0034X0000380O49QAE", "0034X0000380O49QAE")</f>
        <v>0034X0000380O49QAE</v>
      </c>
      <c r="J575" s="9" t="s">
        <v>17881</v>
      </c>
      <c r="K575" s="38" t="s">
        <v>17882</v>
      </c>
    </row>
    <row r="576" spans="1:11" ht="12.5" x14ac:dyDescent="0.25">
      <c r="A576" s="21" t="str">
        <f ca="1">IFERROR(__xludf.DUMMYFUNCTION("""COMPUTED_VALUE"""),"0014X00002VKCrkQAH")</f>
        <v>0014X00002VKCrkQAH</v>
      </c>
      <c r="B576" s="27" t="str">
        <f ca="1">IFERROR(__xludf.DUMMYFUNCTION("""COMPUTED_VALUE"""),"Fase Inicial")</f>
        <v>Fase Inicial</v>
      </c>
      <c r="C576" s="27" t="str">
        <f ca="1">IFERROR(__xludf.DUMMYFUNCTION("""COMPUTED_VALUE"""),"Fellow")</f>
        <v>Fellow</v>
      </c>
      <c r="D576" s="27" t="str">
        <f ca="1">IFERROR(__xludf.DUMMYFUNCTION("""COMPUTED_VALUE"""),"Ativo")</f>
        <v>Ativo</v>
      </c>
      <c r="E576" s="27" t="str">
        <f ca="1">IFERROR(__xludf.DUMMYFUNCTION("""COMPUTED_VALUE"""),"Somos Todos Muribeca - STM")</f>
        <v>Somos Todos Muribeca - STM</v>
      </c>
      <c r="F576" s="21" t="str">
        <f ca="1">IFERROR(VLOOKUP(A576,'Rede - Gerando Falcões '!A575:G1571,38,0),"")</f>
        <v/>
      </c>
      <c r="G576" s="27" t="str">
        <f ca="1">IFERROR(VLOOKUP(A576,'Tabela Categorização'!A:J,10,0),"")</f>
        <v>Fase Inicial</v>
      </c>
      <c r="H576" s="27" t="b">
        <f t="shared" ca="1" si="2"/>
        <v>1</v>
      </c>
      <c r="I576" s="21" t="str">
        <f>HYPERLINK("https://gerandofalcoes.my.salesforce.com/0034X0000380O4QQAU", "0034X0000380O4QQAU")</f>
        <v>0034X0000380O4QQAU</v>
      </c>
      <c r="J576" s="9" t="s">
        <v>17881</v>
      </c>
      <c r="K576" s="38" t="s">
        <v>17882</v>
      </c>
    </row>
    <row r="577" spans="1:11" ht="12.5" x14ac:dyDescent="0.25">
      <c r="A577" s="21" t="str">
        <f ca="1">IFERROR(__xludf.DUMMYFUNCTION("""COMPUTED_VALUE"""),"0014X00002VKCpbQAH")</f>
        <v>0014X00002VKCpbQAH</v>
      </c>
      <c r="B577" s="27" t="str">
        <f ca="1">IFERROR(__xludf.DUMMYFUNCTION("""COMPUTED_VALUE"""),"Fase Inicial")</f>
        <v>Fase Inicial</v>
      </c>
      <c r="C577" s="27" t="str">
        <f ca="1">IFERROR(__xludf.DUMMYFUNCTION("""COMPUTED_VALUE"""),"Fellow")</f>
        <v>Fellow</v>
      </c>
      <c r="D577" s="27" t="str">
        <f ca="1">IFERROR(__xludf.DUMMYFUNCTION("""COMPUTED_VALUE"""),"Ativo")</f>
        <v>Ativo</v>
      </c>
      <c r="E577" s="27" t="str">
        <f ca="1">IFERROR(__xludf.DUMMYFUNCTION("""COMPUTED_VALUE"""),"SOMOS TUAS MAOS")</f>
        <v>SOMOS TUAS MAOS</v>
      </c>
      <c r="F577" s="21" t="str">
        <f ca="1">IFERROR(VLOOKUP(A577,'Rede - Gerando Falcões '!A576:G1572,38,0),"")</f>
        <v/>
      </c>
      <c r="G577" s="27" t="str">
        <f ca="1">IFERROR(VLOOKUP(A577,'Tabela Categorização'!A:J,10,0),"")</f>
        <v>Fase Inicial</v>
      </c>
      <c r="H577" s="27" t="b">
        <f t="shared" ca="1" si="2"/>
        <v>1</v>
      </c>
      <c r="I577" s="21" t="str">
        <f>HYPERLINK("https://gerandofalcoes.my.salesforce.com/0034X0000380O2DQAU", "0034X0000380O2DQAU")</f>
        <v>0034X0000380O2DQAU</v>
      </c>
      <c r="J577" s="9" t="s">
        <v>17881</v>
      </c>
      <c r="K577" s="38" t="s">
        <v>17882</v>
      </c>
    </row>
    <row r="578" spans="1:11" ht="12.5" x14ac:dyDescent="0.25">
      <c r="A578" s="21" t="str">
        <f ca="1">IFERROR(__xludf.DUMMYFUNCTION("""COMPUTED_VALUE"""),"0014X00002VKCtxQAH")</f>
        <v>0014X00002VKCtxQAH</v>
      </c>
      <c r="B578" s="27" t="str">
        <f ca="1">IFERROR(__xludf.DUMMYFUNCTION("""COMPUTED_VALUE"""),"Fase Inicial")</f>
        <v>Fase Inicial</v>
      </c>
      <c r="C578" s="27" t="str">
        <f ca="1">IFERROR(__xludf.DUMMYFUNCTION("""COMPUTED_VALUE"""),"Fellow")</f>
        <v>Fellow</v>
      </c>
      <c r="D578" s="27" t="str">
        <f ca="1">IFERROR(__xludf.DUMMYFUNCTION("""COMPUTED_VALUE"""),"Ativo")</f>
        <v>Ativo</v>
      </c>
      <c r="E578" s="27" t="str">
        <f ca="1">IFERROR(__xludf.DUMMYFUNCTION("""COMPUTED_VALUE"""),"Tech Girls")</f>
        <v>Tech Girls</v>
      </c>
      <c r="F578" s="21" t="str">
        <f ca="1">IFERROR(VLOOKUP(A578,'Rede - Gerando Falcões '!A577:G1573,38,0),"")</f>
        <v/>
      </c>
      <c r="G578" s="27" t="str">
        <f ca="1">IFERROR(VLOOKUP(A578,'Tabela Categorização'!A:J,10,0),"")</f>
        <v>Fase Inicial</v>
      </c>
      <c r="H578" s="27" t="b">
        <f t="shared" ca="1" si="2"/>
        <v>1</v>
      </c>
      <c r="I578" s="21" t="str">
        <f>HYPERLINK("https://gerandofalcoes.my.salesforce.com/0034P000045kxidQAA", "0034P000045kxidQAA")</f>
        <v>0034P000045kxidQAA</v>
      </c>
      <c r="J578" s="9" t="s">
        <v>17881</v>
      </c>
      <c r="K578" s="38" t="s">
        <v>17882</v>
      </c>
    </row>
    <row r="579" spans="1:11" ht="12.5" x14ac:dyDescent="0.25">
      <c r="A579" s="21" t="str">
        <f ca="1">IFERROR(__xludf.DUMMYFUNCTION("""COMPUTED_VALUE"""),"0014P00003YSp82QAD")</f>
        <v>0014P00003YSp82QAD</v>
      </c>
      <c r="B579" s="27" t="str">
        <f ca="1">IFERROR(__xludf.DUMMYFUNCTION("""COMPUTED_VALUE"""),"Fase Inicial")</f>
        <v>Fase Inicial</v>
      </c>
      <c r="C579" s="27" t="str">
        <f ca="1">IFERROR(__xludf.DUMMYFUNCTION("""COMPUTED_VALUE"""),"Fellow")</f>
        <v>Fellow</v>
      </c>
      <c r="D579" s="27" t="str">
        <f ca="1">IFERROR(__xludf.DUMMYFUNCTION("""COMPUTED_VALUE"""),"Ativo")</f>
        <v>Ativo</v>
      </c>
      <c r="E579" s="27" t="str">
        <f ca="1">IFERROR(__xludf.DUMMYFUNCTION("""COMPUTED_VALUE"""),"Tererê Kids Project")</f>
        <v>Tererê Kids Project</v>
      </c>
      <c r="F579" s="21" t="str">
        <f ca="1">IFERROR(VLOOKUP(A579,'Rede - Gerando Falcões '!A578:G1574,38,0),"")</f>
        <v/>
      </c>
      <c r="G579" s="27" t="str">
        <f ca="1">IFERROR(VLOOKUP(A579,'Tabela Categorização'!A:J,10,0),"")</f>
        <v>Fase Inicial</v>
      </c>
      <c r="H579" s="27" t="b">
        <f t="shared" ca="1" si="2"/>
        <v>1</v>
      </c>
      <c r="I579" s="21" t="str">
        <f>HYPERLINK("https://gerandofalcoes.my.salesforce.com/0034X0000380O14QAE", "0034X0000380O14QAE")</f>
        <v>0034X0000380O14QAE</v>
      </c>
      <c r="J579" s="9" t="s">
        <v>17881</v>
      </c>
      <c r="K579" s="38" t="s">
        <v>17882</v>
      </c>
    </row>
    <row r="580" spans="1:11" ht="12.5" x14ac:dyDescent="0.25">
      <c r="A580" s="21" t="str">
        <f ca="1">IFERROR(__xludf.DUMMYFUNCTION("""COMPUTED_VALUE"""),"0014X00002VKCuEQAX")</f>
        <v>0014X00002VKCuEQAX</v>
      </c>
      <c r="B580" s="27" t="str">
        <f ca="1">IFERROR(__xludf.DUMMYFUNCTION("""COMPUTED_VALUE"""),"Fase Inicial")</f>
        <v>Fase Inicial</v>
      </c>
      <c r="C580" s="27" t="str">
        <f ca="1">IFERROR(__xludf.DUMMYFUNCTION("""COMPUTED_VALUE"""),"Fellow")</f>
        <v>Fellow</v>
      </c>
      <c r="D580" s="27" t="str">
        <f ca="1">IFERROR(__xludf.DUMMYFUNCTION("""COMPUTED_VALUE"""),"Ativo")</f>
        <v>Ativo</v>
      </c>
      <c r="E580" s="27" t="str">
        <f ca="1">IFERROR(__xludf.DUMMYFUNCTION("""COMPUTED_VALUE"""),"Terezinha Osmari Bagatini")</f>
        <v>Terezinha Osmari Bagatini</v>
      </c>
      <c r="F580" s="21" t="str">
        <f ca="1">IFERROR(VLOOKUP(A580,'Rede - Gerando Falcões '!A579:G1575,38,0),"")</f>
        <v/>
      </c>
      <c r="G580" s="27" t="str">
        <f ca="1">IFERROR(VLOOKUP(A580,'Tabela Categorização'!A:J,10,0),"")</f>
        <v>Fase Inicial</v>
      </c>
      <c r="H580" s="27" t="b">
        <f t="shared" ca="1" si="2"/>
        <v>1</v>
      </c>
      <c r="I580" s="21" t="str">
        <f>HYPERLINK("https://gerandofalcoes.my.salesforce.com/0034X0000380O1PQAU", "0034X0000380O1PQAU")</f>
        <v>0034X0000380O1PQAU</v>
      </c>
      <c r="J580" s="9" t="s">
        <v>17881</v>
      </c>
      <c r="K580" s="38" t="s">
        <v>17882</v>
      </c>
    </row>
    <row r="581" spans="1:11" ht="12.5" x14ac:dyDescent="0.25">
      <c r="A581" s="21" t="str">
        <f ca="1">IFERROR(__xludf.DUMMYFUNCTION("""COMPUTED_VALUE"""),"0014X00002VKCqmQAH")</f>
        <v>0014X00002VKCqmQAH</v>
      </c>
      <c r="B581" s="27" t="str">
        <f ca="1">IFERROR(__xludf.DUMMYFUNCTION("""COMPUTED_VALUE"""),"Fase Inicial")</f>
        <v>Fase Inicial</v>
      </c>
      <c r="C581" s="27" t="str">
        <f ca="1">IFERROR(__xludf.DUMMYFUNCTION("""COMPUTED_VALUE"""),"Fellow")</f>
        <v>Fellow</v>
      </c>
      <c r="D581" s="27" t="str">
        <f ca="1">IFERROR(__xludf.DUMMYFUNCTION("""COMPUTED_VALUE"""),"Ativo")</f>
        <v>Ativo</v>
      </c>
      <c r="E581" s="27" t="str">
        <f ca="1">IFERROR(__xludf.DUMMYFUNCTION("""COMPUTED_VALUE"""),"Terno Moçambique Estrela Guia")</f>
        <v>Terno Moçambique Estrela Guia</v>
      </c>
      <c r="F581" s="21" t="str">
        <f ca="1">IFERROR(VLOOKUP(A581,'Rede - Gerando Falcões '!A580:G1576,38,0),"")</f>
        <v/>
      </c>
      <c r="G581" s="27" t="str">
        <f ca="1">IFERROR(VLOOKUP(A581,'Tabela Categorização'!A:J,10,0),"")</f>
        <v>Fase Inicial</v>
      </c>
      <c r="H581" s="27" t="b">
        <f t="shared" ca="1" si="2"/>
        <v>1</v>
      </c>
      <c r="I581" s="21" t="str">
        <f>HYPERLINK("https://gerandofalcoes.my.salesforce.com/0034X0000380O6pQAE", "0034X0000380O6pQAE")</f>
        <v>0034X0000380O6pQAE</v>
      </c>
      <c r="J581" s="9" t="s">
        <v>17881</v>
      </c>
      <c r="K581" s="38" t="s">
        <v>17882</v>
      </c>
    </row>
    <row r="582" spans="1:11" ht="12.5" x14ac:dyDescent="0.25">
      <c r="A582" s="21" t="str">
        <f ca="1">IFERROR(__xludf.DUMMYFUNCTION("""COMPUTED_VALUE"""),"0014X00002VKCsDQAX")</f>
        <v>0014X00002VKCsDQAX</v>
      </c>
      <c r="B582" s="27" t="str">
        <f ca="1">IFERROR(__xludf.DUMMYFUNCTION("""COMPUTED_VALUE"""),"Fase Inicial")</f>
        <v>Fase Inicial</v>
      </c>
      <c r="C582" s="27" t="str">
        <f ca="1">IFERROR(__xludf.DUMMYFUNCTION("""COMPUTED_VALUE"""),"Fellow")</f>
        <v>Fellow</v>
      </c>
      <c r="D582" s="27" t="str">
        <f ca="1">IFERROR(__xludf.DUMMYFUNCTION("""COMPUTED_VALUE"""),"Ativo")</f>
        <v>Ativo</v>
      </c>
      <c r="E582" s="27" t="str">
        <f ca="1">IFERROR(__xludf.DUMMYFUNCTION("""COMPUTED_VALUE"""),"Thais Monique Gervásio de Moraes Wanderley")</f>
        <v>Thais Monique Gervásio de Moraes Wanderley</v>
      </c>
      <c r="F582" s="21" t="str">
        <f ca="1">IFERROR(VLOOKUP(A582,'Rede - Gerando Falcões '!A581:G1577,38,0),"")</f>
        <v/>
      </c>
      <c r="G582" s="27" t="str">
        <f ca="1">IFERROR(VLOOKUP(A582,'Tabela Categorização'!A:J,10,0),"")</f>
        <v>Fase Inicial</v>
      </c>
      <c r="H582" s="27" t="b">
        <f t="shared" ca="1" si="2"/>
        <v>1</v>
      </c>
      <c r="I582" s="21" t="str">
        <f>HYPERLINK("https://gerandofalcoes.my.salesforce.com/0034X0000380O0fQAE", "0034X0000380O0fQAE")</f>
        <v>0034X0000380O0fQAE</v>
      </c>
      <c r="J582" s="9" t="s">
        <v>17881</v>
      </c>
      <c r="K582" s="38" t="s">
        <v>17882</v>
      </c>
    </row>
    <row r="583" spans="1:11" ht="12.5" x14ac:dyDescent="0.25">
      <c r="A583" s="21" t="str">
        <f ca="1">IFERROR(__xludf.DUMMYFUNCTION("""COMPUTED_VALUE"""),"0014X00002VKCshQAH")</f>
        <v>0014X00002VKCshQAH</v>
      </c>
      <c r="B583" s="27" t="str">
        <f ca="1">IFERROR(__xludf.DUMMYFUNCTION("""COMPUTED_VALUE"""),"Fase Inicial")</f>
        <v>Fase Inicial</v>
      </c>
      <c r="C583" s="27" t="str">
        <f ca="1">IFERROR(__xludf.DUMMYFUNCTION("""COMPUTED_VALUE"""),"Fellow")</f>
        <v>Fellow</v>
      </c>
      <c r="D583" s="27" t="str">
        <f ca="1">IFERROR(__xludf.DUMMYFUNCTION("""COMPUTED_VALUE"""),"Ativo")</f>
        <v>Ativo</v>
      </c>
      <c r="E583" s="27" t="str">
        <f ca="1">IFERROR(__xludf.DUMMYFUNCTION("""COMPUTED_VALUE"""),"TOP CLUBE DE XADREZ")</f>
        <v>TOP CLUBE DE XADREZ</v>
      </c>
      <c r="F583" s="21" t="str">
        <f ca="1">IFERROR(VLOOKUP(A583,'Rede - Gerando Falcões '!A582:G1578,38,0),"")</f>
        <v/>
      </c>
      <c r="G583" s="27" t="str">
        <f ca="1">IFERROR(VLOOKUP(A583,'Tabela Categorização'!A:J,10,0),"")</f>
        <v>Fase Inicial</v>
      </c>
      <c r="H583" s="27" t="b">
        <f t="shared" ca="1" si="2"/>
        <v>1</v>
      </c>
      <c r="I583" s="21" t="str">
        <f>HYPERLINK("https://gerandofalcoes.my.salesforce.com/0034X0000380O6SQAU", "0034X0000380O6SQAU")</f>
        <v>0034X0000380O6SQAU</v>
      </c>
      <c r="J583" s="9" t="s">
        <v>17881</v>
      </c>
      <c r="K583" s="38" t="s">
        <v>17882</v>
      </c>
    </row>
    <row r="584" spans="1:11" ht="12.5" x14ac:dyDescent="0.25">
      <c r="A584" s="21" t="str">
        <f ca="1">IFERROR(__xludf.DUMMYFUNCTION("""COMPUTED_VALUE"""),"0014X00002VKCpOQAX")</f>
        <v>0014X00002VKCpOQAX</v>
      </c>
      <c r="B584" s="27" t="str">
        <f ca="1">IFERROR(__xludf.DUMMYFUNCTION("""COMPUTED_VALUE"""),"Fase Inicial")</f>
        <v>Fase Inicial</v>
      </c>
      <c r="C584" s="27" t="str">
        <f ca="1">IFERROR(__xludf.DUMMYFUNCTION("""COMPUTED_VALUE"""),"Fellow")</f>
        <v>Fellow</v>
      </c>
      <c r="D584" s="27" t="str">
        <f ca="1">IFERROR(__xludf.DUMMYFUNCTION("""COMPUTED_VALUE"""),"Ativo")</f>
        <v>Ativo</v>
      </c>
      <c r="E584" s="27" t="str">
        <f ca="1">IFERROR(__xludf.DUMMYFUNCTION("""COMPUTED_VALUE"""),"Transformado vidas e mudando a sociedade! Princípios Bíblicos / Educação / Cultura / Esporte / Qualificação/ Inovação /Tecnologia /")</f>
        <v>Transformado vidas e mudando a sociedade! Princípios Bíblicos / Educação / Cultura / Esporte / Qualificação/ Inovação /Tecnologia /</v>
      </c>
      <c r="F584" s="21" t="str">
        <f ca="1">IFERROR(VLOOKUP(A584,'Rede - Gerando Falcões '!A583:G1579,38,0),"")</f>
        <v/>
      </c>
      <c r="G584" s="27" t="str">
        <f ca="1">IFERROR(VLOOKUP(A584,'Tabela Categorização'!A:J,10,0),"")</f>
        <v>Fase Inicial</v>
      </c>
      <c r="H584" s="27" t="b">
        <f t="shared" ca="1" si="2"/>
        <v>1</v>
      </c>
      <c r="I584" s="21" t="str">
        <f>HYPERLINK("https://gerandofalcoes.my.salesforce.com/0034X0000380O6UQAU", "0034X0000380O6UQAU")</f>
        <v>0034X0000380O6UQAU</v>
      </c>
      <c r="J584" s="9" t="s">
        <v>17881</v>
      </c>
      <c r="K584" s="38" t="s">
        <v>17882</v>
      </c>
    </row>
    <row r="585" spans="1:11" ht="12.5" x14ac:dyDescent="0.25">
      <c r="A585" s="21" t="str">
        <f ca="1">IFERROR(__xludf.DUMMYFUNCTION("""COMPUTED_VALUE"""),"0014X00002VKCs2QAH")</f>
        <v>0014X00002VKCs2QAH</v>
      </c>
      <c r="B585" s="27" t="str">
        <f ca="1">IFERROR(__xludf.DUMMYFUNCTION("""COMPUTED_VALUE"""),"Fase Inicial")</f>
        <v>Fase Inicial</v>
      </c>
      <c r="C585" s="27" t="str">
        <f ca="1">IFERROR(__xludf.DUMMYFUNCTION("""COMPUTED_VALUE"""),"Fellow")</f>
        <v>Fellow</v>
      </c>
      <c r="D585" s="27" t="str">
        <f ca="1">IFERROR(__xludf.DUMMYFUNCTION("""COMPUTED_VALUE"""),"Ativo")</f>
        <v>Ativo</v>
      </c>
      <c r="E585" s="27" t="str">
        <f ca="1">IFERROR(__xludf.DUMMYFUNCTION("""COMPUTED_VALUE"""),"Trazemos Sorrisos")</f>
        <v>Trazemos Sorrisos</v>
      </c>
      <c r="F585" s="21" t="str">
        <f ca="1">IFERROR(VLOOKUP(A585,'Rede - Gerando Falcões '!A584:G1580,38,0),"")</f>
        <v/>
      </c>
      <c r="G585" s="27" t="str">
        <f ca="1">IFERROR(VLOOKUP(A585,'Tabela Categorização'!A:J,10,0),"")</f>
        <v>Fase Inicial</v>
      </c>
      <c r="H585" s="27" t="b">
        <f t="shared" ca="1" si="2"/>
        <v>1</v>
      </c>
      <c r="I585" s="21" t="str">
        <f>HYPERLINK("https://gerandofalcoes.my.salesforce.com/0034X0000380O4GQAU", "0034X0000380O4GQAU")</f>
        <v>0034X0000380O4GQAU</v>
      </c>
      <c r="J585" s="9" t="s">
        <v>17881</v>
      </c>
      <c r="K585" s="38" t="s">
        <v>17882</v>
      </c>
    </row>
    <row r="586" spans="1:11" ht="12.5" x14ac:dyDescent="0.25">
      <c r="A586" s="21" t="str">
        <f ca="1">IFERROR(__xludf.DUMMYFUNCTION("""COMPUTED_VALUE"""),"0014X00002VKCpGQAX")</f>
        <v>0014X00002VKCpGQAX</v>
      </c>
      <c r="B586" s="27"/>
      <c r="C586" s="27" t="str">
        <f ca="1">IFERROR(__xludf.DUMMYFUNCTION("""COMPUTED_VALUE"""),"Fellow")</f>
        <v>Fellow</v>
      </c>
      <c r="D586" s="27" t="str">
        <f ca="1">IFERROR(__xludf.DUMMYFUNCTION("""COMPUTED_VALUE"""),"Ativo")</f>
        <v>Ativo</v>
      </c>
      <c r="E586" s="27" t="str">
        <f ca="1">IFERROR(__xludf.DUMMYFUNCTION("""COMPUTED_VALUE"""),"Trazfavela Atividades de Intermediacao e Agenciamento de Servicos e Negocios em Geral LTDA")</f>
        <v>Trazfavela Atividades de Intermediacao e Agenciamento de Servicos e Negocios em Geral LTDA</v>
      </c>
      <c r="F586" s="21" t="str">
        <f ca="1">IFERROR(VLOOKUP(A586,'Rede - Gerando Falcões '!A585:G1581,38,0),"")</f>
        <v/>
      </c>
      <c r="G586" s="27" t="str">
        <f ca="1">IFERROR(VLOOKUP(A586,'Tabela Categorização'!A:J,10,0),"")</f>
        <v/>
      </c>
      <c r="H586" s="27" t="b">
        <f t="shared" ca="1" si="2"/>
        <v>1</v>
      </c>
      <c r="I586" s="21" t="str">
        <f>HYPERLINK("https://gerandofalcoes.my.salesforce.com/0034X0000380O1AQAU", "0034X0000380O1AQAU")</f>
        <v>0034X0000380O1AQAU</v>
      </c>
      <c r="J586" s="9" t="s">
        <v>17881</v>
      </c>
      <c r="K586" s="38" t="s">
        <v>17882</v>
      </c>
    </row>
    <row r="587" spans="1:11" ht="12.5" x14ac:dyDescent="0.25">
      <c r="A587" s="21" t="str">
        <f ca="1">IFERROR(__xludf.DUMMYFUNCTION("""COMPUTED_VALUE"""),"0014X00002VKCumQAH")</f>
        <v>0014X00002VKCumQAH</v>
      </c>
      <c r="B587" s="27"/>
      <c r="C587" s="27" t="str">
        <f ca="1">IFERROR(__xludf.DUMMYFUNCTION("""COMPUTED_VALUE"""),"Fellow")</f>
        <v>Fellow</v>
      </c>
      <c r="D587" s="27" t="str">
        <f ca="1">IFERROR(__xludf.DUMMYFUNCTION("""COMPUTED_VALUE"""),"Ativo")</f>
        <v>Ativo</v>
      </c>
      <c r="E587" s="27" t="str">
        <f ca="1">IFERROR(__xludf.DUMMYFUNCTION("""COMPUTED_VALUE"""),"TUTTI ALLEGRO - COMPANHIA DE ARTE")</f>
        <v>TUTTI ALLEGRO - COMPANHIA DE ARTE</v>
      </c>
      <c r="F587" s="21" t="str">
        <f ca="1">IFERROR(VLOOKUP(A587,'Rede - Gerando Falcões '!A586:G1582,38,0),"")</f>
        <v/>
      </c>
      <c r="G587" s="27" t="str">
        <f ca="1">IFERROR(VLOOKUP(A587,'Tabela Categorização'!A:J,10,0),"")</f>
        <v/>
      </c>
      <c r="H587" s="27" t="b">
        <f t="shared" ca="1" si="2"/>
        <v>1</v>
      </c>
      <c r="I587" s="21" t="str">
        <f>HYPERLINK("https://gerandofalcoes.my.salesforce.com/0034P000045kxjSQAQ", "0034P000045kxjSQAQ")</f>
        <v>0034P000045kxjSQAQ</v>
      </c>
      <c r="J587" s="9" t="s">
        <v>17881</v>
      </c>
      <c r="K587" s="38" t="s">
        <v>17882</v>
      </c>
    </row>
    <row r="588" spans="1:11" ht="12.5" x14ac:dyDescent="0.25">
      <c r="A588" s="21" t="str">
        <f ca="1">IFERROR(__xludf.DUMMYFUNCTION("""COMPUTED_VALUE"""),"0014P00003YSp8qQAD")</f>
        <v>0014P00003YSp8qQAD</v>
      </c>
      <c r="B588" s="27" t="str">
        <f ca="1">IFERROR(__xludf.DUMMYFUNCTION("""COMPUTED_VALUE"""),"Fase Inicial")</f>
        <v>Fase Inicial</v>
      </c>
      <c r="C588" s="27" t="str">
        <f ca="1">IFERROR(__xludf.DUMMYFUNCTION("""COMPUTED_VALUE"""),"Fellow")</f>
        <v>Fellow</v>
      </c>
      <c r="D588" s="27" t="str">
        <f ca="1">IFERROR(__xludf.DUMMYFUNCTION("""COMPUTED_VALUE"""),"Ativo")</f>
        <v>Ativo</v>
      </c>
      <c r="E588" s="27" t="str">
        <f ca="1">IFERROR(__xludf.DUMMYFUNCTION("""COMPUTED_VALUE"""),"União marcial Mauá")</f>
        <v>União marcial Mauá</v>
      </c>
      <c r="F588" s="21" t="str">
        <f ca="1">IFERROR(VLOOKUP(A588,'Rede - Gerando Falcões '!A587:G1583,38,0),"")</f>
        <v/>
      </c>
      <c r="G588" s="27" t="str">
        <f ca="1">IFERROR(VLOOKUP(A588,'Tabela Categorização'!A:J,10,0),"")</f>
        <v>Fase Inicial</v>
      </c>
      <c r="H588" s="27" t="b">
        <f t="shared" ca="1" si="2"/>
        <v>1</v>
      </c>
      <c r="I588" s="21" t="str">
        <f>HYPERLINK("https://gerandofalcoes.my.salesforce.com/0034X0000380O6GQAU", "0034X0000380O6GQAU")</f>
        <v>0034X0000380O6GQAU</v>
      </c>
      <c r="J588" s="9" t="s">
        <v>17881</v>
      </c>
      <c r="K588" s="38" t="s">
        <v>17882</v>
      </c>
    </row>
    <row r="589" spans="1:11" ht="12.5" x14ac:dyDescent="0.25">
      <c r="A589" s="21" t="str">
        <f ca="1">IFERROR(__xludf.DUMMYFUNCTION("""COMPUTED_VALUE"""),"0014X00002VKCqRQAX")</f>
        <v>0014X00002VKCqRQAX</v>
      </c>
      <c r="B589" s="27" t="str">
        <f ca="1">IFERROR(__xludf.DUMMYFUNCTION("""COMPUTED_VALUE"""),"Fase Inicial")</f>
        <v>Fase Inicial</v>
      </c>
      <c r="C589" s="27" t="str">
        <f ca="1">IFERROR(__xludf.DUMMYFUNCTION("""COMPUTED_VALUE"""),"Fellow")</f>
        <v>Fellow</v>
      </c>
      <c r="D589" s="27" t="str">
        <f ca="1">IFERROR(__xludf.DUMMYFUNCTION("""COMPUTED_VALUE"""),"Ativo")</f>
        <v>Ativo</v>
      </c>
      <c r="E589" s="27" t="str">
        <f ca="1">IFERROR(__xludf.DUMMYFUNCTION("""COMPUTED_VALUE"""),"UNIÃO POPULAR PELA VIDA")</f>
        <v>UNIÃO POPULAR PELA VIDA</v>
      </c>
      <c r="F589" s="21" t="str">
        <f ca="1">IFERROR(VLOOKUP(A589,'Rede - Gerando Falcões '!A588:G1584,38,0),"")</f>
        <v/>
      </c>
      <c r="G589" s="27" t="str">
        <f ca="1">IFERROR(VLOOKUP(A589,'Tabela Categorização'!A:J,10,0),"")</f>
        <v>Fase Inicial</v>
      </c>
      <c r="H589" s="27" t="b">
        <f t="shared" ca="1" si="2"/>
        <v>1</v>
      </c>
      <c r="I589" s="21" t="str">
        <f>HYPERLINK("https://gerandofalcoes.my.salesforce.com/0034X0000380O1VQAU", "0034X0000380O1VQAU")</f>
        <v>0034X0000380O1VQAU</v>
      </c>
      <c r="J589" s="9" t="s">
        <v>17881</v>
      </c>
      <c r="K589" s="38" t="s">
        <v>17882</v>
      </c>
    </row>
    <row r="590" spans="1:11" ht="12.5" x14ac:dyDescent="0.25">
      <c r="A590" s="21" t="str">
        <f ca="1">IFERROR(__xludf.DUMMYFUNCTION("""COMPUTED_VALUE"""),"0014X00002VKCvCQAX")</f>
        <v>0014X00002VKCvCQAX</v>
      </c>
      <c r="B590" s="27" t="str">
        <f ca="1">IFERROR(__xludf.DUMMYFUNCTION("""COMPUTED_VALUE"""),"Fase Inicial")</f>
        <v>Fase Inicial</v>
      </c>
      <c r="C590" s="27" t="str">
        <f ca="1">IFERROR(__xludf.DUMMYFUNCTION("""COMPUTED_VALUE"""),"Fellow")</f>
        <v>Fellow</v>
      </c>
      <c r="D590" s="27" t="str">
        <f ca="1">IFERROR(__xludf.DUMMYFUNCTION("""COMPUTED_VALUE"""),"Ativo")</f>
        <v>Ativo</v>
      </c>
      <c r="E590" s="27" t="str">
        <f ca="1">IFERROR(__xludf.DUMMYFUNCTION("""COMPUTED_VALUE"""),"Unificação das Quebradas")</f>
        <v>Unificação das Quebradas</v>
      </c>
      <c r="F590" s="21" t="str">
        <f ca="1">IFERROR(VLOOKUP(A590,'Rede - Gerando Falcões '!A589:G1585,38,0),"")</f>
        <v/>
      </c>
      <c r="G590" s="27" t="str">
        <f ca="1">IFERROR(VLOOKUP(A590,'Tabela Categorização'!A:J,10,0),"")</f>
        <v>Fase Inicial</v>
      </c>
      <c r="H590" s="27" t="b">
        <f t="shared" ca="1" si="2"/>
        <v>1</v>
      </c>
      <c r="I590" s="21" t="str">
        <f>HYPERLINK("https://gerandofalcoes.my.salesforce.com/0034X0000380O39QAE", "0034X0000380O39QAE")</f>
        <v>0034X0000380O39QAE</v>
      </c>
      <c r="J590" s="9" t="s">
        <v>17881</v>
      </c>
      <c r="K590" s="38" t="s">
        <v>17882</v>
      </c>
    </row>
    <row r="591" spans="1:11" ht="12.5" x14ac:dyDescent="0.25">
      <c r="A591" s="21" t="str">
        <f ca="1">IFERROR(__xludf.DUMMYFUNCTION("""COMPUTED_VALUE"""),"0014X00002VKCrgQAH")</f>
        <v>0014X00002VKCrgQAH</v>
      </c>
      <c r="B591" s="27"/>
      <c r="C591" s="27" t="str">
        <f ca="1">IFERROR(__xludf.DUMMYFUNCTION("""COMPUTED_VALUE"""),"Fellow")</f>
        <v>Fellow</v>
      </c>
      <c r="D591" s="27" t="str">
        <f ca="1">IFERROR(__xludf.DUMMYFUNCTION("""COMPUTED_VALUE"""),"Ativo")</f>
        <v>Ativo</v>
      </c>
      <c r="E591" s="27" t="str">
        <f ca="1">IFERROR(__xludf.DUMMYFUNCTION("""COMPUTED_VALUE"""),"Universus Esc Art Pod Art Cultural")</f>
        <v>Universus Esc Art Pod Art Cultural</v>
      </c>
      <c r="F591" s="21" t="str">
        <f ca="1">IFERROR(VLOOKUP(A591,'Rede - Gerando Falcões '!A590:G1586,38,0),"")</f>
        <v/>
      </c>
      <c r="G591" s="27" t="str">
        <f ca="1">IFERROR(VLOOKUP(A591,'Tabela Categorização'!A:J,10,0),"")</f>
        <v/>
      </c>
      <c r="H591" s="27" t="b">
        <f t="shared" ca="1" si="2"/>
        <v>1</v>
      </c>
      <c r="I591" s="21" t="str">
        <f>HYPERLINK("https://gerandofalcoes.my.salesforce.com/0034X0000380O1zQAE", "0034X0000380O1zQAE")</f>
        <v>0034X0000380O1zQAE</v>
      </c>
      <c r="J591" s="9" t="s">
        <v>17881</v>
      </c>
      <c r="K591" s="38" t="s">
        <v>17882</v>
      </c>
    </row>
    <row r="592" spans="1:11" ht="12.5" x14ac:dyDescent="0.25">
      <c r="A592" s="21" t="str">
        <f ca="1">IFERROR(__xludf.DUMMYFUNCTION("""COMPUTED_VALUE"""),"0014X00002VKCpIQAX")</f>
        <v>0014X00002VKCpIQAX</v>
      </c>
      <c r="B592" s="27" t="str">
        <f ca="1">IFERROR(__xludf.DUMMYFUNCTION("""COMPUTED_VALUE"""),"Fase Inicial")</f>
        <v>Fase Inicial</v>
      </c>
      <c r="C592" s="27" t="str">
        <f ca="1">IFERROR(__xludf.DUMMYFUNCTION("""COMPUTED_VALUE"""),"Fellow")</f>
        <v>Fellow</v>
      </c>
      <c r="D592" s="27" t="str">
        <f ca="1">IFERROR(__xludf.DUMMYFUNCTION("""COMPUTED_VALUE"""),"Ativo")</f>
        <v>Ativo</v>
      </c>
      <c r="E592" s="27" t="str">
        <f ca="1">IFERROR(__xludf.DUMMYFUNCTION("""COMPUTED_VALUE"""),"VELHO CHICO ATIVO")</f>
        <v>VELHO CHICO ATIVO</v>
      </c>
      <c r="F592" s="21" t="str">
        <f ca="1">IFERROR(VLOOKUP(A592,'Rede - Gerando Falcões '!A591:G1587,38,0),"")</f>
        <v/>
      </c>
      <c r="G592" s="27" t="str">
        <f ca="1">IFERROR(VLOOKUP(A592,'Tabela Categorização'!A:J,10,0),"")</f>
        <v>Fase Inicial</v>
      </c>
      <c r="H592" s="27" t="b">
        <f t="shared" ca="1" si="2"/>
        <v>1</v>
      </c>
      <c r="I592" s="21" t="str">
        <f>HYPERLINK("https://gerandofalcoes.my.salesforce.com/0034P000045kxkiQAA", "0034P000045kxkiQAA")</f>
        <v>0034P000045kxkiQAA</v>
      </c>
      <c r="J592" s="9" t="s">
        <v>17881</v>
      </c>
      <c r="K592" s="38" t="s">
        <v>17882</v>
      </c>
    </row>
    <row r="593" spans="1:11" ht="12.5" x14ac:dyDescent="0.25">
      <c r="A593" s="21" t="str">
        <f ca="1">IFERROR(__xludf.DUMMYFUNCTION("""COMPUTED_VALUE"""),"0014P00003YSpA6QAL")</f>
        <v>0014P00003YSpA6QAL</v>
      </c>
      <c r="B593" s="27" t="str">
        <f ca="1">IFERROR(__xludf.DUMMYFUNCTION("""COMPUTED_VALUE"""),"Fase Inicial")</f>
        <v>Fase Inicial</v>
      </c>
      <c r="C593" s="27" t="str">
        <f ca="1">IFERROR(__xludf.DUMMYFUNCTION("""COMPUTED_VALUE"""),"Fellow")</f>
        <v>Fellow</v>
      </c>
      <c r="D593" s="27" t="str">
        <f ca="1">IFERROR(__xludf.DUMMYFUNCTION("""COMPUTED_VALUE"""),"Ativo")</f>
        <v>Ativo</v>
      </c>
      <c r="E593" s="27" t="str">
        <f ca="1">IFERROR(__xludf.DUMMYFUNCTION("""COMPUTED_VALUE"""),"Viaduto das Artes")</f>
        <v>Viaduto das Artes</v>
      </c>
      <c r="F593" s="21" t="str">
        <f ca="1">IFERROR(VLOOKUP(A593,'Rede - Gerando Falcões '!A592:G1588,38,0),"")</f>
        <v/>
      </c>
      <c r="G593" s="27" t="str">
        <f ca="1">IFERROR(VLOOKUP(A593,'Tabela Categorização'!A:J,10,0),"")</f>
        <v>Fase Inicial</v>
      </c>
      <c r="H593" s="27" t="b">
        <f t="shared" ca="1" si="2"/>
        <v>1</v>
      </c>
      <c r="I593" s="21" t="str">
        <f>HYPERLINK("https://gerandofalcoes.my.salesforce.com/0034X0000315PQyQAM", "0034X0000315PQyQAM")</f>
        <v>0034X0000315PQyQAM</v>
      </c>
      <c r="J593" s="9" t="s">
        <v>17881</v>
      </c>
      <c r="K593" s="38" t="s">
        <v>17882</v>
      </c>
    </row>
    <row r="594" spans="1:11" ht="12.5" x14ac:dyDescent="0.25">
      <c r="A594" s="21" t="str">
        <f ca="1">IFERROR(__xludf.DUMMYFUNCTION("""COMPUTED_VALUE"""),"0014X00002OEuapQAD")</f>
        <v>0014X00002OEuapQAD</v>
      </c>
      <c r="B594" s="27" t="str">
        <f ca="1">IFERROR(__xludf.DUMMYFUNCTION("""COMPUTED_VALUE"""),"Fase Inicial")</f>
        <v>Fase Inicial</v>
      </c>
      <c r="C594" s="27" t="str">
        <f ca="1">IFERROR(__xludf.DUMMYFUNCTION("""COMPUTED_VALUE"""),"Fellow")</f>
        <v>Fellow</v>
      </c>
      <c r="D594" s="27" t="str">
        <f ca="1">IFERROR(__xludf.DUMMYFUNCTION("""COMPUTED_VALUE"""),"Afastado")</f>
        <v>Afastado</v>
      </c>
      <c r="E594" s="27" t="str">
        <f ca="1">IFERROR(__xludf.DUMMYFUNCTION("""COMPUTED_VALUE"""),"vila carioca fertil")</f>
        <v>vila carioca fertil</v>
      </c>
      <c r="F594" s="21" t="str">
        <f ca="1">IFERROR(VLOOKUP(A594,'Rede - Gerando Falcões '!A593:G1589,38,0),"")</f>
        <v/>
      </c>
      <c r="G594" s="27" t="str">
        <f ca="1">IFERROR(VLOOKUP(A594,'Tabela Categorização'!A:J,10,0),"")</f>
        <v>Fase Inicial</v>
      </c>
      <c r="H594" s="27" t="b">
        <f t="shared" ca="1" si="2"/>
        <v>1</v>
      </c>
      <c r="I594" s="21" t="str">
        <f>HYPERLINK("https://gerandofalcoes.my.salesforce.com/0034P00003maBVkQAM", "0034P00003maBVkQAM")</f>
        <v>0034P00003maBVkQAM</v>
      </c>
      <c r="J594" s="9" t="s">
        <v>17881</v>
      </c>
      <c r="K594" s="38" t="s">
        <v>17882</v>
      </c>
    </row>
    <row r="595" spans="1:11" ht="12.5" x14ac:dyDescent="0.25">
      <c r="A595" s="21" t="str">
        <f ca="1">IFERROR(__xludf.DUMMYFUNCTION("""COMPUTED_VALUE"""),"0014P00003AN2GGQA1")</f>
        <v>0014P00003AN2GGQA1</v>
      </c>
      <c r="B595" s="27" t="str">
        <f ca="1">IFERROR(__xludf.DUMMYFUNCTION("""COMPUTED_VALUE"""),"Fase Inicial")</f>
        <v>Fase Inicial</v>
      </c>
      <c r="C595" s="27" t="str">
        <f ca="1">IFERROR(__xludf.DUMMYFUNCTION("""COMPUTED_VALUE"""),"Fellow")</f>
        <v>Fellow</v>
      </c>
      <c r="D595" s="27" t="str">
        <f ca="1">IFERROR(__xludf.DUMMYFUNCTION("""COMPUTED_VALUE"""),"Ativo")</f>
        <v>Ativo</v>
      </c>
      <c r="E595" s="27" t="str">
        <f ca="1">IFERROR(__xludf.DUMMYFUNCTION("""COMPUTED_VALUE"""),"Vila em Progresso")</f>
        <v>Vila em Progresso</v>
      </c>
      <c r="F595" s="21" t="str">
        <f ca="1">IFERROR(VLOOKUP(A595,'Rede - Gerando Falcões '!A594:G1590,38,0),"")</f>
        <v/>
      </c>
      <c r="G595" s="27" t="str">
        <f ca="1">IFERROR(VLOOKUP(A595,'Tabela Categorização'!A:J,10,0),"")</f>
        <v>Fase Inicial</v>
      </c>
      <c r="H595" s="27" t="b">
        <f t="shared" ca="1" si="2"/>
        <v>1</v>
      </c>
      <c r="I595" s="21" t="str">
        <f>HYPERLINK("https://gerandofalcoes.my.salesforce.com/0034P000045kxiuQAA", "0034P000045kxiuQAA")</f>
        <v>0034P000045kxiuQAA</v>
      </c>
      <c r="J595" s="9" t="s">
        <v>17881</v>
      </c>
      <c r="K595" s="38" t="s">
        <v>17882</v>
      </c>
    </row>
    <row r="596" spans="1:11" ht="12.5" x14ac:dyDescent="0.25">
      <c r="A596" s="21" t="str">
        <f ca="1">IFERROR(__xludf.DUMMYFUNCTION("""COMPUTED_VALUE"""),"0014P00003YSp8JQAT")</f>
        <v>0014P00003YSp8JQAT</v>
      </c>
      <c r="B596" s="27" t="str">
        <f ca="1">IFERROR(__xludf.DUMMYFUNCTION("""COMPUTED_VALUE"""),"Fase Inicial")</f>
        <v>Fase Inicial</v>
      </c>
      <c r="C596" s="27" t="str">
        <f ca="1">IFERROR(__xludf.DUMMYFUNCTION("""COMPUTED_VALUE"""),"Fellow")</f>
        <v>Fellow</v>
      </c>
      <c r="D596" s="27" t="str">
        <f ca="1">IFERROR(__xludf.DUMMYFUNCTION("""COMPUTED_VALUE"""),"Ativo")</f>
        <v>Ativo</v>
      </c>
      <c r="E596" s="27" t="str">
        <f ca="1">IFERROR(__xludf.DUMMYFUNCTION("""COMPUTED_VALUE"""),"Voluntários Fazendo Criança Sorrir")</f>
        <v>Voluntários Fazendo Criança Sorrir</v>
      </c>
      <c r="F596" s="21" t="str">
        <f ca="1">IFERROR(VLOOKUP(A596,'Rede - Gerando Falcões '!A595:G1591,38,0),"")</f>
        <v/>
      </c>
      <c r="G596" s="27" t="str">
        <f ca="1">IFERROR(VLOOKUP(A596,'Tabela Categorização'!A:J,10,0),"")</f>
        <v>Fase Inicial</v>
      </c>
      <c r="H596" s="27" t="b">
        <f t="shared" ca="1" si="2"/>
        <v>1</v>
      </c>
      <c r="I596" s="21" t="str">
        <f>HYPERLINK("https://gerandofalcoes.my.salesforce.com/0034P00003maBVEQA2", "0034P00003maBVEQA2")</f>
        <v>0034P00003maBVEQA2</v>
      </c>
      <c r="J596" s="9" t="s">
        <v>17881</v>
      </c>
      <c r="K596" s="38" t="s">
        <v>17882</v>
      </c>
    </row>
    <row r="597" spans="1:11" ht="12.5" x14ac:dyDescent="0.25">
      <c r="A597" s="21" t="str">
        <f ca="1">IFERROR(__xludf.DUMMYFUNCTION("""COMPUTED_VALUE"""),"0014P00003AN2FnQAL")</f>
        <v>0014P00003AN2FnQAL</v>
      </c>
      <c r="B597" s="27" t="str">
        <f ca="1">IFERROR(__xludf.DUMMYFUNCTION("""COMPUTED_VALUE"""),"Fase Avançada")</f>
        <v>Fase Avançada</v>
      </c>
      <c r="C597" s="27" t="str">
        <f ca="1">IFERROR(__xludf.DUMMYFUNCTION("""COMPUTED_VALUE"""),"Acelerada")</f>
        <v>Acelerada</v>
      </c>
      <c r="D597" s="27" t="str">
        <f ca="1">IFERROR(__xludf.DUMMYFUNCTION("""COMPUTED_VALUE"""),"Ativo")</f>
        <v>Ativo</v>
      </c>
      <c r="E597" s="27" t="str">
        <f ca="1">IFERROR(__xludf.DUMMYFUNCTION("""COMPUTED_VALUE"""),"Vozes das Periferias")</f>
        <v>Vozes das Periferias</v>
      </c>
      <c r="F597" s="21" t="str">
        <f ca="1">IFERROR(VLOOKUP(A597,'Rede - Gerando Falcões '!A596:G1592,38,0),"")</f>
        <v/>
      </c>
      <c r="G597" s="27" t="str">
        <f ca="1">IFERROR(VLOOKUP(A597,'Tabela Categorização'!A:J,10,0),"")</f>
        <v>Fase Avançada</v>
      </c>
      <c r="H597" s="27" t="b">
        <f t="shared" ca="1" si="2"/>
        <v>1</v>
      </c>
      <c r="I597" s="21" t="str">
        <f>HYPERLINK("https://gerandofalcoes.my.salesforce.com/0034P000045kxiQQAQ", "0034P000045kxiQQAQ")</f>
        <v>0034P000045kxiQQAQ</v>
      </c>
      <c r="J597" s="9" t="s">
        <v>17881</v>
      </c>
      <c r="K597" s="38" t="s">
        <v>17882</v>
      </c>
    </row>
    <row r="598" spans="1:11" ht="12.5" x14ac:dyDescent="0.25">
      <c r="A598" s="21" t="str">
        <f ca="1">IFERROR(__xludf.DUMMYFUNCTION("""COMPUTED_VALUE"""),"0014P00003YSp7pQAD")</f>
        <v>0014P00003YSp7pQAD</v>
      </c>
      <c r="B598" s="27" t="str">
        <f ca="1">IFERROR(__xludf.DUMMYFUNCTION("""COMPUTED_VALUE"""),"Fase Inicial")</f>
        <v>Fase Inicial</v>
      </c>
      <c r="C598" s="27" t="str">
        <f ca="1">IFERROR(__xludf.DUMMYFUNCTION("""COMPUTED_VALUE"""),"Fellow")</f>
        <v>Fellow</v>
      </c>
      <c r="D598" s="27" t="str">
        <f ca="1">IFERROR(__xludf.DUMMYFUNCTION("""COMPUTED_VALUE"""),"Ativo")</f>
        <v>Ativo</v>
      </c>
      <c r="E598" s="27" t="str">
        <f ca="1">IFERROR(__xludf.DUMMYFUNCTION("""COMPUTED_VALUE"""),"Voz nas Comunidades")</f>
        <v>Voz nas Comunidades</v>
      </c>
      <c r="F598" s="21" t="str">
        <f ca="1">IFERROR(VLOOKUP(A598,'Rede - Gerando Falcões '!A597:G1593,38,0),"")</f>
        <v/>
      </c>
      <c r="G598" s="27" t="str">
        <f ca="1">IFERROR(VLOOKUP(A598,'Tabela Categorização'!A:J,10,0),"")</f>
        <v>Fase Inicial</v>
      </c>
      <c r="H598" s="27" t="b">
        <f t="shared" ca="1" si="2"/>
        <v>1</v>
      </c>
      <c r="I598" s="21" t="str">
        <f>HYPERLINK("https://gerandofalcoes.my.salesforce.com/0034X0000380O4nQAE", "0034X0000380O4nQAE")</f>
        <v>0034X0000380O4nQAE</v>
      </c>
      <c r="J598" s="9" t="s">
        <v>17881</v>
      </c>
      <c r="K598" s="38" t="s">
        <v>17882</v>
      </c>
    </row>
    <row r="599" spans="1:11" ht="12.5" x14ac:dyDescent="0.25">
      <c r="A599" s="21" t="str">
        <f ca="1">IFERROR(__xludf.DUMMYFUNCTION("""COMPUTED_VALUE"""),"0014X00002VKCuRQAX")</f>
        <v>0014X00002VKCuRQAX</v>
      </c>
      <c r="B599" s="27" t="str">
        <f ca="1">IFERROR(__xludf.DUMMYFUNCTION("""COMPUTED_VALUE"""),"Fase Inicial")</f>
        <v>Fase Inicial</v>
      </c>
      <c r="C599" s="27" t="str">
        <f ca="1">IFERROR(__xludf.DUMMYFUNCTION("""COMPUTED_VALUE"""),"Fellow")</f>
        <v>Fellow</v>
      </c>
      <c r="D599" s="27" t="str">
        <f ca="1">IFERROR(__xludf.DUMMYFUNCTION("""COMPUTED_VALUE"""),"Ativo")</f>
        <v>Ativo</v>
      </c>
      <c r="E599" s="27" t="str">
        <f ca="1">IFERROR(__xludf.DUMMYFUNCTION("""COMPUTED_VALUE"""),"WATER IS LIFE BRASIL")</f>
        <v>WATER IS LIFE BRASIL</v>
      </c>
      <c r="F599" s="21" t="str">
        <f ca="1">IFERROR(VLOOKUP(A599,'Rede - Gerando Falcões '!A598:G1594,38,0),"")</f>
        <v/>
      </c>
      <c r="G599" s="27" t="str">
        <f ca="1">IFERROR(VLOOKUP(A599,'Tabela Categorização'!A:J,10,0),"")</f>
        <v>Fase Inicial</v>
      </c>
      <c r="H599" s="27" t="b">
        <f t="shared" ca="1" si="2"/>
        <v>1</v>
      </c>
      <c r="I599" s="21" t="str">
        <f>HYPERLINK("https://gerandofalcoes.my.salesforce.com/0034X0000380O1vQAE", "0034X0000380O1vQAE")</f>
        <v>0034X0000380O1vQAE</v>
      </c>
      <c r="J599" s="9" t="s">
        <v>17881</v>
      </c>
      <c r="K599" s="38" t="s">
        <v>17882</v>
      </c>
    </row>
    <row r="600" spans="1:11" ht="12.5" x14ac:dyDescent="0.25">
      <c r="A600" s="21" t="str">
        <f ca="1">IFERROR(__xludf.DUMMYFUNCTION("""COMPUTED_VALUE"""),"0014X00002VKCrpQAH")</f>
        <v>0014X00002VKCrpQAH</v>
      </c>
      <c r="B600" s="27" t="str">
        <f ca="1">IFERROR(__xludf.DUMMYFUNCTION("""COMPUTED_VALUE"""),"Fase Inicial")</f>
        <v>Fase Inicial</v>
      </c>
      <c r="C600" s="27" t="str">
        <f ca="1">IFERROR(__xludf.DUMMYFUNCTION("""COMPUTED_VALUE"""),"Fellow")</f>
        <v>Fellow</v>
      </c>
      <c r="D600" s="27" t="str">
        <f ca="1">IFERROR(__xludf.DUMMYFUNCTION("""COMPUTED_VALUE"""),"Ativo")</f>
        <v>Ativo</v>
      </c>
      <c r="E600" s="27" t="str">
        <f ca="1">IFERROR(__xludf.DUMMYFUNCTION("""COMPUTED_VALUE"""),"ZhaLuArt Instituto")</f>
        <v>ZhaLuArt Instituto</v>
      </c>
      <c r="F600" s="21" t="str">
        <f ca="1">IFERROR(VLOOKUP(A600,'Rede - Gerando Falcões '!A599:G1595,38,0),"")</f>
        <v/>
      </c>
      <c r="G600" s="27" t="str">
        <f ca="1">IFERROR(VLOOKUP(A600,'Tabela Categorização'!A:J,10,0),"")</f>
        <v>Fase Inicial</v>
      </c>
      <c r="H600" s="27" t="b">
        <f t="shared" ca="1" si="2"/>
        <v>1</v>
      </c>
    </row>
    <row r="601" spans="1:11" ht="12.5" x14ac:dyDescent="0.25">
      <c r="A601" s="27"/>
      <c r="B601" s="27"/>
      <c r="C601" s="27"/>
      <c r="D601" s="27"/>
      <c r="E601" s="27"/>
      <c r="F601" s="27" t="str">
        <f>IFERROR(VLOOKUP(A601,'Rede - Gerando Falcões '!A600:G1596,38,0),"")</f>
        <v/>
      </c>
      <c r="G601" s="27" t="str">
        <f ca="1">IFERROR(VLOOKUP(A601,'Tabela Categorização'!A:J,10,0),"")</f>
        <v/>
      </c>
    </row>
    <row r="602" spans="1:11" ht="12.5" x14ac:dyDescent="0.25">
      <c r="A602" s="27"/>
      <c r="B602" s="27"/>
      <c r="C602" s="27"/>
      <c r="D602" s="27"/>
      <c r="E602" s="27"/>
      <c r="F602" s="27" t="str">
        <f>IFERROR(VLOOKUP(A602,'Rede - Gerando Falcões '!A601:G1597,38,0),"")</f>
        <v/>
      </c>
      <c r="G602" s="27" t="str">
        <f ca="1">IFERROR(VLOOKUP(A602,'Tabela Categorização'!A:J,10,0),"")</f>
        <v/>
      </c>
    </row>
    <row r="603" spans="1:11" ht="12.5" x14ac:dyDescent="0.25">
      <c r="A603" s="27"/>
      <c r="B603" s="27"/>
      <c r="C603" s="27"/>
      <c r="D603" s="27"/>
      <c r="E603" s="27"/>
      <c r="F603" s="27" t="str">
        <f>IFERROR(VLOOKUP(A603,'Rede - Gerando Falcões '!A601:G1598,38,0),"")</f>
        <v/>
      </c>
      <c r="G603" s="27" t="str">
        <f ca="1">IFERROR(VLOOKUP(A603,'Tabela Categorização'!A:J,10,0),"")</f>
        <v/>
      </c>
    </row>
    <row r="604" spans="1:11" ht="12.5" x14ac:dyDescent="0.25">
      <c r="A604" s="27"/>
      <c r="B604" s="27"/>
      <c r="C604" s="27"/>
      <c r="D604" s="27"/>
      <c r="E604" s="27"/>
      <c r="F604" s="27" t="str">
        <f>IFERROR(VLOOKUP(A604,'Rede - Gerando Falcões '!A601:G1599,38,0),"")</f>
        <v/>
      </c>
      <c r="G604" s="27" t="str">
        <f ca="1">IFERROR(VLOOKUP(A604,'Tabela Categorização'!A:J,10,0),"")</f>
        <v/>
      </c>
    </row>
    <row r="605" spans="1:11" ht="12.5" x14ac:dyDescent="0.25">
      <c r="A605" s="27"/>
      <c r="B605" s="27"/>
      <c r="C605" s="27"/>
      <c r="D605" s="27"/>
      <c r="E605" s="27"/>
      <c r="F605" s="27" t="str">
        <f>IFERROR(VLOOKUP(A605,'Rede - Gerando Falcões '!A602:G1600,38,0),"")</f>
        <v/>
      </c>
      <c r="G605" s="27" t="str">
        <f ca="1">IFERROR(VLOOKUP(A605,'Tabela Categorização'!A:J,10,0),"")</f>
        <v/>
      </c>
    </row>
    <row r="606" spans="1:11" ht="12.5" x14ac:dyDescent="0.25">
      <c r="A606" s="27"/>
      <c r="B606" s="27"/>
      <c r="C606" s="27"/>
      <c r="D606" s="27"/>
      <c r="E606" s="27"/>
      <c r="F606" s="27" t="str">
        <f>IFERROR(VLOOKUP(A606,'Rede - Gerando Falcões '!A603:G1601,38,0),"")</f>
        <v/>
      </c>
      <c r="G606" s="27" t="str">
        <f ca="1">IFERROR(VLOOKUP(A606,'Tabela Categorização'!A:J,10,0),"")</f>
        <v/>
      </c>
    </row>
    <row r="607" spans="1:11" ht="12.5" x14ac:dyDescent="0.25">
      <c r="A607" s="27"/>
      <c r="B607" s="27"/>
      <c r="C607" s="27"/>
      <c r="D607" s="27"/>
      <c r="E607" s="27"/>
      <c r="F607" s="27" t="str">
        <f>IFERROR(VLOOKUP(A607,'Rede - Gerando Falcões '!A604:G1602,38,0),"")</f>
        <v/>
      </c>
      <c r="G607" s="27" t="str">
        <f ca="1">IFERROR(VLOOKUP(A607,'Tabela Categorização'!A:J,10,0),"")</f>
        <v/>
      </c>
    </row>
    <row r="608" spans="1:11" ht="12.5" x14ac:dyDescent="0.25">
      <c r="A608" s="27"/>
      <c r="B608" s="27"/>
      <c r="C608" s="27"/>
      <c r="D608" s="27"/>
      <c r="E608" s="27"/>
      <c r="F608" s="27" t="str">
        <f>IFERROR(VLOOKUP(A608,'Rede - Gerando Falcões '!A605:G1603,38,0),"")</f>
        <v/>
      </c>
      <c r="G608" s="27" t="str">
        <f ca="1">IFERROR(VLOOKUP(A608,'Tabela Categorização'!A:J,10,0),"")</f>
        <v/>
      </c>
    </row>
    <row r="609" spans="1:7" ht="12.5" x14ac:dyDescent="0.25">
      <c r="A609" s="27"/>
      <c r="B609" s="27"/>
      <c r="C609" s="27"/>
      <c r="D609" s="27"/>
      <c r="E609" s="27"/>
      <c r="F609" s="27" t="str">
        <f>IFERROR(VLOOKUP(A609,'Rede - Gerando Falcões '!A606:G1604,38,0),"")</f>
        <v/>
      </c>
      <c r="G609" s="27" t="str">
        <f ca="1">IFERROR(VLOOKUP(A609,'Tabela Categorização'!A:J,10,0),"")</f>
        <v/>
      </c>
    </row>
    <row r="610" spans="1:7" ht="12.5" x14ac:dyDescent="0.25">
      <c r="A610" s="27"/>
      <c r="B610" s="27"/>
      <c r="C610" s="27"/>
      <c r="D610" s="27"/>
      <c r="E610" s="27"/>
      <c r="F610" s="27" t="str">
        <f>IFERROR(VLOOKUP(A610,'Rede - Gerando Falcões '!A607:G1605,38,0),"")</f>
        <v/>
      </c>
      <c r="G610" s="27" t="str">
        <f ca="1">IFERROR(VLOOKUP(A610,'Tabela Categorização'!A:J,10,0),"")</f>
        <v/>
      </c>
    </row>
    <row r="611" spans="1:7" ht="12.5" x14ac:dyDescent="0.25">
      <c r="A611" s="27"/>
      <c r="B611" s="27"/>
      <c r="C611" s="27"/>
      <c r="D611" s="27"/>
      <c r="E611" s="27"/>
      <c r="F611" s="27" t="str">
        <f>IFERROR(VLOOKUP(A611,'Rede - Gerando Falcões '!A608:G1606,38,0),"")</f>
        <v/>
      </c>
      <c r="G611" s="27" t="str">
        <f ca="1">IFERROR(VLOOKUP(A611,'Tabela Categorização'!A:J,10,0),"")</f>
        <v/>
      </c>
    </row>
    <row r="612" spans="1:7" ht="12.5" x14ac:dyDescent="0.25">
      <c r="A612" s="27"/>
      <c r="B612" s="27"/>
      <c r="C612" s="27"/>
      <c r="D612" s="27"/>
      <c r="E612" s="27"/>
      <c r="F612" s="27" t="str">
        <f>IFERROR(VLOOKUP(A612,'Rede - Gerando Falcões '!A609:G1607,38,0),"")</f>
        <v/>
      </c>
      <c r="G612" s="27" t="str">
        <f ca="1">IFERROR(VLOOKUP(A612,'Tabela Categorização'!A:J,10,0),"")</f>
        <v/>
      </c>
    </row>
    <row r="613" spans="1:7" ht="12.5" x14ac:dyDescent="0.25">
      <c r="A613" s="27"/>
      <c r="B613" s="27"/>
      <c r="C613" s="27"/>
      <c r="D613" s="27"/>
      <c r="E613" s="27"/>
      <c r="F613" s="27" t="str">
        <f>IFERROR(VLOOKUP(A613,'Rede - Gerando Falcões '!A610:G1608,38,0),"")</f>
        <v/>
      </c>
      <c r="G613" s="27" t="str">
        <f ca="1">IFERROR(VLOOKUP(A613,'Tabela Categorização'!A:J,10,0),"")</f>
        <v/>
      </c>
    </row>
    <row r="614" spans="1:7" ht="12.5" x14ac:dyDescent="0.25">
      <c r="A614" s="27"/>
      <c r="B614" s="27"/>
      <c r="C614" s="27"/>
      <c r="D614" s="27"/>
      <c r="E614" s="27"/>
      <c r="F614" s="27" t="str">
        <f>IFERROR(VLOOKUP(A614,'Rede - Gerando Falcões '!A611:G1609,38,0),"")</f>
        <v/>
      </c>
      <c r="G614" s="27" t="str">
        <f ca="1">IFERROR(VLOOKUP(A614,'Tabela Categorização'!A:J,10,0),"")</f>
        <v/>
      </c>
    </row>
    <row r="615" spans="1:7" ht="12.5" x14ac:dyDescent="0.25">
      <c r="A615" s="27"/>
      <c r="B615" s="27"/>
      <c r="C615" s="27"/>
      <c r="D615" s="27"/>
      <c r="E615" s="27"/>
      <c r="F615" s="27" t="str">
        <f>IFERROR(VLOOKUP(A615,'Rede - Gerando Falcões '!A612:G1610,38,0),"")</f>
        <v/>
      </c>
      <c r="G615" s="27" t="str">
        <f ca="1">IFERROR(VLOOKUP(A615,'Tabela Categorização'!A:J,10,0),"")</f>
        <v/>
      </c>
    </row>
    <row r="616" spans="1:7" ht="12.5" x14ac:dyDescent="0.25">
      <c r="A616" s="27"/>
      <c r="B616" s="27"/>
      <c r="C616" s="27"/>
      <c r="D616" s="27"/>
      <c r="E616" s="27"/>
      <c r="F616" s="27" t="str">
        <f>IFERROR(VLOOKUP(A616,'Rede - Gerando Falcões '!A613:G1611,38,0),"")</f>
        <v/>
      </c>
      <c r="G616" s="27" t="str">
        <f ca="1">IFERROR(VLOOKUP(A616,'Tabela Categorização'!A:J,10,0),"")</f>
        <v/>
      </c>
    </row>
    <row r="617" spans="1:7" ht="12.5" x14ac:dyDescent="0.25">
      <c r="A617" s="27"/>
      <c r="B617" s="27"/>
      <c r="C617" s="27"/>
      <c r="D617" s="27"/>
      <c r="E617" s="27"/>
      <c r="F617" s="27" t="str">
        <f>IFERROR(VLOOKUP(A617,'Rede - Gerando Falcões '!A614:G1612,38,0),"")</f>
        <v/>
      </c>
      <c r="G617" s="27" t="str">
        <f ca="1">IFERROR(VLOOKUP(A617,'Tabela Categorização'!A:J,10,0),"")</f>
        <v/>
      </c>
    </row>
    <row r="618" spans="1:7" ht="12.5" x14ac:dyDescent="0.25">
      <c r="A618" s="27"/>
      <c r="B618" s="27"/>
      <c r="C618" s="27"/>
      <c r="D618" s="27"/>
      <c r="E618" s="27"/>
      <c r="F618" s="27" t="str">
        <f>IFERROR(VLOOKUP(A618,'Rede - Gerando Falcões '!A615:G1613,38,0),"")</f>
        <v/>
      </c>
      <c r="G618" s="27" t="str">
        <f ca="1">IFERROR(VLOOKUP(A618,'Tabela Categorização'!A:J,10,0),"")</f>
        <v/>
      </c>
    </row>
    <row r="619" spans="1:7" ht="12.5" x14ac:dyDescent="0.25">
      <c r="A619" s="27"/>
      <c r="B619" s="27"/>
      <c r="C619" s="27"/>
      <c r="D619" s="27"/>
      <c r="E619" s="27"/>
      <c r="F619" s="27" t="str">
        <f>IFERROR(VLOOKUP(A619,'Rede - Gerando Falcões '!A616:G1614,38,0),"")</f>
        <v/>
      </c>
      <c r="G619" s="27" t="str">
        <f ca="1">IFERROR(VLOOKUP(A619,'Tabela Categorização'!A:J,10,0),"")</f>
        <v/>
      </c>
    </row>
    <row r="620" spans="1:7" ht="12.5" x14ac:dyDescent="0.25">
      <c r="A620" s="27"/>
      <c r="B620" s="27"/>
      <c r="C620" s="27"/>
      <c r="D620" s="27"/>
      <c r="E620" s="27"/>
      <c r="F620" s="27" t="str">
        <f>IFERROR(VLOOKUP(A620,'Rede - Gerando Falcões '!A617:G1615,38,0),"")</f>
        <v/>
      </c>
      <c r="G620" s="27" t="str">
        <f ca="1">IFERROR(VLOOKUP(A620,'Tabela Categorização'!A:J,10,0),"")</f>
        <v/>
      </c>
    </row>
    <row r="621" spans="1:7" ht="12.5" x14ac:dyDescent="0.25">
      <c r="A621" s="27"/>
      <c r="B621" s="27"/>
      <c r="C621" s="27"/>
      <c r="D621" s="27"/>
      <c r="E621" s="27"/>
      <c r="F621" s="27" t="str">
        <f>IFERROR(VLOOKUP(A621,'Rede - Gerando Falcões '!A618:G1616,38,0),"")</f>
        <v/>
      </c>
      <c r="G621" s="27" t="str">
        <f ca="1">IFERROR(VLOOKUP(A621,'Tabela Categorização'!A:J,10,0),"")</f>
        <v/>
      </c>
    </row>
    <row r="622" spans="1:7" ht="12.5" x14ac:dyDescent="0.25">
      <c r="A622" s="27"/>
      <c r="B622" s="27"/>
      <c r="C622" s="27"/>
      <c r="D622" s="27"/>
      <c r="E622" s="27"/>
      <c r="F622" s="27" t="str">
        <f>IFERROR(VLOOKUP(A622,'Rede - Gerando Falcões '!A619:G1617,38,0),"")</f>
        <v/>
      </c>
      <c r="G622" s="27" t="str">
        <f ca="1">IFERROR(VLOOKUP(A622,'Tabela Categorização'!A:J,10,0),"")</f>
        <v/>
      </c>
    </row>
    <row r="623" spans="1:7" ht="12.5" x14ac:dyDescent="0.25">
      <c r="A623" s="27"/>
      <c r="B623" s="27"/>
      <c r="C623" s="27"/>
      <c r="D623" s="27"/>
      <c r="E623" s="27"/>
      <c r="F623" s="27" t="str">
        <f>IFERROR(VLOOKUP(A623,'Rede - Gerando Falcões '!A620:G1618,38,0),"")</f>
        <v/>
      </c>
      <c r="G623" s="27" t="str">
        <f ca="1">IFERROR(VLOOKUP(A623,'Tabela Categorização'!A:J,10,0),"")</f>
        <v/>
      </c>
    </row>
    <row r="624" spans="1:7" ht="12.5" x14ac:dyDescent="0.25">
      <c r="A624" s="27"/>
      <c r="B624" s="27"/>
      <c r="C624" s="27"/>
      <c r="D624" s="27"/>
      <c r="E624" s="27"/>
      <c r="F624" s="27" t="str">
        <f>IFERROR(VLOOKUP(A624,'Rede - Gerando Falcões '!A621:G1619,38,0),"")</f>
        <v/>
      </c>
      <c r="G624" s="27" t="str">
        <f ca="1">IFERROR(VLOOKUP(A624,'Tabela Categorização'!A:J,10,0),"")</f>
        <v/>
      </c>
    </row>
    <row r="625" spans="1:7" ht="12.5" x14ac:dyDescent="0.25">
      <c r="A625" s="27"/>
      <c r="B625" s="27"/>
      <c r="C625" s="27"/>
      <c r="D625" s="27"/>
      <c r="E625" s="27"/>
      <c r="F625" s="27" t="str">
        <f>IFERROR(VLOOKUP(A625,'Rede - Gerando Falcões '!A622:G1620,38,0),"")</f>
        <v/>
      </c>
      <c r="G625" s="27" t="str">
        <f ca="1">IFERROR(VLOOKUP(A625,'Tabela Categorização'!A:J,10,0),"")</f>
        <v/>
      </c>
    </row>
    <row r="626" spans="1:7" ht="12.5" x14ac:dyDescent="0.25">
      <c r="A626" s="27"/>
      <c r="B626" s="27"/>
      <c r="C626" s="27"/>
      <c r="D626" s="27"/>
      <c r="E626" s="27"/>
      <c r="F626" s="27" t="str">
        <f>IFERROR(VLOOKUP(A626,'Rede - Gerando Falcões '!A623:G1621,38,0),"")</f>
        <v/>
      </c>
      <c r="G626" s="27" t="str">
        <f ca="1">IFERROR(VLOOKUP(A626,'Tabela Categorização'!A:J,10,0),"")</f>
        <v/>
      </c>
    </row>
    <row r="627" spans="1:7" ht="12.5" x14ac:dyDescent="0.25">
      <c r="A627" s="27"/>
      <c r="B627" s="27"/>
      <c r="C627" s="27"/>
      <c r="D627" s="27"/>
      <c r="E627" s="27"/>
      <c r="F627" s="27" t="str">
        <f>IFERROR(VLOOKUP(A627,'Rede - Gerando Falcões '!A624:G1622,38,0),"")</f>
        <v/>
      </c>
      <c r="G627" s="27" t="str">
        <f ca="1">IFERROR(VLOOKUP(A627,'Tabela Categorização'!A:J,10,0),"")</f>
        <v/>
      </c>
    </row>
    <row r="628" spans="1:7" ht="12.5" x14ac:dyDescent="0.25">
      <c r="A628" s="27"/>
      <c r="B628" s="27"/>
      <c r="C628" s="27"/>
      <c r="D628" s="27"/>
      <c r="E628" s="27"/>
      <c r="F628" s="27" t="str">
        <f>IFERROR(VLOOKUP(A628,'Rede - Gerando Falcões '!A625:G1623,38,0),"")</f>
        <v/>
      </c>
      <c r="G628" s="27" t="str">
        <f ca="1">IFERROR(VLOOKUP(A628,'Tabela Categorização'!A:J,10,0),"")</f>
        <v/>
      </c>
    </row>
    <row r="629" spans="1:7" ht="12.5" x14ac:dyDescent="0.25">
      <c r="A629" s="27"/>
      <c r="B629" s="27"/>
      <c r="C629" s="27"/>
      <c r="D629" s="27"/>
      <c r="E629" s="27"/>
      <c r="F629" s="27" t="str">
        <f>IFERROR(VLOOKUP(A629,'Rede - Gerando Falcões '!A626:G1624,38,0),"")</f>
        <v/>
      </c>
      <c r="G629" s="27" t="str">
        <f ca="1">IFERROR(VLOOKUP(A629,'Tabela Categorização'!A:J,10,0),"")</f>
        <v/>
      </c>
    </row>
    <row r="630" spans="1:7" ht="12.5" x14ac:dyDescent="0.25">
      <c r="A630" s="27"/>
      <c r="B630" s="27"/>
      <c r="C630" s="27"/>
      <c r="D630" s="27"/>
      <c r="E630" s="27"/>
      <c r="F630" s="27" t="str">
        <f>IFERROR(VLOOKUP(A630,'Rede - Gerando Falcões '!A627:G1625,38,0),"")</f>
        <v/>
      </c>
      <c r="G630" s="27" t="str">
        <f ca="1">IFERROR(VLOOKUP(A630,'Tabela Categorização'!A:J,10,0),"")</f>
        <v/>
      </c>
    </row>
    <row r="631" spans="1:7" ht="12.5" x14ac:dyDescent="0.25">
      <c r="A631" s="27"/>
      <c r="B631" s="27"/>
      <c r="C631" s="27"/>
      <c r="D631" s="27"/>
      <c r="E631" s="27"/>
      <c r="F631" s="27" t="str">
        <f>IFERROR(VLOOKUP(A631,'Rede - Gerando Falcões '!A628:G1626,38,0),"")</f>
        <v/>
      </c>
      <c r="G631" s="27" t="str">
        <f ca="1">IFERROR(VLOOKUP(A631,'Tabela Categorização'!A:J,10,0),"")</f>
        <v/>
      </c>
    </row>
    <row r="632" spans="1:7" ht="12.5" x14ac:dyDescent="0.25">
      <c r="A632" s="27"/>
      <c r="B632" s="27"/>
      <c r="C632" s="27"/>
      <c r="D632" s="27"/>
      <c r="E632" s="27"/>
      <c r="F632" s="27" t="str">
        <f>IFERROR(VLOOKUP(A632,'Rede - Gerando Falcões '!A629:G1627,38,0),"")</f>
        <v/>
      </c>
      <c r="G632" s="27" t="str">
        <f ca="1">IFERROR(VLOOKUP(A632,'Tabela Categorização'!A:J,10,0),"")</f>
        <v/>
      </c>
    </row>
    <row r="633" spans="1:7" ht="12.5" x14ac:dyDescent="0.25">
      <c r="A633" s="27"/>
      <c r="B633" s="27"/>
      <c r="C633" s="27"/>
      <c r="D633" s="27"/>
      <c r="E633" s="27"/>
      <c r="F633" s="27" t="str">
        <f>IFERROR(VLOOKUP(A633,'Rede - Gerando Falcões '!A630:G1628,38,0),"")</f>
        <v/>
      </c>
      <c r="G633" s="27" t="str">
        <f ca="1">IFERROR(VLOOKUP(A633,'Tabela Categorização'!A:J,10,0),"")</f>
        <v/>
      </c>
    </row>
    <row r="634" spans="1:7" ht="12.5" x14ac:dyDescent="0.25">
      <c r="A634" s="27"/>
      <c r="B634" s="27"/>
      <c r="C634" s="27"/>
      <c r="D634" s="27"/>
      <c r="E634" s="27"/>
      <c r="F634" s="27" t="str">
        <f>IFERROR(VLOOKUP(A634,'Rede - Gerando Falcões '!A631:G1629,38,0),"")</f>
        <v/>
      </c>
      <c r="G634" s="27" t="str">
        <f ca="1">IFERROR(VLOOKUP(A634,'Tabela Categorização'!A:J,10,0),"")</f>
        <v/>
      </c>
    </row>
    <row r="635" spans="1:7" ht="12.5" x14ac:dyDescent="0.25">
      <c r="A635" s="27"/>
      <c r="B635" s="27"/>
      <c r="C635" s="27"/>
      <c r="D635" s="27"/>
      <c r="E635" s="27"/>
      <c r="F635" s="27" t="str">
        <f>IFERROR(VLOOKUP(A635,'Rede - Gerando Falcões '!A632:G1630,38,0),"")</f>
        <v/>
      </c>
      <c r="G635" s="27" t="str">
        <f ca="1">IFERROR(VLOOKUP(A635,'Tabela Categorização'!A:J,10,0),"")</f>
        <v/>
      </c>
    </row>
    <row r="636" spans="1:7" ht="12.5" x14ac:dyDescent="0.25">
      <c r="A636" s="27"/>
      <c r="B636" s="27"/>
      <c r="C636" s="27"/>
      <c r="D636" s="27"/>
      <c r="E636" s="27"/>
      <c r="F636" s="27" t="str">
        <f>IFERROR(VLOOKUP(A636,'Rede - Gerando Falcões '!A633:G1631,38,0),"")</f>
        <v/>
      </c>
      <c r="G636" s="27" t="str">
        <f ca="1">IFERROR(VLOOKUP(A636,'Tabela Categorização'!A:J,10,0),"")</f>
        <v/>
      </c>
    </row>
    <row r="637" spans="1:7" ht="12.5" x14ac:dyDescent="0.25">
      <c r="A637" s="27"/>
      <c r="B637" s="27"/>
      <c r="C637" s="27"/>
      <c r="D637" s="27"/>
      <c r="E637" s="27"/>
      <c r="F637" s="27" t="str">
        <f>IFERROR(VLOOKUP(A637,'Rede - Gerando Falcões '!A634:G1632,38,0),"")</f>
        <v/>
      </c>
      <c r="G637" s="27" t="str">
        <f ca="1">IFERROR(VLOOKUP(A637,'Tabela Categorização'!A:J,10,0),"")</f>
        <v/>
      </c>
    </row>
    <row r="638" spans="1:7" ht="12.5" x14ac:dyDescent="0.25">
      <c r="A638" s="27"/>
      <c r="B638" s="27"/>
      <c r="C638" s="27"/>
      <c r="D638" s="27"/>
      <c r="E638" s="27"/>
      <c r="F638" s="27" t="str">
        <f>IFERROR(VLOOKUP(A638,'Rede - Gerando Falcões '!A635:G1633,38,0),"")</f>
        <v/>
      </c>
      <c r="G638" s="27" t="str">
        <f ca="1">IFERROR(VLOOKUP(A638,'Tabela Categorização'!A:J,10,0),"")</f>
        <v/>
      </c>
    </row>
    <row r="639" spans="1:7" ht="12.5" x14ac:dyDescent="0.25">
      <c r="A639" s="27"/>
      <c r="B639" s="27"/>
      <c r="C639" s="27"/>
      <c r="D639" s="27"/>
      <c r="E639" s="27"/>
      <c r="F639" s="27" t="str">
        <f>IFERROR(VLOOKUP(A639,'Rede - Gerando Falcões '!A636:G1634,38,0),"")</f>
        <v/>
      </c>
      <c r="G639" s="27" t="str">
        <f ca="1">IFERROR(VLOOKUP(A639,'Tabela Categorização'!A:J,10,0),"")</f>
        <v/>
      </c>
    </row>
    <row r="640" spans="1:7" ht="12.5" x14ac:dyDescent="0.25">
      <c r="A640" s="27"/>
      <c r="B640" s="27"/>
      <c r="C640" s="27"/>
      <c r="D640" s="27"/>
      <c r="E640" s="27"/>
      <c r="F640" s="27" t="str">
        <f>IFERROR(VLOOKUP(A640,'Rede - Gerando Falcões '!A637:G1635,38,0),"")</f>
        <v/>
      </c>
      <c r="G640" s="27" t="str">
        <f ca="1">IFERROR(VLOOKUP(A640,'Tabela Categorização'!A:J,10,0),"")</f>
        <v/>
      </c>
    </row>
    <row r="641" spans="1:7" ht="12.5" x14ac:dyDescent="0.25">
      <c r="A641" s="27"/>
      <c r="B641" s="27"/>
      <c r="C641" s="27"/>
      <c r="D641" s="27"/>
      <c r="E641" s="27"/>
      <c r="F641" s="27" t="str">
        <f>IFERROR(VLOOKUP(A641,'Rede - Gerando Falcões '!A638:G1636,38,0),"")</f>
        <v/>
      </c>
      <c r="G641" s="27" t="str">
        <f ca="1">IFERROR(VLOOKUP(A641,'Tabela Categorização'!A:J,10,0),"")</f>
        <v/>
      </c>
    </row>
    <row r="642" spans="1:7" ht="12.5" x14ac:dyDescent="0.25">
      <c r="A642" s="27"/>
      <c r="B642" s="27"/>
      <c r="C642" s="27"/>
      <c r="D642" s="27"/>
      <c r="E642" s="27"/>
      <c r="F642" s="27" t="str">
        <f>IFERROR(VLOOKUP(A642,'Rede - Gerando Falcões '!A639:G1637,38,0),"")</f>
        <v/>
      </c>
      <c r="G642" s="27" t="str">
        <f ca="1">IFERROR(VLOOKUP(A642,'Tabela Categorização'!A:J,10,0),"")</f>
        <v/>
      </c>
    </row>
    <row r="643" spans="1:7" ht="12.5" x14ac:dyDescent="0.25">
      <c r="A643" s="27"/>
      <c r="B643" s="27"/>
      <c r="C643" s="27"/>
      <c r="D643" s="27"/>
      <c r="E643" s="27"/>
      <c r="F643" s="27" t="str">
        <f>IFERROR(VLOOKUP(A643,'Rede - Gerando Falcões '!A640:G1638,38,0),"")</f>
        <v/>
      </c>
      <c r="G643" s="27" t="str">
        <f ca="1">IFERROR(VLOOKUP(A643,'Tabela Categorização'!A:J,10,0),"")</f>
        <v/>
      </c>
    </row>
    <row r="644" spans="1:7" ht="12.5" x14ac:dyDescent="0.25">
      <c r="A644" s="27"/>
      <c r="B644" s="27"/>
      <c r="C644" s="27"/>
      <c r="D644" s="27"/>
      <c r="E644" s="27"/>
      <c r="F644" s="27" t="str">
        <f>IFERROR(VLOOKUP(A644,'Rede - Gerando Falcões '!A641:G1639,38,0),"")</f>
        <v/>
      </c>
      <c r="G644" s="27" t="str">
        <f ca="1">IFERROR(VLOOKUP(A644,'Tabela Categorização'!A:J,10,0),"")</f>
        <v/>
      </c>
    </row>
    <row r="645" spans="1:7" ht="12.5" x14ac:dyDescent="0.25">
      <c r="A645" s="27"/>
      <c r="B645" s="27"/>
      <c r="C645" s="27"/>
      <c r="D645" s="27"/>
      <c r="E645" s="27"/>
      <c r="F645" s="27" t="str">
        <f>IFERROR(VLOOKUP(A645,'Rede - Gerando Falcões '!A642:G1640,38,0),"")</f>
        <v/>
      </c>
      <c r="G645" s="27" t="str">
        <f ca="1">IFERROR(VLOOKUP(A645,'Tabela Categorização'!A:J,10,0),"")</f>
        <v/>
      </c>
    </row>
    <row r="646" spans="1:7" ht="12.5" x14ac:dyDescent="0.25">
      <c r="A646" s="27"/>
      <c r="B646" s="27"/>
      <c r="C646" s="27"/>
      <c r="D646" s="27"/>
      <c r="E646" s="27"/>
      <c r="F646" s="27" t="str">
        <f>IFERROR(VLOOKUP(A646,'Rede - Gerando Falcões '!A643:G1641,38,0),"")</f>
        <v/>
      </c>
      <c r="G646" s="27" t="str">
        <f ca="1">IFERROR(VLOOKUP(A646,'Tabela Categorização'!A:J,10,0),"")</f>
        <v/>
      </c>
    </row>
    <row r="647" spans="1:7" ht="12.5" x14ac:dyDescent="0.25">
      <c r="A647" s="27"/>
      <c r="B647" s="27"/>
      <c r="C647" s="27"/>
      <c r="D647" s="27"/>
      <c r="E647" s="27"/>
      <c r="F647" s="27" t="str">
        <f>IFERROR(VLOOKUP(A647,'Rede - Gerando Falcões '!A644:G1642,38,0),"")</f>
        <v/>
      </c>
      <c r="G647" s="27" t="str">
        <f ca="1">IFERROR(VLOOKUP(A647,'Tabela Categorização'!A:J,10,0),"")</f>
        <v/>
      </c>
    </row>
    <row r="648" spans="1:7" ht="12.5" x14ac:dyDescent="0.25">
      <c r="A648" s="27"/>
      <c r="B648" s="27"/>
      <c r="C648" s="27"/>
      <c r="D648" s="27"/>
      <c r="E648" s="27"/>
      <c r="F648" s="27" t="str">
        <f>IFERROR(VLOOKUP(A648,'Rede - Gerando Falcões '!A645:G1643,38,0),"")</f>
        <v/>
      </c>
      <c r="G648" s="27" t="str">
        <f ca="1">IFERROR(VLOOKUP(A648,'Tabela Categorização'!A:J,10,0),"")</f>
        <v/>
      </c>
    </row>
    <row r="649" spans="1:7" ht="12.5" x14ac:dyDescent="0.25">
      <c r="A649" s="27"/>
      <c r="B649" s="27"/>
      <c r="C649" s="27"/>
      <c r="D649" s="27"/>
      <c r="E649" s="27"/>
      <c r="F649" s="27" t="str">
        <f>IFERROR(VLOOKUP(A649,'Rede - Gerando Falcões '!A646:G1644,38,0),"")</f>
        <v/>
      </c>
      <c r="G649" s="27" t="str">
        <f ca="1">IFERROR(VLOOKUP(A649,'Tabela Categorização'!A:J,10,0),"")</f>
        <v/>
      </c>
    </row>
    <row r="650" spans="1:7" ht="12.5" x14ac:dyDescent="0.25">
      <c r="A650" s="27"/>
      <c r="B650" s="27"/>
      <c r="C650" s="27"/>
      <c r="D650" s="27"/>
      <c r="E650" s="27"/>
      <c r="F650" s="27" t="str">
        <f>IFERROR(VLOOKUP(A650,'Rede - Gerando Falcões '!A647:G1645,38,0),"")</f>
        <v/>
      </c>
      <c r="G650" s="27" t="str">
        <f ca="1">IFERROR(VLOOKUP(A650,'Tabela Categorização'!A:J,10,0),"")</f>
        <v/>
      </c>
    </row>
    <row r="651" spans="1:7" ht="12.5" x14ac:dyDescent="0.25">
      <c r="A651" s="27"/>
      <c r="B651" s="27"/>
      <c r="C651" s="27"/>
      <c r="D651" s="27"/>
      <c r="E651" s="27"/>
      <c r="F651" s="27" t="str">
        <f>IFERROR(VLOOKUP(A651,'Rede - Gerando Falcões '!A648:G1646,38,0),"")</f>
        <v/>
      </c>
      <c r="G651" s="27" t="str">
        <f ca="1">IFERROR(VLOOKUP(A651,'Tabela Categorização'!A:J,10,0),"")</f>
        <v/>
      </c>
    </row>
    <row r="652" spans="1:7" ht="12.5" x14ac:dyDescent="0.25">
      <c r="A652" s="27"/>
      <c r="B652" s="27"/>
      <c r="C652" s="27"/>
      <c r="D652" s="27"/>
      <c r="E652" s="27"/>
      <c r="F652" s="27" t="str">
        <f>IFERROR(VLOOKUP(A652,'Rede - Gerando Falcões '!A649:G1647,38,0),"")</f>
        <v/>
      </c>
      <c r="G652" s="27" t="str">
        <f ca="1">IFERROR(VLOOKUP(A652,'Tabela Categorização'!A:J,10,0),"")</f>
        <v/>
      </c>
    </row>
    <row r="653" spans="1:7" ht="12.5" x14ac:dyDescent="0.25">
      <c r="A653" s="27"/>
      <c r="B653" s="27"/>
      <c r="C653" s="27"/>
      <c r="D653" s="27"/>
      <c r="E653" s="27"/>
      <c r="F653" s="27" t="str">
        <f>IFERROR(VLOOKUP(A653,'Rede - Gerando Falcões '!A650:G1648,38,0),"")</f>
        <v/>
      </c>
      <c r="G653" s="27" t="str">
        <f ca="1">IFERROR(VLOOKUP(A653,'Tabela Categorização'!A:J,10,0),"")</f>
        <v/>
      </c>
    </row>
    <row r="654" spans="1:7" ht="12.5" x14ac:dyDescent="0.25">
      <c r="A654" s="27"/>
      <c r="B654" s="27"/>
      <c r="C654" s="27"/>
      <c r="D654" s="27"/>
      <c r="E654" s="27"/>
      <c r="F654" s="27" t="str">
        <f>IFERROR(VLOOKUP(A654,'Rede - Gerando Falcões '!A651:G1649,38,0),"")</f>
        <v/>
      </c>
      <c r="G654" s="27" t="str">
        <f ca="1">IFERROR(VLOOKUP(A654,'Tabela Categorização'!A:J,10,0),"")</f>
        <v/>
      </c>
    </row>
    <row r="655" spans="1:7" ht="12.5" x14ac:dyDescent="0.25">
      <c r="A655" s="27"/>
      <c r="B655" s="27"/>
      <c r="C655" s="27"/>
      <c r="D655" s="27"/>
      <c r="E655" s="27"/>
      <c r="F655" s="27" t="str">
        <f>IFERROR(VLOOKUP(A655,'Rede - Gerando Falcões '!A652:G1650,38,0),"")</f>
        <v/>
      </c>
      <c r="G655" s="27" t="str">
        <f ca="1">IFERROR(VLOOKUP(A655,'Tabela Categorização'!A:J,10,0),"")</f>
        <v/>
      </c>
    </row>
    <row r="656" spans="1:7" ht="12.5" x14ac:dyDescent="0.25">
      <c r="A656" s="27"/>
      <c r="B656" s="27"/>
      <c r="C656" s="27"/>
      <c r="D656" s="27"/>
      <c r="E656" s="27"/>
      <c r="F656" s="27" t="str">
        <f>IFERROR(VLOOKUP(A656,'Rede - Gerando Falcões '!A653:G1651,38,0),"")</f>
        <v/>
      </c>
      <c r="G656" s="27" t="str">
        <f ca="1">IFERROR(VLOOKUP(A656,'Tabela Categorização'!A:J,10,0),"")</f>
        <v/>
      </c>
    </row>
    <row r="657" spans="1:7" ht="12.5" x14ac:dyDescent="0.25">
      <c r="A657" s="27"/>
      <c r="B657" s="27"/>
      <c r="C657" s="27"/>
      <c r="D657" s="27"/>
      <c r="E657" s="27"/>
      <c r="F657" s="27" t="str">
        <f>IFERROR(VLOOKUP(A657,'Rede - Gerando Falcões '!A654:G1652,38,0),"")</f>
        <v/>
      </c>
      <c r="G657" s="27" t="str">
        <f ca="1">IFERROR(VLOOKUP(A657,'Tabela Categorização'!A:J,10,0),"")</f>
        <v/>
      </c>
    </row>
    <row r="658" spans="1:7" ht="12.5" x14ac:dyDescent="0.25">
      <c r="A658" s="27"/>
      <c r="B658" s="27"/>
      <c r="C658" s="27"/>
      <c r="D658" s="27"/>
      <c r="E658" s="27"/>
      <c r="F658" s="27" t="str">
        <f>IFERROR(VLOOKUP(A658,'Rede - Gerando Falcões '!A655:G1653,38,0),"")</f>
        <v/>
      </c>
      <c r="G658" s="27" t="str">
        <f ca="1">IFERROR(VLOOKUP(A658,'Tabela Categorização'!A:J,10,0),"")</f>
        <v/>
      </c>
    </row>
    <row r="659" spans="1:7" ht="12.5" x14ac:dyDescent="0.25">
      <c r="A659" s="27"/>
      <c r="B659" s="27"/>
      <c r="C659" s="27"/>
      <c r="D659" s="27"/>
      <c r="E659" s="27"/>
      <c r="F659" s="27" t="str">
        <f>IFERROR(VLOOKUP(A659,'Rede - Gerando Falcões '!A656:G1654,38,0),"")</f>
        <v/>
      </c>
      <c r="G659" s="27" t="str">
        <f ca="1">IFERROR(VLOOKUP(A659,'Tabela Categorização'!A:J,10,0),"")</f>
        <v/>
      </c>
    </row>
    <row r="660" spans="1:7" ht="12.5" x14ac:dyDescent="0.25">
      <c r="A660" s="27"/>
      <c r="B660" s="27"/>
      <c r="C660" s="27"/>
      <c r="D660" s="27"/>
      <c r="E660" s="27"/>
      <c r="F660" s="27" t="str">
        <f>IFERROR(VLOOKUP(A660,'Rede - Gerando Falcões '!A657:G1655,38,0),"")</f>
        <v/>
      </c>
      <c r="G660" s="27" t="str">
        <f ca="1">IFERROR(VLOOKUP(A660,'Tabela Categorização'!A:J,10,0),"")</f>
        <v/>
      </c>
    </row>
    <row r="661" spans="1:7" ht="12.5" x14ac:dyDescent="0.25">
      <c r="A661" s="27"/>
      <c r="B661" s="27"/>
      <c r="C661" s="27"/>
      <c r="D661" s="27"/>
      <c r="E661" s="27"/>
      <c r="F661" s="27" t="str">
        <f>IFERROR(VLOOKUP(A661,'Rede - Gerando Falcões '!A658:G1656,38,0),"")</f>
        <v/>
      </c>
      <c r="G661" s="27" t="str">
        <f ca="1">IFERROR(VLOOKUP(A661,'Tabela Categorização'!A:J,10,0),"")</f>
        <v/>
      </c>
    </row>
    <row r="662" spans="1:7" ht="12.5" x14ac:dyDescent="0.25">
      <c r="A662" s="27"/>
      <c r="B662" s="27"/>
      <c r="C662" s="27"/>
      <c r="D662" s="27"/>
      <c r="E662" s="27"/>
      <c r="F662" s="27" t="str">
        <f>IFERROR(VLOOKUP(A662,'Rede - Gerando Falcões '!A659:G1657,38,0),"")</f>
        <v/>
      </c>
      <c r="G662" s="27" t="str">
        <f ca="1">IFERROR(VLOOKUP(A662,'Tabela Categorização'!A:J,10,0),"")</f>
        <v/>
      </c>
    </row>
    <row r="663" spans="1:7" ht="12.5" x14ac:dyDescent="0.25">
      <c r="A663" s="27"/>
      <c r="B663" s="27"/>
      <c r="C663" s="27"/>
      <c r="D663" s="27"/>
      <c r="E663" s="27"/>
      <c r="F663" s="27" t="str">
        <f>IFERROR(VLOOKUP(A663,'Rede - Gerando Falcões '!A660:G1658,38,0),"")</f>
        <v/>
      </c>
      <c r="G663" s="27" t="str">
        <f ca="1">IFERROR(VLOOKUP(A663,'Tabela Categorização'!A:J,10,0),"")</f>
        <v/>
      </c>
    </row>
    <row r="664" spans="1:7" ht="12.5" x14ac:dyDescent="0.25">
      <c r="A664" s="27"/>
      <c r="B664" s="27"/>
      <c r="C664" s="27"/>
      <c r="D664" s="27"/>
      <c r="E664" s="27"/>
      <c r="F664" s="27" t="str">
        <f>IFERROR(VLOOKUP(A664,'Rede - Gerando Falcões '!A661:G1659,38,0),"")</f>
        <v/>
      </c>
      <c r="G664" s="27" t="str">
        <f ca="1">IFERROR(VLOOKUP(A664,'Tabela Categorização'!A:J,10,0),"")</f>
        <v/>
      </c>
    </row>
    <row r="665" spans="1:7" ht="12.5" x14ac:dyDescent="0.25">
      <c r="A665" s="27"/>
      <c r="B665" s="27"/>
      <c r="C665" s="27"/>
      <c r="D665" s="27"/>
      <c r="E665" s="27"/>
      <c r="F665" s="27" t="str">
        <f>IFERROR(VLOOKUP(A665,'Rede - Gerando Falcões '!A662:G1660,38,0),"")</f>
        <v/>
      </c>
      <c r="G665" s="27" t="str">
        <f ca="1">IFERROR(VLOOKUP(A665,'Tabela Categorização'!A:J,10,0),"")</f>
        <v/>
      </c>
    </row>
    <row r="666" spans="1:7" ht="12.5" x14ac:dyDescent="0.25">
      <c r="A666" s="27"/>
      <c r="B666" s="27"/>
      <c r="C666" s="27"/>
      <c r="D666" s="27"/>
      <c r="E666" s="27"/>
      <c r="F666" s="27" t="str">
        <f>IFERROR(VLOOKUP(A666,'Rede - Gerando Falcões '!A663:G1661,38,0),"")</f>
        <v/>
      </c>
      <c r="G666" s="27" t="str">
        <f ca="1">IFERROR(VLOOKUP(A666,'Tabela Categorização'!A:J,10,0),"")</f>
        <v/>
      </c>
    </row>
    <row r="667" spans="1:7" ht="12.5" x14ac:dyDescent="0.25">
      <c r="A667" s="27"/>
      <c r="B667" s="27"/>
      <c r="C667" s="27"/>
      <c r="D667" s="27"/>
      <c r="E667" s="27"/>
      <c r="F667" s="27" t="str">
        <f>IFERROR(VLOOKUP(A667,'Rede - Gerando Falcões '!A664:G1662,38,0),"")</f>
        <v/>
      </c>
      <c r="G667" s="27" t="str">
        <f ca="1">IFERROR(VLOOKUP(A667,'Tabela Categorização'!A:J,10,0),"")</f>
        <v/>
      </c>
    </row>
    <row r="668" spans="1:7" ht="12.5" x14ac:dyDescent="0.25">
      <c r="A668" s="27"/>
      <c r="B668" s="27"/>
      <c r="C668" s="27"/>
      <c r="D668" s="27"/>
      <c r="E668" s="27"/>
      <c r="F668" s="27" t="str">
        <f>IFERROR(VLOOKUP(A668,'Rede - Gerando Falcões '!A665:G1663,38,0),"")</f>
        <v/>
      </c>
      <c r="G668" s="27" t="str">
        <f ca="1">IFERROR(VLOOKUP(A668,'Tabela Categorização'!A:J,10,0),"")</f>
        <v/>
      </c>
    </row>
    <row r="669" spans="1:7" ht="12.5" x14ac:dyDescent="0.25">
      <c r="A669" s="27"/>
      <c r="B669" s="27"/>
      <c r="C669" s="27"/>
      <c r="D669" s="27"/>
      <c r="E669" s="27"/>
      <c r="F669" s="27" t="str">
        <f>IFERROR(VLOOKUP(A669,'Rede - Gerando Falcões '!A666:G1664,38,0),"")</f>
        <v/>
      </c>
      <c r="G669" s="27" t="str">
        <f ca="1">IFERROR(VLOOKUP(A669,'Tabela Categorização'!A:J,10,0),"")</f>
        <v/>
      </c>
    </row>
    <row r="670" spans="1:7" ht="12.5" x14ac:dyDescent="0.25">
      <c r="A670" s="27"/>
      <c r="B670" s="27"/>
      <c r="C670" s="27"/>
      <c r="D670" s="27"/>
      <c r="E670" s="27"/>
      <c r="F670" s="27" t="str">
        <f>IFERROR(VLOOKUP(A670,'Rede - Gerando Falcões '!A667:G1665,38,0),"")</f>
        <v/>
      </c>
      <c r="G670" s="27" t="str">
        <f ca="1">IFERROR(VLOOKUP(A670,'Tabela Categorização'!A:J,10,0),"")</f>
        <v/>
      </c>
    </row>
    <row r="671" spans="1:7" ht="12.5" x14ac:dyDescent="0.25">
      <c r="A671" s="27"/>
      <c r="B671" s="27"/>
      <c r="C671" s="27"/>
      <c r="D671" s="27"/>
      <c r="E671" s="27"/>
      <c r="F671" s="27" t="str">
        <f>IFERROR(VLOOKUP(A671,'Rede - Gerando Falcões '!A668:G1666,38,0),"")</f>
        <v/>
      </c>
      <c r="G671" s="27" t="str">
        <f ca="1">IFERROR(VLOOKUP(A671,'Tabela Categorização'!A:J,10,0),"")</f>
        <v/>
      </c>
    </row>
    <row r="672" spans="1:7" ht="12.5" x14ac:dyDescent="0.25">
      <c r="A672" s="27"/>
      <c r="B672" s="27"/>
      <c r="C672" s="27"/>
      <c r="D672" s="27"/>
      <c r="E672" s="27"/>
      <c r="F672" s="27" t="str">
        <f>IFERROR(VLOOKUP(A672,'Rede - Gerando Falcões '!A669:G1667,38,0),"")</f>
        <v/>
      </c>
      <c r="G672" s="27" t="str">
        <f ca="1">IFERROR(VLOOKUP(A672,'Tabela Categorização'!A:J,10,0),"")</f>
        <v/>
      </c>
    </row>
    <row r="673" spans="1:7" ht="12.5" x14ac:dyDescent="0.25">
      <c r="A673" s="27"/>
      <c r="B673" s="27"/>
      <c r="C673" s="27"/>
      <c r="D673" s="27"/>
      <c r="E673" s="27"/>
      <c r="F673" s="27" t="str">
        <f>IFERROR(VLOOKUP(A673,'Rede - Gerando Falcões '!A670:G1668,38,0),"")</f>
        <v/>
      </c>
      <c r="G673" s="27" t="str">
        <f ca="1">IFERROR(VLOOKUP(A673,'Tabela Categorização'!A:J,10,0),"")</f>
        <v/>
      </c>
    </row>
    <row r="674" spans="1:7" ht="12.5" x14ac:dyDescent="0.25">
      <c r="A674" s="27"/>
      <c r="B674" s="27"/>
      <c r="C674" s="27"/>
      <c r="D674" s="27"/>
      <c r="E674" s="27"/>
      <c r="F674" s="27" t="str">
        <f>IFERROR(VLOOKUP(A674,'Rede - Gerando Falcões '!A671:G1669,38,0),"")</f>
        <v/>
      </c>
      <c r="G674" s="27" t="str">
        <f ca="1">IFERROR(VLOOKUP(A674,'Tabela Categorização'!A:J,10,0),"")</f>
        <v/>
      </c>
    </row>
    <row r="675" spans="1:7" ht="12.5" x14ac:dyDescent="0.25">
      <c r="A675" s="27"/>
      <c r="B675" s="27"/>
      <c r="C675" s="27"/>
      <c r="D675" s="27"/>
      <c r="E675" s="27"/>
      <c r="F675" s="27" t="str">
        <f>IFERROR(VLOOKUP(A675,'Rede - Gerando Falcões '!A672:G1670,38,0),"")</f>
        <v/>
      </c>
      <c r="G675" s="27" t="str">
        <f ca="1">IFERROR(VLOOKUP(A675,'Tabela Categorização'!A:J,10,0),"")</f>
        <v/>
      </c>
    </row>
    <row r="676" spans="1:7" ht="12.5" x14ac:dyDescent="0.25">
      <c r="A676" s="27"/>
      <c r="B676" s="27"/>
      <c r="C676" s="27"/>
      <c r="D676" s="27"/>
      <c r="E676" s="27"/>
      <c r="F676" s="27" t="str">
        <f>IFERROR(VLOOKUP(A676,'Rede - Gerando Falcões '!A673:G1671,38,0),"")</f>
        <v/>
      </c>
      <c r="G676" s="27" t="str">
        <f ca="1">IFERROR(VLOOKUP(A676,'Tabela Categorização'!A:J,10,0),"")</f>
        <v/>
      </c>
    </row>
    <row r="677" spans="1:7" ht="12.5" x14ac:dyDescent="0.25">
      <c r="A677" s="27"/>
      <c r="B677" s="27"/>
      <c r="C677" s="27"/>
      <c r="D677" s="27"/>
      <c r="E677" s="27"/>
      <c r="F677" s="27" t="str">
        <f>IFERROR(VLOOKUP(A677,'Rede - Gerando Falcões '!A674:G1672,38,0),"")</f>
        <v/>
      </c>
      <c r="G677" s="27" t="str">
        <f ca="1">IFERROR(VLOOKUP(A677,'Tabela Categorização'!A:J,10,0),"")</f>
        <v/>
      </c>
    </row>
    <row r="678" spans="1:7" ht="12.5" x14ac:dyDescent="0.25">
      <c r="A678" s="27"/>
      <c r="B678" s="27"/>
      <c r="C678" s="27"/>
      <c r="D678" s="27"/>
      <c r="E678" s="27"/>
      <c r="F678" s="27" t="str">
        <f>IFERROR(VLOOKUP(A678,'Rede - Gerando Falcões '!A675:G1673,38,0),"")</f>
        <v/>
      </c>
      <c r="G678" s="27" t="str">
        <f ca="1">IFERROR(VLOOKUP(A678,'Tabela Categorização'!A:J,10,0),"")</f>
        <v/>
      </c>
    </row>
    <row r="679" spans="1:7" ht="12.5" x14ac:dyDescent="0.25">
      <c r="A679" s="27"/>
      <c r="B679" s="27"/>
      <c r="C679" s="27"/>
      <c r="D679" s="27"/>
      <c r="E679" s="27"/>
      <c r="F679" s="27" t="str">
        <f>IFERROR(VLOOKUP(A679,'Rede - Gerando Falcões '!A676:G1674,38,0),"")</f>
        <v/>
      </c>
      <c r="G679" s="27" t="str">
        <f ca="1">IFERROR(VLOOKUP(A679,'Tabela Categorização'!A:J,10,0),"")</f>
        <v/>
      </c>
    </row>
    <row r="680" spans="1:7" ht="12.5" x14ac:dyDescent="0.25">
      <c r="A680" s="27"/>
      <c r="B680" s="27"/>
      <c r="C680" s="27"/>
      <c r="D680" s="27"/>
      <c r="E680" s="27"/>
      <c r="F680" s="27" t="str">
        <f>IFERROR(VLOOKUP(A680,'Rede - Gerando Falcões '!A677:G1675,38,0),"")</f>
        <v/>
      </c>
      <c r="G680" s="27" t="str">
        <f ca="1">IFERROR(VLOOKUP(A680,'Tabela Categorização'!A:J,10,0),"")</f>
        <v/>
      </c>
    </row>
    <row r="681" spans="1:7" ht="12.5" x14ac:dyDescent="0.25">
      <c r="A681" s="27"/>
      <c r="B681" s="27"/>
      <c r="C681" s="27"/>
      <c r="D681" s="27"/>
      <c r="E681" s="27"/>
      <c r="F681" s="27" t="str">
        <f>IFERROR(VLOOKUP(A681,'Rede - Gerando Falcões '!A678:G1676,38,0),"")</f>
        <v/>
      </c>
      <c r="G681" s="27" t="str">
        <f ca="1">IFERROR(VLOOKUP(A681,'Tabela Categorização'!A:J,10,0),"")</f>
        <v/>
      </c>
    </row>
    <row r="682" spans="1:7" ht="12.5" x14ac:dyDescent="0.25">
      <c r="A682" s="27"/>
      <c r="B682" s="27"/>
      <c r="C682" s="27"/>
      <c r="D682" s="27"/>
      <c r="E682" s="27"/>
      <c r="F682" s="27" t="str">
        <f>IFERROR(VLOOKUP(A682,'Rede - Gerando Falcões '!A679:G1677,38,0),"")</f>
        <v/>
      </c>
      <c r="G682" s="27" t="str">
        <f ca="1">IFERROR(VLOOKUP(A682,'Tabela Categorização'!A:J,10,0),"")</f>
        <v/>
      </c>
    </row>
    <row r="683" spans="1:7" ht="12.5" x14ac:dyDescent="0.25">
      <c r="A683" s="27"/>
      <c r="B683" s="27"/>
      <c r="C683" s="27"/>
      <c r="D683" s="27"/>
      <c r="E683" s="27"/>
      <c r="F683" s="27" t="str">
        <f>IFERROR(VLOOKUP(A683,'Rede - Gerando Falcões '!A680:G1678,38,0),"")</f>
        <v/>
      </c>
      <c r="G683" s="27" t="str">
        <f ca="1">IFERROR(VLOOKUP(A683,'Tabela Categorização'!A:J,10,0),"")</f>
        <v/>
      </c>
    </row>
    <row r="684" spans="1:7" ht="12.5" x14ac:dyDescent="0.25">
      <c r="A684" s="27"/>
      <c r="B684" s="27"/>
      <c r="C684" s="27"/>
      <c r="D684" s="27"/>
      <c r="E684" s="27"/>
      <c r="F684" s="27" t="str">
        <f>IFERROR(VLOOKUP(A684,'Rede - Gerando Falcões '!A681:G1679,38,0),"")</f>
        <v/>
      </c>
      <c r="G684" s="27" t="str">
        <f ca="1">IFERROR(VLOOKUP(A684,'Tabela Categorização'!A:J,10,0),"")</f>
        <v/>
      </c>
    </row>
    <row r="685" spans="1:7" ht="12.5" x14ac:dyDescent="0.25">
      <c r="A685" s="27"/>
      <c r="B685" s="27"/>
      <c r="C685" s="27"/>
      <c r="D685" s="27"/>
      <c r="E685" s="27"/>
      <c r="F685" s="27" t="str">
        <f>IFERROR(VLOOKUP(A685,'Rede - Gerando Falcões '!A682:G1680,38,0),"")</f>
        <v/>
      </c>
      <c r="G685" s="27" t="str">
        <f ca="1">IFERROR(VLOOKUP(A685,'Tabela Categorização'!A:J,10,0),"")</f>
        <v/>
      </c>
    </row>
    <row r="686" spans="1:7" ht="12.5" x14ac:dyDescent="0.25">
      <c r="A686" s="27"/>
      <c r="B686" s="27"/>
      <c r="C686" s="27"/>
      <c r="D686" s="27"/>
      <c r="E686" s="27"/>
      <c r="F686" s="27" t="str">
        <f>IFERROR(VLOOKUP(A686,'Rede - Gerando Falcões '!A683:G1681,38,0),"")</f>
        <v/>
      </c>
      <c r="G686" s="27" t="str">
        <f ca="1">IFERROR(VLOOKUP(A686,'Tabela Categorização'!A:J,10,0),"")</f>
        <v/>
      </c>
    </row>
    <row r="687" spans="1:7" ht="12.5" x14ac:dyDescent="0.25">
      <c r="A687" s="27"/>
      <c r="B687" s="27"/>
      <c r="C687" s="27"/>
      <c r="D687" s="27"/>
      <c r="E687" s="27"/>
      <c r="F687" s="27" t="str">
        <f>IFERROR(VLOOKUP(A687,'Rede - Gerando Falcões '!A684:G1682,38,0),"")</f>
        <v/>
      </c>
      <c r="G687" s="27" t="str">
        <f ca="1">IFERROR(VLOOKUP(A687,'Tabela Categorização'!A:J,10,0),"")</f>
        <v/>
      </c>
    </row>
    <row r="688" spans="1:7" ht="12.5" x14ac:dyDescent="0.25">
      <c r="A688" s="27"/>
      <c r="B688" s="27"/>
      <c r="C688" s="27"/>
      <c r="D688" s="27"/>
      <c r="E688" s="27"/>
      <c r="F688" s="27" t="str">
        <f>IFERROR(VLOOKUP(A688,'Rede - Gerando Falcões '!A685:G1683,38,0),"")</f>
        <v/>
      </c>
      <c r="G688" s="27" t="str">
        <f ca="1">IFERROR(VLOOKUP(A688,'Tabela Categorização'!A:J,10,0),"")</f>
        <v/>
      </c>
    </row>
    <row r="689" spans="1:7" ht="12.5" x14ac:dyDescent="0.25">
      <c r="A689" s="27"/>
      <c r="B689" s="27"/>
      <c r="C689" s="27"/>
      <c r="D689" s="27"/>
      <c r="E689" s="27"/>
      <c r="F689" s="27" t="str">
        <f>IFERROR(VLOOKUP(A689,'Rede - Gerando Falcões '!A686:G1684,38,0),"")</f>
        <v/>
      </c>
      <c r="G689" s="27" t="str">
        <f ca="1">IFERROR(VLOOKUP(A689,'Tabela Categorização'!A:J,10,0),"")</f>
        <v/>
      </c>
    </row>
    <row r="690" spans="1:7" ht="12.5" x14ac:dyDescent="0.25">
      <c r="A690" s="27"/>
      <c r="B690" s="27"/>
      <c r="C690" s="27"/>
      <c r="D690" s="27"/>
      <c r="E690" s="27"/>
      <c r="F690" s="27" t="str">
        <f>IFERROR(VLOOKUP(A690,'Rede - Gerando Falcões '!A687:G1685,38,0),"")</f>
        <v/>
      </c>
      <c r="G690" s="27" t="str">
        <f ca="1">IFERROR(VLOOKUP(A690,'Tabela Categorização'!A:J,10,0),"")</f>
        <v/>
      </c>
    </row>
    <row r="691" spans="1:7" ht="12.5" x14ac:dyDescent="0.25">
      <c r="A691" s="27"/>
      <c r="B691" s="27"/>
      <c r="C691" s="27"/>
      <c r="D691" s="27"/>
      <c r="E691" s="27"/>
      <c r="F691" s="27" t="str">
        <f>IFERROR(VLOOKUP(A691,'Rede - Gerando Falcões '!A688:G1686,38,0),"")</f>
        <v/>
      </c>
      <c r="G691" s="27" t="str">
        <f ca="1">IFERROR(VLOOKUP(A691,'Tabela Categorização'!A:J,10,0),"")</f>
        <v/>
      </c>
    </row>
    <row r="692" spans="1:7" ht="12.5" x14ac:dyDescent="0.25">
      <c r="A692" s="27"/>
      <c r="B692" s="27"/>
      <c r="C692" s="27"/>
      <c r="D692" s="27"/>
      <c r="E692" s="27"/>
      <c r="F692" s="27" t="str">
        <f>IFERROR(VLOOKUP(A692,'Rede - Gerando Falcões '!A689:G1687,38,0),"")</f>
        <v/>
      </c>
      <c r="G692" s="27" t="str">
        <f ca="1">IFERROR(VLOOKUP(A692,'Tabela Categorização'!A:J,10,0),"")</f>
        <v/>
      </c>
    </row>
    <row r="693" spans="1:7" ht="12.5" x14ac:dyDescent="0.25">
      <c r="A693" s="27"/>
      <c r="B693" s="27"/>
      <c r="C693" s="27"/>
      <c r="D693" s="27"/>
      <c r="E693" s="27"/>
      <c r="F693" s="27" t="str">
        <f>IFERROR(VLOOKUP(A693,'Rede - Gerando Falcões '!A690:G1688,38,0),"")</f>
        <v/>
      </c>
      <c r="G693" s="27" t="str">
        <f ca="1">IFERROR(VLOOKUP(A693,'Tabela Categorização'!A:J,10,0),"")</f>
        <v/>
      </c>
    </row>
    <row r="694" spans="1:7" ht="12.5" x14ac:dyDescent="0.25">
      <c r="A694" s="27"/>
      <c r="B694" s="27"/>
      <c r="C694" s="27"/>
      <c r="D694" s="27"/>
      <c r="E694" s="27"/>
      <c r="F694" s="27" t="str">
        <f>IFERROR(VLOOKUP(A694,'Rede - Gerando Falcões '!A691:G1689,38,0),"")</f>
        <v/>
      </c>
      <c r="G694" s="27" t="str">
        <f ca="1">IFERROR(VLOOKUP(A694,'Tabela Categorização'!A:J,10,0),"")</f>
        <v/>
      </c>
    </row>
    <row r="695" spans="1:7" ht="12.5" x14ac:dyDescent="0.25">
      <c r="A695" s="27"/>
      <c r="B695" s="27"/>
      <c r="C695" s="27"/>
      <c r="D695" s="27"/>
      <c r="E695" s="27"/>
      <c r="F695" s="27" t="str">
        <f>IFERROR(VLOOKUP(A695,'Rede - Gerando Falcões '!A692:G1690,38,0),"")</f>
        <v/>
      </c>
      <c r="G695" s="27" t="str">
        <f ca="1">IFERROR(VLOOKUP(A695,'Tabela Categorização'!A:J,10,0),"")</f>
        <v/>
      </c>
    </row>
    <row r="696" spans="1:7" ht="12.5" x14ac:dyDescent="0.25">
      <c r="A696" s="27"/>
      <c r="B696" s="27"/>
      <c r="C696" s="27"/>
      <c r="D696" s="27"/>
      <c r="E696" s="27"/>
      <c r="F696" s="27" t="str">
        <f>IFERROR(VLOOKUP(A696,'Rede - Gerando Falcões '!A693:G1691,38,0),"")</f>
        <v/>
      </c>
      <c r="G696" s="27" t="str">
        <f ca="1">IFERROR(VLOOKUP(A696,'Tabela Categorização'!A:J,10,0),"")</f>
        <v/>
      </c>
    </row>
    <row r="697" spans="1:7" ht="12.5" x14ac:dyDescent="0.25">
      <c r="A697" s="27"/>
      <c r="B697" s="27"/>
      <c r="C697" s="27"/>
      <c r="D697" s="27"/>
      <c r="E697" s="27"/>
      <c r="F697" s="27" t="str">
        <f>IFERROR(VLOOKUP(A697,'Rede - Gerando Falcões '!A694:G1692,38,0),"")</f>
        <v/>
      </c>
      <c r="G697" s="27" t="str">
        <f ca="1">IFERROR(VLOOKUP(A697,'Tabela Categorização'!A:J,10,0),"")</f>
        <v/>
      </c>
    </row>
    <row r="698" spans="1:7" ht="12.5" x14ac:dyDescent="0.25">
      <c r="A698" s="27"/>
      <c r="B698" s="27"/>
      <c r="C698" s="27"/>
      <c r="D698" s="27"/>
      <c r="E698" s="27"/>
      <c r="F698" s="27" t="str">
        <f>IFERROR(VLOOKUP(A698,'Rede - Gerando Falcões '!A695:G1693,38,0),"")</f>
        <v/>
      </c>
      <c r="G698" s="27" t="str">
        <f ca="1">IFERROR(VLOOKUP(A698,'Tabela Categorização'!A:J,10,0),"")</f>
        <v/>
      </c>
    </row>
    <row r="699" spans="1:7" ht="12.5" x14ac:dyDescent="0.25">
      <c r="A699" s="27"/>
      <c r="B699" s="27"/>
      <c r="C699" s="27"/>
      <c r="D699" s="27"/>
      <c r="E699" s="27"/>
      <c r="F699" s="27" t="str">
        <f>IFERROR(VLOOKUP(A699,'Rede - Gerando Falcões '!A696:G1694,38,0),"")</f>
        <v/>
      </c>
      <c r="G699" s="27" t="str">
        <f ca="1">IFERROR(VLOOKUP(A699,'Tabela Categorização'!A:J,10,0),"")</f>
        <v/>
      </c>
    </row>
    <row r="700" spans="1:7" ht="12.5" x14ac:dyDescent="0.25">
      <c r="A700" s="27"/>
      <c r="B700" s="27"/>
      <c r="C700" s="27"/>
      <c r="D700" s="27"/>
      <c r="E700" s="27"/>
      <c r="F700" s="27" t="str">
        <f>IFERROR(VLOOKUP(A700,'Rede - Gerando Falcões '!A697:G1695,38,0),"")</f>
        <v/>
      </c>
      <c r="G700" s="27" t="str">
        <f ca="1">IFERROR(VLOOKUP(A700,'Tabela Categorização'!A:J,10,0),"")</f>
        <v/>
      </c>
    </row>
    <row r="701" spans="1:7" ht="12.5" x14ac:dyDescent="0.25">
      <c r="A701" s="27"/>
      <c r="B701" s="27"/>
      <c r="C701" s="27"/>
      <c r="D701" s="27"/>
      <c r="E701" s="27"/>
      <c r="F701" s="27" t="str">
        <f>IFERROR(VLOOKUP(A701,'Rede - Gerando Falcões '!A698:G1696,38,0),"")</f>
        <v/>
      </c>
      <c r="G701" s="27" t="str">
        <f ca="1">IFERROR(VLOOKUP(A701,'Tabela Categorização'!A:J,10,0),"")</f>
        <v/>
      </c>
    </row>
    <row r="702" spans="1:7" ht="12.5" x14ac:dyDescent="0.25">
      <c r="A702" s="27"/>
      <c r="B702" s="27"/>
      <c r="C702" s="27"/>
      <c r="D702" s="27"/>
      <c r="E702" s="27"/>
      <c r="F702" s="27" t="str">
        <f>IFERROR(VLOOKUP(A702,'Rede - Gerando Falcões '!A699:G1697,38,0),"")</f>
        <v/>
      </c>
      <c r="G702" s="27" t="str">
        <f ca="1">IFERROR(VLOOKUP(A702,'Tabela Categorização'!A:J,10,0),"")</f>
        <v/>
      </c>
    </row>
    <row r="703" spans="1:7" ht="12.5" x14ac:dyDescent="0.25">
      <c r="A703" s="27"/>
      <c r="B703" s="27"/>
      <c r="C703" s="27"/>
      <c r="D703" s="27"/>
      <c r="E703" s="27"/>
      <c r="F703" s="27" t="str">
        <f>IFERROR(VLOOKUP(A703,'Rede - Gerando Falcões '!A700:G1698,38,0),"")</f>
        <v/>
      </c>
      <c r="G703" s="27" t="str">
        <f ca="1">IFERROR(VLOOKUP(A703,'Tabela Categorização'!A:J,10,0),"")</f>
        <v/>
      </c>
    </row>
    <row r="704" spans="1:7" ht="12.5" x14ac:dyDescent="0.25">
      <c r="A704" s="27"/>
      <c r="B704" s="27"/>
      <c r="C704" s="27"/>
      <c r="D704" s="27"/>
      <c r="E704" s="27"/>
      <c r="F704" s="27" t="str">
        <f>IFERROR(VLOOKUP(A704,'Rede - Gerando Falcões '!A701:G1699,38,0),"")</f>
        <v/>
      </c>
      <c r="G704" s="27" t="str">
        <f ca="1">IFERROR(VLOOKUP(A704,'Tabela Categorização'!A:J,10,0),"")</f>
        <v/>
      </c>
    </row>
    <row r="705" spans="1:7" ht="12.5" x14ac:dyDescent="0.25">
      <c r="A705" s="27"/>
      <c r="B705" s="27"/>
      <c r="C705" s="27"/>
      <c r="D705" s="27"/>
      <c r="E705" s="27"/>
      <c r="F705" s="27" t="str">
        <f>IFERROR(VLOOKUP(A705,'Rede - Gerando Falcões '!A702:G1700,38,0),"")</f>
        <v/>
      </c>
      <c r="G705" s="27" t="str">
        <f ca="1">IFERROR(VLOOKUP(A705,'Tabela Categorização'!A:J,10,0),"")</f>
        <v/>
      </c>
    </row>
    <row r="706" spans="1:7" ht="12.5" x14ac:dyDescent="0.25">
      <c r="A706" s="27"/>
      <c r="B706" s="27"/>
      <c r="C706" s="27"/>
      <c r="D706" s="27"/>
      <c r="E706" s="27"/>
      <c r="F706" s="27" t="str">
        <f>IFERROR(VLOOKUP(A706,'Rede - Gerando Falcões '!A703:G1701,38,0),"")</f>
        <v/>
      </c>
      <c r="G706" s="27" t="str">
        <f ca="1">IFERROR(VLOOKUP(A706,'Tabela Categorização'!A:J,10,0),"")</f>
        <v/>
      </c>
    </row>
    <row r="707" spans="1:7" ht="12.5" x14ac:dyDescent="0.25">
      <c r="A707" s="27"/>
      <c r="B707" s="27"/>
      <c r="C707" s="27"/>
      <c r="D707" s="27"/>
      <c r="E707" s="27"/>
      <c r="F707" s="27" t="str">
        <f>IFERROR(VLOOKUP(A707,'Rede - Gerando Falcões '!A704:G1702,38,0),"")</f>
        <v/>
      </c>
      <c r="G707" s="27" t="str">
        <f ca="1">IFERROR(VLOOKUP(A707,'Tabela Categorização'!A:J,10,0),"")</f>
        <v/>
      </c>
    </row>
    <row r="708" spans="1:7" ht="12.5" x14ac:dyDescent="0.25">
      <c r="A708" s="27"/>
      <c r="B708" s="27"/>
      <c r="C708" s="27"/>
      <c r="D708" s="27"/>
      <c r="E708" s="27"/>
      <c r="F708" s="27" t="str">
        <f>IFERROR(VLOOKUP(A708,'Rede - Gerando Falcões '!A705:G1703,38,0),"")</f>
        <v/>
      </c>
      <c r="G708" s="27" t="str">
        <f ca="1">IFERROR(VLOOKUP(A708,'Tabela Categorização'!A:J,10,0),"")</f>
        <v/>
      </c>
    </row>
    <row r="709" spans="1:7" ht="12.5" x14ac:dyDescent="0.25">
      <c r="A709" s="27"/>
      <c r="B709" s="27"/>
      <c r="C709" s="27"/>
      <c r="D709" s="27"/>
      <c r="E709" s="27"/>
      <c r="F709" s="27" t="str">
        <f>IFERROR(VLOOKUP(A709,'Rede - Gerando Falcões '!A706:G1704,38,0),"")</f>
        <v/>
      </c>
      <c r="G709" s="27" t="str">
        <f ca="1">IFERROR(VLOOKUP(A709,'Tabela Categorização'!A:J,10,0),"")</f>
        <v/>
      </c>
    </row>
    <row r="710" spans="1:7" ht="12.5" x14ac:dyDescent="0.25">
      <c r="A710" s="27"/>
      <c r="B710" s="27"/>
      <c r="C710" s="27"/>
      <c r="D710" s="27"/>
      <c r="E710" s="27"/>
      <c r="F710" s="27" t="str">
        <f>IFERROR(VLOOKUP(A710,'Rede - Gerando Falcões '!A707:G1705,38,0),"")</f>
        <v/>
      </c>
      <c r="G710" s="27" t="str">
        <f ca="1">IFERROR(VLOOKUP(A710,'Tabela Categorização'!A:J,10,0),"")</f>
        <v/>
      </c>
    </row>
    <row r="711" spans="1:7" ht="12.5" x14ac:dyDescent="0.25">
      <c r="A711" s="27"/>
      <c r="B711" s="27"/>
      <c r="C711" s="27"/>
      <c r="D711" s="27"/>
      <c r="E711" s="27"/>
      <c r="F711" s="27" t="str">
        <f>IFERROR(VLOOKUP(A711,'Rede - Gerando Falcões '!A708:G1706,38,0),"")</f>
        <v/>
      </c>
      <c r="G711" s="27" t="str">
        <f ca="1">IFERROR(VLOOKUP(A711,'Tabela Categorização'!A:J,10,0),"")</f>
        <v/>
      </c>
    </row>
    <row r="712" spans="1:7" ht="12.5" x14ac:dyDescent="0.25">
      <c r="A712" s="27"/>
      <c r="B712" s="27"/>
      <c r="C712" s="27"/>
      <c r="D712" s="27"/>
      <c r="E712" s="27"/>
      <c r="F712" s="27" t="str">
        <f>IFERROR(VLOOKUP(A712,'Rede - Gerando Falcões '!A709:G1707,38,0),"")</f>
        <v/>
      </c>
      <c r="G712" s="27" t="str">
        <f ca="1">IFERROR(VLOOKUP(A712,'Tabela Categorização'!A:J,10,0),"")</f>
        <v/>
      </c>
    </row>
    <row r="713" spans="1:7" ht="12.5" x14ac:dyDescent="0.25">
      <c r="A713" s="27"/>
      <c r="B713" s="27"/>
      <c r="C713" s="27"/>
      <c r="D713" s="27"/>
      <c r="E713" s="27"/>
      <c r="F713" s="27" t="str">
        <f>IFERROR(VLOOKUP(A713,'Rede - Gerando Falcões '!A710:G1708,38,0),"")</f>
        <v/>
      </c>
      <c r="G713" s="27" t="str">
        <f ca="1">IFERROR(VLOOKUP(A713,'Tabela Categorização'!A:J,10,0),"")</f>
        <v/>
      </c>
    </row>
    <row r="714" spans="1:7" ht="12.5" x14ac:dyDescent="0.25">
      <c r="A714" s="27"/>
      <c r="B714" s="27"/>
      <c r="C714" s="27"/>
      <c r="D714" s="27"/>
      <c r="E714" s="27"/>
      <c r="F714" s="27" t="str">
        <f>IFERROR(VLOOKUP(A714,'Rede - Gerando Falcões '!A711:G1709,38,0),"")</f>
        <v/>
      </c>
      <c r="G714" s="27" t="str">
        <f ca="1">IFERROR(VLOOKUP(A714,'Tabela Categorização'!A:J,10,0),"")</f>
        <v/>
      </c>
    </row>
    <row r="715" spans="1:7" ht="12.5" x14ac:dyDescent="0.25">
      <c r="A715" s="27"/>
      <c r="B715" s="27"/>
      <c r="C715" s="27"/>
      <c r="D715" s="27"/>
      <c r="E715" s="27"/>
      <c r="F715" s="27" t="str">
        <f>IFERROR(VLOOKUP(A715,'Rede - Gerando Falcões '!A712:G1710,38,0),"")</f>
        <v/>
      </c>
      <c r="G715" s="27" t="str">
        <f ca="1">IFERROR(VLOOKUP(A715,'Tabela Categorização'!A:J,10,0),"")</f>
        <v/>
      </c>
    </row>
    <row r="716" spans="1:7" ht="12.5" x14ac:dyDescent="0.25">
      <c r="A716" s="27"/>
      <c r="B716" s="27"/>
      <c r="C716" s="27"/>
      <c r="D716" s="27"/>
      <c r="E716" s="27"/>
      <c r="F716" s="27" t="str">
        <f>IFERROR(VLOOKUP(A716,'Rede - Gerando Falcões '!A713:G1711,38,0),"")</f>
        <v/>
      </c>
      <c r="G716" s="27" t="str">
        <f ca="1">IFERROR(VLOOKUP(A716,'Tabela Categorização'!A:J,10,0),"")</f>
        <v/>
      </c>
    </row>
    <row r="717" spans="1:7" ht="12.5" x14ac:dyDescent="0.25">
      <c r="A717" s="27"/>
      <c r="B717" s="27"/>
      <c r="C717" s="27"/>
      <c r="D717" s="27"/>
      <c r="E717" s="27"/>
      <c r="F717" s="27" t="str">
        <f>IFERROR(VLOOKUP(A717,'Rede - Gerando Falcões '!A714:G1712,38,0),"")</f>
        <v/>
      </c>
      <c r="G717" s="27" t="str">
        <f ca="1">IFERROR(VLOOKUP(A717,'Tabela Categorização'!A:J,10,0),"")</f>
        <v/>
      </c>
    </row>
    <row r="718" spans="1:7" ht="12.5" x14ac:dyDescent="0.25">
      <c r="A718" s="27"/>
      <c r="B718" s="27"/>
      <c r="C718" s="27"/>
      <c r="D718" s="27"/>
      <c r="E718" s="27"/>
      <c r="F718" s="27" t="str">
        <f>IFERROR(VLOOKUP(A718,'Rede - Gerando Falcões '!A715:G1713,38,0),"")</f>
        <v/>
      </c>
      <c r="G718" s="27" t="str">
        <f ca="1">IFERROR(VLOOKUP(A718,'Tabela Categorização'!A:J,10,0),"")</f>
        <v/>
      </c>
    </row>
    <row r="719" spans="1:7" ht="12.5" x14ac:dyDescent="0.25">
      <c r="A719" s="27"/>
      <c r="B719" s="27"/>
      <c r="C719" s="27"/>
      <c r="D719" s="27"/>
      <c r="E719" s="27"/>
      <c r="F719" s="27" t="str">
        <f>IFERROR(VLOOKUP(A719,'Rede - Gerando Falcões '!A716:G1714,38,0),"")</f>
        <v/>
      </c>
      <c r="G719" s="27" t="str">
        <f ca="1">IFERROR(VLOOKUP(A719,'Tabela Categorização'!A:J,10,0),"")</f>
        <v/>
      </c>
    </row>
    <row r="720" spans="1:7" ht="12.5" x14ac:dyDescent="0.25">
      <c r="A720" s="27"/>
      <c r="B720" s="27"/>
      <c r="C720" s="27"/>
      <c r="D720" s="27"/>
      <c r="E720" s="27"/>
      <c r="F720" s="27" t="str">
        <f>IFERROR(VLOOKUP(A720,'Rede - Gerando Falcões '!A717:G1715,38,0),"")</f>
        <v/>
      </c>
      <c r="G720" s="27" t="str">
        <f ca="1">IFERROR(VLOOKUP(A720,'Tabela Categorização'!A:J,10,0),"")</f>
        <v/>
      </c>
    </row>
    <row r="721" spans="1:7" ht="12.5" x14ac:dyDescent="0.25">
      <c r="A721" s="27"/>
      <c r="B721" s="27"/>
      <c r="C721" s="27"/>
      <c r="D721" s="27"/>
      <c r="E721" s="27"/>
      <c r="F721" s="27" t="str">
        <f>IFERROR(VLOOKUP(A721,'Rede - Gerando Falcões '!A718:G1716,38,0),"")</f>
        <v/>
      </c>
      <c r="G721" s="27" t="str">
        <f ca="1">IFERROR(VLOOKUP(A721,'Tabela Categorização'!A:J,10,0),"")</f>
        <v/>
      </c>
    </row>
    <row r="722" spans="1:7" ht="12.5" x14ac:dyDescent="0.25">
      <c r="A722" s="27"/>
      <c r="B722" s="27"/>
      <c r="C722" s="27"/>
      <c r="D722" s="27"/>
      <c r="E722" s="27"/>
      <c r="F722" s="27" t="str">
        <f>IFERROR(VLOOKUP(A722,'Rede - Gerando Falcões '!A719:G1717,38,0),"")</f>
        <v/>
      </c>
      <c r="G722" s="27" t="str">
        <f ca="1">IFERROR(VLOOKUP(A722,'Tabela Categorização'!A:J,10,0),"")</f>
        <v/>
      </c>
    </row>
    <row r="723" spans="1:7" ht="12.5" x14ac:dyDescent="0.25">
      <c r="A723" s="27"/>
      <c r="B723" s="27"/>
      <c r="C723" s="27"/>
      <c r="D723" s="27"/>
      <c r="E723" s="27"/>
      <c r="F723" s="27" t="str">
        <f>IFERROR(VLOOKUP(A723,'Rede - Gerando Falcões '!A720:G1718,38,0),"")</f>
        <v/>
      </c>
      <c r="G723" s="27" t="str">
        <f ca="1">IFERROR(VLOOKUP(A723,'Tabela Categorização'!A:J,10,0),"")</f>
        <v/>
      </c>
    </row>
    <row r="724" spans="1:7" ht="12.5" x14ac:dyDescent="0.25">
      <c r="A724" s="27"/>
      <c r="B724" s="27"/>
      <c r="C724" s="27"/>
      <c r="D724" s="27"/>
      <c r="E724" s="27"/>
      <c r="F724" s="27" t="str">
        <f>IFERROR(VLOOKUP(A724,'Rede - Gerando Falcões '!A721:G1719,38,0),"")</f>
        <v/>
      </c>
      <c r="G724" s="27" t="str">
        <f ca="1">IFERROR(VLOOKUP(A724,'Tabela Categorização'!A:J,10,0),"")</f>
        <v/>
      </c>
    </row>
    <row r="725" spans="1:7" ht="12.5" x14ac:dyDescent="0.25">
      <c r="A725" s="27"/>
      <c r="B725" s="27"/>
      <c r="C725" s="27"/>
      <c r="D725" s="27"/>
      <c r="E725" s="27"/>
      <c r="F725" s="27" t="str">
        <f>IFERROR(VLOOKUP(A725,'Rede - Gerando Falcões '!A722:G1720,38,0),"")</f>
        <v/>
      </c>
      <c r="G725" s="27" t="str">
        <f ca="1">IFERROR(VLOOKUP(A725,'Tabela Categorização'!A:J,10,0),"")</f>
        <v/>
      </c>
    </row>
    <row r="726" spans="1:7" ht="12.5" x14ac:dyDescent="0.25">
      <c r="A726" s="27"/>
      <c r="B726" s="27"/>
      <c r="C726" s="27"/>
      <c r="D726" s="27"/>
      <c r="E726" s="27"/>
      <c r="F726" s="27" t="str">
        <f>IFERROR(VLOOKUP(A726,'Rede - Gerando Falcões '!A723:G1721,38,0),"")</f>
        <v/>
      </c>
      <c r="G726" s="27" t="str">
        <f ca="1">IFERROR(VLOOKUP(A726,'Tabela Categorização'!A:J,10,0),"")</f>
        <v/>
      </c>
    </row>
    <row r="727" spans="1:7" ht="12.5" x14ac:dyDescent="0.25">
      <c r="A727" s="27"/>
      <c r="B727" s="27"/>
      <c r="C727" s="27"/>
      <c r="D727" s="27"/>
      <c r="E727" s="27"/>
      <c r="F727" s="27" t="str">
        <f>IFERROR(VLOOKUP(A727,'Rede - Gerando Falcões '!A724:G1722,38,0),"")</f>
        <v/>
      </c>
      <c r="G727" s="27" t="str">
        <f ca="1">IFERROR(VLOOKUP(A727,'Tabela Categorização'!A:J,10,0),"")</f>
        <v/>
      </c>
    </row>
    <row r="728" spans="1:7" ht="12.5" x14ac:dyDescent="0.25">
      <c r="A728" s="27"/>
      <c r="B728" s="27"/>
      <c r="C728" s="27"/>
      <c r="D728" s="27"/>
      <c r="E728" s="27"/>
      <c r="F728" s="27" t="str">
        <f>IFERROR(VLOOKUP(A728,'Rede - Gerando Falcões '!A725:G1723,38,0),"")</f>
        <v/>
      </c>
      <c r="G728" s="27" t="str">
        <f ca="1">IFERROR(VLOOKUP(A728,'Tabela Categorização'!A:J,10,0),"")</f>
        <v/>
      </c>
    </row>
    <row r="729" spans="1:7" ht="12.5" x14ac:dyDescent="0.25">
      <c r="A729" s="27"/>
      <c r="B729" s="27"/>
      <c r="C729" s="27"/>
      <c r="D729" s="27"/>
      <c r="E729" s="27"/>
      <c r="F729" s="27" t="str">
        <f>IFERROR(VLOOKUP(A729,'Rede - Gerando Falcões '!A726:G1724,38,0),"")</f>
        <v/>
      </c>
      <c r="G729" s="27" t="str">
        <f ca="1">IFERROR(VLOOKUP(A729,'Tabela Categorização'!A:J,10,0),"")</f>
        <v/>
      </c>
    </row>
    <row r="730" spans="1:7" ht="12.5" x14ac:dyDescent="0.25">
      <c r="A730" s="27"/>
      <c r="B730" s="27"/>
      <c r="C730" s="27"/>
      <c r="D730" s="27"/>
      <c r="E730" s="27"/>
      <c r="F730" s="27" t="str">
        <f>IFERROR(VLOOKUP(A730,'Rede - Gerando Falcões '!A727:G1725,38,0),"")</f>
        <v/>
      </c>
      <c r="G730" s="27" t="str">
        <f ca="1">IFERROR(VLOOKUP(A730,'Tabela Categorização'!A:J,10,0),"")</f>
        <v/>
      </c>
    </row>
    <row r="731" spans="1:7" ht="12.5" x14ac:dyDescent="0.25">
      <c r="A731" s="27"/>
      <c r="B731" s="27"/>
      <c r="C731" s="27"/>
      <c r="D731" s="27"/>
      <c r="E731" s="27"/>
      <c r="F731" s="27" t="str">
        <f>IFERROR(VLOOKUP(A731,'Rede - Gerando Falcões '!A728:G1726,38,0),"")</f>
        <v/>
      </c>
      <c r="G731" s="27" t="str">
        <f ca="1">IFERROR(VLOOKUP(A731,'Tabela Categorização'!A:J,10,0),"")</f>
        <v/>
      </c>
    </row>
    <row r="732" spans="1:7" ht="12.5" x14ac:dyDescent="0.25">
      <c r="A732" s="27"/>
      <c r="B732" s="27"/>
      <c r="C732" s="27"/>
      <c r="D732" s="27"/>
      <c r="E732" s="27"/>
      <c r="F732" s="27" t="str">
        <f>IFERROR(VLOOKUP(A732,'Rede - Gerando Falcões '!A729:G1727,38,0),"")</f>
        <v/>
      </c>
      <c r="G732" s="27" t="str">
        <f ca="1">IFERROR(VLOOKUP(A732,'Tabela Categorização'!A:J,10,0),"")</f>
        <v/>
      </c>
    </row>
    <row r="733" spans="1:7" ht="12.5" x14ac:dyDescent="0.25">
      <c r="A733" s="27"/>
      <c r="B733" s="27"/>
      <c r="C733" s="27"/>
      <c r="D733" s="27"/>
      <c r="E733" s="27"/>
      <c r="F733" s="27" t="str">
        <f>IFERROR(VLOOKUP(A733,'Rede - Gerando Falcões '!A730:G1728,38,0),"")</f>
        <v/>
      </c>
      <c r="G733" s="27" t="str">
        <f ca="1">IFERROR(VLOOKUP(A733,'Tabela Categorização'!A:J,10,0),"")</f>
        <v/>
      </c>
    </row>
    <row r="734" spans="1:7" ht="12.5" x14ac:dyDescent="0.25">
      <c r="A734" s="27"/>
      <c r="B734" s="27"/>
      <c r="C734" s="27"/>
      <c r="D734" s="27"/>
      <c r="E734" s="27"/>
      <c r="F734" s="27" t="str">
        <f>IFERROR(VLOOKUP(A734,'Rede - Gerando Falcões '!A731:G1729,38,0),"")</f>
        <v/>
      </c>
      <c r="G734" s="27" t="str">
        <f ca="1">IFERROR(VLOOKUP(A734,'Tabela Categorização'!A:J,10,0),"")</f>
        <v/>
      </c>
    </row>
    <row r="735" spans="1:7" ht="12.5" x14ac:dyDescent="0.25">
      <c r="A735" s="27"/>
      <c r="B735" s="27"/>
      <c r="C735" s="27"/>
      <c r="D735" s="27"/>
      <c r="E735" s="27"/>
      <c r="F735" s="27" t="str">
        <f>IFERROR(VLOOKUP(A735,'Rede - Gerando Falcões '!A732:G1730,38,0),"")</f>
        <v/>
      </c>
      <c r="G735" s="27" t="str">
        <f ca="1">IFERROR(VLOOKUP(A735,'Tabela Categorização'!A:J,10,0),"")</f>
        <v/>
      </c>
    </row>
    <row r="736" spans="1:7" ht="12.5" x14ac:dyDescent="0.25">
      <c r="A736" s="27"/>
      <c r="B736" s="27"/>
      <c r="C736" s="27"/>
      <c r="D736" s="27"/>
      <c r="E736" s="27"/>
      <c r="F736" s="27" t="str">
        <f>IFERROR(VLOOKUP(A736,'Rede - Gerando Falcões '!A733:G1731,38,0),"")</f>
        <v/>
      </c>
      <c r="G736" s="27" t="str">
        <f ca="1">IFERROR(VLOOKUP(A736,'Tabela Categorização'!A:J,10,0),"")</f>
        <v/>
      </c>
    </row>
    <row r="737" spans="1:7" ht="12.5" x14ac:dyDescent="0.25">
      <c r="A737" s="27"/>
      <c r="B737" s="27"/>
      <c r="C737" s="27"/>
      <c r="D737" s="27"/>
      <c r="E737" s="27"/>
      <c r="F737" s="27" t="str">
        <f>IFERROR(VLOOKUP(A737,'Rede - Gerando Falcões '!A734:G1732,38,0),"")</f>
        <v/>
      </c>
      <c r="G737" s="27" t="str">
        <f ca="1">IFERROR(VLOOKUP(A737,'Tabela Categorização'!A:J,10,0),"")</f>
        <v/>
      </c>
    </row>
    <row r="738" spans="1:7" ht="12.5" x14ac:dyDescent="0.25">
      <c r="A738" s="27"/>
      <c r="B738" s="27"/>
      <c r="C738" s="27"/>
      <c r="D738" s="27"/>
      <c r="E738" s="27"/>
      <c r="F738" s="27" t="str">
        <f>IFERROR(VLOOKUP(A738,'Rede - Gerando Falcões '!A735:G1733,38,0),"")</f>
        <v/>
      </c>
      <c r="G738" s="27" t="str">
        <f ca="1">IFERROR(VLOOKUP(A738,'Tabela Categorização'!A:J,10,0),"")</f>
        <v/>
      </c>
    </row>
    <row r="739" spans="1:7" ht="12.5" x14ac:dyDescent="0.25">
      <c r="A739" s="27"/>
      <c r="B739" s="27"/>
      <c r="C739" s="27"/>
      <c r="D739" s="27"/>
      <c r="E739" s="27"/>
      <c r="F739" s="27" t="str">
        <f>IFERROR(VLOOKUP(A739,'Rede - Gerando Falcões '!A736:G1734,38,0),"")</f>
        <v/>
      </c>
      <c r="G739" s="27" t="str">
        <f ca="1">IFERROR(VLOOKUP(A739,'Tabela Categorização'!A:J,10,0),"")</f>
        <v/>
      </c>
    </row>
    <row r="740" spans="1:7" ht="12.5" x14ac:dyDescent="0.25">
      <c r="A740" s="27"/>
      <c r="B740" s="27"/>
      <c r="C740" s="27"/>
      <c r="D740" s="27"/>
      <c r="E740" s="27"/>
      <c r="F740" s="27" t="str">
        <f>IFERROR(VLOOKUP(A740,'Rede - Gerando Falcões '!A737:G1735,38,0),"")</f>
        <v/>
      </c>
      <c r="G740" s="27" t="str">
        <f ca="1">IFERROR(VLOOKUP(A740,'Tabela Categorização'!A:J,10,0),"")</f>
        <v/>
      </c>
    </row>
    <row r="741" spans="1:7" ht="12.5" x14ac:dyDescent="0.25">
      <c r="A741" s="27"/>
      <c r="B741" s="27"/>
      <c r="C741" s="27"/>
      <c r="D741" s="27"/>
      <c r="E741" s="27"/>
      <c r="F741" s="27" t="str">
        <f>IFERROR(VLOOKUP(A741,'Rede - Gerando Falcões '!A738:G1736,38,0),"")</f>
        <v/>
      </c>
      <c r="G741" s="27" t="str">
        <f ca="1">IFERROR(VLOOKUP(A741,'Tabela Categorização'!A:J,10,0),"")</f>
        <v/>
      </c>
    </row>
    <row r="742" spans="1:7" ht="12.5" x14ac:dyDescent="0.25">
      <c r="A742" s="27"/>
      <c r="B742" s="27"/>
      <c r="C742" s="27"/>
      <c r="D742" s="27"/>
      <c r="E742" s="27"/>
      <c r="F742" s="27" t="str">
        <f>IFERROR(VLOOKUP(A742,'Rede - Gerando Falcões '!A739:G1737,38,0),"")</f>
        <v/>
      </c>
      <c r="G742" s="27" t="str">
        <f ca="1">IFERROR(VLOOKUP(A742,'Tabela Categorização'!A:J,10,0),"")</f>
        <v/>
      </c>
    </row>
    <row r="743" spans="1:7" ht="12.5" x14ac:dyDescent="0.25">
      <c r="A743" s="27"/>
      <c r="B743" s="27"/>
      <c r="C743" s="27"/>
      <c r="D743" s="27"/>
      <c r="E743" s="27"/>
      <c r="F743" s="27" t="str">
        <f>IFERROR(VLOOKUP(A743,'Rede - Gerando Falcões '!A740:G1738,38,0),"")</f>
        <v/>
      </c>
      <c r="G743" s="27" t="str">
        <f ca="1">IFERROR(VLOOKUP(A743,'Tabela Categorização'!A:J,10,0),"")</f>
        <v/>
      </c>
    </row>
    <row r="744" spans="1:7" ht="12.5" x14ac:dyDescent="0.25">
      <c r="A744" s="27"/>
      <c r="B744" s="27"/>
      <c r="C744" s="27"/>
      <c r="D744" s="27"/>
      <c r="E744" s="27"/>
      <c r="F744" s="27" t="str">
        <f>IFERROR(VLOOKUP(A744,'Rede - Gerando Falcões '!A741:G1739,38,0),"")</f>
        <v/>
      </c>
      <c r="G744" s="27" t="str">
        <f ca="1">IFERROR(VLOOKUP(A744,'Tabela Categorização'!A:J,10,0),"")</f>
        <v/>
      </c>
    </row>
    <row r="745" spans="1:7" ht="12.5" x14ac:dyDescent="0.25">
      <c r="A745" s="27"/>
      <c r="B745" s="27"/>
      <c r="C745" s="27"/>
      <c r="D745" s="27"/>
      <c r="E745" s="27"/>
      <c r="F745" s="27" t="str">
        <f>IFERROR(VLOOKUP(A745,'Rede - Gerando Falcões '!A742:G1740,38,0),"")</f>
        <v/>
      </c>
      <c r="G745" s="27" t="str">
        <f ca="1">IFERROR(VLOOKUP(A745,'Tabela Categorização'!A:J,10,0),"")</f>
        <v/>
      </c>
    </row>
    <row r="746" spans="1:7" ht="12.5" x14ac:dyDescent="0.25">
      <c r="A746" s="27"/>
      <c r="B746" s="27"/>
      <c r="C746" s="27"/>
      <c r="D746" s="27"/>
      <c r="E746" s="27"/>
      <c r="F746" s="27" t="str">
        <f>IFERROR(VLOOKUP(A746,'Rede - Gerando Falcões '!A743:G1741,38,0),"")</f>
        <v/>
      </c>
      <c r="G746" s="27" t="str">
        <f ca="1">IFERROR(VLOOKUP(A746,'Tabela Categorização'!A:J,10,0),"")</f>
        <v/>
      </c>
    </row>
    <row r="747" spans="1:7" ht="12.5" x14ac:dyDescent="0.25">
      <c r="A747" s="27"/>
      <c r="B747" s="27"/>
      <c r="C747" s="27"/>
      <c r="D747" s="27"/>
      <c r="E747" s="27"/>
      <c r="F747" s="27" t="str">
        <f>IFERROR(VLOOKUP(A747,'Rede - Gerando Falcões '!A744:G1742,38,0),"")</f>
        <v/>
      </c>
      <c r="G747" s="27" t="str">
        <f ca="1">IFERROR(VLOOKUP(A747,'Tabela Categorização'!A:J,10,0),"")</f>
        <v/>
      </c>
    </row>
    <row r="748" spans="1:7" ht="12.5" x14ac:dyDescent="0.25">
      <c r="A748" s="27"/>
      <c r="B748" s="27"/>
      <c r="C748" s="27"/>
      <c r="D748" s="27"/>
      <c r="E748" s="27"/>
      <c r="F748" s="27" t="str">
        <f>IFERROR(VLOOKUP(A748,'Rede - Gerando Falcões '!A745:G1743,38,0),"")</f>
        <v/>
      </c>
      <c r="G748" s="27" t="str">
        <f ca="1">IFERROR(VLOOKUP(A748,'Tabela Categorização'!A:J,10,0),"")</f>
        <v/>
      </c>
    </row>
    <row r="749" spans="1:7" ht="12.5" x14ac:dyDescent="0.25">
      <c r="A749" s="27"/>
      <c r="B749" s="27"/>
      <c r="C749" s="27"/>
      <c r="D749" s="27"/>
      <c r="E749" s="27"/>
      <c r="F749" s="27" t="str">
        <f>IFERROR(VLOOKUP(A749,'Rede - Gerando Falcões '!A746:G1744,38,0),"")</f>
        <v/>
      </c>
      <c r="G749" s="27" t="str">
        <f ca="1">IFERROR(VLOOKUP(A749,'Tabela Categorização'!A:J,10,0),"")</f>
        <v/>
      </c>
    </row>
    <row r="750" spans="1:7" ht="12.5" x14ac:dyDescent="0.25">
      <c r="A750" s="27"/>
      <c r="B750" s="27"/>
      <c r="C750" s="27"/>
      <c r="D750" s="27"/>
      <c r="E750" s="27"/>
      <c r="F750" s="27" t="str">
        <f>IFERROR(VLOOKUP(A750,'Rede - Gerando Falcões '!A747:G1745,38,0),"")</f>
        <v/>
      </c>
      <c r="G750" s="27" t="str">
        <f ca="1">IFERROR(VLOOKUP(A750,'Tabela Categorização'!A:J,10,0),"")</f>
        <v/>
      </c>
    </row>
    <row r="751" spans="1:7" ht="12.5" x14ac:dyDescent="0.25">
      <c r="A751" s="27"/>
      <c r="B751" s="27"/>
      <c r="C751" s="27"/>
      <c r="D751" s="27"/>
      <c r="E751" s="27"/>
      <c r="F751" s="27" t="str">
        <f>IFERROR(VLOOKUP(A751,'Rede - Gerando Falcões '!A748:G1746,38,0),"")</f>
        <v/>
      </c>
      <c r="G751" s="27" t="str">
        <f ca="1">IFERROR(VLOOKUP(A751,'Tabela Categorização'!A:J,10,0),"")</f>
        <v/>
      </c>
    </row>
    <row r="752" spans="1:7" ht="12.5" x14ac:dyDescent="0.25">
      <c r="A752" s="27"/>
      <c r="B752" s="27"/>
      <c r="C752" s="27"/>
      <c r="D752" s="27"/>
      <c r="E752" s="27"/>
      <c r="F752" s="27" t="str">
        <f>IFERROR(VLOOKUP(A752,'Rede - Gerando Falcões '!A749:G1747,38,0),"")</f>
        <v/>
      </c>
      <c r="G752" s="27" t="str">
        <f ca="1">IFERROR(VLOOKUP(A752,'Tabela Categorização'!A:J,10,0),"")</f>
        <v/>
      </c>
    </row>
    <row r="753" spans="1:7" ht="12.5" x14ac:dyDescent="0.25">
      <c r="A753" s="27"/>
      <c r="B753" s="27"/>
      <c r="C753" s="27"/>
      <c r="D753" s="27"/>
      <c r="E753" s="27"/>
      <c r="F753" s="27" t="str">
        <f>IFERROR(VLOOKUP(A753,'Rede - Gerando Falcões '!A750:G1748,38,0),"")</f>
        <v/>
      </c>
      <c r="G753" s="27" t="str">
        <f ca="1">IFERROR(VLOOKUP(A753,'Tabela Categorização'!A:J,10,0),"")</f>
        <v/>
      </c>
    </row>
    <row r="754" spans="1:7" ht="12.5" x14ac:dyDescent="0.25">
      <c r="A754" s="27"/>
      <c r="B754" s="27"/>
      <c r="C754" s="27"/>
      <c r="D754" s="27"/>
      <c r="E754" s="27"/>
      <c r="F754" s="27" t="str">
        <f>IFERROR(VLOOKUP(A754,'Rede - Gerando Falcões '!A751:G1749,38,0),"")</f>
        <v/>
      </c>
      <c r="G754" s="27" t="str">
        <f ca="1">IFERROR(VLOOKUP(A754,'Tabela Categorização'!A:J,10,0),"")</f>
        <v/>
      </c>
    </row>
    <row r="755" spans="1:7" ht="12.5" x14ac:dyDescent="0.25">
      <c r="A755" s="27"/>
      <c r="B755" s="27"/>
      <c r="C755" s="27"/>
      <c r="D755" s="27"/>
      <c r="E755" s="27"/>
      <c r="F755" s="27" t="str">
        <f>IFERROR(VLOOKUP(A755,'Rede - Gerando Falcões '!A752:G1750,38,0),"")</f>
        <v/>
      </c>
      <c r="G755" s="27" t="str">
        <f ca="1">IFERROR(VLOOKUP(A755,'Tabela Categorização'!A:J,10,0),"")</f>
        <v/>
      </c>
    </row>
    <row r="756" spans="1:7" ht="12.5" x14ac:dyDescent="0.25">
      <c r="A756" s="27"/>
      <c r="B756" s="27"/>
      <c r="C756" s="27"/>
      <c r="D756" s="27"/>
      <c r="E756" s="27"/>
      <c r="F756" s="27" t="str">
        <f>IFERROR(VLOOKUP(A756,'Rede - Gerando Falcões '!A753:G1751,38,0),"")</f>
        <v/>
      </c>
      <c r="G756" s="27" t="str">
        <f ca="1">IFERROR(VLOOKUP(A756,'Tabela Categorização'!A:J,10,0),"")</f>
        <v/>
      </c>
    </row>
    <row r="757" spans="1:7" ht="12.5" x14ac:dyDescent="0.25">
      <c r="A757" s="27"/>
      <c r="B757" s="27"/>
      <c r="C757" s="27"/>
      <c r="D757" s="27"/>
      <c r="E757" s="27"/>
      <c r="F757" s="27" t="str">
        <f>IFERROR(VLOOKUP(A757,'Rede - Gerando Falcões '!A754:G1752,38,0),"")</f>
        <v/>
      </c>
      <c r="G757" s="27" t="str">
        <f ca="1">IFERROR(VLOOKUP(A757,'Tabela Categorização'!A:J,10,0),"")</f>
        <v/>
      </c>
    </row>
    <row r="758" spans="1:7" ht="12.5" x14ac:dyDescent="0.25">
      <c r="A758" s="27"/>
      <c r="B758" s="27"/>
      <c r="C758" s="27"/>
      <c r="D758" s="27"/>
      <c r="E758" s="27"/>
      <c r="F758" s="27" t="str">
        <f>IFERROR(VLOOKUP(A758,'Rede - Gerando Falcões '!A755:G1753,38,0),"")</f>
        <v/>
      </c>
      <c r="G758" s="27" t="str">
        <f ca="1">IFERROR(VLOOKUP(A758,'Tabela Categorização'!A:J,10,0),"")</f>
        <v/>
      </c>
    </row>
    <row r="759" spans="1:7" ht="12.5" x14ac:dyDescent="0.25">
      <c r="A759" s="27"/>
      <c r="B759" s="27"/>
      <c r="C759" s="27"/>
      <c r="D759" s="27"/>
      <c r="E759" s="27"/>
      <c r="F759" s="27" t="str">
        <f>IFERROR(VLOOKUP(A759,'Rede - Gerando Falcões '!A756:G1754,38,0),"")</f>
        <v/>
      </c>
      <c r="G759" s="27" t="str">
        <f ca="1">IFERROR(VLOOKUP(A759,'Tabela Categorização'!A:J,10,0),"")</f>
        <v/>
      </c>
    </row>
    <row r="760" spans="1:7" ht="12.5" x14ac:dyDescent="0.25">
      <c r="A760" s="27"/>
      <c r="B760" s="27"/>
      <c r="C760" s="27"/>
      <c r="D760" s="27"/>
      <c r="E760" s="27"/>
      <c r="F760" s="27" t="str">
        <f>IFERROR(VLOOKUP(A760,'Rede - Gerando Falcões '!A757:G1755,38,0),"")</f>
        <v/>
      </c>
      <c r="G760" s="27" t="str">
        <f ca="1">IFERROR(VLOOKUP(A760,'Tabela Categorização'!A:J,10,0),"")</f>
        <v/>
      </c>
    </row>
    <row r="761" spans="1:7" ht="12.5" x14ac:dyDescent="0.25">
      <c r="A761" s="27"/>
      <c r="B761" s="27"/>
      <c r="C761" s="27"/>
      <c r="D761" s="27"/>
      <c r="E761" s="27"/>
      <c r="F761" s="27" t="str">
        <f>IFERROR(VLOOKUP(A761,'Rede - Gerando Falcões '!A758:G1756,38,0),"")</f>
        <v/>
      </c>
      <c r="G761" s="27" t="str">
        <f ca="1">IFERROR(VLOOKUP(A761,'Tabela Categorização'!A:J,10,0),"")</f>
        <v/>
      </c>
    </row>
    <row r="762" spans="1:7" ht="12.5" x14ac:dyDescent="0.25">
      <c r="A762" s="27"/>
      <c r="B762" s="27"/>
      <c r="C762" s="27"/>
      <c r="D762" s="27"/>
      <c r="E762" s="27"/>
      <c r="F762" s="27" t="str">
        <f>IFERROR(VLOOKUP(A762,'Rede - Gerando Falcões '!A759:G1757,38,0),"")</f>
        <v/>
      </c>
      <c r="G762" s="27" t="str">
        <f ca="1">IFERROR(VLOOKUP(A762,'Tabela Categorização'!A:J,10,0),"")</f>
        <v/>
      </c>
    </row>
    <row r="763" spans="1:7" ht="12.5" x14ac:dyDescent="0.25">
      <c r="A763" s="27"/>
      <c r="B763" s="27"/>
      <c r="C763" s="27"/>
      <c r="D763" s="27"/>
      <c r="E763" s="27"/>
      <c r="F763" s="27" t="str">
        <f>IFERROR(VLOOKUP(A763,'Rede - Gerando Falcões '!A760:G1758,38,0),"")</f>
        <v/>
      </c>
      <c r="G763" s="27" t="str">
        <f ca="1">IFERROR(VLOOKUP(A763,'Tabela Categorização'!A:J,10,0),"")</f>
        <v/>
      </c>
    </row>
    <row r="764" spans="1:7" ht="12.5" x14ac:dyDescent="0.25">
      <c r="A764" s="27"/>
      <c r="B764" s="27"/>
      <c r="C764" s="27"/>
      <c r="D764" s="27"/>
      <c r="E764" s="27"/>
      <c r="F764" s="27" t="str">
        <f>IFERROR(VLOOKUP(A764,'Rede - Gerando Falcões '!A761:G1759,38,0),"")</f>
        <v/>
      </c>
      <c r="G764" s="27" t="str">
        <f ca="1">IFERROR(VLOOKUP(A764,'Tabela Categorização'!A:J,10,0),"")</f>
        <v/>
      </c>
    </row>
    <row r="765" spans="1:7" ht="12.5" x14ac:dyDescent="0.25">
      <c r="A765" s="27"/>
      <c r="B765" s="27"/>
      <c r="C765" s="27"/>
      <c r="D765" s="27"/>
      <c r="E765" s="27"/>
      <c r="F765" s="27" t="str">
        <f>IFERROR(VLOOKUP(A765,'Rede - Gerando Falcões '!A762:G1760,38,0),"")</f>
        <v/>
      </c>
      <c r="G765" s="27" t="str">
        <f ca="1">IFERROR(VLOOKUP(A765,'Tabela Categorização'!A:J,10,0),"")</f>
        <v/>
      </c>
    </row>
    <row r="766" spans="1:7" ht="12.5" x14ac:dyDescent="0.25">
      <c r="A766" s="27"/>
      <c r="B766" s="27"/>
      <c r="C766" s="27"/>
      <c r="D766" s="27"/>
      <c r="E766" s="27"/>
      <c r="F766" s="27" t="str">
        <f>IFERROR(VLOOKUP(A766,'Rede - Gerando Falcões '!A763:G1761,38,0),"")</f>
        <v/>
      </c>
      <c r="G766" s="27" t="str">
        <f ca="1">IFERROR(VLOOKUP(A766,'Tabela Categorização'!A:J,10,0),"")</f>
        <v/>
      </c>
    </row>
    <row r="767" spans="1:7" ht="12.5" x14ac:dyDescent="0.25">
      <c r="A767" s="27"/>
      <c r="B767" s="27"/>
      <c r="C767" s="27"/>
      <c r="D767" s="27"/>
      <c r="E767" s="27"/>
      <c r="F767" s="27" t="str">
        <f>IFERROR(VLOOKUP(A767,'Rede - Gerando Falcões '!A764:G1762,38,0),"")</f>
        <v/>
      </c>
      <c r="G767" s="27" t="str">
        <f ca="1">IFERROR(VLOOKUP(A767,'Tabela Categorização'!A:J,10,0),"")</f>
        <v/>
      </c>
    </row>
    <row r="768" spans="1:7" ht="12.5" x14ac:dyDescent="0.25">
      <c r="A768" s="27"/>
      <c r="B768" s="27"/>
      <c r="C768" s="27"/>
      <c r="D768" s="27"/>
      <c r="E768" s="27"/>
      <c r="F768" s="27" t="str">
        <f>IFERROR(VLOOKUP(A768,'Rede - Gerando Falcões '!A765:G1763,38,0),"")</f>
        <v/>
      </c>
      <c r="G768" s="27" t="str">
        <f ca="1">IFERROR(VLOOKUP(A768,'Tabela Categorização'!A:J,10,0),"")</f>
        <v/>
      </c>
    </row>
    <row r="769" spans="1:7" ht="12.5" x14ac:dyDescent="0.25">
      <c r="A769" s="27"/>
      <c r="B769" s="27"/>
      <c r="C769" s="27"/>
      <c r="D769" s="27"/>
      <c r="E769" s="27"/>
      <c r="F769" s="27" t="str">
        <f>IFERROR(VLOOKUP(A769,'Rede - Gerando Falcões '!A766:G1764,38,0),"")</f>
        <v/>
      </c>
      <c r="G769" s="27" t="str">
        <f ca="1">IFERROR(VLOOKUP(A769,'Tabela Categorização'!A:J,10,0),"")</f>
        <v/>
      </c>
    </row>
    <row r="770" spans="1:7" ht="12.5" x14ac:dyDescent="0.25">
      <c r="A770" s="27"/>
      <c r="B770" s="27"/>
      <c r="C770" s="27"/>
      <c r="D770" s="27"/>
      <c r="E770" s="27"/>
      <c r="F770" s="27" t="str">
        <f>IFERROR(VLOOKUP(A770,'Rede - Gerando Falcões '!A767:G1765,38,0),"")</f>
        <v/>
      </c>
      <c r="G770" s="27" t="str">
        <f ca="1">IFERROR(VLOOKUP(A770,'Tabela Categorização'!A:J,10,0),"")</f>
        <v/>
      </c>
    </row>
    <row r="771" spans="1:7" ht="12.5" x14ac:dyDescent="0.25">
      <c r="A771" s="27"/>
      <c r="B771" s="27"/>
      <c r="C771" s="27"/>
      <c r="D771" s="27"/>
      <c r="E771" s="27"/>
      <c r="F771" s="27" t="str">
        <f>IFERROR(VLOOKUP(A771,'Rede - Gerando Falcões '!A768:G1766,38,0),"")</f>
        <v/>
      </c>
      <c r="G771" s="27" t="str">
        <f ca="1">IFERROR(VLOOKUP(A771,'Tabela Categorização'!A:J,10,0),"")</f>
        <v/>
      </c>
    </row>
    <row r="772" spans="1:7" ht="12.5" x14ac:dyDescent="0.25">
      <c r="A772" s="27"/>
      <c r="B772" s="27"/>
      <c r="C772" s="27"/>
      <c r="D772" s="27"/>
      <c r="E772" s="27"/>
      <c r="F772" s="27" t="str">
        <f>IFERROR(VLOOKUP(A772,'Rede - Gerando Falcões '!A769:G1767,38,0),"")</f>
        <v/>
      </c>
      <c r="G772" s="27" t="str">
        <f ca="1">IFERROR(VLOOKUP(A772,'Tabela Categorização'!A:J,10,0),"")</f>
        <v/>
      </c>
    </row>
    <row r="773" spans="1:7" ht="12.5" x14ac:dyDescent="0.25">
      <c r="A773" s="27"/>
      <c r="B773" s="27"/>
      <c r="C773" s="27"/>
      <c r="D773" s="27"/>
      <c r="E773" s="27"/>
      <c r="F773" s="27" t="str">
        <f>IFERROR(VLOOKUP(A773,'Rede - Gerando Falcões '!A770:G1768,38,0),"")</f>
        <v/>
      </c>
      <c r="G773" s="27" t="str">
        <f ca="1">IFERROR(VLOOKUP(A773,'Tabela Categorização'!A:J,10,0),"")</f>
        <v/>
      </c>
    </row>
    <row r="774" spans="1:7" ht="12.5" x14ac:dyDescent="0.25">
      <c r="A774" s="27"/>
      <c r="B774" s="27"/>
      <c r="C774" s="27"/>
      <c r="D774" s="27"/>
      <c r="E774" s="27"/>
      <c r="F774" s="27" t="str">
        <f>IFERROR(VLOOKUP(A774,'Rede - Gerando Falcões '!A771:G1769,38,0),"")</f>
        <v/>
      </c>
      <c r="G774" s="27" t="str">
        <f ca="1">IFERROR(VLOOKUP(A774,'Tabela Categorização'!A:J,10,0),"")</f>
        <v/>
      </c>
    </row>
    <row r="775" spans="1:7" ht="12.5" x14ac:dyDescent="0.25">
      <c r="A775" s="27"/>
      <c r="B775" s="27"/>
      <c r="C775" s="27"/>
      <c r="D775" s="27"/>
      <c r="E775" s="27"/>
      <c r="F775" s="27" t="str">
        <f>IFERROR(VLOOKUP(A775,'Rede - Gerando Falcões '!A772:G1770,38,0),"")</f>
        <v/>
      </c>
      <c r="G775" s="27" t="str">
        <f ca="1">IFERROR(VLOOKUP(A775,'Tabela Categorização'!A:J,10,0),"")</f>
        <v/>
      </c>
    </row>
    <row r="776" spans="1:7" ht="12.5" x14ac:dyDescent="0.25">
      <c r="A776" s="27"/>
      <c r="B776" s="27"/>
      <c r="C776" s="27"/>
      <c r="D776" s="27"/>
      <c r="E776" s="27"/>
      <c r="F776" s="27" t="str">
        <f>IFERROR(VLOOKUP(A776,'Rede - Gerando Falcões '!A773:G1771,38,0),"")</f>
        <v/>
      </c>
      <c r="G776" s="27" t="str">
        <f ca="1">IFERROR(VLOOKUP(A776,'Tabela Categorização'!A:J,10,0),"")</f>
        <v/>
      </c>
    </row>
    <row r="777" spans="1:7" ht="12.5" x14ac:dyDescent="0.25">
      <c r="A777" s="27"/>
      <c r="B777" s="27"/>
      <c r="C777" s="27"/>
      <c r="D777" s="27"/>
      <c r="E777" s="27"/>
      <c r="F777" s="27" t="str">
        <f>IFERROR(VLOOKUP(A777,'Rede - Gerando Falcões '!A774:G1772,38,0),"")</f>
        <v/>
      </c>
      <c r="G777" s="27" t="str">
        <f ca="1">IFERROR(VLOOKUP(A777,'Tabela Categorização'!A:J,10,0),"")</f>
        <v/>
      </c>
    </row>
    <row r="778" spans="1:7" ht="12.5" x14ac:dyDescent="0.25">
      <c r="A778" s="27"/>
      <c r="B778" s="27"/>
      <c r="C778" s="27"/>
      <c r="D778" s="27"/>
      <c r="E778" s="27"/>
      <c r="F778" s="27" t="str">
        <f>IFERROR(VLOOKUP(A778,'Rede - Gerando Falcões '!A775:G1773,38,0),"")</f>
        <v/>
      </c>
      <c r="G778" s="27" t="str">
        <f ca="1">IFERROR(VLOOKUP(A778,'Tabela Categorização'!A:J,10,0),"")</f>
        <v/>
      </c>
    </row>
    <row r="779" spans="1:7" ht="12.5" x14ac:dyDescent="0.25">
      <c r="A779" s="27"/>
      <c r="B779" s="27"/>
      <c r="C779" s="27"/>
      <c r="D779" s="27"/>
      <c r="E779" s="27"/>
      <c r="F779" s="27" t="str">
        <f>IFERROR(VLOOKUP(A779,'Rede - Gerando Falcões '!A776:G1774,38,0),"")</f>
        <v/>
      </c>
      <c r="G779" s="27" t="str">
        <f ca="1">IFERROR(VLOOKUP(A779,'Tabela Categorização'!A:J,10,0),"")</f>
        <v/>
      </c>
    </row>
    <row r="780" spans="1:7" ht="12.5" x14ac:dyDescent="0.25">
      <c r="A780" s="27"/>
      <c r="B780" s="27"/>
      <c r="C780" s="27"/>
      <c r="D780" s="27"/>
      <c r="E780" s="27"/>
      <c r="F780" s="27" t="str">
        <f>IFERROR(VLOOKUP(A780,'Rede - Gerando Falcões '!A777:G1775,38,0),"")</f>
        <v/>
      </c>
      <c r="G780" s="27" t="str">
        <f ca="1">IFERROR(VLOOKUP(A780,'Tabela Categorização'!A:J,10,0),"")</f>
        <v/>
      </c>
    </row>
    <row r="781" spans="1:7" ht="12.5" x14ac:dyDescent="0.25">
      <c r="A781" s="27"/>
      <c r="B781" s="27"/>
      <c r="C781" s="27"/>
      <c r="D781" s="27"/>
      <c r="E781" s="27"/>
      <c r="F781" s="27" t="str">
        <f>IFERROR(VLOOKUP(A781,'Rede - Gerando Falcões '!A778:G1776,38,0),"")</f>
        <v/>
      </c>
      <c r="G781" s="27" t="str">
        <f ca="1">IFERROR(VLOOKUP(A781,'Tabela Categorização'!A:J,10,0),"")</f>
        <v/>
      </c>
    </row>
    <row r="782" spans="1:7" ht="12.5" x14ac:dyDescent="0.25">
      <c r="A782" s="27"/>
      <c r="B782" s="27"/>
      <c r="C782" s="27"/>
      <c r="D782" s="27"/>
      <c r="E782" s="27"/>
      <c r="F782" s="27" t="str">
        <f>IFERROR(VLOOKUP(A782,'Rede - Gerando Falcões '!A779:G1777,38,0),"")</f>
        <v/>
      </c>
      <c r="G782" s="27" t="str">
        <f ca="1">IFERROR(VLOOKUP(A782,'Tabela Categorização'!A:J,10,0),"")</f>
        <v/>
      </c>
    </row>
    <row r="783" spans="1:7" ht="12.5" x14ac:dyDescent="0.25">
      <c r="A783" s="27"/>
      <c r="B783" s="27"/>
      <c r="C783" s="27"/>
      <c r="D783" s="27"/>
      <c r="E783" s="27"/>
      <c r="F783" s="27" t="str">
        <f>IFERROR(VLOOKUP(A783,'Rede - Gerando Falcões '!A780:G1778,38,0),"")</f>
        <v/>
      </c>
      <c r="G783" s="27" t="str">
        <f ca="1">IFERROR(VLOOKUP(A783,'Tabela Categorização'!A:J,10,0),"")</f>
        <v/>
      </c>
    </row>
    <row r="784" spans="1:7" ht="12.5" x14ac:dyDescent="0.25">
      <c r="A784" s="27"/>
      <c r="B784" s="27"/>
      <c r="C784" s="27"/>
      <c r="D784" s="27"/>
      <c r="E784" s="27"/>
      <c r="F784" s="27" t="str">
        <f>IFERROR(VLOOKUP(A784,'Rede - Gerando Falcões '!A781:G1779,38,0),"")</f>
        <v/>
      </c>
      <c r="G784" s="27" t="str">
        <f ca="1">IFERROR(VLOOKUP(A784,'Tabela Categorização'!A:J,10,0),"")</f>
        <v/>
      </c>
    </row>
    <row r="785" spans="1:7" ht="12.5" x14ac:dyDescent="0.25">
      <c r="A785" s="27"/>
      <c r="B785" s="27"/>
      <c r="C785" s="27"/>
      <c r="D785" s="27"/>
      <c r="E785" s="27"/>
      <c r="F785" s="27" t="str">
        <f>IFERROR(VLOOKUP(A785,'Rede - Gerando Falcões '!A782:G1780,38,0),"")</f>
        <v/>
      </c>
      <c r="G785" s="27" t="str">
        <f ca="1">IFERROR(VLOOKUP(A785,'Tabela Categorização'!A:J,10,0),"")</f>
        <v/>
      </c>
    </row>
    <row r="786" spans="1:7" ht="12.5" x14ac:dyDescent="0.25">
      <c r="A786" s="27"/>
      <c r="B786" s="27"/>
      <c r="C786" s="27"/>
      <c r="D786" s="27"/>
      <c r="E786" s="27"/>
      <c r="F786" s="27" t="str">
        <f>IFERROR(VLOOKUP(A786,'Rede - Gerando Falcões '!A783:G1781,38,0),"")</f>
        <v/>
      </c>
      <c r="G786" s="27" t="str">
        <f ca="1">IFERROR(VLOOKUP(A786,'Tabela Categorização'!A:J,10,0),"")</f>
        <v/>
      </c>
    </row>
    <row r="787" spans="1:7" ht="12.5" x14ac:dyDescent="0.25">
      <c r="A787" s="27"/>
      <c r="B787" s="27"/>
      <c r="C787" s="27"/>
      <c r="D787" s="27"/>
      <c r="E787" s="27"/>
      <c r="F787" s="27" t="str">
        <f>IFERROR(VLOOKUP(A787,'Rede - Gerando Falcões '!A784:G1782,38,0),"")</f>
        <v/>
      </c>
      <c r="G787" s="27" t="str">
        <f ca="1">IFERROR(VLOOKUP(A787,'Tabela Categorização'!A:J,10,0),"")</f>
        <v/>
      </c>
    </row>
    <row r="788" spans="1:7" ht="12.5" x14ac:dyDescent="0.25">
      <c r="A788" s="27"/>
      <c r="B788" s="27"/>
      <c r="C788" s="27"/>
      <c r="D788" s="27"/>
      <c r="E788" s="27"/>
      <c r="F788" s="27" t="str">
        <f>IFERROR(VLOOKUP(A788,'Rede - Gerando Falcões '!A785:G1783,38,0),"")</f>
        <v/>
      </c>
      <c r="G788" s="27" t="str">
        <f ca="1">IFERROR(VLOOKUP(A788,'Tabela Categorização'!A:J,10,0),"")</f>
        <v/>
      </c>
    </row>
    <row r="789" spans="1:7" ht="12.5" x14ac:dyDescent="0.25">
      <c r="A789" s="27"/>
      <c r="B789" s="27"/>
      <c r="C789" s="27"/>
      <c r="D789" s="27"/>
      <c r="E789" s="27"/>
      <c r="F789" s="27" t="str">
        <f>IFERROR(VLOOKUP(A789,'Rede - Gerando Falcões '!A786:G1784,38,0),"")</f>
        <v/>
      </c>
      <c r="G789" s="27" t="str">
        <f ca="1">IFERROR(VLOOKUP(A789,'Tabela Categorização'!A:J,10,0),"")</f>
        <v/>
      </c>
    </row>
    <row r="790" spans="1:7" ht="12.5" x14ac:dyDescent="0.25">
      <c r="A790" s="27"/>
      <c r="B790" s="27"/>
      <c r="C790" s="27"/>
      <c r="D790" s="27"/>
      <c r="E790" s="27"/>
      <c r="F790" s="27" t="str">
        <f>IFERROR(VLOOKUP(A790,'Rede - Gerando Falcões '!A787:G1785,38,0),"")</f>
        <v/>
      </c>
      <c r="G790" s="27" t="str">
        <f ca="1">IFERROR(VLOOKUP(A790,'Tabela Categorização'!A:J,10,0),"")</f>
        <v/>
      </c>
    </row>
    <row r="791" spans="1:7" ht="12.5" x14ac:dyDescent="0.25">
      <c r="A791" s="27"/>
      <c r="B791" s="27"/>
      <c r="C791" s="27"/>
      <c r="D791" s="27"/>
      <c r="E791" s="27"/>
      <c r="F791" s="27" t="str">
        <f>IFERROR(VLOOKUP(A791,'Rede - Gerando Falcões '!A788:G1786,38,0),"")</f>
        <v/>
      </c>
      <c r="G791" s="27" t="str">
        <f ca="1">IFERROR(VLOOKUP(A791,'Tabela Categorização'!A:J,10,0),"")</f>
        <v/>
      </c>
    </row>
    <row r="792" spans="1:7" ht="12.5" x14ac:dyDescent="0.25">
      <c r="A792" s="27"/>
      <c r="B792" s="27"/>
      <c r="C792" s="27"/>
      <c r="D792" s="27"/>
      <c r="E792" s="27"/>
      <c r="F792" s="27" t="str">
        <f>IFERROR(VLOOKUP(A792,'Rede - Gerando Falcões '!A789:G1787,38,0),"")</f>
        <v/>
      </c>
      <c r="G792" s="27" t="str">
        <f ca="1">IFERROR(VLOOKUP(A792,'Tabela Categorização'!A:J,10,0),"")</f>
        <v/>
      </c>
    </row>
    <row r="793" spans="1:7" ht="12.5" x14ac:dyDescent="0.25">
      <c r="A793" s="27"/>
      <c r="B793" s="27"/>
      <c r="C793" s="27"/>
      <c r="D793" s="27"/>
      <c r="E793" s="27"/>
      <c r="F793" s="27" t="str">
        <f>IFERROR(VLOOKUP(A793,'Rede - Gerando Falcões '!A790:G1788,38,0),"")</f>
        <v/>
      </c>
      <c r="G793" s="27" t="str">
        <f ca="1">IFERROR(VLOOKUP(A793,'Tabela Categorização'!A:J,10,0),"")</f>
        <v/>
      </c>
    </row>
    <row r="794" spans="1:7" ht="12.5" x14ac:dyDescent="0.25">
      <c r="A794" s="27"/>
      <c r="B794" s="27"/>
      <c r="C794" s="27"/>
      <c r="D794" s="27"/>
      <c r="E794" s="27"/>
      <c r="F794" s="27" t="str">
        <f>IFERROR(VLOOKUP(A794,'Rede - Gerando Falcões '!A791:G1789,38,0),"")</f>
        <v/>
      </c>
      <c r="G794" s="27" t="str">
        <f ca="1">IFERROR(VLOOKUP(A794,'Tabela Categorização'!A:J,10,0),"")</f>
        <v/>
      </c>
    </row>
    <row r="795" spans="1:7" ht="12.5" x14ac:dyDescent="0.25">
      <c r="A795" s="27"/>
      <c r="B795" s="27"/>
      <c r="C795" s="27"/>
      <c r="D795" s="27"/>
      <c r="E795" s="27"/>
      <c r="F795" s="27" t="str">
        <f>IFERROR(VLOOKUP(A795,'Rede - Gerando Falcões '!A792:G1790,38,0),"")</f>
        <v/>
      </c>
      <c r="G795" s="27" t="str">
        <f ca="1">IFERROR(VLOOKUP(A795,'Tabela Categorização'!A:J,10,0),"")</f>
        <v/>
      </c>
    </row>
    <row r="796" spans="1:7" ht="12.5" x14ac:dyDescent="0.25">
      <c r="A796" s="27"/>
      <c r="B796" s="27"/>
      <c r="C796" s="27"/>
      <c r="D796" s="27"/>
      <c r="E796" s="27"/>
      <c r="F796" s="27" t="str">
        <f>IFERROR(VLOOKUP(A796,'Rede - Gerando Falcões '!A793:G1791,38,0),"")</f>
        <v/>
      </c>
      <c r="G796" s="27" t="str">
        <f ca="1">IFERROR(VLOOKUP(A796,'Tabela Categorização'!A:J,10,0),"")</f>
        <v/>
      </c>
    </row>
    <row r="797" spans="1:7" ht="12.5" x14ac:dyDescent="0.25">
      <c r="A797" s="27"/>
      <c r="B797" s="27"/>
      <c r="C797" s="27"/>
      <c r="D797" s="27"/>
      <c r="E797" s="27"/>
      <c r="F797" s="27" t="str">
        <f>IFERROR(VLOOKUP(A797,'Rede - Gerando Falcões '!A794:G1792,38,0),"")</f>
        <v/>
      </c>
      <c r="G797" s="27" t="str">
        <f ca="1">IFERROR(VLOOKUP(A797,'Tabela Categorização'!A:J,10,0),"")</f>
        <v/>
      </c>
    </row>
    <row r="798" spans="1:7" ht="12.5" x14ac:dyDescent="0.25">
      <c r="A798" s="27"/>
      <c r="B798" s="27"/>
      <c r="C798" s="27"/>
      <c r="D798" s="27"/>
      <c r="E798" s="27"/>
      <c r="F798" s="27" t="str">
        <f>IFERROR(VLOOKUP(A798,'Rede - Gerando Falcões '!A795:G1793,38,0),"")</f>
        <v/>
      </c>
      <c r="G798" s="27" t="str">
        <f ca="1">IFERROR(VLOOKUP(A798,'Tabela Categorização'!A:J,10,0),"")</f>
        <v/>
      </c>
    </row>
    <row r="799" spans="1:7" ht="12.5" x14ac:dyDescent="0.25">
      <c r="A799" s="27"/>
      <c r="B799" s="27"/>
      <c r="C799" s="27"/>
      <c r="D799" s="27"/>
      <c r="E799" s="27"/>
      <c r="F799" s="27" t="str">
        <f>IFERROR(VLOOKUP(A799,'Rede - Gerando Falcões '!A796:G1794,38,0),"")</f>
        <v/>
      </c>
      <c r="G799" s="27" t="str">
        <f ca="1">IFERROR(VLOOKUP(A799,'Tabela Categorização'!A:J,10,0),"")</f>
        <v/>
      </c>
    </row>
    <row r="800" spans="1:7" ht="12.5" x14ac:dyDescent="0.25">
      <c r="A800" s="27"/>
      <c r="B800" s="27"/>
      <c r="C800" s="27"/>
      <c r="D800" s="27"/>
      <c r="E800" s="27"/>
      <c r="F800" s="27" t="str">
        <f>IFERROR(VLOOKUP(A800,'Rede - Gerando Falcões '!A797:G1795,38,0),"")</f>
        <v/>
      </c>
      <c r="G800" s="27" t="str">
        <f ca="1">IFERROR(VLOOKUP(A800,'Tabela Categorização'!A:J,10,0),"")</f>
        <v/>
      </c>
    </row>
    <row r="801" spans="1:7" ht="12.5" x14ac:dyDescent="0.25">
      <c r="A801" s="27"/>
      <c r="B801" s="27"/>
      <c r="C801" s="27"/>
      <c r="D801" s="27"/>
      <c r="E801" s="27"/>
      <c r="F801" s="27" t="str">
        <f>IFERROR(VLOOKUP(A801,'Rede - Gerando Falcões '!A798:G1796,38,0),"")</f>
        <v/>
      </c>
      <c r="G801" s="27" t="str">
        <f ca="1">IFERROR(VLOOKUP(A801,'Tabela Categorização'!A:J,10,0),"")</f>
        <v/>
      </c>
    </row>
    <row r="802" spans="1:7" ht="12.5" x14ac:dyDescent="0.25">
      <c r="A802" s="27"/>
      <c r="B802" s="27"/>
      <c r="C802" s="27"/>
      <c r="D802" s="27"/>
      <c r="E802" s="27"/>
      <c r="F802" s="27" t="str">
        <f>IFERROR(VLOOKUP(A802,'Rede - Gerando Falcões '!A799:G1797,38,0),"")</f>
        <v/>
      </c>
      <c r="G802" s="27" t="str">
        <f ca="1">IFERROR(VLOOKUP(A802,'Tabela Categorização'!A:J,10,0),"")</f>
        <v/>
      </c>
    </row>
    <row r="803" spans="1:7" ht="12.5" x14ac:dyDescent="0.25">
      <c r="A803" s="27"/>
      <c r="B803" s="27"/>
      <c r="C803" s="27"/>
      <c r="D803" s="27"/>
      <c r="E803" s="27"/>
      <c r="F803" s="27" t="str">
        <f>IFERROR(VLOOKUP(A803,'Rede - Gerando Falcões '!A800:G1798,38,0),"")</f>
        <v/>
      </c>
      <c r="G803" s="27" t="str">
        <f ca="1">IFERROR(VLOOKUP(A803,'Tabela Categorização'!A:J,10,0),"")</f>
        <v/>
      </c>
    </row>
    <row r="804" spans="1:7" ht="12.5" x14ac:dyDescent="0.25">
      <c r="A804" s="27"/>
      <c r="B804" s="27"/>
      <c r="C804" s="27"/>
      <c r="D804" s="27"/>
      <c r="E804" s="27"/>
      <c r="F804" s="27" t="str">
        <f>IFERROR(VLOOKUP(A804,'Rede - Gerando Falcões '!A801:G1799,38,0),"")</f>
        <v/>
      </c>
      <c r="G804" s="27" t="str">
        <f ca="1">IFERROR(VLOOKUP(A804,'Tabela Categorização'!A:J,10,0),"")</f>
        <v/>
      </c>
    </row>
    <row r="805" spans="1:7" ht="12.5" x14ac:dyDescent="0.25">
      <c r="A805" s="27"/>
      <c r="B805" s="27"/>
      <c r="C805" s="27"/>
      <c r="D805" s="27"/>
      <c r="E805" s="27"/>
      <c r="F805" s="27" t="str">
        <f>IFERROR(VLOOKUP(A805,'Rede - Gerando Falcões '!A802:G1800,38,0),"")</f>
        <v/>
      </c>
      <c r="G805" s="27" t="str">
        <f ca="1">IFERROR(VLOOKUP(A805,'Tabela Categorização'!A:J,10,0),"")</f>
        <v/>
      </c>
    </row>
    <row r="806" spans="1:7" ht="12.5" x14ac:dyDescent="0.25">
      <c r="A806" s="27"/>
      <c r="B806" s="27"/>
      <c r="C806" s="27"/>
      <c r="D806" s="27"/>
      <c r="E806" s="27"/>
      <c r="F806" s="27" t="str">
        <f>IFERROR(VLOOKUP(A806,'Rede - Gerando Falcões '!A803:G1801,38,0),"")</f>
        <v/>
      </c>
      <c r="G806" s="27" t="str">
        <f ca="1">IFERROR(VLOOKUP(A806,'Tabela Categorização'!A:J,10,0),"")</f>
        <v/>
      </c>
    </row>
    <row r="807" spans="1:7" ht="12.5" x14ac:dyDescent="0.25">
      <c r="A807" s="27"/>
      <c r="B807" s="27"/>
      <c r="C807" s="27"/>
      <c r="D807" s="27"/>
      <c r="E807" s="27"/>
      <c r="F807" s="27" t="str">
        <f>IFERROR(VLOOKUP(A807,'Rede - Gerando Falcões '!A804:G1802,38,0),"")</f>
        <v/>
      </c>
      <c r="G807" s="27" t="str">
        <f ca="1">IFERROR(VLOOKUP(A807,'Tabela Categorização'!A:J,10,0),"")</f>
        <v/>
      </c>
    </row>
    <row r="808" spans="1:7" ht="12.5" x14ac:dyDescent="0.25">
      <c r="A808" s="27"/>
      <c r="B808" s="27"/>
      <c r="C808" s="27"/>
      <c r="D808" s="27"/>
      <c r="E808" s="27"/>
      <c r="F808" s="27" t="str">
        <f>IFERROR(VLOOKUP(A808,'Rede - Gerando Falcões '!A805:G1803,38,0),"")</f>
        <v/>
      </c>
      <c r="G808" s="27" t="str">
        <f ca="1">IFERROR(VLOOKUP(A808,'Tabela Categorização'!A:J,10,0),"")</f>
        <v/>
      </c>
    </row>
    <row r="809" spans="1:7" ht="12.5" x14ac:dyDescent="0.25">
      <c r="A809" s="27"/>
      <c r="B809" s="27"/>
      <c r="C809" s="27"/>
      <c r="D809" s="27"/>
      <c r="E809" s="27"/>
      <c r="F809" s="27" t="str">
        <f>IFERROR(VLOOKUP(A809,'Rede - Gerando Falcões '!A806:G1804,38,0),"")</f>
        <v/>
      </c>
      <c r="G809" s="27" t="str">
        <f ca="1">IFERROR(VLOOKUP(A809,'Tabela Categorização'!A:J,10,0),"")</f>
        <v/>
      </c>
    </row>
    <row r="810" spans="1:7" ht="12.5" x14ac:dyDescent="0.25">
      <c r="A810" s="27"/>
      <c r="B810" s="27"/>
      <c r="C810" s="27"/>
      <c r="D810" s="27"/>
      <c r="E810" s="27"/>
      <c r="F810" s="27" t="str">
        <f>IFERROR(VLOOKUP(A810,'Rede - Gerando Falcões '!A807:G1805,38,0),"")</f>
        <v/>
      </c>
      <c r="G810" s="27" t="str">
        <f ca="1">IFERROR(VLOOKUP(A810,'Tabela Categorização'!A:J,10,0),"")</f>
        <v/>
      </c>
    </row>
    <row r="811" spans="1:7" ht="12.5" x14ac:dyDescent="0.25">
      <c r="A811" s="27"/>
      <c r="B811" s="27"/>
      <c r="C811" s="27"/>
      <c r="D811" s="27"/>
      <c r="E811" s="27"/>
      <c r="F811" s="27" t="str">
        <f>IFERROR(VLOOKUP(A811,'Rede - Gerando Falcões '!A808:G1806,38,0),"")</f>
        <v/>
      </c>
      <c r="G811" s="27" t="str">
        <f ca="1">IFERROR(VLOOKUP(A811,'Tabela Categorização'!A:J,10,0),"")</f>
        <v/>
      </c>
    </row>
    <row r="812" spans="1:7" ht="12.5" x14ac:dyDescent="0.25">
      <c r="A812" s="27"/>
      <c r="B812" s="27"/>
      <c r="C812" s="27"/>
      <c r="D812" s="27"/>
      <c r="E812" s="27"/>
      <c r="F812" s="27" t="str">
        <f>IFERROR(VLOOKUP(A812,'Rede - Gerando Falcões '!A809:G1807,38,0),"")</f>
        <v/>
      </c>
      <c r="G812" s="27" t="str">
        <f ca="1">IFERROR(VLOOKUP(A812,'Tabela Categorização'!A:J,10,0),"")</f>
        <v/>
      </c>
    </row>
    <row r="813" spans="1:7" ht="12.5" x14ac:dyDescent="0.25">
      <c r="A813" s="27"/>
      <c r="B813" s="27"/>
      <c r="C813" s="27"/>
      <c r="D813" s="27"/>
      <c r="E813" s="27"/>
      <c r="F813" s="27" t="str">
        <f>IFERROR(VLOOKUP(A813,'Rede - Gerando Falcões '!A810:G1808,38,0),"")</f>
        <v/>
      </c>
      <c r="G813" s="27" t="str">
        <f ca="1">IFERROR(VLOOKUP(A813,'Tabela Categorização'!A:J,10,0),"")</f>
        <v/>
      </c>
    </row>
    <row r="814" spans="1:7" ht="12.5" x14ac:dyDescent="0.25">
      <c r="A814" s="27"/>
      <c r="B814" s="27"/>
      <c r="C814" s="27"/>
      <c r="D814" s="27"/>
      <c r="E814" s="27"/>
      <c r="F814" s="27" t="str">
        <f>IFERROR(VLOOKUP(A814,'Rede - Gerando Falcões '!A811:G1809,38,0),"")</f>
        <v/>
      </c>
      <c r="G814" s="27" t="str">
        <f ca="1">IFERROR(VLOOKUP(A814,'Tabela Categorização'!A:J,10,0),"")</f>
        <v/>
      </c>
    </row>
    <row r="815" spans="1:7" ht="12.5" x14ac:dyDescent="0.25">
      <c r="A815" s="27"/>
      <c r="B815" s="27"/>
      <c r="C815" s="27"/>
      <c r="D815" s="27"/>
      <c r="E815" s="27"/>
      <c r="F815" s="27" t="str">
        <f>IFERROR(VLOOKUP(A815,'Rede - Gerando Falcões '!A812:G1810,38,0),"")</f>
        <v/>
      </c>
      <c r="G815" s="27" t="str">
        <f ca="1">IFERROR(VLOOKUP(A815,'Tabela Categorização'!A:J,10,0),"")</f>
        <v/>
      </c>
    </row>
    <row r="816" spans="1:7" ht="12.5" x14ac:dyDescent="0.25">
      <c r="A816" s="27"/>
      <c r="B816" s="27"/>
      <c r="C816" s="27"/>
      <c r="D816" s="27"/>
      <c r="E816" s="27"/>
      <c r="F816" s="27" t="str">
        <f>IFERROR(VLOOKUP(A816,'Rede - Gerando Falcões '!A813:G1811,38,0),"")</f>
        <v/>
      </c>
      <c r="G816" s="27" t="str">
        <f ca="1">IFERROR(VLOOKUP(A816,'Tabela Categorização'!A:J,10,0),"")</f>
        <v/>
      </c>
    </row>
    <row r="817" spans="1:7" ht="12.5" x14ac:dyDescent="0.25">
      <c r="A817" s="27"/>
      <c r="B817" s="27"/>
      <c r="C817" s="27"/>
      <c r="D817" s="27"/>
      <c r="E817" s="27"/>
      <c r="F817" s="27" t="str">
        <f>IFERROR(VLOOKUP(A817,'Rede - Gerando Falcões '!A814:G1812,38,0),"")</f>
        <v/>
      </c>
      <c r="G817" s="27" t="str">
        <f ca="1">IFERROR(VLOOKUP(A817,'Tabela Categorização'!A:J,10,0),"")</f>
        <v/>
      </c>
    </row>
    <row r="818" spans="1:7" ht="12.5" x14ac:dyDescent="0.25">
      <c r="A818" s="27"/>
      <c r="B818" s="27"/>
      <c r="C818" s="27"/>
      <c r="D818" s="27"/>
      <c r="E818" s="27"/>
      <c r="F818" s="27" t="str">
        <f>IFERROR(VLOOKUP(A818,'Rede - Gerando Falcões '!A815:G1813,38,0),"")</f>
        <v/>
      </c>
      <c r="G818" s="27" t="str">
        <f ca="1">IFERROR(VLOOKUP(A818,'Tabela Categorização'!A:J,10,0),"")</f>
        <v/>
      </c>
    </row>
    <row r="819" spans="1:7" ht="12.5" x14ac:dyDescent="0.25">
      <c r="A819" s="27"/>
      <c r="B819" s="27"/>
      <c r="C819" s="27"/>
      <c r="D819" s="27"/>
      <c r="E819" s="27"/>
      <c r="F819" s="27" t="str">
        <f>IFERROR(VLOOKUP(A819,'Rede - Gerando Falcões '!A816:G1814,38,0),"")</f>
        <v/>
      </c>
      <c r="G819" s="27" t="str">
        <f ca="1">IFERROR(VLOOKUP(A819,'Tabela Categorização'!A:J,10,0),"")</f>
        <v/>
      </c>
    </row>
    <row r="820" spans="1:7" ht="12.5" x14ac:dyDescent="0.25">
      <c r="A820" s="27"/>
      <c r="B820" s="27"/>
      <c r="C820" s="27"/>
      <c r="D820" s="27"/>
      <c r="E820" s="27"/>
      <c r="F820" s="27" t="str">
        <f>IFERROR(VLOOKUP(A820,'Rede - Gerando Falcões '!A817:G1815,38,0),"")</f>
        <v/>
      </c>
      <c r="G820" s="27" t="str">
        <f ca="1">IFERROR(VLOOKUP(A820,'Tabela Categorização'!A:J,10,0),"")</f>
        <v/>
      </c>
    </row>
    <row r="821" spans="1:7" ht="12.5" x14ac:dyDescent="0.25">
      <c r="A821" s="27"/>
      <c r="B821" s="27"/>
      <c r="C821" s="27"/>
      <c r="D821" s="27"/>
      <c r="E821" s="27"/>
      <c r="F821" s="27" t="str">
        <f>IFERROR(VLOOKUP(A821,'Rede - Gerando Falcões '!A818:G1816,38,0),"")</f>
        <v/>
      </c>
      <c r="G821" s="27" t="str">
        <f ca="1">IFERROR(VLOOKUP(A821,'Tabela Categorização'!A:J,10,0),"")</f>
        <v/>
      </c>
    </row>
    <row r="822" spans="1:7" ht="12.5" x14ac:dyDescent="0.25">
      <c r="A822" s="27"/>
      <c r="B822" s="27"/>
      <c r="C822" s="27"/>
      <c r="D822" s="27"/>
      <c r="E822" s="27"/>
      <c r="F822" s="27" t="str">
        <f>IFERROR(VLOOKUP(A822,'Rede - Gerando Falcões '!A819:G1817,38,0),"")</f>
        <v/>
      </c>
      <c r="G822" s="27" t="str">
        <f ca="1">IFERROR(VLOOKUP(A822,'Tabela Categorização'!A:J,10,0),"")</f>
        <v/>
      </c>
    </row>
    <row r="823" spans="1:7" ht="12.5" x14ac:dyDescent="0.25">
      <c r="A823" s="27"/>
      <c r="B823" s="27"/>
      <c r="C823" s="27"/>
      <c r="D823" s="27"/>
      <c r="E823" s="27"/>
      <c r="F823" s="27" t="str">
        <f>IFERROR(VLOOKUP(A823,'Rede - Gerando Falcões '!A820:G1818,38,0),"")</f>
        <v/>
      </c>
      <c r="G823" s="27" t="str">
        <f ca="1">IFERROR(VLOOKUP(A823,'Tabela Categorização'!A:J,10,0),"")</f>
        <v/>
      </c>
    </row>
    <row r="824" spans="1:7" ht="12.5" x14ac:dyDescent="0.25">
      <c r="A824" s="27"/>
      <c r="B824" s="27"/>
      <c r="C824" s="27"/>
      <c r="D824" s="27"/>
      <c r="E824" s="27"/>
      <c r="F824" s="27" t="str">
        <f>IFERROR(VLOOKUP(A824,'Rede - Gerando Falcões '!A821:G1819,38,0),"")</f>
        <v/>
      </c>
      <c r="G824" s="27" t="str">
        <f ca="1">IFERROR(VLOOKUP(A824,'Tabela Categorização'!A:J,10,0),"")</f>
        <v/>
      </c>
    </row>
    <row r="825" spans="1:7" ht="12.5" x14ac:dyDescent="0.25">
      <c r="A825" s="27"/>
      <c r="B825" s="27"/>
      <c r="C825" s="27"/>
      <c r="D825" s="27"/>
      <c r="E825" s="27"/>
      <c r="F825" s="27" t="str">
        <f>IFERROR(VLOOKUP(A825,'Rede - Gerando Falcões '!A822:G1820,38,0),"")</f>
        <v/>
      </c>
      <c r="G825" s="27" t="str">
        <f ca="1">IFERROR(VLOOKUP(A825,'Tabela Categorização'!A:J,10,0),"")</f>
        <v/>
      </c>
    </row>
    <row r="826" spans="1:7" ht="12.5" x14ac:dyDescent="0.25">
      <c r="A826" s="27"/>
      <c r="B826" s="27"/>
      <c r="C826" s="27"/>
      <c r="D826" s="27"/>
      <c r="E826" s="27"/>
      <c r="F826" s="27" t="str">
        <f>IFERROR(VLOOKUP(A826,'Rede - Gerando Falcões '!A823:G1821,38,0),"")</f>
        <v/>
      </c>
      <c r="G826" s="27" t="str">
        <f ca="1">IFERROR(VLOOKUP(A826,'Tabela Categorização'!A:J,10,0),"")</f>
        <v/>
      </c>
    </row>
    <row r="827" spans="1:7" ht="12.5" x14ac:dyDescent="0.25">
      <c r="A827" s="27"/>
      <c r="B827" s="27"/>
      <c r="C827" s="27"/>
      <c r="D827" s="27"/>
      <c r="E827" s="27"/>
      <c r="F827" s="27" t="str">
        <f>IFERROR(VLOOKUP(A827,'Rede - Gerando Falcões '!A824:G1822,38,0),"")</f>
        <v/>
      </c>
      <c r="G827" s="27" t="str">
        <f ca="1">IFERROR(VLOOKUP(A827,'Tabela Categorização'!A:J,10,0),"")</f>
        <v/>
      </c>
    </row>
    <row r="828" spans="1:7" ht="12.5" x14ac:dyDescent="0.25">
      <c r="A828" s="27"/>
      <c r="B828" s="27"/>
      <c r="C828" s="27"/>
      <c r="D828" s="27"/>
      <c r="E828" s="27"/>
      <c r="F828" s="27" t="str">
        <f>IFERROR(VLOOKUP(A828,'Rede - Gerando Falcões '!A825:G1823,38,0),"")</f>
        <v/>
      </c>
      <c r="G828" s="27" t="str">
        <f ca="1">IFERROR(VLOOKUP(A828,'Tabela Categorização'!A:J,10,0),"")</f>
        <v/>
      </c>
    </row>
    <row r="829" spans="1:7" ht="12.5" x14ac:dyDescent="0.25">
      <c r="A829" s="27"/>
      <c r="B829" s="27"/>
      <c r="C829" s="27"/>
      <c r="D829" s="27"/>
      <c r="E829" s="27"/>
      <c r="F829" s="27" t="str">
        <f>IFERROR(VLOOKUP(A829,'Rede - Gerando Falcões '!A826:G1824,38,0),"")</f>
        <v/>
      </c>
      <c r="G829" s="27" t="str">
        <f ca="1">IFERROR(VLOOKUP(A829,'Tabela Categorização'!A:J,10,0),"")</f>
        <v/>
      </c>
    </row>
    <row r="830" spans="1:7" ht="12.5" x14ac:dyDescent="0.25">
      <c r="A830" s="27"/>
      <c r="B830" s="27"/>
      <c r="C830" s="27"/>
      <c r="D830" s="27"/>
      <c r="E830" s="27"/>
      <c r="F830" s="27" t="str">
        <f>IFERROR(VLOOKUP(A830,'Rede - Gerando Falcões '!A827:G1825,38,0),"")</f>
        <v/>
      </c>
      <c r="G830" s="27" t="str">
        <f ca="1">IFERROR(VLOOKUP(A830,'Tabela Categorização'!A:J,10,0),"")</f>
        <v/>
      </c>
    </row>
    <row r="831" spans="1:7" ht="12.5" x14ac:dyDescent="0.25">
      <c r="A831" s="27"/>
      <c r="B831" s="27"/>
      <c r="C831" s="27"/>
      <c r="D831" s="27"/>
      <c r="E831" s="27"/>
      <c r="F831" s="27" t="str">
        <f>IFERROR(VLOOKUP(A831,'Rede - Gerando Falcões '!A828:G1826,38,0),"")</f>
        <v/>
      </c>
      <c r="G831" s="27" t="str">
        <f ca="1">IFERROR(VLOOKUP(A831,'Tabela Categorização'!A:J,10,0),"")</f>
        <v/>
      </c>
    </row>
    <row r="832" spans="1:7" ht="12.5" x14ac:dyDescent="0.25">
      <c r="A832" s="27"/>
      <c r="B832" s="27"/>
      <c r="C832" s="27"/>
      <c r="D832" s="27"/>
      <c r="E832" s="27"/>
      <c r="F832" s="27" t="str">
        <f>IFERROR(VLOOKUP(A832,'Rede - Gerando Falcões '!A829:G1827,38,0),"")</f>
        <v/>
      </c>
      <c r="G832" s="27" t="str">
        <f ca="1">IFERROR(VLOOKUP(A832,'Tabela Categorização'!A:J,10,0),"")</f>
        <v/>
      </c>
    </row>
    <row r="833" spans="1:7" ht="12.5" x14ac:dyDescent="0.25">
      <c r="A833" s="27"/>
      <c r="B833" s="27"/>
      <c r="C833" s="27"/>
      <c r="D833" s="27"/>
      <c r="E833" s="27"/>
      <c r="F833" s="27" t="str">
        <f>IFERROR(VLOOKUP(A833,'Rede - Gerando Falcões '!A830:G1828,38,0),"")</f>
        <v/>
      </c>
      <c r="G833" s="27" t="str">
        <f ca="1">IFERROR(VLOOKUP(A833,'Tabela Categorização'!A:J,10,0),"")</f>
        <v/>
      </c>
    </row>
    <row r="834" spans="1:7" ht="12.5" x14ac:dyDescent="0.25">
      <c r="A834" s="27"/>
      <c r="B834" s="27"/>
      <c r="C834" s="27"/>
      <c r="D834" s="27"/>
      <c r="E834" s="27"/>
      <c r="F834" s="27" t="str">
        <f>IFERROR(VLOOKUP(A834,'Rede - Gerando Falcões '!A831:G1829,38,0),"")</f>
        <v/>
      </c>
      <c r="G834" s="27" t="str">
        <f ca="1">IFERROR(VLOOKUP(A834,'Tabela Categorização'!A:J,10,0),"")</f>
        <v/>
      </c>
    </row>
    <row r="835" spans="1:7" ht="12.5" x14ac:dyDescent="0.25">
      <c r="A835" s="27"/>
      <c r="B835" s="27"/>
      <c r="C835" s="27"/>
      <c r="D835" s="27"/>
      <c r="E835" s="27"/>
      <c r="F835" s="27" t="str">
        <f>IFERROR(VLOOKUP(A835,'Rede - Gerando Falcões '!A832:G1830,38,0),"")</f>
        <v/>
      </c>
      <c r="G835" s="27" t="str">
        <f ca="1">IFERROR(VLOOKUP(A835,'Tabela Categorização'!A:J,10,0),"")</f>
        <v/>
      </c>
    </row>
    <row r="836" spans="1:7" ht="12.5" x14ac:dyDescent="0.25">
      <c r="A836" s="27"/>
      <c r="B836" s="27"/>
      <c r="C836" s="27"/>
      <c r="D836" s="27"/>
      <c r="E836" s="27"/>
      <c r="F836" s="27" t="str">
        <f>IFERROR(VLOOKUP(A836,'Rede - Gerando Falcões '!A833:G1831,38,0),"")</f>
        <v/>
      </c>
      <c r="G836" s="27" t="str">
        <f ca="1">IFERROR(VLOOKUP(A836,'Tabela Categorização'!A:J,10,0),"")</f>
        <v/>
      </c>
    </row>
    <row r="837" spans="1:7" ht="12.5" x14ac:dyDescent="0.25">
      <c r="A837" s="27"/>
      <c r="B837" s="27"/>
      <c r="C837" s="27"/>
      <c r="D837" s="27"/>
      <c r="E837" s="27"/>
      <c r="F837" s="27" t="str">
        <f>IFERROR(VLOOKUP(A837,'Rede - Gerando Falcões '!A834:G1832,38,0),"")</f>
        <v/>
      </c>
      <c r="G837" s="27" t="str">
        <f ca="1">IFERROR(VLOOKUP(A837,'Tabela Categorização'!A:J,10,0),"")</f>
        <v/>
      </c>
    </row>
    <row r="838" spans="1:7" ht="12.5" x14ac:dyDescent="0.25">
      <c r="A838" s="27"/>
      <c r="B838" s="27"/>
      <c r="C838" s="27"/>
      <c r="D838" s="27"/>
      <c r="E838" s="27"/>
      <c r="F838" s="27" t="str">
        <f>IFERROR(VLOOKUP(A838,'Rede - Gerando Falcões '!A835:G1833,38,0),"")</f>
        <v/>
      </c>
      <c r="G838" s="27" t="str">
        <f ca="1">IFERROR(VLOOKUP(A838,'Tabela Categorização'!A:J,10,0),"")</f>
        <v/>
      </c>
    </row>
    <row r="839" spans="1:7" ht="12.5" x14ac:dyDescent="0.25">
      <c r="A839" s="27"/>
      <c r="B839" s="27"/>
      <c r="C839" s="27"/>
      <c r="D839" s="27"/>
      <c r="E839" s="27"/>
      <c r="F839" s="27" t="str">
        <f>IFERROR(VLOOKUP(A839,'Rede - Gerando Falcões '!A836:G1834,38,0),"")</f>
        <v/>
      </c>
      <c r="G839" s="27" t="str">
        <f ca="1">IFERROR(VLOOKUP(A839,'Tabela Categorização'!A:J,10,0),"")</f>
        <v/>
      </c>
    </row>
    <row r="840" spans="1:7" ht="12.5" x14ac:dyDescent="0.25">
      <c r="A840" s="27"/>
      <c r="B840" s="27"/>
      <c r="C840" s="27"/>
      <c r="D840" s="27"/>
      <c r="E840" s="27"/>
      <c r="F840" s="27" t="str">
        <f>IFERROR(VLOOKUP(A840,'Rede - Gerando Falcões '!A837:G1835,38,0),"")</f>
        <v/>
      </c>
      <c r="G840" s="27" t="str">
        <f ca="1">IFERROR(VLOOKUP(A840,'Tabela Categorização'!A:J,10,0),"")</f>
        <v/>
      </c>
    </row>
    <row r="841" spans="1:7" ht="12.5" x14ac:dyDescent="0.25">
      <c r="A841" s="27"/>
      <c r="B841" s="27"/>
      <c r="C841" s="27"/>
      <c r="D841" s="27"/>
      <c r="E841" s="27"/>
      <c r="F841" s="27" t="str">
        <f>IFERROR(VLOOKUP(A841,'Rede - Gerando Falcões '!A838:G1836,38,0),"")</f>
        <v/>
      </c>
      <c r="G841" s="27" t="str">
        <f ca="1">IFERROR(VLOOKUP(A841,'Tabela Categorização'!A:J,10,0),"")</f>
        <v/>
      </c>
    </row>
    <row r="842" spans="1:7" ht="12.5" x14ac:dyDescent="0.25">
      <c r="A842" s="27"/>
      <c r="B842" s="27"/>
      <c r="C842" s="27"/>
      <c r="D842" s="27"/>
      <c r="E842" s="27"/>
      <c r="F842" s="27" t="str">
        <f>IFERROR(VLOOKUP(A842,'Rede - Gerando Falcões '!A839:G1837,38,0),"")</f>
        <v/>
      </c>
      <c r="G842" s="27" t="str">
        <f ca="1">IFERROR(VLOOKUP(A842,'Tabela Categorização'!A:J,10,0),"")</f>
        <v/>
      </c>
    </row>
    <row r="843" spans="1:7" ht="12.5" x14ac:dyDescent="0.25">
      <c r="A843" s="27"/>
      <c r="B843" s="27"/>
      <c r="C843" s="27"/>
      <c r="D843" s="27"/>
      <c r="E843" s="27"/>
      <c r="F843" s="27" t="str">
        <f>IFERROR(VLOOKUP(A843,'Rede - Gerando Falcões '!A840:G1838,38,0),"")</f>
        <v/>
      </c>
      <c r="G843" s="27" t="str">
        <f ca="1">IFERROR(VLOOKUP(A843,'Tabela Categorização'!A:J,10,0),"")</f>
        <v/>
      </c>
    </row>
    <row r="844" spans="1:7" ht="12.5" x14ac:dyDescent="0.25">
      <c r="A844" s="27"/>
      <c r="B844" s="27"/>
      <c r="C844" s="27"/>
      <c r="D844" s="27"/>
      <c r="E844" s="27"/>
      <c r="F844" s="27" t="str">
        <f>IFERROR(VLOOKUP(A844,'Rede - Gerando Falcões '!A841:G1839,38,0),"")</f>
        <v/>
      </c>
      <c r="G844" s="27" t="str">
        <f ca="1">IFERROR(VLOOKUP(A844,'Tabela Categorização'!A:J,10,0),"")</f>
        <v/>
      </c>
    </row>
    <row r="845" spans="1:7" ht="12.5" x14ac:dyDescent="0.25">
      <c r="A845" s="27"/>
      <c r="B845" s="27"/>
      <c r="C845" s="27"/>
      <c r="D845" s="27"/>
      <c r="E845" s="27"/>
      <c r="F845" s="27" t="str">
        <f>IFERROR(VLOOKUP(A845,'Rede - Gerando Falcões '!A842:G1840,38,0),"")</f>
        <v/>
      </c>
      <c r="G845" s="27" t="str">
        <f ca="1">IFERROR(VLOOKUP(A845,'Tabela Categorização'!A:J,10,0),"")</f>
        <v/>
      </c>
    </row>
    <row r="846" spans="1:7" ht="12.5" x14ac:dyDescent="0.25">
      <c r="A846" s="27"/>
      <c r="B846" s="27"/>
      <c r="C846" s="27"/>
      <c r="D846" s="27"/>
      <c r="E846" s="27"/>
      <c r="F846" s="27" t="str">
        <f>IFERROR(VLOOKUP(A846,'Rede - Gerando Falcões '!A843:G1841,38,0),"")</f>
        <v/>
      </c>
      <c r="G846" s="27" t="str">
        <f ca="1">IFERROR(VLOOKUP(A846,'Tabela Categorização'!A:J,10,0),"")</f>
        <v/>
      </c>
    </row>
    <row r="847" spans="1:7" ht="12.5" x14ac:dyDescent="0.25">
      <c r="A847" s="27"/>
      <c r="B847" s="27"/>
      <c r="C847" s="27"/>
      <c r="D847" s="27"/>
      <c r="E847" s="27"/>
      <c r="F847" s="27" t="str">
        <f>IFERROR(VLOOKUP(A847,'Rede - Gerando Falcões '!A844:G1842,38,0),"")</f>
        <v/>
      </c>
      <c r="G847" s="27" t="str">
        <f ca="1">IFERROR(VLOOKUP(A847,'Tabela Categorização'!A:J,10,0),"")</f>
        <v/>
      </c>
    </row>
    <row r="848" spans="1:7" ht="12.5" x14ac:dyDescent="0.25">
      <c r="A848" s="27"/>
      <c r="B848" s="27"/>
      <c r="C848" s="27"/>
      <c r="D848" s="27"/>
      <c r="E848" s="27"/>
      <c r="F848" s="27" t="str">
        <f>IFERROR(VLOOKUP(A848,'Rede - Gerando Falcões '!A845:G1843,38,0),"")</f>
        <v/>
      </c>
      <c r="G848" s="27" t="str">
        <f ca="1">IFERROR(VLOOKUP(A848,'Tabela Categorização'!A:J,10,0),"")</f>
        <v/>
      </c>
    </row>
    <row r="849" spans="1:7" ht="12.5" x14ac:dyDescent="0.25">
      <c r="A849" s="27"/>
      <c r="B849" s="27"/>
      <c r="C849" s="27"/>
      <c r="D849" s="27"/>
      <c r="E849" s="27"/>
      <c r="F849" s="27" t="str">
        <f>IFERROR(VLOOKUP(A849,'Rede - Gerando Falcões '!A846:G1844,38,0),"")</f>
        <v/>
      </c>
      <c r="G849" s="27" t="str">
        <f ca="1">IFERROR(VLOOKUP(A849,'Tabela Categorização'!A:J,10,0),"")</f>
        <v/>
      </c>
    </row>
    <row r="850" spans="1:7" ht="12.5" x14ac:dyDescent="0.25">
      <c r="A850" s="27"/>
      <c r="B850" s="27"/>
      <c r="C850" s="27"/>
      <c r="D850" s="27"/>
      <c r="E850" s="27"/>
      <c r="F850" s="27" t="str">
        <f>IFERROR(VLOOKUP(A850,'Rede - Gerando Falcões '!A847:G1845,38,0),"")</f>
        <v/>
      </c>
      <c r="G850" s="27" t="str">
        <f ca="1">IFERROR(VLOOKUP(A850,'Tabela Categorização'!A:J,10,0),"")</f>
        <v/>
      </c>
    </row>
    <row r="851" spans="1:7" ht="12.5" x14ac:dyDescent="0.25">
      <c r="A851" s="27"/>
      <c r="B851" s="27"/>
      <c r="C851" s="27"/>
      <c r="D851" s="27"/>
      <c r="E851" s="27"/>
      <c r="F851" s="27" t="str">
        <f>IFERROR(VLOOKUP(A851,'Rede - Gerando Falcões '!A848:G1846,38,0),"")</f>
        <v/>
      </c>
      <c r="G851" s="27" t="str">
        <f ca="1">IFERROR(VLOOKUP(A851,'Tabela Categorização'!A:J,10,0),"")</f>
        <v/>
      </c>
    </row>
    <row r="852" spans="1:7" ht="12.5" x14ac:dyDescent="0.25">
      <c r="A852" s="27"/>
      <c r="B852" s="27"/>
      <c r="C852" s="27"/>
      <c r="D852" s="27"/>
      <c r="E852" s="27"/>
      <c r="F852" s="27" t="str">
        <f>IFERROR(VLOOKUP(A852,'Rede - Gerando Falcões '!A849:G1847,38,0),"")</f>
        <v/>
      </c>
      <c r="G852" s="27" t="str">
        <f ca="1">IFERROR(VLOOKUP(A852,'Tabela Categorização'!A:J,10,0),"")</f>
        <v/>
      </c>
    </row>
    <row r="853" spans="1:7" ht="12.5" x14ac:dyDescent="0.25">
      <c r="A853" s="27"/>
      <c r="B853" s="27"/>
      <c r="C853" s="27"/>
      <c r="D853" s="27"/>
      <c r="E853" s="27"/>
      <c r="F853" s="27" t="str">
        <f>IFERROR(VLOOKUP(A853,'Rede - Gerando Falcões '!A850:G1848,38,0),"")</f>
        <v/>
      </c>
      <c r="G853" s="27" t="str">
        <f ca="1">IFERROR(VLOOKUP(A853,'Tabela Categorização'!A:J,10,0),"")</f>
        <v/>
      </c>
    </row>
    <row r="854" spans="1:7" ht="12.5" x14ac:dyDescent="0.25">
      <c r="A854" s="27"/>
      <c r="B854" s="27"/>
      <c r="C854" s="27"/>
      <c r="D854" s="27"/>
      <c r="E854" s="27"/>
      <c r="F854" s="27" t="str">
        <f>IFERROR(VLOOKUP(A854,'Rede - Gerando Falcões '!A851:G1849,38,0),"")</f>
        <v/>
      </c>
      <c r="G854" s="27" t="str">
        <f ca="1">IFERROR(VLOOKUP(A854,'Tabela Categorização'!A:J,10,0),"")</f>
        <v/>
      </c>
    </row>
    <row r="855" spans="1:7" ht="12.5" x14ac:dyDescent="0.25">
      <c r="A855" s="27"/>
      <c r="B855" s="27"/>
      <c r="C855" s="27"/>
      <c r="D855" s="27"/>
      <c r="E855" s="27"/>
      <c r="F855" s="27" t="str">
        <f>IFERROR(VLOOKUP(A855,'Rede - Gerando Falcões '!A852:G1850,38,0),"")</f>
        <v/>
      </c>
      <c r="G855" s="27" t="str">
        <f ca="1">IFERROR(VLOOKUP(A855,'Tabela Categorização'!A:J,10,0),"")</f>
        <v/>
      </c>
    </row>
    <row r="856" spans="1:7" ht="12.5" x14ac:dyDescent="0.25">
      <c r="A856" s="27"/>
      <c r="B856" s="27"/>
      <c r="C856" s="27"/>
      <c r="D856" s="27"/>
      <c r="E856" s="27"/>
      <c r="F856" s="27" t="str">
        <f>IFERROR(VLOOKUP(A856,'Rede - Gerando Falcões '!A853:G1851,38,0),"")</f>
        <v/>
      </c>
      <c r="G856" s="27" t="str">
        <f ca="1">IFERROR(VLOOKUP(A856,'Tabela Categorização'!A:J,10,0),"")</f>
        <v/>
      </c>
    </row>
    <row r="857" spans="1:7" ht="12.5" x14ac:dyDescent="0.25">
      <c r="A857" s="27"/>
      <c r="B857" s="27"/>
      <c r="C857" s="27"/>
      <c r="D857" s="27"/>
      <c r="E857" s="27"/>
      <c r="F857" s="27" t="str">
        <f>IFERROR(VLOOKUP(A857,'Rede - Gerando Falcões '!A854:G1852,38,0),"")</f>
        <v/>
      </c>
      <c r="G857" s="27" t="str">
        <f ca="1">IFERROR(VLOOKUP(A857,'Tabela Categorização'!A:J,10,0),"")</f>
        <v/>
      </c>
    </row>
    <row r="858" spans="1:7" ht="12.5" x14ac:dyDescent="0.25">
      <c r="A858" s="27"/>
      <c r="B858" s="27"/>
      <c r="C858" s="27"/>
      <c r="D858" s="27"/>
      <c r="E858" s="27"/>
      <c r="F858" s="27" t="str">
        <f>IFERROR(VLOOKUP(A858,'Rede - Gerando Falcões '!A855:G1853,38,0),"")</f>
        <v/>
      </c>
      <c r="G858" s="27" t="str">
        <f ca="1">IFERROR(VLOOKUP(A858,'Tabela Categorização'!A:J,10,0),"")</f>
        <v/>
      </c>
    </row>
    <row r="859" spans="1:7" ht="12.5" x14ac:dyDescent="0.25">
      <c r="A859" s="27"/>
      <c r="B859" s="27"/>
      <c r="C859" s="27"/>
      <c r="D859" s="27"/>
      <c r="E859" s="27"/>
      <c r="F859" s="27" t="str">
        <f>IFERROR(VLOOKUP(A859,'Rede - Gerando Falcões '!A856:G1854,38,0),"")</f>
        <v/>
      </c>
      <c r="G859" s="27" t="str">
        <f ca="1">IFERROR(VLOOKUP(A859,'Tabela Categorização'!A:J,10,0),"")</f>
        <v/>
      </c>
    </row>
    <row r="860" spans="1:7" ht="12.5" x14ac:dyDescent="0.25">
      <c r="A860" s="27"/>
      <c r="B860" s="27"/>
      <c r="C860" s="27"/>
      <c r="D860" s="27"/>
      <c r="E860" s="27"/>
      <c r="F860" s="27" t="str">
        <f>IFERROR(VLOOKUP(A860,'Rede - Gerando Falcões '!A857:G1855,38,0),"")</f>
        <v/>
      </c>
      <c r="G860" s="27" t="str">
        <f ca="1">IFERROR(VLOOKUP(A860,'Tabela Categorização'!A:J,10,0),"")</f>
        <v/>
      </c>
    </row>
    <row r="861" spans="1:7" ht="12.5" x14ac:dyDescent="0.25">
      <c r="A861" s="27"/>
      <c r="B861" s="27"/>
      <c r="C861" s="27"/>
      <c r="D861" s="27"/>
      <c r="E861" s="27"/>
      <c r="F861" s="27" t="str">
        <f>IFERROR(VLOOKUP(A861,'Rede - Gerando Falcões '!A858:G1856,38,0),"")</f>
        <v/>
      </c>
      <c r="G861" s="27" t="str">
        <f ca="1">IFERROR(VLOOKUP(A861,'Tabela Categorização'!A:J,10,0),"")</f>
        <v/>
      </c>
    </row>
    <row r="862" spans="1:7" ht="12.5" x14ac:dyDescent="0.25">
      <c r="A862" s="27"/>
      <c r="B862" s="27"/>
      <c r="C862" s="27"/>
      <c r="D862" s="27"/>
      <c r="E862" s="27"/>
      <c r="F862" s="27" t="str">
        <f>IFERROR(VLOOKUP(A862,'Rede - Gerando Falcões '!A859:G1857,38,0),"")</f>
        <v/>
      </c>
      <c r="G862" s="27" t="str">
        <f ca="1">IFERROR(VLOOKUP(A862,'Tabela Categorização'!A:J,10,0),"")</f>
        <v/>
      </c>
    </row>
    <row r="863" spans="1:7" ht="12.5" x14ac:dyDescent="0.25">
      <c r="A863" s="27"/>
      <c r="B863" s="27"/>
      <c r="C863" s="27"/>
      <c r="D863" s="27"/>
      <c r="E863" s="27"/>
      <c r="F863" s="27" t="str">
        <f>IFERROR(VLOOKUP(A863,'Rede - Gerando Falcões '!A860:G1858,38,0),"")</f>
        <v/>
      </c>
      <c r="G863" s="27" t="str">
        <f ca="1">IFERROR(VLOOKUP(A863,'Tabela Categorização'!A:J,10,0),"")</f>
        <v/>
      </c>
    </row>
    <row r="864" spans="1:7" ht="12.5" x14ac:dyDescent="0.25">
      <c r="A864" s="27"/>
      <c r="B864" s="27"/>
      <c r="C864" s="27"/>
      <c r="D864" s="27"/>
      <c r="E864" s="27"/>
      <c r="F864" s="27" t="str">
        <f>IFERROR(VLOOKUP(A864,'Rede - Gerando Falcões '!A861:G1859,38,0),"")</f>
        <v/>
      </c>
      <c r="G864" s="27" t="str">
        <f ca="1">IFERROR(VLOOKUP(A864,'Tabela Categorização'!A:J,10,0),"")</f>
        <v/>
      </c>
    </row>
    <row r="865" spans="1:7" ht="12.5" x14ac:dyDescent="0.25">
      <c r="A865" s="27"/>
      <c r="B865" s="27"/>
      <c r="C865" s="27"/>
      <c r="D865" s="27"/>
      <c r="E865" s="27"/>
      <c r="F865" s="27" t="str">
        <f>IFERROR(VLOOKUP(A865,'Rede - Gerando Falcões '!A862:G1860,38,0),"")</f>
        <v/>
      </c>
      <c r="G865" s="27" t="str">
        <f ca="1">IFERROR(VLOOKUP(A865,'Tabela Categorização'!A:J,10,0),"")</f>
        <v/>
      </c>
    </row>
    <row r="866" spans="1:7" ht="12.5" x14ac:dyDescent="0.25">
      <c r="A866" s="27"/>
      <c r="B866" s="27"/>
      <c r="C866" s="27"/>
      <c r="D866" s="27"/>
      <c r="E866" s="27"/>
      <c r="F866" s="27" t="str">
        <f>IFERROR(VLOOKUP(A866,'Rede - Gerando Falcões '!A863:G1861,38,0),"")</f>
        <v/>
      </c>
      <c r="G866" s="27" t="str">
        <f ca="1">IFERROR(VLOOKUP(A866,'Tabela Categorização'!A:J,10,0),"")</f>
        <v/>
      </c>
    </row>
    <row r="867" spans="1:7" ht="12.5" x14ac:dyDescent="0.25">
      <c r="A867" s="27"/>
      <c r="B867" s="27"/>
      <c r="C867" s="27"/>
      <c r="D867" s="27"/>
      <c r="E867" s="27"/>
      <c r="F867" s="27" t="str">
        <f>IFERROR(VLOOKUP(A867,'Rede - Gerando Falcões '!A864:G1862,38,0),"")</f>
        <v/>
      </c>
      <c r="G867" s="27" t="str">
        <f ca="1">IFERROR(VLOOKUP(A867,'Tabela Categorização'!A:J,10,0),"")</f>
        <v/>
      </c>
    </row>
    <row r="868" spans="1:7" ht="12.5" x14ac:dyDescent="0.25">
      <c r="A868" s="27"/>
      <c r="B868" s="27"/>
      <c r="C868" s="27"/>
      <c r="D868" s="27"/>
      <c r="E868" s="27"/>
      <c r="F868" s="27" t="str">
        <f>IFERROR(VLOOKUP(A868,'Rede - Gerando Falcões '!A865:G1863,38,0),"")</f>
        <v/>
      </c>
      <c r="G868" s="27" t="str">
        <f ca="1">IFERROR(VLOOKUP(A868,'Tabela Categorização'!A:J,10,0),"")</f>
        <v/>
      </c>
    </row>
    <row r="869" spans="1:7" ht="12.5" x14ac:dyDescent="0.25">
      <c r="A869" s="27"/>
      <c r="B869" s="27"/>
      <c r="C869" s="27"/>
      <c r="D869" s="27"/>
      <c r="E869" s="27"/>
      <c r="F869" s="27" t="str">
        <f>IFERROR(VLOOKUP(A869,'Rede - Gerando Falcões '!A866:G1864,38,0),"")</f>
        <v/>
      </c>
      <c r="G869" s="27" t="str">
        <f ca="1">IFERROR(VLOOKUP(A869,'Tabela Categorização'!A:J,10,0),"")</f>
        <v/>
      </c>
    </row>
    <row r="870" spans="1:7" ht="12.5" x14ac:dyDescent="0.25">
      <c r="A870" s="27"/>
      <c r="B870" s="27"/>
      <c r="C870" s="27"/>
      <c r="D870" s="27"/>
      <c r="E870" s="27"/>
      <c r="F870" s="27" t="str">
        <f>IFERROR(VLOOKUP(A870,'Rede - Gerando Falcões '!A867:G1865,38,0),"")</f>
        <v/>
      </c>
      <c r="G870" s="27" t="str">
        <f ca="1">IFERROR(VLOOKUP(A870,'Tabela Categorização'!A:J,10,0),"")</f>
        <v/>
      </c>
    </row>
    <row r="871" spans="1:7" ht="12.5" x14ac:dyDescent="0.25">
      <c r="A871" s="27"/>
      <c r="B871" s="27"/>
      <c r="C871" s="27"/>
      <c r="D871" s="27"/>
      <c r="E871" s="27"/>
      <c r="F871" s="27" t="str">
        <f>IFERROR(VLOOKUP(A871,'Rede - Gerando Falcões '!A868:G1866,38,0),"")</f>
        <v/>
      </c>
      <c r="G871" s="27" t="str">
        <f ca="1">IFERROR(VLOOKUP(A871,'Tabela Categorização'!A:J,10,0),"")</f>
        <v/>
      </c>
    </row>
    <row r="872" spans="1:7" ht="12.5" x14ac:dyDescent="0.25">
      <c r="A872" s="27"/>
      <c r="B872" s="27"/>
      <c r="C872" s="27"/>
      <c r="D872" s="27"/>
      <c r="E872" s="27"/>
      <c r="F872" s="27" t="str">
        <f>IFERROR(VLOOKUP(A872,'Rede - Gerando Falcões '!A869:G1867,38,0),"")</f>
        <v/>
      </c>
      <c r="G872" s="27" t="str">
        <f ca="1">IFERROR(VLOOKUP(A872,'Tabela Categorização'!A:J,10,0),"")</f>
        <v/>
      </c>
    </row>
    <row r="873" spans="1:7" ht="12.5" x14ac:dyDescent="0.25">
      <c r="A873" s="27"/>
      <c r="B873" s="27"/>
      <c r="C873" s="27"/>
      <c r="D873" s="27"/>
      <c r="E873" s="27"/>
      <c r="F873" s="27" t="str">
        <f>IFERROR(VLOOKUP(A873,'Rede - Gerando Falcões '!A870:G1868,38,0),"")</f>
        <v/>
      </c>
      <c r="G873" s="27" t="str">
        <f ca="1">IFERROR(VLOOKUP(A873,'Tabela Categorização'!A:J,10,0),"")</f>
        <v/>
      </c>
    </row>
    <row r="874" spans="1:7" ht="12.5" x14ac:dyDescent="0.25">
      <c r="A874" s="27"/>
      <c r="B874" s="27"/>
      <c r="C874" s="27"/>
      <c r="D874" s="27"/>
      <c r="E874" s="27"/>
      <c r="F874" s="27" t="str">
        <f>IFERROR(VLOOKUP(A874,'Rede - Gerando Falcões '!A871:G1869,38,0),"")</f>
        <v/>
      </c>
      <c r="G874" s="27" t="str">
        <f ca="1">IFERROR(VLOOKUP(A874,'Tabela Categorização'!A:J,10,0),"")</f>
        <v/>
      </c>
    </row>
    <row r="875" spans="1:7" ht="12.5" x14ac:dyDescent="0.25">
      <c r="A875" s="27"/>
      <c r="B875" s="27"/>
      <c r="C875" s="27"/>
      <c r="D875" s="27"/>
      <c r="E875" s="27"/>
      <c r="F875" s="27" t="str">
        <f>IFERROR(VLOOKUP(A875,'Rede - Gerando Falcões '!A872:G1870,38,0),"")</f>
        <v/>
      </c>
      <c r="G875" s="27" t="str">
        <f ca="1">IFERROR(VLOOKUP(A875,'Tabela Categorização'!A:J,10,0),"")</f>
        <v/>
      </c>
    </row>
    <row r="876" spans="1:7" ht="12.5" x14ac:dyDescent="0.25">
      <c r="A876" s="27"/>
      <c r="B876" s="27"/>
      <c r="C876" s="27"/>
      <c r="D876" s="27"/>
      <c r="E876" s="27"/>
      <c r="F876" s="27" t="str">
        <f>IFERROR(VLOOKUP(A876,'Rede - Gerando Falcões '!A873:G1871,38,0),"")</f>
        <v/>
      </c>
      <c r="G876" s="27" t="str">
        <f ca="1">IFERROR(VLOOKUP(A876,'Tabela Categorização'!A:J,10,0),"")</f>
        <v/>
      </c>
    </row>
    <row r="877" spans="1:7" ht="12.5" x14ac:dyDescent="0.25">
      <c r="A877" s="27"/>
      <c r="B877" s="27"/>
      <c r="C877" s="27"/>
      <c r="D877" s="27"/>
      <c r="E877" s="27"/>
      <c r="F877" s="27" t="str">
        <f>IFERROR(VLOOKUP(A877,'Rede - Gerando Falcões '!A874:G1872,38,0),"")</f>
        <v/>
      </c>
      <c r="G877" s="27" t="str">
        <f ca="1">IFERROR(VLOOKUP(A877,'Tabela Categorização'!A:J,10,0),"")</f>
        <v/>
      </c>
    </row>
    <row r="878" spans="1:7" ht="12.5" x14ac:dyDescent="0.25">
      <c r="A878" s="27"/>
      <c r="B878" s="27"/>
      <c r="C878" s="27"/>
      <c r="D878" s="27"/>
      <c r="E878" s="27"/>
      <c r="F878" s="27" t="str">
        <f>IFERROR(VLOOKUP(A878,'Rede - Gerando Falcões '!A875:G1873,38,0),"")</f>
        <v/>
      </c>
      <c r="G878" s="27" t="str">
        <f ca="1">IFERROR(VLOOKUP(A878,'Tabela Categorização'!A:J,10,0),"")</f>
        <v/>
      </c>
    </row>
    <row r="879" spans="1:7" ht="12.5" x14ac:dyDescent="0.25">
      <c r="A879" s="27"/>
      <c r="B879" s="27"/>
      <c r="C879" s="27"/>
      <c r="D879" s="27"/>
      <c r="E879" s="27"/>
      <c r="F879" s="27" t="str">
        <f>IFERROR(VLOOKUP(A879,'Rede - Gerando Falcões '!A876:G1874,38,0),"")</f>
        <v/>
      </c>
      <c r="G879" s="27" t="str">
        <f ca="1">IFERROR(VLOOKUP(A879,'Tabela Categorização'!A:J,10,0),"")</f>
        <v/>
      </c>
    </row>
    <row r="880" spans="1:7" ht="12.5" x14ac:dyDescent="0.25">
      <c r="A880" s="27"/>
      <c r="B880" s="27"/>
      <c r="C880" s="27"/>
      <c r="D880" s="27"/>
      <c r="E880" s="27"/>
      <c r="F880" s="27" t="str">
        <f>IFERROR(VLOOKUP(A880,'Rede - Gerando Falcões '!A877:G1875,38,0),"")</f>
        <v/>
      </c>
      <c r="G880" s="27" t="str">
        <f ca="1">IFERROR(VLOOKUP(A880,'Tabela Categorização'!A:J,10,0),"")</f>
        <v/>
      </c>
    </row>
    <row r="881" spans="1:7" ht="12.5" x14ac:dyDescent="0.25">
      <c r="A881" s="27"/>
      <c r="B881" s="27"/>
      <c r="C881" s="27"/>
      <c r="D881" s="27"/>
      <c r="E881" s="27"/>
      <c r="F881" s="27" t="str">
        <f>IFERROR(VLOOKUP(A881,'Rede - Gerando Falcões '!A878:G1876,38,0),"")</f>
        <v/>
      </c>
      <c r="G881" s="27" t="str">
        <f ca="1">IFERROR(VLOOKUP(A881,'Tabela Categorização'!A:J,10,0),"")</f>
        <v/>
      </c>
    </row>
    <row r="882" spans="1:7" ht="12.5" x14ac:dyDescent="0.25">
      <c r="A882" s="27"/>
      <c r="B882" s="27"/>
      <c r="C882" s="27"/>
      <c r="D882" s="27"/>
      <c r="E882" s="27"/>
      <c r="F882" s="27" t="str">
        <f>IFERROR(VLOOKUP(A882,'Rede - Gerando Falcões '!A879:G1877,38,0),"")</f>
        <v/>
      </c>
      <c r="G882" s="27" t="str">
        <f ca="1">IFERROR(VLOOKUP(A882,'Tabela Categorização'!A:J,10,0),"")</f>
        <v/>
      </c>
    </row>
    <row r="883" spans="1:7" ht="12.5" x14ac:dyDescent="0.25">
      <c r="A883" s="27"/>
      <c r="B883" s="27"/>
      <c r="C883" s="27"/>
      <c r="D883" s="27"/>
      <c r="E883" s="27"/>
      <c r="F883" s="27" t="str">
        <f>IFERROR(VLOOKUP(A883,'Rede - Gerando Falcões '!A880:G1878,38,0),"")</f>
        <v/>
      </c>
      <c r="G883" s="27" t="str">
        <f ca="1">IFERROR(VLOOKUP(A883,'Tabela Categorização'!A:J,10,0),"")</f>
        <v/>
      </c>
    </row>
    <row r="884" spans="1:7" ht="12.5" x14ac:dyDescent="0.25">
      <c r="A884" s="27"/>
      <c r="B884" s="27"/>
      <c r="C884" s="27"/>
      <c r="D884" s="27"/>
      <c r="E884" s="27"/>
      <c r="F884" s="27" t="str">
        <f>IFERROR(VLOOKUP(A884,'Rede - Gerando Falcões '!A881:G1879,38,0),"")</f>
        <v/>
      </c>
      <c r="G884" s="27" t="str">
        <f ca="1">IFERROR(VLOOKUP(A884,'Tabela Categorização'!A:J,10,0),"")</f>
        <v/>
      </c>
    </row>
    <row r="885" spans="1:7" ht="12.5" x14ac:dyDescent="0.25">
      <c r="A885" s="27"/>
      <c r="B885" s="27"/>
      <c r="C885" s="27"/>
      <c r="D885" s="27"/>
      <c r="E885" s="27"/>
      <c r="F885" s="27" t="str">
        <f>IFERROR(VLOOKUP(A885,'Rede - Gerando Falcões '!A882:G1880,38,0),"")</f>
        <v/>
      </c>
      <c r="G885" s="27" t="str">
        <f ca="1">IFERROR(VLOOKUP(A885,'Tabela Categorização'!A:J,10,0),"")</f>
        <v/>
      </c>
    </row>
    <row r="886" spans="1:7" ht="12.5" x14ac:dyDescent="0.25">
      <c r="A886" s="27"/>
      <c r="B886" s="27"/>
      <c r="C886" s="27"/>
      <c r="D886" s="27"/>
      <c r="E886" s="27"/>
      <c r="F886" s="27" t="str">
        <f>IFERROR(VLOOKUP(A886,'Rede - Gerando Falcões '!A883:G1881,38,0),"")</f>
        <v/>
      </c>
      <c r="G886" s="27" t="str">
        <f ca="1">IFERROR(VLOOKUP(A886,'Tabela Categorização'!A:J,10,0),"")</f>
        <v/>
      </c>
    </row>
    <row r="887" spans="1:7" ht="12.5" x14ac:dyDescent="0.25">
      <c r="A887" s="27"/>
      <c r="B887" s="27"/>
      <c r="C887" s="27"/>
      <c r="D887" s="27"/>
      <c r="E887" s="27"/>
      <c r="F887" s="27" t="str">
        <f>IFERROR(VLOOKUP(A887,'Rede - Gerando Falcões '!A884:G1882,38,0),"")</f>
        <v/>
      </c>
      <c r="G887" s="27" t="str">
        <f ca="1">IFERROR(VLOOKUP(A887,'Tabela Categorização'!A:J,10,0),"")</f>
        <v/>
      </c>
    </row>
    <row r="888" spans="1:7" ht="12.5" x14ac:dyDescent="0.25">
      <c r="A888" s="27"/>
      <c r="B888" s="27"/>
      <c r="C888" s="27"/>
      <c r="D888" s="27"/>
      <c r="E888" s="27"/>
      <c r="F888" s="27" t="str">
        <f>IFERROR(VLOOKUP(A888,'Rede - Gerando Falcões '!A885:G1883,38,0),"")</f>
        <v/>
      </c>
      <c r="G888" s="27" t="str">
        <f ca="1">IFERROR(VLOOKUP(A888,'Tabela Categorização'!A:J,10,0),"")</f>
        <v/>
      </c>
    </row>
    <row r="889" spans="1:7" ht="12.5" x14ac:dyDescent="0.25">
      <c r="A889" s="27"/>
      <c r="B889" s="27"/>
      <c r="C889" s="27"/>
      <c r="D889" s="27"/>
      <c r="E889" s="27"/>
      <c r="F889" s="27" t="str">
        <f>IFERROR(VLOOKUP(A889,'Rede - Gerando Falcões '!A886:G1884,38,0),"")</f>
        <v/>
      </c>
      <c r="G889" s="27" t="str">
        <f ca="1">IFERROR(VLOOKUP(A889,'Tabela Categorização'!A:J,10,0),"")</f>
        <v/>
      </c>
    </row>
    <row r="890" spans="1:7" ht="12.5" x14ac:dyDescent="0.25">
      <c r="A890" s="27"/>
      <c r="B890" s="27"/>
      <c r="C890" s="27"/>
      <c r="D890" s="27"/>
      <c r="E890" s="27"/>
      <c r="F890" s="27" t="str">
        <f>IFERROR(VLOOKUP(A890,'Rede - Gerando Falcões '!A887:G1885,38,0),"")</f>
        <v/>
      </c>
      <c r="G890" s="27" t="str">
        <f ca="1">IFERROR(VLOOKUP(A890,'Tabela Categorização'!A:J,10,0),"")</f>
        <v/>
      </c>
    </row>
    <row r="891" spans="1:7" ht="12.5" x14ac:dyDescent="0.25">
      <c r="A891" s="27"/>
      <c r="B891" s="27"/>
      <c r="C891" s="27"/>
      <c r="D891" s="27"/>
      <c r="E891" s="27"/>
      <c r="F891" s="27" t="str">
        <f>IFERROR(VLOOKUP(A891,'Rede - Gerando Falcões '!A888:G1886,38,0),"")</f>
        <v/>
      </c>
      <c r="G891" s="27" t="str">
        <f ca="1">IFERROR(VLOOKUP(A891,'Tabela Categorização'!A:J,10,0),"")</f>
        <v/>
      </c>
    </row>
    <row r="892" spans="1:7" ht="12.5" x14ac:dyDescent="0.25">
      <c r="A892" s="27"/>
      <c r="B892" s="27"/>
      <c r="C892" s="27"/>
      <c r="D892" s="27"/>
      <c r="E892" s="27"/>
      <c r="F892" s="27" t="str">
        <f>IFERROR(VLOOKUP(A892,'Rede - Gerando Falcões '!A889:G1887,38,0),"")</f>
        <v/>
      </c>
      <c r="G892" s="27" t="str">
        <f ca="1">IFERROR(VLOOKUP(A892,'Tabela Categorização'!A:J,10,0),"")</f>
        <v/>
      </c>
    </row>
    <row r="893" spans="1:7" ht="12.5" x14ac:dyDescent="0.25">
      <c r="A893" s="27"/>
      <c r="B893" s="27"/>
      <c r="C893" s="27"/>
      <c r="D893" s="27"/>
      <c r="E893" s="27"/>
      <c r="F893" s="27" t="str">
        <f>IFERROR(VLOOKUP(A893,'Rede - Gerando Falcões '!A890:G1888,38,0),"")</f>
        <v/>
      </c>
      <c r="G893" s="27" t="str">
        <f ca="1">IFERROR(VLOOKUP(A893,'Tabela Categorização'!A:J,10,0),"")</f>
        <v/>
      </c>
    </row>
    <row r="894" spans="1:7" ht="12.5" x14ac:dyDescent="0.25">
      <c r="A894" s="27"/>
      <c r="B894" s="27"/>
      <c r="C894" s="27"/>
      <c r="D894" s="27"/>
      <c r="E894" s="27"/>
      <c r="F894" s="27" t="str">
        <f>IFERROR(VLOOKUP(A894,'Rede - Gerando Falcões '!A891:G1889,38,0),"")</f>
        <v/>
      </c>
      <c r="G894" s="27" t="str">
        <f ca="1">IFERROR(VLOOKUP(A894,'Tabela Categorização'!A:J,10,0),"")</f>
        <v/>
      </c>
    </row>
    <row r="895" spans="1:7" ht="12.5" x14ac:dyDescent="0.25">
      <c r="A895" s="27"/>
      <c r="B895" s="27"/>
      <c r="C895" s="27"/>
      <c r="D895" s="27"/>
      <c r="E895" s="27"/>
      <c r="F895" s="27" t="str">
        <f>IFERROR(VLOOKUP(A895,'Rede - Gerando Falcões '!A892:G1890,38,0),"")</f>
        <v/>
      </c>
      <c r="G895" s="27" t="str">
        <f ca="1">IFERROR(VLOOKUP(A895,'Tabela Categorização'!A:J,10,0),"")</f>
        <v/>
      </c>
    </row>
    <row r="896" spans="1:7" ht="12.5" x14ac:dyDescent="0.25">
      <c r="A896" s="27"/>
      <c r="B896" s="27"/>
      <c r="C896" s="27"/>
      <c r="D896" s="27"/>
      <c r="E896" s="27"/>
      <c r="F896" s="27" t="str">
        <f>IFERROR(VLOOKUP(A896,'Rede - Gerando Falcões '!A893:G1891,38,0),"")</f>
        <v/>
      </c>
      <c r="G896" s="27" t="str">
        <f ca="1">IFERROR(VLOOKUP(A896,'Tabela Categorização'!A:J,10,0),"")</f>
        <v/>
      </c>
    </row>
    <row r="897" spans="1:7" ht="12.5" x14ac:dyDescent="0.25">
      <c r="A897" s="27"/>
      <c r="B897" s="27"/>
      <c r="C897" s="27"/>
      <c r="D897" s="27"/>
      <c r="E897" s="27"/>
      <c r="F897" s="27" t="str">
        <f>IFERROR(VLOOKUP(A897,'Rede - Gerando Falcões '!A894:G1892,38,0),"")</f>
        <v/>
      </c>
      <c r="G897" s="27" t="str">
        <f ca="1">IFERROR(VLOOKUP(A897,'Tabela Categorização'!A:J,10,0),"")</f>
        <v/>
      </c>
    </row>
    <row r="898" spans="1:7" ht="12.5" x14ac:dyDescent="0.25">
      <c r="A898" s="27"/>
      <c r="B898" s="27"/>
      <c r="C898" s="27"/>
      <c r="D898" s="27"/>
      <c r="E898" s="27"/>
      <c r="F898" s="27" t="str">
        <f>IFERROR(VLOOKUP(A898,'Rede - Gerando Falcões '!A895:G1893,38,0),"")</f>
        <v/>
      </c>
      <c r="G898" s="27" t="str">
        <f ca="1">IFERROR(VLOOKUP(A898,'Tabela Categorização'!A:J,10,0),"")</f>
        <v/>
      </c>
    </row>
    <row r="899" spans="1:7" ht="12.5" x14ac:dyDescent="0.25">
      <c r="A899" s="27"/>
      <c r="B899" s="27"/>
      <c r="C899" s="27"/>
      <c r="D899" s="27"/>
      <c r="E899" s="27"/>
      <c r="F899" s="27" t="str">
        <f>IFERROR(VLOOKUP(A899,'Rede - Gerando Falcões '!A896:G1894,38,0),"")</f>
        <v/>
      </c>
      <c r="G899" s="27" t="str">
        <f ca="1">IFERROR(VLOOKUP(A899,'Tabela Categorização'!A:J,10,0),"")</f>
        <v/>
      </c>
    </row>
    <row r="900" spans="1:7" ht="12.5" x14ac:dyDescent="0.25">
      <c r="A900" s="27"/>
      <c r="B900" s="27"/>
      <c r="C900" s="27"/>
      <c r="D900" s="27"/>
      <c r="E900" s="27"/>
      <c r="F900" s="27" t="str">
        <f>IFERROR(VLOOKUP(A900,'Rede - Gerando Falcões '!A897:G1895,38,0),"")</f>
        <v/>
      </c>
      <c r="G900" s="27" t="str">
        <f ca="1">IFERROR(VLOOKUP(A900,'Tabela Categorização'!A:J,10,0),"")</f>
        <v/>
      </c>
    </row>
    <row r="901" spans="1:7" ht="12.5" x14ac:dyDescent="0.25">
      <c r="A901" s="27"/>
      <c r="B901" s="27"/>
      <c r="C901" s="27"/>
      <c r="D901" s="27"/>
      <c r="E901" s="27"/>
      <c r="F901" s="27" t="str">
        <f>IFERROR(VLOOKUP(A901,'Rede - Gerando Falcões '!A898:G1896,38,0),"")</f>
        <v/>
      </c>
      <c r="G901" s="27" t="str">
        <f ca="1">IFERROR(VLOOKUP(A901,'Tabela Categorização'!A:J,10,0),"")</f>
        <v/>
      </c>
    </row>
    <row r="902" spans="1:7" ht="12.5" x14ac:dyDescent="0.25">
      <c r="A902" s="27"/>
      <c r="B902" s="27"/>
      <c r="C902" s="27"/>
      <c r="D902" s="27"/>
      <c r="E902" s="27"/>
      <c r="F902" s="27" t="str">
        <f>IFERROR(VLOOKUP(A902,'Rede - Gerando Falcões '!A899:G1897,38,0),"")</f>
        <v/>
      </c>
      <c r="G902" s="27" t="str">
        <f ca="1">IFERROR(VLOOKUP(A902,'Tabela Categorização'!A:J,10,0),"")</f>
        <v/>
      </c>
    </row>
    <row r="903" spans="1:7" ht="12.5" x14ac:dyDescent="0.25">
      <c r="A903" s="27"/>
      <c r="B903" s="27"/>
      <c r="C903" s="27"/>
      <c r="D903" s="27"/>
      <c r="E903" s="27"/>
      <c r="F903" s="27" t="str">
        <f>IFERROR(VLOOKUP(A903,'Rede - Gerando Falcões '!A900:G1898,38,0),"")</f>
        <v/>
      </c>
      <c r="G903" s="27" t="str">
        <f ca="1">IFERROR(VLOOKUP(A903,'Tabela Categorização'!A:J,10,0),"")</f>
        <v/>
      </c>
    </row>
    <row r="904" spans="1:7" ht="12.5" x14ac:dyDescent="0.25">
      <c r="A904" s="27"/>
      <c r="B904" s="27"/>
      <c r="C904" s="27"/>
      <c r="D904" s="27"/>
      <c r="E904" s="27"/>
      <c r="F904" s="27" t="str">
        <f>IFERROR(VLOOKUP(A904,'Rede - Gerando Falcões '!A901:G1899,38,0),"")</f>
        <v/>
      </c>
      <c r="G904" s="27" t="str">
        <f ca="1">IFERROR(VLOOKUP(A904,'Tabela Categorização'!A:J,10,0),"")</f>
        <v/>
      </c>
    </row>
    <row r="905" spans="1:7" ht="12.5" x14ac:dyDescent="0.25">
      <c r="A905" s="27"/>
      <c r="B905" s="27"/>
      <c r="C905" s="27"/>
      <c r="D905" s="27"/>
      <c r="E905" s="27"/>
      <c r="F905" s="27" t="str">
        <f>IFERROR(VLOOKUP(A905,'Rede - Gerando Falcões '!A902:G1900,38,0),"")</f>
        <v/>
      </c>
      <c r="G905" s="27" t="str">
        <f ca="1">IFERROR(VLOOKUP(A905,'Tabela Categorização'!A:J,10,0),"")</f>
        <v/>
      </c>
    </row>
    <row r="906" spans="1:7" ht="12.5" x14ac:dyDescent="0.25">
      <c r="A906" s="27"/>
      <c r="B906" s="27"/>
      <c r="C906" s="27"/>
      <c r="D906" s="27"/>
      <c r="E906" s="27"/>
      <c r="F906" s="27" t="str">
        <f>IFERROR(VLOOKUP(A906,'Rede - Gerando Falcões '!A903:G1901,38,0),"")</f>
        <v/>
      </c>
      <c r="G906" s="27" t="str">
        <f ca="1">IFERROR(VLOOKUP(A906,'Tabela Categorização'!A:J,10,0),"")</f>
        <v/>
      </c>
    </row>
    <row r="907" spans="1:7" ht="12.5" x14ac:dyDescent="0.25">
      <c r="A907" s="27"/>
      <c r="B907" s="27"/>
      <c r="C907" s="27"/>
      <c r="D907" s="27"/>
      <c r="E907" s="27"/>
      <c r="F907" s="27" t="str">
        <f>IFERROR(VLOOKUP(A907,'Rede - Gerando Falcões '!A904:G1902,38,0),"")</f>
        <v/>
      </c>
      <c r="G907" s="27" t="str">
        <f ca="1">IFERROR(VLOOKUP(A907,'Tabela Categorização'!A:J,10,0),"")</f>
        <v/>
      </c>
    </row>
    <row r="908" spans="1:7" ht="12.5" x14ac:dyDescent="0.25">
      <c r="A908" s="27"/>
      <c r="B908" s="27"/>
      <c r="C908" s="27"/>
      <c r="D908" s="27"/>
      <c r="E908" s="27"/>
      <c r="F908" s="27" t="str">
        <f>IFERROR(VLOOKUP(A908,'Rede - Gerando Falcões '!A905:G1903,38,0),"")</f>
        <v/>
      </c>
      <c r="G908" s="27" t="str">
        <f ca="1">IFERROR(VLOOKUP(A908,'Tabela Categorização'!A:J,10,0),"")</f>
        <v/>
      </c>
    </row>
    <row r="909" spans="1:7" ht="12.5" x14ac:dyDescent="0.25">
      <c r="A909" s="27"/>
      <c r="B909" s="27"/>
      <c r="C909" s="27"/>
      <c r="D909" s="27"/>
      <c r="E909" s="27"/>
      <c r="F909" s="27" t="str">
        <f>IFERROR(VLOOKUP(A909,'Rede - Gerando Falcões '!A906:G1904,38,0),"")</f>
        <v/>
      </c>
      <c r="G909" s="27" t="str">
        <f ca="1">IFERROR(VLOOKUP(A909,'Tabela Categorização'!A:J,10,0),"")</f>
        <v/>
      </c>
    </row>
    <row r="910" spans="1:7" ht="12.5" x14ac:dyDescent="0.25">
      <c r="A910" s="27"/>
      <c r="B910" s="27"/>
      <c r="C910" s="27"/>
      <c r="D910" s="27"/>
      <c r="E910" s="27"/>
      <c r="F910" s="27" t="str">
        <f>IFERROR(VLOOKUP(A910,'Rede - Gerando Falcões '!A907:G1905,38,0),"")</f>
        <v/>
      </c>
      <c r="G910" s="27" t="str">
        <f ca="1">IFERROR(VLOOKUP(A910,'Tabela Categorização'!A:J,10,0),"")</f>
        <v/>
      </c>
    </row>
    <row r="911" spans="1:7" ht="12.5" x14ac:dyDescent="0.25">
      <c r="A911" s="27"/>
      <c r="B911" s="27"/>
      <c r="C911" s="27"/>
      <c r="D911" s="27"/>
      <c r="E911" s="27"/>
      <c r="F911" s="27" t="str">
        <f>IFERROR(VLOOKUP(A911,'Rede - Gerando Falcões '!A908:G1906,38,0),"")</f>
        <v/>
      </c>
      <c r="G911" s="27" t="str">
        <f ca="1">IFERROR(VLOOKUP(A911,'Tabela Categorização'!A:J,10,0),"")</f>
        <v/>
      </c>
    </row>
    <row r="912" spans="1:7" ht="12.5" x14ac:dyDescent="0.25">
      <c r="A912" s="27"/>
      <c r="B912" s="27"/>
      <c r="C912" s="27"/>
      <c r="D912" s="27"/>
      <c r="E912" s="27"/>
      <c r="F912" s="27" t="str">
        <f>IFERROR(VLOOKUP(A912,'Rede - Gerando Falcões '!A909:G1907,38,0),"")</f>
        <v/>
      </c>
      <c r="G912" s="27" t="str">
        <f ca="1">IFERROR(VLOOKUP(A912,'Tabela Categorização'!A:J,10,0),"")</f>
        <v/>
      </c>
    </row>
    <row r="913" spans="1:7" ht="12.5" x14ac:dyDescent="0.25">
      <c r="A913" s="27"/>
      <c r="B913" s="27"/>
      <c r="C913" s="27"/>
      <c r="D913" s="27"/>
      <c r="E913" s="27"/>
      <c r="F913" s="27" t="str">
        <f>IFERROR(VLOOKUP(A913,'Rede - Gerando Falcões '!A910:G1908,38,0),"")</f>
        <v/>
      </c>
      <c r="G913" s="27" t="str">
        <f ca="1">IFERROR(VLOOKUP(A913,'Tabela Categorização'!A:J,10,0),"")</f>
        <v/>
      </c>
    </row>
    <row r="914" spans="1:7" ht="12.5" x14ac:dyDescent="0.25">
      <c r="A914" s="27"/>
      <c r="B914" s="27"/>
      <c r="C914" s="27"/>
      <c r="D914" s="27"/>
      <c r="E914" s="27"/>
      <c r="F914" s="27" t="str">
        <f>IFERROR(VLOOKUP(A914,'Rede - Gerando Falcões '!A911:G1909,38,0),"")</f>
        <v/>
      </c>
      <c r="G914" s="27" t="str">
        <f ca="1">IFERROR(VLOOKUP(A914,'Tabela Categorização'!A:J,10,0),"")</f>
        <v/>
      </c>
    </row>
    <row r="915" spans="1:7" ht="12.5" x14ac:dyDescent="0.25">
      <c r="A915" s="27"/>
      <c r="B915" s="27"/>
      <c r="C915" s="27"/>
      <c r="D915" s="27"/>
      <c r="E915" s="27"/>
      <c r="F915" s="27" t="str">
        <f>IFERROR(VLOOKUP(A915,'Rede - Gerando Falcões '!A912:G1910,38,0),"")</f>
        <v/>
      </c>
      <c r="G915" s="27" t="str">
        <f ca="1">IFERROR(VLOOKUP(A915,'Tabela Categorização'!A:J,10,0),"")</f>
        <v/>
      </c>
    </row>
    <row r="916" spans="1:7" ht="12.5" x14ac:dyDescent="0.25">
      <c r="A916" s="27"/>
      <c r="B916" s="27"/>
      <c r="C916" s="27"/>
      <c r="D916" s="27"/>
      <c r="E916" s="27"/>
      <c r="F916" s="27" t="str">
        <f>IFERROR(VLOOKUP(A916,'Rede - Gerando Falcões '!A913:G1911,38,0),"")</f>
        <v/>
      </c>
      <c r="G916" s="27" t="str">
        <f ca="1">IFERROR(VLOOKUP(A916,'Tabela Categorização'!A:J,10,0),"")</f>
        <v/>
      </c>
    </row>
    <row r="917" spans="1:7" ht="12.5" x14ac:dyDescent="0.25">
      <c r="A917" s="27"/>
      <c r="B917" s="27"/>
      <c r="C917" s="27"/>
      <c r="D917" s="27"/>
      <c r="E917" s="27"/>
      <c r="F917" s="27" t="str">
        <f>IFERROR(VLOOKUP(A917,'Rede - Gerando Falcões '!A914:G1912,38,0),"")</f>
        <v/>
      </c>
      <c r="G917" s="27" t="str">
        <f ca="1">IFERROR(VLOOKUP(A917,'Tabela Categorização'!A:J,10,0),"")</f>
        <v/>
      </c>
    </row>
    <row r="918" spans="1:7" ht="12.5" x14ac:dyDescent="0.25">
      <c r="A918" s="27"/>
      <c r="B918" s="27"/>
      <c r="C918" s="27"/>
      <c r="D918" s="27"/>
      <c r="E918" s="27"/>
      <c r="F918" s="27" t="str">
        <f>IFERROR(VLOOKUP(A918,'Rede - Gerando Falcões '!A915:G1913,38,0),"")</f>
        <v/>
      </c>
      <c r="G918" s="27" t="str">
        <f ca="1">IFERROR(VLOOKUP(A918,'Tabela Categorização'!A:J,10,0),"")</f>
        <v/>
      </c>
    </row>
    <row r="919" spans="1:7" ht="12.5" x14ac:dyDescent="0.25">
      <c r="A919" s="27"/>
      <c r="B919" s="27"/>
      <c r="C919" s="27"/>
      <c r="D919" s="27"/>
      <c r="E919" s="27"/>
      <c r="F919" s="27" t="str">
        <f>IFERROR(VLOOKUP(A919,'Rede - Gerando Falcões '!A916:G1914,38,0),"")</f>
        <v/>
      </c>
      <c r="G919" s="27" t="str">
        <f ca="1">IFERROR(VLOOKUP(A919,'Tabela Categorização'!A:J,10,0),"")</f>
        <v/>
      </c>
    </row>
    <row r="920" spans="1:7" ht="12.5" x14ac:dyDescent="0.25">
      <c r="A920" s="27"/>
      <c r="B920" s="27"/>
      <c r="C920" s="27"/>
      <c r="D920" s="27"/>
      <c r="E920" s="27"/>
      <c r="F920" s="27" t="str">
        <f>IFERROR(VLOOKUP(A920,'Rede - Gerando Falcões '!A917:G1915,38,0),"")</f>
        <v/>
      </c>
      <c r="G920" s="27" t="str">
        <f ca="1">IFERROR(VLOOKUP(A920,'Tabela Categorização'!A:J,10,0),"")</f>
        <v/>
      </c>
    </row>
    <row r="921" spans="1:7" ht="12.5" x14ac:dyDescent="0.25">
      <c r="A921" s="27"/>
      <c r="B921" s="27"/>
      <c r="C921" s="27"/>
      <c r="D921" s="27"/>
      <c r="E921" s="27"/>
      <c r="F921" s="27" t="str">
        <f>IFERROR(VLOOKUP(A921,'Rede - Gerando Falcões '!A918:G1916,38,0),"")</f>
        <v/>
      </c>
      <c r="G921" s="27" t="str">
        <f ca="1">IFERROR(VLOOKUP(A921,'Tabela Categorização'!A:J,10,0),"")</f>
        <v/>
      </c>
    </row>
    <row r="922" spans="1:7" ht="12.5" x14ac:dyDescent="0.25">
      <c r="A922" s="27"/>
      <c r="B922" s="27"/>
      <c r="C922" s="27"/>
      <c r="D922" s="27"/>
      <c r="E922" s="27"/>
      <c r="F922" s="27" t="str">
        <f>IFERROR(VLOOKUP(A922,'Rede - Gerando Falcões '!A919:G1917,38,0),"")</f>
        <v/>
      </c>
      <c r="G922" s="27" t="str">
        <f ca="1">IFERROR(VLOOKUP(A922,'Tabela Categorização'!A:J,10,0),"")</f>
        <v/>
      </c>
    </row>
    <row r="923" spans="1:7" ht="12.5" x14ac:dyDescent="0.25">
      <c r="A923" s="27"/>
      <c r="B923" s="27"/>
      <c r="C923" s="27"/>
      <c r="D923" s="27"/>
      <c r="E923" s="27"/>
      <c r="F923" s="27" t="str">
        <f>IFERROR(VLOOKUP(A923,'Rede - Gerando Falcões '!A920:G1918,38,0),"")</f>
        <v/>
      </c>
      <c r="G923" s="27" t="str">
        <f ca="1">IFERROR(VLOOKUP(A923,'Tabela Categorização'!A:J,10,0),"")</f>
        <v/>
      </c>
    </row>
    <row r="924" spans="1:7" ht="12.5" x14ac:dyDescent="0.25">
      <c r="A924" s="27"/>
      <c r="B924" s="27"/>
      <c r="C924" s="27"/>
      <c r="D924" s="27"/>
      <c r="E924" s="27"/>
      <c r="F924" s="27" t="str">
        <f>IFERROR(VLOOKUP(A924,'Rede - Gerando Falcões '!A921:G1919,38,0),"")</f>
        <v/>
      </c>
      <c r="G924" s="27" t="str">
        <f ca="1">IFERROR(VLOOKUP(A924,'Tabela Categorização'!A:J,10,0),"")</f>
        <v/>
      </c>
    </row>
    <row r="925" spans="1:7" ht="12.5" x14ac:dyDescent="0.25">
      <c r="A925" s="27"/>
      <c r="B925" s="27"/>
      <c r="C925" s="27"/>
      <c r="D925" s="27"/>
      <c r="E925" s="27"/>
      <c r="F925" s="27" t="str">
        <f>IFERROR(VLOOKUP(A925,'Rede - Gerando Falcões '!A922:G1920,38,0),"")</f>
        <v/>
      </c>
      <c r="G925" s="27" t="str">
        <f ca="1">IFERROR(VLOOKUP(A925,'Tabela Categorização'!A:J,10,0),"")</f>
        <v/>
      </c>
    </row>
    <row r="926" spans="1:7" ht="12.5" x14ac:dyDescent="0.25">
      <c r="A926" s="27"/>
      <c r="B926" s="27"/>
      <c r="C926" s="27"/>
      <c r="D926" s="27"/>
      <c r="E926" s="27"/>
      <c r="F926" s="27" t="str">
        <f>IFERROR(VLOOKUP(A926,'Rede - Gerando Falcões '!A923:G1921,38,0),"")</f>
        <v/>
      </c>
      <c r="G926" s="27" t="str">
        <f ca="1">IFERROR(VLOOKUP(A926,'Tabela Categorização'!A:J,10,0),"")</f>
        <v/>
      </c>
    </row>
    <row r="927" spans="1:7" ht="12.5" x14ac:dyDescent="0.25">
      <c r="A927" s="27"/>
      <c r="B927" s="27"/>
      <c r="C927" s="27"/>
      <c r="D927" s="27"/>
      <c r="E927" s="27"/>
      <c r="F927" s="27" t="str">
        <f>IFERROR(VLOOKUP(A927,'Rede - Gerando Falcões '!A924:G1922,38,0),"")</f>
        <v/>
      </c>
      <c r="G927" s="27" t="str">
        <f ca="1">IFERROR(VLOOKUP(A927,'Tabela Categorização'!A:J,10,0),"")</f>
        <v/>
      </c>
    </row>
    <row r="928" spans="1:7" ht="12.5" x14ac:dyDescent="0.25">
      <c r="A928" s="27"/>
      <c r="B928" s="27"/>
      <c r="C928" s="27"/>
      <c r="D928" s="27"/>
      <c r="E928" s="27"/>
      <c r="F928" s="27" t="str">
        <f>IFERROR(VLOOKUP(A928,'Rede - Gerando Falcões '!A925:G1923,38,0),"")</f>
        <v/>
      </c>
      <c r="G928" s="27" t="str">
        <f ca="1">IFERROR(VLOOKUP(A928,'Tabela Categorização'!A:J,10,0),"")</f>
        <v/>
      </c>
    </row>
    <row r="929" spans="1:7" ht="12.5" x14ac:dyDescent="0.25">
      <c r="A929" s="27"/>
      <c r="B929" s="27"/>
      <c r="C929" s="27"/>
      <c r="D929" s="27"/>
      <c r="E929" s="27"/>
      <c r="F929" s="27" t="str">
        <f>IFERROR(VLOOKUP(A929,'Rede - Gerando Falcões '!A926:G1924,38,0),"")</f>
        <v/>
      </c>
      <c r="G929" s="27" t="str">
        <f ca="1">IFERROR(VLOOKUP(A929,'Tabela Categorização'!A:J,10,0),"")</f>
        <v/>
      </c>
    </row>
    <row r="930" spans="1:7" ht="12.5" x14ac:dyDescent="0.25">
      <c r="A930" s="27"/>
      <c r="B930" s="27"/>
      <c r="C930" s="27"/>
      <c r="D930" s="27"/>
      <c r="E930" s="27"/>
      <c r="F930" s="27" t="str">
        <f>IFERROR(VLOOKUP(A930,'Rede - Gerando Falcões '!A927:G1925,38,0),"")</f>
        <v/>
      </c>
      <c r="G930" s="27" t="str">
        <f ca="1">IFERROR(VLOOKUP(A930,'Tabela Categorização'!A:J,10,0),"")</f>
        <v/>
      </c>
    </row>
    <row r="931" spans="1:7" ht="12.5" x14ac:dyDescent="0.25">
      <c r="A931" s="27"/>
      <c r="B931" s="27"/>
      <c r="C931" s="27"/>
      <c r="D931" s="27"/>
      <c r="E931" s="27"/>
      <c r="F931" s="27" t="str">
        <f>IFERROR(VLOOKUP(A931,'Rede - Gerando Falcões '!A928:G1926,38,0),"")</f>
        <v/>
      </c>
      <c r="G931" s="27" t="str">
        <f ca="1">IFERROR(VLOOKUP(A931,'Tabela Categorização'!A:J,10,0),"")</f>
        <v/>
      </c>
    </row>
    <row r="932" spans="1:7" ht="12.5" x14ac:dyDescent="0.25">
      <c r="A932" s="27"/>
      <c r="B932" s="27"/>
      <c r="C932" s="27"/>
      <c r="D932" s="27"/>
      <c r="E932" s="27"/>
      <c r="F932" s="27" t="str">
        <f>IFERROR(VLOOKUP(A932,'Rede - Gerando Falcões '!A929:G1927,38,0),"")</f>
        <v/>
      </c>
      <c r="G932" s="27" t="str">
        <f ca="1">IFERROR(VLOOKUP(A932,'Tabela Categorização'!A:J,10,0),"")</f>
        <v/>
      </c>
    </row>
    <row r="933" spans="1:7" ht="12.5" x14ac:dyDescent="0.25">
      <c r="A933" s="27"/>
      <c r="B933" s="27"/>
      <c r="C933" s="27"/>
      <c r="D933" s="27"/>
      <c r="E933" s="27"/>
      <c r="F933" s="27" t="str">
        <f>IFERROR(VLOOKUP(A933,'Rede - Gerando Falcões '!A930:G1928,38,0),"")</f>
        <v/>
      </c>
      <c r="G933" s="27" t="str">
        <f ca="1">IFERROR(VLOOKUP(A933,'Tabela Categorização'!A:J,10,0),"")</f>
        <v/>
      </c>
    </row>
    <row r="934" spans="1:7" ht="12.5" x14ac:dyDescent="0.25">
      <c r="A934" s="27"/>
      <c r="B934" s="27"/>
      <c r="C934" s="27"/>
      <c r="D934" s="27"/>
      <c r="E934" s="27"/>
      <c r="F934" s="27" t="str">
        <f>IFERROR(VLOOKUP(A934,'Rede - Gerando Falcões '!A931:G1929,38,0),"")</f>
        <v/>
      </c>
      <c r="G934" s="27" t="str">
        <f ca="1">IFERROR(VLOOKUP(A934,'Tabela Categorização'!A:J,10,0),"")</f>
        <v/>
      </c>
    </row>
    <row r="935" spans="1:7" ht="12.5" x14ac:dyDescent="0.25">
      <c r="A935" s="27"/>
      <c r="B935" s="27"/>
      <c r="C935" s="27"/>
      <c r="D935" s="27"/>
      <c r="E935" s="27"/>
      <c r="F935" s="27" t="str">
        <f>IFERROR(VLOOKUP(A935,'Rede - Gerando Falcões '!A932:G1930,38,0),"")</f>
        <v/>
      </c>
      <c r="G935" s="27" t="str">
        <f ca="1">IFERROR(VLOOKUP(A935,'Tabela Categorização'!A:J,10,0),"")</f>
        <v/>
      </c>
    </row>
    <row r="936" spans="1:7" ht="12.5" x14ac:dyDescent="0.25">
      <c r="A936" s="27"/>
      <c r="B936" s="27"/>
      <c r="C936" s="27"/>
      <c r="D936" s="27"/>
      <c r="E936" s="27"/>
      <c r="F936" s="27" t="str">
        <f>IFERROR(VLOOKUP(A936,'Rede - Gerando Falcões '!A933:G1931,38,0),"")</f>
        <v/>
      </c>
      <c r="G936" s="27" t="str">
        <f ca="1">IFERROR(VLOOKUP(A936,'Tabela Categorização'!A:J,10,0),"")</f>
        <v/>
      </c>
    </row>
    <row r="937" spans="1:7" ht="12.5" x14ac:dyDescent="0.25">
      <c r="A937" s="27"/>
      <c r="B937" s="27"/>
      <c r="C937" s="27"/>
      <c r="D937" s="27"/>
      <c r="E937" s="27"/>
      <c r="F937" s="27" t="str">
        <f>IFERROR(VLOOKUP(A937,'Rede - Gerando Falcões '!A934:G1932,38,0),"")</f>
        <v/>
      </c>
      <c r="G937" s="27" t="str">
        <f ca="1">IFERROR(VLOOKUP(A937,'Tabela Categorização'!A:J,10,0),"")</f>
        <v/>
      </c>
    </row>
    <row r="938" spans="1:7" ht="12.5" x14ac:dyDescent="0.25">
      <c r="A938" s="27"/>
      <c r="B938" s="27"/>
      <c r="C938" s="27"/>
      <c r="D938" s="27"/>
      <c r="E938" s="27"/>
      <c r="F938" s="27" t="str">
        <f>IFERROR(VLOOKUP(A938,'Rede - Gerando Falcões '!A935:G1933,38,0),"")</f>
        <v/>
      </c>
      <c r="G938" s="27" t="str">
        <f ca="1">IFERROR(VLOOKUP(A938,'Tabela Categorização'!A:J,10,0),"")</f>
        <v/>
      </c>
    </row>
    <row r="939" spans="1:7" ht="12.5" x14ac:dyDescent="0.25">
      <c r="A939" s="27"/>
      <c r="B939" s="27"/>
      <c r="C939" s="27"/>
      <c r="D939" s="27"/>
      <c r="E939" s="27"/>
      <c r="F939" s="27" t="str">
        <f>IFERROR(VLOOKUP(A939,'Rede - Gerando Falcões '!A936:G1934,38,0),"")</f>
        <v/>
      </c>
      <c r="G939" s="27" t="str">
        <f ca="1">IFERROR(VLOOKUP(A939,'Tabela Categorização'!A:J,10,0),"")</f>
        <v/>
      </c>
    </row>
    <row r="940" spans="1:7" ht="12.5" x14ac:dyDescent="0.25">
      <c r="A940" s="27"/>
      <c r="B940" s="27"/>
      <c r="C940" s="27"/>
      <c r="D940" s="27"/>
      <c r="E940" s="27"/>
      <c r="F940" s="27" t="str">
        <f>IFERROR(VLOOKUP(A940,'Rede - Gerando Falcões '!A937:G1935,38,0),"")</f>
        <v/>
      </c>
      <c r="G940" s="27" t="str">
        <f ca="1">IFERROR(VLOOKUP(A940,'Tabela Categorização'!A:J,10,0),"")</f>
        <v/>
      </c>
    </row>
    <row r="941" spans="1:7" ht="12.5" x14ac:dyDescent="0.25">
      <c r="A941" s="27"/>
      <c r="B941" s="27"/>
      <c r="C941" s="27"/>
      <c r="D941" s="27"/>
      <c r="E941" s="27"/>
      <c r="F941" s="27" t="str">
        <f>IFERROR(VLOOKUP(A941,'Rede - Gerando Falcões '!A938:G1936,38,0),"")</f>
        <v/>
      </c>
      <c r="G941" s="27" t="str">
        <f ca="1">IFERROR(VLOOKUP(A941,'Tabela Categorização'!A:J,10,0),"")</f>
        <v/>
      </c>
    </row>
    <row r="942" spans="1:7" ht="12.5" x14ac:dyDescent="0.25">
      <c r="A942" s="27"/>
      <c r="B942" s="27"/>
      <c r="C942" s="27"/>
      <c r="D942" s="27"/>
      <c r="E942" s="27"/>
      <c r="F942" s="27" t="str">
        <f>IFERROR(VLOOKUP(A942,'Rede - Gerando Falcões '!A939:G1937,38,0),"")</f>
        <v/>
      </c>
      <c r="G942" s="27" t="str">
        <f ca="1">IFERROR(VLOOKUP(A942,'Tabela Categorização'!A:J,10,0),"")</f>
        <v/>
      </c>
    </row>
    <row r="943" spans="1:7" ht="12.5" x14ac:dyDescent="0.25">
      <c r="A943" s="27"/>
      <c r="B943" s="27"/>
      <c r="C943" s="27"/>
      <c r="D943" s="27"/>
      <c r="E943" s="27"/>
      <c r="F943" s="27" t="str">
        <f>IFERROR(VLOOKUP(A943,'Rede - Gerando Falcões '!A940:G1938,38,0),"")</f>
        <v/>
      </c>
      <c r="G943" s="27" t="str">
        <f ca="1">IFERROR(VLOOKUP(A943,'Tabela Categorização'!A:J,10,0),"")</f>
        <v/>
      </c>
    </row>
    <row r="944" spans="1:7" ht="12.5" x14ac:dyDescent="0.25">
      <c r="A944" s="27"/>
      <c r="B944" s="27"/>
      <c r="C944" s="27"/>
      <c r="D944" s="27"/>
      <c r="E944" s="27"/>
      <c r="F944" s="27" t="str">
        <f>IFERROR(VLOOKUP(A944,'Rede - Gerando Falcões '!A941:G1939,38,0),"")</f>
        <v/>
      </c>
      <c r="G944" s="27" t="str">
        <f ca="1">IFERROR(VLOOKUP(A944,'Tabela Categorização'!A:J,10,0),"")</f>
        <v/>
      </c>
    </row>
    <row r="945" spans="1:7" ht="12.5" x14ac:dyDescent="0.25">
      <c r="A945" s="27"/>
      <c r="B945" s="27"/>
      <c r="C945" s="27"/>
      <c r="D945" s="27"/>
      <c r="E945" s="27"/>
      <c r="F945" s="27" t="str">
        <f>IFERROR(VLOOKUP(A945,'Rede - Gerando Falcões '!A942:G1940,38,0),"")</f>
        <v/>
      </c>
      <c r="G945" s="27" t="str">
        <f ca="1">IFERROR(VLOOKUP(A945,'Tabela Categorização'!A:J,10,0),"")</f>
        <v/>
      </c>
    </row>
    <row r="946" spans="1:7" ht="12.5" x14ac:dyDescent="0.25">
      <c r="A946" s="27"/>
      <c r="B946" s="27"/>
      <c r="C946" s="27"/>
      <c r="D946" s="27"/>
      <c r="E946" s="27"/>
      <c r="F946" s="27" t="str">
        <f>IFERROR(VLOOKUP(A946,'Rede - Gerando Falcões '!A943:G1941,38,0),"")</f>
        <v/>
      </c>
      <c r="G946" s="27" t="str">
        <f ca="1">IFERROR(VLOOKUP(A946,'Tabela Categorização'!A:J,10,0),"")</f>
        <v/>
      </c>
    </row>
    <row r="947" spans="1:7" ht="12.5" x14ac:dyDescent="0.25">
      <c r="A947" s="27"/>
      <c r="B947" s="27"/>
      <c r="C947" s="27"/>
      <c r="D947" s="27"/>
      <c r="E947" s="27"/>
      <c r="F947" s="27" t="str">
        <f>IFERROR(VLOOKUP(A947,'Rede - Gerando Falcões '!A944:G1942,38,0),"")</f>
        <v/>
      </c>
      <c r="G947" s="27" t="str">
        <f ca="1">IFERROR(VLOOKUP(A947,'Tabela Categorização'!A:J,10,0),"")</f>
        <v/>
      </c>
    </row>
    <row r="948" spans="1:7" ht="12.5" x14ac:dyDescent="0.25">
      <c r="A948" s="27"/>
      <c r="B948" s="27"/>
      <c r="C948" s="27"/>
      <c r="D948" s="27"/>
      <c r="E948" s="27"/>
      <c r="F948" s="27" t="str">
        <f>IFERROR(VLOOKUP(A948,'Rede - Gerando Falcões '!A945:G1943,38,0),"")</f>
        <v/>
      </c>
      <c r="G948" s="27" t="str">
        <f ca="1">IFERROR(VLOOKUP(A948,'Tabela Categorização'!A:J,10,0),"")</f>
        <v/>
      </c>
    </row>
    <row r="949" spans="1:7" ht="12.5" x14ac:dyDescent="0.25">
      <c r="A949" s="27"/>
      <c r="B949" s="27"/>
      <c r="C949" s="27"/>
      <c r="D949" s="27"/>
      <c r="E949" s="27"/>
      <c r="F949" s="27" t="str">
        <f>IFERROR(VLOOKUP(A949,'Rede - Gerando Falcões '!A946:G1944,38,0),"")</f>
        <v/>
      </c>
      <c r="G949" s="27" t="str">
        <f ca="1">IFERROR(VLOOKUP(A949,'Tabela Categorização'!A:J,10,0),"")</f>
        <v/>
      </c>
    </row>
    <row r="950" spans="1:7" ht="12.5" x14ac:dyDescent="0.25">
      <c r="A950" s="27"/>
      <c r="B950" s="27"/>
      <c r="C950" s="27"/>
      <c r="D950" s="27"/>
      <c r="E950" s="27"/>
      <c r="F950" s="27" t="str">
        <f>IFERROR(VLOOKUP(A950,'Rede - Gerando Falcões '!A947:G1945,38,0),"")</f>
        <v/>
      </c>
      <c r="G950" s="27" t="str">
        <f ca="1">IFERROR(VLOOKUP(A950,'Tabela Categorização'!A:J,10,0),"")</f>
        <v/>
      </c>
    </row>
    <row r="951" spans="1:7" ht="12.5" x14ac:dyDescent="0.25">
      <c r="A951" s="27"/>
      <c r="B951" s="27"/>
      <c r="C951" s="27"/>
      <c r="D951" s="27"/>
      <c r="E951" s="27"/>
      <c r="F951" s="27" t="str">
        <f>IFERROR(VLOOKUP(A951,'Rede - Gerando Falcões '!A948:G1946,38,0),"")</f>
        <v/>
      </c>
      <c r="G951" s="27" t="str">
        <f ca="1">IFERROR(VLOOKUP(A951,'Tabela Categorização'!A:J,10,0),"")</f>
        <v/>
      </c>
    </row>
    <row r="952" spans="1:7" ht="12.5" x14ac:dyDescent="0.25">
      <c r="A952" s="27"/>
      <c r="B952" s="27"/>
      <c r="C952" s="27"/>
      <c r="D952" s="27"/>
      <c r="E952" s="27"/>
      <c r="F952" s="27" t="str">
        <f>IFERROR(VLOOKUP(A952,'Rede - Gerando Falcões '!A949:G1947,38,0),"")</f>
        <v/>
      </c>
      <c r="G952" s="27" t="str">
        <f ca="1">IFERROR(VLOOKUP(A952,'Tabela Categorização'!A:J,10,0),"")</f>
        <v/>
      </c>
    </row>
    <row r="953" spans="1:7" ht="12.5" x14ac:dyDescent="0.25">
      <c r="A953" s="27"/>
      <c r="B953" s="27"/>
      <c r="C953" s="27"/>
      <c r="D953" s="27"/>
      <c r="E953" s="27"/>
      <c r="F953" s="27" t="str">
        <f>IFERROR(VLOOKUP(A953,'Rede - Gerando Falcões '!A950:G1948,38,0),"")</f>
        <v/>
      </c>
      <c r="G953" s="27" t="str">
        <f ca="1">IFERROR(VLOOKUP(A953,'Tabela Categorização'!A:J,10,0),"")</f>
        <v/>
      </c>
    </row>
    <row r="954" spans="1:7" ht="12.5" x14ac:dyDescent="0.25">
      <c r="A954" s="27"/>
      <c r="B954" s="27"/>
      <c r="C954" s="27"/>
      <c r="D954" s="27"/>
      <c r="E954" s="27"/>
      <c r="F954" s="27" t="str">
        <f>IFERROR(VLOOKUP(A954,'Rede - Gerando Falcões '!A951:G1949,38,0),"")</f>
        <v/>
      </c>
      <c r="G954" s="27" t="str">
        <f ca="1">IFERROR(VLOOKUP(A954,'Tabela Categorização'!A:J,10,0),"")</f>
        <v/>
      </c>
    </row>
    <row r="955" spans="1:7" ht="12.5" x14ac:dyDescent="0.25">
      <c r="A955" s="27"/>
      <c r="B955" s="27"/>
      <c r="C955" s="27"/>
      <c r="D955" s="27"/>
      <c r="E955" s="27"/>
      <c r="F955" s="27" t="str">
        <f>IFERROR(VLOOKUP(A955,'Rede - Gerando Falcões '!A952:G1950,38,0),"")</f>
        <v/>
      </c>
      <c r="G955" s="27" t="str">
        <f ca="1">IFERROR(VLOOKUP(A955,'Tabela Categorização'!A:J,10,0),"")</f>
        <v/>
      </c>
    </row>
    <row r="956" spans="1:7" ht="12.5" x14ac:dyDescent="0.25">
      <c r="A956" s="27"/>
      <c r="B956" s="27"/>
      <c r="C956" s="27"/>
      <c r="D956" s="27"/>
      <c r="E956" s="27"/>
      <c r="F956" s="27" t="str">
        <f>IFERROR(VLOOKUP(A956,'Rede - Gerando Falcões '!A953:G1951,38,0),"")</f>
        <v/>
      </c>
      <c r="G956" s="27" t="str">
        <f ca="1">IFERROR(VLOOKUP(A956,'Tabela Categorização'!A:J,10,0),"")</f>
        <v/>
      </c>
    </row>
    <row r="957" spans="1:7" ht="12.5" x14ac:dyDescent="0.25">
      <c r="A957" s="27"/>
      <c r="B957" s="27"/>
      <c r="C957" s="27"/>
      <c r="D957" s="27"/>
      <c r="E957" s="27"/>
      <c r="F957" s="27" t="str">
        <f>IFERROR(VLOOKUP(A957,'Rede - Gerando Falcões '!A954:G1952,38,0),"")</f>
        <v/>
      </c>
      <c r="G957" s="27" t="str">
        <f ca="1">IFERROR(VLOOKUP(A957,'Tabela Categorização'!A:J,10,0),"")</f>
        <v/>
      </c>
    </row>
    <row r="958" spans="1:7" ht="12.5" x14ac:dyDescent="0.25">
      <c r="A958" s="27"/>
      <c r="B958" s="27"/>
      <c r="C958" s="27"/>
      <c r="D958" s="27"/>
      <c r="E958" s="27"/>
      <c r="F958" s="27" t="str">
        <f>IFERROR(VLOOKUP(A958,'Rede - Gerando Falcões '!A955:G1953,38,0),"")</f>
        <v/>
      </c>
      <c r="G958" s="27" t="str">
        <f ca="1">IFERROR(VLOOKUP(A958,'Tabela Categorização'!A:J,10,0),"")</f>
        <v/>
      </c>
    </row>
    <row r="959" spans="1:7" ht="12.5" x14ac:dyDescent="0.25">
      <c r="A959" s="27"/>
      <c r="B959" s="27"/>
      <c r="C959" s="27"/>
      <c r="D959" s="27"/>
      <c r="E959" s="27"/>
      <c r="F959" s="27" t="str">
        <f>IFERROR(VLOOKUP(A959,'Rede - Gerando Falcões '!A956:G1954,38,0),"")</f>
        <v/>
      </c>
      <c r="G959" s="27" t="str">
        <f ca="1">IFERROR(VLOOKUP(A959,'Tabela Categorização'!A:J,10,0),"")</f>
        <v/>
      </c>
    </row>
    <row r="960" spans="1:7" ht="12.5" x14ac:dyDescent="0.25">
      <c r="A960" s="27"/>
      <c r="B960" s="27"/>
      <c r="C960" s="27"/>
      <c r="D960" s="27"/>
      <c r="E960" s="27"/>
      <c r="F960" s="27" t="str">
        <f>IFERROR(VLOOKUP(A960,'Rede - Gerando Falcões '!A957:G1955,38,0),"")</f>
        <v/>
      </c>
      <c r="G960" s="27" t="str">
        <f ca="1">IFERROR(VLOOKUP(A960,'Tabela Categorização'!A:J,10,0),"")</f>
        <v/>
      </c>
    </row>
    <row r="961" spans="1:7" ht="12.5" x14ac:dyDescent="0.25">
      <c r="A961" s="27"/>
      <c r="B961" s="27"/>
      <c r="C961" s="27"/>
      <c r="D961" s="27"/>
      <c r="E961" s="27"/>
      <c r="F961" s="27" t="str">
        <f>IFERROR(VLOOKUP(A961,'Rede - Gerando Falcões '!A958:G1956,38,0),"")</f>
        <v/>
      </c>
      <c r="G961" s="27" t="str">
        <f ca="1">IFERROR(VLOOKUP(A961,'Tabela Categorização'!A:J,10,0),"")</f>
        <v/>
      </c>
    </row>
    <row r="962" spans="1:7" ht="12.5" x14ac:dyDescent="0.25">
      <c r="A962" s="27"/>
      <c r="B962" s="27"/>
      <c r="C962" s="27"/>
      <c r="D962" s="27"/>
      <c r="E962" s="27"/>
      <c r="F962" s="27" t="str">
        <f>IFERROR(VLOOKUP(A962,'Rede - Gerando Falcões '!A959:G1957,38,0),"")</f>
        <v/>
      </c>
      <c r="G962" s="27" t="str">
        <f ca="1">IFERROR(VLOOKUP(A962,'Tabela Categorização'!A:J,10,0),"")</f>
        <v/>
      </c>
    </row>
    <row r="963" spans="1:7" ht="12.5" x14ac:dyDescent="0.25">
      <c r="A963" s="27"/>
      <c r="B963" s="27"/>
      <c r="C963" s="27"/>
      <c r="D963" s="27"/>
      <c r="E963" s="27"/>
      <c r="F963" s="27" t="str">
        <f>IFERROR(VLOOKUP(A963,'Rede - Gerando Falcões '!A960:G1958,38,0),"")</f>
        <v/>
      </c>
      <c r="G963" s="27" t="str">
        <f ca="1">IFERROR(VLOOKUP(A963,'Tabela Categorização'!A:J,10,0),"")</f>
        <v/>
      </c>
    </row>
    <row r="964" spans="1:7" ht="12.5" x14ac:dyDescent="0.25">
      <c r="A964" s="27"/>
      <c r="B964" s="27"/>
      <c r="C964" s="27"/>
      <c r="D964" s="27"/>
      <c r="E964" s="27"/>
      <c r="F964" s="27" t="str">
        <f>IFERROR(VLOOKUP(A964,'Rede - Gerando Falcões '!A961:G1959,38,0),"")</f>
        <v/>
      </c>
      <c r="G964" s="27" t="str">
        <f ca="1">IFERROR(VLOOKUP(A964,'Tabela Categorização'!A:J,10,0),"")</f>
        <v/>
      </c>
    </row>
    <row r="965" spans="1:7" ht="12.5" x14ac:dyDescent="0.25">
      <c r="A965" s="27"/>
      <c r="B965" s="27"/>
      <c r="C965" s="27"/>
      <c r="D965" s="27"/>
      <c r="E965" s="27"/>
      <c r="F965" s="27" t="str">
        <f>IFERROR(VLOOKUP(A965,'Rede - Gerando Falcões '!A962:G1960,38,0),"")</f>
        <v/>
      </c>
      <c r="G965" s="27" t="str">
        <f ca="1">IFERROR(VLOOKUP(A965,'Tabela Categorização'!A:J,10,0),"")</f>
        <v/>
      </c>
    </row>
    <row r="966" spans="1:7" ht="12.5" x14ac:dyDescent="0.25">
      <c r="A966" s="27"/>
      <c r="B966" s="27"/>
      <c r="C966" s="27"/>
      <c r="D966" s="27"/>
      <c r="E966" s="27"/>
      <c r="F966" s="27" t="str">
        <f>IFERROR(VLOOKUP(A966,'Rede - Gerando Falcões '!A963:G1961,38,0),"")</f>
        <v/>
      </c>
      <c r="G966" s="27" t="str">
        <f ca="1">IFERROR(VLOOKUP(A966,'Tabela Categorização'!A:J,10,0),"")</f>
        <v/>
      </c>
    </row>
    <row r="967" spans="1:7" ht="12.5" x14ac:dyDescent="0.25">
      <c r="A967" s="27"/>
      <c r="B967" s="27"/>
      <c r="C967" s="27"/>
      <c r="D967" s="27"/>
      <c r="E967" s="27"/>
      <c r="F967" s="27" t="str">
        <f>IFERROR(VLOOKUP(A967,'Rede - Gerando Falcões '!A964:G1962,38,0),"")</f>
        <v/>
      </c>
      <c r="G967" s="27" t="str">
        <f ca="1">IFERROR(VLOOKUP(A967,'Tabela Categorização'!A:J,10,0),"")</f>
        <v/>
      </c>
    </row>
    <row r="968" spans="1:7" ht="12.5" x14ac:dyDescent="0.25">
      <c r="A968" s="27"/>
      <c r="B968" s="27"/>
      <c r="C968" s="27"/>
      <c r="D968" s="27"/>
      <c r="E968" s="27"/>
      <c r="F968" s="27" t="str">
        <f>IFERROR(VLOOKUP(A968,'Rede - Gerando Falcões '!A965:G1963,38,0),"")</f>
        <v/>
      </c>
      <c r="G968" s="27" t="str">
        <f ca="1">IFERROR(VLOOKUP(A968,'Tabela Categorização'!A:J,10,0),"")</f>
        <v/>
      </c>
    </row>
    <row r="969" spans="1:7" ht="12.5" x14ac:dyDescent="0.25">
      <c r="A969" s="27"/>
      <c r="B969" s="27"/>
      <c r="C969" s="27"/>
      <c r="D969" s="27"/>
      <c r="E969" s="27"/>
      <c r="F969" s="27" t="str">
        <f>IFERROR(VLOOKUP(A969,'Rede - Gerando Falcões '!A966:G1964,38,0),"")</f>
        <v/>
      </c>
      <c r="G969" s="27" t="str">
        <f ca="1">IFERROR(VLOOKUP(A969,'Tabela Categorização'!A:J,10,0),"")</f>
        <v/>
      </c>
    </row>
    <row r="970" spans="1:7" ht="12.5" x14ac:dyDescent="0.25">
      <c r="A970" s="27"/>
      <c r="B970" s="27"/>
      <c r="C970" s="27"/>
      <c r="D970" s="27"/>
      <c r="E970" s="27"/>
      <c r="F970" s="27" t="str">
        <f>IFERROR(VLOOKUP(A970,'Rede - Gerando Falcões '!A967:G1965,38,0),"")</f>
        <v/>
      </c>
      <c r="G970" s="27" t="str">
        <f ca="1">IFERROR(VLOOKUP(A970,'Tabela Categorização'!A:J,10,0),"")</f>
        <v/>
      </c>
    </row>
    <row r="971" spans="1:7" ht="12.5" x14ac:dyDescent="0.25">
      <c r="A971" s="27"/>
      <c r="B971" s="27"/>
      <c r="C971" s="27"/>
      <c r="D971" s="27"/>
      <c r="E971" s="27"/>
      <c r="F971" s="27" t="str">
        <f>IFERROR(VLOOKUP(A971,'Rede - Gerando Falcões '!A968:G1966,38,0),"")</f>
        <v/>
      </c>
      <c r="G971" s="27" t="str">
        <f ca="1">IFERROR(VLOOKUP(A971,'Tabela Categorização'!A:J,10,0),"")</f>
        <v/>
      </c>
    </row>
    <row r="972" spans="1:7" ht="12.5" x14ac:dyDescent="0.25">
      <c r="A972" s="27"/>
      <c r="B972" s="27"/>
      <c r="C972" s="27"/>
      <c r="D972" s="27"/>
      <c r="E972" s="27"/>
      <c r="F972" s="27" t="str">
        <f>IFERROR(VLOOKUP(A972,'Rede - Gerando Falcões '!A969:G1967,38,0),"")</f>
        <v/>
      </c>
      <c r="G972" s="27" t="str">
        <f ca="1">IFERROR(VLOOKUP(A972,'Tabela Categorização'!A:J,10,0),"")</f>
        <v/>
      </c>
    </row>
    <row r="973" spans="1:7" ht="12.5" x14ac:dyDescent="0.25">
      <c r="A973" s="27"/>
      <c r="B973" s="27"/>
      <c r="C973" s="27"/>
      <c r="D973" s="27"/>
      <c r="E973" s="27"/>
      <c r="F973" s="27" t="str">
        <f>IFERROR(VLOOKUP(A973,'Rede - Gerando Falcões '!A970:G1968,38,0),"")</f>
        <v/>
      </c>
      <c r="G973" s="27" t="str">
        <f ca="1">IFERROR(VLOOKUP(A973,'Tabela Categorização'!A:J,10,0),"")</f>
        <v/>
      </c>
    </row>
    <row r="974" spans="1:7" ht="12.5" x14ac:dyDescent="0.25">
      <c r="A974" s="27"/>
      <c r="B974" s="27"/>
      <c r="C974" s="27"/>
      <c r="D974" s="27"/>
      <c r="E974" s="27"/>
      <c r="F974" s="27" t="str">
        <f>IFERROR(VLOOKUP(A974,'Rede - Gerando Falcões '!A971:G1969,38,0),"")</f>
        <v/>
      </c>
      <c r="G974" s="27" t="str">
        <f ca="1">IFERROR(VLOOKUP(A974,'Tabela Categorização'!A:J,10,0),"")</f>
        <v/>
      </c>
    </row>
    <row r="975" spans="1:7" ht="12.5" x14ac:dyDescent="0.25">
      <c r="A975" s="27"/>
      <c r="B975" s="27"/>
      <c r="C975" s="27"/>
      <c r="D975" s="27"/>
      <c r="E975" s="27"/>
      <c r="F975" s="27" t="str">
        <f>IFERROR(VLOOKUP(A975,'Rede - Gerando Falcões '!A972:G1970,38,0),"")</f>
        <v/>
      </c>
      <c r="G975" s="27" t="str">
        <f ca="1">IFERROR(VLOOKUP(A975,'Tabela Categorização'!A:J,10,0),"")</f>
        <v/>
      </c>
    </row>
    <row r="976" spans="1:7" ht="12.5" x14ac:dyDescent="0.25">
      <c r="A976" s="27"/>
      <c r="B976" s="27"/>
      <c r="C976" s="27"/>
      <c r="D976" s="27"/>
      <c r="E976" s="27"/>
      <c r="F976" s="27" t="str">
        <f>IFERROR(VLOOKUP(A976,'Rede - Gerando Falcões '!A973:G1971,38,0),"")</f>
        <v/>
      </c>
      <c r="G976" s="27" t="str">
        <f ca="1">IFERROR(VLOOKUP(A976,'Tabela Categorização'!A:J,10,0),"")</f>
        <v/>
      </c>
    </row>
    <row r="977" spans="1:7" ht="12.5" x14ac:dyDescent="0.25">
      <c r="A977" s="27"/>
      <c r="B977" s="27"/>
      <c r="C977" s="27"/>
      <c r="D977" s="27"/>
      <c r="E977" s="27"/>
      <c r="F977" s="27" t="str">
        <f>IFERROR(VLOOKUP(A977,'Rede - Gerando Falcões '!A974:G1972,38,0),"")</f>
        <v/>
      </c>
      <c r="G977" s="27" t="str">
        <f ca="1">IFERROR(VLOOKUP(A977,'Tabela Categorização'!A:J,10,0),"")</f>
        <v/>
      </c>
    </row>
    <row r="978" spans="1:7" ht="12.5" x14ac:dyDescent="0.25">
      <c r="A978" s="27"/>
      <c r="B978" s="27"/>
      <c r="C978" s="27"/>
      <c r="D978" s="27"/>
      <c r="E978" s="27"/>
      <c r="F978" s="27" t="str">
        <f>IFERROR(VLOOKUP(A978,'Rede - Gerando Falcões '!A975:G1973,38,0),"")</f>
        <v/>
      </c>
      <c r="G978" s="27" t="str">
        <f ca="1">IFERROR(VLOOKUP(A978,'Tabela Categorização'!A:J,10,0),"")</f>
        <v/>
      </c>
    </row>
    <row r="979" spans="1:7" ht="12.5" x14ac:dyDescent="0.25">
      <c r="A979" s="27"/>
      <c r="B979" s="27"/>
      <c r="C979" s="27"/>
      <c r="D979" s="27"/>
      <c r="E979" s="27"/>
      <c r="F979" s="27" t="str">
        <f>IFERROR(VLOOKUP(A979,'Rede - Gerando Falcões '!A976:G1974,38,0),"")</f>
        <v/>
      </c>
      <c r="G979" s="27" t="str">
        <f ca="1">IFERROR(VLOOKUP(A979,'Tabela Categorização'!A:J,10,0),"")</f>
        <v/>
      </c>
    </row>
    <row r="980" spans="1:7" ht="12.5" x14ac:dyDescent="0.25">
      <c r="A980" s="27"/>
      <c r="B980" s="27"/>
      <c r="C980" s="27"/>
      <c r="D980" s="27"/>
      <c r="E980" s="27"/>
      <c r="F980" s="27" t="str">
        <f>IFERROR(VLOOKUP(A980,'Rede - Gerando Falcões '!A977:G1975,38,0),"")</f>
        <v/>
      </c>
      <c r="G980" s="27" t="str">
        <f ca="1">IFERROR(VLOOKUP(A980,'Tabela Categorização'!A:J,10,0),"")</f>
        <v/>
      </c>
    </row>
    <row r="981" spans="1:7" ht="12.5" x14ac:dyDescent="0.25">
      <c r="A981" s="27"/>
      <c r="B981" s="27"/>
      <c r="C981" s="27"/>
      <c r="D981" s="27"/>
      <c r="E981" s="27"/>
      <c r="F981" s="27" t="str">
        <f>IFERROR(VLOOKUP(A981,'Rede - Gerando Falcões '!A978:G1976,38,0),"")</f>
        <v/>
      </c>
      <c r="G981" s="27" t="str">
        <f ca="1">IFERROR(VLOOKUP(A981,'Tabela Categorização'!A:J,10,0),"")</f>
        <v/>
      </c>
    </row>
    <row r="982" spans="1:7" ht="12.5" x14ac:dyDescent="0.25">
      <c r="A982" s="27"/>
      <c r="B982" s="27"/>
      <c r="C982" s="27"/>
      <c r="D982" s="27"/>
      <c r="E982" s="27"/>
      <c r="F982" s="27" t="str">
        <f>IFERROR(VLOOKUP(A982,'Rede - Gerando Falcões '!A979:G1977,38,0),"")</f>
        <v/>
      </c>
      <c r="G982" s="27" t="str">
        <f ca="1">IFERROR(VLOOKUP(A982,'Tabela Categorização'!A:J,10,0),"")</f>
        <v/>
      </c>
    </row>
    <row r="983" spans="1:7" ht="12.5" x14ac:dyDescent="0.25">
      <c r="A983" s="27"/>
      <c r="B983" s="27"/>
      <c r="C983" s="27"/>
      <c r="D983" s="27"/>
      <c r="E983" s="27"/>
      <c r="F983" s="27" t="str">
        <f>IFERROR(VLOOKUP(A983,'Rede - Gerando Falcões '!A980:G1978,38,0),"")</f>
        <v/>
      </c>
      <c r="G983" s="27" t="str">
        <f ca="1">IFERROR(VLOOKUP(A983,'Tabela Categorização'!A:J,10,0),"")</f>
        <v/>
      </c>
    </row>
    <row r="984" spans="1:7" ht="12.5" x14ac:dyDescent="0.25">
      <c r="A984" s="27"/>
      <c r="B984" s="27"/>
      <c r="C984" s="27"/>
      <c r="D984" s="27"/>
      <c r="E984" s="27"/>
      <c r="F984" s="27" t="str">
        <f>IFERROR(VLOOKUP(A984,'Rede - Gerando Falcões '!A981:G1979,38,0),"")</f>
        <v/>
      </c>
      <c r="G984" s="27" t="str">
        <f ca="1">IFERROR(VLOOKUP(A984,'Tabela Categorização'!A:J,10,0),"")</f>
        <v/>
      </c>
    </row>
    <row r="985" spans="1:7" ht="12.5" x14ac:dyDescent="0.25">
      <c r="A985" s="27"/>
      <c r="B985" s="27"/>
      <c r="C985" s="27"/>
      <c r="D985" s="27"/>
      <c r="E985" s="27"/>
      <c r="F985" s="27" t="str">
        <f>IFERROR(VLOOKUP(A985,'Rede - Gerando Falcões '!A982:G1980,38,0),"")</f>
        <v/>
      </c>
      <c r="G985" s="27" t="str">
        <f ca="1">IFERROR(VLOOKUP(A985,'Tabela Categorização'!A:J,10,0),"")</f>
        <v/>
      </c>
    </row>
    <row r="986" spans="1:7" ht="12.5" x14ac:dyDescent="0.25">
      <c r="A986" s="27"/>
      <c r="B986" s="27"/>
      <c r="C986" s="27"/>
      <c r="D986" s="27"/>
      <c r="E986" s="27"/>
      <c r="F986" s="27" t="str">
        <f>IFERROR(VLOOKUP(A986,'Rede - Gerando Falcões '!A983:G1981,38,0),"")</f>
        <v/>
      </c>
      <c r="G986" s="27" t="str">
        <f ca="1">IFERROR(VLOOKUP(A986,'Tabela Categorização'!A:J,10,0),"")</f>
        <v/>
      </c>
    </row>
    <row r="987" spans="1:7" ht="12.5" x14ac:dyDescent="0.25">
      <c r="A987" s="27"/>
      <c r="B987" s="27"/>
      <c r="C987" s="27"/>
      <c r="D987" s="27"/>
      <c r="E987" s="27"/>
      <c r="F987" s="27" t="str">
        <f>IFERROR(VLOOKUP(A987,'Rede - Gerando Falcões '!A984:G1982,38,0),"")</f>
        <v/>
      </c>
      <c r="G987" s="27" t="str">
        <f ca="1">IFERROR(VLOOKUP(A987,'Tabela Categorização'!A:J,10,0),"")</f>
        <v/>
      </c>
    </row>
    <row r="988" spans="1:7" ht="12.5" x14ac:dyDescent="0.25">
      <c r="A988" s="27"/>
      <c r="B988" s="27"/>
      <c r="C988" s="27"/>
      <c r="D988" s="27"/>
      <c r="E988" s="27"/>
      <c r="F988" s="27" t="str">
        <f>IFERROR(VLOOKUP(A988,'Rede - Gerando Falcões '!A985:G1983,38,0),"")</f>
        <v/>
      </c>
      <c r="G988" s="27" t="str">
        <f ca="1">IFERROR(VLOOKUP(A988,'Tabela Categorização'!A:J,10,0),"")</f>
        <v/>
      </c>
    </row>
    <row r="989" spans="1:7" ht="12.5" x14ac:dyDescent="0.25">
      <c r="A989" s="27"/>
      <c r="B989" s="27"/>
      <c r="C989" s="27"/>
      <c r="D989" s="27"/>
      <c r="E989" s="27"/>
      <c r="F989" s="27" t="str">
        <f>IFERROR(VLOOKUP(A989,'Rede - Gerando Falcões '!A986:G1984,38,0),"")</f>
        <v/>
      </c>
      <c r="G989" s="27" t="str">
        <f ca="1">IFERROR(VLOOKUP(A989,'Tabela Categorização'!A:J,10,0),"")</f>
        <v/>
      </c>
    </row>
    <row r="990" spans="1:7" ht="12.5" x14ac:dyDescent="0.25">
      <c r="A990" s="27"/>
      <c r="B990" s="27"/>
      <c r="C990" s="27"/>
      <c r="D990" s="27"/>
      <c r="E990" s="27"/>
      <c r="F990" s="27" t="str">
        <f>IFERROR(VLOOKUP(A990,'Rede - Gerando Falcões '!A987:G1985,38,0),"")</f>
        <v/>
      </c>
      <c r="G990" s="27" t="str">
        <f ca="1">IFERROR(VLOOKUP(A990,'Tabela Categorização'!A:J,10,0),"")</f>
        <v/>
      </c>
    </row>
    <row r="991" spans="1:7" ht="12.5" x14ac:dyDescent="0.25">
      <c r="A991" s="27"/>
      <c r="B991" s="27"/>
      <c r="C991" s="27"/>
      <c r="D991" s="27"/>
      <c r="E991" s="27"/>
      <c r="F991" s="27" t="str">
        <f>IFERROR(VLOOKUP(A991,'Rede - Gerando Falcões '!A988:G1986,38,0),"")</f>
        <v/>
      </c>
      <c r="G991" s="27" t="str">
        <f ca="1">IFERROR(VLOOKUP(A991,'Tabela Categorização'!A:J,10,0),"")</f>
        <v/>
      </c>
    </row>
    <row r="992" spans="1:7" ht="12.5" x14ac:dyDescent="0.25">
      <c r="A992" s="27"/>
      <c r="B992" s="27"/>
      <c r="C992" s="27"/>
      <c r="D992" s="27"/>
      <c r="E992" s="27"/>
      <c r="F992" s="27" t="str">
        <f>IFERROR(VLOOKUP(A992,'Rede - Gerando Falcões '!A989:G1987,38,0),"")</f>
        <v/>
      </c>
      <c r="G992" s="27" t="str">
        <f ca="1">IFERROR(VLOOKUP(A992,'Tabela Categorização'!A:J,10,0),"")</f>
        <v/>
      </c>
    </row>
    <row r="993" spans="1:7" ht="12.5" x14ac:dyDescent="0.25">
      <c r="A993" s="27"/>
      <c r="B993" s="27"/>
      <c r="C993" s="27"/>
      <c r="D993" s="27"/>
      <c r="E993" s="27"/>
      <c r="F993" s="27" t="str">
        <f>IFERROR(VLOOKUP(A993,'Rede - Gerando Falcões '!A990:G1988,38,0),"")</f>
        <v/>
      </c>
      <c r="G993" s="27" t="str">
        <f ca="1">IFERROR(VLOOKUP(A993,'Tabela Categorização'!A:J,10,0),"")</f>
        <v/>
      </c>
    </row>
    <row r="994" spans="1:7" ht="12.5" x14ac:dyDescent="0.25">
      <c r="A994" s="27"/>
      <c r="B994" s="27"/>
      <c r="C994" s="27"/>
      <c r="D994" s="27"/>
      <c r="E994" s="27"/>
      <c r="F994" s="27" t="str">
        <f>IFERROR(VLOOKUP(A994,'Rede - Gerando Falcões '!A991:G1989,38,0),"")</f>
        <v/>
      </c>
      <c r="G994" s="27" t="str">
        <f ca="1">IFERROR(VLOOKUP(A994,'Tabela Categorização'!A:J,10,0),"")</f>
        <v/>
      </c>
    </row>
    <row r="995" spans="1:7" ht="12.5" x14ac:dyDescent="0.25">
      <c r="A995" s="27"/>
      <c r="B995" s="27"/>
      <c r="C995" s="27"/>
      <c r="D995" s="27"/>
      <c r="E995" s="27"/>
      <c r="F995" s="27" t="str">
        <f>IFERROR(VLOOKUP(A995,'Rede - Gerando Falcões '!A992:G1990,38,0),"")</f>
        <v/>
      </c>
      <c r="G995" s="27" t="str">
        <f ca="1">IFERROR(VLOOKUP(A995,'Tabela Categorização'!A:J,10,0),"")</f>
        <v/>
      </c>
    </row>
    <row r="996" spans="1:7" ht="12.5" x14ac:dyDescent="0.25">
      <c r="A996" s="27"/>
      <c r="B996" s="27"/>
      <c r="C996" s="27"/>
      <c r="D996" s="27"/>
      <c r="E996" s="27"/>
      <c r="F996" s="27" t="str">
        <f>IFERROR(VLOOKUP(A996,'Rede - Gerando Falcões '!A993:G1991,38,0),"")</f>
        <v/>
      </c>
      <c r="G996" s="27" t="str">
        <f ca="1">IFERROR(VLOOKUP(A996,'Tabela Categorização'!A:J,10,0),"")</f>
        <v/>
      </c>
    </row>
    <row r="997" spans="1:7" ht="12.5" x14ac:dyDescent="0.25">
      <c r="A997" s="27"/>
      <c r="B997" s="27"/>
      <c r="C997" s="27"/>
      <c r="D997" s="27"/>
      <c r="E997" s="27"/>
      <c r="F997" s="27" t="str">
        <f>IFERROR(VLOOKUP(A997,'Rede - Gerando Falcões '!A994:G1992,38,0),"")</f>
        <v/>
      </c>
      <c r="G997" s="27" t="str">
        <f ca="1">IFERROR(VLOOKUP(A997,'Tabela Categorização'!A:J,10,0),"")</f>
        <v/>
      </c>
    </row>
    <row r="998" spans="1:7" ht="12.5" x14ac:dyDescent="0.25">
      <c r="A998" s="27"/>
      <c r="B998" s="27"/>
      <c r="C998" s="27"/>
      <c r="D998" s="27"/>
      <c r="E998" s="27"/>
      <c r="F998" s="27" t="str">
        <f>IFERROR(VLOOKUP(A998,'Rede - Gerando Falcões '!A995:G1993,38,0),"")</f>
        <v/>
      </c>
      <c r="G998" s="27" t="str">
        <f ca="1">IFERROR(VLOOKUP(A998,'Tabela Categorização'!A:J,10,0),"")</f>
        <v/>
      </c>
    </row>
    <row r="999" spans="1:7" ht="12.5" x14ac:dyDescent="0.25">
      <c r="A999" s="27"/>
      <c r="B999" s="27"/>
      <c r="C999" s="27"/>
      <c r="D999" s="27"/>
      <c r="E999" s="27"/>
      <c r="F999" s="27" t="str">
        <f>IFERROR(VLOOKUP(A999,'Rede - Gerando Falcões '!A996:G1994,38,0),"")</f>
        <v/>
      </c>
      <c r="G999" s="27" t="str">
        <f ca="1">IFERROR(VLOOKUP(A999,'Tabela Categorização'!A:J,10,0),"")</f>
        <v/>
      </c>
    </row>
    <row r="1000" spans="1:7" ht="12.5" x14ac:dyDescent="0.25">
      <c r="F1000" s="27" t="str">
        <f>IFERROR(VLOOKUP(A1000,'Rede - Gerando Falcões '!A997:G1995,38,0),"")</f>
        <v/>
      </c>
      <c r="G1000" s="27" t="str">
        <f ca="1">IFERROR(VLOOKUP(A1000,'Tabela Categorização'!A:J,10,0),"")</f>
        <v/>
      </c>
    </row>
  </sheetData>
  <autoFilter ref="A1:K600" xr:uid="{00000000-0009-0000-0000-000008000000}"/>
  <hyperlinks>
    <hyperlink ref="A2" r:id="rId1" display="https://gerandofalcoes.my.salesforce.com/0014P00003YSp95QAD" xr:uid="{00000000-0004-0000-0800-000000000000}"/>
    <hyperlink ref="A3" r:id="rId2" display="https://gerandofalcoes.my.salesforce.com/0014X00002VKCtkQAH" xr:uid="{00000000-0004-0000-0800-000001000000}"/>
    <hyperlink ref="A4" r:id="rId3" display="https://gerandofalcoes.my.salesforce.com/0014P00003YSpAEQA1" xr:uid="{00000000-0004-0000-0800-000002000000}"/>
    <hyperlink ref="A5" r:id="rId4" display="https://gerandofalcoes.my.salesforce.com/0014P00003AN2FaQAL" xr:uid="{00000000-0004-0000-0800-000003000000}"/>
    <hyperlink ref="A6" r:id="rId5" display="https://gerandofalcoes.my.salesforce.com/0014X00002VKCucQAH" xr:uid="{00000000-0004-0000-0800-000004000000}"/>
    <hyperlink ref="A7" r:id="rId6" display="https://gerandofalcoes.my.salesforce.com/0014P00003YSp8PQAT" xr:uid="{00000000-0004-0000-0800-000005000000}"/>
    <hyperlink ref="A8" r:id="rId7" display="https://gerandofalcoes.my.salesforce.com/0014X00002VKCpyQAH" xr:uid="{00000000-0004-0000-0800-000006000000}"/>
    <hyperlink ref="A9" r:id="rId8" display="https://gerandofalcoes.my.salesforce.com/0014X00002VKCuLQAX" xr:uid="{00000000-0004-0000-0800-000007000000}"/>
    <hyperlink ref="A10" r:id="rId9" display="https://gerandofalcoes.my.salesforce.com/0014P00003YSp7rQAD" xr:uid="{00000000-0004-0000-0800-000008000000}"/>
    <hyperlink ref="A11" r:id="rId10" display="https://gerandofalcoes.my.salesforce.com/0014X00002VKCsRQAX" xr:uid="{00000000-0004-0000-0800-000009000000}"/>
    <hyperlink ref="A12" r:id="rId11" display="https://gerandofalcoes.my.salesforce.com/0014P00003YSpADQA1" xr:uid="{00000000-0004-0000-0800-00000A000000}"/>
    <hyperlink ref="A13" r:id="rId12" display="https://gerandofalcoes.my.salesforce.com/0014X00002VKCpjQAH" xr:uid="{00000000-0004-0000-0800-00000B000000}"/>
    <hyperlink ref="A14" r:id="rId13" display="https://gerandofalcoes.my.salesforce.com/0014P00003YSp7dQAD" xr:uid="{00000000-0004-0000-0800-00000C000000}"/>
    <hyperlink ref="A15" r:id="rId14" display="https://gerandofalcoes.my.salesforce.com/0014P00003YSp9wQAD" xr:uid="{00000000-0004-0000-0800-00000D000000}"/>
    <hyperlink ref="A16" r:id="rId15" display="https://gerandofalcoes.my.salesforce.com/0014X00002OEuasQAD" xr:uid="{00000000-0004-0000-0800-00000E000000}"/>
    <hyperlink ref="A17" r:id="rId16" display="https://gerandofalcoes.my.salesforce.com/0014P00003YSp7xQAD" xr:uid="{00000000-0004-0000-0800-00000F000000}"/>
    <hyperlink ref="A18" r:id="rId17" display="https://gerandofalcoes.my.salesforce.com/0014P00003YSp8AQAT" xr:uid="{00000000-0004-0000-0800-000010000000}"/>
    <hyperlink ref="A19" r:id="rId18" display="https://gerandofalcoes.my.salesforce.com/0014X00002VKCtaQAH" xr:uid="{00000000-0004-0000-0800-000011000000}"/>
    <hyperlink ref="A20" r:id="rId19" display="https://gerandofalcoes.my.salesforce.com/0014P00003AN76yQAD" xr:uid="{00000000-0004-0000-0800-000012000000}"/>
    <hyperlink ref="A21" r:id="rId20" display="https://gerandofalcoes.my.salesforce.com/0014P00003YSp8rQAD" xr:uid="{00000000-0004-0000-0800-000013000000}"/>
    <hyperlink ref="A22" r:id="rId21" display="https://gerandofalcoes.my.salesforce.com/0014P00003YSp9aQAD" xr:uid="{00000000-0004-0000-0800-000014000000}"/>
    <hyperlink ref="A23" r:id="rId22" display="https://gerandofalcoes.my.salesforce.com/0014X00002VKCv2QAH" xr:uid="{00000000-0004-0000-0800-000015000000}"/>
    <hyperlink ref="A24" r:id="rId23" display="https://gerandofalcoes.my.salesforce.com/0014P00003SGWQGQA5" xr:uid="{00000000-0004-0000-0800-000016000000}"/>
    <hyperlink ref="A25" r:id="rId24" display="https://gerandofalcoes.my.salesforce.com/0014P00003SGWFrQAP" xr:uid="{00000000-0004-0000-0800-000017000000}"/>
    <hyperlink ref="A26" r:id="rId25" display="https://gerandofalcoes.my.salesforce.com/0014X00002VKCufQAH" xr:uid="{00000000-0004-0000-0800-000018000000}"/>
    <hyperlink ref="A27" r:id="rId26" display="https://gerandofalcoes.my.salesforce.com/0014P00003YSp9UQAT" xr:uid="{00000000-0004-0000-0800-000019000000}"/>
    <hyperlink ref="A28" r:id="rId27" display="https://gerandofalcoes.my.salesforce.com/0014P00003YSp9fQAD" xr:uid="{00000000-0004-0000-0800-00001A000000}"/>
    <hyperlink ref="A29" r:id="rId28" display="https://gerandofalcoes.my.salesforce.com/0014X00002VKCtsQAH" xr:uid="{00000000-0004-0000-0800-00001B000000}"/>
    <hyperlink ref="A30" r:id="rId29" display="https://gerandofalcoes.my.salesforce.com/0014X00002VKCtIQAX" xr:uid="{00000000-0004-0000-0800-00001C000000}"/>
    <hyperlink ref="A31" r:id="rId30" display="https://gerandofalcoes.my.salesforce.com/0014X00002VKCuIQAX" xr:uid="{00000000-0004-0000-0800-00001D000000}"/>
    <hyperlink ref="A32" r:id="rId31" display="https://gerandofalcoes.my.salesforce.com/0014P00003AN2FZQA1" xr:uid="{00000000-0004-0000-0800-00001E000000}"/>
    <hyperlink ref="A33" r:id="rId32" display="https://gerandofalcoes.my.salesforce.com/0014P00003AN2GIQA1" xr:uid="{00000000-0004-0000-0800-00001F000000}"/>
    <hyperlink ref="A34" r:id="rId33" display="https://gerandofalcoes.my.salesforce.com/0014P00003YSp9NQAT" xr:uid="{00000000-0004-0000-0800-000020000000}"/>
    <hyperlink ref="A35" r:id="rId34" display="https://gerandofalcoes.my.salesforce.com/0014P00003YSpALQA1" xr:uid="{00000000-0004-0000-0800-000021000000}"/>
    <hyperlink ref="A36" r:id="rId35" display="https://gerandofalcoes.my.salesforce.com/0014X00002VKCujQAH" xr:uid="{00000000-0004-0000-0800-000022000000}"/>
    <hyperlink ref="A37" r:id="rId36" display="https://gerandofalcoes.my.salesforce.com/0014P00003YSpA5QAL" xr:uid="{00000000-0004-0000-0800-000023000000}"/>
    <hyperlink ref="A38" r:id="rId37" display="https://gerandofalcoes.my.salesforce.com/0014X00002VKCqvQAH" xr:uid="{00000000-0004-0000-0800-000024000000}"/>
    <hyperlink ref="A39" r:id="rId38" display="https://gerandofalcoes.my.salesforce.com/0014X00002VKCq2QAH" xr:uid="{00000000-0004-0000-0800-000025000000}"/>
    <hyperlink ref="A40" r:id="rId39" display="https://gerandofalcoes.my.salesforce.com/0014P00003SGWPhQAP" xr:uid="{00000000-0004-0000-0800-000026000000}"/>
    <hyperlink ref="A41" r:id="rId40" display="https://gerandofalcoes.my.salesforce.com/0014P00003SGWPWQA5" xr:uid="{00000000-0004-0000-0800-000027000000}"/>
    <hyperlink ref="A42" r:id="rId41" display="https://gerandofalcoes.my.salesforce.com/0014X00002VKCuiQAH" xr:uid="{00000000-0004-0000-0800-000028000000}"/>
    <hyperlink ref="A43" r:id="rId42" display="https://gerandofalcoes.my.salesforce.com/0014P00003SGWPiQAP" xr:uid="{00000000-0004-0000-0800-000029000000}"/>
    <hyperlink ref="A44" r:id="rId43" display="https://gerandofalcoes.my.salesforce.com/0014P00003YSp8kQAD" xr:uid="{00000000-0004-0000-0800-00002A000000}"/>
    <hyperlink ref="A45" r:id="rId44" display="https://gerandofalcoes.my.salesforce.com/0014P00003YSp7UQAT" xr:uid="{00000000-0004-0000-0800-00002B000000}"/>
    <hyperlink ref="A46" r:id="rId45" display="https://gerandofalcoes.my.salesforce.com/0014X00002VKCvAQAX" xr:uid="{00000000-0004-0000-0800-00002C000000}"/>
    <hyperlink ref="A47" r:id="rId46" display="https://gerandofalcoes.my.salesforce.com/0014P00003YSp9FQAT" xr:uid="{00000000-0004-0000-0800-00002D000000}"/>
    <hyperlink ref="A48" r:id="rId47" display="https://gerandofalcoes.my.salesforce.com/0014X00002VKCqGQAX" xr:uid="{00000000-0004-0000-0800-00002E000000}"/>
    <hyperlink ref="A49" r:id="rId48" display="https://gerandofalcoes.my.salesforce.com/0014X00002VKCqZQAX" xr:uid="{00000000-0004-0000-0800-00002F000000}"/>
    <hyperlink ref="A50" r:id="rId49" display="https://gerandofalcoes.my.salesforce.com/0014X00002VKCtOQAX" xr:uid="{00000000-0004-0000-0800-000030000000}"/>
    <hyperlink ref="A51" r:id="rId50" display="https://gerandofalcoes.my.salesforce.com/0014P00003YSp9rQAD" xr:uid="{00000000-0004-0000-0800-000031000000}"/>
    <hyperlink ref="A52" r:id="rId51" display="https://gerandofalcoes.my.salesforce.com/0014P00003AN2FkQAL" xr:uid="{00000000-0004-0000-0800-000032000000}"/>
    <hyperlink ref="A53" r:id="rId52" display="https://gerandofalcoes.my.salesforce.com/0014P00003AN2GLQA1" xr:uid="{00000000-0004-0000-0800-000033000000}"/>
    <hyperlink ref="A54" r:id="rId53" display="https://gerandofalcoes.my.salesforce.com/0014X00002VKCqPQAX" xr:uid="{00000000-0004-0000-0800-000034000000}"/>
    <hyperlink ref="A55" r:id="rId54" display="https://gerandofalcoes.my.salesforce.com/0014P00003AN2GFQA1" xr:uid="{00000000-0004-0000-0800-000035000000}"/>
    <hyperlink ref="A56" r:id="rId55" display="https://gerandofalcoes.my.salesforce.com/0014P00003AN2G6QAL" xr:uid="{00000000-0004-0000-0800-000036000000}"/>
    <hyperlink ref="A57" r:id="rId56" display="https://gerandofalcoes.my.salesforce.com/0014P00003SGWPaQAP" xr:uid="{00000000-0004-0000-0800-000037000000}"/>
    <hyperlink ref="A58" r:id="rId57" display="https://gerandofalcoes.my.salesforce.com/0014P00003AN2FlQAL" xr:uid="{00000000-0004-0000-0800-000038000000}"/>
    <hyperlink ref="A59" r:id="rId58" display="https://gerandofalcoes.my.salesforce.com/0014P00003SGWPcQAP" xr:uid="{00000000-0004-0000-0800-000039000000}"/>
    <hyperlink ref="A60" r:id="rId59" display="https://gerandofalcoes.my.salesforce.com/0014X00002VKCu2QAH" xr:uid="{00000000-0004-0000-0800-00003A000000}"/>
    <hyperlink ref="A61" r:id="rId60" display="https://gerandofalcoes.my.salesforce.com/0014P00003AN2FWQA1" xr:uid="{00000000-0004-0000-0800-00003B000000}"/>
    <hyperlink ref="A62" r:id="rId61" display="https://gerandofalcoes.my.salesforce.com/0014P00003SGWPQQA5" xr:uid="{00000000-0004-0000-0800-00003C000000}"/>
    <hyperlink ref="A63" r:id="rId62" display="https://gerandofalcoes.my.salesforce.com/0014X00002VKCrZQAX" xr:uid="{00000000-0004-0000-0800-00003D000000}"/>
    <hyperlink ref="A64" r:id="rId63" display="https://gerandofalcoes.my.salesforce.com/0014P00003YSp9YQAT" xr:uid="{00000000-0004-0000-0800-00003E000000}"/>
    <hyperlink ref="A65" r:id="rId64" display="https://gerandofalcoes.my.salesforce.com/0014P00003YSp9HQAT" xr:uid="{00000000-0004-0000-0800-00003F000000}"/>
    <hyperlink ref="A66" r:id="rId65" display="https://gerandofalcoes.my.salesforce.com/0014X00002VKCp8QAH" xr:uid="{00000000-0004-0000-0800-000040000000}"/>
    <hyperlink ref="A67" r:id="rId66" display="https://gerandofalcoes.my.salesforce.com/0014P00003YSp7mQAD" xr:uid="{00000000-0004-0000-0800-000041000000}"/>
    <hyperlink ref="A68" r:id="rId67" display="https://gerandofalcoes.my.salesforce.com/0014P00003YSp83QAD" xr:uid="{00000000-0004-0000-0800-000042000000}"/>
    <hyperlink ref="A69" r:id="rId68" display="https://gerandofalcoes.my.salesforce.com/0014P00003SGWQBQA5" xr:uid="{00000000-0004-0000-0800-000043000000}"/>
    <hyperlink ref="A70" r:id="rId69" display="https://gerandofalcoes.my.salesforce.com/0014X00002VKCplQAH" xr:uid="{00000000-0004-0000-0800-000044000000}"/>
    <hyperlink ref="A71" r:id="rId70" display="https://gerandofalcoes.my.salesforce.com/0014X00002OEuaoQAD" xr:uid="{00000000-0004-0000-0800-000045000000}"/>
    <hyperlink ref="A72" r:id="rId71" display="https://gerandofalcoes.my.salesforce.com/0014X00002VKCsIQAX" xr:uid="{00000000-0004-0000-0800-000046000000}"/>
    <hyperlink ref="A73" r:id="rId72" display="https://gerandofalcoes.my.salesforce.com/0014X00002VKCv9QAH" xr:uid="{00000000-0004-0000-0800-000047000000}"/>
    <hyperlink ref="A74" r:id="rId73" display="https://gerandofalcoes.my.salesforce.com/0014X00002VKCqjQAH" xr:uid="{00000000-0004-0000-0800-000048000000}"/>
    <hyperlink ref="A75" r:id="rId74" display="https://gerandofalcoes.my.salesforce.com/0014X00002VKCtqQAH" xr:uid="{00000000-0004-0000-0800-000049000000}"/>
    <hyperlink ref="A76" r:id="rId75" display="https://gerandofalcoes.my.salesforce.com/0014P00003AN2G7QAL" xr:uid="{00000000-0004-0000-0800-00004A000000}"/>
    <hyperlink ref="A77" r:id="rId76" display="https://gerandofalcoes.my.salesforce.com/0014P00003SGWPmQAP" xr:uid="{00000000-0004-0000-0800-00004B000000}"/>
    <hyperlink ref="A78" r:id="rId77" display="https://gerandofalcoes.my.salesforce.com/0014X00002VKCs5QAH" xr:uid="{00000000-0004-0000-0800-00004C000000}"/>
    <hyperlink ref="A79" r:id="rId78" display="https://gerandofalcoes.my.salesforce.com/0014P00003YSp97QAD" xr:uid="{00000000-0004-0000-0800-00004D000000}"/>
    <hyperlink ref="A80" r:id="rId79" display="https://gerandofalcoes.my.salesforce.com/0014P00003SGWPtQAP" xr:uid="{00000000-0004-0000-0800-00004E000000}"/>
    <hyperlink ref="A81" r:id="rId80" display="https://gerandofalcoes.my.salesforce.com/0014P00003YSm8CQAT" xr:uid="{00000000-0004-0000-0800-00004F000000}"/>
    <hyperlink ref="A82" r:id="rId81" display="https://gerandofalcoes.my.salesforce.com/0014X00002VKCtUQAX" xr:uid="{00000000-0004-0000-0800-000050000000}"/>
    <hyperlink ref="A83" r:id="rId82" display="https://gerandofalcoes.my.salesforce.com/0014X00002VKCtWQAX" xr:uid="{00000000-0004-0000-0800-000051000000}"/>
    <hyperlink ref="A84" r:id="rId83" display="https://gerandofalcoes.my.salesforce.com/0014X00002VKCsoQAH" xr:uid="{00000000-0004-0000-0800-000052000000}"/>
    <hyperlink ref="A85" r:id="rId84" display="https://gerandofalcoes.my.salesforce.com/0014X00002VKCtYQAX" xr:uid="{00000000-0004-0000-0800-000053000000}"/>
    <hyperlink ref="A86" r:id="rId85" display="https://gerandofalcoes.my.salesforce.com/0014X00002PUOUaQAP" xr:uid="{00000000-0004-0000-0800-000054000000}"/>
    <hyperlink ref="A87" r:id="rId86" display="https://gerandofalcoes.my.salesforce.com/0014X00002VKCp5QAH" xr:uid="{00000000-0004-0000-0800-000055000000}"/>
    <hyperlink ref="A88" r:id="rId87" display="https://gerandofalcoes.my.salesforce.com/0014X00002VKCtHQAX" xr:uid="{00000000-0004-0000-0800-000056000000}"/>
    <hyperlink ref="A89" r:id="rId88" display="https://gerandofalcoes.my.salesforce.com/0014X00002VKCr8QAH" xr:uid="{00000000-0004-0000-0800-000057000000}"/>
    <hyperlink ref="A90" r:id="rId89" display="https://gerandofalcoes.my.salesforce.com/0014X00002VKCuvQAH" xr:uid="{00000000-0004-0000-0800-000058000000}"/>
    <hyperlink ref="A91" r:id="rId90" display="https://gerandofalcoes.my.salesforce.com/0014P00003YSp7sQAD" xr:uid="{00000000-0004-0000-0800-000059000000}"/>
    <hyperlink ref="A92" r:id="rId91" display="https://gerandofalcoes.my.salesforce.com/0014X00002VKCteQAH" xr:uid="{00000000-0004-0000-0800-00005A000000}"/>
    <hyperlink ref="A93" r:id="rId92" display="https://gerandofalcoes.my.salesforce.com/0014P00003YSp9MQAT" xr:uid="{00000000-0004-0000-0800-00005B000000}"/>
    <hyperlink ref="A94" r:id="rId93" display="https://gerandofalcoes.my.salesforce.com/0014P00003AN72DQAT" xr:uid="{00000000-0004-0000-0800-00005C000000}"/>
    <hyperlink ref="A95" r:id="rId94" display="https://gerandofalcoes.my.salesforce.com/0014X00002VKCvEQAX" xr:uid="{00000000-0004-0000-0800-00005D000000}"/>
    <hyperlink ref="A96" r:id="rId95" display="https://gerandofalcoes.my.salesforce.com/0014P00003SGWPlQAP" xr:uid="{00000000-0004-0000-0800-00005E000000}"/>
    <hyperlink ref="A97" r:id="rId96" display="https://gerandofalcoes.my.salesforce.com/0014X00002VKCr6QAH" xr:uid="{00000000-0004-0000-0800-00005F000000}"/>
    <hyperlink ref="A98" r:id="rId97" display="https://gerandofalcoes.my.salesforce.com/0014X00002VKCsdQAH" xr:uid="{00000000-0004-0000-0800-000060000000}"/>
    <hyperlink ref="A99" r:id="rId98" display="https://gerandofalcoes.my.salesforce.com/0014P00003AN2GJQA1" xr:uid="{00000000-0004-0000-0800-000061000000}"/>
    <hyperlink ref="A100" r:id="rId99" display="https://gerandofalcoes.my.salesforce.com/0014P00003AN2FfQAL" xr:uid="{00000000-0004-0000-0800-000062000000}"/>
    <hyperlink ref="A101" r:id="rId100" display="https://gerandofalcoes.my.salesforce.com/0014X00002VKCspQAH" xr:uid="{00000000-0004-0000-0800-000063000000}"/>
    <hyperlink ref="A102" r:id="rId101" display="https://gerandofalcoes.my.salesforce.com/0014P00003YSp98QAD" xr:uid="{00000000-0004-0000-0800-000064000000}"/>
    <hyperlink ref="A103" r:id="rId102" display="https://gerandofalcoes.my.salesforce.com/0014P00003AN2GHQA1" xr:uid="{00000000-0004-0000-0800-000065000000}"/>
    <hyperlink ref="A104" r:id="rId103" display="https://gerandofalcoes.my.salesforce.com/0014P00003YSp9WQAT" xr:uid="{00000000-0004-0000-0800-000066000000}"/>
    <hyperlink ref="A105" r:id="rId104" display="https://gerandofalcoes.my.salesforce.com/0014P00003SGWPfQAP" xr:uid="{00000000-0004-0000-0800-000067000000}"/>
    <hyperlink ref="A106" r:id="rId105" display="https://gerandofalcoes.my.salesforce.com/0014P00003YSp8zQAD" xr:uid="{00000000-0004-0000-0800-000068000000}"/>
    <hyperlink ref="A107" r:id="rId106" display="https://gerandofalcoes.my.salesforce.com/0014P00003YSp8UQAT" xr:uid="{00000000-0004-0000-0800-000069000000}"/>
    <hyperlink ref="A108" r:id="rId107" display="https://gerandofalcoes.my.salesforce.com/0014X00002VKCqTQAX" xr:uid="{00000000-0004-0000-0800-00006A000000}"/>
    <hyperlink ref="A109" r:id="rId108" display="https://gerandofalcoes.my.salesforce.com/0014P00003YSp7RQAT" xr:uid="{00000000-0004-0000-0800-00006B000000}"/>
    <hyperlink ref="A110" r:id="rId109" display="https://gerandofalcoes.my.salesforce.com/0014X00002VKCqtQAH" xr:uid="{00000000-0004-0000-0800-00006C000000}"/>
    <hyperlink ref="A111" r:id="rId110" display="https://gerandofalcoes.my.salesforce.com/0014X00002VKCu1QAH" xr:uid="{00000000-0004-0000-0800-00006D000000}"/>
    <hyperlink ref="A112" r:id="rId111" display="https://gerandofalcoes.my.salesforce.com/0014P00003YSpAKQA1" xr:uid="{00000000-0004-0000-0800-00006E000000}"/>
    <hyperlink ref="A113" r:id="rId112" display="https://gerandofalcoes.my.salesforce.com/0014P00003SGWPUQA5" xr:uid="{00000000-0004-0000-0800-00006F000000}"/>
    <hyperlink ref="A114" r:id="rId113" display="https://gerandofalcoes.my.salesforce.com/0014X00002VKCtAQAX" xr:uid="{00000000-0004-0000-0800-000070000000}"/>
    <hyperlink ref="A115" r:id="rId114" display="https://gerandofalcoes.my.salesforce.com/0014X00002VKCsVQAX" xr:uid="{00000000-0004-0000-0800-000071000000}"/>
    <hyperlink ref="A116" r:id="rId115" display="https://gerandofalcoes.my.salesforce.com/0014X00002VKCv3QAH" xr:uid="{00000000-0004-0000-0800-000072000000}"/>
    <hyperlink ref="A117" r:id="rId116" display="https://gerandofalcoes.my.salesforce.com/0014X00002VKCugQAH" xr:uid="{00000000-0004-0000-0800-000073000000}"/>
    <hyperlink ref="A118" r:id="rId117" display="https://gerandofalcoes.my.salesforce.com/0014X00002VKCqQQAX" xr:uid="{00000000-0004-0000-0800-000074000000}"/>
    <hyperlink ref="A119" r:id="rId118" display="https://gerandofalcoes.my.salesforce.com/0014X00002VKCuMQAX" xr:uid="{00000000-0004-0000-0800-000075000000}"/>
    <hyperlink ref="A120" r:id="rId119" display="https://gerandofalcoes.my.salesforce.com/0014P00003AN2h4QAD" xr:uid="{00000000-0004-0000-0800-000076000000}"/>
    <hyperlink ref="A121" r:id="rId120" display="https://gerandofalcoes.my.salesforce.com/0014P00003YSp9AQAT" xr:uid="{00000000-0004-0000-0800-000077000000}"/>
    <hyperlink ref="A122" r:id="rId121" display="https://gerandofalcoes.my.salesforce.com/0014P00003SGWQ9QAP" xr:uid="{00000000-0004-0000-0800-000078000000}"/>
    <hyperlink ref="A123" r:id="rId122" display="https://gerandofalcoes.my.salesforce.com/0014X00002VKCrWQAX" xr:uid="{00000000-0004-0000-0800-000079000000}"/>
    <hyperlink ref="A124" r:id="rId123" display="https://gerandofalcoes.my.salesforce.com/0014P00003AN2FXQA1" xr:uid="{00000000-0004-0000-0800-00007A000000}"/>
    <hyperlink ref="A125" r:id="rId124" display="https://gerandofalcoes.my.salesforce.com/0014P00003YSp7bQAD" xr:uid="{00000000-0004-0000-0800-00007B000000}"/>
    <hyperlink ref="A126" r:id="rId125" display="https://gerandofalcoes.my.salesforce.com/0014X00002VKCqAQAX" xr:uid="{00000000-0004-0000-0800-00007C000000}"/>
    <hyperlink ref="A127" r:id="rId126" display="https://gerandofalcoes.my.salesforce.com/0014X00002QTry4QAD" xr:uid="{00000000-0004-0000-0800-00007D000000}"/>
    <hyperlink ref="A128" r:id="rId127" display="https://gerandofalcoes.my.salesforce.com/0014P00003SGWQ4QAP" xr:uid="{00000000-0004-0000-0800-00007E000000}"/>
    <hyperlink ref="A129" r:id="rId128" display="https://gerandofalcoes.my.salesforce.com/0014X00002VKCuwQAH" xr:uid="{00000000-0004-0000-0800-00007F000000}"/>
    <hyperlink ref="A130" r:id="rId129" display="https://gerandofalcoes.my.salesforce.com/0014X00002VKCp7QAH" xr:uid="{00000000-0004-0000-0800-000080000000}"/>
    <hyperlink ref="A131" r:id="rId130" display="https://gerandofalcoes.my.salesforce.com/0014X00002VKCpcQAH" xr:uid="{00000000-0004-0000-0800-000081000000}"/>
    <hyperlink ref="A132" r:id="rId131" display="https://gerandofalcoes.my.salesforce.com/0014X00002VKCpDQAX" xr:uid="{00000000-0004-0000-0800-000082000000}"/>
    <hyperlink ref="A133" r:id="rId132" display="https://gerandofalcoes.my.salesforce.com/0014X00002VKCqsQAH" xr:uid="{00000000-0004-0000-0800-000083000000}"/>
    <hyperlink ref="A134" r:id="rId133" display="https://gerandofalcoes.my.salesforce.com/0014P00003SGWQ6QAP" xr:uid="{00000000-0004-0000-0800-000084000000}"/>
    <hyperlink ref="A135" r:id="rId134" display="https://gerandofalcoes.my.salesforce.com/0014P00003YSp9jQAD" xr:uid="{00000000-0004-0000-0800-000085000000}"/>
    <hyperlink ref="A136" r:id="rId135" display="https://gerandofalcoes.my.salesforce.com/0014P00003AN2FyQAL" xr:uid="{00000000-0004-0000-0800-000086000000}"/>
    <hyperlink ref="A137" r:id="rId136" display="https://gerandofalcoes.my.salesforce.com/0014P00003YSp7zQAD" xr:uid="{00000000-0004-0000-0800-000087000000}"/>
    <hyperlink ref="A138" r:id="rId137" display="https://gerandofalcoes.my.salesforce.com/0014P00003SGWPYQA5" xr:uid="{00000000-0004-0000-0800-000088000000}"/>
    <hyperlink ref="A139" r:id="rId138" display="https://gerandofalcoes.my.salesforce.com/0014P00003YSpP9QAL" xr:uid="{00000000-0004-0000-0800-000089000000}"/>
    <hyperlink ref="A140" r:id="rId139" display="https://gerandofalcoes.my.salesforce.com/0014X00002VKCtvQAH" xr:uid="{00000000-0004-0000-0800-00008A000000}"/>
    <hyperlink ref="A141" r:id="rId140" display="https://gerandofalcoes.my.salesforce.com/0014P00003AN2FeQAL" xr:uid="{00000000-0004-0000-0800-00008B000000}"/>
    <hyperlink ref="A142" r:id="rId141" display="https://gerandofalcoes.my.salesforce.com/0014P00003YSp8fQAD" xr:uid="{00000000-0004-0000-0800-00008C000000}"/>
    <hyperlink ref="A143" r:id="rId142" display="https://gerandofalcoes.my.salesforce.com/0014P00003YSp8aQAD" xr:uid="{00000000-0004-0000-0800-00008D000000}"/>
    <hyperlink ref="A144" r:id="rId143" display="https://gerandofalcoes.my.salesforce.com/0014X00002VMXzNQAX" xr:uid="{00000000-0004-0000-0800-00008E000000}"/>
    <hyperlink ref="A145" r:id="rId144" display="https://gerandofalcoes.my.salesforce.com/0014X00002VKCsEQAX" xr:uid="{00000000-0004-0000-0800-00008F000000}"/>
    <hyperlink ref="A146" r:id="rId145" display="https://gerandofalcoes.my.salesforce.com/0014X00002OEuaqQAD" xr:uid="{00000000-0004-0000-0800-000090000000}"/>
    <hyperlink ref="A147" r:id="rId146" display="https://gerandofalcoes.my.salesforce.com/0014P00003YSp9iQAD" xr:uid="{00000000-0004-0000-0800-000091000000}"/>
    <hyperlink ref="A148" r:id="rId147" display="https://gerandofalcoes.my.salesforce.com/0014P00003AN2h6QAD" xr:uid="{00000000-0004-0000-0800-000092000000}"/>
    <hyperlink ref="A149" r:id="rId148" display="https://gerandofalcoes.my.salesforce.com/0014P00003YSp9EQAT" xr:uid="{00000000-0004-0000-0800-000093000000}"/>
    <hyperlink ref="A150" r:id="rId149" display="https://gerandofalcoes.my.salesforce.com/0014X00002VKCrvQAH" xr:uid="{00000000-0004-0000-0800-000094000000}"/>
    <hyperlink ref="A151" r:id="rId150" display="https://gerandofalcoes.my.salesforce.com/0014P00003AN2G4QAL" xr:uid="{00000000-0004-0000-0800-000095000000}"/>
    <hyperlink ref="A152" r:id="rId151" display="https://gerandofalcoes.my.salesforce.com/0014X00002VKCt2QAH" xr:uid="{00000000-0004-0000-0800-000096000000}"/>
    <hyperlink ref="A153" r:id="rId152" display="https://gerandofalcoes.my.salesforce.com/0014X00002VKCoyQAH" xr:uid="{00000000-0004-0000-0800-000097000000}"/>
    <hyperlink ref="A154" r:id="rId153" display="https://gerandofalcoes.my.salesforce.com/0014X00002VKCqVQAX" xr:uid="{00000000-0004-0000-0800-000098000000}"/>
    <hyperlink ref="A155" r:id="rId154" display="https://gerandofalcoes.my.salesforce.com/0014X00002VKCpzQAH" xr:uid="{00000000-0004-0000-0800-000099000000}"/>
    <hyperlink ref="A156" r:id="rId155" display="https://gerandofalcoes.my.salesforce.com/0014P00003SGWPSQA5" xr:uid="{00000000-0004-0000-0800-00009A000000}"/>
    <hyperlink ref="A157" r:id="rId156" display="https://gerandofalcoes.my.salesforce.com/0014P00003SGWFqQAP" xr:uid="{00000000-0004-0000-0800-00009B000000}"/>
    <hyperlink ref="A158" r:id="rId157" display="https://gerandofalcoes.my.salesforce.com/0014X00002VKCunQAH" xr:uid="{00000000-0004-0000-0800-00009C000000}"/>
    <hyperlink ref="A159" r:id="rId158" display="https://gerandofalcoes.my.salesforce.com/0014P00003AN2etQAD" xr:uid="{00000000-0004-0000-0800-00009D000000}"/>
    <hyperlink ref="A160" r:id="rId159" display="https://gerandofalcoes.my.salesforce.com/0014X00002VKCr4QAH" xr:uid="{00000000-0004-0000-0800-00009E000000}"/>
    <hyperlink ref="A161" r:id="rId160" display="https://gerandofalcoes.my.salesforce.com/0014P00003AN2G2QAL" xr:uid="{00000000-0004-0000-0800-00009F000000}"/>
    <hyperlink ref="A162" r:id="rId161" display="https://gerandofalcoes.my.salesforce.com/0014P00003YSp9gQAD" xr:uid="{00000000-0004-0000-0800-0000A0000000}"/>
    <hyperlink ref="A163" r:id="rId162" display="https://gerandofalcoes.my.salesforce.com/0014P00003YSp7eQAD" xr:uid="{00000000-0004-0000-0800-0000A1000000}"/>
    <hyperlink ref="A164" r:id="rId163" display="https://gerandofalcoes.my.salesforce.com/0014P00003YSp9CQAT" xr:uid="{00000000-0004-0000-0800-0000A2000000}"/>
    <hyperlink ref="A165" r:id="rId164" display="https://gerandofalcoes.my.salesforce.com/0014P00003AN2FgQAL" xr:uid="{00000000-0004-0000-0800-0000A3000000}"/>
    <hyperlink ref="A166" r:id="rId165" display="https://gerandofalcoes.my.salesforce.com/0014X00002VKCqUQAX" xr:uid="{00000000-0004-0000-0800-0000A4000000}"/>
    <hyperlink ref="A167" r:id="rId166" display="https://gerandofalcoes.my.salesforce.com/0014X00002VKCtgQAH" xr:uid="{00000000-0004-0000-0800-0000A5000000}"/>
    <hyperlink ref="A168" r:id="rId167" display="https://gerandofalcoes.my.salesforce.com/0014X00002VKCuoQAH" xr:uid="{00000000-0004-0000-0800-0000A6000000}"/>
    <hyperlink ref="A169" r:id="rId168" display="https://gerandofalcoes.my.salesforce.com/0014P00003YSp7XQAT" xr:uid="{00000000-0004-0000-0800-0000A7000000}"/>
    <hyperlink ref="A170" r:id="rId169" display="https://gerandofalcoes.my.salesforce.com/0014P00003YSpA8QAL" xr:uid="{00000000-0004-0000-0800-0000A8000000}"/>
    <hyperlink ref="A171" r:id="rId170" display="https://gerandofalcoes.my.salesforce.com/0014X00002VKCtXQAX" xr:uid="{00000000-0004-0000-0800-0000A9000000}"/>
    <hyperlink ref="A172" r:id="rId171" display="https://gerandofalcoes.my.salesforce.com/0014X00002VKCqJQAX" xr:uid="{00000000-0004-0000-0800-0000AA000000}"/>
    <hyperlink ref="A173" r:id="rId172" display="https://gerandofalcoes.my.salesforce.com/0014P00003YSp80QAD" xr:uid="{00000000-0004-0000-0800-0000AB000000}"/>
    <hyperlink ref="A174" r:id="rId173" display="https://gerandofalcoes.my.salesforce.com/0014X00002VKCukQAH" xr:uid="{00000000-0004-0000-0800-0000AC000000}"/>
    <hyperlink ref="A175" r:id="rId174" display="https://gerandofalcoes.my.salesforce.com/0014P00003YSp7aQAD" xr:uid="{00000000-0004-0000-0800-0000AD000000}"/>
    <hyperlink ref="A176" r:id="rId175" display="https://gerandofalcoes.my.salesforce.com/0014X00002VKCqaQAH" xr:uid="{00000000-0004-0000-0800-0000AE000000}"/>
    <hyperlink ref="A177" r:id="rId176" display="https://gerandofalcoes.my.salesforce.com/0014P00003YSp9bQAD" xr:uid="{00000000-0004-0000-0800-0000AF000000}"/>
    <hyperlink ref="A178" r:id="rId177" display="https://gerandofalcoes.my.salesforce.com/0014P00003YSp8gQAD" xr:uid="{00000000-0004-0000-0800-0000B0000000}"/>
    <hyperlink ref="A179" r:id="rId178" display="https://gerandofalcoes.my.salesforce.com/0014X00002VKCtCQAX" xr:uid="{00000000-0004-0000-0800-0000B1000000}"/>
    <hyperlink ref="A180" r:id="rId179" display="https://gerandofalcoes.my.salesforce.com/0014P00003YSp7lQAD" xr:uid="{00000000-0004-0000-0800-0000B2000000}"/>
    <hyperlink ref="A181" r:id="rId180" display="https://gerandofalcoes.my.salesforce.com/0014P00003YSp8VQAT" xr:uid="{00000000-0004-0000-0800-0000B3000000}"/>
    <hyperlink ref="A182" r:id="rId181" display="https://gerandofalcoes.my.salesforce.com/0014X00002VKCusQAH" xr:uid="{00000000-0004-0000-0800-0000B4000000}"/>
    <hyperlink ref="A183" r:id="rId182" display="https://gerandofalcoes.my.salesforce.com/0014P00003SGWPRQA5" xr:uid="{00000000-0004-0000-0800-0000B5000000}"/>
    <hyperlink ref="A184" r:id="rId183" display="https://gerandofalcoes.my.salesforce.com/0014P00003YSp9qQAD" xr:uid="{00000000-0004-0000-0800-0000B6000000}"/>
    <hyperlink ref="A185" r:id="rId184" display="https://gerandofalcoes.my.salesforce.com/0014P00003YSp7hQAD" xr:uid="{00000000-0004-0000-0800-0000B7000000}"/>
    <hyperlink ref="A186" r:id="rId185" display="https://gerandofalcoes.my.salesforce.com/0014P00003YSp90QAD" xr:uid="{00000000-0004-0000-0800-0000B8000000}"/>
    <hyperlink ref="A187" r:id="rId186" display="https://gerandofalcoes.my.salesforce.com/0014X00002VKCp4QAH" xr:uid="{00000000-0004-0000-0800-0000B9000000}"/>
    <hyperlink ref="A188" r:id="rId187" display="https://gerandofalcoes.my.salesforce.com/0014X00002VKCrAQAX" xr:uid="{00000000-0004-0000-0800-0000BA000000}"/>
    <hyperlink ref="A189" r:id="rId188" display="https://gerandofalcoes.my.salesforce.com/0014X00002VKCtGQAX" xr:uid="{00000000-0004-0000-0800-0000BB000000}"/>
    <hyperlink ref="A190" r:id="rId189" display="https://gerandofalcoes.my.salesforce.com/0014X00002VKCpWQAX" xr:uid="{00000000-0004-0000-0800-0000BC000000}"/>
    <hyperlink ref="A191" r:id="rId190" display="https://gerandofalcoes.my.salesforce.com/0014X00002VKCryQAH" xr:uid="{00000000-0004-0000-0800-0000BD000000}"/>
    <hyperlink ref="A192" r:id="rId191" display="https://gerandofalcoes.my.salesforce.com/0014X00002VKCr5QAH" xr:uid="{00000000-0004-0000-0800-0000BE000000}"/>
    <hyperlink ref="A193" r:id="rId192" display="https://gerandofalcoes.my.salesforce.com/0014P00003YSp7tQAD" xr:uid="{00000000-0004-0000-0800-0000BF000000}"/>
    <hyperlink ref="A194" r:id="rId193" display="https://gerandofalcoes.my.salesforce.com/0014P00003AN2GCQA1" xr:uid="{00000000-0004-0000-0800-0000C0000000}"/>
    <hyperlink ref="A195" r:id="rId194" display="https://gerandofalcoes.my.salesforce.com/0014X00002VKCrqQAH" xr:uid="{00000000-0004-0000-0800-0000C1000000}"/>
    <hyperlink ref="A196" r:id="rId195" display="https://gerandofalcoes.my.salesforce.com/0014X00002VKD04QAH" xr:uid="{00000000-0004-0000-0800-0000C2000000}"/>
    <hyperlink ref="A197" r:id="rId196" display="https://gerandofalcoes.my.salesforce.com/0014X00002VKCpRQAX" xr:uid="{00000000-0004-0000-0800-0000C3000000}"/>
    <hyperlink ref="A198" r:id="rId197" display="https://gerandofalcoes.my.salesforce.com/0014P00003YSp88QAD" xr:uid="{00000000-0004-0000-0800-0000C4000000}"/>
    <hyperlink ref="A199" r:id="rId198" display="https://gerandofalcoes.my.salesforce.com/0014P00003YSp7yQAD" xr:uid="{00000000-0004-0000-0800-0000C5000000}"/>
    <hyperlink ref="A200" r:id="rId199" display="https://gerandofalcoes.my.salesforce.com/0014P00003SGWPZQA5" xr:uid="{00000000-0004-0000-0800-0000C6000000}"/>
    <hyperlink ref="A201" r:id="rId200" display="https://gerandofalcoes.my.salesforce.com/0014P00003YSp8YQAT" xr:uid="{00000000-0004-0000-0800-0000C7000000}"/>
    <hyperlink ref="A202" r:id="rId201" display="https://gerandofalcoes.my.salesforce.com/0014X00002VKCqCQAX" xr:uid="{00000000-0004-0000-0800-0000C8000000}"/>
    <hyperlink ref="A203" r:id="rId202" display="https://gerandofalcoes.my.salesforce.com/0014X00002VKCt6QAH" xr:uid="{00000000-0004-0000-0800-0000C9000000}"/>
    <hyperlink ref="A204" r:id="rId203" display="https://gerandofalcoes.my.salesforce.com/0014P00003SGWQCQA5" xr:uid="{00000000-0004-0000-0800-0000CA000000}"/>
    <hyperlink ref="A205" r:id="rId204" display="https://gerandofalcoes.my.salesforce.com/0014X00002VKCscQAH" xr:uid="{00000000-0004-0000-0800-0000CB000000}"/>
    <hyperlink ref="A206" r:id="rId205" display="https://gerandofalcoes.my.salesforce.com/0014X00002VKCsWQAX" xr:uid="{00000000-0004-0000-0800-0000CC000000}"/>
    <hyperlink ref="A207" r:id="rId206" display="https://gerandofalcoes.my.salesforce.com/0014P00003SGWPkQAP" xr:uid="{00000000-0004-0000-0800-0000CD000000}"/>
    <hyperlink ref="A208" r:id="rId207" display="https://gerandofalcoes.my.salesforce.com/0014X00002VKCuUQAX" xr:uid="{00000000-0004-0000-0800-0000CE000000}"/>
    <hyperlink ref="A209" r:id="rId208" display="https://gerandofalcoes.my.salesforce.com/0014X00002VKCsFQAX" xr:uid="{00000000-0004-0000-0800-0000CF000000}"/>
    <hyperlink ref="A210" r:id="rId209" display="https://gerandofalcoes.my.salesforce.com/0014X00002VKCrtQAH" xr:uid="{00000000-0004-0000-0800-0000D0000000}"/>
    <hyperlink ref="A211" r:id="rId210" display="https://gerandofalcoes.my.salesforce.com/0014X00002VKCrGQAX" xr:uid="{00000000-0004-0000-0800-0000D1000000}"/>
    <hyperlink ref="A212" r:id="rId211" display="https://gerandofalcoes.my.salesforce.com/0014P00003YSp8NQAT" xr:uid="{00000000-0004-0000-0800-0000D2000000}"/>
    <hyperlink ref="A213" r:id="rId212" display="https://gerandofalcoes.my.salesforce.com/0014P00003SGWPLQA5" xr:uid="{00000000-0004-0000-0800-0000D3000000}"/>
    <hyperlink ref="A214" r:id="rId213" display="https://gerandofalcoes.my.salesforce.com/0014X00002VKCrCQAX" xr:uid="{00000000-0004-0000-0800-0000D4000000}"/>
    <hyperlink ref="A215" r:id="rId214" display="https://gerandofalcoes.my.salesforce.com/0014X00002VKCrOQAX" xr:uid="{00000000-0004-0000-0800-0000D5000000}"/>
    <hyperlink ref="A216" r:id="rId215" display="https://gerandofalcoes.my.salesforce.com/0014P00003YSpA9QAL" xr:uid="{00000000-0004-0000-0800-0000D6000000}"/>
    <hyperlink ref="A217" r:id="rId216" display="https://gerandofalcoes.my.salesforce.com/0014X00002VKCpNQAX" xr:uid="{00000000-0004-0000-0800-0000D7000000}"/>
    <hyperlink ref="A218" r:id="rId217" display="https://gerandofalcoes.my.salesforce.com/0014X00002VKCsSQAX" xr:uid="{00000000-0004-0000-0800-0000D8000000}"/>
    <hyperlink ref="A219" r:id="rId218" display="https://gerandofalcoes.my.salesforce.com/0014X00002VKCt1QAH" xr:uid="{00000000-0004-0000-0800-0000D9000000}"/>
    <hyperlink ref="A220" r:id="rId219" display="https://gerandofalcoes.my.salesforce.com/0014X00002VKCr9QAH" xr:uid="{00000000-0004-0000-0800-0000DA000000}"/>
    <hyperlink ref="A221" r:id="rId220" display="https://gerandofalcoes.my.salesforce.com/0014X00002VKCtuQAH" xr:uid="{00000000-0004-0000-0800-0000DB000000}"/>
    <hyperlink ref="A222" r:id="rId221" display="https://gerandofalcoes.my.salesforce.com/0014P00003SGWQ2QAP" xr:uid="{00000000-0004-0000-0800-0000DC000000}"/>
    <hyperlink ref="A223" r:id="rId222" display="https://gerandofalcoes.my.salesforce.com/0014P00003YSpAMQA1" xr:uid="{00000000-0004-0000-0800-0000DD000000}"/>
    <hyperlink ref="A224" r:id="rId223" display="https://gerandofalcoes.my.salesforce.com/0014X00002OEuawQAD" xr:uid="{00000000-0004-0000-0800-0000DE000000}"/>
    <hyperlink ref="A225" r:id="rId224" display="https://gerandofalcoes.my.salesforce.com/0014X00002OEualQAD" xr:uid="{00000000-0004-0000-0800-0000DF000000}"/>
    <hyperlink ref="A226" r:id="rId225" display="https://gerandofalcoes.my.salesforce.com/0014P00003YSp8wQAD" xr:uid="{00000000-0004-0000-0800-0000E0000000}"/>
    <hyperlink ref="A227" r:id="rId226" display="https://gerandofalcoes.my.salesforce.com/0014X00002VKCqeQAH" xr:uid="{00000000-0004-0000-0800-0000E1000000}"/>
    <hyperlink ref="A228" r:id="rId227" display="https://gerandofalcoes.my.salesforce.com/0014X00002VKCuBQAX" xr:uid="{00000000-0004-0000-0800-0000E2000000}"/>
    <hyperlink ref="A229" r:id="rId228" display="https://gerandofalcoes.my.salesforce.com/0014X00002VKCqKQAX" xr:uid="{00000000-0004-0000-0800-0000E3000000}"/>
    <hyperlink ref="A230" r:id="rId229" display="https://gerandofalcoes.my.salesforce.com/0014X00002VKCq4QAH" xr:uid="{00000000-0004-0000-0800-0000E4000000}"/>
    <hyperlink ref="A231" r:id="rId230" display="https://gerandofalcoes.my.salesforce.com/0014P00003YSp9OQAT" xr:uid="{00000000-0004-0000-0800-0000E5000000}"/>
    <hyperlink ref="A232" r:id="rId231" display="https://gerandofalcoes.my.salesforce.com/0014P00003YSp81QAD" xr:uid="{00000000-0004-0000-0800-0000E6000000}"/>
    <hyperlink ref="A233" r:id="rId232" display="https://gerandofalcoes.my.salesforce.com/0014X00002VKCtNQAX" xr:uid="{00000000-0004-0000-0800-0000E7000000}"/>
    <hyperlink ref="A234" r:id="rId233" display="https://gerandofalcoes.my.salesforce.com/0014P00003YSp7SQAT" xr:uid="{00000000-0004-0000-0800-0000E8000000}"/>
    <hyperlink ref="A235" r:id="rId234" display="https://gerandofalcoes.my.salesforce.com/0014X00002VKCqSQAX" xr:uid="{00000000-0004-0000-0800-0000E9000000}"/>
    <hyperlink ref="A236" r:id="rId235" display="https://gerandofalcoes.my.salesforce.com/0014X00002VMXzMQAX" xr:uid="{00000000-0004-0000-0800-0000EA000000}"/>
    <hyperlink ref="A237" r:id="rId236" display="https://gerandofalcoes.my.salesforce.com/0014X00002VKCpwQAH" xr:uid="{00000000-0004-0000-0800-0000EB000000}"/>
    <hyperlink ref="A238" r:id="rId237" display="https://gerandofalcoes.my.salesforce.com/0014X00002VKCq1QAH" xr:uid="{00000000-0004-0000-0800-0000EC000000}"/>
    <hyperlink ref="A239" r:id="rId238" display="https://gerandofalcoes.my.salesforce.com/0014X00002VKCr2QAH" xr:uid="{00000000-0004-0000-0800-0000ED000000}"/>
    <hyperlink ref="A240" r:id="rId239" display="https://gerandofalcoes.my.salesforce.com/0014X00002VKCpPQAX" xr:uid="{00000000-0004-0000-0800-0000EE000000}"/>
    <hyperlink ref="A241" r:id="rId240" display="https://gerandofalcoes.my.salesforce.com/0014P00003YSp7WQAT" xr:uid="{00000000-0004-0000-0800-0000EF000000}"/>
    <hyperlink ref="A242" r:id="rId241" display="https://gerandofalcoes.my.salesforce.com/0014X00002VKCqNQAX" xr:uid="{00000000-0004-0000-0800-0000F0000000}"/>
    <hyperlink ref="A243" r:id="rId242" display="https://gerandofalcoes.my.salesforce.com/0014X00002VKCqzQAH" xr:uid="{00000000-0004-0000-0800-0000F1000000}"/>
    <hyperlink ref="A244" r:id="rId243" display="https://gerandofalcoes.my.salesforce.com/0014X00002VKCpUQAX" xr:uid="{00000000-0004-0000-0800-0000F2000000}"/>
    <hyperlink ref="A245" r:id="rId244" display="https://gerandofalcoes.my.salesforce.com/0014X00002VKCreQAH" xr:uid="{00000000-0004-0000-0800-0000F3000000}"/>
    <hyperlink ref="A246" r:id="rId245" display="https://gerandofalcoes.my.salesforce.com/0014X00002VKCpnQAH" xr:uid="{00000000-0004-0000-0800-0000F4000000}"/>
    <hyperlink ref="A247" r:id="rId246" display="https://gerandofalcoes.my.salesforce.com/0014P00003YSp9hQAD" xr:uid="{00000000-0004-0000-0800-0000F5000000}"/>
    <hyperlink ref="A248" r:id="rId247" display="https://gerandofalcoes.my.salesforce.com/0014X00002VKCtjQAH" xr:uid="{00000000-0004-0000-0800-0000F6000000}"/>
    <hyperlink ref="A249" r:id="rId248" display="https://gerandofalcoes.my.salesforce.com/0014P00003YSp86QAD" xr:uid="{00000000-0004-0000-0800-0000F7000000}"/>
    <hyperlink ref="A250" r:id="rId249" display="https://gerandofalcoes.my.salesforce.com/0014P00003YSp9dQAD" xr:uid="{00000000-0004-0000-0800-0000F8000000}"/>
    <hyperlink ref="A251" r:id="rId250" display="https://gerandofalcoes.my.salesforce.com/0014X00002VKCqoQAH" xr:uid="{00000000-0004-0000-0800-0000F9000000}"/>
    <hyperlink ref="A252" r:id="rId251" display="https://gerandofalcoes.my.salesforce.com/0014X00002VKCrbQAH" xr:uid="{00000000-0004-0000-0800-0000FA000000}"/>
    <hyperlink ref="A253" r:id="rId252" display="https://gerandofalcoes.my.salesforce.com/0014P00003YSp7PQAT" xr:uid="{00000000-0004-0000-0800-0000FB000000}"/>
    <hyperlink ref="A254" r:id="rId253" display="https://gerandofalcoes.my.salesforce.com/0014X00002VKCuZQAX" xr:uid="{00000000-0004-0000-0800-0000FC000000}"/>
    <hyperlink ref="A255" r:id="rId254" display="https://gerandofalcoes.my.salesforce.com/0014X00002VKCsGQAX" xr:uid="{00000000-0004-0000-0800-0000FD000000}"/>
    <hyperlink ref="A256" r:id="rId255" display="https://gerandofalcoes.my.salesforce.com/0014X00002VKCtyQAH" xr:uid="{00000000-0004-0000-0800-0000FE000000}"/>
    <hyperlink ref="A257" r:id="rId256" display="https://gerandofalcoes.my.salesforce.com/0014X00002VKCutQAH" xr:uid="{00000000-0004-0000-0800-0000FF000000}"/>
    <hyperlink ref="A258" r:id="rId257" display="https://gerandofalcoes.my.salesforce.com/0014X00002VKCsYQAX" xr:uid="{00000000-0004-0000-0800-000000010000}"/>
    <hyperlink ref="A259" r:id="rId258" display="https://gerandofalcoes.my.salesforce.com/0014P00003YSp8pQAD" xr:uid="{00000000-0004-0000-0800-000001010000}"/>
    <hyperlink ref="A260" r:id="rId259" display="https://gerandofalcoes.my.salesforce.com/0014X00002VKCtpQAH" xr:uid="{00000000-0004-0000-0800-000002010000}"/>
    <hyperlink ref="A261" r:id="rId260" display="https://gerandofalcoes.my.salesforce.com/0014X00002VKCrHQAX" xr:uid="{00000000-0004-0000-0800-000003010000}"/>
    <hyperlink ref="A262" r:id="rId261" display="https://gerandofalcoes.my.salesforce.com/0014P00003YSp92QAD" xr:uid="{00000000-0004-0000-0800-000004010000}"/>
    <hyperlink ref="A263" r:id="rId262" display="https://gerandofalcoes.my.salesforce.com/0014P00003SGWPTQA5" xr:uid="{00000000-0004-0000-0800-000005010000}"/>
    <hyperlink ref="A264" r:id="rId263" display="https://gerandofalcoes.my.salesforce.com/0014P00003SGWPgQAP" xr:uid="{00000000-0004-0000-0800-000006010000}"/>
    <hyperlink ref="A265" r:id="rId264" display="https://gerandofalcoes.my.salesforce.com/0014P00003YSpACQA1" xr:uid="{00000000-0004-0000-0800-000007010000}"/>
    <hyperlink ref="A266" r:id="rId265" display="https://gerandofalcoes.my.salesforce.com/0014X00002VKCsKQAX" xr:uid="{00000000-0004-0000-0800-000008010000}"/>
    <hyperlink ref="A267" r:id="rId266" display="https://gerandofalcoes.my.salesforce.com/0014X00002VKCs4QAH" xr:uid="{00000000-0004-0000-0800-000009010000}"/>
    <hyperlink ref="A268" r:id="rId267" display="https://gerandofalcoes.my.salesforce.com/0014X00002VKCslQAH" xr:uid="{00000000-0004-0000-0800-00000A010000}"/>
    <hyperlink ref="A269" r:id="rId268" display="https://gerandofalcoes.my.salesforce.com/0014P00003AN2FwQAL" xr:uid="{00000000-0004-0000-0800-00000B010000}"/>
    <hyperlink ref="A270" r:id="rId269" display="https://gerandofalcoes.my.salesforce.com/0014X00002VKCsNQAX" xr:uid="{00000000-0004-0000-0800-00000C010000}"/>
    <hyperlink ref="A271" r:id="rId270" display="https://gerandofalcoes.my.salesforce.com/0014X00002VKCtZQAX" xr:uid="{00000000-0004-0000-0800-00000D010000}"/>
    <hyperlink ref="A272" r:id="rId271" display="https://gerandofalcoes.my.salesforce.com/0014X00002VKD05QAH" xr:uid="{00000000-0004-0000-0800-00000E010000}"/>
    <hyperlink ref="A273" r:id="rId272" display="https://gerandofalcoes.my.salesforce.com/0014P00003AN2FpQAL" xr:uid="{00000000-0004-0000-0800-00000F010000}"/>
    <hyperlink ref="A274" r:id="rId273" display="https://gerandofalcoes.my.salesforce.com/0014P00003YSp8XQAT" xr:uid="{00000000-0004-0000-0800-000010010000}"/>
    <hyperlink ref="A275" r:id="rId274" display="https://gerandofalcoes.my.salesforce.com/0014P00003YSp8KQAT" xr:uid="{00000000-0004-0000-0800-000011010000}"/>
    <hyperlink ref="A276" r:id="rId275" display="https://gerandofalcoes.my.salesforce.com/0014P00003YSp9ZQAT" xr:uid="{00000000-0004-0000-0800-000012010000}"/>
    <hyperlink ref="A277" r:id="rId276" display="https://gerandofalcoes.my.salesforce.com/0014X00002VKCr7QAH" xr:uid="{00000000-0004-0000-0800-000013010000}"/>
    <hyperlink ref="A278" r:id="rId277" display="https://gerandofalcoes.my.salesforce.com/0014X00002VKCpQQAX" xr:uid="{00000000-0004-0000-0800-000014010000}"/>
    <hyperlink ref="A279" r:id="rId278" display="https://gerandofalcoes.my.salesforce.com/0014X00002VKCt7QAH" xr:uid="{00000000-0004-0000-0800-000015010000}"/>
    <hyperlink ref="A280" r:id="rId279" display="https://gerandofalcoes.my.salesforce.com/0014P00003AN2FmQAL" xr:uid="{00000000-0004-0000-0800-000016010000}"/>
    <hyperlink ref="A281" r:id="rId280" display="https://gerandofalcoes.my.salesforce.com/0014P00003YSp8MQAT" xr:uid="{00000000-0004-0000-0800-000017010000}"/>
    <hyperlink ref="A282" r:id="rId281" display="https://gerandofalcoes.my.salesforce.com/0014X00002VKCqMQAX" xr:uid="{00000000-0004-0000-0800-000018010000}"/>
    <hyperlink ref="A283" r:id="rId282" display="https://gerandofalcoes.my.salesforce.com/0014X00002VKCtVQAX" xr:uid="{00000000-0004-0000-0800-000019010000}"/>
    <hyperlink ref="A284" r:id="rId283" display="https://gerandofalcoes.my.salesforce.com/0014X00002VKCrTQAX" xr:uid="{00000000-0004-0000-0800-00001A010000}"/>
    <hyperlink ref="A285" r:id="rId284" display="https://gerandofalcoes.my.salesforce.com/0014X00002VKCpdQAH" xr:uid="{00000000-0004-0000-0800-00001B010000}"/>
    <hyperlink ref="A286" r:id="rId285" display="https://gerandofalcoes.my.salesforce.com/0014P00003SGWPVQA5" xr:uid="{00000000-0004-0000-0800-00001C010000}"/>
    <hyperlink ref="A287" r:id="rId286" display="https://gerandofalcoes.my.salesforce.com/0014X00002VKCqyQAH" xr:uid="{00000000-0004-0000-0800-00001D010000}"/>
    <hyperlink ref="A288" r:id="rId287" display="https://gerandofalcoes.my.salesforce.com/0014P00003YSp8tQAD" xr:uid="{00000000-0004-0000-0800-00001E010000}"/>
    <hyperlink ref="A289" r:id="rId288" display="https://gerandofalcoes.my.salesforce.com/0014P00003AN2h5QAD" xr:uid="{00000000-0004-0000-0800-00001F010000}"/>
    <hyperlink ref="A290" r:id="rId289" display="https://gerandofalcoes.my.salesforce.com/0014P00003YSp9SQAT" xr:uid="{00000000-0004-0000-0800-000020010000}"/>
    <hyperlink ref="A291" r:id="rId290" display="https://gerandofalcoes.my.salesforce.com/0014X00002VKCvDQAX" xr:uid="{00000000-0004-0000-0800-000021010000}"/>
    <hyperlink ref="A292" r:id="rId291" display="https://gerandofalcoes.my.salesforce.com/0014P00003YSp9XQAT" xr:uid="{00000000-0004-0000-0800-000022010000}"/>
    <hyperlink ref="A293" r:id="rId292" display="https://gerandofalcoes.my.salesforce.com/0014P00003YSpAJQA1" xr:uid="{00000000-0004-0000-0800-000023010000}"/>
    <hyperlink ref="A294" r:id="rId293" display="https://gerandofalcoes.my.salesforce.com/0014X00002VKCsyQAH" xr:uid="{00000000-0004-0000-0800-000024010000}"/>
    <hyperlink ref="A295" r:id="rId294" display="https://gerandofalcoes.my.salesforce.com/0014X00002UGqWjQAL" xr:uid="{00000000-0004-0000-0800-000025010000}"/>
    <hyperlink ref="A296" r:id="rId295" display="https://gerandofalcoes.my.salesforce.com/0014X00002VKCqlQAH" xr:uid="{00000000-0004-0000-0800-000026010000}"/>
    <hyperlink ref="A297" r:id="rId296" display="https://gerandofalcoes.my.salesforce.com/0014X00002VKCq8QAH" xr:uid="{00000000-0004-0000-0800-000027010000}"/>
    <hyperlink ref="A298" r:id="rId297" display="https://gerandofalcoes.my.salesforce.com/0014P00003YSp8hQAD" xr:uid="{00000000-0004-0000-0800-000028010000}"/>
    <hyperlink ref="A299" r:id="rId298" display="https://gerandofalcoes.my.salesforce.com/0014X00002VKCtdQAH" xr:uid="{00000000-0004-0000-0800-000029010000}"/>
    <hyperlink ref="A300" r:id="rId299" display="https://gerandofalcoes.my.salesforce.com/0014X00002UGscXQAT" xr:uid="{00000000-0004-0000-0800-00002A010000}"/>
    <hyperlink ref="A301" r:id="rId300" display="https://gerandofalcoes.my.salesforce.com/0014X00002VKCrMQAX" xr:uid="{00000000-0004-0000-0800-00002B010000}"/>
    <hyperlink ref="A302" r:id="rId301" display="https://gerandofalcoes.my.salesforce.com/0014P00003SGWPpQAP" xr:uid="{00000000-0004-0000-0800-00002C010000}"/>
    <hyperlink ref="A303" r:id="rId302" display="https://gerandofalcoes.my.salesforce.com/0014P00003YSp8OQAT" xr:uid="{00000000-0004-0000-0800-00002D010000}"/>
    <hyperlink ref="A304" r:id="rId303" display="https://gerandofalcoes.my.salesforce.com/0014X00002VKCt4QAH" xr:uid="{00000000-0004-0000-0800-00002E010000}"/>
    <hyperlink ref="A305" r:id="rId304" display="https://gerandofalcoes.my.salesforce.com/0014X00002VKCqfQAH" xr:uid="{00000000-0004-0000-0800-00002F010000}"/>
    <hyperlink ref="A306" r:id="rId305" display="https://gerandofalcoes.my.salesforce.com/0014X00002PUOTvQAP" xr:uid="{00000000-0004-0000-0800-000030010000}"/>
    <hyperlink ref="A307" r:id="rId306" display="https://gerandofalcoes.my.salesforce.com/0014P00003AN2FjQAL" xr:uid="{00000000-0004-0000-0800-000031010000}"/>
    <hyperlink ref="A308" r:id="rId307" display="https://gerandofalcoes.my.salesforce.com/0014P00003AN2FqQAL" xr:uid="{00000000-0004-0000-0800-000032010000}"/>
    <hyperlink ref="A309" r:id="rId308" display="https://gerandofalcoes.my.salesforce.com/0014X00002VKCuHQAX" xr:uid="{00000000-0004-0000-0800-000033010000}"/>
    <hyperlink ref="A310" r:id="rId309" display="https://gerandofalcoes.my.salesforce.com/0014X00002VKCpAQAX" xr:uid="{00000000-0004-0000-0800-000034010000}"/>
    <hyperlink ref="A311" r:id="rId310" display="https://gerandofalcoes.my.salesforce.com/0014X00002VKCuWQAX" xr:uid="{00000000-0004-0000-0800-000035010000}"/>
    <hyperlink ref="A312" r:id="rId311" display="https://gerandofalcoes.my.salesforce.com/0014X00002VKCqEQAX" xr:uid="{00000000-0004-0000-0800-000036010000}"/>
    <hyperlink ref="A313" r:id="rId312" display="https://gerandofalcoes.my.salesforce.com/0014X00002VKCtwQAH" xr:uid="{00000000-0004-0000-0800-000037010000}"/>
    <hyperlink ref="A314" r:id="rId313" display="https://gerandofalcoes.my.salesforce.com/0014P00003YSp7uQAD" xr:uid="{00000000-0004-0000-0800-000038010000}"/>
    <hyperlink ref="A315" r:id="rId314" display="https://gerandofalcoes.my.salesforce.com/0014X00002VKCp6QAH" xr:uid="{00000000-0004-0000-0800-000039010000}"/>
    <hyperlink ref="A316" r:id="rId315" display="https://gerandofalcoes.my.salesforce.com/0014P00003SGWPrQAP" xr:uid="{00000000-0004-0000-0800-00003A010000}"/>
    <hyperlink ref="A317" r:id="rId316" display="https://gerandofalcoes.my.salesforce.com/0014X00002VKCttQAH" xr:uid="{00000000-0004-0000-0800-00003B010000}"/>
    <hyperlink ref="A318" r:id="rId317" display="https://gerandofalcoes.my.salesforce.com/0014X00002VKCpfQAH" xr:uid="{00000000-0004-0000-0800-00003C010000}"/>
    <hyperlink ref="A319" r:id="rId318" display="https://gerandofalcoes.my.salesforce.com/0014X00002VKCuCQAX" xr:uid="{00000000-0004-0000-0800-00003D010000}"/>
    <hyperlink ref="A320" r:id="rId319" display="https://gerandofalcoes.my.salesforce.com/0014X00002VKCtrQAH" xr:uid="{00000000-0004-0000-0800-00003E010000}"/>
    <hyperlink ref="A321" r:id="rId320" display="https://gerandofalcoes.my.salesforce.com/0014P00003AN2GMQA1" xr:uid="{00000000-0004-0000-0800-00003F010000}"/>
    <hyperlink ref="A322" r:id="rId321" display="https://gerandofalcoes.my.salesforce.com/0014X00002VKCqYQAX" xr:uid="{00000000-0004-0000-0800-000040010000}"/>
    <hyperlink ref="A323" r:id="rId322" display="https://gerandofalcoes.my.salesforce.com/0014P00003YSp9PQAT" xr:uid="{00000000-0004-0000-0800-000041010000}"/>
    <hyperlink ref="A324" r:id="rId323" display="https://gerandofalcoes.my.salesforce.com/0014P00003AN2FYQA1" xr:uid="{00000000-0004-0000-0800-000042010000}"/>
    <hyperlink ref="A325" r:id="rId324" display="https://gerandofalcoes.my.salesforce.com/0014X00002VKCr1QAH" xr:uid="{00000000-0004-0000-0800-000043010000}"/>
    <hyperlink ref="A326" r:id="rId325" display="https://gerandofalcoes.my.salesforce.com/0014P00003YSpA2QAL" xr:uid="{00000000-0004-0000-0800-000044010000}"/>
    <hyperlink ref="A327" r:id="rId326" display="https://gerandofalcoes.my.salesforce.com/0014P00003AN2FbQAL" xr:uid="{00000000-0004-0000-0800-000045010000}"/>
    <hyperlink ref="A328" r:id="rId327" display="https://gerandofalcoes.my.salesforce.com/0014X00002VKCp2QAH" xr:uid="{00000000-0004-0000-0800-000046010000}"/>
    <hyperlink ref="A329" r:id="rId328" display="https://gerandofalcoes.my.salesforce.com/0014X00002VKCqLQAX" xr:uid="{00000000-0004-0000-0800-000047010000}"/>
    <hyperlink ref="A330" r:id="rId329" display="https://gerandofalcoes.my.salesforce.com/0014P00003YSp7oQAD" xr:uid="{00000000-0004-0000-0800-000048010000}"/>
    <hyperlink ref="A331" r:id="rId330" display="https://gerandofalcoes.my.salesforce.com/0014P00003AN2GNQA1" xr:uid="{00000000-0004-0000-0800-000049010000}"/>
    <hyperlink ref="A332" r:id="rId331" display="https://gerandofalcoes.my.salesforce.com/0014P00003YSp7nQAD" xr:uid="{00000000-0004-0000-0800-00004A010000}"/>
    <hyperlink ref="A333" r:id="rId332" display="https://gerandofalcoes.my.salesforce.com/0014P00003SGWQJQA5" xr:uid="{00000000-0004-0000-0800-00004B010000}"/>
    <hyperlink ref="A334" r:id="rId333" display="https://gerandofalcoes.my.salesforce.com/0014X00002VKCq0QAH" xr:uid="{00000000-0004-0000-0800-00004C010000}"/>
    <hyperlink ref="A335" r:id="rId334" display="https://gerandofalcoes.my.salesforce.com/0014X00002VKCpCQAX" xr:uid="{00000000-0004-0000-0800-00004D010000}"/>
    <hyperlink ref="A336" r:id="rId335" display="https://gerandofalcoes.my.salesforce.com/0014X00002VKCuNQAX" xr:uid="{00000000-0004-0000-0800-00004E010000}"/>
    <hyperlink ref="A337" r:id="rId336" display="https://gerandofalcoes.my.salesforce.com/0014P00003YSp9mQAD" xr:uid="{00000000-0004-0000-0800-00004F010000}"/>
    <hyperlink ref="A338" r:id="rId337" display="https://gerandofalcoes.my.salesforce.com/0014P00003AN2G1QAL" xr:uid="{00000000-0004-0000-0800-000050010000}"/>
    <hyperlink ref="A339" r:id="rId338" display="https://gerandofalcoes.my.salesforce.com/0014X00002PUOaDQAX" xr:uid="{00000000-0004-0000-0800-000051010000}"/>
    <hyperlink ref="A340" r:id="rId339" display="https://gerandofalcoes.my.salesforce.com/0014P00003SGWQAQA5" xr:uid="{00000000-0004-0000-0800-000052010000}"/>
    <hyperlink ref="A341" r:id="rId340" display="https://gerandofalcoes.my.salesforce.com/0014X00002VKCueQAH" xr:uid="{00000000-0004-0000-0800-000053010000}"/>
    <hyperlink ref="A342" r:id="rId341" display="https://gerandofalcoes.my.salesforce.com/0014X00002VKCseQAH" xr:uid="{00000000-0004-0000-0800-000054010000}"/>
    <hyperlink ref="A343" r:id="rId342" display="https://gerandofalcoes.my.salesforce.com/0014X00002VKCphQAH" xr:uid="{00000000-0004-0000-0800-000055010000}"/>
    <hyperlink ref="A344" r:id="rId343" display="https://gerandofalcoes.my.salesforce.com/0014X00002VKCpqQAH" xr:uid="{00000000-0004-0000-0800-000056010000}"/>
    <hyperlink ref="A345" r:id="rId344" display="https://gerandofalcoes.my.salesforce.com/0014X00002VKCpgQAH" xr:uid="{00000000-0004-0000-0800-000057010000}"/>
    <hyperlink ref="A346" r:id="rId345" display="https://gerandofalcoes.my.salesforce.com/0014P00003YSp99QAD" xr:uid="{00000000-0004-0000-0800-000058010000}"/>
    <hyperlink ref="A347" r:id="rId346" display="https://gerandofalcoes.my.salesforce.com/0014P00003SGWQDQA5" xr:uid="{00000000-0004-0000-0800-000059010000}"/>
    <hyperlink ref="A348" r:id="rId347" display="https://gerandofalcoes.my.salesforce.com/0014P00003SGWPuQAP" xr:uid="{00000000-0004-0000-0800-00005A010000}"/>
    <hyperlink ref="A349" r:id="rId348" display="https://gerandofalcoes.my.salesforce.com/0014X00002VKCtFQAX" xr:uid="{00000000-0004-0000-0800-00005B010000}"/>
    <hyperlink ref="A350" r:id="rId349" display="https://gerandofalcoes.my.salesforce.com/0014X00002QTWZVQA5" xr:uid="{00000000-0004-0000-0800-00005C010000}"/>
    <hyperlink ref="A351" r:id="rId350" display="https://gerandofalcoes.my.salesforce.com/0014P00003YSp8FQAT" xr:uid="{00000000-0004-0000-0800-00005D010000}"/>
    <hyperlink ref="A352" r:id="rId351" display="https://gerandofalcoes.my.salesforce.com/0014P00003YSp7vQAD" xr:uid="{00000000-0004-0000-0800-00005E010000}"/>
    <hyperlink ref="A353" r:id="rId352" display="https://gerandofalcoes.my.salesforce.com/0014P00003SGWPjQAP" xr:uid="{00000000-0004-0000-0800-00005F010000}"/>
    <hyperlink ref="A354" r:id="rId353" display="https://gerandofalcoes.my.salesforce.com/0014P00003AN2FuQAL" xr:uid="{00000000-0004-0000-0800-000060010000}"/>
    <hyperlink ref="A355" r:id="rId354" display="https://gerandofalcoes.my.salesforce.com/0014P00003YSp8RQAT" xr:uid="{00000000-0004-0000-0800-000061010000}"/>
    <hyperlink ref="A356" r:id="rId355" display="https://gerandofalcoes.my.salesforce.com/0014P00003YSpAHQA1" xr:uid="{00000000-0004-0000-0800-000062010000}"/>
    <hyperlink ref="A357" r:id="rId356" display="https://gerandofalcoes.my.salesforce.com/0014P00003YSpA7QAL" xr:uid="{00000000-0004-0000-0800-000063010000}"/>
    <hyperlink ref="A358" r:id="rId357" display="https://gerandofalcoes.my.salesforce.com/0014P00003YSp9LQAT" xr:uid="{00000000-0004-0000-0800-000064010000}"/>
    <hyperlink ref="A359" r:id="rId358" display="https://gerandofalcoes.my.salesforce.com/0014P00003Ck7X8QAJ" xr:uid="{00000000-0004-0000-0800-000065010000}"/>
    <hyperlink ref="A360" r:id="rId359" display="https://gerandofalcoes.my.salesforce.com/0014P00003AN2FvQAL" xr:uid="{00000000-0004-0000-0800-000066010000}"/>
    <hyperlink ref="A361" r:id="rId360" display="https://gerandofalcoes.my.salesforce.com/0014P00003YSp9TQAT" xr:uid="{00000000-0004-0000-0800-000067010000}"/>
    <hyperlink ref="A362" r:id="rId361" display="https://gerandofalcoes.my.salesforce.com/0014P00003YSp87QAD" xr:uid="{00000000-0004-0000-0800-000068010000}"/>
    <hyperlink ref="A363" r:id="rId362" display="https://gerandofalcoes.my.salesforce.com/0014P00003AN2FVQA1" xr:uid="{00000000-0004-0000-0800-000069010000}"/>
    <hyperlink ref="A364" r:id="rId363" display="https://gerandofalcoes.my.salesforce.com/0014X00002VKCqkQAH" xr:uid="{00000000-0004-0000-0800-00006A010000}"/>
    <hyperlink ref="A365" r:id="rId364" display="https://gerandofalcoes.my.salesforce.com/0014P00003MjR9oQAF" xr:uid="{00000000-0004-0000-0800-00006B010000}"/>
    <hyperlink ref="A366" r:id="rId365" display="https://gerandofalcoes.my.salesforce.com/0014P00003MjNTIQA3" xr:uid="{00000000-0004-0000-0800-00006C010000}"/>
    <hyperlink ref="A367" r:id="rId366" display="https://gerandofalcoes.my.salesforce.com/0014P00003MjOsqQAF" xr:uid="{00000000-0004-0000-0800-00006D010000}"/>
    <hyperlink ref="A368" r:id="rId367" display="https://gerandofalcoes.my.salesforce.com/0014P00003YSp84QAD" xr:uid="{00000000-0004-0000-0800-00006E010000}"/>
    <hyperlink ref="A369" r:id="rId368" display="https://gerandofalcoes.my.salesforce.com/0014X00002PUOZAQA5" xr:uid="{00000000-0004-0000-0800-00006F010000}"/>
    <hyperlink ref="A370" r:id="rId369" display="https://gerandofalcoes.my.salesforce.com/0014P00003SGWPzQAP" xr:uid="{00000000-0004-0000-0800-000070010000}"/>
    <hyperlink ref="A371" r:id="rId370" display="https://gerandofalcoes.my.salesforce.com/0014P00003AN2FzQAL" xr:uid="{00000000-0004-0000-0800-000071010000}"/>
    <hyperlink ref="A372" r:id="rId371" display="https://gerandofalcoes.my.salesforce.com/0014X00002VKCq5QAH" xr:uid="{00000000-0004-0000-0800-000072010000}"/>
    <hyperlink ref="A373" r:id="rId372" display="https://gerandofalcoes.my.salesforce.com/0014X00002VKCuuQAH" xr:uid="{00000000-0004-0000-0800-000073010000}"/>
    <hyperlink ref="A374" r:id="rId373" display="https://gerandofalcoes.my.salesforce.com/0014X00002VKCsCQAX" xr:uid="{00000000-0004-0000-0800-000074010000}"/>
    <hyperlink ref="A375" r:id="rId374" display="https://gerandofalcoes.my.salesforce.com/0014X00002VKCqXQAX" xr:uid="{00000000-0004-0000-0800-000075010000}"/>
    <hyperlink ref="A376" r:id="rId375" display="https://gerandofalcoes.my.salesforce.com/0014X00002VKCqgQAH" xr:uid="{00000000-0004-0000-0800-000076010000}"/>
    <hyperlink ref="A377" r:id="rId376" display="https://gerandofalcoes.my.salesforce.com/0014P00003ERUfsQAH" xr:uid="{00000000-0004-0000-0800-000077010000}"/>
    <hyperlink ref="A378" r:id="rId377" display="https://gerandofalcoes.my.salesforce.com/0014X00002QTWXtQAP" xr:uid="{00000000-0004-0000-0800-000078010000}"/>
    <hyperlink ref="A379" r:id="rId378" display="https://gerandofalcoes.my.salesforce.com/0014X00002VKCqWQAX" xr:uid="{00000000-0004-0000-0800-000079010000}"/>
    <hyperlink ref="A380" r:id="rId379" display="https://gerandofalcoes.my.salesforce.com/0014P00003SGWPqQAP" xr:uid="{00000000-0004-0000-0800-00007A010000}"/>
    <hyperlink ref="A381" r:id="rId380" display="https://gerandofalcoes.my.salesforce.com/0014X00002VKCtJQAX" xr:uid="{00000000-0004-0000-0800-00007B010000}"/>
    <hyperlink ref="A382" r:id="rId381" display="https://gerandofalcoes.my.salesforce.com/0014X00002VKCp1QAH" xr:uid="{00000000-0004-0000-0800-00007C010000}"/>
    <hyperlink ref="A383" r:id="rId382" display="https://gerandofalcoes.my.salesforce.com/0014P00003AN2GPQA1" xr:uid="{00000000-0004-0000-0800-00007D010000}"/>
    <hyperlink ref="A384" r:id="rId383" display="https://gerandofalcoes.my.salesforce.com/0014X00002VKCqHQAX" xr:uid="{00000000-0004-0000-0800-00007E010000}"/>
    <hyperlink ref="A385" r:id="rId384" display="https://gerandofalcoes.my.salesforce.com/0014P00003YSp7TQAT" xr:uid="{00000000-0004-0000-0800-00007F010000}"/>
    <hyperlink ref="A386" r:id="rId385" display="https://gerandofalcoes.my.salesforce.com/0014P00003SGWPsQAP" xr:uid="{00000000-0004-0000-0800-000080010000}"/>
    <hyperlink ref="A387" r:id="rId386" display="https://gerandofalcoes.my.salesforce.com/0014P00003SGWPPQA5" xr:uid="{00000000-0004-0000-0800-000081010000}"/>
    <hyperlink ref="A388" r:id="rId387" display="https://gerandofalcoes.my.salesforce.com/0014X00002VKD06QAH" xr:uid="{00000000-0004-0000-0800-000082010000}"/>
    <hyperlink ref="A389" r:id="rId388" display="https://gerandofalcoes.my.salesforce.com/0014P00003YSp8HQAT" xr:uid="{00000000-0004-0000-0800-000083010000}"/>
    <hyperlink ref="A390" r:id="rId389" display="https://gerandofalcoes.my.salesforce.com/0014P00003YSp8vQAD" xr:uid="{00000000-0004-0000-0800-000084010000}"/>
    <hyperlink ref="A391" r:id="rId390" display="https://gerandofalcoes.my.salesforce.com/0014X00002VKCriQAH" xr:uid="{00000000-0004-0000-0800-000085010000}"/>
    <hyperlink ref="A392" r:id="rId391" display="https://gerandofalcoes.my.salesforce.com/0014X00002VKCtbQAH" xr:uid="{00000000-0004-0000-0800-000086010000}"/>
    <hyperlink ref="A393" r:id="rId392" display="https://gerandofalcoes.my.salesforce.com/0014P00003Ck8NjQAJ" xr:uid="{00000000-0004-0000-0800-000087010000}"/>
    <hyperlink ref="A394" r:id="rId393" display="https://gerandofalcoes.my.salesforce.com/0014X00002VKCpsQAH" xr:uid="{00000000-0004-0000-0800-000088010000}"/>
    <hyperlink ref="A395" r:id="rId394" display="https://gerandofalcoes.my.salesforce.com/0014P00003YSpA0QAL" xr:uid="{00000000-0004-0000-0800-000089010000}"/>
    <hyperlink ref="A396" r:id="rId395" display="https://gerandofalcoes.my.salesforce.com/0014P00003YSp91QAD" xr:uid="{00000000-0004-0000-0800-00008A010000}"/>
    <hyperlink ref="A397" r:id="rId396" display="https://gerandofalcoes.my.salesforce.com/0014P00003YSp8uQAD" xr:uid="{00000000-0004-0000-0800-00008B010000}"/>
    <hyperlink ref="A398" r:id="rId397" display="https://gerandofalcoes.my.salesforce.com/0014P00003YSp9eQAD" xr:uid="{00000000-0004-0000-0800-00008C010000}"/>
    <hyperlink ref="A399" r:id="rId398" display="https://gerandofalcoes.my.salesforce.com/0014X00002VKCrNQAX" xr:uid="{00000000-0004-0000-0800-00008D010000}"/>
    <hyperlink ref="A400" r:id="rId399" display="https://gerandofalcoes.my.salesforce.com/0014X00002VKCrRQAX" xr:uid="{00000000-0004-0000-0800-00008E010000}"/>
    <hyperlink ref="A401" r:id="rId400" display="https://gerandofalcoes.my.salesforce.com/0014P00003I7WH2QAN" xr:uid="{00000000-0004-0000-0800-00008F010000}"/>
    <hyperlink ref="A402" r:id="rId401" display="https://gerandofalcoes.my.salesforce.com/0014X00002VKCulQAH" xr:uid="{00000000-0004-0000-0800-000090010000}"/>
    <hyperlink ref="A403" r:id="rId402" display="https://gerandofalcoes.my.salesforce.com/0014X00002VKCtDQAX" xr:uid="{00000000-0004-0000-0800-000091010000}"/>
    <hyperlink ref="A404" r:id="rId403" display="https://gerandofalcoes.my.salesforce.com/0014X00002VKCrhQAH" xr:uid="{00000000-0004-0000-0800-000092010000}"/>
    <hyperlink ref="A405" r:id="rId404" display="https://gerandofalcoes.my.salesforce.com/0014X00002PUObkQAH" xr:uid="{00000000-0004-0000-0800-000093010000}"/>
    <hyperlink ref="A406" r:id="rId405" display="https://gerandofalcoes.my.salesforce.com/0014P00003SGWPoQAP" xr:uid="{00000000-0004-0000-0800-000094010000}"/>
    <hyperlink ref="A407" r:id="rId406" display="https://gerandofalcoes.my.salesforce.com/0014X00002VKCsnQAH" xr:uid="{00000000-0004-0000-0800-000095010000}"/>
    <hyperlink ref="A408" r:id="rId407" display="https://gerandofalcoes.my.salesforce.com/0014P00003YSp9lQAD" xr:uid="{00000000-0004-0000-0800-000096010000}"/>
    <hyperlink ref="A409" r:id="rId408" display="https://gerandofalcoes.my.salesforce.com/0014P00003YSp8BQAT" xr:uid="{00000000-0004-0000-0800-000097010000}"/>
    <hyperlink ref="A410" r:id="rId409" display="https://gerandofalcoes.my.salesforce.com/0014X00002VKCtzQAH" xr:uid="{00000000-0004-0000-0800-000098010000}"/>
    <hyperlink ref="A411" r:id="rId410" display="https://gerandofalcoes.my.salesforce.com/0014P00003AN2FcQAL" xr:uid="{00000000-0004-0000-0800-000099010000}"/>
    <hyperlink ref="A412" r:id="rId411" display="https://gerandofalcoes.my.salesforce.com/0014P00003YSp8cQAD" xr:uid="{00000000-0004-0000-0800-00009A010000}"/>
    <hyperlink ref="A413" r:id="rId412" display="https://gerandofalcoes.my.salesforce.com/0014X00002VKCpuQAH" xr:uid="{00000000-0004-0000-0800-00009B010000}"/>
    <hyperlink ref="A414" r:id="rId413" display="https://gerandofalcoes.my.salesforce.com/0014P00003AN2FxQAL" xr:uid="{00000000-0004-0000-0800-00009C010000}"/>
    <hyperlink ref="A415" r:id="rId414" display="https://gerandofalcoes.my.salesforce.com/0014X00002VKCuzQAH" xr:uid="{00000000-0004-0000-0800-00009D010000}"/>
    <hyperlink ref="A416" r:id="rId415" display="https://gerandofalcoes.my.salesforce.com/0014P00003SGWPdQAP" xr:uid="{00000000-0004-0000-0800-00009E010000}"/>
    <hyperlink ref="A417" r:id="rId416" display="https://gerandofalcoes.my.salesforce.com/0014P00003AN2GKQA1" xr:uid="{00000000-0004-0000-0800-00009F010000}"/>
    <hyperlink ref="A418" r:id="rId417" display="https://gerandofalcoes.my.salesforce.com/0014P00003AN2G9QAL" xr:uid="{00000000-0004-0000-0800-0000A0010000}"/>
    <hyperlink ref="A419" r:id="rId418" display="https://gerandofalcoes.my.salesforce.com/0014P00003YSpA3QAL" xr:uid="{00000000-0004-0000-0800-0000A1010000}"/>
    <hyperlink ref="A420" r:id="rId419" display="https://gerandofalcoes.my.salesforce.com/0014P00003YSp8GQAT" xr:uid="{00000000-0004-0000-0800-0000A2010000}"/>
    <hyperlink ref="A421" r:id="rId420" display="https://gerandofalcoes.my.salesforce.com/0014P00003AN2G5QAL" xr:uid="{00000000-0004-0000-0800-0000A3010000}"/>
    <hyperlink ref="A422" r:id="rId421" display="https://gerandofalcoes.my.salesforce.com/0014X00002VKCqDQAX" xr:uid="{00000000-0004-0000-0800-0000A4010000}"/>
    <hyperlink ref="A423" r:id="rId422" display="https://gerandofalcoes.my.salesforce.com/0014X00002VKCv4QAH" xr:uid="{00000000-0004-0000-0800-0000A5010000}"/>
    <hyperlink ref="A424" r:id="rId423" display="https://gerandofalcoes.my.salesforce.com/0014X00002VKCuJQAX" xr:uid="{00000000-0004-0000-0800-0000A6010000}"/>
    <hyperlink ref="A425" r:id="rId424" display="https://gerandofalcoes.my.salesforce.com/0014P00003YSp9yQAD" xr:uid="{00000000-0004-0000-0800-0000A7010000}"/>
    <hyperlink ref="A426" r:id="rId425" display="https://gerandofalcoes.my.salesforce.com/0014X00002VKCuPQAX" xr:uid="{00000000-0004-0000-0800-0000A8010000}"/>
    <hyperlink ref="A427" r:id="rId426" display="https://gerandofalcoes.my.salesforce.com/0014X00002VKCpFQAX" xr:uid="{00000000-0004-0000-0800-0000A9010000}"/>
    <hyperlink ref="A428" r:id="rId427" display="https://gerandofalcoes.my.salesforce.com/0014P00003SGWPvQAP" xr:uid="{00000000-0004-0000-0800-0000AA010000}"/>
    <hyperlink ref="A429" r:id="rId428" display="https://gerandofalcoes.my.salesforce.com/0014X00002VKCq6QAH" xr:uid="{00000000-0004-0000-0800-0000AB010000}"/>
    <hyperlink ref="A430" r:id="rId429" display="https://gerandofalcoes.my.salesforce.com/0014X00002VKCqhQAH" xr:uid="{00000000-0004-0000-0800-0000AC010000}"/>
    <hyperlink ref="A431" r:id="rId430" display="https://gerandofalcoes.my.salesforce.com/0014X00002VKCptQAH" xr:uid="{00000000-0004-0000-0800-0000AD010000}"/>
    <hyperlink ref="A432" r:id="rId431" display="https://gerandofalcoes.my.salesforce.com/0014X00002VKCv6QAH" xr:uid="{00000000-0004-0000-0800-0000AE010000}"/>
    <hyperlink ref="A433" r:id="rId432" display="https://gerandofalcoes.my.salesforce.com/0014X00002VKCqbQAH" xr:uid="{00000000-0004-0000-0800-0000AF010000}"/>
    <hyperlink ref="A434" r:id="rId433" display="https://gerandofalcoes.my.salesforce.com/0014X00002VKCuAQAX" xr:uid="{00000000-0004-0000-0800-0000B0010000}"/>
    <hyperlink ref="A435" r:id="rId434" display="https://gerandofalcoes.my.salesforce.com/0014P00003AN2FsQAL" xr:uid="{00000000-0004-0000-0800-0000B1010000}"/>
    <hyperlink ref="A436" r:id="rId435" display="https://gerandofalcoes.my.salesforce.com/0014P00003ESKdlQAH" xr:uid="{00000000-0004-0000-0800-0000B2010000}"/>
    <hyperlink ref="A437" r:id="rId436" display="https://gerandofalcoes.my.salesforce.com/0014P00003AN2GDQA1" xr:uid="{00000000-0004-0000-0800-0000B3010000}"/>
    <hyperlink ref="A438" r:id="rId437" display="https://gerandofalcoes.my.salesforce.com/0014X00002VKCuKQAX" xr:uid="{00000000-0004-0000-0800-0000B4010000}"/>
    <hyperlink ref="A439" r:id="rId438" display="https://gerandofalcoes.my.salesforce.com/0014P00003YSp7iQAD" xr:uid="{00000000-0004-0000-0800-0000B5010000}"/>
    <hyperlink ref="A440" r:id="rId439" display="https://gerandofalcoes.my.salesforce.com/0014X00002VKCuhQAH" xr:uid="{00000000-0004-0000-0800-0000B6010000}"/>
    <hyperlink ref="A441" r:id="rId440" display="https://gerandofalcoes.my.salesforce.com/0014X00002VKCpKQAX" xr:uid="{00000000-0004-0000-0800-0000B7010000}"/>
    <hyperlink ref="A442" r:id="rId441" display="https://gerandofalcoes.my.salesforce.com/0014P00003YSp7kQAD" xr:uid="{00000000-0004-0000-0800-0000B8010000}"/>
    <hyperlink ref="A443" r:id="rId442" display="https://gerandofalcoes.my.salesforce.com/0014X00002VKCuTQAX" xr:uid="{00000000-0004-0000-0800-0000B9010000}"/>
    <hyperlink ref="A444" r:id="rId443" display="https://gerandofalcoes.my.salesforce.com/0014P00003YSp8EQAT" xr:uid="{00000000-0004-0000-0800-0000BA010000}"/>
    <hyperlink ref="A445" r:id="rId444" display="https://gerandofalcoes.my.salesforce.com/0014P00003SGWPxQAP" xr:uid="{00000000-0004-0000-0800-0000BB010000}"/>
    <hyperlink ref="A446" r:id="rId445" display="https://gerandofalcoes.my.salesforce.com/0014P00003SGWPnQAP" xr:uid="{00000000-0004-0000-0800-0000BC010000}"/>
    <hyperlink ref="A447" r:id="rId446" display="https://gerandofalcoes.my.salesforce.com/0014P00003SGWPeQAP" xr:uid="{00000000-0004-0000-0800-0000BD010000}"/>
    <hyperlink ref="A448" r:id="rId447" display="https://gerandofalcoes.my.salesforce.com/0014P00003YSpAIQA1" xr:uid="{00000000-0004-0000-0800-0000BE010000}"/>
    <hyperlink ref="A449" r:id="rId448" display="https://gerandofalcoes.my.salesforce.com/0014P00003YSp8dQAD" xr:uid="{00000000-0004-0000-0800-0000BF010000}"/>
    <hyperlink ref="A450" r:id="rId449" display="https://gerandofalcoes.my.salesforce.com/0014X00002VKCt9QAH" xr:uid="{00000000-0004-0000-0800-0000C0010000}"/>
    <hyperlink ref="A451" r:id="rId450" display="https://gerandofalcoes.my.salesforce.com/0014X00002VKCpBQAX" xr:uid="{00000000-0004-0000-0800-0000C1010000}"/>
    <hyperlink ref="A452" r:id="rId451" display="https://gerandofalcoes.my.salesforce.com/0014P00003YSp7qQAD" xr:uid="{00000000-0004-0000-0800-0000C2010000}"/>
    <hyperlink ref="A453" r:id="rId452" display="https://gerandofalcoes.my.salesforce.com/0014X00002VKCu0QAH" xr:uid="{00000000-0004-0000-0800-0000C3010000}"/>
    <hyperlink ref="A454" r:id="rId453" display="https://gerandofalcoes.my.salesforce.com/0014P00003YSp8mQAD" xr:uid="{00000000-0004-0000-0800-0000C4010000}"/>
    <hyperlink ref="A455" r:id="rId454" display="https://gerandofalcoes.my.salesforce.com/0014P00003YSp9RQAT" xr:uid="{00000000-0004-0000-0800-0000C5010000}"/>
    <hyperlink ref="A456" r:id="rId455" display="https://gerandofalcoes.my.salesforce.com/0014P00003SGWQ0QAP" xr:uid="{00000000-0004-0000-0800-0000C6010000}"/>
    <hyperlink ref="A457" r:id="rId456" display="https://gerandofalcoes.my.salesforce.com/0014P00003YSp8yQAD" xr:uid="{00000000-0004-0000-0800-0000C7010000}"/>
    <hyperlink ref="A458" r:id="rId457" display="https://gerandofalcoes.my.salesforce.com/0014X00002VKCrVQAX" xr:uid="{00000000-0004-0000-0800-0000C8010000}"/>
    <hyperlink ref="A459" r:id="rId458" display="https://gerandofalcoes.my.salesforce.com/0014P00003YSp8LQAT" xr:uid="{00000000-0004-0000-0800-0000C9010000}"/>
    <hyperlink ref="A460" r:id="rId459" display="https://gerandofalcoes.my.salesforce.com/0014X00002VKCrcQAH" xr:uid="{00000000-0004-0000-0800-0000CA010000}"/>
    <hyperlink ref="A461" r:id="rId460" display="https://gerandofalcoes.my.salesforce.com/0014X00002VKCuVQAX" xr:uid="{00000000-0004-0000-0800-0000CB010000}"/>
    <hyperlink ref="A462" r:id="rId461" display="https://gerandofalcoes.my.salesforce.com/0014X00002VKCqFQAX" xr:uid="{00000000-0004-0000-0800-0000CC010000}"/>
    <hyperlink ref="A463" r:id="rId462" display="https://gerandofalcoes.my.salesforce.com/0014P00003SGWQ1QAP" xr:uid="{00000000-0004-0000-0800-0000CD010000}"/>
    <hyperlink ref="A464" r:id="rId463" display="https://gerandofalcoes.my.salesforce.com/0014X00002VKCstQAH" xr:uid="{00000000-0004-0000-0800-0000CE010000}"/>
    <hyperlink ref="A465" r:id="rId464" display="https://gerandofalcoes.my.salesforce.com/0014X00002VKCsmQAH" xr:uid="{00000000-0004-0000-0800-0000CF010000}"/>
    <hyperlink ref="A466" r:id="rId465" display="https://gerandofalcoes.my.salesforce.com/0014X00002VKCv1QAH" xr:uid="{00000000-0004-0000-0800-0000D0010000}"/>
    <hyperlink ref="A467" r:id="rId466" display="https://gerandofalcoes.my.salesforce.com/0014X00002VKCrLQAX" xr:uid="{00000000-0004-0000-0800-0000D1010000}"/>
    <hyperlink ref="A468" r:id="rId467" display="https://gerandofalcoes.my.salesforce.com/0014X00002VKCurQAH" xr:uid="{00000000-0004-0000-0800-0000D2010000}"/>
    <hyperlink ref="A469" r:id="rId468" display="https://gerandofalcoes.my.salesforce.com/0014P00003SGWQ7QAP" xr:uid="{00000000-0004-0000-0800-0000D3010000}"/>
    <hyperlink ref="A470" r:id="rId469" display="https://gerandofalcoes.my.salesforce.com/0014P00003YSp9zQAD" xr:uid="{00000000-0004-0000-0800-0000D4010000}"/>
    <hyperlink ref="A471" r:id="rId470" display="https://gerandofalcoes.my.salesforce.com/0014X00002VKCrKQAX" xr:uid="{00000000-0004-0000-0800-0000D5010000}"/>
    <hyperlink ref="A472" r:id="rId471" display="https://gerandofalcoes.my.salesforce.com/0014X00002VKCp9QAH" xr:uid="{00000000-0004-0000-0800-0000D6010000}"/>
    <hyperlink ref="A473" r:id="rId472" display="https://gerandofalcoes.my.salesforce.com/0014P00003YSp8nQAD" xr:uid="{00000000-0004-0000-0800-0000D7010000}"/>
    <hyperlink ref="A474" r:id="rId473" display="https://gerandofalcoes.my.salesforce.com/0014X00002VKCtEQAX" xr:uid="{00000000-0004-0000-0800-0000D8010000}"/>
    <hyperlink ref="A475" r:id="rId474" display="https://gerandofalcoes.my.salesforce.com/0014X00002VKCt8QAH" xr:uid="{00000000-0004-0000-0800-0000D9010000}"/>
    <hyperlink ref="A476" r:id="rId475" display="https://gerandofalcoes.my.salesforce.com/0014P00003YSp8CQAT" xr:uid="{00000000-0004-0000-0800-0000DA010000}"/>
    <hyperlink ref="A477" r:id="rId476" display="https://gerandofalcoes.my.salesforce.com/0014X00002VKCpvQAH" xr:uid="{00000000-0004-0000-0800-0000DB010000}"/>
    <hyperlink ref="A478" r:id="rId477" display="https://gerandofalcoes.my.salesforce.com/0014P00003SGWFtQAP" xr:uid="{00000000-0004-0000-0800-0000DC010000}"/>
    <hyperlink ref="A479" r:id="rId478" display="https://gerandofalcoes.my.salesforce.com/0014X00002VKCpYQAX" xr:uid="{00000000-0004-0000-0800-0000DD010000}"/>
    <hyperlink ref="A480" r:id="rId479" display="https://gerandofalcoes.my.salesforce.com/0014P00003YSp9JQAT" xr:uid="{00000000-0004-0000-0800-0000DE010000}"/>
    <hyperlink ref="A481" r:id="rId480" display="https://gerandofalcoes.my.salesforce.com/0014X00002VKCouQAH" xr:uid="{00000000-0004-0000-0800-0000DF010000}"/>
    <hyperlink ref="A482" r:id="rId481" display="https://gerandofalcoes.my.salesforce.com/0014P00003YSpAGQA1" xr:uid="{00000000-0004-0000-0800-0000E0010000}"/>
    <hyperlink ref="A483" r:id="rId482" display="https://gerandofalcoes.my.salesforce.com/0014P00003SGWPbQAP" xr:uid="{00000000-0004-0000-0800-0000E1010000}"/>
    <hyperlink ref="A484" r:id="rId483" display="https://gerandofalcoes.my.salesforce.com/0014X00002VKCr3QAH" xr:uid="{00000000-0004-0000-0800-0000E2010000}"/>
    <hyperlink ref="A485" r:id="rId484" display="https://gerandofalcoes.my.salesforce.com/0014X00002VKCowQAH" xr:uid="{00000000-0004-0000-0800-0000E3010000}"/>
    <hyperlink ref="A486" r:id="rId485" display="https://gerandofalcoes.my.salesforce.com/0014X00002VKCrfQAH" xr:uid="{00000000-0004-0000-0800-0000E4010000}"/>
    <hyperlink ref="A487" r:id="rId486" display="https://gerandofalcoes.my.salesforce.com/0014P00003YSpA1QAL" xr:uid="{00000000-0004-0000-0800-0000E5010000}"/>
    <hyperlink ref="A488" r:id="rId487" display="https://gerandofalcoes.my.salesforce.com/0014X00002VKCubQAH" xr:uid="{00000000-0004-0000-0800-0000E6010000}"/>
    <hyperlink ref="A489" r:id="rId488" display="https://gerandofalcoes.my.salesforce.com/0014X00002VKCv8QAH" xr:uid="{00000000-0004-0000-0800-0000E7010000}"/>
    <hyperlink ref="A490" r:id="rId489" display="https://gerandofalcoes.my.salesforce.com/0014X00002VKCtRQAX" xr:uid="{00000000-0004-0000-0800-0000E8010000}"/>
    <hyperlink ref="A491" r:id="rId490" display="https://gerandofalcoes.my.salesforce.com/0014X00002VKCsxQAH" xr:uid="{00000000-0004-0000-0800-0000E9010000}"/>
    <hyperlink ref="A492" r:id="rId491" display="https://gerandofalcoes.my.salesforce.com/0014P00003AN2G3QAL" xr:uid="{00000000-0004-0000-0800-0000EA010000}"/>
    <hyperlink ref="A493" r:id="rId492" display="https://gerandofalcoes.my.salesforce.com/0014P00003YSp8iQAD" xr:uid="{00000000-0004-0000-0800-0000EB010000}"/>
    <hyperlink ref="A494" r:id="rId493" display="https://gerandofalcoes.my.salesforce.com/0014P00003SGWQ3QAP" xr:uid="{00000000-0004-0000-0800-0000EC010000}"/>
    <hyperlink ref="A495" r:id="rId494" display="https://gerandofalcoes.my.salesforce.com/0014P00003AN2FoQAL" xr:uid="{00000000-0004-0000-0800-0000ED010000}"/>
    <hyperlink ref="A496" r:id="rId495" display="https://gerandofalcoes.my.salesforce.com/0014P00003YSp8lQAD" xr:uid="{00000000-0004-0000-0800-0000EE010000}"/>
    <hyperlink ref="A497" r:id="rId496" display="https://gerandofalcoes.my.salesforce.com/0014X00002VKCsQQAX" xr:uid="{00000000-0004-0000-0800-0000EF010000}"/>
    <hyperlink ref="A498" r:id="rId497" display="https://gerandofalcoes.my.salesforce.com/0014X00002VKCoxQAH" xr:uid="{00000000-0004-0000-0800-0000F0010000}"/>
    <hyperlink ref="A499" r:id="rId498" display="https://gerandofalcoes.my.salesforce.com/0014P00003YSp7fQAD" xr:uid="{00000000-0004-0000-0800-0000F1010000}"/>
    <hyperlink ref="A500" r:id="rId499" display="https://gerandofalcoes.my.salesforce.com/0014X00002PUOdWQAX" xr:uid="{00000000-0004-0000-0800-0000F2010000}"/>
    <hyperlink ref="A501" r:id="rId500" display="https://gerandofalcoes.my.salesforce.com/0014P00003YSp9BQAT" xr:uid="{00000000-0004-0000-0800-0000F3010000}"/>
    <hyperlink ref="A502" r:id="rId501" display="https://gerandofalcoes.my.salesforce.com/0014X00002VKCqBQAX" xr:uid="{00000000-0004-0000-0800-0000F4010000}"/>
    <hyperlink ref="A503" r:id="rId502" display="https://gerandofalcoes.my.salesforce.com/0014P00003AN2FtQAL" xr:uid="{00000000-0004-0000-0800-0000F5010000}"/>
    <hyperlink ref="A504" r:id="rId503" display="https://gerandofalcoes.my.salesforce.com/0014P00003YSp9cQAD" xr:uid="{00000000-0004-0000-0800-0000F6010000}"/>
    <hyperlink ref="A505" r:id="rId504" display="https://gerandofalcoes.my.salesforce.com/0014X00002VKCraQAH" xr:uid="{00000000-0004-0000-0800-0000F7010000}"/>
    <hyperlink ref="A506" r:id="rId505" display="https://gerandofalcoes.my.salesforce.com/0014P00003SGWQ8QAP" xr:uid="{00000000-0004-0000-0800-0000F8010000}"/>
    <hyperlink ref="A507" r:id="rId506" display="https://gerandofalcoes.my.salesforce.com/0014X00002VKCszQAH" xr:uid="{00000000-0004-0000-0800-0000F9010000}"/>
    <hyperlink ref="A508" r:id="rId507" display="https://gerandofalcoes.my.salesforce.com/0014P00003SGWQFQA5" xr:uid="{00000000-0004-0000-0800-0000FA010000}"/>
    <hyperlink ref="A509" r:id="rId508" display="https://gerandofalcoes.my.salesforce.com/0014X00002VKCpxQAH" xr:uid="{00000000-0004-0000-0800-0000FB010000}"/>
    <hyperlink ref="A510" r:id="rId509" display="https://gerandofalcoes.my.salesforce.com/0014P00003YSp9xQAD" xr:uid="{00000000-0004-0000-0800-0000FC010000}"/>
    <hyperlink ref="A511" r:id="rId510" display="https://gerandofalcoes.my.salesforce.com/0014P00003AN2G8QAL" xr:uid="{00000000-0004-0000-0800-0000FD010000}"/>
    <hyperlink ref="A512" r:id="rId511" display="https://gerandofalcoes.my.salesforce.com/0014P00003AN6yVQAT" xr:uid="{00000000-0004-0000-0800-0000FE010000}"/>
    <hyperlink ref="A513" r:id="rId512" display="https://gerandofalcoes.my.salesforce.com/0014X00002VKCqnQAH" xr:uid="{00000000-0004-0000-0800-0000FF010000}"/>
    <hyperlink ref="A514" r:id="rId513" display="https://gerandofalcoes.my.salesforce.com/0014X00002VKCrlQAH" xr:uid="{00000000-0004-0000-0800-000000020000}"/>
    <hyperlink ref="A515" r:id="rId514" display="https://gerandofalcoes.my.salesforce.com/0014P00003YSp8QQAT" xr:uid="{00000000-0004-0000-0800-000001020000}"/>
    <hyperlink ref="A516" r:id="rId515" display="https://gerandofalcoes.my.salesforce.com/0014X00002VKCtTQAX" xr:uid="{00000000-0004-0000-0800-000002020000}"/>
    <hyperlink ref="A517" r:id="rId516" display="https://gerandofalcoes.my.salesforce.com/0014P00003SGWFsQAP" xr:uid="{00000000-0004-0000-0800-000003020000}"/>
    <hyperlink ref="A518" r:id="rId517" display="https://gerandofalcoes.my.salesforce.com/0014P00003AN2FiQAL" xr:uid="{00000000-0004-0000-0800-000004020000}"/>
    <hyperlink ref="A519" r:id="rId518" display="https://gerandofalcoes.my.salesforce.com/0014X00002VKCuSQAX" xr:uid="{00000000-0004-0000-0800-000005020000}"/>
    <hyperlink ref="A520" r:id="rId519" display="https://gerandofalcoes.my.salesforce.com/0014P00003YSp7OQAT" xr:uid="{00000000-0004-0000-0800-000006020000}"/>
    <hyperlink ref="A521" r:id="rId520" display="https://gerandofalcoes.my.salesforce.com/0014X00002VKCpEQAX" xr:uid="{00000000-0004-0000-0800-000007020000}"/>
    <hyperlink ref="A522" r:id="rId521" display="https://gerandofalcoes.my.salesforce.com/0014X00002VKCpkQAH" xr:uid="{00000000-0004-0000-0800-000008020000}"/>
    <hyperlink ref="A523" r:id="rId522" display="https://gerandofalcoes.my.salesforce.com/0014P00003YSp9vQAD" xr:uid="{00000000-0004-0000-0800-000009020000}"/>
    <hyperlink ref="A524" r:id="rId523" display="https://gerandofalcoes.my.salesforce.com/0014X00002VKCq3QAH" xr:uid="{00000000-0004-0000-0800-00000A020000}"/>
    <hyperlink ref="A525" r:id="rId524" display="https://gerandofalcoes.my.salesforce.com/0014X00002VKCpLQAX" xr:uid="{00000000-0004-0000-0800-00000B020000}"/>
    <hyperlink ref="A526" r:id="rId525" display="https://gerandofalcoes.my.salesforce.com/0014P00003YSp8IQAT" xr:uid="{00000000-0004-0000-0800-00000C020000}"/>
    <hyperlink ref="A527" r:id="rId526" display="https://gerandofalcoes.my.salesforce.com/0014X00002VKCpXQAX" xr:uid="{00000000-0004-0000-0800-00000D020000}"/>
    <hyperlink ref="A528" r:id="rId527" display="https://gerandofalcoes.my.salesforce.com/0014X00002VKCsaQAH" xr:uid="{00000000-0004-0000-0800-00000E020000}"/>
    <hyperlink ref="A529" r:id="rId528" display="https://gerandofalcoes.my.salesforce.com/0014X00002VKCrwQAH" xr:uid="{00000000-0004-0000-0800-00000F020000}"/>
    <hyperlink ref="A530" r:id="rId529" display="https://gerandofalcoes.my.salesforce.com/0014X00002VKCrJQAX" xr:uid="{00000000-0004-0000-0800-000010020000}"/>
    <hyperlink ref="A531" r:id="rId530" display="https://gerandofalcoes.my.salesforce.com/0014X00002VKCtmQAH" xr:uid="{00000000-0004-0000-0800-000011020000}"/>
    <hyperlink ref="A532" r:id="rId531" display="https://gerandofalcoes.my.salesforce.com/0014X00002VKCpmQAH" xr:uid="{00000000-0004-0000-0800-000012020000}"/>
    <hyperlink ref="A533" r:id="rId532" display="https://gerandofalcoes.my.salesforce.com/0014X00002VKCsOQAX" xr:uid="{00000000-0004-0000-0800-000013020000}"/>
    <hyperlink ref="A534" r:id="rId533" display="https://gerandofalcoes.my.salesforce.com/0014P00003YSp8SQAT" xr:uid="{00000000-0004-0000-0800-000014020000}"/>
    <hyperlink ref="A535" r:id="rId534" display="https://gerandofalcoes.my.salesforce.com/0014P00003AN2GBQA1" xr:uid="{00000000-0004-0000-0800-000015020000}"/>
    <hyperlink ref="A536" r:id="rId535" display="https://gerandofalcoes.my.salesforce.com/0014P00003YSp94QAD" xr:uid="{00000000-0004-0000-0800-000016020000}"/>
    <hyperlink ref="A537" r:id="rId536" display="https://gerandofalcoes.my.salesforce.com/0014P00003YSp7VQAT" xr:uid="{00000000-0004-0000-0800-000017020000}"/>
    <hyperlink ref="A538" r:id="rId537" display="https://gerandofalcoes.my.salesforce.com/0014X00002VKCv7QAH" xr:uid="{00000000-0004-0000-0800-000018020000}"/>
    <hyperlink ref="A539" r:id="rId538" display="https://gerandofalcoes.my.salesforce.com/0014X00002VKCuYQAX" xr:uid="{00000000-0004-0000-0800-000019020000}"/>
    <hyperlink ref="A540" r:id="rId539" display="https://gerandofalcoes.my.salesforce.com/0014P00003SGWPMQA5" xr:uid="{00000000-0004-0000-0800-00001A020000}"/>
    <hyperlink ref="A541" r:id="rId540" display="https://gerandofalcoes.my.salesforce.com/0014X00002VKCtKQAX" xr:uid="{00000000-0004-0000-0800-00001B020000}"/>
    <hyperlink ref="A542" r:id="rId541" display="https://gerandofalcoes.my.salesforce.com/0014X00002VKCsBQAX" xr:uid="{00000000-0004-0000-0800-00001C020000}"/>
    <hyperlink ref="A543" r:id="rId542" display="https://gerandofalcoes.my.salesforce.com/0014X00002VKCtMQAX" xr:uid="{00000000-0004-0000-0800-00001D020000}"/>
    <hyperlink ref="A544" r:id="rId543" display="https://gerandofalcoes.my.salesforce.com/0014X00002VKCp3QAH" xr:uid="{00000000-0004-0000-0800-00001E020000}"/>
    <hyperlink ref="A545" r:id="rId544" display="https://gerandofalcoes.my.salesforce.com/0014X00002VKCsjQAH" xr:uid="{00000000-0004-0000-0800-00001F020000}"/>
    <hyperlink ref="A546" r:id="rId545" display="https://gerandofalcoes.my.salesforce.com/0014X00002VKCpMQAX" xr:uid="{00000000-0004-0000-0800-000020020000}"/>
    <hyperlink ref="A547" r:id="rId546" display="https://gerandofalcoes.my.salesforce.com/0014P00003YSp7ZQAT" xr:uid="{00000000-0004-0000-0800-000021020000}"/>
    <hyperlink ref="A548" r:id="rId547" display="https://gerandofalcoes.my.salesforce.com/0014X00002VKCt3QAH" xr:uid="{00000000-0004-0000-0800-000022020000}"/>
    <hyperlink ref="A549" r:id="rId548" display="https://gerandofalcoes.my.salesforce.com/0014X00002VKCrxQAH" xr:uid="{00000000-0004-0000-0800-000023020000}"/>
    <hyperlink ref="A550" r:id="rId549" display="https://gerandofalcoes.my.salesforce.com/0014X00002OEuamQAD" xr:uid="{00000000-0004-0000-0800-000024020000}"/>
    <hyperlink ref="A551" r:id="rId550" display="https://gerandofalcoes.my.salesforce.com/0014X00002VKCs0QAH" xr:uid="{00000000-0004-0000-0800-000025020000}"/>
    <hyperlink ref="A552" r:id="rId551" display="https://gerandofalcoes.my.salesforce.com/0014P00003AN2FdQAL" xr:uid="{00000000-0004-0000-0800-000026020000}"/>
    <hyperlink ref="A553" r:id="rId552" display="https://gerandofalcoes.my.salesforce.com/0014X00002VKCuqQAH" xr:uid="{00000000-0004-0000-0800-000027020000}"/>
    <hyperlink ref="A554" r:id="rId553" display="https://gerandofalcoes.my.salesforce.com/0014X00002VKCsMQAX" xr:uid="{00000000-0004-0000-0800-000028020000}"/>
    <hyperlink ref="A555" r:id="rId554" display="https://gerandofalcoes.my.salesforce.com/0014X00002VKCroQAH" xr:uid="{00000000-0004-0000-0800-000029020000}"/>
    <hyperlink ref="A556" r:id="rId555" display="https://gerandofalcoes.my.salesforce.com/0014X00002PUOY7QAP" xr:uid="{00000000-0004-0000-0800-00002A020000}"/>
    <hyperlink ref="A557" r:id="rId556" display="https://gerandofalcoes.my.salesforce.com/0014P00003ERavoQAD" xr:uid="{00000000-0004-0000-0800-00002B020000}"/>
    <hyperlink ref="A558" r:id="rId557" display="https://gerandofalcoes.my.salesforce.com/0014X00002VKCqOQAX" xr:uid="{00000000-0004-0000-0800-00002C020000}"/>
    <hyperlink ref="A559" r:id="rId558" display="https://gerandofalcoes.my.salesforce.com/0014X00002VKCrDQAX" xr:uid="{00000000-0004-0000-0800-00002D020000}"/>
    <hyperlink ref="A560" r:id="rId559" display="https://gerandofalcoes.my.salesforce.com/0014X00002OEuauQAD" xr:uid="{00000000-0004-0000-0800-00002E020000}"/>
    <hyperlink ref="A561" r:id="rId560" display="https://gerandofalcoes.my.salesforce.com/0014X00002VKCsLQAX" xr:uid="{00000000-0004-0000-0800-00002F020000}"/>
    <hyperlink ref="A562" r:id="rId561" display="https://gerandofalcoes.my.salesforce.com/0014X00002VKCt0QAH" xr:uid="{00000000-0004-0000-0800-000030020000}"/>
    <hyperlink ref="A563" r:id="rId562" display="https://gerandofalcoes.my.salesforce.com/0014X00002VKCrQQAX" xr:uid="{00000000-0004-0000-0800-000031020000}"/>
    <hyperlink ref="A564" r:id="rId563" display="https://gerandofalcoes.my.salesforce.com/0014P00003SGWQHQA5" xr:uid="{00000000-0004-0000-0800-000032020000}"/>
    <hyperlink ref="A565" r:id="rId564" display="https://gerandofalcoes.my.salesforce.com/0014X00002VKCu7QAH" xr:uid="{00000000-0004-0000-0800-000033020000}"/>
    <hyperlink ref="A566" r:id="rId565" display="https://gerandofalcoes.my.salesforce.com/0014P00003YSp8bQAD" xr:uid="{00000000-0004-0000-0800-000034020000}"/>
    <hyperlink ref="A567" r:id="rId566" display="https://gerandofalcoes.my.salesforce.com/0014P00003AN2G0QAL" xr:uid="{00000000-0004-0000-0800-000035020000}"/>
    <hyperlink ref="A568" r:id="rId567" display="https://gerandofalcoes.my.salesforce.com/0014X00002VKCuDQAX" xr:uid="{00000000-0004-0000-0800-000036020000}"/>
    <hyperlink ref="A569" r:id="rId568" display="https://gerandofalcoes.my.salesforce.com/0014X00002VKCsvQAH" xr:uid="{00000000-0004-0000-0800-000037020000}"/>
    <hyperlink ref="A570" r:id="rId569" display="https://gerandofalcoes.my.salesforce.com/0014P00003YSp8eQAD" xr:uid="{00000000-0004-0000-0800-000038020000}"/>
    <hyperlink ref="A571" r:id="rId570" display="https://gerandofalcoes.my.salesforce.com/0014P00003YSp9kQAD" xr:uid="{00000000-0004-0000-0800-000039020000}"/>
    <hyperlink ref="A572" r:id="rId571" display="https://gerandofalcoes.my.salesforce.com/0014P00003AN2FhQAL" xr:uid="{00000000-0004-0000-0800-00003A020000}"/>
    <hyperlink ref="A573" r:id="rId572" display="https://gerandofalcoes.my.salesforce.com/0014P00003AN2GOQA1" xr:uid="{00000000-0004-0000-0800-00003B020000}"/>
    <hyperlink ref="A574" r:id="rId573" display="https://gerandofalcoes.my.salesforce.com/0014X00002VKCu5QAH" xr:uid="{00000000-0004-0000-0800-00003C020000}"/>
    <hyperlink ref="A575" r:id="rId574" display="https://gerandofalcoes.my.salesforce.com/0014X00002VKCrIQAX" xr:uid="{00000000-0004-0000-0800-00003D020000}"/>
    <hyperlink ref="A576" r:id="rId575" display="https://gerandofalcoes.my.salesforce.com/0014X00002VKCrkQAH" xr:uid="{00000000-0004-0000-0800-00003E020000}"/>
    <hyperlink ref="A577" r:id="rId576" display="https://gerandofalcoes.my.salesforce.com/0014X00002VKCpbQAH" xr:uid="{00000000-0004-0000-0800-00003F020000}"/>
    <hyperlink ref="A578" r:id="rId577" display="https://gerandofalcoes.my.salesforce.com/0014X00002VKCtxQAH" xr:uid="{00000000-0004-0000-0800-000040020000}"/>
    <hyperlink ref="A579" r:id="rId578" display="https://gerandofalcoes.my.salesforce.com/0014P00003YSp82QAD" xr:uid="{00000000-0004-0000-0800-000041020000}"/>
    <hyperlink ref="A580" r:id="rId579" display="https://gerandofalcoes.my.salesforce.com/0014X00002VKCuEQAX" xr:uid="{00000000-0004-0000-0800-000042020000}"/>
    <hyperlink ref="A581" r:id="rId580" display="https://gerandofalcoes.my.salesforce.com/0014X00002VKCqmQAH" xr:uid="{00000000-0004-0000-0800-000043020000}"/>
    <hyperlink ref="A582" r:id="rId581" display="https://gerandofalcoes.my.salesforce.com/0014X00002VKCsDQAX" xr:uid="{00000000-0004-0000-0800-000044020000}"/>
    <hyperlink ref="A583" r:id="rId582" display="https://gerandofalcoes.my.salesforce.com/0014X00002VKCshQAH" xr:uid="{00000000-0004-0000-0800-000045020000}"/>
    <hyperlink ref="A584" r:id="rId583" display="https://gerandofalcoes.my.salesforce.com/0014X00002VKCpOQAX" xr:uid="{00000000-0004-0000-0800-000046020000}"/>
    <hyperlink ref="A585" r:id="rId584" display="https://gerandofalcoes.my.salesforce.com/0014X00002VKCs2QAH" xr:uid="{00000000-0004-0000-0800-000047020000}"/>
    <hyperlink ref="A586" r:id="rId585" display="https://gerandofalcoes.my.salesforce.com/0014X00002VKCpGQAX" xr:uid="{00000000-0004-0000-0800-000048020000}"/>
    <hyperlink ref="A587" r:id="rId586" display="https://gerandofalcoes.my.salesforce.com/0014X00002VKCumQAH" xr:uid="{00000000-0004-0000-0800-000049020000}"/>
    <hyperlink ref="A588" r:id="rId587" display="https://gerandofalcoes.my.salesforce.com/0014P00003YSp8qQAD" xr:uid="{00000000-0004-0000-0800-00004A020000}"/>
    <hyperlink ref="A589" r:id="rId588" display="https://gerandofalcoes.my.salesforce.com/0014X00002VKCqRQAX" xr:uid="{00000000-0004-0000-0800-00004B020000}"/>
    <hyperlink ref="A590" r:id="rId589" display="https://gerandofalcoes.my.salesforce.com/0014X00002VKCvCQAX" xr:uid="{00000000-0004-0000-0800-00004C020000}"/>
    <hyperlink ref="A591" r:id="rId590" display="https://gerandofalcoes.my.salesforce.com/0014X00002VKCrgQAH" xr:uid="{00000000-0004-0000-0800-00004D020000}"/>
    <hyperlink ref="A592" r:id="rId591" display="https://gerandofalcoes.my.salesforce.com/0014X00002VKCpIQAX" xr:uid="{00000000-0004-0000-0800-00004E020000}"/>
    <hyperlink ref="A593" r:id="rId592" display="https://gerandofalcoes.my.salesforce.com/0014P00003YSpA6QAL" xr:uid="{00000000-0004-0000-0800-00004F020000}"/>
    <hyperlink ref="A594" r:id="rId593" display="https://gerandofalcoes.my.salesforce.com/0014X00002OEuapQAD" xr:uid="{00000000-0004-0000-0800-000050020000}"/>
    <hyperlink ref="A595" r:id="rId594" display="https://gerandofalcoes.my.salesforce.com/0014P00003AN2GGQA1" xr:uid="{00000000-0004-0000-0800-000051020000}"/>
    <hyperlink ref="A596" r:id="rId595" display="https://gerandofalcoes.my.salesforce.com/0014P00003YSp8JQAT" xr:uid="{00000000-0004-0000-0800-000052020000}"/>
    <hyperlink ref="A597" r:id="rId596" display="https://gerandofalcoes.my.salesforce.com/0014P00003AN2FnQAL" xr:uid="{00000000-0004-0000-0800-000053020000}"/>
    <hyperlink ref="A598" r:id="rId597" display="https://gerandofalcoes.my.salesforce.com/0014P00003YSp7pQAD" xr:uid="{00000000-0004-0000-0800-000054020000}"/>
    <hyperlink ref="A599" r:id="rId598" display="https://gerandofalcoes.my.salesforce.com/0014X00002VKCuRQAX" xr:uid="{00000000-0004-0000-0800-000055020000}"/>
    <hyperlink ref="A600" r:id="rId599" display="https://gerandofalcoes.my.salesforce.com/0014X00002VKCrpQAH" xr:uid="{00000000-0004-0000-0800-000056020000}"/>
  </hyperlinks>
  <pageMargins left="0.511811024" right="0.511811024" top="0.78740157499999996" bottom="0.78740157499999996" header="0.31496062000000002" footer="0.31496062000000002"/>
  <pageSetup paperSize="9" orientation="portrait" verticalDpi="597" r:id="rId600"/>
  <legacyDrawing r:id="rId60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4</vt:i4>
      </vt:variant>
    </vt:vector>
  </HeadingPairs>
  <TitlesOfParts>
    <vt:vector size="13" baseType="lpstr">
      <vt:lpstr>ONGs</vt:lpstr>
      <vt:lpstr>Líderes</vt:lpstr>
      <vt:lpstr>Auto Refresh Execution Log</vt:lpstr>
      <vt:lpstr>Relatório OFICIAL ONGs - Operaç</vt:lpstr>
      <vt:lpstr>Relatório OFICIAL Líderes - Ope</vt:lpstr>
      <vt:lpstr>Rede - Gerando Falcões </vt:lpstr>
      <vt:lpstr>Tabela Categorização</vt:lpstr>
      <vt:lpstr>MKT ONGs com nívelamento</vt:lpstr>
      <vt:lpstr>CTG Líder - PROCV</vt:lpstr>
      <vt:lpstr>coeff_d_a6ec0267_7053_42af_974c_4dec6646d2c6</vt:lpstr>
      <vt:lpstr>coeff_d_c7a9e320_7149_428d_a18d_37b8aaf80392</vt:lpstr>
      <vt:lpstr>coeff_d_c86a1a89_75ea_446c_a600_4982e3733729</vt:lpstr>
      <vt:lpstr>coeff_d_db014ed5_8185_4f91_9b2e_9df198f3dae5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Gerando Falcoes</dc:creator>
  <cp:lastModifiedBy>EDNEI FIALHO LOPES</cp:lastModifiedBy>
  <dcterms:created xsi:type="dcterms:W3CDTF">2022-12-05T17:17:16Z</dcterms:created>
  <dcterms:modified xsi:type="dcterms:W3CDTF">2022-12-05T17:43:17Z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2022-12-05T15:35:12Z</vt:lpwstr>
  </property>
  <property fmtid="{D5CDD505-2E9C-101B-9397-08002B2CF9AE}" pid="4" name="MSIP_Label_d3fed9c9-9e02-402c-91c6-79672c367b2e_Method">
    <vt:lpwstr>Privileged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8edf5310-5d0c-4f4b-a558-2e70feef91ba</vt:lpwstr>
  </property>
  <property fmtid="{D5CDD505-2E9C-101B-9397-08002B2CF9AE}" pid="8" name="MSIP_Label_d3fed9c9-9e02-402c-91c6-79672c367b2e_ContentBits">
    <vt:lpwstr>0</vt:lpwstr>
  </property>
</Properties>
</file>